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E:\Kuliah\Semester 6\"/>
    </mc:Choice>
  </mc:AlternateContent>
  <xr:revisionPtr revIDLastSave="0" documentId="13_ncr:20001_{9527FA74-BD06-42BB-AFA1-D06F5890E584}" xr6:coauthVersionLast="45" xr6:coauthVersionMax="45" xr10:uidLastSave="{00000000-0000-0000-0000-000000000000}"/>
  <bookViews>
    <workbookView xWindow="-120" yWindow="330" windowWidth="20730" windowHeight="11310" xr2:uid="{00000000-000D-0000-FFFF-FFFF00000000}"/>
  </bookViews>
  <sheets>
    <sheet name="12Feb-1Mar"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10129" i="1"/>
  <c r="B10130" i="1"/>
  <c r="B10131" i="1"/>
  <c r="B10132" i="1"/>
  <c r="B10133" i="1"/>
  <c r="B10134" i="1"/>
  <c r="B10135" i="1"/>
  <c r="B10136" i="1"/>
  <c r="B10137" i="1"/>
  <c r="B10138" i="1"/>
  <c r="B10139" i="1"/>
  <c r="B10140" i="1"/>
  <c r="B10141" i="1"/>
  <c r="B10142" i="1"/>
  <c r="B10143" i="1"/>
  <c r="B10144" i="1"/>
  <c r="B10145" i="1"/>
  <c r="B10146" i="1"/>
  <c r="B10147" i="1"/>
  <c r="B10148" i="1"/>
  <c r="B10149" i="1"/>
  <c r="B10150" i="1"/>
  <c r="B10151" i="1"/>
  <c r="B10152" i="1"/>
  <c r="B10153" i="1"/>
  <c r="B10154" i="1"/>
  <c r="B10155" i="1"/>
  <c r="B10156" i="1"/>
  <c r="B10157" i="1"/>
  <c r="B10158" i="1"/>
  <c r="B10159" i="1"/>
  <c r="B10160" i="1"/>
  <c r="B10161" i="1"/>
  <c r="B10162" i="1"/>
  <c r="B10163" i="1"/>
  <c r="B10164" i="1"/>
  <c r="B10165" i="1"/>
  <c r="B10166" i="1"/>
  <c r="B10167" i="1"/>
  <c r="B10168" i="1"/>
  <c r="B10169" i="1"/>
  <c r="B10170" i="1"/>
  <c r="B10171" i="1"/>
  <c r="B10172" i="1"/>
  <c r="B10173" i="1"/>
  <c r="B10174" i="1"/>
  <c r="B10175" i="1"/>
  <c r="B10176" i="1"/>
  <c r="B10177" i="1"/>
  <c r="B10178" i="1"/>
  <c r="B10179" i="1"/>
  <c r="B10180" i="1"/>
  <c r="B10181" i="1"/>
  <c r="B10182" i="1"/>
  <c r="B10183" i="1"/>
  <c r="B10184" i="1"/>
  <c r="B10185" i="1"/>
  <c r="B10186" i="1"/>
  <c r="B10187" i="1"/>
  <c r="B10188" i="1"/>
  <c r="B10189" i="1"/>
  <c r="B10190" i="1"/>
  <c r="B10191" i="1"/>
  <c r="B10192" i="1"/>
  <c r="B10193" i="1"/>
  <c r="B10194" i="1"/>
  <c r="B10195" i="1"/>
  <c r="B10196" i="1"/>
  <c r="B10197" i="1"/>
  <c r="B10198" i="1"/>
  <c r="B10199" i="1"/>
  <c r="B10200" i="1"/>
  <c r="B10201" i="1"/>
  <c r="B10202" i="1"/>
  <c r="B10203" i="1"/>
  <c r="B10204" i="1"/>
  <c r="B10205" i="1"/>
  <c r="B10206" i="1"/>
  <c r="B10207" i="1"/>
  <c r="B10208" i="1"/>
  <c r="B10209" i="1"/>
  <c r="B10210" i="1"/>
  <c r="B10211" i="1"/>
  <c r="B10212" i="1"/>
  <c r="B10213" i="1"/>
  <c r="B10214" i="1"/>
  <c r="B10215" i="1"/>
  <c r="B10216" i="1"/>
  <c r="B10217" i="1"/>
  <c r="B10218" i="1"/>
  <c r="B10219" i="1"/>
  <c r="B10220" i="1"/>
  <c r="B10221" i="1"/>
  <c r="B10222" i="1"/>
  <c r="B10223" i="1"/>
  <c r="B10224" i="1"/>
  <c r="B10225" i="1"/>
  <c r="B10226" i="1"/>
  <c r="B10227" i="1"/>
  <c r="B10228" i="1"/>
  <c r="B10229" i="1"/>
  <c r="B10230" i="1"/>
  <c r="B10231" i="1"/>
  <c r="B10232" i="1"/>
  <c r="B10233" i="1"/>
  <c r="B10234" i="1"/>
  <c r="B10235" i="1"/>
  <c r="B10236" i="1"/>
  <c r="B10237" i="1"/>
  <c r="B10238" i="1"/>
  <c r="B10239" i="1"/>
  <c r="B10240" i="1"/>
  <c r="B10241" i="1"/>
  <c r="B10242" i="1"/>
  <c r="B10243" i="1"/>
  <c r="B10244" i="1"/>
  <c r="B10245" i="1"/>
  <c r="B10246" i="1"/>
  <c r="B10247" i="1"/>
  <c r="B10248" i="1"/>
  <c r="B10249" i="1"/>
  <c r="B10250" i="1"/>
  <c r="B10251" i="1"/>
  <c r="B10252" i="1"/>
  <c r="B10253" i="1"/>
  <c r="B10254" i="1"/>
  <c r="B10255" i="1"/>
  <c r="B10256" i="1"/>
  <c r="B10257" i="1"/>
  <c r="B10258" i="1"/>
  <c r="B10259" i="1"/>
  <c r="B10260" i="1"/>
  <c r="B10261" i="1"/>
  <c r="B10262" i="1"/>
  <c r="B10263" i="1"/>
  <c r="B10264" i="1"/>
  <c r="B10265" i="1"/>
  <c r="B10266" i="1"/>
  <c r="B10267" i="1"/>
  <c r="B10268" i="1"/>
  <c r="B10269" i="1"/>
  <c r="B10270" i="1"/>
  <c r="B10271" i="1"/>
  <c r="B10272" i="1"/>
  <c r="B10273" i="1"/>
  <c r="B10274" i="1"/>
  <c r="B10275" i="1"/>
  <c r="B10276" i="1"/>
  <c r="B10277" i="1"/>
  <c r="B10278" i="1"/>
  <c r="B10279" i="1"/>
  <c r="B10280" i="1"/>
  <c r="B10281" i="1"/>
  <c r="B10282" i="1"/>
  <c r="B10283" i="1"/>
  <c r="B10284" i="1"/>
  <c r="B10285" i="1"/>
  <c r="B10286" i="1"/>
  <c r="B10287" i="1"/>
  <c r="B10288" i="1"/>
  <c r="B10289" i="1"/>
  <c r="B10290" i="1"/>
  <c r="B10291" i="1"/>
  <c r="B10292" i="1"/>
  <c r="B10293" i="1"/>
  <c r="B10294" i="1"/>
  <c r="B10295" i="1"/>
  <c r="B10296" i="1"/>
  <c r="B10297" i="1"/>
  <c r="B10298" i="1"/>
  <c r="B10299" i="1"/>
  <c r="B10300" i="1"/>
  <c r="B10301" i="1"/>
  <c r="B10302" i="1"/>
  <c r="B10303" i="1"/>
  <c r="B10304" i="1"/>
  <c r="B10305" i="1"/>
  <c r="B10306" i="1"/>
  <c r="B10307" i="1"/>
  <c r="B10308" i="1"/>
  <c r="B10309" i="1"/>
  <c r="B10310" i="1"/>
  <c r="B10311" i="1"/>
  <c r="B10312" i="1"/>
  <c r="B10313" i="1"/>
  <c r="B10314" i="1"/>
  <c r="B10315" i="1"/>
  <c r="B10316" i="1"/>
  <c r="B10317" i="1"/>
  <c r="B10318" i="1"/>
  <c r="B10319" i="1"/>
  <c r="B10320" i="1"/>
  <c r="B10321" i="1"/>
  <c r="B10322" i="1"/>
  <c r="B10323" i="1"/>
  <c r="B10324" i="1"/>
  <c r="B10325" i="1"/>
  <c r="B10326" i="1"/>
  <c r="B10327" i="1"/>
  <c r="B10328" i="1"/>
  <c r="B10329" i="1"/>
  <c r="B10330" i="1"/>
  <c r="B10331" i="1"/>
  <c r="B10332" i="1"/>
  <c r="B10333" i="1"/>
  <c r="B10334" i="1"/>
  <c r="B10335" i="1"/>
  <c r="B10336" i="1"/>
  <c r="B10337" i="1"/>
  <c r="B10338" i="1"/>
  <c r="B10339" i="1"/>
  <c r="B10340" i="1"/>
  <c r="B10341" i="1"/>
  <c r="B10342" i="1"/>
  <c r="B10343" i="1"/>
  <c r="B10344" i="1"/>
  <c r="B10345" i="1"/>
  <c r="B10346" i="1"/>
  <c r="B10347" i="1"/>
  <c r="B10348" i="1"/>
  <c r="B10349" i="1"/>
  <c r="B10350" i="1"/>
  <c r="B10351" i="1"/>
  <c r="B10352" i="1"/>
  <c r="B10353" i="1"/>
  <c r="B10354" i="1"/>
  <c r="B10355" i="1"/>
  <c r="B10356" i="1"/>
  <c r="B10357" i="1"/>
  <c r="B10358" i="1"/>
  <c r="B10359" i="1"/>
  <c r="B10360" i="1"/>
  <c r="B10361" i="1"/>
  <c r="B10362" i="1"/>
  <c r="B10363" i="1"/>
  <c r="B10364" i="1"/>
  <c r="B10365" i="1"/>
  <c r="B10366" i="1"/>
  <c r="B10367" i="1"/>
  <c r="B10368" i="1"/>
  <c r="B10369" i="1"/>
  <c r="B10370" i="1"/>
  <c r="B10371" i="1"/>
  <c r="B10372" i="1"/>
  <c r="B10373" i="1"/>
  <c r="B10374" i="1"/>
  <c r="B10375" i="1"/>
  <c r="B10376" i="1"/>
  <c r="B10377" i="1"/>
  <c r="B10378" i="1"/>
  <c r="B10379" i="1"/>
  <c r="B10380" i="1"/>
  <c r="B10381" i="1"/>
  <c r="B10382" i="1"/>
  <c r="B10383" i="1"/>
  <c r="B10384" i="1"/>
  <c r="B10385" i="1"/>
  <c r="B10386" i="1"/>
  <c r="B10387" i="1"/>
  <c r="B10388" i="1"/>
  <c r="B10389" i="1"/>
  <c r="B10390" i="1"/>
  <c r="B10391" i="1"/>
  <c r="B10392" i="1"/>
  <c r="B10393" i="1"/>
  <c r="B10394" i="1"/>
  <c r="B10395" i="1"/>
  <c r="B10396" i="1"/>
  <c r="B10397" i="1"/>
  <c r="B10398" i="1"/>
  <c r="B10399" i="1"/>
  <c r="B10400" i="1"/>
  <c r="B10401" i="1"/>
  <c r="B10402" i="1"/>
  <c r="B10403" i="1"/>
  <c r="B10404" i="1"/>
  <c r="B10405" i="1"/>
  <c r="B10406" i="1"/>
  <c r="B10407" i="1"/>
  <c r="B10408" i="1"/>
  <c r="B10409" i="1"/>
  <c r="B10410" i="1"/>
  <c r="B10411" i="1"/>
  <c r="B10412" i="1"/>
  <c r="B10413" i="1"/>
  <c r="B10414" i="1"/>
  <c r="B10415" i="1"/>
  <c r="B10416" i="1"/>
  <c r="B10417" i="1"/>
  <c r="B10418" i="1"/>
  <c r="B10419" i="1"/>
  <c r="B10420" i="1"/>
  <c r="B10421" i="1"/>
  <c r="B10422" i="1"/>
  <c r="B10423" i="1"/>
  <c r="B10424" i="1"/>
  <c r="B10425" i="1"/>
  <c r="B10426" i="1"/>
  <c r="B10427" i="1"/>
  <c r="B10428" i="1"/>
  <c r="B10429" i="1"/>
  <c r="B10430" i="1"/>
  <c r="B10431" i="1"/>
  <c r="B10432" i="1"/>
  <c r="B10433" i="1"/>
  <c r="B10434" i="1"/>
  <c r="B10435" i="1"/>
  <c r="B10436" i="1"/>
  <c r="B10437" i="1"/>
  <c r="B10438" i="1"/>
  <c r="B10439" i="1"/>
  <c r="B10440" i="1"/>
  <c r="B10441" i="1"/>
  <c r="B10442" i="1"/>
  <c r="B10443" i="1"/>
  <c r="B10444" i="1"/>
  <c r="B10445" i="1"/>
  <c r="B10446" i="1"/>
  <c r="B10447" i="1"/>
  <c r="B10448" i="1"/>
  <c r="B10449" i="1"/>
  <c r="B10450" i="1"/>
  <c r="B10451" i="1"/>
  <c r="B10452" i="1"/>
  <c r="B10453" i="1"/>
  <c r="B10454" i="1"/>
  <c r="B10455" i="1"/>
  <c r="B10456" i="1"/>
  <c r="B10457" i="1"/>
  <c r="B10458" i="1"/>
  <c r="B10459" i="1"/>
  <c r="B10460" i="1"/>
  <c r="B10461" i="1"/>
  <c r="B10462" i="1"/>
  <c r="B10463" i="1"/>
  <c r="B10464" i="1"/>
  <c r="B10465" i="1"/>
  <c r="B10466" i="1"/>
  <c r="B10467" i="1"/>
  <c r="B10468" i="1"/>
  <c r="B10469" i="1"/>
  <c r="B10470" i="1"/>
  <c r="B10471" i="1"/>
  <c r="B10472" i="1"/>
  <c r="B10473" i="1"/>
  <c r="B10474" i="1"/>
  <c r="B10475" i="1"/>
  <c r="B10476" i="1"/>
  <c r="B10477" i="1"/>
  <c r="B10478" i="1"/>
  <c r="B10479" i="1"/>
  <c r="B10480" i="1"/>
  <c r="B10481" i="1"/>
  <c r="B10482" i="1"/>
  <c r="B10483" i="1"/>
  <c r="B10484" i="1"/>
  <c r="B10485" i="1"/>
  <c r="B10486" i="1"/>
  <c r="B10487" i="1"/>
  <c r="B10488" i="1"/>
  <c r="B10489" i="1"/>
  <c r="B10490" i="1"/>
  <c r="B10491" i="1"/>
  <c r="B10492" i="1"/>
  <c r="B10493" i="1"/>
  <c r="B10494" i="1"/>
  <c r="B10495" i="1"/>
  <c r="B10496" i="1"/>
  <c r="B10497" i="1"/>
  <c r="B10498" i="1"/>
  <c r="B10499" i="1"/>
  <c r="B10500" i="1"/>
  <c r="B10501" i="1"/>
  <c r="B10502" i="1"/>
  <c r="B10503" i="1"/>
  <c r="B10504" i="1"/>
  <c r="B10505" i="1"/>
  <c r="B10506" i="1"/>
  <c r="B10507" i="1"/>
  <c r="B10508" i="1"/>
  <c r="B10509" i="1"/>
  <c r="B10510" i="1"/>
  <c r="B10511" i="1"/>
  <c r="B10512" i="1"/>
  <c r="B10513" i="1"/>
  <c r="B10514" i="1"/>
  <c r="B10515" i="1"/>
  <c r="B10516" i="1"/>
  <c r="B10517" i="1"/>
  <c r="B10518" i="1"/>
  <c r="B10519" i="1"/>
  <c r="B10520" i="1"/>
  <c r="B10521" i="1"/>
  <c r="B10522" i="1"/>
  <c r="B10523" i="1"/>
  <c r="B10524" i="1"/>
  <c r="B10525" i="1"/>
  <c r="B10526" i="1"/>
  <c r="B10527" i="1"/>
  <c r="B10528" i="1"/>
  <c r="B10529" i="1"/>
  <c r="B10530" i="1"/>
  <c r="B10531" i="1"/>
  <c r="B10532" i="1"/>
  <c r="B10533" i="1"/>
  <c r="B10534" i="1"/>
  <c r="B10535" i="1"/>
  <c r="B10536" i="1"/>
  <c r="B10537" i="1"/>
  <c r="B10538" i="1"/>
  <c r="B10539" i="1"/>
  <c r="B10540" i="1"/>
  <c r="B10541" i="1"/>
  <c r="B10542" i="1"/>
  <c r="B10543" i="1"/>
  <c r="B10544" i="1"/>
  <c r="B10545" i="1"/>
  <c r="B10546" i="1"/>
  <c r="B10547" i="1"/>
  <c r="B10548" i="1"/>
  <c r="B10549" i="1"/>
  <c r="B10550" i="1"/>
  <c r="B10551" i="1"/>
  <c r="B10552" i="1"/>
  <c r="B10553" i="1"/>
  <c r="B10554" i="1"/>
  <c r="B10555" i="1"/>
  <c r="B10556" i="1"/>
  <c r="B10557" i="1"/>
  <c r="B10558" i="1"/>
  <c r="B10559" i="1"/>
  <c r="B10560" i="1"/>
  <c r="B10561" i="1"/>
  <c r="B10562" i="1"/>
  <c r="B10563" i="1"/>
  <c r="B10564" i="1"/>
  <c r="B10565" i="1"/>
  <c r="B10566" i="1"/>
  <c r="B10567" i="1"/>
  <c r="B10568" i="1"/>
  <c r="B10569" i="1"/>
  <c r="B10570" i="1"/>
  <c r="B10571" i="1"/>
  <c r="B10572" i="1"/>
  <c r="B10573" i="1"/>
  <c r="B10574" i="1"/>
  <c r="B10575" i="1"/>
  <c r="B10576" i="1"/>
  <c r="B10577" i="1"/>
  <c r="B10578" i="1"/>
  <c r="B10579" i="1"/>
  <c r="B10580" i="1"/>
  <c r="B10581" i="1"/>
  <c r="B10582" i="1"/>
  <c r="B10583" i="1"/>
  <c r="B10584" i="1"/>
  <c r="B10585" i="1"/>
  <c r="B10586" i="1"/>
  <c r="B10587" i="1"/>
  <c r="B10588" i="1"/>
  <c r="B10589" i="1"/>
  <c r="B10590" i="1"/>
  <c r="B10591" i="1"/>
  <c r="B10592" i="1"/>
  <c r="B10593" i="1"/>
  <c r="B10594" i="1"/>
  <c r="B10595" i="1"/>
  <c r="B10596" i="1"/>
  <c r="B10597" i="1"/>
  <c r="B10598" i="1"/>
  <c r="B10599" i="1"/>
  <c r="B10600" i="1"/>
  <c r="B10601" i="1"/>
  <c r="B10602" i="1"/>
  <c r="B10603" i="1"/>
  <c r="B10604" i="1"/>
  <c r="B10605" i="1"/>
  <c r="B10606" i="1"/>
  <c r="B10607" i="1"/>
  <c r="B10608" i="1"/>
  <c r="B10609" i="1"/>
  <c r="B10610" i="1"/>
  <c r="B10611" i="1"/>
  <c r="B10612" i="1"/>
  <c r="B10613" i="1"/>
  <c r="B10614" i="1"/>
  <c r="B10615" i="1"/>
  <c r="B10616" i="1"/>
  <c r="B10617" i="1"/>
  <c r="B10618" i="1"/>
  <c r="B10619" i="1"/>
  <c r="B10620" i="1"/>
  <c r="B10621" i="1"/>
  <c r="B10622" i="1"/>
  <c r="B10623" i="1"/>
  <c r="B10624" i="1"/>
  <c r="B10625" i="1"/>
  <c r="B10626" i="1"/>
  <c r="B10627" i="1"/>
  <c r="B10628" i="1"/>
  <c r="B10629" i="1"/>
  <c r="B10630" i="1"/>
  <c r="B10631" i="1"/>
  <c r="B10632" i="1"/>
  <c r="B10633" i="1"/>
  <c r="B10634" i="1"/>
  <c r="B10635" i="1"/>
  <c r="B10636" i="1"/>
  <c r="B10637" i="1"/>
  <c r="B10638" i="1"/>
  <c r="B10639" i="1"/>
  <c r="B10640" i="1"/>
  <c r="B10641" i="1"/>
  <c r="B10642" i="1"/>
  <c r="B10643" i="1"/>
  <c r="B10644" i="1"/>
  <c r="B10645" i="1"/>
  <c r="B10646" i="1"/>
  <c r="B10647" i="1"/>
  <c r="B10648" i="1"/>
  <c r="B10649" i="1"/>
  <c r="B10650" i="1"/>
  <c r="B10651" i="1"/>
  <c r="B10652" i="1"/>
  <c r="B10653" i="1"/>
  <c r="B10654" i="1"/>
  <c r="B10655" i="1"/>
  <c r="B10656" i="1"/>
  <c r="B10657" i="1"/>
  <c r="B10658" i="1"/>
  <c r="B10659" i="1"/>
  <c r="B10660" i="1"/>
  <c r="B10661" i="1"/>
  <c r="B10662" i="1"/>
  <c r="B10663" i="1"/>
  <c r="B10664" i="1"/>
  <c r="B10665" i="1"/>
  <c r="B10666" i="1"/>
  <c r="B10667" i="1"/>
  <c r="B10668" i="1"/>
  <c r="B10669" i="1"/>
  <c r="B10670" i="1"/>
  <c r="B10671" i="1"/>
  <c r="B10672" i="1"/>
  <c r="B10673" i="1"/>
  <c r="B10674" i="1"/>
  <c r="B10675" i="1"/>
  <c r="B10676" i="1"/>
  <c r="B10677" i="1"/>
  <c r="B10678" i="1"/>
  <c r="B10679" i="1"/>
  <c r="B10680" i="1"/>
  <c r="B10681" i="1"/>
  <c r="B10682" i="1"/>
  <c r="B10683" i="1"/>
  <c r="B10684" i="1"/>
  <c r="B10685" i="1"/>
  <c r="B10686" i="1"/>
  <c r="B10687" i="1"/>
  <c r="B10688" i="1"/>
  <c r="B10689" i="1"/>
  <c r="B10690" i="1"/>
  <c r="B10691" i="1"/>
  <c r="B10692" i="1"/>
  <c r="B10693" i="1"/>
  <c r="B10694" i="1"/>
  <c r="B10695" i="1"/>
  <c r="B10696" i="1"/>
  <c r="B10697" i="1"/>
  <c r="B10698" i="1"/>
  <c r="B10699" i="1"/>
  <c r="B10700" i="1"/>
  <c r="B10701" i="1"/>
  <c r="B10702" i="1"/>
  <c r="B10703" i="1"/>
  <c r="B10704" i="1"/>
  <c r="B10705" i="1"/>
  <c r="B10706" i="1"/>
  <c r="B10707" i="1"/>
  <c r="B10708" i="1"/>
  <c r="B10709" i="1"/>
  <c r="B10710" i="1"/>
  <c r="B10711" i="1"/>
  <c r="B10712" i="1"/>
  <c r="B10713" i="1"/>
  <c r="B10714" i="1"/>
  <c r="B10715" i="1"/>
  <c r="B10716" i="1"/>
  <c r="B10717" i="1"/>
  <c r="B10718" i="1"/>
  <c r="B10719" i="1"/>
  <c r="B10720" i="1"/>
  <c r="B10721" i="1"/>
  <c r="B10722" i="1"/>
  <c r="B10723" i="1"/>
  <c r="B10724" i="1"/>
  <c r="B10725" i="1"/>
  <c r="B10726" i="1"/>
  <c r="B10727" i="1"/>
  <c r="B10728" i="1"/>
  <c r="B10729" i="1"/>
  <c r="B10730" i="1"/>
  <c r="B10731" i="1"/>
  <c r="B10732" i="1"/>
  <c r="B10733" i="1"/>
  <c r="B10734" i="1"/>
  <c r="B10735" i="1"/>
  <c r="B10736" i="1"/>
  <c r="B10737" i="1"/>
  <c r="B10738" i="1"/>
  <c r="B10739" i="1"/>
  <c r="B10740" i="1"/>
  <c r="B10741" i="1"/>
  <c r="B10742" i="1"/>
  <c r="B10743" i="1"/>
  <c r="B10744" i="1"/>
  <c r="B10745" i="1"/>
  <c r="B10746" i="1"/>
  <c r="B10747" i="1"/>
  <c r="B10748" i="1"/>
  <c r="B10749" i="1"/>
  <c r="B10750" i="1"/>
  <c r="B10751" i="1"/>
  <c r="B10752" i="1"/>
  <c r="B10753" i="1"/>
  <c r="B10754" i="1"/>
  <c r="B10755" i="1"/>
  <c r="B10756" i="1"/>
  <c r="B10757" i="1"/>
  <c r="B10758" i="1"/>
  <c r="B10759" i="1"/>
  <c r="B10760" i="1"/>
  <c r="B10761" i="1"/>
  <c r="B10762" i="1"/>
  <c r="B10763" i="1"/>
  <c r="B10764" i="1"/>
  <c r="B10765" i="1"/>
  <c r="B10766" i="1"/>
  <c r="B10767" i="1"/>
  <c r="B10768" i="1"/>
  <c r="B10769" i="1"/>
  <c r="B10770" i="1"/>
  <c r="B10771" i="1"/>
  <c r="B10772" i="1"/>
  <c r="B10773" i="1"/>
  <c r="B10774" i="1"/>
  <c r="B10775" i="1"/>
  <c r="B10776" i="1"/>
  <c r="B10777" i="1"/>
  <c r="B10778" i="1"/>
  <c r="B10779" i="1"/>
  <c r="B10780" i="1"/>
  <c r="B10781" i="1"/>
  <c r="B10782" i="1"/>
  <c r="B10783" i="1"/>
  <c r="B10784" i="1"/>
  <c r="B10785" i="1"/>
  <c r="B10786" i="1"/>
  <c r="B10787" i="1"/>
  <c r="B10788" i="1"/>
  <c r="B10789" i="1"/>
  <c r="B10790" i="1"/>
  <c r="B10791" i="1"/>
  <c r="B10792" i="1"/>
  <c r="B10793" i="1"/>
  <c r="B10794" i="1"/>
  <c r="B10795" i="1"/>
  <c r="B10796" i="1"/>
  <c r="B10797" i="1"/>
  <c r="B10798" i="1"/>
  <c r="B10799" i="1"/>
  <c r="B10800" i="1"/>
  <c r="B10801" i="1"/>
  <c r="B10802" i="1"/>
  <c r="B10803" i="1"/>
  <c r="B10804" i="1"/>
  <c r="B10805" i="1"/>
  <c r="B10806" i="1"/>
  <c r="B10807" i="1"/>
  <c r="B10808" i="1"/>
  <c r="B10809" i="1"/>
  <c r="B10810" i="1"/>
  <c r="B10811" i="1"/>
  <c r="B10812" i="1"/>
  <c r="B10813" i="1"/>
  <c r="B10814" i="1"/>
  <c r="B10815" i="1"/>
  <c r="B10816" i="1"/>
  <c r="B10817" i="1"/>
  <c r="B10818" i="1"/>
  <c r="B10819" i="1"/>
  <c r="B10820" i="1"/>
  <c r="B10821" i="1"/>
  <c r="B10822" i="1"/>
  <c r="B10823" i="1"/>
  <c r="B10824" i="1"/>
  <c r="B10825" i="1"/>
  <c r="B10826" i="1"/>
  <c r="B10827" i="1"/>
  <c r="B10828" i="1"/>
  <c r="B10829" i="1"/>
  <c r="B10830" i="1"/>
  <c r="B10831" i="1"/>
  <c r="B10832" i="1"/>
  <c r="B10833" i="1"/>
  <c r="B10834" i="1"/>
  <c r="B10835" i="1"/>
  <c r="B10836" i="1"/>
  <c r="B10837" i="1"/>
  <c r="B10838" i="1"/>
  <c r="B10839" i="1"/>
  <c r="B10840" i="1"/>
  <c r="B10841" i="1"/>
  <c r="B10842" i="1"/>
  <c r="B10843" i="1"/>
  <c r="B10844" i="1"/>
  <c r="B10845" i="1"/>
  <c r="B10846" i="1"/>
  <c r="B10847" i="1"/>
  <c r="B10848" i="1"/>
  <c r="B10849" i="1"/>
  <c r="B10850" i="1"/>
  <c r="B10851" i="1"/>
  <c r="B10852" i="1"/>
  <c r="B10853" i="1"/>
  <c r="B10854" i="1"/>
  <c r="B10855" i="1"/>
  <c r="B10856" i="1"/>
  <c r="B10857" i="1"/>
  <c r="B10858" i="1"/>
  <c r="B10859" i="1"/>
  <c r="B10860" i="1"/>
  <c r="B10861" i="1"/>
  <c r="B10862" i="1"/>
  <c r="B10863" i="1"/>
  <c r="B10864" i="1"/>
  <c r="B10865" i="1"/>
  <c r="B10866" i="1"/>
  <c r="B10867" i="1"/>
  <c r="B10868" i="1"/>
  <c r="B10869" i="1"/>
  <c r="B10870" i="1"/>
  <c r="B10871" i="1"/>
  <c r="B10872" i="1"/>
  <c r="B10873" i="1"/>
  <c r="B10874" i="1"/>
  <c r="B10875" i="1"/>
  <c r="B10876" i="1"/>
  <c r="B10877" i="1"/>
  <c r="B10878" i="1"/>
  <c r="B10879" i="1"/>
  <c r="B10880" i="1"/>
  <c r="B10881" i="1"/>
  <c r="B10882" i="1"/>
  <c r="B10883" i="1"/>
  <c r="B10884" i="1"/>
  <c r="B10885" i="1"/>
  <c r="B10886" i="1"/>
  <c r="B10887" i="1"/>
  <c r="B10888" i="1"/>
  <c r="B10889" i="1"/>
  <c r="B10890" i="1"/>
  <c r="B10891" i="1"/>
  <c r="B10892" i="1"/>
  <c r="B10893" i="1"/>
  <c r="B10894" i="1"/>
  <c r="B10895" i="1"/>
  <c r="B10896" i="1"/>
  <c r="B10897" i="1"/>
  <c r="B10898" i="1"/>
  <c r="B10899" i="1"/>
  <c r="B10900" i="1"/>
  <c r="B10901" i="1"/>
  <c r="B10902" i="1"/>
  <c r="B10903" i="1"/>
  <c r="B10904" i="1"/>
  <c r="B10905" i="1"/>
  <c r="B10906" i="1"/>
  <c r="B10907" i="1"/>
  <c r="B10908" i="1"/>
  <c r="B10909" i="1"/>
  <c r="B10910" i="1"/>
  <c r="B10911" i="1"/>
  <c r="B10912" i="1"/>
  <c r="B10913" i="1"/>
  <c r="B10914" i="1"/>
  <c r="B10915" i="1"/>
  <c r="B10916" i="1"/>
  <c r="B10917" i="1"/>
  <c r="B10918" i="1"/>
  <c r="B10919" i="1"/>
  <c r="B10920" i="1"/>
  <c r="B10921" i="1"/>
  <c r="B10922" i="1"/>
  <c r="B10923" i="1"/>
  <c r="B10924" i="1"/>
  <c r="B10925" i="1"/>
  <c r="B10926" i="1"/>
  <c r="B10927" i="1"/>
  <c r="B10928" i="1"/>
  <c r="B10929" i="1"/>
  <c r="B10930" i="1"/>
  <c r="B10931" i="1"/>
  <c r="B10932" i="1"/>
  <c r="B10933" i="1"/>
  <c r="B10934" i="1"/>
  <c r="B10935" i="1"/>
  <c r="B10936" i="1"/>
  <c r="B10937" i="1"/>
  <c r="B10938" i="1"/>
  <c r="B10939" i="1"/>
  <c r="B10940" i="1"/>
  <c r="B10941" i="1"/>
  <c r="B10942" i="1"/>
  <c r="B10943" i="1"/>
  <c r="B10944" i="1"/>
  <c r="B10945" i="1"/>
  <c r="B10946" i="1"/>
  <c r="B10947" i="1"/>
  <c r="B10948" i="1"/>
  <c r="B10949" i="1"/>
  <c r="B10950" i="1"/>
  <c r="B10951" i="1"/>
  <c r="B10952" i="1"/>
  <c r="B10953" i="1"/>
  <c r="B10954" i="1"/>
  <c r="B10955" i="1"/>
  <c r="B10956" i="1"/>
  <c r="B10957" i="1"/>
  <c r="B10958" i="1"/>
  <c r="B10959" i="1"/>
  <c r="B10960" i="1"/>
  <c r="B10961" i="1"/>
  <c r="B10962" i="1"/>
  <c r="B10963" i="1"/>
  <c r="B10964" i="1"/>
  <c r="B10965" i="1"/>
  <c r="B10966" i="1"/>
  <c r="B10967" i="1"/>
  <c r="B10968" i="1"/>
  <c r="B10969" i="1"/>
  <c r="B10970" i="1"/>
  <c r="B10971" i="1"/>
  <c r="B10972" i="1"/>
  <c r="B10973" i="1"/>
  <c r="B10974" i="1"/>
  <c r="B10975" i="1"/>
  <c r="B10976" i="1"/>
  <c r="B10977" i="1"/>
  <c r="B10978" i="1"/>
  <c r="B10979" i="1"/>
  <c r="B10980" i="1"/>
  <c r="B10981" i="1"/>
  <c r="B10982" i="1"/>
  <c r="B10983" i="1"/>
  <c r="B10984" i="1"/>
  <c r="B10985" i="1"/>
  <c r="B10986" i="1"/>
  <c r="B10987" i="1"/>
  <c r="B10988" i="1"/>
  <c r="B10989" i="1"/>
  <c r="B10990" i="1"/>
  <c r="B10991" i="1"/>
  <c r="B10992" i="1"/>
  <c r="B10993" i="1"/>
  <c r="B10994" i="1"/>
  <c r="B10995" i="1"/>
  <c r="B10996" i="1"/>
  <c r="B10997" i="1"/>
  <c r="B10998" i="1"/>
  <c r="B10999" i="1"/>
  <c r="B11000" i="1"/>
  <c r="B11001" i="1"/>
  <c r="B11002" i="1"/>
  <c r="B11003" i="1"/>
  <c r="B11004" i="1"/>
  <c r="B11005" i="1"/>
  <c r="B11006" i="1"/>
  <c r="B11007" i="1"/>
  <c r="B11008" i="1"/>
  <c r="B11009" i="1"/>
  <c r="B11010" i="1"/>
  <c r="B11011" i="1"/>
  <c r="B11012" i="1"/>
  <c r="B11013" i="1"/>
  <c r="B11014" i="1"/>
  <c r="B11015" i="1"/>
  <c r="B11016" i="1"/>
  <c r="B11017" i="1"/>
  <c r="B11018" i="1"/>
  <c r="B11019" i="1"/>
  <c r="B11020" i="1"/>
  <c r="B11021" i="1"/>
  <c r="B11022" i="1"/>
  <c r="B11023" i="1"/>
  <c r="B11024" i="1"/>
  <c r="B11025" i="1"/>
  <c r="B11026" i="1"/>
  <c r="B11027" i="1"/>
  <c r="B11028" i="1"/>
  <c r="B11029" i="1"/>
  <c r="B11030" i="1"/>
  <c r="B11031" i="1"/>
  <c r="B11032" i="1"/>
  <c r="B11033" i="1"/>
  <c r="B11034" i="1"/>
  <c r="B11035" i="1"/>
  <c r="B11036" i="1"/>
  <c r="B11037" i="1"/>
  <c r="B11038" i="1"/>
  <c r="B11039" i="1"/>
  <c r="B11040" i="1"/>
  <c r="B11041" i="1"/>
  <c r="B11042" i="1"/>
  <c r="B11043" i="1"/>
  <c r="B11044" i="1"/>
  <c r="B11045" i="1"/>
  <c r="B11046" i="1"/>
  <c r="B11047" i="1"/>
  <c r="B11048" i="1"/>
  <c r="B11049" i="1"/>
  <c r="B11050" i="1"/>
  <c r="B11051" i="1"/>
  <c r="B11052" i="1"/>
  <c r="B11053" i="1"/>
  <c r="B11054" i="1"/>
  <c r="B11055" i="1"/>
  <c r="B11056" i="1"/>
  <c r="B11057" i="1"/>
  <c r="B11058" i="1"/>
  <c r="B11059" i="1"/>
  <c r="B11060" i="1"/>
  <c r="B11061" i="1"/>
  <c r="B11062" i="1"/>
  <c r="B11063" i="1"/>
  <c r="B11064" i="1"/>
  <c r="B11065" i="1"/>
  <c r="B11066" i="1"/>
  <c r="B11067" i="1"/>
  <c r="B11068" i="1"/>
  <c r="B11069" i="1"/>
  <c r="B11070" i="1"/>
  <c r="B11071" i="1"/>
  <c r="B11072" i="1"/>
  <c r="B11073" i="1"/>
  <c r="B11074" i="1"/>
  <c r="B11075" i="1"/>
  <c r="B11076" i="1"/>
  <c r="B11077" i="1"/>
  <c r="B11078" i="1"/>
  <c r="B11079" i="1"/>
  <c r="B11080" i="1"/>
  <c r="B11081" i="1"/>
  <c r="B11082" i="1"/>
  <c r="B11083" i="1"/>
  <c r="B11084" i="1"/>
  <c r="B11085" i="1"/>
  <c r="B11086" i="1"/>
  <c r="B11087" i="1"/>
  <c r="B11088" i="1"/>
  <c r="B11089" i="1"/>
  <c r="B11090" i="1"/>
  <c r="B11091" i="1"/>
  <c r="B11092" i="1"/>
  <c r="B11093" i="1"/>
  <c r="B11094" i="1"/>
  <c r="B11095" i="1"/>
  <c r="B11096" i="1"/>
  <c r="B11097" i="1"/>
  <c r="B11098" i="1"/>
  <c r="B11099" i="1"/>
  <c r="B11100" i="1"/>
  <c r="B11101" i="1"/>
  <c r="B11102" i="1"/>
  <c r="B11103" i="1"/>
  <c r="B11104" i="1"/>
  <c r="B11105" i="1"/>
  <c r="B11106" i="1"/>
  <c r="B11107" i="1"/>
  <c r="B11108" i="1"/>
  <c r="B11109" i="1"/>
  <c r="B11110" i="1"/>
  <c r="B11111" i="1"/>
  <c r="B11112" i="1"/>
  <c r="B11113" i="1"/>
  <c r="B11114" i="1"/>
  <c r="B11115" i="1"/>
  <c r="B11116" i="1"/>
  <c r="B11117" i="1"/>
  <c r="B11118" i="1"/>
  <c r="B11119" i="1"/>
  <c r="B11120" i="1"/>
  <c r="B11121" i="1"/>
  <c r="B11122" i="1"/>
  <c r="B11123" i="1"/>
  <c r="B11124" i="1"/>
  <c r="B11125" i="1"/>
  <c r="B11126" i="1"/>
  <c r="B11127" i="1"/>
  <c r="B11128" i="1"/>
  <c r="B11129" i="1"/>
  <c r="B11130" i="1"/>
  <c r="B11131" i="1"/>
  <c r="B11132" i="1"/>
  <c r="B11133" i="1"/>
  <c r="B11134" i="1"/>
  <c r="B11135" i="1"/>
  <c r="B11136" i="1"/>
  <c r="B11137" i="1"/>
  <c r="B11138" i="1"/>
  <c r="B11139" i="1"/>
  <c r="B11140" i="1"/>
  <c r="B11141" i="1"/>
  <c r="B11142" i="1"/>
  <c r="B11143" i="1"/>
  <c r="B11144" i="1"/>
  <c r="B11145" i="1"/>
  <c r="B11146" i="1"/>
  <c r="B11147" i="1"/>
  <c r="B11148" i="1"/>
  <c r="B11149" i="1"/>
  <c r="B11150" i="1"/>
  <c r="B11151" i="1"/>
  <c r="B11152" i="1"/>
  <c r="B11153" i="1"/>
  <c r="B11154" i="1"/>
  <c r="B11155" i="1"/>
  <c r="B11156" i="1"/>
  <c r="B11157" i="1"/>
  <c r="B11158" i="1"/>
  <c r="B11159" i="1"/>
  <c r="B11160" i="1"/>
  <c r="B11161" i="1"/>
  <c r="B11162" i="1"/>
  <c r="B11163" i="1"/>
  <c r="B11164" i="1"/>
  <c r="B11165" i="1"/>
  <c r="B11166" i="1"/>
  <c r="B11167" i="1"/>
  <c r="B11168" i="1"/>
  <c r="B11169" i="1"/>
  <c r="B11170" i="1"/>
  <c r="B11171" i="1"/>
  <c r="B11172" i="1"/>
  <c r="B11173" i="1"/>
  <c r="B11174" i="1"/>
  <c r="B11175" i="1"/>
  <c r="B11176" i="1"/>
  <c r="B11177" i="1"/>
  <c r="B11178" i="1"/>
  <c r="B11179" i="1"/>
  <c r="B11180" i="1"/>
  <c r="B11181" i="1"/>
  <c r="B11182" i="1"/>
  <c r="B11183" i="1"/>
  <c r="B11184" i="1"/>
  <c r="B11185" i="1"/>
  <c r="B11186" i="1"/>
  <c r="B11187" i="1"/>
  <c r="B11188" i="1"/>
  <c r="B11189" i="1"/>
  <c r="B11190" i="1"/>
  <c r="B11191" i="1"/>
  <c r="B11192" i="1"/>
  <c r="B11193" i="1"/>
  <c r="B11194" i="1"/>
  <c r="B11195" i="1"/>
  <c r="B11196" i="1"/>
  <c r="B11197" i="1"/>
  <c r="B11198" i="1"/>
  <c r="B11199" i="1"/>
  <c r="B11200" i="1"/>
  <c r="B11201" i="1"/>
  <c r="B11202" i="1"/>
  <c r="B11203" i="1"/>
  <c r="B11204" i="1"/>
  <c r="B11205" i="1"/>
  <c r="B11206" i="1"/>
  <c r="B11207" i="1"/>
  <c r="B11208" i="1"/>
  <c r="B11209" i="1"/>
  <c r="B11210" i="1"/>
  <c r="B11211" i="1"/>
  <c r="B11212" i="1"/>
  <c r="B11213" i="1"/>
  <c r="B11214" i="1"/>
  <c r="B11215" i="1"/>
  <c r="B11216" i="1"/>
  <c r="B11217" i="1"/>
  <c r="B11218" i="1"/>
  <c r="B11219" i="1"/>
  <c r="B11220" i="1"/>
  <c r="B11221" i="1"/>
  <c r="B11222" i="1"/>
  <c r="B11223" i="1"/>
  <c r="B11224" i="1"/>
  <c r="B11225" i="1"/>
  <c r="B11226" i="1"/>
  <c r="B11227" i="1"/>
  <c r="B11228" i="1"/>
  <c r="B11229" i="1"/>
  <c r="B11230" i="1"/>
  <c r="B11231" i="1"/>
  <c r="B11232" i="1"/>
  <c r="B11233" i="1"/>
  <c r="B11234" i="1"/>
  <c r="B11235" i="1"/>
  <c r="B11236" i="1"/>
  <c r="B11237" i="1"/>
  <c r="B11238" i="1"/>
  <c r="B11239" i="1"/>
  <c r="B11240" i="1"/>
  <c r="B11241" i="1"/>
  <c r="B11242" i="1"/>
  <c r="B11243" i="1"/>
  <c r="B11244" i="1"/>
  <c r="B11245" i="1"/>
  <c r="B11246" i="1"/>
  <c r="B11247" i="1"/>
  <c r="B11248" i="1"/>
  <c r="B11249" i="1"/>
  <c r="B11250" i="1"/>
  <c r="B11251" i="1"/>
  <c r="B11252" i="1"/>
  <c r="B11253" i="1"/>
  <c r="B11254" i="1"/>
  <c r="B11255" i="1"/>
  <c r="B11256" i="1"/>
  <c r="B11257" i="1"/>
  <c r="B11258" i="1"/>
  <c r="B11259" i="1"/>
  <c r="B11260" i="1"/>
  <c r="B11261" i="1"/>
  <c r="B11262" i="1"/>
  <c r="B11263" i="1"/>
  <c r="B11264" i="1"/>
  <c r="B11265" i="1"/>
  <c r="B11266" i="1"/>
  <c r="B11267" i="1"/>
  <c r="B11268" i="1"/>
  <c r="B11269" i="1"/>
  <c r="B11270" i="1"/>
  <c r="B11271" i="1"/>
  <c r="B11272" i="1"/>
  <c r="B11273" i="1"/>
  <c r="B11274" i="1"/>
  <c r="B11275" i="1"/>
  <c r="B11276" i="1"/>
  <c r="B11277" i="1"/>
  <c r="B11278" i="1"/>
  <c r="B11279" i="1"/>
  <c r="B11280" i="1"/>
  <c r="B11281" i="1"/>
  <c r="B11282" i="1"/>
  <c r="B11283" i="1"/>
  <c r="B11284" i="1"/>
  <c r="B11285" i="1"/>
  <c r="B11286" i="1"/>
  <c r="B11287" i="1"/>
  <c r="B11288" i="1"/>
  <c r="B11289" i="1"/>
  <c r="B11290" i="1"/>
  <c r="B11291" i="1"/>
  <c r="B11292" i="1"/>
  <c r="B11293" i="1"/>
  <c r="B11294" i="1"/>
  <c r="B11295" i="1"/>
  <c r="B11296" i="1"/>
  <c r="B11297" i="1"/>
  <c r="B11298" i="1"/>
  <c r="B11299" i="1"/>
  <c r="B11300" i="1"/>
  <c r="B11301" i="1"/>
  <c r="B11302" i="1"/>
  <c r="B11303" i="1"/>
  <c r="B11304" i="1"/>
  <c r="B11305" i="1"/>
  <c r="B11306" i="1"/>
  <c r="B11307" i="1"/>
  <c r="B11308" i="1"/>
  <c r="B11309" i="1"/>
  <c r="B11310" i="1"/>
  <c r="B11311" i="1"/>
  <c r="B11312" i="1"/>
  <c r="B11313" i="1"/>
  <c r="B11314" i="1"/>
  <c r="B11315" i="1"/>
  <c r="B11316" i="1"/>
  <c r="B11317" i="1"/>
  <c r="B11318" i="1"/>
  <c r="B11319" i="1"/>
  <c r="B11320" i="1"/>
  <c r="B11321" i="1"/>
  <c r="B11322" i="1"/>
  <c r="B11323" i="1"/>
  <c r="B11324" i="1"/>
  <c r="B11325" i="1"/>
  <c r="B11326" i="1"/>
  <c r="B11327" i="1"/>
  <c r="B11328" i="1"/>
  <c r="B11329" i="1"/>
  <c r="B11330" i="1"/>
  <c r="B11331" i="1"/>
  <c r="B11332" i="1"/>
  <c r="B11333" i="1"/>
  <c r="B11334" i="1"/>
  <c r="B11335" i="1"/>
  <c r="B11336" i="1"/>
  <c r="B11337" i="1"/>
  <c r="B11338" i="1"/>
  <c r="B11339" i="1"/>
  <c r="B11340" i="1"/>
  <c r="B11341" i="1"/>
  <c r="B11342" i="1"/>
  <c r="B11343" i="1"/>
  <c r="B11344" i="1"/>
  <c r="B11345" i="1"/>
  <c r="B11346" i="1"/>
  <c r="B11347" i="1"/>
  <c r="B11348" i="1"/>
  <c r="B11349" i="1"/>
  <c r="B11350" i="1"/>
  <c r="B11351" i="1"/>
  <c r="B11352" i="1"/>
  <c r="B11353" i="1"/>
  <c r="B11354" i="1"/>
  <c r="B11355" i="1"/>
  <c r="B11356" i="1"/>
  <c r="B11357" i="1"/>
  <c r="B11358" i="1"/>
  <c r="B11359" i="1"/>
  <c r="B11360" i="1"/>
  <c r="B11361" i="1"/>
  <c r="B11362" i="1"/>
  <c r="B11363" i="1"/>
  <c r="B11364" i="1"/>
  <c r="B11365" i="1"/>
  <c r="B11366" i="1"/>
  <c r="B11367" i="1"/>
  <c r="B11368" i="1"/>
  <c r="B11369" i="1"/>
  <c r="B11370" i="1"/>
  <c r="B11371" i="1"/>
  <c r="B11372" i="1"/>
  <c r="B11373" i="1"/>
  <c r="B11374" i="1"/>
  <c r="B11375" i="1"/>
  <c r="B11376" i="1"/>
  <c r="B11377" i="1"/>
  <c r="B11378" i="1"/>
  <c r="B11379" i="1"/>
  <c r="B11380" i="1"/>
  <c r="B11381" i="1"/>
  <c r="B11382" i="1"/>
  <c r="B11383" i="1"/>
  <c r="B11384" i="1"/>
  <c r="B11385" i="1"/>
  <c r="B11386" i="1"/>
  <c r="B11387" i="1"/>
  <c r="B11388" i="1"/>
  <c r="B11389" i="1"/>
  <c r="B11390" i="1"/>
  <c r="B11391" i="1"/>
  <c r="B11392" i="1"/>
  <c r="B11393" i="1"/>
  <c r="B11394" i="1"/>
  <c r="B11395" i="1"/>
  <c r="B11396" i="1"/>
  <c r="B11397" i="1"/>
  <c r="B11398" i="1"/>
  <c r="B11399" i="1"/>
  <c r="B11400" i="1"/>
  <c r="B11401" i="1"/>
  <c r="B11402" i="1"/>
  <c r="B11403" i="1"/>
  <c r="B11404" i="1"/>
  <c r="B11405" i="1"/>
  <c r="B11406" i="1"/>
  <c r="B11407" i="1"/>
  <c r="B11408" i="1"/>
  <c r="B11409" i="1"/>
  <c r="B11410" i="1"/>
  <c r="B11411" i="1"/>
  <c r="B11412" i="1"/>
  <c r="B11413" i="1"/>
  <c r="B11414" i="1"/>
  <c r="B11415" i="1"/>
  <c r="B11416" i="1"/>
  <c r="B11417" i="1"/>
  <c r="B11418" i="1"/>
  <c r="B11419" i="1"/>
  <c r="B11420" i="1"/>
  <c r="B11421" i="1"/>
  <c r="B11422" i="1"/>
  <c r="B11423" i="1"/>
  <c r="B11424" i="1"/>
  <c r="B11425" i="1"/>
  <c r="B11426" i="1"/>
  <c r="B11427" i="1"/>
  <c r="B11428" i="1"/>
  <c r="B11429" i="1"/>
  <c r="B11430" i="1"/>
  <c r="B11431" i="1"/>
  <c r="B11432" i="1"/>
  <c r="B11433" i="1"/>
  <c r="B11434" i="1"/>
  <c r="B11435" i="1"/>
  <c r="B11436" i="1"/>
  <c r="B11437" i="1"/>
  <c r="B11438" i="1"/>
  <c r="B11439" i="1"/>
  <c r="B11440" i="1"/>
  <c r="B11441" i="1"/>
  <c r="B11442" i="1"/>
  <c r="B11443" i="1"/>
  <c r="B11444" i="1"/>
  <c r="B11445" i="1"/>
  <c r="B11446" i="1"/>
  <c r="B11447" i="1"/>
  <c r="B11448" i="1"/>
  <c r="B11449" i="1"/>
  <c r="B11450" i="1"/>
  <c r="B11451" i="1"/>
  <c r="B11452" i="1"/>
  <c r="B11453" i="1"/>
  <c r="B11454" i="1"/>
  <c r="B11455" i="1"/>
  <c r="B11456" i="1"/>
  <c r="B11457" i="1"/>
  <c r="B11458" i="1"/>
  <c r="B11459" i="1"/>
  <c r="B11460" i="1"/>
  <c r="B11461" i="1"/>
  <c r="B11462" i="1"/>
  <c r="B11463" i="1"/>
  <c r="B11464" i="1"/>
  <c r="B11465" i="1"/>
  <c r="B11466" i="1"/>
  <c r="B11467" i="1"/>
  <c r="B11468" i="1"/>
  <c r="B11469" i="1"/>
  <c r="B11470" i="1"/>
  <c r="B11471" i="1"/>
  <c r="B11472" i="1"/>
  <c r="B11473" i="1"/>
  <c r="B11474" i="1"/>
  <c r="B11475" i="1"/>
  <c r="B11476" i="1"/>
  <c r="B11477" i="1"/>
  <c r="B11478" i="1"/>
  <c r="B11479" i="1"/>
  <c r="B11480" i="1"/>
  <c r="B11481" i="1"/>
  <c r="B11482" i="1"/>
  <c r="B11483" i="1"/>
  <c r="B11484" i="1"/>
  <c r="B11485" i="1"/>
  <c r="B11486" i="1"/>
  <c r="B11487" i="1"/>
  <c r="B11488" i="1"/>
  <c r="B11489" i="1"/>
  <c r="B11490" i="1"/>
  <c r="B11491" i="1"/>
  <c r="B11492" i="1"/>
  <c r="B11493" i="1"/>
  <c r="B11494" i="1"/>
  <c r="B11495" i="1"/>
  <c r="B11496" i="1"/>
  <c r="B11497" i="1"/>
  <c r="B11498" i="1"/>
  <c r="B11499" i="1"/>
  <c r="B11500" i="1"/>
  <c r="B11501" i="1"/>
  <c r="B11502" i="1"/>
  <c r="B11503" i="1"/>
  <c r="B11504" i="1"/>
  <c r="B11505" i="1"/>
  <c r="B11506" i="1"/>
  <c r="B11507" i="1"/>
  <c r="B11508" i="1"/>
  <c r="B11509" i="1"/>
  <c r="B11510" i="1"/>
  <c r="B11511" i="1"/>
  <c r="B11512" i="1"/>
  <c r="B11513" i="1"/>
  <c r="B11514" i="1"/>
  <c r="B11515" i="1"/>
  <c r="B11516" i="1"/>
  <c r="B11517" i="1"/>
  <c r="B11518" i="1"/>
  <c r="B11519" i="1"/>
  <c r="B11520" i="1"/>
  <c r="B11521" i="1"/>
  <c r="B11522" i="1"/>
  <c r="B11523" i="1"/>
  <c r="B11524" i="1"/>
  <c r="B11525" i="1"/>
  <c r="B11526" i="1"/>
  <c r="B11527" i="1"/>
  <c r="B11528" i="1"/>
  <c r="B11529" i="1"/>
  <c r="B11530" i="1"/>
  <c r="B11531" i="1"/>
  <c r="B11532" i="1"/>
  <c r="B11533" i="1"/>
  <c r="B11534" i="1"/>
  <c r="B11535" i="1"/>
  <c r="B11536" i="1"/>
  <c r="B11537" i="1"/>
  <c r="B11538" i="1"/>
  <c r="B11539" i="1"/>
  <c r="B11540" i="1"/>
  <c r="B11541" i="1"/>
  <c r="B11542" i="1"/>
  <c r="B11543" i="1"/>
  <c r="B11544" i="1"/>
  <c r="B11545" i="1"/>
  <c r="B11546" i="1"/>
  <c r="B11547" i="1"/>
  <c r="B11548" i="1"/>
  <c r="B11549" i="1"/>
  <c r="B11550" i="1"/>
  <c r="B11551" i="1"/>
  <c r="B11552" i="1"/>
  <c r="B11553" i="1"/>
  <c r="B11554" i="1"/>
  <c r="B11555" i="1"/>
  <c r="B11556" i="1"/>
  <c r="B11557" i="1"/>
  <c r="B11558" i="1"/>
  <c r="B11559" i="1"/>
  <c r="B11560" i="1"/>
  <c r="B11561" i="1"/>
  <c r="B11562" i="1"/>
  <c r="B11563" i="1"/>
  <c r="B11564" i="1"/>
  <c r="B11565" i="1"/>
  <c r="B11566" i="1"/>
  <c r="B11567" i="1"/>
  <c r="B11568" i="1"/>
  <c r="B11569" i="1"/>
  <c r="B11570" i="1"/>
  <c r="B11571" i="1"/>
  <c r="B11572" i="1"/>
  <c r="B11573" i="1"/>
  <c r="B11574" i="1"/>
  <c r="B11575" i="1"/>
  <c r="B11576" i="1"/>
  <c r="B11577" i="1"/>
  <c r="B11578" i="1"/>
  <c r="B11579" i="1"/>
  <c r="B11580" i="1"/>
  <c r="B11581" i="1"/>
  <c r="B11582" i="1"/>
  <c r="B11583" i="1"/>
  <c r="B11584" i="1"/>
  <c r="B11585" i="1"/>
  <c r="B11586" i="1"/>
  <c r="B11587" i="1"/>
  <c r="B11588" i="1"/>
  <c r="B11589" i="1"/>
  <c r="B11590" i="1"/>
  <c r="B11591" i="1"/>
  <c r="B11592" i="1"/>
  <c r="B11593" i="1"/>
  <c r="B11594" i="1"/>
  <c r="B11595" i="1"/>
  <c r="B11596" i="1"/>
  <c r="B11597" i="1"/>
  <c r="B11598" i="1"/>
  <c r="B11599" i="1"/>
  <c r="B11600" i="1"/>
  <c r="B11601" i="1"/>
  <c r="B11602" i="1"/>
  <c r="B11603" i="1"/>
  <c r="B11604" i="1"/>
  <c r="B11605" i="1"/>
  <c r="B11606" i="1"/>
  <c r="B11607" i="1"/>
  <c r="B11608" i="1"/>
  <c r="B11609" i="1"/>
  <c r="B11610" i="1"/>
  <c r="B11611" i="1"/>
  <c r="B11612" i="1"/>
  <c r="B11613" i="1"/>
  <c r="B11614" i="1"/>
  <c r="B11615" i="1"/>
  <c r="B11616" i="1"/>
  <c r="B11617" i="1"/>
  <c r="B11618" i="1"/>
  <c r="B11619" i="1"/>
  <c r="B11620" i="1"/>
  <c r="B11621" i="1"/>
  <c r="B11622" i="1"/>
  <c r="B11623" i="1"/>
  <c r="B11624" i="1"/>
  <c r="B11625" i="1"/>
  <c r="B11626" i="1"/>
  <c r="B11627" i="1"/>
  <c r="B11628" i="1"/>
  <c r="B11629" i="1"/>
  <c r="B11630" i="1"/>
  <c r="B11631" i="1"/>
  <c r="B11632" i="1"/>
  <c r="B11633" i="1"/>
  <c r="B11634" i="1"/>
  <c r="B11635" i="1"/>
  <c r="B11636" i="1"/>
  <c r="B11637" i="1"/>
  <c r="B11638" i="1"/>
  <c r="B11639" i="1"/>
  <c r="B11640" i="1"/>
  <c r="B11641" i="1"/>
  <c r="B11642" i="1"/>
  <c r="B11643" i="1"/>
  <c r="B11644" i="1"/>
  <c r="B11645" i="1"/>
  <c r="B11646" i="1"/>
  <c r="B11647" i="1"/>
  <c r="B11648" i="1"/>
  <c r="B11649" i="1"/>
  <c r="B11650" i="1"/>
  <c r="B11651" i="1"/>
  <c r="B11652" i="1"/>
  <c r="B11653" i="1"/>
  <c r="B11654" i="1"/>
  <c r="B11655" i="1"/>
  <c r="B11656" i="1"/>
  <c r="B11657" i="1"/>
  <c r="B11658" i="1"/>
  <c r="B11659" i="1"/>
  <c r="B11660" i="1"/>
  <c r="B11661" i="1"/>
  <c r="B11662" i="1"/>
  <c r="B11663" i="1"/>
  <c r="B11664" i="1"/>
  <c r="B11665" i="1"/>
  <c r="B11666" i="1"/>
  <c r="B11667" i="1"/>
  <c r="B11668" i="1"/>
  <c r="B11669" i="1"/>
  <c r="B11670" i="1"/>
  <c r="B11671" i="1"/>
  <c r="B11672" i="1"/>
  <c r="B11673" i="1"/>
  <c r="B11674" i="1"/>
  <c r="B11675" i="1"/>
  <c r="B11676" i="1"/>
  <c r="B11677" i="1"/>
  <c r="B11678" i="1"/>
  <c r="B11679" i="1"/>
  <c r="B11680" i="1"/>
  <c r="B11681" i="1"/>
  <c r="B11682" i="1"/>
  <c r="B11683" i="1"/>
  <c r="B11684" i="1"/>
  <c r="B11685" i="1"/>
  <c r="B11686" i="1"/>
  <c r="B11687" i="1"/>
  <c r="B11688" i="1"/>
  <c r="B11689" i="1"/>
  <c r="B11690" i="1"/>
  <c r="B11691" i="1"/>
  <c r="B11692" i="1"/>
  <c r="B11693" i="1"/>
  <c r="B11694" i="1"/>
  <c r="B11695" i="1"/>
  <c r="B11696" i="1"/>
  <c r="B11697" i="1"/>
  <c r="B11698" i="1"/>
  <c r="B11699" i="1"/>
  <c r="B11700" i="1"/>
  <c r="B11701" i="1"/>
  <c r="B11702" i="1"/>
  <c r="B11703" i="1"/>
  <c r="B11704" i="1"/>
  <c r="B11705" i="1"/>
  <c r="B11706" i="1"/>
  <c r="B11707" i="1"/>
  <c r="B11708" i="1"/>
  <c r="B11709" i="1"/>
  <c r="B11710" i="1"/>
  <c r="B11711" i="1"/>
  <c r="B11712" i="1"/>
  <c r="B11713" i="1"/>
  <c r="B11714" i="1"/>
  <c r="B11715" i="1"/>
  <c r="B11716" i="1"/>
  <c r="B11717" i="1"/>
  <c r="B11718" i="1"/>
  <c r="B11719" i="1"/>
  <c r="B11720" i="1"/>
  <c r="B11721" i="1"/>
  <c r="B11722" i="1"/>
  <c r="B11723" i="1"/>
  <c r="B11724" i="1"/>
  <c r="B11725" i="1"/>
  <c r="B11726" i="1"/>
  <c r="B11727" i="1"/>
  <c r="B11728" i="1"/>
  <c r="B11729" i="1"/>
  <c r="B11730" i="1"/>
  <c r="B11731" i="1"/>
  <c r="B11732" i="1"/>
  <c r="B11733" i="1"/>
  <c r="B11734" i="1"/>
  <c r="B11735" i="1"/>
  <c r="B11736" i="1"/>
  <c r="B11737" i="1"/>
  <c r="B11738" i="1"/>
  <c r="B11739" i="1"/>
  <c r="B11740" i="1"/>
  <c r="B11741" i="1"/>
  <c r="B11742" i="1"/>
  <c r="B11743" i="1"/>
  <c r="B11744" i="1"/>
  <c r="B11745" i="1"/>
  <c r="B11746" i="1"/>
  <c r="B11747" i="1"/>
  <c r="B11748" i="1"/>
  <c r="B11749" i="1"/>
  <c r="B11750" i="1"/>
  <c r="B11751" i="1"/>
  <c r="B11752" i="1"/>
  <c r="B11753" i="1"/>
  <c r="B11754" i="1"/>
  <c r="B11755" i="1"/>
  <c r="B11756" i="1"/>
  <c r="B11757" i="1"/>
  <c r="B11758" i="1"/>
  <c r="B11759" i="1"/>
  <c r="B11760" i="1"/>
  <c r="B11761" i="1"/>
  <c r="B11762" i="1"/>
  <c r="B11763" i="1"/>
  <c r="B11764" i="1"/>
  <c r="B11765" i="1"/>
  <c r="B11766" i="1"/>
  <c r="B11767" i="1"/>
  <c r="B11768" i="1"/>
  <c r="B11769" i="1"/>
  <c r="B11770" i="1"/>
  <c r="B11771" i="1"/>
  <c r="B11772" i="1"/>
  <c r="B11773" i="1"/>
  <c r="B11774" i="1"/>
  <c r="B11775" i="1"/>
  <c r="B11776" i="1"/>
  <c r="B11777" i="1"/>
  <c r="B11778" i="1"/>
  <c r="B11779" i="1"/>
  <c r="B11780" i="1"/>
  <c r="B11781" i="1"/>
  <c r="B11782" i="1"/>
  <c r="B11783" i="1"/>
  <c r="B11784" i="1"/>
  <c r="B11785" i="1"/>
  <c r="B11786" i="1"/>
  <c r="B11787" i="1"/>
  <c r="B11788" i="1"/>
  <c r="B11789" i="1"/>
  <c r="B11790" i="1"/>
  <c r="B11791" i="1"/>
  <c r="B11792" i="1"/>
  <c r="B11793" i="1"/>
  <c r="B11794" i="1"/>
  <c r="B11795" i="1"/>
  <c r="B11796" i="1"/>
  <c r="B11797" i="1"/>
  <c r="B11798" i="1"/>
  <c r="B11799" i="1"/>
  <c r="B11800" i="1"/>
  <c r="B11801" i="1"/>
  <c r="B11802" i="1"/>
  <c r="B11803" i="1"/>
  <c r="B11804" i="1"/>
  <c r="B11805" i="1"/>
  <c r="B11806" i="1"/>
  <c r="B11807" i="1"/>
  <c r="B11808" i="1"/>
  <c r="B11809" i="1"/>
  <c r="B11810" i="1"/>
  <c r="B11811" i="1"/>
  <c r="B11812" i="1"/>
  <c r="B11813" i="1"/>
  <c r="B11814" i="1"/>
  <c r="B11815" i="1"/>
  <c r="B11816" i="1"/>
  <c r="B11817" i="1"/>
  <c r="B11818" i="1"/>
  <c r="B11819" i="1"/>
  <c r="B11820" i="1"/>
  <c r="B11821" i="1"/>
  <c r="B11822" i="1"/>
  <c r="B11823" i="1"/>
  <c r="B11824" i="1"/>
  <c r="B11825" i="1"/>
  <c r="B11826" i="1"/>
  <c r="B11827" i="1"/>
  <c r="B11828" i="1"/>
  <c r="B11829" i="1"/>
  <c r="B11830" i="1"/>
  <c r="B11831" i="1"/>
  <c r="B11832" i="1"/>
  <c r="B11833" i="1"/>
  <c r="B11834" i="1"/>
  <c r="B11835" i="1"/>
  <c r="B11836" i="1"/>
  <c r="B11837" i="1"/>
  <c r="B11838" i="1"/>
  <c r="B11839" i="1"/>
  <c r="B11840" i="1"/>
  <c r="B11841" i="1"/>
  <c r="B11842" i="1"/>
  <c r="B11843" i="1"/>
  <c r="B11844" i="1"/>
  <c r="B11845" i="1"/>
  <c r="B11846" i="1"/>
  <c r="B11847" i="1"/>
  <c r="B11848" i="1"/>
  <c r="B11849" i="1"/>
  <c r="B11850" i="1"/>
  <c r="B11851" i="1"/>
  <c r="B11852" i="1"/>
  <c r="B11853" i="1"/>
  <c r="B11854" i="1"/>
  <c r="B11855" i="1"/>
  <c r="B11856" i="1"/>
  <c r="B11857" i="1"/>
  <c r="B11858" i="1"/>
  <c r="B11859" i="1"/>
  <c r="B11860" i="1"/>
  <c r="B11861" i="1"/>
  <c r="B11862" i="1"/>
  <c r="B11863" i="1"/>
  <c r="B11864" i="1"/>
  <c r="B11865" i="1"/>
  <c r="B11866" i="1"/>
  <c r="B11867" i="1"/>
  <c r="B11868" i="1"/>
  <c r="B11869" i="1"/>
  <c r="B11870" i="1"/>
  <c r="B11871" i="1"/>
  <c r="B11872" i="1"/>
  <c r="B11873" i="1"/>
  <c r="B11874" i="1"/>
  <c r="B11875" i="1"/>
  <c r="B11876" i="1"/>
  <c r="B11877" i="1"/>
  <c r="B11878" i="1"/>
  <c r="B11879" i="1"/>
  <c r="B11880" i="1"/>
  <c r="B11881" i="1"/>
  <c r="B11882" i="1"/>
  <c r="B11883" i="1"/>
  <c r="B11884" i="1"/>
  <c r="B11885" i="1"/>
  <c r="B11886" i="1"/>
  <c r="B11887" i="1"/>
  <c r="B11888" i="1"/>
  <c r="B11889" i="1"/>
  <c r="B11890" i="1"/>
  <c r="B11891" i="1"/>
  <c r="B11892" i="1"/>
  <c r="B11893" i="1"/>
  <c r="B11894" i="1"/>
  <c r="B11895" i="1"/>
  <c r="B11896" i="1"/>
  <c r="B11897" i="1"/>
  <c r="B11898" i="1"/>
  <c r="B11899" i="1"/>
  <c r="B11900" i="1"/>
  <c r="B11901" i="1"/>
  <c r="B11902" i="1"/>
  <c r="B11903" i="1"/>
  <c r="B11904" i="1"/>
  <c r="B11905" i="1"/>
  <c r="B11906" i="1"/>
  <c r="B11907" i="1"/>
  <c r="B11908" i="1"/>
  <c r="B11909" i="1"/>
  <c r="B11910" i="1"/>
  <c r="B11911" i="1"/>
  <c r="B11912" i="1"/>
  <c r="B11913" i="1"/>
  <c r="B11914" i="1"/>
  <c r="B11915" i="1"/>
  <c r="B11916" i="1"/>
  <c r="B11917" i="1"/>
  <c r="B11918" i="1"/>
  <c r="B11919" i="1"/>
  <c r="B11920" i="1"/>
  <c r="B11921" i="1"/>
  <c r="B11922" i="1"/>
  <c r="B11923" i="1"/>
  <c r="B11924" i="1"/>
  <c r="B11925" i="1"/>
  <c r="B11926" i="1"/>
  <c r="B11927" i="1"/>
  <c r="B11928" i="1"/>
  <c r="B11929" i="1"/>
  <c r="B11930" i="1"/>
  <c r="B11931" i="1"/>
  <c r="B11932" i="1"/>
  <c r="B11933" i="1"/>
  <c r="B11934" i="1"/>
  <c r="B11935" i="1"/>
  <c r="B11936" i="1"/>
  <c r="B11937" i="1"/>
  <c r="B11938" i="1"/>
  <c r="B11939" i="1"/>
  <c r="B11940" i="1"/>
  <c r="B11941" i="1"/>
  <c r="B11942" i="1"/>
  <c r="B11943" i="1"/>
  <c r="B11944" i="1"/>
  <c r="B11945" i="1"/>
  <c r="B11946" i="1"/>
  <c r="B11947" i="1"/>
  <c r="B11948" i="1"/>
  <c r="B11949" i="1"/>
  <c r="B11950" i="1"/>
  <c r="B11951" i="1"/>
  <c r="B11952" i="1"/>
  <c r="B11953" i="1"/>
  <c r="B11954" i="1"/>
  <c r="B11955" i="1"/>
  <c r="B11956" i="1"/>
  <c r="B11957" i="1"/>
  <c r="B11958" i="1"/>
  <c r="B11959" i="1"/>
  <c r="B11960" i="1"/>
  <c r="B11961" i="1"/>
  <c r="B11962" i="1"/>
  <c r="B11963" i="1"/>
  <c r="B11964" i="1"/>
  <c r="B11965" i="1"/>
  <c r="B11966" i="1"/>
  <c r="B11967" i="1"/>
  <c r="B11968" i="1"/>
  <c r="B11969" i="1"/>
  <c r="B11970" i="1"/>
  <c r="B11971" i="1"/>
  <c r="B11972" i="1"/>
  <c r="B11973" i="1"/>
  <c r="B11974" i="1"/>
  <c r="B11975" i="1"/>
  <c r="B11976" i="1"/>
  <c r="B11977" i="1"/>
  <c r="B11978" i="1"/>
  <c r="B11979" i="1"/>
  <c r="B11980" i="1"/>
  <c r="B11981" i="1"/>
  <c r="B11982" i="1"/>
  <c r="B11983" i="1"/>
  <c r="B11984" i="1"/>
  <c r="B11985" i="1"/>
  <c r="B11986" i="1"/>
  <c r="B11987" i="1"/>
  <c r="B11988" i="1"/>
  <c r="B11989" i="1"/>
  <c r="B11990" i="1"/>
  <c r="B11991" i="1"/>
  <c r="B11992" i="1"/>
  <c r="B11993" i="1"/>
  <c r="B11994" i="1"/>
  <c r="B11995" i="1"/>
  <c r="B11996" i="1"/>
  <c r="B11997" i="1"/>
  <c r="B11998" i="1"/>
  <c r="B11999" i="1"/>
  <c r="B12000" i="1"/>
  <c r="B12001" i="1"/>
  <c r="B12002" i="1"/>
  <c r="B12003" i="1"/>
  <c r="B12004" i="1"/>
  <c r="B12005" i="1"/>
  <c r="B12006" i="1"/>
  <c r="B12007" i="1"/>
  <c r="B12008" i="1"/>
  <c r="B12009" i="1"/>
  <c r="B12010" i="1"/>
  <c r="B12011" i="1"/>
  <c r="B12012" i="1"/>
  <c r="B12013" i="1"/>
  <c r="B12014" i="1"/>
  <c r="B12015" i="1"/>
  <c r="B12016" i="1"/>
  <c r="B12017" i="1"/>
  <c r="B12018" i="1"/>
  <c r="B12019" i="1"/>
  <c r="B12020" i="1"/>
  <c r="B12021" i="1"/>
  <c r="B12022" i="1"/>
  <c r="B12023" i="1"/>
  <c r="B12024" i="1"/>
  <c r="B12025" i="1"/>
  <c r="B12026" i="1"/>
  <c r="B12027" i="1"/>
  <c r="B12028" i="1"/>
  <c r="B12029" i="1"/>
  <c r="B12030" i="1"/>
  <c r="B12031" i="1"/>
  <c r="B12032" i="1"/>
  <c r="B12033" i="1"/>
  <c r="B12034" i="1"/>
  <c r="B12035" i="1"/>
  <c r="B12036" i="1"/>
  <c r="B12037" i="1"/>
  <c r="B12038" i="1"/>
  <c r="B12039" i="1"/>
  <c r="B12040" i="1"/>
  <c r="B12041" i="1"/>
  <c r="B12042" i="1"/>
  <c r="B12043" i="1"/>
  <c r="B12044" i="1"/>
  <c r="B12045" i="1"/>
  <c r="B12046" i="1"/>
  <c r="B12047" i="1"/>
  <c r="B12048" i="1"/>
  <c r="B12049" i="1"/>
  <c r="B12050" i="1"/>
  <c r="B12051" i="1"/>
  <c r="B12052" i="1"/>
  <c r="B12053" i="1"/>
  <c r="B12054" i="1"/>
  <c r="B12055" i="1"/>
  <c r="B12056" i="1"/>
  <c r="B12057" i="1"/>
  <c r="B12058" i="1"/>
  <c r="B12059" i="1"/>
  <c r="B12060" i="1"/>
  <c r="B12061" i="1"/>
  <c r="B12062" i="1"/>
  <c r="B12063" i="1"/>
  <c r="B12064" i="1"/>
  <c r="B12065" i="1"/>
  <c r="B12066" i="1"/>
  <c r="B12067" i="1"/>
  <c r="B12068" i="1"/>
  <c r="B12069" i="1"/>
  <c r="B12070" i="1"/>
  <c r="B12071" i="1"/>
  <c r="B12072" i="1"/>
  <c r="B12073" i="1"/>
  <c r="B12074" i="1"/>
  <c r="B12075" i="1"/>
  <c r="B12076" i="1"/>
  <c r="B12077" i="1"/>
  <c r="B12078" i="1"/>
  <c r="B12079" i="1"/>
  <c r="B12080" i="1"/>
  <c r="B12081" i="1"/>
  <c r="B12082" i="1"/>
  <c r="B12083" i="1"/>
  <c r="B12084" i="1"/>
  <c r="B12085" i="1"/>
  <c r="B12086" i="1"/>
  <c r="B12087" i="1"/>
  <c r="B12088" i="1"/>
  <c r="B12089" i="1"/>
  <c r="B12090" i="1"/>
  <c r="B12091" i="1"/>
  <c r="B12092" i="1"/>
  <c r="B12093" i="1"/>
  <c r="B12094" i="1"/>
  <c r="B12095" i="1"/>
  <c r="B12096" i="1"/>
  <c r="B12097" i="1"/>
  <c r="B12098" i="1"/>
  <c r="B12099" i="1"/>
  <c r="B12100" i="1"/>
  <c r="B12101" i="1"/>
  <c r="B12102" i="1"/>
  <c r="B12103" i="1"/>
  <c r="B12104" i="1"/>
  <c r="B12105" i="1"/>
  <c r="B12106" i="1"/>
  <c r="B12107" i="1"/>
  <c r="B12108" i="1"/>
  <c r="B12109" i="1"/>
  <c r="B12110" i="1"/>
  <c r="B12111" i="1"/>
  <c r="B12112" i="1"/>
  <c r="B12113" i="1"/>
  <c r="B12114" i="1"/>
  <c r="B12115" i="1"/>
  <c r="B12116" i="1"/>
  <c r="B12117" i="1"/>
  <c r="B12118" i="1"/>
  <c r="B12119" i="1"/>
  <c r="B12120" i="1"/>
  <c r="B12121" i="1"/>
  <c r="B12122" i="1"/>
  <c r="B12123" i="1"/>
  <c r="B12124" i="1"/>
  <c r="B12125" i="1"/>
  <c r="B12126" i="1"/>
  <c r="B12127" i="1"/>
  <c r="B12128" i="1"/>
  <c r="B12129" i="1"/>
  <c r="B12130" i="1"/>
  <c r="B12131" i="1"/>
  <c r="B12132" i="1"/>
  <c r="B12133" i="1"/>
  <c r="B12134" i="1"/>
  <c r="B12135" i="1"/>
  <c r="B12136" i="1"/>
  <c r="B12137" i="1"/>
  <c r="B12138" i="1"/>
  <c r="B12139" i="1"/>
  <c r="B12140" i="1"/>
  <c r="B12141" i="1"/>
  <c r="B12142" i="1"/>
  <c r="B12143" i="1"/>
  <c r="B12144" i="1"/>
  <c r="B12145" i="1"/>
  <c r="B12146" i="1"/>
  <c r="B12147" i="1"/>
  <c r="B12148" i="1"/>
  <c r="B12149" i="1"/>
  <c r="B12150" i="1"/>
  <c r="B12151" i="1"/>
  <c r="B12152" i="1"/>
  <c r="B12153" i="1"/>
  <c r="B12154" i="1"/>
  <c r="B12155" i="1"/>
  <c r="B12156" i="1"/>
  <c r="B12157" i="1"/>
  <c r="B12158" i="1"/>
  <c r="B12159" i="1"/>
  <c r="B12160" i="1"/>
  <c r="B12161" i="1"/>
  <c r="B12162" i="1"/>
  <c r="B12163" i="1"/>
  <c r="B12164" i="1"/>
  <c r="B12165" i="1"/>
  <c r="B12166" i="1"/>
  <c r="B12167" i="1"/>
  <c r="B12168" i="1"/>
  <c r="B12169" i="1"/>
  <c r="B12170" i="1"/>
  <c r="B12171" i="1"/>
  <c r="B12172" i="1"/>
  <c r="B12173" i="1"/>
  <c r="B12174" i="1"/>
  <c r="B12175" i="1"/>
  <c r="B12176" i="1"/>
  <c r="B12177" i="1"/>
  <c r="B12178" i="1"/>
  <c r="B12179" i="1"/>
  <c r="B12180" i="1"/>
  <c r="B12181" i="1"/>
  <c r="B12182" i="1"/>
  <c r="B12183" i="1"/>
  <c r="B12184" i="1"/>
  <c r="B12185" i="1"/>
  <c r="B12186" i="1"/>
  <c r="B12187" i="1"/>
  <c r="B12188" i="1"/>
  <c r="B12189" i="1"/>
  <c r="B12190" i="1"/>
  <c r="B12191" i="1"/>
  <c r="B12192" i="1"/>
  <c r="B12193" i="1"/>
  <c r="B12194" i="1"/>
  <c r="B12195" i="1"/>
  <c r="B12196" i="1"/>
  <c r="B12197" i="1"/>
  <c r="B12198" i="1"/>
  <c r="B12199" i="1"/>
  <c r="B12200" i="1"/>
  <c r="B12201" i="1"/>
  <c r="B12202" i="1"/>
  <c r="B12203" i="1"/>
  <c r="B12204" i="1"/>
  <c r="B12205" i="1"/>
  <c r="B12206" i="1"/>
  <c r="B12207" i="1"/>
  <c r="B12208" i="1"/>
  <c r="B12209" i="1"/>
  <c r="B12210" i="1"/>
  <c r="B12211" i="1"/>
  <c r="B12212" i="1"/>
  <c r="B12213" i="1"/>
  <c r="B12214" i="1"/>
  <c r="B12215" i="1"/>
  <c r="B12216" i="1"/>
  <c r="B12217" i="1"/>
  <c r="B12218" i="1"/>
  <c r="B12219" i="1"/>
  <c r="B12220" i="1"/>
  <c r="B12221" i="1"/>
  <c r="B12222" i="1"/>
  <c r="B12223" i="1"/>
  <c r="B12224" i="1"/>
  <c r="B12225" i="1"/>
  <c r="B12226" i="1"/>
  <c r="B12227" i="1"/>
  <c r="B12228" i="1"/>
  <c r="B12229" i="1"/>
  <c r="B12230" i="1"/>
  <c r="B12231" i="1"/>
  <c r="B12232" i="1"/>
  <c r="B12233" i="1"/>
  <c r="B12234" i="1"/>
  <c r="B12235" i="1"/>
  <c r="B12236" i="1"/>
  <c r="B12237" i="1"/>
  <c r="B12238" i="1"/>
  <c r="B12239" i="1"/>
  <c r="B12240" i="1"/>
  <c r="B12241" i="1"/>
  <c r="B12242" i="1"/>
  <c r="B12243" i="1"/>
  <c r="B12244" i="1"/>
  <c r="B12245" i="1"/>
  <c r="B12246" i="1"/>
  <c r="B12247" i="1"/>
  <c r="B12248" i="1"/>
  <c r="B12249" i="1"/>
  <c r="B12250" i="1"/>
  <c r="B12251" i="1"/>
  <c r="B12252" i="1"/>
  <c r="B12253" i="1"/>
  <c r="B12254" i="1"/>
  <c r="B12255" i="1"/>
  <c r="B12256" i="1"/>
  <c r="B12257" i="1"/>
  <c r="B12258" i="1"/>
  <c r="B12259" i="1"/>
  <c r="B12260" i="1"/>
  <c r="B12261" i="1"/>
  <c r="B12262" i="1"/>
  <c r="B12263" i="1"/>
  <c r="B12264" i="1"/>
  <c r="B12265" i="1"/>
  <c r="B12266" i="1"/>
  <c r="B12267" i="1"/>
  <c r="B12268" i="1"/>
  <c r="B12269" i="1"/>
  <c r="B12270" i="1"/>
  <c r="B12271" i="1"/>
  <c r="B12272" i="1"/>
  <c r="B12273" i="1"/>
  <c r="B12274" i="1"/>
  <c r="B12275" i="1"/>
  <c r="B12276" i="1"/>
  <c r="B12277" i="1"/>
  <c r="B12278" i="1"/>
  <c r="B12279" i="1"/>
  <c r="B12280" i="1"/>
  <c r="B12281" i="1"/>
  <c r="B12282" i="1"/>
  <c r="B12283" i="1"/>
  <c r="B12284" i="1"/>
  <c r="B12285" i="1"/>
  <c r="B12286" i="1"/>
  <c r="B12287" i="1"/>
  <c r="B12288" i="1"/>
  <c r="B12289" i="1"/>
  <c r="B12290" i="1"/>
  <c r="B12291" i="1"/>
  <c r="B12292" i="1"/>
  <c r="B12293" i="1"/>
  <c r="B12294" i="1"/>
  <c r="B12295" i="1"/>
  <c r="B12296" i="1"/>
  <c r="B12297" i="1"/>
  <c r="B12298" i="1"/>
  <c r="B12299" i="1"/>
  <c r="B12300" i="1"/>
  <c r="B12301" i="1"/>
  <c r="B12302" i="1"/>
  <c r="B12303" i="1"/>
  <c r="B12304" i="1"/>
  <c r="B12305" i="1"/>
  <c r="B12306" i="1"/>
  <c r="B12307" i="1"/>
  <c r="B12308" i="1"/>
  <c r="B12309" i="1"/>
  <c r="B12310" i="1"/>
  <c r="B12311" i="1"/>
  <c r="B12312" i="1"/>
  <c r="B12313" i="1"/>
  <c r="B12314" i="1"/>
  <c r="B12315" i="1"/>
  <c r="B12316" i="1"/>
  <c r="B12317" i="1"/>
  <c r="B12318" i="1"/>
  <c r="B12319" i="1"/>
  <c r="B12320" i="1"/>
  <c r="B12321" i="1"/>
  <c r="B12322" i="1"/>
  <c r="B12323" i="1"/>
  <c r="B12324" i="1"/>
  <c r="B12325" i="1"/>
  <c r="B12326" i="1"/>
  <c r="B12327" i="1"/>
  <c r="B12328" i="1"/>
  <c r="B12329" i="1"/>
  <c r="B12330" i="1"/>
  <c r="B12331" i="1"/>
  <c r="B12332" i="1"/>
  <c r="B12333" i="1"/>
  <c r="B12334" i="1"/>
  <c r="B12335" i="1"/>
  <c r="B12336" i="1"/>
  <c r="B12337" i="1"/>
  <c r="B12338" i="1"/>
  <c r="B12339" i="1"/>
  <c r="B12340" i="1"/>
  <c r="B12341" i="1"/>
  <c r="B12342" i="1"/>
  <c r="B12343" i="1"/>
  <c r="B12344" i="1"/>
  <c r="B12345" i="1"/>
  <c r="B12346" i="1"/>
  <c r="B12347" i="1"/>
  <c r="B12348" i="1"/>
  <c r="B12349" i="1"/>
  <c r="B12350" i="1"/>
  <c r="B12351" i="1"/>
  <c r="B12352" i="1"/>
  <c r="B12353" i="1"/>
  <c r="B12354" i="1"/>
  <c r="B12355" i="1"/>
  <c r="B12356" i="1"/>
  <c r="B12357" i="1"/>
  <c r="B12358" i="1"/>
  <c r="B12359" i="1"/>
  <c r="B12360" i="1"/>
  <c r="B12361" i="1"/>
  <c r="B12362" i="1"/>
  <c r="B12363" i="1"/>
  <c r="B12364" i="1"/>
  <c r="B12365" i="1"/>
  <c r="B12366" i="1"/>
  <c r="B12367" i="1"/>
  <c r="B12368" i="1"/>
  <c r="B12369" i="1"/>
  <c r="B12370" i="1"/>
  <c r="B12371" i="1"/>
  <c r="B12372" i="1"/>
  <c r="B12373" i="1"/>
  <c r="B12374" i="1"/>
  <c r="B12375" i="1"/>
  <c r="B12376" i="1"/>
  <c r="B12377" i="1"/>
  <c r="B12378" i="1"/>
  <c r="B12379" i="1"/>
  <c r="B12380" i="1"/>
  <c r="B12381" i="1"/>
  <c r="B12382" i="1"/>
  <c r="B12383" i="1"/>
  <c r="B12384" i="1"/>
  <c r="B12385" i="1"/>
  <c r="B12386" i="1"/>
  <c r="B12387" i="1"/>
  <c r="B12388" i="1"/>
  <c r="B12389" i="1"/>
  <c r="B12390" i="1"/>
  <c r="B12391" i="1"/>
  <c r="B12392" i="1"/>
  <c r="B12393" i="1"/>
  <c r="B12394" i="1"/>
  <c r="B12395" i="1"/>
  <c r="B12396" i="1"/>
  <c r="B12397" i="1"/>
  <c r="B12398" i="1"/>
  <c r="B12399" i="1"/>
  <c r="B12400" i="1"/>
  <c r="B12401" i="1"/>
  <c r="B12402" i="1"/>
  <c r="B12403" i="1"/>
  <c r="B12404" i="1"/>
  <c r="B12405" i="1"/>
  <c r="B12406" i="1"/>
  <c r="B12407" i="1"/>
  <c r="B12408" i="1"/>
  <c r="B12409" i="1"/>
  <c r="B12410" i="1"/>
  <c r="B12411" i="1"/>
  <c r="B12412" i="1"/>
  <c r="B12413" i="1"/>
  <c r="B12414" i="1"/>
  <c r="B12415" i="1"/>
  <c r="B12416" i="1"/>
  <c r="B12417" i="1"/>
  <c r="B12418" i="1"/>
  <c r="B12419" i="1"/>
  <c r="B12420" i="1"/>
  <c r="B12421" i="1"/>
  <c r="B12422" i="1"/>
  <c r="B12423" i="1"/>
  <c r="B12424" i="1"/>
  <c r="B12425" i="1"/>
  <c r="B12426" i="1"/>
  <c r="B12427" i="1"/>
  <c r="B12428" i="1"/>
  <c r="B12429" i="1"/>
  <c r="B12430" i="1"/>
  <c r="B12431" i="1"/>
  <c r="B12432" i="1"/>
  <c r="B12433" i="1"/>
  <c r="B12434" i="1"/>
  <c r="B12435" i="1"/>
  <c r="B12436" i="1"/>
  <c r="B12437" i="1"/>
  <c r="B12438" i="1"/>
  <c r="B12439" i="1"/>
  <c r="B12440" i="1"/>
  <c r="B12441" i="1"/>
  <c r="B12442" i="1"/>
  <c r="B12443" i="1"/>
  <c r="B12444" i="1"/>
  <c r="B12445" i="1"/>
  <c r="B12446" i="1"/>
  <c r="B12447" i="1"/>
  <c r="B12448" i="1"/>
  <c r="B12449" i="1"/>
  <c r="B12450" i="1"/>
  <c r="B12451" i="1"/>
  <c r="B12452" i="1"/>
  <c r="B12453" i="1"/>
  <c r="B12454" i="1"/>
  <c r="B12455" i="1"/>
  <c r="B12456" i="1"/>
  <c r="B12457" i="1"/>
  <c r="B12458" i="1"/>
  <c r="B12459" i="1"/>
  <c r="B12460" i="1"/>
  <c r="B12461" i="1"/>
  <c r="B12462" i="1"/>
  <c r="B12463" i="1"/>
  <c r="B12464" i="1"/>
  <c r="B12465" i="1"/>
  <c r="B12466" i="1"/>
  <c r="B12467" i="1"/>
  <c r="B12468" i="1"/>
  <c r="B12469" i="1"/>
  <c r="B12470" i="1"/>
  <c r="B12471" i="1"/>
  <c r="B12472" i="1"/>
  <c r="B12473" i="1"/>
  <c r="B12474" i="1"/>
  <c r="B12475" i="1"/>
  <c r="B12476" i="1"/>
  <c r="B12477" i="1"/>
  <c r="B12478" i="1"/>
  <c r="B12479" i="1"/>
  <c r="B12480" i="1"/>
  <c r="B12481" i="1"/>
  <c r="B12482" i="1"/>
  <c r="B12483" i="1"/>
  <c r="B12484" i="1"/>
  <c r="B12485" i="1"/>
  <c r="B12486" i="1"/>
  <c r="B12487" i="1"/>
  <c r="B12488" i="1"/>
  <c r="B12489" i="1"/>
  <c r="B12490" i="1"/>
  <c r="B12491" i="1"/>
  <c r="B12492" i="1"/>
  <c r="B12493" i="1"/>
  <c r="B12494" i="1"/>
  <c r="B12495" i="1"/>
  <c r="B12496" i="1"/>
  <c r="B12497" i="1"/>
  <c r="B12498" i="1"/>
  <c r="B12499" i="1"/>
  <c r="B12500" i="1"/>
  <c r="B12501" i="1"/>
  <c r="B12502" i="1"/>
  <c r="B12503" i="1"/>
  <c r="B12504" i="1"/>
  <c r="B12505" i="1"/>
  <c r="B12506" i="1"/>
  <c r="B12507" i="1"/>
  <c r="B12508" i="1"/>
  <c r="B12509" i="1"/>
  <c r="B12510" i="1"/>
  <c r="B12511" i="1"/>
  <c r="B12512" i="1"/>
  <c r="B12513" i="1"/>
  <c r="B12514" i="1"/>
  <c r="B12515" i="1"/>
  <c r="B12516" i="1"/>
  <c r="B12517" i="1"/>
  <c r="B12518" i="1"/>
  <c r="B12519" i="1"/>
  <c r="B12520" i="1"/>
  <c r="B12521" i="1"/>
  <c r="B12522" i="1"/>
  <c r="B12523" i="1"/>
  <c r="B12524" i="1"/>
  <c r="B12525" i="1"/>
  <c r="B12526" i="1"/>
  <c r="B12527" i="1"/>
  <c r="B12528" i="1"/>
  <c r="B12529" i="1"/>
  <c r="B12530" i="1"/>
  <c r="B12531" i="1"/>
  <c r="B12532" i="1"/>
  <c r="B12533" i="1"/>
  <c r="B12534" i="1"/>
  <c r="B12535" i="1"/>
  <c r="B12536" i="1"/>
  <c r="B12537" i="1"/>
  <c r="B12538" i="1"/>
  <c r="B12539" i="1"/>
  <c r="B12540" i="1"/>
  <c r="B12541" i="1"/>
  <c r="B12542" i="1"/>
  <c r="B12543" i="1"/>
  <c r="B12544" i="1"/>
  <c r="B12545" i="1"/>
  <c r="B12546" i="1"/>
  <c r="B12547" i="1"/>
  <c r="B12548" i="1"/>
  <c r="B12549" i="1"/>
  <c r="B12550" i="1"/>
  <c r="B12551" i="1"/>
  <c r="B12552" i="1"/>
  <c r="B12553" i="1"/>
  <c r="B12554" i="1"/>
  <c r="B12555" i="1"/>
  <c r="B12556" i="1"/>
  <c r="B12557" i="1"/>
  <c r="B12558" i="1"/>
  <c r="B12559" i="1"/>
  <c r="B12560" i="1"/>
  <c r="B12561" i="1"/>
  <c r="B12562" i="1"/>
  <c r="B12563" i="1"/>
  <c r="B12564" i="1"/>
  <c r="B12565" i="1"/>
  <c r="B12566" i="1"/>
  <c r="B12567" i="1"/>
  <c r="B12568" i="1"/>
  <c r="B12569" i="1"/>
  <c r="B12570" i="1"/>
  <c r="B12571" i="1"/>
  <c r="B12572" i="1"/>
  <c r="B12573" i="1"/>
  <c r="B12574" i="1"/>
  <c r="B12575" i="1"/>
  <c r="B12576" i="1"/>
  <c r="B12577" i="1"/>
  <c r="B12578" i="1"/>
  <c r="B12579" i="1"/>
  <c r="B12580" i="1"/>
  <c r="B12581" i="1"/>
  <c r="B12582" i="1"/>
  <c r="B12583" i="1"/>
  <c r="B12584" i="1"/>
  <c r="B12585" i="1"/>
  <c r="B12586" i="1"/>
  <c r="B12587" i="1"/>
  <c r="B12588" i="1"/>
  <c r="B12589" i="1"/>
  <c r="B12590" i="1"/>
  <c r="B12591" i="1"/>
  <c r="B12592" i="1"/>
  <c r="B12593" i="1"/>
  <c r="B12594" i="1"/>
  <c r="B12595" i="1"/>
  <c r="B12596" i="1"/>
  <c r="B12597" i="1"/>
  <c r="B12598" i="1"/>
  <c r="B12599" i="1"/>
  <c r="B12600" i="1"/>
  <c r="B12601" i="1"/>
  <c r="B12602" i="1"/>
  <c r="B12603" i="1"/>
  <c r="B12604" i="1"/>
  <c r="B12605" i="1"/>
  <c r="B12606" i="1"/>
  <c r="B12607" i="1"/>
  <c r="B12608" i="1"/>
  <c r="B12609" i="1"/>
  <c r="B12610" i="1"/>
  <c r="B12611" i="1"/>
  <c r="B12612" i="1"/>
  <c r="B12613" i="1"/>
  <c r="B12614" i="1"/>
  <c r="B12615" i="1"/>
  <c r="B12616" i="1"/>
  <c r="B12617" i="1"/>
  <c r="B12618" i="1"/>
  <c r="B12619" i="1"/>
  <c r="B12620" i="1"/>
  <c r="B12621" i="1"/>
  <c r="B12622" i="1"/>
  <c r="B12623" i="1"/>
  <c r="B12624" i="1"/>
  <c r="B12625" i="1"/>
  <c r="B12626" i="1"/>
  <c r="B12627" i="1"/>
  <c r="B12628" i="1"/>
  <c r="B12629" i="1"/>
  <c r="B12630" i="1"/>
  <c r="B12631" i="1"/>
  <c r="B12632" i="1"/>
  <c r="B12633" i="1"/>
  <c r="B12634" i="1"/>
  <c r="B12635" i="1"/>
  <c r="B12636" i="1"/>
  <c r="B12637" i="1"/>
  <c r="B12638" i="1"/>
  <c r="B12639" i="1"/>
  <c r="B12640" i="1"/>
  <c r="B12641" i="1"/>
  <c r="B12642" i="1"/>
  <c r="B12643" i="1"/>
  <c r="B12644" i="1"/>
  <c r="B12645" i="1"/>
  <c r="B12646" i="1"/>
  <c r="B12647" i="1"/>
  <c r="B12648" i="1"/>
  <c r="B12649" i="1"/>
  <c r="B12650" i="1"/>
  <c r="B12651" i="1"/>
  <c r="B12652" i="1"/>
  <c r="B12653" i="1"/>
  <c r="B12654" i="1"/>
  <c r="B12655" i="1"/>
  <c r="B12656" i="1"/>
  <c r="B12657" i="1"/>
  <c r="B12658" i="1"/>
  <c r="B12659" i="1"/>
  <c r="B12660" i="1"/>
  <c r="B12661" i="1"/>
  <c r="B12662" i="1"/>
  <c r="B12663" i="1"/>
  <c r="B12664" i="1"/>
  <c r="B12665" i="1"/>
  <c r="B12666" i="1"/>
  <c r="B12667" i="1"/>
  <c r="B12668" i="1"/>
  <c r="B12669" i="1"/>
  <c r="B12670" i="1"/>
  <c r="B12671" i="1"/>
  <c r="B12672" i="1"/>
  <c r="B12673" i="1"/>
  <c r="B12674" i="1"/>
  <c r="B12675" i="1"/>
  <c r="B12676" i="1"/>
  <c r="B12677" i="1"/>
  <c r="B12678" i="1"/>
  <c r="B12679" i="1"/>
  <c r="B12680" i="1"/>
  <c r="B12681" i="1"/>
  <c r="B12682" i="1"/>
  <c r="B12683" i="1"/>
  <c r="B12684" i="1"/>
  <c r="B12685" i="1"/>
  <c r="B12686" i="1"/>
  <c r="B12687" i="1"/>
  <c r="B12688" i="1"/>
  <c r="B12689" i="1"/>
  <c r="B12690" i="1"/>
  <c r="B12691" i="1"/>
  <c r="B12692" i="1"/>
  <c r="B12693" i="1"/>
  <c r="B12694" i="1"/>
  <c r="B12695" i="1"/>
  <c r="B12696" i="1"/>
  <c r="B12697" i="1"/>
  <c r="B12698" i="1"/>
  <c r="B12699" i="1"/>
  <c r="B12700" i="1"/>
  <c r="B12701" i="1"/>
  <c r="B12702" i="1"/>
  <c r="B12703" i="1"/>
  <c r="B12704" i="1"/>
  <c r="B12705" i="1"/>
  <c r="B12706" i="1"/>
  <c r="B12707" i="1"/>
  <c r="B12708" i="1"/>
  <c r="B12709" i="1"/>
  <c r="B12710" i="1"/>
  <c r="B12711" i="1"/>
  <c r="B12712" i="1"/>
  <c r="B12713" i="1"/>
  <c r="B12714" i="1"/>
  <c r="B12715" i="1"/>
  <c r="B12716" i="1"/>
  <c r="B12717" i="1"/>
  <c r="B12718" i="1"/>
  <c r="B12719" i="1"/>
  <c r="B12720" i="1"/>
  <c r="B12721" i="1"/>
  <c r="B12722" i="1"/>
  <c r="B12723" i="1"/>
  <c r="B12724" i="1"/>
  <c r="B12725" i="1"/>
  <c r="B12726" i="1"/>
  <c r="B12727" i="1"/>
  <c r="B12728" i="1"/>
  <c r="B12729" i="1"/>
  <c r="B12730" i="1"/>
  <c r="B12731" i="1"/>
  <c r="B12732" i="1"/>
  <c r="B12733" i="1"/>
  <c r="B12734" i="1"/>
  <c r="B12735" i="1"/>
  <c r="B12736" i="1"/>
  <c r="B12737" i="1"/>
  <c r="B12738" i="1"/>
  <c r="B12739" i="1"/>
  <c r="B12740" i="1"/>
  <c r="B12741" i="1"/>
  <c r="B12742" i="1"/>
  <c r="B12743" i="1"/>
  <c r="B12744" i="1"/>
  <c r="B12745" i="1"/>
  <c r="B12746" i="1"/>
  <c r="B12747" i="1"/>
  <c r="B12748" i="1"/>
  <c r="B12749" i="1"/>
  <c r="B12750" i="1"/>
  <c r="B12751" i="1"/>
  <c r="B12752" i="1"/>
  <c r="B12753" i="1"/>
  <c r="B12754" i="1"/>
  <c r="B12755" i="1"/>
  <c r="B12756" i="1"/>
  <c r="B12757" i="1"/>
  <c r="B12758" i="1"/>
  <c r="B12759" i="1"/>
  <c r="B12760" i="1"/>
  <c r="B12761" i="1"/>
  <c r="B12762" i="1"/>
  <c r="B12763" i="1"/>
  <c r="B12764" i="1"/>
  <c r="B12765" i="1"/>
  <c r="B12766" i="1"/>
  <c r="B12767" i="1"/>
  <c r="B12768" i="1"/>
  <c r="B12769" i="1"/>
  <c r="B12770" i="1"/>
  <c r="B12771" i="1"/>
  <c r="B12772" i="1"/>
  <c r="B12773" i="1"/>
  <c r="B12774" i="1"/>
  <c r="B12775" i="1"/>
  <c r="B12776" i="1"/>
  <c r="B12777" i="1"/>
  <c r="B12778" i="1"/>
  <c r="B12779" i="1"/>
  <c r="B12780" i="1"/>
  <c r="B12781" i="1"/>
  <c r="B12782" i="1"/>
  <c r="B12783" i="1"/>
  <c r="B12784" i="1"/>
  <c r="B12785" i="1"/>
  <c r="B12786" i="1"/>
  <c r="B12787" i="1"/>
  <c r="B12788" i="1"/>
  <c r="B12789" i="1"/>
  <c r="B12790" i="1"/>
  <c r="B12791" i="1"/>
  <c r="B12792" i="1"/>
  <c r="B12793" i="1"/>
  <c r="B12794" i="1"/>
  <c r="B12795" i="1"/>
  <c r="B12796" i="1"/>
  <c r="B12797" i="1"/>
  <c r="B12798" i="1"/>
  <c r="B12799" i="1"/>
  <c r="B12800" i="1"/>
  <c r="B12801" i="1"/>
  <c r="B12802" i="1"/>
  <c r="B12803" i="1"/>
  <c r="B12804" i="1"/>
  <c r="B12805" i="1"/>
  <c r="B12806" i="1"/>
  <c r="B12807" i="1"/>
  <c r="B12808" i="1"/>
  <c r="B12809" i="1"/>
  <c r="B12810" i="1"/>
  <c r="B12811" i="1"/>
  <c r="B12812" i="1"/>
  <c r="B12813" i="1"/>
  <c r="B12814" i="1"/>
  <c r="B12815" i="1"/>
  <c r="B12816" i="1"/>
  <c r="B12817" i="1"/>
  <c r="B12818" i="1"/>
  <c r="B12819" i="1"/>
  <c r="B12820" i="1"/>
  <c r="B12821" i="1"/>
  <c r="B12822" i="1"/>
  <c r="B12823" i="1"/>
  <c r="B12824" i="1"/>
  <c r="B12825" i="1"/>
  <c r="B12826" i="1"/>
  <c r="B12827" i="1"/>
  <c r="B12828" i="1"/>
  <c r="B12829" i="1"/>
  <c r="B12830" i="1"/>
  <c r="B12831" i="1"/>
  <c r="B12832" i="1"/>
  <c r="B12833" i="1"/>
  <c r="B12834" i="1"/>
  <c r="B12835" i="1"/>
  <c r="B12836" i="1"/>
  <c r="B12837" i="1"/>
  <c r="B12838" i="1"/>
  <c r="B12839" i="1"/>
  <c r="B12840" i="1"/>
  <c r="B12841" i="1"/>
  <c r="B12842" i="1"/>
  <c r="B12843" i="1"/>
  <c r="B12844" i="1"/>
  <c r="B12845" i="1"/>
  <c r="B12846" i="1"/>
  <c r="B12847" i="1"/>
  <c r="B12848" i="1"/>
  <c r="B12849" i="1"/>
  <c r="B12850" i="1"/>
  <c r="B12851" i="1"/>
  <c r="B12852" i="1"/>
  <c r="B12853" i="1"/>
  <c r="B12854" i="1"/>
  <c r="B12855" i="1"/>
  <c r="B12856" i="1"/>
  <c r="B12857" i="1"/>
  <c r="B12858" i="1"/>
  <c r="B12859" i="1"/>
  <c r="B12860" i="1"/>
  <c r="B12861" i="1"/>
  <c r="B12862" i="1"/>
  <c r="B12863" i="1"/>
  <c r="B12864" i="1"/>
  <c r="B12865" i="1"/>
  <c r="B12866" i="1"/>
  <c r="B12867" i="1"/>
  <c r="B12868" i="1"/>
  <c r="B12869" i="1"/>
  <c r="B12870" i="1"/>
  <c r="B12871" i="1"/>
  <c r="B12872" i="1"/>
  <c r="B12873" i="1"/>
  <c r="B12874" i="1"/>
  <c r="B12875" i="1"/>
  <c r="B12876" i="1"/>
  <c r="B12877" i="1"/>
  <c r="B12878" i="1"/>
  <c r="B12879" i="1"/>
  <c r="B12880" i="1"/>
  <c r="B12881" i="1"/>
  <c r="B12882" i="1"/>
  <c r="B12883" i="1"/>
  <c r="B12884" i="1"/>
  <c r="B12885" i="1"/>
  <c r="B12886" i="1"/>
  <c r="B12887" i="1"/>
  <c r="B12888" i="1"/>
  <c r="B12889" i="1"/>
  <c r="B12890" i="1"/>
  <c r="B12891" i="1"/>
  <c r="B12892" i="1"/>
  <c r="B12893" i="1"/>
  <c r="B12894" i="1"/>
  <c r="B12895" i="1"/>
  <c r="B12896" i="1"/>
  <c r="B12897" i="1"/>
  <c r="B12898" i="1"/>
  <c r="B12899" i="1"/>
  <c r="B12900" i="1"/>
  <c r="B12901" i="1"/>
  <c r="B12902" i="1"/>
  <c r="B12903" i="1"/>
  <c r="B12904" i="1"/>
  <c r="B12905" i="1"/>
  <c r="B12906" i="1"/>
  <c r="B12907" i="1"/>
  <c r="B12908" i="1"/>
  <c r="B12909" i="1"/>
  <c r="B12910" i="1"/>
  <c r="B12911" i="1"/>
  <c r="B12912" i="1"/>
  <c r="B12913" i="1"/>
  <c r="B12914" i="1"/>
  <c r="B12915" i="1"/>
  <c r="B12916" i="1"/>
  <c r="B12917" i="1"/>
  <c r="B12918" i="1"/>
  <c r="B12919" i="1"/>
  <c r="B12920" i="1"/>
  <c r="B12921" i="1"/>
  <c r="B12922" i="1"/>
  <c r="B12923" i="1"/>
  <c r="B12924" i="1"/>
  <c r="B12925" i="1"/>
  <c r="B12926" i="1"/>
  <c r="B12927" i="1"/>
  <c r="B12928" i="1"/>
  <c r="B12929" i="1"/>
  <c r="B12930" i="1"/>
  <c r="B12931" i="1"/>
  <c r="B12932" i="1"/>
  <c r="B12933" i="1"/>
  <c r="B12934" i="1"/>
  <c r="B12935" i="1"/>
  <c r="B12936" i="1"/>
  <c r="B12937" i="1"/>
  <c r="B12938" i="1"/>
  <c r="B12939" i="1"/>
  <c r="B12940" i="1"/>
  <c r="B12941" i="1"/>
  <c r="B12942" i="1"/>
  <c r="B12943" i="1"/>
  <c r="B12944" i="1"/>
  <c r="B12945" i="1"/>
  <c r="B12946" i="1"/>
  <c r="B12947" i="1"/>
  <c r="B12948" i="1"/>
  <c r="B12949" i="1"/>
  <c r="B12950" i="1"/>
  <c r="B12951" i="1"/>
  <c r="B12952" i="1"/>
  <c r="B12953" i="1"/>
  <c r="B12954" i="1"/>
  <c r="B12955" i="1"/>
  <c r="B12956" i="1"/>
  <c r="B12957" i="1"/>
  <c r="B12958" i="1"/>
  <c r="B12959" i="1"/>
  <c r="B12960" i="1"/>
  <c r="B12961" i="1"/>
  <c r="B12962" i="1"/>
  <c r="B12963" i="1"/>
  <c r="B12964" i="1"/>
  <c r="B12965" i="1"/>
  <c r="B12966" i="1"/>
  <c r="B12967" i="1"/>
  <c r="B12968" i="1"/>
  <c r="B12969" i="1"/>
  <c r="B12970" i="1"/>
  <c r="B12971" i="1"/>
  <c r="B12972" i="1"/>
  <c r="B12973" i="1"/>
  <c r="B12974" i="1"/>
  <c r="B12975" i="1"/>
  <c r="B12976" i="1"/>
  <c r="B12977" i="1"/>
  <c r="B12978" i="1"/>
  <c r="B12979" i="1"/>
  <c r="B12980" i="1"/>
  <c r="B12981" i="1"/>
  <c r="B12982" i="1"/>
  <c r="B12983" i="1"/>
  <c r="B12984" i="1"/>
  <c r="B12985" i="1"/>
  <c r="B12986" i="1"/>
  <c r="B12987" i="1"/>
  <c r="B12988" i="1"/>
  <c r="B12989" i="1"/>
  <c r="B12990" i="1"/>
  <c r="B12991" i="1"/>
  <c r="B12992" i="1"/>
  <c r="B12993" i="1"/>
  <c r="B12994" i="1"/>
  <c r="B12995" i="1"/>
  <c r="B12996" i="1"/>
  <c r="B12997" i="1"/>
  <c r="B12998" i="1"/>
  <c r="B12999" i="1"/>
  <c r="B13000" i="1"/>
  <c r="B13001" i="1"/>
  <c r="B13002" i="1"/>
  <c r="B13003" i="1"/>
  <c r="B13004" i="1"/>
  <c r="B13005" i="1"/>
  <c r="B13006" i="1"/>
  <c r="B13007" i="1"/>
  <c r="B13008" i="1"/>
  <c r="B13009" i="1"/>
  <c r="B13010" i="1"/>
  <c r="B13011" i="1"/>
  <c r="B13012" i="1"/>
  <c r="B13013" i="1"/>
  <c r="B13014" i="1"/>
  <c r="B13015" i="1"/>
  <c r="B13016" i="1"/>
  <c r="B13017" i="1"/>
  <c r="B13018" i="1"/>
  <c r="B13019" i="1"/>
  <c r="B13020" i="1"/>
  <c r="B13021" i="1"/>
  <c r="B13022" i="1"/>
  <c r="B13023" i="1"/>
  <c r="B13024" i="1"/>
  <c r="B13025" i="1"/>
  <c r="B13026" i="1"/>
  <c r="B13027" i="1"/>
  <c r="B13028" i="1"/>
  <c r="B13029" i="1"/>
  <c r="B13030" i="1"/>
  <c r="B13031" i="1"/>
  <c r="B13032" i="1"/>
  <c r="B13033" i="1"/>
  <c r="B13034" i="1"/>
  <c r="B13035" i="1"/>
  <c r="B13036" i="1"/>
  <c r="B13037" i="1"/>
  <c r="B13038" i="1"/>
  <c r="B13039" i="1"/>
  <c r="B13040" i="1"/>
  <c r="B13041" i="1"/>
  <c r="B13042" i="1"/>
  <c r="B13043" i="1"/>
  <c r="B13044" i="1"/>
  <c r="B13045" i="1"/>
  <c r="B13046" i="1"/>
  <c r="B13047" i="1"/>
  <c r="B13048" i="1"/>
  <c r="B13049" i="1"/>
  <c r="B13050" i="1"/>
  <c r="B13051" i="1"/>
  <c r="B13052" i="1"/>
  <c r="B13053" i="1"/>
  <c r="B13054" i="1"/>
  <c r="B13055" i="1"/>
  <c r="B13056" i="1"/>
  <c r="B13057" i="1"/>
  <c r="B13058" i="1"/>
  <c r="B13059" i="1"/>
  <c r="B13060" i="1"/>
  <c r="B13061" i="1"/>
  <c r="B13062" i="1"/>
  <c r="B13063" i="1"/>
  <c r="B13064" i="1"/>
  <c r="B13065" i="1"/>
  <c r="B13066" i="1"/>
  <c r="B13067" i="1"/>
  <c r="B13068" i="1"/>
  <c r="B13069" i="1"/>
  <c r="B13070" i="1"/>
  <c r="B13071" i="1"/>
  <c r="B13072" i="1"/>
  <c r="B13073" i="1"/>
  <c r="B13074" i="1"/>
  <c r="B13075" i="1"/>
  <c r="B13076" i="1"/>
  <c r="B13077" i="1"/>
  <c r="B13078" i="1"/>
  <c r="B13079" i="1"/>
  <c r="B13080" i="1"/>
  <c r="B13081" i="1"/>
  <c r="B13082" i="1"/>
  <c r="B13083" i="1"/>
  <c r="B13084" i="1"/>
  <c r="B13085" i="1"/>
  <c r="B13086" i="1"/>
  <c r="B13087" i="1"/>
  <c r="B13088" i="1"/>
  <c r="B13089" i="1"/>
  <c r="B13090" i="1"/>
  <c r="B13091" i="1"/>
  <c r="B13092" i="1"/>
  <c r="B13093" i="1"/>
  <c r="B13094" i="1"/>
  <c r="B13095" i="1"/>
  <c r="B13096" i="1"/>
  <c r="B13097" i="1"/>
  <c r="B13098" i="1"/>
  <c r="B13099" i="1"/>
  <c r="B13100" i="1"/>
  <c r="B13101" i="1"/>
  <c r="B13102" i="1"/>
  <c r="B13103" i="1"/>
  <c r="B13104" i="1"/>
  <c r="B13105" i="1"/>
  <c r="B13106" i="1"/>
  <c r="B13107" i="1"/>
  <c r="B13108" i="1"/>
  <c r="B13109" i="1"/>
  <c r="B13110" i="1"/>
  <c r="B13111" i="1"/>
  <c r="B13112" i="1"/>
  <c r="B13113" i="1"/>
  <c r="B13114" i="1"/>
  <c r="B13115" i="1"/>
  <c r="B13116" i="1"/>
  <c r="B13117" i="1"/>
  <c r="B13118" i="1"/>
  <c r="B13119" i="1"/>
  <c r="B13120" i="1"/>
  <c r="B13121" i="1"/>
  <c r="B13122" i="1"/>
  <c r="B13123" i="1"/>
  <c r="B13124" i="1"/>
  <c r="B13125" i="1"/>
  <c r="B13126" i="1"/>
  <c r="B13127" i="1"/>
  <c r="B13128" i="1"/>
  <c r="B13129" i="1"/>
  <c r="B13130" i="1"/>
  <c r="B13131" i="1"/>
  <c r="B13132" i="1"/>
  <c r="B13133" i="1"/>
  <c r="B13134" i="1"/>
  <c r="B13135" i="1"/>
  <c r="B13136" i="1"/>
  <c r="B13137" i="1"/>
  <c r="B13138" i="1"/>
  <c r="B13139" i="1"/>
  <c r="B13140" i="1"/>
  <c r="B13141" i="1"/>
  <c r="B13142" i="1"/>
  <c r="B13143" i="1"/>
  <c r="B13144" i="1"/>
  <c r="B13145" i="1"/>
  <c r="B13146" i="1"/>
  <c r="B13147" i="1"/>
  <c r="B13148" i="1"/>
  <c r="B13149" i="1"/>
  <c r="B13150" i="1"/>
  <c r="B13151" i="1"/>
  <c r="B13152" i="1"/>
  <c r="B13153" i="1"/>
  <c r="B13154" i="1"/>
  <c r="B13155" i="1"/>
  <c r="B13156" i="1"/>
  <c r="B13157" i="1"/>
  <c r="B13158" i="1"/>
  <c r="B13159" i="1"/>
  <c r="B13160" i="1"/>
  <c r="B13161" i="1"/>
  <c r="B13162" i="1"/>
  <c r="B13163" i="1"/>
  <c r="B13164" i="1"/>
  <c r="B13165" i="1"/>
  <c r="B13166" i="1"/>
  <c r="B13167" i="1"/>
  <c r="B13168" i="1"/>
  <c r="B13169" i="1"/>
  <c r="B13170" i="1"/>
  <c r="B13171" i="1"/>
  <c r="B13172" i="1"/>
  <c r="B13173" i="1"/>
  <c r="B13174" i="1"/>
  <c r="B13175" i="1"/>
  <c r="B13176" i="1"/>
  <c r="B13177" i="1"/>
  <c r="B13178" i="1"/>
  <c r="B13179" i="1"/>
  <c r="B13180" i="1"/>
  <c r="B13181" i="1"/>
  <c r="B13182" i="1"/>
  <c r="B13183" i="1"/>
  <c r="B13184" i="1"/>
  <c r="B13185" i="1"/>
  <c r="B13186" i="1"/>
  <c r="B13187" i="1"/>
  <c r="B13188" i="1"/>
  <c r="B13189" i="1"/>
  <c r="B13190" i="1"/>
  <c r="B13191" i="1"/>
  <c r="B13192" i="1"/>
  <c r="B13193" i="1"/>
  <c r="B13194" i="1"/>
  <c r="B13195" i="1"/>
  <c r="B13196" i="1"/>
  <c r="B13197" i="1"/>
  <c r="B13198" i="1"/>
  <c r="B13199" i="1"/>
  <c r="B13200" i="1"/>
  <c r="B13201" i="1"/>
  <c r="B13202" i="1"/>
  <c r="B13203" i="1"/>
  <c r="B13204" i="1"/>
  <c r="B13205" i="1"/>
  <c r="B13206" i="1"/>
  <c r="B13207" i="1"/>
  <c r="B13208" i="1"/>
  <c r="B13209" i="1"/>
  <c r="B13210" i="1"/>
  <c r="B13211" i="1"/>
  <c r="B13212" i="1"/>
  <c r="B13213" i="1"/>
  <c r="B13214" i="1"/>
  <c r="B13215" i="1"/>
  <c r="B13216" i="1"/>
  <c r="B13217" i="1"/>
  <c r="B13218" i="1"/>
  <c r="B13219" i="1"/>
  <c r="B13220" i="1"/>
  <c r="B13221" i="1"/>
  <c r="B13222" i="1"/>
  <c r="B13223" i="1"/>
  <c r="B13224" i="1"/>
  <c r="B13225" i="1"/>
  <c r="B13226" i="1"/>
  <c r="B13227" i="1"/>
  <c r="B13228" i="1"/>
  <c r="B13229" i="1"/>
  <c r="B13230" i="1"/>
  <c r="B13231" i="1"/>
  <c r="B13232" i="1"/>
  <c r="B13233" i="1"/>
  <c r="B13234" i="1"/>
  <c r="B13235" i="1"/>
  <c r="B13236" i="1"/>
  <c r="B13237" i="1"/>
  <c r="B13238" i="1"/>
  <c r="B13239" i="1"/>
  <c r="B13240" i="1"/>
  <c r="B13241" i="1"/>
  <c r="B13242" i="1"/>
  <c r="B13243" i="1"/>
  <c r="B13244" i="1"/>
  <c r="B13245" i="1"/>
  <c r="B13246" i="1"/>
  <c r="B13247" i="1"/>
  <c r="B13248" i="1"/>
  <c r="B13249" i="1"/>
  <c r="B13250" i="1"/>
  <c r="B13251" i="1"/>
  <c r="B13252" i="1"/>
  <c r="B13253" i="1"/>
  <c r="B13254" i="1"/>
  <c r="B13255" i="1"/>
  <c r="B13256" i="1"/>
  <c r="B13257" i="1"/>
  <c r="B13258" i="1"/>
  <c r="B13259" i="1"/>
  <c r="B13260" i="1"/>
  <c r="B13261" i="1"/>
  <c r="B13262" i="1"/>
  <c r="B13263" i="1"/>
  <c r="B13264" i="1"/>
  <c r="B13265" i="1"/>
  <c r="B13266" i="1"/>
  <c r="B13267" i="1"/>
  <c r="B13268" i="1"/>
  <c r="B13269" i="1"/>
  <c r="B13270" i="1"/>
  <c r="B13271" i="1"/>
  <c r="B13272" i="1"/>
  <c r="B13273" i="1"/>
  <c r="B13274" i="1"/>
  <c r="B13275" i="1"/>
  <c r="B13276" i="1"/>
  <c r="B13277" i="1"/>
  <c r="B13278" i="1"/>
  <c r="B13279" i="1"/>
  <c r="B13280" i="1"/>
  <c r="B13281" i="1"/>
  <c r="B13282" i="1"/>
  <c r="B13283" i="1"/>
  <c r="B13284" i="1"/>
  <c r="B13285" i="1"/>
  <c r="B13286" i="1"/>
  <c r="B13287" i="1"/>
  <c r="B13288" i="1"/>
  <c r="B13289" i="1"/>
  <c r="B13290" i="1"/>
  <c r="B13291" i="1"/>
  <c r="B13292" i="1"/>
  <c r="B13293" i="1"/>
  <c r="B13294" i="1"/>
  <c r="B13295" i="1"/>
  <c r="B13296" i="1"/>
  <c r="B13297" i="1"/>
  <c r="B13298" i="1"/>
  <c r="B13299" i="1"/>
  <c r="B13300" i="1"/>
  <c r="B13301" i="1"/>
  <c r="B13302" i="1"/>
  <c r="B13303" i="1"/>
  <c r="B13304" i="1"/>
  <c r="B13305" i="1"/>
  <c r="B13306" i="1"/>
  <c r="B13307" i="1"/>
  <c r="B13308" i="1"/>
  <c r="B13309" i="1"/>
  <c r="B13310" i="1"/>
  <c r="B13311" i="1"/>
  <c r="B13312" i="1"/>
  <c r="B13313" i="1"/>
  <c r="B13314" i="1"/>
  <c r="B13315" i="1"/>
  <c r="B13316" i="1"/>
  <c r="B13317" i="1"/>
  <c r="B13318" i="1"/>
  <c r="B13319" i="1"/>
  <c r="B13320" i="1"/>
  <c r="B13321" i="1"/>
  <c r="B13322" i="1"/>
  <c r="B13323" i="1"/>
  <c r="B13324" i="1"/>
  <c r="B13325" i="1"/>
  <c r="B13326" i="1"/>
  <c r="B13327" i="1"/>
  <c r="B13328" i="1"/>
  <c r="B13329" i="1"/>
  <c r="B13330" i="1"/>
  <c r="B13331" i="1"/>
  <c r="B13332" i="1"/>
  <c r="B13333" i="1"/>
  <c r="B13334" i="1"/>
  <c r="B13335" i="1"/>
  <c r="B13336" i="1"/>
  <c r="B13337" i="1"/>
  <c r="B13338" i="1"/>
  <c r="B13339" i="1"/>
  <c r="B13340" i="1"/>
  <c r="B13341" i="1"/>
  <c r="B13342" i="1"/>
  <c r="B13343" i="1"/>
  <c r="B13344" i="1"/>
  <c r="B13345" i="1"/>
  <c r="B13346" i="1"/>
  <c r="B13347" i="1"/>
  <c r="B13348" i="1"/>
  <c r="B13349" i="1"/>
  <c r="B13350" i="1"/>
  <c r="B13351" i="1"/>
  <c r="B13352" i="1"/>
  <c r="B13353" i="1"/>
  <c r="B13354" i="1"/>
  <c r="B13355" i="1"/>
  <c r="B13356" i="1"/>
  <c r="B13357" i="1"/>
  <c r="B13358" i="1"/>
  <c r="B13359" i="1"/>
  <c r="B13360" i="1"/>
  <c r="B13361" i="1"/>
  <c r="B13362" i="1"/>
  <c r="B13363" i="1"/>
  <c r="B13364" i="1"/>
  <c r="B13365" i="1"/>
  <c r="B13366" i="1"/>
  <c r="B13367" i="1"/>
  <c r="B13368" i="1"/>
  <c r="B13369" i="1"/>
  <c r="B13370" i="1"/>
  <c r="B13371" i="1"/>
  <c r="B13372" i="1"/>
  <c r="B13373" i="1"/>
  <c r="B13374" i="1"/>
  <c r="B13375" i="1"/>
  <c r="B13376" i="1"/>
  <c r="B13377" i="1"/>
  <c r="B13378" i="1"/>
  <c r="B13379" i="1"/>
  <c r="B13380" i="1"/>
  <c r="B13381" i="1"/>
  <c r="B13382" i="1"/>
  <c r="B13383" i="1"/>
  <c r="B13384" i="1"/>
  <c r="B13385" i="1"/>
  <c r="B13386" i="1"/>
  <c r="B13387" i="1"/>
  <c r="B13388" i="1"/>
  <c r="B13389" i="1"/>
  <c r="B13390" i="1"/>
  <c r="B13391" i="1"/>
  <c r="B13392" i="1"/>
  <c r="B13393" i="1"/>
  <c r="B13394" i="1"/>
  <c r="B13395" i="1"/>
  <c r="B13396" i="1"/>
  <c r="B13397" i="1"/>
  <c r="B13398" i="1"/>
  <c r="B13399" i="1"/>
  <c r="B13400" i="1"/>
  <c r="B13401" i="1"/>
  <c r="B13402" i="1"/>
  <c r="B13403" i="1"/>
  <c r="B13404" i="1"/>
  <c r="B13405" i="1"/>
  <c r="B13406" i="1"/>
  <c r="B13407" i="1"/>
  <c r="B13408" i="1"/>
  <c r="B13409" i="1"/>
  <c r="B13410" i="1"/>
  <c r="B13411" i="1"/>
  <c r="B13412" i="1"/>
  <c r="B13413" i="1"/>
  <c r="B13414" i="1"/>
  <c r="B13415" i="1"/>
  <c r="B13416" i="1"/>
  <c r="B13417" i="1"/>
  <c r="B13418" i="1"/>
  <c r="B13419" i="1"/>
  <c r="B13420" i="1"/>
  <c r="B13421" i="1"/>
  <c r="B13422" i="1"/>
  <c r="B13423" i="1"/>
  <c r="B13424" i="1"/>
  <c r="B13425" i="1"/>
  <c r="B13426" i="1"/>
  <c r="B13427" i="1"/>
  <c r="B13428" i="1"/>
  <c r="B13429" i="1"/>
  <c r="B13430" i="1"/>
  <c r="B13431" i="1"/>
  <c r="B13432" i="1"/>
  <c r="B13433" i="1"/>
  <c r="B13434" i="1"/>
  <c r="B13435" i="1"/>
  <c r="B13436" i="1"/>
  <c r="B13437" i="1"/>
  <c r="B13438" i="1"/>
  <c r="B13439" i="1"/>
  <c r="B13440" i="1"/>
  <c r="B13441" i="1"/>
  <c r="B13442" i="1"/>
  <c r="B13443" i="1"/>
  <c r="B13444" i="1"/>
  <c r="B13445" i="1"/>
  <c r="B13446" i="1"/>
  <c r="B13447" i="1"/>
  <c r="B13448" i="1"/>
  <c r="B13449" i="1"/>
  <c r="B13450" i="1"/>
  <c r="B13451" i="1"/>
  <c r="B13452" i="1"/>
  <c r="B13453" i="1"/>
  <c r="B13454" i="1"/>
  <c r="B13455" i="1"/>
  <c r="B13456" i="1"/>
  <c r="B13457" i="1"/>
  <c r="B13458" i="1"/>
  <c r="B13459" i="1"/>
  <c r="B13460" i="1"/>
  <c r="B13461" i="1"/>
  <c r="B13462" i="1"/>
  <c r="B13463" i="1"/>
  <c r="B13464" i="1"/>
  <c r="B13465" i="1"/>
  <c r="B13466" i="1"/>
  <c r="B13467" i="1"/>
  <c r="B13468" i="1"/>
  <c r="B13469" i="1"/>
  <c r="B13470" i="1"/>
  <c r="B13471" i="1"/>
  <c r="B13472" i="1"/>
  <c r="B13473" i="1"/>
  <c r="B13474" i="1"/>
  <c r="B13475" i="1"/>
  <c r="B13476" i="1"/>
  <c r="B13477" i="1"/>
  <c r="B13478" i="1"/>
  <c r="B13479" i="1"/>
  <c r="B13480" i="1"/>
  <c r="B13481" i="1"/>
  <c r="B13482" i="1"/>
  <c r="B13483" i="1"/>
  <c r="B13484" i="1"/>
  <c r="B13485" i="1"/>
  <c r="B13486" i="1"/>
  <c r="B13487" i="1"/>
  <c r="B13488" i="1"/>
  <c r="B13489" i="1"/>
  <c r="B13490" i="1"/>
  <c r="B13491" i="1"/>
  <c r="B13492" i="1"/>
  <c r="B13493" i="1"/>
  <c r="B13494" i="1"/>
  <c r="B13495" i="1"/>
  <c r="B13496" i="1"/>
  <c r="B13497" i="1"/>
  <c r="B13498" i="1"/>
  <c r="B13499" i="1"/>
  <c r="B13500" i="1"/>
  <c r="B13501" i="1"/>
  <c r="B13502" i="1"/>
  <c r="B13503" i="1"/>
  <c r="B13504" i="1"/>
  <c r="B13505" i="1"/>
  <c r="B13506" i="1"/>
  <c r="B13507" i="1"/>
  <c r="B13508" i="1"/>
  <c r="B13509" i="1"/>
  <c r="B13510" i="1"/>
  <c r="B13511" i="1"/>
  <c r="B13512" i="1"/>
  <c r="B13513" i="1"/>
  <c r="B13514" i="1"/>
  <c r="B13515" i="1"/>
  <c r="B13516" i="1"/>
  <c r="B13517" i="1"/>
  <c r="B13518" i="1"/>
  <c r="B13519" i="1"/>
  <c r="B13520" i="1"/>
  <c r="B13521" i="1"/>
  <c r="B13522" i="1"/>
  <c r="B13523" i="1"/>
  <c r="B13524" i="1"/>
  <c r="B13525" i="1"/>
  <c r="B13526" i="1"/>
  <c r="B13527" i="1"/>
  <c r="B13528" i="1"/>
  <c r="B13529" i="1"/>
  <c r="B13530" i="1"/>
  <c r="B13531" i="1"/>
  <c r="B13532" i="1"/>
  <c r="B13533" i="1"/>
  <c r="B13534" i="1"/>
  <c r="B13535" i="1"/>
  <c r="B13536" i="1"/>
  <c r="B13537" i="1"/>
  <c r="B13538" i="1"/>
  <c r="B13539" i="1"/>
  <c r="B13540" i="1"/>
  <c r="B13541" i="1"/>
  <c r="B13542" i="1"/>
  <c r="B13543" i="1"/>
  <c r="B13544" i="1"/>
  <c r="B13545" i="1"/>
  <c r="B13546" i="1"/>
  <c r="B13547" i="1"/>
  <c r="B13548" i="1"/>
  <c r="B13549" i="1"/>
  <c r="B13550" i="1"/>
  <c r="B13551" i="1"/>
  <c r="B13552" i="1"/>
  <c r="B13553" i="1"/>
  <c r="B13554" i="1"/>
  <c r="B13555" i="1"/>
  <c r="B13556" i="1"/>
  <c r="B13557" i="1"/>
  <c r="B13558" i="1"/>
  <c r="B13559" i="1"/>
  <c r="B13560" i="1"/>
  <c r="B13561" i="1"/>
  <c r="B13562" i="1"/>
  <c r="B13563" i="1"/>
  <c r="B13564" i="1"/>
  <c r="B13565" i="1"/>
  <c r="B13566" i="1"/>
  <c r="B13567" i="1"/>
  <c r="B13568" i="1"/>
  <c r="B13569" i="1"/>
  <c r="B13570" i="1"/>
  <c r="B13571" i="1"/>
  <c r="B13572" i="1"/>
  <c r="B13573" i="1"/>
  <c r="B13574" i="1"/>
  <c r="B13575" i="1"/>
  <c r="B13576" i="1"/>
  <c r="B13577" i="1"/>
  <c r="B13578" i="1"/>
  <c r="B13579" i="1"/>
  <c r="B13580" i="1"/>
  <c r="B13581" i="1"/>
  <c r="B13582" i="1"/>
  <c r="B13583" i="1"/>
  <c r="B13584" i="1"/>
  <c r="B13585" i="1"/>
  <c r="B13586" i="1"/>
  <c r="B13587" i="1"/>
  <c r="B13588" i="1"/>
  <c r="B13589" i="1"/>
  <c r="B13590" i="1"/>
  <c r="B13591" i="1"/>
  <c r="B13592" i="1"/>
  <c r="B13593" i="1"/>
  <c r="B13594" i="1"/>
  <c r="B13595" i="1"/>
  <c r="B13596" i="1"/>
  <c r="B13597" i="1"/>
  <c r="B13598" i="1"/>
  <c r="B13599" i="1"/>
  <c r="B13600" i="1"/>
  <c r="B13601" i="1"/>
  <c r="B13602" i="1"/>
  <c r="B13603" i="1"/>
  <c r="B13604" i="1"/>
  <c r="B13605" i="1"/>
  <c r="B13606" i="1"/>
  <c r="B13607" i="1"/>
  <c r="B13608" i="1"/>
  <c r="B13609" i="1"/>
  <c r="B13610" i="1"/>
  <c r="B13611" i="1"/>
  <c r="B13612" i="1"/>
  <c r="B13613" i="1"/>
  <c r="B13614" i="1"/>
  <c r="B13615" i="1"/>
  <c r="B13616" i="1"/>
  <c r="B13617" i="1"/>
  <c r="B13618" i="1"/>
  <c r="B13619" i="1"/>
  <c r="B13620" i="1"/>
  <c r="B13621" i="1"/>
  <c r="B13622" i="1"/>
  <c r="B13623" i="1"/>
  <c r="B13624" i="1"/>
  <c r="B13625" i="1"/>
  <c r="B13626" i="1"/>
  <c r="B13627" i="1"/>
  <c r="B13628" i="1"/>
  <c r="B13629" i="1"/>
  <c r="B13630" i="1"/>
  <c r="B13631" i="1"/>
  <c r="B13632" i="1"/>
  <c r="B13633" i="1"/>
  <c r="B13634" i="1"/>
  <c r="B13635" i="1"/>
  <c r="B13636" i="1"/>
  <c r="B13637" i="1"/>
  <c r="B13638" i="1"/>
  <c r="B13639" i="1"/>
  <c r="B13640" i="1"/>
  <c r="B13641" i="1"/>
  <c r="B13642" i="1"/>
  <c r="B13643" i="1"/>
  <c r="B13644" i="1"/>
  <c r="B13645" i="1"/>
  <c r="B13646" i="1"/>
  <c r="B13647" i="1"/>
  <c r="B13648" i="1"/>
  <c r="B13649" i="1"/>
  <c r="B13650" i="1"/>
  <c r="B13651" i="1"/>
  <c r="B13652" i="1"/>
  <c r="B13653" i="1"/>
  <c r="B13654" i="1"/>
  <c r="B13655" i="1"/>
  <c r="B13656" i="1"/>
  <c r="B13657" i="1"/>
  <c r="B13658" i="1"/>
  <c r="B13659" i="1"/>
  <c r="B13660" i="1"/>
  <c r="B13661" i="1"/>
  <c r="B13662" i="1"/>
  <c r="B13663" i="1"/>
  <c r="B13664" i="1"/>
  <c r="B13665" i="1"/>
  <c r="B13666" i="1"/>
  <c r="B13667" i="1"/>
  <c r="B13668" i="1"/>
  <c r="B13669" i="1"/>
  <c r="B13670" i="1"/>
  <c r="B13671" i="1"/>
  <c r="B13672" i="1"/>
  <c r="B13673" i="1"/>
  <c r="B13674" i="1"/>
  <c r="B13675" i="1"/>
  <c r="B13676" i="1"/>
  <c r="B13677" i="1"/>
  <c r="B13678" i="1"/>
  <c r="B13679" i="1"/>
  <c r="B13680" i="1"/>
  <c r="B13681" i="1"/>
  <c r="B13682" i="1"/>
  <c r="B13683" i="1"/>
  <c r="B13684" i="1"/>
  <c r="B13685" i="1"/>
  <c r="B13686" i="1"/>
  <c r="B13687" i="1"/>
  <c r="B13688" i="1"/>
  <c r="B13689" i="1"/>
  <c r="B13690" i="1"/>
  <c r="B13691" i="1"/>
  <c r="B13692" i="1"/>
  <c r="B13693" i="1"/>
  <c r="B13694" i="1"/>
  <c r="B13695" i="1"/>
  <c r="B13696" i="1"/>
  <c r="B13697" i="1"/>
  <c r="B13698" i="1"/>
  <c r="B13699" i="1"/>
  <c r="B13700" i="1"/>
  <c r="B13701" i="1"/>
  <c r="B13702" i="1"/>
  <c r="B13703" i="1"/>
  <c r="B13704" i="1"/>
  <c r="B13705" i="1"/>
  <c r="B13706" i="1"/>
  <c r="B13707" i="1"/>
  <c r="B13708" i="1"/>
  <c r="B13709" i="1"/>
  <c r="B13710" i="1"/>
  <c r="B13711" i="1"/>
  <c r="B13712" i="1"/>
  <c r="B13713" i="1"/>
  <c r="B13714" i="1"/>
  <c r="B13715" i="1"/>
  <c r="B13716" i="1"/>
  <c r="B13717" i="1"/>
  <c r="B13718" i="1"/>
  <c r="B13719" i="1"/>
  <c r="B13720" i="1"/>
  <c r="B13721" i="1"/>
  <c r="B13722" i="1"/>
  <c r="B13723" i="1"/>
  <c r="B13724" i="1"/>
  <c r="B13725" i="1"/>
  <c r="B13726" i="1"/>
  <c r="B13727" i="1"/>
  <c r="B13728" i="1"/>
  <c r="B13729" i="1"/>
  <c r="B13730" i="1"/>
  <c r="B13731" i="1"/>
  <c r="B13732" i="1"/>
  <c r="B13733" i="1"/>
  <c r="B13734" i="1"/>
  <c r="B13735" i="1"/>
  <c r="B13736" i="1"/>
  <c r="B13737" i="1"/>
  <c r="B13738" i="1"/>
  <c r="B13739" i="1"/>
  <c r="B13740" i="1"/>
  <c r="B13741" i="1"/>
  <c r="B13742" i="1"/>
  <c r="B13743" i="1"/>
  <c r="B13744" i="1"/>
  <c r="B13745" i="1"/>
  <c r="B13746" i="1"/>
  <c r="B13747" i="1"/>
  <c r="B13748" i="1"/>
  <c r="B13749" i="1"/>
  <c r="B13750" i="1"/>
  <c r="B13751" i="1"/>
  <c r="B13752" i="1"/>
  <c r="B13753" i="1"/>
  <c r="B13754" i="1"/>
  <c r="B13755" i="1"/>
  <c r="B13756" i="1"/>
  <c r="B13757" i="1"/>
  <c r="B13758" i="1"/>
  <c r="B13759" i="1"/>
  <c r="B13760" i="1"/>
  <c r="B13761" i="1"/>
  <c r="B13762" i="1"/>
  <c r="B13763" i="1"/>
  <c r="B13764" i="1"/>
  <c r="B13765" i="1"/>
  <c r="B13766" i="1"/>
  <c r="B13767" i="1"/>
  <c r="B13768" i="1"/>
  <c r="B13769" i="1"/>
  <c r="B13770" i="1"/>
  <c r="B13771" i="1"/>
  <c r="B13772" i="1"/>
  <c r="B13773" i="1"/>
  <c r="B13774" i="1"/>
  <c r="B13775" i="1"/>
  <c r="B13776" i="1"/>
  <c r="B13777" i="1"/>
  <c r="B13778" i="1"/>
  <c r="B13779" i="1"/>
  <c r="B13780" i="1"/>
  <c r="B13781" i="1"/>
  <c r="B13782" i="1"/>
  <c r="B13783" i="1"/>
  <c r="B13784" i="1"/>
  <c r="B13785" i="1"/>
  <c r="B13786" i="1"/>
  <c r="B13787" i="1"/>
  <c r="B13788" i="1"/>
  <c r="B13789" i="1"/>
  <c r="B13790" i="1"/>
  <c r="B13791" i="1"/>
  <c r="B13792" i="1"/>
  <c r="B13793" i="1"/>
  <c r="B13794" i="1"/>
  <c r="B13795" i="1"/>
  <c r="B13796" i="1"/>
  <c r="B13797" i="1"/>
  <c r="B13798" i="1"/>
  <c r="B13799" i="1"/>
  <c r="B13800" i="1"/>
  <c r="B13801" i="1"/>
  <c r="B13802" i="1"/>
  <c r="B13803" i="1"/>
  <c r="B13804" i="1"/>
  <c r="B13805" i="1"/>
  <c r="B13806" i="1"/>
  <c r="B13807" i="1"/>
  <c r="B13808" i="1"/>
  <c r="B13809" i="1"/>
  <c r="B13810" i="1"/>
  <c r="B13811" i="1"/>
  <c r="B13812" i="1"/>
  <c r="B13813" i="1"/>
  <c r="B13814" i="1"/>
  <c r="B13815" i="1"/>
  <c r="B13816" i="1"/>
  <c r="B13817" i="1"/>
  <c r="B13818" i="1"/>
  <c r="B13819" i="1"/>
  <c r="B13820" i="1"/>
  <c r="B13821" i="1"/>
  <c r="B13822" i="1"/>
  <c r="B13823" i="1"/>
  <c r="B13824" i="1"/>
  <c r="B13825" i="1"/>
  <c r="B13826" i="1"/>
  <c r="B13827" i="1"/>
  <c r="B13828" i="1"/>
  <c r="B13829" i="1"/>
  <c r="B13830" i="1"/>
  <c r="B13831" i="1"/>
  <c r="B13832" i="1"/>
  <c r="B13833" i="1"/>
  <c r="B13834" i="1"/>
  <c r="B13835" i="1"/>
  <c r="B13836" i="1"/>
  <c r="B13837" i="1"/>
  <c r="B13838" i="1"/>
  <c r="B13839" i="1"/>
  <c r="B13840" i="1"/>
  <c r="B13841" i="1"/>
  <c r="B13842" i="1"/>
  <c r="B13843" i="1"/>
  <c r="B13844" i="1"/>
  <c r="B13845" i="1"/>
  <c r="B13846" i="1"/>
  <c r="B13847" i="1"/>
  <c r="B13848" i="1"/>
  <c r="B13849" i="1"/>
  <c r="B13850" i="1"/>
  <c r="B13851" i="1"/>
  <c r="B13852" i="1"/>
  <c r="B13853" i="1"/>
  <c r="B13854" i="1"/>
  <c r="B13855" i="1"/>
  <c r="B13856" i="1"/>
  <c r="B13857" i="1"/>
  <c r="B13858" i="1"/>
  <c r="B13859" i="1"/>
  <c r="B13860" i="1"/>
  <c r="B13861" i="1"/>
  <c r="B13862" i="1"/>
  <c r="B13863" i="1"/>
  <c r="B13864" i="1"/>
  <c r="B13865" i="1"/>
  <c r="B13866" i="1"/>
  <c r="B13867" i="1"/>
  <c r="B13868" i="1"/>
  <c r="B13869" i="1"/>
  <c r="B13870" i="1"/>
  <c r="B13871" i="1"/>
  <c r="B13872" i="1"/>
  <c r="B13873" i="1"/>
  <c r="B13874" i="1"/>
  <c r="B13875" i="1"/>
  <c r="B13876" i="1"/>
  <c r="B13877" i="1"/>
  <c r="B13878" i="1"/>
  <c r="B13879" i="1"/>
  <c r="B13880" i="1"/>
  <c r="B13881" i="1"/>
  <c r="B13882" i="1"/>
  <c r="B13883" i="1"/>
  <c r="B13884" i="1"/>
  <c r="B13885" i="1"/>
  <c r="B13886" i="1"/>
  <c r="B13887" i="1"/>
  <c r="B13888" i="1"/>
  <c r="B13889" i="1"/>
  <c r="B13890" i="1"/>
  <c r="B13891" i="1"/>
  <c r="B13892" i="1"/>
  <c r="B13893" i="1"/>
  <c r="B13894" i="1"/>
  <c r="B13895" i="1"/>
  <c r="B13896" i="1"/>
  <c r="B13897" i="1"/>
  <c r="B13898" i="1"/>
  <c r="B13899" i="1"/>
  <c r="B13900" i="1"/>
  <c r="B13901" i="1"/>
  <c r="B13902" i="1"/>
  <c r="B13903" i="1"/>
  <c r="B13904" i="1"/>
  <c r="B13905" i="1"/>
  <c r="B13906" i="1"/>
  <c r="B13907" i="1"/>
  <c r="B13908" i="1"/>
  <c r="B13909" i="1"/>
  <c r="B13910" i="1"/>
  <c r="B13911" i="1"/>
  <c r="B13912" i="1"/>
  <c r="B13913" i="1"/>
  <c r="B13914" i="1"/>
  <c r="B13915" i="1"/>
  <c r="B13916" i="1"/>
  <c r="B13917" i="1"/>
  <c r="B13918" i="1"/>
  <c r="B13919" i="1"/>
  <c r="B13920" i="1"/>
  <c r="B13921" i="1"/>
  <c r="B13922" i="1"/>
  <c r="B13923" i="1"/>
  <c r="B13924" i="1"/>
  <c r="B13925" i="1"/>
  <c r="B13926" i="1"/>
  <c r="B13927" i="1"/>
  <c r="B13928" i="1"/>
  <c r="B13929" i="1"/>
  <c r="B13930" i="1"/>
  <c r="B13931" i="1"/>
  <c r="B13932" i="1"/>
  <c r="B13933" i="1"/>
  <c r="B13934" i="1"/>
  <c r="B13935" i="1"/>
  <c r="B13936" i="1"/>
  <c r="B13937" i="1"/>
  <c r="B13938" i="1"/>
  <c r="B13939" i="1"/>
  <c r="B13940" i="1"/>
  <c r="B13941" i="1"/>
  <c r="B13942" i="1"/>
  <c r="B13943" i="1"/>
  <c r="B13944" i="1"/>
  <c r="B13945" i="1"/>
  <c r="B13946" i="1"/>
  <c r="B13947" i="1"/>
  <c r="B13948" i="1"/>
  <c r="B13949" i="1"/>
  <c r="B13950" i="1"/>
  <c r="B13951" i="1"/>
  <c r="B13952" i="1"/>
  <c r="B13953" i="1"/>
  <c r="B13954" i="1"/>
  <c r="B13955" i="1"/>
  <c r="B13956" i="1"/>
  <c r="B13957" i="1"/>
  <c r="B13958" i="1"/>
  <c r="B13959" i="1"/>
  <c r="B13960" i="1"/>
  <c r="B13961" i="1"/>
  <c r="B13962" i="1"/>
  <c r="B13963" i="1"/>
  <c r="B13964" i="1"/>
  <c r="B13965" i="1"/>
  <c r="B13966" i="1"/>
  <c r="B13967" i="1"/>
  <c r="B13968" i="1"/>
  <c r="B13969" i="1"/>
  <c r="B13970" i="1"/>
  <c r="B13971" i="1"/>
  <c r="B13972" i="1"/>
  <c r="B13973" i="1"/>
  <c r="B13974" i="1"/>
  <c r="B13975" i="1"/>
  <c r="B13976" i="1"/>
  <c r="B13977" i="1"/>
  <c r="B13978" i="1"/>
  <c r="B13979" i="1"/>
  <c r="B13980" i="1"/>
  <c r="B13981" i="1"/>
  <c r="B13982" i="1"/>
  <c r="B13983" i="1"/>
  <c r="B13984" i="1"/>
  <c r="B13985" i="1"/>
  <c r="B13986" i="1"/>
  <c r="B13987" i="1"/>
  <c r="B13988" i="1"/>
  <c r="B13989" i="1"/>
  <c r="B13990" i="1"/>
  <c r="B13991" i="1"/>
  <c r="B13992" i="1"/>
  <c r="B13993" i="1"/>
  <c r="B13994" i="1"/>
  <c r="B13995" i="1"/>
  <c r="B13996" i="1"/>
  <c r="B13997" i="1"/>
  <c r="B13998" i="1"/>
  <c r="B13999" i="1"/>
  <c r="B14000" i="1"/>
  <c r="B14001" i="1"/>
  <c r="B14002" i="1"/>
  <c r="B14003" i="1"/>
  <c r="B14004" i="1"/>
  <c r="B14005" i="1"/>
  <c r="B14006" i="1"/>
  <c r="B14007" i="1"/>
  <c r="B14008" i="1"/>
  <c r="B14009" i="1"/>
  <c r="B14010" i="1"/>
  <c r="B14011" i="1"/>
  <c r="B14012" i="1"/>
  <c r="B14013" i="1"/>
  <c r="B14014" i="1"/>
  <c r="B14015" i="1"/>
  <c r="B14016" i="1"/>
  <c r="B14017" i="1"/>
  <c r="B14018" i="1"/>
  <c r="B14019" i="1"/>
  <c r="B14020" i="1"/>
  <c r="B14021" i="1"/>
  <c r="B14022" i="1"/>
  <c r="B14023" i="1"/>
  <c r="B14024" i="1"/>
  <c r="B14025" i="1"/>
  <c r="B14026" i="1"/>
  <c r="B14027" i="1"/>
  <c r="B14028" i="1"/>
  <c r="B14029" i="1"/>
  <c r="B14030" i="1"/>
  <c r="B14031" i="1"/>
  <c r="B14032" i="1"/>
  <c r="B14033" i="1"/>
  <c r="B14034" i="1"/>
  <c r="B14035" i="1"/>
  <c r="B14036" i="1"/>
  <c r="B14037" i="1"/>
  <c r="B14038" i="1"/>
  <c r="B14039" i="1"/>
  <c r="B14040" i="1"/>
  <c r="B14041" i="1"/>
  <c r="B14042" i="1"/>
  <c r="B14043" i="1"/>
  <c r="B14044" i="1"/>
  <c r="B14045" i="1"/>
  <c r="B14046" i="1"/>
  <c r="B14047" i="1"/>
  <c r="B14048" i="1"/>
  <c r="B14049" i="1"/>
  <c r="B14050" i="1"/>
  <c r="B14051" i="1"/>
  <c r="B14052" i="1"/>
  <c r="B14053" i="1"/>
  <c r="B14054" i="1"/>
  <c r="B14055" i="1"/>
  <c r="B14056" i="1"/>
  <c r="B14057" i="1"/>
  <c r="B14058" i="1"/>
  <c r="B14059" i="1"/>
  <c r="B14060" i="1"/>
  <c r="B14061" i="1"/>
  <c r="B14062" i="1"/>
  <c r="B14063" i="1"/>
  <c r="B14064" i="1"/>
  <c r="B14065" i="1"/>
  <c r="B14066" i="1"/>
  <c r="B14067" i="1"/>
  <c r="B14068" i="1"/>
  <c r="B14069" i="1"/>
  <c r="B14070" i="1"/>
  <c r="B14071" i="1"/>
  <c r="B14072" i="1"/>
  <c r="B14073" i="1"/>
  <c r="B14074" i="1"/>
  <c r="B14075" i="1"/>
  <c r="B14076" i="1"/>
  <c r="B14077" i="1"/>
  <c r="B14078" i="1"/>
  <c r="B14079" i="1"/>
  <c r="B14080" i="1"/>
  <c r="B14081" i="1"/>
  <c r="B14082" i="1"/>
  <c r="B14083" i="1"/>
  <c r="B14084" i="1"/>
  <c r="B14085" i="1"/>
  <c r="B14086" i="1"/>
  <c r="B14087" i="1"/>
  <c r="B14088" i="1"/>
  <c r="B14089" i="1"/>
  <c r="B14090" i="1"/>
  <c r="B14091" i="1"/>
  <c r="B14092" i="1"/>
  <c r="B14093" i="1"/>
  <c r="B14094" i="1"/>
  <c r="B14095" i="1"/>
  <c r="B14096" i="1"/>
  <c r="B14097" i="1"/>
  <c r="B14098" i="1"/>
  <c r="B14099" i="1"/>
  <c r="B14100" i="1"/>
  <c r="B14101" i="1"/>
  <c r="B14102" i="1"/>
  <c r="B14103" i="1"/>
  <c r="B14104" i="1"/>
  <c r="B14105" i="1"/>
  <c r="B14106" i="1"/>
  <c r="B14107" i="1"/>
  <c r="B14108" i="1"/>
  <c r="B14109" i="1"/>
  <c r="B14110" i="1"/>
  <c r="B14111" i="1"/>
  <c r="B14112" i="1"/>
  <c r="B14113" i="1"/>
  <c r="B14114" i="1"/>
  <c r="B14115" i="1"/>
  <c r="B14116" i="1"/>
  <c r="B14117" i="1"/>
  <c r="B14118" i="1"/>
  <c r="B14119" i="1"/>
  <c r="B14120" i="1"/>
  <c r="B14121" i="1"/>
  <c r="B14122" i="1"/>
  <c r="B14123" i="1"/>
  <c r="B14124" i="1"/>
  <c r="B14125" i="1"/>
  <c r="B14126" i="1"/>
  <c r="B14127" i="1"/>
  <c r="B14128" i="1"/>
  <c r="B14129" i="1"/>
  <c r="B14130" i="1"/>
  <c r="B14131" i="1"/>
  <c r="B14132" i="1"/>
  <c r="B14133" i="1"/>
  <c r="B14134" i="1"/>
  <c r="B14135" i="1"/>
  <c r="B14136" i="1"/>
  <c r="B14137" i="1"/>
  <c r="B14138" i="1"/>
  <c r="B14139" i="1"/>
  <c r="B14140" i="1"/>
  <c r="B14141" i="1"/>
  <c r="B14142" i="1"/>
  <c r="B14143" i="1"/>
  <c r="B14144" i="1"/>
  <c r="B14145" i="1"/>
  <c r="B14146" i="1"/>
  <c r="B14147" i="1"/>
  <c r="B14148" i="1"/>
  <c r="B14149" i="1"/>
  <c r="B14150" i="1"/>
  <c r="B14151" i="1"/>
  <c r="B14152" i="1"/>
  <c r="B14153" i="1"/>
  <c r="B14154" i="1"/>
  <c r="B14155" i="1"/>
  <c r="B14156" i="1"/>
  <c r="B14157" i="1"/>
  <c r="B14158" i="1"/>
  <c r="B14159" i="1"/>
  <c r="B14160" i="1"/>
  <c r="B14161" i="1"/>
  <c r="B14162" i="1"/>
  <c r="B14163" i="1"/>
  <c r="B14164" i="1"/>
  <c r="B14165" i="1"/>
  <c r="B14166" i="1"/>
  <c r="B14167" i="1"/>
  <c r="B14168" i="1"/>
  <c r="B14169" i="1"/>
  <c r="B14170" i="1"/>
  <c r="B14171" i="1"/>
  <c r="B14172" i="1"/>
  <c r="B14173" i="1"/>
  <c r="B14174" i="1"/>
  <c r="B14175" i="1"/>
  <c r="B14176" i="1"/>
  <c r="B14177" i="1"/>
  <c r="B14178" i="1"/>
  <c r="B14179" i="1"/>
  <c r="B14180" i="1"/>
  <c r="B14181" i="1"/>
  <c r="B14182" i="1"/>
  <c r="B14183" i="1"/>
  <c r="B14184" i="1"/>
  <c r="B14185" i="1"/>
  <c r="B14186" i="1"/>
  <c r="B14187" i="1"/>
  <c r="B14188" i="1"/>
  <c r="B14189" i="1"/>
  <c r="B14190" i="1"/>
  <c r="B14191" i="1"/>
  <c r="B14192" i="1"/>
  <c r="B14193" i="1"/>
  <c r="B14194" i="1"/>
  <c r="B14195" i="1"/>
  <c r="B14196" i="1"/>
  <c r="B14197" i="1"/>
  <c r="B14198" i="1"/>
  <c r="B14199" i="1"/>
  <c r="B14200" i="1"/>
  <c r="B14201" i="1"/>
  <c r="B14202" i="1"/>
  <c r="B14203" i="1"/>
  <c r="B14204" i="1"/>
  <c r="B14205" i="1"/>
  <c r="B14206" i="1"/>
  <c r="B14207" i="1"/>
  <c r="B14208" i="1"/>
  <c r="B14209" i="1"/>
  <c r="B14210" i="1"/>
  <c r="B14211" i="1"/>
  <c r="B14212" i="1"/>
  <c r="B14213" i="1"/>
  <c r="B14214" i="1"/>
  <c r="B14215" i="1"/>
  <c r="B14216" i="1"/>
  <c r="B14217" i="1"/>
  <c r="B14218" i="1"/>
  <c r="B14219" i="1"/>
  <c r="B14220" i="1"/>
  <c r="B14221" i="1"/>
  <c r="B14222" i="1"/>
  <c r="B14223" i="1"/>
  <c r="B14224" i="1"/>
  <c r="B14225" i="1"/>
  <c r="B14226" i="1"/>
  <c r="B14227" i="1"/>
  <c r="B14228" i="1"/>
  <c r="B14229" i="1"/>
  <c r="B14230" i="1"/>
  <c r="B14231" i="1"/>
  <c r="B14232" i="1"/>
  <c r="B14233" i="1"/>
  <c r="B14234" i="1"/>
  <c r="B14235" i="1"/>
  <c r="B14236" i="1"/>
  <c r="B14237" i="1"/>
  <c r="B14238" i="1"/>
  <c r="B14239" i="1"/>
  <c r="B14240" i="1"/>
  <c r="B14241" i="1"/>
  <c r="B14242" i="1"/>
  <c r="B14243" i="1"/>
  <c r="B14244" i="1"/>
  <c r="B14245" i="1"/>
  <c r="B14246" i="1"/>
  <c r="B14247" i="1"/>
  <c r="B14248" i="1"/>
  <c r="B14249" i="1"/>
  <c r="B14250" i="1"/>
  <c r="B14251" i="1"/>
  <c r="B14252" i="1"/>
  <c r="B14253" i="1"/>
  <c r="B14254" i="1"/>
  <c r="B14255" i="1"/>
  <c r="B14256" i="1"/>
  <c r="B14257" i="1"/>
  <c r="B14258" i="1"/>
  <c r="B14259" i="1"/>
  <c r="B14260" i="1"/>
  <c r="B14261" i="1"/>
  <c r="B14262" i="1"/>
  <c r="B14263" i="1"/>
  <c r="B14264" i="1"/>
  <c r="B14265" i="1"/>
  <c r="B14266" i="1"/>
  <c r="B14267" i="1"/>
  <c r="B14268" i="1"/>
  <c r="B14269" i="1"/>
  <c r="B14270" i="1"/>
  <c r="B14271" i="1"/>
  <c r="B14272" i="1"/>
  <c r="B14273" i="1"/>
  <c r="B14274" i="1"/>
  <c r="B14275" i="1"/>
  <c r="B14276" i="1"/>
  <c r="B14277" i="1"/>
  <c r="B14278" i="1"/>
  <c r="B14279" i="1"/>
  <c r="B14280" i="1"/>
  <c r="B14281" i="1"/>
  <c r="B14282" i="1"/>
  <c r="B14283" i="1"/>
  <c r="B14284" i="1"/>
  <c r="B14285" i="1"/>
  <c r="B14286" i="1"/>
  <c r="B14287" i="1"/>
  <c r="B14288" i="1"/>
  <c r="B14289" i="1"/>
  <c r="B14290" i="1"/>
  <c r="B14291" i="1"/>
  <c r="B14292" i="1"/>
  <c r="B14293" i="1"/>
  <c r="B14294" i="1"/>
  <c r="B14295" i="1"/>
  <c r="B14296" i="1"/>
  <c r="B14297" i="1"/>
  <c r="B14298" i="1"/>
  <c r="B14299" i="1"/>
  <c r="B14300" i="1"/>
  <c r="B14301" i="1"/>
  <c r="B14302" i="1"/>
  <c r="B14303" i="1"/>
  <c r="B14304" i="1"/>
  <c r="B14305" i="1"/>
  <c r="B14306" i="1"/>
  <c r="B14307" i="1"/>
  <c r="B14308" i="1"/>
  <c r="B14309" i="1"/>
  <c r="B14310" i="1"/>
  <c r="B14311" i="1"/>
  <c r="B14312" i="1"/>
  <c r="B14313" i="1"/>
  <c r="B14314" i="1"/>
  <c r="B14315" i="1"/>
  <c r="B14316" i="1"/>
  <c r="B14317" i="1"/>
  <c r="B14318" i="1"/>
  <c r="B14319" i="1"/>
  <c r="B14320" i="1"/>
  <c r="B14321" i="1"/>
  <c r="B14322" i="1"/>
  <c r="B14323" i="1"/>
  <c r="B14324" i="1"/>
  <c r="B14325" i="1"/>
  <c r="B14326" i="1"/>
  <c r="B14327" i="1"/>
  <c r="B14328" i="1"/>
  <c r="B14329" i="1"/>
  <c r="B14330" i="1"/>
  <c r="B14331" i="1"/>
  <c r="B14332" i="1"/>
  <c r="B14333" i="1"/>
  <c r="B14334" i="1"/>
  <c r="B14335" i="1"/>
  <c r="B14336" i="1"/>
  <c r="B14337" i="1"/>
  <c r="B14338" i="1"/>
  <c r="B14339" i="1"/>
  <c r="B14340" i="1"/>
  <c r="B14341" i="1"/>
  <c r="B14342" i="1"/>
  <c r="B14343" i="1"/>
  <c r="B14344" i="1"/>
  <c r="B14345" i="1"/>
  <c r="B14346" i="1"/>
  <c r="B14347" i="1"/>
  <c r="B14348" i="1"/>
  <c r="B14349" i="1"/>
  <c r="B14350" i="1"/>
  <c r="B14351" i="1"/>
  <c r="B14352" i="1"/>
  <c r="B14353" i="1"/>
  <c r="B14354" i="1"/>
  <c r="B14355" i="1"/>
  <c r="B14356" i="1"/>
  <c r="B14357" i="1"/>
  <c r="B14358" i="1"/>
  <c r="B14359" i="1"/>
  <c r="B14360" i="1"/>
  <c r="B14361" i="1"/>
  <c r="B14362" i="1"/>
  <c r="B14363" i="1"/>
  <c r="B14364" i="1"/>
  <c r="B14365" i="1"/>
  <c r="B14366" i="1"/>
  <c r="B14367" i="1"/>
  <c r="B14368" i="1"/>
  <c r="B14369" i="1"/>
  <c r="B14370" i="1"/>
  <c r="B14371" i="1"/>
  <c r="B14372" i="1"/>
  <c r="B14373" i="1"/>
  <c r="B14374" i="1"/>
  <c r="B14375" i="1"/>
  <c r="B14376" i="1"/>
  <c r="B14377" i="1"/>
  <c r="B14378" i="1"/>
  <c r="B14379" i="1"/>
  <c r="B14380" i="1"/>
  <c r="B14381" i="1"/>
  <c r="B14382" i="1"/>
  <c r="B14383" i="1"/>
  <c r="B14384" i="1"/>
  <c r="B14385" i="1"/>
  <c r="B14386" i="1"/>
  <c r="B14387" i="1"/>
  <c r="B14388" i="1"/>
  <c r="B14389" i="1"/>
  <c r="B14390" i="1"/>
  <c r="B14391" i="1"/>
  <c r="B14392" i="1"/>
  <c r="B14393" i="1"/>
  <c r="B14394" i="1"/>
  <c r="B14395" i="1"/>
  <c r="B14396" i="1"/>
  <c r="B14397" i="1"/>
  <c r="B14398" i="1"/>
  <c r="B14399" i="1"/>
  <c r="B14400" i="1"/>
  <c r="B14401" i="1"/>
  <c r="B14402" i="1"/>
  <c r="B14403" i="1"/>
  <c r="B14404" i="1"/>
  <c r="B14405" i="1"/>
  <c r="B14406" i="1"/>
  <c r="B14407" i="1"/>
  <c r="B14408" i="1"/>
  <c r="B14409" i="1"/>
  <c r="B14410" i="1"/>
  <c r="B14411" i="1"/>
  <c r="B14412" i="1"/>
  <c r="B14413" i="1"/>
  <c r="B14414" i="1"/>
  <c r="B14415" i="1"/>
  <c r="B14416" i="1"/>
  <c r="B14417" i="1"/>
  <c r="B14418" i="1"/>
  <c r="B14419" i="1"/>
  <c r="B14420" i="1"/>
  <c r="B14421" i="1"/>
  <c r="B14422" i="1"/>
  <c r="B14423" i="1"/>
  <c r="B14424" i="1"/>
  <c r="B14425" i="1"/>
  <c r="B14426" i="1"/>
  <c r="B14427" i="1"/>
  <c r="B14428" i="1"/>
  <c r="B14429" i="1"/>
  <c r="B14430" i="1"/>
  <c r="B14431" i="1"/>
  <c r="B14432" i="1"/>
  <c r="B14433" i="1"/>
  <c r="B14434" i="1"/>
  <c r="B14435" i="1"/>
  <c r="B14436" i="1"/>
  <c r="B14437" i="1"/>
  <c r="B14438" i="1"/>
  <c r="B14439" i="1"/>
  <c r="B14440" i="1"/>
  <c r="B14441" i="1"/>
  <c r="B14442" i="1"/>
  <c r="B14443" i="1"/>
  <c r="B14444" i="1"/>
  <c r="B14445" i="1"/>
  <c r="B14446" i="1"/>
  <c r="B14447" i="1"/>
  <c r="B14448" i="1"/>
  <c r="B14449" i="1"/>
  <c r="B14450" i="1"/>
  <c r="B14451" i="1"/>
  <c r="B14452" i="1"/>
  <c r="B14453" i="1"/>
  <c r="B14454" i="1"/>
  <c r="B14455" i="1"/>
  <c r="B14456" i="1"/>
  <c r="B14457" i="1"/>
  <c r="B14458" i="1"/>
  <c r="B14459" i="1"/>
  <c r="B14460" i="1"/>
  <c r="B14461" i="1"/>
  <c r="B14462" i="1"/>
  <c r="B14463" i="1"/>
  <c r="B14464" i="1"/>
  <c r="B14465" i="1"/>
  <c r="B14466" i="1"/>
  <c r="B14467" i="1"/>
  <c r="B14468" i="1"/>
  <c r="B14469" i="1"/>
  <c r="B14470" i="1"/>
  <c r="B14471" i="1"/>
  <c r="B14472" i="1"/>
  <c r="B14473" i="1"/>
  <c r="B14474" i="1"/>
  <c r="B14475" i="1"/>
  <c r="B14476" i="1"/>
  <c r="B14477" i="1"/>
  <c r="B14478" i="1"/>
  <c r="B14479" i="1"/>
  <c r="B14480" i="1"/>
  <c r="B14481" i="1"/>
  <c r="B14482" i="1"/>
  <c r="B14483" i="1"/>
  <c r="B14484" i="1"/>
  <c r="B14485" i="1"/>
  <c r="B14486" i="1"/>
  <c r="B14487" i="1"/>
  <c r="B14488" i="1"/>
  <c r="B14489" i="1"/>
  <c r="B14490" i="1"/>
  <c r="B14491" i="1"/>
  <c r="B14492" i="1"/>
  <c r="B14493" i="1"/>
  <c r="B14494" i="1"/>
  <c r="B14495" i="1"/>
  <c r="B14496" i="1"/>
  <c r="B14497" i="1"/>
  <c r="B14498" i="1"/>
  <c r="B14499" i="1"/>
  <c r="B14500" i="1"/>
  <c r="B14501" i="1"/>
  <c r="B14502" i="1"/>
  <c r="B14503" i="1"/>
  <c r="B14504" i="1"/>
  <c r="B14505" i="1"/>
  <c r="B14506" i="1"/>
  <c r="B14507" i="1"/>
  <c r="B14508" i="1"/>
  <c r="B14509" i="1"/>
  <c r="B14510" i="1"/>
  <c r="B14511" i="1"/>
  <c r="B14512" i="1"/>
  <c r="B14513" i="1"/>
  <c r="B14514" i="1"/>
  <c r="B14515" i="1"/>
  <c r="B14516" i="1"/>
  <c r="B14517" i="1"/>
  <c r="B14518" i="1"/>
  <c r="B14519" i="1"/>
  <c r="B14520" i="1"/>
  <c r="B14521" i="1"/>
  <c r="B14522" i="1"/>
  <c r="B14523" i="1"/>
  <c r="B14524" i="1"/>
  <c r="B14525" i="1"/>
  <c r="B14526" i="1"/>
  <c r="B14527" i="1"/>
  <c r="B14528" i="1"/>
  <c r="B14529" i="1"/>
  <c r="B14530" i="1"/>
  <c r="B14531" i="1"/>
  <c r="B14532" i="1"/>
  <c r="B14533" i="1"/>
  <c r="B14534" i="1"/>
  <c r="B14535" i="1"/>
  <c r="B14536" i="1"/>
  <c r="B14537" i="1"/>
  <c r="B14538" i="1"/>
  <c r="B14539" i="1"/>
  <c r="B14540" i="1"/>
  <c r="B14541" i="1"/>
  <c r="B14542" i="1"/>
  <c r="B14543" i="1"/>
  <c r="B14544" i="1"/>
  <c r="B14545" i="1"/>
  <c r="B14546" i="1"/>
  <c r="B14547" i="1"/>
  <c r="B14548" i="1"/>
  <c r="B14549" i="1"/>
  <c r="B14550" i="1"/>
  <c r="B14551" i="1"/>
  <c r="B14552" i="1"/>
  <c r="B14553" i="1"/>
  <c r="B14554" i="1"/>
  <c r="B14555" i="1"/>
  <c r="B14556" i="1"/>
  <c r="B14557" i="1"/>
  <c r="B14558" i="1"/>
  <c r="B14559" i="1"/>
  <c r="B14560" i="1"/>
  <c r="B14561" i="1"/>
  <c r="B14562" i="1"/>
  <c r="B14563" i="1"/>
  <c r="B14564" i="1"/>
  <c r="B14565" i="1"/>
  <c r="B14566" i="1"/>
  <c r="B14567" i="1"/>
  <c r="B14568" i="1"/>
  <c r="B14569" i="1"/>
  <c r="B14570" i="1"/>
  <c r="B14571" i="1"/>
  <c r="B14572" i="1"/>
  <c r="B14573" i="1"/>
  <c r="B14574" i="1"/>
  <c r="B14575" i="1"/>
  <c r="B14576" i="1"/>
  <c r="B14577" i="1"/>
  <c r="B14578" i="1"/>
  <c r="B14579" i="1"/>
  <c r="B14580" i="1"/>
  <c r="B14581" i="1"/>
  <c r="B14582" i="1"/>
  <c r="B14583" i="1"/>
  <c r="B14584" i="1"/>
  <c r="B14585" i="1"/>
  <c r="B14586" i="1"/>
  <c r="B14587" i="1"/>
  <c r="B14588" i="1"/>
  <c r="B14589" i="1"/>
  <c r="B14590" i="1"/>
  <c r="B14591" i="1"/>
  <c r="B14592" i="1"/>
  <c r="B14593" i="1"/>
  <c r="B14594" i="1"/>
  <c r="B14595" i="1"/>
  <c r="B14596" i="1"/>
  <c r="B14597" i="1"/>
  <c r="B14598" i="1"/>
  <c r="B14599" i="1"/>
  <c r="B14600" i="1"/>
  <c r="B14601" i="1"/>
  <c r="B14602" i="1"/>
  <c r="B14603" i="1"/>
  <c r="B14604" i="1"/>
  <c r="B14605" i="1"/>
  <c r="B14606" i="1"/>
  <c r="B14607" i="1"/>
  <c r="B14608" i="1"/>
  <c r="B14609" i="1"/>
  <c r="B14610" i="1"/>
  <c r="B14611" i="1"/>
  <c r="B14612" i="1"/>
  <c r="B14613" i="1"/>
  <c r="B14614" i="1"/>
  <c r="B14615" i="1"/>
  <c r="B14616" i="1"/>
  <c r="B14617" i="1"/>
  <c r="B14618" i="1"/>
  <c r="B14619" i="1"/>
  <c r="B14620" i="1"/>
  <c r="B14621" i="1"/>
  <c r="B14622" i="1"/>
  <c r="B14623" i="1"/>
  <c r="B14624" i="1"/>
  <c r="B14625" i="1"/>
  <c r="B14626" i="1"/>
  <c r="B14627" i="1"/>
  <c r="B14628" i="1"/>
  <c r="B14629" i="1"/>
  <c r="B14630" i="1"/>
  <c r="B14631" i="1"/>
  <c r="B14632" i="1"/>
  <c r="B14633" i="1"/>
  <c r="B14634" i="1"/>
  <c r="B14635" i="1"/>
  <c r="B14636" i="1"/>
  <c r="B14637" i="1"/>
  <c r="B14638" i="1"/>
  <c r="B14639" i="1"/>
  <c r="B14640" i="1"/>
  <c r="B14641" i="1"/>
  <c r="B14642" i="1"/>
  <c r="B14643" i="1"/>
  <c r="B14644" i="1"/>
  <c r="B14645" i="1"/>
  <c r="B14646" i="1"/>
  <c r="B14647" i="1"/>
  <c r="B14648" i="1"/>
  <c r="B14649" i="1"/>
  <c r="B14650" i="1"/>
  <c r="B14651" i="1"/>
  <c r="B14652" i="1"/>
  <c r="B14653" i="1"/>
  <c r="B14654" i="1"/>
  <c r="B14655" i="1"/>
  <c r="B14656" i="1"/>
  <c r="B14657" i="1"/>
  <c r="B14658" i="1"/>
  <c r="B14659" i="1"/>
  <c r="B14660" i="1"/>
  <c r="B14661" i="1"/>
  <c r="B14662" i="1"/>
  <c r="B14663" i="1"/>
  <c r="B14664" i="1"/>
  <c r="B14665" i="1"/>
  <c r="B14666" i="1"/>
  <c r="B14667" i="1"/>
  <c r="B14668" i="1"/>
  <c r="B14669" i="1"/>
  <c r="B14670" i="1"/>
  <c r="B14671" i="1"/>
  <c r="B14672" i="1"/>
  <c r="B14673" i="1"/>
  <c r="B14674" i="1"/>
  <c r="B14675" i="1"/>
  <c r="B14676" i="1"/>
  <c r="B14677" i="1"/>
  <c r="B14678" i="1"/>
  <c r="B14679" i="1"/>
  <c r="B14680" i="1"/>
  <c r="B14681" i="1"/>
  <c r="B14682" i="1"/>
  <c r="B14683" i="1"/>
  <c r="B14684" i="1"/>
  <c r="B14685" i="1"/>
  <c r="B14686" i="1"/>
  <c r="B14687" i="1"/>
  <c r="B14688" i="1"/>
  <c r="B14689" i="1"/>
  <c r="B14690" i="1"/>
  <c r="B14691" i="1"/>
  <c r="B14692" i="1"/>
  <c r="B14693" i="1"/>
  <c r="B14694" i="1"/>
  <c r="B14695" i="1"/>
  <c r="B14696" i="1"/>
  <c r="B14697" i="1"/>
  <c r="B14698" i="1"/>
  <c r="B14699" i="1"/>
  <c r="B14700" i="1"/>
  <c r="B14701" i="1"/>
  <c r="B14702" i="1"/>
  <c r="B14703" i="1"/>
  <c r="B14704" i="1"/>
  <c r="B14705" i="1"/>
  <c r="B14706" i="1"/>
  <c r="B14707" i="1"/>
  <c r="B14708" i="1"/>
  <c r="B14709" i="1"/>
  <c r="B14710" i="1"/>
  <c r="B14711" i="1"/>
  <c r="B14712" i="1"/>
  <c r="B14713" i="1"/>
  <c r="B14714" i="1"/>
  <c r="B14715" i="1"/>
  <c r="B14716" i="1"/>
  <c r="B14717" i="1"/>
  <c r="B14718" i="1"/>
  <c r="B14719" i="1"/>
  <c r="B14720" i="1"/>
  <c r="B14721" i="1"/>
  <c r="B14722" i="1"/>
  <c r="B14723" i="1"/>
  <c r="B14724" i="1"/>
  <c r="B14725" i="1"/>
  <c r="B14726" i="1"/>
  <c r="B14727" i="1"/>
  <c r="B14728" i="1"/>
  <c r="B14729" i="1"/>
  <c r="B14730" i="1"/>
  <c r="B14731" i="1"/>
  <c r="B14732" i="1"/>
  <c r="B14733" i="1"/>
  <c r="B14734" i="1"/>
  <c r="B14735" i="1"/>
  <c r="B14736" i="1"/>
  <c r="B14737" i="1"/>
  <c r="B14738" i="1"/>
  <c r="B14739" i="1"/>
  <c r="B14740" i="1"/>
  <c r="B14741" i="1"/>
  <c r="B14742" i="1"/>
  <c r="B14743" i="1"/>
  <c r="B14744" i="1"/>
  <c r="B14745" i="1"/>
  <c r="B14746" i="1"/>
  <c r="B14747" i="1"/>
  <c r="B14748" i="1"/>
  <c r="B14749" i="1"/>
  <c r="B14750" i="1"/>
  <c r="B14751" i="1"/>
  <c r="B14752" i="1"/>
  <c r="B14753" i="1"/>
  <c r="B14754" i="1"/>
  <c r="B14755" i="1"/>
  <c r="B14756" i="1"/>
  <c r="B14757" i="1"/>
  <c r="B14758" i="1"/>
  <c r="B14759" i="1"/>
  <c r="B14760" i="1"/>
  <c r="B14761" i="1"/>
  <c r="B14762" i="1"/>
  <c r="B14763" i="1"/>
  <c r="B14764" i="1"/>
  <c r="B14765" i="1"/>
  <c r="B14766" i="1"/>
  <c r="B14767" i="1"/>
  <c r="B14768" i="1"/>
  <c r="B14769" i="1"/>
  <c r="B14770" i="1"/>
  <c r="B14771" i="1"/>
  <c r="B14772" i="1"/>
  <c r="B14773" i="1"/>
  <c r="B14774" i="1"/>
  <c r="B14775" i="1"/>
  <c r="B14776" i="1"/>
  <c r="B14777" i="1"/>
  <c r="B14778" i="1"/>
  <c r="B14779" i="1"/>
  <c r="B14780" i="1"/>
  <c r="B14781" i="1"/>
  <c r="B14782" i="1"/>
  <c r="B14783" i="1"/>
  <c r="B14784" i="1"/>
  <c r="B14785" i="1"/>
  <c r="B14786" i="1"/>
  <c r="B14787" i="1"/>
  <c r="B14788" i="1"/>
  <c r="B14789" i="1"/>
  <c r="B14790" i="1"/>
  <c r="B14791" i="1"/>
  <c r="B14792" i="1"/>
  <c r="B14793" i="1"/>
  <c r="B14794" i="1"/>
  <c r="B14795" i="1"/>
  <c r="B14796" i="1"/>
  <c r="B14797" i="1"/>
  <c r="B14798" i="1"/>
  <c r="B14799" i="1"/>
  <c r="B14800" i="1"/>
  <c r="B14801" i="1"/>
  <c r="B14802" i="1"/>
  <c r="B14803" i="1"/>
  <c r="B14804" i="1"/>
  <c r="B14805" i="1"/>
  <c r="B14806" i="1"/>
  <c r="B14807" i="1"/>
  <c r="B14808" i="1"/>
  <c r="B14809" i="1"/>
  <c r="B14810" i="1"/>
  <c r="B14811" i="1"/>
  <c r="B14812" i="1"/>
  <c r="B14813" i="1"/>
  <c r="B14814" i="1"/>
  <c r="B14815" i="1"/>
  <c r="B14816" i="1"/>
  <c r="B14817" i="1"/>
  <c r="B14818" i="1"/>
  <c r="B14819" i="1"/>
  <c r="B14820" i="1"/>
  <c r="B14821" i="1"/>
  <c r="B14822" i="1"/>
  <c r="B14823" i="1"/>
  <c r="B14824" i="1"/>
  <c r="B14825" i="1"/>
  <c r="B14826" i="1"/>
  <c r="B14827" i="1"/>
  <c r="B14828" i="1"/>
  <c r="B14829" i="1"/>
  <c r="B14830" i="1"/>
  <c r="B14831" i="1"/>
  <c r="B14832" i="1"/>
  <c r="B14833" i="1"/>
  <c r="B14834" i="1"/>
  <c r="B14835" i="1"/>
  <c r="B14836" i="1"/>
  <c r="B14837" i="1"/>
  <c r="B14838" i="1"/>
  <c r="B14839" i="1"/>
  <c r="B14840" i="1"/>
  <c r="B14841" i="1"/>
  <c r="B14842" i="1"/>
  <c r="B14843" i="1"/>
  <c r="B14844" i="1"/>
  <c r="B14845" i="1"/>
  <c r="B14846" i="1"/>
  <c r="B14847" i="1"/>
  <c r="B14848" i="1"/>
  <c r="B14849" i="1"/>
  <c r="B14850" i="1"/>
  <c r="B14851" i="1"/>
  <c r="B14852" i="1"/>
  <c r="B14853" i="1"/>
  <c r="B14854" i="1"/>
  <c r="B14855" i="1"/>
  <c r="B14856" i="1"/>
  <c r="B14857" i="1"/>
  <c r="B14858" i="1"/>
  <c r="B14859" i="1"/>
  <c r="B14860" i="1"/>
  <c r="B14861" i="1"/>
  <c r="B14862" i="1"/>
  <c r="B14863" i="1"/>
  <c r="B14864" i="1"/>
  <c r="B14865" i="1"/>
  <c r="B14866" i="1"/>
  <c r="B14867" i="1"/>
  <c r="B14868" i="1"/>
  <c r="B14869" i="1"/>
  <c r="B14870" i="1"/>
  <c r="B14871" i="1"/>
  <c r="B14872" i="1"/>
  <c r="B14873" i="1"/>
  <c r="B14874" i="1"/>
  <c r="B14875" i="1"/>
  <c r="B14876" i="1"/>
  <c r="B14877" i="1"/>
  <c r="B14878" i="1"/>
  <c r="B14879" i="1"/>
  <c r="B14880" i="1"/>
  <c r="B14881" i="1"/>
  <c r="B14882" i="1"/>
  <c r="B14883" i="1"/>
  <c r="B14884" i="1"/>
  <c r="B14885" i="1"/>
  <c r="B14886" i="1"/>
  <c r="B14887" i="1"/>
  <c r="B14888" i="1"/>
  <c r="B14889" i="1"/>
  <c r="B14890" i="1"/>
  <c r="B14891" i="1"/>
  <c r="B14892" i="1"/>
  <c r="B14893" i="1"/>
  <c r="B14894" i="1"/>
  <c r="B14895" i="1"/>
  <c r="B14896" i="1"/>
  <c r="B14897" i="1"/>
  <c r="B14898" i="1"/>
  <c r="B14899" i="1"/>
  <c r="B14900" i="1"/>
  <c r="B14901" i="1"/>
  <c r="B14902" i="1"/>
  <c r="B14903" i="1"/>
  <c r="B14904" i="1"/>
  <c r="B14905" i="1"/>
  <c r="B14906" i="1"/>
  <c r="B14907" i="1"/>
  <c r="B14908" i="1"/>
  <c r="B14909" i="1"/>
  <c r="B14910" i="1"/>
  <c r="B14911" i="1"/>
  <c r="B14912" i="1"/>
  <c r="B14913" i="1"/>
  <c r="B14914" i="1"/>
  <c r="B14915" i="1"/>
  <c r="B14916" i="1"/>
  <c r="B14917" i="1"/>
  <c r="B14918" i="1"/>
  <c r="B14919" i="1"/>
  <c r="B14920" i="1"/>
  <c r="B14921" i="1"/>
  <c r="B14922" i="1"/>
  <c r="B14923" i="1"/>
  <c r="B14924" i="1"/>
  <c r="B14925" i="1"/>
  <c r="B14926" i="1"/>
  <c r="B14927" i="1"/>
  <c r="B14928" i="1"/>
  <c r="B14929" i="1"/>
  <c r="B14930" i="1"/>
  <c r="B14931" i="1"/>
  <c r="B14932" i="1"/>
  <c r="B14933" i="1"/>
  <c r="B14934" i="1"/>
  <c r="B14935" i="1"/>
  <c r="B14936" i="1"/>
  <c r="B14937" i="1"/>
  <c r="B14938" i="1"/>
  <c r="B14939" i="1"/>
  <c r="B14940" i="1"/>
  <c r="B14941" i="1"/>
  <c r="B14942" i="1"/>
  <c r="B14943" i="1"/>
  <c r="B14944" i="1"/>
  <c r="B14945" i="1"/>
  <c r="B14946" i="1"/>
  <c r="B14947" i="1"/>
  <c r="B14948" i="1"/>
  <c r="B14949" i="1"/>
  <c r="B14950" i="1"/>
  <c r="B14951" i="1"/>
  <c r="B14952" i="1"/>
  <c r="B14953" i="1"/>
  <c r="B14954" i="1"/>
  <c r="B14955" i="1"/>
  <c r="B14956" i="1"/>
  <c r="B14957" i="1"/>
  <c r="B14958" i="1"/>
  <c r="B14959" i="1"/>
  <c r="B14960" i="1"/>
  <c r="B14961" i="1"/>
  <c r="B14962" i="1"/>
  <c r="B14963" i="1"/>
  <c r="B14964" i="1"/>
  <c r="B14965" i="1"/>
  <c r="B14966" i="1"/>
  <c r="B14967" i="1"/>
  <c r="B14968" i="1"/>
  <c r="B14969" i="1"/>
  <c r="B14970" i="1"/>
  <c r="B14971" i="1"/>
  <c r="B14972" i="1"/>
  <c r="B14973" i="1"/>
  <c r="B14974" i="1"/>
  <c r="B14975" i="1"/>
  <c r="B14976" i="1"/>
  <c r="B14977" i="1"/>
  <c r="B14978" i="1"/>
  <c r="B14979" i="1"/>
  <c r="B14980" i="1"/>
  <c r="B14981" i="1"/>
  <c r="B14982" i="1"/>
  <c r="B14983" i="1"/>
  <c r="B14984" i="1"/>
  <c r="B14985" i="1"/>
  <c r="B14986" i="1"/>
  <c r="B14987" i="1"/>
  <c r="B14988" i="1"/>
  <c r="B14989" i="1"/>
  <c r="B14990" i="1"/>
  <c r="B14991" i="1"/>
  <c r="B14992" i="1"/>
  <c r="B14993" i="1"/>
  <c r="B14994" i="1"/>
  <c r="B14995" i="1"/>
  <c r="B14996" i="1"/>
  <c r="B14997" i="1"/>
  <c r="B14998" i="1"/>
  <c r="B14999" i="1"/>
  <c r="B15000" i="1"/>
  <c r="B15001" i="1"/>
  <c r="B15002" i="1"/>
  <c r="B15003" i="1"/>
  <c r="B15004" i="1"/>
  <c r="B15005" i="1"/>
  <c r="B15006" i="1"/>
  <c r="B15007" i="1"/>
  <c r="B15008" i="1"/>
  <c r="B15009" i="1"/>
  <c r="B15010" i="1"/>
  <c r="B15011" i="1"/>
  <c r="B15012" i="1"/>
  <c r="B15013" i="1"/>
  <c r="B15014" i="1"/>
  <c r="B15015" i="1"/>
  <c r="B15016" i="1"/>
  <c r="B15017" i="1"/>
  <c r="B15018" i="1"/>
  <c r="B15019" i="1"/>
  <c r="B15020" i="1"/>
  <c r="B15021" i="1"/>
  <c r="B15022" i="1"/>
  <c r="B15023" i="1"/>
  <c r="B15024" i="1"/>
  <c r="B15025" i="1"/>
  <c r="B15026" i="1"/>
  <c r="B15027" i="1"/>
  <c r="B15028" i="1"/>
  <c r="B15029" i="1"/>
  <c r="B15030" i="1"/>
  <c r="B15031" i="1"/>
  <c r="B15032" i="1"/>
  <c r="B15033" i="1"/>
  <c r="B15034" i="1"/>
  <c r="B15035" i="1"/>
  <c r="B15036" i="1"/>
  <c r="B15037" i="1"/>
  <c r="B15038" i="1"/>
  <c r="B15039" i="1"/>
  <c r="B15040" i="1"/>
  <c r="B15041" i="1"/>
  <c r="B15042" i="1"/>
  <c r="B15043" i="1"/>
  <c r="B15044" i="1"/>
  <c r="B15045" i="1"/>
  <c r="B15046" i="1"/>
  <c r="B15047" i="1"/>
  <c r="B15048" i="1"/>
  <c r="B15049" i="1"/>
  <c r="B15050" i="1"/>
  <c r="B15051" i="1"/>
  <c r="B15052" i="1"/>
  <c r="B15053" i="1"/>
  <c r="B15054" i="1"/>
  <c r="B15055" i="1"/>
  <c r="B15056" i="1"/>
  <c r="B15057" i="1"/>
  <c r="B15058" i="1"/>
  <c r="B15059" i="1"/>
  <c r="B15060" i="1"/>
  <c r="B15061" i="1"/>
  <c r="B15062" i="1"/>
  <c r="B15063" i="1"/>
  <c r="B15064" i="1"/>
  <c r="B15065" i="1"/>
  <c r="B15066" i="1"/>
  <c r="B15067" i="1"/>
  <c r="B15068" i="1"/>
  <c r="B15069" i="1"/>
  <c r="B15070" i="1"/>
  <c r="B15071" i="1"/>
  <c r="B15072" i="1"/>
  <c r="B15073" i="1"/>
  <c r="B15074" i="1"/>
  <c r="B15075" i="1"/>
  <c r="B15076" i="1"/>
  <c r="B15077" i="1"/>
  <c r="B15078" i="1"/>
  <c r="B15079" i="1"/>
  <c r="B15080" i="1"/>
  <c r="B15081" i="1"/>
  <c r="B15082" i="1"/>
  <c r="B15083" i="1"/>
  <c r="B15084" i="1"/>
  <c r="B15085" i="1"/>
  <c r="B15086" i="1"/>
  <c r="B15087" i="1"/>
  <c r="B15088" i="1"/>
  <c r="B15089" i="1"/>
  <c r="B15090" i="1"/>
  <c r="B15091" i="1"/>
  <c r="B15092" i="1"/>
  <c r="B15093" i="1"/>
  <c r="B15094" i="1"/>
  <c r="B15095" i="1"/>
  <c r="B15096" i="1"/>
  <c r="B15097" i="1"/>
  <c r="B15098" i="1"/>
  <c r="B15099" i="1"/>
  <c r="B15100" i="1"/>
  <c r="B15101" i="1"/>
  <c r="B15102" i="1"/>
  <c r="B15103" i="1"/>
  <c r="B15104" i="1"/>
  <c r="B15105" i="1"/>
  <c r="B15106" i="1"/>
  <c r="B15107" i="1"/>
  <c r="B15108" i="1"/>
  <c r="B15109" i="1"/>
  <c r="B15110" i="1"/>
  <c r="B15111" i="1"/>
  <c r="B15112" i="1"/>
  <c r="B15113" i="1"/>
  <c r="B15114" i="1"/>
  <c r="B15115" i="1"/>
  <c r="B15116" i="1"/>
  <c r="B15117" i="1"/>
  <c r="B15118" i="1"/>
  <c r="B15119" i="1"/>
  <c r="B15120" i="1"/>
  <c r="B15121" i="1"/>
  <c r="B15122" i="1"/>
  <c r="B15123" i="1"/>
  <c r="B15124" i="1"/>
  <c r="B15125" i="1"/>
  <c r="B15126" i="1"/>
  <c r="B15127" i="1"/>
  <c r="B15128" i="1"/>
  <c r="B15129" i="1"/>
  <c r="B15130" i="1"/>
  <c r="B15131" i="1"/>
  <c r="B15132" i="1"/>
  <c r="B15133" i="1"/>
  <c r="B15134" i="1"/>
  <c r="B15135" i="1"/>
  <c r="B15136" i="1"/>
  <c r="B15137" i="1"/>
  <c r="B15138" i="1"/>
  <c r="B15139" i="1"/>
  <c r="B15140" i="1"/>
  <c r="B15141" i="1"/>
  <c r="B15142" i="1"/>
  <c r="B15143" i="1"/>
  <c r="B15144" i="1"/>
  <c r="B15145" i="1"/>
  <c r="B15146" i="1"/>
  <c r="B15147" i="1"/>
  <c r="B15148" i="1"/>
  <c r="B15149" i="1"/>
  <c r="B15150" i="1"/>
  <c r="B15151" i="1"/>
  <c r="B15152" i="1"/>
  <c r="B15153" i="1"/>
  <c r="B15154" i="1"/>
  <c r="B15155" i="1"/>
  <c r="B15156" i="1"/>
  <c r="B15157" i="1"/>
  <c r="B15158" i="1"/>
  <c r="B15159" i="1"/>
  <c r="B15160" i="1"/>
  <c r="B15161" i="1"/>
  <c r="B15162" i="1"/>
  <c r="B15163" i="1"/>
  <c r="B15164" i="1"/>
  <c r="B15165" i="1"/>
  <c r="B15166" i="1"/>
  <c r="B15167" i="1"/>
  <c r="B15168" i="1"/>
  <c r="B15169" i="1"/>
  <c r="B15170" i="1"/>
  <c r="B15171" i="1"/>
  <c r="B15172" i="1"/>
  <c r="B15173" i="1"/>
  <c r="B15174" i="1"/>
  <c r="B15175" i="1"/>
  <c r="B15176" i="1"/>
  <c r="B15177" i="1"/>
  <c r="B15178" i="1"/>
  <c r="B15179" i="1"/>
  <c r="B15180" i="1"/>
  <c r="B15181" i="1"/>
  <c r="B15182" i="1"/>
  <c r="B15183" i="1"/>
  <c r="B15184" i="1"/>
  <c r="B15185" i="1"/>
  <c r="B15186" i="1"/>
  <c r="B15187" i="1"/>
  <c r="B15188" i="1"/>
  <c r="B15189" i="1"/>
  <c r="B15190" i="1"/>
  <c r="B15191" i="1"/>
  <c r="B15192" i="1"/>
  <c r="B15193" i="1"/>
  <c r="B15194" i="1"/>
  <c r="B15195" i="1"/>
  <c r="B15196" i="1"/>
  <c r="B15197" i="1"/>
  <c r="B15198" i="1"/>
  <c r="B15199" i="1"/>
  <c r="B15200" i="1"/>
  <c r="B15201" i="1"/>
  <c r="B15202" i="1"/>
  <c r="B15203" i="1"/>
  <c r="B15204" i="1"/>
  <c r="B15205" i="1"/>
  <c r="B15206" i="1"/>
  <c r="B15207" i="1"/>
  <c r="B15208" i="1"/>
  <c r="B15209" i="1"/>
  <c r="B15210" i="1"/>
  <c r="B15211" i="1"/>
  <c r="B15212" i="1"/>
  <c r="B15213" i="1"/>
  <c r="B15214" i="1"/>
  <c r="B15215" i="1"/>
  <c r="B15216" i="1"/>
  <c r="B15217" i="1"/>
  <c r="B15218" i="1"/>
  <c r="B15219" i="1"/>
  <c r="B15220" i="1"/>
  <c r="B15221" i="1"/>
  <c r="B15222" i="1"/>
  <c r="B15223" i="1"/>
  <c r="B15224" i="1"/>
  <c r="B15225" i="1"/>
  <c r="B15226" i="1"/>
  <c r="B15227" i="1"/>
  <c r="B15228" i="1"/>
  <c r="B15229" i="1"/>
  <c r="B15230" i="1"/>
  <c r="B15231" i="1"/>
  <c r="B15232" i="1"/>
  <c r="B15233" i="1"/>
  <c r="B15234" i="1"/>
  <c r="B15235" i="1"/>
  <c r="B15236" i="1"/>
  <c r="B15237" i="1"/>
  <c r="B15238" i="1"/>
  <c r="B15239" i="1"/>
  <c r="B15240" i="1"/>
  <c r="B15241" i="1"/>
  <c r="B15242" i="1"/>
  <c r="B15243" i="1"/>
  <c r="B15244" i="1"/>
  <c r="B15245" i="1"/>
  <c r="B15246" i="1"/>
  <c r="B15247" i="1"/>
  <c r="B15248" i="1"/>
  <c r="B15249" i="1"/>
  <c r="B15250" i="1"/>
  <c r="B15251" i="1"/>
  <c r="B15252" i="1"/>
  <c r="B15253" i="1"/>
  <c r="B15254" i="1"/>
  <c r="B15255" i="1"/>
  <c r="B15256" i="1"/>
  <c r="B15257" i="1"/>
  <c r="B15258" i="1"/>
  <c r="B15259" i="1"/>
  <c r="B15260" i="1"/>
  <c r="B15261" i="1"/>
  <c r="B15262" i="1"/>
  <c r="B15263" i="1"/>
  <c r="B15264" i="1"/>
  <c r="B15265" i="1"/>
  <c r="B15266" i="1"/>
  <c r="B15267" i="1"/>
  <c r="B15268" i="1"/>
  <c r="B15269" i="1"/>
  <c r="B15270" i="1"/>
  <c r="B15271" i="1"/>
  <c r="B15272" i="1"/>
  <c r="B15273" i="1"/>
  <c r="B15274" i="1"/>
  <c r="B15275" i="1"/>
  <c r="B15276" i="1"/>
  <c r="B15277" i="1"/>
  <c r="B15278" i="1"/>
  <c r="B15279" i="1"/>
  <c r="B15280" i="1"/>
  <c r="B15281" i="1"/>
  <c r="B15282" i="1"/>
  <c r="B15283" i="1"/>
  <c r="B15284" i="1"/>
  <c r="B15285" i="1"/>
  <c r="B15286" i="1"/>
  <c r="B15287" i="1"/>
  <c r="B15288" i="1"/>
  <c r="B15289" i="1"/>
  <c r="B15290" i="1"/>
  <c r="B15291" i="1"/>
  <c r="B15292" i="1"/>
  <c r="B15293" i="1"/>
  <c r="B15294" i="1"/>
  <c r="B15295" i="1"/>
  <c r="B15296" i="1"/>
  <c r="B15297" i="1"/>
  <c r="B15298" i="1"/>
  <c r="B15299" i="1"/>
  <c r="B15300" i="1"/>
  <c r="B15301" i="1"/>
  <c r="B15302" i="1"/>
  <c r="B15303" i="1"/>
  <c r="B15304" i="1"/>
  <c r="B15305" i="1"/>
  <c r="B15306" i="1"/>
  <c r="B15307" i="1"/>
  <c r="B15308" i="1"/>
  <c r="B15309" i="1"/>
  <c r="B15310" i="1"/>
  <c r="B15311" i="1"/>
  <c r="B15312" i="1"/>
  <c r="B15313" i="1"/>
  <c r="B15314" i="1"/>
  <c r="B15315" i="1"/>
  <c r="B15316" i="1"/>
  <c r="B15317" i="1"/>
  <c r="B15318" i="1"/>
  <c r="B15319" i="1"/>
  <c r="B15320" i="1"/>
  <c r="B15321" i="1"/>
  <c r="B15322" i="1"/>
  <c r="B15323" i="1"/>
  <c r="B15324" i="1"/>
  <c r="B15325" i="1"/>
  <c r="B15326" i="1"/>
  <c r="B15327" i="1"/>
  <c r="B15328" i="1"/>
  <c r="B15329" i="1"/>
  <c r="B15330" i="1"/>
  <c r="B15331" i="1"/>
  <c r="B15332" i="1"/>
  <c r="B15333" i="1"/>
  <c r="B15334" i="1"/>
  <c r="B15335" i="1"/>
  <c r="B15336" i="1"/>
  <c r="B15337" i="1"/>
  <c r="B15338" i="1"/>
  <c r="B15339" i="1"/>
  <c r="B15340" i="1"/>
  <c r="B15341" i="1"/>
  <c r="B15342" i="1"/>
  <c r="B15343" i="1"/>
  <c r="B15344" i="1"/>
  <c r="B15345" i="1"/>
  <c r="B15346" i="1"/>
  <c r="B15347" i="1"/>
  <c r="B15348" i="1"/>
  <c r="B15349" i="1"/>
  <c r="B15350" i="1"/>
  <c r="B15351" i="1"/>
  <c r="B15352" i="1"/>
  <c r="B15353" i="1"/>
  <c r="B15354" i="1"/>
  <c r="B15355" i="1"/>
  <c r="B15356" i="1"/>
  <c r="B15357" i="1"/>
  <c r="B15358" i="1"/>
  <c r="B15359" i="1"/>
  <c r="B15360" i="1"/>
  <c r="B15361" i="1"/>
  <c r="B15362" i="1"/>
  <c r="B15363" i="1"/>
  <c r="B15364" i="1"/>
  <c r="B15365" i="1"/>
  <c r="B15366" i="1"/>
  <c r="B15367" i="1"/>
  <c r="B15368" i="1"/>
  <c r="B15369" i="1"/>
  <c r="B15370" i="1"/>
  <c r="B15371" i="1"/>
  <c r="B15372" i="1"/>
  <c r="B15373" i="1"/>
  <c r="B15374" i="1"/>
  <c r="B15375" i="1"/>
  <c r="B15376" i="1"/>
  <c r="B15377" i="1"/>
  <c r="B15378" i="1"/>
  <c r="B15379" i="1"/>
  <c r="B15380" i="1"/>
  <c r="B15381" i="1"/>
  <c r="B15382" i="1"/>
  <c r="B15383" i="1"/>
  <c r="B15384" i="1"/>
  <c r="B15385" i="1"/>
  <c r="B15386" i="1"/>
  <c r="B15387" i="1"/>
  <c r="B15388" i="1"/>
  <c r="B15389" i="1"/>
  <c r="B15390" i="1"/>
  <c r="B15391" i="1"/>
  <c r="B15392" i="1"/>
  <c r="B15393" i="1"/>
  <c r="B15394" i="1"/>
  <c r="B15395" i="1"/>
  <c r="B15396" i="1"/>
  <c r="B15397" i="1"/>
  <c r="B15398" i="1"/>
  <c r="B15399" i="1"/>
  <c r="B15400" i="1"/>
  <c r="B15401" i="1"/>
  <c r="B15402" i="1"/>
  <c r="B15403" i="1"/>
  <c r="B15404" i="1"/>
  <c r="B15405" i="1"/>
  <c r="B15406" i="1"/>
  <c r="B15407" i="1"/>
  <c r="B15408" i="1"/>
  <c r="B15409" i="1"/>
  <c r="B15410" i="1"/>
  <c r="B15411" i="1"/>
  <c r="B15412" i="1"/>
  <c r="B15413" i="1"/>
  <c r="B15414" i="1"/>
  <c r="B15415" i="1"/>
  <c r="B15416" i="1"/>
  <c r="B15417" i="1"/>
  <c r="B15418" i="1"/>
  <c r="B15419" i="1"/>
  <c r="B15420" i="1"/>
  <c r="B15421" i="1"/>
  <c r="B15422" i="1"/>
  <c r="B15423" i="1"/>
  <c r="B15424" i="1"/>
  <c r="B15425" i="1"/>
  <c r="B15426" i="1"/>
  <c r="B15427" i="1"/>
  <c r="B15428" i="1"/>
  <c r="B15429" i="1"/>
  <c r="B15430" i="1"/>
  <c r="B15431" i="1"/>
  <c r="B15432" i="1"/>
  <c r="B15433" i="1"/>
  <c r="B15434" i="1"/>
  <c r="B15435" i="1"/>
  <c r="B15436" i="1"/>
  <c r="B15437" i="1"/>
  <c r="B15438" i="1"/>
  <c r="B15439" i="1"/>
  <c r="B15440" i="1"/>
  <c r="B15441" i="1"/>
  <c r="B15442" i="1"/>
  <c r="B15443" i="1"/>
  <c r="B15444" i="1"/>
  <c r="B15445" i="1"/>
  <c r="B15446" i="1"/>
  <c r="B15447" i="1"/>
  <c r="B15448" i="1"/>
  <c r="B15449" i="1"/>
  <c r="B15450" i="1"/>
  <c r="B15451" i="1"/>
  <c r="B15452" i="1"/>
  <c r="B15453" i="1"/>
  <c r="B15454" i="1"/>
  <c r="B15455" i="1"/>
  <c r="B15456" i="1"/>
  <c r="B15457" i="1"/>
  <c r="B15458" i="1"/>
  <c r="B15459" i="1"/>
  <c r="B15460" i="1"/>
  <c r="B15461" i="1"/>
  <c r="B15462" i="1"/>
  <c r="B15463" i="1"/>
  <c r="B15464" i="1"/>
  <c r="B15465" i="1"/>
  <c r="B15466" i="1"/>
  <c r="B15467" i="1"/>
  <c r="B15468" i="1"/>
  <c r="B15469" i="1"/>
  <c r="B15470" i="1"/>
  <c r="B15471" i="1"/>
  <c r="B15472" i="1"/>
  <c r="B15473" i="1"/>
  <c r="B15474" i="1"/>
  <c r="B15475" i="1"/>
  <c r="B15476" i="1"/>
  <c r="B15477" i="1"/>
  <c r="B15478" i="1"/>
  <c r="B15479" i="1"/>
  <c r="B15480" i="1"/>
  <c r="B15481" i="1"/>
  <c r="B15482" i="1"/>
  <c r="B15483" i="1"/>
  <c r="B15484" i="1"/>
  <c r="B15485" i="1"/>
  <c r="B15486" i="1"/>
  <c r="B15487" i="1"/>
  <c r="B15488" i="1"/>
  <c r="B15489" i="1"/>
  <c r="B15490" i="1"/>
  <c r="B15491" i="1"/>
  <c r="B15492" i="1"/>
  <c r="B15493" i="1"/>
  <c r="B15494" i="1"/>
  <c r="B15495" i="1"/>
  <c r="B15496" i="1"/>
  <c r="B15497" i="1"/>
  <c r="B15498" i="1"/>
  <c r="B15499" i="1"/>
  <c r="B15500" i="1"/>
  <c r="B15501" i="1"/>
  <c r="B15502" i="1"/>
  <c r="B15503" i="1"/>
  <c r="B15504" i="1"/>
  <c r="B15505" i="1"/>
  <c r="B15506" i="1"/>
  <c r="B15507" i="1"/>
  <c r="B15508" i="1"/>
  <c r="B15509" i="1"/>
  <c r="B15510" i="1"/>
  <c r="B15511" i="1"/>
  <c r="B15512" i="1"/>
  <c r="B15513" i="1"/>
  <c r="B15514" i="1"/>
  <c r="B15515" i="1"/>
  <c r="B15516" i="1"/>
  <c r="B15517" i="1"/>
  <c r="B15518" i="1"/>
  <c r="B15519" i="1"/>
  <c r="B15520" i="1"/>
  <c r="B15521" i="1"/>
  <c r="B15522" i="1"/>
  <c r="B15523" i="1"/>
  <c r="B15524" i="1"/>
  <c r="B15525" i="1"/>
  <c r="B15526" i="1"/>
  <c r="B15527" i="1"/>
  <c r="B15528" i="1"/>
  <c r="B15529" i="1"/>
  <c r="B15530" i="1"/>
  <c r="B15531" i="1"/>
  <c r="B15532" i="1"/>
  <c r="B15533" i="1"/>
  <c r="B15534" i="1"/>
  <c r="B15535" i="1"/>
  <c r="B15536" i="1"/>
  <c r="B15537" i="1"/>
  <c r="B15538" i="1"/>
  <c r="B15539" i="1"/>
  <c r="B15540" i="1"/>
  <c r="B15541" i="1"/>
  <c r="B15542" i="1"/>
  <c r="B15543" i="1"/>
  <c r="B15544" i="1"/>
  <c r="B15545" i="1"/>
  <c r="B15546" i="1"/>
  <c r="B15547" i="1"/>
  <c r="B15548" i="1"/>
  <c r="B15549" i="1"/>
  <c r="B15550" i="1"/>
  <c r="B15551" i="1"/>
  <c r="B15552" i="1"/>
  <c r="B15553" i="1"/>
  <c r="B15554" i="1"/>
  <c r="B15555" i="1"/>
  <c r="B15556" i="1"/>
  <c r="B15557" i="1"/>
  <c r="B15558" i="1"/>
  <c r="B15559" i="1"/>
  <c r="B15560" i="1"/>
  <c r="B15561" i="1"/>
  <c r="B15562" i="1"/>
  <c r="B15563" i="1"/>
  <c r="B15564" i="1"/>
  <c r="B15565" i="1"/>
  <c r="B15566" i="1"/>
  <c r="B15567" i="1"/>
  <c r="B15568" i="1"/>
  <c r="B15569" i="1"/>
  <c r="B15570" i="1"/>
  <c r="B15571" i="1"/>
  <c r="B15572" i="1"/>
  <c r="B15573" i="1"/>
  <c r="B15574" i="1"/>
  <c r="B15575" i="1"/>
  <c r="B15576" i="1"/>
  <c r="B15577" i="1"/>
  <c r="B15578" i="1"/>
  <c r="B15579" i="1"/>
  <c r="B15580" i="1"/>
  <c r="B15581" i="1"/>
  <c r="B15582" i="1"/>
  <c r="B15583" i="1"/>
  <c r="B15584" i="1"/>
  <c r="B15585" i="1"/>
  <c r="B15586" i="1"/>
  <c r="B15587" i="1"/>
  <c r="B15588" i="1"/>
  <c r="B15589" i="1"/>
  <c r="B15590" i="1"/>
  <c r="B15591" i="1"/>
  <c r="B15592" i="1"/>
  <c r="B15593" i="1"/>
  <c r="B15594" i="1"/>
  <c r="B15595" i="1"/>
  <c r="B15596" i="1"/>
  <c r="B15597" i="1"/>
  <c r="B15598" i="1"/>
  <c r="B15599" i="1"/>
  <c r="B15600" i="1"/>
  <c r="B15601" i="1"/>
  <c r="B15602" i="1"/>
  <c r="B15603" i="1"/>
  <c r="B15604" i="1"/>
  <c r="B15605" i="1"/>
  <c r="B15606" i="1"/>
  <c r="B15607" i="1"/>
  <c r="B15608" i="1"/>
  <c r="B15609" i="1"/>
  <c r="B15610" i="1"/>
  <c r="B15611" i="1"/>
  <c r="B15612" i="1"/>
  <c r="B15613" i="1"/>
  <c r="B15614" i="1"/>
  <c r="B15615" i="1"/>
  <c r="B15616" i="1"/>
  <c r="B15617" i="1"/>
  <c r="B15618" i="1"/>
  <c r="B15619" i="1"/>
  <c r="B15620" i="1"/>
  <c r="B15621" i="1"/>
  <c r="B15622" i="1"/>
  <c r="B15623" i="1"/>
  <c r="B15624" i="1"/>
  <c r="B15625" i="1"/>
  <c r="B15626" i="1"/>
  <c r="B15627" i="1"/>
  <c r="B15628" i="1"/>
  <c r="B15629" i="1"/>
  <c r="B15630" i="1"/>
  <c r="B15631" i="1"/>
  <c r="B15632" i="1"/>
  <c r="B15633" i="1"/>
  <c r="B15634" i="1"/>
  <c r="B15635" i="1"/>
  <c r="B15636" i="1"/>
  <c r="B15637" i="1"/>
  <c r="B15638" i="1"/>
  <c r="B15639" i="1"/>
  <c r="B15640" i="1"/>
  <c r="B15641" i="1"/>
  <c r="B15642" i="1"/>
  <c r="B15643" i="1"/>
  <c r="B15644" i="1"/>
  <c r="B15645" i="1"/>
  <c r="B15646" i="1"/>
  <c r="B15647" i="1"/>
  <c r="B15648" i="1"/>
  <c r="B15649" i="1"/>
  <c r="B15650" i="1"/>
  <c r="B15651" i="1"/>
  <c r="B15652" i="1"/>
  <c r="B15653" i="1"/>
  <c r="B15654" i="1"/>
  <c r="B15655" i="1"/>
  <c r="B15656" i="1"/>
  <c r="B15657" i="1"/>
  <c r="B15658" i="1"/>
  <c r="B15659" i="1"/>
  <c r="B15660" i="1"/>
  <c r="B15661" i="1"/>
  <c r="B15662" i="1"/>
  <c r="B15663" i="1"/>
  <c r="B15664" i="1"/>
  <c r="B15665" i="1"/>
  <c r="B15666" i="1"/>
  <c r="B15667" i="1"/>
  <c r="B15668" i="1"/>
  <c r="B15669" i="1"/>
  <c r="B15670" i="1"/>
  <c r="B15671" i="1"/>
  <c r="B15672" i="1"/>
  <c r="B15673" i="1"/>
  <c r="B15674" i="1"/>
  <c r="B15675" i="1"/>
  <c r="B15676" i="1"/>
  <c r="B15677" i="1"/>
  <c r="B15678" i="1"/>
  <c r="B15679" i="1"/>
  <c r="B15680" i="1"/>
  <c r="B15681" i="1"/>
  <c r="B15682" i="1"/>
  <c r="B15683" i="1"/>
  <c r="B15684" i="1"/>
  <c r="B15685" i="1"/>
  <c r="B15686" i="1"/>
  <c r="B15687" i="1"/>
  <c r="B15688" i="1"/>
  <c r="B15689" i="1"/>
  <c r="B15690" i="1"/>
  <c r="B15691" i="1"/>
  <c r="B15692" i="1"/>
  <c r="B15693" i="1"/>
  <c r="B15694" i="1"/>
  <c r="B15695" i="1"/>
  <c r="B15696" i="1"/>
  <c r="B15697" i="1"/>
  <c r="B15698" i="1"/>
  <c r="B15699" i="1"/>
  <c r="B15700" i="1"/>
  <c r="B15701" i="1"/>
  <c r="B15702" i="1"/>
  <c r="B15703" i="1"/>
  <c r="B15704" i="1"/>
  <c r="B15705" i="1"/>
  <c r="B15706" i="1"/>
  <c r="B15707" i="1"/>
  <c r="B15708" i="1"/>
  <c r="B15709" i="1"/>
  <c r="B15710" i="1"/>
  <c r="B15711" i="1"/>
  <c r="B15712" i="1"/>
  <c r="B15713" i="1"/>
  <c r="B15714" i="1"/>
  <c r="B15715" i="1"/>
  <c r="B15716" i="1"/>
  <c r="B15717" i="1"/>
  <c r="B15718" i="1"/>
  <c r="B15719" i="1"/>
  <c r="B15720" i="1"/>
  <c r="B15721" i="1"/>
  <c r="B15722" i="1"/>
  <c r="B15723" i="1"/>
  <c r="B15724" i="1"/>
  <c r="B15725" i="1"/>
  <c r="B15726" i="1"/>
  <c r="B15727" i="1"/>
  <c r="B15728" i="1"/>
  <c r="B15729" i="1"/>
  <c r="B15730" i="1"/>
  <c r="B15731" i="1"/>
  <c r="B15732" i="1"/>
  <c r="B15733" i="1"/>
  <c r="B15734" i="1"/>
  <c r="B15735" i="1"/>
  <c r="B15736" i="1"/>
  <c r="B15737" i="1"/>
  <c r="B15738" i="1"/>
  <c r="B15739" i="1"/>
  <c r="B15740" i="1"/>
  <c r="B15741" i="1"/>
  <c r="B15742" i="1"/>
  <c r="B15743" i="1"/>
  <c r="B15744" i="1"/>
  <c r="B15745" i="1"/>
  <c r="B15746" i="1"/>
  <c r="B15747" i="1"/>
  <c r="B15748" i="1"/>
  <c r="B15749" i="1"/>
  <c r="B15750" i="1"/>
  <c r="B15751" i="1"/>
  <c r="B15752" i="1"/>
  <c r="B15753" i="1"/>
  <c r="B15754" i="1"/>
  <c r="B15755" i="1"/>
  <c r="B15756" i="1"/>
  <c r="B15757" i="1"/>
  <c r="B15758" i="1"/>
  <c r="B15759" i="1"/>
  <c r="B15760" i="1"/>
  <c r="B15761" i="1"/>
  <c r="B15762" i="1"/>
  <c r="B15763" i="1"/>
  <c r="B15764" i="1"/>
  <c r="B15765" i="1"/>
  <c r="B15766" i="1"/>
  <c r="B15767" i="1"/>
  <c r="B15768" i="1"/>
  <c r="B15769" i="1"/>
  <c r="B15770" i="1"/>
  <c r="B15771" i="1"/>
  <c r="B15772" i="1"/>
  <c r="B15773" i="1"/>
  <c r="B15774" i="1"/>
  <c r="B15775" i="1"/>
  <c r="B15776" i="1"/>
  <c r="B15777" i="1"/>
  <c r="B15778" i="1"/>
  <c r="B15779" i="1"/>
  <c r="B15780" i="1"/>
  <c r="B15781" i="1"/>
  <c r="B15782" i="1"/>
  <c r="B15783" i="1"/>
  <c r="B15784" i="1"/>
  <c r="B15785" i="1"/>
  <c r="B15786" i="1"/>
  <c r="B15787" i="1"/>
  <c r="B15788" i="1"/>
  <c r="B15789" i="1"/>
  <c r="B15790" i="1"/>
  <c r="B15791" i="1"/>
  <c r="B15792" i="1"/>
  <c r="B15793" i="1"/>
  <c r="B15794" i="1"/>
  <c r="B15795" i="1"/>
  <c r="B15796" i="1"/>
  <c r="B15797" i="1"/>
  <c r="B15798" i="1"/>
  <c r="B15799" i="1"/>
  <c r="B15800" i="1"/>
  <c r="B15801" i="1"/>
  <c r="B15802" i="1"/>
  <c r="B15803" i="1"/>
  <c r="B15804" i="1"/>
  <c r="B15805" i="1"/>
  <c r="B15806" i="1"/>
  <c r="B15807" i="1"/>
  <c r="B15808" i="1"/>
  <c r="B15809" i="1"/>
  <c r="B15810" i="1"/>
  <c r="B15811" i="1"/>
  <c r="B15812" i="1"/>
  <c r="B15813" i="1"/>
  <c r="B15814" i="1"/>
  <c r="B15815" i="1"/>
  <c r="B15816" i="1"/>
  <c r="B15817" i="1"/>
  <c r="B15818" i="1"/>
  <c r="B15819" i="1"/>
  <c r="B15820" i="1"/>
  <c r="B15821" i="1"/>
  <c r="B15822" i="1"/>
  <c r="B15823" i="1"/>
  <c r="B15824" i="1"/>
  <c r="B15825" i="1"/>
  <c r="B15826" i="1"/>
  <c r="B15827" i="1"/>
  <c r="B15828" i="1"/>
  <c r="B15829" i="1"/>
  <c r="B15830" i="1"/>
  <c r="B15831" i="1"/>
  <c r="B15832" i="1"/>
  <c r="B15833" i="1"/>
  <c r="B15834" i="1"/>
  <c r="B15835" i="1"/>
  <c r="B15836" i="1"/>
  <c r="B15837" i="1"/>
  <c r="B15838" i="1"/>
  <c r="B15839" i="1"/>
  <c r="B15840" i="1"/>
  <c r="B15841" i="1"/>
  <c r="B15842" i="1"/>
  <c r="B15843" i="1"/>
  <c r="B15844" i="1"/>
  <c r="B15845" i="1"/>
  <c r="B15846" i="1"/>
  <c r="B15847" i="1"/>
  <c r="B15848" i="1"/>
  <c r="B15849" i="1"/>
  <c r="B15850" i="1"/>
  <c r="B15851" i="1"/>
  <c r="B15852" i="1"/>
  <c r="B15853" i="1"/>
  <c r="B15854" i="1"/>
  <c r="B15855" i="1"/>
  <c r="B15856" i="1"/>
  <c r="B15857" i="1"/>
  <c r="B15858" i="1"/>
  <c r="B15859" i="1"/>
  <c r="B15860" i="1"/>
  <c r="B15861" i="1"/>
  <c r="B15862" i="1"/>
  <c r="B15863" i="1"/>
  <c r="B15864" i="1"/>
  <c r="B15865" i="1"/>
  <c r="B15866" i="1"/>
  <c r="B15867" i="1"/>
  <c r="B15868" i="1"/>
  <c r="B15869" i="1"/>
  <c r="B15870" i="1"/>
  <c r="B15871" i="1"/>
  <c r="B15872" i="1"/>
  <c r="B15873" i="1"/>
  <c r="B15874" i="1"/>
  <c r="B15875" i="1"/>
  <c r="B15876" i="1"/>
  <c r="B15877" i="1"/>
  <c r="B15878" i="1"/>
  <c r="B15879" i="1"/>
  <c r="B15880" i="1"/>
  <c r="B15881" i="1"/>
  <c r="B15882" i="1"/>
  <c r="B15883" i="1"/>
  <c r="B15884" i="1"/>
  <c r="B15885" i="1"/>
  <c r="B15886" i="1"/>
  <c r="B15887" i="1"/>
  <c r="B15888" i="1"/>
  <c r="B15889" i="1"/>
  <c r="B15890" i="1"/>
  <c r="B15891" i="1"/>
  <c r="B15892" i="1"/>
  <c r="B15893" i="1"/>
  <c r="B15894" i="1"/>
  <c r="B15895" i="1"/>
  <c r="B15896" i="1"/>
  <c r="B15897" i="1"/>
  <c r="B15898" i="1"/>
  <c r="B15899" i="1"/>
  <c r="B15900" i="1"/>
  <c r="B15901" i="1"/>
  <c r="B15902" i="1"/>
  <c r="B15903" i="1"/>
  <c r="B15904" i="1"/>
  <c r="B15905" i="1"/>
  <c r="B15906" i="1"/>
  <c r="B15907" i="1"/>
  <c r="B15908" i="1"/>
  <c r="B15909" i="1"/>
  <c r="B15910" i="1"/>
  <c r="B15911" i="1"/>
  <c r="B15912" i="1"/>
  <c r="B15913" i="1"/>
  <c r="B15914" i="1"/>
  <c r="B15915" i="1"/>
  <c r="B15916" i="1"/>
  <c r="B15917" i="1"/>
  <c r="B15918" i="1"/>
  <c r="B15919" i="1"/>
  <c r="B15920" i="1"/>
  <c r="B15921" i="1"/>
  <c r="B15922" i="1"/>
  <c r="B15923" i="1"/>
  <c r="B15924" i="1"/>
  <c r="B15925" i="1"/>
  <c r="B15926" i="1"/>
  <c r="B15927" i="1"/>
  <c r="B15928" i="1"/>
  <c r="B15929" i="1"/>
  <c r="B15930" i="1"/>
  <c r="B15931" i="1"/>
  <c r="B15932" i="1"/>
  <c r="B15933" i="1"/>
  <c r="B15934" i="1"/>
  <c r="B15935" i="1"/>
  <c r="B15936" i="1"/>
  <c r="B15937" i="1"/>
  <c r="B15938" i="1"/>
  <c r="B15939" i="1"/>
  <c r="B15940" i="1"/>
  <c r="B15941" i="1"/>
  <c r="B15942" i="1"/>
  <c r="B15943" i="1"/>
  <c r="B15944" i="1"/>
  <c r="B15945" i="1"/>
  <c r="B15946" i="1"/>
  <c r="B15947" i="1"/>
  <c r="B15948" i="1"/>
  <c r="B15949" i="1"/>
  <c r="B15950" i="1"/>
  <c r="B15951" i="1"/>
  <c r="B15952" i="1"/>
  <c r="B15953" i="1"/>
  <c r="B15954" i="1"/>
  <c r="B15955" i="1"/>
  <c r="B15956" i="1"/>
  <c r="B15957" i="1"/>
  <c r="B15958" i="1"/>
  <c r="B15959" i="1"/>
  <c r="B15960" i="1"/>
  <c r="B15961" i="1"/>
  <c r="B15962" i="1"/>
  <c r="B15963" i="1"/>
  <c r="B15964" i="1"/>
  <c r="B15965" i="1"/>
  <c r="B15966" i="1"/>
  <c r="B15967" i="1"/>
  <c r="B15968" i="1"/>
  <c r="B15969" i="1"/>
  <c r="B15970" i="1"/>
  <c r="B15971" i="1"/>
  <c r="B15972" i="1"/>
  <c r="B15973" i="1"/>
  <c r="B15974" i="1"/>
  <c r="B15975" i="1"/>
  <c r="B15976" i="1"/>
  <c r="B15977" i="1"/>
  <c r="B15978" i="1"/>
  <c r="B15979" i="1"/>
  <c r="B15980" i="1"/>
  <c r="B15981" i="1"/>
  <c r="B15982" i="1"/>
  <c r="B15983" i="1"/>
  <c r="B15984" i="1"/>
  <c r="B15985" i="1"/>
  <c r="B15986" i="1"/>
  <c r="B15987" i="1"/>
  <c r="B15988" i="1"/>
  <c r="B15989" i="1"/>
  <c r="B15990" i="1"/>
  <c r="B15991" i="1"/>
  <c r="B15992" i="1"/>
  <c r="B15993" i="1"/>
  <c r="B15994" i="1"/>
  <c r="B15995" i="1"/>
  <c r="B15996" i="1"/>
  <c r="B15997" i="1"/>
  <c r="B15998" i="1"/>
  <c r="B15999" i="1"/>
  <c r="B16000" i="1"/>
  <c r="B16001" i="1"/>
  <c r="B16002" i="1"/>
  <c r="B16003" i="1"/>
  <c r="B16004" i="1"/>
  <c r="B16005" i="1"/>
  <c r="B16006" i="1"/>
  <c r="B16007" i="1"/>
  <c r="B16008" i="1"/>
  <c r="B16009" i="1"/>
  <c r="B16010" i="1"/>
  <c r="B16011" i="1"/>
  <c r="B16012" i="1"/>
  <c r="B16013" i="1"/>
  <c r="B16014" i="1"/>
  <c r="B16015" i="1"/>
  <c r="B16016" i="1"/>
  <c r="B16017" i="1"/>
  <c r="B16018" i="1"/>
  <c r="B16019" i="1"/>
  <c r="B16020" i="1"/>
  <c r="B16021" i="1"/>
  <c r="B16022" i="1"/>
  <c r="B16023" i="1"/>
  <c r="B16024" i="1"/>
  <c r="B16025" i="1"/>
  <c r="B16026" i="1"/>
  <c r="B16027" i="1"/>
  <c r="B16028" i="1"/>
  <c r="B16029" i="1"/>
  <c r="B16030" i="1"/>
  <c r="B16031" i="1"/>
  <c r="B16032" i="1"/>
  <c r="B16033" i="1"/>
  <c r="B16034" i="1"/>
  <c r="B16035" i="1"/>
  <c r="B16036" i="1"/>
  <c r="B16037" i="1"/>
  <c r="B16038" i="1"/>
  <c r="B16039" i="1"/>
  <c r="B16040" i="1"/>
  <c r="B16041" i="1"/>
  <c r="B16042" i="1"/>
  <c r="B16043" i="1"/>
  <c r="B16044" i="1"/>
  <c r="B16045" i="1"/>
  <c r="B16046" i="1"/>
  <c r="B16047" i="1"/>
  <c r="B16048" i="1"/>
  <c r="B16049" i="1"/>
  <c r="B16050" i="1"/>
  <c r="B16051" i="1"/>
  <c r="B16052" i="1"/>
  <c r="B16053" i="1"/>
  <c r="B16054" i="1"/>
  <c r="B16055" i="1"/>
  <c r="B16056" i="1"/>
  <c r="B16057" i="1"/>
  <c r="B16058" i="1"/>
  <c r="B16059" i="1"/>
  <c r="B16060" i="1"/>
  <c r="B16061" i="1"/>
  <c r="B16062" i="1"/>
  <c r="B16063" i="1"/>
  <c r="B16064" i="1"/>
  <c r="B16065" i="1"/>
  <c r="B16066" i="1"/>
  <c r="B16067" i="1"/>
  <c r="B16068" i="1"/>
  <c r="B16069" i="1"/>
  <c r="B16070" i="1"/>
  <c r="B16071" i="1"/>
  <c r="B16072" i="1"/>
  <c r="B16073" i="1"/>
  <c r="B16074" i="1"/>
  <c r="B16075" i="1"/>
  <c r="B16076" i="1"/>
  <c r="B16077" i="1"/>
  <c r="B16078" i="1"/>
  <c r="B16079" i="1"/>
  <c r="B16080" i="1"/>
  <c r="B16081" i="1"/>
  <c r="B16082" i="1"/>
  <c r="B16083" i="1"/>
  <c r="B16084" i="1"/>
  <c r="B16085" i="1"/>
  <c r="B16086" i="1"/>
  <c r="B16087" i="1"/>
  <c r="B16088" i="1"/>
  <c r="B16089" i="1"/>
  <c r="B16090" i="1"/>
  <c r="B16091" i="1"/>
  <c r="B16092" i="1"/>
  <c r="B16093" i="1"/>
  <c r="B16094" i="1"/>
  <c r="B16095" i="1"/>
  <c r="B16096" i="1"/>
  <c r="B16097" i="1"/>
  <c r="B16098" i="1"/>
  <c r="B16099" i="1"/>
  <c r="B16100" i="1"/>
  <c r="B16101" i="1"/>
  <c r="B16102" i="1"/>
  <c r="B16103" i="1"/>
  <c r="B16104" i="1"/>
  <c r="B16105" i="1"/>
  <c r="B16106" i="1"/>
  <c r="B16107" i="1"/>
  <c r="B16108" i="1"/>
  <c r="B16109" i="1"/>
  <c r="B16110" i="1"/>
  <c r="B16111" i="1"/>
  <c r="B16112" i="1"/>
  <c r="B16113" i="1"/>
  <c r="B16114" i="1"/>
  <c r="B16115" i="1"/>
  <c r="B16116" i="1"/>
  <c r="B16117" i="1"/>
  <c r="B16118" i="1"/>
  <c r="B16119" i="1"/>
  <c r="B16120" i="1"/>
  <c r="B16121" i="1"/>
  <c r="B16122" i="1"/>
  <c r="B16123" i="1"/>
  <c r="B16124" i="1"/>
  <c r="B16125" i="1"/>
  <c r="B16126" i="1"/>
  <c r="B16127" i="1"/>
  <c r="B16128" i="1"/>
  <c r="B16129" i="1"/>
  <c r="B16130" i="1"/>
  <c r="B16131" i="1"/>
  <c r="B16132" i="1"/>
  <c r="B16133" i="1"/>
  <c r="B16134" i="1"/>
  <c r="B16135" i="1"/>
  <c r="B16136" i="1"/>
  <c r="B16137" i="1"/>
  <c r="B16138" i="1"/>
  <c r="B16139" i="1"/>
  <c r="B16140" i="1"/>
  <c r="B16141" i="1"/>
  <c r="B16142" i="1"/>
  <c r="B16143" i="1"/>
  <c r="B16144" i="1"/>
  <c r="B16145" i="1"/>
  <c r="B16146" i="1"/>
  <c r="B16147" i="1"/>
  <c r="B16148" i="1"/>
  <c r="B16149" i="1"/>
  <c r="B16150" i="1"/>
  <c r="B16151" i="1"/>
  <c r="B16152" i="1"/>
  <c r="B16153" i="1"/>
  <c r="B16154" i="1"/>
  <c r="B16155" i="1"/>
  <c r="B16156" i="1"/>
  <c r="B16157" i="1"/>
  <c r="B16158" i="1"/>
  <c r="B16159" i="1"/>
  <c r="B16160" i="1"/>
  <c r="B16161" i="1"/>
  <c r="B16162" i="1"/>
  <c r="B16163" i="1"/>
  <c r="B16164" i="1"/>
  <c r="B16165" i="1"/>
  <c r="B16166" i="1"/>
  <c r="B16167" i="1"/>
  <c r="B16168" i="1"/>
  <c r="B16169" i="1"/>
  <c r="B16170" i="1"/>
  <c r="B16171" i="1"/>
  <c r="B16172" i="1"/>
  <c r="B16173" i="1"/>
  <c r="B16174" i="1"/>
  <c r="B16175" i="1"/>
  <c r="B16176" i="1"/>
  <c r="B16177" i="1"/>
  <c r="B16178" i="1"/>
  <c r="B16179" i="1"/>
  <c r="B16180" i="1"/>
  <c r="B16181" i="1"/>
  <c r="B16182" i="1"/>
  <c r="B16183" i="1"/>
  <c r="B16184" i="1"/>
  <c r="B16185" i="1"/>
  <c r="B16186" i="1"/>
  <c r="B16187" i="1"/>
  <c r="B16188" i="1"/>
  <c r="B16189" i="1"/>
  <c r="B16190" i="1"/>
  <c r="B16191" i="1"/>
  <c r="B16192" i="1"/>
  <c r="B16193" i="1"/>
  <c r="B16194" i="1"/>
  <c r="B16195" i="1"/>
  <c r="B16196" i="1"/>
  <c r="B16197" i="1"/>
  <c r="B16198" i="1"/>
  <c r="B16199" i="1"/>
  <c r="B16200" i="1"/>
  <c r="B16201" i="1"/>
  <c r="B16202" i="1"/>
  <c r="B16203" i="1"/>
  <c r="B16204" i="1"/>
  <c r="B16205" i="1"/>
  <c r="B16206" i="1"/>
  <c r="B16207" i="1"/>
  <c r="B16208" i="1"/>
  <c r="B16209" i="1"/>
  <c r="B16210" i="1"/>
  <c r="B16211" i="1"/>
  <c r="B16212" i="1"/>
  <c r="B16213" i="1"/>
  <c r="B16214" i="1"/>
  <c r="B16215" i="1"/>
  <c r="B16216" i="1"/>
  <c r="B16217" i="1"/>
  <c r="B16218" i="1"/>
  <c r="B16219" i="1"/>
  <c r="B16220" i="1"/>
  <c r="B16221" i="1"/>
  <c r="B16222" i="1"/>
  <c r="B16223" i="1"/>
  <c r="B16224" i="1"/>
  <c r="B16225" i="1"/>
  <c r="B16226" i="1"/>
  <c r="B16227" i="1"/>
  <c r="B16228" i="1"/>
  <c r="B16229" i="1"/>
  <c r="B16230" i="1"/>
  <c r="B16231" i="1"/>
  <c r="B16232" i="1"/>
  <c r="B16233" i="1"/>
  <c r="B16234" i="1"/>
  <c r="B16235" i="1"/>
  <c r="B16236" i="1"/>
  <c r="B16237" i="1"/>
  <c r="B16238" i="1"/>
  <c r="B16239" i="1"/>
  <c r="B16240" i="1"/>
  <c r="B16241" i="1"/>
  <c r="B16242" i="1"/>
  <c r="B16243" i="1"/>
  <c r="B16244" i="1"/>
  <c r="B16245" i="1"/>
  <c r="B16246" i="1"/>
  <c r="B16247" i="1"/>
  <c r="B16248" i="1"/>
  <c r="B16249" i="1"/>
  <c r="B16250" i="1"/>
  <c r="B16251" i="1"/>
  <c r="B16252" i="1"/>
  <c r="B16253" i="1"/>
  <c r="B16254" i="1"/>
  <c r="B16255" i="1"/>
  <c r="B16256" i="1"/>
  <c r="B16257" i="1"/>
  <c r="B16258" i="1"/>
  <c r="B16259" i="1"/>
  <c r="B16260" i="1"/>
  <c r="B16261" i="1"/>
  <c r="B16262" i="1"/>
  <c r="B16263" i="1"/>
  <c r="B16264" i="1"/>
  <c r="B16265" i="1"/>
  <c r="B16266" i="1"/>
  <c r="B16267" i="1"/>
  <c r="B16268" i="1"/>
  <c r="B16269" i="1"/>
  <c r="B16270" i="1"/>
  <c r="B16271" i="1"/>
  <c r="B16272" i="1"/>
  <c r="B16273" i="1"/>
  <c r="B16274" i="1"/>
  <c r="B16275" i="1"/>
  <c r="B16276" i="1"/>
  <c r="B16277" i="1"/>
  <c r="B16278" i="1"/>
  <c r="B16279" i="1"/>
  <c r="B16280" i="1"/>
  <c r="B16281" i="1"/>
  <c r="B16282" i="1"/>
  <c r="B16283" i="1"/>
  <c r="B16284" i="1"/>
  <c r="B16285" i="1"/>
  <c r="B16286" i="1"/>
  <c r="B16287" i="1"/>
  <c r="B16288" i="1"/>
  <c r="B16289" i="1"/>
  <c r="B16290" i="1"/>
  <c r="B16291" i="1"/>
  <c r="B16292" i="1"/>
  <c r="B16293" i="1"/>
  <c r="B16294" i="1"/>
  <c r="B16295" i="1"/>
  <c r="B16296" i="1"/>
  <c r="B16297" i="1"/>
  <c r="B16298" i="1"/>
  <c r="B16299" i="1"/>
  <c r="B16300" i="1"/>
  <c r="B16301" i="1"/>
  <c r="B16302" i="1"/>
  <c r="B16303" i="1"/>
  <c r="B16304" i="1"/>
  <c r="B16305" i="1"/>
  <c r="B16306" i="1"/>
  <c r="B16307" i="1"/>
  <c r="B16308" i="1"/>
  <c r="B16309" i="1"/>
  <c r="B16310" i="1"/>
  <c r="B16311" i="1"/>
  <c r="B16312" i="1"/>
  <c r="B16313" i="1"/>
  <c r="B16314" i="1"/>
  <c r="B16315" i="1"/>
  <c r="B16316" i="1"/>
  <c r="B16317" i="1"/>
  <c r="B16318" i="1"/>
  <c r="B16319" i="1"/>
  <c r="B16320" i="1"/>
  <c r="B16321" i="1"/>
  <c r="B16322" i="1"/>
  <c r="B16323" i="1"/>
  <c r="B16324" i="1"/>
  <c r="B16325" i="1"/>
  <c r="B16326" i="1"/>
  <c r="B16327" i="1"/>
  <c r="B16328" i="1"/>
  <c r="B16329" i="1"/>
  <c r="B16330" i="1"/>
  <c r="B16331" i="1"/>
  <c r="B16332" i="1"/>
  <c r="B16333" i="1"/>
  <c r="B16334" i="1"/>
  <c r="B16335" i="1"/>
  <c r="B16336" i="1"/>
  <c r="B16337" i="1"/>
  <c r="B16338" i="1"/>
  <c r="B16339" i="1"/>
  <c r="B16340" i="1"/>
  <c r="B16341" i="1"/>
  <c r="B16342" i="1"/>
  <c r="B16343" i="1"/>
  <c r="B16344" i="1"/>
  <c r="B16345" i="1"/>
  <c r="B16346" i="1"/>
  <c r="B16347" i="1"/>
  <c r="B16348" i="1"/>
  <c r="B16349" i="1"/>
  <c r="B16350" i="1"/>
  <c r="B16351" i="1"/>
  <c r="B16352" i="1"/>
  <c r="B16353" i="1"/>
  <c r="B16354" i="1"/>
  <c r="B16355" i="1"/>
  <c r="B16356" i="1"/>
  <c r="B16357" i="1"/>
  <c r="B16358" i="1"/>
  <c r="B16359" i="1"/>
  <c r="B16360" i="1"/>
  <c r="B16361" i="1"/>
  <c r="B16362" i="1"/>
  <c r="B16363" i="1"/>
  <c r="B16364" i="1"/>
  <c r="B16365" i="1"/>
  <c r="B16366" i="1"/>
  <c r="B16367" i="1"/>
  <c r="B16368" i="1"/>
  <c r="B16369" i="1"/>
  <c r="B16370" i="1"/>
  <c r="B16371" i="1"/>
  <c r="B16372" i="1"/>
  <c r="B16373" i="1"/>
  <c r="B16374" i="1"/>
  <c r="B16375" i="1"/>
  <c r="B16376" i="1"/>
  <c r="B16377" i="1"/>
  <c r="B16378" i="1"/>
  <c r="B16379" i="1"/>
  <c r="B16380" i="1"/>
  <c r="B16381" i="1"/>
  <c r="B16382" i="1"/>
  <c r="B16383" i="1"/>
  <c r="B16384" i="1"/>
  <c r="B16385" i="1"/>
  <c r="B16386" i="1"/>
  <c r="B16387" i="1"/>
  <c r="B16388" i="1"/>
  <c r="B16389" i="1"/>
  <c r="B16390" i="1"/>
  <c r="B16391" i="1"/>
  <c r="B16392" i="1"/>
  <c r="B16393" i="1"/>
  <c r="B16394" i="1"/>
  <c r="B16395" i="1"/>
  <c r="B16396" i="1"/>
  <c r="B16397" i="1"/>
  <c r="B16398" i="1"/>
  <c r="B16399" i="1"/>
  <c r="B16400" i="1"/>
  <c r="B16401" i="1"/>
  <c r="B16402" i="1"/>
  <c r="B16403" i="1"/>
  <c r="B16404" i="1"/>
  <c r="B16405" i="1"/>
  <c r="B16406" i="1"/>
  <c r="B16407" i="1"/>
  <c r="B16408" i="1"/>
  <c r="B16409" i="1"/>
  <c r="B16410" i="1"/>
  <c r="B16411" i="1"/>
  <c r="B16412" i="1"/>
  <c r="B16413" i="1"/>
  <c r="B16414" i="1"/>
  <c r="B16415" i="1"/>
  <c r="B16416" i="1"/>
  <c r="B16417" i="1"/>
  <c r="B16418" i="1"/>
  <c r="B16419" i="1"/>
  <c r="B16420" i="1"/>
  <c r="B16421" i="1"/>
  <c r="B16422" i="1"/>
  <c r="B16423" i="1"/>
  <c r="B16424" i="1"/>
  <c r="B16425" i="1"/>
  <c r="B16426" i="1"/>
  <c r="B16427" i="1"/>
  <c r="B16428" i="1"/>
  <c r="B16429" i="1"/>
  <c r="B16430" i="1"/>
  <c r="B16431" i="1"/>
  <c r="B16432" i="1"/>
  <c r="B16433" i="1"/>
  <c r="B16434" i="1"/>
  <c r="B16435" i="1"/>
  <c r="B16436" i="1"/>
  <c r="B16437" i="1"/>
  <c r="B16438" i="1"/>
  <c r="B16439" i="1"/>
  <c r="B16440" i="1"/>
  <c r="B16441" i="1"/>
  <c r="B16442" i="1"/>
  <c r="B16443" i="1"/>
  <c r="B16444" i="1"/>
  <c r="B16445" i="1"/>
  <c r="B16446" i="1"/>
  <c r="B16447" i="1"/>
  <c r="B16448" i="1"/>
  <c r="B16449" i="1"/>
  <c r="B16450" i="1"/>
  <c r="B16451" i="1"/>
  <c r="B16452" i="1"/>
  <c r="B16453" i="1"/>
  <c r="B16454" i="1"/>
  <c r="B16455" i="1"/>
  <c r="B16456" i="1"/>
  <c r="B16457" i="1"/>
  <c r="B16458" i="1"/>
  <c r="B16459" i="1"/>
  <c r="B16460" i="1"/>
  <c r="B16461" i="1"/>
  <c r="B16462" i="1"/>
  <c r="B16463" i="1"/>
  <c r="B16464" i="1"/>
  <c r="B16465" i="1"/>
  <c r="B16466" i="1"/>
  <c r="B16467" i="1"/>
  <c r="B16468" i="1"/>
  <c r="B16469" i="1"/>
  <c r="B16470" i="1"/>
  <c r="B16471" i="1"/>
  <c r="B16472" i="1"/>
  <c r="B16473" i="1"/>
  <c r="B16474" i="1"/>
  <c r="B16475" i="1"/>
  <c r="B16476" i="1"/>
  <c r="B16477" i="1"/>
  <c r="B16478" i="1"/>
  <c r="B16479" i="1"/>
  <c r="B16480" i="1"/>
  <c r="B16481" i="1"/>
  <c r="B16482" i="1"/>
  <c r="B16483" i="1"/>
  <c r="B16484" i="1"/>
  <c r="B16485" i="1"/>
  <c r="B16486" i="1"/>
  <c r="B16487" i="1"/>
  <c r="B16488" i="1"/>
  <c r="B16489" i="1"/>
  <c r="B16490" i="1"/>
  <c r="B16491" i="1"/>
  <c r="B16492" i="1"/>
  <c r="B16493" i="1"/>
  <c r="B16494" i="1"/>
  <c r="B16495" i="1"/>
  <c r="B16496" i="1"/>
  <c r="B16497" i="1"/>
  <c r="B16498" i="1"/>
  <c r="B16499" i="1"/>
  <c r="B16500" i="1"/>
  <c r="B16501" i="1"/>
  <c r="B16502" i="1"/>
  <c r="B16503" i="1"/>
  <c r="B16504" i="1"/>
  <c r="B16505" i="1"/>
  <c r="B16506" i="1"/>
  <c r="B16507" i="1"/>
  <c r="B16508" i="1"/>
  <c r="B16509" i="1"/>
  <c r="B16510" i="1"/>
  <c r="B16511" i="1"/>
  <c r="B16512" i="1"/>
  <c r="B16513" i="1"/>
  <c r="B16514" i="1"/>
  <c r="B16515" i="1"/>
  <c r="B16516" i="1"/>
  <c r="B16517" i="1"/>
  <c r="B16518" i="1"/>
  <c r="B16519" i="1"/>
  <c r="B16520" i="1"/>
  <c r="B16521" i="1"/>
  <c r="B16522" i="1"/>
  <c r="B16523" i="1"/>
  <c r="B16524" i="1"/>
  <c r="B16525" i="1"/>
  <c r="B16526" i="1"/>
  <c r="B16527" i="1"/>
  <c r="B16528" i="1"/>
  <c r="B16529" i="1"/>
  <c r="B16530" i="1"/>
  <c r="B16531" i="1"/>
  <c r="B16532" i="1"/>
  <c r="B16533" i="1"/>
  <c r="B16534" i="1"/>
  <c r="B16535" i="1"/>
  <c r="B16536" i="1"/>
  <c r="B16537" i="1"/>
  <c r="B16538" i="1"/>
  <c r="B16539" i="1"/>
  <c r="B16540" i="1"/>
  <c r="B16541" i="1"/>
  <c r="B16542" i="1"/>
  <c r="B16543" i="1"/>
  <c r="B16544" i="1"/>
  <c r="B16545" i="1"/>
  <c r="B16546" i="1"/>
  <c r="B16547" i="1"/>
  <c r="B16548" i="1"/>
  <c r="B16549" i="1"/>
  <c r="B16550" i="1"/>
  <c r="B16551" i="1"/>
  <c r="B16552" i="1"/>
  <c r="B16553" i="1"/>
  <c r="B16554" i="1"/>
  <c r="B16555" i="1"/>
  <c r="B16556" i="1"/>
  <c r="B16557" i="1"/>
  <c r="B16558" i="1"/>
  <c r="B16559" i="1"/>
  <c r="B16560" i="1"/>
  <c r="B16561" i="1"/>
  <c r="B16562" i="1"/>
  <c r="B16563" i="1"/>
  <c r="B16564" i="1"/>
  <c r="B16565" i="1"/>
  <c r="B16566" i="1"/>
  <c r="B16567" i="1"/>
  <c r="B16568" i="1"/>
  <c r="B16569" i="1"/>
  <c r="B16570" i="1"/>
  <c r="B16571" i="1"/>
  <c r="B16572" i="1"/>
  <c r="B16573" i="1"/>
  <c r="B16574" i="1"/>
  <c r="B16575" i="1"/>
  <c r="B16576" i="1"/>
  <c r="B16577" i="1"/>
  <c r="B16578" i="1"/>
  <c r="B16579" i="1"/>
  <c r="B16580" i="1"/>
  <c r="B16581" i="1"/>
  <c r="B16582" i="1"/>
  <c r="B16583" i="1"/>
  <c r="B16584" i="1"/>
  <c r="B16585" i="1"/>
  <c r="B16586" i="1"/>
  <c r="B16587" i="1"/>
  <c r="B16588" i="1"/>
  <c r="B16589" i="1"/>
  <c r="B16590" i="1"/>
  <c r="B16591" i="1"/>
  <c r="B16592" i="1"/>
  <c r="B16593" i="1"/>
  <c r="B16594" i="1"/>
  <c r="B16595" i="1"/>
  <c r="B16596" i="1"/>
  <c r="B16597" i="1"/>
  <c r="B16598" i="1"/>
  <c r="B16599" i="1"/>
  <c r="B16600" i="1"/>
  <c r="B16601" i="1"/>
  <c r="B16602" i="1"/>
  <c r="B16603" i="1"/>
  <c r="B16604" i="1"/>
  <c r="B16605" i="1"/>
  <c r="B16606" i="1"/>
  <c r="B16607" i="1"/>
  <c r="B16608" i="1"/>
  <c r="B16609" i="1"/>
  <c r="B16610" i="1"/>
  <c r="B16611" i="1"/>
  <c r="B16612" i="1"/>
  <c r="B16613" i="1"/>
  <c r="B16614" i="1"/>
  <c r="B16615" i="1"/>
  <c r="B16616" i="1"/>
  <c r="B16617" i="1"/>
  <c r="B16618" i="1"/>
  <c r="B16619" i="1"/>
  <c r="B16620" i="1"/>
  <c r="B16621" i="1"/>
  <c r="B16622" i="1"/>
  <c r="B16623" i="1"/>
  <c r="B16624" i="1"/>
  <c r="B16625" i="1"/>
  <c r="B16626" i="1"/>
  <c r="B16627" i="1"/>
  <c r="B16628" i="1"/>
  <c r="B16629" i="1"/>
  <c r="B16630" i="1"/>
  <c r="B16631" i="1"/>
  <c r="B16632" i="1"/>
  <c r="B16633" i="1"/>
  <c r="B16634" i="1"/>
  <c r="B16635" i="1"/>
  <c r="B16636" i="1"/>
  <c r="B16637" i="1"/>
  <c r="B16638" i="1"/>
  <c r="B16639" i="1"/>
  <c r="B16640" i="1"/>
  <c r="B16641" i="1"/>
  <c r="B16642" i="1"/>
  <c r="B16643" i="1"/>
  <c r="B16644" i="1"/>
  <c r="B16645" i="1"/>
  <c r="B16646" i="1"/>
  <c r="B16647" i="1"/>
  <c r="B16648" i="1"/>
  <c r="B16649" i="1"/>
  <c r="B16650" i="1"/>
  <c r="B16651" i="1"/>
  <c r="B16652" i="1"/>
  <c r="B16653" i="1"/>
  <c r="B16654" i="1"/>
  <c r="B16655" i="1"/>
  <c r="B16656" i="1"/>
  <c r="B16657" i="1"/>
  <c r="B16658" i="1"/>
  <c r="B16659" i="1"/>
  <c r="B16660" i="1"/>
  <c r="B16661" i="1"/>
  <c r="B16662" i="1"/>
  <c r="B16663" i="1"/>
  <c r="B16664" i="1"/>
  <c r="B16665" i="1"/>
  <c r="B16666" i="1"/>
  <c r="B16667" i="1"/>
  <c r="B16668" i="1"/>
  <c r="B16669" i="1"/>
  <c r="B16670" i="1"/>
  <c r="B16671" i="1"/>
  <c r="B16672" i="1"/>
  <c r="B16673" i="1"/>
  <c r="B16674" i="1"/>
  <c r="B16675" i="1"/>
  <c r="B16676" i="1"/>
  <c r="B16677" i="1"/>
  <c r="B16678" i="1"/>
  <c r="B16679" i="1"/>
  <c r="B16680" i="1"/>
  <c r="B16681" i="1"/>
  <c r="B16682" i="1"/>
  <c r="B16683" i="1"/>
  <c r="B16684" i="1"/>
  <c r="B16685" i="1"/>
  <c r="B16686" i="1"/>
  <c r="B16687" i="1"/>
  <c r="B16688" i="1"/>
  <c r="B16689" i="1"/>
  <c r="B16690" i="1"/>
  <c r="B16691" i="1"/>
  <c r="B16692" i="1"/>
  <c r="B16693" i="1"/>
  <c r="B16694" i="1"/>
  <c r="B16695" i="1"/>
  <c r="B16696" i="1"/>
  <c r="B16697" i="1"/>
  <c r="B16698" i="1"/>
  <c r="B16699" i="1"/>
  <c r="B16700" i="1"/>
  <c r="B16701" i="1"/>
  <c r="B16702" i="1"/>
  <c r="B16703" i="1"/>
  <c r="B16704" i="1"/>
  <c r="B16705" i="1"/>
  <c r="B16706" i="1"/>
  <c r="B16707" i="1"/>
  <c r="B16708" i="1"/>
  <c r="B16709" i="1"/>
  <c r="B16710" i="1"/>
  <c r="B16711" i="1"/>
  <c r="B16712" i="1"/>
  <c r="B16713" i="1"/>
  <c r="B16714" i="1"/>
  <c r="B16715" i="1"/>
  <c r="B16716" i="1"/>
  <c r="B16717" i="1"/>
  <c r="B16718" i="1"/>
  <c r="B16719" i="1"/>
  <c r="B16720" i="1"/>
  <c r="B16721" i="1"/>
  <c r="B16722" i="1"/>
  <c r="B16723" i="1"/>
  <c r="B16724" i="1"/>
  <c r="B16725" i="1"/>
  <c r="B16726" i="1"/>
  <c r="B16727" i="1"/>
  <c r="B16728" i="1"/>
  <c r="B16729" i="1"/>
  <c r="B16730" i="1"/>
  <c r="B16731" i="1"/>
  <c r="B16732" i="1"/>
  <c r="B16733" i="1"/>
  <c r="B16734" i="1"/>
  <c r="B16735" i="1"/>
  <c r="B16736" i="1"/>
  <c r="B16737" i="1"/>
  <c r="B16738" i="1"/>
  <c r="B16739" i="1"/>
  <c r="B16740" i="1"/>
  <c r="B16741" i="1"/>
  <c r="B16742" i="1"/>
  <c r="B16743" i="1"/>
  <c r="B16744" i="1"/>
  <c r="B16745" i="1"/>
  <c r="B16746" i="1"/>
  <c r="B16747" i="1"/>
  <c r="B16748" i="1"/>
  <c r="B16749" i="1"/>
  <c r="B16750" i="1"/>
  <c r="B16751" i="1"/>
  <c r="B16752" i="1"/>
  <c r="B16753" i="1"/>
  <c r="B16754" i="1"/>
  <c r="B16755" i="1"/>
  <c r="B16756" i="1"/>
  <c r="B16757" i="1"/>
  <c r="B16758" i="1"/>
  <c r="B16759" i="1"/>
  <c r="B16760" i="1"/>
  <c r="B16761" i="1"/>
  <c r="B16762" i="1"/>
  <c r="B16763" i="1"/>
  <c r="B16764" i="1"/>
  <c r="B16765" i="1"/>
  <c r="B16766" i="1"/>
  <c r="B16767" i="1"/>
  <c r="B16768" i="1"/>
  <c r="B16769" i="1"/>
  <c r="B16770" i="1"/>
  <c r="B16771" i="1"/>
  <c r="B16772" i="1"/>
  <c r="B16773" i="1"/>
  <c r="B16774" i="1"/>
  <c r="B16775" i="1"/>
  <c r="B16776" i="1"/>
  <c r="B16777" i="1"/>
  <c r="B16778" i="1"/>
  <c r="B16779" i="1"/>
  <c r="B16780" i="1"/>
  <c r="B16781" i="1"/>
  <c r="B16782" i="1"/>
  <c r="B16783" i="1"/>
  <c r="B16784" i="1"/>
  <c r="B16785" i="1"/>
  <c r="B16786" i="1"/>
  <c r="B16787" i="1"/>
  <c r="B16788" i="1"/>
  <c r="B16789" i="1"/>
  <c r="B16790" i="1"/>
  <c r="B16791" i="1"/>
  <c r="B16792" i="1"/>
  <c r="B16793" i="1"/>
  <c r="B16794" i="1"/>
  <c r="B16795" i="1"/>
  <c r="B16796" i="1"/>
  <c r="B16797" i="1"/>
  <c r="B16798" i="1"/>
  <c r="B16799" i="1"/>
  <c r="B16800" i="1"/>
  <c r="B16801" i="1"/>
  <c r="B16802" i="1"/>
  <c r="B16803" i="1"/>
  <c r="B16804" i="1"/>
  <c r="B16805" i="1"/>
  <c r="B16806" i="1"/>
  <c r="B16807" i="1"/>
  <c r="B16808" i="1"/>
  <c r="B16809" i="1"/>
  <c r="B16810" i="1"/>
  <c r="B16811" i="1"/>
  <c r="B16812" i="1"/>
  <c r="B16813" i="1"/>
  <c r="B16814" i="1"/>
  <c r="B16815" i="1"/>
  <c r="B16816" i="1"/>
  <c r="B16817" i="1"/>
  <c r="B16818" i="1"/>
  <c r="B16819" i="1"/>
  <c r="B16820" i="1"/>
  <c r="B16821" i="1"/>
  <c r="B16822" i="1"/>
  <c r="B16823" i="1"/>
  <c r="B16824" i="1"/>
  <c r="B16825" i="1"/>
  <c r="B16826" i="1"/>
  <c r="B16827" i="1"/>
  <c r="B16828" i="1"/>
  <c r="B16829" i="1"/>
  <c r="B16830" i="1"/>
  <c r="B16831" i="1"/>
  <c r="B16832" i="1"/>
  <c r="B16833" i="1"/>
  <c r="B16834" i="1"/>
  <c r="B16835" i="1"/>
  <c r="B16836" i="1"/>
  <c r="B16837" i="1"/>
  <c r="B16838" i="1"/>
  <c r="B16839" i="1"/>
  <c r="B16840" i="1"/>
  <c r="B16841" i="1"/>
  <c r="B16842" i="1"/>
  <c r="B16843" i="1"/>
  <c r="B16844" i="1"/>
  <c r="B16845" i="1"/>
  <c r="B16846" i="1"/>
  <c r="B16847" i="1"/>
  <c r="B16848" i="1"/>
  <c r="B16849" i="1"/>
  <c r="B16850" i="1"/>
  <c r="B16851" i="1"/>
  <c r="B16852" i="1"/>
  <c r="B16853" i="1"/>
  <c r="B16854" i="1"/>
  <c r="B16855" i="1"/>
  <c r="B16856" i="1"/>
  <c r="B16857" i="1"/>
  <c r="B16858" i="1"/>
  <c r="B16859" i="1"/>
  <c r="B16860" i="1"/>
  <c r="B16861" i="1"/>
  <c r="B16862" i="1"/>
  <c r="B16863" i="1"/>
  <c r="B16864" i="1"/>
  <c r="B16865" i="1"/>
  <c r="B16866" i="1"/>
  <c r="B16867" i="1"/>
  <c r="B16868" i="1"/>
  <c r="B16869" i="1"/>
  <c r="B16870" i="1"/>
  <c r="B16871" i="1"/>
  <c r="B16872" i="1"/>
  <c r="B16873" i="1"/>
  <c r="B16874" i="1"/>
  <c r="B16875" i="1"/>
  <c r="B16876" i="1"/>
  <c r="B16877" i="1"/>
  <c r="B16878" i="1"/>
  <c r="B16879" i="1"/>
  <c r="B16880" i="1"/>
  <c r="B16881" i="1"/>
  <c r="B16882" i="1"/>
  <c r="B16883" i="1"/>
  <c r="B16884" i="1"/>
  <c r="B16885" i="1"/>
  <c r="B16886" i="1"/>
  <c r="B16887" i="1"/>
  <c r="B16888" i="1"/>
  <c r="B16889" i="1"/>
  <c r="B16890" i="1"/>
  <c r="B16891" i="1"/>
  <c r="B16892" i="1"/>
  <c r="B16893" i="1"/>
  <c r="B16894" i="1"/>
  <c r="B16895" i="1"/>
  <c r="B16896" i="1"/>
  <c r="B16897" i="1"/>
  <c r="B16898" i="1"/>
  <c r="B16899" i="1"/>
  <c r="B16900" i="1"/>
  <c r="B16901" i="1"/>
  <c r="B16902" i="1"/>
  <c r="B16903" i="1"/>
  <c r="B16904" i="1"/>
  <c r="B16905" i="1"/>
  <c r="B16906" i="1"/>
  <c r="B16907" i="1"/>
  <c r="B16908" i="1"/>
  <c r="B16909" i="1"/>
  <c r="B16910" i="1"/>
  <c r="B16911" i="1"/>
  <c r="B16912" i="1"/>
  <c r="B16913" i="1"/>
  <c r="B16914" i="1"/>
  <c r="B16915" i="1"/>
  <c r="B16916" i="1"/>
  <c r="B16917" i="1"/>
  <c r="B16918" i="1"/>
  <c r="B16919" i="1"/>
  <c r="B16920" i="1"/>
  <c r="B16921" i="1"/>
  <c r="B16922" i="1"/>
  <c r="B16923" i="1"/>
  <c r="B16924" i="1"/>
  <c r="B16925" i="1"/>
  <c r="B16926" i="1"/>
  <c r="B16927" i="1"/>
  <c r="B16928" i="1"/>
  <c r="B16929" i="1"/>
  <c r="B16930" i="1"/>
  <c r="B16931" i="1"/>
  <c r="B16932" i="1"/>
  <c r="B16933" i="1"/>
  <c r="B16934" i="1"/>
  <c r="B16935" i="1"/>
  <c r="B16936" i="1"/>
  <c r="B16937" i="1"/>
  <c r="B16938" i="1"/>
  <c r="B16939" i="1"/>
  <c r="B16940" i="1"/>
  <c r="B16941" i="1"/>
  <c r="B16942" i="1"/>
  <c r="B16943" i="1"/>
  <c r="B16944" i="1"/>
  <c r="B16945" i="1"/>
  <c r="B16946" i="1"/>
  <c r="B16947" i="1"/>
  <c r="B16948" i="1"/>
  <c r="B16949" i="1"/>
  <c r="B16950" i="1"/>
  <c r="B16951" i="1"/>
  <c r="B16952" i="1"/>
  <c r="B16953" i="1"/>
  <c r="B16954" i="1"/>
  <c r="B16955" i="1"/>
  <c r="B16956" i="1"/>
  <c r="B16957" i="1"/>
  <c r="B16958" i="1"/>
  <c r="B16959" i="1"/>
  <c r="B16960" i="1"/>
  <c r="B16961" i="1"/>
  <c r="B16962" i="1"/>
  <c r="B16963" i="1"/>
  <c r="B16964" i="1"/>
  <c r="B16965" i="1"/>
  <c r="B16966" i="1"/>
  <c r="B16967" i="1"/>
  <c r="B16968" i="1"/>
  <c r="B16969" i="1"/>
  <c r="B16970" i="1"/>
  <c r="B16971" i="1"/>
  <c r="B16972" i="1"/>
  <c r="B16973" i="1"/>
  <c r="B16974" i="1"/>
  <c r="B16975" i="1"/>
  <c r="B16976" i="1"/>
  <c r="B16977" i="1"/>
  <c r="B16978" i="1"/>
  <c r="B16979" i="1"/>
  <c r="B16980" i="1"/>
  <c r="B16981" i="1"/>
  <c r="B16982" i="1"/>
  <c r="B16983" i="1"/>
  <c r="B16984" i="1"/>
  <c r="B16985" i="1"/>
  <c r="B16986" i="1"/>
  <c r="B16987" i="1"/>
  <c r="B16988" i="1"/>
  <c r="B16989" i="1"/>
  <c r="B16990" i="1"/>
  <c r="B16991" i="1"/>
  <c r="B16992" i="1"/>
  <c r="B16993" i="1"/>
  <c r="B16994" i="1"/>
  <c r="B16995" i="1"/>
  <c r="B16996" i="1"/>
  <c r="B16997" i="1"/>
  <c r="B16998" i="1"/>
  <c r="B16999" i="1"/>
  <c r="B17000" i="1"/>
  <c r="B17001" i="1"/>
  <c r="B17002" i="1"/>
  <c r="B17003" i="1"/>
  <c r="B17004" i="1"/>
  <c r="B17005" i="1"/>
  <c r="B17006" i="1"/>
  <c r="B17007" i="1"/>
  <c r="B17008" i="1"/>
  <c r="B17009" i="1"/>
  <c r="B17010" i="1"/>
  <c r="B17011" i="1"/>
  <c r="B17012" i="1"/>
  <c r="B17013" i="1"/>
  <c r="B17014" i="1"/>
  <c r="B17015" i="1"/>
  <c r="B17016" i="1"/>
  <c r="B17017" i="1"/>
  <c r="B17018" i="1"/>
  <c r="B17019" i="1"/>
  <c r="B17020" i="1"/>
  <c r="B17021" i="1"/>
  <c r="B17022" i="1"/>
  <c r="B17023" i="1"/>
  <c r="B17024" i="1"/>
  <c r="B17025" i="1"/>
  <c r="B17026" i="1"/>
  <c r="B17027" i="1"/>
  <c r="B17028" i="1"/>
  <c r="B17029" i="1"/>
  <c r="B17030" i="1"/>
  <c r="B17031" i="1"/>
  <c r="B17032" i="1"/>
  <c r="B17033" i="1"/>
  <c r="B17034" i="1"/>
  <c r="B17035" i="1"/>
  <c r="B17036" i="1"/>
  <c r="B17037" i="1"/>
  <c r="B17038" i="1"/>
  <c r="B17039" i="1"/>
  <c r="B17040" i="1"/>
  <c r="B17041" i="1"/>
  <c r="B17042" i="1"/>
  <c r="B17043" i="1"/>
  <c r="B17044" i="1"/>
  <c r="B17045" i="1"/>
  <c r="B17046" i="1"/>
  <c r="B17047" i="1"/>
  <c r="B17048" i="1"/>
  <c r="B17049" i="1"/>
  <c r="B17050" i="1"/>
  <c r="B17051" i="1"/>
  <c r="B17052" i="1"/>
  <c r="B17053" i="1"/>
  <c r="B17054" i="1"/>
  <c r="B17055" i="1"/>
  <c r="B17056" i="1"/>
  <c r="B17057" i="1"/>
  <c r="B17058" i="1"/>
  <c r="B17059" i="1"/>
  <c r="B17060" i="1"/>
  <c r="B17061" i="1"/>
  <c r="B17062" i="1"/>
  <c r="B17063" i="1"/>
  <c r="B17064" i="1"/>
  <c r="B17065" i="1"/>
  <c r="B17066" i="1"/>
  <c r="B17067" i="1"/>
  <c r="B17068" i="1"/>
  <c r="B17069" i="1"/>
  <c r="B17070" i="1"/>
  <c r="B17071" i="1"/>
  <c r="B17072" i="1"/>
  <c r="B17073" i="1"/>
  <c r="B17074" i="1"/>
  <c r="B17075" i="1"/>
  <c r="B17076" i="1"/>
  <c r="B17077" i="1"/>
  <c r="B17078" i="1"/>
  <c r="B17079" i="1"/>
  <c r="B17080" i="1"/>
  <c r="B17081" i="1"/>
  <c r="B17082" i="1"/>
  <c r="B17083" i="1"/>
  <c r="B17084" i="1"/>
  <c r="B17085" i="1"/>
  <c r="B17086" i="1"/>
  <c r="B17087" i="1"/>
  <c r="B17088" i="1"/>
  <c r="B17089" i="1"/>
  <c r="B17090" i="1"/>
  <c r="B17091" i="1"/>
  <c r="B17092" i="1"/>
  <c r="B17093" i="1"/>
  <c r="B17094" i="1"/>
  <c r="B17095" i="1"/>
  <c r="B17096" i="1"/>
  <c r="B17097" i="1"/>
  <c r="B17098" i="1"/>
  <c r="B17099" i="1"/>
  <c r="B17100" i="1"/>
  <c r="B17101" i="1"/>
  <c r="B17102" i="1"/>
  <c r="B17103" i="1"/>
  <c r="B17104" i="1"/>
  <c r="B17105" i="1"/>
  <c r="B17106" i="1"/>
  <c r="B17107" i="1"/>
  <c r="B17108" i="1"/>
  <c r="B17109" i="1"/>
  <c r="B17110" i="1"/>
  <c r="B17111" i="1"/>
  <c r="B17112" i="1"/>
  <c r="B17113" i="1"/>
  <c r="B17114" i="1"/>
  <c r="B17115" i="1"/>
  <c r="B17116" i="1"/>
  <c r="B17117" i="1"/>
  <c r="B17118" i="1"/>
  <c r="B17119" i="1"/>
  <c r="B17120" i="1"/>
  <c r="B17121" i="1"/>
  <c r="B17122" i="1"/>
  <c r="B17123" i="1"/>
  <c r="B17124" i="1"/>
  <c r="B17125" i="1"/>
  <c r="B17126" i="1"/>
  <c r="B17127" i="1"/>
  <c r="B17128" i="1"/>
  <c r="B17129" i="1"/>
  <c r="B17130" i="1"/>
  <c r="B17131" i="1"/>
  <c r="B17132" i="1"/>
  <c r="B17133" i="1"/>
  <c r="B17134" i="1"/>
  <c r="B17135" i="1"/>
  <c r="B17136" i="1"/>
  <c r="B17137" i="1"/>
  <c r="B17138" i="1"/>
  <c r="B17139" i="1"/>
  <c r="B17140" i="1"/>
  <c r="B17141" i="1"/>
  <c r="B17142" i="1"/>
  <c r="B17143" i="1"/>
  <c r="B17144" i="1"/>
  <c r="B17145" i="1"/>
  <c r="B17146" i="1"/>
  <c r="B17147" i="1"/>
  <c r="B17148" i="1"/>
  <c r="B17149" i="1"/>
  <c r="B17150" i="1"/>
  <c r="B17151" i="1"/>
  <c r="B17152" i="1"/>
  <c r="B17153" i="1"/>
  <c r="B17154" i="1"/>
  <c r="B17155" i="1"/>
  <c r="B17156" i="1"/>
  <c r="B17157" i="1"/>
  <c r="B17158" i="1"/>
  <c r="B17159" i="1"/>
  <c r="B17160" i="1"/>
  <c r="B17161" i="1"/>
  <c r="B17162" i="1"/>
  <c r="B17163" i="1"/>
  <c r="B17164" i="1"/>
  <c r="B17165" i="1"/>
  <c r="B17166" i="1"/>
  <c r="B17167" i="1"/>
  <c r="B17168" i="1"/>
  <c r="B17169" i="1"/>
  <c r="B17170" i="1"/>
  <c r="B17171" i="1"/>
  <c r="B17172" i="1"/>
  <c r="B17173" i="1"/>
  <c r="B17174" i="1"/>
  <c r="B17175" i="1"/>
  <c r="B17176" i="1"/>
  <c r="B17177" i="1"/>
  <c r="B17178" i="1"/>
  <c r="B17179" i="1"/>
  <c r="B17180" i="1"/>
  <c r="B17181" i="1"/>
  <c r="B17182" i="1"/>
  <c r="B17183" i="1"/>
  <c r="B17184" i="1"/>
  <c r="B17185" i="1"/>
  <c r="B17186" i="1"/>
  <c r="B17187" i="1"/>
  <c r="B17188" i="1"/>
  <c r="B17189" i="1"/>
  <c r="B17190" i="1"/>
  <c r="B17191" i="1"/>
  <c r="B17192" i="1"/>
  <c r="B17193" i="1"/>
  <c r="B17194" i="1"/>
  <c r="B17195" i="1"/>
  <c r="B17196" i="1"/>
  <c r="B17197" i="1"/>
  <c r="B17198" i="1"/>
  <c r="B17199" i="1"/>
  <c r="B17200" i="1"/>
  <c r="B17201" i="1"/>
  <c r="B17202" i="1"/>
  <c r="B17203" i="1"/>
  <c r="B17204" i="1"/>
  <c r="B17205" i="1"/>
  <c r="B17206" i="1"/>
  <c r="B17207" i="1"/>
  <c r="B17208" i="1"/>
  <c r="B17209" i="1"/>
  <c r="B17210" i="1"/>
  <c r="B17211" i="1"/>
  <c r="B17212" i="1"/>
  <c r="B17213" i="1"/>
  <c r="B17214" i="1"/>
  <c r="B17215" i="1"/>
  <c r="B17216" i="1"/>
  <c r="B17217" i="1"/>
  <c r="B17218" i="1"/>
  <c r="B17219" i="1"/>
  <c r="B17220" i="1"/>
  <c r="B17221" i="1"/>
  <c r="B17222" i="1"/>
  <c r="B17223" i="1"/>
  <c r="B17224" i="1"/>
  <c r="B17225" i="1"/>
  <c r="B17226" i="1"/>
  <c r="B17227" i="1"/>
  <c r="B17228" i="1"/>
  <c r="B17229" i="1"/>
  <c r="B17230" i="1"/>
  <c r="B17231" i="1"/>
  <c r="B17232" i="1"/>
  <c r="B17233" i="1"/>
  <c r="B17234" i="1"/>
  <c r="B17235" i="1"/>
  <c r="B17236" i="1"/>
  <c r="B17237" i="1"/>
  <c r="B17238" i="1"/>
  <c r="B17239" i="1"/>
  <c r="B17240" i="1"/>
  <c r="B17241" i="1"/>
  <c r="B17242" i="1"/>
  <c r="B17243" i="1"/>
  <c r="B17244" i="1"/>
  <c r="B17245" i="1"/>
  <c r="B17246" i="1"/>
  <c r="B17247" i="1"/>
  <c r="B17248" i="1"/>
  <c r="B17249" i="1"/>
  <c r="B17250" i="1"/>
  <c r="B17251" i="1"/>
  <c r="B17252" i="1"/>
  <c r="B17253" i="1"/>
  <c r="B17254" i="1"/>
  <c r="B17255" i="1"/>
  <c r="B17256" i="1"/>
  <c r="B17257" i="1"/>
  <c r="B17258" i="1"/>
  <c r="B17259" i="1"/>
  <c r="B17260" i="1"/>
  <c r="B17261" i="1"/>
  <c r="B17262" i="1"/>
  <c r="B17263" i="1"/>
  <c r="B17264" i="1"/>
  <c r="B17265" i="1"/>
  <c r="B17266" i="1"/>
  <c r="B17267" i="1"/>
  <c r="B17268" i="1"/>
  <c r="B17269" i="1"/>
  <c r="B17270" i="1"/>
  <c r="B17271" i="1"/>
  <c r="B17272" i="1"/>
  <c r="B17273" i="1"/>
  <c r="B17274" i="1"/>
  <c r="B17275" i="1"/>
  <c r="B17276" i="1"/>
  <c r="B17277" i="1"/>
  <c r="B17278" i="1"/>
  <c r="B17279" i="1"/>
  <c r="B17280" i="1"/>
  <c r="B17281" i="1"/>
  <c r="B17282" i="1"/>
  <c r="B17283" i="1"/>
  <c r="B17284" i="1"/>
  <c r="B17285" i="1"/>
  <c r="B17286" i="1"/>
  <c r="B17287" i="1"/>
  <c r="B17288" i="1"/>
  <c r="B17289" i="1"/>
  <c r="B17290" i="1"/>
  <c r="B17291" i="1"/>
  <c r="B17292" i="1"/>
  <c r="B17293" i="1"/>
  <c r="B17294" i="1"/>
  <c r="B17295" i="1"/>
  <c r="B17296" i="1"/>
  <c r="B17297" i="1"/>
  <c r="B17298" i="1"/>
  <c r="B17299" i="1"/>
  <c r="B17300" i="1"/>
  <c r="B17301" i="1"/>
  <c r="B17302" i="1"/>
  <c r="B17303" i="1"/>
  <c r="B17304" i="1"/>
  <c r="B17305" i="1"/>
  <c r="B17306" i="1"/>
  <c r="B17307" i="1"/>
  <c r="B17308" i="1"/>
  <c r="B17309" i="1"/>
  <c r="B17310" i="1"/>
  <c r="B17311" i="1"/>
  <c r="B17312" i="1"/>
  <c r="B17313" i="1"/>
  <c r="B17314" i="1"/>
  <c r="B17315" i="1"/>
  <c r="B17316" i="1"/>
  <c r="B17317" i="1"/>
  <c r="B17318" i="1"/>
  <c r="B17319" i="1"/>
  <c r="B17320" i="1"/>
  <c r="B17321" i="1"/>
  <c r="B17322" i="1"/>
  <c r="B17323" i="1"/>
  <c r="B17324" i="1"/>
  <c r="B17325" i="1"/>
  <c r="B17326" i="1"/>
  <c r="B17327" i="1"/>
  <c r="B17328" i="1"/>
  <c r="B17329" i="1"/>
  <c r="B17330" i="1"/>
  <c r="B17331" i="1"/>
  <c r="B17332" i="1"/>
  <c r="B17333" i="1"/>
  <c r="B17334" i="1"/>
  <c r="B17335" i="1"/>
  <c r="B17336" i="1"/>
  <c r="B17337" i="1"/>
  <c r="B17338" i="1"/>
  <c r="B17339" i="1"/>
  <c r="B17340" i="1"/>
  <c r="B17341" i="1"/>
  <c r="B17342" i="1"/>
  <c r="B17343" i="1"/>
  <c r="B17344" i="1"/>
  <c r="B17345" i="1"/>
  <c r="B17346" i="1"/>
  <c r="B17347" i="1"/>
  <c r="B17348" i="1"/>
  <c r="B17349" i="1"/>
  <c r="B17350" i="1"/>
  <c r="B17351" i="1"/>
  <c r="B17352" i="1"/>
  <c r="B17353" i="1"/>
  <c r="B17354" i="1"/>
  <c r="B17355" i="1"/>
  <c r="B17356" i="1"/>
  <c r="B17357" i="1"/>
  <c r="B17358" i="1"/>
  <c r="B17359" i="1"/>
  <c r="B17360" i="1"/>
  <c r="B17361" i="1"/>
  <c r="B17362" i="1"/>
  <c r="B17363" i="1"/>
  <c r="B17364" i="1"/>
  <c r="B17365" i="1"/>
  <c r="B17366" i="1"/>
  <c r="B17367" i="1"/>
  <c r="B17368" i="1"/>
  <c r="B17369" i="1"/>
  <c r="B17370" i="1"/>
  <c r="B17371" i="1"/>
  <c r="B17372" i="1"/>
  <c r="B17373" i="1"/>
  <c r="B17374" i="1"/>
  <c r="B17375" i="1"/>
  <c r="B17376" i="1"/>
  <c r="B17377" i="1"/>
  <c r="B17378" i="1"/>
  <c r="B17379" i="1"/>
  <c r="B17380" i="1"/>
  <c r="B17381" i="1"/>
  <c r="B17382" i="1"/>
  <c r="B17383" i="1"/>
  <c r="B17384" i="1"/>
  <c r="B17385" i="1"/>
  <c r="B17386" i="1"/>
  <c r="B17387" i="1"/>
  <c r="B17388" i="1"/>
  <c r="B17389" i="1"/>
  <c r="B17390" i="1"/>
  <c r="B17391" i="1"/>
  <c r="B17392" i="1"/>
  <c r="B17393" i="1"/>
  <c r="B17394" i="1"/>
  <c r="B17395" i="1"/>
  <c r="B17396" i="1"/>
  <c r="B17397" i="1"/>
  <c r="B17398" i="1"/>
  <c r="B17399" i="1"/>
  <c r="B17400" i="1"/>
  <c r="B17401" i="1"/>
  <c r="B17402" i="1"/>
  <c r="B17403" i="1"/>
  <c r="B17404" i="1"/>
  <c r="B17405" i="1"/>
  <c r="B17406" i="1"/>
  <c r="B17407" i="1"/>
  <c r="B17408" i="1"/>
  <c r="B17409" i="1"/>
  <c r="B17410" i="1"/>
  <c r="B17411" i="1"/>
  <c r="B17412" i="1"/>
  <c r="B17413" i="1"/>
  <c r="B17414" i="1"/>
  <c r="B17415" i="1"/>
  <c r="B17416" i="1"/>
  <c r="B17417" i="1"/>
  <c r="B17418" i="1"/>
  <c r="B17419" i="1"/>
  <c r="B17420" i="1"/>
  <c r="B17421" i="1"/>
  <c r="B17422" i="1"/>
  <c r="B17423" i="1"/>
  <c r="B17424" i="1"/>
  <c r="B17425" i="1"/>
  <c r="B17426" i="1"/>
  <c r="B17427" i="1"/>
  <c r="B17428" i="1"/>
  <c r="B17429" i="1"/>
  <c r="B17430" i="1"/>
  <c r="B17431" i="1"/>
  <c r="B17432" i="1"/>
  <c r="B17433" i="1"/>
  <c r="B17434" i="1"/>
  <c r="B17435" i="1"/>
  <c r="B17436" i="1"/>
  <c r="B17437" i="1"/>
  <c r="B17438" i="1"/>
  <c r="B17439" i="1"/>
  <c r="B17440" i="1"/>
  <c r="B17441" i="1"/>
  <c r="B17442" i="1"/>
  <c r="B17443" i="1"/>
  <c r="B17444" i="1"/>
  <c r="B17445" i="1"/>
  <c r="B17446" i="1"/>
  <c r="B17447" i="1"/>
  <c r="B17448" i="1"/>
  <c r="B17449" i="1"/>
  <c r="B17450" i="1"/>
  <c r="B17451" i="1"/>
  <c r="B17452" i="1"/>
  <c r="B17453" i="1"/>
  <c r="B17454" i="1"/>
  <c r="B17455" i="1"/>
  <c r="B17456" i="1"/>
  <c r="B17457" i="1"/>
  <c r="B17458" i="1"/>
  <c r="B17459" i="1"/>
  <c r="B17460" i="1"/>
  <c r="B17461" i="1"/>
  <c r="B17462" i="1"/>
  <c r="B17463" i="1"/>
  <c r="B17464" i="1"/>
  <c r="B17465" i="1"/>
  <c r="B17466" i="1"/>
  <c r="B17467" i="1"/>
  <c r="B17468" i="1"/>
  <c r="B17469" i="1"/>
  <c r="B17470" i="1"/>
  <c r="B17471" i="1"/>
  <c r="B17472" i="1"/>
  <c r="B17473" i="1"/>
  <c r="B17474" i="1"/>
  <c r="B17475" i="1"/>
  <c r="B17476" i="1"/>
  <c r="B17477" i="1"/>
  <c r="B17478" i="1"/>
  <c r="B17479" i="1"/>
  <c r="B17480" i="1"/>
  <c r="B17481" i="1"/>
  <c r="B17482" i="1"/>
  <c r="B17483" i="1"/>
  <c r="B17484" i="1"/>
  <c r="B17485" i="1"/>
  <c r="B17486" i="1"/>
  <c r="B17487" i="1"/>
  <c r="B17488" i="1"/>
  <c r="B17489" i="1"/>
  <c r="B17490" i="1"/>
  <c r="B17491" i="1"/>
  <c r="B17492" i="1"/>
  <c r="B17493" i="1"/>
  <c r="B17494" i="1"/>
  <c r="B17495" i="1"/>
  <c r="B17496" i="1"/>
  <c r="B17497" i="1"/>
  <c r="B17498" i="1"/>
  <c r="B17499" i="1"/>
  <c r="B17500" i="1"/>
  <c r="B17501" i="1"/>
  <c r="B17502" i="1"/>
  <c r="B17503" i="1"/>
  <c r="B17504" i="1"/>
  <c r="B17505" i="1"/>
  <c r="B17506" i="1"/>
  <c r="B17507" i="1"/>
  <c r="B17508" i="1"/>
  <c r="B17509" i="1"/>
  <c r="B17510" i="1"/>
  <c r="B17511" i="1"/>
  <c r="B17512" i="1"/>
  <c r="B17513" i="1"/>
  <c r="B17514" i="1"/>
  <c r="B17515" i="1"/>
  <c r="B17516" i="1"/>
  <c r="B17517" i="1"/>
  <c r="B17518" i="1"/>
  <c r="B17519" i="1"/>
  <c r="B17520" i="1"/>
  <c r="B17521" i="1"/>
  <c r="B17522" i="1"/>
  <c r="B17523" i="1"/>
  <c r="B17524" i="1"/>
  <c r="B17525" i="1"/>
  <c r="B17526" i="1"/>
  <c r="B17527" i="1"/>
  <c r="B17528" i="1"/>
  <c r="B17529" i="1"/>
  <c r="B17530" i="1"/>
  <c r="B17531" i="1"/>
  <c r="B17532" i="1"/>
  <c r="B17533" i="1"/>
  <c r="B17534" i="1"/>
  <c r="B17535" i="1"/>
  <c r="B17536" i="1"/>
  <c r="B17537" i="1"/>
  <c r="B17538" i="1"/>
  <c r="B17539" i="1"/>
  <c r="B17540" i="1"/>
  <c r="B17541" i="1"/>
  <c r="B17542" i="1"/>
  <c r="B17543" i="1"/>
  <c r="B17544" i="1"/>
  <c r="B17545" i="1"/>
  <c r="B17546" i="1"/>
  <c r="B17547" i="1"/>
  <c r="B17548" i="1"/>
  <c r="B17549" i="1"/>
  <c r="B17550" i="1"/>
  <c r="B17551" i="1"/>
  <c r="B17552" i="1"/>
  <c r="B17553" i="1"/>
  <c r="B17554" i="1"/>
  <c r="B17555" i="1"/>
  <c r="B17556" i="1"/>
  <c r="B17557" i="1"/>
  <c r="B17558" i="1"/>
  <c r="B17559" i="1"/>
  <c r="B17560" i="1"/>
  <c r="B17561" i="1"/>
  <c r="B17562" i="1"/>
  <c r="B17563" i="1"/>
  <c r="B17564" i="1"/>
  <c r="B17565" i="1"/>
  <c r="B17566" i="1"/>
  <c r="B17567" i="1"/>
  <c r="B17568" i="1"/>
  <c r="B17569" i="1"/>
  <c r="B17570" i="1"/>
  <c r="B17571" i="1"/>
  <c r="B17572" i="1"/>
  <c r="B17573" i="1"/>
  <c r="B17574" i="1"/>
  <c r="B17575" i="1"/>
  <c r="B17576" i="1"/>
  <c r="B17577" i="1"/>
  <c r="B17578" i="1"/>
  <c r="B17579" i="1"/>
  <c r="B17580" i="1"/>
  <c r="B17581" i="1"/>
  <c r="B17582" i="1"/>
  <c r="B17583" i="1"/>
  <c r="B17584" i="1"/>
  <c r="B17585" i="1"/>
  <c r="B17586" i="1"/>
  <c r="B17587" i="1"/>
  <c r="B17588" i="1"/>
  <c r="B17589" i="1"/>
  <c r="B17590" i="1"/>
  <c r="B17591" i="1"/>
  <c r="B17592" i="1"/>
  <c r="B17593" i="1"/>
  <c r="B17594" i="1"/>
  <c r="B17595" i="1"/>
  <c r="B17596" i="1"/>
  <c r="B17597" i="1"/>
  <c r="B17598" i="1"/>
  <c r="B17599" i="1"/>
  <c r="B17600" i="1"/>
  <c r="B17601" i="1"/>
  <c r="B17602" i="1"/>
  <c r="B17603" i="1"/>
  <c r="B17604" i="1"/>
  <c r="B17605" i="1"/>
  <c r="B17606" i="1"/>
  <c r="B17607" i="1"/>
  <c r="B17608" i="1"/>
  <c r="B17609" i="1"/>
  <c r="B17610" i="1"/>
  <c r="B17611" i="1"/>
  <c r="B17612" i="1"/>
  <c r="B17613" i="1"/>
  <c r="B17614" i="1"/>
  <c r="B17615" i="1"/>
  <c r="B17616" i="1"/>
  <c r="B17617" i="1"/>
  <c r="B17618" i="1"/>
  <c r="B17619" i="1"/>
  <c r="B17620" i="1"/>
  <c r="B17621" i="1"/>
  <c r="B17622" i="1"/>
  <c r="B17623" i="1"/>
  <c r="B17624" i="1"/>
  <c r="B17625" i="1"/>
  <c r="B17626" i="1"/>
  <c r="B17627" i="1"/>
  <c r="B17628" i="1"/>
  <c r="B17629" i="1"/>
  <c r="B17630" i="1"/>
  <c r="B17631" i="1"/>
  <c r="B17632" i="1"/>
  <c r="B17633" i="1"/>
  <c r="B17634" i="1"/>
  <c r="B17635" i="1"/>
  <c r="B17636" i="1"/>
  <c r="B17637" i="1"/>
  <c r="B17638" i="1"/>
  <c r="B17639" i="1"/>
  <c r="B17640" i="1"/>
  <c r="B17641" i="1"/>
  <c r="B17642" i="1"/>
  <c r="B17643" i="1"/>
  <c r="B17644" i="1"/>
  <c r="B17645" i="1"/>
  <c r="B17646" i="1"/>
  <c r="B17647" i="1"/>
  <c r="B17648" i="1"/>
  <c r="B17649" i="1"/>
  <c r="B17650" i="1"/>
  <c r="B17651" i="1"/>
  <c r="B17652" i="1"/>
  <c r="B17653" i="1"/>
  <c r="B17654" i="1"/>
  <c r="B17655" i="1"/>
  <c r="B17656" i="1"/>
  <c r="B17657" i="1"/>
  <c r="B17658" i="1"/>
  <c r="B17659" i="1"/>
  <c r="B17660" i="1"/>
  <c r="B17661" i="1"/>
  <c r="B17662" i="1"/>
  <c r="B17663" i="1"/>
  <c r="B17664" i="1"/>
  <c r="B17665" i="1"/>
  <c r="B17666" i="1"/>
  <c r="B17667" i="1"/>
  <c r="B17668" i="1"/>
  <c r="B17669" i="1"/>
  <c r="B17670" i="1"/>
  <c r="B17671" i="1"/>
  <c r="B17672" i="1"/>
  <c r="B17673" i="1"/>
  <c r="B17674" i="1"/>
  <c r="B17675" i="1"/>
  <c r="B17676" i="1"/>
  <c r="B17677" i="1"/>
  <c r="B17678" i="1"/>
  <c r="B17679" i="1"/>
  <c r="B17680" i="1"/>
  <c r="B17681" i="1"/>
  <c r="B17682" i="1"/>
  <c r="B17683" i="1"/>
  <c r="B17684" i="1"/>
  <c r="B17685" i="1"/>
  <c r="B17686" i="1"/>
  <c r="B17687" i="1"/>
  <c r="B17688" i="1"/>
  <c r="B17689" i="1"/>
  <c r="B17690" i="1"/>
  <c r="B17691" i="1"/>
  <c r="B17692" i="1"/>
  <c r="B17693" i="1"/>
  <c r="B17694" i="1"/>
  <c r="B17695" i="1"/>
  <c r="B17696" i="1"/>
  <c r="B17697" i="1"/>
  <c r="B17698" i="1"/>
  <c r="B17699" i="1"/>
  <c r="B17700" i="1"/>
  <c r="B17701" i="1"/>
  <c r="B17702" i="1"/>
  <c r="B17703" i="1"/>
  <c r="B17704" i="1"/>
  <c r="B17705" i="1"/>
  <c r="B17706" i="1"/>
  <c r="B17707" i="1"/>
  <c r="B17708" i="1"/>
  <c r="B17709" i="1"/>
  <c r="B17710" i="1"/>
  <c r="B17711" i="1"/>
  <c r="B17712" i="1"/>
  <c r="B17713" i="1"/>
  <c r="B17714" i="1"/>
  <c r="B17715" i="1"/>
  <c r="B17716" i="1"/>
  <c r="B17717" i="1"/>
  <c r="B17718" i="1"/>
  <c r="B17719" i="1"/>
  <c r="B17720" i="1"/>
  <c r="B17721" i="1"/>
  <c r="B17722" i="1"/>
  <c r="B17723" i="1"/>
  <c r="B17724" i="1"/>
  <c r="B17725" i="1"/>
  <c r="B17726" i="1"/>
  <c r="B17727" i="1"/>
  <c r="B17728" i="1"/>
  <c r="B17729" i="1"/>
  <c r="B17730" i="1"/>
  <c r="B17731" i="1"/>
  <c r="B17732" i="1"/>
  <c r="B17733" i="1"/>
  <c r="B17734" i="1"/>
  <c r="B17735" i="1"/>
  <c r="B17736" i="1"/>
  <c r="B17737" i="1"/>
  <c r="B17738" i="1"/>
  <c r="B17739" i="1"/>
  <c r="B17740" i="1"/>
  <c r="B17741" i="1"/>
  <c r="B17742" i="1"/>
  <c r="B17743" i="1"/>
  <c r="B17744" i="1"/>
  <c r="B17745" i="1"/>
  <c r="B17746" i="1"/>
  <c r="B17747" i="1"/>
  <c r="B17748" i="1"/>
  <c r="B17749" i="1"/>
  <c r="B17750" i="1"/>
  <c r="B17751" i="1"/>
  <c r="B17752" i="1"/>
  <c r="B17753" i="1"/>
  <c r="B17754" i="1"/>
  <c r="B17755" i="1"/>
  <c r="B17756" i="1"/>
  <c r="B17757" i="1"/>
  <c r="B17758" i="1"/>
  <c r="B17759" i="1"/>
  <c r="B17760" i="1"/>
  <c r="B17761" i="1"/>
  <c r="B17762" i="1"/>
  <c r="B17763" i="1"/>
  <c r="B17764" i="1"/>
  <c r="B17765" i="1"/>
  <c r="B17766" i="1"/>
  <c r="B17767" i="1"/>
  <c r="B17768" i="1"/>
  <c r="B17769" i="1"/>
  <c r="B17770" i="1"/>
  <c r="B17771" i="1"/>
  <c r="B17772" i="1"/>
  <c r="B17773" i="1"/>
  <c r="B17774" i="1"/>
  <c r="B17775" i="1"/>
  <c r="B17776" i="1"/>
  <c r="B17777" i="1"/>
  <c r="B17778" i="1"/>
  <c r="B17779" i="1"/>
  <c r="B17780" i="1"/>
  <c r="B17781" i="1"/>
  <c r="B17782" i="1"/>
  <c r="B17783" i="1"/>
  <c r="B17784" i="1"/>
  <c r="B17785" i="1"/>
  <c r="B17786" i="1"/>
  <c r="B17787" i="1"/>
  <c r="B17788" i="1"/>
  <c r="B17789" i="1"/>
  <c r="B17790" i="1"/>
  <c r="B17791" i="1"/>
  <c r="B17792" i="1"/>
  <c r="B17793" i="1"/>
  <c r="B17794" i="1"/>
  <c r="B17795" i="1"/>
  <c r="B17796" i="1"/>
  <c r="B17797" i="1"/>
  <c r="B17798" i="1"/>
  <c r="B17799" i="1"/>
  <c r="B17800" i="1"/>
  <c r="B17801" i="1"/>
  <c r="B17802" i="1"/>
  <c r="B17803" i="1"/>
  <c r="B17804" i="1"/>
  <c r="B17805" i="1"/>
  <c r="B17806" i="1"/>
  <c r="B17807" i="1"/>
  <c r="B17808" i="1"/>
  <c r="B17809" i="1"/>
  <c r="B17810" i="1"/>
  <c r="B17811" i="1"/>
  <c r="B17812" i="1"/>
  <c r="B17813" i="1"/>
  <c r="B17814" i="1"/>
  <c r="B17815" i="1"/>
  <c r="B17816" i="1"/>
  <c r="B17817" i="1"/>
  <c r="B17818" i="1"/>
  <c r="B17819" i="1"/>
  <c r="B17820" i="1"/>
  <c r="B17821" i="1"/>
  <c r="B17822" i="1"/>
  <c r="B17823" i="1"/>
  <c r="B17824" i="1"/>
  <c r="B17825" i="1"/>
  <c r="B17826" i="1"/>
  <c r="B17827" i="1"/>
  <c r="B17828" i="1"/>
  <c r="B17829" i="1"/>
  <c r="B17830" i="1"/>
  <c r="B17831" i="1"/>
  <c r="B17832" i="1"/>
  <c r="B17833" i="1"/>
  <c r="B17834" i="1"/>
  <c r="B17835" i="1"/>
  <c r="B17836" i="1"/>
  <c r="B17837" i="1"/>
  <c r="B17838" i="1"/>
  <c r="B17839" i="1"/>
  <c r="B17840" i="1"/>
  <c r="B17841" i="1"/>
  <c r="B17842" i="1"/>
  <c r="B17843" i="1"/>
  <c r="B17844" i="1"/>
  <c r="B17845" i="1"/>
  <c r="B17846" i="1"/>
  <c r="B17847" i="1"/>
  <c r="B17848" i="1"/>
  <c r="B17849" i="1"/>
  <c r="B17850" i="1"/>
  <c r="B17851" i="1"/>
  <c r="B17852" i="1"/>
  <c r="B17853" i="1"/>
  <c r="B17854" i="1"/>
  <c r="B17855" i="1"/>
  <c r="B17856" i="1"/>
  <c r="B17857" i="1"/>
  <c r="B17858" i="1"/>
  <c r="B17859" i="1"/>
  <c r="B17860" i="1"/>
  <c r="B17861" i="1"/>
  <c r="B17862" i="1"/>
  <c r="B17863" i="1"/>
  <c r="B17864" i="1"/>
  <c r="B17865" i="1"/>
  <c r="B17866" i="1"/>
  <c r="B17867" i="1"/>
  <c r="B17868" i="1"/>
  <c r="B17869" i="1"/>
  <c r="B17870" i="1"/>
  <c r="B17871" i="1"/>
  <c r="B17872" i="1"/>
  <c r="B17873" i="1"/>
  <c r="B17874" i="1"/>
  <c r="B17875" i="1"/>
  <c r="B17876" i="1"/>
  <c r="B17877" i="1"/>
  <c r="B17878" i="1"/>
  <c r="B17879" i="1"/>
  <c r="B17880" i="1"/>
  <c r="B17881" i="1"/>
  <c r="B17882" i="1"/>
  <c r="B17883" i="1"/>
  <c r="B17884" i="1"/>
  <c r="B17885" i="1"/>
  <c r="B17886" i="1"/>
  <c r="B17887" i="1"/>
  <c r="B17888" i="1"/>
  <c r="B17889" i="1"/>
  <c r="B17890" i="1"/>
  <c r="B17891" i="1"/>
  <c r="B17892" i="1"/>
  <c r="B17893" i="1"/>
  <c r="B17894" i="1"/>
  <c r="B17895" i="1"/>
  <c r="B17896" i="1"/>
  <c r="B17897" i="1"/>
  <c r="B17898" i="1"/>
  <c r="B17899" i="1"/>
  <c r="B17900" i="1"/>
  <c r="B17901" i="1"/>
  <c r="B17902" i="1"/>
  <c r="B17903" i="1"/>
  <c r="B17904" i="1"/>
  <c r="B17905" i="1"/>
  <c r="B17906" i="1"/>
  <c r="B17907" i="1"/>
  <c r="B17908" i="1"/>
  <c r="B17909" i="1"/>
  <c r="B17910" i="1"/>
  <c r="B17911" i="1"/>
  <c r="B17912" i="1"/>
  <c r="B17913" i="1"/>
  <c r="B17914" i="1"/>
  <c r="B17915" i="1"/>
  <c r="B17916" i="1"/>
  <c r="B17917" i="1"/>
  <c r="B17918" i="1"/>
  <c r="B17919" i="1"/>
  <c r="B17920" i="1"/>
  <c r="B17921" i="1"/>
  <c r="B17922" i="1"/>
  <c r="B17923" i="1"/>
  <c r="B17924" i="1"/>
  <c r="B17925" i="1"/>
  <c r="B17926" i="1"/>
  <c r="B17927" i="1"/>
  <c r="B17928" i="1"/>
  <c r="B17929" i="1"/>
  <c r="B17930" i="1"/>
  <c r="B17931" i="1"/>
  <c r="B17932" i="1"/>
  <c r="B17933" i="1"/>
  <c r="B17934" i="1"/>
  <c r="B17935" i="1"/>
  <c r="B17936" i="1"/>
  <c r="B17937" i="1"/>
  <c r="B17938" i="1"/>
  <c r="B17939" i="1"/>
  <c r="B17940" i="1"/>
  <c r="B17941" i="1"/>
  <c r="B17942" i="1"/>
  <c r="B17943" i="1"/>
  <c r="B17944" i="1"/>
  <c r="B17945" i="1"/>
  <c r="B17946" i="1"/>
  <c r="B17947" i="1"/>
  <c r="B17948" i="1"/>
  <c r="B17949" i="1"/>
  <c r="B17950" i="1"/>
  <c r="B17951" i="1"/>
  <c r="B17952" i="1"/>
  <c r="B17953" i="1"/>
  <c r="B17954" i="1"/>
  <c r="B17955" i="1"/>
  <c r="B17956" i="1"/>
  <c r="B17957" i="1"/>
  <c r="B17958" i="1"/>
  <c r="B17959" i="1"/>
  <c r="B17960" i="1"/>
  <c r="B17961" i="1"/>
  <c r="B17962" i="1"/>
  <c r="B17963" i="1"/>
  <c r="B17964" i="1"/>
  <c r="B17965" i="1"/>
  <c r="B17966" i="1"/>
  <c r="B17967" i="1"/>
  <c r="B17968" i="1"/>
  <c r="B17969" i="1"/>
  <c r="B17970" i="1"/>
  <c r="B17971" i="1"/>
  <c r="B17972" i="1"/>
  <c r="B17973" i="1"/>
  <c r="B17974" i="1"/>
  <c r="B17975" i="1"/>
  <c r="B17976" i="1"/>
  <c r="B17977" i="1"/>
  <c r="B17978" i="1"/>
  <c r="B17979" i="1"/>
  <c r="B17980" i="1"/>
  <c r="B17981" i="1"/>
  <c r="B17982" i="1"/>
  <c r="B17983" i="1"/>
  <c r="B17984" i="1"/>
  <c r="B17985" i="1"/>
  <c r="B17986" i="1"/>
  <c r="B17987" i="1"/>
  <c r="B17988" i="1"/>
  <c r="B17989" i="1"/>
  <c r="B17990" i="1"/>
  <c r="B17991" i="1"/>
  <c r="B17992" i="1"/>
  <c r="B17993" i="1"/>
  <c r="B17994" i="1"/>
  <c r="B17995" i="1"/>
  <c r="B17996" i="1"/>
  <c r="B17997" i="1"/>
  <c r="B17998" i="1"/>
  <c r="B17999" i="1"/>
  <c r="B18000" i="1"/>
  <c r="B18001" i="1"/>
  <c r="B18002" i="1"/>
  <c r="B18003" i="1"/>
  <c r="B18004" i="1"/>
  <c r="B18005" i="1"/>
  <c r="B18006" i="1"/>
  <c r="B18007" i="1"/>
  <c r="B18008" i="1"/>
  <c r="B18009" i="1"/>
  <c r="B18010" i="1"/>
  <c r="B18011" i="1"/>
  <c r="B18012" i="1"/>
  <c r="B18013" i="1"/>
  <c r="B18014" i="1"/>
  <c r="B18015" i="1"/>
  <c r="B18016" i="1"/>
  <c r="B18017" i="1"/>
  <c r="B18018" i="1"/>
  <c r="B18019" i="1"/>
  <c r="B18020" i="1"/>
  <c r="B18021" i="1"/>
  <c r="B18022" i="1"/>
  <c r="B18023" i="1"/>
  <c r="B18024" i="1"/>
  <c r="B18025" i="1"/>
  <c r="B18026" i="1"/>
  <c r="B18027" i="1"/>
  <c r="B18028" i="1"/>
  <c r="B18029" i="1"/>
  <c r="B18030" i="1"/>
  <c r="B18031" i="1"/>
  <c r="B18032" i="1"/>
  <c r="B18033" i="1"/>
  <c r="B18034" i="1"/>
  <c r="B18035" i="1"/>
  <c r="B18036" i="1"/>
  <c r="B18037" i="1"/>
  <c r="B18038" i="1"/>
  <c r="B18039" i="1"/>
  <c r="B18040" i="1"/>
  <c r="B18041" i="1"/>
  <c r="B18042" i="1"/>
  <c r="B18043" i="1"/>
  <c r="B18044" i="1"/>
  <c r="B18045" i="1"/>
  <c r="B18046" i="1"/>
  <c r="B18047" i="1"/>
  <c r="B18048" i="1"/>
  <c r="B18049" i="1"/>
  <c r="B18050" i="1"/>
  <c r="B18051" i="1"/>
  <c r="B18052" i="1"/>
  <c r="B18053" i="1"/>
  <c r="B18054" i="1"/>
  <c r="B18055" i="1"/>
  <c r="B18056" i="1"/>
  <c r="B18057" i="1"/>
  <c r="B18058" i="1"/>
  <c r="B18059" i="1"/>
  <c r="B18060" i="1"/>
  <c r="B18061" i="1"/>
  <c r="B18062" i="1"/>
  <c r="B18063" i="1"/>
  <c r="B18064" i="1"/>
  <c r="B18065" i="1"/>
  <c r="B18066" i="1"/>
  <c r="B18067" i="1"/>
  <c r="B18068" i="1"/>
  <c r="B18069" i="1"/>
  <c r="B18070" i="1"/>
  <c r="B18071" i="1"/>
  <c r="B18072" i="1"/>
  <c r="B18073" i="1"/>
  <c r="B18074" i="1"/>
  <c r="B18075" i="1"/>
  <c r="B18076" i="1"/>
  <c r="B18077" i="1"/>
  <c r="B18078" i="1"/>
  <c r="B18079" i="1"/>
  <c r="B18080" i="1"/>
  <c r="B18081" i="1"/>
  <c r="B18082" i="1"/>
  <c r="B18083" i="1"/>
  <c r="B18084" i="1"/>
  <c r="B18085" i="1"/>
  <c r="B18086" i="1"/>
  <c r="B18087" i="1"/>
  <c r="B18088" i="1"/>
  <c r="B18089" i="1"/>
  <c r="B18090" i="1"/>
  <c r="B18091" i="1"/>
  <c r="B18092" i="1"/>
  <c r="B18093" i="1"/>
  <c r="B18094" i="1"/>
  <c r="B18095" i="1"/>
  <c r="B18096" i="1"/>
  <c r="B18097" i="1"/>
  <c r="B18098" i="1"/>
  <c r="B18099" i="1"/>
  <c r="B18100" i="1"/>
  <c r="B18101" i="1"/>
  <c r="B18102" i="1"/>
  <c r="B18103" i="1"/>
  <c r="B18104" i="1"/>
  <c r="B18105" i="1"/>
  <c r="B18106" i="1"/>
  <c r="B18107" i="1"/>
  <c r="B18108" i="1"/>
  <c r="B18109" i="1"/>
  <c r="B18110" i="1"/>
  <c r="B18111" i="1"/>
  <c r="B18112" i="1"/>
  <c r="B18113" i="1"/>
  <c r="B18114" i="1"/>
  <c r="B18115" i="1"/>
  <c r="B18116" i="1"/>
  <c r="B18117" i="1"/>
  <c r="B18118" i="1"/>
  <c r="B18119" i="1"/>
  <c r="B18120" i="1"/>
  <c r="B18121" i="1"/>
  <c r="B18122" i="1"/>
  <c r="B18123" i="1"/>
  <c r="B18124" i="1"/>
  <c r="B18125" i="1"/>
  <c r="B18126" i="1"/>
  <c r="B18127" i="1"/>
  <c r="B18128" i="1"/>
  <c r="B18129" i="1"/>
  <c r="B18130" i="1"/>
  <c r="B18131" i="1"/>
  <c r="B18132" i="1"/>
  <c r="B18133" i="1"/>
  <c r="B18134" i="1"/>
  <c r="B18135" i="1"/>
  <c r="B18136" i="1"/>
  <c r="B18137" i="1"/>
  <c r="B18138" i="1"/>
  <c r="B18139" i="1"/>
  <c r="B18140" i="1"/>
  <c r="B18141" i="1"/>
  <c r="B18142" i="1"/>
  <c r="B18143" i="1"/>
  <c r="B18144" i="1"/>
  <c r="B18145" i="1"/>
  <c r="B18146" i="1"/>
  <c r="B18147" i="1"/>
  <c r="B18148" i="1"/>
  <c r="B18149" i="1"/>
  <c r="B18150" i="1"/>
  <c r="B18151" i="1"/>
  <c r="B18152" i="1"/>
  <c r="B18153" i="1"/>
  <c r="B18154" i="1"/>
  <c r="B18155" i="1"/>
  <c r="B18156" i="1"/>
  <c r="B18157" i="1"/>
  <c r="B18158" i="1"/>
  <c r="B18159" i="1"/>
  <c r="B18160" i="1"/>
  <c r="B18161" i="1"/>
  <c r="B18162" i="1"/>
  <c r="B18163" i="1"/>
  <c r="B18164" i="1"/>
  <c r="B18165" i="1"/>
  <c r="B18166" i="1"/>
  <c r="B18167" i="1"/>
  <c r="B18168" i="1"/>
  <c r="B18169" i="1"/>
  <c r="B18170" i="1"/>
  <c r="B18171" i="1"/>
  <c r="B18172" i="1"/>
  <c r="B18173" i="1"/>
  <c r="B18174" i="1"/>
  <c r="B18175" i="1"/>
  <c r="B18176" i="1"/>
  <c r="B18177" i="1"/>
  <c r="B18178" i="1"/>
  <c r="B18179" i="1"/>
  <c r="B18180" i="1"/>
  <c r="B18181" i="1"/>
  <c r="B18182" i="1"/>
  <c r="B18183" i="1"/>
  <c r="B18184" i="1"/>
  <c r="B18185" i="1"/>
  <c r="B18186" i="1"/>
  <c r="B18187" i="1"/>
  <c r="B18188" i="1"/>
  <c r="B18189" i="1"/>
  <c r="B18190" i="1"/>
  <c r="B18191" i="1"/>
  <c r="B18192" i="1"/>
  <c r="B18193" i="1"/>
  <c r="B18194" i="1"/>
  <c r="B18195" i="1"/>
  <c r="B18196" i="1"/>
  <c r="B18197" i="1"/>
  <c r="B18198" i="1"/>
  <c r="B18199" i="1"/>
  <c r="B18200" i="1"/>
  <c r="B18201" i="1"/>
  <c r="B18202" i="1"/>
  <c r="B18203" i="1"/>
  <c r="B18204" i="1"/>
  <c r="B18205" i="1"/>
  <c r="B18206" i="1"/>
  <c r="B18207" i="1"/>
  <c r="B18208" i="1"/>
  <c r="B18209" i="1"/>
  <c r="B18210" i="1"/>
  <c r="B18211" i="1"/>
  <c r="B18212" i="1"/>
  <c r="B18213" i="1"/>
  <c r="B18214" i="1"/>
  <c r="B18215" i="1"/>
  <c r="B18216" i="1"/>
  <c r="B18217" i="1"/>
  <c r="B18218" i="1"/>
  <c r="B18219" i="1"/>
  <c r="B18220" i="1"/>
  <c r="B18221" i="1"/>
  <c r="B18222" i="1"/>
  <c r="B18223" i="1"/>
  <c r="B18224" i="1"/>
  <c r="B18225" i="1"/>
  <c r="B18226" i="1"/>
  <c r="B18227" i="1"/>
  <c r="B18228" i="1"/>
  <c r="B18229" i="1"/>
  <c r="B18230" i="1"/>
  <c r="B18231" i="1"/>
  <c r="B18232" i="1"/>
  <c r="B18233" i="1"/>
  <c r="B18234" i="1"/>
  <c r="B18235" i="1"/>
  <c r="B18236" i="1"/>
  <c r="B18237" i="1"/>
  <c r="B18238" i="1"/>
  <c r="B18239" i="1"/>
  <c r="B18240" i="1"/>
  <c r="B18241" i="1"/>
  <c r="B18242" i="1"/>
  <c r="B18243" i="1"/>
  <c r="B18244" i="1"/>
  <c r="B18245" i="1"/>
  <c r="B18246" i="1"/>
  <c r="B18247" i="1"/>
  <c r="B18248" i="1"/>
  <c r="B18249" i="1"/>
  <c r="B18250" i="1"/>
  <c r="B18251" i="1"/>
  <c r="B18252" i="1"/>
  <c r="B18253" i="1"/>
  <c r="B18254" i="1"/>
  <c r="B18255" i="1"/>
  <c r="B18256" i="1"/>
  <c r="B18257" i="1"/>
  <c r="B18258" i="1"/>
  <c r="B18259" i="1"/>
  <c r="B18260" i="1"/>
  <c r="B18261" i="1"/>
  <c r="B18262" i="1"/>
  <c r="B18263" i="1"/>
  <c r="B18264" i="1"/>
  <c r="B18265" i="1"/>
  <c r="B18266" i="1"/>
  <c r="B18267" i="1"/>
  <c r="B18268" i="1"/>
  <c r="B18269" i="1"/>
  <c r="B18270" i="1"/>
  <c r="B18271" i="1"/>
  <c r="B18272" i="1"/>
  <c r="B18273" i="1"/>
  <c r="B18274" i="1"/>
  <c r="B18275" i="1"/>
  <c r="B18276" i="1"/>
  <c r="B18277" i="1"/>
  <c r="B18278" i="1"/>
  <c r="B18279" i="1"/>
  <c r="B18280" i="1"/>
  <c r="B18281" i="1"/>
  <c r="B18282" i="1"/>
  <c r="B18283" i="1"/>
  <c r="B18284" i="1"/>
  <c r="B18285" i="1"/>
  <c r="B18286" i="1"/>
  <c r="B18287" i="1"/>
  <c r="B18288" i="1"/>
  <c r="B18289" i="1"/>
  <c r="B18290" i="1"/>
  <c r="B18291" i="1"/>
  <c r="B18292" i="1"/>
  <c r="B18293" i="1"/>
  <c r="B18294" i="1"/>
  <c r="B18295" i="1"/>
  <c r="B18296" i="1"/>
  <c r="B18297" i="1"/>
  <c r="B18298" i="1"/>
  <c r="B18299" i="1"/>
  <c r="B18300" i="1"/>
  <c r="B18301" i="1"/>
  <c r="B18302" i="1"/>
  <c r="B18303" i="1"/>
  <c r="B18304" i="1"/>
  <c r="B18305" i="1"/>
  <c r="B18306" i="1"/>
  <c r="B18307" i="1"/>
  <c r="B18308" i="1"/>
  <c r="B18309" i="1"/>
  <c r="B18310" i="1"/>
  <c r="B18311" i="1"/>
  <c r="B18312" i="1"/>
  <c r="B18313" i="1"/>
  <c r="B18314" i="1"/>
  <c r="B18315" i="1"/>
  <c r="B18316" i="1"/>
  <c r="B18317" i="1"/>
  <c r="B18318" i="1"/>
  <c r="B18319" i="1"/>
  <c r="B18320" i="1"/>
  <c r="B18321" i="1"/>
  <c r="B18322" i="1"/>
  <c r="B18323" i="1"/>
  <c r="B18324" i="1"/>
  <c r="B18325" i="1"/>
  <c r="B18326" i="1"/>
  <c r="B18327" i="1"/>
  <c r="B18328" i="1"/>
  <c r="B18329" i="1"/>
  <c r="B18330" i="1"/>
  <c r="B18331" i="1"/>
  <c r="B18332" i="1"/>
  <c r="B18333" i="1"/>
  <c r="B18334" i="1"/>
  <c r="B18335" i="1"/>
  <c r="B18336" i="1"/>
  <c r="B18337" i="1"/>
  <c r="B18338" i="1"/>
  <c r="B18339" i="1"/>
  <c r="B18340" i="1"/>
  <c r="B18341" i="1"/>
  <c r="B18342" i="1"/>
  <c r="B18343" i="1"/>
  <c r="B18344" i="1"/>
  <c r="B18345" i="1"/>
  <c r="B18346" i="1"/>
  <c r="B18347" i="1"/>
  <c r="B18348" i="1"/>
  <c r="B18349" i="1"/>
  <c r="B18350" i="1"/>
  <c r="B18351" i="1"/>
  <c r="B18352" i="1"/>
  <c r="B18353" i="1"/>
  <c r="B18354" i="1"/>
  <c r="B18355" i="1"/>
  <c r="B18356" i="1"/>
  <c r="B18357" i="1"/>
  <c r="B18358" i="1"/>
  <c r="B18359" i="1"/>
  <c r="B18360" i="1"/>
  <c r="B18361" i="1"/>
  <c r="B18362" i="1"/>
  <c r="B18363" i="1"/>
  <c r="B18364" i="1"/>
  <c r="B18365" i="1"/>
  <c r="B18366" i="1"/>
  <c r="B18367" i="1"/>
  <c r="B18368" i="1"/>
  <c r="B18369" i="1"/>
  <c r="B18370" i="1"/>
  <c r="B18371" i="1"/>
  <c r="B18372" i="1"/>
  <c r="B18373" i="1"/>
  <c r="B18374" i="1"/>
  <c r="B18375" i="1"/>
  <c r="B18376" i="1"/>
  <c r="B18377" i="1"/>
  <c r="B18378" i="1"/>
  <c r="B18379" i="1"/>
  <c r="B18380" i="1"/>
  <c r="B18381" i="1"/>
  <c r="B18382" i="1"/>
  <c r="B18383" i="1"/>
  <c r="B18384" i="1"/>
  <c r="B18385" i="1"/>
  <c r="B18386" i="1"/>
  <c r="B18387" i="1"/>
  <c r="B18388" i="1"/>
  <c r="B18389" i="1"/>
  <c r="B18390" i="1"/>
  <c r="B18391" i="1"/>
  <c r="B18392" i="1"/>
  <c r="B18393" i="1"/>
  <c r="B18394" i="1"/>
  <c r="B18395" i="1"/>
  <c r="B18396" i="1"/>
  <c r="B18397" i="1"/>
  <c r="B18398" i="1"/>
  <c r="B18399" i="1"/>
  <c r="B18400" i="1"/>
  <c r="B18401" i="1"/>
  <c r="B18402" i="1"/>
  <c r="B18403" i="1"/>
  <c r="B18404" i="1"/>
  <c r="B18405" i="1"/>
  <c r="B18406" i="1"/>
  <c r="B18407" i="1"/>
  <c r="B18408" i="1"/>
  <c r="B18409" i="1"/>
  <c r="B18410" i="1"/>
  <c r="B18411" i="1"/>
  <c r="B18412" i="1"/>
  <c r="B18413" i="1"/>
  <c r="B18414" i="1"/>
  <c r="B18415" i="1"/>
  <c r="B18416" i="1"/>
  <c r="B18417" i="1"/>
  <c r="B18418" i="1"/>
  <c r="B18419" i="1"/>
  <c r="B18420" i="1"/>
  <c r="B18421" i="1"/>
  <c r="B18422" i="1"/>
  <c r="B18423" i="1"/>
  <c r="B18424" i="1"/>
  <c r="B18425" i="1"/>
  <c r="B18426" i="1"/>
  <c r="B18427" i="1"/>
  <c r="B18428" i="1"/>
  <c r="B18429" i="1"/>
  <c r="B18430" i="1"/>
  <c r="B18431" i="1"/>
  <c r="B18432" i="1"/>
  <c r="B18433" i="1"/>
  <c r="B18434" i="1"/>
  <c r="B18435" i="1"/>
  <c r="B18436" i="1"/>
  <c r="B18437" i="1"/>
  <c r="B18438" i="1"/>
  <c r="B18439" i="1"/>
  <c r="B18440" i="1"/>
  <c r="B18441" i="1"/>
  <c r="B18442" i="1"/>
  <c r="B18443" i="1"/>
  <c r="B18444" i="1"/>
  <c r="B18445" i="1"/>
  <c r="B18446" i="1"/>
  <c r="B18447" i="1"/>
  <c r="B18448" i="1"/>
  <c r="B18449" i="1"/>
  <c r="B18450" i="1"/>
  <c r="B18451" i="1"/>
  <c r="B18452" i="1"/>
  <c r="B18453" i="1"/>
  <c r="B18454" i="1"/>
  <c r="B18455" i="1"/>
  <c r="B18456" i="1"/>
  <c r="B18457" i="1"/>
  <c r="B18458" i="1"/>
  <c r="B18459" i="1"/>
  <c r="B18460" i="1"/>
  <c r="B18461" i="1"/>
  <c r="B18462" i="1"/>
  <c r="B18463" i="1"/>
  <c r="B18464" i="1"/>
  <c r="B18465" i="1"/>
  <c r="B18466" i="1"/>
  <c r="B18467" i="1"/>
  <c r="B18468" i="1"/>
  <c r="B18469" i="1"/>
  <c r="B18470" i="1"/>
  <c r="B18471" i="1"/>
  <c r="B18472" i="1"/>
  <c r="B18473" i="1"/>
  <c r="B18474" i="1"/>
  <c r="B18475" i="1"/>
  <c r="B18476" i="1"/>
  <c r="B18477" i="1"/>
  <c r="B18478" i="1"/>
  <c r="B18479" i="1"/>
  <c r="B18480" i="1"/>
  <c r="B18481" i="1"/>
  <c r="B18482" i="1"/>
  <c r="B18483" i="1"/>
  <c r="B18484" i="1"/>
  <c r="B18485" i="1"/>
  <c r="B18486" i="1"/>
  <c r="B18487" i="1"/>
  <c r="B18488" i="1"/>
  <c r="B18489" i="1"/>
  <c r="B18490" i="1"/>
  <c r="B18491" i="1"/>
  <c r="B18492" i="1"/>
  <c r="B18493" i="1"/>
  <c r="B18494" i="1"/>
  <c r="B18495" i="1"/>
  <c r="B18496" i="1"/>
  <c r="B18497" i="1"/>
  <c r="B18498" i="1"/>
  <c r="B18499" i="1"/>
  <c r="B18500" i="1"/>
  <c r="B18501" i="1"/>
  <c r="B18502" i="1"/>
  <c r="B18503" i="1"/>
  <c r="B18504" i="1"/>
  <c r="B18505" i="1"/>
  <c r="B18506" i="1"/>
  <c r="B18507" i="1"/>
  <c r="B18508" i="1"/>
  <c r="B18509" i="1"/>
  <c r="B18510" i="1"/>
  <c r="B18511" i="1"/>
  <c r="B18512" i="1"/>
  <c r="B18513" i="1"/>
  <c r="B18514" i="1"/>
  <c r="B18515" i="1"/>
  <c r="B18516" i="1"/>
  <c r="B18517" i="1"/>
  <c r="B18518" i="1"/>
  <c r="B18519" i="1"/>
  <c r="B18520" i="1"/>
  <c r="B18521" i="1"/>
  <c r="B18522" i="1"/>
  <c r="B18523" i="1"/>
  <c r="B18524" i="1"/>
  <c r="B18525" i="1"/>
  <c r="B18526" i="1"/>
  <c r="B18527" i="1"/>
  <c r="B18528" i="1"/>
  <c r="B18529" i="1"/>
  <c r="B18530" i="1"/>
  <c r="B18531" i="1"/>
  <c r="B18532" i="1"/>
  <c r="B18533" i="1"/>
  <c r="B18534" i="1"/>
  <c r="B18535" i="1"/>
  <c r="B18536" i="1"/>
  <c r="B18537" i="1"/>
  <c r="B18538" i="1"/>
  <c r="B18539" i="1"/>
  <c r="B18540" i="1"/>
  <c r="B18541" i="1"/>
  <c r="B18542" i="1"/>
  <c r="B18543" i="1"/>
  <c r="B18544" i="1"/>
  <c r="B18545" i="1"/>
  <c r="B18546" i="1"/>
  <c r="B18547" i="1"/>
  <c r="B18548" i="1"/>
  <c r="B18549" i="1"/>
  <c r="B18550" i="1"/>
  <c r="B18551" i="1"/>
  <c r="B18552" i="1"/>
  <c r="B18553" i="1"/>
  <c r="B18554" i="1"/>
  <c r="B18555" i="1"/>
  <c r="B18556" i="1"/>
  <c r="B18557" i="1"/>
  <c r="B18558" i="1"/>
  <c r="B18559" i="1"/>
  <c r="B18560" i="1"/>
  <c r="B18561" i="1"/>
  <c r="B18562" i="1"/>
  <c r="B18563" i="1"/>
  <c r="B18564" i="1"/>
  <c r="B18565" i="1"/>
  <c r="B18566" i="1"/>
  <c r="B18567" i="1"/>
  <c r="B18568" i="1"/>
  <c r="B18569" i="1"/>
  <c r="B18570" i="1"/>
  <c r="B18571" i="1"/>
  <c r="B18572" i="1"/>
  <c r="B18573" i="1"/>
  <c r="B18574" i="1"/>
  <c r="B18575" i="1"/>
  <c r="B18576" i="1"/>
  <c r="B18577" i="1"/>
  <c r="B18578" i="1"/>
  <c r="B18579" i="1"/>
  <c r="B18580" i="1"/>
  <c r="B18581" i="1"/>
  <c r="B18582" i="1"/>
  <c r="B18583" i="1"/>
  <c r="B18584" i="1"/>
  <c r="B18585" i="1"/>
  <c r="B18586" i="1"/>
  <c r="B18587" i="1"/>
  <c r="B18588" i="1"/>
  <c r="B18589" i="1"/>
  <c r="B18590" i="1"/>
  <c r="B18591" i="1"/>
  <c r="B18592" i="1"/>
  <c r="B18593" i="1"/>
  <c r="B18594" i="1"/>
  <c r="B18595" i="1"/>
  <c r="B18596" i="1"/>
  <c r="B18597" i="1"/>
  <c r="B18598" i="1"/>
  <c r="B18599" i="1"/>
  <c r="B18600" i="1"/>
  <c r="B18601" i="1"/>
  <c r="B18602" i="1"/>
  <c r="B18603" i="1"/>
  <c r="B18604" i="1"/>
  <c r="B18605" i="1"/>
  <c r="B18606" i="1"/>
  <c r="B18607" i="1"/>
  <c r="B18608" i="1"/>
  <c r="B18609" i="1"/>
  <c r="B18610" i="1"/>
  <c r="B18611" i="1"/>
  <c r="B18612" i="1"/>
  <c r="B18613" i="1"/>
  <c r="B18614" i="1"/>
  <c r="B18615" i="1"/>
  <c r="B18616" i="1"/>
  <c r="B18617" i="1"/>
  <c r="B18618" i="1"/>
  <c r="B18619" i="1"/>
  <c r="B18620" i="1"/>
  <c r="B18621" i="1"/>
  <c r="B18622" i="1"/>
  <c r="B18623" i="1"/>
  <c r="B18624" i="1"/>
  <c r="B18625" i="1"/>
  <c r="B18626" i="1"/>
  <c r="B18627" i="1"/>
  <c r="B18628" i="1"/>
  <c r="B18629" i="1"/>
  <c r="B18630" i="1"/>
  <c r="B18631" i="1"/>
  <c r="B18632" i="1"/>
  <c r="B18633" i="1"/>
  <c r="B18634" i="1"/>
  <c r="B18635" i="1"/>
  <c r="B18636" i="1"/>
  <c r="B18637" i="1"/>
  <c r="B18638" i="1"/>
  <c r="B18639" i="1"/>
  <c r="B18640" i="1"/>
  <c r="B18641" i="1"/>
  <c r="B18642" i="1"/>
  <c r="B18643" i="1"/>
  <c r="B18644" i="1"/>
  <c r="B18645" i="1"/>
  <c r="B18646" i="1"/>
  <c r="B18647" i="1"/>
  <c r="B18648" i="1"/>
  <c r="B18649" i="1"/>
  <c r="B18650" i="1"/>
  <c r="B18651" i="1"/>
  <c r="B18652" i="1"/>
  <c r="B18653" i="1"/>
  <c r="B18654" i="1"/>
  <c r="B18655" i="1"/>
  <c r="B18656" i="1"/>
  <c r="B18657" i="1"/>
  <c r="B18658" i="1"/>
  <c r="B18659" i="1"/>
  <c r="B18660" i="1"/>
  <c r="B18661" i="1"/>
  <c r="B18662" i="1"/>
  <c r="B18663" i="1"/>
  <c r="B18664" i="1"/>
  <c r="B18665" i="1"/>
  <c r="B18666" i="1"/>
  <c r="B18667" i="1"/>
  <c r="B18668" i="1"/>
  <c r="B18669" i="1"/>
  <c r="B18670" i="1"/>
  <c r="B18671" i="1"/>
  <c r="B18672" i="1"/>
  <c r="B18673" i="1"/>
  <c r="B18674" i="1"/>
  <c r="B18675" i="1"/>
  <c r="B18676" i="1"/>
  <c r="B18677" i="1"/>
  <c r="B18678" i="1"/>
  <c r="B18679" i="1"/>
  <c r="B18680" i="1"/>
  <c r="B18681" i="1"/>
  <c r="B18682" i="1"/>
  <c r="B18683" i="1"/>
  <c r="B18684" i="1"/>
  <c r="B18685" i="1"/>
  <c r="B18686" i="1"/>
  <c r="B18687" i="1"/>
  <c r="B18688" i="1"/>
  <c r="B18689" i="1"/>
  <c r="B18690" i="1"/>
  <c r="B18691" i="1"/>
  <c r="B18692" i="1"/>
  <c r="B18693" i="1"/>
  <c r="B18694" i="1"/>
  <c r="B18695" i="1"/>
  <c r="B18696" i="1"/>
  <c r="B18697" i="1"/>
  <c r="B18698" i="1"/>
  <c r="B18699" i="1"/>
  <c r="B18700" i="1"/>
  <c r="B18701" i="1"/>
  <c r="B18702" i="1"/>
  <c r="B18703" i="1"/>
  <c r="B18704" i="1"/>
  <c r="B18705" i="1"/>
  <c r="B18706" i="1"/>
  <c r="B18707" i="1"/>
  <c r="B18708" i="1"/>
  <c r="B18709" i="1"/>
  <c r="B18710" i="1"/>
  <c r="B18711" i="1"/>
  <c r="B18712" i="1"/>
  <c r="B18713" i="1"/>
  <c r="B18714" i="1"/>
  <c r="B18715" i="1"/>
  <c r="B18716" i="1"/>
  <c r="B18717" i="1"/>
  <c r="B18718" i="1"/>
  <c r="B18719" i="1"/>
  <c r="B18720" i="1"/>
  <c r="B18721" i="1"/>
  <c r="B18722" i="1"/>
  <c r="B18723" i="1"/>
  <c r="B18724" i="1"/>
  <c r="B18725" i="1"/>
  <c r="B18726" i="1"/>
  <c r="B18727" i="1"/>
  <c r="B18728" i="1"/>
  <c r="B18729" i="1"/>
  <c r="B18730" i="1"/>
  <c r="B18731" i="1"/>
  <c r="B18732" i="1"/>
  <c r="B18733" i="1"/>
  <c r="B18734" i="1"/>
  <c r="B18735" i="1"/>
  <c r="B18736" i="1"/>
  <c r="B18737" i="1"/>
  <c r="B18738" i="1"/>
  <c r="B18739" i="1"/>
  <c r="B18740" i="1"/>
  <c r="B18741" i="1"/>
  <c r="B18742" i="1"/>
  <c r="B18743" i="1"/>
  <c r="B18744" i="1"/>
  <c r="B18745" i="1"/>
  <c r="B18746" i="1"/>
  <c r="B18747" i="1"/>
  <c r="B18748" i="1"/>
  <c r="B18749" i="1"/>
  <c r="B18750" i="1"/>
  <c r="B18751" i="1"/>
  <c r="B18752" i="1"/>
  <c r="B18753" i="1"/>
  <c r="B18754" i="1"/>
  <c r="B18755" i="1"/>
  <c r="B18756" i="1"/>
  <c r="B18757" i="1"/>
  <c r="B18758" i="1"/>
  <c r="B18759" i="1"/>
  <c r="B18760" i="1"/>
  <c r="B18761" i="1"/>
  <c r="B18762" i="1"/>
  <c r="B18763" i="1"/>
  <c r="B18764" i="1"/>
  <c r="B18765" i="1"/>
  <c r="B18766" i="1"/>
  <c r="B18767" i="1"/>
  <c r="B18768" i="1"/>
  <c r="B18769" i="1"/>
  <c r="B18770" i="1"/>
  <c r="B18771" i="1"/>
  <c r="B18772" i="1"/>
  <c r="B18773" i="1"/>
  <c r="B18774" i="1"/>
  <c r="B18775" i="1"/>
  <c r="B18776" i="1"/>
  <c r="B18777" i="1"/>
  <c r="B18778" i="1"/>
  <c r="B18779" i="1"/>
  <c r="B18780" i="1"/>
  <c r="B18781" i="1"/>
  <c r="B18782" i="1"/>
  <c r="B18783" i="1"/>
  <c r="B18784" i="1"/>
  <c r="B18785" i="1"/>
  <c r="B18786" i="1"/>
  <c r="B18787" i="1"/>
  <c r="B18788" i="1"/>
  <c r="B18789" i="1"/>
  <c r="B18790" i="1"/>
  <c r="B18791" i="1"/>
  <c r="B18792" i="1"/>
  <c r="B18793" i="1"/>
  <c r="B18794" i="1"/>
  <c r="B18795" i="1"/>
  <c r="B18796" i="1"/>
  <c r="B18797" i="1"/>
  <c r="B18798" i="1"/>
  <c r="B18799" i="1"/>
  <c r="B18800" i="1"/>
  <c r="B18801" i="1"/>
  <c r="B18802" i="1"/>
  <c r="B18803" i="1"/>
  <c r="B18804" i="1"/>
  <c r="B18805" i="1"/>
  <c r="B18806" i="1"/>
  <c r="B18807" i="1"/>
  <c r="B18808" i="1"/>
  <c r="B18809" i="1"/>
  <c r="B18810" i="1"/>
  <c r="B18811" i="1"/>
  <c r="B18812" i="1"/>
  <c r="B18813" i="1"/>
  <c r="B18814" i="1"/>
  <c r="B18815" i="1"/>
  <c r="B18816" i="1"/>
  <c r="B18817" i="1"/>
  <c r="B18818" i="1"/>
  <c r="B18819" i="1"/>
  <c r="B18820" i="1"/>
  <c r="B18821" i="1"/>
  <c r="B18822" i="1"/>
  <c r="B18823" i="1"/>
  <c r="B18824" i="1"/>
  <c r="B18825" i="1"/>
  <c r="B18826" i="1"/>
  <c r="B18827" i="1"/>
  <c r="B18828" i="1"/>
  <c r="B18829" i="1"/>
  <c r="B18830" i="1"/>
  <c r="B18831" i="1"/>
  <c r="B18832" i="1"/>
  <c r="B18833" i="1"/>
  <c r="B18834" i="1"/>
  <c r="B18835" i="1"/>
  <c r="B18836" i="1"/>
  <c r="B18837" i="1"/>
  <c r="B18838" i="1"/>
  <c r="B18839" i="1"/>
  <c r="B18840" i="1"/>
  <c r="B18841" i="1"/>
  <c r="B18842" i="1"/>
  <c r="B18843" i="1"/>
  <c r="B18844" i="1"/>
  <c r="B18845" i="1"/>
  <c r="B18846" i="1"/>
  <c r="B18847" i="1"/>
  <c r="B18848" i="1"/>
  <c r="B18849" i="1"/>
  <c r="B18850" i="1"/>
  <c r="B18851" i="1"/>
  <c r="B18852" i="1"/>
  <c r="B18853" i="1"/>
  <c r="B18854" i="1"/>
  <c r="B18855" i="1"/>
  <c r="B18856" i="1"/>
  <c r="B18857" i="1"/>
  <c r="B18858" i="1"/>
  <c r="B18859" i="1"/>
  <c r="B18860" i="1"/>
  <c r="B18861" i="1"/>
  <c r="B18862" i="1"/>
  <c r="B18863" i="1"/>
  <c r="B18864" i="1"/>
  <c r="B18865" i="1"/>
  <c r="B18866" i="1"/>
  <c r="B18867" i="1"/>
  <c r="B18868" i="1"/>
  <c r="B18869" i="1"/>
  <c r="B18870" i="1"/>
  <c r="B18871" i="1"/>
  <c r="B18872" i="1"/>
  <c r="B18873" i="1"/>
  <c r="B18874" i="1"/>
  <c r="B18875" i="1"/>
  <c r="B18876" i="1"/>
  <c r="B18877" i="1"/>
  <c r="B18878" i="1"/>
  <c r="B18879" i="1"/>
  <c r="B18880" i="1"/>
  <c r="B18881" i="1"/>
  <c r="B18882" i="1"/>
  <c r="B18883" i="1"/>
  <c r="B18884" i="1"/>
  <c r="B18885" i="1"/>
  <c r="B18886" i="1"/>
  <c r="B18887" i="1"/>
  <c r="B18888" i="1"/>
  <c r="B18889" i="1"/>
  <c r="B18890" i="1"/>
  <c r="B18891" i="1"/>
  <c r="B18892" i="1"/>
  <c r="B18893" i="1"/>
  <c r="B18894" i="1"/>
  <c r="B18895" i="1"/>
  <c r="B18896" i="1"/>
  <c r="B18897" i="1"/>
  <c r="B18898" i="1"/>
  <c r="B18899" i="1"/>
  <c r="B18900" i="1"/>
  <c r="B18901" i="1"/>
  <c r="B18902" i="1"/>
  <c r="B18903" i="1"/>
  <c r="B18904" i="1"/>
  <c r="B18905" i="1"/>
  <c r="B18906" i="1"/>
  <c r="B18907" i="1"/>
  <c r="B18908" i="1"/>
  <c r="B18909" i="1"/>
  <c r="B18910" i="1"/>
  <c r="B18911" i="1"/>
  <c r="B18912" i="1"/>
  <c r="B18913" i="1"/>
  <c r="B18914" i="1"/>
  <c r="B18915" i="1"/>
  <c r="B18916" i="1"/>
  <c r="B18917" i="1"/>
  <c r="B18918" i="1"/>
  <c r="B18919" i="1"/>
  <c r="B18920" i="1"/>
  <c r="B18921" i="1"/>
  <c r="B18922" i="1"/>
  <c r="B18923" i="1"/>
  <c r="B18924" i="1"/>
  <c r="B18925" i="1"/>
  <c r="B18926" i="1"/>
  <c r="B18927" i="1"/>
  <c r="B18928" i="1"/>
  <c r="B18929" i="1"/>
  <c r="B18930" i="1"/>
  <c r="B18931" i="1"/>
  <c r="B18932" i="1"/>
  <c r="B18933" i="1"/>
  <c r="B18934" i="1"/>
  <c r="B18935" i="1"/>
  <c r="B18936" i="1"/>
  <c r="B18937" i="1"/>
  <c r="B18938" i="1"/>
  <c r="B18939" i="1"/>
  <c r="B18940" i="1"/>
  <c r="B18941" i="1"/>
  <c r="B18942" i="1"/>
  <c r="B18943" i="1"/>
  <c r="B18944" i="1"/>
  <c r="B18945" i="1"/>
  <c r="B18946" i="1"/>
  <c r="B18947" i="1"/>
  <c r="B18948" i="1"/>
  <c r="B18949" i="1"/>
  <c r="B18950" i="1"/>
  <c r="B18951" i="1"/>
  <c r="B18952" i="1"/>
  <c r="B18953" i="1"/>
  <c r="B18954" i="1"/>
  <c r="B18955" i="1"/>
  <c r="B18956" i="1"/>
  <c r="B18957" i="1"/>
  <c r="B18958" i="1"/>
  <c r="B18959" i="1"/>
  <c r="B18960" i="1"/>
  <c r="B18961" i="1"/>
  <c r="B18962" i="1"/>
  <c r="B18963" i="1"/>
  <c r="B18964" i="1"/>
  <c r="B18965" i="1"/>
  <c r="B18966" i="1"/>
  <c r="B18967" i="1"/>
  <c r="B18968" i="1"/>
  <c r="B18969" i="1"/>
  <c r="B18970" i="1"/>
  <c r="B18971" i="1"/>
  <c r="B18972" i="1"/>
  <c r="B18973" i="1"/>
  <c r="B18974" i="1"/>
  <c r="B18975" i="1"/>
  <c r="B18976" i="1"/>
  <c r="B18977" i="1"/>
  <c r="B18978" i="1"/>
  <c r="B18979" i="1"/>
  <c r="B18980" i="1"/>
  <c r="B18981" i="1"/>
  <c r="B18982" i="1"/>
  <c r="B18983" i="1"/>
  <c r="B18984" i="1"/>
  <c r="B18985" i="1"/>
  <c r="B18986" i="1"/>
  <c r="B18987" i="1"/>
  <c r="B18988" i="1"/>
  <c r="B18989" i="1"/>
  <c r="B18990" i="1"/>
  <c r="B18991" i="1"/>
  <c r="B18992" i="1"/>
  <c r="B18993" i="1"/>
  <c r="B18994" i="1"/>
  <c r="B18995" i="1"/>
  <c r="B18996" i="1"/>
  <c r="B18997" i="1"/>
  <c r="B18998" i="1"/>
  <c r="B18999" i="1"/>
  <c r="B19000" i="1"/>
  <c r="B19001" i="1"/>
  <c r="B19002" i="1"/>
  <c r="B19003" i="1"/>
  <c r="B19004" i="1"/>
  <c r="B19005" i="1"/>
  <c r="B19006" i="1"/>
  <c r="B19007" i="1"/>
  <c r="B19008" i="1"/>
  <c r="B19009" i="1"/>
  <c r="B19010" i="1"/>
  <c r="B19011" i="1"/>
  <c r="B19012" i="1"/>
  <c r="B19013" i="1"/>
  <c r="B19014" i="1"/>
  <c r="B19015" i="1"/>
  <c r="B19016" i="1"/>
  <c r="B19017" i="1"/>
  <c r="B19018" i="1"/>
  <c r="B19019" i="1"/>
  <c r="B19020" i="1"/>
  <c r="B19021" i="1"/>
  <c r="B19022" i="1"/>
  <c r="B19023" i="1"/>
  <c r="B19024" i="1"/>
  <c r="B19025" i="1"/>
  <c r="B19026" i="1"/>
  <c r="B19027" i="1"/>
  <c r="B19028" i="1"/>
  <c r="B19029" i="1"/>
  <c r="B19030" i="1"/>
  <c r="B19031" i="1"/>
  <c r="B19032" i="1"/>
  <c r="B19033" i="1"/>
  <c r="B19034" i="1"/>
  <c r="B19035" i="1"/>
  <c r="B19036" i="1"/>
  <c r="B19037" i="1"/>
  <c r="B19038" i="1"/>
  <c r="B19039" i="1"/>
  <c r="B19040" i="1"/>
  <c r="B19041" i="1"/>
  <c r="B19042" i="1"/>
  <c r="B19043" i="1"/>
  <c r="B19044" i="1"/>
  <c r="B19045" i="1"/>
  <c r="B19046" i="1"/>
  <c r="B19047" i="1"/>
  <c r="B19048" i="1"/>
  <c r="B19049" i="1"/>
  <c r="B19050" i="1"/>
  <c r="B19051" i="1"/>
  <c r="B19052" i="1"/>
  <c r="B19053" i="1"/>
  <c r="B19054" i="1"/>
  <c r="B19055" i="1"/>
  <c r="B19056" i="1"/>
  <c r="B19057" i="1"/>
  <c r="B19058" i="1"/>
  <c r="B19059" i="1"/>
  <c r="B19060" i="1"/>
  <c r="B19061" i="1"/>
  <c r="B19062" i="1"/>
  <c r="B19063" i="1"/>
  <c r="B19064" i="1"/>
  <c r="B19065" i="1"/>
  <c r="B19066" i="1"/>
  <c r="B19067" i="1"/>
  <c r="B19068" i="1"/>
  <c r="B19069" i="1"/>
  <c r="B19070" i="1"/>
  <c r="B19071" i="1"/>
  <c r="B19072" i="1"/>
  <c r="B19073" i="1"/>
  <c r="B19074" i="1"/>
  <c r="B19075" i="1"/>
  <c r="B19076" i="1"/>
  <c r="B19077" i="1"/>
  <c r="B19078" i="1"/>
  <c r="B19079" i="1"/>
  <c r="B19080" i="1"/>
  <c r="B19081" i="1"/>
  <c r="B19082" i="1"/>
  <c r="B19083" i="1"/>
  <c r="B19084" i="1"/>
  <c r="B19085" i="1"/>
  <c r="B19086" i="1"/>
  <c r="B19087" i="1"/>
  <c r="B19088" i="1"/>
  <c r="B19089" i="1"/>
  <c r="B19090" i="1"/>
  <c r="B19091" i="1"/>
  <c r="B19092" i="1"/>
  <c r="B19093" i="1"/>
  <c r="B19094" i="1"/>
  <c r="B19095" i="1"/>
  <c r="B19096" i="1"/>
  <c r="B19097" i="1"/>
  <c r="B19098" i="1"/>
  <c r="B19099" i="1"/>
  <c r="B19100" i="1"/>
  <c r="B19101" i="1"/>
  <c r="B19102" i="1"/>
  <c r="B19103" i="1"/>
  <c r="B19104" i="1"/>
  <c r="B19105" i="1"/>
  <c r="B19106" i="1"/>
  <c r="B19107" i="1"/>
  <c r="B19108" i="1"/>
  <c r="B19109" i="1"/>
  <c r="B19110" i="1"/>
  <c r="B19111" i="1"/>
  <c r="B19112" i="1"/>
  <c r="B19113" i="1"/>
  <c r="B19114" i="1"/>
  <c r="B19115" i="1"/>
  <c r="B19116" i="1"/>
  <c r="B19117" i="1"/>
  <c r="B19118" i="1"/>
  <c r="B19119" i="1"/>
  <c r="B19120" i="1"/>
  <c r="B19121" i="1"/>
  <c r="B19122" i="1"/>
  <c r="B19123" i="1"/>
  <c r="B19124" i="1"/>
  <c r="B19125" i="1"/>
  <c r="B19126" i="1"/>
  <c r="B19127" i="1"/>
  <c r="B19128" i="1"/>
  <c r="B19129" i="1"/>
  <c r="B19130" i="1"/>
  <c r="B19131" i="1"/>
  <c r="B19132" i="1"/>
  <c r="B19133" i="1"/>
  <c r="B19134" i="1"/>
  <c r="B19135" i="1"/>
  <c r="B19136" i="1"/>
  <c r="B19137" i="1"/>
  <c r="B19138" i="1"/>
  <c r="B19139" i="1"/>
  <c r="B19140" i="1"/>
  <c r="B19141" i="1"/>
  <c r="B19142" i="1"/>
  <c r="B19143" i="1"/>
  <c r="B19144" i="1"/>
  <c r="B19145" i="1"/>
  <c r="B19146" i="1"/>
  <c r="B19147" i="1"/>
  <c r="B19148" i="1"/>
  <c r="B19149" i="1"/>
  <c r="B19150" i="1"/>
  <c r="B19151" i="1"/>
  <c r="B19152" i="1"/>
  <c r="B19153" i="1"/>
  <c r="B19154" i="1"/>
  <c r="B19155" i="1"/>
  <c r="B19156" i="1"/>
  <c r="B19157" i="1"/>
  <c r="B19158" i="1"/>
  <c r="B19159" i="1"/>
  <c r="B19160" i="1"/>
  <c r="B19161" i="1"/>
  <c r="B19162" i="1"/>
  <c r="B19163" i="1"/>
  <c r="B19164" i="1"/>
  <c r="B19165" i="1"/>
  <c r="B19166" i="1"/>
  <c r="B19167" i="1"/>
  <c r="B19168" i="1"/>
  <c r="B19169" i="1"/>
  <c r="B19170" i="1"/>
  <c r="B19171" i="1"/>
  <c r="B19172" i="1"/>
  <c r="B19173" i="1"/>
  <c r="B19174" i="1"/>
  <c r="B19175" i="1"/>
  <c r="B19176" i="1"/>
  <c r="B19177" i="1"/>
  <c r="B19178" i="1"/>
  <c r="B19179" i="1"/>
  <c r="B19180" i="1"/>
  <c r="B19181" i="1"/>
  <c r="B19182" i="1"/>
  <c r="B19183" i="1"/>
  <c r="B19184" i="1"/>
  <c r="B19185" i="1"/>
  <c r="B19186" i="1"/>
  <c r="B19187" i="1"/>
  <c r="B19188" i="1"/>
  <c r="B19189" i="1"/>
  <c r="B19190" i="1"/>
  <c r="B19191" i="1"/>
  <c r="B19192" i="1"/>
  <c r="B19193" i="1"/>
  <c r="B19194" i="1"/>
  <c r="B19195" i="1"/>
  <c r="B19196" i="1"/>
  <c r="B19197" i="1"/>
  <c r="B19198" i="1"/>
  <c r="B19199" i="1"/>
  <c r="B19200" i="1"/>
  <c r="B19201" i="1"/>
  <c r="B19202" i="1"/>
  <c r="B19203" i="1"/>
  <c r="B19204" i="1"/>
  <c r="B19205" i="1"/>
  <c r="B19206" i="1"/>
  <c r="B19207" i="1"/>
  <c r="B19208" i="1"/>
  <c r="B19209" i="1"/>
  <c r="B19210" i="1"/>
  <c r="B19211" i="1"/>
  <c r="B19212" i="1"/>
  <c r="B19213" i="1"/>
  <c r="B19214" i="1"/>
  <c r="B19215" i="1"/>
  <c r="B19216" i="1"/>
  <c r="B19217" i="1"/>
  <c r="B19218" i="1"/>
  <c r="B19219" i="1"/>
  <c r="B19220" i="1"/>
  <c r="B19221" i="1"/>
  <c r="B19222" i="1"/>
  <c r="B19223" i="1"/>
  <c r="B19224" i="1"/>
  <c r="B19225" i="1"/>
  <c r="B19226" i="1"/>
  <c r="B19227" i="1"/>
  <c r="B19228" i="1"/>
  <c r="B19229" i="1"/>
  <c r="B19230" i="1"/>
  <c r="B19231" i="1"/>
  <c r="B19232" i="1"/>
  <c r="B19233" i="1"/>
  <c r="B19234" i="1"/>
  <c r="B19235" i="1"/>
  <c r="B19236" i="1"/>
  <c r="B19237" i="1"/>
  <c r="B19238" i="1"/>
  <c r="B19239" i="1"/>
  <c r="B19240" i="1"/>
  <c r="B19241" i="1"/>
  <c r="B19242" i="1"/>
  <c r="B19243" i="1"/>
  <c r="B19244" i="1"/>
  <c r="B19245" i="1"/>
  <c r="B19246" i="1"/>
  <c r="B19247" i="1"/>
  <c r="B19248" i="1"/>
  <c r="B19249" i="1"/>
  <c r="B19250" i="1"/>
  <c r="B19251" i="1"/>
  <c r="B19252" i="1"/>
  <c r="B19253" i="1"/>
  <c r="B19254" i="1"/>
  <c r="B19255" i="1"/>
  <c r="B19256" i="1"/>
  <c r="B19257" i="1"/>
  <c r="B19258" i="1"/>
  <c r="B19259" i="1"/>
  <c r="B19260" i="1"/>
  <c r="B19261" i="1"/>
  <c r="B19262" i="1"/>
  <c r="B19263" i="1"/>
  <c r="B19264" i="1"/>
  <c r="B19265" i="1"/>
  <c r="B19266" i="1"/>
  <c r="B19267" i="1"/>
  <c r="B19268" i="1"/>
  <c r="B19269" i="1"/>
  <c r="B19270" i="1"/>
  <c r="B19271" i="1"/>
  <c r="B19272" i="1"/>
  <c r="B19273" i="1"/>
  <c r="B19274" i="1"/>
  <c r="B19275" i="1"/>
  <c r="B19276" i="1"/>
  <c r="B19277" i="1"/>
  <c r="B19278" i="1"/>
  <c r="B19279" i="1"/>
  <c r="B19280" i="1"/>
  <c r="B19281" i="1"/>
  <c r="B19282" i="1"/>
  <c r="B19283" i="1"/>
  <c r="B19284" i="1"/>
  <c r="B19285" i="1"/>
  <c r="B19286" i="1"/>
  <c r="B19287" i="1"/>
  <c r="B19288" i="1"/>
  <c r="B19289" i="1"/>
  <c r="B19290" i="1"/>
  <c r="B19291" i="1"/>
  <c r="B19292" i="1"/>
  <c r="B19293" i="1"/>
  <c r="B19294" i="1"/>
  <c r="B19295" i="1"/>
  <c r="B19296" i="1"/>
  <c r="B19297" i="1"/>
  <c r="B19298" i="1"/>
  <c r="B19299" i="1"/>
  <c r="B19300" i="1"/>
  <c r="B19301" i="1"/>
  <c r="B19302" i="1"/>
  <c r="B19303" i="1"/>
  <c r="B19304" i="1"/>
  <c r="B19305" i="1"/>
  <c r="B19306" i="1"/>
  <c r="B19307" i="1"/>
  <c r="B19308" i="1"/>
  <c r="B19309" i="1"/>
  <c r="B19310" i="1"/>
  <c r="B19311" i="1"/>
  <c r="B19312" i="1"/>
  <c r="B19313" i="1"/>
  <c r="B19314" i="1"/>
  <c r="B19315" i="1"/>
  <c r="B19316" i="1"/>
  <c r="B19317" i="1"/>
  <c r="B19318" i="1"/>
  <c r="B19319" i="1"/>
  <c r="B19320" i="1"/>
  <c r="B19321" i="1"/>
  <c r="B19322" i="1"/>
  <c r="B19323" i="1"/>
  <c r="B19324" i="1"/>
  <c r="B19325" i="1"/>
  <c r="B19326" i="1"/>
  <c r="B19327" i="1"/>
  <c r="B19328" i="1"/>
  <c r="B19329" i="1"/>
  <c r="B19330" i="1"/>
  <c r="B19331" i="1"/>
  <c r="B19332" i="1"/>
  <c r="B19333" i="1"/>
  <c r="B19334" i="1"/>
  <c r="B19335" i="1"/>
  <c r="B19336" i="1"/>
  <c r="B19337" i="1"/>
  <c r="B19338" i="1"/>
  <c r="B19339" i="1"/>
  <c r="B19340" i="1"/>
  <c r="B19341" i="1"/>
  <c r="B19342" i="1"/>
  <c r="B19343" i="1"/>
  <c r="B19344" i="1"/>
  <c r="B19345" i="1"/>
  <c r="B19346" i="1"/>
  <c r="B19347" i="1"/>
  <c r="B19348" i="1"/>
  <c r="B19349" i="1"/>
  <c r="B19350" i="1"/>
  <c r="B19351" i="1"/>
  <c r="B19352" i="1"/>
  <c r="B19353" i="1"/>
  <c r="B19354" i="1"/>
  <c r="B19355" i="1"/>
  <c r="B19356" i="1"/>
  <c r="B19357" i="1"/>
  <c r="B19358" i="1"/>
  <c r="B19359" i="1"/>
  <c r="B19360" i="1"/>
  <c r="B19361" i="1"/>
  <c r="B19362" i="1"/>
  <c r="B19363" i="1"/>
  <c r="B19364" i="1"/>
  <c r="B19365" i="1"/>
  <c r="B19366" i="1"/>
  <c r="B19367" i="1"/>
  <c r="B19368" i="1"/>
  <c r="B19369" i="1"/>
  <c r="B19370" i="1"/>
  <c r="B19371" i="1"/>
  <c r="B19372" i="1"/>
  <c r="B19373" i="1"/>
  <c r="B19374" i="1"/>
  <c r="B19375" i="1"/>
  <c r="B19376" i="1"/>
  <c r="B19377" i="1"/>
  <c r="B19378" i="1"/>
  <c r="B19379" i="1"/>
  <c r="B19380" i="1"/>
  <c r="B19381" i="1"/>
  <c r="B19382" i="1"/>
  <c r="B19383" i="1"/>
  <c r="B19384" i="1"/>
  <c r="B19385" i="1"/>
  <c r="B19386" i="1"/>
  <c r="B19387" i="1"/>
  <c r="B19388" i="1"/>
  <c r="B19389" i="1"/>
  <c r="B19390" i="1"/>
  <c r="B19391" i="1"/>
  <c r="B19392" i="1"/>
  <c r="B19393" i="1"/>
  <c r="B19394" i="1"/>
  <c r="B19395" i="1"/>
  <c r="B19396" i="1"/>
  <c r="B19397" i="1"/>
  <c r="B19398" i="1"/>
  <c r="B19399" i="1"/>
  <c r="B19400" i="1"/>
  <c r="B19401" i="1"/>
  <c r="B19402" i="1"/>
  <c r="B19403" i="1"/>
  <c r="B19404" i="1"/>
  <c r="B19405" i="1"/>
  <c r="B19406" i="1"/>
  <c r="B19407" i="1"/>
  <c r="B19408" i="1"/>
  <c r="B19409" i="1"/>
  <c r="B19410" i="1"/>
  <c r="B19411" i="1"/>
  <c r="B19412" i="1"/>
  <c r="B19413" i="1"/>
  <c r="B19414" i="1"/>
  <c r="B19415" i="1"/>
  <c r="B19416" i="1"/>
  <c r="B19417" i="1"/>
  <c r="B19418" i="1"/>
  <c r="B19419" i="1"/>
  <c r="B19420" i="1"/>
  <c r="B19421" i="1"/>
  <c r="B19422" i="1"/>
  <c r="B19423" i="1"/>
  <c r="B19424" i="1"/>
  <c r="B19425" i="1"/>
  <c r="B19426" i="1"/>
  <c r="B19427" i="1"/>
  <c r="B19428" i="1"/>
  <c r="B19429" i="1"/>
  <c r="B19430" i="1"/>
  <c r="B19431" i="1"/>
  <c r="B19432" i="1"/>
  <c r="B19433" i="1"/>
  <c r="B19434" i="1"/>
  <c r="B19435" i="1"/>
  <c r="B19436" i="1"/>
  <c r="B19437" i="1"/>
  <c r="B19438" i="1"/>
  <c r="B19439" i="1"/>
  <c r="B19440" i="1"/>
  <c r="B19441" i="1"/>
  <c r="B19442" i="1"/>
  <c r="B19443" i="1"/>
  <c r="B19444" i="1"/>
  <c r="B19445" i="1"/>
  <c r="B19446" i="1"/>
  <c r="B19447" i="1"/>
  <c r="B19448" i="1"/>
  <c r="B19449" i="1"/>
  <c r="B19450" i="1"/>
  <c r="B19451" i="1"/>
  <c r="B19452" i="1"/>
  <c r="B19453" i="1"/>
  <c r="B19454" i="1"/>
  <c r="B19455" i="1"/>
  <c r="B19456" i="1"/>
  <c r="B19457" i="1"/>
  <c r="B19458" i="1"/>
  <c r="B19459" i="1"/>
  <c r="B19460" i="1"/>
  <c r="B19461" i="1"/>
  <c r="B19462" i="1"/>
  <c r="B19463" i="1"/>
  <c r="B19464" i="1"/>
  <c r="B19465" i="1"/>
  <c r="B19466" i="1"/>
  <c r="B19467" i="1"/>
  <c r="B19468" i="1"/>
  <c r="B19469" i="1"/>
  <c r="B19470" i="1"/>
  <c r="B19471" i="1"/>
  <c r="B19472" i="1"/>
  <c r="B19473" i="1"/>
  <c r="B19474" i="1"/>
  <c r="B19475" i="1"/>
  <c r="B19476" i="1"/>
  <c r="B19477" i="1"/>
  <c r="B19478" i="1"/>
  <c r="B19479" i="1"/>
  <c r="B19480" i="1"/>
  <c r="B19481" i="1"/>
  <c r="B19482" i="1"/>
  <c r="B19483" i="1"/>
  <c r="B19484" i="1"/>
  <c r="B19485" i="1"/>
  <c r="B19486" i="1"/>
  <c r="B19487" i="1"/>
  <c r="B19488" i="1"/>
  <c r="B19489" i="1"/>
  <c r="B19490" i="1"/>
  <c r="B19491" i="1"/>
  <c r="B19492" i="1"/>
  <c r="B19493" i="1"/>
  <c r="B19494" i="1"/>
  <c r="B19495" i="1"/>
  <c r="B19496" i="1"/>
  <c r="B19497" i="1"/>
  <c r="B19498" i="1"/>
  <c r="B19499" i="1"/>
  <c r="B19500" i="1"/>
  <c r="B19501" i="1"/>
  <c r="B19502" i="1"/>
  <c r="B19503" i="1"/>
  <c r="B19504" i="1"/>
  <c r="B19505" i="1"/>
  <c r="B19506" i="1"/>
  <c r="B19507" i="1"/>
  <c r="B19508" i="1"/>
  <c r="B19509" i="1"/>
  <c r="B19510" i="1"/>
  <c r="B19511" i="1"/>
  <c r="B19512" i="1"/>
  <c r="B19513" i="1"/>
  <c r="B19514" i="1"/>
  <c r="B19515" i="1"/>
  <c r="B19516" i="1"/>
  <c r="B19517" i="1"/>
  <c r="B19518" i="1"/>
  <c r="B19519" i="1"/>
  <c r="B19520" i="1"/>
  <c r="B19521" i="1"/>
  <c r="B19522" i="1"/>
  <c r="B19523" i="1"/>
  <c r="B19524" i="1"/>
  <c r="B19525" i="1"/>
  <c r="B19526" i="1"/>
  <c r="B19527" i="1"/>
  <c r="B19528" i="1"/>
  <c r="B19529" i="1"/>
  <c r="B19530" i="1"/>
  <c r="B19531" i="1"/>
  <c r="B19532" i="1"/>
  <c r="B19533" i="1"/>
  <c r="B19534" i="1"/>
  <c r="B19535" i="1"/>
  <c r="B19536" i="1"/>
  <c r="B19537" i="1"/>
  <c r="B19538" i="1"/>
  <c r="B19539" i="1"/>
  <c r="B19540" i="1"/>
  <c r="B19541" i="1"/>
  <c r="B19542" i="1"/>
  <c r="B19543" i="1"/>
  <c r="B19544" i="1"/>
  <c r="B19545" i="1"/>
  <c r="B19546" i="1"/>
  <c r="B19547" i="1"/>
  <c r="B19548" i="1"/>
  <c r="B19549" i="1"/>
  <c r="B19550" i="1"/>
  <c r="B19551" i="1"/>
  <c r="B19552" i="1"/>
  <c r="B19553" i="1"/>
  <c r="B19554" i="1"/>
  <c r="B19555" i="1"/>
  <c r="B19556" i="1"/>
  <c r="B19557" i="1"/>
  <c r="B19558" i="1"/>
  <c r="B19559" i="1"/>
  <c r="B19560" i="1"/>
  <c r="B19561" i="1"/>
  <c r="B19562" i="1"/>
  <c r="B19563" i="1"/>
  <c r="B19564" i="1"/>
  <c r="B19565" i="1"/>
  <c r="B19566" i="1"/>
  <c r="B19567" i="1"/>
  <c r="B19568" i="1"/>
  <c r="B19569" i="1"/>
  <c r="B19570" i="1"/>
  <c r="B19571" i="1"/>
  <c r="B19572" i="1"/>
  <c r="B19573" i="1"/>
  <c r="B19574" i="1"/>
  <c r="B19575" i="1"/>
  <c r="B19576" i="1"/>
  <c r="B19577" i="1"/>
  <c r="B19578" i="1"/>
  <c r="B19579" i="1"/>
  <c r="B19580" i="1"/>
  <c r="B19581" i="1"/>
  <c r="B19582" i="1"/>
  <c r="B19583" i="1"/>
  <c r="B19584" i="1"/>
  <c r="B19585" i="1"/>
  <c r="B19586" i="1"/>
  <c r="B19587" i="1"/>
  <c r="B19588" i="1"/>
  <c r="B19589" i="1"/>
  <c r="B19590" i="1"/>
  <c r="B19591" i="1"/>
  <c r="B19592" i="1"/>
  <c r="B19593" i="1"/>
  <c r="B19594" i="1"/>
  <c r="B19595" i="1"/>
  <c r="B19596" i="1"/>
  <c r="B19597" i="1"/>
  <c r="B19598" i="1"/>
  <c r="B19599" i="1"/>
  <c r="B19600" i="1"/>
  <c r="B19601" i="1"/>
  <c r="B19602" i="1"/>
  <c r="B19603" i="1"/>
  <c r="B19604" i="1"/>
  <c r="B19605" i="1"/>
  <c r="B19606" i="1"/>
  <c r="B19607" i="1"/>
  <c r="B19608" i="1"/>
  <c r="B19609" i="1"/>
  <c r="B19610" i="1"/>
  <c r="B19611" i="1"/>
  <c r="B19612" i="1"/>
  <c r="B19613" i="1"/>
  <c r="B19614" i="1"/>
  <c r="B19615" i="1"/>
  <c r="B19616" i="1"/>
  <c r="B19617" i="1"/>
  <c r="B19618" i="1"/>
  <c r="B19619" i="1"/>
  <c r="B19620" i="1"/>
  <c r="B19621" i="1"/>
  <c r="B19622" i="1"/>
  <c r="B19623" i="1"/>
  <c r="B19624" i="1"/>
  <c r="B19625" i="1"/>
  <c r="B19626" i="1"/>
  <c r="B19627" i="1"/>
  <c r="B19628" i="1"/>
  <c r="B19629" i="1"/>
  <c r="B19630" i="1"/>
  <c r="B19631" i="1"/>
  <c r="B19632" i="1"/>
  <c r="B19633" i="1"/>
  <c r="B19634" i="1"/>
  <c r="B19635" i="1"/>
  <c r="B19636" i="1"/>
  <c r="B19637" i="1"/>
  <c r="B19638" i="1"/>
  <c r="B19639" i="1"/>
  <c r="B19640" i="1"/>
  <c r="B19641" i="1"/>
  <c r="B19642" i="1"/>
  <c r="B19643" i="1"/>
  <c r="B19644" i="1"/>
  <c r="B19645" i="1"/>
  <c r="B19646" i="1"/>
  <c r="B19647" i="1"/>
  <c r="B19648" i="1"/>
  <c r="B19649" i="1"/>
  <c r="B19650" i="1"/>
  <c r="B19651" i="1"/>
  <c r="B19652" i="1"/>
  <c r="B19653" i="1"/>
  <c r="B19654" i="1"/>
  <c r="B19655" i="1"/>
  <c r="B19656" i="1"/>
  <c r="B19657" i="1"/>
  <c r="B19658" i="1"/>
  <c r="B19659" i="1"/>
  <c r="B19660" i="1"/>
  <c r="B19661" i="1"/>
  <c r="B19662" i="1"/>
  <c r="B19663" i="1"/>
  <c r="B19664" i="1"/>
  <c r="B19665" i="1"/>
  <c r="B19666" i="1"/>
  <c r="B19667" i="1"/>
  <c r="B19668" i="1"/>
  <c r="B19669" i="1"/>
  <c r="B19670" i="1"/>
  <c r="B19671" i="1"/>
  <c r="B19672" i="1"/>
  <c r="B19673" i="1"/>
  <c r="B19674" i="1"/>
  <c r="B19675" i="1"/>
  <c r="B19676" i="1"/>
  <c r="B19677" i="1"/>
  <c r="B19678" i="1"/>
  <c r="B19679" i="1"/>
  <c r="B19680" i="1"/>
  <c r="B19681" i="1"/>
  <c r="B19682" i="1"/>
  <c r="B19683" i="1"/>
  <c r="B19684" i="1"/>
  <c r="B19685" i="1"/>
  <c r="B19686" i="1"/>
  <c r="B19687" i="1"/>
  <c r="B19688" i="1"/>
  <c r="B19689" i="1"/>
  <c r="B19690" i="1"/>
  <c r="B19691" i="1"/>
  <c r="B19692" i="1"/>
  <c r="B19693" i="1"/>
  <c r="B19694" i="1"/>
  <c r="B19695" i="1"/>
  <c r="B19696" i="1"/>
  <c r="B19697" i="1"/>
  <c r="B19698" i="1"/>
  <c r="B19699" i="1"/>
  <c r="B19700" i="1"/>
  <c r="B19701" i="1"/>
  <c r="B19702" i="1"/>
  <c r="B19703" i="1"/>
  <c r="B19704" i="1"/>
  <c r="B19705" i="1"/>
  <c r="B19706" i="1"/>
  <c r="B19707" i="1"/>
  <c r="B19708" i="1"/>
  <c r="B19709" i="1"/>
  <c r="B19710" i="1"/>
  <c r="B19711" i="1"/>
  <c r="B19712" i="1"/>
  <c r="B19713" i="1"/>
  <c r="B19714" i="1"/>
  <c r="B19715" i="1"/>
  <c r="B19716" i="1"/>
  <c r="B19717" i="1"/>
  <c r="B19718" i="1"/>
  <c r="B19719" i="1"/>
  <c r="B19720" i="1"/>
  <c r="B19721" i="1"/>
  <c r="B19722" i="1"/>
  <c r="B19723" i="1"/>
  <c r="B19724" i="1"/>
  <c r="B19725" i="1"/>
  <c r="B19726" i="1"/>
  <c r="B19727" i="1"/>
  <c r="B19728" i="1"/>
  <c r="B19729" i="1"/>
  <c r="B19730" i="1"/>
  <c r="B19731" i="1"/>
  <c r="B19732" i="1"/>
  <c r="B19733" i="1"/>
  <c r="B19734" i="1"/>
  <c r="B19735" i="1"/>
  <c r="B19736" i="1"/>
  <c r="B19737" i="1"/>
  <c r="B19738" i="1"/>
  <c r="B19739" i="1"/>
  <c r="B19740" i="1"/>
  <c r="B19741" i="1"/>
  <c r="B19742" i="1"/>
  <c r="B19743" i="1"/>
  <c r="B19744" i="1"/>
  <c r="B19745" i="1"/>
  <c r="B19746" i="1"/>
  <c r="B19747" i="1"/>
  <c r="B19748" i="1"/>
  <c r="B19749" i="1"/>
  <c r="B19750" i="1"/>
  <c r="B19751" i="1"/>
  <c r="B19752" i="1"/>
  <c r="B19753" i="1"/>
  <c r="B19754" i="1"/>
  <c r="B19755" i="1"/>
  <c r="B19756" i="1"/>
  <c r="B19757" i="1"/>
  <c r="B19758" i="1"/>
  <c r="B19759" i="1"/>
  <c r="B19760" i="1"/>
  <c r="B19761" i="1"/>
  <c r="B19762" i="1"/>
  <c r="B19763" i="1"/>
  <c r="B19764" i="1"/>
  <c r="B19765" i="1"/>
  <c r="B19766" i="1"/>
  <c r="B19767" i="1"/>
  <c r="B19768" i="1"/>
  <c r="B19769" i="1"/>
  <c r="B19770" i="1"/>
  <c r="B19771" i="1"/>
  <c r="B19772" i="1"/>
  <c r="B19773" i="1"/>
  <c r="B19774" i="1"/>
  <c r="B19775" i="1"/>
  <c r="B19776" i="1"/>
  <c r="B19777" i="1"/>
  <c r="B19778" i="1"/>
  <c r="B19779" i="1"/>
  <c r="B19780" i="1"/>
  <c r="B19781" i="1"/>
  <c r="B19782" i="1"/>
  <c r="B19783" i="1"/>
  <c r="B19784" i="1"/>
  <c r="B19785" i="1"/>
  <c r="B19786" i="1"/>
  <c r="B19787" i="1"/>
  <c r="B19788" i="1"/>
  <c r="B19789" i="1"/>
  <c r="B19790" i="1"/>
  <c r="B19791" i="1"/>
  <c r="B19792" i="1"/>
  <c r="B19793" i="1"/>
  <c r="B19794" i="1"/>
  <c r="B19795" i="1"/>
  <c r="B19796" i="1"/>
  <c r="B19797" i="1"/>
  <c r="B19798" i="1"/>
  <c r="B19799" i="1"/>
  <c r="B19800" i="1"/>
  <c r="B19801" i="1"/>
  <c r="B19802" i="1"/>
  <c r="B19803" i="1"/>
  <c r="B19804" i="1"/>
  <c r="B19805" i="1"/>
  <c r="B19806" i="1"/>
  <c r="B19807" i="1"/>
  <c r="B19808" i="1"/>
  <c r="B19809" i="1"/>
  <c r="B19810" i="1"/>
  <c r="B19811" i="1"/>
  <c r="B19812" i="1"/>
  <c r="B19813" i="1"/>
  <c r="B19814" i="1"/>
  <c r="B19815" i="1"/>
  <c r="B19816" i="1"/>
  <c r="B19817" i="1"/>
  <c r="B19818" i="1"/>
  <c r="B19819" i="1"/>
  <c r="B19820" i="1"/>
  <c r="B19821" i="1"/>
  <c r="B19822" i="1"/>
  <c r="B19823" i="1"/>
  <c r="B19824" i="1"/>
  <c r="B19825" i="1"/>
  <c r="B19826" i="1"/>
  <c r="B19827" i="1"/>
  <c r="B19828" i="1"/>
  <c r="B19829" i="1"/>
  <c r="B19830" i="1"/>
  <c r="B19831" i="1"/>
  <c r="B19832" i="1"/>
  <c r="B19833" i="1"/>
  <c r="B19834" i="1"/>
  <c r="B19835" i="1"/>
  <c r="B19836" i="1"/>
  <c r="B19837" i="1"/>
  <c r="B19838" i="1"/>
  <c r="B19839" i="1"/>
  <c r="B19840" i="1"/>
  <c r="B19841" i="1"/>
  <c r="B19842" i="1"/>
  <c r="B19843" i="1"/>
  <c r="B19844" i="1"/>
  <c r="B19845" i="1"/>
  <c r="B19846" i="1"/>
  <c r="B19847" i="1"/>
  <c r="B19848" i="1"/>
  <c r="B19849" i="1"/>
  <c r="B19850" i="1"/>
  <c r="B19851" i="1"/>
  <c r="B19852" i="1"/>
  <c r="B19853" i="1"/>
  <c r="B19854" i="1"/>
  <c r="B19855" i="1"/>
  <c r="B19856" i="1"/>
  <c r="B19857" i="1"/>
  <c r="B19858" i="1"/>
  <c r="B19859" i="1"/>
  <c r="B19860" i="1"/>
  <c r="B19861" i="1"/>
  <c r="B19862" i="1"/>
  <c r="B19863" i="1"/>
  <c r="B19864" i="1"/>
  <c r="B19865" i="1"/>
  <c r="B19866" i="1"/>
  <c r="B19867" i="1"/>
  <c r="B19868" i="1"/>
  <c r="B19869" i="1"/>
  <c r="B19870" i="1"/>
  <c r="B19871" i="1"/>
  <c r="B19872" i="1"/>
  <c r="B19873" i="1"/>
  <c r="B19874" i="1"/>
  <c r="B19875" i="1"/>
  <c r="B19876" i="1"/>
  <c r="B19877" i="1"/>
  <c r="B19878" i="1"/>
  <c r="B19879" i="1"/>
  <c r="B19880" i="1"/>
  <c r="B19881" i="1"/>
  <c r="B19882" i="1"/>
  <c r="B19883" i="1"/>
  <c r="B19884" i="1"/>
  <c r="B19885" i="1"/>
  <c r="B19886" i="1"/>
  <c r="B19887" i="1"/>
  <c r="B19888" i="1"/>
  <c r="B19889" i="1"/>
  <c r="B19890" i="1"/>
  <c r="B19891" i="1"/>
  <c r="B19892" i="1"/>
  <c r="B19893" i="1"/>
  <c r="B19894" i="1"/>
  <c r="B19895" i="1"/>
  <c r="B19896" i="1"/>
  <c r="B19897" i="1"/>
  <c r="B19898" i="1"/>
  <c r="B19899" i="1"/>
  <c r="B19900" i="1"/>
  <c r="B19901" i="1"/>
  <c r="B19902" i="1"/>
  <c r="B19903" i="1"/>
  <c r="B19904" i="1"/>
  <c r="B19905" i="1"/>
  <c r="B19906" i="1"/>
  <c r="B19907" i="1"/>
  <c r="B19908" i="1"/>
  <c r="B19909" i="1"/>
  <c r="B19910" i="1"/>
  <c r="B19911" i="1"/>
  <c r="B19912" i="1"/>
  <c r="B19913" i="1"/>
  <c r="B19914" i="1"/>
  <c r="B19915" i="1"/>
  <c r="B19916" i="1"/>
  <c r="B19917" i="1"/>
  <c r="B19918" i="1"/>
  <c r="B19919" i="1"/>
  <c r="B19920" i="1"/>
  <c r="B19921" i="1"/>
  <c r="B19922" i="1"/>
  <c r="B19923" i="1"/>
  <c r="B19924" i="1"/>
  <c r="B19925" i="1"/>
  <c r="B19926" i="1"/>
  <c r="B19927" i="1"/>
  <c r="B19928" i="1"/>
  <c r="B19929" i="1"/>
  <c r="B19930" i="1"/>
  <c r="B19931" i="1"/>
  <c r="B19932" i="1"/>
  <c r="B19933" i="1"/>
  <c r="B19934" i="1"/>
  <c r="B19935" i="1"/>
  <c r="B19936" i="1"/>
  <c r="B19937" i="1"/>
  <c r="B19938" i="1"/>
  <c r="B19939" i="1"/>
  <c r="B19940" i="1"/>
  <c r="B19941" i="1"/>
  <c r="B19942" i="1"/>
  <c r="B19943" i="1"/>
  <c r="B19944" i="1"/>
  <c r="B19945" i="1"/>
  <c r="B19946" i="1"/>
  <c r="B19947" i="1"/>
  <c r="B19948" i="1"/>
  <c r="B19949" i="1"/>
  <c r="B19950" i="1"/>
  <c r="B19951" i="1"/>
  <c r="B19952" i="1"/>
  <c r="B19953" i="1"/>
  <c r="B19954" i="1"/>
  <c r="B19955" i="1"/>
  <c r="B19956" i="1"/>
  <c r="B19957" i="1"/>
  <c r="B19958" i="1"/>
  <c r="B19959" i="1"/>
  <c r="B19960" i="1"/>
  <c r="B19961" i="1"/>
  <c r="B19962" i="1"/>
  <c r="B19963" i="1"/>
  <c r="B19964" i="1"/>
  <c r="B19965" i="1"/>
  <c r="B19966" i="1"/>
  <c r="B19967" i="1"/>
  <c r="B19968" i="1"/>
  <c r="B19969" i="1"/>
  <c r="B19970" i="1"/>
  <c r="B19971" i="1"/>
  <c r="B19972" i="1"/>
  <c r="B19973" i="1"/>
  <c r="B19974" i="1"/>
  <c r="B19975" i="1"/>
  <c r="B19976" i="1"/>
  <c r="B19977" i="1"/>
  <c r="B19978" i="1"/>
  <c r="B19979" i="1"/>
  <c r="B19980" i="1"/>
  <c r="B19981" i="1"/>
  <c r="B19982" i="1"/>
  <c r="B19983" i="1"/>
  <c r="B19984" i="1"/>
  <c r="B19985" i="1"/>
  <c r="B19986" i="1"/>
  <c r="B19987" i="1"/>
  <c r="B19988" i="1"/>
  <c r="B19989" i="1"/>
  <c r="B19990" i="1"/>
  <c r="B19991" i="1"/>
  <c r="B19992" i="1"/>
  <c r="B19993" i="1"/>
  <c r="B19994" i="1"/>
  <c r="B19995" i="1"/>
  <c r="B19996" i="1"/>
  <c r="B19997" i="1"/>
  <c r="B19998" i="1"/>
  <c r="B19999" i="1"/>
  <c r="B20000" i="1"/>
  <c r="B20001" i="1"/>
  <c r="B20002" i="1"/>
  <c r="B20003" i="1"/>
  <c r="B20004" i="1"/>
  <c r="B20005" i="1"/>
  <c r="B20006" i="1"/>
  <c r="B20007" i="1"/>
  <c r="B20008" i="1"/>
  <c r="B20009" i="1"/>
  <c r="B20010" i="1"/>
  <c r="B20011" i="1"/>
  <c r="B20012" i="1"/>
  <c r="B20013" i="1"/>
  <c r="B20014" i="1"/>
  <c r="B20015" i="1"/>
  <c r="B20016" i="1"/>
  <c r="B20017" i="1"/>
  <c r="B20018" i="1"/>
  <c r="B20019" i="1"/>
  <c r="B20020" i="1"/>
  <c r="B20021" i="1"/>
  <c r="B20022" i="1"/>
  <c r="B20023" i="1"/>
  <c r="B20024" i="1"/>
  <c r="B20025" i="1"/>
  <c r="B20026" i="1"/>
  <c r="B20027" i="1"/>
  <c r="B20028" i="1"/>
  <c r="B20029" i="1"/>
  <c r="B20030" i="1"/>
  <c r="B20031" i="1"/>
  <c r="B20032" i="1"/>
  <c r="B20033" i="1"/>
  <c r="B20034" i="1"/>
  <c r="B20035" i="1"/>
  <c r="B20036" i="1"/>
  <c r="B20037" i="1"/>
  <c r="B20038" i="1"/>
  <c r="B20039" i="1"/>
  <c r="B20040" i="1"/>
  <c r="B20041" i="1"/>
  <c r="B20042" i="1"/>
  <c r="B20043" i="1"/>
  <c r="B20044" i="1"/>
  <c r="B20045" i="1"/>
  <c r="B20046" i="1"/>
  <c r="B20047" i="1"/>
  <c r="B20048" i="1"/>
  <c r="B20049" i="1"/>
  <c r="B20050" i="1"/>
  <c r="B20051" i="1"/>
  <c r="B20052" i="1"/>
  <c r="B20053" i="1"/>
  <c r="B20054" i="1"/>
  <c r="B20055" i="1"/>
  <c r="B20056" i="1"/>
  <c r="B20057" i="1"/>
  <c r="B20058" i="1"/>
  <c r="B20059" i="1"/>
  <c r="B20060" i="1"/>
  <c r="B20061" i="1"/>
  <c r="B20062" i="1"/>
  <c r="B20063" i="1"/>
  <c r="B20064" i="1"/>
  <c r="B20065" i="1"/>
  <c r="B20066" i="1"/>
  <c r="B20067" i="1"/>
  <c r="B20068" i="1"/>
  <c r="B20069" i="1"/>
  <c r="B20070" i="1"/>
  <c r="B20071" i="1"/>
  <c r="B20072" i="1"/>
  <c r="B20073" i="1"/>
  <c r="B20074" i="1"/>
  <c r="B20075" i="1"/>
  <c r="B20076" i="1"/>
  <c r="B20077" i="1"/>
  <c r="B20078" i="1"/>
  <c r="B20079" i="1"/>
  <c r="B20080" i="1"/>
  <c r="B20081" i="1"/>
  <c r="B20082" i="1"/>
  <c r="B20083" i="1"/>
  <c r="B20084" i="1"/>
  <c r="B20085" i="1"/>
  <c r="B20086" i="1"/>
  <c r="B20087" i="1"/>
  <c r="B20088" i="1"/>
  <c r="B20089" i="1"/>
  <c r="B20090" i="1"/>
  <c r="B20091" i="1"/>
  <c r="B20092" i="1"/>
  <c r="B20093" i="1"/>
  <c r="B20094" i="1"/>
  <c r="B20095" i="1"/>
  <c r="B20096" i="1"/>
  <c r="B20097" i="1"/>
  <c r="B20098" i="1"/>
  <c r="B20099" i="1"/>
  <c r="B20100" i="1"/>
  <c r="B20101" i="1"/>
  <c r="B20102" i="1"/>
  <c r="B20103" i="1"/>
  <c r="B20104" i="1"/>
  <c r="B20105" i="1"/>
  <c r="B20106" i="1"/>
  <c r="B20107" i="1"/>
  <c r="B20108" i="1"/>
  <c r="B20109" i="1"/>
  <c r="B20110" i="1"/>
  <c r="B20111" i="1"/>
  <c r="B20112" i="1"/>
  <c r="B20113" i="1"/>
  <c r="B20114" i="1"/>
  <c r="B20115" i="1"/>
  <c r="B20116" i="1"/>
  <c r="B20117" i="1"/>
  <c r="B20118" i="1"/>
  <c r="B20119" i="1"/>
  <c r="B20120" i="1"/>
  <c r="B20121" i="1"/>
  <c r="B20122" i="1"/>
  <c r="B20123" i="1"/>
  <c r="B20124" i="1"/>
  <c r="B20125" i="1"/>
  <c r="B20126" i="1"/>
  <c r="B20127" i="1"/>
  <c r="B20128" i="1"/>
  <c r="B20129" i="1"/>
  <c r="B20130" i="1"/>
  <c r="B20131" i="1"/>
  <c r="B20132" i="1"/>
  <c r="B20133" i="1"/>
  <c r="B20134" i="1"/>
  <c r="B20135" i="1"/>
  <c r="B20136" i="1"/>
  <c r="B20137" i="1"/>
  <c r="B20138" i="1"/>
  <c r="B20139" i="1"/>
  <c r="B20140" i="1"/>
  <c r="B20141" i="1"/>
  <c r="B20142" i="1"/>
  <c r="B20143" i="1"/>
  <c r="B20144" i="1"/>
  <c r="B20145" i="1"/>
  <c r="B20146" i="1"/>
  <c r="B20147" i="1"/>
  <c r="B20148" i="1"/>
  <c r="B20149" i="1"/>
  <c r="B20150" i="1"/>
  <c r="B20151" i="1"/>
  <c r="B20152" i="1"/>
  <c r="B20153" i="1"/>
  <c r="B20154" i="1"/>
  <c r="B20155" i="1"/>
  <c r="B20156" i="1"/>
  <c r="B20157" i="1"/>
  <c r="B20158" i="1"/>
  <c r="B20159" i="1"/>
  <c r="B20160" i="1"/>
  <c r="B20161" i="1"/>
  <c r="B20162" i="1"/>
  <c r="B20163" i="1"/>
  <c r="B20164" i="1"/>
  <c r="B20165" i="1"/>
  <c r="B20166" i="1"/>
  <c r="B20167" i="1"/>
  <c r="B20168" i="1"/>
  <c r="B20169" i="1"/>
  <c r="B20170" i="1"/>
  <c r="B20171" i="1"/>
  <c r="B20172" i="1"/>
  <c r="B20173" i="1"/>
  <c r="B20174" i="1"/>
  <c r="B20175" i="1"/>
  <c r="B20176" i="1"/>
  <c r="B20177" i="1"/>
  <c r="B20178" i="1"/>
  <c r="B20179" i="1"/>
  <c r="B20180" i="1"/>
  <c r="B20181" i="1"/>
  <c r="B20182" i="1"/>
  <c r="B20183" i="1"/>
  <c r="B20184" i="1"/>
  <c r="B20185" i="1"/>
  <c r="B20186" i="1"/>
  <c r="B20187" i="1"/>
  <c r="B20188" i="1"/>
  <c r="B20189" i="1"/>
  <c r="B20190" i="1"/>
  <c r="B20191" i="1"/>
  <c r="B20192" i="1"/>
  <c r="B20193" i="1"/>
  <c r="B20194" i="1"/>
  <c r="B20195" i="1"/>
  <c r="B20196" i="1"/>
  <c r="B20197" i="1"/>
  <c r="B20198" i="1"/>
  <c r="B20199" i="1"/>
  <c r="B20200" i="1"/>
  <c r="B20201" i="1"/>
  <c r="B20202" i="1"/>
  <c r="B20203" i="1"/>
  <c r="B20204" i="1"/>
  <c r="B20205" i="1"/>
  <c r="B20206" i="1"/>
  <c r="B20207" i="1"/>
  <c r="B20208" i="1"/>
  <c r="B20209" i="1"/>
  <c r="B20210" i="1"/>
  <c r="B20211" i="1"/>
  <c r="B20212" i="1"/>
  <c r="B20213" i="1"/>
  <c r="B20214" i="1"/>
  <c r="B20215" i="1"/>
  <c r="B20216" i="1"/>
  <c r="B20217" i="1"/>
  <c r="B20218" i="1"/>
  <c r="B20219" i="1"/>
  <c r="B20220" i="1"/>
  <c r="B20221" i="1"/>
  <c r="B20222" i="1"/>
  <c r="B20223" i="1"/>
  <c r="B20224" i="1"/>
  <c r="B20225" i="1"/>
  <c r="B20226" i="1"/>
  <c r="B20227" i="1"/>
  <c r="B20228" i="1"/>
  <c r="B20229" i="1"/>
  <c r="B20230" i="1"/>
  <c r="B20231" i="1"/>
  <c r="B20232" i="1"/>
  <c r="B20233" i="1"/>
  <c r="B20234" i="1"/>
  <c r="B20235" i="1"/>
  <c r="B20236" i="1"/>
  <c r="B20237" i="1"/>
  <c r="B20238" i="1"/>
  <c r="B20239" i="1"/>
  <c r="B20240" i="1"/>
  <c r="B20241" i="1"/>
  <c r="B20242" i="1"/>
  <c r="B20243" i="1"/>
  <c r="B20244" i="1"/>
  <c r="B20245" i="1"/>
  <c r="B20246" i="1"/>
  <c r="B20247" i="1"/>
  <c r="B20248" i="1"/>
  <c r="B20249" i="1"/>
  <c r="B20250" i="1"/>
  <c r="B20251" i="1"/>
  <c r="B20252" i="1"/>
  <c r="B20253" i="1"/>
  <c r="B20254" i="1"/>
  <c r="B20255" i="1"/>
  <c r="B20256" i="1"/>
  <c r="B20257" i="1"/>
  <c r="B20258" i="1"/>
  <c r="B20259" i="1"/>
  <c r="B20260" i="1"/>
  <c r="B20261" i="1"/>
  <c r="B20262" i="1"/>
  <c r="B20263" i="1"/>
  <c r="B20264" i="1"/>
  <c r="B20265" i="1"/>
  <c r="B20266" i="1"/>
  <c r="B20267" i="1"/>
  <c r="B20268" i="1"/>
  <c r="B20269" i="1"/>
  <c r="B20270" i="1"/>
  <c r="B20271" i="1"/>
  <c r="B20272" i="1"/>
  <c r="B20273" i="1"/>
  <c r="B20274" i="1"/>
  <c r="B20275" i="1"/>
  <c r="B20276" i="1"/>
  <c r="B20277" i="1"/>
  <c r="B20278" i="1"/>
  <c r="B20279" i="1"/>
  <c r="B20280" i="1"/>
  <c r="B20281" i="1"/>
  <c r="B20282" i="1"/>
  <c r="B20283" i="1"/>
  <c r="B20284" i="1"/>
  <c r="B20285" i="1"/>
  <c r="B20286" i="1"/>
  <c r="B20287" i="1"/>
  <c r="B20288" i="1"/>
  <c r="B20289" i="1"/>
  <c r="B20290" i="1"/>
  <c r="B20291" i="1"/>
  <c r="B20292" i="1"/>
  <c r="B20293" i="1"/>
  <c r="B20294" i="1"/>
  <c r="B20295" i="1"/>
  <c r="B20296" i="1"/>
  <c r="B20297" i="1"/>
  <c r="B20298" i="1"/>
  <c r="B20299" i="1"/>
  <c r="B20300" i="1"/>
  <c r="B20301" i="1"/>
  <c r="B20302" i="1"/>
  <c r="B20303" i="1"/>
  <c r="B20304" i="1"/>
  <c r="B20305" i="1"/>
  <c r="B20306" i="1"/>
  <c r="B20307" i="1"/>
  <c r="B20308" i="1"/>
  <c r="B20309" i="1"/>
  <c r="B20310" i="1"/>
  <c r="B20311" i="1"/>
  <c r="B20312" i="1"/>
  <c r="B20313" i="1"/>
  <c r="B20314" i="1"/>
  <c r="B20315" i="1"/>
  <c r="B20316" i="1"/>
  <c r="B20317" i="1"/>
  <c r="B20318" i="1"/>
  <c r="B20319" i="1"/>
  <c r="B20320" i="1"/>
  <c r="B20321" i="1"/>
  <c r="B20322" i="1"/>
  <c r="B20323" i="1"/>
  <c r="B20324" i="1"/>
  <c r="B20325" i="1"/>
  <c r="B20326" i="1"/>
  <c r="B20327" i="1"/>
  <c r="B20328" i="1"/>
  <c r="B20329" i="1"/>
  <c r="B20330" i="1"/>
  <c r="B20331" i="1"/>
  <c r="B20332" i="1"/>
  <c r="B20333" i="1"/>
  <c r="B20334" i="1"/>
  <c r="B20335" i="1"/>
  <c r="B20336" i="1"/>
  <c r="B20337" i="1"/>
  <c r="B20338" i="1"/>
  <c r="B20339" i="1"/>
  <c r="B20340" i="1"/>
  <c r="B20341" i="1"/>
  <c r="B20342" i="1"/>
  <c r="B20343" i="1"/>
  <c r="B20344" i="1"/>
  <c r="B20345" i="1"/>
  <c r="B20346" i="1"/>
  <c r="B20347" i="1"/>
  <c r="B20348" i="1"/>
  <c r="B20349" i="1"/>
  <c r="B20350" i="1"/>
  <c r="B20351" i="1"/>
  <c r="B20352" i="1"/>
  <c r="B20353" i="1"/>
  <c r="B20354" i="1"/>
  <c r="B20355" i="1"/>
  <c r="B20356" i="1"/>
  <c r="B20357" i="1"/>
  <c r="B20358" i="1"/>
  <c r="B20359" i="1"/>
  <c r="B20360" i="1"/>
  <c r="B20361" i="1"/>
  <c r="B20362" i="1"/>
  <c r="B20363" i="1"/>
  <c r="B20364" i="1"/>
  <c r="B20365" i="1"/>
  <c r="B20366" i="1"/>
  <c r="B20367" i="1"/>
  <c r="B20368" i="1"/>
  <c r="B20369" i="1"/>
  <c r="B20370" i="1"/>
  <c r="B20371" i="1"/>
  <c r="B20372" i="1"/>
  <c r="B20373" i="1"/>
  <c r="B20374" i="1"/>
  <c r="B20375" i="1"/>
  <c r="B20376" i="1"/>
  <c r="B20377" i="1"/>
  <c r="B20378" i="1"/>
  <c r="B20379" i="1"/>
  <c r="B20380" i="1"/>
  <c r="B20381" i="1"/>
  <c r="B20382" i="1"/>
  <c r="B20383" i="1"/>
  <c r="B20384" i="1"/>
  <c r="B20385" i="1"/>
  <c r="B20386" i="1"/>
  <c r="B20387" i="1"/>
  <c r="B20388" i="1"/>
  <c r="B20389" i="1"/>
  <c r="B20390" i="1"/>
  <c r="B20391" i="1"/>
  <c r="B20392" i="1"/>
  <c r="B20393" i="1"/>
  <c r="B20394" i="1"/>
  <c r="B20395" i="1"/>
  <c r="B20396" i="1"/>
  <c r="B20397" i="1"/>
  <c r="B20398" i="1"/>
  <c r="B20399" i="1"/>
  <c r="B20400" i="1"/>
  <c r="B20401" i="1"/>
  <c r="B20402" i="1"/>
  <c r="B20403" i="1"/>
  <c r="B20404" i="1"/>
  <c r="B20405" i="1"/>
  <c r="B20406" i="1"/>
  <c r="B20407" i="1"/>
  <c r="B20408" i="1"/>
  <c r="B20409" i="1"/>
  <c r="B20410" i="1"/>
  <c r="B20411" i="1"/>
  <c r="B20412" i="1"/>
  <c r="B20413" i="1"/>
  <c r="B20414" i="1"/>
  <c r="B20415" i="1"/>
  <c r="B20416" i="1"/>
  <c r="B20417" i="1"/>
  <c r="B20418" i="1"/>
  <c r="B20419" i="1"/>
  <c r="B20420" i="1"/>
  <c r="B20421" i="1"/>
  <c r="B20422" i="1"/>
  <c r="B20423" i="1"/>
  <c r="B20424" i="1"/>
  <c r="B20425" i="1"/>
  <c r="B20426" i="1"/>
  <c r="B20427" i="1"/>
  <c r="B20428" i="1"/>
  <c r="B20429" i="1"/>
  <c r="B20430" i="1"/>
  <c r="B20431" i="1"/>
  <c r="B20432" i="1"/>
  <c r="B20433" i="1"/>
  <c r="B20434" i="1"/>
  <c r="B20435" i="1"/>
  <c r="B20436" i="1"/>
  <c r="B20437" i="1"/>
  <c r="B20438" i="1"/>
  <c r="B20439" i="1"/>
  <c r="B20440" i="1"/>
  <c r="B20441" i="1"/>
  <c r="B20442" i="1"/>
  <c r="B20443" i="1"/>
  <c r="B20444" i="1"/>
  <c r="B20445" i="1"/>
  <c r="B20446" i="1"/>
  <c r="B20447" i="1"/>
  <c r="B20448" i="1"/>
  <c r="B20449" i="1"/>
  <c r="B20450" i="1"/>
  <c r="B20451" i="1"/>
  <c r="B20452" i="1"/>
  <c r="B20453" i="1"/>
  <c r="B20454" i="1"/>
  <c r="B20455" i="1"/>
  <c r="B20456" i="1"/>
  <c r="B20457" i="1"/>
  <c r="B20458" i="1"/>
  <c r="B20459" i="1"/>
  <c r="B20460" i="1"/>
  <c r="B20461" i="1"/>
  <c r="B20462" i="1"/>
  <c r="B20463" i="1"/>
  <c r="B20464" i="1"/>
  <c r="B20465" i="1"/>
  <c r="B20466" i="1"/>
  <c r="B20467" i="1"/>
  <c r="B20468" i="1"/>
  <c r="B20469" i="1"/>
  <c r="B20470" i="1"/>
  <c r="B20471" i="1"/>
  <c r="B20472" i="1"/>
  <c r="B20473" i="1"/>
  <c r="B20474" i="1"/>
  <c r="B20475" i="1"/>
  <c r="B20476" i="1"/>
  <c r="B20477" i="1"/>
  <c r="B20478" i="1"/>
  <c r="B20479" i="1"/>
  <c r="B20480" i="1"/>
  <c r="B20481" i="1"/>
  <c r="B20482" i="1"/>
  <c r="B20483" i="1"/>
  <c r="B20484" i="1"/>
  <c r="B20485" i="1"/>
  <c r="B20486" i="1"/>
  <c r="B20487" i="1"/>
  <c r="B20488" i="1"/>
  <c r="B20489" i="1"/>
  <c r="B20490" i="1"/>
  <c r="B20491" i="1"/>
  <c r="B20492" i="1"/>
  <c r="B20493" i="1"/>
  <c r="B20494" i="1"/>
  <c r="B20495" i="1"/>
  <c r="B20496" i="1"/>
  <c r="B20497" i="1"/>
  <c r="B20498" i="1"/>
  <c r="B20499" i="1"/>
  <c r="B20500" i="1"/>
  <c r="B20501" i="1"/>
  <c r="B20502" i="1"/>
  <c r="B20503" i="1"/>
  <c r="B20504" i="1"/>
  <c r="B20505" i="1"/>
  <c r="B20506" i="1"/>
  <c r="B20507" i="1"/>
  <c r="B20508" i="1"/>
  <c r="B20509" i="1"/>
  <c r="B20510" i="1"/>
  <c r="B20511" i="1"/>
  <c r="B20512" i="1"/>
  <c r="B20513" i="1"/>
  <c r="B20514" i="1"/>
  <c r="B20515" i="1"/>
  <c r="B20516" i="1"/>
  <c r="B20517" i="1"/>
  <c r="B20518" i="1"/>
  <c r="B20519" i="1"/>
  <c r="B20520" i="1"/>
  <c r="B20521" i="1"/>
  <c r="B20522" i="1"/>
  <c r="B20523" i="1"/>
  <c r="B20524" i="1"/>
  <c r="B20525" i="1"/>
  <c r="B20526" i="1"/>
  <c r="B20527" i="1"/>
  <c r="B20528" i="1"/>
  <c r="B20529" i="1"/>
  <c r="B20530" i="1"/>
  <c r="B20531" i="1"/>
  <c r="B20532" i="1"/>
  <c r="B20533" i="1"/>
  <c r="B20534" i="1"/>
  <c r="B20535" i="1"/>
  <c r="B20536" i="1"/>
  <c r="B20537" i="1"/>
  <c r="B20538" i="1"/>
  <c r="B20539" i="1"/>
  <c r="B20540" i="1"/>
  <c r="B20541" i="1"/>
  <c r="B20542" i="1"/>
  <c r="B20543" i="1"/>
  <c r="B20544" i="1"/>
  <c r="B20545" i="1"/>
  <c r="B20546" i="1"/>
  <c r="B20547" i="1"/>
  <c r="B20548" i="1"/>
  <c r="B20549" i="1"/>
  <c r="B20550" i="1"/>
  <c r="B20551" i="1"/>
  <c r="B20552" i="1"/>
  <c r="B20553" i="1"/>
  <c r="B20554" i="1"/>
  <c r="B20555" i="1"/>
  <c r="B20556" i="1"/>
  <c r="B20557" i="1"/>
  <c r="B20558" i="1"/>
  <c r="B20559" i="1"/>
  <c r="B20560" i="1"/>
  <c r="B20561" i="1"/>
  <c r="B20562" i="1"/>
  <c r="B20563" i="1"/>
  <c r="B20564" i="1"/>
  <c r="B20565" i="1"/>
  <c r="B20566" i="1"/>
  <c r="B20567" i="1"/>
  <c r="B20568" i="1"/>
  <c r="B20569" i="1"/>
  <c r="B20570" i="1"/>
  <c r="B20571" i="1"/>
  <c r="B20572" i="1"/>
  <c r="B20573" i="1"/>
  <c r="B20574" i="1"/>
  <c r="B20575" i="1"/>
  <c r="B20576" i="1"/>
  <c r="B20577" i="1"/>
  <c r="B20578" i="1"/>
  <c r="B20579" i="1"/>
  <c r="B20580" i="1"/>
  <c r="B20581" i="1"/>
  <c r="B20582" i="1"/>
  <c r="B20583" i="1"/>
  <c r="B20584" i="1"/>
  <c r="B20585" i="1"/>
  <c r="B20586" i="1"/>
  <c r="B20587" i="1"/>
  <c r="B20588" i="1"/>
  <c r="B20589" i="1"/>
  <c r="B20590" i="1"/>
  <c r="B20591" i="1"/>
  <c r="B20592" i="1"/>
  <c r="B20593" i="1"/>
  <c r="B20594" i="1"/>
  <c r="B20595" i="1"/>
  <c r="B20596" i="1"/>
  <c r="B20597" i="1"/>
  <c r="B20598" i="1"/>
  <c r="B20599" i="1"/>
  <c r="B20600" i="1"/>
  <c r="B20601" i="1"/>
  <c r="B20602" i="1"/>
  <c r="B20603" i="1"/>
  <c r="B20604" i="1"/>
  <c r="B20605" i="1"/>
  <c r="B20606" i="1"/>
  <c r="B20607" i="1"/>
  <c r="B20608" i="1"/>
  <c r="B20609" i="1"/>
  <c r="B20610" i="1"/>
  <c r="B20611" i="1"/>
  <c r="B20612" i="1"/>
  <c r="B20613" i="1"/>
  <c r="B20614" i="1"/>
  <c r="B20615" i="1"/>
  <c r="B20616" i="1"/>
  <c r="B20617" i="1"/>
  <c r="B20618" i="1"/>
  <c r="B20619" i="1"/>
  <c r="B20620" i="1"/>
  <c r="B20621" i="1"/>
  <c r="B20622" i="1"/>
  <c r="B20623" i="1"/>
  <c r="B20624" i="1"/>
  <c r="B20625" i="1"/>
  <c r="B20626" i="1"/>
  <c r="B20627" i="1"/>
  <c r="B20628" i="1"/>
  <c r="B20629" i="1"/>
  <c r="B20630" i="1"/>
  <c r="B20631" i="1"/>
  <c r="B20632" i="1"/>
  <c r="B20633" i="1"/>
  <c r="B20634" i="1"/>
  <c r="B20635" i="1"/>
  <c r="B20636" i="1"/>
  <c r="B20637" i="1"/>
  <c r="B20638" i="1"/>
  <c r="B20639" i="1"/>
  <c r="B20640" i="1"/>
  <c r="B20641" i="1"/>
  <c r="B20642" i="1"/>
  <c r="B20643" i="1"/>
  <c r="B20644" i="1"/>
  <c r="B20645" i="1"/>
  <c r="B20646" i="1"/>
  <c r="B20647" i="1"/>
  <c r="B20648" i="1"/>
  <c r="B20649" i="1"/>
  <c r="B20650" i="1"/>
  <c r="B20651" i="1"/>
  <c r="B20652" i="1"/>
  <c r="B20653" i="1"/>
  <c r="B20654" i="1"/>
  <c r="B20655" i="1"/>
  <c r="B20656" i="1"/>
  <c r="B20657" i="1"/>
  <c r="B20658" i="1"/>
  <c r="B20659" i="1"/>
  <c r="B20660" i="1"/>
  <c r="B20661" i="1"/>
  <c r="B20662" i="1"/>
  <c r="B20663" i="1"/>
  <c r="B20664" i="1"/>
  <c r="B20665" i="1"/>
  <c r="B20666" i="1"/>
  <c r="B20667" i="1"/>
  <c r="B20668" i="1"/>
  <c r="B20669" i="1"/>
  <c r="B20670" i="1"/>
  <c r="B20671" i="1"/>
  <c r="B20672" i="1"/>
  <c r="B20673" i="1"/>
  <c r="B20674" i="1"/>
  <c r="B20675" i="1"/>
  <c r="B20676" i="1"/>
  <c r="B20677" i="1"/>
  <c r="B20678" i="1"/>
  <c r="B20679" i="1"/>
  <c r="B20680" i="1"/>
  <c r="B20681" i="1"/>
  <c r="B20682" i="1"/>
  <c r="B20683" i="1"/>
  <c r="B20684" i="1"/>
  <c r="B20685" i="1"/>
  <c r="B20686" i="1"/>
  <c r="B20687" i="1"/>
  <c r="B20688" i="1"/>
  <c r="B20689" i="1"/>
  <c r="B20690" i="1"/>
  <c r="B20691" i="1"/>
  <c r="B20692" i="1"/>
  <c r="B20693" i="1"/>
  <c r="B20694" i="1"/>
  <c r="B20695" i="1"/>
  <c r="B20696" i="1"/>
  <c r="B20697" i="1"/>
  <c r="B20698" i="1"/>
  <c r="B20699" i="1"/>
  <c r="B20700" i="1"/>
  <c r="B20701" i="1"/>
  <c r="B20702" i="1"/>
  <c r="B20703" i="1"/>
  <c r="B20704" i="1"/>
  <c r="B20705" i="1"/>
  <c r="B20706" i="1"/>
  <c r="B20707" i="1"/>
  <c r="B20708" i="1"/>
  <c r="B20709" i="1"/>
  <c r="B20710" i="1"/>
  <c r="B20711" i="1"/>
  <c r="B20712" i="1"/>
  <c r="B20713" i="1"/>
  <c r="B20714" i="1"/>
  <c r="B20715" i="1"/>
  <c r="B20716" i="1"/>
  <c r="B20717" i="1"/>
  <c r="B20718" i="1"/>
  <c r="B20719" i="1"/>
  <c r="B20720" i="1"/>
  <c r="B20721" i="1"/>
  <c r="B20722" i="1"/>
  <c r="B20723" i="1"/>
  <c r="B20724" i="1"/>
  <c r="B20725" i="1"/>
  <c r="B20726" i="1"/>
  <c r="B20727" i="1"/>
  <c r="B20728" i="1"/>
  <c r="B20729" i="1"/>
  <c r="B20730" i="1"/>
  <c r="B20731" i="1"/>
  <c r="B20732" i="1"/>
  <c r="B20733" i="1"/>
  <c r="B20734" i="1"/>
  <c r="B20735" i="1"/>
  <c r="B20736" i="1"/>
  <c r="B20737" i="1"/>
  <c r="B20738" i="1"/>
  <c r="B20739" i="1"/>
  <c r="B20740" i="1"/>
  <c r="B20741" i="1"/>
  <c r="B20742" i="1"/>
  <c r="B20743" i="1"/>
  <c r="B20744" i="1"/>
  <c r="B20745" i="1"/>
  <c r="B20746" i="1"/>
  <c r="B20747" i="1"/>
  <c r="B20748" i="1"/>
  <c r="B20749" i="1"/>
  <c r="B20750" i="1"/>
  <c r="B20751" i="1"/>
  <c r="B20752" i="1"/>
  <c r="B20753" i="1"/>
  <c r="B20754" i="1"/>
  <c r="B20755" i="1"/>
  <c r="B20756" i="1"/>
  <c r="B20757" i="1"/>
  <c r="B20758" i="1"/>
  <c r="B20759" i="1"/>
  <c r="B20760" i="1"/>
  <c r="B20761" i="1"/>
  <c r="B20762" i="1"/>
  <c r="B20763" i="1"/>
  <c r="B20764" i="1"/>
  <c r="B20765" i="1"/>
  <c r="B20766" i="1"/>
  <c r="B20767" i="1"/>
  <c r="B20768" i="1"/>
  <c r="B20769" i="1"/>
  <c r="B20770" i="1"/>
  <c r="B20771" i="1"/>
  <c r="B20772" i="1"/>
  <c r="B20773" i="1"/>
  <c r="B20774" i="1"/>
  <c r="B20775" i="1"/>
  <c r="B20776" i="1"/>
  <c r="B20777" i="1"/>
  <c r="B20778" i="1"/>
  <c r="B20779" i="1"/>
  <c r="B20780" i="1"/>
  <c r="B20781" i="1"/>
  <c r="B20782" i="1"/>
  <c r="B20783" i="1"/>
  <c r="B20784" i="1"/>
  <c r="B20785" i="1"/>
  <c r="B20786" i="1"/>
  <c r="B20787" i="1"/>
  <c r="B20788" i="1"/>
  <c r="B20789" i="1"/>
  <c r="B20790" i="1"/>
  <c r="B20791" i="1"/>
  <c r="B20792" i="1"/>
  <c r="B20793" i="1"/>
  <c r="B20794" i="1"/>
  <c r="B20795" i="1"/>
  <c r="B20796" i="1"/>
  <c r="B20797" i="1"/>
  <c r="B20798" i="1"/>
  <c r="B20799" i="1"/>
  <c r="B20800" i="1"/>
  <c r="B20801" i="1"/>
  <c r="B20802" i="1"/>
  <c r="B20803" i="1"/>
  <c r="B20804" i="1"/>
  <c r="B20805" i="1"/>
  <c r="B20806" i="1"/>
  <c r="B20807" i="1"/>
  <c r="B20808" i="1"/>
  <c r="B20809" i="1"/>
  <c r="B20810" i="1"/>
  <c r="B20811" i="1"/>
  <c r="B20812" i="1"/>
  <c r="B20813" i="1"/>
  <c r="B20814" i="1"/>
  <c r="B20815" i="1"/>
  <c r="B20816" i="1"/>
  <c r="B20817" i="1"/>
  <c r="B20818" i="1"/>
  <c r="B20819" i="1"/>
  <c r="B20820" i="1"/>
  <c r="B20821" i="1"/>
  <c r="B20822" i="1"/>
  <c r="B20823" i="1"/>
  <c r="B20824" i="1"/>
  <c r="B20825" i="1"/>
  <c r="B20826" i="1"/>
  <c r="B20827" i="1"/>
  <c r="B20828" i="1"/>
  <c r="B20829" i="1"/>
  <c r="B20830" i="1"/>
  <c r="B20831" i="1"/>
  <c r="B20832" i="1"/>
  <c r="B20833" i="1"/>
  <c r="B20834" i="1"/>
  <c r="B20835" i="1"/>
  <c r="B20836" i="1"/>
  <c r="B20837" i="1"/>
  <c r="B20838" i="1"/>
  <c r="B20839" i="1"/>
  <c r="B20840" i="1"/>
  <c r="B20841" i="1"/>
  <c r="B20842" i="1"/>
  <c r="B20843" i="1"/>
  <c r="B20844" i="1"/>
  <c r="B20845" i="1"/>
  <c r="B20846" i="1"/>
  <c r="B20847" i="1"/>
  <c r="B20848" i="1"/>
  <c r="B20849" i="1"/>
  <c r="B20850" i="1"/>
  <c r="B20851" i="1"/>
  <c r="B20852" i="1"/>
  <c r="B20853" i="1"/>
  <c r="B20854" i="1"/>
  <c r="B20855" i="1"/>
  <c r="B20856" i="1"/>
  <c r="B20857" i="1"/>
  <c r="B20858" i="1"/>
  <c r="B20859" i="1"/>
  <c r="B20860" i="1"/>
  <c r="B20861" i="1"/>
  <c r="B20862" i="1"/>
  <c r="B20863" i="1"/>
  <c r="B20864" i="1"/>
  <c r="B20865" i="1"/>
  <c r="B20866" i="1"/>
  <c r="B20867" i="1"/>
  <c r="B20868" i="1"/>
  <c r="B20869" i="1"/>
  <c r="B20870" i="1"/>
  <c r="B20871" i="1"/>
  <c r="B20872" i="1"/>
  <c r="B20873" i="1"/>
  <c r="B20874" i="1"/>
  <c r="B20875" i="1"/>
  <c r="B20876" i="1"/>
  <c r="B20877" i="1"/>
  <c r="B20878" i="1"/>
  <c r="B20879" i="1"/>
  <c r="B20880" i="1"/>
  <c r="B20881" i="1"/>
  <c r="B20882" i="1"/>
  <c r="B20883" i="1"/>
  <c r="B20884" i="1"/>
  <c r="B20885" i="1"/>
  <c r="B20886" i="1"/>
  <c r="B20887" i="1"/>
  <c r="B20888" i="1"/>
  <c r="B20889" i="1"/>
  <c r="B20890" i="1"/>
  <c r="B20891" i="1"/>
  <c r="B20892" i="1"/>
  <c r="B20893" i="1"/>
  <c r="B20894" i="1"/>
  <c r="B20895" i="1"/>
  <c r="B20896" i="1"/>
  <c r="B20897" i="1"/>
  <c r="B20898" i="1"/>
  <c r="B20899" i="1"/>
  <c r="B20900" i="1"/>
  <c r="B20901" i="1"/>
  <c r="B20902" i="1"/>
  <c r="B20903" i="1"/>
  <c r="B20904" i="1"/>
  <c r="B20905" i="1"/>
  <c r="B20906" i="1"/>
  <c r="B20907" i="1"/>
  <c r="B20908" i="1"/>
  <c r="B20909" i="1"/>
  <c r="B20910" i="1"/>
  <c r="B20911" i="1"/>
  <c r="B20912" i="1"/>
  <c r="B20913" i="1"/>
  <c r="B20914" i="1"/>
  <c r="B20915" i="1"/>
  <c r="B20916" i="1"/>
  <c r="B20917" i="1"/>
  <c r="B20918" i="1"/>
  <c r="B20919" i="1"/>
  <c r="B20920" i="1"/>
  <c r="B20921" i="1"/>
  <c r="B20922" i="1"/>
  <c r="B20923" i="1"/>
  <c r="B20924" i="1"/>
  <c r="B20925" i="1"/>
  <c r="B20926" i="1"/>
  <c r="B20927" i="1"/>
  <c r="B20928" i="1"/>
  <c r="B20929" i="1"/>
  <c r="B20930" i="1"/>
  <c r="B20931" i="1"/>
  <c r="B20932" i="1"/>
  <c r="B20933" i="1"/>
  <c r="B20934" i="1"/>
  <c r="B20935" i="1"/>
  <c r="B20936" i="1"/>
  <c r="B20937" i="1"/>
  <c r="B20938" i="1"/>
  <c r="B20939" i="1"/>
  <c r="B20940" i="1"/>
  <c r="B20941" i="1"/>
  <c r="B20942" i="1"/>
  <c r="B20943" i="1"/>
  <c r="B20944" i="1"/>
  <c r="B20945" i="1"/>
  <c r="B20946" i="1"/>
  <c r="B20947" i="1"/>
  <c r="B20948" i="1"/>
  <c r="B20949" i="1"/>
  <c r="B20950" i="1"/>
  <c r="B20951" i="1"/>
  <c r="B20952" i="1"/>
  <c r="B20953" i="1"/>
  <c r="B20954" i="1"/>
  <c r="B20955" i="1"/>
  <c r="B20956" i="1"/>
  <c r="B20957" i="1"/>
  <c r="B20958" i="1"/>
  <c r="B20959" i="1"/>
  <c r="B20960" i="1"/>
  <c r="B20961" i="1"/>
  <c r="B20962" i="1"/>
  <c r="B20963" i="1"/>
  <c r="B20964" i="1"/>
  <c r="B20965" i="1"/>
  <c r="B20966" i="1"/>
  <c r="B20967" i="1"/>
  <c r="B20968" i="1"/>
  <c r="B20969" i="1"/>
  <c r="B20970" i="1"/>
  <c r="B20971" i="1"/>
  <c r="B20972" i="1"/>
  <c r="B20973" i="1"/>
  <c r="B20974" i="1"/>
  <c r="B20975" i="1"/>
  <c r="B20976" i="1"/>
  <c r="B20977" i="1"/>
  <c r="B20978" i="1"/>
  <c r="B20979" i="1"/>
  <c r="B20980" i="1"/>
  <c r="B20981" i="1"/>
  <c r="B20982" i="1"/>
  <c r="B20983" i="1"/>
  <c r="B20984" i="1"/>
  <c r="B20985" i="1"/>
  <c r="B20986" i="1"/>
  <c r="B20987" i="1"/>
  <c r="B20988" i="1"/>
  <c r="B20989" i="1"/>
  <c r="B20990" i="1"/>
  <c r="B20991" i="1"/>
  <c r="B20992" i="1"/>
  <c r="B20993" i="1"/>
  <c r="B20994" i="1"/>
  <c r="B20995" i="1"/>
  <c r="B20996" i="1"/>
  <c r="B20997" i="1"/>
  <c r="B20998" i="1"/>
  <c r="B20999" i="1"/>
  <c r="B21000" i="1"/>
  <c r="B21001" i="1"/>
  <c r="B21002" i="1"/>
  <c r="B21003" i="1"/>
  <c r="B21004" i="1"/>
  <c r="B21005" i="1"/>
  <c r="B21006" i="1"/>
  <c r="B21007" i="1"/>
  <c r="B21008" i="1"/>
  <c r="B21009" i="1"/>
  <c r="B21010" i="1"/>
  <c r="B21011" i="1"/>
  <c r="B21012" i="1"/>
  <c r="B21013" i="1"/>
  <c r="B21014" i="1"/>
  <c r="B21015" i="1"/>
  <c r="B21016" i="1"/>
  <c r="B21017" i="1"/>
  <c r="B21018" i="1"/>
  <c r="B21019" i="1"/>
  <c r="B21020" i="1"/>
  <c r="B21021" i="1"/>
  <c r="B21022" i="1"/>
  <c r="B21023" i="1"/>
  <c r="B21024" i="1"/>
  <c r="B21025" i="1"/>
  <c r="B21026" i="1"/>
  <c r="B21027" i="1"/>
  <c r="B21028" i="1"/>
  <c r="B21029" i="1"/>
  <c r="B21030" i="1"/>
  <c r="B21031" i="1"/>
  <c r="B21032" i="1"/>
  <c r="B21033" i="1"/>
  <c r="B21034" i="1"/>
  <c r="B21035" i="1"/>
  <c r="B21036" i="1"/>
  <c r="B21037" i="1"/>
  <c r="B21038" i="1"/>
  <c r="B21039" i="1"/>
  <c r="B21040" i="1"/>
  <c r="B21041" i="1"/>
  <c r="B21042" i="1"/>
  <c r="B21043" i="1"/>
  <c r="B21044" i="1"/>
  <c r="B21045" i="1"/>
  <c r="B21046" i="1"/>
  <c r="B21047" i="1"/>
  <c r="B21048" i="1"/>
  <c r="B21049" i="1"/>
  <c r="B21050" i="1"/>
  <c r="B21051" i="1"/>
  <c r="B21052" i="1"/>
  <c r="B21053" i="1"/>
  <c r="B21054" i="1"/>
  <c r="B21055" i="1"/>
  <c r="B21056" i="1"/>
  <c r="B21057" i="1"/>
  <c r="B21058" i="1"/>
  <c r="B21059" i="1"/>
  <c r="B21060" i="1"/>
  <c r="B21061" i="1"/>
  <c r="B21062" i="1"/>
  <c r="B21063" i="1"/>
  <c r="B21064" i="1"/>
  <c r="B21065" i="1"/>
  <c r="B21066" i="1"/>
  <c r="B21067" i="1"/>
  <c r="B21068" i="1"/>
  <c r="B21069" i="1"/>
  <c r="B21070" i="1"/>
  <c r="B21071" i="1"/>
  <c r="B21072" i="1"/>
  <c r="B21073" i="1"/>
  <c r="B21074" i="1"/>
  <c r="B21075" i="1"/>
  <c r="B21076" i="1"/>
  <c r="B21077" i="1"/>
  <c r="B21078" i="1"/>
  <c r="B21079" i="1"/>
  <c r="B21080" i="1"/>
  <c r="B21081" i="1"/>
  <c r="B21082" i="1"/>
  <c r="B21083" i="1"/>
  <c r="B21084" i="1"/>
  <c r="B21085" i="1"/>
  <c r="B21086" i="1"/>
  <c r="B21087" i="1"/>
  <c r="B21088" i="1"/>
  <c r="B21089" i="1"/>
  <c r="B21090" i="1"/>
  <c r="B21091" i="1"/>
  <c r="B21092" i="1"/>
  <c r="B21093" i="1"/>
  <c r="B21094" i="1"/>
  <c r="B21095" i="1"/>
  <c r="B21096" i="1"/>
  <c r="B21097" i="1"/>
  <c r="B21098" i="1"/>
  <c r="B21099" i="1"/>
  <c r="B21100" i="1"/>
  <c r="B21101" i="1"/>
  <c r="B21102" i="1"/>
  <c r="B21103" i="1"/>
  <c r="B21104" i="1"/>
  <c r="B21105" i="1"/>
  <c r="B21106" i="1"/>
  <c r="B21107" i="1"/>
  <c r="B21108" i="1"/>
  <c r="B21109" i="1"/>
  <c r="B21110" i="1"/>
  <c r="B21111" i="1"/>
  <c r="B21112" i="1"/>
  <c r="B21113" i="1"/>
  <c r="B21114" i="1"/>
  <c r="B21115" i="1"/>
  <c r="B21116" i="1"/>
  <c r="B21117" i="1"/>
  <c r="B21118" i="1"/>
  <c r="B21119" i="1"/>
  <c r="B21120" i="1"/>
  <c r="B21121" i="1"/>
  <c r="B21122" i="1"/>
  <c r="B21123" i="1"/>
  <c r="B21124" i="1"/>
  <c r="B21125" i="1"/>
  <c r="B21126" i="1"/>
  <c r="B21127" i="1"/>
  <c r="B21128" i="1"/>
  <c r="B21129" i="1"/>
  <c r="B21130" i="1"/>
  <c r="B21131" i="1"/>
  <c r="B21132" i="1"/>
  <c r="B21133" i="1"/>
  <c r="B21134" i="1"/>
  <c r="B21135" i="1"/>
  <c r="B21136" i="1"/>
  <c r="B21137" i="1"/>
  <c r="B21138" i="1"/>
  <c r="B21139" i="1"/>
  <c r="B21140" i="1"/>
  <c r="B21141" i="1"/>
  <c r="B21142" i="1"/>
  <c r="B21143" i="1"/>
  <c r="B21144" i="1"/>
  <c r="B21145" i="1"/>
  <c r="B21146" i="1"/>
  <c r="B21147" i="1"/>
  <c r="B21148" i="1"/>
  <c r="B21149" i="1"/>
  <c r="B21150" i="1"/>
  <c r="B21151" i="1"/>
  <c r="B21152" i="1"/>
  <c r="B21153" i="1"/>
  <c r="B21154" i="1"/>
  <c r="B21155" i="1"/>
  <c r="B21156" i="1"/>
  <c r="B21157" i="1"/>
  <c r="B21158" i="1"/>
  <c r="B21159" i="1"/>
  <c r="B21160" i="1"/>
  <c r="B21161" i="1"/>
  <c r="B21162" i="1"/>
  <c r="B21163" i="1"/>
  <c r="B21164" i="1"/>
  <c r="B21165" i="1"/>
  <c r="B21166" i="1"/>
  <c r="B21167" i="1"/>
  <c r="B21168" i="1"/>
  <c r="B21169" i="1"/>
  <c r="B21170" i="1"/>
  <c r="B21171" i="1"/>
  <c r="B21172" i="1"/>
  <c r="B21173" i="1"/>
  <c r="B21174" i="1"/>
  <c r="B21175" i="1"/>
  <c r="B21176" i="1"/>
  <c r="B21177" i="1"/>
  <c r="B21178" i="1"/>
  <c r="B21179" i="1"/>
  <c r="B21180" i="1"/>
  <c r="B21181" i="1"/>
  <c r="B21182" i="1"/>
  <c r="B21183" i="1"/>
  <c r="B21184" i="1"/>
  <c r="B21185" i="1"/>
  <c r="B21186" i="1"/>
  <c r="B21187" i="1"/>
  <c r="B21188" i="1"/>
  <c r="B21189" i="1"/>
  <c r="B21190" i="1"/>
  <c r="B21191" i="1"/>
  <c r="B21192" i="1"/>
  <c r="B21193" i="1"/>
  <c r="B21194" i="1"/>
  <c r="B21195" i="1"/>
  <c r="B21196" i="1"/>
  <c r="B21197" i="1"/>
  <c r="B21198" i="1"/>
  <c r="B21199" i="1"/>
  <c r="B21200" i="1"/>
  <c r="B21201" i="1"/>
  <c r="B21202" i="1"/>
  <c r="B21203" i="1"/>
  <c r="B21204" i="1"/>
  <c r="B21205" i="1"/>
  <c r="B21206" i="1"/>
  <c r="B21207" i="1"/>
  <c r="B21208" i="1"/>
  <c r="B21209" i="1"/>
  <c r="B21210" i="1"/>
  <c r="B21211" i="1"/>
  <c r="B21212" i="1"/>
  <c r="B21213" i="1"/>
  <c r="B21214" i="1"/>
  <c r="B21215" i="1"/>
  <c r="B21216" i="1"/>
  <c r="B21217" i="1"/>
  <c r="B21218" i="1"/>
  <c r="B21219" i="1"/>
  <c r="B21220" i="1"/>
  <c r="B21221" i="1"/>
  <c r="B21222" i="1"/>
  <c r="B21223" i="1"/>
  <c r="B21224" i="1"/>
  <c r="B21225" i="1"/>
  <c r="B21226" i="1"/>
  <c r="B21227" i="1"/>
  <c r="B21228" i="1"/>
  <c r="B21229" i="1"/>
  <c r="B21230" i="1"/>
  <c r="B21231" i="1"/>
  <c r="B21232" i="1"/>
  <c r="B21233" i="1"/>
  <c r="B21234" i="1"/>
  <c r="B21235" i="1"/>
  <c r="B21236" i="1"/>
  <c r="B21237" i="1"/>
  <c r="B21238" i="1"/>
  <c r="B21239" i="1"/>
  <c r="B21240" i="1"/>
  <c r="B21241" i="1"/>
  <c r="B21242" i="1"/>
  <c r="B21243" i="1"/>
  <c r="B21244" i="1"/>
  <c r="B21245" i="1"/>
  <c r="B21246" i="1"/>
  <c r="B21247" i="1"/>
  <c r="B21248" i="1"/>
  <c r="B21249" i="1"/>
  <c r="B21250" i="1"/>
  <c r="B21251" i="1"/>
  <c r="B21252" i="1"/>
  <c r="B21253" i="1"/>
  <c r="B21254" i="1"/>
  <c r="B21255" i="1"/>
  <c r="B21256" i="1"/>
  <c r="B21257" i="1"/>
  <c r="B21258" i="1"/>
  <c r="B21259" i="1"/>
  <c r="B21260" i="1"/>
  <c r="B21261" i="1"/>
  <c r="B21262" i="1"/>
  <c r="B21263" i="1"/>
  <c r="B21264" i="1"/>
  <c r="B21265" i="1"/>
  <c r="B21266" i="1"/>
  <c r="B21267" i="1"/>
  <c r="B21268" i="1"/>
  <c r="B21269" i="1"/>
  <c r="B21270" i="1"/>
  <c r="B21271" i="1"/>
  <c r="B21272" i="1"/>
  <c r="B21273" i="1"/>
  <c r="B21274" i="1"/>
  <c r="B21275" i="1"/>
  <c r="B21276" i="1"/>
  <c r="B21277" i="1"/>
  <c r="B21278" i="1"/>
  <c r="B21279" i="1"/>
  <c r="B21280" i="1"/>
  <c r="B21281" i="1"/>
  <c r="B21282" i="1"/>
  <c r="B21283" i="1"/>
  <c r="B21284" i="1"/>
  <c r="B21285" i="1"/>
  <c r="B21286" i="1"/>
  <c r="B21287" i="1"/>
  <c r="B21288" i="1"/>
  <c r="B21289" i="1"/>
  <c r="B21290" i="1"/>
  <c r="B21291" i="1"/>
  <c r="B21292" i="1"/>
  <c r="B21293" i="1"/>
  <c r="B21294" i="1"/>
  <c r="B21295" i="1"/>
  <c r="B21296" i="1"/>
  <c r="B21297" i="1"/>
  <c r="B21298" i="1"/>
  <c r="B21299" i="1"/>
  <c r="B21300" i="1"/>
  <c r="B21301" i="1"/>
  <c r="B21302" i="1"/>
  <c r="B21303" i="1"/>
  <c r="B21304" i="1"/>
  <c r="B21305" i="1"/>
  <c r="B21306" i="1"/>
  <c r="B21307" i="1"/>
  <c r="B21308" i="1"/>
  <c r="B21309" i="1"/>
  <c r="B21310" i="1"/>
  <c r="B21311" i="1"/>
  <c r="B21312" i="1"/>
  <c r="B21313" i="1"/>
  <c r="B21314" i="1"/>
  <c r="B21315" i="1"/>
  <c r="B21316" i="1"/>
  <c r="B21317" i="1"/>
  <c r="B21318" i="1"/>
  <c r="B21319" i="1"/>
  <c r="B21320" i="1"/>
  <c r="B21321" i="1"/>
  <c r="B21322" i="1"/>
  <c r="B21323" i="1"/>
  <c r="B21324" i="1"/>
  <c r="B21325" i="1"/>
  <c r="B21326" i="1"/>
  <c r="B21327" i="1"/>
  <c r="B21328" i="1"/>
  <c r="B21329" i="1"/>
  <c r="B21330" i="1"/>
  <c r="B21331" i="1"/>
  <c r="B21332" i="1"/>
  <c r="B21333" i="1"/>
  <c r="B21334" i="1"/>
  <c r="B21335" i="1"/>
  <c r="B21336" i="1"/>
  <c r="B21337" i="1"/>
  <c r="B21338" i="1"/>
  <c r="B21339" i="1"/>
  <c r="B21340" i="1"/>
  <c r="B21341" i="1"/>
  <c r="B21342" i="1"/>
  <c r="B21343" i="1"/>
  <c r="B21344" i="1"/>
  <c r="B21345" i="1"/>
  <c r="B21346" i="1"/>
  <c r="B21347" i="1"/>
  <c r="B21348" i="1"/>
  <c r="B21349" i="1"/>
  <c r="B21350" i="1"/>
  <c r="B21351" i="1"/>
  <c r="B21352" i="1"/>
  <c r="B21353" i="1"/>
  <c r="B21354" i="1"/>
  <c r="B21355" i="1"/>
  <c r="B21356" i="1"/>
  <c r="B21357" i="1"/>
  <c r="B21358" i="1"/>
  <c r="B21359" i="1"/>
  <c r="B21360" i="1"/>
  <c r="B21361" i="1"/>
  <c r="B21362" i="1"/>
  <c r="B21363" i="1"/>
  <c r="B21364" i="1"/>
  <c r="B21365" i="1"/>
  <c r="B21366" i="1"/>
  <c r="B21367" i="1"/>
  <c r="B21368" i="1"/>
  <c r="B21369" i="1"/>
  <c r="B21370" i="1"/>
  <c r="B21371" i="1"/>
  <c r="B21372" i="1"/>
  <c r="B21373" i="1"/>
  <c r="B21374" i="1"/>
  <c r="B21375" i="1"/>
  <c r="B21376" i="1"/>
  <c r="B21377" i="1"/>
  <c r="B21378" i="1"/>
  <c r="B21379" i="1"/>
  <c r="B21380" i="1"/>
  <c r="B21381" i="1"/>
  <c r="B21382" i="1"/>
  <c r="B21383" i="1"/>
  <c r="B21384" i="1"/>
  <c r="B21385" i="1"/>
  <c r="B21386" i="1"/>
  <c r="B21387" i="1"/>
  <c r="B21388" i="1"/>
  <c r="B21389" i="1"/>
  <c r="B21390" i="1"/>
  <c r="B21391" i="1"/>
  <c r="B21392" i="1"/>
  <c r="B21393" i="1"/>
  <c r="B21394" i="1"/>
  <c r="B21395" i="1"/>
  <c r="B21396" i="1"/>
  <c r="B21397" i="1"/>
  <c r="B21398" i="1"/>
  <c r="B21399" i="1"/>
  <c r="B21400" i="1"/>
  <c r="B21401" i="1"/>
  <c r="B21402" i="1"/>
  <c r="B21403" i="1"/>
  <c r="B21404" i="1"/>
  <c r="B21405" i="1"/>
  <c r="B21406" i="1"/>
  <c r="B21407" i="1"/>
  <c r="B21408" i="1"/>
  <c r="B21409" i="1"/>
  <c r="B21410" i="1"/>
  <c r="B21411" i="1"/>
  <c r="B21412" i="1"/>
  <c r="B21413" i="1"/>
  <c r="B21414" i="1"/>
  <c r="B21415" i="1"/>
  <c r="B21416" i="1"/>
  <c r="B21417" i="1"/>
  <c r="B21418" i="1"/>
  <c r="B21419" i="1"/>
  <c r="B21420" i="1"/>
  <c r="B21421" i="1"/>
  <c r="B21422" i="1"/>
  <c r="B21423" i="1"/>
  <c r="B21424" i="1"/>
  <c r="B21425" i="1"/>
  <c r="B21426" i="1"/>
  <c r="B21427" i="1"/>
  <c r="B21428" i="1"/>
  <c r="B21429" i="1"/>
  <c r="B21430" i="1"/>
  <c r="B21431" i="1"/>
  <c r="B21432" i="1"/>
  <c r="B21433" i="1"/>
  <c r="B21434" i="1"/>
  <c r="B21435" i="1"/>
  <c r="B21436" i="1"/>
  <c r="B21437" i="1"/>
  <c r="B21438" i="1"/>
  <c r="B21439" i="1"/>
  <c r="B21440" i="1"/>
  <c r="B21441" i="1"/>
  <c r="B21442" i="1"/>
  <c r="B21443" i="1"/>
  <c r="B21444" i="1"/>
  <c r="B21445" i="1"/>
  <c r="B21446" i="1"/>
  <c r="B21447" i="1"/>
  <c r="B21448" i="1"/>
  <c r="B21449" i="1"/>
  <c r="B21450" i="1"/>
  <c r="B21451" i="1"/>
  <c r="B21452" i="1"/>
  <c r="B21453" i="1"/>
  <c r="B21454" i="1"/>
  <c r="B21455" i="1"/>
  <c r="B21456" i="1"/>
  <c r="B21457" i="1"/>
  <c r="B21458" i="1"/>
  <c r="B21459" i="1"/>
  <c r="B21460" i="1"/>
  <c r="B21461" i="1"/>
  <c r="B21462" i="1"/>
  <c r="B21463" i="1"/>
  <c r="B21464" i="1"/>
  <c r="B21465" i="1"/>
  <c r="B21466" i="1"/>
  <c r="B21467" i="1"/>
  <c r="B21468" i="1"/>
  <c r="B21469" i="1"/>
  <c r="B21470" i="1"/>
  <c r="B21471" i="1"/>
  <c r="B21472" i="1"/>
  <c r="B21473" i="1"/>
  <c r="B21474" i="1"/>
  <c r="B21475" i="1"/>
  <c r="B21476" i="1"/>
  <c r="B21477" i="1"/>
  <c r="B21478" i="1"/>
  <c r="B21479" i="1"/>
  <c r="B21480" i="1"/>
  <c r="B21481" i="1"/>
  <c r="B21482" i="1"/>
  <c r="B21483" i="1"/>
  <c r="B21484" i="1"/>
  <c r="B21485" i="1"/>
  <c r="B21486" i="1"/>
  <c r="B21487" i="1"/>
  <c r="B21488" i="1"/>
  <c r="B21489" i="1"/>
  <c r="B21490" i="1"/>
  <c r="B21491" i="1"/>
  <c r="B21492" i="1"/>
  <c r="B21493" i="1"/>
  <c r="B21494" i="1"/>
  <c r="B21495" i="1"/>
  <c r="B21496" i="1"/>
  <c r="B21497" i="1"/>
  <c r="B21498" i="1"/>
  <c r="B21499" i="1"/>
  <c r="B21500" i="1"/>
  <c r="B21501" i="1"/>
  <c r="B21502" i="1"/>
  <c r="B21503" i="1"/>
  <c r="B21504" i="1"/>
  <c r="B21505" i="1"/>
  <c r="B21506" i="1"/>
  <c r="B21507" i="1"/>
  <c r="B21508" i="1"/>
  <c r="B21509" i="1"/>
  <c r="B21510" i="1"/>
  <c r="B21511" i="1"/>
  <c r="B21512" i="1"/>
  <c r="B21513" i="1"/>
  <c r="B21514" i="1"/>
  <c r="B21515" i="1"/>
  <c r="B21516" i="1"/>
  <c r="B21517" i="1"/>
  <c r="B21518" i="1"/>
  <c r="B21519" i="1"/>
  <c r="B21520" i="1"/>
  <c r="B21521" i="1"/>
  <c r="B21522" i="1"/>
  <c r="B21523" i="1"/>
  <c r="B21524" i="1"/>
  <c r="B21525" i="1"/>
  <c r="B21526" i="1"/>
  <c r="B21527" i="1"/>
  <c r="B21528" i="1"/>
  <c r="B21529" i="1"/>
  <c r="B21530" i="1"/>
  <c r="B21531" i="1"/>
  <c r="B21532" i="1"/>
  <c r="B21533" i="1"/>
  <c r="B21534" i="1"/>
  <c r="B21535" i="1"/>
  <c r="B21536" i="1"/>
  <c r="B21537" i="1"/>
  <c r="B21538" i="1"/>
  <c r="B21539" i="1"/>
  <c r="B21540" i="1"/>
  <c r="B21541" i="1"/>
  <c r="B21542" i="1"/>
  <c r="B21543" i="1"/>
  <c r="B21544" i="1"/>
  <c r="B21545" i="1"/>
  <c r="B21546" i="1"/>
  <c r="B21547" i="1"/>
  <c r="B21548" i="1"/>
  <c r="B21549" i="1"/>
  <c r="B21550" i="1"/>
  <c r="B21551" i="1"/>
  <c r="B21552" i="1"/>
  <c r="B21553" i="1"/>
  <c r="B21554" i="1"/>
  <c r="B21555" i="1"/>
  <c r="B21556" i="1"/>
  <c r="B21557" i="1"/>
  <c r="B21558" i="1"/>
  <c r="B21559" i="1"/>
  <c r="B21560" i="1"/>
  <c r="B21561" i="1"/>
  <c r="B21562" i="1"/>
  <c r="B21563" i="1"/>
  <c r="B21564" i="1"/>
  <c r="B21565" i="1"/>
  <c r="B21566" i="1"/>
  <c r="B21567" i="1"/>
  <c r="B21568" i="1"/>
  <c r="B21569" i="1"/>
  <c r="B21570" i="1"/>
  <c r="B21571" i="1"/>
  <c r="B21572" i="1"/>
  <c r="B21573" i="1"/>
  <c r="B21574" i="1"/>
  <c r="B21575" i="1"/>
  <c r="B21576" i="1"/>
  <c r="B21577" i="1"/>
  <c r="B21578" i="1"/>
  <c r="B21579" i="1"/>
  <c r="B21580" i="1"/>
  <c r="B21581" i="1"/>
  <c r="B21582" i="1"/>
  <c r="B21583" i="1"/>
  <c r="B21584" i="1"/>
  <c r="B21585" i="1"/>
  <c r="B21586" i="1"/>
  <c r="B21587" i="1"/>
  <c r="B21588" i="1"/>
  <c r="B21589" i="1"/>
  <c r="B21590" i="1"/>
  <c r="B21591" i="1"/>
  <c r="B21592" i="1"/>
  <c r="B21593" i="1"/>
  <c r="B21594" i="1"/>
  <c r="B21595" i="1"/>
  <c r="B21596" i="1"/>
  <c r="B21597" i="1"/>
  <c r="B21598" i="1"/>
  <c r="B21599" i="1"/>
  <c r="B21600" i="1"/>
  <c r="B21601" i="1"/>
  <c r="B21602" i="1"/>
  <c r="B21603" i="1"/>
  <c r="B21604" i="1"/>
  <c r="B21605" i="1"/>
  <c r="B21606" i="1"/>
  <c r="B21607" i="1"/>
  <c r="B21608" i="1"/>
  <c r="B21609" i="1"/>
  <c r="B21610" i="1"/>
  <c r="B21611" i="1"/>
  <c r="B21612" i="1"/>
  <c r="B21613" i="1"/>
  <c r="B21614" i="1"/>
  <c r="B21615" i="1"/>
  <c r="B21616" i="1"/>
  <c r="B21617" i="1"/>
  <c r="B21618" i="1"/>
  <c r="B21619" i="1"/>
  <c r="B21620" i="1"/>
  <c r="B21621" i="1"/>
  <c r="B21622" i="1"/>
  <c r="B21623" i="1"/>
  <c r="B21624" i="1"/>
  <c r="B21625" i="1"/>
  <c r="B21626" i="1"/>
  <c r="B21627" i="1"/>
  <c r="B21628" i="1"/>
  <c r="B21629" i="1"/>
  <c r="B21630" i="1"/>
  <c r="B21631" i="1"/>
  <c r="B21632" i="1"/>
  <c r="B21633" i="1"/>
  <c r="B21634" i="1"/>
  <c r="B21635" i="1"/>
  <c r="B21636" i="1"/>
  <c r="B21637" i="1"/>
  <c r="B21638" i="1"/>
  <c r="B21639" i="1"/>
  <c r="B21640" i="1"/>
  <c r="B21641" i="1"/>
  <c r="B21642" i="1"/>
  <c r="B21643" i="1"/>
  <c r="B21644" i="1"/>
  <c r="B21645" i="1"/>
  <c r="B21646" i="1"/>
  <c r="B21647" i="1"/>
  <c r="B21648" i="1"/>
  <c r="B21649" i="1"/>
  <c r="B21650" i="1"/>
  <c r="B21651" i="1"/>
  <c r="B21652" i="1"/>
  <c r="B21653" i="1"/>
  <c r="B21654" i="1"/>
  <c r="B21655" i="1"/>
  <c r="B21656" i="1"/>
  <c r="B21657" i="1"/>
  <c r="B21658" i="1"/>
  <c r="B21659" i="1"/>
  <c r="B21660" i="1"/>
  <c r="B21661" i="1"/>
  <c r="B21662" i="1"/>
  <c r="B21663" i="1"/>
  <c r="B21664" i="1"/>
  <c r="B21665" i="1"/>
  <c r="B21666" i="1"/>
  <c r="B21667" i="1"/>
  <c r="B21668" i="1"/>
  <c r="B21669" i="1"/>
  <c r="B21670" i="1"/>
  <c r="B21671" i="1"/>
  <c r="B21672" i="1"/>
  <c r="B21673" i="1"/>
  <c r="B21674" i="1"/>
  <c r="B21675" i="1"/>
  <c r="B21676" i="1"/>
  <c r="B21677" i="1"/>
  <c r="B21678" i="1"/>
  <c r="B21679" i="1"/>
  <c r="B21680" i="1"/>
  <c r="B21681" i="1"/>
  <c r="B21682" i="1"/>
  <c r="B21683" i="1"/>
  <c r="B21684" i="1"/>
  <c r="B21685" i="1"/>
  <c r="B21686" i="1"/>
  <c r="B21687" i="1"/>
  <c r="B21688" i="1"/>
  <c r="B21689" i="1"/>
  <c r="B21690" i="1"/>
  <c r="B21691" i="1"/>
  <c r="B21692" i="1"/>
  <c r="B21693" i="1"/>
  <c r="B21694" i="1"/>
  <c r="B21695" i="1"/>
  <c r="B21696" i="1"/>
  <c r="B21697" i="1"/>
  <c r="B21698" i="1"/>
  <c r="B21699" i="1"/>
  <c r="B21700" i="1"/>
  <c r="B21701" i="1"/>
  <c r="B21702" i="1"/>
  <c r="B21703" i="1"/>
  <c r="B21704" i="1"/>
  <c r="B21705" i="1"/>
  <c r="B21706" i="1"/>
  <c r="B21707" i="1"/>
  <c r="B21708" i="1"/>
  <c r="B21709" i="1"/>
  <c r="B21710" i="1"/>
  <c r="B21711" i="1"/>
  <c r="B21712" i="1"/>
  <c r="B21713" i="1"/>
  <c r="B21714" i="1"/>
  <c r="B21715" i="1"/>
  <c r="B21716" i="1"/>
  <c r="B21717" i="1"/>
  <c r="B21718" i="1"/>
  <c r="B21719" i="1"/>
  <c r="B21720" i="1"/>
  <c r="B21721" i="1"/>
  <c r="B21722" i="1"/>
  <c r="B21723" i="1"/>
  <c r="B21724" i="1"/>
  <c r="B21725" i="1"/>
  <c r="B21726" i="1"/>
  <c r="B21727" i="1"/>
  <c r="B21728" i="1"/>
  <c r="B21729" i="1"/>
  <c r="B21730" i="1"/>
  <c r="B21731" i="1"/>
  <c r="B21732" i="1"/>
  <c r="B21733" i="1"/>
  <c r="B21734" i="1"/>
  <c r="B21735" i="1"/>
  <c r="B21736" i="1"/>
  <c r="B21737" i="1"/>
  <c r="B21738" i="1"/>
  <c r="B21739" i="1"/>
  <c r="B21740" i="1"/>
  <c r="B21741" i="1"/>
  <c r="B21742" i="1"/>
  <c r="B21743" i="1"/>
  <c r="B21744" i="1"/>
  <c r="B21745" i="1"/>
  <c r="B21746" i="1"/>
  <c r="B21747" i="1"/>
  <c r="B21748" i="1"/>
  <c r="B21749" i="1"/>
  <c r="B21750" i="1"/>
  <c r="B21751" i="1"/>
  <c r="B21752" i="1"/>
  <c r="B21753" i="1"/>
  <c r="B21754" i="1"/>
  <c r="B21755" i="1"/>
  <c r="B21756" i="1"/>
  <c r="B21757" i="1"/>
  <c r="B21758" i="1"/>
  <c r="B21759" i="1"/>
  <c r="B21760" i="1"/>
  <c r="B21761" i="1"/>
  <c r="B21762" i="1"/>
  <c r="B21763" i="1"/>
  <c r="B21764" i="1"/>
  <c r="B21765" i="1"/>
  <c r="B21766" i="1"/>
  <c r="B21767" i="1"/>
  <c r="B21768" i="1"/>
  <c r="B21769" i="1"/>
  <c r="B21770" i="1"/>
  <c r="B21771" i="1"/>
  <c r="B21772" i="1"/>
  <c r="B21773" i="1"/>
  <c r="B21774" i="1"/>
  <c r="B21775" i="1"/>
  <c r="B21776" i="1"/>
  <c r="B21777" i="1"/>
  <c r="B21778" i="1"/>
  <c r="B21779" i="1"/>
  <c r="B21780" i="1"/>
  <c r="B21781" i="1"/>
  <c r="B21782" i="1"/>
  <c r="B21783" i="1"/>
  <c r="B21784" i="1"/>
  <c r="B21785" i="1"/>
  <c r="B21786" i="1"/>
  <c r="B21787" i="1"/>
  <c r="B21788" i="1"/>
  <c r="B21789" i="1"/>
  <c r="B21790" i="1"/>
  <c r="B21791" i="1"/>
  <c r="B21792" i="1"/>
  <c r="B21793" i="1"/>
  <c r="B21794" i="1"/>
  <c r="B21795" i="1"/>
  <c r="B21796" i="1"/>
  <c r="B21797" i="1"/>
  <c r="B21798" i="1"/>
  <c r="B21799" i="1"/>
  <c r="B21800" i="1"/>
  <c r="B21801" i="1"/>
  <c r="B21802" i="1"/>
  <c r="B21803" i="1"/>
  <c r="B21804" i="1"/>
  <c r="B21805" i="1"/>
  <c r="B21806" i="1"/>
  <c r="B21807" i="1"/>
  <c r="B21808" i="1"/>
  <c r="B21809" i="1"/>
  <c r="B21810" i="1"/>
  <c r="B21811" i="1"/>
  <c r="B21812" i="1"/>
  <c r="B21813" i="1"/>
  <c r="B21814" i="1"/>
  <c r="B21815" i="1"/>
  <c r="B21816" i="1"/>
  <c r="B21817" i="1"/>
  <c r="B21818" i="1"/>
  <c r="B21819" i="1"/>
  <c r="B21820" i="1"/>
  <c r="B21821" i="1"/>
  <c r="B21822" i="1"/>
  <c r="B21823" i="1"/>
  <c r="B21824" i="1"/>
  <c r="B21825" i="1"/>
  <c r="B21826" i="1"/>
  <c r="B21827" i="1"/>
  <c r="B21828" i="1"/>
  <c r="B21829" i="1"/>
  <c r="B21830" i="1"/>
  <c r="B21831" i="1"/>
  <c r="B21832" i="1"/>
  <c r="B21833" i="1"/>
  <c r="B21834" i="1"/>
  <c r="B21835" i="1"/>
  <c r="B21836" i="1"/>
  <c r="B21837" i="1"/>
  <c r="B21838" i="1"/>
  <c r="B21839" i="1"/>
  <c r="B21840" i="1"/>
  <c r="B21841" i="1"/>
  <c r="B21842" i="1"/>
  <c r="B21843" i="1"/>
  <c r="B21844" i="1"/>
  <c r="B21845" i="1"/>
  <c r="B21846" i="1"/>
  <c r="B21847" i="1"/>
  <c r="B21848" i="1"/>
  <c r="B21849" i="1"/>
  <c r="B21850" i="1"/>
  <c r="B21851" i="1"/>
  <c r="B21852" i="1"/>
  <c r="B21853" i="1"/>
  <c r="B21854" i="1"/>
  <c r="B21855" i="1"/>
  <c r="B21856" i="1"/>
  <c r="B21857" i="1"/>
  <c r="B21858" i="1"/>
  <c r="B21859" i="1"/>
  <c r="B21860" i="1"/>
  <c r="B21861" i="1"/>
  <c r="B21862" i="1"/>
  <c r="B21863" i="1"/>
  <c r="B21864" i="1"/>
  <c r="B21865" i="1"/>
  <c r="B21866" i="1"/>
  <c r="B21867" i="1"/>
  <c r="B21868" i="1"/>
  <c r="B21869" i="1"/>
  <c r="B21870" i="1"/>
  <c r="B21871" i="1"/>
  <c r="B21872" i="1"/>
  <c r="B21873" i="1"/>
  <c r="B21874" i="1"/>
  <c r="B21875" i="1"/>
  <c r="B21876" i="1"/>
  <c r="B21877" i="1"/>
  <c r="B21878" i="1"/>
  <c r="B21879" i="1"/>
  <c r="B21880" i="1"/>
  <c r="B21881" i="1"/>
  <c r="B21882" i="1"/>
  <c r="B21883" i="1"/>
  <c r="B21884" i="1"/>
  <c r="B21885" i="1"/>
  <c r="B21886" i="1"/>
  <c r="B21887" i="1"/>
  <c r="B21888" i="1"/>
  <c r="B21889" i="1"/>
  <c r="B21890" i="1"/>
  <c r="B21891" i="1"/>
  <c r="B21892" i="1"/>
  <c r="B21893" i="1"/>
  <c r="B21894" i="1"/>
  <c r="B21895" i="1"/>
  <c r="B21896" i="1"/>
  <c r="B21897" i="1"/>
  <c r="B21898" i="1"/>
  <c r="B21899" i="1"/>
  <c r="B21900" i="1"/>
  <c r="B21901" i="1"/>
  <c r="B21902" i="1"/>
  <c r="B21903" i="1"/>
  <c r="B21904" i="1"/>
  <c r="B21905" i="1"/>
  <c r="B21906" i="1"/>
  <c r="B21907" i="1"/>
  <c r="B21908" i="1"/>
  <c r="B21909" i="1"/>
  <c r="B21910" i="1"/>
  <c r="B21911" i="1"/>
  <c r="B21912" i="1"/>
  <c r="B21913" i="1"/>
  <c r="B21914" i="1"/>
  <c r="B21915" i="1"/>
  <c r="B21916" i="1"/>
  <c r="B21917" i="1"/>
  <c r="B21918" i="1"/>
  <c r="B21919" i="1"/>
  <c r="B21920" i="1"/>
  <c r="B21921" i="1"/>
  <c r="B21922" i="1"/>
  <c r="B21923" i="1"/>
  <c r="B21924" i="1"/>
  <c r="B21925" i="1"/>
  <c r="B21926" i="1"/>
  <c r="B21927" i="1"/>
  <c r="B21928" i="1"/>
  <c r="B21929" i="1"/>
  <c r="B21930" i="1"/>
  <c r="B21931" i="1"/>
  <c r="B21932" i="1"/>
  <c r="B21933" i="1"/>
  <c r="B21934" i="1"/>
  <c r="B21935" i="1"/>
  <c r="B21936" i="1"/>
  <c r="B21937" i="1"/>
  <c r="B21938" i="1"/>
  <c r="B21939" i="1"/>
  <c r="B21940" i="1"/>
  <c r="B21941" i="1"/>
  <c r="B21942" i="1"/>
  <c r="B21943" i="1"/>
  <c r="B21944" i="1"/>
  <c r="B21945" i="1"/>
  <c r="B21946" i="1"/>
  <c r="B21947" i="1"/>
  <c r="B21948" i="1"/>
  <c r="B21949" i="1"/>
  <c r="B21950" i="1"/>
  <c r="B21951" i="1"/>
  <c r="B21952" i="1"/>
  <c r="B21953" i="1"/>
  <c r="B21954" i="1"/>
  <c r="B21955" i="1"/>
  <c r="B21956" i="1"/>
  <c r="B21957" i="1"/>
  <c r="B21958" i="1"/>
  <c r="B21959" i="1"/>
  <c r="B21960" i="1"/>
  <c r="B21961" i="1"/>
  <c r="B21962" i="1"/>
  <c r="B21963" i="1"/>
  <c r="B21964" i="1"/>
  <c r="B21965" i="1"/>
  <c r="B21966" i="1"/>
  <c r="B21967" i="1"/>
  <c r="B21968" i="1"/>
  <c r="B21969" i="1"/>
  <c r="B21970" i="1"/>
  <c r="B21971" i="1"/>
  <c r="B21972" i="1"/>
  <c r="B21973" i="1"/>
  <c r="B21974" i="1"/>
  <c r="B21975" i="1"/>
  <c r="B21976" i="1"/>
  <c r="B21977" i="1"/>
  <c r="B21978" i="1"/>
  <c r="B21979" i="1"/>
  <c r="B21980" i="1"/>
  <c r="B21981" i="1"/>
  <c r="B21982" i="1"/>
  <c r="B21983" i="1"/>
  <c r="B21984" i="1"/>
  <c r="B21985" i="1"/>
  <c r="B21986" i="1"/>
  <c r="B21987" i="1"/>
  <c r="B21988" i="1"/>
  <c r="B21989" i="1"/>
  <c r="B21990" i="1"/>
  <c r="B21991" i="1"/>
  <c r="B21992" i="1"/>
  <c r="B21993" i="1"/>
  <c r="B21994" i="1"/>
  <c r="B21995" i="1"/>
  <c r="B21996" i="1"/>
  <c r="B21997" i="1"/>
  <c r="B21998" i="1"/>
  <c r="B21999" i="1"/>
  <c r="B22000" i="1"/>
  <c r="B22001" i="1"/>
  <c r="B22002" i="1"/>
  <c r="B22003" i="1"/>
  <c r="B22004" i="1"/>
  <c r="B22005" i="1"/>
  <c r="B22006" i="1"/>
  <c r="B22007" i="1"/>
  <c r="B22008" i="1"/>
  <c r="B22009" i="1"/>
  <c r="B22010" i="1"/>
  <c r="B22011" i="1"/>
  <c r="B22012" i="1"/>
  <c r="B22013" i="1"/>
  <c r="B22014" i="1"/>
  <c r="B22015" i="1"/>
  <c r="B22016" i="1"/>
  <c r="B22017" i="1"/>
  <c r="B22018" i="1"/>
  <c r="B22019" i="1"/>
  <c r="B22020" i="1"/>
  <c r="B22021" i="1"/>
  <c r="B22022" i="1"/>
  <c r="B22023" i="1"/>
  <c r="B22024" i="1"/>
  <c r="B22025" i="1"/>
  <c r="B22026" i="1"/>
  <c r="B22027" i="1"/>
  <c r="B22028" i="1"/>
  <c r="B22029" i="1"/>
  <c r="B22030" i="1"/>
  <c r="B22031" i="1"/>
  <c r="B22032" i="1"/>
  <c r="B22033" i="1"/>
  <c r="B22034" i="1"/>
  <c r="B22035" i="1"/>
  <c r="B22036" i="1"/>
  <c r="B22037" i="1"/>
  <c r="B22038" i="1"/>
  <c r="B22039" i="1"/>
  <c r="B22040" i="1"/>
  <c r="B22041" i="1"/>
  <c r="B22042" i="1"/>
  <c r="B22043" i="1"/>
  <c r="B22044" i="1"/>
  <c r="B22045" i="1"/>
  <c r="B22046" i="1"/>
  <c r="B22047" i="1"/>
  <c r="B22048" i="1"/>
  <c r="B22049" i="1"/>
  <c r="B22050" i="1"/>
  <c r="B22051" i="1"/>
  <c r="B22052" i="1"/>
  <c r="B22053" i="1"/>
  <c r="B22054" i="1"/>
  <c r="B22055" i="1"/>
  <c r="B22056" i="1"/>
  <c r="B22057" i="1"/>
  <c r="B22058" i="1"/>
  <c r="B22059" i="1"/>
  <c r="B22060" i="1"/>
  <c r="B22061" i="1"/>
  <c r="B22062" i="1"/>
  <c r="B22063" i="1"/>
  <c r="B22064" i="1"/>
  <c r="B22065" i="1"/>
  <c r="B22066" i="1"/>
  <c r="B22067" i="1"/>
  <c r="B22068" i="1"/>
  <c r="B22069" i="1"/>
  <c r="B22070" i="1"/>
  <c r="B22071" i="1"/>
  <c r="B22072" i="1"/>
  <c r="B22073" i="1"/>
  <c r="B22074" i="1"/>
  <c r="B22075" i="1"/>
  <c r="B22076" i="1"/>
  <c r="B22077" i="1"/>
  <c r="B22078" i="1"/>
  <c r="B22079" i="1"/>
  <c r="B22080" i="1"/>
  <c r="B22081" i="1"/>
  <c r="B22082" i="1"/>
  <c r="B22083" i="1"/>
  <c r="B22084" i="1"/>
  <c r="B22085" i="1"/>
  <c r="B22086" i="1"/>
  <c r="B22087" i="1"/>
  <c r="B22088" i="1"/>
  <c r="B22089" i="1"/>
  <c r="B22090" i="1"/>
  <c r="B22091" i="1"/>
  <c r="B22092" i="1"/>
  <c r="B22093" i="1"/>
  <c r="B22094" i="1"/>
  <c r="B22095" i="1"/>
  <c r="B22096" i="1"/>
  <c r="B22097" i="1"/>
  <c r="B22098" i="1"/>
  <c r="B22099" i="1"/>
  <c r="B22100" i="1"/>
  <c r="B22101" i="1"/>
  <c r="B22102" i="1"/>
  <c r="B22103" i="1"/>
  <c r="B22104" i="1"/>
  <c r="B22105" i="1"/>
  <c r="B22106" i="1"/>
  <c r="B22107" i="1"/>
  <c r="B22108" i="1"/>
  <c r="B22109" i="1"/>
  <c r="B22110" i="1"/>
  <c r="B22111" i="1"/>
  <c r="B22112" i="1"/>
  <c r="B22113" i="1"/>
  <c r="B22114" i="1"/>
  <c r="B22115" i="1"/>
  <c r="B22116" i="1"/>
  <c r="B22117" i="1"/>
  <c r="B22118" i="1"/>
  <c r="B22119" i="1"/>
  <c r="B22120" i="1"/>
  <c r="B22121" i="1"/>
  <c r="B22122" i="1"/>
  <c r="B22123" i="1"/>
  <c r="B22124" i="1"/>
  <c r="B22125" i="1"/>
  <c r="B22126" i="1"/>
  <c r="B22127" i="1"/>
  <c r="B22128" i="1"/>
  <c r="B22129" i="1"/>
  <c r="B22130" i="1"/>
  <c r="B22131" i="1"/>
  <c r="B22132" i="1"/>
  <c r="B22133" i="1"/>
  <c r="B22134" i="1"/>
  <c r="B22135" i="1"/>
  <c r="B22136" i="1"/>
  <c r="B22137" i="1"/>
  <c r="B22138" i="1"/>
  <c r="B22139" i="1"/>
  <c r="B22140" i="1"/>
  <c r="B22141" i="1"/>
  <c r="B22142" i="1"/>
  <c r="B22143" i="1"/>
  <c r="B22144" i="1"/>
  <c r="B22145" i="1"/>
  <c r="B22146" i="1"/>
  <c r="B22147" i="1"/>
  <c r="B22148" i="1"/>
  <c r="B22149" i="1"/>
  <c r="B22150" i="1"/>
  <c r="B22151" i="1"/>
  <c r="B22152" i="1"/>
  <c r="B22153" i="1"/>
  <c r="B22154" i="1"/>
  <c r="B22155" i="1"/>
  <c r="B22156" i="1"/>
  <c r="B22157" i="1"/>
  <c r="B22158" i="1"/>
  <c r="B22159" i="1"/>
  <c r="B22160" i="1"/>
  <c r="B22161" i="1"/>
  <c r="B22162" i="1"/>
  <c r="B22163" i="1"/>
  <c r="B22164" i="1"/>
  <c r="B22165" i="1"/>
  <c r="B22166" i="1"/>
  <c r="B22167" i="1"/>
  <c r="B22168" i="1"/>
  <c r="B22169" i="1"/>
  <c r="B22170" i="1"/>
  <c r="B22171" i="1"/>
  <c r="B22172" i="1"/>
  <c r="B22173" i="1"/>
  <c r="B22174" i="1"/>
  <c r="B22175" i="1"/>
  <c r="B22176" i="1"/>
  <c r="B22177" i="1"/>
  <c r="B22178" i="1"/>
  <c r="B22179" i="1"/>
  <c r="B22180" i="1"/>
  <c r="B22181" i="1"/>
  <c r="B22182" i="1"/>
  <c r="B22183" i="1"/>
  <c r="B22184" i="1"/>
  <c r="B22185" i="1"/>
  <c r="B22186" i="1"/>
  <c r="B22187" i="1"/>
  <c r="B22188" i="1"/>
  <c r="B22189" i="1"/>
  <c r="B22190" i="1"/>
  <c r="B22191" i="1"/>
  <c r="B22192" i="1"/>
  <c r="B22193" i="1"/>
  <c r="B22194" i="1"/>
  <c r="B22195" i="1"/>
  <c r="B22196" i="1"/>
  <c r="B22197" i="1"/>
  <c r="B22198" i="1"/>
  <c r="B22199" i="1"/>
  <c r="B22200" i="1"/>
  <c r="B22201" i="1"/>
  <c r="B22202" i="1"/>
  <c r="B22203" i="1"/>
  <c r="B22204" i="1"/>
  <c r="B22205" i="1"/>
  <c r="B22206" i="1"/>
  <c r="B22207" i="1"/>
  <c r="B22208" i="1"/>
  <c r="B22209" i="1"/>
  <c r="B22210" i="1"/>
  <c r="B22211" i="1"/>
  <c r="B22212" i="1"/>
  <c r="B22213" i="1"/>
  <c r="B22214" i="1"/>
  <c r="B22215" i="1"/>
  <c r="B22216" i="1"/>
  <c r="B22217" i="1"/>
  <c r="B22218" i="1"/>
  <c r="B22219" i="1"/>
  <c r="B22220" i="1"/>
  <c r="B22221" i="1"/>
  <c r="B22222" i="1"/>
  <c r="B22223" i="1"/>
  <c r="B22224" i="1"/>
  <c r="B22225" i="1"/>
  <c r="B22226" i="1"/>
  <c r="B22227" i="1"/>
  <c r="B22228" i="1"/>
  <c r="B22229" i="1"/>
  <c r="B22230" i="1"/>
  <c r="B22231" i="1"/>
  <c r="B22232" i="1"/>
  <c r="B22233" i="1"/>
  <c r="B22234" i="1"/>
  <c r="B22235" i="1"/>
  <c r="B22236" i="1"/>
  <c r="B22237" i="1"/>
  <c r="B22238" i="1"/>
  <c r="B22239" i="1"/>
  <c r="B22240" i="1"/>
  <c r="B22241" i="1"/>
  <c r="B22242" i="1"/>
  <c r="B22243" i="1"/>
  <c r="B22244" i="1"/>
  <c r="B22245" i="1"/>
  <c r="B22246" i="1"/>
  <c r="B22247" i="1"/>
  <c r="B22248" i="1"/>
  <c r="B22249" i="1"/>
  <c r="B22250" i="1"/>
  <c r="B22251" i="1"/>
  <c r="B22252" i="1"/>
  <c r="B22253" i="1"/>
  <c r="B22254" i="1"/>
  <c r="B22255" i="1"/>
  <c r="B22256" i="1"/>
  <c r="B22257" i="1"/>
  <c r="B22258" i="1"/>
  <c r="B22259" i="1"/>
  <c r="B22260" i="1"/>
  <c r="B22261" i="1"/>
  <c r="B22262" i="1"/>
  <c r="B22263" i="1"/>
  <c r="B22264" i="1"/>
  <c r="B22265" i="1"/>
  <c r="B22266" i="1"/>
  <c r="B22267" i="1"/>
  <c r="B22268" i="1"/>
  <c r="B22269" i="1"/>
  <c r="B22270" i="1"/>
  <c r="B22271" i="1"/>
  <c r="B22272" i="1"/>
  <c r="B22273" i="1"/>
  <c r="B22274" i="1"/>
  <c r="B22275" i="1"/>
  <c r="B22276" i="1"/>
  <c r="B22277" i="1"/>
  <c r="B22278" i="1"/>
  <c r="B22279" i="1"/>
  <c r="B22280" i="1"/>
  <c r="B22281" i="1"/>
  <c r="B22282" i="1"/>
  <c r="B22283" i="1"/>
  <c r="B22284" i="1"/>
  <c r="B22285" i="1"/>
  <c r="B22286" i="1"/>
  <c r="B22287" i="1"/>
  <c r="B22288" i="1"/>
  <c r="B22289" i="1"/>
  <c r="B22290" i="1"/>
  <c r="B22291" i="1"/>
  <c r="B22292" i="1"/>
  <c r="B22293" i="1"/>
  <c r="B22294" i="1"/>
  <c r="B22295" i="1"/>
  <c r="B22296" i="1"/>
  <c r="B22297" i="1"/>
  <c r="B22298" i="1"/>
  <c r="B22299" i="1"/>
  <c r="B22300" i="1"/>
  <c r="B22301" i="1"/>
  <c r="B22302" i="1"/>
  <c r="B22303" i="1"/>
  <c r="B22304" i="1"/>
  <c r="B22305" i="1"/>
  <c r="B22306" i="1"/>
  <c r="B22307" i="1"/>
  <c r="B22308" i="1"/>
  <c r="B22309" i="1"/>
  <c r="B22310" i="1"/>
  <c r="B22311" i="1"/>
  <c r="B22312" i="1"/>
  <c r="B22313" i="1"/>
  <c r="B22314" i="1"/>
  <c r="B22315" i="1"/>
  <c r="B22316" i="1"/>
  <c r="B22317" i="1"/>
  <c r="B22318" i="1"/>
  <c r="B22319" i="1"/>
  <c r="B22320" i="1"/>
  <c r="B22321" i="1"/>
  <c r="B22322" i="1"/>
  <c r="B22323" i="1"/>
  <c r="B22324" i="1"/>
  <c r="B22325" i="1"/>
  <c r="B22326" i="1"/>
  <c r="B22327" i="1"/>
  <c r="B22328" i="1"/>
  <c r="B22329" i="1"/>
  <c r="B22330" i="1"/>
  <c r="B22331" i="1"/>
  <c r="B22332" i="1"/>
  <c r="B22333" i="1"/>
  <c r="B22334" i="1"/>
  <c r="B22335" i="1"/>
  <c r="B22336" i="1"/>
  <c r="B22337" i="1"/>
  <c r="B22338" i="1"/>
  <c r="B22339" i="1"/>
  <c r="B22340" i="1"/>
  <c r="B22341" i="1"/>
  <c r="B22342" i="1"/>
  <c r="B22343" i="1"/>
  <c r="B22344" i="1"/>
  <c r="B22345" i="1"/>
  <c r="B22346" i="1"/>
  <c r="B22347" i="1"/>
  <c r="B22348" i="1"/>
  <c r="B22349" i="1"/>
  <c r="B22350" i="1"/>
  <c r="B22351" i="1"/>
  <c r="B22352" i="1"/>
  <c r="B22353" i="1"/>
  <c r="B22354" i="1"/>
  <c r="B22355" i="1"/>
  <c r="B22356" i="1"/>
  <c r="B22357" i="1"/>
  <c r="B22358" i="1"/>
  <c r="B22359" i="1"/>
  <c r="B22360" i="1"/>
  <c r="B22361" i="1"/>
  <c r="B22362" i="1"/>
  <c r="B22363" i="1"/>
  <c r="B22364" i="1"/>
  <c r="B22365" i="1"/>
  <c r="B22366" i="1"/>
  <c r="B22367" i="1"/>
  <c r="B22368" i="1"/>
  <c r="B22369" i="1"/>
  <c r="B22370" i="1"/>
  <c r="B22371" i="1"/>
  <c r="B22372" i="1"/>
  <c r="B22373" i="1"/>
  <c r="B22374" i="1"/>
  <c r="B22375" i="1"/>
  <c r="B22376" i="1"/>
  <c r="B22377" i="1"/>
  <c r="B22378" i="1"/>
  <c r="B22379" i="1"/>
  <c r="B22380" i="1"/>
  <c r="B22381" i="1"/>
  <c r="B22382" i="1"/>
  <c r="B22383" i="1"/>
  <c r="B22384" i="1"/>
  <c r="B22385" i="1"/>
  <c r="B22386" i="1"/>
  <c r="B22387" i="1"/>
  <c r="B22388" i="1"/>
  <c r="B22389" i="1"/>
  <c r="B22390" i="1"/>
  <c r="B22391" i="1"/>
  <c r="B22392" i="1"/>
  <c r="B22393" i="1"/>
  <c r="B22394" i="1"/>
  <c r="B22395" i="1"/>
  <c r="B22396" i="1"/>
  <c r="B22397" i="1"/>
  <c r="B22398" i="1"/>
  <c r="B22399" i="1"/>
  <c r="B22400" i="1"/>
  <c r="B22401" i="1"/>
  <c r="B22402" i="1"/>
  <c r="B22403" i="1"/>
  <c r="B22404" i="1"/>
  <c r="B22405" i="1"/>
  <c r="B22406" i="1"/>
  <c r="B22407" i="1"/>
  <c r="B22408" i="1"/>
  <c r="B22409" i="1"/>
  <c r="B22410" i="1"/>
  <c r="B22411" i="1"/>
  <c r="B22412" i="1"/>
  <c r="B22413" i="1"/>
  <c r="B22414" i="1"/>
  <c r="B22415" i="1"/>
  <c r="B22416" i="1"/>
  <c r="B22417" i="1"/>
  <c r="B22418" i="1"/>
  <c r="B22419" i="1"/>
  <c r="B22420" i="1"/>
  <c r="B22421" i="1"/>
  <c r="B22422" i="1"/>
  <c r="B22423" i="1"/>
  <c r="B22424" i="1"/>
  <c r="B22425" i="1"/>
  <c r="B22426" i="1"/>
  <c r="B22427" i="1"/>
  <c r="B22428" i="1"/>
  <c r="B22429" i="1"/>
  <c r="B22430" i="1"/>
  <c r="B22431" i="1"/>
  <c r="B22432" i="1"/>
  <c r="B22433" i="1"/>
  <c r="B22434" i="1"/>
  <c r="B22435" i="1"/>
  <c r="B22436" i="1"/>
  <c r="B22437" i="1"/>
  <c r="B22438" i="1"/>
  <c r="B22439" i="1"/>
  <c r="B22440" i="1"/>
  <c r="B22441" i="1"/>
  <c r="B22442" i="1"/>
  <c r="B22443" i="1"/>
  <c r="B22444" i="1"/>
  <c r="B22445" i="1"/>
  <c r="B22446" i="1"/>
  <c r="B22447" i="1"/>
  <c r="B22448" i="1"/>
  <c r="B22449" i="1"/>
  <c r="B22450" i="1"/>
  <c r="B22451" i="1"/>
  <c r="B22452" i="1"/>
  <c r="B22453" i="1"/>
  <c r="B22454" i="1"/>
  <c r="B22455" i="1"/>
  <c r="B22456" i="1"/>
  <c r="B22457" i="1"/>
  <c r="B22458" i="1"/>
  <c r="B22459" i="1"/>
  <c r="B22460" i="1"/>
  <c r="B22461" i="1"/>
  <c r="B22462" i="1"/>
  <c r="B22463" i="1"/>
  <c r="B22464" i="1"/>
  <c r="B22465" i="1"/>
  <c r="B22466" i="1"/>
  <c r="B22467" i="1"/>
  <c r="B22468" i="1"/>
  <c r="B22469" i="1"/>
  <c r="B22470" i="1"/>
  <c r="B22471" i="1"/>
  <c r="B22472" i="1"/>
  <c r="B22473" i="1"/>
  <c r="B22474" i="1"/>
  <c r="B22475" i="1"/>
  <c r="B22476" i="1"/>
  <c r="B22477" i="1"/>
  <c r="B22478" i="1"/>
  <c r="B22479" i="1"/>
  <c r="B22480" i="1"/>
  <c r="B22481" i="1"/>
  <c r="B22482" i="1"/>
  <c r="B22483" i="1"/>
  <c r="B22484" i="1"/>
  <c r="B22485" i="1"/>
  <c r="B22486" i="1"/>
  <c r="B22487" i="1"/>
  <c r="B22488" i="1"/>
  <c r="B22489" i="1"/>
  <c r="B22490" i="1"/>
  <c r="B22491" i="1"/>
  <c r="B22492" i="1"/>
  <c r="B22493" i="1"/>
  <c r="B22494" i="1"/>
  <c r="B22495" i="1"/>
  <c r="B22496" i="1"/>
  <c r="B22497" i="1"/>
  <c r="B22498" i="1"/>
  <c r="B22499" i="1"/>
  <c r="B22500" i="1"/>
  <c r="B22501" i="1"/>
  <c r="B22502" i="1"/>
  <c r="B22503" i="1"/>
  <c r="B22504" i="1"/>
  <c r="B22505" i="1"/>
  <c r="B22506" i="1"/>
  <c r="B22507" i="1"/>
  <c r="B22508" i="1"/>
  <c r="B22509" i="1"/>
  <c r="B22510" i="1"/>
  <c r="B22511" i="1"/>
  <c r="B22512" i="1"/>
  <c r="B22513" i="1"/>
  <c r="B22514" i="1"/>
  <c r="B22515" i="1"/>
  <c r="B22516" i="1"/>
  <c r="B22517" i="1"/>
  <c r="B22518" i="1"/>
  <c r="B22519" i="1"/>
  <c r="B22520" i="1"/>
  <c r="B22521" i="1"/>
  <c r="B22522" i="1"/>
  <c r="B22523" i="1"/>
  <c r="B22524" i="1"/>
  <c r="B22525" i="1"/>
  <c r="B22526" i="1"/>
  <c r="B22527" i="1"/>
  <c r="B22528" i="1"/>
  <c r="B22529" i="1"/>
  <c r="B22530" i="1"/>
  <c r="B22531" i="1"/>
  <c r="B22532" i="1"/>
  <c r="B22533" i="1"/>
  <c r="B22534" i="1"/>
  <c r="B22535" i="1"/>
  <c r="B22536" i="1"/>
  <c r="B22537" i="1"/>
  <c r="B22538" i="1"/>
  <c r="B22539" i="1"/>
  <c r="B22540" i="1"/>
  <c r="B22541" i="1"/>
  <c r="B22542" i="1"/>
  <c r="B22543" i="1"/>
  <c r="B22544" i="1"/>
  <c r="B22545" i="1"/>
  <c r="B22546" i="1"/>
  <c r="B22547" i="1"/>
  <c r="B22548" i="1"/>
  <c r="B22549" i="1"/>
  <c r="B22550" i="1"/>
  <c r="B22551" i="1"/>
  <c r="B22552" i="1"/>
  <c r="B22553" i="1"/>
  <c r="B22554" i="1"/>
  <c r="B22555" i="1"/>
  <c r="B22556" i="1"/>
  <c r="B22557" i="1"/>
  <c r="B22558" i="1"/>
  <c r="B22559" i="1"/>
  <c r="B22560" i="1"/>
  <c r="B22561" i="1"/>
  <c r="B22562" i="1"/>
  <c r="B22563" i="1"/>
  <c r="B22564" i="1"/>
  <c r="B22565" i="1"/>
  <c r="B22566" i="1"/>
  <c r="B22567" i="1"/>
  <c r="B22568" i="1"/>
  <c r="B22569" i="1"/>
  <c r="B22570" i="1"/>
  <c r="B22571" i="1"/>
  <c r="B22572" i="1"/>
  <c r="B22573" i="1"/>
  <c r="B22574" i="1"/>
  <c r="B22575" i="1"/>
  <c r="B22576" i="1"/>
  <c r="B22577" i="1"/>
  <c r="B22578" i="1"/>
  <c r="B22579" i="1"/>
  <c r="B22580" i="1"/>
  <c r="B22581" i="1"/>
  <c r="B22582" i="1"/>
  <c r="B22583" i="1"/>
  <c r="B22584" i="1"/>
  <c r="B22585" i="1"/>
  <c r="B22586" i="1"/>
  <c r="B22587" i="1"/>
  <c r="B22588" i="1"/>
  <c r="B22589" i="1"/>
  <c r="B22590" i="1"/>
  <c r="B22591" i="1"/>
  <c r="B22592" i="1"/>
  <c r="B22593" i="1"/>
  <c r="B22594" i="1"/>
  <c r="B22595" i="1"/>
  <c r="B22596" i="1"/>
  <c r="B22597" i="1"/>
  <c r="B22598" i="1"/>
  <c r="B22599" i="1"/>
  <c r="B22600" i="1"/>
  <c r="B22601" i="1"/>
  <c r="B22602" i="1"/>
  <c r="B22603" i="1"/>
  <c r="B22604" i="1"/>
  <c r="B22605" i="1"/>
  <c r="B22606" i="1"/>
  <c r="B22607" i="1"/>
  <c r="B22608" i="1"/>
  <c r="B22609" i="1"/>
  <c r="B22610" i="1"/>
  <c r="B22611" i="1"/>
  <c r="B22612" i="1"/>
  <c r="B22613" i="1"/>
  <c r="B22614" i="1"/>
  <c r="B22615" i="1"/>
  <c r="B22616" i="1"/>
  <c r="B22617" i="1"/>
  <c r="B22618" i="1"/>
  <c r="B22619" i="1"/>
  <c r="B22620" i="1"/>
  <c r="B22621" i="1"/>
  <c r="B22622" i="1"/>
  <c r="B22623" i="1"/>
  <c r="B22624" i="1"/>
  <c r="B22625" i="1"/>
  <c r="B22626" i="1"/>
  <c r="B22627" i="1"/>
  <c r="B22628" i="1"/>
  <c r="B22629" i="1"/>
  <c r="B22630" i="1"/>
  <c r="B22631" i="1"/>
  <c r="B22632" i="1"/>
  <c r="B22633" i="1"/>
  <c r="B22634" i="1"/>
  <c r="B22635" i="1"/>
  <c r="B22636" i="1"/>
  <c r="B22637" i="1"/>
  <c r="B22638" i="1"/>
  <c r="B22639" i="1"/>
  <c r="B22640" i="1"/>
  <c r="B22641" i="1"/>
  <c r="B22642" i="1"/>
  <c r="B22643" i="1"/>
  <c r="B22644" i="1"/>
  <c r="B22645" i="1"/>
  <c r="B22646" i="1"/>
  <c r="B22647" i="1"/>
  <c r="B22648" i="1"/>
  <c r="B22649" i="1"/>
  <c r="B22650" i="1"/>
  <c r="B22651" i="1"/>
  <c r="B22652" i="1"/>
  <c r="B22653" i="1"/>
  <c r="B22654" i="1"/>
  <c r="B22655" i="1"/>
  <c r="B22656" i="1"/>
  <c r="B22657" i="1"/>
  <c r="B22658" i="1"/>
  <c r="B22659" i="1"/>
  <c r="B22660" i="1"/>
  <c r="B22661" i="1"/>
  <c r="B22662" i="1"/>
  <c r="B22663" i="1"/>
  <c r="B22664" i="1"/>
  <c r="B22665" i="1"/>
  <c r="B22666" i="1"/>
  <c r="B22667" i="1"/>
  <c r="B22668" i="1"/>
  <c r="B22669" i="1"/>
  <c r="B22670" i="1"/>
  <c r="B22671" i="1"/>
  <c r="B22672" i="1"/>
  <c r="B22673" i="1"/>
  <c r="B22674" i="1"/>
  <c r="B22675" i="1"/>
  <c r="B22676" i="1"/>
  <c r="B22677" i="1"/>
  <c r="B22678" i="1"/>
  <c r="B22679" i="1"/>
  <c r="B22680" i="1"/>
  <c r="B22681" i="1"/>
  <c r="B22682" i="1"/>
  <c r="B22683" i="1"/>
  <c r="B22684" i="1"/>
  <c r="B22685" i="1"/>
  <c r="B22686" i="1"/>
  <c r="B22687" i="1"/>
  <c r="B22688" i="1"/>
  <c r="B22689" i="1"/>
  <c r="B22690" i="1"/>
  <c r="B22691" i="1"/>
  <c r="B22692" i="1"/>
  <c r="B22693" i="1"/>
  <c r="B22694" i="1"/>
  <c r="B22695" i="1"/>
  <c r="B22696" i="1"/>
  <c r="B22697" i="1"/>
  <c r="B22698" i="1"/>
  <c r="B22699" i="1"/>
  <c r="B22700" i="1"/>
  <c r="B22701" i="1"/>
  <c r="B22702" i="1"/>
  <c r="B22703" i="1"/>
  <c r="B22704" i="1"/>
  <c r="B22705" i="1"/>
  <c r="B22706" i="1"/>
  <c r="B22707" i="1"/>
  <c r="B22708" i="1"/>
  <c r="B22709" i="1"/>
  <c r="B22710" i="1"/>
  <c r="B22711" i="1"/>
  <c r="B22712" i="1"/>
  <c r="B22713" i="1"/>
  <c r="B22714" i="1"/>
  <c r="B22715" i="1"/>
  <c r="B22716" i="1"/>
  <c r="B22717" i="1"/>
  <c r="B22718" i="1"/>
  <c r="B22719" i="1"/>
  <c r="B22720" i="1"/>
  <c r="B22721" i="1"/>
  <c r="B22722" i="1"/>
  <c r="B22723" i="1"/>
  <c r="B22724" i="1"/>
  <c r="B22725" i="1"/>
  <c r="B22726" i="1"/>
  <c r="B22727" i="1"/>
  <c r="B22728" i="1"/>
  <c r="B22729" i="1"/>
  <c r="B22730" i="1"/>
  <c r="B22731" i="1"/>
  <c r="B22732" i="1"/>
  <c r="B22733" i="1"/>
  <c r="B22734" i="1"/>
  <c r="B22735" i="1"/>
  <c r="B22736" i="1"/>
  <c r="B22737" i="1"/>
  <c r="B22738" i="1"/>
  <c r="B22739" i="1"/>
  <c r="B22740" i="1"/>
  <c r="B22741" i="1"/>
  <c r="B22742" i="1"/>
  <c r="B22743" i="1"/>
  <c r="B22744" i="1"/>
  <c r="B22745" i="1"/>
  <c r="B22746" i="1"/>
  <c r="B22747" i="1"/>
  <c r="B22748" i="1"/>
  <c r="B22749" i="1"/>
  <c r="B22750" i="1"/>
  <c r="B22751" i="1"/>
  <c r="B22752" i="1"/>
  <c r="B22753" i="1"/>
  <c r="B22754" i="1"/>
  <c r="B22755" i="1"/>
  <c r="B22756" i="1"/>
  <c r="B22757" i="1"/>
  <c r="B22758" i="1"/>
  <c r="B22759" i="1"/>
  <c r="B22760" i="1"/>
  <c r="B22761" i="1"/>
  <c r="B22762" i="1"/>
  <c r="B22763" i="1"/>
  <c r="B22764" i="1"/>
  <c r="B22765" i="1"/>
  <c r="B22766" i="1"/>
  <c r="B22767" i="1"/>
  <c r="B22768" i="1"/>
  <c r="B22769" i="1"/>
  <c r="B22770" i="1"/>
  <c r="B22771" i="1"/>
  <c r="B22772" i="1"/>
  <c r="B22773" i="1"/>
  <c r="B22774" i="1"/>
  <c r="B22775" i="1"/>
  <c r="B22776" i="1"/>
  <c r="B22777" i="1"/>
  <c r="B22778" i="1"/>
  <c r="B22779" i="1"/>
  <c r="B22780" i="1"/>
  <c r="B22781" i="1"/>
  <c r="B22782" i="1"/>
  <c r="B22783" i="1"/>
  <c r="B22784" i="1"/>
  <c r="B22785" i="1"/>
  <c r="B22786" i="1"/>
  <c r="B22787" i="1"/>
  <c r="B22788" i="1"/>
  <c r="B22789" i="1"/>
  <c r="B22790" i="1"/>
  <c r="B22791" i="1"/>
  <c r="B22792" i="1"/>
  <c r="B22793" i="1"/>
  <c r="B22794" i="1"/>
  <c r="B22795" i="1"/>
  <c r="B22796" i="1"/>
  <c r="B22797" i="1"/>
  <c r="B22798" i="1"/>
  <c r="B22799" i="1"/>
  <c r="B22800" i="1"/>
  <c r="B22801" i="1"/>
  <c r="B22802" i="1"/>
  <c r="B22803" i="1"/>
  <c r="B22804" i="1"/>
  <c r="B22805" i="1"/>
  <c r="B22806" i="1"/>
  <c r="B22807" i="1"/>
  <c r="B22808" i="1"/>
  <c r="B22809" i="1"/>
  <c r="B22810" i="1"/>
  <c r="B22811" i="1"/>
  <c r="B22812" i="1"/>
  <c r="B22813" i="1"/>
  <c r="B22814" i="1"/>
  <c r="B22815" i="1"/>
  <c r="B22816" i="1"/>
  <c r="B22817" i="1"/>
  <c r="B22818" i="1"/>
  <c r="B22819" i="1"/>
  <c r="B22820" i="1"/>
  <c r="B22821" i="1"/>
  <c r="B22822" i="1"/>
  <c r="B22823" i="1"/>
  <c r="B22824" i="1"/>
  <c r="B22825" i="1"/>
  <c r="B22826" i="1"/>
  <c r="B22827" i="1"/>
  <c r="B22828" i="1"/>
  <c r="B22829" i="1"/>
  <c r="B22830" i="1"/>
  <c r="B22831" i="1"/>
  <c r="B22832" i="1"/>
  <c r="B22833" i="1"/>
  <c r="B22834" i="1"/>
  <c r="B22835" i="1"/>
  <c r="B22836" i="1"/>
  <c r="B22837" i="1"/>
  <c r="B22838" i="1"/>
  <c r="B22839" i="1"/>
  <c r="B22840" i="1"/>
  <c r="B22841" i="1"/>
  <c r="B22842" i="1"/>
  <c r="B22843" i="1"/>
  <c r="B22844" i="1"/>
  <c r="B22845" i="1"/>
  <c r="B22846" i="1"/>
  <c r="B22847" i="1"/>
  <c r="B22848" i="1"/>
  <c r="B22849" i="1"/>
  <c r="B22850" i="1"/>
  <c r="B22851" i="1"/>
  <c r="B22852" i="1"/>
  <c r="B22853" i="1"/>
  <c r="B22854" i="1"/>
  <c r="B22855" i="1"/>
  <c r="B22856" i="1"/>
  <c r="B22857" i="1"/>
  <c r="B22858" i="1"/>
  <c r="B22859" i="1"/>
  <c r="B22860" i="1"/>
  <c r="B22861" i="1"/>
  <c r="B22862" i="1"/>
  <c r="B22863" i="1"/>
  <c r="B22864" i="1"/>
  <c r="B22865" i="1"/>
  <c r="B22866" i="1"/>
  <c r="B22867" i="1"/>
  <c r="B22868" i="1"/>
  <c r="B22869" i="1"/>
  <c r="B22870" i="1"/>
  <c r="B22871" i="1"/>
  <c r="B22872" i="1"/>
  <c r="B22873" i="1"/>
  <c r="B22874" i="1"/>
  <c r="B22875" i="1"/>
  <c r="B22876" i="1"/>
  <c r="B22877" i="1"/>
  <c r="B22878" i="1"/>
  <c r="B22879" i="1"/>
  <c r="B22880" i="1"/>
  <c r="B22881" i="1"/>
  <c r="B22882" i="1"/>
  <c r="B22883" i="1"/>
  <c r="B22884" i="1"/>
  <c r="B22885" i="1"/>
  <c r="B22886" i="1"/>
  <c r="B22887" i="1"/>
  <c r="B22888" i="1"/>
  <c r="B22889" i="1"/>
  <c r="B22890" i="1"/>
  <c r="B22891" i="1"/>
  <c r="B22892" i="1"/>
  <c r="B22893" i="1"/>
  <c r="B22894" i="1"/>
  <c r="B22895" i="1"/>
  <c r="B22896" i="1"/>
  <c r="B22897" i="1"/>
  <c r="B22898" i="1"/>
  <c r="B22899" i="1"/>
  <c r="B22900" i="1"/>
  <c r="B22901" i="1"/>
  <c r="B22902" i="1"/>
  <c r="B22903" i="1"/>
  <c r="B22904" i="1"/>
  <c r="B22905" i="1"/>
  <c r="B22906" i="1"/>
  <c r="B22907" i="1"/>
  <c r="B22908" i="1"/>
  <c r="B22909" i="1"/>
  <c r="B22910" i="1"/>
  <c r="B22911" i="1"/>
  <c r="B22912" i="1"/>
  <c r="B22913" i="1"/>
  <c r="B22914" i="1"/>
  <c r="B22915" i="1"/>
  <c r="B22916" i="1"/>
  <c r="B22917" i="1"/>
  <c r="B22918" i="1"/>
  <c r="B22919" i="1"/>
  <c r="B22920" i="1"/>
  <c r="B22921" i="1"/>
  <c r="B22922" i="1"/>
  <c r="B22923" i="1"/>
  <c r="B22924" i="1"/>
  <c r="B22925" i="1"/>
  <c r="B22926" i="1"/>
  <c r="B22927" i="1"/>
  <c r="B22928" i="1"/>
  <c r="B22929" i="1"/>
  <c r="B22930" i="1"/>
  <c r="B22931" i="1"/>
  <c r="B22932" i="1"/>
  <c r="B22933" i="1"/>
  <c r="B22934" i="1"/>
  <c r="B22935" i="1"/>
  <c r="B22936" i="1"/>
  <c r="B22937" i="1"/>
  <c r="B22938" i="1"/>
  <c r="B22939" i="1"/>
  <c r="B22940" i="1"/>
  <c r="B22941" i="1"/>
  <c r="B22942" i="1"/>
  <c r="B22943" i="1"/>
  <c r="B22944" i="1"/>
  <c r="B22945" i="1"/>
  <c r="B22946" i="1"/>
  <c r="B22947" i="1"/>
  <c r="B22948" i="1"/>
  <c r="B22949" i="1"/>
  <c r="B22950" i="1"/>
  <c r="B22951" i="1"/>
  <c r="B22952" i="1"/>
  <c r="B22953" i="1"/>
  <c r="B22954" i="1"/>
  <c r="B22955" i="1"/>
  <c r="B22956" i="1"/>
  <c r="B22957" i="1"/>
  <c r="B22958" i="1"/>
  <c r="B22959" i="1"/>
  <c r="B22960" i="1"/>
  <c r="B22961" i="1"/>
  <c r="B22962" i="1"/>
  <c r="B22963" i="1"/>
  <c r="B22964" i="1"/>
  <c r="B22965" i="1"/>
  <c r="B22966" i="1"/>
  <c r="B22967" i="1"/>
  <c r="B22968" i="1"/>
  <c r="B22969" i="1"/>
  <c r="B22970" i="1"/>
  <c r="B22971" i="1"/>
  <c r="B22972" i="1"/>
  <c r="B22973" i="1"/>
  <c r="B22974" i="1"/>
  <c r="B22975" i="1"/>
  <c r="B22976" i="1"/>
  <c r="B22977" i="1"/>
  <c r="B22978" i="1"/>
  <c r="B22979" i="1"/>
  <c r="B22980" i="1"/>
  <c r="B22981" i="1"/>
  <c r="B22982" i="1"/>
  <c r="B22983" i="1"/>
  <c r="B22984" i="1"/>
  <c r="B22985" i="1"/>
  <c r="B22986" i="1"/>
  <c r="B22987" i="1"/>
  <c r="B22988" i="1"/>
  <c r="B22989" i="1"/>
  <c r="B22990" i="1"/>
  <c r="B22991" i="1"/>
  <c r="B22992" i="1"/>
  <c r="B22993" i="1"/>
  <c r="B22994" i="1"/>
  <c r="B22995" i="1"/>
  <c r="B22996" i="1"/>
  <c r="B22997" i="1"/>
  <c r="B22998" i="1"/>
  <c r="B22999" i="1"/>
  <c r="B23000" i="1"/>
  <c r="B23001" i="1"/>
  <c r="B23002" i="1"/>
  <c r="B23003" i="1"/>
  <c r="B23004" i="1"/>
  <c r="B23005" i="1"/>
  <c r="B23006" i="1"/>
  <c r="B23007" i="1"/>
  <c r="B23008" i="1"/>
  <c r="B23009" i="1"/>
  <c r="B23010" i="1"/>
  <c r="B23011" i="1"/>
  <c r="B23012" i="1"/>
  <c r="B23013" i="1"/>
  <c r="B23014" i="1"/>
  <c r="B23015" i="1"/>
  <c r="B23016" i="1"/>
  <c r="B23017" i="1"/>
  <c r="B23018" i="1"/>
  <c r="B23019" i="1"/>
  <c r="B23020" i="1"/>
  <c r="B23021" i="1"/>
  <c r="B23022" i="1"/>
  <c r="B23023" i="1"/>
  <c r="B23024" i="1"/>
  <c r="B23025" i="1"/>
  <c r="B23026" i="1"/>
  <c r="B23027" i="1"/>
  <c r="B23028" i="1"/>
  <c r="B23029" i="1"/>
  <c r="B23030" i="1"/>
  <c r="B23031" i="1"/>
  <c r="B23032" i="1"/>
  <c r="B23033" i="1"/>
  <c r="B23034" i="1"/>
  <c r="B23035" i="1"/>
  <c r="B23036" i="1"/>
  <c r="B23037" i="1"/>
  <c r="B23038" i="1"/>
  <c r="B23039" i="1"/>
  <c r="B23040" i="1"/>
  <c r="B23041" i="1"/>
  <c r="B23042" i="1"/>
  <c r="B23043" i="1"/>
  <c r="B23044" i="1"/>
  <c r="B23045" i="1"/>
  <c r="B23046" i="1"/>
  <c r="B23047" i="1"/>
  <c r="B23048" i="1"/>
  <c r="B23049" i="1"/>
  <c r="B23050" i="1"/>
  <c r="B23051" i="1"/>
  <c r="B23052" i="1"/>
  <c r="B23053" i="1"/>
  <c r="B23054" i="1"/>
  <c r="B23055" i="1"/>
  <c r="B23056" i="1"/>
  <c r="B23057" i="1"/>
  <c r="B23058" i="1"/>
  <c r="B23059" i="1"/>
  <c r="B23060" i="1"/>
  <c r="B23061" i="1"/>
  <c r="B23062" i="1"/>
  <c r="B23063" i="1"/>
  <c r="B23064" i="1"/>
  <c r="B23065" i="1"/>
  <c r="B23066" i="1"/>
  <c r="B23067" i="1"/>
  <c r="B23068" i="1"/>
  <c r="B23069" i="1"/>
  <c r="B23070" i="1"/>
  <c r="B23071" i="1"/>
  <c r="B23072" i="1"/>
  <c r="B23073" i="1"/>
  <c r="B23074" i="1"/>
  <c r="B23075" i="1"/>
  <c r="B23076" i="1"/>
  <c r="B23077" i="1"/>
  <c r="B23078" i="1"/>
  <c r="B23079" i="1"/>
  <c r="B23080" i="1"/>
  <c r="B23081" i="1"/>
  <c r="B23082" i="1"/>
  <c r="B23083" i="1"/>
  <c r="B23084" i="1"/>
  <c r="B23085" i="1"/>
  <c r="B23086" i="1"/>
  <c r="B23087" i="1"/>
  <c r="B23088" i="1"/>
  <c r="B23089" i="1"/>
  <c r="B23090" i="1"/>
  <c r="B23091" i="1"/>
  <c r="B23092" i="1"/>
  <c r="B23093" i="1"/>
  <c r="B23094" i="1"/>
  <c r="B23095" i="1"/>
  <c r="B23096" i="1"/>
  <c r="B23097" i="1"/>
  <c r="B23098" i="1"/>
  <c r="B23099" i="1"/>
  <c r="B23100" i="1"/>
  <c r="B23101" i="1"/>
  <c r="B23102" i="1"/>
  <c r="B23103" i="1"/>
  <c r="B23104" i="1"/>
  <c r="B23105" i="1"/>
  <c r="B23106" i="1"/>
  <c r="B23107" i="1"/>
  <c r="B23108" i="1"/>
  <c r="B23109" i="1"/>
  <c r="B23110" i="1"/>
  <c r="B23111" i="1"/>
  <c r="B23112" i="1"/>
  <c r="B23113" i="1"/>
  <c r="B23114" i="1"/>
  <c r="B23115" i="1"/>
  <c r="B23116" i="1"/>
  <c r="B23117" i="1"/>
  <c r="B23118" i="1"/>
  <c r="B23119" i="1"/>
  <c r="B23120" i="1"/>
  <c r="B23121" i="1"/>
  <c r="B23122" i="1"/>
  <c r="B23123" i="1"/>
  <c r="B23124" i="1"/>
  <c r="B23125" i="1"/>
  <c r="B23126" i="1"/>
  <c r="B23127" i="1"/>
  <c r="B23128" i="1"/>
  <c r="B23129" i="1"/>
  <c r="B23130" i="1"/>
  <c r="B23131" i="1"/>
  <c r="B23132" i="1"/>
  <c r="B23133" i="1"/>
  <c r="B23134" i="1"/>
  <c r="B23135" i="1"/>
  <c r="B23136" i="1"/>
  <c r="B23137" i="1"/>
  <c r="B23138" i="1"/>
  <c r="B23139" i="1"/>
  <c r="B23140" i="1"/>
  <c r="B23141" i="1"/>
  <c r="B23142" i="1"/>
  <c r="B23143" i="1"/>
  <c r="B23144" i="1"/>
  <c r="B23145" i="1"/>
  <c r="B23146" i="1"/>
  <c r="B23147" i="1"/>
  <c r="B23148" i="1"/>
  <c r="B23149" i="1"/>
  <c r="B23150" i="1"/>
  <c r="B23151" i="1"/>
  <c r="B23152" i="1"/>
  <c r="B23153" i="1"/>
  <c r="B23154" i="1"/>
  <c r="B23155" i="1"/>
  <c r="B23156" i="1"/>
  <c r="B23157" i="1"/>
  <c r="B23158" i="1"/>
  <c r="B23159" i="1"/>
  <c r="B23160" i="1"/>
  <c r="B23161" i="1"/>
  <c r="B23162" i="1"/>
  <c r="B23163" i="1"/>
  <c r="B23164" i="1"/>
  <c r="B23165" i="1"/>
  <c r="B23166" i="1"/>
  <c r="B23167" i="1"/>
  <c r="B23168" i="1"/>
  <c r="B23169" i="1"/>
  <c r="B23170" i="1"/>
  <c r="B23171" i="1"/>
  <c r="B23172" i="1"/>
  <c r="B23173" i="1"/>
  <c r="B23174" i="1"/>
  <c r="B23175" i="1"/>
  <c r="B23176" i="1"/>
  <c r="B23177" i="1"/>
  <c r="B23178" i="1"/>
  <c r="B23179" i="1"/>
  <c r="B23180" i="1"/>
  <c r="B23181" i="1"/>
  <c r="B23182" i="1"/>
  <c r="B23183" i="1"/>
  <c r="B23184" i="1"/>
  <c r="B23185" i="1"/>
  <c r="B23186" i="1"/>
  <c r="B23187" i="1"/>
  <c r="B23188" i="1"/>
  <c r="B23189" i="1"/>
  <c r="B23190" i="1"/>
  <c r="B23191" i="1"/>
  <c r="B23192" i="1"/>
  <c r="B23193" i="1"/>
  <c r="B23194" i="1"/>
  <c r="B23195" i="1"/>
  <c r="B23196" i="1"/>
  <c r="B23197" i="1"/>
  <c r="B23198" i="1"/>
  <c r="B23199" i="1"/>
  <c r="B23200" i="1"/>
  <c r="B23201" i="1"/>
  <c r="B23202" i="1"/>
  <c r="B23203" i="1"/>
  <c r="B23204" i="1"/>
  <c r="B23205" i="1"/>
  <c r="B23206" i="1"/>
  <c r="B23207" i="1"/>
  <c r="B23208" i="1"/>
  <c r="B23209" i="1"/>
  <c r="B23210" i="1"/>
  <c r="B23211" i="1"/>
  <c r="B23212" i="1"/>
  <c r="B23213" i="1"/>
  <c r="B23214" i="1"/>
  <c r="B23215" i="1"/>
  <c r="B23216" i="1"/>
  <c r="B23217" i="1"/>
  <c r="B23218" i="1"/>
  <c r="B23219" i="1"/>
  <c r="B23220" i="1"/>
  <c r="B23221" i="1"/>
  <c r="B23222" i="1"/>
  <c r="B23223" i="1"/>
  <c r="B23224" i="1"/>
  <c r="B23225" i="1"/>
  <c r="B23226" i="1"/>
  <c r="B23227" i="1"/>
  <c r="B23228" i="1"/>
  <c r="B23229" i="1"/>
  <c r="B23230" i="1"/>
  <c r="B23231" i="1"/>
  <c r="B23232" i="1"/>
  <c r="B23233" i="1"/>
  <c r="B23234" i="1"/>
  <c r="B23235" i="1"/>
  <c r="B23236" i="1"/>
  <c r="B23237" i="1"/>
  <c r="B23238" i="1"/>
  <c r="B23239" i="1"/>
  <c r="B23240" i="1"/>
  <c r="B23241" i="1"/>
  <c r="B23242" i="1"/>
  <c r="B23243" i="1"/>
  <c r="B23244" i="1"/>
  <c r="B23245" i="1"/>
  <c r="B23246" i="1"/>
  <c r="B23247" i="1"/>
  <c r="B23248" i="1"/>
  <c r="B23249" i="1"/>
  <c r="B23250" i="1"/>
  <c r="B23251" i="1"/>
  <c r="B23252" i="1"/>
  <c r="B23253" i="1"/>
  <c r="B23254" i="1"/>
  <c r="B23255" i="1"/>
  <c r="B23256" i="1"/>
  <c r="B23257" i="1"/>
  <c r="B23258" i="1"/>
  <c r="B23259" i="1"/>
  <c r="B23260" i="1"/>
  <c r="B23261" i="1"/>
  <c r="B23262" i="1"/>
  <c r="B23263" i="1"/>
  <c r="B23264" i="1"/>
  <c r="B23265" i="1"/>
  <c r="B23266" i="1"/>
  <c r="B23267" i="1"/>
  <c r="B23268" i="1"/>
  <c r="B23269" i="1"/>
  <c r="B23270" i="1"/>
  <c r="B23271" i="1"/>
  <c r="B23272" i="1"/>
  <c r="B23273" i="1"/>
  <c r="B23274" i="1"/>
  <c r="B23275" i="1"/>
  <c r="B23276" i="1"/>
  <c r="B23277" i="1"/>
  <c r="B23278" i="1"/>
  <c r="B23279" i="1"/>
  <c r="B23280" i="1"/>
  <c r="B23281" i="1"/>
  <c r="B23282" i="1"/>
  <c r="B23283" i="1"/>
  <c r="B23284" i="1"/>
  <c r="B23285" i="1"/>
  <c r="B23286" i="1"/>
  <c r="B23287" i="1"/>
  <c r="B23288" i="1"/>
  <c r="B23289" i="1"/>
  <c r="B23290" i="1"/>
  <c r="B23291" i="1"/>
  <c r="B23292" i="1"/>
  <c r="B23293" i="1"/>
  <c r="B23294" i="1"/>
  <c r="B23295" i="1"/>
  <c r="B23296" i="1"/>
  <c r="B23297" i="1"/>
  <c r="B23298" i="1"/>
  <c r="B23299" i="1"/>
  <c r="B23300" i="1"/>
  <c r="B23301" i="1"/>
  <c r="B23302" i="1"/>
  <c r="B23303" i="1"/>
  <c r="B23304" i="1"/>
  <c r="B23305" i="1"/>
  <c r="B23306" i="1"/>
  <c r="B23307" i="1"/>
  <c r="B23308" i="1"/>
  <c r="B23309" i="1"/>
  <c r="B23310" i="1"/>
  <c r="B23311" i="1"/>
  <c r="B23312" i="1"/>
  <c r="B23313" i="1"/>
  <c r="B23314" i="1"/>
  <c r="B23315" i="1"/>
  <c r="B23316" i="1"/>
  <c r="B23317" i="1"/>
  <c r="B23318" i="1"/>
  <c r="B23319" i="1"/>
  <c r="B23320" i="1"/>
  <c r="B23321" i="1"/>
  <c r="B23322" i="1"/>
  <c r="B23323" i="1"/>
  <c r="B23324" i="1"/>
  <c r="B23325" i="1"/>
  <c r="B23326" i="1"/>
  <c r="B23327" i="1"/>
  <c r="B23328" i="1"/>
  <c r="B23329" i="1"/>
  <c r="B23330" i="1"/>
  <c r="B23331" i="1"/>
  <c r="B23332" i="1"/>
  <c r="B23333" i="1"/>
  <c r="B23334" i="1"/>
  <c r="B23335" i="1"/>
  <c r="B23336" i="1"/>
  <c r="B23337" i="1"/>
  <c r="B23338" i="1"/>
  <c r="B23339" i="1"/>
  <c r="B23340" i="1"/>
  <c r="B23341" i="1"/>
  <c r="B23342" i="1"/>
  <c r="B23343" i="1"/>
  <c r="B23344" i="1"/>
  <c r="B23345" i="1"/>
  <c r="B23346" i="1"/>
  <c r="B23347" i="1"/>
  <c r="B23348" i="1"/>
  <c r="B23349" i="1"/>
  <c r="B23350" i="1"/>
  <c r="B23351" i="1"/>
  <c r="B23352" i="1"/>
  <c r="B23353" i="1"/>
  <c r="B23354" i="1"/>
  <c r="B23355" i="1"/>
  <c r="B23356" i="1"/>
  <c r="B23357" i="1"/>
  <c r="B23358" i="1"/>
  <c r="B23359" i="1"/>
  <c r="B23360" i="1"/>
  <c r="B23361" i="1"/>
  <c r="B23362" i="1"/>
  <c r="B23363" i="1"/>
  <c r="B23364" i="1"/>
  <c r="B23365" i="1"/>
  <c r="B23366" i="1"/>
  <c r="B23367" i="1"/>
  <c r="B23368" i="1"/>
  <c r="B23369" i="1"/>
  <c r="B23370" i="1"/>
  <c r="B23371" i="1"/>
  <c r="B23372" i="1"/>
  <c r="B23373" i="1"/>
  <c r="B23374" i="1"/>
  <c r="B23375" i="1"/>
  <c r="B23376" i="1"/>
  <c r="B23377" i="1"/>
  <c r="B23378" i="1"/>
  <c r="B23379" i="1"/>
  <c r="B23380" i="1"/>
  <c r="B23381" i="1"/>
  <c r="B23382" i="1"/>
  <c r="B23383" i="1"/>
  <c r="B23384" i="1"/>
  <c r="B23385" i="1"/>
  <c r="B23386" i="1"/>
  <c r="B23387" i="1"/>
  <c r="B23388" i="1"/>
  <c r="B23389" i="1"/>
  <c r="B23390" i="1"/>
  <c r="B23391" i="1"/>
  <c r="B23392" i="1"/>
  <c r="B23393" i="1"/>
  <c r="B23394" i="1"/>
  <c r="B23395" i="1"/>
  <c r="B23396" i="1"/>
  <c r="B23397" i="1"/>
  <c r="B23398" i="1"/>
  <c r="B23399" i="1"/>
  <c r="B23400" i="1"/>
  <c r="B23401" i="1"/>
  <c r="B23402" i="1"/>
  <c r="B23403" i="1"/>
  <c r="B23404" i="1"/>
  <c r="B23405" i="1"/>
  <c r="B23406" i="1"/>
  <c r="B23407" i="1"/>
  <c r="B23408" i="1"/>
  <c r="B23409" i="1"/>
  <c r="B23410" i="1"/>
  <c r="B23411" i="1"/>
  <c r="B23412" i="1"/>
  <c r="B23413" i="1"/>
  <c r="B23414" i="1"/>
  <c r="B23415" i="1"/>
  <c r="B23416" i="1"/>
  <c r="B23417" i="1"/>
  <c r="B23418" i="1"/>
  <c r="B23419" i="1"/>
  <c r="B23420" i="1"/>
  <c r="B23421" i="1"/>
  <c r="B23422" i="1"/>
  <c r="B23423" i="1"/>
  <c r="B23424" i="1"/>
  <c r="B23425" i="1"/>
  <c r="B23426" i="1"/>
  <c r="B23427" i="1"/>
  <c r="B23428" i="1"/>
  <c r="B23429" i="1"/>
  <c r="B23430" i="1"/>
  <c r="B23431" i="1"/>
  <c r="B23432" i="1"/>
  <c r="B23433" i="1"/>
  <c r="B23434" i="1"/>
  <c r="B23435" i="1"/>
  <c r="B23436" i="1"/>
  <c r="B23437" i="1"/>
  <c r="B23438" i="1"/>
  <c r="B23439" i="1"/>
  <c r="B23440" i="1"/>
  <c r="B23441" i="1"/>
  <c r="B23442" i="1"/>
  <c r="B23443" i="1"/>
  <c r="B23444" i="1"/>
  <c r="B23445" i="1"/>
  <c r="B23446" i="1"/>
  <c r="B23447" i="1"/>
  <c r="B23448" i="1"/>
  <c r="B23449" i="1"/>
  <c r="B23450" i="1"/>
  <c r="B23451" i="1"/>
  <c r="B23452" i="1"/>
  <c r="B23453" i="1"/>
  <c r="B23454" i="1"/>
  <c r="B23455" i="1"/>
  <c r="B23456" i="1"/>
  <c r="B23457" i="1"/>
  <c r="B23458" i="1"/>
  <c r="B23459" i="1"/>
  <c r="B23460" i="1"/>
  <c r="B23461" i="1"/>
  <c r="B23462" i="1"/>
  <c r="B23463" i="1"/>
  <c r="B23464" i="1"/>
  <c r="B23465" i="1"/>
  <c r="B23466" i="1"/>
  <c r="B23467" i="1"/>
  <c r="B23468" i="1"/>
  <c r="B23469" i="1"/>
  <c r="B23470" i="1"/>
  <c r="B23471" i="1"/>
  <c r="B23472" i="1"/>
  <c r="B23473" i="1"/>
  <c r="B23474" i="1"/>
  <c r="B23475" i="1"/>
  <c r="B23476" i="1"/>
  <c r="B23477" i="1"/>
  <c r="B23478" i="1"/>
  <c r="B23479" i="1"/>
  <c r="B23480" i="1"/>
  <c r="B23481" i="1"/>
  <c r="B23482" i="1"/>
  <c r="B23483" i="1"/>
  <c r="B23484" i="1"/>
  <c r="B23485" i="1"/>
  <c r="B23486" i="1"/>
  <c r="B23487" i="1"/>
  <c r="B23488" i="1"/>
  <c r="B23489" i="1"/>
  <c r="B23490" i="1"/>
  <c r="B23491" i="1"/>
  <c r="B23492" i="1"/>
  <c r="B23493" i="1"/>
  <c r="B23494" i="1"/>
  <c r="B23495" i="1"/>
  <c r="B23496" i="1"/>
  <c r="B23497" i="1"/>
  <c r="B23498" i="1"/>
  <c r="B23499" i="1"/>
  <c r="B23500" i="1"/>
  <c r="B23501" i="1"/>
  <c r="B23502" i="1"/>
  <c r="B23503" i="1"/>
  <c r="B23504" i="1"/>
  <c r="B23505" i="1"/>
  <c r="B23506" i="1"/>
  <c r="B23507" i="1"/>
  <c r="B23508" i="1"/>
  <c r="B23509" i="1"/>
  <c r="B23510" i="1"/>
  <c r="B23511" i="1"/>
  <c r="B23512" i="1"/>
  <c r="B23513" i="1"/>
  <c r="B23514" i="1"/>
  <c r="B23515" i="1"/>
  <c r="B23516" i="1"/>
  <c r="B23517" i="1"/>
  <c r="B23518" i="1"/>
  <c r="B23519" i="1"/>
  <c r="B23520" i="1"/>
  <c r="B23521" i="1"/>
  <c r="B23522" i="1"/>
  <c r="B23523" i="1"/>
  <c r="B23524" i="1"/>
  <c r="B23525" i="1"/>
  <c r="B23526" i="1"/>
  <c r="B23527" i="1"/>
  <c r="B23528" i="1"/>
  <c r="B23529" i="1"/>
  <c r="B23530" i="1"/>
  <c r="B23531" i="1"/>
  <c r="B23532" i="1"/>
  <c r="B23533" i="1"/>
  <c r="B23534" i="1"/>
  <c r="B23535" i="1"/>
  <c r="B23536" i="1"/>
  <c r="B23537" i="1"/>
  <c r="B23538" i="1"/>
  <c r="B23539" i="1"/>
  <c r="B23540" i="1"/>
  <c r="B23541" i="1"/>
  <c r="B23542" i="1"/>
  <c r="B23543" i="1"/>
  <c r="B23544" i="1"/>
  <c r="B23545" i="1"/>
  <c r="B23546" i="1"/>
  <c r="B23547" i="1"/>
  <c r="B23548" i="1"/>
  <c r="B23549" i="1"/>
  <c r="B23550" i="1"/>
  <c r="B23551" i="1"/>
  <c r="B23552" i="1"/>
  <c r="B23553" i="1"/>
  <c r="B23554" i="1"/>
  <c r="B23555" i="1"/>
  <c r="B23556" i="1"/>
  <c r="B23557" i="1"/>
  <c r="B23558" i="1"/>
  <c r="B23559" i="1"/>
  <c r="B23560" i="1"/>
  <c r="B23561" i="1"/>
  <c r="B23562" i="1"/>
  <c r="B23563" i="1"/>
  <c r="B23564" i="1"/>
  <c r="B23565" i="1"/>
  <c r="B23566" i="1"/>
  <c r="B23567" i="1"/>
  <c r="B23568" i="1"/>
  <c r="B23569" i="1"/>
  <c r="B23570" i="1"/>
  <c r="B23571" i="1"/>
  <c r="B23572" i="1"/>
  <c r="B23573" i="1"/>
  <c r="B23574" i="1"/>
  <c r="B23575" i="1"/>
  <c r="B23576" i="1"/>
  <c r="B23577" i="1"/>
  <c r="B23578" i="1"/>
  <c r="B23579" i="1"/>
  <c r="B23580" i="1"/>
  <c r="B23581" i="1"/>
  <c r="B23582" i="1"/>
  <c r="B23583" i="1"/>
  <c r="B23584" i="1"/>
  <c r="B23585" i="1"/>
  <c r="B23586" i="1"/>
  <c r="B23587" i="1"/>
  <c r="B23588" i="1"/>
  <c r="B23589" i="1"/>
  <c r="B23590" i="1"/>
  <c r="B23591" i="1"/>
  <c r="B23592" i="1"/>
  <c r="B23593" i="1"/>
  <c r="B23594" i="1"/>
  <c r="B23595" i="1"/>
  <c r="B23596" i="1"/>
  <c r="B23597" i="1"/>
  <c r="B23598" i="1"/>
  <c r="B23599" i="1"/>
  <c r="B23600" i="1"/>
  <c r="B23601" i="1"/>
  <c r="B23602" i="1"/>
  <c r="B23603" i="1"/>
  <c r="B23604" i="1"/>
  <c r="B23605" i="1"/>
  <c r="B23606" i="1"/>
  <c r="B23607" i="1"/>
  <c r="B23608" i="1"/>
  <c r="B23609" i="1"/>
  <c r="B23610" i="1"/>
  <c r="B23611" i="1"/>
  <c r="B23612" i="1"/>
  <c r="B23613" i="1"/>
  <c r="B23614" i="1"/>
  <c r="B23615" i="1"/>
  <c r="B23616" i="1"/>
  <c r="B23617" i="1"/>
  <c r="B23618" i="1"/>
  <c r="B23619" i="1"/>
  <c r="B23620" i="1"/>
  <c r="B23621" i="1"/>
  <c r="B23622" i="1"/>
  <c r="B23623" i="1"/>
  <c r="B23624" i="1"/>
  <c r="B23625" i="1"/>
  <c r="B23626" i="1"/>
  <c r="B23627" i="1"/>
  <c r="B23628" i="1"/>
  <c r="B23629" i="1"/>
  <c r="B23630" i="1"/>
  <c r="B23631" i="1"/>
  <c r="B23632" i="1"/>
  <c r="B23633" i="1"/>
  <c r="B23634" i="1"/>
  <c r="B23635" i="1"/>
  <c r="B23636" i="1"/>
  <c r="B23637" i="1"/>
  <c r="B23638" i="1"/>
  <c r="B23639" i="1"/>
  <c r="B23640" i="1"/>
  <c r="B23641" i="1"/>
  <c r="B23642" i="1"/>
  <c r="B23643" i="1"/>
  <c r="B23644" i="1"/>
  <c r="B23645" i="1"/>
  <c r="B23646" i="1"/>
  <c r="B23647" i="1"/>
  <c r="B23648" i="1"/>
  <c r="B23649" i="1"/>
  <c r="B23650" i="1"/>
  <c r="B23651" i="1"/>
  <c r="B23652" i="1"/>
  <c r="B23653" i="1"/>
  <c r="B23654" i="1"/>
  <c r="B23655" i="1"/>
  <c r="B23656" i="1"/>
  <c r="B23657" i="1"/>
  <c r="B23658" i="1"/>
  <c r="B23659" i="1"/>
  <c r="B23660" i="1"/>
  <c r="B23661" i="1"/>
  <c r="B23662" i="1"/>
  <c r="B23663" i="1"/>
  <c r="B23664" i="1"/>
  <c r="B23665" i="1"/>
  <c r="B23666" i="1"/>
  <c r="B23667" i="1"/>
  <c r="B23668" i="1"/>
  <c r="B23669" i="1"/>
  <c r="B23670" i="1"/>
  <c r="B23671" i="1"/>
  <c r="B23672" i="1"/>
  <c r="B23673" i="1"/>
  <c r="B23674" i="1"/>
  <c r="B23675" i="1"/>
  <c r="B23676" i="1"/>
  <c r="B23677" i="1"/>
  <c r="B23678" i="1"/>
  <c r="B23679" i="1"/>
  <c r="B23680" i="1"/>
  <c r="B23681" i="1"/>
  <c r="B23682" i="1"/>
  <c r="B23683" i="1"/>
  <c r="B23684" i="1"/>
  <c r="B23685" i="1"/>
  <c r="B23686" i="1"/>
  <c r="B23687" i="1"/>
  <c r="B23688" i="1"/>
  <c r="B23689" i="1"/>
  <c r="B23690" i="1"/>
  <c r="B23691" i="1"/>
  <c r="B23692" i="1"/>
  <c r="B23693" i="1"/>
  <c r="B23694" i="1"/>
  <c r="B23695" i="1"/>
  <c r="B23696" i="1"/>
  <c r="B23697" i="1"/>
  <c r="B23698" i="1"/>
  <c r="B23699" i="1"/>
  <c r="B23700" i="1"/>
  <c r="B23701" i="1"/>
  <c r="B23702" i="1"/>
  <c r="B23703" i="1"/>
  <c r="B23704" i="1"/>
  <c r="B23705" i="1"/>
  <c r="B23706" i="1"/>
  <c r="B23707" i="1"/>
  <c r="B23708" i="1"/>
  <c r="B23709" i="1"/>
  <c r="B23710" i="1"/>
  <c r="B23711" i="1"/>
  <c r="B23712" i="1"/>
  <c r="B23713" i="1"/>
  <c r="B23714" i="1"/>
  <c r="B23715" i="1"/>
  <c r="B23716" i="1"/>
  <c r="B23717" i="1"/>
  <c r="B23718" i="1"/>
  <c r="B23719" i="1"/>
  <c r="B23720" i="1"/>
  <c r="B23721" i="1"/>
  <c r="B23722" i="1"/>
  <c r="B23723" i="1"/>
  <c r="B23724" i="1"/>
  <c r="B23725" i="1"/>
  <c r="B23726" i="1"/>
  <c r="B23727" i="1"/>
  <c r="B23728" i="1"/>
  <c r="B23729" i="1"/>
  <c r="B23730" i="1"/>
  <c r="B23731" i="1"/>
  <c r="B23732" i="1"/>
  <c r="B23733" i="1"/>
  <c r="B23734" i="1"/>
  <c r="B23735" i="1"/>
  <c r="B23736" i="1"/>
  <c r="B23737" i="1"/>
  <c r="B23738" i="1"/>
  <c r="B23739" i="1"/>
  <c r="B23740" i="1"/>
  <c r="B23741" i="1"/>
  <c r="B23742" i="1"/>
  <c r="B23743" i="1"/>
  <c r="B23744" i="1"/>
  <c r="B23745" i="1"/>
  <c r="B23746" i="1"/>
  <c r="B23747" i="1"/>
  <c r="B23748" i="1"/>
  <c r="B23749" i="1"/>
  <c r="B23750" i="1"/>
  <c r="B23751" i="1"/>
  <c r="B23752" i="1"/>
  <c r="B23753" i="1"/>
  <c r="B23754" i="1"/>
  <c r="B23755" i="1"/>
  <c r="B23756" i="1"/>
  <c r="B23757" i="1"/>
  <c r="B23758" i="1"/>
  <c r="B23759" i="1"/>
  <c r="B23760" i="1"/>
  <c r="B23761" i="1"/>
  <c r="B23762" i="1"/>
  <c r="B23763" i="1"/>
  <c r="B23764" i="1"/>
  <c r="B23765" i="1"/>
  <c r="B23766" i="1"/>
  <c r="B23767" i="1"/>
  <c r="B23768" i="1"/>
  <c r="B23769" i="1"/>
  <c r="B23770" i="1"/>
  <c r="B23771" i="1"/>
  <c r="B23772" i="1"/>
  <c r="B23773" i="1"/>
  <c r="B23774" i="1"/>
  <c r="B23775" i="1"/>
  <c r="B23776" i="1"/>
  <c r="B23777" i="1"/>
  <c r="B23778" i="1"/>
  <c r="B23779" i="1"/>
  <c r="B23780" i="1"/>
  <c r="B23781" i="1"/>
  <c r="B23782" i="1"/>
  <c r="B23783" i="1"/>
  <c r="B23784" i="1"/>
  <c r="B23785" i="1"/>
  <c r="B23786" i="1"/>
  <c r="B23787" i="1"/>
  <c r="B23788" i="1"/>
  <c r="B23789" i="1"/>
  <c r="B23790" i="1"/>
  <c r="B23791" i="1"/>
  <c r="B23792" i="1"/>
  <c r="B23793" i="1"/>
  <c r="B23794" i="1"/>
  <c r="B23795" i="1"/>
  <c r="B23796" i="1"/>
  <c r="B23797" i="1"/>
  <c r="B23798" i="1"/>
  <c r="B23799" i="1"/>
  <c r="B23800" i="1"/>
  <c r="B23801" i="1"/>
  <c r="B23802" i="1"/>
  <c r="B23803" i="1"/>
  <c r="B23804" i="1"/>
  <c r="B23805" i="1"/>
  <c r="B23806" i="1"/>
  <c r="B23807" i="1"/>
  <c r="B23808" i="1"/>
  <c r="B23809" i="1"/>
  <c r="B23810" i="1"/>
  <c r="B23811" i="1"/>
  <c r="B23812" i="1"/>
  <c r="B23813" i="1"/>
  <c r="B23814" i="1"/>
  <c r="B23815" i="1"/>
  <c r="B23816" i="1"/>
  <c r="B23817" i="1"/>
  <c r="B23818" i="1"/>
  <c r="B23819" i="1"/>
  <c r="B23820" i="1"/>
  <c r="B23821" i="1"/>
  <c r="B23822" i="1"/>
  <c r="B23823" i="1"/>
  <c r="B23824" i="1"/>
  <c r="B23825" i="1"/>
  <c r="B23826" i="1"/>
  <c r="B23827" i="1"/>
  <c r="B23828" i="1"/>
  <c r="B23829" i="1"/>
  <c r="B23830" i="1"/>
  <c r="B23831" i="1"/>
  <c r="B23832" i="1"/>
  <c r="B23833" i="1"/>
  <c r="B23834" i="1"/>
  <c r="B23835" i="1"/>
  <c r="B23836" i="1"/>
  <c r="B23837" i="1"/>
  <c r="B23838" i="1"/>
  <c r="B23839" i="1"/>
  <c r="B23840" i="1"/>
  <c r="B23841" i="1"/>
  <c r="B23842" i="1"/>
  <c r="B23843" i="1"/>
  <c r="B23844" i="1"/>
  <c r="B23845" i="1"/>
  <c r="B23846" i="1"/>
  <c r="B23847" i="1"/>
  <c r="B23848" i="1"/>
  <c r="B23849" i="1"/>
  <c r="B23850" i="1"/>
  <c r="B23851" i="1"/>
  <c r="B23852" i="1"/>
  <c r="B23853" i="1"/>
  <c r="B23854" i="1"/>
  <c r="B23855" i="1"/>
  <c r="B23856" i="1"/>
  <c r="B23857" i="1"/>
  <c r="B23858" i="1"/>
  <c r="B23859" i="1"/>
  <c r="B23860" i="1"/>
  <c r="B23861" i="1"/>
  <c r="B23862" i="1"/>
  <c r="B23863" i="1"/>
  <c r="B23864" i="1"/>
  <c r="B23865" i="1"/>
  <c r="B23866" i="1"/>
  <c r="B23867" i="1"/>
  <c r="B23868" i="1"/>
  <c r="B23869" i="1"/>
  <c r="B23870" i="1"/>
  <c r="B23871" i="1"/>
  <c r="B23872" i="1"/>
  <c r="B23873" i="1"/>
  <c r="B23874" i="1"/>
  <c r="B23875" i="1"/>
  <c r="B23876" i="1"/>
  <c r="B23877" i="1"/>
  <c r="B23878" i="1"/>
  <c r="B23879" i="1"/>
  <c r="B23880" i="1"/>
  <c r="B23881" i="1"/>
  <c r="B23882" i="1"/>
  <c r="B23883" i="1"/>
  <c r="B23884" i="1"/>
  <c r="B23885" i="1"/>
  <c r="B23886" i="1"/>
  <c r="B23887" i="1"/>
  <c r="B23888" i="1"/>
  <c r="B23889" i="1"/>
  <c r="B23890" i="1"/>
  <c r="B23891" i="1"/>
  <c r="B23892" i="1"/>
  <c r="B23893" i="1"/>
  <c r="B23894" i="1"/>
  <c r="B23895" i="1"/>
  <c r="B23896" i="1"/>
  <c r="B23897" i="1"/>
  <c r="B23898" i="1"/>
  <c r="B23899" i="1"/>
  <c r="B23900" i="1"/>
  <c r="B23901" i="1"/>
  <c r="B23902" i="1"/>
  <c r="B23903" i="1"/>
  <c r="B23904" i="1"/>
  <c r="B23905" i="1"/>
  <c r="B23906" i="1"/>
  <c r="B23907" i="1"/>
  <c r="B23908" i="1"/>
  <c r="B23909" i="1"/>
  <c r="B23910" i="1"/>
  <c r="B23911" i="1"/>
  <c r="B23912" i="1"/>
  <c r="B23913" i="1"/>
  <c r="B23914" i="1"/>
  <c r="B23915" i="1"/>
  <c r="B23916" i="1"/>
  <c r="B23917" i="1"/>
  <c r="B23918" i="1"/>
  <c r="B23919" i="1"/>
  <c r="B23920" i="1"/>
  <c r="B23921" i="1"/>
  <c r="B23922" i="1"/>
  <c r="B23923" i="1"/>
  <c r="B23924" i="1"/>
  <c r="B23925" i="1"/>
  <c r="B23926" i="1"/>
  <c r="B23927" i="1"/>
  <c r="B23928" i="1"/>
  <c r="B23929" i="1"/>
  <c r="B23930" i="1"/>
  <c r="B23931" i="1"/>
  <c r="B23932" i="1"/>
  <c r="B23933" i="1"/>
  <c r="B23934" i="1"/>
  <c r="B23935" i="1"/>
  <c r="B23936" i="1"/>
  <c r="B23937" i="1"/>
  <c r="B23938" i="1"/>
  <c r="B23939" i="1"/>
  <c r="B23940" i="1"/>
  <c r="B23941" i="1"/>
  <c r="B23942" i="1"/>
  <c r="B23943" i="1"/>
  <c r="B23944" i="1"/>
  <c r="B23945" i="1"/>
  <c r="B23946" i="1"/>
  <c r="B23947" i="1"/>
  <c r="B23948" i="1"/>
  <c r="B23949" i="1"/>
  <c r="B23950" i="1"/>
  <c r="B23951" i="1"/>
  <c r="B23952" i="1"/>
  <c r="B23953" i="1"/>
  <c r="B23954" i="1"/>
  <c r="B23955" i="1"/>
  <c r="B23956" i="1"/>
  <c r="B23957" i="1"/>
  <c r="B23958" i="1"/>
  <c r="B23959" i="1"/>
  <c r="B23960" i="1"/>
  <c r="B23961" i="1"/>
  <c r="B23962" i="1"/>
  <c r="B23963" i="1"/>
  <c r="B23964" i="1"/>
  <c r="B23965" i="1"/>
  <c r="B23966" i="1"/>
  <c r="B23967" i="1"/>
  <c r="B23968" i="1"/>
  <c r="B23969" i="1"/>
  <c r="B23970" i="1"/>
  <c r="B23971" i="1"/>
  <c r="B23972" i="1"/>
  <c r="B23973" i="1"/>
  <c r="B23974" i="1"/>
  <c r="B23975" i="1"/>
  <c r="B23976" i="1"/>
  <c r="B23977" i="1"/>
  <c r="B23978" i="1"/>
  <c r="B23979" i="1"/>
  <c r="B23980" i="1"/>
  <c r="B23981" i="1"/>
  <c r="B23982" i="1"/>
  <c r="B23983" i="1"/>
  <c r="B23984" i="1"/>
  <c r="B23985" i="1"/>
  <c r="B23986" i="1"/>
  <c r="B23987" i="1"/>
  <c r="B23988" i="1"/>
  <c r="B23989" i="1"/>
  <c r="B23990" i="1"/>
  <c r="B23991" i="1"/>
  <c r="B23992" i="1"/>
  <c r="B23993" i="1"/>
  <c r="B23994" i="1"/>
  <c r="B23995" i="1"/>
  <c r="B23996" i="1"/>
  <c r="B23997" i="1"/>
  <c r="B23998" i="1"/>
  <c r="B23999" i="1"/>
  <c r="B24000" i="1"/>
  <c r="B24001" i="1"/>
  <c r="B24002" i="1"/>
  <c r="B24003" i="1"/>
  <c r="B24004" i="1"/>
  <c r="B24005" i="1"/>
  <c r="B24006" i="1"/>
  <c r="B24007" i="1"/>
  <c r="B24008" i="1"/>
  <c r="B24009" i="1"/>
  <c r="B24010" i="1"/>
  <c r="B24011" i="1"/>
  <c r="B24012" i="1"/>
  <c r="B24013" i="1"/>
  <c r="B24014" i="1"/>
  <c r="B24015" i="1"/>
  <c r="B24016" i="1"/>
  <c r="B24017" i="1"/>
  <c r="B24018" i="1"/>
  <c r="B24019" i="1"/>
  <c r="B24020" i="1"/>
  <c r="B24021" i="1"/>
  <c r="B24022" i="1"/>
  <c r="B24023" i="1"/>
  <c r="B24024" i="1"/>
  <c r="B24025" i="1"/>
  <c r="B24026" i="1"/>
  <c r="B24027" i="1"/>
  <c r="B24028" i="1"/>
  <c r="B24029" i="1"/>
  <c r="B24030" i="1"/>
  <c r="B24031" i="1"/>
  <c r="B24032" i="1"/>
  <c r="B24033" i="1"/>
  <c r="B24034" i="1"/>
  <c r="B24035" i="1"/>
  <c r="B24036" i="1"/>
  <c r="B24037" i="1"/>
  <c r="B24038" i="1"/>
  <c r="B24039" i="1"/>
  <c r="B24040" i="1"/>
  <c r="B24041" i="1"/>
  <c r="B24042" i="1"/>
  <c r="B24043" i="1"/>
  <c r="B24044" i="1"/>
  <c r="B24045" i="1"/>
  <c r="B24046" i="1"/>
  <c r="B24047" i="1"/>
  <c r="B24048" i="1"/>
  <c r="B24049" i="1"/>
  <c r="B24050" i="1"/>
  <c r="B24051" i="1"/>
  <c r="B24052" i="1"/>
  <c r="B24053" i="1"/>
  <c r="B24054" i="1"/>
  <c r="B24055" i="1"/>
  <c r="B24056" i="1"/>
  <c r="B24057" i="1"/>
  <c r="B24058" i="1"/>
  <c r="B24059" i="1"/>
  <c r="B24060" i="1"/>
  <c r="B24061" i="1"/>
  <c r="B24062" i="1"/>
  <c r="B24063" i="1"/>
  <c r="B24064" i="1"/>
  <c r="B24065" i="1"/>
  <c r="B24066" i="1"/>
  <c r="B24067" i="1"/>
  <c r="B24068" i="1"/>
  <c r="B24069" i="1"/>
  <c r="B24070" i="1"/>
  <c r="B24071" i="1"/>
  <c r="B24072" i="1"/>
  <c r="B24073" i="1"/>
  <c r="B24074" i="1"/>
  <c r="B24075" i="1"/>
  <c r="B24076" i="1"/>
  <c r="B24077" i="1"/>
  <c r="B24078" i="1"/>
  <c r="B24079" i="1"/>
  <c r="B24080" i="1"/>
  <c r="B24081" i="1"/>
  <c r="B24082" i="1"/>
  <c r="B24083" i="1"/>
  <c r="B24084" i="1"/>
  <c r="B24085" i="1"/>
  <c r="B24086" i="1"/>
  <c r="B24087" i="1"/>
  <c r="B24088" i="1"/>
  <c r="B24089" i="1"/>
  <c r="B24090" i="1"/>
  <c r="B24091" i="1"/>
  <c r="B24092" i="1"/>
  <c r="B24093" i="1"/>
  <c r="B24094" i="1"/>
  <c r="B24095" i="1"/>
  <c r="B24096" i="1"/>
  <c r="B24097" i="1"/>
  <c r="B24098" i="1"/>
  <c r="B24099" i="1"/>
  <c r="B24100" i="1"/>
  <c r="B24101" i="1"/>
  <c r="B24102" i="1"/>
  <c r="B24103" i="1"/>
  <c r="B24104" i="1"/>
  <c r="B24105" i="1"/>
  <c r="B24106" i="1"/>
  <c r="B24107" i="1"/>
  <c r="B24108" i="1"/>
  <c r="B24109" i="1"/>
  <c r="B24110" i="1"/>
  <c r="B24111" i="1"/>
  <c r="B24112" i="1"/>
  <c r="B24113" i="1"/>
  <c r="B24114" i="1"/>
  <c r="B24115" i="1"/>
  <c r="B24116" i="1"/>
  <c r="B24117" i="1"/>
  <c r="B24118" i="1"/>
  <c r="B24119" i="1"/>
  <c r="B24120" i="1"/>
  <c r="B24121" i="1"/>
  <c r="B24122" i="1"/>
  <c r="B24123" i="1"/>
  <c r="B24124" i="1"/>
  <c r="B24125" i="1"/>
  <c r="B24126" i="1"/>
  <c r="B24127" i="1"/>
  <c r="B24128" i="1"/>
  <c r="B24129" i="1"/>
  <c r="B24130" i="1"/>
  <c r="B24131" i="1"/>
  <c r="B24132" i="1"/>
  <c r="B24133" i="1"/>
  <c r="B24134" i="1"/>
  <c r="B24135" i="1"/>
  <c r="B24136" i="1"/>
  <c r="B24137" i="1"/>
  <c r="B24138" i="1"/>
  <c r="B24139" i="1"/>
  <c r="B24140" i="1"/>
  <c r="B24141" i="1"/>
  <c r="B24142" i="1"/>
  <c r="B24143" i="1"/>
  <c r="B24144" i="1"/>
  <c r="B24145" i="1"/>
  <c r="B24146" i="1"/>
  <c r="B24147" i="1"/>
  <c r="B24148" i="1"/>
  <c r="B24149" i="1"/>
  <c r="B24150" i="1"/>
  <c r="B24151" i="1"/>
  <c r="B24152" i="1"/>
  <c r="B24153" i="1"/>
  <c r="B24154" i="1"/>
  <c r="B24155" i="1"/>
  <c r="B24156" i="1"/>
  <c r="B24157" i="1"/>
  <c r="B24158" i="1"/>
  <c r="B24159" i="1"/>
  <c r="B24160" i="1"/>
  <c r="B24161" i="1"/>
  <c r="B24162" i="1"/>
  <c r="B24163" i="1"/>
  <c r="B24164" i="1"/>
  <c r="B24165" i="1"/>
  <c r="B24166" i="1"/>
  <c r="B24167" i="1"/>
  <c r="B24168" i="1"/>
  <c r="B24169" i="1"/>
  <c r="B24170" i="1"/>
  <c r="B24171" i="1"/>
  <c r="B24172" i="1"/>
  <c r="B24173" i="1"/>
  <c r="B24174" i="1"/>
  <c r="B24175" i="1"/>
  <c r="B24176" i="1"/>
  <c r="B24177" i="1"/>
  <c r="B24178" i="1"/>
  <c r="B24179" i="1"/>
  <c r="B24180" i="1"/>
  <c r="B24181" i="1"/>
  <c r="B24182" i="1"/>
  <c r="B24183" i="1"/>
  <c r="B24184" i="1"/>
  <c r="B24185" i="1"/>
  <c r="B24186" i="1"/>
  <c r="B24187" i="1"/>
  <c r="B24188" i="1"/>
  <c r="B24189" i="1"/>
  <c r="B24190" i="1"/>
  <c r="B24191" i="1"/>
  <c r="B24192" i="1"/>
  <c r="B24193" i="1"/>
  <c r="B24194" i="1"/>
  <c r="B24195" i="1"/>
  <c r="B24196" i="1"/>
  <c r="B24197" i="1"/>
  <c r="B24198" i="1"/>
  <c r="B24199" i="1"/>
  <c r="B24200" i="1"/>
  <c r="B24201" i="1"/>
  <c r="B24202" i="1"/>
  <c r="B24203" i="1"/>
  <c r="B24204" i="1"/>
  <c r="B24205" i="1"/>
  <c r="B24206" i="1"/>
  <c r="B24207" i="1"/>
  <c r="B24208" i="1"/>
  <c r="B24209" i="1"/>
  <c r="B24210" i="1"/>
  <c r="B24211" i="1"/>
  <c r="B24212" i="1"/>
  <c r="B24213" i="1"/>
  <c r="B24214" i="1"/>
  <c r="B24215" i="1"/>
  <c r="B24216" i="1"/>
  <c r="B24217" i="1"/>
  <c r="B24218" i="1"/>
  <c r="B24219" i="1"/>
  <c r="B24220" i="1"/>
  <c r="B24221" i="1"/>
  <c r="B24222" i="1"/>
  <c r="B24223" i="1"/>
  <c r="B24224" i="1"/>
  <c r="B24225" i="1"/>
  <c r="B24226" i="1"/>
  <c r="B24227" i="1"/>
  <c r="B24228" i="1"/>
  <c r="B24229" i="1"/>
  <c r="B24230" i="1"/>
  <c r="B24231" i="1"/>
  <c r="B24232" i="1"/>
  <c r="B24233" i="1"/>
  <c r="B24234" i="1"/>
  <c r="B24235" i="1"/>
  <c r="B24236" i="1"/>
  <c r="B24237" i="1"/>
  <c r="B24238" i="1"/>
  <c r="B24239" i="1"/>
  <c r="B24240" i="1"/>
  <c r="B24241" i="1"/>
  <c r="B24242" i="1"/>
  <c r="B24243" i="1"/>
  <c r="B24244" i="1"/>
  <c r="B24245" i="1"/>
  <c r="B24246" i="1"/>
  <c r="B24247" i="1"/>
  <c r="B24248" i="1"/>
  <c r="B24249" i="1"/>
  <c r="B24250" i="1"/>
  <c r="B24251" i="1"/>
  <c r="B24252" i="1"/>
  <c r="B24253" i="1"/>
  <c r="B24254" i="1"/>
  <c r="B24255" i="1"/>
  <c r="B24256" i="1"/>
  <c r="B24257" i="1"/>
  <c r="B24258" i="1"/>
  <c r="B24259" i="1"/>
  <c r="B24260" i="1"/>
  <c r="B24261" i="1"/>
  <c r="B24262" i="1"/>
  <c r="B24263" i="1"/>
  <c r="B24264" i="1"/>
  <c r="B24265" i="1"/>
  <c r="B24266" i="1"/>
  <c r="B24267" i="1"/>
  <c r="B24268" i="1"/>
  <c r="B24269" i="1"/>
  <c r="B24270" i="1"/>
  <c r="B24271" i="1"/>
  <c r="B24272" i="1"/>
  <c r="B24273" i="1"/>
  <c r="B24274" i="1"/>
  <c r="B24275" i="1"/>
  <c r="B24276" i="1"/>
  <c r="B24277" i="1"/>
  <c r="B24278" i="1"/>
  <c r="B24279" i="1"/>
  <c r="B24280" i="1"/>
  <c r="B24281" i="1"/>
  <c r="B24282" i="1"/>
  <c r="B24283" i="1"/>
  <c r="B24284" i="1"/>
  <c r="B24285" i="1"/>
  <c r="B24286" i="1"/>
  <c r="B24287" i="1"/>
  <c r="B24288" i="1"/>
  <c r="B24289" i="1"/>
  <c r="B24290" i="1"/>
  <c r="B24291" i="1"/>
  <c r="B24292" i="1"/>
  <c r="B24293" i="1"/>
  <c r="B24294" i="1"/>
  <c r="B24295" i="1"/>
  <c r="B24296" i="1"/>
  <c r="B24297" i="1"/>
  <c r="B24298" i="1"/>
  <c r="B24299" i="1"/>
  <c r="B24300" i="1"/>
  <c r="B24301" i="1"/>
  <c r="B24302" i="1"/>
  <c r="B24303" i="1"/>
  <c r="B24304" i="1"/>
  <c r="B24305" i="1"/>
  <c r="B24306" i="1"/>
  <c r="B24307" i="1"/>
  <c r="B24308" i="1"/>
  <c r="B24309" i="1"/>
  <c r="B24310" i="1"/>
  <c r="B24311" i="1"/>
  <c r="B24312" i="1"/>
  <c r="B24313" i="1"/>
  <c r="B24314" i="1"/>
  <c r="B24315" i="1"/>
  <c r="B24316" i="1"/>
  <c r="B24317" i="1"/>
  <c r="B24318" i="1"/>
  <c r="B24319" i="1"/>
  <c r="B24320" i="1"/>
  <c r="B24321" i="1"/>
  <c r="B24322" i="1"/>
  <c r="B24323" i="1"/>
  <c r="B24324" i="1"/>
  <c r="B24325" i="1"/>
  <c r="B24326" i="1"/>
  <c r="B24327" i="1"/>
  <c r="B24328" i="1"/>
  <c r="B24329" i="1"/>
  <c r="B24330" i="1"/>
  <c r="B24331" i="1"/>
  <c r="B24332" i="1"/>
  <c r="B24333" i="1"/>
  <c r="B24334" i="1"/>
  <c r="B24335" i="1"/>
  <c r="B24336" i="1"/>
  <c r="B24337" i="1"/>
  <c r="B24338" i="1"/>
  <c r="B24339" i="1"/>
  <c r="B24340" i="1"/>
  <c r="B24341" i="1"/>
  <c r="B24342" i="1"/>
  <c r="B24343" i="1"/>
  <c r="B24344" i="1"/>
  <c r="B24345" i="1"/>
  <c r="B24346" i="1"/>
  <c r="B24347" i="1"/>
  <c r="B24348" i="1"/>
  <c r="B24349" i="1"/>
  <c r="B24350" i="1"/>
  <c r="B24351" i="1"/>
  <c r="B24352" i="1"/>
  <c r="B24353" i="1"/>
  <c r="B24354" i="1"/>
  <c r="B24355" i="1"/>
  <c r="B24356" i="1"/>
  <c r="B24357" i="1"/>
  <c r="B24358" i="1"/>
  <c r="B24359" i="1"/>
  <c r="B24360" i="1"/>
  <c r="B24361" i="1"/>
  <c r="B24362" i="1"/>
  <c r="B24363" i="1"/>
  <c r="B24364" i="1"/>
  <c r="B24365" i="1"/>
  <c r="B24366" i="1"/>
  <c r="B24367" i="1"/>
  <c r="B24368" i="1"/>
  <c r="B24369" i="1"/>
  <c r="B24370" i="1"/>
  <c r="B24371" i="1"/>
  <c r="B24372" i="1"/>
  <c r="B24373" i="1"/>
  <c r="B24374" i="1"/>
  <c r="B24375" i="1"/>
  <c r="B24376" i="1"/>
  <c r="B24377" i="1"/>
  <c r="B24378" i="1"/>
  <c r="B24379" i="1"/>
  <c r="B24380" i="1"/>
  <c r="B24381" i="1"/>
  <c r="B24382" i="1"/>
  <c r="B24383" i="1"/>
  <c r="B24384" i="1"/>
  <c r="B24385" i="1"/>
  <c r="B24386" i="1"/>
  <c r="B24387" i="1"/>
  <c r="B24388" i="1"/>
  <c r="B24389" i="1"/>
  <c r="B24390" i="1"/>
  <c r="B24391" i="1"/>
  <c r="B24392" i="1"/>
  <c r="B24393" i="1"/>
  <c r="B24394" i="1"/>
  <c r="B24395" i="1"/>
  <c r="B24396" i="1"/>
  <c r="B24397" i="1"/>
  <c r="B24398" i="1"/>
  <c r="B24399" i="1"/>
  <c r="B24400" i="1"/>
  <c r="B24401" i="1"/>
  <c r="B24402" i="1"/>
  <c r="B24403" i="1"/>
  <c r="B24404" i="1"/>
  <c r="B24405" i="1"/>
  <c r="B24406" i="1"/>
  <c r="B24407" i="1"/>
  <c r="B24408" i="1"/>
  <c r="B24409" i="1"/>
  <c r="B24410" i="1"/>
  <c r="B24411" i="1"/>
  <c r="B24412" i="1"/>
  <c r="B24413" i="1"/>
  <c r="B24414" i="1"/>
  <c r="B24415" i="1"/>
  <c r="B24416" i="1"/>
  <c r="B24417" i="1"/>
  <c r="B24418" i="1"/>
  <c r="B24419" i="1"/>
  <c r="B24420" i="1"/>
  <c r="B24421" i="1"/>
  <c r="B24422" i="1"/>
  <c r="B24423" i="1"/>
  <c r="B24424" i="1"/>
  <c r="B24425" i="1"/>
  <c r="B24426" i="1"/>
  <c r="B24427" i="1"/>
  <c r="B24428" i="1"/>
  <c r="B24429" i="1"/>
  <c r="B24430" i="1"/>
  <c r="B24431" i="1"/>
  <c r="B24432" i="1"/>
  <c r="B24433" i="1"/>
  <c r="B24434" i="1"/>
  <c r="B24435" i="1"/>
  <c r="B24436" i="1"/>
  <c r="B24437" i="1"/>
  <c r="B24438" i="1"/>
  <c r="B24439" i="1"/>
  <c r="B24440" i="1"/>
  <c r="B24441" i="1"/>
  <c r="B24442" i="1"/>
  <c r="B24443" i="1"/>
  <c r="B24444" i="1"/>
  <c r="B24445" i="1"/>
  <c r="B24446" i="1"/>
  <c r="B24447" i="1"/>
  <c r="B24448" i="1"/>
  <c r="B24449" i="1"/>
  <c r="B24450" i="1"/>
  <c r="B24451" i="1"/>
  <c r="B24452" i="1"/>
  <c r="B24453" i="1"/>
  <c r="B24454" i="1"/>
  <c r="B24455" i="1"/>
  <c r="B24456" i="1"/>
  <c r="B24457" i="1"/>
  <c r="B24458" i="1"/>
  <c r="B24459" i="1"/>
  <c r="B24460" i="1"/>
  <c r="B24461" i="1"/>
  <c r="B24462" i="1"/>
  <c r="B24463" i="1"/>
  <c r="B24464" i="1"/>
  <c r="B24465" i="1"/>
  <c r="B24466" i="1"/>
  <c r="B24467" i="1"/>
  <c r="B24468" i="1"/>
  <c r="B24469" i="1"/>
  <c r="B24470" i="1"/>
  <c r="B24471" i="1"/>
  <c r="B24472" i="1"/>
  <c r="B24473" i="1"/>
  <c r="B24474" i="1"/>
  <c r="B24475" i="1"/>
  <c r="B24476" i="1"/>
  <c r="B24477" i="1"/>
  <c r="B24478" i="1"/>
  <c r="B24479" i="1"/>
  <c r="B24480" i="1"/>
  <c r="B24481" i="1"/>
  <c r="B24482" i="1"/>
  <c r="B24483" i="1"/>
  <c r="B24484" i="1"/>
  <c r="B24485" i="1"/>
  <c r="B24486" i="1"/>
  <c r="B24487" i="1"/>
  <c r="B24488" i="1"/>
  <c r="B24489" i="1"/>
  <c r="B24490" i="1"/>
  <c r="B24491" i="1"/>
  <c r="B24492" i="1"/>
  <c r="B24493" i="1"/>
  <c r="B24494" i="1"/>
  <c r="B24495" i="1"/>
  <c r="B24496" i="1"/>
  <c r="B24497" i="1"/>
  <c r="B24498" i="1"/>
  <c r="B24499" i="1"/>
  <c r="B24500" i="1"/>
  <c r="B24501" i="1"/>
  <c r="B24502" i="1"/>
  <c r="B24503" i="1"/>
  <c r="B24504" i="1"/>
  <c r="B24505" i="1"/>
  <c r="B24506" i="1"/>
  <c r="B24507" i="1"/>
  <c r="B24508" i="1"/>
  <c r="B24509" i="1"/>
  <c r="B24510" i="1"/>
  <c r="B24511" i="1"/>
  <c r="B24512" i="1"/>
  <c r="B24513" i="1"/>
  <c r="B24514" i="1"/>
  <c r="B24515" i="1"/>
  <c r="B24516" i="1"/>
  <c r="B24517" i="1"/>
  <c r="B24518" i="1"/>
  <c r="B24519" i="1"/>
  <c r="B24520" i="1"/>
  <c r="B24521" i="1"/>
  <c r="B24522" i="1"/>
  <c r="B24523" i="1"/>
  <c r="B24524" i="1"/>
  <c r="B24525" i="1"/>
  <c r="B24526" i="1"/>
  <c r="B24527" i="1"/>
  <c r="B24528" i="1"/>
  <c r="B24529" i="1"/>
  <c r="B24530" i="1"/>
  <c r="B24531" i="1"/>
  <c r="B24532" i="1"/>
  <c r="B24533" i="1"/>
  <c r="B24534" i="1"/>
  <c r="B24535" i="1"/>
  <c r="B24536" i="1"/>
  <c r="B24537" i="1"/>
  <c r="B24538" i="1"/>
  <c r="B24539" i="1"/>
  <c r="B24540" i="1"/>
  <c r="B24541" i="1"/>
  <c r="B24542" i="1"/>
  <c r="B24543" i="1"/>
  <c r="B24544" i="1"/>
  <c r="B24545" i="1"/>
  <c r="B24546" i="1"/>
  <c r="B24547" i="1"/>
  <c r="B24548" i="1"/>
  <c r="B24549" i="1"/>
  <c r="B24550" i="1"/>
  <c r="B24551" i="1"/>
  <c r="B24552" i="1"/>
  <c r="B24553" i="1"/>
  <c r="B24554" i="1"/>
  <c r="B24555" i="1"/>
  <c r="B24556" i="1"/>
  <c r="B24557" i="1"/>
  <c r="B24558" i="1"/>
  <c r="B24559" i="1"/>
  <c r="B24560" i="1"/>
  <c r="B24561" i="1"/>
  <c r="B24562" i="1"/>
  <c r="B24563" i="1"/>
  <c r="B24564" i="1"/>
  <c r="B24565" i="1"/>
  <c r="B24566" i="1"/>
  <c r="B24567" i="1"/>
  <c r="B24568" i="1"/>
  <c r="B24569" i="1"/>
  <c r="B24570" i="1"/>
  <c r="B24571" i="1"/>
  <c r="B24572" i="1"/>
  <c r="B24573" i="1"/>
  <c r="B24574" i="1"/>
  <c r="B24575" i="1"/>
  <c r="B24576" i="1"/>
  <c r="B24577" i="1"/>
  <c r="B24578" i="1"/>
  <c r="B24579" i="1"/>
  <c r="B24580" i="1"/>
  <c r="B24581" i="1"/>
  <c r="B24582" i="1"/>
  <c r="B24583" i="1"/>
  <c r="B24584" i="1"/>
  <c r="B24585" i="1"/>
  <c r="B24586" i="1"/>
  <c r="B24587" i="1"/>
  <c r="B24588" i="1"/>
  <c r="B24589" i="1"/>
  <c r="B24590" i="1"/>
  <c r="B24591" i="1"/>
  <c r="B24592" i="1"/>
  <c r="B24593" i="1"/>
  <c r="B24594" i="1"/>
  <c r="B24595" i="1"/>
  <c r="B24596" i="1"/>
  <c r="B24597" i="1"/>
  <c r="B24598" i="1"/>
  <c r="B24599" i="1"/>
  <c r="B24600" i="1"/>
  <c r="B24601" i="1"/>
  <c r="B24602" i="1"/>
  <c r="B24603" i="1"/>
  <c r="B24604" i="1"/>
  <c r="B24605" i="1"/>
  <c r="B24606" i="1"/>
  <c r="B24607" i="1"/>
  <c r="B24608" i="1"/>
  <c r="B24609" i="1"/>
  <c r="B24610" i="1"/>
  <c r="B24611" i="1"/>
  <c r="B24612" i="1"/>
  <c r="B24613" i="1"/>
  <c r="B24614" i="1"/>
  <c r="B24615" i="1"/>
  <c r="B24616" i="1"/>
  <c r="B24617" i="1"/>
  <c r="B24618" i="1"/>
  <c r="B24619" i="1"/>
  <c r="B24620" i="1"/>
  <c r="B24621" i="1"/>
  <c r="B24622" i="1"/>
  <c r="B24623" i="1"/>
  <c r="B24624" i="1"/>
  <c r="B24625" i="1"/>
  <c r="B24626" i="1"/>
  <c r="B24627" i="1"/>
  <c r="B24628" i="1"/>
  <c r="B24629" i="1"/>
  <c r="B24630" i="1"/>
  <c r="B24631" i="1"/>
  <c r="B24632" i="1"/>
  <c r="B24633" i="1"/>
  <c r="B24634" i="1"/>
  <c r="B24635" i="1"/>
  <c r="B24636" i="1"/>
  <c r="B24637" i="1"/>
  <c r="B24638" i="1"/>
  <c r="B24639" i="1"/>
  <c r="B24640" i="1"/>
  <c r="B24641" i="1"/>
  <c r="B24642" i="1"/>
  <c r="B24643" i="1"/>
  <c r="B24644" i="1"/>
  <c r="B24645" i="1"/>
  <c r="B24646" i="1"/>
  <c r="B24647" i="1"/>
  <c r="B24648" i="1"/>
  <c r="B24649" i="1"/>
  <c r="B24650" i="1"/>
  <c r="B24651" i="1"/>
  <c r="B24652" i="1"/>
  <c r="B24653" i="1"/>
  <c r="B24654" i="1"/>
  <c r="B24655" i="1"/>
  <c r="B24656" i="1"/>
  <c r="B24657" i="1"/>
  <c r="B24658" i="1"/>
  <c r="B24659" i="1"/>
  <c r="B24660" i="1"/>
  <c r="B24661" i="1"/>
  <c r="B24662" i="1"/>
  <c r="B24663" i="1"/>
  <c r="B24664" i="1"/>
  <c r="B24665" i="1"/>
  <c r="B24666" i="1"/>
  <c r="B24667" i="1"/>
  <c r="B24668" i="1"/>
  <c r="B24669" i="1"/>
  <c r="B24670" i="1"/>
  <c r="B24671" i="1"/>
  <c r="B24672" i="1"/>
  <c r="B24673" i="1"/>
  <c r="B24674" i="1"/>
  <c r="B24675" i="1"/>
  <c r="B24676" i="1"/>
  <c r="B24677" i="1"/>
  <c r="B24678" i="1"/>
  <c r="B24679" i="1"/>
  <c r="B24680" i="1"/>
  <c r="B24681" i="1"/>
  <c r="B24682" i="1"/>
  <c r="B24683" i="1"/>
  <c r="B24684" i="1"/>
  <c r="B24685" i="1"/>
  <c r="B24686" i="1"/>
  <c r="B24687" i="1"/>
  <c r="B24688" i="1"/>
  <c r="B24689" i="1"/>
  <c r="B24690" i="1"/>
  <c r="B24691" i="1"/>
  <c r="B24692" i="1"/>
  <c r="B24693" i="1"/>
  <c r="B24694" i="1"/>
  <c r="B24695" i="1"/>
  <c r="B24696" i="1"/>
  <c r="B24697" i="1"/>
  <c r="B24698" i="1"/>
  <c r="B24699" i="1"/>
  <c r="B24700" i="1"/>
  <c r="B24701" i="1"/>
  <c r="B24702" i="1"/>
  <c r="B24703" i="1"/>
  <c r="B24704" i="1"/>
  <c r="B24705" i="1"/>
  <c r="B24706" i="1"/>
  <c r="B24707" i="1"/>
  <c r="B24708" i="1"/>
  <c r="B24709" i="1"/>
  <c r="B24710" i="1"/>
  <c r="B24711" i="1"/>
  <c r="B24712" i="1"/>
  <c r="B24713" i="1"/>
  <c r="B24714" i="1"/>
  <c r="B24715" i="1"/>
  <c r="B24716" i="1"/>
  <c r="B24717" i="1"/>
  <c r="B24718" i="1"/>
  <c r="B24719" i="1"/>
  <c r="B24720" i="1"/>
  <c r="B24721" i="1"/>
  <c r="B24722" i="1"/>
  <c r="B24723" i="1"/>
  <c r="B24724" i="1"/>
  <c r="B24725" i="1"/>
  <c r="B24726" i="1"/>
  <c r="B24727" i="1"/>
  <c r="B24728" i="1"/>
  <c r="B24729" i="1"/>
  <c r="B24730" i="1"/>
  <c r="B24731" i="1"/>
  <c r="B24732" i="1"/>
  <c r="B24733" i="1"/>
  <c r="B24734" i="1"/>
  <c r="B24735" i="1"/>
  <c r="B24736" i="1"/>
  <c r="B24737" i="1"/>
  <c r="B24738" i="1"/>
  <c r="B24739" i="1"/>
  <c r="B24740" i="1"/>
  <c r="B24741" i="1"/>
  <c r="B24742" i="1"/>
  <c r="B24743" i="1"/>
  <c r="B24744" i="1"/>
  <c r="B24745" i="1"/>
  <c r="B24746" i="1"/>
  <c r="B24747" i="1"/>
  <c r="B24748" i="1"/>
  <c r="B24749" i="1"/>
  <c r="B24750" i="1"/>
  <c r="B24751" i="1"/>
  <c r="B24752" i="1"/>
  <c r="B24753" i="1"/>
  <c r="B24754" i="1"/>
  <c r="B24755" i="1"/>
  <c r="B24756" i="1"/>
  <c r="B24757" i="1"/>
  <c r="B24758" i="1"/>
  <c r="B24759" i="1"/>
  <c r="B24760" i="1"/>
  <c r="B24761" i="1"/>
  <c r="B24762" i="1"/>
  <c r="B24763" i="1"/>
  <c r="B24764" i="1"/>
  <c r="B24765" i="1"/>
  <c r="B24766" i="1"/>
  <c r="B24767" i="1"/>
  <c r="B24768" i="1"/>
  <c r="B24769" i="1"/>
  <c r="B24770" i="1"/>
  <c r="B24771" i="1"/>
  <c r="B24772" i="1"/>
  <c r="B24773" i="1"/>
  <c r="B24774" i="1"/>
  <c r="B24775" i="1"/>
  <c r="B24776" i="1"/>
  <c r="B24777" i="1"/>
  <c r="B24778" i="1"/>
  <c r="B24779" i="1"/>
  <c r="B24780" i="1"/>
  <c r="B24781" i="1"/>
  <c r="B24782" i="1"/>
  <c r="B24783" i="1"/>
  <c r="B24784" i="1"/>
  <c r="B24785" i="1"/>
  <c r="B24786" i="1"/>
  <c r="B24787" i="1"/>
  <c r="B24788" i="1"/>
  <c r="B24789" i="1"/>
  <c r="B24790" i="1"/>
  <c r="B24791" i="1"/>
  <c r="B24792" i="1"/>
  <c r="B24793" i="1"/>
  <c r="B24794" i="1"/>
  <c r="B24795" i="1"/>
  <c r="B24796" i="1"/>
  <c r="B24797" i="1"/>
  <c r="B24798" i="1"/>
  <c r="B24799" i="1"/>
  <c r="B24800" i="1"/>
  <c r="B24801" i="1"/>
  <c r="B24802" i="1"/>
  <c r="B24803" i="1"/>
  <c r="B24804" i="1"/>
  <c r="B24805" i="1"/>
  <c r="B24806" i="1"/>
  <c r="B24807" i="1"/>
  <c r="B24808" i="1"/>
  <c r="B24809" i="1"/>
  <c r="B24810" i="1"/>
  <c r="B24811" i="1"/>
  <c r="B24812" i="1"/>
  <c r="B24813" i="1"/>
  <c r="B24814" i="1"/>
  <c r="B24815" i="1"/>
  <c r="B24816" i="1"/>
  <c r="B24817" i="1"/>
  <c r="B24818" i="1"/>
  <c r="B24819" i="1"/>
  <c r="B24820" i="1"/>
  <c r="B24821" i="1"/>
  <c r="B24822" i="1"/>
  <c r="B24823" i="1"/>
  <c r="B24824" i="1"/>
  <c r="B24825" i="1"/>
  <c r="B24826" i="1"/>
  <c r="B24827" i="1"/>
  <c r="B24828" i="1"/>
  <c r="B24829" i="1"/>
  <c r="B24830" i="1"/>
  <c r="B24831" i="1"/>
  <c r="B24832" i="1"/>
  <c r="B24833" i="1"/>
  <c r="B24834" i="1"/>
  <c r="B24835" i="1"/>
  <c r="B24836" i="1"/>
  <c r="B24837" i="1"/>
  <c r="B24838" i="1"/>
  <c r="B24839" i="1"/>
  <c r="B24840" i="1"/>
  <c r="B24841" i="1"/>
  <c r="B24842" i="1"/>
  <c r="B24843" i="1"/>
  <c r="B24844" i="1"/>
  <c r="B24845" i="1"/>
  <c r="B24846" i="1"/>
  <c r="B24847" i="1"/>
  <c r="B24848" i="1"/>
  <c r="B24849" i="1"/>
  <c r="B24850" i="1"/>
  <c r="B24851" i="1"/>
  <c r="B24852" i="1"/>
  <c r="B24853" i="1"/>
  <c r="B24854" i="1"/>
  <c r="B24855" i="1"/>
  <c r="B24856" i="1"/>
  <c r="B24857" i="1"/>
  <c r="B24858" i="1"/>
  <c r="B24859" i="1"/>
  <c r="B24860" i="1"/>
  <c r="B24861" i="1"/>
  <c r="B24862" i="1"/>
  <c r="B24863" i="1"/>
  <c r="B24864" i="1"/>
  <c r="B24865" i="1"/>
  <c r="B24866" i="1"/>
  <c r="B24867" i="1"/>
  <c r="B24868" i="1"/>
  <c r="B24869" i="1"/>
  <c r="B24870" i="1"/>
  <c r="B24871" i="1"/>
  <c r="B24872" i="1"/>
  <c r="B24873" i="1"/>
  <c r="B24874" i="1"/>
  <c r="B24875" i="1"/>
  <c r="B24876" i="1"/>
  <c r="B24877" i="1"/>
  <c r="B24878" i="1"/>
  <c r="B24879" i="1"/>
  <c r="B24880" i="1"/>
  <c r="B24881" i="1"/>
  <c r="B24882" i="1"/>
  <c r="B24883" i="1"/>
  <c r="B24884" i="1"/>
  <c r="B24885" i="1"/>
  <c r="B24886" i="1"/>
  <c r="B24887" i="1"/>
  <c r="B24888" i="1"/>
  <c r="B24889" i="1"/>
  <c r="B24890" i="1"/>
  <c r="B24891" i="1"/>
  <c r="B24892" i="1"/>
  <c r="B24893" i="1"/>
  <c r="B24894" i="1"/>
  <c r="B24895" i="1"/>
  <c r="B24896" i="1"/>
  <c r="B24897" i="1"/>
  <c r="B24898" i="1"/>
  <c r="B24899" i="1"/>
  <c r="B24900" i="1"/>
  <c r="B24901" i="1"/>
  <c r="B24902" i="1"/>
  <c r="B24903" i="1"/>
  <c r="B24904" i="1"/>
  <c r="B24905" i="1"/>
  <c r="B24906" i="1"/>
  <c r="B24907" i="1"/>
  <c r="B24908" i="1"/>
  <c r="B24909" i="1"/>
  <c r="B24910" i="1"/>
  <c r="B24911" i="1"/>
  <c r="B24912" i="1"/>
  <c r="B24913" i="1"/>
  <c r="B24914" i="1"/>
  <c r="B24915" i="1"/>
  <c r="B24916" i="1"/>
  <c r="B24917" i="1"/>
  <c r="B24918" i="1"/>
  <c r="B24919" i="1"/>
  <c r="B24920" i="1"/>
  <c r="B24921" i="1"/>
  <c r="B24922" i="1"/>
  <c r="B24923" i="1"/>
  <c r="B24924" i="1"/>
  <c r="B24925" i="1"/>
  <c r="B24926" i="1"/>
  <c r="B24927" i="1"/>
  <c r="B24928" i="1"/>
  <c r="B24929" i="1"/>
  <c r="B24930" i="1"/>
  <c r="B24931" i="1"/>
  <c r="B24932" i="1"/>
  <c r="B24933" i="1"/>
  <c r="B24934" i="1"/>
  <c r="B24935" i="1"/>
  <c r="B24936" i="1"/>
  <c r="B24937" i="1"/>
  <c r="B24938" i="1"/>
  <c r="B24939" i="1"/>
  <c r="B24940" i="1"/>
  <c r="B24941" i="1"/>
  <c r="B24942" i="1"/>
  <c r="B24943" i="1"/>
  <c r="B24944" i="1"/>
  <c r="B24945" i="1"/>
  <c r="B24946" i="1"/>
  <c r="B24947" i="1"/>
  <c r="B24948" i="1"/>
  <c r="B24949" i="1"/>
  <c r="B24950" i="1"/>
  <c r="B24951" i="1"/>
  <c r="B24952" i="1"/>
  <c r="B24953" i="1"/>
  <c r="B24954" i="1"/>
  <c r="B24955" i="1"/>
  <c r="B24956" i="1"/>
  <c r="B24957" i="1"/>
  <c r="B24958" i="1"/>
  <c r="B24959" i="1"/>
  <c r="B24960" i="1"/>
  <c r="B24961" i="1"/>
  <c r="B24962" i="1"/>
  <c r="B24963" i="1"/>
  <c r="B24964" i="1"/>
  <c r="B24965" i="1"/>
  <c r="B24966" i="1"/>
  <c r="B24967" i="1"/>
  <c r="B24968" i="1"/>
  <c r="B24969" i="1"/>
  <c r="B24970" i="1"/>
  <c r="B24971" i="1"/>
  <c r="B24972" i="1"/>
  <c r="B24973" i="1"/>
  <c r="B24974" i="1"/>
  <c r="B24975" i="1"/>
  <c r="B24976" i="1"/>
  <c r="B24977" i="1"/>
  <c r="B24978" i="1"/>
  <c r="B24979" i="1"/>
  <c r="B24980" i="1"/>
  <c r="B24981" i="1"/>
  <c r="B24982" i="1"/>
  <c r="B24983" i="1"/>
  <c r="B24984" i="1"/>
  <c r="B24985" i="1"/>
  <c r="B24986" i="1"/>
  <c r="B24987" i="1"/>
  <c r="B24988" i="1"/>
  <c r="B24989" i="1"/>
  <c r="B24990" i="1"/>
  <c r="B24991" i="1"/>
  <c r="B24992" i="1"/>
  <c r="B24993" i="1"/>
  <c r="B24994" i="1"/>
  <c r="B24995" i="1"/>
  <c r="B24996" i="1"/>
  <c r="B24997" i="1"/>
  <c r="B24998" i="1"/>
  <c r="B24999" i="1"/>
  <c r="B25000" i="1"/>
  <c r="B25001" i="1"/>
  <c r="B25002" i="1"/>
  <c r="B25003" i="1"/>
  <c r="B25004" i="1"/>
  <c r="B25005" i="1"/>
  <c r="B25006" i="1"/>
  <c r="B25007" i="1"/>
  <c r="B25008" i="1"/>
  <c r="B25009" i="1"/>
  <c r="B25010" i="1"/>
  <c r="B25011" i="1"/>
  <c r="B25012" i="1"/>
  <c r="B25013" i="1"/>
  <c r="B25014" i="1"/>
  <c r="B25015" i="1"/>
  <c r="B25016" i="1"/>
  <c r="B25017" i="1"/>
  <c r="B25018" i="1"/>
  <c r="B25019" i="1"/>
  <c r="B25020" i="1"/>
  <c r="B25021" i="1"/>
  <c r="B25022" i="1"/>
  <c r="B25023" i="1"/>
  <c r="B25024" i="1"/>
  <c r="B25025" i="1"/>
  <c r="B25026" i="1"/>
  <c r="B25027" i="1"/>
  <c r="B25028" i="1"/>
  <c r="B25029" i="1"/>
  <c r="B25030" i="1"/>
  <c r="B25031" i="1"/>
  <c r="B25032" i="1"/>
  <c r="B25033" i="1"/>
  <c r="B25034" i="1"/>
  <c r="B25035" i="1"/>
  <c r="B25036" i="1"/>
  <c r="B25037" i="1"/>
  <c r="B25038" i="1"/>
  <c r="B25039" i="1"/>
  <c r="B25040" i="1"/>
  <c r="B25041" i="1"/>
  <c r="B25042" i="1"/>
  <c r="B25043" i="1"/>
  <c r="B25044" i="1"/>
  <c r="B25045" i="1"/>
  <c r="B25046" i="1"/>
  <c r="B25047" i="1"/>
  <c r="B25048" i="1"/>
  <c r="B25049" i="1"/>
  <c r="B25050" i="1"/>
  <c r="B25051" i="1"/>
  <c r="B25052" i="1"/>
  <c r="B25053" i="1"/>
  <c r="B25054" i="1"/>
  <c r="B25055" i="1"/>
  <c r="B25056" i="1"/>
  <c r="B25057" i="1"/>
  <c r="B25058" i="1"/>
  <c r="B25059" i="1"/>
  <c r="B25060" i="1"/>
  <c r="B25061" i="1"/>
  <c r="B25062" i="1"/>
  <c r="B25063" i="1"/>
  <c r="B25064" i="1"/>
  <c r="B25065" i="1"/>
  <c r="B25066" i="1"/>
  <c r="B25067" i="1"/>
  <c r="B25068" i="1"/>
  <c r="B25069" i="1"/>
  <c r="B25070" i="1"/>
  <c r="B25071" i="1"/>
  <c r="B25072" i="1"/>
  <c r="B25073" i="1"/>
  <c r="B25074" i="1"/>
  <c r="B25075" i="1"/>
  <c r="B25076" i="1"/>
  <c r="B25077" i="1"/>
  <c r="B25078" i="1"/>
  <c r="B25079" i="1"/>
  <c r="B25080" i="1"/>
  <c r="B25081" i="1"/>
  <c r="B25082" i="1"/>
  <c r="B25083" i="1"/>
  <c r="B25084" i="1"/>
  <c r="B25085" i="1"/>
  <c r="B25086" i="1"/>
  <c r="B25087" i="1"/>
  <c r="B25088" i="1"/>
  <c r="B25089" i="1"/>
  <c r="B25090" i="1"/>
  <c r="B25091" i="1"/>
  <c r="B25092" i="1"/>
  <c r="B25093" i="1"/>
  <c r="B25094" i="1"/>
  <c r="B25095" i="1"/>
  <c r="B25096" i="1"/>
  <c r="B25097" i="1"/>
  <c r="B25098" i="1"/>
  <c r="B25099" i="1"/>
  <c r="B25100" i="1"/>
  <c r="B25101" i="1"/>
  <c r="B25102" i="1"/>
  <c r="B25103" i="1"/>
  <c r="B25104" i="1"/>
  <c r="B25105" i="1"/>
  <c r="B25106" i="1"/>
  <c r="B25107" i="1"/>
  <c r="B25108" i="1"/>
  <c r="B25109" i="1"/>
  <c r="B25110" i="1"/>
  <c r="B25111" i="1"/>
  <c r="B25112" i="1"/>
  <c r="B25113" i="1"/>
  <c r="B25114" i="1"/>
  <c r="B25115" i="1"/>
  <c r="B25116" i="1"/>
  <c r="B25117" i="1"/>
  <c r="B25118" i="1"/>
  <c r="B25119" i="1"/>
  <c r="B25120" i="1"/>
  <c r="B25121" i="1"/>
  <c r="B25122" i="1"/>
  <c r="B25123" i="1"/>
  <c r="B25124" i="1"/>
  <c r="B25125" i="1"/>
  <c r="B25126" i="1"/>
  <c r="B25127" i="1"/>
  <c r="B25128" i="1"/>
  <c r="B25129" i="1"/>
  <c r="B25130" i="1"/>
  <c r="B25131" i="1"/>
  <c r="B25132" i="1"/>
  <c r="B25133" i="1"/>
  <c r="B25134" i="1"/>
  <c r="B25135" i="1"/>
  <c r="B25136" i="1"/>
  <c r="B25137" i="1"/>
  <c r="B25138" i="1"/>
  <c r="B25139" i="1"/>
  <c r="B25140" i="1"/>
  <c r="B25141" i="1"/>
  <c r="B25142" i="1"/>
  <c r="B25143" i="1"/>
  <c r="B25144" i="1"/>
  <c r="B25145" i="1"/>
  <c r="B25146" i="1"/>
  <c r="B25147" i="1"/>
  <c r="B25148" i="1"/>
  <c r="B25149" i="1"/>
  <c r="B25150" i="1"/>
  <c r="B25151" i="1"/>
  <c r="B25152" i="1"/>
  <c r="B25153" i="1"/>
  <c r="B25154" i="1"/>
  <c r="B25155" i="1"/>
  <c r="B25156" i="1"/>
  <c r="B25157" i="1"/>
  <c r="B25158" i="1"/>
  <c r="B25159" i="1"/>
  <c r="B25160" i="1"/>
  <c r="B25161" i="1"/>
  <c r="B25162" i="1"/>
  <c r="B25163" i="1"/>
  <c r="B25164" i="1"/>
  <c r="B25165" i="1"/>
  <c r="B25166" i="1"/>
  <c r="B25167" i="1"/>
  <c r="B25168" i="1"/>
  <c r="B25169" i="1"/>
  <c r="B25170" i="1"/>
  <c r="B25171" i="1"/>
  <c r="B25172" i="1"/>
  <c r="B25173" i="1"/>
  <c r="B25174" i="1"/>
  <c r="B25175" i="1"/>
  <c r="B25176" i="1"/>
  <c r="B25177" i="1"/>
  <c r="B25178" i="1"/>
  <c r="B25179" i="1"/>
  <c r="B25180" i="1"/>
  <c r="B25181" i="1"/>
  <c r="B25182" i="1"/>
  <c r="B25183" i="1"/>
  <c r="B25184" i="1"/>
  <c r="B25185" i="1"/>
  <c r="B25186" i="1"/>
  <c r="B25187" i="1"/>
  <c r="B25188" i="1"/>
  <c r="B25189" i="1"/>
  <c r="B25190" i="1"/>
  <c r="B25191" i="1"/>
  <c r="B25192" i="1"/>
  <c r="B25193" i="1"/>
  <c r="B25194" i="1"/>
  <c r="B25195" i="1"/>
  <c r="B25196" i="1"/>
  <c r="B25197" i="1"/>
  <c r="B25198" i="1"/>
  <c r="B25199" i="1"/>
  <c r="B25200" i="1"/>
  <c r="B25201" i="1"/>
  <c r="B25202" i="1"/>
  <c r="B25203" i="1"/>
  <c r="B25204" i="1"/>
  <c r="B25205" i="1"/>
  <c r="B25206" i="1"/>
  <c r="B25207" i="1"/>
  <c r="B25208" i="1"/>
  <c r="B25209" i="1"/>
  <c r="B25210" i="1"/>
  <c r="B25211" i="1"/>
  <c r="B25212" i="1"/>
  <c r="B25213" i="1"/>
  <c r="B25214" i="1"/>
  <c r="B25215" i="1"/>
  <c r="B25216" i="1"/>
  <c r="B25217" i="1"/>
  <c r="B25218" i="1"/>
  <c r="B25219" i="1"/>
  <c r="B25220" i="1"/>
  <c r="B25221" i="1"/>
  <c r="B25222" i="1"/>
  <c r="B25223" i="1"/>
  <c r="B25224" i="1"/>
  <c r="B25225" i="1"/>
  <c r="B25226" i="1"/>
  <c r="B25227" i="1"/>
  <c r="B25228" i="1"/>
  <c r="B25229" i="1"/>
  <c r="B25230" i="1"/>
  <c r="B25231" i="1"/>
  <c r="B25232" i="1"/>
  <c r="B25233" i="1"/>
  <c r="B25234" i="1"/>
  <c r="B25235" i="1"/>
  <c r="B25236" i="1"/>
  <c r="B25237" i="1"/>
  <c r="B25238" i="1"/>
  <c r="B25239" i="1"/>
  <c r="B25240" i="1"/>
  <c r="B25241" i="1"/>
  <c r="B25242" i="1"/>
  <c r="B25243" i="1"/>
  <c r="B25244" i="1"/>
  <c r="B25245" i="1"/>
  <c r="B25246" i="1"/>
  <c r="B25247" i="1"/>
  <c r="B25248" i="1"/>
  <c r="B25249" i="1"/>
  <c r="B25250" i="1"/>
  <c r="B25251" i="1"/>
  <c r="B25252" i="1"/>
  <c r="B25253" i="1"/>
  <c r="B25254" i="1"/>
  <c r="B25255" i="1"/>
  <c r="B25256" i="1"/>
  <c r="B25257" i="1"/>
  <c r="B25258" i="1"/>
  <c r="B25259" i="1"/>
  <c r="B25260" i="1"/>
  <c r="B25261" i="1"/>
  <c r="B25262" i="1"/>
  <c r="B25263" i="1"/>
  <c r="B25264" i="1"/>
  <c r="B25265" i="1"/>
  <c r="B25266" i="1"/>
  <c r="B25267" i="1"/>
  <c r="B25268" i="1"/>
  <c r="B25269" i="1"/>
  <c r="B25270" i="1"/>
  <c r="B25271" i="1"/>
  <c r="B25272" i="1"/>
  <c r="B25273" i="1"/>
  <c r="B25274" i="1"/>
  <c r="B25275" i="1"/>
  <c r="B25276" i="1"/>
  <c r="B25277" i="1"/>
  <c r="B25278" i="1"/>
  <c r="B25279" i="1"/>
  <c r="B25280" i="1"/>
  <c r="B25281" i="1"/>
  <c r="B25282" i="1"/>
  <c r="B25283" i="1"/>
  <c r="B25284" i="1"/>
  <c r="B25285" i="1"/>
  <c r="B25286" i="1"/>
  <c r="B25287" i="1"/>
  <c r="B25288" i="1"/>
  <c r="B25289" i="1"/>
  <c r="B25290" i="1"/>
  <c r="B25291" i="1"/>
  <c r="B25292" i="1"/>
  <c r="B25293" i="1"/>
  <c r="B25294" i="1"/>
  <c r="B25295" i="1"/>
  <c r="B25296" i="1"/>
  <c r="B25297" i="1"/>
  <c r="B25298" i="1"/>
  <c r="B25299" i="1"/>
  <c r="B25300" i="1"/>
  <c r="B25301" i="1"/>
  <c r="B25302" i="1"/>
  <c r="B25303" i="1"/>
  <c r="B25304" i="1"/>
  <c r="B25305" i="1"/>
  <c r="B25306" i="1"/>
  <c r="B25307" i="1"/>
  <c r="B25308" i="1"/>
  <c r="B25309" i="1"/>
  <c r="B25310" i="1"/>
  <c r="B25311" i="1"/>
  <c r="B25312" i="1"/>
  <c r="B25313" i="1"/>
  <c r="B25314" i="1"/>
  <c r="B25315" i="1"/>
  <c r="B25316" i="1"/>
  <c r="B25317" i="1"/>
  <c r="B25318" i="1"/>
  <c r="B25319" i="1"/>
  <c r="B25320" i="1"/>
  <c r="B25321" i="1"/>
  <c r="B25322" i="1"/>
  <c r="B25323" i="1"/>
  <c r="B25324" i="1"/>
  <c r="B25325" i="1"/>
  <c r="B25326" i="1"/>
  <c r="B25327" i="1"/>
  <c r="B25328" i="1"/>
  <c r="B25329" i="1"/>
  <c r="B25330" i="1"/>
  <c r="B25331" i="1"/>
  <c r="B25332" i="1"/>
  <c r="B25333" i="1"/>
  <c r="B25334" i="1"/>
  <c r="B25335" i="1"/>
  <c r="B25336" i="1"/>
  <c r="B25337" i="1"/>
  <c r="B25338" i="1"/>
  <c r="B25339" i="1"/>
  <c r="B25340" i="1"/>
  <c r="B25341" i="1"/>
  <c r="B25342" i="1"/>
  <c r="B25343" i="1"/>
  <c r="B25344" i="1"/>
  <c r="B25345" i="1"/>
  <c r="B25346" i="1"/>
  <c r="B25347" i="1"/>
  <c r="B25348" i="1"/>
  <c r="B25349" i="1"/>
  <c r="B25350" i="1"/>
  <c r="B25351" i="1"/>
  <c r="B25352" i="1"/>
  <c r="B25353" i="1"/>
  <c r="B25354" i="1"/>
  <c r="B25355" i="1"/>
  <c r="B25356" i="1"/>
  <c r="B25357" i="1"/>
  <c r="B25358" i="1"/>
  <c r="B25359" i="1"/>
  <c r="B25360" i="1"/>
  <c r="B25361" i="1"/>
  <c r="B25362" i="1"/>
  <c r="B25363" i="1"/>
  <c r="B25364" i="1"/>
  <c r="B25365" i="1"/>
  <c r="B25366" i="1"/>
  <c r="B25367" i="1"/>
  <c r="B25368" i="1"/>
  <c r="B25369" i="1"/>
  <c r="B25370" i="1"/>
  <c r="B25371" i="1"/>
  <c r="B25372" i="1"/>
  <c r="B25373" i="1"/>
  <c r="B25374" i="1"/>
  <c r="B25375" i="1"/>
  <c r="B25376" i="1"/>
  <c r="B25377" i="1"/>
  <c r="B25378" i="1"/>
  <c r="B25379" i="1"/>
  <c r="B25380" i="1"/>
  <c r="B25381" i="1"/>
  <c r="B25382" i="1"/>
  <c r="B25383" i="1"/>
  <c r="B25384" i="1"/>
  <c r="B25385" i="1"/>
  <c r="B25386" i="1"/>
  <c r="B25387" i="1"/>
  <c r="B25388" i="1"/>
  <c r="B25389" i="1"/>
  <c r="B25390" i="1"/>
  <c r="B25391" i="1"/>
  <c r="B25392" i="1"/>
  <c r="B25393" i="1"/>
  <c r="B25394" i="1"/>
  <c r="B25395" i="1"/>
  <c r="B25396" i="1"/>
  <c r="B25397" i="1"/>
  <c r="B25398" i="1"/>
  <c r="B25399" i="1"/>
  <c r="B25400" i="1"/>
  <c r="B25401" i="1"/>
  <c r="B25402" i="1"/>
  <c r="B25403" i="1"/>
  <c r="B25404" i="1"/>
  <c r="B25405" i="1"/>
  <c r="B25406" i="1"/>
  <c r="B25407" i="1"/>
  <c r="B25408" i="1"/>
  <c r="B25409" i="1"/>
  <c r="B25410" i="1"/>
  <c r="B25411" i="1"/>
  <c r="B25412" i="1"/>
  <c r="B25413" i="1"/>
  <c r="B25414" i="1"/>
  <c r="B25415" i="1"/>
  <c r="B25416" i="1"/>
  <c r="B25417" i="1"/>
  <c r="B25418" i="1"/>
  <c r="B25419" i="1"/>
  <c r="B25420" i="1"/>
  <c r="B25421" i="1"/>
  <c r="B25422" i="1"/>
  <c r="B25423" i="1"/>
  <c r="B25424" i="1"/>
  <c r="B25425" i="1"/>
  <c r="B25426" i="1"/>
  <c r="B25427" i="1"/>
  <c r="B25428" i="1"/>
  <c r="B25429" i="1"/>
  <c r="B25430" i="1"/>
  <c r="B25431" i="1"/>
  <c r="B25432" i="1"/>
  <c r="B25433" i="1"/>
  <c r="B25434" i="1"/>
  <c r="B25435" i="1"/>
  <c r="B25436" i="1"/>
  <c r="B25437" i="1"/>
  <c r="B25438" i="1"/>
  <c r="B25439" i="1"/>
  <c r="B25440" i="1"/>
  <c r="B25441" i="1"/>
  <c r="B25442" i="1"/>
  <c r="B25443" i="1"/>
  <c r="B25444" i="1"/>
  <c r="B25445" i="1"/>
  <c r="B25446" i="1"/>
  <c r="B25447" i="1"/>
  <c r="B25448" i="1"/>
  <c r="B25449" i="1"/>
  <c r="B25450" i="1"/>
  <c r="B25451" i="1"/>
  <c r="B25452" i="1"/>
  <c r="B25453" i="1"/>
  <c r="B25454" i="1"/>
  <c r="B25455" i="1"/>
  <c r="B25456" i="1"/>
  <c r="B25457" i="1"/>
  <c r="B25458" i="1"/>
  <c r="B25459" i="1"/>
  <c r="B25460" i="1"/>
  <c r="B25461" i="1"/>
  <c r="B25462" i="1"/>
  <c r="B25463" i="1"/>
  <c r="B25464" i="1"/>
  <c r="B25465" i="1"/>
  <c r="B25466" i="1"/>
  <c r="B25467" i="1"/>
  <c r="B25468" i="1"/>
  <c r="B25469" i="1"/>
  <c r="B25470" i="1"/>
  <c r="B25471" i="1"/>
  <c r="B25472" i="1"/>
  <c r="B25473" i="1"/>
  <c r="B25474" i="1"/>
  <c r="B25475" i="1"/>
  <c r="B25476" i="1"/>
  <c r="B25477" i="1"/>
  <c r="B25478" i="1"/>
  <c r="B25479" i="1"/>
  <c r="B25480" i="1"/>
  <c r="B25481" i="1"/>
  <c r="B25482" i="1"/>
  <c r="B25483" i="1"/>
  <c r="B25484" i="1"/>
  <c r="B25485" i="1"/>
  <c r="B25486" i="1"/>
  <c r="B25487" i="1"/>
  <c r="B25488" i="1"/>
  <c r="B25489" i="1"/>
  <c r="B25490" i="1"/>
  <c r="B25491" i="1"/>
  <c r="B25492" i="1"/>
  <c r="B25493" i="1"/>
  <c r="B25494" i="1"/>
  <c r="B25495" i="1"/>
  <c r="B25496" i="1"/>
  <c r="B25497" i="1"/>
  <c r="B25498" i="1"/>
  <c r="B25499" i="1"/>
  <c r="B25500" i="1"/>
  <c r="B25501" i="1"/>
  <c r="B25502" i="1"/>
  <c r="B25503" i="1"/>
  <c r="B25504" i="1"/>
  <c r="B25505" i="1"/>
  <c r="B25506" i="1"/>
  <c r="B25507" i="1"/>
  <c r="B25508" i="1"/>
  <c r="B25509" i="1"/>
  <c r="B25510" i="1"/>
  <c r="B25511" i="1"/>
  <c r="B25512" i="1"/>
  <c r="B25513" i="1"/>
  <c r="B25514" i="1"/>
  <c r="B25515" i="1"/>
  <c r="B25516" i="1"/>
  <c r="B25517" i="1"/>
  <c r="B25518" i="1"/>
  <c r="B25519" i="1"/>
  <c r="B25520" i="1"/>
  <c r="B25521" i="1"/>
  <c r="B25522" i="1"/>
  <c r="B25523" i="1"/>
  <c r="B25524" i="1"/>
  <c r="B25525" i="1"/>
  <c r="B25526" i="1"/>
  <c r="B25527" i="1"/>
  <c r="B25528" i="1"/>
  <c r="B25529" i="1"/>
  <c r="B25530" i="1"/>
  <c r="B25531" i="1"/>
  <c r="B25532" i="1"/>
  <c r="B25533" i="1"/>
  <c r="B25534" i="1"/>
  <c r="B25535" i="1"/>
  <c r="B25536" i="1"/>
  <c r="B25537" i="1"/>
  <c r="B25538" i="1"/>
  <c r="B25539" i="1"/>
  <c r="B25540" i="1"/>
  <c r="B25541" i="1"/>
  <c r="B25542" i="1"/>
  <c r="B25543" i="1"/>
  <c r="B25544" i="1"/>
  <c r="B25545" i="1"/>
  <c r="B25546" i="1"/>
  <c r="B25547" i="1"/>
  <c r="B25548" i="1"/>
  <c r="B25549" i="1"/>
  <c r="B25550" i="1"/>
  <c r="B25551" i="1"/>
  <c r="B25552" i="1"/>
  <c r="B25553" i="1"/>
  <c r="B25554" i="1"/>
  <c r="B25555" i="1"/>
  <c r="B25556" i="1"/>
  <c r="B25557" i="1"/>
  <c r="B25558" i="1"/>
  <c r="B25559" i="1"/>
  <c r="B25560" i="1"/>
  <c r="B25561" i="1"/>
  <c r="B25562" i="1"/>
  <c r="B25563" i="1"/>
  <c r="B25564" i="1"/>
  <c r="B25565" i="1"/>
  <c r="B25566" i="1"/>
  <c r="B25567" i="1"/>
  <c r="B25568" i="1"/>
  <c r="B25569" i="1"/>
  <c r="B25570" i="1"/>
  <c r="B25571" i="1"/>
  <c r="B25572" i="1"/>
  <c r="B25573" i="1"/>
  <c r="B25574" i="1"/>
  <c r="B25575" i="1"/>
  <c r="B25576" i="1"/>
  <c r="B25577" i="1"/>
  <c r="B25578" i="1"/>
  <c r="B25579" i="1"/>
  <c r="B25580" i="1"/>
  <c r="B25581" i="1"/>
  <c r="B25582" i="1"/>
  <c r="B25583" i="1"/>
  <c r="B25584" i="1"/>
  <c r="B25585" i="1"/>
  <c r="B25586" i="1"/>
  <c r="B25587" i="1"/>
  <c r="B25588" i="1"/>
  <c r="B25589" i="1"/>
  <c r="B25590" i="1"/>
  <c r="B25591" i="1"/>
  <c r="B25592" i="1"/>
  <c r="B25593" i="1"/>
  <c r="B25594" i="1"/>
  <c r="B25595" i="1"/>
  <c r="B25596" i="1"/>
  <c r="B25597" i="1"/>
  <c r="B25598" i="1"/>
  <c r="B25599" i="1"/>
  <c r="B25600" i="1"/>
  <c r="B25601" i="1"/>
  <c r="B25602" i="1"/>
  <c r="B25603" i="1"/>
  <c r="B25604" i="1"/>
  <c r="B25605" i="1"/>
  <c r="B25606" i="1"/>
  <c r="B25607" i="1"/>
  <c r="B25608" i="1"/>
  <c r="B25609" i="1"/>
  <c r="B25610" i="1"/>
  <c r="B25611" i="1"/>
  <c r="B25612" i="1"/>
  <c r="B25613" i="1"/>
  <c r="B25614" i="1"/>
  <c r="B25615" i="1"/>
  <c r="B25616" i="1"/>
  <c r="B25617" i="1"/>
  <c r="B25618" i="1"/>
  <c r="B25619" i="1"/>
  <c r="B25620" i="1"/>
  <c r="B25621" i="1"/>
  <c r="B25622" i="1"/>
  <c r="B25623" i="1"/>
  <c r="B25624" i="1"/>
  <c r="B25625" i="1"/>
  <c r="B25626" i="1"/>
  <c r="B25627" i="1"/>
  <c r="B25628" i="1"/>
  <c r="B25629" i="1"/>
  <c r="B25630" i="1"/>
  <c r="B25631" i="1"/>
  <c r="B25632" i="1"/>
  <c r="B25633" i="1"/>
  <c r="B25634" i="1"/>
  <c r="B25635" i="1"/>
  <c r="B25636" i="1"/>
  <c r="B25637" i="1"/>
  <c r="B25638" i="1"/>
  <c r="B25639" i="1"/>
  <c r="B25640" i="1"/>
  <c r="B25641" i="1"/>
  <c r="B25642" i="1"/>
  <c r="B25643" i="1"/>
  <c r="B25644" i="1"/>
  <c r="B25645" i="1"/>
  <c r="B25646" i="1"/>
  <c r="B25647" i="1"/>
  <c r="B25648" i="1"/>
  <c r="B25649" i="1"/>
  <c r="B25650" i="1"/>
  <c r="B25651" i="1"/>
  <c r="B25652" i="1"/>
  <c r="B25653" i="1"/>
  <c r="B25654" i="1"/>
  <c r="B25655" i="1"/>
  <c r="B25656" i="1"/>
  <c r="B25657" i="1"/>
  <c r="B25658" i="1"/>
  <c r="B25659" i="1"/>
  <c r="B25660" i="1"/>
  <c r="B25661" i="1"/>
  <c r="B25662" i="1"/>
  <c r="B25663" i="1"/>
  <c r="B25664" i="1"/>
  <c r="B25665" i="1"/>
  <c r="B25666" i="1"/>
  <c r="B25667" i="1"/>
  <c r="B25668" i="1"/>
  <c r="B25669" i="1"/>
  <c r="B25670" i="1"/>
  <c r="B25671" i="1"/>
  <c r="B25672" i="1"/>
  <c r="B25673" i="1"/>
  <c r="B25674" i="1"/>
  <c r="B25675" i="1"/>
  <c r="B25676" i="1"/>
  <c r="B25677" i="1"/>
  <c r="B25678" i="1"/>
  <c r="B25679" i="1"/>
  <c r="B25680" i="1"/>
  <c r="B25681" i="1"/>
  <c r="B25682" i="1"/>
  <c r="B25683" i="1"/>
  <c r="B25684" i="1"/>
  <c r="B25685" i="1"/>
  <c r="B25686" i="1"/>
  <c r="B25687" i="1"/>
  <c r="B25688" i="1"/>
  <c r="B25689" i="1"/>
  <c r="B25690" i="1"/>
  <c r="B25691" i="1"/>
  <c r="B25692" i="1"/>
  <c r="B25693" i="1"/>
  <c r="B25694" i="1"/>
  <c r="B25695" i="1"/>
  <c r="B25696" i="1"/>
  <c r="B25697" i="1"/>
  <c r="B25698" i="1"/>
  <c r="B25699" i="1"/>
  <c r="B25700" i="1"/>
  <c r="B25701" i="1"/>
  <c r="B25702" i="1"/>
  <c r="B25703" i="1"/>
  <c r="B25704" i="1"/>
  <c r="B25705" i="1"/>
  <c r="B25706" i="1"/>
  <c r="B25707" i="1"/>
  <c r="B25708" i="1"/>
  <c r="B25709" i="1"/>
  <c r="B25710" i="1"/>
  <c r="B25711" i="1"/>
  <c r="B25712" i="1"/>
  <c r="B25713" i="1"/>
  <c r="B25714" i="1"/>
  <c r="B25715" i="1"/>
  <c r="B25716" i="1"/>
  <c r="B25717" i="1"/>
  <c r="B25718" i="1"/>
  <c r="B25719" i="1"/>
  <c r="B25720" i="1"/>
  <c r="B25721" i="1"/>
  <c r="B25722" i="1"/>
  <c r="B25723" i="1"/>
  <c r="B25724" i="1"/>
  <c r="B25725" i="1"/>
  <c r="B25726" i="1"/>
  <c r="B25727" i="1"/>
  <c r="B25728" i="1"/>
  <c r="B25729" i="1"/>
  <c r="B25730" i="1"/>
  <c r="B25731" i="1"/>
  <c r="B25732" i="1"/>
  <c r="B25733" i="1"/>
  <c r="B25734" i="1"/>
  <c r="B25735" i="1"/>
  <c r="B25736" i="1"/>
  <c r="B25737" i="1"/>
  <c r="B25738" i="1"/>
  <c r="B25739" i="1"/>
  <c r="B25740" i="1"/>
  <c r="B25741" i="1"/>
  <c r="B25742" i="1"/>
  <c r="B25743" i="1"/>
  <c r="B25744" i="1"/>
  <c r="B25745" i="1"/>
  <c r="B25746" i="1"/>
  <c r="B25747" i="1"/>
  <c r="B25748" i="1"/>
  <c r="B25749" i="1"/>
  <c r="B25750" i="1"/>
  <c r="B25751" i="1"/>
  <c r="B25752" i="1"/>
  <c r="B25753" i="1"/>
  <c r="B25754" i="1"/>
  <c r="B25755" i="1"/>
  <c r="B25756" i="1"/>
  <c r="B25757" i="1"/>
  <c r="B25758" i="1"/>
  <c r="B25759" i="1"/>
  <c r="B25760" i="1"/>
  <c r="B25761" i="1"/>
  <c r="B25762" i="1"/>
  <c r="B25763" i="1"/>
  <c r="B25764" i="1"/>
  <c r="B25765" i="1"/>
  <c r="B25766" i="1"/>
  <c r="B25767" i="1"/>
  <c r="B25768" i="1"/>
  <c r="B25769" i="1"/>
  <c r="B25770" i="1"/>
  <c r="B25771" i="1"/>
  <c r="B25772" i="1"/>
  <c r="B25773" i="1"/>
  <c r="B25774" i="1"/>
  <c r="B25775" i="1"/>
  <c r="B25776" i="1"/>
  <c r="B25777" i="1"/>
  <c r="B25778" i="1"/>
  <c r="B25779" i="1"/>
  <c r="B25780" i="1"/>
  <c r="B25781" i="1"/>
  <c r="B25782" i="1"/>
  <c r="B25783" i="1"/>
  <c r="B25784" i="1"/>
  <c r="B25785" i="1"/>
  <c r="B25786" i="1"/>
  <c r="B25787" i="1"/>
  <c r="B25788" i="1"/>
  <c r="B25789" i="1"/>
  <c r="B25790" i="1"/>
  <c r="B25791" i="1"/>
  <c r="B25792" i="1"/>
  <c r="B25793" i="1"/>
  <c r="B25794" i="1"/>
  <c r="B25795" i="1"/>
  <c r="B25796" i="1"/>
  <c r="B25797" i="1"/>
  <c r="B25798" i="1"/>
  <c r="B25799" i="1"/>
  <c r="B25800" i="1"/>
  <c r="B25801" i="1"/>
  <c r="B25802" i="1"/>
  <c r="B25803" i="1"/>
  <c r="B25804" i="1"/>
  <c r="B25805" i="1"/>
  <c r="B25806" i="1"/>
  <c r="B25807" i="1"/>
  <c r="B25808" i="1"/>
  <c r="B25809" i="1"/>
  <c r="B25810" i="1"/>
  <c r="B25811" i="1"/>
  <c r="B25812" i="1"/>
  <c r="B25813" i="1"/>
  <c r="B25814" i="1"/>
  <c r="B25815" i="1"/>
  <c r="B25816" i="1"/>
  <c r="B25817" i="1"/>
  <c r="B25818" i="1"/>
  <c r="B25819" i="1"/>
  <c r="B25820" i="1"/>
  <c r="B25821" i="1"/>
  <c r="B25822" i="1"/>
  <c r="B25823" i="1"/>
  <c r="B25824" i="1"/>
  <c r="B25825" i="1"/>
  <c r="B25826" i="1"/>
  <c r="B25827" i="1"/>
  <c r="B25828" i="1"/>
  <c r="B25829" i="1"/>
  <c r="B25830" i="1"/>
  <c r="B25831" i="1"/>
  <c r="B25832" i="1"/>
  <c r="B25833" i="1"/>
  <c r="B25834" i="1"/>
  <c r="B25835" i="1"/>
  <c r="B25836" i="1"/>
  <c r="B25837" i="1"/>
  <c r="B25838" i="1"/>
  <c r="B25839" i="1"/>
  <c r="B25840" i="1"/>
  <c r="B25841" i="1"/>
  <c r="B25842" i="1"/>
  <c r="B25843" i="1"/>
  <c r="B25844" i="1"/>
  <c r="B25845" i="1"/>
  <c r="B25846" i="1"/>
  <c r="B25847" i="1"/>
  <c r="B25848" i="1"/>
  <c r="B25849" i="1"/>
  <c r="B25850" i="1"/>
  <c r="B25851" i="1"/>
  <c r="B25852" i="1"/>
  <c r="B25853" i="1"/>
  <c r="B25854" i="1"/>
  <c r="B25855" i="1"/>
  <c r="B25856" i="1"/>
  <c r="B25857" i="1"/>
  <c r="B25858" i="1"/>
  <c r="B25859" i="1"/>
  <c r="B25860" i="1"/>
  <c r="B25861" i="1"/>
  <c r="B25862" i="1"/>
  <c r="B25863" i="1"/>
  <c r="B25864" i="1"/>
  <c r="B25865" i="1"/>
  <c r="B25866" i="1"/>
  <c r="B25867" i="1"/>
  <c r="B25868" i="1"/>
  <c r="B25869" i="1"/>
  <c r="B25870" i="1"/>
  <c r="B25871" i="1"/>
  <c r="B25872" i="1"/>
  <c r="B25873" i="1"/>
  <c r="B25874" i="1"/>
  <c r="B25875" i="1"/>
  <c r="B25876" i="1"/>
  <c r="B25877" i="1"/>
  <c r="B25878" i="1"/>
  <c r="B25879" i="1"/>
  <c r="B25880" i="1"/>
  <c r="B25881" i="1"/>
  <c r="B25882" i="1"/>
  <c r="B25883" i="1"/>
  <c r="B25884" i="1"/>
  <c r="B25885" i="1"/>
  <c r="B25886" i="1"/>
  <c r="B25887" i="1"/>
  <c r="B25888" i="1"/>
  <c r="B25889" i="1"/>
  <c r="B25890" i="1"/>
  <c r="B25891" i="1"/>
  <c r="B25892" i="1"/>
  <c r="B25893" i="1"/>
  <c r="B25894" i="1"/>
  <c r="B25895" i="1"/>
  <c r="B25896" i="1"/>
  <c r="B25897" i="1"/>
  <c r="B25898" i="1"/>
  <c r="B25899" i="1"/>
  <c r="B25900" i="1"/>
  <c r="B25901" i="1"/>
  <c r="B25902" i="1"/>
  <c r="B25903" i="1"/>
  <c r="B25904" i="1"/>
  <c r="B25905" i="1"/>
  <c r="B25906" i="1"/>
  <c r="B25907" i="1"/>
  <c r="B25908" i="1"/>
  <c r="B25909" i="1"/>
  <c r="B25910" i="1"/>
  <c r="B25911" i="1"/>
  <c r="B25912" i="1"/>
  <c r="B25913" i="1"/>
  <c r="B25914" i="1"/>
  <c r="B25915" i="1"/>
  <c r="B25916" i="1"/>
  <c r="B25917" i="1"/>
  <c r="B25918" i="1"/>
  <c r="B25919" i="1"/>
  <c r="B25920" i="1"/>
  <c r="B25921" i="1"/>
  <c r="B25922" i="1"/>
  <c r="B25923" i="1"/>
  <c r="B25924" i="1"/>
  <c r="B25925" i="1"/>
  <c r="B25926" i="1"/>
  <c r="B25927" i="1"/>
  <c r="B25928" i="1"/>
  <c r="B25929" i="1"/>
  <c r="B25930" i="1"/>
  <c r="B25931" i="1"/>
  <c r="B25932" i="1"/>
  <c r="B25933" i="1"/>
  <c r="B25934" i="1"/>
  <c r="B25935" i="1"/>
  <c r="B25936" i="1"/>
  <c r="B25937" i="1"/>
  <c r="B25938" i="1"/>
  <c r="B25939" i="1"/>
  <c r="B25940" i="1"/>
  <c r="B25941" i="1"/>
  <c r="B25942" i="1"/>
  <c r="B25943" i="1"/>
  <c r="B25944" i="1"/>
  <c r="B25945" i="1"/>
  <c r="B25946" i="1"/>
  <c r="B25947" i="1"/>
  <c r="B25948" i="1"/>
  <c r="B25949" i="1"/>
  <c r="B25950" i="1"/>
  <c r="B25951" i="1"/>
  <c r="B25952" i="1"/>
  <c r="B25953" i="1"/>
  <c r="B25954" i="1"/>
  <c r="B25955" i="1"/>
  <c r="B25956" i="1"/>
  <c r="B25957" i="1"/>
  <c r="B25958" i="1"/>
  <c r="B25959" i="1"/>
  <c r="B25960" i="1"/>
  <c r="B25961" i="1"/>
  <c r="B25962" i="1"/>
  <c r="B25963" i="1"/>
  <c r="B25964" i="1"/>
  <c r="B25965" i="1"/>
  <c r="B25966" i="1"/>
  <c r="B25967" i="1"/>
  <c r="B25968" i="1"/>
  <c r="B25969" i="1"/>
  <c r="B25970" i="1"/>
  <c r="B25971" i="1"/>
  <c r="B25972" i="1"/>
  <c r="B25973" i="1"/>
  <c r="B25974" i="1"/>
  <c r="B25975" i="1"/>
  <c r="B25976" i="1"/>
  <c r="B25977" i="1"/>
  <c r="B25978" i="1"/>
  <c r="B25979" i="1"/>
  <c r="B25980" i="1"/>
  <c r="B25981" i="1"/>
  <c r="B25982" i="1"/>
  <c r="B25983" i="1"/>
  <c r="B25984" i="1"/>
  <c r="B25985" i="1"/>
  <c r="B25986" i="1"/>
  <c r="B25987" i="1"/>
  <c r="B25988" i="1"/>
  <c r="B25989" i="1"/>
  <c r="B25990" i="1"/>
  <c r="B25991" i="1"/>
  <c r="B25992" i="1"/>
  <c r="B25993" i="1"/>
  <c r="B25994" i="1"/>
  <c r="B25995" i="1"/>
  <c r="B25996" i="1"/>
  <c r="B25997" i="1"/>
  <c r="B25998" i="1"/>
  <c r="B25999" i="1"/>
  <c r="B26000" i="1"/>
  <c r="B26001" i="1"/>
  <c r="B26002" i="1"/>
  <c r="B26003" i="1"/>
  <c r="B26004" i="1"/>
  <c r="B26005" i="1"/>
  <c r="B26006" i="1"/>
  <c r="B26007" i="1"/>
  <c r="B26008" i="1"/>
  <c r="B26009" i="1"/>
  <c r="B26010" i="1"/>
  <c r="B26011" i="1"/>
  <c r="B26012" i="1"/>
  <c r="B26013" i="1"/>
  <c r="B26014" i="1"/>
  <c r="B26015" i="1"/>
  <c r="B26016" i="1"/>
  <c r="B26017" i="1"/>
  <c r="B26018" i="1"/>
  <c r="B26019" i="1"/>
  <c r="B26020" i="1"/>
  <c r="B26021" i="1"/>
  <c r="B26022" i="1"/>
  <c r="B26023" i="1"/>
  <c r="B26024" i="1"/>
  <c r="B26025" i="1"/>
  <c r="B26026" i="1"/>
  <c r="B26027" i="1"/>
  <c r="B26028" i="1"/>
  <c r="B26029" i="1"/>
  <c r="B26030" i="1"/>
  <c r="B26031" i="1"/>
  <c r="B26032" i="1"/>
  <c r="B26033" i="1"/>
  <c r="B26034" i="1"/>
  <c r="B26035" i="1"/>
  <c r="B26036" i="1"/>
  <c r="B26037" i="1"/>
  <c r="B26038" i="1"/>
  <c r="B26039" i="1"/>
  <c r="B26040" i="1"/>
  <c r="B26041" i="1"/>
  <c r="B26042" i="1"/>
  <c r="B26043" i="1"/>
  <c r="B26044" i="1"/>
  <c r="B26045" i="1"/>
  <c r="B26046" i="1"/>
  <c r="B26047" i="1"/>
  <c r="B26048" i="1"/>
  <c r="B26049" i="1"/>
  <c r="B26050" i="1"/>
  <c r="B26051" i="1"/>
  <c r="B26052" i="1"/>
  <c r="B26053" i="1"/>
  <c r="B26054" i="1"/>
  <c r="B26055" i="1"/>
  <c r="B26056" i="1"/>
  <c r="B26057" i="1"/>
  <c r="B26058" i="1"/>
  <c r="B26059" i="1"/>
  <c r="B26060" i="1"/>
  <c r="B26061" i="1"/>
  <c r="B26062" i="1"/>
  <c r="B26063" i="1"/>
  <c r="B26064" i="1"/>
  <c r="B26065" i="1"/>
  <c r="B26066" i="1"/>
  <c r="B26067" i="1"/>
  <c r="B26068" i="1"/>
  <c r="B26069" i="1"/>
  <c r="B26070" i="1"/>
  <c r="B26071" i="1"/>
  <c r="B26072" i="1"/>
  <c r="B26073" i="1"/>
  <c r="B26074" i="1"/>
  <c r="B26075" i="1"/>
  <c r="B26076" i="1"/>
  <c r="B26077" i="1"/>
  <c r="B26078" i="1"/>
  <c r="B26079" i="1"/>
  <c r="B26080" i="1"/>
  <c r="B26081" i="1"/>
  <c r="B26082" i="1"/>
  <c r="B26083" i="1"/>
  <c r="B26084" i="1"/>
  <c r="B26085" i="1"/>
  <c r="B26086" i="1"/>
  <c r="B26087" i="1"/>
  <c r="B26088" i="1"/>
  <c r="B26089" i="1"/>
  <c r="B26090" i="1"/>
  <c r="B26091" i="1"/>
  <c r="B26092" i="1"/>
  <c r="B26093" i="1"/>
  <c r="B26094" i="1"/>
  <c r="B26095" i="1"/>
  <c r="B26096" i="1"/>
  <c r="B26097" i="1"/>
  <c r="B26098" i="1"/>
  <c r="B26099" i="1"/>
  <c r="B26100" i="1"/>
  <c r="B26101" i="1"/>
  <c r="B26102" i="1"/>
  <c r="B26103" i="1"/>
  <c r="B26104" i="1"/>
  <c r="B26105" i="1"/>
  <c r="B26106" i="1"/>
  <c r="B26107" i="1"/>
  <c r="B26108" i="1"/>
  <c r="B26109" i="1"/>
  <c r="B26110" i="1"/>
  <c r="B26111" i="1"/>
  <c r="B26112" i="1"/>
  <c r="B26113" i="1"/>
  <c r="B26114" i="1"/>
  <c r="B26115" i="1"/>
  <c r="B26116" i="1"/>
  <c r="B26117" i="1"/>
  <c r="B26118" i="1"/>
  <c r="B26119" i="1"/>
  <c r="B26120" i="1"/>
  <c r="B26121" i="1"/>
  <c r="B26122" i="1"/>
  <c r="B26123" i="1"/>
  <c r="B26124" i="1"/>
  <c r="B26125" i="1"/>
  <c r="B26126" i="1"/>
  <c r="B26127" i="1"/>
  <c r="B26128" i="1"/>
  <c r="B26129" i="1"/>
  <c r="B26130" i="1"/>
  <c r="B26131" i="1"/>
  <c r="B26132" i="1"/>
  <c r="B26133" i="1"/>
  <c r="B26134" i="1"/>
  <c r="B26135" i="1"/>
  <c r="B26136" i="1"/>
  <c r="B26137" i="1"/>
  <c r="B26138" i="1"/>
  <c r="B26139" i="1"/>
  <c r="B26140" i="1"/>
  <c r="B26141" i="1"/>
  <c r="B26142" i="1"/>
  <c r="B26143" i="1"/>
  <c r="B26144" i="1"/>
  <c r="B26145" i="1"/>
  <c r="B26146" i="1"/>
  <c r="B26147" i="1"/>
  <c r="B26148" i="1"/>
  <c r="B26149" i="1"/>
  <c r="B26150" i="1"/>
  <c r="B26151" i="1"/>
  <c r="B26152" i="1"/>
  <c r="B26153" i="1"/>
  <c r="B26154" i="1"/>
  <c r="B26155" i="1"/>
  <c r="B26156" i="1"/>
  <c r="B26157" i="1"/>
  <c r="B26158" i="1"/>
  <c r="B26159" i="1"/>
  <c r="B26160" i="1"/>
  <c r="B26161" i="1"/>
  <c r="B26162" i="1"/>
  <c r="B26163" i="1"/>
  <c r="B26164" i="1"/>
  <c r="B26165" i="1"/>
  <c r="B26166" i="1"/>
  <c r="B26167" i="1"/>
  <c r="B26168" i="1"/>
  <c r="B26169" i="1"/>
  <c r="B26170" i="1"/>
  <c r="B26171" i="1"/>
  <c r="B26172" i="1"/>
  <c r="B26173" i="1"/>
  <c r="B26174" i="1"/>
  <c r="B26175" i="1"/>
  <c r="B26176" i="1"/>
  <c r="B26177" i="1"/>
  <c r="B26178" i="1"/>
  <c r="B26179" i="1"/>
  <c r="B26180" i="1"/>
  <c r="B26181" i="1"/>
  <c r="B26182" i="1"/>
  <c r="B26183" i="1"/>
  <c r="B26184" i="1"/>
  <c r="B26185" i="1"/>
  <c r="B26186" i="1"/>
  <c r="B26187" i="1"/>
  <c r="B26188" i="1"/>
  <c r="B26189" i="1"/>
  <c r="B26190" i="1"/>
  <c r="B26191" i="1"/>
  <c r="B26192" i="1"/>
  <c r="B26193" i="1"/>
  <c r="B26194" i="1"/>
  <c r="B26195" i="1"/>
  <c r="B26196" i="1"/>
  <c r="B26197" i="1"/>
  <c r="B26198" i="1"/>
  <c r="B26199" i="1"/>
  <c r="B26200" i="1"/>
  <c r="B26201" i="1"/>
  <c r="B26202" i="1"/>
  <c r="B26203" i="1"/>
  <c r="B26204" i="1"/>
  <c r="B26205" i="1"/>
  <c r="B26206" i="1"/>
  <c r="B26207" i="1"/>
  <c r="B26208" i="1"/>
  <c r="B26209" i="1"/>
  <c r="B26210" i="1"/>
  <c r="B26211" i="1"/>
  <c r="B26212" i="1"/>
  <c r="B26213" i="1"/>
  <c r="B26214" i="1"/>
  <c r="B26215" i="1"/>
  <c r="B26216" i="1"/>
  <c r="B26217" i="1"/>
  <c r="B26218" i="1"/>
  <c r="B26219" i="1"/>
  <c r="B26220" i="1"/>
  <c r="B26221" i="1"/>
  <c r="B26222" i="1"/>
  <c r="B26223" i="1"/>
  <c r="B26224" i="1"/>
  <c r="B26225" i="1"/>
  <c r="B26226" i="1"/>
  <c r="B26227" i="1"/>
  <c r="B26228" i="1"/>
  <c r="B26229" i="1"/>
  <c r="B26230" i="1"/>
  <c r="B26231" i="1"/>
  <c r="B26232" i="1"/>
  <c r="B26233" i="1"/>
  <c r="B26234" i="1"/>
  <c r="B26235" i="1"/>
  <c r="B26236" i="1"/>
  <c r="B26237" i="1"/>
  <c r="B26238" i="1"/>
  <c r="B26239" i="1"/>
  <c r="B26240" i="1"/>
  <c r="B26241" i="1"/>
  <c r="B26242" i="1"/>
  <c r="B26243" i="1"/>
  <c r="B26244" i="1"/>
  <c r="B26245" i="1"/>
  <c r="B26246" i="1"/>
  <c r="B26247" i="1"/>
  <c r="B26248" i="1"/>
  <c r="B26249" i="1"/>
  <c r="B26250" i="1"/>
  <c r="B26251" i="1"/>
  <c r="B26252" i="1"/>
  <c r="B26253" i="1"/>
  <c r="B26254" i="1"/>
  <c r="B26255" i="1"/>
  <c r="B26256" i="1"/>
  <c r="B26257" i="1"/>
  <c r="B26258" i="1"/>
  <c r="B26259" i="1"/>
  <c r="B26260" i="1"/>
  <c r="B26261" i="1"/>
  <c r="B26262" i="1"/>
  <c r="B26263" i="1"/>
  <c r="B26264" i="1"/>
  <c r="B26265" i="1"/>
  <c r="B26266" i="1"/>
  <c r="B26267" i="1"/>
  <c r="B26268" i="1"/>
  <c r="B26269" i="1"/>
  <c r="B26270" i="1"/>
  <c r="B26271" i="1"/>
  <c r="B26272" i="1"/>
  <c r="B26273" i="1"/>
  <c r="B26274" i="1"/>
  <c r="B26275" i="1"/>
  <c r="B26276" i="1"/>
  <c r="B26277" i="1"/>
  <c r="B26278" i="1"/>
  <c r="B26279" i="1"/>
  <c r="B26280" i="1"/>
  <c r="B26281" i="1"/>
  <c r="B26282" i="1"/>
  <c r="B26283" i="1"/>
  <c r="B26284" i="1"/>
  <c r="B26285" i="1"/>
  <c r="B26286" i="1"/>
  <c r="B26287" i="1"/>
  <c r="B26288" i="1"/>
  <c r="B26289" i="1"/>
  <c r="B26290" i="1"/>
  <c r="B26291" i="1"/>
  <c r="B26292" i="1"/>
  <c r="B26293" i="1"/>
  <c r="B26294" i="1"/>
  <c r="B26295" i="1"/>
  <c r="B26296" i="1"/>
  <c r="B26297" i="1"/>
  <c r="B26298" i="1"/>
  <c r="B26299" i="1"/>
  <c r="B26300" i="1"/>
  <c r="B26301" i="1"/>
  <c r="B26302" i="1"/>
  <c r="B26303" i="1"/>
  <c r="B26304" i="1"/>
  <c r="B26305" i="1"/>
  <c r="B26306" i="1"/>
  <c r="B26307" i="1"/>
  <c r="B26308" i="1"/>
  <c r="B26309" i="1"/>
  <c r="B26310" i="1"/>
  <c r="B26311" i="1"/>
  <c r="B26312" i="1"/>
  <c r="B26313" i="1"/>
  <c r="B26314" i="1"/>
  <c r="B26315" i="1"/>
  <c r="B26316" i="1"/>
  <c r="B26317" i="1"/>
  <c r="B26318" i="1"/>
  <c r="B26319" i="1"/>
  <c r="B26320" i="1"/>
  <c r="B26321" i="1"/>
  <c r="B26322" i="1"/>
  <c r="B26323" i="1"/>
  <c r="B26324" i="1"/>
  <c r="B26325" i="1"/>
  <c r="B26326" i="1"/>
  <c r="B26327" i="1"/>
  <c r="B26328" i="1"/>
  <c r="B26329" i="1"/>
  <c r="B26330" i="1"/>
  <c r="B26331" i="1"/>
  <c r="B26332" i="1"/>
  <c r="B26333" i="1"/>
  <c r="B26334" i="1"/>
  <c r="B26335" i="1"/>
  <c r="B26336" i="1"/>
  <c r="B26337" i="1"/>
  <c r="B26338" i="1"/>
  <c r="B26339" i="1"/>
  <c r="B26340" i="1"/>
  <c r="B26341" i="1"/>
  <c r="B26342" i="1"/>
  <c r="B26343" i="1"/>
  <c r="B26344" i="1"/>
  <c r="B26345" i="1"/>
  <c r="B26346" i="1"/>
  <c r="B26347" i="1"/>
  <c r="B26348" i="1"/>
  <c r="B26349" i="1"/>
  <c r="B26350" i="1"/>
  <c r="B26351" i="1"/>
  <c r="B26352" i="1"/>
  <c r="B26353" i="1"/>
  <c r="B26354" i="1"/>
  <c r="B26355" i="1"/>
  <c r="B26356" i="1"/>
  <c r="B26357" i="1"/>
  <c r="B26358" i="1"/>
  <c r="B26359" i="1"/>
  <c r="B26360" i="1"/>
  <c r="B26361" i="1"/>
  <c r="B26362" i="1"/>
  <c r="B26363" i="1"/>
  <c r="B26364" i="1"/>
  <c r="B26365" i="1"/>
  <c r="B26366" i="1"/>
  <c r="B26367" i="1"/>
  <c r="B26368" i="1"/>
  <c r="B26369" i="1"/>
  <c r="B26370" i="1"/>
  <c r="B26371" i="1"/>
  <c r="B26372" i="1"/>
  <c r="B26373" i="1"/>
  <c r="B26374" i="1"/>
  <c r="B26375" i="1"/>
  <c r="B26376" i="1"/>
  <c r="B26377" i="1"/>
  <c r="B26378" i="1"/>
  <c r="B26379" i="1"/>
  <c r="B26380" i="1"/>
  <c r="B26381" i="1"/>
  <c r="B26382" i="1"/>
  <c r="B26383" i="1"/>
  <c r="B26384" i="1"/>
  <c r="B26385" i="1"/>
  <c r="B26386" i="1"/>
  <c r="B26387" i="1"/>
  <c r="B26388" i="1"/>
  <c r="B26389" i="1"/>
  <c r="B26390" i="1"/>
  <c r="B26391" i="1"/>
  <c r="B26392" i="1"/>
  <c r="B26393" i="1"/>
  <c r="B26394" i="1"/>
  <c r="B26395" i="1"/>
  <c r="B26396" i="1"/>
  <c r="B26397" i="1"/>
  <c r="B26398" i="1"/>
  <c r="B26399" i="1"/>
  <c r="B26400" i="1"/>
  <c r="B26401" i="1"/>
  <c r="B26402" i="1"/>
  <c r="B26403" i="1"/>
  <c r="B26404" i="1"/>
  <c r="B26405" i="1"/>
  <c r="B26406" i="1"/>
  <c r="B26407" i="1"/>
  <c r="B26408" i="1"/>
  <c r="B26409" i="1"/>
  <c r="B26410" i="1"/>
  <c r="B26411" i="1"/>
  <c r="B26412" i="1"/>
  <c r="B26413" i="1"/>
  <c r="B26414" i="1"/>
  <c r="B26415" i="1"/>
  <c r="B26416" i="1"/>
  <c r="B26417" i="1"/>
  <c r="B26418" i="1"/>
  <c r="B26419" i="1"/>
  <c r="B26420" i="1"/>
  <c r="B26421" i="1"/>
  <c r="B26422" i="1"/>
  <c r="B26423" i="1"/>
  <c r="B26424" i="1"/>
  <c r="B26425" i="1"/>
  <c r="B26426" i="1"/>
  <c r="B26427" i="1"/>
  <c r="B26428" i="1"/>
  <c r="B26429" i="1"/>
  <c r="B26430" i="1"/>
  <c r="B26431" i="1"/>
  <c r="B26432" i="1"/>
  <c r="B26433" i="1"/>
  <c r="B26434" i="1"/>
  <c r="B26435" i="1"/>
  <c r="B26436" i="1"/>
  <c r="B26437" i="1"/>
  <c r="B26438" i="1"/>
  <c r="B26439" i="1"/>
  <c r="B26440" i="1"/>
  <c r="B26441" i="1"/>
  <c r="B26442" i="1"/>
  <c r="B26443" i="1"/>
  <c r="B26444" i="1"/>
  <c r="B26445" i="1"/>
  <c r="B26446" i="1"/>
  <c r="B26447" i="1"/>
  <c r="B26448" i="1"/>
  <c r="B26449" i="1"/>
  <c r="B26450" i="1"/>
  <c r="B26451" i="1"/>
  <c r="B26452" i="1"/>
  <c r="B26453" i="1"/>
  <c r="B26454" i="1"/>
  <c r="B26455" i="1"/>
  <c r="B26456" i="1"/>
  <c r="B26457" i="1"/>
  <c r="B26458" i="1"/>
  <c r="B26459" i="1"/>
  <c r="B26460" i="1"/>
  <c r="B26461" i="1"/>
  <c r="B26462" i="1"/>
  <c r="B26463" i="1"/>
  <c r="B26464" i="1"/>
  <c r="B26465" i="1"/>
  <c r="B26466" i="1"/>
  <c r="B26467" i="1"/>
  <c r="B26468" i="1"/>
  <c r="B26469" i="1"/>
  <c r="B26470" i="1"/>
  <c r="B26471" i="1"/>
  <c r="B26472" i="1"/>
  <c r="B26473" i="1"/>
  <c r="B26474" i="1"/>
  <c r="B26475" i="1"/>
  <c r="B26476" i="1"/>
  <c r="B26477" i="1"/>
  <c r="B26478" i="1"/>
  <c r="B26479" i="1"/>
  <c r="B26480" i="1"/>
  <c r="B26481" i="1"/>
  <c r="B26482" i="1"/>
  <c r="B26483" i="1"/>
  <c r="B26484" i="1"/>
  <c r="B26485" i="1"/>
  <c r="B26486" i="1"/>
  <c r="B26487" i="1"/>
  <c r="B26488" i="1"/>
  <c r="B26489" i="1"/>
  <c r="B26490" i="1"/>
  <c r="B26491" i="1"/>
  <c r="B26492" i="1"/>
  <c r="B26493" i="1"/>
  <c r="B26494" i="1"/>
  <c r="B26495" i="1"/>
  <c r="B26496" i="1"/>
  <c r="B26497" i="1"/>
  <c r="B26498" i="1"/>
  <c r="B26499" i="1"/>
  <c r="B26500" i="1"/>
  <c r="B26501" i="1"/>
  <c r="B26502" i="1"/>
  <c r="B26503" i="1"/>
  <c r="B26504" i="1"/>
  <c r="B26505" i="1"/>
  <c r="B26506" i="1"/>
  <c r="B26507" i="1"/>
  <c r="B26508" i="1"/>
  <c r="B26509" i="1"/>
  <c r="B26510" i="1"/>
  <c r="B26511" i="1"/>
  <c r="B26512" i="1"/>
  <c r="B26513" i="1"/>
  <c r="B26514" i="1"/>
  <c r="B26515" i="1"/>
  <c r="B26516" i="1"/>
  <c r="B26517" i="1"/>
  <c r="B26518" i="1"/>
  <c r="B26519" i="1"/>
  <c r="B26520" i="1"/>
  <c r="B26521" i="1"/>
  <c r="B26522" i="1"/>
  <c r="B26523" i="1"/>
  <c r="B26524" i="1"/>
  <c r="B26525" i="1"/>
  <c r="B26526" i="1"/>
  <c r="B26527" i="1"/>
  <c r="B26528" i="1"/>
  <c r="B26529" i="1"/>
  <c r="B26530" i="1"/>
  <c r="B26531" i="1"/>
  <c r="B26532" i="1"/>
  <c r="B26533" i="1"/>
  <c r="B26534" i="1"/>
  <c r="B26535" i="1"/>
  <c r="B26536" i="1"/>
  <c r="B26537" i="1"/>
  <c r="B26538" i="1"/>
  <c r="B26539" i="1"/>
  <c r="B26540" i="1"/>
  <c r="B26541" i="1"/>
  <c r="B26542" i="1"/>
  <c r="B26543" i="1"/>
  <c r="B26544" i="1"/>
  <c r="B26545" i="1"/>
  <c r="B26546" i="1"/>
  <c r="B26547" i="1"/>
  <c r="B26548" i="1"/>
  <c r="B26549" i="1"/>
  <c r="B26550" i="1"/>
  <c r="B26551" i="1"/>
  <c r="B26552" i="1"/>
  <c r="B26553" i="1"/>
  <c r="B26554" i="1"/>
  <c r="B26555" i="1"/>
  <c r="B26556" i="1"/>
  <c r="B26557" i="1"/>
  <c r="B26558" i="1"/>
  <c r="B26559" i="1"/>
  <c r="B26560" i="1"/>
  <c r="B26561" i="1"/>
  <c r="B26562" i="1"/>
  <c r="B26563" i="1"/>
  <c r="B26564" i="1"/>
  <c r="B26565" i="1"/>
  <c r="B26566" i="1"/>
  <c r="B26567" i="1"/>
  <c r="B26568" i="1"/>
  <c r="B26569" i="1"/>
  <c r="B26570" i="1"/>
  <c r="B26571" i="1"/>
  <c r="B26572" i="1"/>
  <c r="B26573" i="1"/>
  <c r="B26574" i="1"/>
  <c r="B26575" i="1"/>
  <c r="B26576" i="1"/>
  <c r="B26577" i="1"/>
  <c r="B26578" i="1"/>
  <c r="B26579" i="1"/>
  <c r="B26580" i="1"/>
  <c r="B26581" i="1"/>
  <c r="B26582" i="1"/>
  <c r="B26583" i="1"/>
  <c r="B26584" i="1"/>
  <c r="B26585" i="1"/>
  <c r="B26586" i="1"/>
  <c r="B26587" i="1"/>
  <c r="B26588" i="1"/>
  <c r="B26589" i="1"/>
  <c r="B26590" i="1"/>
  <c r="B26591" i="1"/>
  <c r="B26592" i="1"/>
  <c r="B26593" i="1"/>
  <c r="B26594" i="1"/>
  <c r="B26595" i="1"/>
  <c r="B26596" i="1"/>
  <c r="B26597" i="1"/>
  <c r="B26598" i="1"/>
  <c r="B26599" i="1"/>
  <c r="B26600" i="1"/>
  <c r="B26601" i="1"/>
  <c r="B26602" i="1"/>
  <c r="B26603" i="1"/>
  <c r="B26604" i="1"/>
  <c r="B26605" i="1"/>
  <c r="B26606" i="1"/>
  <c r="B26607" i="1"/>
  <c r="B26608" i="1"/>
  <c r="B26609" i="1"/>
  <c r="B26610" i="1"/>
  <c r="B26611" i="1"/>
  <c r="B26612" i="1"/>
  <c r="B26613" i="1"/>
  <c r="B26614" i="1"/>
  <c r="B26615" i="1"/>
  <c r="B26616" i="1"/>
  <c r="B26617" i="1"/>
  <c r="B26618" i="1"/>
  <c r="B26619" i="1"/>
  <c r="B26620" i="1"/>
  <c r="B26621" i="1"/>
  <c r="B26622" i="1"/>
  <c r="B26623" i="1"/>
  <c r="B26624" i="1"/>
  <c r="B26625" i="1"/>
  <c r="B26626" i="1"/>
  <c r="B26627" i="1"/>
  <c r="B26628" i="1"/>
  <c r="B26629" i="1"/>
  <c r="B26630" i="1"/>
  <c r="B26631" i="1"/>
  <c r="B26632" i="1"/>
  <c r="B26633" i="1"/>
  <c r="B26634" i="1"/>
  <c r="B26635" i="1"/>
  <c r="B26636" i="1"/>
  <c r="B26637" i="1"/>
  <c r="B26638" i="1"/>
  <c r="B26639" i="1"/>
  <c r="B26640" i="1"/>
  <c r="B26641" i="1"/>
  <c r="B26642" i="1"/>
  <c r="B26643" i="1"/>
  <c r="B26644" i="1"/>
  <c r="B26645" i="1"/>
  <c r="B26646" i="1"/>
  <c r="B26647" i="1"/>
  <c r="B26648" i="1"/>
  <c r="B26649" i="1"/>
  <c r="B26650" i="1"/>
  <c r="B26651" i="1"/>
  <c r="B26652" i="1"/>
  <c r="B26653" i="1"/>
  <c r="B26654" i="1"/>
  <c r="B26655" i="1"/>
  <c r="B26656" i="1"/>
  <c r="B26657" i="1"/>
  <c r="B26658" i="1"/>
  <c r="B26659" i="1"/>
  <c r="B26660" i="1"/>
  <c r="B26661" i="1"/>
  <c r="B26662" i="1"/>
  <c r="B26663" i="1"/>
  <c r="B26664" i="1"/>
  <c r="B26665" i="1"/>
  <c r="B26666" i="1"/>
  <c r="B26667" i="1"/>
  <c r="B26668" i="1"/>
  <c r="B26669" i="1"/>
  <c r="B26670" i="1"/>
  <c r="B26671" i="1"/>
  <c r="B26672" i="1"/>
  <c r="B26673" i="1"/>
  <c r="B26674" i="1"/>
  <c r="B26675" i="1"/>
  <c r="B26676" i="1"/>
  <c r="B26677" i="1"/>
  <c r="B26678" i="1"/>
  <c r="B26679" i="1"/>
  <c r="B26680" i="1"/>
  <c r="B26681" i="1"/>
  <c r="B26682" i="1"/>
  <c r="B26683" i="1"/>
  <c r="B26684" i="1"/>
  <c r="B26685" i="1"/>
  <c r="B26686" i="1"/>
  <c r="B26687" i="1"/>
  <c r="B26688" i="1"/>
  <c r="B26689" i="1"/>
  <c r="B26690" i="1"/>
  <c r="B26691" i="1"/>
  <c r="B26692" i="1"/>
  <c r="B26693" i="1"/>
  <c r="B26694" i="1"/>
  <c r="B26695" i="1"/>
  <c r="B26696" i="1"/>
  <c r="B26697" i="1"/>
  <c r="B26698" i="1"/>
  <c r="B26699" i="1"/>
  <c r="B26700" i="1"/>
  <c r="B26701" i="1"/>
  <c r="B26702" i="1"/>
  <c r="B26703" i="1"/>
  <c r="B26704" i="1"/>
  <c r="B26705" i="1"/>
  <c r="B26706" i="1"/>
  <c r="B26707" i="1"/>
  <c r="B26708" i="1"/>
  <c r="B26709" i="1"/>
  <c r="B26710" i="1"/>
  <c r="B26711" i="1"/>
  <c r="B26712" i="1"/>
  <c r="B26713" i="1"/>
  <c r="B26714" i="1"/>
  <c r="B26715" i="1"/>
  <c r="B26716" i="1"/>
  <c r="B26717" i="1"/>
  <c r="B26718" i="1"/>
  <c r="B26719" i="1"/>
  <c r="B26720" i="1"/>
  <c r="B26721" i="1"/>
  <c r="B26722" i="1"/>
  <c r="B26723" i="1"/>
  <c r="B26724" i="1"/>
  <c r="B26725" i="1"/>
  <c r="B26726" i="1"/>
  <c r="B26727" i="1"/>
  <c r="B26728" i="1"/>
  <c r="B26729" i="1"/>
  <c r="B26730" i="1"/>
  <c r="B26731" i="1"/>
  <c r="B26732" i="1"/>
  <c r="B26733" i="1"/>
  <c r="B26734" i="1"/>
  <c r="B26735" i="1"/>
  <c r="B26736" i="1"/>
  <c r="B26737" i="1"/>
  <c r="B26738" i="1"/>
  <c r="B26739" i="1"/>
  <c r="B26740" i="1"/>
  <c r="B26741" i="1"/>
  <c r="B26742" i="1"/>
  <c r="B26743" i="1"/>
  <c r="B26744" i="1"/>
  <c r="B26745" i="1"/>
  <c r="B26746" i="1"/>
  <c r="B26747" i="1"/>
  <c r="B26748" i="1"/>
  <c r="B26749" i="1"/>
  <c r="B26750" i="1"/>
  <c r="B26751" i="1"/>
  <c r="B26752" i="1"/>
  <c r="B26753" i="1"/>
  <c r="B26754" i="1"/>
  <c r="B26755" i="1"/>
  <c r="B26756" i="1"/>
  <c r="B26757" i="1"/>
  <c r="B26758" i="1"/>
  <c r="B26759" i="1"/>
  <c r="B26760" i="1"/>
  <c r="B26761" i="1"/>
  <c r="B26762" i="1"/>
  <c r="B26763" i="1"/>
  <c r="B26764" i="1"/>
  <c r="B26765" i="1"/>
  <c r="B26766" i="1"/>
  <c r="B26767" i="1"/>
  <c r="B26768" i="1"/>
  <c r="B26769" i="1"/>
  <c r="B26770" i="1"/>
  <c r="B26771" i="1"/>
  <c r="B26772" i="1"/>
  <c r="B26773" i="1"/>
  <c r="B26774" i="1"/>
  <c r="B26775" i="1"/>
  <c r="B26776" i="1"/>
  <c r="B26777" i="1"/>
  <c r="B26778" i="1"/>
  <c r="B26779" i="1"/>
  <c r="B26780" i="1"/>
  <c r="B26781" i="1"/>
  <c r="B26782" i="1"/>
  <c r="B26783" i="1"/>
  <c r="B26784" i="1"/>
  <c r="B26785" i="1"/>
  <c r="B26786" i="1"/>
  <c r="B26787" i="1"/>
  <c r="B26788" i="1"/>
  <c r="B26789" i="1"/>
  <c r="B26790" i="1"/>
  <c r="B26791" i="1"/>
  <c r="B26792" i="1"/>
  <c r="B26793" i="1"/>
  <c r="B26794" i="1"/>
  <c r="B26795" i="1"/>
  <c r="B26796" i="1"/>
  <c r="B26797" i="1"/>
  <c r="B26798" i="1"/>
  <c r="B26799" i="1"/>
  <c r="B26800" i="1"/>
  <c r="B26801" i="1"/>
  <c r="B26802" i="1"/>
  <c r="B26803" i="1"/>
  <c r="B26804" i="1"/>
  <c r="B26805" i="1"/>
  <c r="B26806" i="1"/>
  <c r="B26807" i="1"/>
  <c r="B26808" i="1"/>
  <c r="B26809" i="1"/>
  <c r="B26810" i="1"/>
  <c r="B26811" i="1"/>
  <c r="B26812" i="1"/>
  <c r="B26813" i="1"/>
  <c r="B26814" i="1"/>
  <c r="B26815" i="1"/>
  <c r="B26816" i="1"/>
  <c r="B26817" i="1"/>
  <c r="B26818" i="1"/>
  <c r="B26819" i="1"/>
  <c r="B26820" i="1"/>
  <c r="B26821" i="1"/>
  <c r="B26822" i="1"/>
  <c r="B26823" i="1"/>
  <c r="B26824" i="1"/>
  <c r="B26825" i="1"/>
  <c r="B26826" i="1"/>
  <c r="B26827" i="1"/>
  <c r="B26828" i="1"/>
  <c r="B26829" i="1"/>
  <c r="B26830" i="1"/>
  <c r="B26831" i="1"/>
  <c r="B26832" i="1"/>
  <c r="B26833" i="1"/>
  <c r="B26834" i="1"/>
  <c r="B26835" i="1"/>
  <c r="B26836" i="1"/>
  <c r="B26837" i="1"/>
  <c r="B26838" i="1"/>
  <c r="B26839" i="1"/>
  <c r="B26840" i="1"/>
  <c r="B26841" i="1"/>
  <c r="B26842" i="1"/>
  <c r="B26843" i="1"/>
  <c r="B26844" i="1"/>
  <c r="B26845" i="1"/>
  <c r="B26846" i="1"/>
  <c r="B26847" i="1"/>
  <c r="B26848" i="1"/>
  <c r="B26849" i="1"/>
  <c r="B26850" i="1"/>
  <c r="B26851" i="1"/>
  <c r="B26852" i="1"/>
  <c r="B26853" i="1"/>
  <c r="B26854" i="1"/>
  <c r="B26855" i="1"/>
  <c r="B26856" i="1"/>
  <c r="B26857" i="1"/>
  <c r="B26858" i="1"/>
  <c r="B26859" i="1"/>
  <c r="B26860" i="1"/>
  <c r="B26861" i="1"/>
  <c r="B26862" i="1"/>
  <c r="B26863" i="1"/>
  <c r="B26864" i="1"/>
  <c r="B26865" i="1"/>
  <c r="B26866" i="1"/>
  <c r="B26867" i="1"/>
  <c r="B26868" i="1"/>
  <c r="B26869" i="1"/>
  <c r="B26870" i="1"/>
  <c r="B26871" i="1"/>
  <c r="B26872" i="1"/>
  <c r="B26873" i="1"/>
  <c r="B26874" i="1"/>
  <c r="B26875" i="1"/>
  <c r="B26876" i="1"/>
  <c r="B26877" i="1"/>
  <c r="B26878" i="1"/>
  <c r="B26879" i="1"/>
  <c r="B26880" i="1"/>
  <c r="B26881" i="1"/>
  <c r="B26882" i="1"/>
  <c r="B26883" i="1"/>
  <c r="B26884" i="1"/>
  <c r="B26885" i="1"/>
  <c r="B26886" i="1"/>
  <c r="B26887" i="1"/>
  <c r="B26888" i="1"/>
  <c r="B26889" i="1"/>
  <c r="B26890" i="1"/>
  <c r="B26891" i="1"/>
  <c r="B26892" i="1"/>
  <c r="B26893" i="1"/>
  <c r="B26894" i="1"/>
  <c r="B26895" i="1"/>
  <c r="B26896" i="1"/>
  <c r="B26897" i="1"/>
  <c r="B26898" i="1"/>
  <c r="B26899" i="1"/>
  <c r="B26900" i="1"/>
  <c r="B26901" i="1"/>
  <c r="B26902" i="1"/>
  <c r="B26903" i="1"/>
  <c r="B26904" i="1"/>
  <c r="B26905" i="1"/>
  <c r="B26906" i="1"/>
  <c r="B26907" i="1"/>
  <c r="B26908" i="1"/>
  <c r="B26909" i="1"/>
  <c r="B26910" i="1"/>
  <c r="B26911" i="1"/>
  <c r="B26912" i="1"/>
  <c r="B26913" i="1"/>
  <c r="B26914" i="1"/>
  <c r="B26915" i="1"/>
  <c r="B26916" i="1"/>
  <c r="B26917" i="1"/>
  <c r="B26918" i="1"/>
  <c r="B26919" i="1"/>
  <c r="B26920" i="1"/>
  <c r="B26921" i="1"/>
  <c r="B26922" i="1"/>
  <c r="B26923" i="1"/>
  <c r="B26924" i="1"/>
  <c r="B26925" i="1"/>
  <c r="B26926" i="1"/>
  <c r="B26927" i="1"/>
  <c r="B26928" i="1"/>
  <c r="B26929" i="1"/>
  <c r="B26930" i="1"/>
  <c r="B26931" i="1"/>
  <c r="B26932" i="1"/>
  <c r="B26933" i="1"/>
  <c r="B26934" i="1"/>
  <c r="B26935" i="1"/>
  <c r="B26936" i="1"/>
  <c r="B26937" i="1"/>
  <c r="B26938" i="1"/>
  <c r="B26939" i="1"/>
  <c r="B26940" i="1"/>
  <c r="B26941" i="1"/>
  <c r="B26942" i="1"/>
  <c r="B26943" i="1"/>
  <c r="B26944" i="1"/>
  <c r="B26945" i="1"/>
  <c r="B26946" i="1"/>
  <c r="B26947" i="1"/>
  <c r="B26948" i="1"/>
  <c r="B26949" i="1"/>
  <c r="B26950" i="1"/>
  <c r="B26951" i="1"/>
  <c r="B26952" i="1"/>
  <c r="B26953" i="1"/>
  <c r="B26954" i="1"/>
  <c r="B26955" i="1"/>
  <c r="B26956" i="1"/>
  <c r="B26957" i="1"/>
  <c r="B26958" i="1"/>
  <c r="B26959" i="1"/>
  <c r="B26960" i="1"/>
  <c r="B26961" i="1"/>
  <c r="B26962" i="1"/>
  <c r="B26963" i="1"/>
  <c r="B26964" i="1"/>
  <c r="B26965" i="1"/>
  <c r="B26966" i="1"/>
  <c r="B26967" i="1"/>
  <c r="B26968" i="1"/>
  <c r="B26969" i="1"/>
  <c r="B26970" i="1"/>
  <c r="B26971" i="1"/>
  <c r="B26972" i="1"/>
  <c r="B26973" i="1"/>
  <c r="B26974" i="1"/>
  <c r="B26975" i="1"/>
  <c r="B26976" i="1"/>
  <c r="B26977" i="1"/>
  <c r="B26978" i="1"/>
  <c r="B26979" i="1"/>
  <c r="B26980" i="1"/>
  <c r="B26981" i="1"/>
  <c r="B26982" i="1"/>
  <c r="B26983" i="1"/>
  <c r="B26984" i="1"/>
  <c r="B26985" i="1"/>
  <c r="B26986" i="1"/>
  <c r="B26987" i="1"/>
  <c r="B26988" i="1"/>
  <c r="B26989" i="1"/>
  <c r="B26990" i="1"/>
  <c r="B26991" i="1"/>
  <c r="B26992" i="1"/>
  <c r="B26993" i="1"/>
  <c r="B26994" i="1"/>
  <c r="B26995" i="1"/>
  <c r="B26996" i="1"/>
  <c r="B26997" i="1"/>
  <c r="B26998" i="1"/>
  <c r="B26999" i="1"/>
  <c r="B27000" i="1"/>
  <c r="B27001" i="1"/>
  <c r="B27002" i="1"/>
  <c r="B27003" i="1"/>
  <c r="B27004" i="1"/>
  <c r="B27005" i="1"/>
  <c r="B27006" i="1"/>
  <c r="B27007" i="1"/>
  <c r="B27008" i="1"/>
  <c r="B27009" i="1"/>
  <c r="B27010" i="1"/>
  <c r="B27011" i="1"/>
  <c r="B27012" i="1"/>
  <c r="B27013" i="1"/>
  <c r="B27014" i="1"/>
  <c r="B27015" i="1"/>
  <c r="B27016" i="1"/>
  <c r="B27017" i="1"/>
  <c r="B27018" i="1"/>
  <c r="B27019" i="1"/>
  <c r="B27020" i="1"/>
  <c r="B27021" i="1"/>
  <c r="B27022" i="1"/>
  <c r="B27023" i="1"/>
  <c r="B27024" i="1"/>
  <c r="B27025" i="1"/>
  <c r="B27026" i="1"/>
  <c r="B27027" i="1"/>
  <c r="B27028" i="1"/>
  <c r="B27029" i="1"/>
  <c r="B27030" i="1"/>
  <c r="B27031" i="1"/>
  <c r="B27032" i="1"/>
  <c r="B27033" i="1"/>
  <c r="B27034" i="1"/>
  <c r="B27035" i="1"/>
  <c r="B27036" i="1"/>
  <c r="B27037" i="1"/>
  <c r="B27038" i="1"/>
  <c r="B27039" i="1"/>
  <c r="B27040" i="1"/>
  <c r="B27041" i="1"/>
  <c r="B27042" i="1"/>
  <c r="B27043" i="1"/>
  <c r="B27044" i="1"/>
  <c r="B27045" i="1"/>
  <c r="B27046" i="1"/>
  <c r="B27047" i="1"/>
  <c r="B27048" i="1"/>
  <c r="B27049" i="1"/>
  <c r="B27050" i="1"/>
  <c r="B27051" i="1"/>
  <c r="B27052" i="1"/>
  <c r="B27053" i="1"/>
  <c r="B27054" i="1"/>
  <c r="B27055" i="1"/>
  <c r="B27056" i="1"/>
  <c r="B27057" i="1"/>
  <c r="B27058" i="1"/>
  <c r="B27059" i="1"/>
  <c r="B27060" i="1"/>
  <c r="B27061" i="1"/>
  <c r="B27062" i="1"/>
  <c r="B27063" i="1"/>
  <c r="B27064" i="1"/>
  <c r="B27065" i="1"/>
  <c r="B27066" i="1"/>
  <c r="B27067" i="1"/>
  <c r="B27068" i="1"/>
  <c r="B27069" i="1"/>
  <c r="B27070" i="1"/>
  <c r="B27071" i="1"/>
  <c r="B27072" i="1"/>
  <c r="B27073" i="1"/>
  <c r="B27074" i="1"/>
  <c r="B27075" i="1"/>
  <c r="B27076" i="1"/>
  <c r="B27077" i="1"/>
  <c r="B27078" i="1"/>
  <c r="B27079" i="1"/>
  <c r="B27080" i="1"/>
  <c r="B27081" i="1"/>
  <c r="B27082" i="1"/>
  <c r="B27083" i="1"/>
  <c r="B27084" i="1"/>
  <c r="B27085" i="1"/>
  <c r="B27086" i="1"/>
  <c r="B27087" i="1"/>
  <c r="B27088" i="1"/>
  <c r="B27089" i="1"/>
  <c r="B27090" i="1"/>
  <c r="B27091" i="1"/>
  <c r="B27092" i="1"/>
  <c r="B27093" i="1"/>
  <c r="B27094" i="1"/>
  <c r="B27095" i="1"/>
  <c r="B27096" i="1"/>
  <c r="B27097" i="1"/>
  <c r="B27098" i="1"/>
  <c r="B27099" i="1"/>
  <c r="B27100" i="1"/>
  <c r="B27101" i="1"/>
  <c r="B27102" i="1"/>
  <c r="B27103" i="1"/>
  <c r="B27104" i="1"/>
  <c r="B27105" i="1"/>
  <c r="B27106" i="1"/>
  <c r="B27107" i="1"/>
  <c r="B27108" i="1"/>
  <c r="B27109" i="1"/>
  <c r="B27110" i="1"/>
  <c r="B27111" i="1"/>
  <c r="B27112" i="1"/>
  <c r="B27113" i="1"/>
  <c r="B27114" i="1"/>
  <c r="B27115" i="1"/>
  <c r="B27116" i="1"/>
  <c r="B27117" i="1"/>
  <c r="B27118" i="1"/>
  <c r="B27119" i="1"/>
  <c r="B27120" i="1"/>
  <c r="B27121" i="1"/>
  <c r="B27122" i="1"/>
  <c r="B27123" i="1"/>
  <c r="B27124" i="1"/>
  <c r="B27125" i="1"/>
  <c r="B27126" i="1"/>
  <c r="B27127" i="1"/>
  <c r="B27128" i="1"/>
  <c r="B27129" i="1"/>
  <c r="B27130" i="1"/>
  <c r="B27131" i="1"/>
  <c r="B27132" i="1"/>
  <c r="B27133" i="1"/>
  <c r="B27134" i="1"/>
  <c r="B27135" i="1"/>
  <c r="B27136" i="1"/>
  <c r="B27137" i="1"/>
  <c r="B27138" i="1"/>
  <c r="B27139" i="1"/>
  <c r="B27140" i="1"/>
  <c r="B27141" i="1"/>
  <c r="B27142" i="1"/>
  <c r="B27143" i="1"/>
  <c r="B27144" i="1"/>
  <c r="B27145" i="1"/>
  <c r="B27146" i="1"/>
  <c r="B27147" i="1"/>
  <c r="B27148" i="1"/>
  <c r="B27149" i="1"/>
  <c r="B27150" i="1"/>
  <c r="B27151" i="1"/>
  <c r="B27152" i="1"/>
  <c r="B27153" i="1"/>
  <c r="B27154" i="1"/>
  <c r="B27155" i="1"/>
  <c r="B27156" i="1"/>
  <c r="B27157" i="1"/>
  <c r="B27158" i="1"/>
  <c r="B27159" i="1"/>
  <c r="B27160" i="1"/>
  <c r="B27161" i="1"/>
  <c r="B27162" i="1"/>
  <c r="B27163" i="1"/>
  <c r="B27164" i="1"/>
  <c r="B27165" i="1"/>
  <c r="B27166" i="1"/>
  <c r="B27167" i="1"/>
  <c r="B27168" i="1"/>
  <c r="B27169" i="1"/>
  <c r="B27170" i="1"/>
  <c r="B27171" i="1"/>
  <c r="B27172" i="1"/>
  <c r="B27173" i="1"/>
  <c r="B27174" i="1"/>
  <c r="B27175" i="1"/>
  <c r="B27176" i="1"/>
  <c r="B27177" i="1"/>
  <c r="B27178" i="1"/>
  <c r="B27179" i="1"/>
  <c r="B27180" i="1"/>
  <c r="B27181" i="1"/>
  <c r="B27182" i="1"/>
  <c r="B27183" i="1"/>
  <c r="B27184" i="1"/>
  <c r="B27185" i="1"/>
  <c r="B27186" i="1"/>
  <c r="B27187" i="1"/>
  <c r="B27188" i="1"/>
  <c r="B27189" i="1"/>
  <c r="B27190" i="1"/>
  <c r="B27191" i="1"/>
  <c r="B27192" i="1"/>
  <c r="B27193" i="1"/>
  <c r="B27194" i="1"/>
  <c r="B27195" i="1"/>
  <c r="B27196" i="1"/>
  <c r="B27197" i="1"/>
  <c r="B27198" i="1"/>
  <c r="B27199" i="1"/>
  <c r="B27200" i="1"/>
  <c r="B27201" i="1"/>
  <c r="B27202" i="1"/>
  <c r="B27203" i="1"/>
  <c r="B27204" i="1"/>
  <c r="B27205" i="1"/>
  <c r="B27206" i="1"/>
  <c r="B27207" i="1"/>
  <c r="B27208" i="1"/>
  <c r="B27209" i="1"/>
  <c r="B27210" i="1"/>
  <c r="B27211" i="1"/>
  <c r="B27212" i="1"/>
  <c r="B27213" i="1"/>
  <c r="B27214" i="1"/>
  <c r="B27215" i="1"/>
  <c r="B27216" i="1"/>
  <c r="B27217" i="1"/>
  <c r="B27218" i="1"/>
  <c r="B27219" i="1"/>
  <c r="B27220" i="1"/>
  <c r="B27221" i="1"/>
  <c r="B27222" i="1"/>
  <c r="B27223" i="1"/>
  <c r="B27224" i="1"/>
  <c r="B27225" i="1"/>
  <c r="B27226" i="1"/>
  <c r="B27227" i="1"/>
  <c r="B27228" i="1"/>
  <c r="B27229" i="1"/>
  <c r="B27230" i="1"/>
  <c r="B27231" i="1"/>
  <c r="B27232" i="1"/>
  <c r="B27233" i="1"/>
  <c r="B27234" i="1"/>
  <c r="B27235" i="1"/>
  <c r="B27236" i="1"/>
  <c r="B27237" i="1"/>
  <c r="B27238" i="1"/>
  <c r="B27239" i="1"/>
  <c r="B27240" i="1"/>
  <c r="B27241" i="1"/>
  <c r="B27242" i="1"/>
  <c r="B27243" i="1"/>
  <c r="B27244" i="1"/>
  <c r="B27245" i="1"/>
  <c r="B27246" i="1"/>
  <c r="B27247" i="1"/>
  <c r="B27248" i="1"/>
  <c r="B27249" i="1"/>
  <c r="B27250" i="1"/>
  <c r="B27251" i="1"/>
  <c r="B27252" i="1"/>
  <c r="B27253" i="1"/>
  <c r="B27254" i="1"/>
  <c r="B27255" i="1"/>
  <c r="B27256" i="1"/>
  <c r="B27257" i="1"/>
  <c r="B27258" i="1"/>
  <c r="B27259" i="1"/>
  <c r="B27260" i="1"/>
  <c r="B27261" i="1"/>
  <c r="B27262" i="1"/>
  <c r="B27263" i="1"/>
  <c r="B27264" i="1"/>
  <c r="B27265" i="1"/>
  <c r="B27266" i="1"/>
  <c r="B27267" i="1"/>
  <c r="B27268" i="1"/>
  <c r="B27269" i="1"/>
  <c r="B27270" i="1"/>
  <c r="B27271" i="1"/>
  <c r="B27272" i="1"/>
  <c r="B27273" i="1"/>
  <c r="B27274" i="1"/>
  <c r="B27275" i="1"/>
  <c r="B27276" i="1"/>
  <c r="B27277" i="1"/>
  <c r="B27278" i="1"/>
  <c r="B27279" i="1"/>
  <c r="B27280" i="1"/>
  <c r="B27281" i="1"/>
  <c r="B27282" i="1"/>
  <c r="B27283" i="1"/>
  <c r="B27284" i="1"/>
  <c r="B27285" i="1"/>
  <c r="B27286" i="1"/>
  <c r="B27287" i="1"/>
  <c r="B27288" i="1"/>
  <c r="B27289" i="1"/>
  <c r="B27290" i="1"/>
  <c r="B27291" i="1"/>
  <c r="B27292" i="1"/>
  <c r="B27293" i="1"/>
  <c r="B27294" i="1"/>
  <c r="B27295" i="1"/>
  <c r="B27296" i="1"/>
  <c r="B27297" i="1"/>
  <c r="B27298" i="1"/>
  <c r="B27299" i="1"/>
  <c r="B27300" i="1"/>
  <c r="B27301" i="1"/>
  <c r="B27302" i="1"/>
  <c r="B27303" i="1"/>
  <c r="B27304" i="1"/>
  <c r="B27305" i="1"/>
  <c r="B27306" i="1"/>
  <c r="B27307" i="1"/>
  <c r="B27308" i="1"/>
  <c r="B27309" i="1"/>
  <c r="B27310" i="1"/>
  <c r="B27311" i="1"/>
  <c r="B27312" i="1"/>
  <c r="B27313" i="1"/>
  <c r="B27314" i="1"/>
  <c r="B27315" i="1"/>
  <c r="B27316" i="1"/>
  <c r="B27317" i="1"/>
  <c r="B27318" i="1"/>
  <c r="B27319" i="1"/>
  <c r="B27320" i="1"/>
  <c r="B27321" i="1"/>
  <c r="B27322" i="1"/>
  <c r="B27323" i="1"/>
  <c r="B27324" i="1"/>
  <c r="B27325" i="1"/>
  <c r="B27326" i="1"/>
  <c r="B27327" i="1"/>
  <c r="B27328" i="1"/>
  <c r="B27329" i="1"/>
  <c r="B27330" i="1"/>
  <c r="B27331" i="1"/>
  <c r="B27332" i="1"/>
  <c r="B27333" i="1"/>
  <c r="B27334" i="1"/>
  <c r="B27335" i="1"/>
  <c r="B27336" i="1"/>
  <c r="B27337" i="1"/>
  <c r="B27338" i="1"/>
  <c r="B27339" i="1"/>
  <c r="B27340" i="1"/>
  <c r="B27341" i="1"/>
  <c r="B27342" i="1"/>
  <c r="B27343" i="1"/>
  <c r="B27344" i="1"/>
  <c r="B27345" i="1"/>
  <c r="B27346" i="1"/>
  <c r="B27347" i="1"/>
  <c r="B27348" i="1"/>
  <c r="B27349" i="1"/>
  <c r="B27350" i="1"/>
  <c r="B27351" i="1"/>
  <c r="B27352" i="1"/>
  <c r="B27353" i="1"/>
  <c r="B27354" i="1"/>
  <c r="B27355" i="1"/>
  <c r="B27356" i="1"/>
  <c r="B27357" i="1"/>
  <c r="B27358" i="1"/>
  <c r="B27359" i="1"/>
  <c r="B27360" i="1"/>
  <c r="B27361" i="1"/>
  <c r="B27362" i="1"/>
  <c r="B27363" i="1"/>
  <c r="B27364" i="1"/>
  <c r="B27365" i="1"/>
  <c r="B27366" i="1"/>
  <c r="B27367" i="1"/>
  <c r="B27368" i="1"/>
  <c r="B27369" i="1"/>
  <c r="B27370" i="1"/>
  <c r="B27371" i="1"/>
  <c r="B27372" i="1"/>
  <c r="B27373" i="1"/>
  <c r="B27374" i="1"/>
  <c r="B27375" i="1"/>
  <c r="B27376" i="1"/>
  <c r="B27377" i="1"/>
  <c r="B27378" i="1"/>
  <c r="B27379" i="1"/>
  <c r="B27380" i="1"/>
  <c r="B27381" i="1"/>
  <c r="B27382" i="1"/>
  <c r="B27383" i="1"/>
  <c r="B27384" i="1"/>
  <c r="B27385" i="1"/>
  <c r="B27386" i="1"/>
  <c r="B27387" i="1"/>
  <c r="B27388" i="1"/>
  <c r="B27389" i="1"/>
  <c r="B27390" i="1"/>
  <c r="B27391" i="1"/>
  <c r="B27392" i="1"/>
  <c r="B27393" i="1"/>
  <c r="B27394" i="1"/>
  <c r="B27395" i="1"/>
  <c r="B27396" i="1"/>
  <c r="B27397" i="1"/>
  <c r="B27398" i="1"/>
  <c r="B27399" i="1"/>
  <c r="B27400" i="1"/>
  <c r="B27401" i="1"/>
  <c r="B27402" i="1"/>
  <c r="B27403" i="1"/>
  <c r="B27404" i="1"/>
  <c r="B27405" i="1"/>
  <c r="B27406" i="1"/>
  <c r="B27407" i="1"/>
  <c r="B27408" i="1"/>
  <c r="B27409" i="1"/>
  <c r="B27410" i="1"/>
  <c r="B27411" i="1"/>
  <c r="B27412" i="1"/>
  <c r="B27413" i="1"/>
  <c r="B27414" i="1"/>
  <c r="B27415" i="1"/>
  <c r="B27416" i="1"/>
  <c r="B27417" i="1"/>
  <c r="B27418" i="1"/>
  <c r="B27419" i="1"/>
  <c r="B27420" i="1"/>
  <c r="B27421" i="1"/>
  <c r="B27422" i="1"/>
  <c r="B27423" i="1"/>
  <c r="B27424" i="1"/>
  <c r="B27425" i="1"/>
  <c r="B27426" i="1"/>
  <c r="B27427" i="1"/>
  <c r="B27428" i="1"/>
  <c r="B27429" i="1"/>
  <c r="B27430" i="1"/>
  <c r="B27431" i="1"/>
  <c r="B27432" i="1"/>
  <c r="B27433" i="1"/>
  <c r="B27434" i="1"/>
  <c r="B27435" i="1"/>
  <c r="B27436" i="1"/>
  <c r="B27437" i="1"/>
  <c r="B27438" i="1"/>
  <c r="B27439" i="1"/>
  <c r="B27440" i="1"/>
  <c r="B27441" i="1"/>
  <c r="B27442" i="1"/>
  <c r="B27443" i="1"/>
  <c r="B27444" i="1"/>
  <c r="B27445" i="1"/>
  <c r="B27446" i="1"/>
  <c r="B27447" i="1"/>
  <c r="B27448" i="1"/>
  <c r="B27449" i="1"/>
  <c r="B27450" i="1"/>
  <c r="B27451" i="1"/>
  <c r="B27452" i="1"/>
  <c r="B27453" i="1"/>
  <c r="B27454" i="1"/>
  <c r="B27455" i="1"/>
  <c r="B27456" i="1"/>
  <c r="B27457" i="1"/>
  <c r="B27458" i="1"/>
  <c r="B27459" i="1"/>
  <c r="B27460" i="1"/>
  <c r="B27461" i="1"/>
  <c r="B27462" i="1"/>
  <c r="B27463" i="1"/>
  <c r="B27464" i="1"/>
  <c r="B27465" i="1"/>
  <c r="B27466" i="1"/>
  <c r="B27467" i="1"/>
  <c r="B27468" i="1"/>
  <c r="B27469" i="1"/>
  <c r="B27470" i="1"/>
  <c r="B27471" i="1"/>
  <c r="B27472" i="1"/>
  <c r="B27473" i="1"/>
  <c r="B27474" i="1"/>
  <c r="B27475" i="1"/>
  <c r="B27476" i="1"/>
  <c r="B27477" i="1"/>
  <c r="B27478" i="1"/>
  <c r="B27479" i="1"/>
  <c r="B27480" i="1"/>
  <c r="B27481" i="1"/>
  <c r="B27482" i="1"/>
  <c r="B27483" i="1"/>
  <c r="B27484" i="1"/>
  <c r="B27485" i="1"/>
  <c r="B27486" i="1"/>
  <c r="B27487" i="1"/>
  <c r="B27488" i="1"/>
  <c r="B27489" i="1"/>
  <c r="B27490" i="1"/>
  <c r="B27491" i="1"/>
  <c r="B27492" i="1"/>
  <c r="B27493" i="1"/>
  <c r="B27494" i="1"/>
  <c r="B27495" i="1"/>
  <c r="B27496" i="1"/>
  <c r="B27497" i="1"/>
  <c r="B27498" i="1"/>
  <c r="B27499" i="1"/>
  <c r="B27500" i="1"/>
  <c r="B27501" i="1"/>
  <c r="B27502" i="1"/>
  <c r="B27503" i="1"/>
  <c r="B27504" i="1"/>
  <c r="B27505" i="1"/>
  <c r="B27506" i="1"/>
  <c r="B27507" i="1"/>
  <c r="B27508" i="1"/>
  <c r="B27509" i="1"/>
  <c r="B27510" i="1"/>
  <c r="B27511" i="1"/>
  <c r="B27512" i="1"/>
  <c r="B27513" i="1"/>
  <c r="B27514" i="1"/>
  <c r="B27515" i="1"/>
  <c r="B27516" i="1"/>
  <c r="B27517" i="1"/>
  <c r="B27518" i="1"/>
  <c r="B27519" i="1"/>
  <c r="B27520" i="1"/>
  <c r="B27521" i="1"/>
  <c r="B27522" i="1"/>
  <c r="B27523" i="1"/>
  <c r="B27524" i="1"/>
  <c r="B27525" i="1"/>
  <c r="B27526" i="1"/>
  <c r="B27527" i="1"/>
  <c r="B27528" i="1"/>
  <c r="B27529" i="1"/>
  <c r="B27530" i="1"/>
  <c r="B27531" i="1"/>
  <c r="B27532" i="1"/>
  <c r="B27533" i="1"/>
  <c r="B27534" i="1"/>
  <c r="B27535" i="1"/>
  <c r="B27536" i="1"/>
  <c r="B27537" i="1"/>
  <c r="B27538" i="1"/>
  <c r="B27539" i="1"/>
  <c r="B27540" i="1"/>
  <c r="B27541" i="1"/>
  <c r="B27542" i="1"/>
  <c r="B27543" i="1"/>
  <c r="B27544" i="1"/>
  <c r="B27545" i="1"/>
  <c r="B27546" i="1"/>
  <c r="B27547" i="1"/>
  <c r="B27548" i="1"/>
  <c r="B27549" i="1"/>
  <c r="B27550" i="1"/>
  <c r="B27551" i="1"/>
  <c r="B27552" i="1"/>
  <c r="B27553" i="1"/>
  <c r="B27554" i="1"/>
  <c r="B27555" i="1"/>
  <c r="B27556" i="1"/>
  <c r="B27557" i="1"/>
  <c r="B27558" i="1"/>
  <c r="B27559" i="1"/>
  <c r="B27560" i="1"/>
  <c r="B27561" i="1"/>
  <c r="B27562" i="1"/>
  <c r="B27563" i="1"/>
  <c r="B27564" i="1"/>
  <c r="B27565" i="1"/>
  <c r="B27566" i="1"/>
  <c r="B27567" i="1"/>
  <c r="B27568" i="1"/>
  <c r="B27569" i="1"/>
  <c r="B27570" i="1"/>
  <c r="B27571" i="1"/>
  <c r="B27572" i="1"/>
  <c r="B27573" i="1"/>
  <c r="B27574" i="1"/>
  <c r="B27575" i="1"/>
  <c r="B27576" i="1"/>
  <c r="B27577" i="1"/>
  <c r="B27578" i="1"/>
  <c r="B27579" i="1"/>
  <c r="B27580" i="1"/>
  <c r="B27581" i="1"/>
  <c r="B27582" i="1"/>
  <c r="B27583" i="1"/>
  <c r="B27584" i="1"/>
  <c r="B27585" i="1"/>
  <c r="B27586" i="1"/>
  <c r="B27587" i="1"/>
  <c r="B27588" i="1"/>
  <c r="B27589" i="1"/>
  <c r="B27590" i="1"/>
  <c r="B27591" i="1"/>
  <c r="B27592" i="1"/>
  <c r="B27593" i="1"/>
  <c r="B27594" i="1"/>
  <c r="B27595" i="1"/>
  <c r="B27596" i="1"/>
  <c r="B27597" i="1"/>
  <c r="B27598" i="1"/>
  <c r="B27599" i="1"/>
  <c r="B27600" i="1"/>
  <c r="B27601" i="1"/>
  <c r="B27602" i="1"/>
  <c r="B27603" i="1"/>
  <c r="B27604" i="1"/>
  <c r="B27605" i="1"/>
  <c r="B27606" i="1"/>
  <c r="B27607" i="1"/>
  <c r="B27608" i="1"/>
  <c r="B27609" i="1"/>
  <c r="B27610" i="1"/>
  <c r="B27611" i="1"/>
  <c r="B27612" i="1"/>
  <c r="B27613" i="1"/>
  <c r="B27614" i="1"/>
  <c r="B27615" i="1"/>
  <c r="B27616" i="1"/>
  <c r="B27617" i="1"/>
  <c r="B27618" i="1"/>
  <c r="B27619" i="1"/>
  <c r="B27620" i="1"/>
  <c r="B27621" i="1"/>
  <c r="B27622" i="1"/>
  <c r="B27623" i="1"/>
  <c r="B27624" i="1"/>
  <c r="B27625" i="1"/>
  <c r="B27626" i="1"/>
  <c r="B27627" i="1"/>
  <c r="B27628" i="1"/>
  <c r="B27629" i="1"/>
  <c r="B27630" i="1"/>
  <c r="B27631" i="1"/>
  <c r="B27632" i="1"/>
  <c r="B27633" i="1"/>
  <c r="B27634" i="1"/>
  <c r="B27635" i="1"/>
  <c r="B27636" i="1"/>
  <c r="B27637" i="1"/>
  <c r="B27638" i="1"/>
  <c r="B27639" i="1"/>
  <c r="B27640" i="1"/>
  <c r="B27641" i="1"/>
  <c r="B27642" i="1"/>
  <c r="B27643" i="1"/>
  <c r="B27644" i="1"/>
  <c r="B27645" i="1"/>
  <c r="B27646" i="1"/>
  <c r="B27647" i="1"/>
  <c r="B27648" i="1"/>
  <c r="B27649" i="1"/>
  <c r="B27650" i="1"/>
  <c r="B27651" i="1"/>
  <c r="B27652" i="1"/>
  <c r="B27653" i="1"/>
  <c r="B27654" i="1"/>
  <c r="B27655" i="1"/>
  <c r="B27656" i="1"/>
  <c r="B27657" i="1"/>
  <c r="B27658" i="1"/>
  <c r="B27659" i="1"/>
  <c r="B27660" i="1"/>
  <c r="B27661" i="1"/>
  <c r="B27662" i="1"/>
  <c r="B27663" i="1"/>
  <c r="B27664" i="1"/>
  <c r="B27665" i="1"/>
  <c r="B27666" i="1"/>
  <c r="B27667" i="1"/>
  <c r="B27668" i="1"/>
  <c r="B27669" i="1"/>
  <c r="B27670" i="1"/>
  <c r="B27671" i="1"/>
  <c r="B27672" i="1"/>
  <c r="B27673" i="1"/>
  <c r="B27674" i="1"/>
  <c r="B27675" i="1"/>
  <c r="B27676" i="1"/>
  <c r="B27677" i="1"/>
  <c r="B27678" i="1"/>
  <c r="B27679" i="1"/>
  <c r="B27680" i="1"/>
  <c r="B27681" i="1"/>
  <c r="B27682" i="1"/>
  <c r="B27683" i="1"/>
  <c r="B27684" i="1"/>
  <c r="B27685" i="1"/>
  <c r="B27686" i="1"/>
  <c r="B27687" i="1"/>
  <c r="B27688" i="1"/>
  <c r="B27689" i="1"/>
  <c r="B27690" i="1"/>
  <c r="B27691" i="1"/>
  <c r="B27692" i="1"/>
  <c r="B27693" i="1"/>
  <c r="B27694" i="1"/>
  <c r="B27695" i="1"/>
  <c r="B27696" i="1"/>
  <c r="B27697" i="1"/>
  <c r="B27698" i="1"/>
  <c r="B27699" i="1"/>
  <c r="B27700" i="1"/>
  <c r="B27701" i="1"/>
  <c r="B27702" i="1"/>
  <c r="B27703" i="1"/>
  <c r="B27704" i="1"/>
  <c r="B27705" i="1"/>
  <c r="B27706" i="1"/>
  <c r="B27707" i="1"/>
  <c r="B27708" i="1"/>
  <c r="B27709" i="1"/>
  <c r="B27710" i="1"/>
  <c r="B27711" i="1"/>
  <c r="B27712" i="1"/>
  <c r="B27713" i="1"/>
  <c r="B27714" i="1"/>
  <c r="B27715" i="1"/>
  <c r="B27716" i="1"/>
  <c r="B27717" i="1"/>
  <c r="B27718" i="1"/>
  <c r="B27719" i="1"/>
  <c r="B27720" i="1"/>
  <c r="B27721" i="1"/>
  <c r="B27722" i="1"/>
  <c r="B27723" i="1"/>
  <c r="B27724" i="1"/>
  <c r="B27725" i="1"/>
  <c r="B27726" i="1"/>
  <c r="B27727" i="1"/>
  <c r="B27728" i="1"/>
  <c r="B27729" i="1"/>
  <c r="B27730" i="1"/>
  <c r="B27731" i="1"/>
  <c r="B27732" i="1"/>
  <c r="B27733" i="1"/>
  <c r="B27734" i="1"/>
  <c r="B27735" i="1"/>
  <c r="B27736" i="1"/>
  <c r="B27737" i="1"/>
  <c r="B27738" i="1"/>
  <c r="B27739" i="1"/>
  <c r="B27740" i="1"/>
  <c r="B27741" i="1"/>
  <c r="B27742" i="1"/>
  <c r="B27743" i="1"/>
  <c r="B27744" i="1"/>
  <c r="B27745" i="1"/>
  <c r="B27746" i="1"/>
  <c r="B27747" i="1"/>
  <c r="B27748" i="1"/>
  <c r="B27749" i="1"/>
  <c r="B27750" i="1"/>
  <c r="B27751" i="1"/>
  <c r="B27752" i="1"/>
  <c r="B27753" i="1"/>
  <c r="B27754" i="1"/>
  <c r="B27755" i="1"/>
  <c r="B27756" i="1"/>
  <c r="B27757" i="1"/>
  <c r="B27758" i="1"/>
  <c r="B27759" i="1"/>
  <c r="B27760" i="1"/>
  <c r="B27761" i="1"/>
  <c r="B27762" i="1"/>
  <c r="B27763" i="1"/>
  <c r="B27764" i="1"/>
  <c r="B27765" i="1"/>
  <c r="B27766" i="1"/>
  <c r="B27767" i="1"/>
  <c r="B27768" i="1"/>
  <c r="B27769" i="1"/>
  <c r="B27770" i="1"/>
  <c r="B27771" i="1"/>
  <c r="B27772" i="1"/>
  <c r="B27773" i="1"/>
  <c r="B27774" i="1"/>
  <c r="B27775" i="1"/>
  <c r="B27776" i="1"/>
  <c r="B27777" i="1"/>
  <c r="B27778" i="1"/>
  <c r="B27779" i="1"/>
  <c r="B27780" i="1"/>
  <c r="B27781" i="1"/>
  <c r="B27782" i="1"/>
  <c r="B27783" i="1"/>
  <c r="B27784" i="1"/>
  <c r="B27785" i="1"/>
  <c r="B27786" i="1"/>
  <c r="B27787" i="1"/>
  <c r="B27788" i="1"/>
  <c r="B27789" i="1"/>
  <c r="B27790" i="1"/>
  <c r="B27791" i="1"/>
  <c r="B27792" i="1"/>
  <c r="B27793" i="1"/>
  <c r="B27794" i="1"/>
  <c r="B27795" i="1"/>
  <c r="B27796" i="1"/>
  <c r="B27797" i="1"/>
  <c r="B27798" i="1"/>
  <c r="B27799" i="1"/>
  <c r="B27800" i="1"/>
  <c r="B27801" i="1"/>
  <c r="B27802" i="1"/>
  <c r="B27803" i="1"/>
  <c r="B27804" i="1"/>
  <c r="B27805" i="1"/>
  <c r="B27806" i="1"/>
  <c r="B27807" i="1"/>
  <c r="B27808" i="1"/>
  <c r="B27809" i="1"/>
  <c r="B27810" i="1"/>
  <c r="B27811" i="1"/>
  <c r="B27812" i="1"/>
  <c r="B27813" i="1"/>
  <c r="B27814" i="1"/>
  <c r="B27815" i="1"/>
  <c r="B27816" i="1"/>
  <c r="B27817" i="1"/>
  <c r="B27818" i="1"/>
  <c r="B27819" i="1"/>
  <c r="B27820" i="1"/>
  <c r="B27821" i="1"/>
  <c r="B27822" i="1"/>
  <c r="B27823" i="1"/>
  <c r="B27824" i="1"/>
  <c r="B27825" i="1"/>
  <c r="B27826" i="1"/>
  <c r="B27827" i="1"/>
  <c r="B27828" i="1"/>
  <c r="B27829" i="1"/>
  <c r="B27830" i="1"/>
  <c r="B27831" i="1"/>
  <c r="B27832" i="1"/>
  <c r="B27833" i="1"/>
  <c r="B27834" i="1"/>
  <c r="B27835" i="1"/>
  <c r="B27836" i="1"/>
  <c r="B27837" i="1"/>
  <c r="B27838" i="1"/>
  <c r="B27839" i="1"/>
  <c r="B27840" i="1"/>
  <c r="B27841" i="1"/>
  <c r="B27842" i="1"/>
  <c r="B27843" i="1"/>
  <c r="B27844" i="1"/>
  <c r="B27845" i="1"/>
  <c r="B27846" i="1"/>
  <c r="B27847" i="1"/>
  <c r="B27848" i="1"/>
  <c r="B27849" i="1"/>
  <c r="B27850" i="1"/>
  <c r="B27851" i="1"/>
  <c r="B27852" i="1"/>
  <c r="B27853" i="1"/>
  <c r="B27854" i="1"/>
  <c r="B27855" i="1"/>
  <c r="B27856" i="1"/>
  <c r="B27857" i="1"/>
  <c r="B27858" i="1"/>
  <c r="B27859" i="1"/>
  <c r="B27860" i="1"/>
  <c r="B27861" i="1"/>
  <c r="B27862" i="1"/>
  <c r="B27863" i="1"/>
  <c r="B27864" i="1"/>
  <c r="B27865" i="1"/>
  <c r="B27866" i="1"/>
  <c r="B27867" i="1"/>
  <c r="B27868" i="1"/>
  <c r="B27869" i="1"/>
  <c r="B27870" i="1"/>
  <c r="B27871" i="1"/>
  <c r="B27872" i="1"/>
  <c r="B27873" i="1"/>
  <c r="B27874" i="1"/>
  <c r="B27875" i="1"/>
  <c r="B27876" i="1"/>
  <c r="B27877" i="1"/>
  <c r="B27878" i="1"/>
  <c r="B27879" i="1"/>
  <c r="B27880" i="1"/>
  <c r="B27881" i="1"/>
  <c r="B27882" i="1"/>
  <c r="B27883" i="1"/>
  <c r="B27884" i="1"/>
  <c r="B27885" i="1"/>
  <c r="B27886" i="1"/>
  <c r="B27887" i="1"/>
  <c r="B27888" i="1"/>
  <c r="B27889" i="1"/>
  <c r="B27890" i="1"/>
  <c r="B27891" i="1"/>
  <c r="B27892" i="1"/>
  <c r="B27893" i="1"/>
  <c r="B27894" i="1"/>
  <c r="B27895" i="1"/>
  <c r="B27896" i="1"/>
  <c r="B27897" i="1"/>
  <c r="B27898" i="1"/>
  <c r="B27899" i="1"/>
  <c r="B27900" i="1"/>
  <c r="B27901" i="1"/>
  <c r="B27902" i="1"/>
  <c r="B27903" i="1"/>
  <c r="B27904" i="1"/>
  <c r="B27905" i="1"/>
  <c r="B27906" i="1"/>
  <c r="B27907" i="1"/>
  <c r="B27908" i="1"/>
  <c r="B27909" i="1"/>
  <c r="B27910" i="1"/>
  <c r="B27911" i="1"/>
  <c r="B27912" i="1"/>
  <c r="B27913" i="1"/>
  <c r="B27914" i="1"/>
  <c r="B27915" i="1"/>
  <c r="B27916" i="1"/>
  <c r="B27917" i="1"/>
  <c r="B27918" i="1"/>
  <c r="B27919" i="1"/>
  <c r="B27920" i="1"/>
  <c r="B27921" i="1"/>
  <c r="B27922" i="1"/>
  <c r="B27923" i="1"/>
  <c r="B27924" i="1"/>
  <c r="B27925" i="1"/>
  <c r="B27926" i="1"/>
  <c r="B27927" i="1"/>
  <c r="B27928" i="1"/>
  <c r="B27929" i="1"/>
  <c r="B27930" i="1"/>
  <c r="B27931" i="1"/>
  <c r="B27932" i="1"/>
  <c r="B27933" i="1"/>
  <c r="B27934" i="1"/>
  <c r="B27935" i="1"/>
  <c r="B27936" i="1"/>
  <c r="B27937" i="1"/>
  <c r="B27938" i="1"/>
  <c r="B27939" i="1"/>
  <c r="B27940" i="1"/>
  <c r="B27941" i="1"/>
  <c r="B27942" i="1"/>
  <c r="B27943" i="1"/>
  <c r="B27944" i="1"/>
  <c r="B27945" i="1"/>
  <c r="B27946" i="1"/>
  <c r="B27947" i="1"/>
  <c r="B27948" i="1"/>
  <c r="B27949" i="1"/>
  <c r="B27950" i="1"/>
  <c r="B27951" i="1"/>
  <c r="B27952" i="1"/>
  <c r="B27953" i="1"/>
  <c r="B27954" i="1"/>
  <c r="B27955" i="1"/>
  <c r="B27956" i="1"/>
  <c r="B27957" i="1"/>
  <c r="B27958" i="1"/>
  <c r="B27959" i="1"/>
  <c r="B27960" i="1"/>
  <c r="B27961" i="1"/>
  <c r="B27962" i="1"/>
  <c r="B27963" i="1"/>
  <c r="B27964" i="1"/>
  <c r="B27965" i="1"/>
  <c r="B27966" i="1"/>
  <c r="B27967" i="1"/>
  <c r="B27968" i="1"/>
  <c r="B27969" i="1"/>
  <c r="B27970" i="1"/>
  <c r="B27971" i="1"/>
  <c r="B27972" i="1"/>
  <c r="B27973" i="1"/>
  <c r="B27974" i="1"/>
  <c r="B27975" i="1"/>
  <c r="B27976" i="1"/>
  <c r="B27977" i="1"/>
  <c r="B27978" i="1"/>
  <c r="B27979" i="1"/>
  <c r="B27980" i="1"/>
  <c r="B27981" i="1"/>
  <c r="B27982" i="1"/>
  <c r="B27983" i="1"/>
  <c r="B27984" i="1"/>
  <c r="B27985" i="1"/>
  <c r="B27986" i="1"/>
  <c r="B27987" i="1"/>
  <c r="B27988" i="1"/>
  <c r="B27989" i="1"/>
  <c r="B27990" i="1"/>
  <c r="B27991" i="1"/>
  <c r="B27992" i="1"/>
  <c r="B27993" i="1"/>
  <c r="B27994" i="1"/>
  <c r="B27995" i="1"/>
  <c r="B27996" i="1"/>
  <c r="B27997" i="1"/>
  <c r="B27998" i="1"/>
  <c r="B27999" i="1"/>
  <c r="B28000" i="1"/>
  <c r="B28001" i="1"/>
  <c r="B28002" i="1"/>
  <c r="B28003" i="1"/>
  <c r="B28004" i="1"/>
  <c r="B28005" i="1"/>
  <c r="B28006" i="1"/>
  <c r="B28007" i="1"/>
  <c r="B28008" i="1"/>
  <c r="B28009" i="1"/>
  <c r="B28010" i="1"/>
  <c r="B28011" i="1"/>
  <c r="B28012" i="1"/>
  <c r="B28013" i="1"/>
  <c r="B28014" i="1"/>
  <c r="B28015" i="1"/>
  <c r="B28016" i="1"/>
  <c r="B28017" i="1"/>
  <c r="B28018" i="1"/>
  <c r="B28019" i="1"/>
  <c r="B28020" i="1"/>
  <c r="B28021" i="1"/>
  <c r="B28022" i="1"/>
  <c r="B28023" i="1"/>
  <c r="B28024" i="1"/>
  <c r="B28025" i="1"/>
  <c r="B28026" i="1"/>
  <c r="B28027" i="1"/>
  <c r="B28028" i="1"/>
  <c r="B28029" i="1"/>
  <c r="B28030" i="1"/>
  <c r="B28031" i="1"/>
  <c r="B28032" i="1"/>
  <c r="B28033" i="1"/>
  <c r="B28034" i="1"/>
  <c r="B28035" i="1"/>
  <c r="B28036" i="1"/>
  <c r="B28037" i="1"/>
  <c r="B28038" i="1"/>
  <c r="B28039" i="1"/>
  <c r="B28040" i="1"/>
  <c r="B28041" i="1"/>
  <c r="B28042" i="1"/>
  <c r="B28043" i="1"/>
  <c r="B28044" i="1"/>
  <c r="B28045" i="1"/>
  <c r="B28046" i="1"/>
  <c r="B28047" i="1"/>
  <c r="B28048" i="1"/>
  <c r="B28049" i="1"/>
  <c r="B28050" i="1"/>
  <c r="B28051" i="1"/>
  <c r="B28052" i="1"/>
  <c r="B28053" i="1"/>
  <c r="B28054" i="1"/>
  <c r="B28055" i="1"/>
  <c r="B28056" i="1"/>
  <c r="B28057" i="1"/>
  <c r="B28058" i="1"/>
  <c r="B28059" i="1"/>
  <c r="B28060" i="1"/>
  <c r="B28061" i="1"/>
  <c r="B28062" i="1"/>
  <c r="B28063" i="1"/>
  <c r="B28064" i="1"/>
  <c r="B28065" i="1"/>
  <c r="B28066" i="1"/>
  <c r="B28067" i="1"/>
  <c r="B28068" i="1"/>
  <c r="B28069" i="1"/>
  <c r="B28070" i="1"/>
  <c r="B28071" i="1"/>
  <c r="B28072" i="1"/>
  <c r="B28073" i="1"/>
  <c r="B28074" i="1"/>
  <c r="B28075" i="1"/>
  <c r="B28076" i="1"/>
  <c r="B28077" i="1"/>
  <c r="B28078" i="1"/>
  <c r="B28079" i="1"/>
  <c r="B28080" i="1"/>
  <c r="B28081" i="1"/>
  <c r="B28082" i="1"/>
  <c r="B28083" i="1"/>
  <c r="B28084" i="1"/>
  <c r="B28085" i="1"/>
  <c r="B28086" i="1"/>
  <c r="B28087" i="1"/>
  <c r="B28088" i="1"/>
  <c r="B28089" i="1"/>
  <c r="B28090" i="1"/>
  <c r="B28091" i="1"/>
  <c r="B28092" i="1"/>
  <c r="B28093" i="1"/>
  <c r="B28094" i="1"/>
  <c r="B28095" i="1"/>
  <c r="B28096" i="1"/>
  <c r="B28097" i="1"/>
  <c r="B28098" i="1"/>
  <c r="B28099" i="1"/>
  <c r="B28100" i="1"/>
  <c r="B28101" i="1"/>
  <c r="B28102" i="1"/>
  <c r="B28103" i="1"/>
  <c r="B28104" i="1"/>
  <c r="B28105" i="1"/>
  <c r="B28106" i="1"/>
  <c r="B28107" i="1"/>
  <c r="B28108" i="1"/>
  <c r="B28109" i="1"/>
  <c r="B28110" i="1"/>
  <c r="B28111" i="1"/>
  <c r="B28112" i="1"/>
  <c r="B28113" i="1"/>
  <c r="B28114" i="1"/>
  <c r="B28115" i="1"/>
  <c r="B28116" i="1"/>
  <c r="B28117" i="1"/>
  <c r="B28118" i="1"/>
  <c r="B28119" i="1"/>
  <c r="B28120" i="1"/>
  <c r="B28121" i="1"/>
  <c r="B28122" i="1"/>
  <c r="B28123" i="1"/>
  <c r="B28124" i="1"/>
  <c r="B28125" i="1"/>
  <c r="B28126" i="1"/>
  <c r="B28127" i="1"/>
  <c r="B28128" i="1"/>
  <c r="B28129" i="1"/>
  <c r="B28130" i="1"/>
  <c r="B28131" i="1"/>
  <c r="B28132" i="1"/>
  <c r="B28133" i="1"/>
  <c r="B28134" i="1"/>
  <c r="B28135" i="1"/>
  <c r="B28136" i="1"/>
  <c r="B28137" i="1"/>
  <c r="B28138" i="1"/>
  <c r="B28139" i="1"/>
  <c r="B28140" i="1"/>
  <c r="B28141" i="1"/>
  <c r="B28142" i="1"/>
  <c r="B28143" i="1"/>
  <c r="B28144" i="1"/>
  <c r="B28145" i="1"/>
  <c r="B28146" i="1"/>
  <c r="B28147" i="1"/>
  <c r="B28148" i="1"/>
  <c r="B28149" i="1"/>
  <c r="B28150" i="1"/>
  <c r="B28151" i="1"/>
  <c r="B28152" i="1"/>
  <c r="B28153" i="1"/>
  <c r="B28154" i="1"/>
  <c r="B28155" i="1"/>
  <c r="B28156" i="1"/>
  <c r="B28157" i="1"/>
  <c r="B28158" i="1"/>
  <c r="B28159" i="1"/>
  <c r="B28160" i="1"/>
  <c r="B28161" i="1"/>
  <c r="B28162" i="1"/>
  <c r="B28163" i="1"/>
  <c r="B28164" i="1"/>
  <c r="B28165" i="1"/>
  <c r="B28166" i="1"/>
  <c r="B28167" i="1"/>
  <c r="B28168" i="1"/>
  <c r="B28169" i="1"/>
  <c r="B28170" i="1"/>
  <c r="B28171" i="1"/>
  <c r="B28172" i="1"/>
  <c r="B28173" i="1"/>
  <c r="B28174" i="1"/>
  <c r="B28175" i="1"/>
  <c r="B28176" i="1"/>
  <c r="B28177" i="1"/>
  <c r="B28178" i="1"/>
  <c r="B28179" i="1"/>
  <c r="B28180" i="1"/>
  <c r="B28181" i="1"/>
  <c r="B28182" i="1"/>
  <c r="B28183" i="1"/>
  <c r="B28184" i="1"/>
  <c r="B28185" i="1"/>
  <c r="B28186" i="1"/>
  <c r="B28187" i="1"/>
  <c r="B28188" i="1"/>
  <c r="B28189" i="1"/>
  <c r="B28190" i="1"/>
  <c r="B28191" i="1"/>
  <c r="B28192" i="1"/>
  <c r="B28193" i="1"/>
  <c r="B28194" i="1"/>
  <c r="B28195" i="1"/>
  <c r="B28196" i="1"/>
  <c r="B28197" i="1"/>
  <c r="B28198" i="1"/>
  <c r="B28199" i="1"/>
  <c r="B28200" i="1"/>
  <c r="B28201" i="1"/>
  <c r="B28202" i="1"/>
  <c r="B28203" i="1"/>
  <c r="B28204" i="1"/>
  <c r="B28205" i="1"/>
  <c r="B28206" i="1"/>
  <c r="B28207" i="1"/>
  <c r="B28208" i="1"/>
  <c r="B28209" i="1"/>
  <c r="B28210" i="1"/>
  <c r="B28211" i="1"/>
  <c r="B28212" i="1"/>
  <c r="B28213" i="1"/>
  <c r="B28214" i="1"/>
  <c r="B28215" i="1"/>
  <c r="B28216" i="1"/>
  <c r="B28217" i="1"/>
  <c r="B28218" i="1"/>
  <c r="B28219" i="1"/>
  <c r="B28220" i="1"/>
  <c r="B28221" i="1"/>
  <c r="B28222" i="1"/>
  <c r="B28223" i="1"/>
  <c r="B28224" i="1"/>
  <c r="B28225" i="1"/>
  <c r="B28226" i="1"/>
  <c r="B28227" i="1"/>
  <c r="B28228" i="1"/>
  <c r="B28229" i="1"/>
  <c r="B28230" i="1"/>
  <c r="B28231" i="1"/>
  <c r="B28232" i="1"/>
  <c r="B28233" i="1"/>
  <c r="B28234" i="1"/>
  <c r="B28235" i="1"/>
  <c r="B28236" i="1"/>
  <c r="B28237" i="1"/>
  <c r="B28238" i="1"/>
  <c r="B28239" i="1"/>
  <c r="B28240" i="1"/>
  <c r="B28241" i="1"/>
  <c r="B28242" i="1"/>
  <c r="B28243" i="1"/>
  <c r="B28244" i="1"/>
  <c r="B28245" i="1"/>
  <c r="B28246" i="1"/>
  <c r="B28247" i="1"/>
  <c r="B28248" i="1"/>
  <c r="B28249" i="1"/>
  <c r="B28250" i="1"/>
  <c r="B28251" i="1"/>
  <c r="B28252" i="1"/>
  <c r="B28253" i="1"/>
  <c r="B28254" i="1"/>
  <c r="B28255" i="1"/>
  <c r="B28256" i="1"/>
  <c r="B28257" i="1"/>
  <c r="B28258" i="1"/>
  <c r="B28259" i="1"/>
  <c r="B28260" i="1"/>
  <c r="B28261" i="1"/>
  <c r="B28262" i="1"/>
  <c r="B28263" i="1"/>
  <c r="B28264" i="1"/>
  <c r="B28265" i="1"/>
  <c r="B28266" i="1"/>
  <c r="B28267" i="1"/>
  <c r="B28268" i="1"/>
  <c r="B28269" i="1"/>
  <c r="B28270" i="1"/>
  <c r="B28271" i="1"/>
  <c r="B28272" i="1"/>
  <c r="B28273" i="1"/>
  <c r="B28274" i="1"/>
  <c r="B28275" i="1"/>
  <c r="B28276" i="1"/>
  <c r="B28277" i="1"/>
  <c r="B28278" i="1"/>
  <c r="B28279" i="1"/>
  <c r="B28280" i="1"/>
  <c r="B28281" i="1"/>
  <c r="B28282" i="1"/>
  <c r="B28283" i="1"/>
  <c r="B28284" i="1"/>
  <c r="B28285" i="1"/>
  <c r="B28286" i="1"/>
  <c r="B28287" i="1"/>
  <c r="B28288" i="1"/>
  <c r="B28289" i="1"/>
  <c r="B28290" i="1"/>
  <c r="B28291" i="1"/>
  <c r="B28292" i="1"/>
  <c r="B28293" i="1"/>
  <c r="B28294" i="1"/>
  <c r="B28295" i="1"/>
  <c r="B28296" i="1"/>
  <c r="B28297" i="1"/>
  <c r="B28298" i="1"/>
  <c r="B28299" i="1"/>
  <c r="B28300" i="1"/>
  <c r="B28301" i="1"/>
  <c r="B28302" i="1"/>
  <c r="B28303" i="1"/>
  <c r="B28304" i="1"/>
  <c r="B28305" i="1"/>
  <c r="B28306" i="1"/>
  <c r="B28307" i="1"/>
  <c r="B28308" i="1"/>
  <c r="B28309" i="1"/>
  <c r="B28310" i="1"/>
  <c r="B28311" i="1"/>
  <c r="B28312" i="1"/>
  <c r="B28313" i="1"/>
  <c r="B28314" i="1"/>
  <c r="B28315" i="1"/>
  <c r="B28316" i="1"/>
  <c r="B28317" i="1"/>
  <c r="B28318" i="1"/>
  <c r="B28319" i="1"/>
  <c r="B28320" i="1"/>
  <c r="B28321" i="1"/>
  <c r="B28322" i="1"/>
  <c r="B28323" i="1"/>
  <c r="B28324" i="1"/>
  <c r="B28325" i="1"/>
  <c r="B28326" i="1"/>
  <c r="B28327" i="1"/>
  <c r="B28328" i="1"/>
  <c r="B28329" i="1"/>
  <c r="B28330" i="1"/>
  <c r="B28331" i="1"/>
  <c r="B28332" i="1"/>
  <c r="B28333" i="1"/>
  <c r="B28334" i="1"/>
  <c r="B28335" i="1"/>
  <c r="B28336" i="1"/>
  <c r="B28337" i="1"/>
  <c r="B28338" i="1"/>
  <c r="B28339" i="1"/>
  <c r="B28340" i="1"/>
  <c r="B28341" i="1"/>
  <c r="B28342" i="1"/>
  <c r="B28343" i="1"/>
  <c r="B28344" i="1"/>
  <c r="B28345" i="1"/>
  <c r="B28346" i="1"/>
  <c r="B28347" i="1"/>
  <c r="B28348" i="1"/>
  <c r="B28349" i="1"/>
  <c r="B28350" i="1"/>
  <c r="B28351" i="1"/>
  <c r="B28352" i="1"/>
  <c r="B28353" i="1"/>
  <c r="B28354" i="1"/>
  <c r="B28355" i="1"/>
  <c r="B28356" i="1"/>
  <c r="B28357" i="1"/>
  <c r="B28358" i="1"/>
  <c r="B28359" i="1"/>
  <c r="B28360" i="1"/>
  <c r="B28361" i="1"/>
  <c r="B28362" i="1"/>
  <c r="B28363" i="1"/>
  <c r="B28364" i="1"/>
  <c r="B28365" i="1"/>
  <c r="B28366" i="1"/>
  <c r="B28367" i="1"/>
  <c r="B28368" i="1"/>
  <c r="B28369" i="1"/>
  <c r="B28370" i="1"/>
  <c r="B28371" i="1"/>
  <c r="B28372" i="1"/>
  <c r="B28373" i="1"/>
  <c r="B28374" i="1"/>
  <c r="B28375" i="1"/>
  <c r="B28376" i="1"/>
  <c r="B28377" i="1"/>
  <c r="B28378" i="1"/>
  <c r="B28379" i="1"/>
  <c r="B28380" i="1"/>
  <c r="B28381" i="1"/>
  <c r="B28382" i="1"/>
  <c r="B28383" i="1"/>
  <c r="B28384" i="1"/>
  <c r="B28385" i="1"/>
  <c r="B28386" i="1"/>
  <c r="B28387" i="1"/>
  <c r="B28388" i="1"/>
  <c r="B28389" i="1"/>
  <c r="B28390" i="1"/>
  <c r="B28391" i="1"/>
  <c r="B28392" i="1"/>
  <c r="B28393" i="1"/>
  <c r="B28394" i="1"/>
  <c r="B28395" i="1"/>
  <c r="B28396" i="1"/>
  <c r="B28397" i="1"/>
  <c r="B28398" i="1"/>
  <c r="B28399" i="1"/>
  <c r="B28400" i="1"/>
  <c r="B28401" i="1"/>
  <c r="B28402" i="1"/>
  <c r="B28403" i="1"/>
  <c r="B28404" i="1"/>
  <c r="B28405" i="1"/>
  <c r="B28406" i="1"/>
  <c r="B28407" i="1"/>
  <c r="B28408" i="1"/>
  <c r="B28409" i="1"/>
  <c r="B28410" i="1"/>
  <c r="B28411" i="1"/>
  <c r="B28412" i="1"/>
  <c r="B28413" i="1"/>
  <c r="B28414" i="1"/>
  <c r="B28415" i="1"/>
  <c r="B28416" i="1"/>
  <c r="B28417" i="1"/>
  <c r="B28418" i="1"/>
  <c r="B28419" i="1"/>
  <c r="B28420" i="1"/>
  <c r="B28421" i="1"/>
  <c r="B28422" i="1"/>
  <c r="B28423" i="1"/>
  <c r="B28424" i="1"/>
  <c r="B28425" i="1"/>
  <c r="B28426" i="1"/>
  <c r="B28427" i="1"/>
  <c r="B28428" i="1"/>
  <c r="B28429" i="1"/>
  <c r="B28430" i="1"/>
  <c r="B28431" i="1"/>
  <c r="B28432" i="1"/>
  <c r="B28433" i="1"/>
  <c r="B28434" i="1"/>
  <c r="B28435" i="1"/>
  <c r="B28436" i="1"/>
  <c r="B28437" i="1"/>
  <c r="B28438" i="1"/>
  <c r="B28439" i="1"/>
  <c r="B28440" i="1"/>
  <c r="B28441" i="1"/>
  <c r="B28442" i="1"/>
  <c r="B28443" i="1"/>
  <c r="B28444" i="1"/>
  <c r="B28445" i="1"/>
  <c r="B28446" i="1"/>
  <c r="B28447" i="1"/>
  <c r="B28448" i="1"/>
  <c r="B28449" i="1"/>
  <c r="B28450" i="1"/>
  <c r="B28451" i="1"/>
  <c r="B28452" i="1"/>
  <c r="B28453" i="1"/>
  <c r="B28454" i="1"/>
  <c r="B28455" i="1"/>
  <c r="B28456" i="1"/>
  <c r="B28457" i="1"/>
  <c r="B28458" i="1"/>
  <c r="B28459" i="1"/>
  <c r="B28460" i="1"/>
  <c r="B28461" i="1"/>
  <c r="B28462" i="1"/>
  <c r="B28463" i="1"/>
  <c r="B28464" i="1"/>
  <c r="B28465" i="1"/>
  <c r="B28466" i="1"/>
  <c r="B28467" i="1"/>
  <c r="B28468" i="1"/>
  <c r="B28469" i="1"/>
  <c r="B28470" i="1"/>
  <c r="B28471" i="1"/>
  <c r="B28472" i="1"/>
  <c r="B28473" i="1"/>
  <c r="B28474" i="1"/>
  <c r="B28475" i="1"/>
  <c r="B28476" i="1"/>
  <c r="B28477" i="1"/>
  <c r="B28478" i="1"/>
  <c r="B28479" i="1"/>
  <c r="B28480" i="1"/>
  <c r="B28481" i="1"/>
  <c r="B28482" i="1"/>
  <c r="B28483" i="1"/>
  <c r="B28484" i="1"/>
  <c r="B28485" i="1"/>
  <c r="B28486" i="1"/>
  <c r="B28487" i="1"/>
  <c r="B28488" i="1"/>
  <c r="B28489" i="1"/>
  <c r="B28490" i="1"/>
  <c r="B28491" i="1"/>
  <c r="B28492" i="1"/>
  <c r="B28493" i="1"/>
  <c r="B28494" i="1"/>
  <c r="B28495" i="1"/>
  <c r="B28496" i="1"/>
  <c r="B28497" i="1"/>
  <c r="B28498" i="1"/>
  <c r="B28499" i="1"/>
  <c r="B28500" i="1"/>
  <c r="B28501" i="1"/>
  <c r="B28502" i="1"/>
  <c r="B28503" i="1"/>
  <c r="B28504" i="1"/>
  <c r="B28505" i="1"/>
  <c r="B28506" i="1"/>
  <c r="B28507" i="1"/>
  <c r="B28508" i="1"/>
  <c r="B28509" i="1"/>
  <c r="B28510" i="1"/>
  <c r="B28511" i="1"/>
  <c r="B28512" i="1"/>
  <c r="B28513" i="1"/>
  <c r="B28514" i="1"/>
  <c r="B28515" i="1"/>
  <c r="B28516" i="1"/>
  <c r="B28517" i="1"/>
  <c r="B28518" i="1"/>
  <c r="B28519" i="1"/>
  <c r="B28520" i="1"/>
  <c r="B28521" i="1"/>
  <c r="B28522" i="1"/>
  <c r="B28523" i="1"/>
  <c r="B28524" i="1"/>
  <c r="B28525" i="1"/>
  <c r="B28526" i="1"/>
  <c r="B28527" i="1"/>
  <c r="B28528" i="1"/>
  <c r="B28529" i="1"/>
  <c r="B28530" i="1"/>
  <c r="B28531" i="1"/>
  <c r="B28532" i="1"/>
  <c r="B28533" i="1"/>
  <c r="B28534" i="1"/>
  <c r="B28535" i="1"/>
  <c r="B28536" i="1"/>
  <c r="B28537" i="1"/>
  <c r="B28538" i="1"/>
  <c r="B28539" i="1"/>
  <c r="B28540" i="1"/>
  <c r="B28541" i="1"/>
  <c r="B28542" i="1"/>
  <c r="B28543" i="1"/>
  <c r="B28544" i="1"/>
  <c r="B28545" i="1"/>
  <c r="B28546" i="1"/>
  <c r="B28547" i="1"/>
  <c r="B28548" i="1"/>
  <c r="B28549" i="1"/>
  <c r="B28550" i="1"/>
  <c r="B28551" i="1"/>
  <c r="B28552" i="1"/>
  <c r="B28553" i="1"/>
  <c r="B28554" i="1"/>
  <c r="B28555" i="1"/>
  <c r="B28556" i="1"/>
  <c r="B28557" i="1"/>
  <c r="B28558" i="1"/>
  <c r="B28559" i="1"/>
  <c r="B28560" i="1"/>
  <c r="B28561" i="1"/>
  <c r="B28562" i="1"/>
  <c r="B28563" i="1"/>
  <c r="B28564" i="1"/>
  <c r="B28565" i="1"/>
  <c r="B28566" i="1"/>
  <c r="B28567" i="1"/>
  <c r="B28568" i="1"/>
  <c r="B28569" i="1"/>
  <c r="B28570" i="1"/>
  <c r="B28571" i="1"/>
  <c r="B28572" i="1"/>
  <c r="B28573" i="1"/>
  <c r="B28574" i="1"/>
  <c r="B28575" i="1"/>
  <c r="B28576" i="1"/>
  <c r="B28577" i="1"/>
  <c r="B28578" i="1"/>
  <c r="B28579" i="1"/>
  <c r="B28580" i="1"/>
  <c r="B28581" i="1"/>
  <c r="B28582" i="1"/>
  <c r="B28583" i="1"/>
  <c r="B28584" i="1"/>
  <c r="B28585" i="1"/>
  <c r="B28586" i="1"/>
  <c r="B28587" i="1"/>
  <c r="B28588" i="1"/>
  <c r="B28589" i="1"/>
  <c r="B28590" i="1"/>
  <c r="B28591" i="1"/>
  <c r="B28592" i="1"/>
  <c r="B28593" i="1"/>
  <c r="B28594" i="1"/>
  <c r="B28595" i="1"/>
  <c r="B28596" i="1"/>
  <c r="B28597" i="1"/>
  <c r="B28598" i="1"/>
  <c r="B28599" i="1"/>
  <c r="B28600" i="1"/>
  <c r="B28601" i="1"/>
  <c r="B28602" i="1"/>
  <c r="B28603" i="1"/>
  <c r="B28604" i="1"/>
  <c r="B28605" i="1"/>
  <c r="B28606" i="1"/>
  <c r="B28607" i="1"/>
  <c r="B28608" i="1"/>
  <c r="B28609" i="1"/>
  <c r="B28610" i="1"/>
  <c r="B28611" i="1"/>
  <c r="B28612" i="1"/>
  <c r="B28613" i="1"/>
  <c r="B28614" i="1"/>
  <c r="B28615" i="1"/>
  <c r="B28616" i="1"/>
  <c r="B28617" i="1"/>
  <c r="B28618" i="1"/>
  <c r="B28619" i="1"/>
  <c r="B28620" i="1"/>
  <c r="B28621" i="1"/>
  <c r="B28622" i="1"/>
  <c r="B28623" i="1"/>
  <c r="B28624" i="1"/>
  <c r="B28625" i="1"/>
  <c r="B28626" i="1"/>
  <c r="B28627" i="1"/>
  <c r="B28628" i="1"/>
  <c r="B28629" i="1"/>
  <c r="B28630" i="1"/>
  <c r="B28631" i="1"/>
  <c r="B28632" i="1"/>
  <c r="B28633" i="1"/>
  <c r="B28634" i="1"/>
  <c r="B28635" i="1"/>
  <c r="B28636" i="1"/>
  <c r="B28637" i="1"/>
  <c r="B28638" i="1"/>
  <c r="B28639" i="1"/>
  <c r="B28640" i="1"/>
  <c r="B28641" i="1"/>
  <c r="B28642" i="1"/>
  <c r="B28643" i="1"/>
  <c r="B28644" i="1"/>
  <c r="B28645" i="1"/>
  <c r="B28646" i="1"/>
  <c r="B28647" i="1"/>
  <c r="B28648" i="1"/>
  <c r="B28649" i="1"/>
  <c r="B28650" i="1"/>
  <c r="B28651" i="1"/>
  <c r="B28652" i="1"/>
  <c r="B28653" i="1"/>
  <c r="B28654" i="1"/>
  <c r="B28655" i="1"/>
  <c r="B28656" i="1"/>
  <c r="B28657" i="1"/>
  <c r="B28658" i="1"/>
  <c r="B28659" i="1"/>
  <c r="B28660" i="1"/>
  <c r="B28661" i="1"/>
  <c r="B28662" i="1"/>
  <c r="B28663" i="1"/>
  <c r="B28664" i="1"/>
  <c r="B28665" i="1"/>
  <c r="B28666" i="1"/>
  <c r="B28667" i="1"/>
  <c r="B28668" i="1"/>
  <c r="B28669" i="1"/>
  <c r="B28670" i="1"/>
  <c r="B28671" i="1"/>
  <c r="B28672" i="1"/>
  <c r="B28673" i="1"/>
  <c r="B28674" i="1"/>
  <c r="B28675" i="1"/>
  <c r="B28676" i="1"/>
  <c r="B28677" i="1"/>
  <c r="B28678" i="1"/>
  <c r="B28679" i="1"/>
  <c r="B28680" i="1"/>
  <c r="B28681" i="1"/>
  <c r="B28682" i="1"/>
  <c r="B28683" i="1"/>
  <c r="B28684" i="1"/>
  <c r="B28685" i="1"/>
  <c r="B28686" i="1"/>
  <c r="B28687" i="1"/>
  <c r="B28688" i="1"/>
  <c r="B28689" i="1"/>
  <c r="B28690" i="1"/>
  <c r="B28691" i="1"/>
  <c r="B28692" i="1"/>
  <c r="B28693" i="1"/>
  <c r="B28694" i="1"/>
  <c r="B28695" i="1"/>
  <c r="B28696" i="1"/>
  <c r="B28697" i="1"/>
  <c r="B28698" i="1"/>
  <c r="B28699" i="1"/>
  <c r="B28700" i="1"/>
  <c r="B28701" i="1"/>
  <c r="B28702" i="1"/>
  <c r="B28703" i="1"/>
  <c r="B28704" i="1"/>
  <c r="B28705" i="1"/>
  <c r="B28706" i="1"/>
  <c r="B28707" i="1"/>
  <c r="B28708" i="1"/>
  <c r="B28709" i="1"/>
  <c r="B28710" i="1"/>
  <c r="B28711" i="1"/>
  <c r="B28712" i="1"/>
  <c r="B28713" i="1"/>
  <c r="B28714" i="1"/>
  <c r="B28715" i="1"/>
  <c r="B28716" i="1"/>
  <c r="B28717" i="1"/>
  <c r="B28718" i="1"/>
  <c r="B28719" i="1"/>
  <c r="B28720" i="1"/>
  <c r="B28721" i="1"/>
  <c r="B28722" i="1"/>
  <c r="B28723" i="1"/>
  <c r="B28724" i="1"/>
  <c r="B28725" i="1"/>
  <c r="B28726" i="1"/>
  <c r="B28727" i="1"/>
  <c r="B28728" i="1"/>
  <c r="B28729" i="1"/>
  <c r="B28730" i="1"/>
  <c r="B28731" i="1"/>
  <c r="B28732" i="1"/>
  <c r="B28733" i="1"/>
  <c r="B28734" i="1"/>
  <c r="B28735" i="1"/>
  <c r="B28736" i="1"/>
  <c r="B28737" i="1"/>
  <c r="B28738" i="1"/>
  <c r="B28739" i="1"/>
  <c r="B28740" i="1"/>
  <c r="B28741" i="1"/>
  <c r="B28742" i="1"/>
  <c r="B28743" i="1"/>
  <c r="B28744" i="1"/>
  <c r="B28745" i="1"/>
  <c r="B28746" i="1"/>
  <c r="B28747" i="1"/>
  <c r="B28748" i="1"/>
  <c r="B28749" i="1"/>
  <c r="B28750" i="1"/>
  <c r="B28751" i="1"/>
  <c r="B28752" i="1"/>
  <c r="B28753" i="1"/>
  <c r="B28754" i="1"/>
  <c r="B28755" i="1"/>
  <c r="B28756" i="1"/>
  <c r="B28757" i="1"/>
  <c r="B28758" i="1"/>
  <c r="B28759" i="1"/>
  <c r="B28760" i="1"/>
  <c r="B28761" i="1"/>
  <c r="B28762" i="1"/>
  <c r="B28763" i="1"/>
  <c r="B28764" i="1"/>
  <c r="B28765" i="1"/>
  <c r="B28766" i="1"/>
  <c r="B28767" i="1"/>
  <c r="B28768" i="1"/>
  <c r="B28769" i="1"/>
  <c r="B28770" i="1"/>
  <c r="B28771" i="1"/>
  <c r="B28772" i="1"/>
  <c r="B28773" i="1"/>
  <c r="B28774" i="1"/>
  <c r="B28775" i="1"/>
  <c r="B28776" i="1"/>
  <c r="B28777" i="1"/>
  <c r="B28778" i="1"/>
  <c r="B28779" i="1"/>
  <c r="B28780" i="1"/>
  <c r="B28781" i="1"/>
  <c r="B28782" i="1"/>
  <c r="B28783" i="1"/>
  <c r="B28784" i="1"/>
  <c r="B28785" i="1"/>
  <c r="B28786" i="1"/>
  <c r="B28787" i="1"/>
  <c r="B28788" i="1"/>
  <c r="B28789" i="1"/>
  <c r="B28790" i="1"/>
  <c r="B28791" i="1"/>
  <c r="B28792" i="1"/>
  <c r="B28793" i="1"/>
  <c r="B28794" i="1"/>
  <c r="B28795" i="1"/>
  <c r="B28796" i="1"/>
  <c r="B28797" i="1"/>
  <c r="B28798" i="1"/>
  <c r="B28799" i="1"/>
  <c r="B28800" i="1"/>
  <c r="B28801" i="1"/>
  <c r="B28802" i="1"/>
  <c r="B28803" i="1"/>
  <c r="B28804" i="1"/>
  <c r="B28805" i="1"/>
  <c r="B28806" i="1"/>
  <c r="B28807" i="1"/>
  <c r="B28808" i="1"/>
  <c r="B28809" i="1"/>
  <c r="B28810" i="1"/>
  <c r="B28811" i="1"/>
  <c r="B28812" i="1"/>
  <c r="B28813" i="1"/>
  <c r="B28814" i="1"/>
  <c r="B28815" i="1"/>
  <c r="B28816" i="1"/>
  <c r="B28817" i="1"/>
  <c r="B28818" i="1"/>
  <c r="B28819" i="1"/>
  <c r="B28820" i="1"/>
  <c r="B28821" i="1"/>
  <c r="B28822" i="1"/>
  <c r="B28823" i="1"/>
  <c r="B28824" i="1"/>
  <c r="B28825" i="1"/>
  <c r="B28826" i="1"/>
  <c r="B28827" i="1"/>
  <c r="B28828" i="1"/>
  <c r="B28829" i="1"/>
  <c r="B28830" i="1"/>
  <c r="B28831" i="1"/>
  <c r="B28832" i="1"/>
  <c r="B28833" i="1"/>
  <c r="B28834" i="1"/>
  <c r="B28835" i="1"/>
  <c r="B28836" i="1"/>
  <c r="B28837" i="1"/>
  <c r="B28838" i="1"/>
  <c r="B28839" i="1"/>
  <c r="B28840" i="1"/>
  <c r="B28841" i="1"/>
  <c r="B28842" i="1"/>
  <c r="B28843" i="1"/>
  <c r="B28844" i="1"/>
  <c r="B28845" i="1"/>
  <c r="B28846" i="1"/>
  <c r="B28847" i="1"/>
  <c r="B28848" i="1"/>
  <c r="B28849" i="1"/>
  <c r="B28850" i="1"/>
  <c r="B28851" i="1"/>
  <c r="B28852" i="1"/>
  <c r="B28853" i="1"/>
  <c r="B28854" i="1"/>
  <c r="B28855" i="1"/>
  <c r="B28856" i="1"/>
  <c r="B28857" i="1"/>
  <c r="B28858" i="1"/>
  <c r="B28859" i="1"/>
  <c r="B28860" i="1"/>
  <c r="B28861" i="1"/>
  <c r="B28862" i="1"/>
  <c r="B28863" i="1"/>
  <c r="B28864" i="1"/>
  <c r="B28865" i="1"/>
  <c r="B28866" i="1"/>
  <c r="B28867" i="1"/>
  <c r="B28868" i="1"/>
  <c r="B28869" i="1"/>
  <c r="B28870" i="1"/>
  <c r="B28871" i="1"/>
  <c r="B28872" i="1"/>
  <c r="B28873" i="1"/>
  <c r="B28874" i="1"/>
  <c r="B28875" i="1"/>
  <c r="B28876" i="1"/>
  <c r="B28877" i="1"/>
  <c r="B28878" i="1"/>
  <c r="B28879" i="1"/>
  <c r="B28880" i="1"/>
  <c r="B28881" i="1"/>
  <c r="B28882" i="1"/>
  <c r="B28883" i="1"/>
  <c r="B28884" i="1"/>
  <c r="B28885" i="1"/>
  <c r="B28886" i="1"/>
  <c r="B28887" i="1"/>
  <c r="B28888" i="1"/>
  <c r="B28889" i="1"/>
  <c r="B28890" i="1"/>
  <c r="B28891" i="1"/>
  <c r="B28892" i="1"/>
  <c r="B28893" i="1"/>
  <c r="B28894" i="1"/>
  <c r="B28895" i="1"/>
  <c r="B28896" i="1"/>
  <c r="B28897" i="1"/>
  <c r="B28898" i="1"/>
  <c r="B28899" i="1"/>
  <c r="B28900" i="1"/>
  <c r="B28901" i="1"/>
  <c r="B28902" i="1"/>
  <c r="B28903" i="1"/>
  <c r="B28904" i="1"/>
  <c r="B28905" i="1"/>
  <c r="B28906" i="1"/>
  <c r="B28907" i="1"/>
  <c r="B28908" i="1"/>
  <c r="B28909" i="1"/>
  <c r="B28910" i="1"/>
  <c r="B28911" i="1"/>
  <c r="B28912" i="1"/>
  <c r="B28913" i="1"/>
  <c r="B28914" i="1"/>
  <c r="B28915" i="1"/>
  <c r="B28916" i="1"/>
  <c r="B28917" i="1"/>
  <c r="B28918" i="1"/>
  <c r="B28919" i="1"/>
  <c r="B28920" i="1"/>
  <c r="B28921" i="1"/>
  <c r="B28922" i="1"/>
  <c r="B28923" i="1"/>
  <c r="B28924" i="1"/>
  <c r="B28925" i="1"/>
  <c r="B28926" i="1"/>
  <c r="B28927" i="1"/>
  <c r="B28928" i="1"/>
  <c r="B28929" i="1"/>
  <c r="B28930" i="1"/>
  <c r="B28931" i="1"/>
  <c r="B28932" i="1"/>
  <c r="B28933" i="1"/>
  <c r="B28934" i="1"/>
  <c r="B28935" i="1"/>
  <c r="B28936" i="1"/>
  <c r="B28937" i="1"/>
  <c r="B28938" i="1"/>
  <c r="B28939" i="1"/>
  <c r="B28940" i="1"/>
  <c r="B28941" i="1"/>
  <c r="B28942" i="1"/>
  <c r="B28943" i="1"/>
  <c r="B28944" i="1"/>
  <c r="B28945" i="1"/>
  <c r="B28946" i="1"/>
  <c r="B28947" i="1"/>
  <c r="B28948" i="1"/>
  <c r="B28949" i="1"/>
  <c r="B28950" i="1"/>
  <c r="B28951" i="1"/>
  <c r="B28952" i="1"/>
  <c r="B28953" i="1"/>
  <c r="B28954" i="1"/>
  <c r="B28955" i="1"/>
  <c r="B28956" i="1"/>
  <c r="B28957" i="1"/>
  <c r="B28958" i="1"/>
  <c r="B28959" i="1"/>
  <c r="B28960" i="1"/>
  <c r="B28961" i="1"/>
  <c r="B28962" i="1"/>
  <c r="B28963" i="1"/>
  <c r="B28964" i="1"/>
  <c r="B28965" i="1"/>
  <c r="B28966" i="1"/>
  <c r="B28967" i="1"/>
  <c r="B28968" i="1"/>
  <c r="B28969" i="1"/>
  <c r="B28970" i="1"/>
  <c r="B28971" i="1"/>
  <c r="B28972" i="1"/>
  <c r="B28973" i="1"/>
  <c r="B28974" i="1"/>
  <c r="B28975" i="1"/>
  <c r="B28976" i="1"/>
  <c r="B28977" i="1"/>
  <c r="B28978" i="1"/>
  <c r="B28979" i="1"/>
  <c r="B28980" i="1"/>
  <c r="B28981" i="1"/>
  <c r="B28982" i="1"/>
  <c r="B28983" i="1"/>
  <c r="B28984" i="1"/>
  <c r="B28985" i="1"/>
  <c r="B28986" i="1"/>
  <c r="B28987" i="1"/>
  <c r="B28988" i="1"/>
  <c r="B28989" i="1"/>
  <c r="B28990" i="1"/>
  <c r="B28991" i="1"/>
  <c r="B28992" i="1"/>
  <c r="B28993" i="1"/>
  <c r="B28994" i="1"/>
  <c r="B28995" i="1"/>
  <c r="B28996" i="1"/>
  <c r="B28997" i="1"/>
  <c r="B28998" i="1"/>
  <c r="B28999" i="1"/>
  <c r="B29000" i="1"/>
  <c r="B29001" i="1"/>
  <c r="B29002" i="1"/>
  <c r="B29003" i="1"/>
  <c r="B29004" i="1"/>
  <c r="B29005" i="1"/>
  <c r="B29006" i="1"/>
  <c r="B29007" i="1"/>
  <c r="B29008" i="1"/>
  <c r="B29009" i="1"/>
  <c r="B29010" i="1"/>
  <c r="B29011" i="1"/>
  <c r="B29012" i="1"/>
  <c r="B29013" i="1"/>
  <c r="B29014" i="1"/>
  <c r="B29015" i="1"/>
  <c r="B29016" i="1"/>
  <c r="B29017" i="1"/>
  <c r="B29018" i="1"/>
  <c r="B29019" i="1"/>
  <c r="B29020" i="1"/>
  <c r="B29021" i="1"/>
  <c r="B29022" i="1"/>
  <c r="B29023" i="1"/>
  <c r="B29024" i="1"/>
  <c r="B29025" i="1"/>
  <c r="B29026" i="1"/>
  <c r="B29027" i="1"/>
  <c r="B29028" i="1"/>
  <c r="B29029" i="1"/>
  <c r="B29030" i="1"/>
  <c r="B29031" i="1"/>
  <c r="B29032" i="1"/>
  <c r="B29033" i="1"/>
  <c r="B29034" i="1"/>
  <c r="B29035" i="1"/>
  <c r="B29036" i="1"/>
  <c r="B29037" i="1"/>
  <c r="B29038" i="1"/>
  <c r="B29039" i="1"/>
  <c r="B29040" i="1"/>
  <c r="B29041" i="1"/>
  <c r="B29042" i="1"/>
  <c r="B29043" i="1"/>
  <c r="B29044" i="1"/>
  <c r="B29045" i="1"/>
  <c r="B29046" i="1"/>
  <c r="B29047" i="1"/>
  <c r="B29048" i="1"/>
  <c r="B29049" i="1"/>
  <c r="B29050" i="1"/>
  <c r="B29051" i="1"/>
  <c r="B29052" i="1"/>
  <c r="B29053" i="1"/>
  <c r="B29054" i="1"/>
  <c r="B29055" i="1"/>
  <c r="B29056" i="1"/>
  <c r="B29057" i="1"/>
  <c r="B29058" i="1"/>
  <c r="B29059" i="1"/>
  <c r="B29060" i="1"/>
  <c r="B29061" i="1"/>
  <c r="B29062" i="1"/>
  <c r="B29063" i="1"/>
  <c r="B29064" i="1"/>
  <c r="B29065" i="1"/>
  <c r="B29066" i="1"/>
  <c r="B29067" i="1"/>
  <c r="B29068" i="1"/>
  <c r="B29069" i="1"/>
  <c r="B29070" i="1"/>
  <c r="B29071" i="1"/>
  <c r="B29072" i="1"/>
  <c r="B29073" i="1"/>
  <c r="B29074" i="1"/>
  <c r="B29075" i="1"/>
  <c r="B29076" i="1"/>
  <c r="B29077" i="1"/>
  <c r="B29078" i="1"/>
  <c r="B29079" i="1"/>
  <c r="B29080" i="1"/>
  <c r="B29081" i="1"/>
  <c r="B29082" i="1"/>
  <c r="B29083" i="1"/>
  <c r="B29084" i="1"/>
  <c r="B29085" i="1"/>
  <c r="B29086" i="1"/>
  <c r="B29087" i="1"/>
  <c r="B29088" i="1"/>
  <c r="B29089" i="1"/>
  <c r="B29090" i="1"/>
  <c r="B29091" i="1"/>
  <c r="B29092" i="1"/>
  <c r="B29093" i="1"/>
  <c r="B29094" i="1"/>
  <c r="B29095" i="1"/>
  <c r="B29096" i="1"/>
  <c r="B29097" i="1"/>
  <c r="B29098" i="1"/>
  <c r="B29099" i="1"/>
  <c r="B29100" i="1"/>
  <c r="B29101" i="1"/>
  <c r="B29102" i="1"/>
  <c r="B29103" i="1"/>
  <c r="B29104" i="1"/>
  <c r="B29105" i="1"/>
  <c r="B29106" i="1"/>
  <c r="B29107" i="1"/>
  <c r="B29108" i="1"/>
  <c r="B29109" i="1"/>
  <c r="B29110" i="1"/>
  <c r="B29111" i="1"/>
  <c r="B29112" i="1"/>
  <c r="B29113" i="1"/>
  <c r="B29114" i="1"/>
  <c r="B29115" i="1"/>
  <c r="B29116" i="1"/>
  <c r="B29117" i="1"/>
  <c r="B29118" i="1"/>
  <c r="B29119" i="1"/>
  <c r="B29120" i="1"/>
  <c r="B29121" i="1"/>
  <c r="B29122" i="1"/>
  <c r="B29123" i="1"/>
  <c r="B29124" i="1"/>
  <c r="B29125" i="1"/>
  <c r="B29126" i="1"/>
  <c r="B29127" i="1"/>
  <c r="B29128" i="1"/>
  <c r="B29129" i="1"/>
  <c r="B29130" i="1"/>
  <c r="B29131" i="1"/>
  <c r="B29132" i="1"/>
  <c r="B29133" i="1"/>
  <c r="B29134" i="1"/>
  <c r="B29135" i="1"/>
  <c r="B29136" i="1"/>
  <c r="B29137" i="1"/>
  <c r="B29138" i="1"/>
  <c r="B29139" i="1"/>
  <c r="B29140" i="1"/>
  <c r="B29141" i="1"/>
  <c r="B29142" i="1"/>
  <c r="B29143" i="1"/>
  <c r="B29144" i="1"/>
  <c r="B29145" i="1"/>
  <c r="B29146" i="1"/>
  <c r="B29147" i="1"/>
  <c r="B29148" i="1"/>
  <c r="B29149" i="1"/>
  <c r="B29150" i="1"/>
  <c r="B29151" i="1"/>
  <c r="B29152" i="1"/>
  <c r="B29153" i="1"/>
  <c r="B29154" i="1"/>
  <c r="B29155" i="1"/>
  <c r="B29156" i="1"/>
  <c r="B29157" i="1"/>
  <c r="B29158" i="1"/>
  <c r="B29159" i="1"/>
  <c r="B29160" i="1"/>
  <c r="B29161" i="1"/>
  <c r="B29162" i="1"/>
  <c r="B29163" i="1"/>
  <c r="B29164" i="1"/>
  <c r="B29165" i="1"/>
  <c r="B29166" i="1"/>
  <c r="B29167" i="1"/>
  <c r="B29168" i="1"/>
  <c r="B29169" i="1"/>
  <c r="B29170" i="1"/>
  <c r="B29171" i="1"/>
  <c r="B29172" i="1"/>
  <c r="B29173" i="1"/>
  <c r="B29174" i="1"/>
  <c r="B29175" i="1"/>
  <c r="B29176" i="1"/>
  <c r="B29177" i="1"/>
  <c r="B29178" i="1"/>
  <c r="B29179" i="1"/>
  <c r="B29180" i="1"/>
  <c r="B29181" i="1"/>
  <c r="B29182" i="1"/>
  <c r="B29183" i="1"/>
  <c r="B29184" i="1"/>
  <c r="B29185" i="1"/>
  <c r="B29186" i="1"/>
  <c r="B29187" i="1"/>
  <c r="B29188" i="1"/>
  <c r="B29189" i="1"/>
  <c r="B29190" i="1"/>
  <c r="B29191" i="1"/>
  <c r="B29192" i="1"/>
  <c r="B29193" i="1"/>
  <c r="B29194" i="1"/>
  <c r="B29195" i="1"/>
  <c r="B29196" i="1"/>
  <c r="B29197" i="1"/>
  <c r="B29198" i="1"/>
  <c r="B29199" i="1"/>
  <c r="B29200" i="1"/>
  <c r="B29201" i="1"/>
  <c r="B29202" i="1"/>
  <c r="B29203" i="1"/>
  <c r="B29204" i="1"/>
  <c r="B29205" i="1"/>
  <c r="B29206" i="1"/>
  <c r="B29207" i="1"/>
  <c r="B29208" i="1"/>
  <c r="B29209" i="1"/>
  <c r="B29210" i="1"/>
  <c r="B29211" i="1"/>
  <c r="B29212" i="1"/>
  <c r="B29213" i="1"/>
  <c r="B29214" i="1"/>
  <c r="B29215" i="1"/>
  <c r="B29216" i="1"/>
  <c r="B29217" i="1"/>
  <c r="B29218" i="1"/>
  <c r="B29219" i="1"/>
  <c r="B29220" i="1"/>
  <c r="B29221" i="1"/>
  <c r="B29222" i="1"/>
  <c r="B29223" i="1"/>
  <c r="B29224" i="1"/>
  <c r="B29225" i="1"/>
  <c r="B29226" i="1"/>
  <c r="B29227" i="1"/>
  <c r="B29228" i="1"/>
  <c r="B29229" i="1"/>
  <c r="B29230" i="1"/>
  <c r="B29231" i="1"/>
  <c r="B29232" i="1"/>
  <c r="B29233" i="1"/>
  <c r="B29234" i="1"/>
  <c r="B29235" i="1"/>
  <c r="B29236" i="1"/>
  <c r="B29237" i="1"/>
  <c r="B29238" i="1"/>
  <c r="B29239" i="1"/>
  <c r="B29240" i="1"/>
  <c r="B29241" i="1"/>
  <c r="B29242" i="1"/>
  <c r="B29243" i="1"/>
  <c r="B29244" i="1"/>
  <c r="B29245" i="1"/>
  <c r="B29246" i="1"/>
  <c r="B29247" i="1"/>
  <c r="B29248" i="1"/>
  <c r="B29249" i="1"/>
  <c r="B29250" i="1"/>
  <c r="B29251" i="1"/>
  <c r="B29252" i="1"/>
  <c r="B29253" i="1"/>
  <c r="B29254" i="1"/>
  <c r="B29255" i="1"/>
  <c r="B29256" i="1"/>
  <c r="B29257" i="1"/>
  <c r="B29258" i="1"/>
  <c r="B29259" i="1"/>
  <c r="B29260" i="1"/>
  <c r="B29261" i="1"/>
  <c r="B29262" i="1"/>
  <c r="B29263" i="1"/>
  <c r="B29264" i="1"/>
  <c r="B29265" i="1"/>
  <c r="B29266" i="1"/>
  <c r="B29267" i="1"/>
  <c r="B29268" i="1"/>
  <c r="B29269" i="1"/>
  <c r="B29270" i="1"/>
  <c r="B29271" i="1"/>
  <c r="B29272" i="1"/>
  <c r="B29273" i="1"/>
  <c r="B29274" i="1"/>
  <c r="B29275" i="1"/>
  <c r="B29276" i="1"/>
  <c r="B29277" i="1"/>
  <c r="B29278" i="1"/>
  <c r="B29279" i="1"/>
  <c r="B29280" i="1"/>
  <c r="B29281" i="1"/>
  <c r="B29282" i="1"/>
  <c r="B29283" i="1"/>
  <c r="B29284" i="1"/>
  <c r="B29285" i="1"/>
  <c r="B29286" i="1"/>
  <c r="B29287" i="1"/>
  <c r="B29288" i="1"/>
  <c r="B29289" i="1"/>
  <c r="B29290" i="1"/>
  <c r="B29291" i="1"/>
  <c r="B29292" i="1"/>
  <c r="B29293" i="1"/>
  <c r="B29294" i="1"/>
  <c r="B29295" i="1"/>
  <c r="B29296" i="1"/>
  <c r="B29297" i="1"/>
  <c r="B29298" i="1"/>
  <c r="B29299" i="1"/>
  <c r="B29300" i="1"/>
  <c r="B29301" i="1"/>
  <c r="B29302" i="1"/>
  <c r="B29303" i="1"/>
  <c r="B29304" i="1"/>
  <c r="B29305" i="1"/>
  <c r="B29306" i="1"/>
  <c r="B29307" i="1"/>
  <c r="B29308" i="1"/>
  <c r="B29309" i="1"/>
  <c r="B29310" i="1"/>
  <c r="B29311" i="1"/>
  <c r="B29312" i="1"/>
  <c r="B29313" i="1"/>
  <c r="B29314" i="1"/>
  <c r="B29315" i="1"/>
  <c r="B29316" i="1"/>
  <c r="B29317" i="1"/>
  <c r="B29318" i="1"/>
  <c r="B29319" i="1"/>
  <c r="B29320" i="1"/>
  <c r="B29321" i="1"/>
  <c r="B29322" i="1"/>
  <c r="B29323" i="1"/>
  <c r="B29324" i="1"/>
  <c r="B29325" i="1"/>
  <c r="B29326" i="1"/>
  <c r="B29327" i="1"/>
  <c r="B29328" i="1"/>
  <c r="B29329" i="1"/>
  <c r="B29330" i="1"/>
  <c r="B29331" i="1"/>
  <c r="B29332" i="1"/>
  <c r="B29333" i="1"/>
  <c r="B29334" i="1"/>
  <c r="B29335" i="1"/>
  <c r="B29336" i="1"/>
  <c r="B29337" i="1"/>
  <c r="B29338" i="1"/>
  <c r="B29339" i="1"/>
  <c r="B29340" i="1"/>
  <c r="B29341" i="1"/>
  <c r="B29342" i="1"/>
  <c r="B29343" i="1"/>
  <c r="B29344" i="1"/>
  <c r="B29345" i="1"/>
  <c r="B29346" i="1"/>
  <c r="B29347" i="1"/>
  <c r="B29348" i="1"/>
  <c r="B29349" i="1"/>
  <c r="B29350" i="1"/>
  <c r="B29351" i="1"/>
  <c r="B29352" i="1"/>
  <c r="B29353" i="1"/>
  <c r="B29354" i="1"/>
  <c r="B29355" i="1"/>
  <c r="B29356" i="1"/>
  <c r="B29357" i="1"/>
  <c r="B29358" i="1"/>
  <c r="B29359" i="1"/>
  <c r="B29360" i="1"/>
  <c r="B29361" i="1"/>
  <c r="B29362" i="1"/>
  <c r="B29363" i="1"/>
  <c r="B29364" i="1"/>
  <c r="B29365" i="1"/>
  <c r="B29366" i="1"/>
  <c r="B29367" i="1"/>
  <c r="B29368" i="1"/>
  <c r="B29369" i="1"/>
  <c r="B29370" i="1"/>
  <c r="B29371" i="1"/>
  <c r="B29372" i="1"/>
  <c r="B29373" i="1"/>
  <c r="B29374" i="1"/>
  <c r="B29375" i="1"/>
  <c r="B29376" i="1"/>
  <c r="B29377" i="1"/>
  <c r="B29378" i="1"/>
  <c r="B29379" i="1"/>
  <c r="B29380" i="1"/>
  <c r="B29381" i="1"/>
  <c r="B29382" i="1"/>
  <c r="B29383" i="1"/>
  <c r="B29384" i="1"/>
  <c r="B29385" i="1"/>
  <c r="B29386" i="1"/>
  <c r="B29387" i="1"/>
  <c r="B29388" i="1"/>
  <c r="B29389" i="1"/>
  <c r="B29390" i="1"/>
  <c r="B29391" i="1"/>
  <c r="B29392" i="1"/>
  <c r="B29393" i="1"/>
  <c r="B29394" i="1"/>
  <c r="B29395" i="1"/>
  <c r="B29396" i="1"/>
  <c r="B29397" i="1"/>
  <c r="B29398" i="1"/>
  <c r="B29399" i="1"/>
  <c r="B29400" i="1"/>
  <c r="B29401" i="1"/>
  <c r="B29402" i="1"/>
  <c r="B29403" i="1"/>
  <c r="B29404" i="1"/>
  <c r="B29405" i="1"/>
  <c r="B29406" i="1"/>
  <c r="B29407" i="1"/>
  <c r="B29408" i="1"/>
  <c r="B29409" i="1"/>
  <c r="B29410" i="1"/>
  <c r="B29411" i="1"/>
  <c r="B29412" i="1"/>
  <c r="B29413" i="1"/>
  <c r="B29414" i="1"/>
  <c r="B29415" i="1"/>
  <c r="B29416" i="1"/>
  <c r="B29417" i="1"/>
  <c r="B29418" i="1"/>
  <c r="B29419" i="1"/>
  <c r="B29420" i="1"/>
  <c r="B29421" i="1"/>
  <c r="B29422" i="1"/>
  <c r="B29423" i="1"/>
  <c r="B29424" i="1"/>
  <c r="B29425" i="1"/>
  <c r="B29426" i="1"/>
  <c r="B29427" i="1"/>
  <c r="B29428" i="1"/>
  <c r="B29429" i="1"/>
  <c r="B29430" i="1"/>
  <c r="B29431" i="1"/>
  <c r="B29432" i="1"/>
  <c r="B29433" i="1"/>
  <c r="B29434" i="1"/>
  <c r="B29435" i="1"/>
  <c r="B29436" i="1"/>
  <c r="B29437" i="1"/>
  <c r="B29438" i="1"/>
  <c r="B29439" i="1"/>
  <c r="B29440" i="1"/>
  <c r="B29441" i="1"/>
  <c r="B29442" i="1"/>
  <c r="B29443" i="1"/>
  <c r="B29444" i="1"/>
  <c r="B29445" i="1"/>
  <c r="B29446" i="1"/>
  <c r="B29447" i="1"/>
  <c r="B29448" i="1"/>
  <c r="B29449" i="1"/>
  <c r="B29450" i="1"/>
  <c r="B29451" i="1"/>
  <c r="B29452" i="1"/>
  <c r="B29453" i="1"/>
  <c r="B29454" i="1"/>
  <c r="B29455" i="1"/>
  <c r="B29456" i="1"/>
  <c r="B29457" i="1"/>
  <c r="B29458" i="1"/>
  <c r="B29459" i="1"/>
  <c r="B29460" i="1"/>
  <c r="B29461" i="1"/>
  <c r="B29462" i="1"/>
  <c r="B29463" i="1"/>
  <c r="B29464" i="1"/>
  <c r="B29465" i="1"/>
  <c r="B29466" i="1"/>
  <c r="B29467" i="1"/>
  <c r="B29468" i="1"/>
  <c r="B29469" i="1"/>
  <c r="B29470" i="1"/>
  <c r="B29471" i="1"/>
  <c r="B29472" i="1"/>
  <c r="B29473" i="1"/>
  <c r="B29474" i="1"/>
  <c r="B29475" i="1"/>
  <c r="B29476" i="1"/>
  <c r="B29477" i="1"/>
  <c r="B29478" i="1"/>
  <c r="B29479" i="1"/>
  <c r="B29480" i="1"/>
  <c r="B29481" i="1"/>
  <c r="B29482" i="1"/>
  <c r="B29483" i="1"/>
  <c r="B29484" i="1"/>
  <c r="B29485" i="1"/>
  <c r="B29486" i="1"/>
  <c r="B29487" i="1"/>
  <c r="B29488" i="1"/>
  <c r="B29489" i="1"/>
  <c r="B29490" i="1"/>
  <c r="B29491" i="1"/>
  <c r="B29492" i="1"/>
  <c r="B29493" i="1"/>
  <c r="B29494" i="1"/>
  <c r="B29495" i="1"/>
  <c r="B29496" i="1"/>
  <c r="B29497" i="1"/>
  <c r="B29498" i="1"/>
  <c r="B29499" i="1"/>
  <c r="B29500" i="1"/>
  <c r="B29501" i="1"/>
  <c r="B29502" i="1"/>
  <c r="B29503" i="1"/>
  <c r="B29504" i="1"/>
  <c r="B29505" i="1"/>
  <c r="B29506" i="1"/>
  <c r="B29507" i="1"/>
  <c r="B29508" i="1"/>
  <c r="B29509" i="1"/>
  <c r="B29510" i="1"/>
  <c r="B29511" i="1"/>
  <c r="B29512" i="1"/>
  <c r="B29513" i="1"/>
  <c r="B29514" i="1"/>
  <c r="B29515" i="1"/>
  <c r="B29516" i="1"/>
  <c r="B29517" i="1"/>
  <c r="B29518" i="1"/>
  <c r="B29519" i="1"/>
  <c r="B29520" i="1"/>
  <c r="B29521" i="1"/>
  <c r="B29522" i="1"/>
  <c r="B29523" i="1"/>
  <c r="B29524" i="1"/>
  <c r="B29525" i="1"/>
  <c r="B29526" i="1"/>
  <c r="B29527" i="1"/>
  <c r="B29528" i="1"/>
  <c r="B29529" i="1"/>
  <c r="B29530" i="1"/>
  <c r="B29531" i="1"/>
  <c r="B29532" i="1"/>
  <c r="B29533" i="1"/>
  <c r="B29534" i="1"/>
  <c r="B29535" i="1"/>
  <c r="B29536" i="1"/>
  <c r="B29537" i="1"/>
  <c r="B29538" i="1"/>
  <c r="B29539" i="1"/>
  <c r="B29540" i="1"/>
  <c r="B29541" i="1"/>
  <c r="B29542" i="1"/>
  <c r="B29543" i="1"/>
  <c r="B29544" i="1"/>
  <c r="B29545" i="1"/>
  <c r="B29546" i="1"/>
  <c r="B29547" i="1"/>
  <c r="B29548" i="1"/>
  <c r="B29549" i="1"/>
  <c r="B29550" i="1"/>
  <c r="B29551" i="1"/>
  <c r="B29552" i="1"/>
  <c r="B29553" i="1"/>
  <c r="B29554" i="1"/>
  <c r="B29555" i="1"/>
  <c r="B29556" i="1"/>
  <c r="B29557" i="1"/>
  <c r="B29558" i="1"/>
  <c r="B29559" i="1"/>
  <c r="B29560" i="1"/>
  <c r="B29561" i="1"/>
  <c r="B29562" i="1"/>
  <c r="B29563" i="1"/>
  <c r="B29564" i="1"/>
  <c r="B29565" i="1"/>
  <c r="B29566" i="1"/>
  <c r="B29567" i="1"/>
  <c r="B29568" i="1"/>
  <c r="B29569" i="1"/>
  <c r="B29570" i="1"/>
  <c r="B29571" i="1"/>
  <c r="B29572" i="1"/>
  <c r="B29573" i="1"/>
  <c r="B29574" i="1"/>
  <c r="B29575" i="1"/>
  <c r="B29576" i="1"/>
  <c r="B29577" i="1"/>
  <c r="B29578" i="1"/>
  <c r="B29579" i="1"/>
  <c r="B29580" i="1"/>
  <c r="B29581" i="1"/>
  <c r="B29582" i="1"/>
  <c r="B29583" i="1"/>
  <c r="B29584" i="1"/>
  <c r="B29585" i="1"/>
  <c r="B29586" i="1"/>
  <c r="B29587" i="1"/>
  <c r="B29588" i="1"/>
  <c r="B29589" i="1"/>
  <c r="B29590" i="1"/>
  <c r="B29591" i="1"/>
  <c r="B29592" i="1"/>
  <c r="B29593" i="1"/>
  <c r="B29594" i="1"/>
  <c r="B29595" i="1"/>
  <c r="B29596" i="1"/>
  <c r="B29597" i="1"/>
  <c r="B29598" i="1"/>
  <c r="B29599" i="1"/>
  <c r="B29600" i="1"/>
  <c r="B29601" i="1"/>
  <c r="B29602" i="1"/>
  <c r="B29603" i="1"/>
  <c r="B29604" i="1"/>
  <c r="B29605" i="1"/>
  <c r="B29606" i="1"/>
  <c r="B29607" i="1"/>
  <c r="B29608" i="1"/>
  <c r="B29609" i="1"/>
  <c r="B29610" i="1"/>
  <c r="B29611" i="1"/>
  <c r="B29612" i="1"/>
  <c r="B29613" i="1"/>
  <c r="B29614" i="1"/>
  <c r="B29615" i="1"/>
  <c r="B29616" i="1"/>
  <c r="B29617" i="1"/>
  <c r="B29618" i="1"/>
  <c r="B29619" i="1"/>
  <c r="B29620" i="1"/>
  <c r="B29621" i="1"/>
  <c r="B29622" i="1"/>
  <c r="B29623" i="1"/>
  <c r="B29624" i="1"/>
  <c r="B29625" i="1"/>
  <c r="B29626" i="1"/>
  <c r="B29627" i="1"/>
  <c r="B29628" i="1"/>
  <c r="B29629" i="1"/>
  <c r="B29630" i="1"/>
  <c r="B29631" i="1"/>
  <c r="B29632" i="1"/>
  <c r="B29633" i="1"/>
  <c r="B29634" i="1"/>
  <c r="B29635" i="1"/>
  <c r="B29636" i="1"/>
  <c r="B29637" i="1"/>
  <c r="B29638" i="1"/>
  <c r="B29639" i="1"/>
  <c r="B29640" i="1"/>
  <c r="B29641" i="1"/>
  <c r="B29642" i="1"/>
  <c r="B29643" i="1"/>
  <c r="B29644" i="1"/>
  <c r="B29645" i="1"/>
  <c r="B29646" i="1"/>
  <c r="B29647" i="1"/>
  <c r="B29648" i="1"/>
  <c r="B29649" i="1"/>
  <c r="B29650" i="1"/>
  <c r="B29651" i="1"/>
  <c r="B29652" i="1"/>
  <c r="B29653" i="1"/>
  <c r="B29654" i="1"/>
  <c r="B29655" i="1"/>
  <c r="B29656" i="1"/>
  <c r="B29657" i="1"/>
  <c r="B29658" i="1"/>
  <c r="B29659" i="1"/>
  <c r="B29660" i="1"/>
  <c r="B29661" i="1"/>
  <c r="B29662" i="1"/>
  <c r="B29663" i="1"/>
  <c r="B29664" i="1"/>
  <c r="B29665" i="1"/>
  <c r="B29666" i="1"/>
  <c r="B29667" i="1"/>
  <c r="B29668" i="1"/>
  <c r="B29669" i="1"/>
  <c r="B29670" i="1"/>
  <c r="B29671" i="1"/>
  <c r="B29672" i="1"/>
  <c r="B29673" i="1"/>
  <c r="B29674" i="1"/>
  <c r="B29675" i="1"/>
  <c r="B29676" i="1"/>
  <c r="B29677" i="1"/>
  <c r="B29678" i="1"/>
  <c r="B29679" i="1"/>
  <c r="B29680" i="1"/>
  <c r="B29681" i="1"/>
  <c r="B29682" i="1"/>
  <c r="B29683" i="1"/>
  <c r="B29684" i="1"/>
  <c r="B29685" i="1"/>
  <c r="B29686" i="1"/>
  <c r="B29687" i="1"/>
  <c r="B29688" i="1"/>
  <c r="B29689" i="1"/>
  <c r="B29690" i="1"/>
  <c r="B29691" i="1"/>
  <c r="B29692" i="1"/>
  <c r="B29693" i="1"/>
  <c r="B29694" i="1"/>
  <c r="B29695" i="1"/>
  <c r="B29696" i="1"/>
  <c r="B29697" i="1"/>
  <c r="B29698" i="1"/>
  <c r="B29699" i="1"/>
  <c r="B29700" i="1"/>
  <c r="B29701" i="1"/>
  <c r="B29702" i="1"/>
  <c r="B29703" i="1"/>
  <c r="B29704" i="1"/>
  <c r="B29705" i="1"/>
  <c r="B29706" i="1"/>
  <c r="B29707" i="1"/>
  <c r="B29708" i="1"/>
  <c r="B29709" i="1"/>
  <c r="B29710" i="1"/>
  <c r="B29711" i="1"/>
  <c r="B29712" i="1"/>
  <c r="B29713" i="1"/>
  <c r="B29714" i="1"/>
  <c r="B29715" i="1"/>
  <c r="B29716" i="1"/>
  <c r="B29717" i="1"/>
  <c r="B29718" i="1"/>
  <c r="B29719" i="1"/>
  <c r="B29720" i="1"/>
  <c r="B29721" i="1"/>
  <c r="B29722" i="1"/>
  <c r="B29723" i="1"/>
  <c r="B29724" i="1"/>
  <c r="B29725" i="1"/>
  <c r="B29726" i="1"/>
  <c r="B29727" i="1"/>
  <c r="B29728" i="1"/>
  <c r="B29729" i="1"/>
  <c r="B29730" i="1"/>
  <c r="B29731" i="1"/>
  <c r="B29732" i="1"/>
  <c r="B29733" i="1"/>
  <c r="B29734" i="1"/>
  <c r="B29735" i="1"/>
  <c r="B29736" i="1"/>
  <c r="B29737" i="1"/>
  <c r="B29738" i="1"/>
  <c r="B29739" i="1"/>
  <c r="B29740" i="1"/>
  <c r="B29741" i="1"/>
  <c r="B29742" i="1"/>
  <c r="B29743" i="1"/>
  <c r="B29744" i="1"/>
  <c r="B29745" i="1"/>
  <c r="B29746" i="1"/>
  <c r="B29747" i="1"/>
  <c r="B29748" i="1"/>
  <c r="B29749" i="1"/>
  <c r="B29750" i="1"/>
  <c r="B29751" i="1"/>
  <c r="B29752" i="1"/>
  <c r="B29753" i="1"/>
  <c r="B29754" i="1"/>
  <c r="B29755" i="1"/>
  <c r="B29756" i="1"/>
  <c r="B29757" i="1"/>
  <c r="B29758" i="1"/>
  <c r="B29759" i="1"/>
  <c r="B29760" i="1"/>
  <c r="B29761" i="1"/>
  <c r="B29762" i="1"/>
  <c r="B29763" i="1"/>
  <c r="B29764" i="1"/>
  <c r="B29765" i="1"/>
  <c r="B29766" i="1"/>
  <c r="B29767" i="1"/>
  <c r="B29768" i="1"/>
  <c r="B29769" i="1"/>
  <c r="B29770" i="1"/>
  <c r="B29771" i="1"/>
  <c r="B29772" i="1"/>
  <c r="B29773" i="1"/>
  <c r="B29774" i="1"/>
  <c r="B29775" i="1"/>
  <c r="B29776" i="1"/>
  <c r="B29777" i="1"/>
  <c r="B29778" i="1"/>
  <c r="B29779" i="1"/>
  <c r="B29780" i="1"/>
  <c r="B29781" i="1"/>
  <c r="B29782" i="1"/>
  <c r="B29783" i="1"/>
  <c r="B29784" i="1"/>
  <c r="B29785" i="1"/>
  <c r="B29786" i="1"/>
  <c r="B29787" i="1"/>
  <c r="B29788" i="1"/>
  <c r="B29789" i="1"/>
  <c r="B29790" i="1"/>
  <c r="B29791" i="1"/>
  <c r="B29792" i="1"/>
  <c r="B29793" i="1"/>
  <c r="B29794" i="1"/>
  <c r="B29795" i="1"/>
  <c r="B29796" i="1"/>
  <c r="B29797" i="1"/>
  <c r="B29798" i="1"/>
  <c r="B29799" i="1"/>
  <c r="B29800" i="1"/>
  <c r="B29801" i="1"/>
  <c r="B29802" i="1"/>
  <c r="B29803" i="1"/>
  <c r="B29804" i="1"/>
  <c r="B29805" i="1"/>
  <c r="B29806" i="1"/>
  <c r="B29807" i="1"/>
  <c r="B29808" i="1"/>
  <c r="B29809" i="1"/>
  <c r="B29810" i="1"/>
  <c r="B29811" i="1"/>
  <c r="B29812" i="1"/>
  <c r="B29813" i="1"/>
  <c r="B29814" i="1"/>
  <c r="B29815" i="1"/>
  <c r="B29816" i="1"/>
  <c r="B29817" i="1"/>
  <c r="B29818" i="1"/>
  <c r="B29819" i="1"/>
  <c r="B29820" i="1"/>
  <c r="B29821" i="1"/>
  <c r="B29822" i="1"/>
  <c r="B29823" i="1"/>
  <c r="B29824" i="1"/>
  <c r="B29825" i="1"/>
  <c r="B29826" i="1"/>
  <c r="B29827" i="1"/>
  <c r="B29828" i="1"/>
  <c r="B29829" i="1"/>
  <c r="B29830" i="1"/>
  <c r="B29831" i="1"/>
  <c r="B29832" i="1"/>
  <c r="B29833" i="1"/>
  <c r="B29834" i="1"/>
  <c r="B29835" i="1"/>
  <c r="B29836" i="1"/>
  <c r="B29837" i="1"/>
  <c r="B29838" i="1"/>
  <c r="B29839" i="1"/>
  <c r="B29840" i="1"/>
  <c r="B29841" i="1"/>
  <c r="B29842" i="1"/>
  <c r="B29843" i="1"/>
  <c r="B29844" i="1"/>
  <c r="B29845" i="1"/>
  <c r="B29846" i="1"/>
  <c r="B29847" i="1"/>
  <c r="B29848" i="1"/>
  <c r="B29849" i="1"/>
  <c r="B29850" i="1"/>
  <c r="B29851" i="1"/>
  <c r="B29852" i="1"/>
  <c r="B29853" i="1"/>
  <c r="B29854" i="1"/>
  <c r="B29855" i="1"/>
  <c r="B29856" i="1"/>
  <c r="B29857" i="1"/>
  <c r="B29858" i="1"/>
  <c r="B29859" i="1"/>
  <c r="B29860" i="1"/>
  <c r="B29861" i="1"/>
  <c r="B29862" i="1"/>
  <c r="B29863" i="1"/>
  <c r="B29864" i="1"/>
  <c r="B29865" i="1"/>
  <c r="B29866" i="1"/>
  <c r="B29867" i="1"/>
  <c r="B29868" i="1"/>
  <c r="B29869" i="1"/>
  <c r="B29870" i="1"/>
  <c r="B29871" i="1"/>
  <c r="B29872" i="1"/>
  <c r="B29873" i="1"/>
  <c r="B29874" i="1"/>
  <c r="B29875" i="1"/>
  <c r="B29876" i="1"/>
  <c r="B29877" i="1"/>
  <c r="B29878" i="1"/>
  <c r="B29879" i="1"/>
  <c r="B29880" i="1"/>
  <c r="B29881" i="1"/>
  <c r="B29882" i="1"/>
  <c r="B29883" i="1"/>
  <c r="B29884" i="1"/>
  <c r="B29885" i="1"/>
  <c r="B29886" i="1"/>
  <c r="B29887" i="1"/>
  <c r="B29888" i="1"/>
  <c r="B29889" i="1"/>
  <c r="B29890" i="1"/>
  <c r="B29891" i="1"/>
  <c r="B29892" i="1"/>
  <c r="B29893" i="1"/>
  <c r="B29894" i="1"/>
  <c r="B29895" i="1"/>
  <c r="B29896" i="1"/>
  <c r="B29897" i="1"/>
  <c r="B29898" i="1"/>
  <c r="B29899" i="1"/>
  <c r="B29900" i="1"/>
  <c r="B29901" i="1"/>
  <c r="B29902" i="1"/>
  <c r="B29903" i="1"/>
  <c r="B29904" i="1"/>
  <c r="B29905" i="1"/>
  <c r="B29906" i="1"/>
  <c r="B29907" i="1"/>
  <c r="B29908" i="1"/>
  <c r="B29909" i="1"/>
  <c r="B29910" i="1"/>
  <c r="B29911" i="1"/>
  <c r="B29912" i="1"/>
  <c r="B29913" i="1"/>
  <c r="B29914" i="1"/>
  <c r="B29915" i="1"/>
  <c r="B29916" i="1"/>
  <c r="B29917" i="1"/>
  <c r="B29918" i="1"/>
  <c r="B29919" i="1"/>
  <c r="B29920" i="1"/>
  <c r="B29921" i="1"/>
  <c r="B29922" i="1"/>
  <c r="B29923" i="1"/>
  <c r="B29924" i="1"/>
  <c r="B29925" i="1"/>
  <c r="B29926" i="1"/>
  <c r="B29927" i="1"/>
  <c r="B29928" i="1"/>
  <c r="B29929" i="1"/>
  <c r="B29930" i="1"/>
  <c r="B29931" i="1"/>
  <c r="B29932" i="1"/>
  <c r="B29933" i="1"/>
  <c r="B29934" i="1"/>
  <c r="B29935" i="1"/>
  <c r="B29936" i="1"/>
  <c r="B29937" i="1"/>
  <c r="B29938" i="1"/>
  <c r="B29939" i="1"/>
  <c r="B29940" i="1"/>
  <c r="B29941" i="1"/>
  <c r="B29942" i="1"/>
  <c r="B29943" i="1"/>
  <c r="B29944" i="1"/>
  <c r="B29945" i="1"/>
  <c r="B29946" i="1"/>
  <c r="B29947" i="1"/>
  <c r="B29948" i="1"/>
  <c r="B29949" i="1"/>
  <c r="B29950" i="1"/>
  <c r="B29951" i="1"/>
  <c r="B29952" i="1"/>
  <c r="B29953" i="1"/>
  <c r="B29954" i="1"/>
  <c r="B29955" i="1"/>
  <c r="B29956" i="1"/>
  <c r="B29957" i="1"/>
  <c r="B29958" i="1"/>
  <c r="B29959" i="1"/>
  <c r="B29960" i="1"/>
  <c r="B29961" i="1"/>
  <c r="B29962" i="1"/>
  <c r="B29963" i="1"/>
  <c r="B29964" i="1"/>
  <c r="B29965" i="1"/>
  <c r="B29966" i="1"/>
  <c r="B29967" i="1"/>
  <c r="B29968" i="1"/>
  <c r="B29969" i="1"/>
  <c r="B29970" i="1"/>
  <c r="B29971" i="1"/>
  <c r="B29972" i="1"/>
  <c r="B29973" i="1"/>
  <c r="B29974" i="1"/>
  <c r="B29975" i="1"/>
  <c r="B29976" i="1"/>
  <c r="B29977" i="1"/>
  <c r="B29978" i="1"/>
  <c r="B29979" i="1"/>
  <c r="B29980" i="1"/>
  <c r="B29981" i="1"/>
  <c r="B29982" i="1"/>
  <c r="B29983" i="1"/>
  <c r="B29984" i="1"/>
  <c r="B29985" i="1"/>
  <c r="B29986" i="1"/>
  <c r="B29987" i="1"/>
  <c r="B29988" i="1"/>
  <c r="B29989" i="1"/>
  <c r="B29990" i="1"/>
  <c r="B29991" i="1"/>
  <c r="B29992" i="1"/>
  <c r="B29993" i="1"/>
  <c r="B29994" i="1"/>
  <c r="B29995" i="1"/>
  <c r="B29996" i="1"/>
  <c r="B29997" i="1"/>
  <c r="B29998" i="1"/>
  <c r="B29999" i="1"/>
  <c r="B30000" i="1"/>
  <c r="B30001" i="1"/>
  <c r="B30002" i="1"/>
  <c r="B30003" i="1"/>
  <c r="B30004" i="1"/>
  <c r="B30005" i="1"/>
  <c r="B30006" i="1"/>
  <c r="B30007" i="1"/>
  <c r="B30008" i="1"/>
  <c r="B30009" i="1"/>
  <c r="B30010" i="1"/>
  <c r="B30011" i="1"/>
  <c r="B30012" i="1"/>
  <c r="B30013" i="1"/>
  <c r="B30014" i="1"/>
  <c r="B30015" i="1"/>
  <c r="B30016" i="1"/>
  <c r="B30017" i="1"/>
  <c r="B30018" i="1"/>
  <c r="B30019" i="1"/>
  <c r="B30020" i="1"/>
  <c r="B30021" i="1"/>
  <c r="B30022" i="1"/>
  <c r="B30023" i="1"/>
  <c r="B30024" i="1"/>
  <c r="B30025" i="1"/>
  <c r="B30026" i="1"/>
  <c r="B30027" i="1"/>
  <c r="B30028" i="1"/>
  <c r="B30029" i="1"/>
  <c r="B30030" i="1"/>
  <c r="B30031" i="1"/>
  <c r="B30032" i="1"/>
  <c r="B30033" i="1"/>
  <c r="B30034" i="1"/>
  <c r="B30035" i="1"/>
  <c r="B30036" i="1"/>
  <c r="B30037" i="1"/>
  <c r="B30038" i="1"/>
  <c r="B30039" i="1"/>
  <c r="B30040" i="1"/>
  <c r="B30041" i="1"/>
  <c r="B30042" i="1"/>
  <c r="B30043" i="1"/>
  <c r="B30044" i="1"/>
  <c r="B30045" i="1"/>
  <c r="B30046" i="1"/>
  <c r="B30047" i="1"/>
  <c r="B30048" i="1"/>
  <c r="B30049" i="1"/>
  <c r="B30050" i="1"/>
  <c r="B30051" i="1"/>
  <c r="B30052" i="1"/>
  <c r="B30053" i="1"/>
  <c r="B30054" i="1"/>
  <c r="B30055" i="1"/>
  <c r="B30056" i="1"/>
  <c r="B30057" i="1"/>
  <c r="B30058" i="1"/>
  <c r="B30059" i="1"/>
  <c r="B30060" i="1"/>
  <c r="B30061" i="1"/>
  <c r="B30062" i="1"/>
  <c r="B30063" i="1"/>
  <c r="B30064" i="1"/>
  <c r="B30065" i="1"/>
  <c r="B30066" i="1"/>
  <c r="B30067" i="1"/>
  <c r="B30068" i="1"/>
  <c r="B30069" i="1"/>
  <c r="B30070" i="1"/>
  <c r="B30071" i="1"/>
  <c r="B30072" i="1"/>
  <c r="B30073" i="1"/>
  <c r="B30074" i="1"/>
  <c r="B30075" i="1"/>
  <c r="B30076" i="1"/>
  <c r="B30077" i="1"/>
  <c r="B30078" i="1"/>
  <c r="B30079" i="1"/>
  <c r="B30080" i="1"/>
  <c r="B30081" i="1"/>
  <c r="B30082" i="1"/>
  <c r="B30083" i="1"/>
  <c r="B30084" i="1"/>
  <c r="B30085" i="1"/>
  <c r="B30086" i="1"/>
  <c r="B30087" i="1"/>
  <c r="B30088" i="1"/>
  <c r="B30089" i="1"/>
  <c r="B30090" i="1"/>
  <c r="B30091" i="1"/>
  <c r="B30092" i="1"/>
  <c r="B30093" i="1"/>
  <c r="B30094" i="1"/>
  <c r="B30095" i="1"/>
  <c r="B30096" i="1"/>
  <c r="B30097" i="1"/>
  <c r="B30098" i="1"/>
  <c r="B30099" i="1"/>
  <c r="B30100" i="1"/>
  <c r="B30101" i="1"/>
  <c r="B30102" i="1"/>
  <c r="B30103" i="1"/>
  <c r="B30104" i="1"/>
  <c r="B30105" i="1"/>
  <c r="B30106" i="1"/>
  <c r="B30107" i="1"/>
  <c r="B30108" i="1"/>
  <c r="B30109" i="1"/>
  <c r="B30110" i="1"/>
  <c r="B30111" i="1"/>
  <c r="B30112" i="1"/>
  <c r="B30113" i="1"/>
  <c r="B30114" i="1"/>
  <c r="B30115" i="1"/>
  <c r="B30116" i="1"/>
  <c r="B30117" i="1"/>
  <c r="B30118" i="1"/>
  <c r="B30119" i="1"/>
  <c r="B30120" i="1"/>
  <c r="B30121" i="1"/>
  <c r="B30122" i="1"/>
  <c r="B30123" i="1"/>
  <c r="B30124" i="1"/>
  <c r="B30125" i="1"/>
  <c r="B30126" i="1"/>
  <c r="B30127" i="1"/>
  <c r="B30128" i="1"/>
  <c r="B30129" i="1"/>
  <c r="B30130" i="1"/>
  <c r="B30131" i="1"/>
  <c r="B30132" i="1"/>
  <c r="B30133" i="1"/>
  <c r="B30134" i="1"/>
  <c r="B30135" i="1"/>
  <c r="B30136" i="1"/>
  <c r="B30137" i="1"/>
  <c r="B30138" i="1"/>
  <c r="B30139" i="1"/>
  <c r="B30140" i="1"/>
  <c r="B30141" i="1"/>
  <c r="B30142" i="1"/>
  <c r="B30143" i="1"/>
  <c r="B30144" i="1"/>
  <c r="B30145" i="1"/>
  <c r="B30146" i="1"/>
  <c r="B30147" i="1"/>
  <c r="B30148" i="1"/>
  <c r="B30149" i="1"/>
  <c r="B30150" i="1"/>
  <c r="B30151" i="1"/>
  <c r="B30152" i="1"/>
  <c r="B30153" i="1"/>
  <c r="B30154" i="1"/>
  <c r="B30155" i="1"/>
  <c r="B30156" i="1"/>
  <c r="B30157" i="1"/>
  <c r="B30158" i="1"/>
  <c r="B30159" i="1"/>
  <c r="B30160" i="1"/>
  <c r="B30161" i="1"/>
  <c r="B30162" i="1"/>
  <c r="B30163" i="1"/>
  <c r="B30164" i="1"/>
  <c r="B30165" i="1"/>
  <c r="B30166" i="1"/>
  <c r="B30167" i="1"/>
  <c r="B30168" i="1"/>
  <c r="B30169" i="1"/>
  <c r="B30170" i="1"/>
  <c r="B30171" i="1"/>
  <c r="B30172" i="1"/>
  <c r="B30173" i="1"/>
  <c r="B30174" i="1"/>
  <c r="B30175" i="1"/>
  <c r="B30176" i="1"/>
  <c r="B30177" i="1"/>
  <c r="B30178" i="1"/>
  <c r="B30179" i="1"/>
  <c r="B30180" i="1"/>
  <c r="B30181" i="1"/>
  <c r="B30182" i="1"/>
  <c r="B30183" i="1"/>
  <c r="B30184" i="1"/>
  <c r="B30185" i="1"/>
  <c r="B30186" i="1"/>
  <c r="B30187" i="1"/>
  <c r="B30188" i="1"/>
  <c r="B30189" i="1"/>
  <c r="B30190" i="1"/>
  <c r="B30191" i="1"/>
  <c r="B30192" i="1"/>
  <c r="B30193" i="1"/>
  <c r="B30194" i="1"/>
  <c r="B30195" i="1"/>
  <c r="B30196" i="1"/>
  <c r="B30197" i="1"/>
  <c r="B30198" i="1"/>
  <c r="B30199" i="1"/>
  <c r="B30200" i="1"/>
  <c r="B30201" i="1"/>
  <c r="B30202" i="1"/>
  <c r="B30203" i="1"/>
  <c r="B30204" i="1"/>
  <c r="B30205" i="1"/>
  <c r="B30206" i="1"/>
  <c r="B30207" i="1"/>
  <c r="B30208" i="1"/>
  <c r="B30209" i="1"/>
  <c r="B30210" i="1"/>
  <c r="B30211" i="1"/>
  <c r="B30212" i="1"/>
  <c r="B30213" i="1"/>
  <c r="B30214" i="1"/>
  <c r="B30215" i="1"/>
  <c r="B30216" i="1"/>
  <c r="B30217" i="1"/>
  <c r="B30218" i="1"/>
  <c r="B30219" i="1"/>
  <c r="B30220" i="1"/>
  <c r="B30221" i="1"/>
  <c r="B30222" i="1"/>
  <c r="B30223" i="1"/>
  <c r="B30224" i="1"/>
  <c r="B30225" i="1"/>
  <c r="B30226" i="1"/>
  <c r="B30227" i="1"/>
  <c r="B30228" i="1"/>
  <c r="B30229" i="1"/>
  <c r="B30230" i="1"/>
  <c r="B30231" i="1"/>
  <c r="B30232" i="1"/>
  <c r="B30233" i="1"/>
  <c r="B30234" i="1"/>
  <c r="B30235" i="1"/>
  <c r="B30236" i="1"/>
  <c r="B30237" i="1"/>
  <c r="B30238" i="1"/>
  <c r="B30239" i="1"/>
  <c r="B30240" i="1"/>
  <c r="B30241" i="1"/>
  <c r="B30242" i="1"/>
  <c r="B30243" i="1"/>
  <c r="B30244" i="1"/>
  <c r="B30245" i="1"/>
  <c r="B30246" i="1"/>
  <c r="B30247" i="1"/>
  <c r="B30248" i="1"/>
  <c r="B30249" i="1"/>
  <c r="B30250" i="1"/>
  <c r="B30251" i="1"/>
  <c r="B30252" i="1"/>
  <c r="B30253" i="1"/>
  <c r="B30254" i="1"/>
  <c r="B30255" i="1"/>
  <c r="B30256" i="1"/>
  <c r="B30257" i="1"/>
  <c r="B30258" i="1"/>
  <c r="B30259" i="1"/>
  <c r="B30260" i="1"/>
  <c r="B30261" i="1"/>
  <c r="B30262" i="1"/>
  <c r="B30263" i="1"/>
  <c r="B30264" i="1"/>
  <c r="B30265" i="1"/>
  <c r="B30266" i="1"/>
  <c r="B30267" i="1"/>
  <c r="B30268" i="1"/>
  <c r="B30269" i="1"/>
  <c r="B30270" i="1"/>
  <c r="B30271" i="1"/>
  <c r="B30272" i="1"/>
  <c r="B30273" i="1"/>
  <c r="B30274" i="1"/>
  <c r="B30275" i="1"/>
  <c r="B30276" i="1"/>
  <c r="B30277" i="1"/>
  <c r="B30278" i="1"/>
  <c r="B30279" i="1"/>
  <c r="B30280" i="1"/>
  <c r="B30281" i="1"/>
  <c r="B30282" i="1"/>
  <c r="B30283" i="1"/>
  <c r="B30284" i="1"/>
  <c r="B30285" i="1"/>
  <c r="B30286" i="1"/>
  <c r="B30287" i="1"/>
  <c r="B30288" i="1"/>
  <c r="B30289" i="1"/>
  <c r="B30290" i="1"/>
  <c r="B30291" i="1"/>
  <c r="B30292" i="1"/>
  <c r="B30293" i="1"/>
  <c r="B30294" i="1"/>
  <c r="B30295" i="1"/>
  <c r="B30296" i="1"/>
  <c r="B30297" i="1"/>
  <c r="B30298" i="1"/>
  <c r="B30299" i="1"/>
  <c r="B30300" i="1"/>
  <c r="B30301" i="1"/>
  <c r="B30302" i="1"/>
  <c r="B30303" i="1"/>
  <c r="B30304" i="1"/>
  <c r="B30305" i="1"/>
  <c r="B30306" i="1"/>
  <c r="B30307" i="1"/>
  <c r="B30308" i="1"/>
  <c r="B30309" i="1"/>
  <c r="B30310" i="1"/>
  <c r="B30311" i="1"/>
  <c r="B30312" i="1"/>
  <c r="B30313" i="1"/>
  <c r="B30314" i="1"/>
  <c r="B30315" i="1"/>
  <c r="B30316" i="1"/>
  <c r="B30317" i="1"/>
  <c r="B30318" i="1"/>
  <c r="B30319" i="1"/>
  <c r="B30320" i="1"/>
  <c r="B30321" i="1"/>
  <c r="B30322" i="1"/>
  <c r="B30323" i="1"/>
  <c r="B30324" i="1"/>
  <c r="B30325" i="1"/>
  <c r="B30326" i="1"/>
  <c r="B30327" i="1"/>
  <c r="B30328" i="1"/>
  <c r="B30329" i="1"/>
  <c r="B30330" i="1"/>
  <c r="B30331" i="1"/>
  <c r="B30332" i="1"/>
  <c r="B30333" i="1"/>
  <c r="B30334" i="1"/>
  <c r="B30335" i="1"/>
  <c r="B30336" i="1"/>
  <c r="B30337" i="1"/>
  <c r="B30338" i="1"/>
  <c r="B30339" i="1"/>
  <c r="B30340" i="1"/>
  <c r="B30341" i="1"/>
  <c r="B30342" i="1"/>
  <c r="B30343" i="1"/>
  <c r="B30344" i="1"/>
  <c r="B30345" i="1"/>
  <c r="B30346" i="1"/>
  <c r="B30347" i="1"/>
  <c r="B30348" i="1"/>
  <c r="B30349" i="1"/>
  <c r="B30350" i="1"/>
  <c r="B30351" i="1"/>
  <c r="B30352" i="1"/>
  <c r="B30353" i="1"/>
  <c r="B30354" i="1"/>
  <c r="B30355" i="1"/>
  <c r="B30356" i="1"/>
  <c r="B30357" i="1"/>
  <c r="B30358" i="1"/>
  <c r="B30359" i="1"/>
  <c r="B30360" i="1"/>
  <c r="B30361" i="1"/>
  <c r="B30362" i="1"/>
  <c r="B30363" i="1"/>
  <c r="B30364" i="1"/>
  <c r="B30365" i="1"/>
  <c r="B30366" i="1"/>
  <c r="B30367" i="1"/>
  <c r="B30368" i="1"/>
  <c r="B30369" i="1"/>
  <c r="B30370" i="1"/>
  <c r="B30371" i="1"/>
  <c r="B30372" i="1"/>
  <c r="B30373" i="1"/>
  <c r="B30374" i="1"/>
  <c r="B30375" i="1"/>
  <c r="B30376" i="1"/>
  <c r="B30377" i="1"/>
  <c r="B30378" i="1"/>
  <c r="B30379" i="1"/>
  <c r="B30380" i="1"/>
  <c r="B30381" i="1"/>
  <c r="B30382" i="1"/>
  <c r="B30383" i="1"/>
  <c r="B30384" i="1"/>
  <c r="B30385" i="1"/>
  <c r="B30386" i="1"/>
  <c r="B30387" i="1"/>
  <c r="B30388" i="1"/>
  <c r="B30389" i="1"/>
  <c r="B30390" i="1"/>
  <c r="B30391" i="1"/>
  <c r="B30392" i="1"/>
  <c r="B30393" i="1"/>
  <c r="B30394" i="1"/>
  <c r="B30395" i="1"/>
  <c r="B30396" i="1"/>
  <c r="B30397" i="1"/>
  <c r="B30398" i="1"/>
  <c r="B30399" i="1"/>
  <c r="B30400" i="1"/>
  <c r="B30401" i="1"/>
  <c r="B30402" i="1"/>
  <c r="B30403" i="1"/>
  <c r="B30404" i="1"/>
  <c r="B30405" i="1"/>
  <c r="B30406" i="1"/>
  <c r="B30407" i="1"/>
  <c r="B30408" i="1"/>
  <c r="B30409" i="1"/>
  <c r="B30410" i="1"/>
  <c r="B30411" i="1"/>
  <c r="B30412" i="1"/>
  <c r="B30413" i="1"/>
  <c r="B30414" i="1"/>
  <c r="B30415" i="1"/>
  <c r="B30416" i="1"/>
  <c r="B30417" i="1"/>
  <c r="B30418" i="1"/>
  <c r="B30419" i="1"/>
  <c r="B30420" i="1"/>
  <c r="B30421" i="1"/>
  <c r="B30422" i="1"/>
  <c r="B30423" i="1"/>
  <c r="B30424" i="1"/>
  <c r="B30425" i="1"/>
  <c r="B30426" i="1"/>
  <c r="B30427" i="1"/>
  <c r="B30428" i="1"/>
  <c r="B30429" i="1"/>
  <c r="B30430" i="1"/>
  <c r="B30431" i="1"/>
  <c r="B30432" i="1"/>
  <c r="B30433" i="1"/>
  <c r="B30434" i="1"/>
  <c r="B30435" i="1"/>
  <c r="B30436" i="1"/>
  <c r="B30437" i="1"/>
  <c r="B30438" i="1"/>
  <c r="B30439" i="1"/>
  <c r="B30440" i="1"/>
  <c r="B30441" i="1"/>
  <c r="B30442" i="1"/>
  <c r="B30443" i="1"/>
  <c r="B30444" i="1"/>
  <c r="B30445" i="1"/>
  <c r="B30446" i="1"/>
  <c r="B30447" i="1"/>
  <c r="B30448" i="1"/>
  <c r="B30449" i="1"/>
  <c r="B30450" i="1"/>
  <c r="B30451" i="1"/>
  <c r="B30452" i="1"/>
  <c r="B30453" i="1"/>
  <c r="B30454" i="1"/>
  <c r="B30455" i="1"/>
  <c r="B30456" i="1"/>
  <c r="B30457" i="1"/>
  <c r="B30458" i="1"/>
  <c r="B30459" i="1"/>
  <c r="B30460" i="1"/>
  <c r="B30461" i="1"/>
  <c r="B30462" i="1"/>
  <c r="B30463" i="1"/>
  <c r="B30464" i="1"/>
  <c r="B30465" i="1"/>
  <c r="B30466" i="1"/>
  <c r="B30467" i="1"/>
  <c r="B30468" i="1"/>
  <c r="B30469" i="1"/>
  <c r="B30470" i="1"/>
  <c r="B30471" i="1"/>
  <c r="B30472" i="1"/>
  <c r="B30473" i="1"/>
  <c r="B30474" i="1"/>
  <c r="B30475" i="1"/>
  <c r="B30476" i="1"/>
  <c r="B30477" i="1"/>
  <c r="B30478" i="1"/>
  <c r="B30479" i="1"/>
  <c r="B30480" i="1"/>
  <c r="B30481" i="1"/>
  <c r="B30482" i="1"/>
  <c r="B30483" i="1"/>
  <c r="B30484" i="1"/>
  <c r="B30485" i="1"/>
  <c r="B30486" i="1"/>
  <c r="B30487" i="1"/>
  <c r="B30488" i="1"/>
  <c r="B30489" i="1"/>
  <c r="B30490" i="1"/>
  <c r="B30491" i="1"/>
  <c r="B30492" i="1"/>
  <c r="B30493" i="1"/>
  <c r="B30494" i="1"/>
  <c r="B30495" i="1"/>
  <c r="B30496" i="1"/>
  <c r="B30497" i="1"/>
  <c r="B30498" i="1"/>
  <c r="B30499" i="1"/>
  <c r="B30500" i="1"/>
  <c r="B30501" i="1"/>
  <c r="B30502" i="1"/>
  <c r="B30503" i="1"/>
  <c r="B30504" i="1"/>
  <c r="B30505" i="1"/>
  <c r="B30506" i="1"/>
  <c r="B30507" i="1"/>
  <c r="B30508" i="1"/>
  <c r="B30509" i="1"/>
  <c r="B30510" i="1"/>
  <c r="B30511" i="1"/>
  <c r="B30512" i="1"/>
  <c r="B30513" i="1"/>
  <c r="B30514" i="1"/>
  <c r="B30515" i="1"/>
  <c r="B30516" i="1"/>
  <c r="B30517" i="1"/>
  <c r="B30518" i="1"/>
  <c r="B30519" i="1"/>
  <c r="B30520" i="1"/>
  <c r="B30521" i="1"/>
  <c r="B30522" i="1"/>
  <c r="B30523" i="1"/>
  <c r="B30524" i="1"/>
  <c r="B30525" i="1"/>
  <c r="B30526" i="1"/>
  <c r="B30527" i="1"/>
  <c r="B30528" i="1"/>
  <c r="B30529" i="1"/>
  <c r="B30530" i="1"/>
  <c r="B30531" i="1"/>
  <c r="B30532" i="1"/>
  <c r="B30533" i="1"/>
  <c r="B30534" i="1"/>
  <c r="B30535" i="1"/>
  <c r="B30536" i="1"/>
  <c r="B30537" i="1"/>
  <c r="B30538" i="1"/>
  <c r="B30539" i="1"/>
  <c r="B30540" i="1"/>
  <c r="B30541" i="1"/>
  <c r="B30542" i="1"/>
  <c r="B30543" i="1"/>
  <c r="B30544" i="1"/>
  <c r="B30545" i="1"/>
  <c r="B30546" i="1"/>
  <c r="B30547" i="1"/>
  <c r="B30548" i="1"/>
  <c r="B30549" i="1"/>
  <c r="B30550" i="1"/>
  <c r="B30551" i="1"/>
  <c r="B30552" i="1"/>
  <c r="B30553" i="1"/>
  <c r="B30554" i="1"/>
  <c r="B30555" i="1"/>
  <c r="B30556" i="1"/>
  <c r="B30557" i="1"/>
  <c r="B30558" i="1"/>
  <c r="B30559" i="1"/>
  <c r="B30560" i="1"/>
  <c r="B30561" i="1"/>
  <c r="B30562" i="1"/>
  <c r="B30563" i="1"/>
  <c r="B30564" i="1"/>
  <c r="B30565" i="1"/>
  <c r="B30566" i="1"/>
  <c r="B30567" i="1"/>
  <c r="B30568" i="1"/>
  <c r="B30569" i="1"/>
  <c r="B30570" i="1"/>
  <c r="B30571" i="1"/>
  <c r="B30572" i="1"/>
  <c r="B30573" i="1"/>
  <c r="B30574" i="1"/>
  <c r="B30575" i="1"/>
  <c r="B30576" i="1"/>
  <c r="B30577" i="1"/>
  <c r="B30578" i="1"/>
  <c r="B30579" i="1"/>
  <c r="B30580" i="1"/>
  <c r="B30581" i="1"/>
  <c r="B30582" i="1"/>
  <c r="B30583" i="1"/>
  <c r="B30584" i="1"/>
  <c r="B30585" i="1"/>
  <c r="B30586" i="1"/>
  <c r="B30587" i="1"/>
  <c r="B30588" i="1"/>
  <c r="B30589" i="1"/>
  <c r="B30590" i="1"/>
  <c r="B30591" i="1"/>
  <c r="B30592" i="1"/>
  <c r="B30593" i="1"/>
  <c r="B30594" i="1"/>
  <c r="B30595" i="1"/>
  <c r="B30596" i="1"/>
  <c r="B30597" i="1"/>
  <c r="B30598" i="1"/>
  <c r="B30599" i="1"/>
  <c r="B30600" i="1"/>
  <c r="B30601" i="1"/>
  <c r="B30602" i="1"/>
  <c r="B30603" i="1"/>
  <c r="B30604" i="1"/>
  <c r="B30605" i="1"/>
  <c r="B30606" i="1"/>
  <c r="B30607" i="1"/>
  <c r="B30608" i="1"/>
  <c r="B30609" i="1"/>
  <c r="B30610" i="1"/>
  <c r="B30611" i="1"/>
  <c r="B30612" i="1"/>
  <c r="B30613" i="1"/>
  <c r="B30614" i="1"/>
  <c r="B30615" i="1"/>
  <c r="B30616" i="1"/>
  <c r="B30617" i="1"/>
  <c r="B30618" i="1"/>
  <c r="B30619" i="1"/>
  <c r="B30620" i="1"/>
  <c r="B30621" i="1"/>
  <c r="B30622" i="1"/>
  <c r="B30623" i="1"/>
  <c r="B30624" i="1"/>
  <c r="B30625" i="1"/>
  <c r="B30626" i="1"/>
  <c r="B30627" i="1"/>
  <c r="B30628" i="1"/>
  <c r="B30629" i="1"/>
  <c r="B30630" i="1"/>
  <c r="B30631" i="1"/>
  <c r="B30632" i="1"/>
  <c r="B30633" i="1"/>
  <c r="B30634" i="1"/>
  <c r="B30635" i="1"/>
  <c r="B30636" i="1"/>
  <c r="B30637" i="1"/>
  <c r="B30638" i="1"/>
  <c r="B30639" i="1"/>
  <c r="B30640" i="1"/>
  <c r="B30641" i="1"/>
  <c r="B30642" i="1"/>
  <c r="B30643" i="1"/>
  <c r="B30644" i="1"/>
  <c r="B30645" i="1"/>
  <c r="B30646" i="1"/>
  <c r="B30647" i="1"/>
  <c r="B30648" i="1"/>
  <c r="B30649" i="1"/>
  <c r="B30650" i="1"/>
  <c r="B30651" i="1"/>
  <c r="B30652" i="1"/>
  <c r="B30653" i="1"/>
  <c r="B30654" i="1"/>
  <c r="B30655" i="1"/>
  <c r="B30656" i="1"/>
  <c r="B30657" i="1"/>
  <c r="B30658" i="1"/>
  <c r="B30659" i="1"/>
  <c r="B30660" i="1"/>
  <c r="B30661" i="1"/>
  <c r="B30662" i="1"/>
  <c r="B30663" i="1"/>
  <c r="B30664" i="1"/>
  <c r="B30665" i="1"/>
  <c r="B30666" i="1"/>
  <c r="B30667" i="1"/>
  <c r="B30668" i="1"/>
  <c r="B30669" i="1"/>
  <c r="B30670" i="1"/>
  <c r="B30671" i="1"/>
  <c r="B30672" i="1"/>
  <c r="B30673" i="1"/>
  <c r="B30674" i="1"/>
  <c r="B30675" i="1"/>
  <c r="B30676" i="1"/>
  <c r="B30677" i="1"/>
  <c r="B30678" i="1"/>
  <c r="B30679" i="1"/>
  <c r="B30680" i="1"/>
  <c r="B30681" i="1"/>
  <c r="B30682" i="1"/>
  <c r="B30683" i="1"/>
  <c r="B30684" i="1"/>
  <c r="B30685" i="1"/>
  <c r="B30686" i="1"/>
  <c r="B30687" i="1"/>
  <c r="B30688" i="1"/>
  <c r="B30689" i="1"/>
  <c r="B30690" i="1"/>
  <c r="B30691" i="1"/>
  <c r="B30692" i="1"/>
  <c r="B30693" i="1"/>
  <c r="B30694" i="1"/>
  <c r="B30695" i="1"/>
  <c r="B30696" i="1"/>
  <c r="B30697" i="1"/>
  <c r="B30698" i="1"/>
  <c r="B30699" i="1"/>
  <c r="B30700" i="1"/>
  <c r="B30701" i="1"/>
  <c r="B30702" i="1"/>
  <c r="B30703" i="1"/>
  <c r="B30704" i="1"/>
  <c r="B30705" i="1"/>
  <c r="B30706" i="1"/>
  <c r="B30707" i="1"/>
  <c r="B30708" i="1"/>
  <c r="B30709" i="1"/>
  <c r="B30710" i="1"/>
  <c r="B30711" i="1"/>
  <c r="B30712" i="1"/>
  <c r="B30713" i="1"/>
  <c r="B30714" i="1"/>
  <c r="B30715" i="1"/>
  <c r="B30716" i="1"/>
  <c r="B30717" i="1"/>
  <c r="B30718" i="1"/>
  <c r="B30719" i="1"/>
  <c r="B30720" i="1"/>
  <c r="B30721" i="1"/>
  <c r="B30722" i="1"/>
  <c r="B30723" i="1"/>
  <c r="B30724" i="1"/>
  <c r="B30725" i="1"/>
  <c r="B30726" i="1"/>
  <c r="B30727" i="1"/>
  <c r="B30728" i="1"/>
  <c r="B30729" i="1"/>
  <c r="B30730" i="1"/>
  <c r="B30731" i="1"/>
  <c r="B30732" i="1"/>
  <c r="B30733" i="1"/>
  <c r="B30734" i="1"/>
  <c r="B30735" i="1"/>
  <c r="B30736" i="1"/>
  <c r="B30737" i="1"/>
  <c r="B30738" i="1"/>
  <c r="B30739" i="1"/>
  <c r="B30740" i="1"/>
  <c r="B30741" i="1"/>
  <c r="B30742" i="1"/>
  <c r="B30743" i="1"/>
  <c r="B30744" i="1"/>
  <c r="B30745" i="1"/>
  <c r="B30746" i="1"/>
  <c r="B30747" i="1"/>
  <c r="B30748" i="1"/>
  <c r="B30749" i="1"/>
  <c r="B30750" i="1"/>
  <c r="B30751" i="1"/>
  <c r="B30752" i="1"/>
  <c r="B30753" i="1"/>
  <c r="B30754" i="1"/>
  <c r="B30755" i="1"/>
  <c r="B30756" i="1"/>
  <c r="B30757" i="1"/>
  <c r="B30758" i="1"/>
  <c r="B30759" i="1"/>
  <c r="B30760" i="1"/>
  <c r="B30761" i="1"/>
  <c r="B30762" i="1"/>
  <c r="B30763" i="1"/>
  <c r="B30764" i="1"/>
  <c r="B30765" i="1"/>
  <c r="B30766" i="1"/>
  <c r="B30767" i="1"/>
  <c r="B30768" i="1"/>
  <c r="B30769" i="1"/>
  <c r="B30770" i="1"/>
  <c r="B30771" i="1"/>
  <c r="B30772" i="1"/>
  <c r="B30773" i="1"/>
  <c r="B30774" i="1"/>
  <c r="B30775" i="1"/>
  <c r="B30776" i="1"/>
  <c r="B30777" i="1"/>
  <c r="B30778" i="1"/>
  <c r="B30779" i="1"/>
  <c r="B30780" i="1"/>
  <c r="B30781" i="1"/>
  <c r="B30782" i="1"/>
  <c r="B30783" i="1"/>
  <c r="B30784" i="1"/>
  <c r="B30785" i="1"/>
  <c r="B30786" i="1"/>
  <c r="B30787" i="1"/>
  <c r="B30788" i="1"/>
  <c r="B30789" i="1"/>
  <c r="B30790" i="1"/>
  <c r="B30791" i="1"/>
  <c r="B30792" i="1"/>
  <c r="B30793" i="1"/>
  <c r="B30794" i="1"/>
  <c r="B30795" i="1"/>
  <c r="B30796" i="1"/>
  <c r="B30797" i="1"/>
  <c r="B30798" i="1"/>
  <c r="B30799" i="1"/>
  <c r="B30800" i="1"/>
  <c r="B30801" i="1"/>
  <c r="B30802" i="1"/>
  <c r="B30803" i="1"/>
  <c r="B30804" i="1"/>
  <c r="B30805" i="1"/>
  <c r="B30806" i="1"/>
  <c r="B30807" i="1"/>
  <c r="B30808" i="1"/>
  <c r="B30809" i="1"/>
  <c r="B30810" i="1"/>
  <c r="B30811" i="1"/>
  <c r="B30812" i="1"/>
  <c r="B30813" i="1"/>
  <c r="B30814" i="1"/>
  <c r="B30815" i="1"/>
  <c r="B30816" i="1"/>
  <c r="B30817" i="1"/>
  <c r="B30818" i="1"/>
  <c r="B30819" i="1"/>
  <c r="B30820" i="1"/>
  <c r="B30821" i="1"/>
  <c r="B30822" i="1"/>
  <c r="B30823" i="1"/>
  <c r="B30824" i="1"/>
  <c r="B30825" i="1"/>
  <c r="B30826" i="1"/>
  <c r="B30827" i="1"/>
  <c r="B30828" i="1"/>
  <c r="B30829" i="1"/>
  <c r="B30830" i="1"/>
  <c r="B30831" i="1"/>
  <c r="B30832" i="1"/>
  <c r="B30833" i="1"/>
  <c r="B30834" i="1"/>
  <c r="B30835" i="1"/>
  <c r="B30836" i="1"/>
  <c r="B30837" i="1"/>
  <c r="B30838" i="1"/>
  <c r="B30839" i="1"/>
  <c r="B30840" i="1"/>
  <c r="B30841" i="1"/>
  <c r="B30842" i="1"/>
  <c r="B30843" i="1"/>
  <c r="B30844" i="1"/>
  <c r="B30845" i="1"/>
  <c r="B30846" i="1"/>
  <c r="B30847" i="1"/>
  <c r="B30848" i="1"/>
  <c r="B30849" i="1"/>
  <c r="B30850" i="1"/>
  <c r="B30851" i="1"/>
  <c r="B30852" i="1"/>
  <c r="B30853" i="1"/>
  <c r="B30854" i="1"/>
  <c r="B30855" i="1"/>
  <c r="B30856" i="1"/>
  <c r="B30857" i="1"/>
  <c r="B30858" i="1"/>
  <c r="B30859" i="1"/>
  <c r="B30860" i="1"/>
  <c r="B30861" i="1"/>
  <c r="B30862" i="1"/>
  <c r="B30863" i="1"/>
  <c r="B30864" i="1"/>
  <c r="B30865" i="1"/>
  <c r="B30866" i="1"/>
  <c r="B30867" i="1"/>
  <c r="B30868" i="1"/>
  <c r="B30869" i="1"/>
  <c r="B30870" i="1"/>
  <c r="B30871" i="1"/>
  <c r="B30872" i="1"/>
  <c r="B30873" i="1"/>
  <c r="B30874" i="1"/>
  <c r="B30875" i="1"/>
  <c r="B30876" i="1"/>
  <c r="B30877" i="1"/>
  <c r="B30878" i="1"/>
  <c r="B30879" i="1"/>
  <c r="B30880" i="1"/>
  <c r="B30881" i="1"/>
  <c r="B30882" i="1"/>
  <c r="B30883" i="1"/>
  <c r="B30884" i="1"/>
  <c r="B30885" i="1"/>
  <c r="B30886" i="1"/>
  <c r="B30887" i="1"/>
  <c r="B30888" i="1"/>
  <c r="B30889" i="1"/>
  <c r="B30890" i="1"/>
  <c r="B30891" i="1"/>
  <c r="B30892" i="1"/>
  <c r="B30893" i="1"/>
  <c r="B30894" i="1"/>
  <c r="B30895" i="1"/>
  <c r="B30896" i="1"/>
  <c r="B30897" i="1"/>
  <c r="B30898" i="1"/>
  <c r="B30899" i="1"/>
  <c r="B30900" i="1"/>
  <c r="B30901" i="1"/>
  <c r="B30902" i="1"/>
  <c r="B30903" i="1"/>
  <c r="B30904" i="1"/>
  <c r="B30905" i="1"/>
  <c r="B30906" i="1"/>
  <c r="B30907" i="1"/>
  <c r="B30908" i="1"/>
  <c r="B30909" i="1"/>
  <c r="B30910" i="1"/>
  <c r="B30911" i="1"/>
  <c r="B30912" i="1"/>
  <c r="B30913" i="1"/>
  <c r="B30914" i="1"/>
  <c r="B30915" i="1"/>
  <c r="B30916" i="1"/>
  <c r="B30917" i="1"/>
  <c r="B30918" i="1"/>
  <c r="B30919" i="1"/>
  <c r="B30920" i="1"/>
  <c r="B30921" i="1"/>
  <c r="B30922" i="1"/>
  <c r="B30923" i="1"/>
  <c r="B30924" i="1"/>
  <c r="B30925" i="1"/>
  <c r="B30926" i="1"/>
  <c r="B30927" i="1"/>
  <c r="B30928" i="1"/>
  <c r="B30929" i="1"/>
  <c r="B30930" i="1"/>
  <c r="B30931" i="1"/>
  <c r="B30932" i="1"/>
  <c r="B30933" i="1"/>
  <c r="B30934" i="1"/>
  <c r="B30935" i="1"/>
  <c r="B30936" i="1"/>
  <c r="B30937" i="1"/>
  <c r="B30938" i="1"/>
  <c r="B30939" i="1"/>
  <c r="B30940" i="1"/>
  <c r="B30941" i="1"/>
  <c r="B30942" i="1"/>
  <c r="B30943" i="1"/>
  <c r="B30944" i="1"/>
  <c r="B30945" i="1"/>
  <c r="B30946" i="1"/>
  <c r="B30947" i="1"/>
  <c r="B30948" i="1"/>
  <c r="B30949" i="1"/>
  <c r="B30950" i="1"/>
  <c r="B30951" i="1"/>
  <c r="B30952" i="1"/>
  <c r="B30953" i="1"/>
  <c r="B30954" i="1"/>
  <c r="B30955" i="1"/>
  <c r="B30956" i="1"/>
  <c r="B30957" i="1"/>
  <c r="B30958" i="1"/>
  <c r="B30959" i="1"/>
  <c r="B30960" i="1"/>
  <c r="B30961" i="1"/>
  <c r="B30962" i="1"/>
  <c r="B30963" i="1"/>
  <c r="B30964" i="1"/>
  <c r="B30965" i="1"/>
  <c r="B30966" i="1"/>
  <c r="B30967" i="1"/>
  <c r="B30968" i="1"/>
  <c r="B30969" i="1"/>
  <c r="B30970" i="1"/>
  <c r="B30971" i="1"/>
  <c r="B30972" i="1"/>
  <c r="B30973" i="1"/>
  <c r="B30974" i="1"/>
  <c r="B30975" i="1"/>
  <c r="B30976" i="1"/>
  <c r="B30977" i="1"/>
  <c r="B30978" i="1"/>
  <c r="B30979" i="1"/>
  <c r="B30980" i="1"/>
  <c r="B30981" i="1"/>
  <c r="B30982" i="1"/>
  <c r="B30983" i="1"/>
  <c r="B30984" i="1"/>
  <c r="B30985" i="1"/>
  <c r="B30986" i="1"/>
  <c r="B30987" i="1"/>
  <c r="B30988" i="1"/>
  <c r="B30989" i="1"/>
  <c r="B30990" i="1"/>
  <c r="B30991" i="1"/>
  <c r="B30992" i="1"/>
  <c r="B30993" i="1"/>
  <c r="B30994" i="1"/>
  <c r="B30995" i="1"/>
  <c r="B30996" i="1"/>
  <c r="B30997" i="1"/>
  <c r="B30998" i="1"/>
  <c r="B30999" i="1"/>
  <c r="B31000" i="1"/>
  <c r="B31001" i="1"/>
  <c r="B31002" i="1"/>
  <c r="B31003" i="1"/>
  <c r="B31004" i="1"/>
  <c r="B31005" i="1"/>
  <c r="B31006" i="1"/>
  <c r="B31007" i="1"/>
  <c r="B31008" i="1"/>
  <c r="B31009" i="1"/>
  <c r="B31010" i="1"/>
  <c r="B31011" i="1"/>
  <c r="B31012" i="1"/>
  <c r="B31013" i="1"/>
  <c r="B31014" i="1"/>
  <c r="B31015" i="1"/>
  <c r="B31016" i="1"/>
  <c r="B31017" i="1"/>
  <c r="B31018" i="1"/>
  <c r="B31019" i="1"/>
  <c r="B31020" i="1"/>
  <c r="B31021" i="1"/>
  <c r="B31022" i="1"/>
  <c r="B31023" i="1"/>
  <c r="B31024" i="1"/>
  <c r="B31025" i="1"/>
  <c r="B31026" i="1"/>
  <c r="B31027" i="1"/>
  <c r="B31028" i="1"/>
  <c r="B31029" i="1"/>
  <c r="B31030" i="1"/>
  <c r="B31031" i="1"/>
  <c r="B31032" i="1"/>
  <c r="B31033" i="1"/>
  <c r="B31034" i="1"/>
  <c r="B31035" i="1"/>
  <c r="B31036" i="1"/>
  <c r="B31037" i="1"/>
  <c r="B31038" i="1"/>
  <c r="B31039" i="1"/>
  <c r="B31040" i="1"/>
  <c r="B31041" i="1"/>
  <c r="B31042" i="1"/>
  <c r="B31043" i="1"/>
  <c r="B31044" i="1"/>
  <c r="B31045" i="1"/>
  <c r="B31046" i="1"/>
  <c r="B31047" i="1"/>
  <c r="B31048" i="1"/>
  <c r="B31049" i="1"/>
  <c r="B31050" i="1"/>
  <c r="B31051" i="1"/>
  <c r="B31052" i="1"/>
  <c r="B31053" i="1"/>
  <c r="B31054" i="1"/>
  <c r="B31055" i="1"/>
  <c r="B31056" i="1"/>
  <c r="B31057" i="1"/>
  <c r="B31058" i="1"/>
  <c r="B31059" i="1"/>
  <c r="B31060" i="1"/>
  <c r="B31061" i="1"/>
  <c r="B31062" i="1"/>
  <c r="B31063" i="1"/>
  <c r="B31064" i="1"/>
  <c r="B31065" i="1"/>
  <c r="B31066" i="1"/>
  <c r="B31067" i="1"/>
  <c r="B31068" i="1"/>
  <c r="B31069" i="1"/>
  <c r="B31070" i="1"/>
  <c r="B31071" i="1"/>
  <c r="B31072" i="1"/>
  <c r="B31073" i="1"/>
  <c r="B31074" i="1"/>
  <c r="B31075" i="1"/>
  <c r="B31076" i="1"/>
  <c r="B31077" i="1"/>
  <c r="B31078" i="1"/>
  <c r="B31079" i="1"/>
  <c r="B31080" i="1"/>
  <c r="B31081" i="1"/>
  <c r="B31082" i="1"/>
  <c r="B31083" i="1"/>
  <c r="B31084" i="1"/>
  <c r="B31085" i="1"/>
  <c r="B31086" i="1"/>
  <c r="B31087" i="1"/>
  <c r="B31088" i="1"/>
  <c r="B31089" i="1"/>
  <c r="B31090" i="1"/>
  <c r="B31091" i="1"/>
  <c r="B31092" i="1"/>
  <c r="B31093" i="1"/>
  <c r="B31094" i="1"/>
  <c r="B31095" i="1"/>
  <c r="B31096" i="1"/>
  <c r="B31097" i="1"/>
  <c r="B31098" i="1"/>
  <c r="B31099" i="1"/>
  <c r="B31100" i="1"/>
  <c r="B31101" i="1"/>
  <c r="B31102" i="1"/>
  <c r="B31103" i="1"/>
  <c r="B31104" i="1"/>
  <c r="B31105" i="1"/>
  <c r="B31106" i="1"/>
  <c r="B31107" i="1"/>
  <c r="B31108" i="1"/>
  <c r="B31109" i="1"/>
  <c r="B31110" i="1"/>
  <c r="B31111" i="1"/>
  <c r="B31112" i="1"/>
  <c r="B31113" i="1"/>
  <c r="B31114" i="1"/>
  <c r="B31115" i="1"/>
  <c r="B31116" i="1"/>
  <c r="B31117" i="1"/>
  <c r="B31118" i="1"/>
  <c r="B31119" i="1"/>
  <c r="B31120" i="1"/>
  <c r="B31121" i="1"/>
  <c r="B31122" i="1"/>
  <c r="B31123" i="1"/>
  <c r="B31124" i="1"/>
  <c r="B31125" i="1"/>
  <c r="B31126" i="1"/>
  <c r="B31127" i="1"/>
  <c r="B31128" i="1"/>
  <c r="B31129" i="1"/>
  <c r="B31130" i="1"/>
  <c r="B31131" i="1"/>
  <c r="B31132" i="1"/>
  <c r="B31133" i="1"/>
  <c r="B31134" i="1"/>
  <c r="B31135" i="1"/>
  <c r="B31136" i="1"/>
  <c r="B31137" i="1"/>
  <c r="B31138" i="1"/>
  <c r="B31139" i="1"/>
  <c r="B31140" i="1"/>
  <c r="B31141" i="1"/>
  <c r="B31142" i="1"/>
  <c r="B31143" i="1"/>
  <c r="B31144" i="1"/>
  <c r="B31145" i="1"/>
  <c r="B31146" i="1"/>
  <c r="B31147" i="1"/>
  <c r="B31148" i="1"/>
  <c r="B31149" i="1"/>
  <c r="B31150" i="1"/>
  <c r="B31151" i="1"/>
  <c r="B31152" i="1"/>
  <c r="B31153" i="1"/>
  <c r="B31154" i="1"/>
  <c r="B31155" i="1"/>
  <c r="B31156" i="1"/>
  <c r="B31157" i="1"/>
  <c r="B31158" i="1"/>
  <c r="B31159" i="1"/>
  <c r="B31160" i="1"/>
  <c r="B31161" i="1"/>
  <c r="B31162" i="1"/>
  <c r="B31163" i="1"/>
  <c r="B31164" i="1"/>
  <c r="B31165" i="1"/>
  <c r="B31166" i="1"/>
  <c r="B31167" i="1"/>
  <c r="B31168" i="1"/>
  <c r="B31169" i="1"/>
  <c r="B31170" i="1"/>
  <c r="B31171" i="1"/>
  <c r="B31172" i="1"/>
  <c r="B31173" i="1"/>
  <c r="B31174" i="1"/>
  <c r="B31175" i="1"/>
  <c r="B31176" i="1"/>
  <c r="B31177" i="1"/>
  <c r="B31178" i="1"/>
  <c r="B31179" i="1"/>
  <c r="B31180" i="1"/>
  <c r="B31181" i="1"/>
  <c r="B31182" i="1"/>
  <c r="B31183" i="1"/>
  <c r="B31184" i="1"/>
  <c r="B31185" i="1"/>
  <c r="B31186" i="1"/>
  <c r="B31187" i="1"/>
  <c r="B31188" i="1"/>
  <c r="B31189" i="1"/>
  <c r="B31190" i="1"/>
  <c r="B31191" i="1"/>
  <c r="B31192" i="1"/>
  <c r="B31193" i="1"/>
  <c r="B31194" i="1"/>
  <c r="B31195" i="1"/>
  <c r="B31196" i="1"/>
  <c r="B31197" i="1"/>
  <c r="B31198" i="1"/>
  <c r="B31199" i="1"/>
  <c r="B31200" i="1"/>
  <c r="B31201" i="1"/>
  <c r="B31202" i="1"/>
  <c r="B31203" i="1"/>
  <c r="B31204" i="1"/>
  <c r="B31205" i="1"/>
  <c r="B31206" i="1"/>
  <c r="B31207" i="1"/>
  <c r="B31208" i="1"/>
  <c r="B31209" i="1"/>
  <c r="B31210" i="1"/>
  <c r="B31211" i="1"/>
  <c r="B31212" i="1"/>
  <c r="B31213" i="1"/>
  <c r="B31214" i="1"/>
  <c r="B31215" i="1"/>
  <c r="B31216" i="1"/>
  <c r="B31217" i="1"/>
  <c r="B31218" i="1"/>
  <c r="B31219" i="1"/>
  <c r="B31220" i="1"/>
  <c r="B31221" i="1"/>
  <c r="B31222" i="1"/>
  <c r="B31223" i="1"/>
  <c r="B31224" i="1"/>
  <c r="B31225" i="1"/>
  <c r="B31226" i="1"/>
  <c r="B31227" i="1"/>
  <c r="B31228" i="1"/>
  <c r="B31229" i="1"/>
  <c r="B31230" i="1"/>
  <c r="B31231" i="1"/>
  <c r="B31232" i="1"/>
  <c r="B31233" i="1"/>
  <c r="B31234" i="1"/>
  <c r="B31235" i="1"/>
  <c r="B31236" i="1"/>
  <c r="B31237" i="1"/>
  <c r="B31238" i="1"/>
  <c r="B31239" i="1"/>
  <c r="B31240" i="1"/>
  <c r="B31241" i="1"/>
  <c r="B31242" i="1"/>
  <c r="B31243" i="1"/>
  <c r="B31244" i="1"/>
  <c r="B31245" i="1"/>
  <c r="B31246" i="1"/>
  <c r="B31247" i="1"/>
  <c r="B31248" i="1"/>
  <c r="B31249" i="1"/>
  <c r="B31250" i="1"/>
  <c r="B31251" i="1"/>
  <c r="B31252" i="1"/>
  <c r="B31253" i="1"/>
  <c r="B31254" i="1"/>
  <c r="B31255" i="1"/>
  <c r="B31256" i="1"/>
  <c r="B31257" i="1"/>
  <c r="B31258" i="1"/>
  <c r="B31259" i="1"/>
  <c r="B31260" i="1"/>
  <c r="B31261" i="1"/>
  <c r="B31262" i="1"/>
  <c r="B31263" i="1"/>
  <c r="B31264" i="1"/>
  <c r="B31265" i="1"/>
  <c r="B31266" i="1"/>
  <c r="B31267" i="1"/>
  <c r="B31268" i="1"/>
  <c r="B31269" i="1"/>
  <c r="B31270" i="1"/>
  <c r="B31271" i="1"/>
  <c r="B31272" i="1"/>
  <c r="B31273" i="1"/>
  <c r="B31274" i="1"/>
  <c r="B31275" i="1"/>
  <c r="B31276" i="1"/>
  <c r="B31277" i="1"/>
  <c r="B31278" i="1"/>
  <c r="B31279" i="1"/>
  <c r="B31280" i="1"/>
  <c r="B31281" i="1"/>
  <c r="B31282" i="1"/>
  <c r="B31283" i="1"/>
  <c r="B31284" i="1"/>
  <c r="B31285" i="1"/>
  <c r="B31286" i="1"/>
  <c r="B31287" i="1"/>
  <c r="B31288" i="1"/>
  <c r="B31289" i="1"/>
  <c r="B31290" i="1"/>
  <c r="B31291" i="1"/>
  <c r="B31292" i="1"/>
  <c r="B31293" i="1"/>
  <c r="B31294" i="1"/>
  <c r="B31295" i="1"/>
  <c r="B31296" i="1"/>
  <c r="B31297" i="1"/>
  <c r="B31298" i="1"/>
  <c r="B31299" i="1"/>
  <c r="B31300" i="1"/>
  <c r="B31301" i="1"/>
  <c r="B31302" i="1"/>
  <c r="B31303" i="1"/>
  <c r="B31304" i="1"/>
  <c r="B31305" i="1"/>
  <c r="B31306" i="1"/>
  <c r="B31307" i="1"/>
  <c r="B31308" i="1"/>
  <c r="B31309" i="1"/>
  <c r="B31310" i="1"/>
  <c r="B31311" i="1"/>
  <c r="B31312" i="1"/>
  <c r="B31313" i="1"/>
  <c r="B31314" i="1"/>
  <c r="B31315" i="1"/>
  <c r="B31316" i="1"/>
  <c r="B31317" i="1"/>
  <c r="B31318" i="1"/>
  <c r="B31319" i="1"/>
  <c r="B31320" i="1"/>
  <c r="B31321" i="1"/>
  <c r="B31322" i="1"/>
  <c r="B31323" i="1"/>
  <c r="B31324" i="1"/>
  <c r="B31325" i="1"/>
  <c r="B31326" i="1"/>
  <c r="B31327" i="1"/>
  <c r="B31328" i="1"/>
  <c r="B31329" i="1"/>
  <c r="B31330" i="1"/>
  <c r="B31331" i="1"/>
  <c r="B31332" i="1"/>
  <c r="B31333" i="1"/>
  <c r="B31334" i="1"/>
  <c r="B31335" i="1"/>
  <c r="B31336" i="1"/>
  <c r="B31337" i="1"/>
  <c r="B31338" i="1"/>
  <c r="B31339" i="1"/>
  <c r="B31340" i="1"/>
  <c r="B31341" i="1"/>
  <c r="B31342" i="1"/>
  <c r="B31343" i="1"/>
  <c r="B31344" i="1"/>
  <c r="B31345" i="1"/>
  <c r="B31346" i="1"/>
  <c r="B31347" i="1"/>
  <c r="B31348" i="1"/>
  <c r="B31349" i="1"/>
  <c r="B31350" i="1"/>
  <c r="B31351" i="1"/>
  <c r="B31352" i="1"/>
  <c r="B31353" i="1"/>
  <c r="B31354" i="1"/>
  <c r="B31355" i="1"/>
  <c r="B31356" i="1"/>
  <c r="B31357" i="1"/>
  <c r="B31358" i="1"/>
  <c r="B31359" i="1"/>
  <c r="B31360" i="1"/>
  <c r="B31361" i="1"/>
  <c r="B31362" i="1"/>
  <c r="B31363" i="1"/>
  <c r="B31364" i="1"/>
  <c r="B31365" i="1"/>
  <c r="B31366" i="1"/>
  <c r="B31367" i="1"/>
  <c r="B31368" i="1"/>
  <c r="B31369" i="1"/>
  <c r="B31370" i="1"/>
  <c r="B31371" i="1"/>
  <c r="B31372" i="1"/>
  <c r="B31373" i="1"/>
  <c r="B31374" i="1"/>
  <c r="B31375" i="1"/>
  <c r="B31376" i="1"/>
  <c r="B31377" i="1"/>
  <c r="B31378" i="1"/>
  <c r="B31379" i="1"/>
  <c r="B31380" i="1"/>
  <c r="B31381" i="1"/>
  <c r="B31382" i="1"/>
  <c r="B31383" i="1"/>
  <c r="B31384" i="1"/>
  <c r="B31385" i="1"/>
  <c r="B31386" i="1"/>
  <c r="B31387" i="1"/>
  <c r="B31388" i="1"/>
  <c r="B31389" i="1"/>
  <c r="B31390" i="1"/>
  <c r="B31391" i="1"/>
  <c r="B31392" i="1"/>
  <c r="B31393" i="1"/>
  <c r="B31394" i="1"/>
  <c r="B31395" i="1"/>
  <c r="B31396" i="1"/>
  <c r="B31397" i="1"/>
  <c r="B31398" i="1"/>
  <c r="B31399" i="1"/>
  <c r="B31400" i="1"/>
  <c r="B31401" i="1"/>
  <c r="B31402" i="1"/>
  <c r="B31403" i="1"/>
  <c r="B31404" i="1"/>
  <c r="B31405" i="1"/>
  <c r="B31406" i="1"/>
  <c r="B31407" i="1"/>
  <c r="B31408" i="1"/>
  <c r="B31409" i="1"/>
  <c r="B31410" i="1"/>
  <c r="B31411" i="1"/>
  <c r="B31412" i="1"/>
  <c r="B31413" i="1"/>
  <c r="B31414" i="1"/>
  <c r="B31415" i="1"/>
  <c r="B31416" i="1"/>
  <c r="B31417" i="1"/>
  <c r="B31418" i="1"/>
  <c r="B31419" i="1"/>
  <c r="B31420" i="1"/>
  <c r="B31421" i="1"/>
  <c r="B31422" i="1"/>
  <c r="B31423" i="1"/>
  <c r="B31424" i="1"/>
  <c r="B31425" i="1"/>
  <c r="B31426" i="1"/>
  <c r="B31427" i="1"/>
  <c r="B31428" i="1"/>
  <c r="B31429" i="1"/>
  <c r="B31430" i="1"/>
  <c r="B31431" i="1"/>
  <c r="B31432" i="1"/>
  <c r="B31433" i="1"/>
  <c r="B31434" i="1"/>
  <c r="B31435" i="1"/>
  <c r="B31436" i="1"/>
  <c r="B31437" i="1"/>
  <c r="B31438" i="1"/>
  <c r="B31439" i="1"/>
  <c r="B31440" i="1"/>
  <c r="B31441" i="1"/>
  <c r="B31442" i="1"/>
  <c r="B31443" i="1"/>
  <c r="B31444" i="1"/>
  <c r="B31445" i="1"/>
  <c r="B31446" i="1"/>
  <c r="B31447" i="1"/>
  <c r="B31448" i="1"/>
  <c r="B31449" i="1"/>
  <c r="B31450" i="1"/>
  <c r="B31451" i="1"/>
  <c r="B31452" i="1"/>
  <c r="B31453" i="1"/>
  <c r="B31454" i="1"/>
  <c r="B31455" i="1"/>
  <c r="B31456" i="1"/>
  <c r="B31457" i="1"/>
  <c r="B31458" i="1"/>
  <c r="B31459" i="1"/>
  <c r="B31460" i="1"/>
  <c r="B31461" i="1"/>
  <c r="B31462" i="1"/>
  <c r="B31463" i="1"/>
  <c r="B31464" i="1"/>
  <c r="B31465" i="1"/>
  <c r="B31466" i="1"/>
  <c r="B31467" i="1"/>
  <c r="B31468" i="1"/>
  <c r="B31469" i="1"/>
  <c r="B31470" i="1"/>
  <c r="B31471" i="1"/>
  <c r="B31472" i="1"/>
  <c r="B31473" i="1"/>
  <c r="B31474" i="1"/>
  <c r="B31475" i="1"/>
  <c r="B31476" i="1"/>
  <c r="B31477" i="1"/>
  <c r="B31478" i="1"/>
  <c r="B31479" i="1"/>
  <c r="B31480" i="1"/>
  <c r="B31481" i="1"/>
  <c r="B31482" i="1"/>
  <c r="B31483" i="1"/>
  <c r="B31484" i="1"/>
  <c r="B31485" i="1"/>
  <c r="B31486" i="1"/>
  <c r="B31487" i="1"/>
  <c r="B31488" i="1"/>
  <c r="B31489" i="1"/>
  <c r="B31490" i="1"/>
  <c r="B31491" i="1"/>
  <c r="B31492" i="1"/>
  <c r="B31493" i="1"/>
  <c r="B31494" i="1"/>
  <c r="B31495" i="1"/>
  <c r="B31496" i="1"/>
  <c r="B31497" i="1"/>
  <c r="B31498" i="1"/>
  <c r="B31499" i="1"/>
  <c r="B31500" i="1"/>
  <c r="B31501" i="1"/>
  <c r="B31502" i="1"/>
  <c r="B31503" i="1"/>
  <c r="B31504" i="1"/>
  <c r="B31505" i="1"/>
  <c r="B31506" i="1"/>
  <c r="B31507" i="1"/>
  <c r="B31508" i="1"/>
  <c r="B31509" i="1"/>
  <c r="B31510" i="1"/>
  <c r="B31511" i="1"/>
  <c r="B31512" i="1"/>
  <c r="B31513" i="1"/>
  <c r="B31514" i="1"/>
  <c r="B31515" i="1"/>
  <c r="B31516" i="1"/>
  <c r="B31517" i="1"/>
  <c r="B31518" i="1"/>
  <c r="B31519" i="1"/>
  <c r="B31520" i="1"/>
  <c r="B31521" i="1"/>
  <c r="B31522" i="1"/>
  <c r="B31523" i="1"/>
  <c r="B31524" i="1"/>
  <c r="B31525" i="1"/>
  <c r="B31526" i="1"/>
  <c r="B31527" i="1"/>
  <c r="B31528" i="1"/>
  <c r="B31529" i="1"/>
  <c r="B31530" i="1"/>
  <c r="B31531" i="1"/>
  <c r="B31532" i="1"/>
  <c r="B31533" i="1"/>
  <c r="B31534" i="1"/>
  <c r="B31535" i="1"/>
  <c r="B31536" i="1"/>
  <c r="B31537" i="1"/>
  <c r="B31538" i="1"/>
  <c r="B31539" i="1"/>
  <c r="B31540" i="1"/>
  <c r="B31541" i="1"/>
  <c r="B31542" i="1"/>
  <c r="B31543" i="1"/>
  <c r="B31544" i="1"/>
  <c r="B31545" i="1"/>
  <c r="B31546" i="1"/>
  <c r="B31547" i="1"/>
  <c r="B31548" i="1"/>
  <c r="B31549" i="1"/>
  <c r="B31550" i="1"/>
  <c r="B31551" i="1"/>
  <c r="B31552" i="1"/>
  <c r="B31553" i="1"/>
  <c r="B31554" i="1"/>
  <c r="B31555" i="1"/>
  <c r="B31556" i="1"/>
  <c r="B31557" i="1"/>
  <c r="B31558" i="1"/>
  <c r="B31559" i="1"/>
  <c r="B31560" i="1"/>
  <c r="B31561" i="1"/>
  <c r="B31562" i="1"/>
  <c r="B31563" i="1"/>
  <c r="B31564" i="1"/>
  <c r="B31565" i="1"/>
  <c r="B31566" i="1"/>
  <c r="B31567" i="1"/>
  <c r="B31568" i="1"/>
  <c r="B31569" i="1"/>
  <c r="B31570" i="1"/>
  <c r="B31571" i="1"/>
  <c r="B31572" i="1"/>
  <c r="B31573" i="1"/>
  <c r="B31574" i="1"/>
  <c r="B31575" i="1"/>
  <c r="B31576" i="1"/>
  <c r="B31577" i="1"/>
  <c r="B31578" i="1"/>
  <c r="B31579" i="1"/>
  <c r="B31580" i="1"/>
  <c r="B31581" i="1"/>
  <c r="B31582" i="1"/>
  <c r="B31583" i="1"/>
  <c r="B31584" i="1"/>
  <c r="B31585" i="1"/>
  <c r="B31586" i="1"/>
  <c r="B31587" i="1"/>
  <c r="B31588" i="1"/>
  <c r="B31589" i="1"/>
  <c r="B31590" i="1"/>
  <c r="B31591" i="1"/>
  <c r="B31592" i="1"/>
  <c r="B31593" i="1"/>
  <c r="B31594" i="1"/>
  <c r="B31595" i="1"/>
  <c r="B31596" i="1"/>
  <c r="B31597" i="1"/>
  <c r="B31598" i="1"/>
  <c r="B31599" i="1"/>
  <c r="B31600" i="1"/>
  <c r="B31601" i="1"/>
  <c r="B31602" i="1"/>
  <c r="B31603" i="1"/>
  <c r="B31604" i="1"/>
  <c r="B31605" i="1"/>
  <c r="B31606" i="1"/>
  <c r="B31607" i="1"/>
  <c r="B31608" i="1"/>
  <c r="B31609" i="1"/>
  <c r="B31610" i="1"/>
  <c r="B31611" i="1"/>
  <c r="B31612" i="1"/>
  <c r="B31613" i="1"/>
  <c r="B31614" i="1"/>
  <c r="B31615" i="1"/>
  <c r="B31616" i="1"/>
  <c r="B31617" i="1"/>
  <c r="B31618" i="1"/>
  <c r="B31619" i="1"/>
  <c r="B31620" i="1"/>
  <c r="B31621" i="1"/>
  <c r="B31622" i="1"/>
  <c r="B31623" i="1"/>
  <c r="B31624" i="1"/>
  <c r="B31625" i="1"/>
  <c r="B31626" i="1"/>
  <c r="B31627" i="1"/>
  <c r="B31628" i="1"/>
  <c r="B31629" i="1"/>
  <c r="B31630" i="1"/>
  <c r="B31631" i="1"/>
  <c r="B31632" i="1"/>
  <c r="B31633" i="1"/>
  <c r="B31634" i="1"/>
  <c r="B31635" i="1"/>
  <c r="B31636" i="1"/>
  <c r="B31637" i="1"/>
  <c r="B31638" i="1"/>
  <c r="B31639" i="1"/>
  <c r="B31640" i="1"/>
  <c r="B31641" i="1"/>
  <c r="B31642" i="1"/>
  <c r="B31643" i="1"/>
  <c r="B31644" i="1"/>
  <c r="B31645" i="1"/>
  <c r="B31646" i="1"/>
  <c r="B31647" i="1"/>
  <c r="B31648" i="1"/>
  <c r="B31649" i="1"/>
  <c r="B31650" i="1"/>
  <c r="B31651" i="1"/>
  <c r="B31652" i="1"/>
  <c r="B31653" i="1"/>
  <c r="B31654" i="1"/>
  <c r="B31655" i="1"/>
  <c r="B31656" i="1"/>
  <c r="B31657" i="1"/>
  <c r="B31658" i="1"/>
  <c r="B31659" i="1"/>
  <c r="B31660" i="1"/>
  <c r="B31661" i="1"/>
  <c r="B31662" i="1"/>
  <c r="B31663" i="1"/>
  <c r="B31664" i="1"/>
  <c r="B31665" i="1"/>
  <c r="B31666" i="1"/>
  <c r="B31667" i="1"/>
  <c r="B31668" i="1"/>
  <c r="B31669" i="1"/>
  <c r="B31670" i="1"/>
  <c r="B31671" i="1"/>
  <c r="B31672" i="1"/>
  <c r="B31673" i="1"/>
  <c r="B31674" i="1"/>
  <c r="B31675" i="1"/>
  <c r="B31676" i="1"/>
  <c r="B31677" i="1"/>
  <c r="B31678" i="1"/>
  <c r="B31679" i="1"/>
  <c r="B31680" i="1"/>
  <c r="B31681" i="1"/>
  <c r="B31682" i="1"/>
  <c r="B31683" i="1"/>
  <c r="B31684" i="1"/>
  <c r="B31685" i="1"/>
  <c r="B31686" i="1"/>
  <c r="B31687" i="1"/>
  <c r="B31688" i="1"/>
  <c r="B31689" i="1"/>
  <c r="B31690" i="1"/>
  <c r="B31691" i="1"/>
  <c r="B31692" i="1"/>
  <c r="B31693" i="1"/>
  <c r="B31694" i="1"/>
  <c r="B31695" i="1"/>
  <c r="B31696" i="1"/>
  <c r="B31697" i="1"/>
  <c r="B31698" i="1"/>
  <c r="B31699" i="1"/>
  <c r="B31700" i="1"/>
  <c r="B31701" i="1"/>
  <c r="B31702" i="1"/>
  <c r="B31703" i="1"/>
  <c r="B31704" i="1"/>
  <c r="B31705" i="1"/>
  <c r="B31706" i="1"/>
  <c r="B31707" i="1"/>
  <c r="B31708" i="1"/>
  <c r="B31709" i="1"/>
  <c r="B31710" i="1"/>
  <c r="B31711" i="1"/>
  <c r="B31712" i="1"/>
  <c r="B31713" i="1"/>
  <c r="B31714" i="1"/>
  <c r="B31715" i="1"/>
  <c r="B31716" i="1"/>
  <c r="B31717" i="1"/>
  <c r="B31718" i="1"/>
  <c r="B31719" i="1"/>
  <c r="B31720" i="1"/>
  <c r="B31721" i="1"/>
  <c r="B31722" i="1"/>
  <c r="B31723" i="1"/>
  <c r="B31724" i="1"/>
  <c r="B31725" i="1"/>
  <c r="B31726" i="1"/>
  <c r="B31727" i="1"/>
  <c r="B31728" i="1"/>
  <c r="B31729" i="1"/>
  <c r="B31730" i="1"/>
  <c r="B31731" i="1"/>
  <c r="B31732" i="1"/>
  <c r="B31733" i="1"/>
  <c r="B31734" i="1"/>
  <c r="B31735" i="1"/>
  <c r="B31736" i="1"/>
  <c r="B31737" i="1"/>
  <c r="B31738" i="1"/>
  <c r="B31739" i="1"/>
  <c r="B31740" i="1"/>
  <c r="B31741" i="1"/>
  <c r="B31742" i="1"/>
  <c r="B31743" i="1"/>
  <c r="B31744" i="1"/>
  <c r="B31745" i="1"/>
  <c r="B31746" i="1"/>
  <c r="B31747" i="1"/>
  <c r="B31748" i="1"/>
  <c r="B31749" i="1"/>
  <c r="B31750" i="1"/>
  <c r="B31751" i="1"/>
  <c r="B31752" i="1"/>
  <c r="B31753" i="1"/>
  <c r="B31754" i="1"/>
  <c r="B31755" i="1"/>
  <c r="B31756" i="1"/>
  <c r="B31757" i="1"/>
  <c r="B31758" i="1"/>
  <c r="B31759" i="1"/>
  <c r="B31760" i="1"/>
  <c r="B31761" i="1"/>
  <c r="B31762" i="1"/>
  <c r="B31763" i="1"/>
  <c r="B31764" i="1"/>
  <c r="B31765" i="1"/>
  <c r="B31766" i="1"/>
  <c r="B31767" i="1"/>
  <c r="B31768" i="1"/>
  <c r="B31769" i="1"/>
  <c r="B31770" i="1"/>
  <c r="B31771" i="1"/>
  <c r="B31772" i="1"/>
  <c r="B31773" i="1"/>
  <c r="B31774" i="1"/>
  <c r="B31775" i="1"/>
  <c r="B31776" i="1"/>
  <c r="B31777" i="1"/>
  <c r="B31778" i="1"/>
  <c r="B31779" i="1"/>
  <c r="B31780" i="1"/>
  <c r="B31781" i="1"/>
  <c r="B31782" i="1"/>
  <c r="B31783" i="1"/>
  <c r="B31784" i="1"/>
  <c r="B31785" i="1"/>
  <c r="B31786" i="1"/>
  <c r="B31787" i="1"/>
  <c r="B31788" i="1"/>
  <c r="B31789" i="1"/>
  <c r="B31790" i="1"/>
  <c r="B31791" i="1"/>
  <c r="B31792" i="1"/>
  <c r="B31793" i="1"/>
  <c r="B31794" i="1"/>
  <c r="B31795" i="1"/>
  <c r="B31796" i="1"/>
  <c r="B31797" i="1"/>
  <c r="B31798" i="1"/>
  <c r="B31799" i="1"/>
  <c r="B31800" i="1"/>
  <c r="B31801" i="1"/>
  <c r="B31802" i="1"/>
  <c r="B31803" i="1"/>
  <c r="B31804" i="1"/>
  <c r="B31805" i="1"/>
  <c r="B31806" i="1"/>
  <c r="B31807" i="1"/>
  <c r="B31808" i="1"/>
  <c r="B31809" i="1"/>
  <c r="B31810" i="1"/>
  <c r="B31811" i="1"/>
  <c r="B31812" i="1"/>
  <c r="B31813" i="1"/>
  <c r="B31814" i="1"/>
  <c r="B31815" i="1"/>
  <c r="B31816" i="1"/>
  <c r="B31817" i="1"/>
  <c r="B31818" i="1"/>
  <c r="B31819" i="1"/>
  <c r="B31820" i="1"/>
  <c r="B31821" i="1"/>
  <c r="B31822" i="1"/>
  <c r="B31823" i="1"/>
  <c r="B31824" i="1"/>
  <c r="B31825" i="1"/>
  <c r="B31826" i="1"/>
  <c r="B31827" i="1"/>
  <c r="B31828" i="1"/>
  <c r="B31829" i="1"/>
  <c r="B31830" i="1"/>
  <c r="B31831" i="1"/>
  <c r="B31832" i="1"/>
  <c r="B31833" i="1"/>
  <c r="B31834" i="1"/>
  <c r="B31835" i="1"/>
  <c r="B31836" i="1"/>
  <c r="B31837" i="1"/>
  <c r="B31838" i="1"/>
  <c r="B31839" i="1"/>
  <c r="B31840" i="1"/>
  <c r="B31841" i="1"/>
  <c r="B31842" i="1"/>
  <c r="B31843" i="1"/>
  <c r="B31844" i="1"/>
  <c r="B31845" i="1"/>
  <c r="B31846" i="1"/>
  <c r="B31847" i="1"/>
  <c r="B31848" i="1"/>
  <c r="B31849" i="1"/>
  <c r="B31850" i="1"/>
  <c r="B31851" i="1"/>
  <c r="B31852" i="1"/>
  <c r="B31853" i="1"/>
  <c r="B31854" i="1"/>
  <c r="B31855" i="1"/>
  <c r="B31856" i="1"/>
  <c r="B31857" i="1"/>
  <c r="B31858" i="1"/>
  <c r="B31859" i="1"/>
  <c r="B31860" i="1"/>
  <c r="B31861" i="1"/>
  <c r="B31862" i="1"/>
  <c r="B31863" i="1"/>
  <c r="B31864" i="1"/>
  <c r="B31865" i="1"/>
  <c r="B31866" i="1"/>
  <c r="B31867" i="1"/>
  <c r="B31868" i="1"/>
  <c r="B31869" i="1"/>
  <c r="B31870" i="1"/>
  <c r="B31871" i="1"/>
  <c r="B31872" i="1"/>
  <c r="B31873" i="1"/>
  <c r="B31874" i="1"/>
  <c r="B31875" i="1"/>
  <c r="B31876" i="1"/>
  <c r="B31877" i="1"/>
  <c r="B31878" i="1"/>
  <c r="B31879" i="1"/>
  <c r="B31880" i="1"/>
  <c r="B31881" i="1"/>
  <c r="B31882" i="1"/>
  <c r="B31883" i="1"/>
  <c r="B31884" i="1"/>
  <c r="B31885" i="1"/>
  <c r="B31886" i="1"/>
  <c r="B31887" i="1"/>
  <c r="B31888" i="1"/>
  <c r="B31889" i="1"/>
  <c r="B31890" i="1"/>
  <c r="B31891" i="1"/>
  <c r="B31892" i="1"/>
  <c r="B31893" i="1"/>
  <c r="B31894" i="1"/>
  <c r="B31895" i="1"/>
  <c r="B31896" i="1"/>
  <c r="B31897" i="1"/>
  <c r="B31898" i="1"/>
  <c r="B31899" i="1"/>
  <c r="B31900" i="1"/>
  <c r="B31901" i="1"/>
  <c r="B31902" i="1"/>
  <c r="B31903" i="1"/>
  <c r="B31904" i="1"/>
  <c r="B31905" i="1"/>
  <c r="B31906" i="1"/>
  <c r="B31907" i="1"/>
  <c r="B31908" i="1"/>
  <c r="B31909" i="1"/>
  <c r="B31910" i="1"/>
  <c r="B31911" i="1"/>
  <c r="B31912" i="1"/>
  <c r="B31913" i="1"/>
  <c r="B31914" i="1"/>
  <c r="B31915" i="1"/>
  <c r="B31916" i="1"/>
  <c r="B31917" i="1"/>
  <c r="B31918" i="1"/>
  <c r="B31919" i="1"/>
  <c r="B31920" i="1"/>
  <c r="B31921" i="1"/>
  <c r="B31922" i="1"/>
  <c r="B31923" i="1"/>
  <c r="B31924" i="1"/>
  <c r="B31925" i="1"/>
  <c r="B31926" i="1"/>
  <c r="B31927" i="1"/>
  <c r="B31928" i="1"/>
  <c r="B31929" i="1"/>
  <c r="B31930" i="1"/>
  <c r="B31931" i="1"/>
  <c r="B31932" i="1"/>
  <c r="B31933" i="1"/>
  <c r="B31934" i="1"/>
  <c r="B31935" i="1"/>
  <c r="B31936" i="1"/>
  <c r="B31937" i="1"/>
  <c r="B31938" i="1"/>
  <c r="B31939" i="1"/>
  <c r="B31940" i="1"/>
  <c r="B31941" i="1"/>
  <c r="B31942" i="1"/>
  <c r="B31943" i="1"/>
  <c r="B31944" i="1"/>
  <c r="B31945" i="1"/>
  <c r="B31946" i="1"/>
  <c r="B31947" i="1"/>
  <c r="B31948" i="1"/>
  <c r="B31949" i="1"/>
  <c r="B31950" i="1"/>
  <c r="B31951" i="1"/>
  <c r="B31952" i="1"/>
  <c r="B31953" i="1"/>
  <c r="B31954" i="1"/>
  <c r="B31955" i="1"/>
  <c r="B31956" i="1"/>
  <c r="B31957" i="1"/>
  <c r="B31958" i="1"/>
  <c r="B31959" i="1"/>
  <c r="B31960" i="1"/>
  <c r="B31961" i="1"/>
  <c r="B31962" i="1"/>
  <c r="B31963" i="1"/>
  <c r="B31964" i="1"/>
  <c r="B31965" i="1"/>
  <c r="B31966" i="1"/>
  <c r="B31967" i="1"/>
  <c r="B31968" i="1"/>
  <c r="B31969" i="1"/>
  <c r="B31970" i="1"/>
  <c r="B31971" i="1"/>
  <c r="B31972" i="1"/>
  <c r="B31973" i="1"/>
  <c r="B31974" i="1"/>
  <c r="B31975" i="1"/>
  <c r="B31976" i="1"/>
  <c r="B31977" i="1"/>
  <c r="B31978" i="1"/>
  <c r="B31979" i="1"/>
  <c r="B31980" i="1"/>
  <c r="B31981" i="1"/>
  <c r="B31982" i="1"/>
  <c r="B31983" i="1"/>
  <c r="B31984" i="1"/>
  <c r="B31985" i="1"/>
  <c r="B31986" i="1"/>
  <c r="B31987" i="1"/>
  <c r="B31988" i="1"/>
  <c r="B31989" i="1"/>
  <c r="B31990" i="1"/>
  <c r="B31991" i="1"/>
  <c r="B31992" i="1"/>
  <c r="B31993" i="1"/>
  <c r="B31994" i="1"/>
  <c r="B31995" i="1"/>
  <c r="B31996" i="1"/>
  <c r="B31997" i="1"/>
  <c r="B31998" i="1"/>
  <c r="B31999" i="1"/>
  <c r="B32000" i="1"/>
  <c r="B32001" i="1"/>
  <c r="B32002" i="1"/>
  <c r="B32003" i="1"/>
  <c r="B32004" i="1"/>
  <c r="B32005" i="1"/>
  <c r="B32006" i="1"/>
  <c r="B32007" i="1"/>
  <c r="B32008" i="1"/>
  <c r="B32009" i="1"/>
  <c r="B32010" i="1"/>
  <c r="B32011" i="1"/>
  <c r="B32012" i="1"/>
  <c r="B32013" i="1"/>
  <c r="B32014" i="1"/>
  <c r="B32015" i="1"/>
  <c r="B32016" i="1"/>
  <c r="B32017" i="1"/>
  <c r="B32018" i="1"/>
  <c r="B32019" i="1"/>
  <c r="B32020" i="1"/>
  <c r="B32021" i="1"/>
  <c r="B32022" i="1"/>
  <c r="B32023" i="1"/>
  <c r="B32024" i="1"/>
  <c r="B32025" i="1"/>
  <c r="B32026" i="1"/>
  <c r="B32027" i="1"/>
  <c r="B32028" i="1"/>
  <c r="B32029" i="1"/>
  <c r="B32030" i="1"/>
  <c r="B32031" i="1"/>
  <c r="B32032" i="1"/>
  <c r="B32033" i="1"/>
  <c r="B32034" i="1"/>
  <c r="B32035" i="1"/>
  <c r="B32036" i="1"/>
  <c r="B32037" i="1"/>
  <c r="B32038" i="1"/>
  <c r="B32039" i="1"/>
  <c r="B32040" i="1"/>
  <c r="B32041" i="1"/>
  <c r="B32042" i="1"/>
  <c r="B32043" i="1"/>
  <c r="B32044" i="1"/>
  <c r="B32045" i="1"/>
  <c r="B32046" i="1"/>
  <c r="B32047" i="1"/>
  <c r="B32048" i="1"/>
  <c r="B32049" i="1"/>
  <c r="B32050" i="1"/>
  <c r="B32051" i="1"/>
  <c r="B32052" i="1"/>
  <c r="B32053" i="1"/>
  <c r="B32054" i="1"/>
  <c r="B32055" i="1"/>
  <c r="B32056" i="1"/>
  <c r="B32057" i="1"/>
  <c r="B32058" i="1"/>
  <c r="B32059" i="1"/>
  <c r="B32060" i="1"/>
  <c r="B32061" i="1"/>
  <c r="B32062" i="1"/>
  <c r="B32063" i="1"/>
  <c r="B32064" i="1"/>
  <c r="B32065" i="1"/>
  <c r="B32066" i="1"/>
  <c r="B32067" i="1"/>
  <c r="B32068" i="1"/>
  <c r="B32069" i="1"/>
  <c r="B32070" i="1"/>
  <c r="B32071" i="1"/>
  <c r="B32072" i="1"/>
  <c r="B32073" i="1"/>
  <c r="B32074" i="1"/>
  <c r="B32075" i="1"/>
  <c r="B32076" i="1"/>
  <c r="B32077" i="1"/>
  <c r="B32078" i="1"/>
  <c r="B32079" i="1"/>
  <c r="B32080" i="1"/>
  <c r="B32081" i="1"/>
  <c r="B32082" i="1"/>
  <c r="B32083" i="1"/>
  <c r="B32084" i="1"/>
  <c r="B32085" i="1"/>
  <c r="B32086" i="1"/>
  <c r="B32087" i="1"/>
  <c r="B32088" i="1"/>
  <c r="B32089" i="1"/>
  <c r="B32090" i="1"/>
  <c r="B32091" i="1"/>
  <c r="B32092" i="1"/>
  <c r="B32093" i="1"/>
  <c r="B32094" i="1"/>
  <c r="B32095" i="1"/>
  <c r="B32096" i="1"/>
  <c r="B32097" i="1"/>
  <c r="B32098" i="1"/>
  <c r="B32099" i="1"/>
  <c r="B32100" i="1"/>
  <c r="B32101" i="1"/>
  <c r="B32102" i="1"/>
  <c r="B32103" i="1"/>
  <c r="B32104" i="1"/>
  <c r="B32105" i="1"/>
  <c r="B32106" i="1"/>
  <c r="B32107" i="1"/>
  <c r="B32108" i="1"/>
  <c r="B32109" i="1"/>
  <c r="B32110" i="1"/>
  <c r="B32111" i="1"/>
  <c r="B32112" i="1"/>
  <c r="B32113" i="1"/>
  <c r="B32114" i="1"/>
  <c r="B32115" i="1"/>
  <c r="B32116" i="1"/>
  <c r="B32117" i="1"/>
  <c r="B32118" i="1"/>
  <c r="B32119" i="1"/>
  <c r="B32120" i="1"/>
  <c r="B32121" i="1"/>
  <c r="B32122" i="1"/>
  <c r="B32123" i="1"/>
  <c r="B32124" i="1"/>
  <c r="B32125" i="1"/>
  <c r="B32126" i="1"/>
  <c r="B32127" i="1"/>
  <c r="B32128" i="1"/>
  <c r="B32129" i="1"/>
  <c r="B32130" i="1"/>
  <c r="B32131" i="1"/>
  <c r="B32132" i="1"/>
  <c r="B32133" i="1"/>
  <c r="B32134" i="1"/>
  <c r="B32135" i="1"/>
  <c r="B32136" i="1"/>
  <c r="B32137" i="1"/>
  <c r="B32138" i="1"/>
  <c r="B32139" i="1"/>
  <c r="B32140" i="1"/>
  <c r="B32141" i="1"/>
  <c r="B32142" i="1"/>
  <c r="B32143" i="1"/>
  <c r="B32144" i="1"/>
  <c r="B32145" i="1"/>
  <c r="B32146" i="1"/>
  <c r="B32147" i="1"/>
  <c r="B32148" i="1"/>
  <c r="B32149" i="1"/>
  <c r="B32150" i="1"/>
  <c r="B32151" i="1"/>
  <c r="B32152" i="1"/>
  <c r="B32153" i="1"/>
  <c r="B32154" i="1"/>
  <c r="B32155" i="1"/>
  <c r="B32156" i="1"/>
  <c r="B32157" i="1"/>
  <c r="B32158" i="1"/>
  <c r="B32159" i="1"/>
  <c r="B32160" i="1"/>
  <c r="B32161" i="1"/>
  <c r="B32162" i="1"/>
  <c r="B32163" i="1"/>
  <c r="B32164" i="1"/>
  <c r="B32165" i="1"/>
  <c r="B32166" i="1"/>
  <c r="B32167" i="1"/>
  <c r="B32168" i="1"/>
  <c r="B32169" i="1"/>
  <c r="B32170" i="1"/>
  <c r="B32171" i="1"/>
  <c r="B32172" i="1"/>
  <c r="B32173" i="1"/>
  <c r="B32174" i="1"/>
  <c r="B32175" i="1"/>
  <c r="B32176" i="1"/>
  <c r="B32177" i="1"/>
  <c r="B32178" i="1"/>
  <c r="B32179" i="1"/>
  <c r="B32180" i="1"/>
  <c r="B32181" i="1"/>
  <c r="B32182" i="1"/>
  <c r="B32183" i="1"/>
  <c r="B32184" i="1"/>
  <c r="B32185" i="1"/>
  <c r="B32186" i="1"/>
  <c r="B32187" i="1"/>
  <c r="B32188" i="1"/>
  <c r="B32189" i="1"/>
  <c r="B32190" i="1"/>
  <c r="B32191" i="1"/>
  <c r="B32192" i="1"/>
  <c r="B32193" i="1"/>
  <c r="B32194" i="1"/>
  <c r="B32195" i="1"/>
  <c r="B32196" i="1"/>
  <c r="B32197" i="1"/>
  <c r="B32198" i="1"/>
  <c r="B32199" i="1"/>
  <c r="B32200" i="1"/>
  <c r="B32201" i="1"/>
  <c r="B32202" i="1"/>
  <c r="B32203" i="1"/>
  <c r="B32204" i="1"/>
  <c r="B32205" i="1"/>
  <c r="B32206" i="1"/>
  <c r="B32207" i="1"/>
  <c r="B32208" i="1"/>
  <c r="B32209" i="1"/>
  <c r="B32210" i="1"/>
  <c r="B32211" i="1"/>
  <c r="B32212" i="1"/>
  <c r="B32213" i="1"/>
  <c r="B32214" i="1"/>
  <c r="B32215" i="1"/>
  <c r="B32216" i="1"/>
  <c r="B32217" i="1"/>
  <c r="B32218" i="1"/>
  <c r="B32219" i="1"/>
  <c r="B32220" i="1"/>
  <c r="B32221" i="1"/>
  <c r="B32222" i="1"/>
  <c r="B32223" i="1"/>
  <c r="B32224" i="1"/>
  <c r="B32225" i="1"/>
  <c r="B32226" i="1"/>
  <c r="B32227" i="1"/>
  <c r="B32228" i="1"/>
  <c r="B32229" i="1"/>
  <c r="B32230" i="1"/>
  <c r="B32231" i="1"/>
  <c r="B32232" i="1"/>
  <c r="B32233" i="1"/>
  <c r="B32234" i="1"/>
  <c r="B32235" i="1"/>
  <c r="B32236" i="1"/>
  <c r="B32237" i="1"/>
  <c r="B32238" i="1"/>
  <c r="B32239" i="1"/>
  <c r="B32240" i="1"/>
  <c r="B32241" i="1"/>
  <c r="B32242" i="1"/>
  <c r="B32243" i="1"/>
  <c r="B32244" i="1"/>
  <c r="B32245" i="1"/>
  <c r="B32246" i="1"/>
  <c r="B32247" i="1"/>
  <c r="B32248" i="1"/>
  <c r="B32249" i="1"/>
  <c r="B32250" i="1"/>
  <c r="B32251" i="1"/>
  <c r="B32252" i="1"/>
  <c r="B32253" i="1"/>
  <c r="B32254" i="1"/>
  <c r="B32255" i="1"/>
  <c r="B32256" i="1"/>
  <c r="B32257" i="1"/>
  <c r="B32258" i="1"/>
  <c r="B32259" i="1"/>
  <c r="B32260" i="1"/>
  <c r="B32261" i="1"/>
  <c r="B32262" i="1"/>
  <c r="B32263" i="1"/>
  <c r="B32264" i="1"/>
  <c r="B32265" i="1"/>
  <c r="B32266" i="1"/>
  <c r="B32267" i="1"/>
  <c r="B32268" i="1"/>
  <c r="B32269" i="1"/>
  <c r="B32270" i="1"/>
  <c r="B32271" i="1"/>
  <c r="B32272" i="1"/>
  <c r="B32273" i="1"/>
  <c r="B32274" i="1"/>
  <c r="B32275" i="1"/>
  <c r="B32276" i="1"/>
  <c r="B32277" i="1"/>
  <c r="B32278" i="1"/>
  <c r="B32279" i="1"/>
  <c r="B32280" i="1"/>
  <c r="B32281" i="1"/>
  <c r="B32282" i="1"/>
  <c r="B32283" i="1"/>
  <c r="B32284" i="1"/>
  <c r="B32285" i="1"/>
  <c r="B32286" i="1"/>
  <c r="B32287" i="1"/>
  <c r="B32288" i="1"/>
  <c r="B32289" i="1"/>
  <c r="B32290" i="1"/>
  <c r="B32291" i="1"/>
  <c r="B32292" i="1"/>
  <c r="B32293" i="1"/>
  <c r="B32294" i="1"/>
  <c r="B32295" i="1"/>
  <c r="B32296" i="1"/>
  <c r="B32297" i="1"/>
  <c r="B32298" i="1"/>
  <c r="B32299" i="1"/>
  <c r="B32300" i="1"/>
  <c r="B32301" i="1"/>
  <c r="B32302" i="1"/>
  <c r="B32303" i="1"/>
  <c r="B32304" i="1"/>
  <c r="B32305" i="1"/>
  <c r="B32306" i="1"/>
  <c r="B32307" i="1"/>
  <c r="B32308" i="1"/>
  <c r="B32309" i="1"/>
  <c r="B32310" i="1"/>
  <c r="B32311" i="1"/>
  <c r="B32312" i="1"/>
  <c r="B32313" i="1"/>
  <c r="B32314" i="1"/>
  <c r="B32315" i="1"/>
  <c r="B32316" i="1"/>
  <c r="B32317" i="1"/>
  <c r="B32318" i="1"/>
  <c r="B32319" i="1"/>
  <c r="B32320" i="1"/>
  <c r="B32321" i="1"/>
  <c r="B32322" i="1"/>
  <c r="B32323" i="1"/>
  <c r="B32324" i="1"/>
  <c r="B32325" i="1"/>
  <c r="B32326" i="1"/>
  <c r="B32327" i="1"/>
  <c r="B32328" i="1"/>
  <c r="B32329" i="1"/>
  <c r="B32330" i="1"/>
  <c r="B32331" i="1"/>
  <c r="B32332" i="1"/>
  <c r="B32333" i="1"/>
  <c r="B32334" i="1"/>
  <c r="B32335" i="1"/>
  <c r="B32336" i="1"/>
  <c r="B32337" i="1"/>
  <c r="B32338" i="1"/>
  <c r="B32339" i="1"/>
  <c r="B32340" i="1"/>
  <c r="B32341" i="1"/>
  <c r="B32342" i="1"/>
  <c r="B32343" i="1"/>
  <c r="B32344" i="1"/>
  <c r="B32345" i="1"/>
  <c r="B32346" i="1"/>
  <c r="B32347" i="1"/>
  <c r="B32348" i="1"/>
  <c r="B32349" i="1"/>
  <c r="B32350" i="1"/>
  <c r="B32351" i="1"/>
  <c r="B32352" i="1"/>
  <c r="B32353" i="1"/>
  <c r="B32354" i="1"/>
  <c r="B32355" i="1"/>
  <c r="B32356" i="1"/>
  <c r="B32357" i="1"/>
  <c r="B32358" i="1"/>
  <c r="B32359" i="1"/>
  <c r="B32360" i="1"/>
  <c r="B32361" i="1"/>
  <c r="B32362" i="1"/>
  <c r="B32363" i="1"/>
  <c r="B32364" i="1"/>
  <c r="B32365" i="1"/>
  <c r="B32366" i="1"/>
  <c r="B32367" i="1"/>
  <c r="B32368" i="1"/>
  <c r="B32369" i="1"/>
  <c r="B32370" i="1"/>
  <c r="B32371" i="1"/>
  <c r="B32372" i="1"/>
  <c r="B32373" i="1"/>
  <c r="B32374" i="1"/>
  <c r="B32375" i="1"/>
  <c r="B32376" i="1"/>
  <c r="B32377" i="1"/>
  <c r="B32378" i="1"/>
  <c r="B32379" i="1"/>
  <c r="B32380" i="1"/>
  <c r="B32381" i="1"/>
  <c r="B32382" i="1"/>
  <c r="B32383" i="1"/>
  <c r="B32384" i="1"/>
  <c r="B32385" i="1"/>
  <c r="B32386" i="1"/>
  <c r="B32387" i="1"/>
  <c r="B32388" i="1"/>
  <c r="B32389" i="1"/>
  <c r="B32390" i="1"/>
  <c r="B32391" i="1"/>
  <c r="B32392" i="1"/>
  <c r="B32393" i="1"/>
  <c r="B32394" i="1"/>
  <c r="B32395" i="1"/>
  <c r="B32396" i="1"/>
  <c r="B32397" i="1"/>
  <c r="B32398" i="1"/>
  <c r="B32399" i="1"/>
  <c r="B32400" i="1"/>
  <c r="B32401" i="1"/>
  <c r="B32402" i="1"/>
  <c r="B32403" i="1"/>
  <c r="B32404" i="1"/>
  <c r="B32405" i="1"/>
  <c r="B32406" i="1"/>
  <c r="B32407" i="1"/>
  <c r="B32408" i="1"/>
  <c r="B32409" i="1"/>
  <c r="B32410" i="1"/>
  <c r="B32411" i="1"/>
  <c r="B32412" i="1"/>
  <c r="B32413" i="1"/>
  <c r="B32414" i="1"/>
  <c r="B32415" i="1"/>
  <c r="B32416" i="1"/>
  <c r="B32417" i="1"/>
  <c r="B32418" i="1"/>
  <c r="B32419" i="1"/>
  <c r="B32420" i="1"/>
  <c r="B32421" i="1"/>
  <c r="B32422" i="1"/>
  <c r="B32423" i="1"/>
  <c r="B32424" i="1"/>
  <c r="B32425" i="1"/>
  <c r="B32426" i="1"/>
  <c r="B32427" i="1"/>
  <c r="B32428" i="1"/>
  <c r="B32429" i="1"/>
  <c r="B32430" i="1"/>
  <c r="B32431" i="1"/>
  <c r="B32432" i="1"/>
  <c r="B32433" i="1"/>
  <c r="B32434" i="1"/>
  <c r="B32435" i="1"/>
  <c r="B32436" i="1"/>
  <c r="B32437" i="1"/>
  <c r="B32438" i="1"/>
  <c r="B32439" i="1"/>
  <c r="B32440" i="1"/>
  <c r="B32441" i="1"/>
  <c r="B32442" i="1"/>
  <c r="B32443" i="1"/>
  <c r="B32444" i="1"/>
  <c r="B32445" i="1"/>
  <c r="B32446" i="1"/>
  <c r="B32447" i="1"/>
  <c r="B32448" i="1"/>
  <c r="B32449" i="1"/>
  <c r="B32450" i="1"/>
  <c r="B32451" i="1"/>
  <c r="B32452" i="1"/>
  <c r="B32453" i="1"/>
  <c r="B32454" i="1"/>
  <c r="B32455" i="1"/>
  <c r="B32456" i="1"/>
  <c r="B32457" i="1"/>
  <c r="B32458" i="1"/>
  <c r="B32459" i="1"/>
  <c r="B32460" i="1"/>
  <c r="B32461" i="1"/>
  <c r="B32462" i="1"/>
  <c r="B32463" i="1"/>
  <c r="B32464" i="1"/>
  <c r="B32465" i="1"/>
  <c r="B32466" i="1"/>
  <c r="B32467" i="1"/>
  <c r="B32468" i="1"/>
  <c r="B32469" i="1"/>
  <c r="B32470" i="1"/>
  <c r="B32471" i="1"/>
  <c r="B32472" i="1"/>
  <c r="B32473" i="1"/>
  <c r="B32474" i="1"/>
  <c r="B32475" i="1"/>
  <c r="B32476" i="1"/>
  <c r="B32477" i="1"/>
  <c r="B32478" i="1"/>
  <c r="B32479" i="1"/>
  <c r="B32480" i="1"/>
  <c r="B32481" i="1"/>
  <c r="B32482" i="1"/>
  <c r="B32483" i="1"/>
  <c r="B32484" i="1"/>
  <c r="B32485" i="1"/>
  <c r="B32486" i="1"/>
  <c r="B32487" i="1"/>
  <c r="B32488" i="1"/>
  <c r="B32489" i="1"/>
  <c r="B32490" i="1"/>
  <c r="B32491" i="1"/>
  <c r="B32492" i="1"/>
  <c r="B32493" i="1"/>
  <c r="B32494" i="1"/>
  <c r="B32495" i="1"/>
  <c r="B32496" i="1"/>
  <c r="B32497" i="1"/>
  <c r="B32498" i="1"/>
  <c r="B32499" i="1"/>
  <c r="B32500" i="1"/>
  <c r="B32501" i="1"/>
  <c r="B32502" i="1"/>
  <c r="B32503" i="1"/>
  <c r="B32504" i="1"/>
  <c r="B32505" i="1"/>
  <c r="B32506" i="1"/>
  <c r="B32507" i="1"/>
  <c r="B32508" i="1"/>
  <c r="B32509" i="1"/>
  <c r="B32510" i="1"/>
  <c r="B32511" i="1"/>
  <c r="B32512" i="1"/>
  <c r="B32513" i="1"/>
  <c r="B32514" i="1"/>
  <c r="B32515" i="1"/>
  <c r="B32516" i="1"/>
  <c r="B32517" i="1"/>
  <c r="B32518" i="1"/>
  <c r="B32519" i="1"/>
  <c r="B32520" i="1"/>
  <c r="B32521" i="1"/>
  <c r="B32522" i="1"/>
  <c r="B32523" i="1"/>
  <c r="B32524" i="1"/>
  <c r="B32525" i="1"/>
  <c r="B32526" i="1"/>
  <c r="B32527" i="1"/>
  <c r="B32528" i="1"/>
  <c r="B32529" i="1"/>
  <c r="B32530" i="1"/>
  <c r="B32531" i="1"/>
  <c r="B32532" i="1"/>
  <c r="B32533" i="1"/>
  <c r="B32534" i="1"/>
  <c r="B32535" i="1"/>
  <c r="B32536" i="1"/>
  <c r="B32537" i="1"/>
  <c r="B32538" i="1"/>
  <c r="B32539" i="1"/>
  <c r="B32540" i="1"/>
  <c r="B32541" i="1"/>
  <c r="B32542" i="1"/>
  <c r="B32543" i="1"/>
  <c r="B32544" i="1"/>
  <c r="B32545" i="1"/>
  <c r="B32546" i="1"/>
  <c r="B32547" i="1"/>
  <c r="B32548" i="1"/>
  <c r="B32549" i="1"/>
  <c r="B32550" i="1"/>
  <c r="B32551" i="1"/>
  <c r="B32552" i="1"/>
  <c r="B32553" i="1"/>
  <c r="B32554" i="1"/>
  <c r="B32555" i="1"/>
  <c r="B32556" i="1"/>
  <c r="B32557" i="1"/>
  <c r="B32558" i="1"/>
  <c r="B32559" i="1"/>
  <c r="B32560" i="1"/>
  <c r="B32561" i="1"/>
  <c r="B32562" i="1"/>
  <c r="B32563" i="1"/>
  <c r="B32564" i="1"/>
  <c r="B32565" i="1"/>
  <c r="B32566" i="1"/>
  <c r="B32567" i="1"/>
  <c r="B32568" i="1"/>
  <c r="B32569" i="1"/>
  <c r="B32570" i="1"/>
  <c r="B32571" i="1"/>
  <c r="B32572" i="1"/>
  <c r="B32573" i="1"/>
  <c r="B32574" i="1"/>
  <c r="B32575" i="1"/>
  <c r="B32576" i="1"/>
  <c r="B32577" i="1"/>
  <c r="B32578" i="1"/>
  <c r="B32579" i="1"/>
  <c r="B32580" i="1"/>
  <c r="B32581" i="1"/>
  <c r="B32582" i="1"/>
  <c r="B32583" i="1"/>
  <c r="B32584" i="1"/>
  <c r="B32585" i="1"/>
  <c r="B32586" i="1"/>
  <c r="B32587" i="1"/>
  <c r="B32588" i="1"/>
  <c r="B32589" i="1"/>
  <c r="B32590" i="1"/>
  <c r="B32591" i="1"/>
  <c r="B32592" i="1"/>
  <c r="B32593" i="1"/>
  <c r="B32594" i="1"/>
  <c r="B32595" i="1"/>
  <c r="B32596" i="1"/>
  <c r="B32597" i="1"/>
  <c r="B32598" i="1"/>
  <c r="B32599" i="1"/>
  <c r="B32600" i="1"/>
  <c r="B32601" i="1"/>
  <c r="B32602" i="1"/>
  <c r="B32603" i="1"/>
  <c r="B32604" i="1"/>
  <c r="B32605" i="1"/>
  <c r="B32606" i="1"/>
  <c r="B32607" i="1"/>
  <c r="B32608" i="1"/>
  <c r="B32609" i="1"/>
  <c r="B32610" i="1"/>
  <c r="B32611" i="1"/>
  <c r="B32612" i="1"/>
  <c r="B32613" i="1"/>
  <c r="B32614" i="1"/>
  <c r="B32615" i="1"/>
  <c r="B32616" i="1"/>
  <c r="B32617" i="1"/>
  <c r="B32618" i="1"/>
  <c r="B32619" i="1"/>
  <c r="B32620" i="1"/>
  <c r="B32621" i="1"/>
  <c r="B32622" i="1"/>
  <c r="B32623" i="1"/>
  <c r="B32624" i="1"/>
  <c r="B32625" i="1"/>
  <c r="B32626" i="1"/>
  <c r="B32627" i="1"/>
  <c r="B32628" i="1"/>
  <c r="B32629" i="1"/>
  <c r="B32630" i="1"/>
  <c r="B32631" i="1"/>
  <c r="B32632" i="1"/>
  <c r="B32633" i="1"/>
  <c r="B32634" i="1"/>
  <c r="B32635" i="1"/>
  <c r="B32636" i="1"/>
  <c r="B32637" i="1"/>
  <c r="B32638" i="1"/>
  <c r="B32639" i="1"/>
  <c r="B32640" i="1"/>
  <c r="B32641" i="1"/>
  <c r="B32642" i="1"/>
  <c r="B32643" i="1"/>
  <c r="B32644" i="1"/>
  <c r="B32645" i="1"/>
  <c r="B32646" i="1"/>
  <c r="B32647" i="1"/>
  <c r="B32648" i="1"/>
  <c r="B32649" i="1"/>
  <c r="B32650" i="1"/>
  <c r="B32651" i="1"/>
  <c r="B32652" i="1"/>
  <c r="B32653" i="1"/>
  <c r="B32654" i="1"/>
  <c r="B32655" i="1"/>
  <c r="B32656" i="1"/>
  <c r="B32657" i="1"/>
  <c r="B32658" i="1"/>
  <c r="B32659" i="1"/>
  <c r="B32660" i="1"/>
  <c r="B32661" i="1"/>
  <c r="B32662" i="1"/>
  <c r="B32663" i="1"/>
  <c r="B32664" i="1"/>
  <c r="B32665" i="1"/>
  <c r="B32666" i="1"/>
  <c r="B32667" i="1"/>
  <c r="B32668" i="1"/>
  <c r="B32669" i="1"/>
  <c r="B32670" i="1"/>
  <c r="B32671" i="1"/>
  <c r="B32672" i="1"/>
  <c r="B32673" i="1"/>
  <c r="B32674" i="1"/>
  <c r="B32675" i="1"/>
  <c r="B32676" i="1"/>
  <c r="B32677" i="1"/>
  <c r="B32678" i="1"/>
  <c r="B32679" i="1"/>
  <c r="B32680" i="1"/>
  <c r="B32681" i="1"/>
  <c r="B32682" i="1"/>
  <c r="B32683" i="1"/>
  <c r="B32684" i="1"/>
  <c r="B32685" i="1"/>
  <c r="B32686" i="1"/>
  <c r="B32687" i="1"/>
  <c r="B32688" i="1"/>
  <c r="B32689" i="1"/>
  <c r="B32690" i="1"/>
  <c r="B32691" i="1"/>
  <c r="B32692" i="1"/>
  <c r="B32693" i="1"/>
  <c r="B32694" i="1"/>
  <c r="B32695" i="1"/>
  <c r="B32696" i="1"/>
  <c r="B32697" i="1"/>
  <c r="B32698" i="1"/>
  <c r="B32699" i="1"/>
  <c r="B32700" i="1"/>
  <c r="B32701" i="1"/>
  <c r="B32702" i="1"/>
  <c r="B32703" i="1"/>
  <c r="B32704" i="1"/>
  <c r="B32705" i="1"/>
  <c r="B32706" i="1"/>
  <c r="B32707" i="1"/>
  <c r="B32708" i="1"/>
  <c r="B32709" i="1"/>
  <c r="B32710" i="1"/>
  <c r="B32711" i="1"/>
  <c r="B32712" i="1"/>
  <c r="B32713" i="1"/>
  <c r="B32714" i="1"/>
  <c r="B32715" i="1"/>
  <c r="B32716" i="1"/>
  <c r="B32717" i="1"/>
  <c r="B32718" i="1"/>
  <c r="B32719" i="1"/>
  <c r="B32720" i="1"/>
  <c r="B32721" i="1"/>
  <c r="B32722" i="1"/>
  <c r="B32723" i="1"/>
  <c r="B32724" i="1"/>
  <c r="B32725" i="1"/>
  <c r="B32726" i="1"/>
  <c r="B32727" i="1"/>
  <c r="B32728" i="1"/>
  <c r="B32729" i="1"/>
  <c r="B32730" i="1"/>
  <c r="B32731" i="1"/>
  <c r="B32732" i="1"/>
  <c r="B32733" i="1"/>
  <c r="B32734" i="1"/>
  <c r="B32735" i="1"/>
  <c r="B32736" i="1"/>
  <c r="B32737" i="1"/>
  <c r="B32738" i="1"/>
  <c r="B32739" i="1"/>
  <c r="B32740" i="1"/>
  <c r="B32741" i="1"/>
  <c r="B32742" i="1"/>
  <c r="B32743" i="1"/>
  <c r="B32744" i="1"/>
  <c r="B32745" i="1"/>
  <c r="B32746" i="1"/>
  <c r="B32747" i="1"/>
  <c r="B32748" i="1"/>
  <c r="B32749" i="1"/>
  <c r="B32750" i="1"/>
  <c r="B32751" i="1"/>
  <c r="B32752" i="1"/>
  <c r="B32753" i="1"/>
  <c r="B32754" i="1"/>
  <c r="B32755" i="1"/>
  <c r="B32756" i="1"/>
  <c r="B32757" i="1"/>
  <c r="B32758" i="1"/>
  <c r="B32759" i="1"/>
  <c r="B32760" i="1"/>
  <c r="B32761" i="1"/>
  <c r="B32762" i="1"/>
  <c r="B32763" i="1"/>
  <c r="B32764" i="1"/>
  <c r="B32765" i="1"/>
  <c r="B32766" i="1"/>
  <c r="B32767" i="1"/>
  <c r="B32768" i="1"/>
  <c r="B32769" i="1"/>
  <c r="B32770" i="1"/>
  <c r="B32771" i="1"/>
  <c r="B32772" i="1"/>
  <c r="B32773" i="1"/>
  <c r="B32774" i="1"/>
  <c r="B32775" i="1"/>
  <c r="B32776" i="1"/>
  <c r="B32777" i="1"/>
  <c r="B32778" i="1"/>
  <c r="B32779" i="1"/>
  <c r="B32780" i="1"/>
  <c r="B32781" i="1"/>
  <c r="B32782" i="1"/>
  <c r="B32783" i="1"/>
  <c r="B32784" i="1"/>
  <c r="B32785" i="1"/>
  <c r="B32786" i="1"/>
  <c r="B32787" i="1"/>
  <c r="B32788" i="1"/>
  <c r="B32789" i="1"/>
  <c r="B32790" i="1"/>
  <c r="B32791" i="1"/>
  <c r="B32792" i="1"/>
  <c r="B32793" i="1"/>
  <c r="B32794" i="1"/>
  <c r="B32795" i="1"/>
  <c r="B32796" i="1"/>
  <c r="B32797" i="1"/>
  <c r="B32798" i="1"/>
  <c r="B32799" i="1"/>
  <c r="B32800" i="1"/>
  <c r="B32801" i="1"/>
  <c r="B32802" i="1"/>
  <c r="B32803" i="1"/>
  <c r="B32804" i="1"/>
  <c r="B32805" i="1"/>
  <c r="B32806" i="1"/>
  <c r="B32807" i="1"/>
  <c r="B32808" i="1"/>
  <c r="B32809" i="1"/>
  <c r="B32810" i="1"/>
  <c r="B32811" i="1"/>
  <c r="B32812" i="1"/>
  <c r="B32813" i="1"/>
  <c r="B32814" i="1"/>
  <c r="B32815" i="1"/>
  <c r="B32816" i="1"/>
  <c r="B32817" i="1"/>
  <c r="B32818" i="1"/>
  <c r="B32819" i="1"/>
  <c r="B32820" i="1"/>
  <c r="B32821" i="1"/>
  <c r="B32822" i="1"/>
  <c r="B32823" i="1"/>
  <c r="B32824" i="1"/>
  <c r="B32825" i="1"/>
  <c r="B32826" i="1"/>
  <c r="B32827" i="1"/>
  <c r="B32828" i="1"/>
  <c r="B32829" i="1"/>
  <c r="B32830" i="1"/>
  <c r="B32831" i="1"/>
  <c r="B32832" i="1"/>
  <c r="B32833" i="1"/>
  <c r="B32834" i="1"/>
  <c r="B32835" i="1"/>
  <c r="B32836" i="1"/>
  <c r="B32837" i="1"/>
  <c r="B32838" i="1"/>
  <c r="B32839" i="1"/>
  <c r="B32840" i="1"/>
  <c r="B32841" i="1"/>
  <c r="B32842" i="1"/>
  <c r="B32843" i="1"/>
  <c r="B32844" i="1"/>
  <c r="B32845" i="1"/>
  <c r="B32846" i="1"/>
  <c r="B32847" i="1"/>
  <c r="B32848" i="1"/>
  <c r="B32849" i="1"/>
  <c r="B32850" i="1"/>
  <c r="B32851" i="1"/>
  <c r="B32852" i="1"/>
  <c r="B32853" i="1"/>
  <c r="B32854" i="1"/>
  <c r="B32855" i="1"/>
  <c r="B32856" i="1"/>
  <c r="B32857" i="1"/>
  <c r="B32858" i="1"/>
  <c r="B32859" i="1"/>
  <c r="B32860" i="1"/>
  <c r="B32861" i="1"/>
  <c r="B32862" i="1"/>
  <c r="B32863" i="1"/>
  <c r="B32864" i="1"/>
  <c r="B32865" i="1"/>
  <c r="B32866" i="1"/>
  <c r="B32867" i="1"/>
  <c r="B32868" i="1"/>
  <c r="B32869" i="1"/>
  <c r="B32870" i="1"/>
  <c r="B32871" i="1"/>
  <c r="B32872" i="1"/>
  <c r="B32873" i="1"/>
  <c r="B32874" i="1"/>
  <c r="B32875" i="1"/>
  <c r="B32876" i="1"/>
  <c r="B32877" i="1"/>
  <c r="B32878" i="1"/>
  <c r="B32879" i="1"/>
  <c r="B32880" i="1"/>
  <c r="B32881" i="1"/>
  <c r="B32882" i="1"/>
  <c r="B32883" i="1"/>
  <c r="B32884" i="1"/>
  <c r="B32885" i="1"/>
  <c r="B32886" i="1"/>
  <c r="B32887" i="1"/>
  <c r="B32888" i="1"/>
  <c r="B32889" i="1"/>
  <c r="B32890" i="1"/>
  <c r="B32891" i="1"/>
  <c r="B32892" i="1"/>
  <c r="B32893" i="1"/>
  <c r="B32894" i="1"/>
  <c r="B32895" i="1"/>
  <c r="B32896" i="1"/>
  <c r="B32897" i="1"/>
  <c r="B32898" i="1"/>
  <c r="B32899" i="1"/>
  <c r="B32900" i="1"/>
  <c r="B32901" i="1"/>
  <c r="B32902" i="1"/>
  <c r="B32903" i="1"/>
  <c r="B32904" i="1"/>
  <c r="B32905" i="1"/>
  <c r="B32906" i="1"/>
  <c r="B32907" i="1"/>
  <c r="B32908" i="1"/>
  <c r="B32909" i="1"/>
  <c r="B32910" i="1"/>
  <c r="B32911" i="1"/>
  <c r="B32912" i="1"/>
  <c r="B32913" i="1"/>
  <c r="B32914" i="1"/>
  <c r="B32915" i="1"/>
  <c r="B32916" i="1"/>
  <c r="B32917" i="1"/>
  <c r="B32918" i="1"/>
  <c r="B32919" i="1"/>
  <c r="B32920" i="1"/>
  <c r="B32921" i="1"/>
  <c r="B32922" i="1"/>
  <c r="B32923" i="1"/>
  <c r="B32924" i="1"/>
  <c r="B32925" i="1"/>
  <c r="B32926" i="1"/>
  <c r="B32927" i="1"/>
  <c r="B32928" i="1"/>
  <c r="B32929" i="1"/>
  <c r="B32930" i="1"/>
  <c r="B32931" i="1"/>
  <c r="B32932" i="1"/>
  <c r="B32933" i="1"/>
  <c r="B32934" i="1"/>
  <c r="B32935" i="1"/>
  <c r="B32936" i="1"/>
  <c r="B32937" i="1"/>
  <c r="B32938" i="1"/>
  <c r="B32939" i="1"/>
  <c r="B32940" i="1"/>
  <c r="B32941" i="1"/>
  <c r="B32942" i="1"/>
  <c r="B32943" i="1"/>
  <c r="B32944" i="1"/>
  <c r="B32945" i="1"/>
  <c r="B32946" i="1"/>
  <c r="B32947" i="1"/>
  <c r="B32948" i="1"/>
  <c r="B32949" i="1"/>
  <c r="B32950" i="1"/>
  <c r="B32951" i="1"/>
  <c r="B32952" i="1"/>
  <c r="B32953" i="1"/>
  <c r="B32954" i="1"/>
  <c r="B32955" i="1"/>
  <c r="B32956" i="1"/>
  <c r="B32957" i="1"/>
  <c r="B32958" i="1"/>
  <c r="B32959" i="1"/>
  <c r="B32960" i="1"/>
  <c r="B32961" i="1"/>
  <c r="B32962" i="1"/>
  <c r="B32963" i="1"/>
  <c r="B32964" i="1"/>
  <c r="B32965" i="1"/>
  <c r="B32966" i="1"/>
  <c r="B32967" i="1"/>
  <c r="B32968" i="1"/>
  <c r="B32969" i="1"/>
  <c r="B32970" i="1"/>
  <c r="B32971" i="1"/>
  <c r="B32972" i="1"/>
  <c r="B32973" i="1"/>
  <c r="B32974" i="1"/>
  <c r="B32975" i="1"/>
  <c r="B32976" i="1"/>
  <c r="B32977" i="1"/>
  <c r="B32978" i="1"/>
  <c r="B32979" i="1"/>
  <c r="B32980" i="1"/>
  <c r="B32981" i="1"/>
  <c r="B32982" i="1"/>
  <c r="B32983" i="1"/>
  <c r="B32984" i="1"/>
  <c r="B32985" i="1"/>
  <c r="B32986" i="1"/>
  <c r="B32987" i="1"/>
  <c r="B32988" i="1"/>
  <c r="B32989" i="1"/>
  <c r="B32990" i="1"/>
  <c r="B32991" i="1"/>
  <c r="B32992" i="1"/>
  <c r="B32993" i="1"/>
  <c r="B32994" i="1"/>
  <c r="B32995" i="1"/>
  <c r="B32996" i="1"/>
  <c r="B32997" i="1"/>
  <c r="B32998" i="1"/>
  <c r="B32999" i="1"/>
  <c r="B33000" i="1"/>
  <c r="B33001" i="1"/>
  <c r="B33002" i="1"/>
  <c r="B33003" i="1"/>
  <c r="B33004" i="1"/>
  <c r="B33005" i="1"/>
  <c r="B33006" i="1"/>
  <c r="B33007" i="1"/>
  <c r="B33008" i="1"/>
  <c r="B33009" i="1"/>
  <c r="B33010" i="1"/>
  <c r="B33011" i="1"/>
  <c r="B33012" i="1"/>
  <c r="B33013" i="1"/>
  <c r="B33014" i="1"/>
  <c r="B33015" i="1"/>
  <c r="B33016" i="1"/>
  <c r="B33017" i="1"/>
  <c r="B33018" i="1"/>
  <c r="B33019" i="1"/>
  <c r="B33020" i="1"/>
  <c r="B33021" i="1"/>
  <c r="B33022" i="1"/>
  <c r="B33023" i="1"/>
  <c r="B33024" i="1"/>
  <c r="B33025" i="1"/>
  <c r="B33026" i="1"/>
  <c r="B33027" i="1"/>
  <c r="B33028" i="1"/>
  <c r="B33029" i="1"/>
  <c r="B33030" i="1"/>
  <c r="B33031" i="1"/>
  <c r="B33032" i="1"/>
  <c r="B33033" i="1"/>
  <c r="B33034" i="1"/>
  <c r="B33035" i="1"/>
  <c r="B33036" i="1"/>
  <c r="B33037" i="1"/>
  <c r="B33038" i="1"/>
  <c r="B33039" i="1"/>
  <c r="B33040" i="1"/>
  <c r="B33041" i="1"/>
  <c r="B33042" i="1"/>
  <c r="B33043" i="1"/>
  <c r="B33044" i="1"/>
  <c r="B33045" i="1"/>
  <c r="B33046" i="1"/>
  <c r="B33047" i="1"/>
  <c r="B33048" i="1"/>
  <c r="B33049" i="1"/>
  <c r="B33050" i="1"/>
  <c r="B33051" i="1"/>
  <c r="B33052" i="1"/>
  <c r="B33053" i="1"/>
  <c r="B33054" i="1"/>
  <c r="B33055" i="1"/>
  <c r="B33056" i="1"/>
  <c r="B33057" i="1"/>
  <c r="B33058" i="1"/>
  <c r="B33059" i="1"/>
  <c r="B33060" i="1"/>
  <c r="B33061" i="1"/>
  <c r="B33062" i="1"/>
  <c r="B33063" i="1"/>
  <c r="B33064" i="1"/>
  <c r="B33065" i="1"/>
  <c r="B33066" i="1"/>
  <c r="B33067" i="1"/>
  <c r="B33068" i="1"/>
  <c r="B33069" i="1"/>
  <c r="B33070" i="1"/>
  <c r="B33071" i="1"/>
  <c r="B33072" i="1"/>
  <c r="B33073" i="1"/>
  <c r="B33074" i="1"/>
  <c r="B33075" i="1"/>
  <c r="B33076" i="1"/>
  <c r="B33077" i="1"/>
  <c r="B33078" i="1"/>
  <c r="B33079" i="1"/>
  <c r="B33080" i="1"/>
  <c r="B33081" i="1"/>
  <c r="B33082" i="1"/>
  <c r="B33083" i="1"/>
  <c r="B33084" i="1"/>
  <c r="B33085" i="1"/>
  <c r="B33086" i="1"/>
  <c r="B33087" i="1"/>
  <c r="B33088" i="1"/>
  <c r="B33089" i="1"/>
  <c r="B33090" i="1"/>
  <c r="B33091" i="1"/>
  <c r="B33092" i="1"/>
  <c r="B33093" i="1"/>
  <c r="B33094" i="1"/>
  <c r="B33095" i="1"/>
  <c r="B33096" i="1"/>
  <c r="B33097" i="1"/>
  <c r="B33098" i="1"/>
  <c r="B33099" i="1"/>
  <c r="B33100" i="1"/>
  <c r="B33101" i="1"/>
  <c r="B33102" i="1"/>
  <c r="B33103" i="1"/>
  <c r="B33104" i="1"/>
  <c r="B33105" i="1"/>
  <c r="B33106" i="1"/>
  <c r="B33107" i="1"/>
  <c r="B33108" i="1"/>
  <c r="B33109" i="1"/>
  <c r="B33110" i="1"/>
  <c r="B33111" i="1"/>
  <c r="B33112" i="1"/>
  <c r="B33113" i="1"/>
  <c r="B33114" i="1"/>
  <c r="B33115" i="1"/>
  <c r="B33116" i="1"/>
  <c r="B33117" i="1"/>
  <c r="B33118" i="1"/>
  <c r="B33119" i="1"/>
  <c r="B33120" i="1"/>
  <c r="B33121" i="1"/>
  <c r="B33122" i="1"/>
  <c r="B33123" i="1"/>
  <c r="B33124" i="1"/>
  <c r="B33125" i="1"/>
  <c r="B33126" i="1"/>
  <c r="B33127" i="1"/>
  <c r="B33128" i="1"/>
  <c r="B33129" i="1"/>
  <c r="B33130" i="1"/>
  <c r="B33131" i="1"/>
  <c r="B33132" i="1"/>
  <c r="B33133" i="1"/>
  <c r="B33134" i="1"/>
  <c r="B33135" i="1"/>
  <c r="B33136" i="1"/>
  <c r="B33137" i="1"/>
  <c r="B33138" i="1"/>
  <c r="B33139" i="1"/>
  <c r="B33140" i="1"/>
  <c r="B33141" i="1"/>
  <c r="B33142" i="1"/>
  <c r="B33143" i="1"/>
  <c r="B33144" i="1"/>
  <c r="B33145" i="1"/>
  <c r="B33146" i="1"/>
  <c r="B33147" i="1"/>
  <c r="B33148" i="1"/>
  <c r="B33149" i="1"/>
  <c r="B33150" i="1"/>
  <c r="B33151" i="1"/>
  <c r="B33152" i="1"/>
  <c r="B33153" i="1"/>
  <c r="B33154" i="1"/>
  <c r="B33155" i="1"/>
  <c r="B33156" i="1"/>
  <c r="B33157" i="1"/>
  <c r="B33158" i="1"/>
  <c r="B33159" i="1"/>
  <c r="B33160" i="1"/>
  <c r="B33161" i="1"/>
  <c r="B33162" i="1"/>
  <c r="B33163" i="1"/>
  <c r="B33164" i="1"/>
  <c r="B33165" i="1"/>
  <c r="B33166" i="1"/>
  <c r="B33167" i="1"/>
  <c r="B33168" i="1"/>
  <c r="B33169" i="1"/>
  <c r="B33170" i="1"/>
  <c r="B33171" i="1"/>
  <c r="B33172" i="1"/>
  <c r="B33173" i="1"/>
  <c r="B33174" i="1"/>
  <c r="B33175" i="1"/>
  <c r="B33176" i="1"/>
  <c r="B33177" i="1"/>
  <c r="B33178" i="1"/>
  <c r="B33179" i="1"/>
  <c r="B33180" i="1"/>
  <c r="B33181" i="1"/>
  <c r="B33182" i="1"/>
  <c r="B33183" i="1"/>
  <c r="B33184" i="1"/>
  <c r="B33185" i="1"/>
  <c r="B33186" i="1"/>
  <c r="B33187" i="1"/>
  <c r="B33188" i="1"/>
  <c r="B33189" i="1"/>
  <c r="B33190" i="1"/>
  <c r="B33191" i="1"/>
  <c r="B33192" i="1"/>
  <c r="B33193" i="1"/>
  <c r="B33194" i="1"/>
  <c r="B33195" i="1"/>
  <c r="B33196" i="1"/>
  <c r="B33197" i="1"/>
  <c r="B33198" i="1"/>
  <c r="B33199" i="1"/>
  <c r="B33200" i="1"/>
  <c r="B33201" i="1"/>
  <c r="B33202" i="1"/>
  <c r="B33203" i="1"/>
  <c r="B33204" i="1"/>
  <c r="B33205" i="1"/>
  <c r="B33206" i="1"/>
  <c r="B33207" i="1"/>
  <c r="B33208" i="1"/>
  <c r="B33209" i="1"/>
  <c r="B33210" i="1"/>
  <c r="B33211" i="1"/>
  <c r="B33212" i="1"/>
  <c r="B33213" i="1"/>
  <c r="B33214" i="1"/>
  <c r="B33215" i="1"/>
  <c r="B33216" i="1"/>
  <c r="B33217" i="1"/>
  <c r="B33218" i="1"/>
  <c r="B33219" i="1"/>
  <c r="B33220" i="1"/>
  <c r="B33221" i="1"/>
  <c r="B33222" i="1"/>
  <c r="B33223" i="1"/>
  <c r="B33224" i="1"/>
  <c r="B33225" i="1"/>
  <c r="B33226" i="1"/>
  <c r="B33227" i="1"/>
  <c r="B33228" i="1"/>
  <c r="B33229" i="1"/>
  <c r="B33230" i="1"/>
  <c r="B33231" i="1"/>
  <c r="B33232" i="1"/>
  <c r="B33233" i="1"/>
  <c r="B33234" i="1"/>
  <c r="B33235" i="1"/>
  <c r="B33236" i="1"/>
  <c r="B33237" i="1"/>
  <c r="B33238" i="1"/>
  <c r="B33239" i="1"/>
  <c r="B33240" i="1"/>
  <c r="B33241" i="1"/>
  <c r="B33242" i="1"/>
  <c r="B33243" i="1"/>
  <c r="B33244" i="1"/>
  <c r="B33245" i="1"/>
  <c r="B33246" i="1"/>
  <c r="B33247" i="1"/>
  <c r="B33248" i="1"/>
  <c r="B33249" i="1"/>
  <c r="B33250" i="1"/>
  <c r="B33251" i="1"/>
  <c r="B33252" i="1"/>
  <c r="B33253" i="1"/>
  <c r="B33254" i="1"/>
  <c r="B33255" i="1"/>
  <c r="B33256" i="1"/>
  <c r="B33257" i="1"/>
  <c r="B33258" i="1"/>
  <c r="B33259" i="1"/>
  <c r="B33260" i="1"/>
  <c r="B33261" i="1"/>
  <c r="B33262" i="1"/>
  <c r="B33263" i="1"/>
  <c r="B33264" i="1"/>
  <c r="B33265" i="1"/>
  <c r="B33266" i="1"/>
  <c r="B33267" i="1"/>
  <c r="B33268" i="1"/>
  <c r="B33269" i="1"/>
  <c r="B33270" i="1"/>
  <c r="B33271" i="1"/>
  <c r="B33272" i="1"/>
  <c r="B33273" i="1"/>
  <c r="B33274" i="1"/>
  <c r="B33275" i="1"/>
  <c r="B33276" i="1"/>
  <c r="B33277" i="1"/>
  <c r="B33278" i="1"/>
  <c r="B33279" i="1"/>
  <c r="B33280" i="1"/>
  <c r="B33281" i="1"/>
  <c r="B33282" i="1"/>
  <c r="B33283" i="1"/>
  <c r="B33284" i="1"/>
  <c r="B33285" i="1"/>
  <c r="B33286" i="1"/>
  <c r="B33287" i="1"/>
  <c r="B33288" i="1"/>
  <c r="B33289" i="1"/>
  <c r="B33290" i="1"/>
  <c r="B33291" i="1"/>
  <c r="B33292" i="1"/>
  <c r="B33293" i="1"/>
  <c r="B33294" i="1"/>
  <c r="B33295" i="1"/>
  <c r="B33296" i="1"/>
  <c r="B33297" i="1"/>
  <c r="B33298" i="1"/>
  <c r="B33299" i="1"/>
  <c r="B33300" i="1"/>
  <c r="B33301" i="1"/>
  <c r="B33302" i="1"/>
  <c r="B33303" i="1"/>
  <c r="B33304" i="1"/>
  <c r="B33305" i="1"/>
  <c r="B33306" i="1"/>
  <c r="B33307" i="1"/>
  <c r="B33308" i="1"/>
  <c r="B33309" i="1"/>
  <c r="B33310" i="1"/>
  <c r="B33311" i="1"/>
  <c r="B33312" i="1"/>
  <c r="B33313" i="1"/>
  <c r="B33314" i="1"/>
  <c r="B33315" i="1"/>
  <c r="B33316" i="1"/>
  <c r="B33317" i="1"/>
  <c r="B33318" i="1"/>
  <c r="B33319" i="1"/>
  <c r="B33320" i="1"/>
  <c r="B33321" i="1"/>
  <c r="B33322" i="1"/>
  <c r="B33323" i="1"/>
  <c r="B33324" i="1"/>
  <c r="B33325" i="1"/>
  <c r="B33326" i="1"/>
  <c r="B33327" i="1"/>
  <c r="B33328" i="1"/>
  <c r="B33329" i="1"/>
  <c r="B33330" i="1"/>
  <c r="B33331" i="1"/>
  <c r="B33332" i="1"/>
  <c r="B33333" i="1"/>
  <c r="B33334" i="1"/>
  <c r="B33335" i="1"/>
  <c r="B33336" i="1"/>
  <c r="B33337" i="1"/>
  <c r="B33338" i="1"/>
  <c r="B33339" i="1"/>
  <c r="B33340" i="1"/>
  <c r="B33341" i="1"/>
  <c r="B33342" i="1"/>
  <c r="B33343" i="1"/>
  <c r="B33344" i="1"/>
  <c r="B33345" i="1"/>
  <c r="B33346" i="1"/>
  <c r="B33347" i="1"/>
  <c r="B33348" i="1"/>
  <c r="B33349" i="1"/>
  <c r="B33350" i="1"/>
  <c r="B33351" i="1"/>
  <c r="B33352" i="1"/>
  <c r="B33353" i="1"/>
  <c r="B33354" i="1"/>
  <c r="B33355" i="1"/>
  <c r="B33356" i="1"/>
  <c r="B33357" i="1"/>
  <c r="B33358" i="1"/>
  <c r="B33359" i="1"/>
  <c r="B33360" i="1"/>
  <c r="B33361" i="1"/>
  <c r="B33362" i="1"/>
  <c r="B33363" i="1"/>
  <c r="B33364" i="1"/>
  <c r="B33365" i="1"/>
  <c r="B33366" i="1"/>
  <c r="B33367" i="1"/>
  <c r="B33368" i="1"/>
  <c r="B33369" i="1"/>
  <c r="B33370" i="1"/>
  <c r="B33371" i="1"/>
  <c r="B33372" i="1"/>
  <c r="B33373" i="1"/>
  <c r="B33374" i="1"/>
  <c r="B33375" i="1"/>
  <c r="B33376" i="1"/>
  <c r="B33377" i="1"/>
  <c r="B33378" i="1"/>
  <c r="B33379" i="1"/>
  <c r="B33380" i="1"/>
  <c r="B33381" i="1"/>
  <c r="B33382" i="1"/>
  <c r="B33383" i="1"/>
  <c r="B33384" i="1"/>
  <c r="B33385" i="1"/>
  <c r="B33386" i="1"/>
  <c r="B33387" i="1"/>
  <c r="B33388" i="1"/>
  <c r="B33389" i="1"/>
  <c r="B33390" i="1"/>
  <c r="B33391" i="1"/>
  <c r="B33392" i="1"/>
  <c r="B33393" i="1"/>
  <c r="B33394" i="1"/>
  <c r="B33395" i="1"/>
  <c r="B33396" i="1"/>
  <c r="B33397" i="1"/>
  <c r="B33398" i="1"/>
  <c r="B33399" i="1"/>
  <c r="B33400" i="1"/>
  <c r="B33401" i="1"/>
  <c r="B33402" i="1"/>
  <c r="B33403" i="1"/>
  <c r="B33404" i="1"/>
  <c r="B33405" i="1"/>
  <c r="B33406" i="1"/>
  <c r="B33407" i="1"/>
  <c r="B33408" i="1"/>
  <c r="B33409" i="1"/>
  <c r="B33410" i="1"/>
  <c r="B33411" i="1"/>
  <c r="B33412" i="1"/>
  <c r="B33413" i="1"/>
  <c r="B33414" i="1"/>
  <c r="B33415" i="1"/>
  <c r="B33416" i="1"/>
  <c r="B33417" i="1"/>
  <c r="B33418" i="1"/>
  <c r="B33419" i="1"/>
  <c r="B33420" i="1"/>
  <c r="B33421" i="1"/>
  <c r="B33422" i="1"/>
  <c r="B33423" i="1"/>
  <c r="B33424" i="1"/>
  <c r="B33425" i="1"/>
  <c r="B33426" i="1"/>
  <c r="B33427" i="1"/>
  <c r="B33428" i="1"/>
  <c r="B33429" i="1"/>
  <c r="B33430" i="1"/>
  <c r="B33431" i="1"/>
  <c r="B33432" i="1"/>
  <c r="B33433" i="1"/>
  <c r="B33434" i="1"/>
  <c r="B33435" i="1"/>
  <c r="B33436" i="1"/>
  <c r="B33437" i="1"/>
  <c r="B33438" i="1"/>
  <c r="B33439" i="1"/>
  <c r="B33440" i="1"/>
  <c r="B33441" i="1"/>
  <c r="B33442" i="1"/>
  <c r="B33443" i="1"/>
  <c r="B33444" i="1"/>
  <c r="B33445" i="1"/>
  <c r="B33446" i="1"/>
  <c r="B33447" i="1"/>
  <c r="B33448" i="1"/>
  <c r="B33449" i="1"/>
  <c r="B33450" i="1"/>
  <c r="B33451" i="1"/>
  <c r="B33452" i="1"/>
  <c r="B33453" i="1"/>
  <c r="B33454" i="1"/>
  <c r="B33455" i="1"/>
  <c r="B33456" i="1"/>
  <c r="B33457" i="1"/>
  <c r="B33458" i="1"/>
  <c r="B33459" i="1"/>
  <c r="B33460" i="1"/>
  <c r="B33461" i="1"/>
  <c r="B33462" i="1"/>
  <c r="B33463" i="1"/>
  <c r="B33464" i="1"/>
  <c r="B33465" i="1"/>
  <c r="B33466" i="1"/>
  <c r="B33467" i="1"/>
  <c r="B33468" i="1"/>
  <c r="B33469" i="1"/>
  <c r="B33470" i="1"/>
  <c r="B33471" i="1"/>
  <c r="B33472" i="1"/>
  <c r="B33473" i="1"/>
  <c r="B33474" i="1"/>
  <c r="B33475" i="1"/>
  <c r="B33476" i="1"/>
  <c r="B33477" i="1"/>
  <c r="B33478" i="1"/>
  <c r="B33479" i="1"/>
  <c r="B33480" i="1"/>
  <c r="B33481" i="1"/>
  <c r="B33482" i="1"/>
  <c r="B33483" i="1"/>
  <c r="B33484" i="1"/>
  <c r="B33485" i="1"/>
  <c r="B33486" i="1"/>
  <c r="B33487" i="1"/>
  <c r="B33488" i="1"/>
  <c r="B33489" i="1"/>
  <c r="B33490" i="1"/>
  <c r="B33491" i="1"/>
  <c r="B33492" i="1"/>
  <c r="B33493" i="1"/>
  <c r="B33494" i="1"/>
  <c r="B33495" i="1"/>
  <c r="B33496" i="1"/>
  <c r="B33497" i="1"/>
  <c r="B33498" i="1"/>
  <c r="B33499" i="1"/>
  <c r="B33500" i="1"/>
  <c r="B33501" i="1"/>
  <c r="B33502" i="1"/>
  <c r="B33503" i="1"/>
  <c r="B33504" i="1"/>
  <c r="B33505" i="1"/>
  <c r="B33506" i="1"/>
  <c r="B33507" i="1"/>
  <c r="B33508" i="1"/>
  <c r="B33509" i="1"/>
  <c r="B33510" i="1"/>
  <c r="B33511" i="1"/>
  <c r="B33512" i="1"/>
  <c r="B33513" i="1"/>
  <c r="B33514" i="1"/>
  <c r="B33515" i="1"/>
  <c r="B33516" i="1"/>
  <c r="B33517" i="1"/>
  <c r="B33518" i="1"/>
  <c r="B33519" i="1"/>
  <c r="B33520" i="1"/>
  <c r="B33521" i="1"/>
  <c r="B33522" i="1"/>
  <c r="B33523" i="1"/>
  <c r="B33524" i="1"/>
  <c r="B33525" i="1"/>
  <c r="B33526" i="1"/>
  <c r="B33527" i="1"/>
  <c r="B33528" i="1"/>
  <c r="B33529" i="1"/>
  <c r="B33530" i="1"/>
  <c r="B33531" i="1"/>
  <c r="B33532" i="1"/>
  <c r="B33533" i="1"/>
  <c r="B33534" i="1"/>
  <c r="B33535" i="1"/>
  <c r="B33536" i="1"/>
  <c r="B33537" i="1"/>
  <c r="B33538" i="1"/>
  <c r="B33539" i="1"/>
  <c r="B33540" i="1"/>
  <c r="B33541" i="1"/>
  <c r="B33542" i="1"/>
  <c r="B33543" i="1"/>
  <c r="B33544" i="1"/>
  <c r="B33545" i="1"/>
  <c r="B33546" i="1"/>
  <c r="B33547" i="1"/>
  <c r="B33548" i="1"/>
  <c r="B33549" i="1"/>
  <c r="B33550" i="1"/>
  <c r="B33551" i="1"/>
  <c r="B33552" i="1"/>
  <c r="B33553" i="1"/>
  <c r="B33554" i="1"/>
  <c r="B33555" i="1"/>
  <c r="B33556" i="1"/>
  <c r="B33557" i="1"/>
  <c r="B33558" i="1"/>
  <c r="B33559" i="1"/>
  <c r="B33560" i="1"/>
  <c r="B33561" i="1"/>
  <c r="B33562" i="1"/>
  <c r="B33563" i="1"/>
  <c r="B33564" i="1"/>
  <c r="B33565" i="1"/>
  <c r="B33566" i="1"/>
  <c r="B33567" i="1"/>
  <c r="B33568" i="1"/>
  <c r="B33569" i="1"/>
  <c r="B33570" i="1"/>
  <c r="B33571" i="1"/>
  <c r="B33572" i="1"/>
  <c r="B33573" i="1"/>
  <c r="B33574" i="1"/>
  <c r="B33575" i="1"/>
  <c r="B33576" i="1"/>
  <c r="B33577" i="1"/>
  <c r="B33578" i="1"/>
  <c r="B33579" i="1"/>
  <c r="B33580" i="1"/>
  <c r="B33581" i="1"/>
  <c r="B33582" i="1"/>
  <c r="B33583" i="1"/>
  <c r="B33584" i="1"/>
  <c r="B33585" i="1"/>
  <c r="B33586" i="1"/>
  <c r="B33587" i="1"/>
  <c r="B33588" i="1"/>
  <c r="B33589" i="1"/>
  <c r="B33590" i="1"/>
  <c r="B33591" i="1"/>
  <c r="B33592" i="1"/>
  <c r="B33593" i="1"/>
  <c r="B33594" i="1"/>
  <c r="B33595" i="1"/>
  <c r="B33596" i="1"/>
  <c r="B33597" i="1"/>
  <c r="B33598" i="1"/>
  <c r="B33599" i="1"/>
  <c r="B33600" i="1"/>
  <c r="B33601" i="1"/>
  <c r="B33602" i="1"/>
  <c r="B33603" i="1"/>
  <c r="B33604" i="1"/>
  <c r="B33605" i="1"/>
  <c r="B33606" i="1"/>
  <c r="B33607" i="1"/>
  <c r="B33608" i="1"/>
  <c r="B33609" i="1"/>
  <c r="B33610" i="1"/>
  <c r="B33611" i="1"/>
  <c r="B33612" i="1"/>
  <c r="B33613" i="1"/>
  <c r="B33614" i="1"/>
  <c r="B33615" i="1"/>
  <c r="B33616" i="1"/>
  <c r="B33617" i="1"/>
  <c r="B33618" i="1"/>
  <c r="B33619" i="1"/>
  <c r="B33620" i="1"/>
  <c r="B33621" i="1"/>
  <c r="B33622" i="1"/>
  <c r="B33623" i="1"/>
  <c r="B33624" i="1"/>
  <c r="B33625" i="1"/>
  <c r="B33626" i="1"/>
  <c r="B33627" i="1"/>
  <c r="B33628" i="1"/>
  <c r="B33629" i="1"/>
  <c r="B33630" i="1"/>
  <c r="B33631" i="1"/>
  <c r="B33632" i="1"/>
  <c r="B33633" i="1"/>
  <c r="B33634" i="1"/>
  <c r="B33635" i="1"/>
  <c r="B33636" i="1"/>
  <c r="B33637" i="1"/>
  <c r="B33638" i="1"/>
  <c r="B33639" i="1"/>
  <c r="B33640" i="1"/>
  <c r="B33641" i="1"/>
  <c r="B33642" i="1"/>
  <c r="B33643" i="1"/>
  <c r="B33644" i="1"/>
  <c r="B33645" i="1"/>
  <c r="B33646" i="1"/>
  <c r="B33647" i="1"/>
  <c r="B33648" i="1"/>
  <c r="B33649" i="1"/>
  <c r="B33650" i="1"/>
  <c r="B33651" i="1"/>
  <c r="B33652" i="1"/>
  <c r="B33653" i="1"/>
  <c r="B33654" i="1"/>
  <c r="B33655" i="1"/>
  <c r="B33656" i="1"/>
  <c r="B33657" i="1"/>
  <c r="B33658" i="1"/>
  <c r="B33659" i="1"/>
  <c r="B33660" i="1"/>
  <c r="B33661" i="1"/>
  <c r="B33662" i="1"/>
  <c r="B33663" i="1"/>
  <c r="B33664" i="1"/>
  <c r="B33665" i="1"/>
  <c r="B33666" i="1"/>
  <c r="B33667" i="1"/>
  <c r="B33668" i="1"/>
  <c r="B33669" i="1"/>
  <c r="B33670" i="1"/>
  <c r="B33671" i="1"/>
  <c r="B33672" i="1"/>
  <c r="B33673" i="1"/>
  <c r="B33674" i="1"/>
  <c r="B33675" i="1"/>
  <c r="B33676" i="1"/>
  <c r="B33677" i="1"/>
  <c r="B33678" i="1"/>
  <c r="B33679" i="1"/>
  <c r="B33680" i="1"/>
  <c r="B33681" i="1"/>
  <c r="B33682" i="1"/>
  <c r="B33683" i="1"/>
  <c r="B33684" i="1"/>
  <c r="B33685" i="1"/>
  <c r="B33686" i="1"/>
  <c r="B33687" i="1"/>
  <c r="B33688" i="1"/>
  <c r="B33689" i="1"/>
  <c r="B33690" i="1"/>
  <c r="B33691" i="1"/>
  <c r="B33692" i="1"/>
  <c r="B33693" i="1"/>
  <c r="B33694" i="1"/>
  <c r="B33695" i="1"/>
  <c r="B33696" i="1"/>
  <c r="B33697" i="1"/>
  <c r="B33698" i="1"/>
  <c r="B33699" i="1"/>
  <c r="B33700" i="1"/>
  <c r="B33701" i="1"/>
  <c r="B33702" i="1"/>
  <c r="B33703" i="1"/>
  <c r="B33704" i="1"/>
  <c r="B33705" i="1"/>
  <c r="B33706" i="1"/>
  <c r="B33707" i="1"/>
  <c r="B33708" i="1"/>
  <c r="B33709" i="1"/>
  <c r="B33710" i="1"/>
  <c r="B33711" i="1"/>
  <c r="B33712" i="1"/>
  <c r="B33713" i="1"/>
  <c r="B33714" i="1"/>
  <c r="B33715" i="1"/>
  <c r="B33716" i="1"/>
  <c r="B33717" i="1"/>
  <c r="B33718" i="1"/>
  <c r="B33719" i="1"/>
  <c r="B33720" i="1"/>
  <c r="B33721" i="1"/>
  <c r="B33722" i="1"/>
  <c r="B33723" i="1"/>
  <c r="B33724" i="1"/>
  <c r="B33725" i="1"/>
  <c r="B33726" i="1"/>
  <c r="B33727" i="1"/>
  <c r="B33728" i="1"/>
  <c r="B33729" i="1"/>
  <c r="B33730" i="1"/>
  <c r="B33731" i="1"/>
  <c r="B33732" i="1"/>
  <c r="B33733" i="1"/>
  <c r="B33734" i="1"/>
  <c r="B33735" i="1"/>
  <c r="B33736" i="1"/>
  <c r="B33737" i="1"/>
  <c r="B33738" i="1"/>
  <c r="B33739" i="1"/>
  <c r="B33740" i="1"/>
  <c r="B33741" i="1"/>
  <c r="B33742" i="1"/>
  <c r="B33743" i="1"/>
  <c r="B33744" i="1"/>
  <c r="B33745" i="1"/>
  <c r="B33746" i="1"/>
  <c r="B33747" i="1"/>
  <c r="B33748" i="1"/>
  <c r="B33749" i="1"/>
  <c r="B33750" i="1"/>
  <c r="B33751" i="1"/>
  <c r="B33752" i="1"/>
  <c r="B33753" i="1"/>
  <c r="B33754" i="1"/>
  <c r="B33755" i="1"/>
  <c r="B33756" i="1"/>
  <c r="B33757" i="1"/>
  <c r="B33758" i="1"/>
  <c r="B33759" i="1"/>
  <c r="B33760" i="1"/>
  <c r="B33761" i="1"/>
  <c r="B33762" i="1"/>
  <c r="B33763" i="1"/>
  <c r="B33764" i="1"/>
  <c r="B33765" i="1"/>
  <c r="B33766" i="1"/>
  <c r="B33767" i="1"/>
  <c r="B33768" i="1"/>
  <c r="B33769" i="1"/>
  <c r="B33770" i="1"/>
  <c r="B33771" i="1"/>
  <c r="B33772" i="1"/>
  <c r="B33773" i="1"/>
  <c r="B33774" i="1"/>
  <c r="B33775" i="1"/>
  <c r="B33776" i="1"/>
  <c r="B33777" i="1"/>
  <c r="B33778" i="1"/>
  <c r="B33779" i="1"/>
  <c r="B33780" i="1"/>
  <c r="B33781" i="1"/>
  <c r="B33782" i="1"/>
  <c r="B33783" i="1"/>
  <c r="B33784" i="1"/>
  <c r="B33785" i="1"/>
  <c r="B33786" i="1"/>
  <c r="B33787" i="1"/>
  <c r="B33788" i="1"/>
  <c r="B33789" i="1"/>
  <c r="B33790" i="1"/>
  <c r="B33791" i="1"/>
  <c r="B33792" i="1"/>
  <c r="B33793" i="1"/>
  <c r="B33794" i="1"/>
  <c r="B33795" i="1"/>
  <c r="B33796" i="1"/>
  <c r="B33797" i="1"/>
  <c r="B33798" i="1"/>
  <c r="B33799" i="1"/>
  <c r="B33800" i="1"/>
  <c r="B33801" i="1"/>
  <c r="B33802" i="1"/>
  <c r="B33803" i="1"/>
  <c r="B33804" i="1"/>
  <c r="B33805" i="1"/>
  <c r="B33806" i="1"/>
  <c r="B33807" i="1"/>
  <c r="B33808" i="1"/>
  <c r="B33809" i="1"/>
  <c r="B33810" i="1"/>
  <c r="B33811" i="1"/>
  <c r="B33812" i="1"/>
  <c r="B33813" i="1"/>
  <c r="B33814" i="1"/>
  <c r="B33815" i="1"/>
  <c r="B33816" i="1"/>
  <c r="B33817" i="1"/>
  <c r="B33818" i="1"/>
  <c r="B33819" i="1"/>
  <c r="B33820" i="1"/>
  <c r="B33821" i="1"/>
  <c r="B33822" i="1"/>
  <c r="B33823" i="1"/>
  <c r="B33824" i="1"/>
  <c r="B33825" i="1"/>
  <c r="B33826" i="1"/>
  <c r="B33827" i="1"/>
  <c r="B33828" i="1"/>
  <c r="B33829" i="1"/>
  <c r="B33830" i="1"/>
  <c r="B33831" i="1"/>
  <c r="B33832" i="1"/>
  <c r="B33833" i="1"/>
  <c r="B33834" i="1"/>
  <c r="B33835" i="1"/>
  <c r="B33836" i="1"/>
  <c r="B33837" i="1"/>
  <c r="B33838" i="1"/>
  <c r="B33839" i="1"/>
  <c r="B33840" i="1"/>
  <c r="B33841" i="1"/>
  <c r="B33842" i="1"/>
  <c r="B33843" i="1"/>
  <c r="B33844" i="1"/>
  <c r="B33845" i="1"/>
  <c r="B33846" i="1"/>
  <c r="B33847" i="1"/>
  <c r="B33848" i="1"/>
  <c r="B33849" i="1"/>
  <c r="B33850" i="1"/>
  <c r="B33851" i="1"/>
  <c r="B33852" i="1"/>
  <c r="B33853" i="1"/>
  <c r="B33854" i="1"/>
  <c r="B33855" i="1"/>
  <c r="B33856" i="1"/>
  <c r="B33857" i="1"/>
  <c r="B33858" i="1"/>
  <c r="B33859" i="1"/>
  <c r="B33860" i="1"/>
  <c r="B33861" i="1"/>
  <c r="B33862" i="1"/>
  <c r="B33863" i="1"/>
  <c r="B33864" i="1"/>
  <c r="B33865" i="1"/>
  <c r="B33866" i="1"/>
  <c r="B33867" i="1"/>
  <c r="B33868" i="1"/>
  <c r="B33869" i="1"/>
  <c r="B33870" i="1"/>
  <c r="B33871" i="1"/>
  <c r="B33872" i="1"/>
  <c r="B33873" i="1"/>
  <c r="B33874" i="1"/>
  <c r="B33875" i="1"/>
  <c r="B33876" i="1"/>
  <c r="B33877" i="1"/>
  <c r="B33878" i="1"/>
  <c r="B33879" i="1"/>
  <c r="B33880" i="1"/>
  <c r="B33881" i="1"/>
  <c r="B33882" i="1"/>
  <c r="B33883" i="1"/>
  <c r="B33884" i="1"/>
  <c r="B33885" i="1"/>
  <c r="B33886" i="1"/>
  <c r="B33887" i="1"/>
  <c r="B33888" i="1"/>
  <c r="B33889" i="1"/>
  <c r="B33890" i="1"/>
  <c r="B33891" i="1"/>
  <c r="B33892" i="1"/>
  <c r="B33893" i="1"/>
  <c r="B33894" i="1"/>
  <c r="B33895" i="1"/>
  <c r="B33896" i="1"/>
  <c r="B33897" i="1"/>
  <c r="B33898" i="1"/>
  <c r="B33899" i="1"/>
  <c r="B33900" i="1"/>
  <c r="B33901" i="1"/>
  <c r="B33902" i="1"/>
  <c r="B33903" i="1"/>
  <c r="B33904" i="1"/>
  <c r="B33905" i="1"/>
  <c r="B33906" i="1"/>
  <c r="B33907" i="1"/>
  <c r="B33908" i="1"/>
  <c r="B33909" i="1"/>
  <c r="B33910" i="1"/>
  <c r="B33911" i="1"/>
  <c r="B33912" i="1"/>
  <c r="B33913" i="1"/>
  <c r="B33914" i="1"/>
  <c r="B33915" i="1"/>
  <c r="B33916" i="1"/>
  <c r="B33917" i="1"/>
  <c r="B33918" i="1"/>
  <c r="B33919" i="1"/>
  <c r="B33920" i="1"/>
  <c r="B33921" i="1"/>
  <c r="B33922" i="1"/>
  <c r="B33923" i="1"/>
  <c r="B33924" i="1"/>
  <c r="B33925" i="1"/>
  <c r="B33926" i="1"/>
  <c r="B33927" i="1"/>
  <c r="B33928" i="1"/>
  <c r="B33929" i="1"/>
  <c r="B33930" i="1"/>
  <c r="B33931" i="1"/>
  <c r="B33932" i="1"/>
  <c r="B33933" i="1"/>
  <c r="B33934" i="1"/>
  <c r="B33935" i="1"/>
  <c r="B33936" i="1"/>
  <c r="B33937" i="1"/>
  <c r="B33938" i="1"/>
  <c r="B33939" i="1"/>
  <c r="B33940" i="1"/>
  <c r="B33941" i="1"/>
  <c r="B33942" i="1"/>
  <c r="B33943" i="1"/>
  <c r="B33944" i="1"/>
  <c r="B33945" i="1"/>
  <c r="B33946" i="1"/>
  <c r="B33947" i="1"/>
  <c r="B33948" i="1"/>
  <c r="B33949" i="1"/>
  <c r="B33950" i="1"/>
  <c r="B33951" i="1"/>
  <c r="B33952" i="1"/>
  <c r="B33953" i="1"/>
  <c r="B33954" i="1"/>
  <c r="B33955" i="1"/>
  <c r="B33956" i="1"/>
  <c r="B33957" i="1"/>
  <c r="B33958" i="1"/>
  <c r="B33959" i="1"/>
  <c r="B33960" i="1"/>
  <c r="B33961" i="1"/>
  <c r="B33962" i="1"/>
  <c r="B33963" i="1"/>
  <c r="B33964" i="1"/>
  <c r="B33965" i="1"/>
  <c r="B33966" i="1"/>
  <c r="B33967" i="1"/>
  <c r="B33968" i="1"/>
  <c r="B33969" i="1"/>
  <c r="B33970" i="1"/>
  <c r="B33971" i="1"/>
  <c r="B33972" i="1"/>
  <c r="B33973" i="1"/>
  <c r="B33974" i="1"/>
  <c r="B33975" i="1"/>
  <c r="B33976" i="1"/>
  <c r="B33977" i="1"/>
  <c r="B33978" i="1"/>
  <c r="B33979" i="1"/>
  <c r="B33980" i="1"/>
  <c r="B33981" i="1"/>
  <c r="B33982" i="1"/>
  <c r="B33983" i="1"/>
  <c r="B33984" i="1"/>
  <c r="B33985" i="1"/>
  <c r="B33986" i="1"/>
  <c r="B33987" i="1"/>
  <c r="B33988" i="1"/>
  <c r="B33989" i="1"/>
  <c r="B33990" i="1"/>
  <c r="B33991" i="1"/>
  <c r="B33992" i="1"/>
  <c r="B33993" i="1"/>
  <c r="B33994" i="1"/>
  <c r="B33995" i="1"/>
  <c r="B33996" i="1"/>
  <c r="B33997" i="1"/>
  <c r="B33998" i="1"/>
  <c r="B33999" i="1"/>
  <c r="B34000" i="1"/>
  <c r="B34001" i="1"/>
  <c r="B34002" i="1"/>
  <c r="B34003" i="1"/>
  <c r="B34004" i="1"/>
  <c r="B34005" i="1"/>
  <c r="B34006" i="1"/>
  <c r="B34007" i="1"/>
  <c r="B34008" i="1"/>
  <c r="B34009" i="1"/>
  <c r="B34010" i="1"/>
  <c r="B34011" i="1"/>
  <c r="B34012" i="1"/>
  <c r="B34013" i="1"/>
  <c r="B34014" i="1"/>
  <c r="B34015" i="1"/>
  <c r="B34016" i="1"/>
  <c r="B34017" i="1"/>
  <c r="B34018" i="1"/>
  <c r="B34019" i="1"/>
  <c r="B34020" i="1"/>
  <c r="B34021" i="1"/>
  <c r="B34022" i="1"/>
  <c r="B34023" i="1"/>
  <c r="B34024" i="1"/>
  <c r="B34025" i="1"/>
  <c r="B34026" i="1"/>
  <c r="B34027" i="1"/>
  <c r="B34028" i="1"/>
  <c r="B34029" i="1"/>
  <c r="B34030" i="1"/>
  <c r="B34031" i="1"/>
  <c r="B34032" i="1"/>
  <c r="B34033" i="1"/>
  <c r="B34034" i="1"/>
  <c r="B34035" i="1"/>
  <c r="B34036" i="1"/>
  <c r="B34037" i="1"/>
  <c r="B34038" i="1"/>
  <c r="B34039" i="1"/>
  <c r="B34040" i="1"/>
  <c r="B34041" i="1"/>
  <c r="B34042" i="1"/>
  <c r="B34043" i="1"/>
  <c r="B34044" i="1"/>
  <c r="B34045" i="1"/>
  <c r="B34046" i="1"/>
  <c r="B34047" i="1"/>
  <c r="B34048" i="1"/>
  <c r="B34049" i="1"/>
  <c r="B34050" i="1"/>
  <c r="B34051" i="1"/>
  <c r="B34052" i="1"/>
  <c r="B34053" i="1"/>
  <c r="B34054" i="1"/>
  <c r="B34055" i="1"/>
  <c r="B34056" i="1"/>
  <c r="B34057" i="1"/>
  <c r="B34058" i="1"/>
  <c r="B34059" i="1"/>
  <c r="B34060" i="1"/>
  <c r="B34061" i="1"/>
  <c r="B34062" i="1"/>
  <c r="B34063" i="1"/>
  <c r="B34064" i="1"/>
  <c r="B34065" i="1"/>
  <c r="B34066" i="1"/>
  <c r="B34067" i="1"/>
  <c r="B34068" i="1"/>
  <c r="B34069" i="1"/>
  <c r="B34070" i="1"/>
  <c r="B34071" i="1"/>
  <c r="B34072" i="1"/>
  <c r="B34073" i="1"/>
  <c r="B34074" i="1"/>
  <c r="B34075" i="1"/>
  <c r="B34076" i="1"/>
  <c r="B34077" i="1"/>
  <c r="B34078" i="1"/>
  <c r="B34079" i="1"/>
  <c r="B34080" i="1"/>
  <c r="B34081" i="1"/>
  <c r="B34082" i="1"/>
  <c r="B34083" i="1"/>
  <c r="B34084" i="1"/>
  <c r="B34085" i="1"/>
  <c r="B34086" i="1"/>
  <c r="B34087" i="1"/>
  <c r="B34088" i="1"/>
  <c r="B34089" i="1"/>
  <c r="B34090" i="1"/>
  <c r="B34091" i="1"/>
  <c r="B34092" i="1"/>
  <c r="B34093" i="1"/>
  <c r="B34094" i="1"/>
  <c r="B34095" i="1"/>
  <c r="B34096" i="1"/>
  <c r="B34097" i="1"/>
  <c r="B34098" i="1"/>
  <c r="B34099" i="1"/>
  <c r="B34100" i="1"/>
  <c r="B34101" i="1"/>
  <c r="B34102" i="1"/>
  <c r="B34103" i="1"/>
  <c r="B34104" i="1"/>
  <c r="B34105" i="1"/>
  <c r="B34106" i="1"/>
  <c r="B34107" i="1"/>
  <c r="B34108" i="1"/>
  <c r="B34109" i="1"/>
  <c r="B34110" i="1"/>
  <c r="B34111" i="1"/>
  <c r="B34112" i="1"/>
  <c r="B34113" i="1"/>
  <c r="B34114" i="1"/>
  <c r="B34115" i="1"/>
  <c r="B34116" i="1"/>
  <c r="B34117" i="1"/>
  <c r="B34118" i="1"/>
  <c r="B34119" i="1"/>
  <c r="B34120" i="1"/>
  <c r="B34121" i="1"/>
  <c r="B34122" i="1"/>
  <c r="B34123" i="1"/>
  <c r="B34124" i="1"/>
  <c r="B34125" i="1"/>
  <c r="B34126" i="1"/>
  <c r="B34127" i="1"/>
  <c r="B34128" i="1"/>
  <c r="B34129" i="1"/>
  <c r="B34130" i="1"/>
  <c r="B34131" i="1"/>
  <c r="B34132" i="1"/>
  <c r="B34133" i="1"/>
  <c r="B34134" i="1"/>
  <c r="B34135" i="1"/>
  <c r="B34136" i="1"/>
  <c r="B34137" i="1"/>
  <c r="B34138" i="1"/>
  <c r="B34139" i="1"/>
  <c r="B34140" i="1"/>
  <c r="B34141" i="1"/>
  <c r="B34142" i="1"/>
  <c r="B34143" i="1"/>
  <c r="B34144" i="1"/>
  <c r="B34145" i="1"/>
  <c r="B34146" i="1"/>
  <c r="B34147" i="1"/>
  <c r="B34148" i="1"/>
  <c r="B34149" i="1"/>
  <c r="B34150" i="1"/>
  <c r="B34151" i="1"/>
  <c r="B34152" i="1"/>
  <c r="B34153" i="1"/>
  <c r="B34154" i="1"/>
  <c r="B34155" i="1"/>
  <c r="B34156" i="1"/>
  <c r="B34157" i="1"/>
  <c r="B34158" i="1"/>
  <c r="B34159" i="1"/>
  <c r="B34160" i="1"/>
  <c r="B34161" i="1"/>
  <c r="B34162" i="1"/>
  <c r="B34163" i="1"/>
  <c r="B34164" i="1"/>
  <c r="B34165" i="1"/>
  <c r="B34166" i="1"/>
  <c r="B34167" i="1"/>
  <c r="B34168" i="1"/>
  <c r="B34169" i="1"/>
  <c r="B34170" i="1"/>
  <c r="B34171" i="1"/>
  <c r="B34172" i="1"/>
  <c r="B34173" i="1"/>
  <c r="B34174" i="1"/>
  <c r="B34175" i="1"/>
  <c r="B34176" i="1"/>
  <c r="B34177" i="1"/>
  <c r="B34178" i="1"/>
  <c r="B34179" i="1"/>
  <c r="B34180" i="1"/>
  <c r="B34181" i="1"/>
  <c r="B34182" i="1"/>
  <c r="B34183" i="1"/>
  <c r="B34184" i="1"/>
  <c r="B34185" i="1"/>
  <c r="B34186" i="1"/>
  <c r="B34187" i="1"/>
  <c r="B34188" i="1"/>
  <c r="B34189" i="1"/>
  <c r="B34190" i="1"/>
  <c r="B34191" i="1"/>
  <c r="B34192" i="1"/>
  <c r="B34193" i="1"/>
  <c r="B34194" i="1"/>
  <c r="B34195" i="1"/>
  <c r="B34196" i="1"/>
  <c r="B34197" i="1"/>
  <c r="B34198" i="1"/>
  <c r="B34199" i="1"/>
  <c r="B34200" i="1"/>
  <c r="B34201" i="1"/>
  <c r="B34202" i="1"/>
  <c r="B34203" i="1"/>
  <c r="B34204" i="1"/>
  <c r="B34205" i="1"/>
  <c r="B34206" i="1"/>
  <c r="B34207" i="1"/>
  <c r="B34208" i="1"/>
  <c r="B34209" i="1"/>
  <c r="B34210" i="1"/>
  <c r="B34211" i="1"/>
  <c r="B34212" i="1"/>
  <c r="B34213" i="1"/>
  <c r="B34214" i="1"/>
  <c r="B34215" i="1"/>
  <c r="B34216" i="1"/>
  <c r="B34217" i="1"/>
  <c r="B34218" i="1"/>
  <c r="B34219" i="1"/>
  <c r="B34220" i="1"/>
  <c r="B34221" i="1"/>
  <c r="B34222" i="1"/>
  <c r="B34223" i="1"/>
  <c r="B34224" i="1"/>
  <c r="B34225" i="1"/>
  <c r="B34226" i="1"/>
  <c r="B34227" i="1"/>
  <c r="B34228" i="1"/>
  <c r="B34229" i="1"/>
  <c r="B34230" i="1"/>
  <c r="B34231" i="1"/>
  <c r="B34232" i="1"/>
  <c r="B34233" i="1"/>
  <c r="B34234" i="1"/>
  <c r="B34235" i="1"/>
  <c r="B34236" i="1"/>
  <c r="B34237" i="1"/>
  <c r="B34238" i="1"/>
  <c r="B34239" i="1"/>
  <c r="B34240" i="1"/>
  <c r="B34241" i="1"/>
  <c r="B34242" i="1"/>
  <c r="B34243" i="1"/>
  <c r="B34244" i="1"/>
  <c r="B34245" i="1"/>
  <c r="B34246" i="1"/>
  <c r="B34247" i="1"/>
  <c r="B34248" i="1"/>
  <c r="B34249" i="1"/>
  <c r="B34250" i="1"/>
  <c r="B34251" i="1"/>
  <c r="B34252" i="1"/>
  <c r="B34253" i="1"/>
  <c r="B34254" i="1"/>
  <c r="B34255" i="1"/>
  <c r="B34256" i="1"/>
  <c r="B34257" i="1"/>
  <c r="B34258" i="1"/>
  <c r="B34259" i="1"/>
  <c r="B34260" i="1"/>
  <c r="B34261" i="1"/>
  <c r="B34262" i="1"/>
  <c r="B34263" i="1"/>
  <c r="B34264" i="1"/>
  <c r="B34265" i="1"/>
  <c r="B34266" i="1"/>
  <c r="B34267" i="1"/>
  <c r="B34268" i="1"/>
  <c r="B34269" i="1"/>
  <c r="B34270" i="1"/>
  <c r="B34271" i="1"/>
  <c r="B34272" i="1"/>
  <c r="B34273" i="1"/>
  <c r="B34274" i="1"/>
  <c r="B34275" i="1"/>
  <c r="B34276" i="1"/>
  <c r="B34277" i="1"/>
  <c r="B34278" i="1"/>
  <c r="B34279" i="1"/>
  <c r="B34280" i="1"/>
  <c r="B34281" i="1"/>
  <c r="B34282" i="1"/>
  <c r="B34283" i="1"/>
  <c r="B34284" i="1"/>
  <c r="B34285" i="1"/>
  <c r="B34286" i="1"/>
  <c r="B34287" i="1"/>
  <c r="B34288" i="1"/>
  <c r="B34289" i="1"/>
  <c r="B34290" i="1"/>
  <c r="B34291" i="1"/>
  <c r="B34292" i="1"/>
  <c r="B34293" i="1"/>
  <c r="B34294" i="1"/>
  <c r="B34295" i="1"/>
  <c r="B34296" i="1"/>
  <c r="B34297" i="1"/>
  <c r="B34298" i="1"/>
  <c r="B34299" i="1"/>
  <c r="B34300" i="1"/>
  <c r="B34301" i="1"/>
  <c r="B34302" i="1"/>
  <c r="B34303" i="1"/>
  <c r="B34304" i="1"/>
  <c r="B34305" i="1"/>
  <c r="B34306" i="1"/>
  <c r="B34307" i="1"/>
  <c r="B34308" i="1"/>
  <c r="B34309" i="1"/>
  <c r="B34310" i="1"/>
  <c r="B34311" i="1"/>
  <c r="B34312" i="1"/>
  <c r="B34313" i="1"/>
  <c r="B34314" i="1"/>
  <c r="B34315" i="1"/>
  <c r="B34316" i="1"/>
  <c r="B34317" i="1"/>
  <c r="B34318" i="1"/>
  <c r="B34319" i="1"/>
  <c r="B34320" i="1"/>
  <c r="B34321" i="1"/>
  <c r="B34322" i="1"/>
  <c r="B34323" i="1"/>
  <c r="B34324" i="1"/>
  <c r="B34325" i="1"/>
  <c r="B34326" i="1"/>
  <c r="B34327" i="1"/>
  <c r="B34328" i="1"/>
  <c r="B34329" i="1"/>
  <c r="B34330" i="1"/>
  <c r="B34331" i="1"/>
  <c r="B34332" i="1"/>
  <c r="B34333" i="1"/>
  <c r="B34334" i="1"/>
  <c r="B34335" i="1"/>
  <c r="B34336" i="1"/>
  <c r="B34337" i="1"/>
  <c r="B34338" i="1"/>
  <c r="B34339" i="1"/>
  <c r="B34340" i="1"/>
  <c r="B34341" i="1"/>
  <c r="B34342" i="1"/>
  <c r="B34343" i="1"/>
  <c r="B34344" i="1"/>
  <c r="B34345" i="1"/>
  <c r="B34346" i="1"/>
  <c r="B34347" i="1"/>
  <c r="B34348" i="1"/>
  <c r="B34349" i="1"/>
  <c r="B34350" i="1"/>
  <c r="B34351" i="1"/>
  <c r="B34352" i="1"/>
  <c r="B34353" i="1"/>
  <c r="B34354" i="1"/>
  <c r="B34355" i="1"/>
  <c r="B34356" i="1"/>
  <c r="B34357" i="1"/>
  <c r="B34358" i="1"/>
  <c r="B34359" i="1"/>
  <c r="B34360" i="1"/>
  <c r="B34361" i="1"/>
  <c r="B34362" i="1"/>
  <c r="B34363" i="1"/>
  <c r="B34364" i="1"/>
  <c r="B34365" i="1"/>
  <c r="B34366" i="1"/>
  <c r="B34367" i="1"/>
  <c r="B34368" i="1"/>
  <c r="B34369" i="1"/>
  <c r="B34370" i="1"/>
  <c r="B34371" i="1"/>
  <c r="B34372" i="1"/>
  <c r="B34373" i="1"/>
  <c r="B34374" i="1"/>
  <c r="B34375" i="1"/>
  <c r="B34376" i="1"/>
  <c r="B34377" i="1"/>
  <c r="B34378" i="1"/>
  <c r="B34379" i="1"/>
  <c r="B34380" i="1"/>
  <c r="B34381" i="1"/>
  <c r="B34382" i="1"/>
  <c r="B34383" i="1"/>
  <c r="B34384" i="1"/>
  <c r="B34385" i="1"/>
  <c r="B34386" i="1"/>
  <c r="B34387" i="1"/>
  <c r="B34388" i="1"/>
  <c r="B34389" i="1"/>
  <c r="B34390" i="1"/>
  <c r="B34391" i="1"/>
  <c r="B34392" i="1"/>
  <c r="B34393" i="1"/>
  <c r="B34394" i="1"/>
  <c r="B34395" i="1"/>
  <c r="B34396" i="1"/>
  <c r="B34397" i="1"/>
  <c r="B34398" i="1"/>
  <c r="B34399" i="1"/>
  <c r="B34400" i="1"/>
  <c r="B34401" i="1"/>
  <c r="B34402" i="1"/>
  <c r="B34403" i="1"/>
  <c r="B34404" i="1"/>
  <c r="B34405" i="1"/>
  <c r="B34406" i="1"/>
  <c r="B34407" i="1"/>
  <c r="B34408" i="1"/>
  <c r="B34409" i="1"/>
  <c r="B34410" i="1"/>
  <c r="B34411" i="1"/>
  <c r="B34412" i="1"/>
  <c r="B34413" i="1"/>
  <c r="B34414" i="1"/>
  <c r="B34415" i="1"/>
  <c r="B34416" i="1"/>
  <c r="B34417" i="1"/>
  <c r="B34418" i="1"/>
  <c r="B34419" i="1"/>
  <c r="B34420" i="1"/>
  <c r="B34421" i="1"/>
  <c r="B34422" i="1"/>
  <c r="B34423" i="1"/>
  <c r="B34424" i="1"/>
  <c r="B34425" i="1"/>
  <c r="B34426" i="1"/>
  <c r="B34427" i="1"/>
  <c r="B34428" i="1"/>
  <c r="B34429" i="1"/>
  <c r="B34430" i="1"/>
  <c r="B34431" i="1"/>
  <c r="B34432" i="1"/>
  <c r="B34433" i="1"/>
  <c r="B34434" i="1"/>
  <c r="B34435" i="1"/>
  <c r="B34436" i="1"/>
  <c r="B34437" i="1"/>
  <c r="B34438" i="1"/>
  <c r="B34439" i="1"/>
  <c r="B34440" i="1"/>
  <c r="B34441" i="1"/>
  <c r="B34442" i="1"/>
  <c r="B34443" i="1"/>
  <c r="B34444" i="1"/>
  <c r="B34445" i="1"/>
  <c r="B34446" i="1"/>
  <c r="B34447" i="1"/>
  <c r="B34448" i="1"/>
  <c r="B34449" i="1"/>
  <c r="B34450" i="1"/>
  <c r="B34451" i="1"/>
  <c r="B34452" i="1"/>
  <c r="B34453" i="1"/>
  <c r="B34454" i="1"/>
  <c r="B34455" i="1"/>
  <c r="B34456" i="1"/>
  <c r="B34457" i="1"/>
  <c r="B34458" i="1"/>
  <c r="B34459" i="1"/>
  <c r="B34460" i="1"/>
  <c r="B34461" i="1"/>
  <c r="B34462" i="1"/>
  <c r="B34463" i="1"/>
  <c r="B34464" i="1"/>
  <c r="B34465" i="1"/>
  <c r="B34466" i="1"/>
  <c r="B34467" i="1"/>
  <c r="B34468" i="1"/>
  <c r="B34469" i="1"/>
  <c r="B34470" i="1"/>
  <c r="B34471" i="1"/>
  <c r="B34472" i="1"/>
  <c r="B34473" i="1"/>
  <c r="B34474" i="1"/>
  <c r="B34475" i="1"/>
  <c r="B34476" i="1"/>
  <c r="B34477" i="1"/>
  <c r="B34478" i="1"/>
  <c r="B34479" i="1"/>
  <c r="B34480" i="1"/>
  <c r="B34481" i="1"/>
  <c r="B34482" i="1"/>
  <c r="B34483" i="1"/>
  <c r="B34484" i="1"/>
  <c r="B34485" i="1"/>
  <c r="B34486" i="1"/>
  <c r="B34487" i="1"/>
  <c r="B34488" i="1"/>
  <c r="B34489" i="1"/>
  <c r="B34490" i="1"/>
  <c r="B34491" i="1"/>
  <c r="B34492" i="1"/>
  <c r="B34493" i="1"/>
  <c r="B34494" i="1"/>
  <c r="B34495" i="1"/>
  <c r="B34496" i="1"/>
  <c r="B34497" i="1"/>
  <c r="B34498" i="1"/>
  <c r="B34499" i="1"/>
  <c r="B34500" i="1"/>
  <c r="B34501" i="1"/>
  <c r="B34502" i="1"/>
  <c r="B34503" i="1"/>
  <c r="B34504" i="1"/>
  <c r="B34505" i="1"/>
  <c r="B34506" i="1"/>
  <c r="B34507" i="1"/>
  <c r="B34508" i="1"/>
  <c r="B34509" i="1"/>
  <c r="B34510" i="1"/>
  <c r="B34511" i="1"/>
  <c r="B34512" i="1"/>
  <c r="B34513" i="1"/>
  <c r="B34514" i="1"/>
  <c r="B34515" i="1"/>
  <c r="B34516" i="1"/>
  <c r="B34517" i="1"/>
  <c r="B34518" i="1"/>
  <c r="B34519" i="1"/>
  <c r="B34520" i="1"/>
  <c r="B34521" i="1"/>
  <c r="B34522" i="1"/>
  <c r="B34523" i="1"/>
  <c r="B34524" i="1"/>
  <c r="B34525" i="1"/>
  <c r="B34526" i="1"/>
  <c r="B34527" i="1"/>
  <c r="B34528" i="1"/>
  <c r="B34529" i="1"/>
  <c r="B34530" i="1"/>
  <c r="B34531" i="1"/>
  <c r="B34532" i="1"/>
  <c r="B34533" i="1"/>
  <c r="B34534" i="1"/>
  <c r="B34535" i="1"/>
  <c r="B34536" i="1"/>
  <c r="B34537" i="1"/>
  <c r="B34538" i="1"/>
  <c r="B34539" i="1"/>
  <c r="B34540" i="1"/>
  <c r="B34541" i="1"/>
  <c r="B34542" i="1"/>
  <c r="B34543" i="1"/>
  <c r="B34544" i="1"/>
  <c r="B34545" i="1"/>
  <c r="B34546" i="1"/>
  <c r="B34547" i="1"/>
  <c r="B34548" i="1"/>
  <c r="B34549" i="1"/>
  <c r="B34550" i="1"/>
  <c r="B34551" i="1"/>
  <c r="B34552" i="1"/>
  <c r="B34553" i="1"/>
  <c r="B34554" i="1"/>
  <c r="B34555" i="1"/>
  <c r="B34556" i="1"/>
  <c r="B34557" i="1"/>
  <c r="B34558" i="1"/>
  <c r="B34559" i="1"/>
  <c r="B34560" i="1"/>
  <c r="B34561" i="1"/>
  <c r="B34562" i="1"/>
  <c r="B34563" i="1"/>
  <c r="B34564" i="1"/>
  <c r="B34565" i="1"/>
  <c r="B34566" i="1"/>
  <c r="B34567" i="1"/>
  <c r="B34568" i="1"/>
  <c r="B34569" i="1"/>
  <c r="B34570" i="1"/>
  <c r="B34571" i="1"/>
  <c r="B34572" i="1"/>
  <c r="B34573" i="1"/>
  <c r="B34574" i="1"/>
  <c r="B34575" i="1"/>
  <c r="B34576" i="1"/>
  <c r="B34577" i="1"/>
  <c r="B34578" i="1"/>
  <c r="B34579" i="1"/>
  <c r="B34580" i="1"/>
  <c r="B34581" i="1"/>
  <c r="B34582" i="1"/>
  <c r="B34583" i="1"/>
  <c r="B34584" i="1"/>
  <c r="B34585" i="1"/>
  <c r="B34586" i="1"/>
  <c r="B34587" i="1"/>
  <c r="B34588" i="1"/>
  <c r="B34589" i="1"/>
  <c r="B34590" i="1"/>
  <c r="B34591" i="1"/>
  <c r="B34592" i="1"/>
  <c r="B34593" i="1"/>
  <c r="B34594" i="1"/>
  <c r="B34595" i="1"/>
  <c r="B34596" i="1"/>
  <c r="B34597" i="1"/>
  <c r="B34598" i="1"/>
  <c r="B34599" i="1"/>
  <c r="B34600" i="1"/>
  <c r="B34601" i="1"/>
  <c r="B34602" i="1"/>
  <c r="B34603" i="1"/>
  <c r="B34604" i="1"/>
  <c r="B34605" i="1"/>
  <c r="B34606" i="1"/>
  <c r="B34607" i="1"/>
  <c r="B34608" i="1"/>
  <c r="B34609" i="1"/>
  <c r="B34610" i="1"/>
  <c r="B34611" i="1"/>
  <c r="B34612" i="1"/>
  <c r="B34613" i="1"/>
  <c r="B34614" i="1"/>
  <c r="B34615" i="1"/>
  <c r="B34616" i="1"/>
  <c r="B34617" i="1"/>
  <c r="B34618" i="1"/>
  <c r="B34619" i="1"/>
  <c r="B34620" i="1"/>
  <c r="B34621" i="1"/>
  <c r="B34622" i="1"/>
  <c r="B34623" i="1"/>
  <c r="B34624" i="1"/>
  <c r="B34625" i="1"/>
  <c r="B34626" i="1"/>
  <c r="B34627" i="1"/>
  <c r="B34628" i="1"/>
  <c r="B34629" i="1"/>
  <c r="B34630" i="1"/>
  <c r="B34631" i="1"/>
  <c r="B34632" i="1"/>
  <c r="B34633" i="1"/>
  <c r="B34634" i="1"/>
  <c r="B34635" i="1"/>
  <c r="B34636" i="1"/>
  <c r="B34637" i="1"/>
  <c r="B34638" i="1"/>
  <c r="B34639" i="1"/>
  <c r="B34640" i="1"/>
  <c r="B34641" i="1"/>
  <c r="B34642" i="1"/>
  <c r="B34643" i="1"/>
  <c r="B34644" i="1"/>
  <c r="B34645" i="1"/>
  <c r="B34646" i="1"/>
  <c r="B34647" i="1"/>
  <c r="B34648" i="1"/>
  <c r="B34649" i="1"/>
  <c r="B34650" i="1"/>
  <c r="B34651" i="1"/>
  <c r="B34652" i="1"/>
  <c r="B34653" i="1"/>
  <c r="B34654" i="1"/>
  <c r="B34655" i="1"/>
  <c r="B34656" i="1"/>
  <c r="B34657" i="1"/>
  <c r="B34658" i="1"/>
  <c r="B34659" i="1"/>
  <c r="B34660" i="1"/>
  <c r="B34661" i="1"/>
  <c r="B34662" i="1"/>
  <c r="B34663" i="1"/>
  <c r="B34664" i="1"/>
  <c r="B34665" i="1"/>
  <c r="B34666" i="1"/>
  <c r="B34667" i="1"/>
  <c r="B34668" i="1"/>
  <c r="B34669" i="1"/>
  <c r="B34670" i="1"/>
  <c r="B34671" i="1"/>
  <c r="B34672" i="1"/>
  <c r="B34673" i="1"/>
  <c r="B34674" i="1"/>
  <c r="B34675" i="1"/>
  <c r="B34676" i="1"/>
  <c r="B34677" i="1"/>
  <c r="B34678" i="1"/>
  <c r="B34679" i="1"/>
  <c r="B34680" i="1"/>
  <c r="B34681" i="1"/>
  <c r="B34682" i="1"/>
  <c r="B34683" i="1"/>
  <c r="B34684" i="1"/>
  <c r="B34685" i="1"/>
  <c r="B34686" i="1"/>
  <c r="B34687" i="1"/>
  <c r="B34688" i="1"/>
  <c r="B34689" i="1"/>
  <c r="B34690" i="1"/>
  <c r="B34691" i="1"/>
  <c r="B34692" i="1"/>
  <c r="B34693" i="1"/>
  <c r="B34694" i="1"/>
  <c r="B34695" i="1"/>
  <c r="B34696" i="1"/>
  <c r="B34697" i="1"/>
  <c r="B34698" i="1"/>
  <c r="B34699" i="1"/>
  <c r="B34700" i="1"/>
  <c r="B34701" i="1"/>
  <c r="B34702" i="1"/>
  <c r="B34703" i="1"/>
  <c r="B34704" i="1"/>
  <c r="B34705" i="1"/>
  <c r="B34706" i="1"/>
  <c r="B34707" i="1"/>
  <c r="B34708" i="1"/>
  <c r="B34709" i="1"/>
  <c r="B34710" i="1"/>
  <c r="B34711" i="1"/>
  <c r="B34712" i="1"/>
  <c r="B34713" i="1"/>
  <c r="B34714" i="1"/>
  <c r="B34715" i="1"/>
  <c r="B34716" i="1"/>
  <c r="B34717" i="1"/>
  <c r="B34718" i="1"/>
  <c r="B34719" i="1"/>
  <c r="B34720" i="1"/>
  <c r="B34721" i="1"/>
  <c r="B34722" i="1"/>
  <c r="B34723" i="1"/>
  <c r="B34724" i="1"/>
  <c r="B34725" i="1"/>
  <c r="B34726" i="1"/>
  <c r="B34727" i="1"/>
  <c r="B34728" i="1"/>
  <c r="B34729" i="1"/>
  <c r="B34730" i="1"/>
  <c r="B34731" i="1"/>
  <c r="B34732" i="1"/>
  <c r="B34733" i="1"/>
  <c r="B34734" i="1"/>
  <c r="B34735" i="1"/>
  <c r="B34736" i="1"/>
  <c r="B34737" i="1"/>
  <c r="B34738" i="1"/>
  <c r="B34739" i="1"/>
  <c r="B34740" i="1"/>
  <c r="B34741" i="1"/>
  <c r="B34742" i="1"/>
  <c r="B34743" i="1"/>
  <c r="B34744" i="1"/>
  <c r="B34745" i="1"/>
  <c r="B34746" i="1"/>
  <c r="B34747" i="1"/>
  <c r="B34748" i="1"/>
  <c r="B34749" i="1"/>
  <c r="B34750" i="1"/>
  <c r="B34751" i="1"/>
  <c r="B34752" i="1"/>
  <c r="B34753" i="1"/>
  <c r="B34754" i="1"/>
  <c r="B34755" i="1"/>
  <c r="B34756" i="1"/>
  <c r="B34757" i="1"/>
  <c r="B34758" i="1"/>
  <c r="B34759" i="1"/>
  <c r="B34760" i="1"/>
  <c r="B34761" i="1"/>
  <c r="B34762" i="1"/>
  <c r="B34763" i="1"/>
  <c r="B34764" i="1"/>
  <c r="B34765" i="1"/>
  <c r="B34766" i="1"/>
  <c r="B34767" i="1"/>
  <c r="B34768" i="1"/>
  <c r="B34769" i="1"/>
  <c r="B34770" i="1"/>
  <c r="B34771" i="1"/>
  <c r="B34772" i="1"/>
  <c r="B34773" i="1"/>
  <c r="B34774" i="1"/>
  <c r="B34775" i="1"/>
  <c r="B34776" i="1"/>
  <c r="B34777" i="1"/>
  <c r="B34778" i="1"/>
  <c r="B34779" i="1"/>
  <c r="B34780" i="1"/>
  <c r="B34781" i="1"/>
  <c r="B34782" i="1"/>
  <c r="B34783" i="1"/>
  <c r="B34784" i="1"/>
  <c r="B34785" i="1"/>
  <c r="B34786" i="1"/>
  <c r="B34787" i="1"/>
  <c r="B34788" i="1"/>
  <c r="B34789" i="1"/>
  <c r="B34790" i="1"/>
  <c r="B34791" i="1"/>
  <c r="B34792" i="1"/>
  <c r="B34793" i="1"/>
  <c r="B34794" i="1"/>
  <c r="B34795" i="1"/>
  <c r="B34796" i="1"/>
  <c r="B34797" i="1"/>
  <c r="B34798" i="1"/>
  <c r="B34799" i="1"/>
  <c r="B34800" i="1"/>
  <c r="B34801" i="1"/>
  <c r="B34802" i="1"/>
  <c r="B34803" i="1"/>
  <c r="B34804" i="1"/>
  <c r="B34805" i="1"/>
  <c r="B34806" i="1"/>
  <c r="B34807" i="1"/>
  <c r="B34808" i="1"/>
  <c r="B34809" i="1"/>
  <c r="B34810" i="1"/>
  <c r="B34811" i="1"/>
  <c r="B34812" i="1"/>
  <c r="B34813" i="1"/>
  <c r="B34814" i="1"/>
  <c r="B34815" i="1"/>
  <c r="B34816" i="1"/>
  <c r="B34817" i="1"/>
  <c r="B34818" i="1"/>
  <c r="B34819" i="1"/>
  <c r="B34820" i="1"/>
  <c r="B34821" i="1"/>
  <c r="B34822" i="1"/>
  <c r="B34823" i="1"/>
  <c r="B34824" i="1"/>
  <c r="B34825" i="1"/>
  <c r="B34826" i="1"/>
  <c r="B34827" i="1"/>
  <c r="B34828" i="1"/>
  <c r="B34829" i="1"/>
  <c r="B34830" i="1"/>
  <c r="B34831" i="1"/>
  <c r="B34832" i="1"/>
  <c r="B34833" i="1"/>
  <c r="B34834" i="1"/>
  <c r="B34835" i="1"/>
  <c r="B34836" i="1"/>
  <c r="B34837" i="1"/>
  <c r="B34838" i="1"/>
  <c r="B34839" i="1"/>
  <c r="B34840" i="1"/>
  <c r="B34841" i="1"/>
  <c r="B34842" i="1"/>
  <c r="B34843" i="1"/>
  <c r="B34844" i="1"/>
  <c r="B34845" i="1"/>
  <c r="B34846" i="1"/>
  <c r="B34847" i="1"/>
  <c r="B34848" i="1"/>
  <c r="B34849" i="1"/>
  <c r="B34850" i="1"/>
  <c r="B34851" i="1"/>
  <c r="B34852" i="1"/>
  <c r="B34853" i="1"/>
  <c r="B34854" i="1"/>
  <c r="B34855" i="1"/>
  <c r="B34856" i="1"/>
  <c r="B34857" i="1"/>
  <c r="B34858" i="1"/>
  <c r="B34859" i="1"/>
  <c r="B34860" i="1"/>
  <c r="B34861" i="1"/>
  <c r="B34862" i="1"/>
  <c r="B34863" i="1"/>
  <c r="B34864" i="1"/>
  <c r="B34865" i="1"/>
  <c r="B34866" i="1"/>
  <c r="B34867" i="1"/>
  <c r="B34868" i="1"/>
  <c r="B34869" i="1"/>
  <c r="B34870" i="1"/>
  <c r="B34871" i="1"/>
  <c r="B34872" i="1"/>
  <c r="B34873" i="1"/>
  <c r="B34874" i="1"/>
  <c r="B34875" i="1"/>
  <c r="B34876" i="1"/>
  <c r="B34877" i="1"/>
  <c r="B34878" i="1"/>
  <c r="B34879" i="1"/>
  <c r="B34880" i="1"/>
  <c r="B34881" i="1"/>
  <c r="B34882" i="1"/>
  <c r="B34883" i="1"/>
  <c r="B34884" i="1"/>
  <c r="B34885" i="1"/>
  <c r="B34886" i="1"/>
  <c r="B34887" i="1"/>
  <c r="B34888" i="1"/>
  <c r="B34889" i="1"/>
  <c r="B34890" i="1"/>
  <c r="B34891" i="1"/>
  <c r="B34892" i="1"/>
  <c r="B34893" i="1"/>
  <c r="B34894" i="1"/>
  <c r="B34895" i="1"/>
  <c r="B34896" i="1"/>
  <c r="B34897" i="1"/>
  <c r="B34898" i="1"/>
  <c r="B34899" i="1"/>
  <c r="B34900" i="1"/>
  <c r="B34901" i="1"/>
  <c r="B34902" i="1"/>
  <c r="B34903" i="1"/>
  <c r="B34904" i="1"/>
  <c r="B34905" i="1"/>
  <c r="B34906" i="1"/>
  <c r="B34907" i="1"/>
  <c r="B34908" i="1"/>
  <c r="B34909" i="1"/>
  <c r="B34910" i="1"/>
  <c r="B34911" i="1"/>
  <c r="B34912" i="1"/>
  <c r="B34913" i="1"/>
  <c r="B34914" i="1"/>
  <c r="B34915" i="1"/>
  <c r="B34916" i="1"/>
  <c r="B34917" i="1"/>
  <c r="B34918" i="1"/>
  <c r="B34919" i="1"/>
  <c r="B34920" i="1"/>
  <c r="B34921" i="1"/>
  <c r="B34922" i="1"/>
  <c r="B34923" i="1"/>
  <c r="B34924" i="1"/>
  <c r="B34925" i="1"/>
  <c r="B34926" i="1"/>
  <c r="B34927" i="1"/>
  <c r="B34928" i="1"/>
  <c r="B34929" i="1"/>
  <c r="B34930" i="1"/>
  <c r="B34931" i="1"/>
  <c r="B34932" i="1"/>
  <c r="B34933" i="1"/>
  <c r="B34934" i="1"/>
  <c r="B34935" i="1"/>
  <c r="B34936" i="1"/>
  <c r="B34937" i="1"/>
  <c r="B34938" i="1"/>
  <c r="B34939" i="1"/>
  <c r="B34940" i="1"/>
  <c r="B34941" i="1"/>
  <c r="B34942" i="1"/>
  <c r="B34943" i="1"/>
  <c r="B34944" i="1"/>
  <c r="B34945" i="1"/>
  <c r="B34946" i="1"/>
  <c r="B34947" i="1"/>
  <c r="B34948" i="1"/>
  <c r="B34949" i="1"/>
  <c r="B34950" i="1"/>
  <c r="B34951" i="1"/>
  <c r="B34952" i="1"/>
  <c r="B34953" i="1"/>
  <c r="B34954" i="1"/>
  <c r="B34955" i="1"/>
  <c r="B34956" i="1"/>
  <c r="B34957" i="1"/>
  <c r="B34958" i="1"/>
  <c r="B34959" i="1"/>
  <c r="B34960" i="1"/>
  <c r="B34961" i="1"/>
  <c r="B34962" i="1"/>
  <c r="B34963" i="1"/>
  <c r="B34964" i="1"/>
  <c r="B34965" i="1"/>
  <c r="B34966" i="1"/>
  <c r="B34967" i="1"/>
  <c r="B34968" i="1"/>
  <c r="B34969" i="1"/>
  <c r="B34970" i="1"/>
  <c r="B34971" i="1"/>
  <c r="B34972" i="1"/>
  <c r="B34973" i="1"/>
  <c r="B34974" i="1"/>
  <c r="B34975" i="1"/>
  <c r="B34976" i="1"/>
  <c r="B34977" i="1"/>
  <c r="B34978" i="1"/>
  <c r="B34979" i="1"/>
  <c r="B34980" i="1"/>
  <c r="B34981" i="1"/>
  <c r="B34982" i="1"/>
  <c r="B34983" i="1"/>
  <c r="B34984" i="1"/>
  <c r="B34985" i="1"/>
  <c r="B34986" i="1"/>
  <c r="B34987" i="1"/>
  <c r="B34988" i="1"/>
  <c r="B34989" i="1"/>
  <c r="B34990" i="1"/>
  <c r="B34991" i="1"/>
  <c r="B34992" i="1"/>
  <c r="B34993" i="1"/>
  <c r="B34994" i="1"/>
  <c r="B34995" i="1"/>
  <c r="B34996" i="1"/>
  <c r="B34997" i="1"/>
  <c r="B34998" i="1"/>
  <c r="B34999" i="1"/>
  <c r="B35000" i="1"/>
  <c r="B35001" i="1"/>
  <c r="B35002" i="1"/>
  <c r="B35003" i="1"/>
  <c r="B35004" i="1"/>
  <c r="B35005" i="1"/>
  <c r="B35006" i="1"/>
  <c r="B35007" i="1"/>
  <c r="B35008" i="1"/>
  <c r="B35009" i="1"/>
  <c r="B35010" i="1"/>
  <c r="B35011" i="1"/>
  <c r="B35012" i="1"/>
  <c r="B35013" i="1"/>
  <c r="B35014" i="1"/>
  <c r="B35015" i="1"/>
  <c r="B35016" i="1"/>
  <c r="B35017" i="1"/>
  <c r="B35018" i="1"/>
  <c r="B35019" i="1"/>
  <c r="B35020" i="1"/>
  <c r="B35021" i="1"/>
  <c r="B35022" i="1"/>
  <c r="B35023" i="1"/>
  <c r="B35024" i="1"/>
  <c r="B35025" i="1"/>
  <c r="B35026" i="1"/>
  <c r="B35027" i="1"/>
  <c r="B35028" i="1"/>
  <c r="B35029" i="1"/>
  <c r="B35030" i="1"/>
  <c r="B35031" i="1"/>
  <c r="B35032" i="1"/>
  <c r="B35033" i="1"/>
  <c r="B35034" i="1"/>
  <c r="B35035" i="1"/>
  <c r="B35036" i="1"/>
  <c r="B35037" i="1"/>
  <c r="B35038" i="1"/>
  <c r="B35039" i="1"/>
  <c r="B35040" i="1"/>
  <c r="B35041" i="1"/>
  <c r="B35042" i="1"/>
  <c r="B35043" i="1"/>
  <c r="B35044" i="1"/>
  <c r="B35045" i="1"/>
  <c r="B35046" i="1"/>
  <c r="B35047" i="1"/>
  <c r="B35048" i="1"/>
  <c r="B35049" i="1"/>
  <c r="B35050" i="1"/>
  <c r="B35051" i="1"/>
  <c r="B35052" i="1"/>
  <c r="B35053" i="1"/>
  <c r="B35054" i="1"/>
  <c r="B35055" i="1"/>
  <c r="B35056" i="1"/>
  <c r="B35057" i="1"/>
  <c r="B35058" i="1"/>
  <c r="B35059" i="1"/>
  <c r="B35060" i="1"/>
  <c r="B35061" i="1"/>
  <c r="B35062" i="1"/>
  <c r="B35063" i="1"/>
  <c r="B35064" i="1"/>
  <c r="B35065" i="1"/>
  <c r="B35066" i="1"/>
  <c r="B35067" i="1"/>
  <c r="B35068" i="1"/>
  <c r="B35069" i="1"/>
  <c r="B35070" i="1"/>
  <c r="B35071" i="1"/>
  <c r="B35072" i="1"/>
  <c r="B35073" i="1"/>
  <c r="B35074" i="1"/>
  <c r="B35075" i="1"/>
  <c r="B35076" i="1"/>
  <c r="B35077" i="1"/>
  <c r="B35078" i="1"/>
  <c r="B35079" i="1"/>
  <c r="B35080" i="1"/>
  <c r="B35081" i="1"/>
  <c r="B35082" i="1"/>
  <c r="B35083" i="1"/>
  <c r="B35084" i="1"/>
  <c r="B35085" i="1"/>
  <c r="B35086" i="1"/>
  <c r="B35087" i="1"/>
  <c r="B35088" i="1"/>
  <c r="B35089" i="1"/>
  <c r="B35090" i="1"/>
  <c r="B35091" i="1"/>
  <c r="B35092" i="1"/>
  <c r="B35093" i="1"/>
  <c r="B35094" i="1"/>
  <c r="B35095" i="1"/>
  <c r="B35096" i="1"/>
  <c r="B35097" i="1"/>
  <c r="B35098" i="1"/>
  <c r="B35099" i="1"/>
  <c r="B35100" i="1"/>
  <c r="B35101" i="1"/>
  <c r="B35102" i="1"/>
  <c r="B35103" i="1"/>
  <c r="B35104" i="1"/>
  <c r="B35105" i="1"/>
  <c r="B35106" i="1"/>
  <c r="B35107" i="1"/>
  <c r="B35108" i="1"/>
  <c r="B35109" i="1"/>
  <c r="B35110" i="1"/>
  <c r="B35111" i="1"/>
  <c r="B35112" i="1"/>
  <c r="B35113" i="1"/>
  <c r="B35114" i="1"/>
  <c r="B35115" i="1"/>
  <c r="B35116" i="1"/>
  <c r="B35117" i="1"/>
  <c r="B35118" i="1"/>
  <c r="B35119" i="1"/>
  <c r="B35120" i="1"/>
  <c r="B35121" i="1"/>
  <c r="B35122" i="1"/>
  <c r="B35123" i="1"/>
  <c r="B35124" i="1"/>
  <c r="B35125" i="1"/>
  <c r="B35126" i="1"/>
  <c r="B35127" i="1"/>
  <c r="B35128" i="1"/>
  <c r="B35129" i="1"/>
  <c r="B35130" i="1"/>
  <c r="B35131" i="1"/>
  <c r="B35132" i="1"/>
  <c r="B35133" i="1"/>
  <c r="B35134" i="1"/>
  <c r="B35135" i="1"/>
  <c r="B35136" i="1"/>
  <c r="B35137" i="1"/>
  <c r="B35138" i="1"/>
  <c r="B35139" i="1"/>
  <c r="B35140" i="1"/>
  <c r="B35141" i="1"/>
  <c r="B35142" i="1"/>
  <c r="B35143" i="1"/>
  <c r="B35144" i="1"/>
  <c r="B35145" i="1"/>
  <c r="B35146" i="1"/>
  <c r="B35147" i="1"/>
  <c r="B35148" i="1"/>
  <c r="B35149" i="1"/>
  <c r="B35150" i="1"/>
  <c r="B35151" i="1"/>
  <c r="B35152" i="1"/>
  <c r="B35153" i="1"/>
  <c r="B35154" i="1"/>
  <c r="B35155" i="1"/>
  <c r="B35156" i="1"/>
  <c r="B35157" i="1"/>
  <c r="B35158" i="1"/>
  <c r="B35159" i="1"/>
  <c r="B35160" i="1"/>
  <c r="B35161" i="1"/>
  <c r="B35162" i="1"/>
  <c r="B35163" i="1"/>
  <c r="B35164" i="1"/>
  <c r="B35165" i="1"/>
  <c r="B35166" i="1"/>
  <c r="B35167" i="1"/>
  <c r="B35168" i="1"/>
  <c r="B35169" i="1"/>
  <c r="B35170" i="1"/>
  <c r="B35171" i="1"/>
  <c r="B35172" i="1"/>
  <c r="B35173" i="1"/>
  <c r="B35174" i="1"/>
  <c r="B35175" i="1"/>
  <c r="B35176" i="1"/>
  <c r="B35177" i="1"/>
  <c r="B35178" i="1"/>
  <c r="B35179" i="1"/>
  <c r="B35180" i="1"/>
  <c r="B35181" i="1"/>
  <c r="B35182" i="1"/>
  <c r="B35183" i="1"/>
  <c r="B35184" i="1"/>
  <c r="B35185" i="1"/>
  <c r="B35186" i="1"/>
  <c r="B35187" i="1"/>
  <c r="B35188" i="1"/>
  <c r="B35189" i="1"/>
  <c r="B35190" i="1"/>
  <c r="B35191" i="1"/>
  <c r="B35192" i="1"/>
  <c r="B35193" i="1"/>
  <c r="B35194" i="1"/>
  <c r="B35195" i="1"/>
  <c r="B35196" i="1"/>
  <c r="B35197" i="1"/>
  <c r="B35198" i="1"/>
  <c r="B35199" i="1"/>
  <c r="B35200" i="1"/>
  <c r="B35201" i="1"/>
  <c r="B35202" i="1"/>
  <c r="B35203" i="1"/>
  <c r="B35204" i="1"/>
  <c r="B35205" i="1"/>
  <c r="B35206" i="1"/>
  <c r="B35207" i="1"/>
  <c r="B35208" i="1"/>
  <c r="B35209" i="1"/>
  <c r="B35210" i="1"/>
  <c r="B35211" i="1"/>
  <c r="B35212" i="1"/>
  <c r="B35213" i="1"/>
  <c r="B35214" i="1"/>
  <c r="B35215" i="1"/>
  <c r="B35216" i="1"/>
  <c r="B35217" i="1"/>
  <c r="B35218" i="1"/>
  <c r="B35219" i="1"/>
  <c r="B35220" i="1"/>
  <c r="B35221" i="1"/>
  <c r="B35222" i="1"/>
  <c r="B35223" i="1"/>
  <c r="B35224" i="1"/>
  <c r="B35225" i="1"/>
  <c r="B35226" i="1"/>
  <c r="B35227" i="1"/>
  <c r="B35228" i="1"/>
  <c r="B35229" i="1"/>
  <c r="B35230" i="1"/>
  <c r="B35231" i="1"/>
  <c r="B35232" i="1"/>
  <c r="B35233" i="1"/>
  <c r="B35234" i="1"/>
  <c r="B35235" i="1"/>
  <c r="B35236" i="1"/>
  <c r="B35237" i="1"/>
  <c r="B35238" i="1"/>
  <c r="B35239" i="1"/>
  <c r="B35240" i="1"/>
  <c r="B35241" i="1"/>
  <c r="B35242" i="1"/>
  <c r="B35243" i="1"/>
  <c r="B35244" i="1"/>
  <c r="B35245" i="1"/>
  <c r="B35246" i="1"/>
  <c r="B35247" i="1"/>
  <c r="B35248" i="1"/>
  <c r="B35249" i="1"/>
  <c r="B35250" i="1"/>
  <c r="B35251" i="1"/>
  <c r="B35252" i="1"/>
  <c r="B35253" i="1"/>
  <c r="B35254" i="1"/>
  <c r="B35255" i="1"/>
  <c r="B35256" i="1"/>
  <c r="B35257" i="1"/>
  <c r="B35258" i="1"/>
  <c r="B35259" i="1"/>
  <c r="B35260" i="1"/>
  <c r="B35261" i="1"/>
  <c r="B35262" i="1"/>
  <c r="B35263" i="1"/>
  <c r="B35264" i="1"/>
  <c r="B35265" i="1"/>
  <c r="B35266" i="1"/>
  <c r="B35267" i="1"/>
  <c r="B35268" i="1"/>
  <c r="B35269" i="1"/>
  <c r="B35270" i="1"/>
  <c r="B35271" i="1"/>
  <c r="B35272" i="1"/>
  <c r="B35273" i="1"/>
  <c r="B35274" i="1"/>
  <c r="B35275" i="1"/>
  <c r="B35276" i="1"/>
  <c r="B35277" i="1"/>
  <c r="B35278" i="1"/>
  <c r="B35279" i="1"/>
  <c r="B35280" i="1"/>
  <c r="B35281" i="1"/>
  <c r="B35282" i="1"/>
  <c r="B35283" i="1"/>
  <c r="B35284" i="1"/>
  <c r="B35285" i="1"/>
  <c r="B35286" i="1"/>
  <c r="B35287" i="1"/>
  <c r="B35288" i="1"/>
  <c r="B35289" i="1"/>
  <c r="B35290" i="1"/>
  <c r="B35291" i="1"/>
  <c r="B35292" i="1"/>
  <c r="B35293" i="1"/>
  <c r="B35294" i="1"/>
  <c r="B35295" i="1"/>
  <c r="B35296" i="1"/>
  <c r="B35297" i="1"/>
  <c r="B35298" i="1"/>
  <c r="B35299" i="1"/>
  <c r="B35300" i="1"/>
  <c r="B35301" i="1"/>
  <c r="B35302" i="1"/>
  <c r="B35303" i="1"/>
  <c r="B35304" i="1"/>
  <c r="B35305" i="1"/>
  <c r="B35306" i="1"/>
  <c r="B35307" i="1"/>
  <c r="B35308" i="1"/>
  <c r="B35309" i="1"/>
  <c r="B35310" i="1"/>
  <c r="B35311" i="1"/>
  <c r="B35312" i="1"/>
  <c r="B35313" i="1"/>
  <c r="B35314" i="1"/>
  <c r="B35315" i="1"/>
  <c r="B35316" i="1"/>
  <c r="B35317" i="1"/>
  <c r="B35318" i="1"/>
  <c r="B35319" i="1"/>
  <c r="B35320" i="1"/>
  <c r="B35321" i="1"/>
  <c r="B35322" i="1"/>
  <c r="B35323" i="1"/>
  <c r="B35324" i="1"/>
  <c r="B35325" i="1"/>
  <c r="B35326" i="1"/>
  <c r="B35327" i="1"/>
  <c r="B35328" i="1"/>
  <c r="B35329" i="1"/>
  <c r="B35330" i="1"/>
  <c r="B35331" i="1"/>
  <c r="B35332" i="1"/>
  <c r="B35333" i="1"/>
  <c r="B35334" i="1"/>
  <c r="B35335" i="1"/>
  <c r="B35336" i="1"/>
  <c r="B35337" i="1"/>
  <c r="B35338" i="1"/>
  <c r="B35339" i="1"/>
  <c r="B35340" i="1"/>
  <c r="B35341" i="1"/>
  <c r="B35342" i="1"/>
  <c r="B35343" i="1"/>
  <c r="B35344" i="1"/>
  <c r="B35345" i="1"/>
  <c r="B35346" i="1"/>
  <c r="B35347" i="1"/>
  <c r="B35348" i="1"/>
  <c r="B35349" i="1"/>
  <c r="B35350" i="1"/>
  <c r="B35351" i="1"/>
  <c r="B35352" i="1"/>
  <c r="B35353" i="1"/>
  <c r="B35354" i="1"/>
  <c r="B35355" i="1"/>
  <c r="B35356" i="1"/>
  <c r="B35357" i="1"/>
  <c r="B35358" i="1"/>
  <c r="B35359" i="1"/>
  <c r="B35360" i="1"/>
  <c r="B35361" i="1"/>
  <c r="B35362" i="1"/>
  <c r="B35363" i="1"/>
  <c r="B35364" i="1"/>
  <c r="B35365" i="1"/>
  <c r="B35366" i="1"/>
  <c r="B35367" i="1"/>
  <c r="B35368" i="1"/>
  <c r="B35369" i="1"/>
  <c r="B35370" i="1"/>
  <c r="B35371" i="1"/>
  <c r="B35372" i="1"/>
  <c r="B35373" i="1"/>
  <c r="B35374" i="1"/>
  <c r="B35375" i="1"/>
  <c r="B35376" i="1"/>
  <c r="B35377" i="1"/>
  <c r="B35378" i="1"/>
  <c r="B35379" i="1"/>
  <c r="B35380" i="1"/>
  <c r="B35381" i="1"/>
  <c r="B35382" i="1"/>
  <c r="B35383" i="1"/>
  <c r="B35384" i="1"/>
  <c r="B35385" i="1"/>
  <c r="B35386" i="1"/>
  <c r="B35387" i="1"/>
  <c r="B35388" i="1"/>
  <c r="B35389" i="1"/>
  <c r="B35390" i="1"/>
  <c r="B35391" i="1"/>
  <c r="B35392" i="1"/>
  <c r="B35393" i="1"/>
  <c r="B35394" i="1"/>
  <c r="B35395" i="1"/>
  <c r="B35396" i="1"/>
  <c r="B35397" i="1"/>
  <c r="B35398" i="1"/>
  <c r="B35399" i="1"/>
  <c r="B35400" i="1"/>
  <c r="B35401" i="1"/>
  <c r="B35402" i="1"/>
  <c r="B35403" i="1"/>
  <c r="B35404" i="1"/>
  <c r="B35405" i="1"/>
  <c r="B35406" i="1"/>
  <c r="B35407" i="1"/>
  <c r="B35408" i="1"/>
  <c r="B35409" i="1"/>
  <c r="B35410" i="1"/>
  <c r="B35411" i="1"/>
  <c r="B35412" i="1"/>
  <c r="B35413" i="1"/>
  <c r="B35414" i="1"/>
  <c r="B35415" i="1"/>
  <c r="B35416" i="1"/>
  <c r="B35417" i="1"/>
  <c r="B35418" i="1"/>
  <c r="B35419" i="1"/>
  <c r="B35420" i="1"/>
  <c r="B35421" i="1"/>
  <c r="B35422" i="1"/>
  <c r="B35423" i="1"/>
  <c r="B35424" i="1"/>
  <c r="B35425" i="1"/>
  <c r="B35426" i="1"/>
  <c r="B35427" i="1"/>
  <c r="B35428" i="1"/>
  <c r="B35429" i="1"/>
  <c r="B35430" i="1"/>
  <c r="B35431" i="1"/>
  <c r="B35432" i="1"/>
  <c r="B35433" i="1"/>
  <c r="B35434" i="1"/>
  <c r="B35435" i="1"/>
  <c r="B35436" i="1"/>
  <c r="B35437" i="1"/>
  <c r="B35438" i="1"/>
  <c r="B35439" i="1"/>
  <c r="B35440" i="1"/>
  <c r="B35441" i="1"/>
  <c r="B35442" i="1"/>
  <c r="B35443" i="1"/>
  <c r="B35444" i="1"/>
  <c r="B35445" i="1"/>
  <c r="B35446" i="1"/>
  <c r="B35447" i="1"/>
  <c r="B35448" i="1"/>
  <c r="B35449" i="1"/>
  <c r="B35450" i="1"/>
  <c r="B35451" i="1"/>
  <c r="B35452" i="1"/>
  <c r="B35453" i="1"/>
  <c r="B35454" i="1"/>
  <c r="B35455" i="1"/>
  <c r="B35456" i="1"/>
  <c r="B35457" i="1"/>
  <c r="B35458" i="1"/>
  <c r="B35459" i="1"/>
  <c r="B35460" i="1"/>
  <c r="B35461" i="1"/>
  <c r="B35462" i="1"/>
  <c r="B35463" i="1"/>
  <c r="B35464" i="1"/>
  <c r="B35465" i="1"/>
  <c r="B35466" i="1"/>
  <c r="B35467" i="1"/>
  <c r="B35468" i="1"/>
  <c r="B35469" i="1"/>
  <c r="B35470" i="1"/>
  <c r="B35471" i="1"/>
  <c r="B35472" i="1"/>
  <c r="B35473" i="1"/>
  <c r="B35474" i="1"/>
  <c r="B35475" i="1"/>
  <c r="B35476" i="1"/>
  <c r="B35477" i="1"/>
  <c r="B35478" i="1"/>
  <c r="B35479" i="1"/>
  <c r="B35480" i="1"/>
  <c r="B35481" i="1"/>
  <c r="B35482" i="1"/>
  <c r="B35483" i="1"/>
  <c r="B35484" i="1"/>
  <c r="B35485" i="1"/>
  <c r="B35486" i="1"/>
  <c r="B35487" i="1"/>
  <c r="B35488" i="1"/>
  <c r="B35489" i="1"/>
  <c r="B35490" i="1"/>
  <c r="B35491" i="1"/>
  <c r="B35492" i="1"/>
  <c r="B35493" i="1"/>
  <c r="B35494" i="1"/>
  <c r="B35495" i="1"/>
  <c r="B35496" i="1"/>
  <c r="B35497" i="1"/>
  <c r="B35498" i="1"/>
  <c r="B35499" i="1"/>
  <c r="B35500" i="1"/>
  <c r="B35501" i="1"/>
  <c r="B35502" i="1"/>
  <c r="B35503" i="1"/>
  <c r="B35504" i="1"/>
  <c r="B35505" i="1"/>
  <c r="B35506" i="1"/>
  <c r="B35507" i="1"/>
  <c r="B35508" i="1"/>
  <c r="B35509" i="1"/>
  <c r="B35510" i="1"/>
  <c r="B35511" i="1"/>
  <c r="B35512" i="1"/>
  <c r="B35513" i="1"/>
  <c r="B35514" i="1"/>
  <c r="B35515" i="1"/>
  <c r="B35516" i="1"/>
  <c r="B35517" i="1"/>
  <c r="B35518" i="1"/>
  <c r="B35519" i="1"/>
  <c r="B35520" i="1"/>
  <c r="B35521" i="1"/>
  <c r="B35522" i="1"/>
  <c r="B35523" i="1"/>
  <c r="B35524" i="1"/>
  <c r="B35525" i="1"/>
  <c r="B35526" i="1"/>
  <c r="B35527" i="1"/>
  <c r="B35528" i="1"/>
  <c r="B35529" i="1"/>
  <c r="B35530" i="1"/>
  <c r="B35531" i="1"/>
  <c r="B35532" i="1"/>
  <c r="B35533" i="1"/>
  <c r="B35534" i="1"/>
  <c r="B35535" i="1"/>
  <c r="B35536" i="1"/>
  <c r="B35537" i="1"/>
  <c r="B35538" i="1"/>
  <c r="B35539" i="1"/>
  <c r="B35540" i="1"/>
  <c r="B35541" i="1"/>
  <c r="B35542" i="1"/>
  <c r="B35543" i="1"/>
  <c r="B35544" i="1"/>
  <c r="B35545" i="1"/>
  <c r="B35546" i="1"/>
  <c r="B35547" i="1"/>
  <c r="B35548" i="1"/>
  <c r="B35549" i="1"/>
  <c r="B35550" i="1"/>
  <c r="B35551" i="1"/>
  <c r="B35552" i="1"/>
  <c r="B35553" i="1"/>
  <c r="B35554" i="1"/>
  <c r="B35555" i="1"/>
  <c r="B35556" i="1"/>
  <c r="B35557" i="1"/>
  <c r="B35558" i="1"/>
  <c r="B35559" i="1"/>
  <c r="B35560" i="1"/>
  <c r="B35561" i="1"/>
  <c r="B35562" i="1"/>
  <c r="B35563" i="1"/>
  <c r="B35564" i="1"/>
  <c r="B35565" i="1"/>
  <c r="B35566" i="1"/>
  <c r="B35567" i="1"/>
  <c r="B35568" i="1"/>
  <c r="B35569" i="1"/>
  <c r="B35570" i="1"/>
  <c r="B35571" i="1"/>
  <c r="B35572" i="1"/>
  <c r="B35573" i="1"/>
  <c r="B35574" i="1"/>
  <c r="B35575" i="1"/>
  <c r="B35576" i="1"/>
  <c r="B35577" i="1"/>
  <c r="B35578" i="1"/>
  <c r="B35579" i="1"/>
  <c r="B35580" i="1"/>
  <c r="B35581" i="1"/>
  <c r="B35582" i="1"/>
  <c r="B35583" i="1"/>
  <c r="B35584" i="1"/>
  <c r="B35585" i="1"/>
  <c r="B35586" i="1"/>
  <c r="B35587" i="1"/>
  <c r="B35588" i="1"/>
  <c r="B35589" i="1"/>
  <c r="B35590" i="1"/>
  <c r="B35591" i="1"/>
  <c r="B35592" i="1"/>
  <c r="B35593" i="1"/>
  <c r="B35594" i="1"/>
  <c r="B35595" i="1"/>
  <c r="B35596" i="1"/>
  <c r="B35597" i="1"/>
  <c r="B35598" i="1"/>
  <c r="B35599" i="1"/>
  <c r="B35600" i="1"/>
  <c r="B35601" i="1"/>
  <c r="B35602" i="1"/>
  <c r="B35603" i="1"/>
  <c r="B35604" i="1"/>
  <c r="B35605" i="1"/>
  <c r="B35606" i="1"/>
  <c r="B35607" i="1"/>
  <c r="B35608" i="1"/>
  <c r="B35609" i="1"/>
  <c r="B35610" i="1"/>
  <c r="B35611" i="1"/>
  <c r="B35612" i="1"/>
  <c r="B35613" i="1"/>
  <c r="B35614" i="1"/>
  <c r="B35615" i="1"/>
  <c r="B35616" i="1"/>
  <c r="B35617" i="1"/>
  <c r="B35618" i="1"/>
  <c r="B35619" i="1"/>
  <c r="B35620" i="1"/>
  <c r="B35621" i="1"/>
  <c r="B35622" i="1"/>
  <c r="B35623" i="1"/>
  <c r="B35624" i="1"/>
  <c r="B35625" i="1"/>
  <c r="B35626" i="1"/>
  <c r="B35627" i="1"/>
  <c r="B35628" i="1"/>
  <c r="B35629" i="1"/>
  <c r="B35630" i="1"/>
  <c r="B35631" i="1"/>
  <c r="B35632" i="1"/>
  <c r="B35633" i="1"/>
  <c r="B35634" i="1"/>
  <c r="B35635" i="1"/>
  <c r="B35636" i="1"/>
  <c r="B35637" i="1"/>
  <c r="B35638" i="1"/>
  <c r="B35639" i="1"/>
  <c r="B35640" i="1"/>
  <c r="B35641" i="1"/>
  <c r="B35642" i="1"/>
  <c r="B35643" i="1"/>
  <c r="B35644" i="1"/>
  <c r="B35645" i="1"/>
  <c r="B35646" i="1"/>
  <c r="B35647" i="1"/>
  <c r="B35648" i="1"/>
  <c r="B35649" i="1"/>
  <c r="B35650" i="1"/>
  <c r="B35651" i="1"/>
  <c r="B35652" i="1"/>
  <c r="B35653" i="1"/>
  <c r="B35654" i="1"/>
  <c r="B35655" i="1"/>
  <c r="B35656" i="1"/>
  <c r="B35657" i="1"/>
  <c r="B35658" i="1"/>
  <c r="B35659" i="1"/>
  <c r="B35660" i="1"/>
  <c r="B35661" i="1"/>
  <c r="B35662" i="1"/>
  <c r="B35663" i="1"/>
  <c r="B35664" i="1"/>
  <c r="B35665" i="1"/>
  <c r="B35666" i="1"/>
  <c r="B35667" i="1"/>
  <c r="B35668" i="1"/>
  <c r="B35669" i="1"/>
  <c r="B35670" i="1"/>
  <c r="B35671" i="1"/>
  <c r="B35672" i="1"/>
  <c r="B35673" i="1"/>
  <c r="B35674" i="1"/>
  <c r="B35675" i="1"/>
  <c r="B35676" i="1"/>
  <c r="B35677" i="1"/>
  <c r="B35678" i="1"/>
  <c r="B35679" i="1"/>
  <c r="B35680" i="1"/>
  <c r="B35681" i="1"/>
  <c r="B35682" i="1"/>
  <c r="B35683" i="1"/>
  <c r="B35684" i="1"/>
  <c r="B35685" i="1"/>
  <c r="B35686" i="1"/>
  <c r="B35687" i="1"/>
  <c r="B35688" i="1"/>
  <c r="B35689" i="1"/>
  <c r="B35690" i="1"/>
  <c r="B35691" i="1"/>
  <c r="B35692" i="1"/>
  <c r="B35693" i="1"/>
  <c r="B35694" i="1"/>
  <c r="B35695" i="1"/>
  <c r="B35696" i="1"/>
  <c r="B35697" i="1"/>
  <c r="B35698" i="1"/>
  <c r="B35699" i="1"/>
  <c r="B35700" i="1"/>
  <c r="B35701" i="1"/>
  <c r="B35702" i="1"/>
  <c r="B35703" i="1"/>
  <c r="B35704" i="1"/>
  <c r="B35705" i="1"/>
  <c r="B35706" i="1"/>
  <c r="B35707" i="1"/>
  <c r="B35708" i="1"/>
  <c r="B35709" i="1"/>
  <c r="B35710" i="1"/>
  <c r="B35711" i="1"/>
  <c r="B35712" i="1"/>
  <c r="B35713" i="1"/>
  <c r="B35714" i="1"/>
  <c r="B35715" i="1"/>
  <c r="B35716" i="1"/>
  <c r="B35717" i="1"/>
  <c r="B35718" i="1"/>
  <c r="B35719" i="1"/>
  <c r="B35720" i="1"/>
  <c r="B35721" i="1"/>
  <c r="B35722" i="1"/>
  <c r="B35723" i="1"/>
  <c r="B35724" i="1"/>
  <c r="B35725" i="1"/>
  <c r="B35726" i="1"/>
  <c r="B35727" i="1"/>
  <c r="B35728" i="1"/>
  <c r="B35729" i="1"/>
  <c r="B35730" i="1"/>
  <c r="B35731" i="1"/>
  <c r="B35732" i="1"/>
  <c r="B35733" i="1"/>
  <c r="B35734" i="1"/>
  <c r="B35735" i="1"/>
  <c r="B35736" i="1"/>
  <c r="B35737" i="1"/>
  <c r="B35738" i="1"/>
  <c r="B35739" i="1"/>
  <c r="B35740" i="1"/>
  <c r="B35741" i="1"/>
  <c r="B35742" i="1"/>
  <c r="B35743" i="1"/>
  <c r="B35744" i="1"/>
  <c r="B35745" i="1"/>
  <c r="B35746" i="1"/>
  <c r="B35747" i="1"/>
  <c r="B35748" i="1"/>
  <c r="B35749" i="1"/>
  <c r="B35750" i="1"/>
  <c r="B35751" i="1"/>
  <c r="B35752" i="1"/>
  <c r="B35753" i="1"/>
  <c r="B35754" i="1"/>
  <c r="B35755" i="1"/>
  <c r="B35756" i="1"/>
  <c r="B35757" i="1"/>
  <c r="B35758" i="1"/>
  <c r="B35759" i="1"/>
  <c r="B35760" i="1"/>
  <c r="B35761" i="1"/>
  <c r="B35762" i="1"/>
  <c r="B35763" i="1"/>
  <c r="B35764" i="1"/>
  <c r="B35765" i="1"/>
  <c r="B35766" i="1"/>
  <c r="B35767" i="1"/>
  <c r="B35768" i="1"/>
  <c r="B35769" i="1"/>
  <c r="B35770" i="1"/>
  <c r="B35771" i="1"/>
  <c r="B35772" i="1"/>
  <c r="B35773" i="1"/>
  <c r="B35774" i="1"/>
  <c r="B35775" i="1"/>
  <c r="B35776" i="1"/>
  <c r="B35777" i="1"/>
  <c r="B35778" i="1"/>
  <c r="B35779" i="1"/>
  <c r="B35780" i="1"/>
  <c r="B35781" i="1"/>
  <c r="B35782" i="1"/>
  <c r="B35783" i="1"/>
  <c r="B35784" i="1"/>
  <c r="B35785" i="1"/>
  <c r="B35786" i="1"/>
  <c r="B35787" i="1"/>
  <c r="B35788" i="1"/>
  <c r="B35789" i="1"/>
  <c r="B35790" i="1"/>
  <c r="B35791" i="1"/>
  <c r="B35792" i="1"/>
  <c r="B35793" i="1"/>
  <c r="B35794" i="1"/>
  <c r="B35795" i="1"/>
  <c r="B35796" i="1"/>
  <c r="B35797" i="1"/>
  <c r="B35798" i="1"/>
  <c r="B35799" i="1"/>
  <c r="B35800" i="1"/>
  <c r="B35801" i="1"/>
  <c r="B35802" i="1"/>
  <c r="B35803" i="1"/>
  <c r="B35804" i="1"/>
  <c r="B35805" i="1"/>
  <c r="B35806" i="1"/>
  <c r="B35807" i="1"/>
  <c r="B35808" i="1"/>
  <c r="B35809" i="1"/>
  <c r="B35810" i="1"/>
  <c r="B35811" i="1"/>
  <c r="B35812" i="1"/>
  <c r="B35813" i="1"/>
  <c r="B35814" i="1"/>
  <c r="B35815" i="1"/>
  <c r="B35816" i="1"/>
  <c r="B35817" i="1"/>
  <c r="B35818" i="1"/>
  <c r="B35819" i="1"/>
  <c r="B35820" i="1"/>
  <c r="B35821" i="1"/>
  <c r="B35822" i="1"/>
  <c r="B35823" i="1"/>
  <c r="B35824" i="1"/>
  <c r="B35825" i="1"/>
  <c r="B35826" i="1"/>
  <c r="B35827" i="1"/>
  <c r="B35828" i="1"/>
  <c r="B35829" i="1"/>
  <c r="B35830" i="1"/>
  <c r="B35831" i="1"/>
  <c r="B35832" i="1"/>
  <c r="B35833" i="1"/>
  <c r="B35834" i="1"/>
  <c r="B35835" i="1"/>
  <c r="B35836" i="1"/>
  <c r="B35837" i="1"/>
  <c r="B35838" i="1"/>
  <c r="B35839" i="1"/>
  <c r="B35840" i="1"/>
  <c r="B35841" i="1"/>
  <c r="B35842" i="1"/>
  <c r="B35843" i="1"/>
  <c r="B35844" i="1"/>
  <c r="B35845" i="1"/>
  <c r="B35846" i="1"/>
  <c r="B35847" i="1"/>
  <c r="B35848" i="1"/>
  <c r="B35849" i="1"/>
  <c r="B35850" i="1"/>
  <c r="B35851" i="1"/>
  <c r="B35852" i="1"/>
  <c r="B35853" i="1"/>
  <c r="B35854" i="1"/>
  <c r="B35855" i="1"/>
  <c r="B35856" i="1"/>
  <c r="B35857" i="1"/>
  <c r="B35858" i="1"/>
  <c r="B35859" i="1"/>
  <c r="B35860" i="1"/>
  <c r="B35861" i="1"/>
  <c r="B35862" i="1"/>
  <c r="B35863" i="1"/>
  <c r="B35864" i="1"/>
  <c r="B35865" i="1"/>
  <c r="B35866" i="1"/>
  <c r="B35867" i="1"/>
  <c r="B35868" i="1"/>
  <c r="B35869" i="1"/>
  <c r="B35870" i="1"/>
  <c r="B35871" i="1"/>
  <c r="B35872" i="1"/>
  <c r="B35873" i="1"/>
  <c r="B35874" i="1"/>
  <c r="B35875" i="1"/>
  <c r="B35876" i="1"/>
  <c r="B35877" i="1"/>
  <c r="B35878" i="1"/>
  <c r="B35879" i="1"/>
  <c r="B35880" i="1"/>
  <c r="B35881" i="1"/>
  <c r="B35882" i="1"/>
  <c r="B35883" i="1"/>
  <c r="B35884" i="1"/>
  <c r="B35885" i="1"/>
  <c r="B35886" i="1"/>
  <c r="B35887" i="1"/>
  <c r="B35888" i="1"/>
  <c r="B35889" i="1"/>
  <c r="B35890" i="1"/>
  <c r="B35891" i="1"/>
  <c r="B35892" i="1"/>
  <c r="B35893" i="1"/>
  <c r="B35894" i="1"/>
  <c r="B35895" i="1"/>
  <c r="B35896" i="1"/>
  <c r="B35897" i="1"/>
  <c r="B35898" i="1"/>
  <c r="B35899" i="1"/>
  <c r="B35900" i="1"/>
  <c r="B35901" i="1"/>
  <c r="B35902" i="1"/>
  <c r="B35903" i="1"/>
  <c r="B35904" i="1"/>
  <c r="B35905" i="1"/>
  <c r="B35906" i="1"/>
  <c r="B35907" i="1"/>
  <c r="B35908" i="1"/>
  <c r="B35909" i="1"/>
  <c r="B35910" i="1"/>
  <c r="B35911" i="1"/>
  <c r="B35912" i="1"/>
  <c r="B35913" i="1"/>
  <c r="B35914" i="1"/>
  <c r="B35915" i="1"/>
  <c r="B35916" i="1"/>
  <c r="B35917" i="1"/>
  <c r="B35918" i="1"/>
  <c r="B35919" i="1"/>
  <c r="B35920" i="1"/>
  <c r="B35921" i="1"/>
  <c r="B35922" i="1"/>
  <c r="B35923" i="1"/>
  <c r="B35924" i="1"/>
  <c r="B35925" i="1"/>
  <c r="B35926" i="1"/>
  <c r="B35927" i="1"/>
  <c r="B35928" i="1"/>
  <c r="B35929" i="1"/>
  <c r="B35930" i="1"/>
  <c r="B35931" i="1"/>
  <c r="B35932" i="1"/>
  <c r="B35933" i="1"/>
  <c r="B35934" i="1"/>
  <c r="B35935" i="1"/>
  <c r="B35936" i="1"/>
  <c r="B35937" i="1"/>
  <c r="B35938" i="1"/>
  <c r="B35939" i="1"/>
  <c r="B35940" i="1"/>
  <c r="B35941" i="1"/>
  <c r="B35942" i="1"/>
  <c r="B35943" i="1"/>
  <c r="B35944" i="1"/>
  <c r="B35945" i="1"/>
  <c r="B35946" i="1"/>
  <c r="B35947" i="1"/>
  <c r="B35948" i="1"/>
  <c r="B35949" i="1"/>
  <c r="B35950" i="1"/>
  <c r="B35951" i="1"/>
  <c r="B35952" i="1"/>
  <c r="B35953" i="1"/>
  <c r="B35954" i="1"/>
  <c r="B35955" i="1"/>
  <c r="B35956" i="1"/>
  <c r="B35957" i="1"/>
  <c r="B35958" i="1"/>
  <c r="B35959" i="1"/>
  <c r="B35960" i="1"/>
  <c r="B35961" i="1"/>
  <c r="B35962" i="1"/>
  <c r="B35963" i="1"/>
  <c r="B35964" i="1"/>
  <c r="B35965" i="1"/>
  <c r="B35966" i="1"/>
  <c r="B35967" i="1"/>
  <c r="B35968" i="1"/>
  <c r="B35969" i="1"/>
  <c r="B35970" i="1"/>
  <c r="B35971" i="1"/>
  <c r="B35972" i="1"/>
  <c r="B35973" i="1"/>
  <c r="B35974" i="1"/>
  <c r="B35975" i="1"/>
  <c r="B35976" i="1"/>
  <c r="B35977" i="1"/>
  <c r="B35978" i="1"/>
  <c r="B35979" i="1"/>
  <c r="B35980" i="1"/>
  <c r="B35981" i="1"/>
  <c r="B35982" i="1"/>
  <c r="B35983" i="1"/>
  <c r="B35984" i="1"/>
  <c r="B35985" i="1"/>
  <c r="B35986" i="1"/>
  <c r="B35987" i="1"/>
  <c r="B35988" i="1"/>
  <c r="B35989" i="1"/>
  <c r="B35990" i="1"/>
  <c r="B35991" i="1"/>
  <c r="B35992" i="1"/>
  <c r="B35993" i="1"/>
  <c r="B35994" i="1"/>
  <c r="B35995" i="1"/>
  <c r="B35996" i="1"/>
  <c r="B35997" i="1"/>
  <c r="B35998" i="1"/>
  <c r="B35999" i="1"/>
  <c r="B36000" i="1"/>
  <c r="B36001" i="1"/>
  <c r="B36002" i="1"/>
  <c r="B36003" i="1"/>
  <c r="B36004" i="1"/>
  <c r="B36005" i="1"/>
  <c r="B36006" i="1"/>
  <c r="B36007" i="1"/>
  <c r="B36008" i="1"/>
  <c r="B36009" i="1"/>
  <c r="B36010" i="1"/>
  <c r="B36011" i="1"/>
  <c r="B36012" i="1"/>
  <c r="B36013" i="1"/>
  <c r="B36014" i="1"/>
  <c r="B36015" i="1"/>
  <c r="B36016" i="1"/>
  <c r="B36017" i="1"/>
  <c r="B36018" i="1"/>
  <c r="B36019" i="1"/>
  <c r="B36020" i="1"/>
  <c r="B36021" i="1"/>
  <c r="B36022" i="1"/>
  <c r="B36023" i="1"/>
  <c r="B36024" i="1"/>
  <c r="B36025" i="1"/>
  <c r="B36026" i="1"/>
  <c r="B36027" i="1"/>
  <c r="B36028" i="1"/>
  <c r="B36029" i="1"/>
  <c r="B36030" i="1"/>
  <c r="B36031" i="1"/>
  <c r="B36032" i="1"/>
  <c r="B36033" i="1"/>
  <c r="B36034" i="1"/>
  <c r="B36035" i="1"/>
  <c r="B36036" i="1"/>
  <c r="B36037" i="1"/>
  <c r="B36038" i="1"/>
  <c r="B36039" i="1"/>
  <c r="B36040" i="1"/>
  <c r="B36041" i="1"/>
  <c r="B36042" i="1"/>
  <c r="B36043" i="1"/>
  <c r="B36044" i="1"/>
  <c r="B36045" i="1"/>
  <c r="B36046" i="1"/>
  <c r="B36047" i="1"/>
  <c r="B36048" i="1"/>
  <c r="B36049" i="1"/>
  <c r="B36050" i="1"/>
  <c r="B36051" i="1"/>
  <c r="B36052" i="1"/>
  <c r="B36053" i="1"/>
  <c r="B36054" i="1"/>
  <c r="B36055" i="1"/>
  <c r="B36056" i="1"/>
  <c r="B36057" i="1"/>
  <c r="B36058" i="1"/>
  <c r="B36059" i="1"/>
  <c r="B36060" i="1"/>
  <c r="B36061" i="1"/>
  <c r="B36062" i="1"/>
  <c r="B36063" i="1"/>
  <c r="B36064" i="1"/>
  <c r="B36065" i="1"/>
  <c r="B36066" i="1"/>
  <c r="B36067" i="1"/>
  <c r="B36068" i="1"/>
  <c r="B36069" i="1"/>
  <c r="B36070" i="1"/>
  <c r="B36071" i="1"/>
  <c r="B36072" i="1"/>
  <c r="B36073" i="1"/>
  <c r="B36074" i="1"/>
  <c r="B36075" i="1"/>
  <c r="B36076" i="1"/>
  <c r="B36077" i="1"/>
  <c r="B36078" i="1"/>
  <c r="B36079" i="1"/>
  <c r="B36080" i="1"/>
  <c r="B36081" i="1"/>
  <c r="B36082" i="1"/>
  <c r="B36083" i="1"/>
  <c r="B36084" i="1"/>
  <c r="B36085" i="1"/>
  <c r="B36086" i="1"/>
  <c r="B36087" i="1"/>
  <c r="B36088" i="1"/>
  <c r="B36089" i="1"/>
  <c r="B36090" i="1"/>
  <c r="B36091" i="1"/>
  <c r="B36092" i="1"/>
  <c r="B36093" i="1"/>
  <c r="B36094" i="1"/>
  <c r="B36095" i="1"/>
  <c r="B36096" i="1"/>
  <c r="B36097" i="1"/>
  <c r="B36098" i="1"/>
  <c r="B36099" i="1"/>
  <c r="B36100" i="1"/>
  <c r="B36101" i="1"/>
  <c r="B36102" i="1"/>
  <c r="B36103" i="1"/>
  <c r="B36104" i="1"/>
  <c r="B36105" i="1"/>
  <c r="B36106" i="1"/>
  <c r="B36107" i="1"/>
  <c r="B36108" i="1"/>
  <c r="B36109" i="1"/>
  <c r="B36110" i="1"/>
  <c r="B36111" i="1"/>
  <c r="B36112" i="1"/>
  <c r="B36113" i="1"/>
  <c r="B36114" i="1"/>
  <c r="B36115" i="1"/>
  <c r="B36116" i="1"/>
  <c r="B36117" i="1"/>
  <c r="B36118" i="1"/>
  <c r="B36119" i="1"/>
  <c r="B36120" i="1"/>
  <c r="B36121" i="1"/>
  <c r="B36122" i="1"/>
  <c r="B36123" i="1"/>
  <c r="B36124" i="1"/>
  <c r="B36125" i="1"/>
  <c r="B36126" i="1"/>
  <c r="B36127" i="1"/>
  <c r="B36128" i="1"/>
  <c r="B36129" i="1"/>
  <c r="B36130" i="1"/>
  <c r="B36131" i="1"/>
  <c r="B36132" i="1"/>
  <c r="B36133" i="1"/>
  <c r="B36134" i="1"/>
  <c r="B36135" i="1"/>
  <c r="B36136" i="1"/>
  <c r="B36137" i="1"/>
  <c r="B36138" i="1"/>
  <c r="B36139" i="1"/>
  <c r="B36140" i="1"/>
  <c r="B36141" i="1"/>
  <c r="B36142" i="1"/>
  <c r="B36143" i="1"/>
  <c r="B36144" i="1"/>
  <c r="B36145" i="1"/>
  <c r="B36146" i="1"/>
  <c r="B36147" i="1"/>
  <c r="B36148" i="1"/>
  <c r="B36149" i="1"/>
  <c r="B36150" i="1"/>
  <c r="B36151" i="1"/>
  <c r="B36152" i="1"/>
  <c r="B36153" i="1"/>
  <c r="B36154" i="1"/>
  <c r="B36155" i="1"/>
  <c r="B36156" i="1"/>
  <c r="B36157" i="1"/>
  <c r="B36158" i="1"/>
  <c r="B36159" i="1"/>
  <c r="B36160" i="1"/>
  <c r="B36161" i="1"/>
  <c r="B36162" i="1"/>
  <c r="B36163" i="1"/>
  <c r="B36164" i="1"/>
  <c r="B36165" i="1"/>
  <c r="B36166" i="1"/>
  <c r="B36167" i="1"/>
  <c r="B36168" i="1"/>
  <c r="B36169" i="1"/>
  <c r="B36170" i="1"/>
  <c r="B36171" i="1"/>
  <c r="B36172" i="1"/>
  <c r="B36173" i="1"/>
  <c r="B36174" i="1"/>
  <c r="B36175" i="1"/>
  <c r="B36176" i="1"/>
  <c r="B36177" i="1"/>
  <c r="B36178" i="1"/>
  <c r="B36179" i="1"/>
  <c r="B36180" i="1"/>
  <c r="B36181" i="1"/>
  <c r="B36182" i="1"/>
  <c r="B36183" i="1"/>
  <c r="B36184" i="1"/>
  <c r="B36185" i="1"/>
  <c r="B36186" i="1"/>
  <c r="B36187" i="1"/>
  <c r="B36188" i="1"/>
  <c r="B36189" i="1"/>
  <c r="B36190" i="1"/>
  <c r="B36191" i="1"/>
  <c r="B36192" i="1"/>
  <c r="B36193" i="1"/>
  <c r="B36194" i="1"/>
  <c r="B36195" i="1"/>
  <c r="B36196" i="1"/>
  <c r="B36197" i="1"/>
  <c r="B36198" i="1"/>
  <c r="B36199" i="1"/>
  <c r="B36200" i="1"/>
  <c r="B36201" i="1"/>
  <c r="B36202" i="1"/>
  <c r="B36203" i="1"/>
  <c r="B36204" i="1"/>
  <c r="B36205" i="1"/>
  <c r="B36206" i="1"/>
  <c r="B36207" i="1"/>
  <c r="B36208" i="1"/>
  <c r="B36209" i="1"/>
  <c r="B36210" i="1"/>
  <c r="B36211" i="1"/>
  <c r="B36212" i="1"/>
  <c r="B36213" i="1"/>
  <c r="B36214" i="1"/>
  <c r="B36215" i="1"/>
  <c r="B36216" i="1"/>
  <c r="B36217" i="1"/>
  <c r="B36218" i="1"/>
  <c r="B36219" i="1"/>
  <c r="B36220" i="1"/>
  <c r="B36221" i="1"/>
  <c r="B36222" i="1"/>
  <c r="B36223" i="1"/>
  <c r="B36224" i="1"/>
  <c r="B36225" i="1"/>
  <c r="B36226" i="1"/>
  <c r="B36227" i="1"/>
  <c r="B36228" i="1"/>
  <c r="B36229" i="1"/>
  <c r="B36230" i="1"/>
  <c r="B36231" i="1"/>
  <c r="B36232" i="1"/>
  <c r="B36233" i="1"/>
  <c r="B36234" i="1"/>
  <c r="B36235" i="1"/>
  <c r="B36236" i="1"/>
  <c r="B36237" i="1"/>
  <c r="B36238" i="1"/>
  <c r="B36239" i="1"/>
  <c r="B36240" i="1"/>
  <c r="B36241" i="1"/>
  <c r="B36242" i="1"/>
  <c r="B36243" i="1"/>
  <c r="B36244" i="1"/>
  <c r="B36245" i="1"/>
  <c r="B36246" i="1"/>
  <c r="B36247" i="1"/>
  <c r="B36248" i="1"/>
  <c r="B36249" i="1"/>
  <c r="B36250" i="1"/>
  <c r="B36251" i="1"/>
  <c r="B36252" i="1"/>
  <c r="B36253" i="1"/>
  <c r="B36254" i="1"/>
  <c r="B36255" i="1"/>
  <c r="B36256" i="1"/>
  <c r="B36257" i="1"/>
  <c r="B36258" i="1"/>
  <c r="B36259" i="1"/>
  <c r="B36260" i="1"/>
  <c r="B36261" i="1"/>
  <c r="B36262" i="1"/>
  <c r="B36263" i="1"/>
  <c r="B36264" i="1"/>
  <c r="B36265" i="1"/>
  <c r="B36266" i="1"/>
  <c r="B36267" i="1"/>
  <c r="B36268" i="1"/>
  <c r="B36269" i="1"/>
  <c r="B36270" i="1"/>
  <c r="B36271" i="1"/>
  <c r="B36272" i="1"/>
  <c r="B36273" i="1"/>
  <c r="B36274" i="1"/>
  <c r="B36275" i="1"/>
  <c r="B36276" i="1"/>
  <c r="B36277" i="1"/>
  <c r="B36278" i="1"/>
  <c r="B36279" i="1"/>
  <c r="B36280" i="1"/>
  <c r="B36281" i="1"/>
  <c r="B36282" i="1"/>
  <c r="B36283" i="1"/>
  <c r="B36284" i="1"/>
  <c r="B36285" i="1"/>
  <c r="B36286" i="1"/>
  <c r="B36287" i="1"/>
  <c r="B36288" i="1"/>
  <c r="B36289" i="1"/>
  <c r="B36290" i="1"/>
  <c r="B36291" i="1"/>
  <c r="B36292" i="1"/>
  <c r="B36293" i="1"/>
  <c r="B36294" i="1"/>
  <c r="B36295" i="1"/>
  <c r="B36296" i="1"/>
  <c r="B36297" i="1"/>
  <c r="B36298" i="1"/>
  <c r="B36299" i="1"/>
  <c r="B36300" i="1"/>
  <c r="B36301" i="1"/>
  <c r="B36302" i="1"/>
  <c r="B36303" i="1"/>
  <c r="B36304" i="1"/>
  <c r="B36305" i="1"/>
  <c r="B36306" i="1"/>
  <c r="B36307" i="1"/>
  <c r="B36308" i="1"/>
  <c r="B36309" i="1"/>
  <c r="B36310" i="1"/>
  <c r="B36311" i="1"/>
  <c r="B36312" i="1"/>
  <c r="B36313" i="1"/>
  <c r="B36314" i="1"/>
  <c r="B36315" i="1"/>
  <c r="B36316" i="1"/>
  <c r="B36317" i="1"/>
  <c r="B36318" i="1"/>
  <c r="B36319" i="1"/>
  <c r="B36320" i="1"/>
  <c r="B36321" i="1"/>
  <c r="B36322" i="1"/>
  <c r="B36323" i="1"/>
  <c r="B36324" i="1"/>
  <c r="B36325" i="1"/>
  <c r="B36326" i="1"/>
  <c r="B36327" i="1"/>
  <c r="B36328" i="1"/>
  <c r="B36329" i="1"/>
  <c r="B36330" i="1"/>
  <c r="B36331" i="1"/>
  <c r="B36332" i="1"/>
  <c r="B36333" i="1"/>
  <c r="B36334" i="1"/>
  <c r="B36335" i="1"/>
  <c r="B36336" i="1"/>
  <c r="B36337" i="1"/>
  <c r="B36338" i="1"/>
  <c r="B36339" i="1"/>
  <c r="B36340" i="1"/>
  <c r="B36341" i="1"/>
  <c r="B36342" i="1"/>
  <c r="B36343" i="1"/>
  <c r="B36344" i="1"/>
  <c r="B36345" i="1"/>
  <c r="B36346" i="1"/>
  <c r="B36347" i="1"/>
  <c r="B36348" i="1"/>
  <c r="B36349" i="1"/>
  <c r="B36350" i="1"/>
  <c r="B36351" i="1"/>
  <c r="B36352" i="1"/>
  <c r="B36353" i="1"/>
  <c r="B36354" i="1"/>
  <c r="B36355" i="1"/>
  <c r="B36356" i="1"/>
  <c r="B36357" i="1"/>
  <c r="B36358" i="1"/>
  <c r="B36359" i="1"/>
  <c r="B36360" i="1"/>
  <c r="B36361" i="1"/>
  <c r="B36362" i="1"/>
  <c r="B36363" i="1"/>
  <c r="B36364" i="1"/>
  <c r="B36365" i="1"/>
  <c r="B36366" i="1"/>
  <c r="B36367" i="1"/>
  <c r="B36368" i="1"/>
  <c r="B36369" i="1"/>
  <c r="B36370" i="1"/>
  <c r="B36371" i="1"/>
  <c r="B36372" i="1"/>
  <c r="B36373" i="1"/>
  <c r="B36374" i="1"/>
  <c r="B36375" i="1"/>
  <c r="B36376" i="1"/>
  <c r="B36377" i="1"/>
  <c r="B36378" i="1"/>
  <c r="B36379" i="1"/>
  <c r="B36380" i="1"/>
  <c r="B36381" i="1"/>
  <c r="B36382" i="1"/>
  <c r="B36383" i="1"/>
  <c r="B36384" i="1"/>
  <c r="B36385" i="1"/>
  <c r="B36386" i="1"/>
  <c r="B36387" i="1"/>
  <c r="B36388" i="1"/>
  <c r="B36389" i="1"/>
  <c r="B36390" i="1"/>
  <c r="B36391" i="1"/>
  <c r="B36392" i="1"/>
  <c r="B36393" i="1"/>
  <c r="B36394" i="1"/>
  <c r="B36395" i="1"/>
  <c r="B36396" i="1"/>
  <c r="B36397" i="1"/>
  <c r="B36398" i="1"/>
  <c r="B36399" i="1"/>
  <c r="B36400" i="1"/>
  <c r="B36401" i="1"/>
  <c r="B36402" i="1"/>
  <c r="B36403" i="1"/>
  <c r="B36404" i="1"/>
  <c r="B36405" i="1"/>
  <c r="B36406" i="1"/>
  <c r="B36407" i="1"/>
  <c r="B36408" i="1"/>
  <c r="B36409" i="1"/>
  <c r="B36410" i="1"/>
  <c r="B36411" i="1"/>
  <c r="B36412" i="1"/>
  <c r="B36413" i="1"/>
  <c r="B36414" i="1"/>
  <c r="B36415" i="1"/>
  <c r="B36416" i="1"/>
  <c r="B36417" i="1"/>
  <c r="B36418" i="1"/>
  <c r="B36419" i="1"/>
  <c r="B36420" i="1"/>
  <c r="B36421" i="1"/>
  <c r="B36422" i="1"/>
  <c r="B36423" i="1"/>
  <c r="B36424" i="1"/>
  <c r="B36425" i="1"/>
  <c r="B36426" i="1"/>
  <c r="B36427" i="1"/>
  <c r="B36428" i="1"/>
  <c r="B36429" i="1"/>
  <c r="B36430" i="1"/>
  <c r="B36431" i="1"/>
  <c r="B36432" i="1"/>
  <c r="B36433" i="1"/>
  <c r="B36434" i="1"/>
  <c r="B36435" i="1"/>
  <c r="B36436" i="1"/>
  <c r="B36437" i="1"/>
  <c r="B36438" i="1"/>
  <c r="B36439" i="1"/>
  <c r="B36440" i="1"/>
  <c r="B36441" i="1"/>
  <c r="B36442" i="1"/>
  <c r="B36443" i="1"/>
  <c r="B36444" i="1"/>
  <c r="B36445" i="1"/>
  <c r="B36446" i="1"/>
  <c r="B36447" i="1"/>
  <c r="B36448" i="1"/>
  <c r="B36449" i="1"/>
  <c r="B36450" i="1"/>
  <c r="B36451" i="1"/>
  <c r="B36452" i="1"/>
  <c r="B36453" i="1"/>
  <c r="B36454" i="1"/>
  <c r="B36455" i="1"/>
  <c r="B36456" i="1"/>
  <c r="B36457" i="1"/>
  <c r="B36458" i="1"/>
  <c r="B36459" i="1"/>
  <c r="B36460" i="1"/>
  <c r="B36461" i="1"/>
  <c r="B36462" i="1"/>
  <c r="B36463" i="1"/>
  <c r="B36464" i="1"/>
  <c r="B36465" i="1"/>
  <c r="B36466" i="1"/>
  <c r="B36467" i="1"/>
  <c r="B36468" i="1"/>
  <c r="B36469" i="1"/>
  <c r="B36470" i="1"/>
  <c r="B36471" i="1"/>
  <c r="B36472" i="1"/>
  <c r="B36473" i="1"/>
  <c r="B36474" i="1"/>
  <c r="B36475" i="1"/>
  <c r="B36476" i="1"/>
  <c r="B36477" i="1"/>
  <c r="B36478" i="1"/>
  <c r="B36479" i="1"/>
  <c r="B36480" i="1"/>
  <c r="B36481" i="1"/>
  <c r="B36482" i="1"/>
  <c r="B36483" i="1"/>
  <c r="B36484" i="1"/>
  <c r="B36485" i="1"/>
  <c r="B36486" i="1"/>
  <c r="B36487" i="1"/>
  <c r="B36488" i="1"/>
  <c r="B36489" i="1"/>
  <c r="B36490" i="1"/>
  <c r="B36491" i="1"/>
  <c r="B36492" i="1"/>
  <c r="B36493" i="1"/>
  <c r="B36494" i="1"/>
  <c r="B36495" i="1"/>
  <c r="B36496" i="1"/>
  <c r="B36497" i="1"/>
  <c r="B36498" i="1"/>
  <c r="B36499" i="1"/>
  <c r="B36500" i="1"/>
  <c r="B36501" i="1"/>
  <c r="B36502" i="1"/>
  <c r="B36503" i="1"/>
  <c r="B36504" i="1"/>
  <c r="B36505" i="1"/>
  <c r="B36506" i="1"/>
  <c r="B36507" i="1"/>
  <c r="B36508" i="1"/>
  <c r="B36509" i="1"/>
  <c r="B36510" i="1"/>
  <c r="B36511" i="1"/>
  <c r="B36512" i="1"/>
  <c r="B36513" i="1"/>
  <c r="B36514" i="1"/>
  <c r="B36515" i="1"/>
  <c r="B36516" i="1"/>
  <c r="B36517" i="1"/>
  <c r="B36518" i="1"/>
  <c r="B36519" i="1"/>
  <c r="B36520" i="1"/>
  <c r="B36521" i="1"/>
  <c r="B36522" i="1"/>
  <c r="B36523" i="1"/>
  <c r="B36524" i="1"/>
  <c r="B36525" i="1"/>
  <c r="B36526" i="1"/>
  <c r="B36527" i="1"/>
  <c r="B36528" i="1"/>
  <c r="B36529" i="1"/>
  <c r="B36530" i="1"/>
  <c r="B36531" i="1"/>
  <c r="B36532" i="1"/>
  <c r="B36533" i="1"/>
  <c r="B36534" i="1"/>
  <c r="B36535" i="1"/>
  <c r="B36536" i="1"/>
  <c r="B36537" i="1"/>
  <c r="B36538" i="1"/>
  <c r="B36539" i="1"/>
  <c r="B36540" i="1"/>
  <c r="B36541" i="1"/>
  <c r="B36542" i="1"/>
  <c r="B36543" i="1"/>
  <c r="B36544" i="1"/>
  <c r="B36545" i="1"/>
  <c r="B36546" i="1"/>
  <c r="B36547" i="1"/>
  <c r="B36548" i="1"/>
  <c r="B36549" i="1"/>
  <c r="B36550" i="1"/>
  <c r="B36551" i="1"/>
  <c r="B36552" i="1"/>
  <c r="B36553" i="1"/>
  <c r="B36554" i="1"/>
  <c r="B36555" i="1"/>
  <c r="B36556" i="1"/>
  <c r="B36557" i="1"/>
  <c r="B36558" i="1"/>
  <c r="B36559" i="1"/>
  <c r="B36560" i="1"/>
  <c r="B36561" i="1"/>
  <c r="B36562" i="1"/>
  <c r="B36563" i="1"/>
  <c r="B36564" i="1"/>
  <c r="B36565" i="1"/>
  <c r="B36566" i="1"/>
  <c r="B36567" i="1"/>
  <c r="B36568" i="1"/>
  <c r="B36569" i="1"/>
  <c r="B36570" i="1"/>
  <c r="B36571" i="1"/>
  <c r="B36572" i="1"/>
  <c r="B36573" i="1"/>
  <c r="B36574" i="1"/>
  <c r="B36575" i="1"/>
  <c r="B36576" i="1"/>
  <c r="B36577" i="1"/>
  <c r="B36578" i="1"/>
  <c r="B36579" i="1"/>
  <c r="B36580" i="1"/>
  <c r="B36581" i="1"/>
  <c r="B36582" i="1"/>
  <c r="B36583" i="1"/>
  <c r="B36584" i="1"/>
  <c r="B36585" i="1"/>
  <c r="B36586" i="1"/>
  <c r="B36587" i="1"/>
  <c r="B36588" i="1"/>
  <c r="B36589" i="1"/>
  <c r="B36590" i="1"/>
  <c r="B36591" i="1"/>
  <c r="B36592" i="1"/>
  <c r="B36593" i="1"/>
  <c r="B36594" i="1"/>
  <c r="B36595" i="1"/>
  <c r="B36596" i="1"/>
  <c r="B36597" i="1"/>
  <c r="B36598" i="1"/>
  <c r="B36599" i="1"/>
  <c r="B36600" i="1"/>
  <c r="B36601" i="1"/>
  <c r="B36602" i="1"/>
  <c r="B36603" i="1"/>
  <c r="B36604" i="1"/>
  <c r="B36605" i="1"/>
  <c r="B36606" i="1"/>
  <c r="B36607" i="1"/>
  <c r="B36608" i="1"/>
  <c r="B36609" i="1"/>
  <c r="B36610" i="1"/>
  <c r="B36611" i="1"/>
  <c r="B36612" i="1"/>
  <c r="B36613" i="1"/>
  <c r="B36614" i="1"/>
  <c r="B36615" i="1"/>
  <c r="B36616" i="1"/>
  <c r="B36617" i="1"/>
  <c r="B36618" i="1"/>
  <c r="B36619" i="1"/>
  <c r="B36620" i="1"/>
  <c r="B36621" i="1"/>
  <c r="B36622" i="1"/>
  <c r="B36623" i="1"/>
  <c r="B36624" i="1"/>
  <c r="B36625" i="1"/>
  <c r="B36626" i="1"/>
  <c r="B36627" i="1"/>
  <c r="B36628" i="1"/>
  <c r="B36629" i="1"/>
  <c r="B36630" i="1"/>
  <c r="B36631" i="1"/>
  <c r="B36632" i="1"/>
  <c r="B36633" i="1"/>
  <c r="B36634" i="1"/>
  <c r="B36635" i="1"/>
  <c r="B36636" i="1"/>
  <c r="B36637" i="1"/>
  <c r="B36638" i="1"/>
  <c r="B36639" i="1"/>
  <c r="B36640" i="1"/>
  <c r="B36641" i="1"/>
  <c r="B36642" i="1"/>
  <c r="B36643" i="1"/>
  <c r="B36644" i="1"/>
  <c r="B36645" i="1"/>
  <c r="B36646" i="1"/>
  <c r="B36647" i="1"/>
  <c r="B36648" i="1"/>
  <c r="B36649" i="1"/>
  <c r="B36650" i="1"/>
  <c r="B36651" i="1"/>
  <c r="B36652" i="1"/>
  <c r="B36653" i="1"/>
  <c r="B36654" i="1"/>
  <c r="B36655" i="1"/>
  <c r="B36656" i="1"/>
  <c r="B36657" i="1"/>
  <c r="B36658" i="1"/>
  <c r="B36659" i="1"/>
  <c r="B36660" i="1"/>
  <c r="B36661" i="1"/>
  <c r="B36662" i="1"/>
  <c r="B36663" i="1"/>
  <c r="B36664" i="1"/>
  <c r="B36665" i="1"/>
  <c r="B36666" i="1"/>
  <c r="B36667" i="1"/>
  <c r="B36668" i="1"/>
  <c r="B36669" i="1"/>
  <c r="B36670" i="1"/>
  <c r="B36671" i="1"/>
  <c r="B36672" i="1"/>
  <c r="B36673" i="1"/>
  <c r="B36674" i="1"/>
  <c r="B36675" i="1"/>
  <c r="B36676" i="1"/>
  <c r="B36677" i="1"/>
  <c r="B36678" i="1"/>
  <c r="B36679" i="1"/>
  <c r="B36680" i="1"/>
  <c r="B36681" i="1"/>
  <c r="B36682" i="1"/>
  <c r="B36683" i="1"/>
  <c r="B36684" i="1"/>
  <c r="B36685" i="1"/>
  <c r="B36686" i="1"/>
  <c r="B36687" i="1"/>
  <c r="B36688" i="1"/>
  <c r="B36689" i="1"/>
  <c r="B36690" i="1"/>
  <c r="B36691" i="1"/>
  <c r="B36692" i="1"/>
  <c r="B36693" i="1"/>
  <c r="B36694" i="1"/>
  <c r="B36695" i="1"/>
  <c r="B36696" i="1"/>
  <c r="B36697" i="1"/>
  <c r="B36698" i="1"/>
  <c r="B36699" i="1"/>
  <c r="B36700" i="1"/>
  <c r="B36701" i="1"/>
  <c r="B36702" i="1"/>
  <c r="B36703" i="1"/>
  <c r="B36704" i="1"/>
  <c r="B36705" i="1"/>
  <c r="B36706" i="1"/>
  <c r="B36707" i="1"/>
  <c r="B36708" i="1"/>
  <c r="B36709" i="1"/>
  <c r="B36710" i="1"/>
  <c r="B36711" i="1"/>
  <c r="B36712" i="1"/>
  <c r="B36713" i="1"/>
  <c r="B36714" i="1"/>
  <c r="B36715" i="1"/>
  <c r="B36716" i="1"/>
  <c r="B36717" i="1"/>
  <c r="B36718" i="1"/>
  <c r="B36719" i="1"/>
  <c r="B36720" i="1"/>
  <c r="B36721" i="1"/>
  <c r="B36722" i="1"/>
  <c r="B36723" i="1"/>
  <c r="B36724" i="1"/>
  <c r="B36725" i="1"/>
  <c r="B36726" i="1"/>
  <c r="B36727" i="1"/>
  <c r="B36728" i="1"/>
  <c r="B36729" i="1"/>
  <c r="B36730" i="1"/>
  <c r="B36731" i="1"/>
  <c r="B36732" i="1"/>
  <c r="B36733" i="1"/>
  <c r="B36734" i="1"/>
  <c r="B36735" i="1"/>
  <c r="B36736" i="1"/>
  <c r="B36737" i="1"/>
  <c r="B36738" i="1"/>
  <c r="B36739" i="1"/>
  <c r="B36740" i="1"/>
  <c r="B36741" i="1"/>
  <c r="B36742" i="1"/>
  <c r="B36743" i="1"/>
  <c r="B36744" i="1"/>
  <c r="B36745" i="1"/>
  <c r="B36746" i="1"/>
  <c r="B36747" i="1"/>
  <c r="B36748" i="1"/>
  <c r="B36749" i="1"/>
  <c r="B36750" i="1"/>
  <c r="B36751" i="1"/>
  <c r="B36752" i="1"/>
  <c r="B36753" i="1"/>
  <c r="B36754" i="1"/>
  <c r="B36755" i="1"/>
  <c r="B36756" i="1"/>
  <c r="B36757" i="1"/>
  <c r="B36758" i="1"/>
  <c r="B36759" i="1"/>
  <c r="B36760" i="1"/>
  <c r="B36761" i="1"/>
  <c r="B36762" i="1"/>
  <c r="B36763" i="1"/>
  <c r="B36764" i="1"/>
  <c r="B36765" i="1"/>
  <c r="B36766" i="1"/>
  <c r="B36767" i="1"/>
  <c r="B36768" i="1"/>
  <c r="B36769" i="1"/>
  <c r="B36770" i="1"/>
  <c r="B36771" i="1"/>
  <c r="B36772" i="1"/>
  <c r="B36773" i="1"/>
  <c r="B36774" i="1"/>
  <c r="B36775" i="1"/>
  <c r="B36776" i="1"/>
  <c r="B36777" i="1"/>
  <c r="B36778" i="1"/>
  <c r="B36779" i="1"/>
  <c r="B36780" i="1"/>
  <c r="B36781" i="1"/>
  <c r="B36782" i="1"/>
  <c r="B36783" i="1"/>
  <c r="B36784" i="1"/>
  <c r="B36785" i="1"/>
  <c r="B36786" i="1"/>
  <c r="B36787" i="1"/>
  <c r="B36788" i="1"/>
  <c r="B36789" i="1"/>
  <c r="B36790" i="1"/>
  <c r="B36791" i="1"/>
  <c r="B36792" i="1"/>
  <c r="B36793" i="1"/>
  <c r="B36794" i="1"/>
  <c r="B36795" i="1"/>
  <c r="B36796" i="1"/>
  <c r="B36797" i="1"/>
  <c r="B36798" i="1"/>
  <c r="B36799" i="1"/>
  <c r="B36800" i="1"/>
  <c r="B36801" i="1"/>
  <c r="B36802" i="1"/>
  <c r="B36803" i="1"/>
  <c r="B36804" i="1"/>
  <c r="B36805" i="1"/>
  <c r="B36806" i="1"/>
  <c r="B36807" i="1"/>
  <c r="B36808" i="1"/>
  <c r="B36809" i="1"/>
  <c r="B36810" i="1"/>
  <c r="B36811" i="1"/>
  <c r="B36812" i="1"/>
  <c r="B36813" i="1"/>
  <c r="B36814" i="1"/>
  <c r="B36815" i="1"/>
  <c r="B36816" i="1"/>
  <c r="B36817" i="1"/>
  <c r="B36818" i="1"/>
  <c r="B36819" i="1"/>
  <c r="B36820" i="1"/>
  <c r="B36821" i="1"/>
  <c r="B36822" i="1"/>
  <c r="B36823" i="1"/>
  <c r="B36824" i="1"/>
  <c r="B36825" i="1"/>
  <c r="B36826" i="1"/>
  <c r="B36827" i="1"/>
  <c r="B36828" i="1"/>
  <c r="B36829" i="1"/>
  <c r="B36830" i="1"/>
  <c r="B36831" i="1"/>
  <c r="B36832" i="1"/>
  <c r="B36833" i="1"/>
  <c r="B36834" i="1"/>
  <c r="B36835" i="1"/>
  <c r="B36836" i="1"/>
  <c r="B36837" i="1"/>
  <c r="B36838" i="1"/>
  <c r="B36839" i="1"/>
  <c r="B36840" i="1"/>
  <c r="B36841" i="1"/>
  <c r="B36842" i="1"/>
  <c r="B36843" i="1"/>
  <c r="B36844" i="1"/>
  <c r="B36845" i="1"/>
  <c r="B36846" i="1"/>
  <c r="B36847" i="1"/>
  <c r="B36848" i="1"/>
  <c r="B36849" i="1"/>
  <c r="B36850" i="1"/>
  <c r="B36851" i="1"/>
  <c r="B36852" i="1"/>
  <c r="B36853" i="1"/>
  <c r="B36854" i="1"/>
  <c r="B36855" i="1"/>
  <c r="B36856" i="1"/>
  <c r="B36857" i="1"/>
  <c r="B36858" i="1"/>
  <c r="B36859" i="1"/>
  <c r="B36860" i="1"/>
  <c r="B36861" i="1"/>
  <c r="B36862" i="1"/>
  <c r="B36863" i="1"/>
  <c r="B36864" i="1"/>
  <c r="B36865" i="1"/>
  <c r="B36866" i="1"/>
  <c r="B36867" i="1"/>
  <c r="B36868" i="1"/>
  <c r="B36869" i="1"/>
  <c r="B36870" i="1"/>
  <c r="B36871" i="1"/>
  <c r="B36872" i="1"/>
  <c r="B36873" i="1"/>
  <c r="B36874" i="1"/>
  <c r="B36875" i="1"/>
  <c r="B36876" i="1"/>
  <c r="B36877" i="1"/>
  <c r="B36878" i="1"/>
  <c r="B36879" i="1"/>
  <c r="B36880" i="1"/>
  <c r="B36881" i="1"/>
  <c r="B36882" i="1"/>
  <c r="B36883" i="1"/>
  <c r="B36884" i="1"/>
  <c r="B36885" i="1"/>
  <c r="B36886" i="1"/>
  <c r="B36887" i="1"/>
  <c r="B36888" i="1"/>
  <c r="B36889" i="1"/>
  <c r="B36890" i="1"/>
  <c r="B36891" i="1"/>
  <c r="B36892" i="1"/>
  <c r="B36893" i="1"/>
  <c r="B36894" i="1"/>
  <c r="B36895" i="1"/>
  <c r="B36896" i="1"/>
  <c r="B36897" i="1"/>
  <c r="B36898" i="1"/>
  <c r="B36899" i="1"/>
  <c r="B36900" i="1"/>
  <c r="B36901" i="1"/>
  <c r="B36902" i="1"/>
  <c r="B36903" i="1"/>
  <c r="B36904" i="1"/>
  <c r="B36905" i="1"/>
  <c r="B36906" i="1"/>
  <c r="B36907" i="1"/>
  <c r="B36908" i="1"/>
  <c r="B36909" i="1"/>
  <c r="B36910" i="1"/>
  <c r="B36911" i="1"/>
  <c r="B36912" i="1"/>
  <c r="B36913" i="1"/>
  <c r="B36914" i="1"/>
  <c r="B36915" i="1"/>
  <c r="B36916" i="1"/>
  <c r="B36917" i="1"/>
  <c r="B36918" i="1"/>
  <c r="B36919" i="1"/>
  <c r="B36920" i="1"/>
  <c r="B36921" i="1"/>
  <c r="B36922" i="1"/>
  <c r="B36923" i="1"/>
  <c r="B36924" i="1"/>
  <c r="B36925" i="1"/>
  <c r="B36926" i="1"/>
  <c r="B36927" i="1"/>
  <c r="B36928" i="1"/>
  <c r="B36929" i="1"/>
  <c r="B36930" i="1"/>
  <c r="B36931" i="1"/>
  <c r="B36932" i="1"/>
  <c r="B36933" i="1"/>
  <c r="B36934" i="1"/>
  <c r="B36935" i="1"/>
  <c r="B36936" i="1"/>
  <c r="B36937" i="1"/>
  <c r="B36938" i="1"/>
  <c r="B36939" i="1"/>
  <c r="B36940" i="1"/>
  <c r="B36941" i="1"/>
  <c r="B36942" i="1"/>
  <c r="B36943" i="1"/>
  <c r="B36944" i="1"/>
  <c r="B36945" i="1"/>
  <c r="B36946" i="1"/>
  <c r="B36947" i="1"/>
  <c r="B36948" i="1"/>
  <c r="B36949" i="1"/>
  <c r="B36950" i="1"/>
  <c r="B36951" i="1"/>
  <c r="B36952" i="1"/>
  <c r="B36953" i="1"/>
  <c r="B36954" i="1"/>
  <c r="B36955" i="1"/>
  <c r="B36956" i="1"/>
  <c r="B36957" i="1"/>
  <c r="B36958" i="1"/>
  <c r="B36959" i="1"/>
  <c r="B36960" i="1"/>
  <c r="B36961" i="1"/>
  <c r="B36962" i="1"/>
  <c r="B36963" i="1"/>
  <c r="B36964" i="1"/>
  <c r="B36965" i="1"/>
  <c r="B36966" i="1"/>
  <c r="B36967" i="1"/>
  <c r="B36968" i="1"/>
  <c r="B36969" i="1"/>
  <c r="B36970" i="1"/>
  <c r="B36971" i="1"/>
  <c r="B36972" i="1"/>
  <c r="B36973" i="1"/>
  <c r="B36974" i="1"/>
  <c r="B36975" i="1"/>
  <c r="B36976" i="1"/>
  <c r="B36977" i="1"/>
  <c r="B36978" i="1"/>
  <c r="B36979" i="1"/>
  <c r="B36980" i="1"/>
  <c r="B36981" i="1"/>
  <c r="B36982" i="1"/>
  <c r="B36983" i="1"/>
  <c r="B36984" i="1"/>
  <c r="B36985" i="1"/>
  <c r="B36986" i="1"/>
  <c r="B36987" i="1"/>
  <c r="B36988" i="1"/>
  <c r="B36989" i="1"/>
  <c r="B36990" i="1"/>
  <c r="B36991" i="1"/>
  <c r="B36992" i="1"/>
  <c r="B36993" i="1"/>
  <c r="B36994" i="1"/>
  <c r="B36995" i="1"/>
  <c r="B36996" i="1"/>
  <c r="B36997" i="1"/>
  <c r="B36998" i="1"/>
  <c r="B36999" i="1"/>
  <c r="B37000" i="1"/>
  <c r="B37001" i="1"/>
  <c r="B37002" i="1"/>
  <c r="B37003" i="1"/>
  <c r="B37004" i="1"/>
  <c r="B37005" i="1"/>
  <c r="B37006" i="1"/>
  <c r="B37007" i="1"/>
  <c r="B37008" i="1"/>
  <c r="B37009" i="1"/>
  <c r="B37010" i="1"/>
  <c r="B37011" i="1"/>
  <c r="B37012" i="1"/>
  <c r="B37013" i="1"/>
  <c r="B37014" i="1"/>
  <c r="B37015" i="1"/>
  <c r="B37016" i="1"/>
  <c r="B37017" i="1"/>
  <c r="B37018" i="1"/>
  <c r="B37019" i="1"/>
  <c r="B37020" i="1"/>
  <c r="B37021" i="1"/>
  <c r="B37022" i="1"/>
  <c r="B37023" i="1"/>
  <c r="B37024" i="1"/>
  <c r="B37025" i="1"/>
  <c r="B37026" i="1"/>
  <c r="B37027" i="1"/>
  <c r="B37028" i="1"/>
  <c r="B37029" i="1"/>
  <c r="B37030" i="1"/>
  <c r="B37031" i="1"/>
  <c r="B37032" i="1"/>
  <c r="B37033" i="1"/>
  <c r="B37034" i="1"/>
  <c r="B37035" i="1"/>
  <c r="B37036" i="1"/>
  <c r="B37037" i="1"/>
  <c r="B37038" i="1"/>
  <c r="B37039" i="1"/>
  <c r="B37040" i="1"/>
  <c r="B37041" i="1"/>
  <c r="B37042" i="1"/>
  <c r="B37043" i="1"/>
  <c r="B37044" i="1"/>
  <c r="B37045" i="1"/>
  <c r="B37046" i="1"/>
  <c r="B37047" i="1"/>
  <c r="B37048" i="1"/>
  <c r="B37049" i="1"/>
  <c r="B37050" i="1"/>
  <c r="B37051" i="1"/>
  <c r="B37052" i="1"/>
  <c r="B37053" i="1"/>
  <c r="B37054" i="1"/>
  <c r="B37055" i="1"/>
  <c r="B37056" i="1"/>
  <c r="B37057" i="1"/>
  <c r="B37058" i="1"/>
  <c r="B37059" i="1"/>
  <c r="B37060" i="1"/>
  <c r="B37061" i="1"/>
  <c r="B37062" i="1"/>
  <c r="B37063" i="1"/>
  <c r="B37064" i="1"/>
  <c r="B37065" i="1"/>
  <c r="B37066" i="1"/>
  <c r="B37067" i="1"/>
  <c r="B37068" i="1"/>
  <c r="B37069" i="1"/>
  <c r="B37070" i="1"/>
  <c r="B37071" i="1"/>
  <c r="B37072" i="1"/>
  <c r="B37073" i="1"/>
  <c r="B37074" i="1"/>
  <c r="B37075" i="1"/>
  <c r="B37076" i="1"/>
  <c r="B37077" i="1"/>
  <c r="B37078" i="1"/>
  <c r="B37079" i="1"/>
  <c r="B37080" i="1"/>
  <c r="B37081" i="1"/>
  <c r="B37082" i="1"/>
  <c r="B37083" i="1"/>
  <c r="B37084" i="1"/>
  <c r="B37085" i="1"/>
  <c r="B37086" i="1"/>
  <c r="B37087" i="1"/>
  <c r="B37088" i="1"/>
  <c r="B37089" i="1"/>
  <c r="B37090" i="1"/>
  <c r="B37091" i="1"/>
  <c r="B37092" i="1"/>
  <c r="B37093" i="1"/>
  <c r="B37094" i="1"/>
  <c r="B37095" i="1"/>
  <c r="B37096" i="1"/>
  <c r="B37097" i="1"/>
  <c r="B37098" i="1"/>
  <c r="B37099" i="1"/>
  <c r="B37100" i="1"/>
  <c r="B37101" i="1"/>
  <c r="B37102" i="1"/>
  <c r="B37103" i="1"/>
  <c r="B37104" i="1"/>
  <c r="B37105" i="1"/>
  <c r="B37106" i="1"/>
  <c r="B37107" i="1"/>
  <c r="B37108" i="1"/>
  <c r="B37109" i="1"/>
  <c r="B37110" i="1"/>
  <c r="B37111" i="1"/>
  <c r="B37112" i="1"/>
  <c r="B37113" i="1"/>
  <c r="B37114" i="1"/>
  <c r="B37115" i="1"/>
  <c r="B37116" i="1"/>
  <c r="B37117" i="1"/>
  <c r="B37118" i="1"/>
  <c r="B37119" i="1"/>
  <c r="B37120" i="1"/>
  <c r="B37121" i="1"/>
  <c r="B37122" i="1"/>
  <c r="B37123" i="1"/>
  <c r="B37124" i="1"/>
  <c r="B37125" i="1"/>
  <c r="B37126" i="1"/>
  <c r="B37127" i="1"/>
  <c r="B37128" i="1"/>
  <c r="B37129" i="1"/>
  <c r="B37130" i="1"/>
  <c r="B37131" i="1"/>
  <c r="B37132" i="1"/>
  <c r="B37133" i="1"/>
  <c r="B37134" i="1"/>
  <c r="B37135" i="1"/>
  <c r="B37136" i="1"/>
  <c r="B37137" i="1"/>
  <c r="B37138" i="1"/>
  <c r="B37139" i="1"/>
  <c r="B37140" i="1"/>
  <c r="B37141" i="1"/>
  <c r="B37142" i="1"/>
  <c r="B37143" i="1"/>
  <c r="B37144" i="1"/>
  <c r="B37145" i="1"/>
  <c r="B37146" i="1"/>
  <c r="B37147" i="1"/>
  <c r="B37148" i="1"/>
  <c r="B37149" i="1"/>
  <c r="B37150" i="1"/>
  <c r="B37151" i="1"/>
  <c r="B37152" i="1"/>
  <c r="B37153" i="1"/>
  <c r="B37154" i="1"/>
  <c r="B37155" i="1"/>
  <c r="B37156" i="1"/>
  <c r="B37157" i="1"/>
  <c r="B37158" i="1"/>
  <c r="B37159" i="1"/>
  <c r="B37160" i="1"/>
  <c r="B37161" i="1"/>
  <c r="B37162" i="1"/>
  <c r="B37163" i="1"/>
  <c r="B37164" i="1"/>
  <c r="B37165" i="1"/>
  <c r="B37166" i="1"/>
  <c r="B37167" i="1"/>
  <c r="B37168" i="1"/>
  <c r="B37169" i="1"/>
  <c r="B37170" i="1"/>
  <c r="B37171" i="1"/>
  <c r="B37172" i="1"/>
  <c r="B37173" i="1"/>
  <c r="B37174" i="1"/>
  <c r="B37175" i="1"/>
  <c r="B37176" i="1"/>
  <c r="B37177" i="1"/>
  <c r="B37178" i="1"/>
  <c r="B37179" i="1"/>
  <c r="B37180" i="1"/>
  <c r="B37181" i="1"/>
  <c r="B37182" i="1"/>
  <c r="B37183" i="1"/>
  <c r="B37184" i="1"/>
  <c r="B37185" i="1"/>
  <c r="B37186" i="1"/>
  <c r="B37187" i="1"/>
  <c r="B37188" i="1"/>
  <c r="B37189" i="1"/>
  <c r="B37190" i="1"/>
  <c r="B37191" i="1"/>
  <c r="B37192" i="1"/>
  <c r="B37193" i="1"/>
  <c r="B37194" i="1"/>
  <c r="B37195" i="1"/>
  <c r="B37196" i="1"/>
  <c r="B37197" i="1"/>
  <c r="B37198" i="1"/>
  <c r="B37199" i="1"/>
  <c r="B37200" i="1"/>
  <c r="B37201" i="1"/>
  <c r="B37202" i="1"/>
  <c r="B37203" i="1"/>
  <c r="B37204" i="1"/>
  <c r="B37205" i="1"/>
  <c r="B37206" i="1"/>
  <c r="B37207" i="1"/>
  <c r="B37208" i="1"/>
  <c r="B37209" i="1"/>
  <c r="B37210" i="1"/>
  <c r="B37211" i="1"/>
  <c r="B37212" i="1"/>
  <c r="B37213" i="1"/>
  <c r="B37214" i="1"/>
  <c r="B37215" i="1"/>
  <c r="B37216" i="1"/>
  <c r="B37217" i="1"/>
  <c r="B37218" i="1"/>
  <c r="B37219" i="1"/>
  <c r="B37220" i="1"/>
  <c r="B37221" i="1"/>
  <c r="B37222" i="1"/>
  <c r="B37223" i="1"/>
  <c r="B37224" i="1"/>
  <c r="B37225" i="1"/>
  <c r="B37226" i="1"/>
  <c r="B37227" i="1"/>
  <c r="B37228" i="1"/>
  <c r="B37229" i="1"/>
  <c r="B37230" i="1"/>
  <c r="B37231" i="1"/>
  <c r="B37232" i="1"/>
  <c r="B37233" i="1"/>
  <c r="B37234" i="1"/>
  <c r="B37235" i="1"/>
  <c r="B37236" i="1"/>
  <c r="B37237" i="1"/>
  <c r="B37238" i="1"/>
  <c r="B37239" i="1"/>
  <c r="B37240" i="1"/>
  <c r="B37241" i="1"/>
  <c r="B37242" i="1"/>
  <c r="B37243" i="1"/>
  <c r="B37244" i="1"/>
  <c r="B37245" i="1"/>
  <c r="B37246" i="1"/>
  <c r="B37247" i="1"/>
  <c r="B37248" i="1"/>
  <c r="B37249" i="1"/>
  <c r="B37250" i="1"/>
  <c r="B37251" i="1"/>
  <c r="B37252" i="1"/>
  <c r="B37253" i="1"/>
  <c r="B37254" i="1"/>
  <c r="B37255" i="1"/>
  <c r="B37256" i="1"/>
  <c r="B37257" i="1"/>
  <c r="B37258" i="1"/>
  <c r="B37259" i="1"/>
  <c r="B37260" i="1"/>
  <c r="B37261" i="1"/>
  <c r="B37262" i="1"/>
  <c r="B37263" i="1"/>
  <c r="B37264" i="1"/>
  <c r="B37265" i="1"/>
  <c r="B37266" i="1"/>
  <c r="B37267" i="1"/>
  <c r="B37268" i="1"/>
  <c r="B37269" i="1"/>
  <c r="B37270" i="1"/>
  <c r="B37271" i="1"/>
  <c r="B37272" i="1"/>
  <c r="B37273" i="1"/>
  <c r="B37274" i="1"/>
  <c r="B37275" i="1"/>
  <c r="B37276" i="1"/>
  <c r="B37277" i="1"/>
  <c r="B37278" i="1"/>
  <c r="B37279" i="1"/>
  <c r="B37280" i="1"/>
  <c r="B37281" i="1"/>
  <c r="B37282" i="1"/>
  <c r="B37283" i="1"/>
  <c r="B37284" i="1"/>
  <c r="B37285" i="1"/>
  <c r="B37286" i="1"/>
  <c r="B37287" i="1"/>
  <c r="B37288" i="1"/>
  <c r="B37289" i="1"/>
  <c r="B37290" i="1"/>
  <c r="B37291" i="1"/>
  <c r="B37292" i="1"/>
  <c r="B37293" i="1"/>
  <c r="B37294" i="1"/>
  <c r="B37295" i="1"/>
  <c r="B37296" i="1"/>
  <c r="B37297" i="1"/>
  <c r="B37298" i="1"/>
  <c r="B37299" i="1"/>
  <c r="B37300" i="1"/>
  <c r="B37301" i="1"/>
  <c r="B37302" i="1"/>
  <c r="B37303" i="1"/>
  <c r="B37304" i="1"/>
  <c r="B37305" i="1"/>
  <c r="B37306" i="1"/>
  <c r="B37307" i="1"/>
  <c r="B37308" i="1"/>
  <c r="B37309" i="1"/>
  <c r="B37310" i="1"/>
  <c r="B37311" i="1"/>
  <c r="B37312" i="1"/>
  <c r="B37313" i="1"/>
  <c r="B37314" i="1"/>
  <c r="B37315" i="1"/>
  <c r="B37316" i="1"/>
  <c r="B37317" i="1"/>
  <c r="B37318" i="1"/>
  <c r="B37319" i="1"/>
  <c r="B37320" i="1"/>
  <c r="B37321" i="1"/>
  <c r="B37322" i="1"/>
  <c r="B37323" i="1"/>
  <c r="B37324" i="1"/>
  <c r="B37325" i="1"/>
  <c r="B37326" i="1"/>
  <c r="B37327" i="1"/>
  <c r="B37328" i="1"/>
  <c r="B37329" i="1"/>
  <c r="B37330" i="1"/>
  <c r="B37331" i="1"/>
  <c r="B37332" i="1"/>
  <c r="B37333" i="1"/>
  <c r="B37334" i="1"/>
  <c r="B37335" i="1"/>
  <c r="B37336" i="1"/>
  <c r="B37337" i="1"/>
  <c r="B37338" i="1"/>
  <c r="B37339" i="1"/>
  <c r="B37340" i="1"/>
  <c r="B37341" i="1"/>
  <c r="B37342" i="1"/>
  <c r="B37343" i="1"/>
  <c r="B37344" i="1"/>
  <c r="B37345" i="1"/>
  <c r="B37346" i="1"/>
  <c r="B37347" i="1"/>
  <c r="B37348" i="1"/>
  <c r="B37349" i="1"/>
  <c r="B37350" i="1"/>
  <c r="B37351" i="1"/>
  <c r="B37352" i="1"/>
  <c r="B37353" i="1"/>
  <c r="B37354" i="1"/>
  <c r="B37355" i="1"/>
  <c r="B37356" i="1"/>
  <c r="B37357" i="1"/>
  <c r="B37358" i="1"/>
  <c r="B37359" i="1"/>
  <c r="B37360" i="1"/>
  <c r="B37361" i="1"/>
  <c r="B37362" i="1"/>
  <c r="B37363" i="1"/>
  <c r="B37364" i="1"/>
  <c r="B37365" i="1"/>
  <c r="B37366" i="1"/>
  <c r="B37367" i="1"/>
  <c r="B37368" i="1"/>
  <c r="B37369" i="1"/>
  <c r="B37370" i="1"/>
  <c r="B37371" i="1"/>
  <c r="B37372" i="1"/>
  <c r="B37373" i="1"/>
  <c r="B37374" i="1"/>
  <c r="B37375" i="1"/>
  <c r="B37376" i="1"/>
  <c r="B37377" i="1"/>
  <c r="B37378" i="1"/>
  <c r="B37379" i="1"/>
  <c r="B37380" i="1"/>
  <c r="B37381" i="1"/>
  <c r="B37382" i="1"/>
  <c r="B37383" i="1"/>
  <c r="B37384" i="1"/>
  <c r="B37385" i="1"/>
  <c r="B37386" i="1"/>
  <c r="B37387" i="1"/>
  <c r="B37388" i="1"/>
  <c r="B37389" i="1"/>
  <c r="B37390" i="1"/>
  <c r="B37391" i="1"/>
  <c r="B37392" i="1"/>
  <c r="B37393" i="1"/>
  <c r="B37394" i="1"/>
  <c r="B37395" i="1"/>
  <c r="B37396" i="1"/>
  <c r="B37397" i="1"/>
  <c r="B37398" i="1"/>
  <c r="B37399" i="1"/>
  <c r="B37400" i="1"/>
  <c r="B37401" i="1"/>
  <c r="B37402" i="1"/>
  <c r="B37403" i="1"/>
  <c r="B37404" i="1"/>
  <c r="B37405" i="1"/>
  <c r="B37406" i="1"/>
  <c r="B37407" i="1"/>
  <c r="B37408" i="1"/>
  <c r="B37409" i="1"/>
  <c r="B37410" i="1"/>
  <c r="B37411" i="1"/>
  <c r="B37412" i="1"/>
  <c r="B37413" i="1"/>
  <c r="B37414" i="1"/>
  <c r="B37415" i="1"/>
  <c r="B37416" i="1"/>
  <c r="B37417" i="1"/>
  <c r="B37418" i="1"/>
  <c r="B37419" i="1"/>
  <c r="B37420" i="1"/>
  <c r="B37421" i="1"/>
  <c r="B37422" i="1"/>
  <c r="B37423" i="1"/>
  <c r="B37424" i="1"/>
  <c r="B37425" i="1"/>
  <c r="B37426" i="1"/>
  <c r="B37427" i="1"/>
  <c r="B37428" i="1"/>
  <c r="B37429" i="1"/>
  <c r="B37430" i="1"/>
  <c r="B37431" i="1"/>
  <c r="B37432" i="1"/>
  <c r="B37433" i="1"/>
  <c r="B37434" i="1"/>
  <c r="B37435" i="1"/>
  <c r="B37436" i="1"/>
  <c r="B37437" i="1"/>
  <c r="B37438" i="1"/>
  <c r="B37439" i="1"/>
  <c r="B37440" i="1"/>
  <c r="B37441" i="1"/>
  <c r="B37442" i="1"/>
  <c r="B37443" i="1"/>
  <c r="B37444" i="1"/>
  <c r="B37445" i="1"/>
  <c r="B37446" i="1"/>
  <c r="B37447" i="1"/>
  <c r="B37448" i="1"/>
  <c r="B37449" i="1"/>
  <c r="B37450" i="1"/>
  <c r="B37451" i="1"/>
  <c r="B37452" i="1"/>
  <c r="B37453" i="1"/>
  <c r="B37454" i="1"/>
  <c r="B37455" i="1"/>
  <c r="B37456" i="1"/>
  <c r="B37457" i="1"/>
  <c r="B37458" i="1"/>
  <c r="B37459" i="1"/>
  <c r="B37460" i="1"/>
  <c r="B37461" i="1"/>
  <c r="B37462" i="1"/>
  <c r="B37463" i="1"/>
  <c r="B37464" i="1"/>
  <c r="B37465" i="1"/>
  <c r="B37466" i="1"/>
  <c r="B37467" i="1"/>
  <c r="B37468" i="1"/>
  <c r="B37469" i="1"/>
  <c r="B37470" i="1"/>
  <c r="B37471" i="1"/>
  <c r="B37472" i="1"/>
  <c r="B37473" i="1"/>
  <c r="B37474" i="1"/>
  <c r="B37475" i="1"/>
  <c r="B37476" i="1"/>
  <c r="B37477" i="1"/>
  <c r="B37478" i="1"/>
  <c r="B37479" i="1"/>
  <c r="B37480" i="1"/>
  <c r="B37481" i="1"/>
  <c r="B37482" i="1"/>
  <c r="B37483" i="1"/>
  <c r="B37484" i="1"/>
  <c r="B37485" i="1"/>
  <c r="B37486" i="1"/>
  <c r="B37487" i="1"/>
  <c r="B37488" i="1"/>
  <c r="B37489" i="1"/>
  <c r="B37490" i="1"/>
  <c r="B37491" i="1"/>
  <c r="B37492" i="1"/>
  <c r="B37493" i="1"/>
  <c r="B37494" i="1"/>
  <c r="B37495" i="1"/>
  <c r="B37496" i="1"/>
  <c r="B37497" i="1"/>
  <c r="B37498" i="1"/>
  <c r="B37499" i="1"/>
  <c r="B37500" i="1"/>
  <c r="B37501" i="1"/>
  <c r="B37502" i="1"/>
  <c r="B37503" i="1"/>
  <c r="B37504" i="1"/>
  <c r="B37505" i="1"/>
  <c r="B37506" i="1"/>
  <c r="B37507" i="1"/>
  <c r="B37508" i="1"/>
  <c r="B37509" i="1"/>
  <c r="B37510" i="1"/>
  <c r="B37511" i="1"/>
  <c r="B37512" i="1"/>
  <c r="B37513" i="1"/>
  <c r="B37514" i="1"/>
  <c r="B37515" i="1"/>
  <c r="B37516" i="1"/>
  <c r="B37517" i="1"/>
  <c r="B37518" i="1"/>
  <c r="B37519" i="1"/>
  <c r="B37520" i="1"/>
  <c r="B37521" i="1"/>
  <c r="B37522" i="1"/>
  <c r="B37523" i="1"/>
  <c r="B37524" i="1"/>
  <c r="B37525" i="1"/>
  <c r="B37526" i="1"/>
  <c r="B37527" i="1"/>
  <c r="B37528" i="1"/>
  <c r="B37529" i="1"/>
  <c r="B37530" i="1"/>
  <c r="B37531" i="1"/>
  <c r="B37532" i="1"/>
  <c r="B37533" i="1"/>
  <c r="B37534" i="1"/>
  <c r="B37535" i="1"/>
  <c r="B37536" i="1"/>
  <c r="B37537" i="1"/>
  <c r="B37538" i="1"/>
  <c r="B37539" i="1"/>
  <c r="B37540" i="1"/>
  <c r="B37541" i="1"/>
  <c r="B37542" i="1"/>
  <c r="B37543" i="1"/>
  <c r="B37544" i="1"/>
  <c r="B37545" i="1"/>
  <c r="B37546" i="1"/>
  <c r="B37547" i="1"/>
  <c r="B37548" i="1"/>
  <c r="B37549" i="1"/>
  <c r="B37550" i="1"/>
  <c r="B37551" i="1"/>
  <c r="B37552" i="1"/>
  <c r="B37553" i="1"/>
  <c r="B37554" i="1"/>
  <c r="B37555" i="1"/>
  <c r="B37556" i="1"/>
  <c r="B37557" i="1"/>
  <c r="B37558" i="1"/>
  <c r="B37559" i="1"/>
  <c r="B37560" i="1"/>
  <c r="B37561" i="1"/>
  <c r="B37562" i="1"/>
  <c r="B37563" i="1"/>
  <c r="B37564" i="1"/>
  <c r="B37565" i="1"/>
  <c r="B37566" i="1"/>
  <c r="B37567" i="1"/>
  <c r="B37568" i="1"/>
  <c r="B37569" i="1"/>
  <c r="B37570" i="1"/>
  <c r="B37571" i="1"/>
  <c r="B37572" i="1"/>
  <c r="B37573" i="1"/>
  <c r="B37574" i="1"/>
  <c r="B37575" i="1"/>
  <c r="B37576" i="1"/>
  <c r="B37577" i="1"/>
  <c r="B37578" i="1"/>
  <c r="B37579" i="1"/>
  <c r="B37580" i="1"/>
  <c r="B37581" i="1"/>
  <c r="B37582" i="1"/>
  <c r="B37583" i="1"/>
  <c r="B37584" i="1"/>
  <c r="B37585" i="1"/>
  <c r="B37586" i="1"/>
  <c r="B37587" i="1"/>
  <c r="B37588" i="1"/>
  <c r="B37589" i="1"/>
  <c r="B37590" i="1"/>
  <c r="B37591" i="1"/>
  <c r="B37592" i="1"/>
  <c r="B37593" i="1"/>
  <c r="B37594" i="1"/>
  <c r="B37595" i="1"/>
  <c r="B37596" i="1"/>
  <c r="B37597" i="1"/>
  <c r="B37598" i="1"/>
  <c r="B37599" i="1"/>
  <c r="B37600" i="1"/>
  <c r="B37601" i="1"/>
  <c r="B37602" i="1"/>
  <c r="B37603" i="1"/>
  <c r="B37604" i="1"/>
  <c r="B37605" i="1"/>
  <c r="B37606" i="1"/>
  <c r="B37607" i="1"/>
  <c r="B37608" i="1"/>
  <c r="B37609" i="1"/>
  <c r="B37610" i="1"/>
  <c r="B37611" i="1"/>
  <c r="B37612" i="1"/>
  <c r="B37613" i="1"/>
  <c r="B37614" i="1"/>
  <c r="B37615" i="1"/>
  <c r="B37616" i="1"/>
  <c r="B37617" i="1"/>
  <c r="B37618" i="1"/>
  <c r="B37619" i="1"/>
  <c r="B37620" i="1"/>
  <c r="B37621" i="1"/>
  <c r="B37622" i="1"/>
  <c r="B37623" i="1"/>
  <c r="B37624" i="1"/>
  <c r="B37625" i="1"/>
  <c r="B37626" i="1"/>
  <c r="B37627" i="1"/>
  <c r="B37628" i="1"/>
  <c r="B37629" i="1"/>
  <c r="B37630" i="1"/>
  <c r="B37631" i="1"/>
  <c r="B37632" i="1"/>
  <c r="B37633" i="1"/>
  <c r="B37634" i="1"/>
  <c r="B37635" i="1"/>
  <c r="B37636" i="1"/>
  <c r="B37637" i="1"/>
  <c r="B37638" i="1"/>
  <c r="B37639" i="1"/>
  <c r="B37640" i="1"/>
  <c r="B37641" i="1"/>
  <c r="B37642" i="1"/>
  <c r="B37643" i="1"/>
  <c r="B37644" i="1"/>
  <c r="B37645" i="1"/>
  <c r="B37646" i="1"/>
  <c r="B37647" i="1"/>
  <c r="B37648" i="1"/>
  <c r="B37649" i="1"/>
  <c r="B37650" i="1"/>
  <c r="B37651" i="1"/>
  <c r="B37652" i="1"/>
  <c r="B37653" i="1"/>
  <c r="B37654" i="1"/>
  <c r="B37655" i="1"/>
  <c r="B37656" i="1"/>
  <c r="B37657" i="1"/>
  <c r="B37658" i="1"/>
  <c r="B37659" i="1"/>
  <c r="B37660" i="1"/>
  <c r="B37661" i="1"/>
  <c r="B37662" i="1"/>
  <c r="B37663" i="1"/>
  <c r="B37664" i="1"/>
  <c r="B37665" i="1"/>
  <c r="B37666" i="1"/>
  <c r="B37667" i="1"/>
  <c r="B37668" i="1"/>
  <c r="B37669" i="1"/>
  <c r="B37670" i="1"/>
  <c r="B37671" i="1"/>
  <c r="B37672" i="1"/>
  <c r="B37673" i="1"/>
  <c r="B37674" i="1"/>
  <c r="B37675" i="1"/>
  <c r="B37676" i="1"/>
  <c r="B37677" i="1"/>
  <c r="B37678" i="1"/>
  <c r="B37679" i="1"/>
  <c r="B37680" i="1"/>
  <c r="B37681" i="1"/>
  <c r="B37682" i="1"/>
  <c r="B37683" i="1"/>
  <c r="B37684" i="1"/>
  <c r="B37685" i="1"/>
  <c r="B37686" i="1"/>
  <c r="B37687" i="1"/>
  <c r="B37688" i="1"/>
  <c r="B37689" i="1"/>
  <c r="B37690" i="1"/>
  <c r="B37691" i="1"/>
  <c r="B37692" i="1"/>
  <c r="B37693" i="1"/>
  <c r="B37694" i="1"/>
  <c r="B37695" i="1"/>
  <c r="B37696" i="1"/>
  <c r="B37697" i="1"/>
  <c r="B37698" i="1"/>
  <c r="B37699" i="1"/>
  <c r="B37700" i="1"/>
  <c r="B37701" i="1"/>
  <c r="B37702" i="1"/>
  <c r="B37703" i="1"/>
  <c r="B37704" i="1"/>
  <c r="B37705" i="1"/>
  <c r="B37706" i="1"/>
  <c r="B37707" i="1"/>
  <c r="B37708" i="1"/>
  <c r="B37709" i="1"/>
  <c r="B37710" i="1"/>
  <c r="B37711" i="1"/>
  <c r="B37712" i="1"/>
  <c r="B37713" i="1"/>
  <c r="B37714" i="1"/>
  <c r="B37715" i="1"/>
  <c r="B37716" i="1"/>
  <c r="B37717" i="1"/>
  <c r="B37718" i="1"/>
  <c r="B37719" i="1"/>
  <c r="B37720" i="1"/>
  <c r="B37721" i="1"/>
  <c r="B37722" i="1"/>
  <c r="B37723" i="1"/>
  <c r="B37724" i="1"/>
  <c r="B37725" i="1"/>
  <c r="B37726" i="1"/>
  <c r="B37727" i="1"/>
  <c r="B37728" i="1"/>
  <c r="B37729" i="1"/>
  <c r="B37730" i="1"/>
  <c r="B37731" i="1"/>
  <c r="B37732" i="1"/>
  <c r="B37733" i="1"/>
  <c r="B37734" i="1"/>
  <c r="B37735" i="1"/>
  <c r="B37736" i="1"/>
  <c r="B37737" i="1"/>
  <c r="B37738" i="1"/>
  <c r="B37739" i="1"/>
  <c r="B37740" i="1"/>
  <c r="B37741" i="1"/>
  <c r="B37742" i="1"/>
  <c r="B37743" i="1"/>
  <c r="B37744" i="1"/>
  <c r="B37745" i="1"/>
  <c r="B37746" i="1"/>
  <c r="B37747" i="1"/>
  <c r="B37748" i="1"/>
  <c r="B37749" i="1"/>
  <c r="B37750" i="1"/>
  <c r="B37751" i="1"/>
  <c r="B37752" i="1"/>
  <c r="B37753" i="1"/>
  <c r="B37754" i="1"/>
  <c r="B37755" i="1"/>
  <c r="B37756" i="1"/>
  <c r="B37757" i="1"/>
  <c r="B37758" i="1"/>
  <c r="B37759" i="1"/>
  <c r="B37760" i="1"/>
  <c r="B37761" i="1"/>
  <c r="B37762" i="1"/>
  <c r="B37763" i="1"/>
  <c r="B37764" i="1"/>
  <c r="B37765" i="1"/>
  <c r="B37766" i="1"/>
  <c r="B37767" i="1"/>
  <c r="B37768" i="1"/>
  <c r="B37769" i="1"/>
  <c r="B37770" i="1"/>
  <c r="B37771" i="1"/>
  <c r="B37772" i="1"/>
  <c r="B37773" i="1"/>
  <c r="B37774" i="1"/>
  <c r="B37775" i="1"/>
  <c r="B37776" i="1"/>
  <c r="B37777" i="1"/>
  <c r="B37778" i="1"/>
  <c r="B37779" i="1"/>
  <c r="B37780" i="1"/>
  <c r="B37781" i="1"/>
  <c r="B37782" i="1"/>
  <c r="B37783" i="1"/>
  <c r="B37784" i="1"/>
  <c r="B37785" i="1"/>
  <c r="B37786" i="1"/>
  <c r="B37787" i="1"/>
  <c r="B37788" i="1"/>
  <c r="B37789" i="1"/>
  <c r="B37790" i="1"/>
  <c r="B37791" i="1"/>
  <c r="B37792" i="1"/>
  <c r="B37793" i="1"/>
  <c r="B37794" i="1"/>
  <c r="B37795" i="1"/>
  <c r="B37796" i="1"/>
  <c r="B37797" i="1"/>
  <c r="B37798" i="1"/>
  <c r="B37799" i="1"/>
  <c r="B37800" i="1"/>
  <c r="B37801" i="1"/>
  <c r="B37802" i="1"/>
  <c r="B37803" i="1"/>
  <c r="B37804" i="1"/>
  <c r="B37805" i="1"/>
  <c r="B37806" i="1"/>
  <c r="B37807" i="1"/>
  <c r="B37808" i="1"/>
  <c r="B37809" i="1"/>
  <c r="B37810" i="1"/>
  <c r="B37811" i="1"/>
  <c r="B37812" i="1"/>
  <c r="B37813" i="1"/>
  <c r="B37814" i="1"/>
  <c r="B37815" i="1"/>
  <c r="B37816" i="1"/>
  <c r="B37817" i="1"/>
  <c r="B37818" i="1"/>
  <c r="B37819" i="1"/>
  <c r="B37820" i="1"/>
  <c r="B37821" i="1"/>
  <c r="B37822" i="1"/>
  <c r="B37823" i="1"/>
  <c r="B37824" i="1"/>
  <c r="B37825" i="1"/>
  <c r="B37826" i="1"/>
  <c r="B37827" i="1"/>
  <c r="B37828" i="1"/>
  <c r="B37829" i="1"/>
  <c r="B37830" i="1"/>
  <c r="B37831" i="1"/>
  <c r="B37832" i="1"/>
  <c r="B37833" i="1"/>
  <c r="B37834" i="1"/>
  <c r="B37835" i="1"/>
  <c r="B37836" i="1"/>
  <c r="B37837" i="1"/>
  <c r="B37838" i="1"/>
  <c r="B37839" i="1"/>
  <c r="B37840" i="1"/>
  <c r="B37841" i="1"/>
  <c r="B37842" i="1"/>
  <c r="B37843" i="1"/>
  <c r="B37844" i="1"/>
  <c r="B37845" i="1"/>
  <c r="B37846" i="1"/>
  <c r="B37847" i="1"/>
  <c r="B37848" i="1"/>
  <c r="B37849" i="1"/>
  <c r="B37850" i="1"/>
  <c r="B37851" i="1"/>
  <c r="B37852" i="1"/>
  <c r="B37853" i="1"/>
  <c r="B37854" i="1"/>
  <c r="B37855" i="1"/>
  <c r="B37856" i="1"/>
  <c r="B37857" i="1"/>
  <c r="B37858" i="1"/>
  <c r="B37859" i="1"/>
  <c r="B37860" i="1"/>
  <c r="B37861" i="1"/>
  <c r="B37862" i="1"/>
  <c r="B37863" i="1"/>
  <c r="B37864" i="1"/>
  <c r="B37865" i="1"/>
  <c r="B37866" i="1"/>
  <c r="B37867" i="1"/>
  <c r="B37868" i="1"/>
  <c r="B37869" i="1"/>
  <c r="B37870" i="1"/>
  <c r="B37871" i="1"/>
  <c r="B37872" i="1"/>
  <c r="B37873" i="1"/>
  <c r="B37874" i="1"/>
  <c r="B37875" i="1"/>
  <c r="B37876" i="1"/>
  <c r="B37877" i="1"/>
  <c r="B37878" i="1"/>
  <c r="B37879" i="1"/>
  <c r="B37880" i="1"/>
  <c r="B37881" i="1"/>
  <c r="B37882" i="1"/>
  <c r="B37883" i="1"/>
  <c r="B37884" i="1"/>
  <c r="B37885" i="1"/>
  <c r="B37886" i="1"/>
  <c r="B37887" i="1"/>
  <c r="B37888" i="1"/>
  <c r="B37889" i="1"/>
  <c r="B37890" i="1"/>
  <c r="B37891" i="1"/>
  <c r="B37892" i="1"/>
  <c r="B37893" i="1"/>
  <c r="B37894" i="1"/>
  <c r="B37895" i="1"/>
  <c r="B37896" i="1"/>
  <c r="B37897" i="1"/>
  <c r="B37898" i="1"/>
  <c r="B37899" i="1"/>
  <c r="B37900" i="1"/>
  <c r="B37901" i="1"/>
  <c r="B37902" i="1"/>
  <c r="B37903" i="1"/>
  <c r="B37904" i="1"/>
  <c r="B37905" i="1"/>
  <c r="B37906" i="1"/>
  <c r="B37907" i="1"/>
  <c r="B37908" i="1"/>
  <c r="B37909" i="1"/>
  <c r="B37910" i="1"/>
  <c r="B37911" i="1"/>
  <c r="B37912" i="1"/>
  <c r="B37913" i="1"/>
  <c r="B37914" i="1"/>
  <c r="B37915" i="1"/>
  <c r="B37916" i="1"/>
  <c r="B37917" i="1"/>
  <c r="B37918" i="1"/>
  <c r="B37919" i="1"/>
  <c r="B37920" i="1"/>
  <c r="B37921" i="1"/>
  <c r="B37922" i="1"/>
  <c r="B37923" i="1"/>
  <c r="B37924" i="1"/>
  <c r="B37925" i="1"/>
  <c r="B37926" i="1"/>
  <c r="B37927" i="1"/>
  <c r="B37928" i="1"/>
  <c r="B37929" i="1"/>
  <c r="B37930" i="1"/>
  <c r="B37931" i="1"/>
  <c r="B37932" i="1"/>
  <c r="B37933" i="1"/>
  <c r="B37934" i="1"/>
  <c r="B37935" i="1"/>
  <c r="B37936" i="1"/>
  <c r="B37937" i="1"/>
  <c r="B37938" i="1"/>
  <c r="B37939" i="1"/>
  <c r="B37940" i="1"/>
  <c r="B37941" i="1"/>
  <c r="B37942" i="1"/>
  <c r="B37943" i="1"/>
  <c r="B37944" i="1"/>
  <c r="B37945" i="1"/>
  <c r="B37946" i="1"/>
  <c r="B37947" i="1"/>
  <c r="B37948" i="1"/>
  <c r="B37949" i="1"/>
  <c r="B37950" i="1"/>
  <c r="B37951" i="1"/>
  <c r="B37952" i="1"/>
  <c r="B37953" i="1"/>
  <c r="B37954" i="1"/>
  <c r="B37955" i="1"/>
  <c r="B37956" i="1"/>
  <c r="B37957" i="1"/>
  <c r="B37958" i="1"/>
  <c r="B37959" i="1"/>
  <c r="B37960" i="1"/>
  <c r="B37961" i="1"/>
  <c r="B37962" i="1"/>
  <c r="B37963" i="1"/>
  <c r="B37964" i="1"/>
  <c r="B37965" i="1"/>
  <c r="B37966" i="1"/>
  <c r="B37967" i="1"/>
  <c r="B37968" i="1"/>
  <c r="B37969" i="1"/>
  <c r="B37970" i="1"/>
  <c r="B37971" i="1"/>
  <c r="B37972" i="1"/>
  <c r="B37973" i="1"/>
  <c r="B37974" i="1"/>
  <c r="B37975" i="1"/>
  <c r="B37976" i="1"/>
  <c r="B37977" i="1"/>
  <c r="B37978" i="1"/>
  <c r="B37979" i="1"/>
  <c r="B37980" i="1"/>
  <c r="B37981" i="1"/>
  <c r="B37982" i="1"/>
  <c r="B37983" i="1"/>
  <c r="B37984" i="1"/>
  <c r="B37985" i="1"/>
  <c r="B37986" i="1"/>
  <c r="B37987" i="1"/>
  <c r="B37988" i="1"/>
  <c r="B37989" i="1"/>
  <c r="B37990" i="1"/>
  <c r="B37991" i="1"/>
  <c r="B37992" i="1"/>
  <c r="B37993" i="1"/>
  <c r="B37994" i="1"/>
  <c r="B37995" i="1"/>
  <c r="B37996" i="1"/>
  <c r="B37997" i="1"/>
  <c r="B37998" i="1"/>
  <c r="B37999" i="1"/>
  <c r="B38000" i="1"/>
  <c r="B38001" i="1"/>
  <c r="B38002" i="1"/>
  <c r="B38003" i="1"/>
  <c r="B38004" i="1"/>
  <c r="B38005" i="1"/>
  <c r="B38006" i="1"/>
  <c r="B38007" i="1"/>
  <c r="B38008" i="1"/>
  <c r="B38009" i="1"/>
  <c r="B38010" i="1"/>
  <c r="B38011" i="1"/>
  <c r="B38012" i="1"/>
  <c r="B38013" i="1"/>
  <c r="B38014" i="1"/>
  <c r="B38015" i="1"/>
  <c r="B38016" i="1"/>
  <c r="B38017" i="1"/>
  <c r="B38018" i="1"/>
  <c r="B38019" i="1"/>
  <c r="B38020" i="1"/>
  <c r="B38021" i="1"/>
  <c r="B38022" i="1"/>
  <c r="B38023" i="1"/>
  <c r="B38024" i="1"/>
  <c r="B38025" i="1"/>
  <c r="B38026" i="1"/>
  <c r="B38027" i="1"/>
  <c r="B38028" i="1"/>
  <c r="B38029" i="1"/>
  <c r="B38030" i="1"/>
  <c r="B38031" i="1"/>
  <c r="B38032" i="1"/>
  <c r="B38033" i="1"/>
  <c r="B38034" i="1"/>
  <c r="B38035" i="1"/>
  <c r="B38036" i="1"/>
  <c r="B38037" i="1"/>
  <c r="B38038" i="1"/>
  <c r="B38039" i="1"/>
  <c r="B38040" i="1"/>
  <c r="B38041" i="1"/>
  <c r="B38042" i="1"/>
  <c r="B38043" i="1"/>
  <c r="B38044" i="1"/>
  <c r="B38045" i="1"/>
  <c r="B38046" i="1"/>
  <c r="B38047" i="1"/>
  <c r="B38048" i="1"/>
  <c r="B38049" i="1"/>
  <c r="B38050" i="1"/>
  <c r="B38051" i="1"/>
  <c r="B38052" i="1"/>
  <c r="B38053" i="1"/>
  <c r="B38054" i="1"/>
  <c r="B38055" i="1"/>
  <c r="B38056" i="1"/>
  <c r="B38057" i="1"/>
  <c r="B38058" i="1"/>
  <c r="B38059" i="1"/>
  <c r="B38060" i="1"/>
  <c r="B38061" i="1"/>
  <c r="B38062" i="1"/>
  <c r="B38063" i="1"/>
  <c r="B38064" i="1"/>
  <c r="B38065" i="1"/>
  <c r="B38066" i="1"/>
  <c r="B38067" i="1"/>
  <c r="B38068" i="1"/>
  <c r="B38069" i="1"/>
  <c r="B38070" i="1"/>
  <c r="B38071" i="1"/>
  <c r="B38072" i="1"/>
  <c r="B38073" i="1"/>
  <c r="B38074" i="1"/>
  <c r="B38075" i="1"/>
  <c r="B38076" i="1"/>
  <c r="B38077" i="1"/>
  <c r="B38078" i="1"/>
  <c r="B38079" i="1"/>
  <c r="B38080" i="1"/>
  <c r="B38081" i="1"/>
  <c r="B38082" i="1"/>
  <c r="B38083" i="1"/>
  <c r="B38084" i="1"/>
  <c r="B38085" i="1"/>
  <c r="B38086" i="1"/>
  <c r="B38087" i="1"/>
  <c r="B38088" i="1"/>
  <c r="B38089" i="1"/>
  <c r="B38090" i="1"/>
  <c r="B38091" i="1"/>
  <c r="B38092" i="1"/>
  <c r="B38093" i="1"/>
  <c r="B38094" i="1"/>
  <c r="B38095" i="1"/>
  <c r="B38096" i="1"/>
  <c r="B38097" i="1"/>
  <c r="B38098" i="1"/>
  <c r="B38099" i="1"/>
  <c r="B38100" i="1"/>
  <c r="B38101" i="1"/>
  <c r="B38102" i="1"/>
  <c r="B38103" i="1"/>
  <c r="B38104" i="1"/>
  <c r="B38105" i="1"/>
  <c r="B38106" i="1"/>
  <c r="B38107" i="1"/>
  <c r="B38108" i="1"/>
  <c r="B38109" i="1"/>
  <c r="B38110" i="1"/>
  <c r="B38111" i="1"/>
  <c r="B38112" i="1"/>
  <c r="B38113" i="1"/>
  <c r="B38114" i="1"/>
  <c r="B38115" i="1"/>
  <c r="B38116" i="1"/>
  <c r="B38117" i="1"/>
  <c r="B38118" i="1"/>
  <c r="B38119" i="1"/>
  <c r="B38120" i="1"/>
  <c r="B38121" i="1"/>
  <c r="B38122" i="1"/>
  <c r="B38123" i="1"/>
  <c r="B38124" i="1"/>
  <c r="B38125" i="1"/>
  <c r="B38126" i="1"/>
  <c r="B38127" i="1"/>
  <c r="B38128" i="1"/>
  <c r="B38129" i="1"/>
  <c r="B38130" i="1"/>
  <c r="B38131" i="1"/>
  <c r="B38132" i="1"/>
  <c r="B38133" i="1"/>
  <c r="B38134" i="1"/>
  <c r="B38135" i="1"/>
  <c r="B38136" i="1"/>
  <c r="B38137" i="1"/>
  <c r="B38138" i="1"/>
  <c r="B38139" i="1"/>
  <c r="B38140" i="1"/>
  <c r="B38141" i="1"/>
  <c r="B38142" i="1"/>
  <c r="B38143" i="1"/>
  <c r="B38144" i="1"/>
  <c r="B38145" i="1"/>
  <c r="B38146" i="1"/>
  <c r="B38147" i="1"/>
  <c r="B38148" i="1"/>
  <c r="B38149" i="1"/>
  <c r="B38150" i="1"/>
  <c r="B38151" i="1"/>
  <c r="B38152" i="1"/>
  <c r="B38153" i="1"/>
  <c r="B38154" i="1"/>
  <c r="B38155" i="1"/>
  <c r="B38156" i="1"/>
  <c r="B38157" i="1"/>
  <c r="B38158" i="1"/>
  <c r="B38159" i="1"/>
  <c r="B38160" i="1"/>
  <c r="B38161" i="1"/>
  <c r="B38162" i="1"/>
  <c r="B38163" i="1"/>
  <c r="B38164" i="1"/>
  <c r="B38165" i="1"/>
  <c r="B38166" i="1"/>
  <c r="B38167" i="1"/>
  <c r="B38168" i="1"/>
  <c r="B38169" i="1"/>
  <c r="B38170" i="1"/>
  <c r="B38171" i="1"/>
  <c r="B38172" i="1"/>
  <c r="B38173" i="1"/>
  <c r="B38174" i="1"/>
  <c r="B38175" i="1"/>
  <c r="B38176" i="1"/>
  <c r="B38177" i="1"/>
  <c r="B38178" i="1"/>
  <c r="B38179" i="1"/>
  <c r="B38180" i="1"/>
  <c r="B38181" i="1"/>
  <c r="B38182" i="1"/>
  <c r="B38183" i="1"/>
  <c r="B38184" i="1"/>
  <c r="B38185" i="1"/>
  <c r="B38186" i="1"/>
  <c r="B38187" i="1"/>
  <c r="B38188" i="1"/>
  <c r="B38189" i="1"/>
  <c r="B38190" i="1"/>
  <c r="B38191" i="1"/>
  <c r="B38192" i="1"/>
  <c r="B38193" i="1"/>
  <c r="B38194" i="1"/>
  <c r="B38195" i="1"/>
  <c r="B38196" i="1"/>
  <c r="B38197" i="1"/>
  <c r="B38198" i="1"/>
  <c r="B38199" i="1"/>
  <c r="B38200" i="1"/>
  <c r="B38201" i="1"/>
  <c r="B38202" i="1"/>
  <c r="B38203" i="1"/>
  <c r="B38204" i="1"/>
  <c r="B38205" i="1"/>
  <c r="B38206" i="1"/>
  <c r="B38207" i="1"/>
  <c r="B38208" i="1"/>
  <c r="B38209" i="1"/>
  <c r="B38210" i="1"/>
  <c r="B38211" i="1"/>
  <c r="B38212" i="1"/>
  <c r="B38213" i="1"/>
  <c r="B38214" i="1"/>
  <c r="B38215" i="1"/>
  <c r="B38216" i="1"/>
  <c r="B38217" i="1"/>
  <c r="B38218" i="1"/>
  <c r="B38219" i="1"/>
  <c r="B38220" i="1"/>
  <c r="B38221" i="1"/>
  <c r="B38222" i="1"/>
  <c r="B38223" i="1"/>
  <c r="B38224" i="1"/>
  <c r="B38225" i="1"/>
  <c r="B38226" i="1"/>
  <c r="B38227" i="1"/>
  <c r="B38228" i="1"/>
  <c r="B38229" i="1"/>
  <c r="B38230" i="1"/>
  <c r="B38231" i="1"/>
  <c r="B38232" i="1"/>
  <c r="B38233" i="1"/>
  <c r="B38234" i="1"/>
  <c r="B38235" i="1"/>
  <c r="B38236" i="1"/>
  <c r="B38237" i="1"/>
  <c r="B38238" i="1"/>
  <c r="B38239" i="1"/>
  <c r="B38240" i="1"/>
  <c r="B38241" i="1"/>
  <c r="B38242" i="1"/>
  <c r="B38243" i="1"/>
  <c r="B38244" i="1"/>
  <c r="B38245" i="1"/>
  <c r="B38246" i="1"/>
  <c r="B38247" i="1"/>
  <c r="B38248" i="1"/>
  <c r="B38249" i="1"/>
  <c r="B38250" i="1"/>
  <c r="B38251" i="1"/>
  <c r="B38252" i="1"/>
  <c r="B38253" i="1"/>
  <c r="B38254" i="1"/>
  <c r="B38255" i="1"/>
  <c r="B38256" i="1"/>
  <c r="B38257" i="1"/>
  <c r="B38258" i="1"/>
  <c r="B38259" i="1"/>
  <c r="B38260" i="1"/>
  <c r="B38261" i="1"/>
  <c r="B38262" i="1"/>
  <c r="B38263" i="1"/>
  <c r="B38264" i="1"/>
  <c r="B38265" i="1"/>
  <c r="B38266" i="1"/>
  <c r="B38267" i="1"/>
  <c r="B38268" i="1"/>
  <c r="B38269" i="1"/>
  <c r="B38270" i="1"/>
  <c r="B38271" i="1"/>
  <c r="B38272" i="1"/>
  <c r="B38273" i="1"/>
  <c r="B38274" i="1"/>
  <c r="B38275" i="1"/>
  <c r="B38276" i="1"/>
  <c r="B38277" i="1"/>
  <c r="B38278" i="1"/>
  <c r="B38279" i="1"/>
  <c r="B38280" i="1"/>
  <c r="B38281" i="1"/>
  <c r="B38282" i="1"/>
  <c r="B38283" i="1"/>
  <c r="B38284" i="1"/>
  <c r="B38285" i="1"/>
  <c r="B38286" i="1"/>
  <c r="B38287" i="1"/>
  <c r="B38288" i="1"/>
  <c r="B38289" i="1"/>
  <c r="B38290" i="1"/>
  <c r="B38291" i="1"/>
  <c r="B38292" i="1"/>
  <c r="B38293" i="1"/>
  <c r="B38294" i="1"/>
  <c r="B38295" i="1"/>
  <c r="B38296" i="1"/>
  <c r="B38297" i="1"/>
  <c r="B38298" i="1"/>
  <c r="B38299" i="1"/>
  <c r="B38300" i="1"/>
  <c r="B38301" i="1"/>
  <c r="B38302" i="1"/>
  <c r="B38303" i="1"/>
  <c r="B38304" i="1"/>
  <c r="B38305" i="1"/>
  <c r="B38306" i="1"/>
  <c r="B38307" i="1"/>
  <c r="B38308" i="1"/>
  <c r="B38309" i="1"/>
  <c r="B38310" i="1"/>
  <c r="B38311" i="1"/>
  <c r="B38312" i="1"/>
  <c r="B38313" i="1"/>
  <c r="B38314" i="1"/>
  <c r="B38315" i="1"/>
  <c r="B38316" i="1"/>
  <c r="B38317" i="1"/>
  <c r="B38318" i="1"/>
  <c r="B38319" i="1"/>
  <c r="B38320" i="1"/>
  <c r="B38321" i="1"/>
  <c r="B38322" i="1"/>
  <c r="B38323" i="1"/>
  <c r="B38324" i="1"/>
  <c r="B38325" i="1"/>
  <c r="B38326" i="1"/>
  <c r="B38327" i="1"/>
  <c r="B38328" i="1"/>
  <c r="B38329" i="1"/>
  <c r="B38330" i="1"/>
  <c r="B38331" i="1"/>
  <c r="B38332" i="1"/>
  <c r="B38333" i="1"/>
  <c r="B38334" i="1"/>
  <c r="B38335" i="1"/>
  <c r="B38336" i="1"/>
  <c r="B38337" i="1"/>
  <c r="B38338" i="1"/>
  <c r="B38339" i="1"/>
  <c r="B38340" i="1"/>
  <c r="B38341" i="1"/>
  <c r="B38342" i="1"/>
  <c r="B38343" i="1"/>
  <c r="B38344" i="1"/>
  <c r="B38345" i="1"/>
  <c r="B38346" i="1"/>
  <c r="B38347" i="1"/>
  <c r="B38348" i="1"/>
  <c r="B38349" i="1"/>
  <c r="B38350" i="1"/>
  <c r="B38351" i="1"/>
  <c r="B38352" i="1"/>
  <c r="B38353" i="1"/>
  <c r="B38354" i="1"/>
  <c r="B38355" i="1"/>
  <c r="B38356" i="1"/>
  <c r="B38357" i="1"/>
  <c r="B38358" i="1"/>
  <c r="B38359" i="1"/>
  <c r="B38360" i="1"/>
  <c r="B38361" i="1"/>
  <c r="B38362" i="1"/>
  <c r="B38363" i="1"/>
  <c r="B38364" i="1"/>
  <c r="B38365" i="1"/>
  <c r="B38366" i="1"/>
  <c r="B38367" i="1"/>
  <c r="B38368" i="1"/>
  <c r="B38369" i="1"/>
  <c r="B38370" i="1"/>
  <c r="B38371" i="1"/>
  <c r="B38372" i="1"/>
  <c r="B38373" i="1"/>
  <c r="B38374" i="1"/>
  <c r="B38375" i="1"/>
  <c r="B38376" i="1"/>
  <c r="B38377" i="1"/>
  <c r="B38378" i="1"/>
  <c r="B38379" i="1"/>
  <c r="B38380" i="1"/>
  <c r="B38381" i="1"/>
  <c r="B38382" i="1"/>
  <c r="B38383" i="1"/>
  <c r="B38384" i="1"/>
  <c r="B38385" i="1"/>
  <c r="B38386" i="1"/>
  <c r="B38387" i="1"/>
  <c r="B38388" i="1"/>
  <c r="B38389" i="1"/>
  <c r="B38390" i="1"/>
  <c r="B38391" i="1"/>
  <c r="B38392" i="1"/>
  <c r="B38393" i="1"/>
  <c r="B38394" i="1"/>
  <c r="B38395" i="1"/>
  <c r="B38396" i="1"/>
  <c r="B38397" i="1"/>
  <c r="B38398" i="1"/>
  <c r="B38399" i="1"/>
  <c r="B38400" i="1"/>
  <c r="B38401" i="1"/>
  <c r="B38402" i="1"/>
  <c r="B38403" i="1"/>
  <c r="B38404" i="1"/>
  <c r="B38405" i="1"/>
  <c r="B38406" i="1"/>
  <c r="B38407" i="1"/>
  <c r="B38408" i="1"/>
  <c r="B38409" i="1"/>
  <c r="B38410" i="1"/>
  <c r="B38411" i="1"/>
  <c r="B38412" i="1"/>
  <c r="B38413" i="1"/>
  <c r="B38414" i="1"/>
  <c r="B38415" i="1"/>
  <c r="B38416" i="1"/>
  <c r="B38417" i="1"/>
  <c r="B38418" i="1"/>
  <c r="B38419" i="1"/>
  <c r="B38420" i="1"/>
  <c r="B38421" i="1"/>
  <c r="B38422" i="1"/>
  <c r="B38423" i="1"/>
  <c r="B38424" i="1"/>
  <c r="B38425" i="1"/>
  <c r="B38426" i="1"/>
  <c r="B38427" i="1"/>
  <c r="B38428" i="1"/>
  <c r="B38429" i="1"/>
  <c r="B38430" i="1"/>
  <c r="B38431" i="1"/>
  <c r="B38432" i="1"/>
  <c r="B38433" i="1"/>
  <c r="B38434" i="1"/>
  <c r="B38435" i="1"/>
  <c r="B38436" i="1"/>
  <c r="B38437" i="1"/>
  <c r="B38438" i="1"/>
  <c r="B38439" i="1"/>
  <c r="B38440" i="1"/>
  <c r="B38441" i="1"/>
  <c r="B38442" i="1"/>
  <c r="B38443" i="1"/>
  <c r="B38444" i="1"/>
  <c r="B38445" i="1"/>
  <c r="B38446" i="1"/>
  <c r="B38447" i="1"/>
  <c r="B38448" i="1"/>
  <c r="B38449" i="1"/>
  <c r="B38450" i="1"/>
  <c r="B38451" i="1"/>
  <c r="B38452" i="1"/>
  <c r="B38453" i="1"/>
  <c r="B38454" i="1"/>
  <c r="B38455" i="1"/>
  <c r="B38456" i="1"/>
  <c r="B38457" i="1"/>
  <c r="B38458" i="1"/>
  <c r="B38459" i="1"/>
  <c r="B38460" i="1"/>
  <c r="B38461" i="1"/>
  <c r="B38462" i="1"/>
  <c r="B38463" i="1"/>
  <c r="B38464" i="1"/>
  <c r="B38465" i="1"/>
  <c r="B38466" i="1"/>
  <c r="B38467" i="1"/>
  <c r="B38468" i="1"/>
  <c r="B38469" i="1"/>
  <c r="B38470" i="1"/>
  <c r="B38471" i="1"/>
  <c r="B38472" i="1"/>
  <c r="B38473" i="1"/>
  <c r="B38474" i="1"/>
  <c r="B38475" i="1"/>
  <c r="B38476" i="1"/>
  <c r="B38477" i="1"/>
  <c r="B38478" i="1"/>
  <c r="B38479" i="1"/>
  <c r="B38480" i="1"/>
  <c r="B38481" i="1"/>
  <c r="B38482" i="1"/>
  <c r="B38483" i="1"/>
  <c r="B38484" i="1"/>
  <c r="B38485" i="1"/>
  <c r="B38486" i="1"/>
  <c r="B38487" i="1"/>
  <c r="B38488" i="1"/>
  <c r="B38489" i="1"/>
  <c r="B38490" i="1"/>
  <c r="B38491" i="1"/>
  <c r="B38492" i="1"/>
  <c r="B38493" i="1"/>
  <c r="B38494" i="1"/>
  <c r="B38495" i="1"/>
  <c r="B38496" i="1"/>
  <c r="B38497" i="1"/>
  <c r="B38498" i="1"/>
  <c r="B38499" i="1"/>
  <c r="B38500" i="1"/>
  <c r="B38501" i="1"/>
  <c r="B38502" i="1"/>
  <c r="B38503" i="1"/>
  <c r="B38504" i="1"/>
  <c r="B38505" i="1"/>
  <c r="B38506" i="1"/>
  <c r="B38507" i="1"/>
  <c r="B38508" i="1"/>
  <c r="B38509" i="1"/>
  <c r="B38510" i="1"/>
  <c r="B38511" i="1"/>
  <c r="B38512" i="1"/>
  <c r="B38513" i="1"/>
  <c r="B38514" i="1"/>
  <c r="B38515" i="1"/>
  <c r="B38516" i="1"/>
  <c r="B38517" i="1"/>
  <c r="B38518" i="1"/>
  <c r="B38519" i="1"/>
  <c r="B38520" i="1"/>
  <c r="B38521" i="1"/>
  <c r="B38522" i="1"/>
  <c r="B38523" i="1"/>
  <c r="B38524" i="1"/>
  <c r="B38525" i="1"/>
  <c r="B38526" i="1"/>
  <c r="B38527" i="1"/>
  <c r="B38528" i="1"/>
  <c r="B38529" i="1"/>
  <c r="B38530" i="1"/>
  <c r="B38531" i="1"/>
  <c r="B38532" i="1"/>
  <c r="B38533" i="1"/>
  <c r="B38534" i="1"/>
  <c r="B38535" i="1"/>
  <c r="B38536" i="1"/>
  <c r="B38537" i="1"/>
  <c r="B38538" i="1"/>
  <c r="B38539" i="1"/>
  <c r="B38540" i="1"/>
  <c r="B38541" i="1"/>
  <c r="B38542" i="1"/>
  <c r="B38543" i="1"/>
  <c r="B38544" i="1"/>
  <c r="B38545" i="1"/>
  <c r="B38546" i="1"/>
  <c r="B38547" i="1"/>
  <c r="B38548" i="1"/>
  <c r="B38549" i="1"/>
  <c r="B38550" i="1"/>
  <c r="B38551" i="1"/>
  <c r="B38552" i="1"/>
  <c r="B38553" i="1"/>
  <c r="B38554" i="1"/>
  <c r="B38555" i="1"/>
  <c r="B38556" i="1"/>
  <c r="B38557" i="1"/>
  <c r="B38558" i="1"/>
  <c r="B38559" i="1"/>
  <c r="B38560" i="1"/>
  <c r="B38561" i="1"/>
  <c r="B38562" i="1"/>
  <c r="B38563" i="1"/>
  <c r="B38564" i="1"/>
  <c r="B38565" i="1"/>
  <c r="B38566" i="1"/>
  <c r="B38567" i="1"/>
  <c r="B38568" i="1"/>
  <c r="B38569" i="1"/>
  <c r="B38570" i="1"/>
  <c r="B38571" i="1"/>
  <c r="B38572" i="1"/>
  <c r="B38573" i="1"/>
  <c r="B38574" i="1"/>
  <c r="B38575" i="1"/>
  <c r="B38576" i="1"/>
  <c r="B38577" i="1"/>
  <c r="B38578" i="1"/>
  <c r="B38579" i="1"/>
  <c r="B38580" i="1"/>
  <c r="B38581" i="1"/>
  <c r="B38582" i="1"/>
  <c r="B38583" i="1"/>
  <c r="B38584" i="1"/>
  <c r="B38585" i="1"/>
  <c r="B38586" i="1"/>
  <c r="B38587" i="1"/>
  <c r="B38588" i="1"/>
  <c r="B38589" i="1"/>
  <c r="B38590" i="1"/>
  <c r="B38591" i="1"/>
  <c r="B38592" i="1"/>
  <c r="B38593" i="1"/>
  <c r="B38594" i="1"/>
  <c r="B38595" i="1"/>
  <c r="B38596" i="1"/>
  <c r="B38597" i="1"/>
  <c r="B38598" i="1"/>
  <c r="B38599" i="1"/>
  <c r="B38600" i="1"/>
  <c r="B38601" i="1"/>
  <c r="B38602" i="1"/>
  <c r="B38603" i="1"/>
  <c r="B38604" i="1"/>
  <c r="B38605" i="1"/>
  <c r="B38606" i="1"/>
  <c r="B38607" i="1"/>
  <c r="B38608" i="1"/>
  <c r="B38609" i="1"/>
  <c r="B38610" i="1"/>
  <c r="B38611" i="1"/>
  <c r="B38612" i="1"/>
  <c r="B38613" i="1"/>
  <c r="B38614" i="1"/>
  <c r="B38615" i="1"/>
  <c r="B38616" i="1"/>
  <c r="B38617" i="1"/>
  <c r="B38618" i="1"/>
  <c r="B38619" i="1"/>
  <c r="B38620" i="1"/>
  <c r="B38621" i="1"/>
  <c r="B38622" i="1"/>
  <c r="B38623" i="1"/>
  <c r="B38624" i="1"/>
  <c r="B38625" i="1"/>
  <c r="B38626" i="1"/>
  <c r="B38627" i="1"/>
  <c r="B38628" i="1"/>
  <c r="B38629" i="1"/>
  <c r="B38630" i="1"/>
  <c r="B38631" i="1"/>
  <c r="B38632" i="1"/>
  <c r="B38633" i="1"/>
  <c r="B38634" i="1"/>
  <c r="B38635" i="1"/>
  <c r="B38636" i="1"/>
  <c r="B38637" i="1"/>
  <c r="B38638" i="1"/>
  <c r="B38639" i="1"/>
  <c r="B38640" i="1"/>
  <c r="B38641" i="1"/>
  <c r="B38642" i="1"/>
  <c r="B38643" i="1"/>
  <c r="B38644" i="1"/>
  <c r="B38645" i="1"/>
  <c r="B38646" i="1"/>
  <c r="B38647" i="1"/>
  <c r="B38648" i="1"/>
  <c r="B38649" i="1"/>
  <c r="B38650" i="1"/>
  <c r="B38651" i="1"/>
  <c r="B38652" i="1"/>
  <c r="B38653" i="1"/>
  <c r="B38654" i="1"/>
  <c r="B38655" i="1"/>
  <c r="B38656" i="1"/>
  <c r="B38657" i="1"/>
  <c r="B38658" i="1"/>
  <c r="B38659" i="1"/>
  <c r="B38660" i="1"/>
  <c r="B38661" i="1"/>
  <c r="B38662" i="1"/>
  <c r="B38663" i="1"/>
  <c r="B38664" i="1"/>
  <c r="B38665" i="1"/>
  <c r="B38666" i="1"/>
  <c r="B38667" i="1"/>
  <c r="B38668" i="1"/>
  <c r="B38669" i="1"/>
  <c r="B38670" i="1"/>
  <c r="B38671" i="1"/>
  <c r="B38672" i="1"/>
  <c r="B38673" i="1"/>
  <c r="B38674" i="1"/>
  <c r="B38675" i="1"/>
  <c r="B38676" i="1"/>
  <c r="B38677" i="1"/>
  <c r="B38678" i="1"/>
  <c r="B38679" i="1"/>
  <c r="B38680" i="1"/>
  <c r="B38681" i="1"/>
  <c r="B38682" i="1"/>
  <c r="B38683" i="1"/>
  <c r="B38684" i="1"/>
  <c r="B38685" i="1"/>
  <c r="B38686" i="1"/>
  <c r="B38687" i="1"/>
  <c r="B38688" i="1"/>
  <c r="B38689" i="1"/>
  <c r="B38690" i="1"/>
  <c r="B38691" i="1"/>
  <c r="B38692" i="1"/>
  <c r="B38693" i="1"/>
  <c r="B38694" i="1"/>
  <c r="B38695" i="1"/>
  <c r="B38696" i="1"/>
  <c r="B38697" i="1"/>
  <c r="B38698" i="1"/>
  <c r="B38699" i="1"/>
  <c r="B38700" i="1"/>
  <c r="B38701" i="1"/>
  <c r="B38702" i="1"/>
  <c r="B38703" i="1"/>
  <c r="B38704" i="1"/>
  <c r="B38705" i="1"/>
  <c r="B38706" i="1"/>
  <c r="B38707" i="1"/>
  <c r="B38708" i="1"/>
  <c r="B38709" i="1"/>
  <c r="B38710" i="1"/>
  <c r="B38711" i="1"/>
  <c r="B38712" i="1"/>
  <c r="B38713" i="1"/>
  <c r="B38714" i="1"/>
  <c r="B38715" i="1"/>
  <c r="B38716" i="1"/>
  <c r="B38717" i="1"/>
  <c r="B38718" i="1"/>
  <c r="B38719" i="1"/>
  <c r="B38720" i="1"/>
  <c r="B38721" i="1"/>
  <c r="B38722" i="1"/>
  <c r="B38723" i="1"/>
  <c r="B38724" i="1"/>
  <c r="B38725" i="1"/>
  <c r="B38726" i="1"/>
  <c r="B38727" i="1"/>
  <c r="B38728" i="1"/>
  <c r="B38729" i="1"/>
  <c r="B38730" i="1"/>
  <c r="B38731" i="1"/>
  <c r="B38732" i="1"/>
  <c r="B38733" i="1"/>
  <c r="B38734" i="1"/>
  <c r="B38735" i="1"/>
  <c r="B38736" i="1"/>
  <c r="B38737" i="1"/>
  <c r="B38738" i="1"/>
  <c r="B38739" i="1"/>
  <c r="B38740" i="1"/>
  <c r="B38741" i="1"/>
  <c r="B38742" i="1"/>
  <c r="B38743" i="1"/>
  <c r="B38744" i="1"/>
  <c r="B38745" i="1"/>
  <c r="B38746" i="1"/>
  <c r="B38747" i="1"/>
  <c r="B38748" i="1"/>
  <c r="B38749" i="1"/>
  <c r="B38750" i="1"/>
  <c r="B38751" i="1"/>
  <c r="B38752" i="1"/>
  <c r="B38753" i="1"/>
  <c r="B38754" i="1"/>
  <c r="B38755" i="1"/>
  <c r="B38756" i="1"/>
  <c r="B38757" i="1"/>
  <c r="B38758" i="1"/>
  <c r="B38759" i="1"/>
  <c r="B38760" i="1"/>
  <c r="B38761" i="1"/>
  <c r="B38762" i="1"/>
  <c r="B38763" i="1"/>
  <c r="B38764" i="1"/>
  <c r="B38765" i="1"/>
  <c r="B38766" i="1"/>
  <c r="B38767" i="1"/>
  <c r="B38768" i="1"/>
  <c r="B38769" i="1"/>
  <c r="B38770" i="1"/>
  <c r="B38771" i="1"/>
  <c r="B38772" i="1"/>
  <c r="B38773" i="1"/>
  <c r="B38774" i="1"/>
  <c r="B38775" i="1"/>
  <c r="B38776" i="1"/>
  <c r="B38777" i="1"/>
  <c r="B38778" i="1"/>
  <c r="B38779" i="1"/>
  <c r="B38780" i="1"/>
  <c r="B38781" i="1"/>
  <c r="B38782" i="1"/>
  <c r="B38783" i="1"/>
  <c r="B38784" i="1"/>
  <c r="B38785" i="1"/>
  <c r="B38786" i="1"/>
  <c r="B38787" i="1"/>
  <c r="B38788" i="1"/>
  <c r="B38789" i="1"/>
  <c r="B38790" i="1"/>
  <c r="B38791" i="1"/>
  <c r="B38792" i="1"/>
  <c r="B38793" i="1"/>
  <c r="B38794" i="1"/>
  <c r="B38795" i="1"/>
  <c r="B38796" i="1"/>
  <c r="B38797" i="1"/>
  <c r="B38798" i="1"/>
  <c r="B38799" i="1"/>
  <c r="B38800" i="1"/>
  <c r="B38801" i="1"/>
  <c r="B38802" i="1"/>
  <c r="B38803" i="1"/>
  <c r="B38804" i="1"/>
  <c r="B38805" i="1"/>
  <c r="B38806" i="1"/>
  <c r="B38807" i="1"/>
  <c r="B38808" i="1"/>
  <c r="B38809" i="1"/>
  <c r="B38810" i="1"/>
  <c r="B38811" i="1"/>
  <c r="B38812" i="1"/>
  <c r="B38813" i="1"/>
  <c r="B38814" i="1"/>
  <c r="B38815" i="1"/>
  <c r="B38816" i="1"/>
  <c r="B38817" i="1"/>
  <c r="B38818" i="1"/>
  <c r="B38819" i="1"/>
  <c r="B38820" i="1"/>
  <c r="B38821" i="1"/>
  <c r="B38822" i="1"/>
  <c r="B38823" i="1"/>
  <c r="B38824" i="1"/>
  <c r="B38825" i="1"/>
  <c r="B38826" i="1"/>
  <c r="B38827" i="1"/>
  <c r="B38828" i="1"/>
  <c r="B38829" i="1"/>
  <c r="B38830" i="1"/>
  <c r="B38831" i="1"/>
  <c r="B38832" i="1"/>
  <c r="B38833" i="1"/>
  <c r="B38834" i="1"/>
  <c r="B38835" i="1"/>
  <c r="B38836" i="1"/>
  <c r="B38837" i="1"/>
  <c r="B38838" i="1"/>
  <c r="B38839" i="1"/>
  <c r="B38840" i="1"/>
  <c r="B38841" i="1"/>
  <c r="B38842" i="1"/>
  <c r="B38843" i="1"/>
  <c r="B38844" i="1"/>
  <c r="B38845" i="1"/>
  <c r="B38846" i="1"/>
  <c r="B38847" i="1"/>
  <c r="B38848" i="1"/>
  <c r="B38849" i="1"/>
  <c r="B38850" i="1"/>
  <c r="B38851" i="1"/>
  <c r="B38852" i="1"/>
  <c r="B38853" i="1"/>
  <c r="B38854" i="1"/>
  <c r="B38855" i="1"/>
  <c r="B38856" i="1"/>
  <c r="B38857" i="1"/>
  <c r="B38858" i="1"/>
  <c r="B38859" i="1"/>
  <c r="B38860" i="1"/>
  <c r="B38861" i="1"/>
  <c r="B38862" i="1"/>
  <c r="B38863" i="1"/>
  <c r="B38864" i="1"/>
  <c r="B38865" i="1"/>
  <c r="B38866" i="1"/>
  <c r="B38867" i="1"/>
  <c r="B38868" i="1"/>
  <c r="B38869" i="1"/>
  <c r="B38870" i="1"/>
  <c r="B38871" i="1"/>
  <c r="B38872" i="1"/>
  <c r="B38873" i="1"/>
  <c r="B38874" i="1"/>
  <c r="B38875" i="1"/>
  <c r="B38876" i="1"/>
  <c r="B38877" i="1"/>
  <c r="B38878" i="1"/>
  <c r="B38879" i="1"/>
  <c r="B38880" i="1"/>
  <c r="B38881" i="1"/>
  <c r="B38882" i="1"/>
  <c r="B38883" i="1"/>
  <c r="B38884" i="1"/>
  <c r="B38885" i="1"/>
  <c r="B38886" i="1"/>
  <c r="B38887" i="1"/>
  <c r="B38888" i="1"/>
  <c r="B38889" i="1"/>
  <c r="B38890" i="1"/>
  <c r="B38891" i="1"/>
  <c r="B38892" i="1"/>
  <c r="B38893" i="1"/>
  <c r="B38894" i="1"/>
  <c r="B38895" i="1"/>
  <c r="B38896" i="1"/>
  <c r="B38897" i="1"/>
  <c r="B38898" i="1"/>
  <c r="B38899" i="1"/>
  <c r="B38900" i="1"/>
  <c r="B38901" i="1"/>
  <c r="B38902" i="1"/>
  <c r="B38903" i="1"/>
  <c r="B38904" i="1"/>
  <c r="B38905" i="1"/>
  <c r="B38906" i="1"/>
  <c r="B38907" i="1"/>
  <c r="B38908" i="1"/>
  <c r="B38909" i="1"/>
  <c r="B38910" i="1"/>
  <c r="B38911" i="1"/>
  <c r="B38912" i="1"/>
  <c r="B38913" i="1"/>
  <c r="B38914" i="1"/>
  <c r="B38915" i="1"/>
  <c r="B38916" i="1"/>
  <c r="B38917" i="1"/>
  <c r="B38918" i="1"/>
  <c r="B38919" i="1"/>
  <c r="B38920" i="1"/>
  <c r="B38921" i="1"/>
  <c r="B38922" i="1"/>
  <c r="B38923" i="1"/>
  <c r="B38924" i="1"/>
  <c r="B38925" i="1"/>
  <c r="B38926" i="1"/>
  <c r="B38927" i="1"/>
  <c r="B38928" i="1"/>
  <c r="B38929" i="1"/>
  <c r="B38930" i="1"/>
  <c r="B38931" i="1"/>
  <c r="B38932" i="1"/>
  <c r="B38933" i="1"/>
  <c r="B38934" i="1"/>
  <c r="B38935" i="1"/>
  <c r="B38936" i="1"/>
  <c r="B38937" i="1"/>
  <c r="B38938" i="1"/>
  <c r="B38939" i="1"/>
  <c r="B38940" i="1"/>
  <c r="B38941" i="1"/>
  <c r="B38942" i="1"/>
  <c r="B38943" i="1"/>
  <c r="B38944" i="1"/>
  <c r="B38945" i="1"/>
  <c r="B38946" i="1"/>
  <c r="B38947" i="1"/>
  <c r="B38948" i="1"/>
  <c r="B38949" i="1"/>
  <c r="B38950" i="1"/>
  <c r="B38951" i="1"/>
  <c r="B38952" i="1"/>
  <c r="B38953" i="1"/>
  <c r="B38954" i="1"/>
  <c r="B38955" i="1"/>
  <c r="B38956" i="1"/>
  <c r="B38957" i="1"/>
  <c r="B38958" i="1"/>
  <c r="B38959" i="1"/>
  <c r="B38960" i="1"/>
  <c r="B38961" i="1"/>
  <c r="B38962" i="1"/>
  <c r="B38963" i="1"/>
  <c r="B38964" i="1"/>
  <c r="B38965" i="1"/>
  <c r="B38966" i="1"/>
  <c r="B38967" i="1"/>
  <c r="B38968" i="1"/>
  <c r="B38969" i="1"/>
  <c r="B38970" i="1"/>
  <c r="B38971" i="1"/>
  <c r="B38972" i="1"/>
  <c r="B38973" i="1"/>
  <c r="B38974" i="1"/>
  <c r="B38975" i="1"/>
  <c r="B38976" i="1"/>
  <c r="B38977" i="1"/>
  <c r="B38978" i="1"/>
  <c r="B38979" i="1"/>
  <c r="B38980" i="1"/>
  <c r="B38981" i="1"/>
  <c r="B38982" i="1"/>
  <c r="B38983" i="1"/>
  <c r="B38984" i="1"/>
  <c r="B38985" i="1"/>
  <c r="B38986" i="1"/>
  <c r="B38987" i="1"/>
  <c r="B38988" i="1"/>
  <c r="B38989" i="1"/>
  <c r="B38990" i="1"/>
  <c r="B38991" i="1"/>
  <c r="B38992" i="1"/>
  <c r="B38993" i="1"/>
  <c r="B38994" i="1"/>
  <c r="B38995" i="1"/>
  <c r="B38996" i="1"/>
  <c r="B38997" i="1"/>
  <c r="B38998" i="1"/>
  <c r="B38999" i="1"/>
  <c r="B39000" i="1"/>
  <c r="B39001" i="1"/>
  <c r="B39002" i="1"/>
  <c r="B39003" i="1"/>
  <c r="B39004" i="1"/>
  <c r="B39005" i="1"/>
  <c r="B39006" i="1"/>
  <c r="B39007" i="1"/>
  <c r="B39008" i="1"/>
  <c r="B39009" i="1"/>
  <c r="B39010" i="1"/>
  <c r="B39011" i="1"/>
  <c r="B39012" i="1"/>
  <c r="B39013" i="1"/>
  <c r="B39014" i="1"/>
  <c r="B39015" i="1"/>
  <c r="B39016" i="1"/>
  <c r="B39017" i="1"/>
  <c r="B39018" i="1"/>
  <c r="B39019" i="1"/>
  <c r="B39020" i="1"/>
  <c r="B39021" i="1"/>
  <c r="B39022" i="1"/>
  <c r="B39023" i="1"/>
  <c r="B39024" i="1"/>
  <c r="B39025" i="1"/>
  <c r="B39026" i="1"/>
  <c r="B39027" i="1"/>
  <c r="B39028" i="1"/>
  <c r="B39029" i="1"/>
  <c r="B39030" i="1"/>
  <c r="B39031" i="1"/>
  <c r="B39032" i="1"/>
  <c r="B39033" i="1"/>
  <c r="B39034" i="1"/>
  <c r="B39035" i="1"/>
  <c r="B39036" i="1"/>
  <c r="B39037" i="1"/>
  <c r="B39038" i="1"/>
  <c r="B39039" i="1"/>
  <c r="B39040" i="1"/>
  <c r="B39041" i="1"/>
  <c r="B39042" i="1"/>
  <c r="B39043" i="1"/>
  <c r="B39044" i="1"/>
  <c r="B39045" i="1"/>
  <c r="B39046" i="1"/>
  <c r="B39047" i="1"/>
  <c r="B39048" i="1"/>
  <c r="B39049" i="1"/>
  <c r="B39050" i="1"/>
  <c r="B39051" i="1"/>
  <c r="B39052" i="1"/>
  <c r="B39053" i="1"/>
  <c r="B39054" i="1"/>
  <c r="B39055" i="1"/>
  <c r="B39056" i="1"/>
  <c r="B39057" i="1"/>
  <c r="B39058" i="1"/>
  <c r="B39059" i="1"/>
  <c r="B39060" i="1"/>
  <c r="B39061" i="1"/>
  <c r="B39062" i="1"/>
  <c r="B39063" i="1"/>
  <c r="B39064" i="1"/>
  <c r="B39065" i="1"/>
  <c r="B39066" i="1"/>
  <c r="B39067" i="1"/>
  <c r="B39068" i="1"/>
  <c r="B39069" i="1"/>
  <c r="B39070" i="1"/>
  <c r="B39071" i="1"/>
  <c r="B39072" i="1"/>
  <c r="B39073" i="1"/>
  <c r="B39074" i="1"/>
  <c r="B39075" i="1"/>
  <c r="B39076" i="1"/>
  <c r="B39077" i="1"/>
  <c r="B39078" i="1"/>
  <c r="B39079" i="1"/>
  <c r="B39080" i="1"/>
  <c r="B39081" i="1"/>
  <c r="B39082" i="1"/>
  <c r="B39083" i="1"/>
  <c r="B39084" i="1"/>
  <c r="B39085" i="1"/>
  <c r="B39086" i="1"/>
  <c r="B39087" i="1"/>
  <c r="B39088" i="1"/>
  <c r="B39089" i="1"/>
  <c r="B39090" i="1"/>
  <c r="B39091" i="1"/>
  <c r="B39092" i="1"/>
  <c r="B39093" i="1"/>
  <c r="B39094" i="1"/>
  <c r="B39095" i="1"/>
  <c r="B39096" i="1"/>
  <c r="B39097" i="1"/>
  <c r="B39098" i="1"/>
  <c r="B39099" i="1"/>
  <c r="B39100" i="1"/>
  <c r="B39101" i="1"/>
  <c r="B39102" i="1"/>
  <c r="B39103" i="1"/>
  <c r="B39104" i="1"/>
  <c r="B39105" i="1"/>
  <c r="B39106" i="1"/>
  <c r="B39107" i="1"/>
  <c r="B39108" i="1"/>
  <c r="B39109" i="1"/>
  <c r="B39110" i="1"/>
  <c r="B39111" i="1"/>
  <c r="B39112" i="1"/>
  <c r="B39113" i="1"/>
  <c r="B39114" i="1"/>
  <c r="B39115" i="1"/>
  <c r="B39116" i="1"/>
  <c r="B39117" i="1"/>
  <c r="B39118" i="1"/>
  <c r="B39119" i="1"/>
  <c r="B39120" i="1"/>
  <c r="B39121" i="1"/>
  <c r="B39122" i="1"/>
  <c r="B39123" i="1"/>
  <c r="B39124" i="1"/>
  <c r="B39125" i="1"/>
  <c r="B39126" i="1"/>
  <c r="B39127" i="1"/>
  <c r="B39128" i="1"/>
  <c r="B39129" i="1"/>
  <c r="B39130" i="1"/>
  <c r="B39131" i="1"/>
  <c r="B39132" i="1"/>
  <c r="B39133" i="1"/>
  <c r="B39134" i="1"/>
  <c r="B39135" i="1"/>
  <c r="B39136" i="1"/>
  <c r="B39137" i="1"/>
  <c r="B39138" i="1"/>
  <c r="B39139" i="1"/>
  <c r="B39140" i="1"/>
  <c r="B39141" i="1"/>
  <c r="B39142" i="1"/>
  <c r="B39143" i="1"/>
  <c r="B39144" i="1"/>
  <c r="B39145" i="1"/>
  <c r="B39146" i="1"/>
  <c r="B39147" i="1"/>
  <c r="B39148" i="1"/>
  <c r="B39149" i="1"/>
  <c r="B39150" i="1"/>
  <c r="B39151" i="1"/>
  <c r="B39152" i="1"/>
  <c r="B39153" i="1"/>
  <c r="B39154" i="1"/>
  <c r="B39155" i="1"/>
  <c r="B39156" i="1"/>
  <c r="B39157" i="1"/>
  <c r="B39158" i="1"/>
  <c r="B39159" i="1"/>
  <c r="B39160" i="1"/>
  <c r="B39161" i="1"/>
  <c r="B39162" i="1"/>
  <c r="B39163" i="1"/>
  <c r="B39164" i="1"/>
  <c r="B39165" i="1"/>
  <c r="B39166" i="1"/>
  <c r="B39167" i="1"/>
  <c r="B39168" i="1"/>
  <c r="B39169" i="1"/>
  <c r="B39170" i="1"/>
  <c r="B39171" i="1"/>
  <c r="B39172" i="1"/>
  <c r="B39173" i="1"/>
  <c r="B39174" i="1"/>
  <c r="B39175" i="1"/>
  <c r="B39176" i="1"/>
  <c r="B39177" i="1"/>
  <c r="B39178" i="1"/>
  <c r="B39179" i="1"/>
  <c r="B39180" i="1"/>
  <c r="B39181" i="1"/>
  <c r="B39182" i="1"/>
  <c r="B39183" i="1"/>
  <c r="B39184" i="1"/>
  <c r="B39185" i="1"/>
  <c r="B39186" i="1"/>
  <c r="B39187" i="1"/>
  <c r="B39188" i="1"/>
  <c r="B39189" i="1"/>
  <c r="B39190" i="1"/>
  <c r="B39191" i="1"/>
  <c r="B39192" i="1"/>
  <c r="B39193" i="1"/>
  <c r="B39194" i="1"/>
  <c r="B39195" i="1"/>
  <c r="B39196" i="1"/>
  <c r="B39197" i="1"/>
  <c r="B39198" i="1"/>
  <c r="B39199" i="1"/>
  <c r="B39200" i="1"/>
  <c r="B39201" i="1"/>
  <c r="B39202" i="1"/>
  <c r="B39203" i="1"/>
  <c r="B39204" i="1"/>
  <c r="B39205" i="1"/>
  <c r="B39206" i="1"/>
  <c r="B39207" i="1"/>
  <c r="B39208" i="1"/>
  <c r="B39209" i="1"/>
  <c r="B39210" i="1"/>
  <c r="B39211" i="1"/>
  <c r="B39212" i="1"/>
  <c r="B39213" i="1"/>
  <c r="B39214" i="1"/>
  <c r="B39215" i="1"/>
  <c r="B39216" i="1"/>
  <c r="B39217" i="1"/>
  <c r="B39218" i="1"/>
  <c r="B39219" i="1"/>
  <c r="B39220" i="1"/>
  <c r="B39221" i="1"/>
  <c r="B39222" i="1"/>
  <c r="B39223" i="1"/>
  <c r="B39224" i="1"/>
  <c r="B39225" i="1"/>
  <c r="B39226" i="1"/>
  <c r="B39227" i="1"/>
  <c r="B39228" i="1"/>
  <c r="B39229" i="1"/>
  <c r="B39230" i="1"/>
  <c r="B39231" i="1"/>
  <c r="B39232" i="1"/>
  <c r="B39233" i="1"/>
  <c r="B39234" i="1"/>
  <c r="B39235" i="1"/>
  <c r="B39236" i="1"/>
  <c r="B39237" i="1"/>
  <c r="B39238" i="1"/>
  <c r="B39239" i="1"/>
  <c r="B39240" i="1"/>
  <c r="B39241" i="1"/>
  <c r="B39242" i="1"/>
  <c r="B39243" i="1"/>
  <c r="B39244" i="1"/>
  <c r="B39245" i="1"/>
  <c r="B39246" i="1"/>
  <c r="B39247" i="1"/>
  <c r="B39248" i="1"/>
  <c r="B39249" i="1"/>
  <c r="B39250" i="1"/>
  <c r="B39251" i="1"/>
  <c r="B39252" i="1"/>
  <c r="B39253" i="1"/>
  <c r="B39254" i="1"/>
  <c r="B39255" i="1"/>
  <c r="B39256" i="1"/>
  <c r="B39257" i="1"/>
  <c r="B39258" i="1"/>
  <c r="B39259" i="1"/>
  <c r="B39260" i="1"/>
  <c r="B39261" i="1"/>
  <c r="B39262" i="1"/>
  <c r="B39263" i="1"/>
  <c r="B39264" i="1"/>
  <c r="B39265" i="1"/>
  <c r="B39266" i="1"/>
  <c r="B39267" i="1"/>
  <c r="B39268" i="1"/>
  <c r="B39269" i="1"/>
  <c r="B39270" i="1"/>
  <c r="B39271" i="1"/>
  <c r="B39272" i="1"/>
  <c r="B39273" i="1"/>
  <c r="B39274" i="1"/>
  <c r="B39275" i="1"/>
  <c r="B39276" i="1"/>
  <c r="B39277" i="1"/>
  <c r="B39278" i="1"/>
  <c r="B39279" i="1"/>
  <c r="B39280" i="1"/>
  <c r="B39281" i="1"/>
  <c r="B39282" i="1"/>
  <c r="B39283" i="1"/>
  <c r="B39284" i="1"/>
  <c r="B39285" i="1"/>
  <c r="B39286" i="1"/>
  <c r="B39287" i="1"/>
  <c r="B39288" i="1"/>
  <c r="B39289" i="1"/>
  <c r="B39290" i="1"/>
  <c r="B39291" i="1"/>
  <c r="B39292" i="1"/>
  <c r="B39293" i="1"/>
  <c r="B39294" i="1"/>
  <c r="B39295" i="1"/>
  <c r="B39296" i="1"/>
  <c r="B39297" i="1"/>
  <c r="B39298" i="1"/>
  <c r="B39299" i="1"/>
  <c r="B39300" i="1"/>
  <c r="B39301" i="1"/>
  <c r="B39302" i="1"/>
  <c r="B39303" i="1"/>
  <c r="B39304" i="1"/>
  <c r="B39305" i="1"/>
  <c r="B39306" i="1"/>
  <c r="B39307" i="1"/>
  <c r="B39308" i="1"/>
  <c r="B39309" i="1"/>
  <c r="B39310" i="1"/>
  <c r="B39311" i="1"/>
  <c r="B39312" i="1"/>
  <c r="B39313" i="1"/>
  <c r="B39314" i="1"/>
  <c r="B39315" i="1"/>
  <c r="B39316" i="1"/>
  <c r="B39317" i="1"/>
  <c r="B39318" i="1"/>
  <c r="B39319" i="1"/>
  <c r="B39320" i="1"/>
  <c r="B39321" i="1"/>
  <c r="B39322" i="1"/>
  <c r="B39323" i="1"/>
  <c r="B39324" i="1"/>
  <c r="B39325" i="1"/>
  <c r="B39326" i="1"/>
  <c r="B39327" i="1"/>
  <c r="B39328" i="1"/>
  <c r="B39329" i="1"/>
  <c r="B39330" i="1"/>
  <c r="B39331" i="1"/>
  <c r="B39332" i="1"/>
  <c r="B39333" i="1"/>
  <c r="B39334" i="1"/>
  <c r="B39335" i="1"/>
  <c r="B39336" i="1"/>
  <c r="B39337" i="1"/>
  <c r="B39338" i="1"/>
  <c r="B39339" i="1"/>
  <c r="B39340" i="1"/>
  <c r="B39341" i="1"/>
  <c r="B39342" i="1"/>
  <c r="B39343" i="1"/>
  <c r="B39344" i="1"/>
  <c r="B39345" i="1"/>
  <c r="B39346" i="1"/>
  <c r="B39347" i="1"/>
  <c r="B39348" i="1"/>
  <c r="B39349" i="1"/>
  <c r="B39350" i="1"/>
  <c r="B39351" i="1"/>
  <c r="B39352" i="1"/>
  <c r="B39353" i="1"/>
  <c r="B39354" i="1"/>
  <c r="B39355" i="1"/>
  <c r="B39356" i="1"/>
  <c r="B39357" i="1"/>
  <c r="B39358" i="1"/>
  <c r="B39359" i="1"/>
  <c r="B39360" i="1"/>
  <c r="B39361" i="1"/>
  <c r="B39362" i="1"/>
  <c r="B39363" i="1"/>
  <c r="B39364" i="1"/>
  <c r="B39365" i="1"/>
  <c r="B39366" i="1"/>
  <c r="B39367" i="1"/>
  <c r="B39368" i="1"/>
  <c r="B39369" i="1"/>
  <c r="B39370" i="1"/>
  <c r="B39371" i="1"/>
  <c r="B39372" i="1"/>
  <c r="B39373" i="1"/>
  <c r="B39374" i="1"/>
  <c r="B39375" i="1"/>
  <c r="B39376" i="1"/>
  <c r="B39377" i="1"/>
  <c r="B39378" i="1"/>
  <c r="B39379" i="1"/>
  <c r="B39380" i="1"/>
  <c r="B39381" i="1"/>
  <c r="B39382" i="1"/>
  <c r="B39383" i="1"/>
  <c r="B39384" i="1"/>
  <c r="B39385" i="1"/>
  <c r="B39386" i="1"/>
  <c r="B39387" i="1"/>
  <c r="B39388" i="1"/>
  <c r="B39389" i="1"/>
  <c r="B39390" i="1"/>
  <c r="B39391" i="1"/>
  <c r="B39392" i="1"/>
  <c r="B39393" i="1"/>
  <c r="B39394" i="1"/>
  <c r="B39395" i="1"/>
  <c r="B39396" i="1"/>
  <c r="B39397" i="1"/>
  <c r="B39398" i="1"/>
  <c r="B39399" i="1"/>
  <c r="B39400" i="1"/>
  <c r="B39401" i="1"/>
  <c r="B39402" i="1"/>
  <c r="B39403" i="1"/>
  <c r="B39404" i="1"/>
  <c r="B39405" i="1"/>
  <c r="B39406" i="1"/>
  <c r="B39407" i="1"/>
  <c r="B39408" i="1"/>
  <c r="B39409" i="1"/>
  <c r="B39410" i="1"/>
  <c r="B39411" i="1"/>
  <c r="B39412" i="1"/>
  <c r="B39413" i="1"/>
  <c r="B39414" i="1"/>
  <c r="B39415" i="1"/>
  <c r="B39416" i="1"/>
  <c r="B39417" i="1"/>
  <c r="B39418" i="1"/>
  <c r="B39419" i="1"/>
  <c r="B39420" i="1"/>
  <c r="B39421" i="1"/>
  <c r="B39422" i="1"/>
  <c r="B39423" i="1"/>
  <c r="B39424" i="1"/>
  <c r="B39425" i="1"/>
  <c r="B39426" i="1"/>
  <c r="B39427" i="1"/>
  <c r="B39428" i="1"/>
  <c r="B39429" i="1"/>
  <c r="B39430" i="1"/>
  <c r="B39431" i="1"/>
  <c r="B39432" i="1"/>
  <c r="B39433" i="1"/>
  <c r="B39434" i="1"/>
  <c r="B39435" i="1"/>
  <c r="B39436" i="1"/>
  <c r="B39437" i="1"/>
  <c r="B39438" i="1"/>
  <c r="B39439" i="1"/>
  <c r="B39440" i="1"/>
  <c r="B39441" i="1"/>
  <c r="B39442" i="1"/>
  <c r="B39443" i="1"/>
  <c r="B39444" i="1"/>
  <c r="B39445" i="1"/>
  <c r="B39446" i="1"/>
  <c r="B39447" i="1"/>
  <c r="B39448" i="1"/>
  <c r="B39449" i="1"/>
  <c r="B39450" i="1"/>
  <c r="B39451" i="1"/>
  <c r="B39452" i="1"/>
  <c r="B39453" i="1"/>
  <c r="B39454" i="1"/>
  <c r="B39455" i="1"/>
  <c r="B39456" i="1"/>
  <c r="B39457" i="1"/>
  <c r="B39458" i="1"/>
  <c r="B39459" i="1"/>
  <c r="B39460" i="1"/>
  <c r="B39461" i="1"/>
  <c r="B39462" i="1"/>
  <c r="B39463" i="1"/>
  <c r="B39464" i="1"/>
  <c r="B39465" i="1"/>
  <c r="B39466" i="1"/>
  <c r="B39467" i="1"/>
  <c r="B39468" i="1"/>
  <c r="B39469" i="1"/>
  <c r="B39470" i="1"/>
  <c r="B39471" i="1"/>
  <c r="B39472" i="1"/>
  <c r="B39473" i="1"/>
  <c r="B39474" i="1"/>
  <c r="B39475" i="1"/>
  <c r="B39476" i="1"/>
  <c r="B39477" i="1"/>
  <c r="B39478" i="1"/>
  <c r="B39479" i="1"/>
  <c r="B39480" i="1"/>
  <c r="B39481" i="1"/>
  <c r="B39482" i="1"/>
  <c r="B39483" i="1"/>
  <c r="B39484" i="1"/>
  <c r="B39485" i="1"/>
  <c r="B39486" i="1"/>
  <c r="B39487" i="1"/>
  <c r="B39488" i="1"/>
  <c r="B39489" i="1"/>
  <c r="B39490" i="1"/>
  <c r="B39491" i="1"/>
  <c r="B39492" i="1"/>
  <c r="B39493" i="1"/>
  <c r="B39494" i="1"/>
  <c r="B39495" i="1"/>
  <c r="B39496" i="1"/>
  <c r="B39497" i="1"/>
  <c r="B39498" i="1"/>
  <c r="B39499" i="1"/>
  <c r="B39500" i="1"/>
  <c r="B39501" i="1"/>
  <c r="B39502" i="1"/>
  <c r="B39503" i="1"/>
  <c r="B39504" i="1"/>
  <c r="B39505" i="1"/>
  <c r="B39506" i="1"/>
  <c r="B39507" i="1"/>
  <c r="B39508" i="1"/>
  <c r="B39509" i="1"/>
  <c r="B39510" i="1"/>
  <c r="B39511" i="1"/>
  <c r="B39512" i="1"/>
  <c r="B39513" i="1"/>
  <c r="B39514" i="1"/>
  <c r="B39515" i="1"/>
  <c r="B39516" i="1"/>
  <c r="B39517" i="1"/>
  <c r="B39518" i="1"/>
  <c r="B39519" i="1"/>
  <c r="B39520" i="1"/>
  <c r="B39521" i="1"/>
  <c r="B39522" i="1"/>
  <c r="B39523" i="1"/>
  <c r="B39524" i="1"/>
  <c r="B39525" i="1"/>
  <c r="B39526" i="1"/>
  <c r="B39527" i="1"/>
  <c r="B39528" i="1"/>
  <c r="B39529" i="1"/>
  <c r="B39530" i="1"/>
  <c r="B39531" i="1"/>
  <c r="B39532" i="1"/>
  <c r="B39533" i="1"/>
  <c r="B39534" i="1"/>
  <c r="B39535" i="1"/>
  <c r="B39536" i="1"/>
  <c r="B39537" i="1"/>
  <c r="B39538" i="1"/>
  <c r="B39539" i="1"/>
  <c r="B39540" i="1"/>
  <c r="B39541" i="1"/>
  <c r="B39542" i="1"/>
  <c r="B39543" i="1"/>
  <c r="B39544" i="1"/>
  <c r="B39545" i="1"/>
  <c r="B39546" i="1"/>
  <c r="B39547" i="1"/>
  <c r="B39548" i="1"/>
  <c r="B39549" i="1"/>
  <c r="B39550" i="1"/>
  <c r="B39551" i="1"/>
  <c r="B39552" i="1"/>
  <c r="B39553" i="1"/>
  <c r="B39554" i="1"/>
  <c r="B39555" i="1"/>
  <c r="B39556" i="1"/>
  <c r="B39557" i="1"/>
  <c r="B39558" i="1"/>
  <c r="B39559" i="1"/>
  <c r="B39560" i="1"/>
  <c r="B39561" i="1"/>
  <c r="B39562" i="1"/>
  <c r="B39563" i="1"/>
  <c r="B39564" i="1"/>
  <c r="B39565" i="1"/>
  <c r="B39566" i="1"/>
  <c r="B39567" i="1"/>
  <c r="B39568" i="1"/>
  <c r="B39569" i="1"/>
  <c r="B39570" i="1"/>
  <c r="B39571" i="1"/>
  <c r="B39572" i="1"/>
  <c r="B39573" i="1"/>
  <c r="B39574" i="1"/>
  <c r="B39575" i="1"/>
  <c r="B39576" i="1"/>
  <c r="B39577" i="1"/>
  <c r="B39578" i="1"/>
  <c r="B39579" i="1"/>
  <c r="B39580" i="1"/>
  <c r="B39581" i="1"/>
  <c r="B39582" i="1"/>
  <c r="B39583" i="1"/>
  <c r="B39584" i="1"/>
  <c r="B39585" i="1"/>
  <c r="B39586" i="1"/>
  <c r="B39587" i="1"/>
  <c r="B39588" i="1"/>
  <c r="B39589" i="1"/>
  <c r="B39590" i="1"/>
  <c r="B39591" i="1"/>
  <c r="B39592" i="1"/>
  <c r="B39593" i="1"/>
  <c r="B39594" i="1"/>
  <c r="B39595" i="1"/>
  <c r="B39596" i="1"/>
  <c r="B39597" i="1"/>
  <c r="B39598" i="1"/>
  <c r="B39599" i="1"/>
  <c r="B39600" i="1"/>
  <c r="B39601" i="1"/>
  <c r="B39602" i="1"/>
  <c r="B39603" i="1"/>
  <c r="B39604" i="1"/>
  <c r="B39605" i="1"/>
  <c r="B39606" i="1"/>
  <c r="B39607" i="1"/>
  <c r="B39608" i="1"/>
  <c r="B39609" i="1"/>
  <c r="B39610" i="1"/>
  <c r="B39611" i="1"/>
  <c r="B39612" i="1"/>
  <c r="B39613" i="1"/>
  <c r="B39614" i="1"/>
  <c r="B39615" i="1"/>
  <c r="B39616" i="1"/>
  <c r="B39617" i="1"/>
  <c r="B39618" i="1"/>
  <c r="B39619" i="1"/>
  <c r="B39620" i="1"/>
  <c r="B39621" i="1"/>
  <c r="B39622" i="1"/>
  <c r="B39623" i="1"/>
  <c r="B39624" i="1"/>
  <c r="B39625" i="1"/>
  <c r="B39626" i="1"/>
  <c r="B39627" i="1"/>
  <c r="B39628" i="1"/>
  <c r="B39629" i="1"/>
  <c r="B39630" i="1"/>
  <c r="B39631" i="1"/>
  <c r="B39632" i="1"/>
  <c r="B39633" i="1"/>
  <c r="B39634" i="1"/>
  <c r="B39635" i="1"/>
  <c r="B39636" i="1"/>
  <c r="B39637" i="1"/>
  <c r="B39638" i="1"/>
  <c r="B39639" i="1"/>
  <c r="B39640" i="1"/>
  <c r="B39641" i="1"/>
  <c r="B39642" i="1"/>
  <c r="B39643" i="1"/>
  <c r="B39644" i="1"/>
  <c r="B39645" i="1"/>
  <c r="B39646" i="1"/>
  <c r="B39647" i="1"/>
  <c r="B39648" i="1"/>
  <c r="B39649" i="1"/>
  <c r="B39650" i="1"/>
  <c r="B39651" i="1"/>
  <c r="B39652" i="1"/>
  <c r="B39653" i="1"/>
  <c r="B39654" i="1"/>
  <c r="B39655" i="1"/>
  <c r="B39656" i="1"/>
  <c r="B39657" i="1"/>
  <c r="B39658" i="1"/>
  <c r="B39659" i="1"/>
  <c r="B39660" i="1"/>
  <c r="B39661" i="1"/>
  <c r="B39662" i="1"/>
  <c r="B39663" i="1"/>
  <c r="B39664" i="1"/>
  <c r="B39665" i="1"/>
  <c r="B39666" i="1"/>
  <c r="B39667" i="1"/>
  <c r="B39668" i="1"/>
  <c r="B39669" i="1"/>
  <c r="B39670" i="1"/>
  <c r="B39671" i="1"/>
  <c r="B39672" i="1"/>
  <c r="B39673" i="1"/>
  <c r="B39674" i="1"/>
  <c r="B39675" i="1"/>
  <c r="B39676" i="1"/>
  <c r="B39677" i="1"/>
  <c r="B39678" i="1"/>
  <c r="B39679" i="1"/>
  <c r="B39680" i="1"/>
  <c r="B39681" i="1"/>
  <c r="B39682" i="1"/>
  <c r="B39683" i="1"/>
  <c r="B39684" i="1"/>
  <c r="B39685" i="1"/>
  <c r="B39686" i="1"/>
  <c r="B39687" i="1"/>
  <c r="B39688" i="1"/>
  <c r="B39689" i="1"/>
  <c r="B39690" i="1"/>
  <c r="B39691" i="1"/>
  <c r="B39692" i="1"/>
  <c r="B39693" i="1"/>
  <c r="B39694" i="1"/>
  <c r="B39695" i="1"/>
  <c r="B39696" i="1"/>
  <c r="B39697" i="1"/>
  <c r="B39698" i="1"/>
  <c r="B39699" i="1"/>
  <c r="B39700" i="1"/>
  <c r="B39701" i="1"/>
  <c r="B39702" i="1"/>
  <c r="B39703" i="1"/>
  <c r="B39704" i="1"/>
  <c r="B39705" i="1"/>
  <c r="B39706" i="1"/>
  <c r="B39707" i="1"/>
  <c r="B39708" i="1"/>
  <c r="B39709" i="1"/>
  <c r="B39710" i="1"/>
  <c r="B39711" i="1"/>
  <c r="B39712" i="1"/>
  <c r="B39713" i="1"/>
  <c r="B39714" i="1"/>
  <c r="B39715" i="1"/>
  <c r="B39716" i="1"/>
  <c r="B39717" i="1"/>
  <c r="B39718" i="1"/>
  <c r="B39719" i="1"/>
  <c r="B39720" i="1"/>
  <c r="B39721" i="1"/>
  <c r="B39722" i="1"/>
  <c r="B39723" i="1"/>
  <c r="B39724" i="1"/>
  <c r="B39725" i="1"/>
  <c r="B39726" i="1"/>
  <c r="B39727" i="1"/>
  <c r="B39728" i="1"/>
  <c r="B39729" i="1"/>
  <c r="B39730" i="1"/>
  <c r="B39731" i="1"/>
  <c r="B39732" i="1"/>
  <c r="B39733" i="1"/>
  <c r="B39734" i="1"/>
  <c r="B39735" i="1"/>
  <c r="B39736" i="1"/>
  <c r="B39737" i="1"/>
  <c r="B39738" i="1"/>
  <c r="B39739" i="1"/>
  <c r="B39740" i="1"/>
  <c r="B39741" i="1"/>
  <c r="B39742" i="1"/>
  <c r="B39743" i="1"/>
  <c r="B39744" i="1"/>
  <c r="B39745" i="1"/>
  <c r="B39746" i="1"/>
  <c r="B39747" i="1"/>
  <c r="B39748" i="1"/>
  <c r="B39749" i="1"/>
  <c r="B39750" i="1"/>
  <c r="B39751" i="1"/>
  <c r="B39752" i="1"/>
  <c r="B39753" i="1"/>
  <c r="B39754" i="1"/>
  <c r="B39755" i="1"/>
  <c r="B39756" i="1"/>
  <c r="B39757" i="1"/>
  <c r="B39758" i="1"/>
  <c r="B39759" i="1"/>
  <c r="B39760" i="1"/>
  <c r="B39761" i="1"/>
  <c r="B39762" i="1"/>
  <c r="B39763" i="1"/>
  <c r="B39764" i="1"/>
  <c r="B39765" i="1"/>
  <c r="B39766" i="1"/>
  <c r="B39767" i="1"/>
  <c r="B39768" i="1"/>
  <c r="B39769" i="1"/>
  <c r="B39770" i="1"/>
  <c r="B39771" i="1"/>
  <c r="B39772" i="1"/>
  <c r="B39773" i="1"/>
  <c r="B39774" i="1"/>
  <c r="B39775" i="1"/>
  <c r="B39776" i="1"/>
  <c r="B39777" i="1"/>
  <c r="B39778" i="1"/>
  <c r="B39779" i="1"/>
  <c r="B39780" i="1"/>
  <c r="B39781" i="1"/>
  <c r="B39782" i="1"/>
  <c r="B39783" i="1"/>
  <c r="B39784" i="1"/>
  <c r="B39785" i="1"/>
  <c r="B39786" i="1"/>
  <c r="B39787" i="1"/>
  <c r="B39788" i="1"/>
  <c r="B39789" i="1"/>
  <c r="B39790" i="1"/>
  <c r="B39791" i="1"/>
  <c r="B39792" i="1"/>
  <c r="B39793" i="1"/>
  <c r="B39794" i="1"/>
  <c r="B39795" i="1"/>
  <c r="B39796" i="1"/>
  <c r="B39797" i="1"/>
  <c r="B39798" i="1"/>
  <c r="B39799" i="1"/>
  <c r="B39800" i="1"/>
  <c r="B39801" i="1"/>
  <c r="B39802" i="1"/>
  <c r="B39803" i="1"/>
  <c r="B39804" i="1"/>
  <c r="B39805" i="1"/>
  <c r="B39806" i="1"/>
  <c r="B39807" i="1"/>
  <c r="B39808" i="1"/>
  <c r="B39809" i="1"/>
  <c r="B39810" i="1"/>
  <c r="B39811" i="1"/>
  <c r="B39812" i="1"/>
  <c r="B39813" i="1"/>
  <c r="B39814" i="1"/>
  <c r="B39815" i="1"/>
  <c r="B39816" i="1"/>
  <c r="B39817" i="1"/>
  <c r="B39818" i="1"/>
  <c r="B39819" i="1"/>
  <c r="B39820" i="1"/>
  <c r="B39821" i="1"/>
  <c r="B39822" i="1"/>
  <c r="B39823" i="1"/>
  <c r="B39824" i="1"/>
  <c r="B39825" i="1"/>
  <c r="B39826" i="1"/>
  <c r="B39827" i="1"/>
  <c r="B39828" i="1"/>
  <c r="B39829" i="1"/>
  <c r="B39830" i="1"/>
  <c r="B39831" i="1"/>
  <c r="B39832" i="1"/>
  <c r="B39833" i="1"/>
  <c r="B39834" i="1"/>
  <c r="B39835" i="1"/>
  <c r="B39836" i="1"/>
  <c r="B39837" i="1"/>
  <c r="B39838" i="1"/>
  <c r="B39839" i="1"/>
  <c r="B39840" i="1"/>
  <c r="B39841" i="1"/>
  <c r="B39842" i="1"/>
  <c r="B39843" i="1"/>
  <c r="B39844" i="1"/>
  <c r="B39845" i="1"/>
  <c r="B39846" i="1"/>
  <c r="B39847" i="1"/>
  <c r="B39848" i="1"/>
  <c r="B39849" i="1"/>
  <c r="B39850" i="1"/>
  <c r="B39851" i="1"/>
  <c r="B39852" i="1"/>
  <c r="B39853" i="1"/>
  <c r="B39854" i="1"/>
  <c r="B39855" i="1"/>
  <c r="B39856" i="1"/>
  <c r="B39857" i="1"/>
  <c r="B39858" i="1"/>
  <c r="B39859" i="1"/>
  <c r="B39860" i="1"/>
  <c r="B39861" i="1"/>
  <c r="B39862" i="1"/>
  <c r="B39863" i="1"/>
  <c r="B39864" i="1"/>
  <c r="B39865" i="1"/>
  <c r="B39866" i="1"/>
  <c r="B39867" i="1"/>
  <c r="B39868" i="1"/>
  <c r="B39869" i="1"/>
  <c r="B39870" i="1"/>
  <c r="B39871" i="1"/>
  <c r="B39872" i="1"/>
  <c r="B39873" i="1"/>
  <c r="B39874" i="1"/>
  <c r="B39875" i="1"/>
  <c r="B39876" i="1"/>
  <c r="B39877" i="1"/>
  <c r="B39878" i="1"/>
  <c r="B39879" i="1"/>
  <c r="B39880" i="1"/>
  <c r="B39881" i="1"/>
  <c r="B39882" i="1"/>
  <c r="B39883" i="1"/>
  <c r="B39884" i="1"/>
  <c r="B39885" i="1"/>
  <c r="B39886" i="1"/>
  <c r="B39887" i="1"/>
  <c r="B39888" i="1"/>
  <c r="B39889" i="1"/>
  <c r="B39890" i="1"/>
  <c r="B39891" i="1"/>
  <c r="B39892" i="1"/>
  <c r="B39893" i="1"/>
  <c r="B39894" i="1"/>
  <c r="B39895" i="1"/>
  <c r="B39896" i="1"/>
  <c r="B39897" i="1"/>
  <c r="B39898" i="1"/>
  <c r="B39899" i="1"/>
  <c r="B39900" i="1"/>
  <c r="B39901" i="1"/>
  <c r="B39902" i="1"/>
  <c r="B39903" i="1"/>
  <c r="B39904" i="1"/>
  <c r="B39905" i="1"/>
  <c r="B39906" i="1"/>
  <c r="B39907" i="1"/>
  <c r="B39908" i="1"/>
  <c r="B39909" i="1"/>
  <c r="B39910" i="1"/>
  <c r="B39911" i="1"/>
  <c r="B39912" i="1"/>
  <c r="B39913" i="1"/>
  <c r="B39914" i="1"/>
  <c r="B39915" i="1"/>
  <c r="B39916" i="1"/>
  <c r="B39917" i="1"/>
  <c r="B39918" i="1"/>
  <c r="B39919" i="1"/>
  <c r="B39920" i="1"/>
  <c r="B39921" i="1"/>
  <c r="B39922" i="1"/>
  <c r="B39923" i="1"/>
  <c r="B39924" i="1"/>
  <c r="B39925" i="1"/>
  <c r="B39926" i="1"/>
  <c r="B39927" i="1"/>
  <c r="B39928" i="1"/>
  <c r="B39929" i="1"/>
  <c r="B39930" i="1"/>
  <c r="B39931" i="1"/>
  <c r="B39932" i="1"/>
  <c r="B39933" i="1"/>
  <c r="B39934" i="1"/>
  <c r="B39935" i="1"/>
  <c r="B39936" i="1"/>
  <c r="B39937" i="1"/>
  <c r="B39938" i="1"/>
  <c r="B39939" i="1"/>
  <c r="B39940" i="1"/>
  <c r="B39941" i="1"/>
  <c r="B39942" i="1"/>
  <c r="B39943" i="1"/>
  <c r="B39944" i="1"/>
  <c r="B39945" i="1"/>
  <c r="B39946" i="1"/>
  <c r="B39947" i="1"/>
  <c r="B39948" i="1"/>
  <c r="B39949" i="1"/>
  <c r="B39950" i="1"/>
  <c r="B39951" i="1"/>
  <c r="B39952" i="1"/>
  <c r="B39953" i="1"/>
  <c r="B39954" i="1"/>
  <c r="B39955" i="1"/>
  <c r="B39956" i="1"/>
  <c r="B39957" i="1"/>
  <c r="B39958" i="1"/>
  <c r="B39959" i="1"/>
  <c r="B39960" i="1"/>
  <c r="B39961" i="1"/>
  <c r="B39962" i="1"/>
  <c r="B39963" i="1"/>
  <c r="B39964" i="1"/>
  <c r="B39965" i="1"/>
  <c r="B39966" i="1"/>
  <c r="B39967" i="1"/>
  <c r="B39968" i="1"/>
  <c r="B39969" i="1"/>
  <c r="B39970" i="1"/>
  <c r="B39971" i="1"/>
  <c r="B39972" i="1"/>
  <c r="B39973" i="1"/>
  <c r="B39974" i="1"/>
  <c r="B39975" i="1"/>
  <c r="B39976" i="1"/>
  <c r="B39977" i="1"/>
  <c r="B39978" i="1"/>
  <c r="B39979" i="1"/>
  <c r="B39980" i="1"/>
  <c r="B39981" i="1"/>
  <c r="B39982" i="1"/>
  <c r="B39983" i="1"/>
  <c r="B39984" i="1"/>
  <c r="B39985" i="1"/>
  <c r="B39986" i="1"/>
  <c r="B39987" i="1"/>
  <c r="B39988" i="1"/>
  <c r="B39989" i="1"/>
  <c r="B39990" i="1"/>
  <c r="B39991" i="1"/>
  <c r="B39992" i="1"/>
  <c r="B39993" i="1"/>
  <c r="B39994" i="1"/>
  <c r="B39995" i="1"/>
  <c r="B39996" i="1"/>
  <c r="B39997" i="1"/>
  <c r="B39998" i="1"/>
  <c r="B39999" i="1"/>
  <c r="B40000" i="1"/>
  <c r="B40001" i="1"/>
  <c r="B40002" i="1"/>
  <c r="B40003" i="1"/>
  <c r="B40004" i="1"/>
  <c r="B40005" i="1"/>
  <c r="B40006" i="1"/>
  <c r="B40007" i="1"/>
  <c r="B40008" i="1"/>
  <c r="B40009" i="1"/>
  <c r="B40010" i="1"/>
  <c r="B40011" i="1"/>
  <c r="B40012" i="1"/>
  <c r="B40013" i="1"/>
  <c r="B40014" i="1"/>
  <c r="B40015" i="1"/>
  <c r="B40016" i="1"/>
  <c r="B40017" i="1"/>
  <c r="B40018" i="1"/>
  <c r="B40019" i="1"/>
  <c r="B40020" i="1"/>
  <c r="B40021" i="1"/>
  <c r="B40022" i="1"/>
  <c r="B40023" i="1"/>
  <c r="B40024" i="1"/>
  <c r="B40025" i="1"/>
  <c r="B40026" i="1"/>
  <c r="B40027" i="1"/>
  <c r="B40028" i="1"/>
  <c r="B40029" i="1"/>
  <c r="B40030" i="1"/>
  <c r="B40031" i="1"/>
  <c r="B40032" i="1"/>
  <c r="B40033" i="1"/>
  <c r="B40034" i="1"/>
  <c r="B40035" i="1"/>
  <c r="B40036" i="1"/>
  <c r="B40037" i="1"/>
  <c r="B40038" i="1"/>
  <c r="B40039" i="1"/>
  <c r="B40040" i="1"/>
  <c r="B40041" i="1"/>
  <c r="B40042" i="1"/>
  <c r="B40043" i="1"/>
  <c r="B40044" i="1"/>
  <c r="B40045" i="1"/>
  <c r="B40046" i="1"/>
  <c r="B40047" i="1"/>
  <c r="B40048" i="1"/>
  <c r="B40049" i="1"/>
  <c r="B40050" i="1"/>
  <c r="B40051" i="1"/>
  <c r="B40052" i="1"/>
  <c r="B40053" i="1"/>
  <c r="B40054" i="1"/>
  <c r="B40055" i="1"/>
  <c r="B40056" i="1"/>
  <c r="B40057" i="1"/>
  <c r="B40058" i="1"/>
  <c r="B40059" i="1"/>
  <c r="B40060" i="1"/>
  <c r="B40061" i="1"/>
  <c r="B40062" i="1"/>
  <c r="B40063" i="1"/>
  <c r="B40064" i="1"/>
  <c r="B40065" i="1"/>
  <c r="B40066" i="1"/>
  <c r="B40067" i="1"/>
  <c r="B40068" i="1"/>
  <c r="B40069" i="1"/>
  <c r="B40070" i="1"/>
  <c r="B40071" i="1"/>
  <c r="B40072" i="1"/>
  <c r="B40073" i="1"/>
  <c r="B40074" i="1"/>
  <c r="B40075" i="1"/>
  <c r="B40076" i="1"/>
  <c r="B40077" i="1"/>
  <c r="B40078" i="1"/>
  <c r="B40079" i="1"/>
  <c r="B40080" i="1"/>
  <c r="B40081" i="1"/>
  <c r="B40082" i="1"/>
  <c r="B40083" i="1"/>
  <c r="B40084" i="1"/>
  <c r="B40085" i="1"/>
  <c r="B40086" i="1"/>
  <c r="B40087" i="1"/>
  <c r="B40088" i="1"/>
  <c r="B40089" i="1"/>
  <c r="B40090" i="1"/>
  <c r="B40091" i="1"/>
  <c r="B40092" i="1"/>
  <c r="B40093" i="1"/>
  <c r="B40094" i="1"/>
  <c r="B40095" i="1"/>
  <c r="B40096" i="1"/>
  <c r="B40097" i="1"/>
  <c r="B40098" i="1"/>
  <c r="B40099" i="1"/>
  <c r="B40100" i="1"/>
  <c r="B40101" i="1"/>
  <c r="B40102" i="1"/>
  <c r="B40103" i="1"/>
  <c r="B40104" i="1"/>
  <c r="B40105" i="1"/>
  <c r="B40106" i="1"/>
  <c r="B40107" i="1"/>
  <c r="B40108" i="1"/>
  <c r="B40109" i="1"/>
  <c r="B40110" i="1"/>
  <c r="B40111" i="1"/>
  <c r="B40112" i="1"/>
  <c r="B40113" i="1"/>
  <c r="B40114" i="1"/>
  <c r="B40115" i="1"/>
  <c r="B40116" i="1"/>
  <c r="B40117" i="1"/>
  <c r="B40118" i="1"/>
  <c r="B40119" i="1"/>
  <c r="B40120" i="1"/>
  <c r="B40121" i="1"/>
  <c r="B40122" i="1"/>
  <c r="B40123" i="1"/>
  <c r="B40124" i="1"/>
  <c r="B40125" i="1"/>
  <c r="B40126" i="1"/>
  <c r="B40127" i="1"/>
  <c r="B40128" i="1"/>
  <c r="B40129" i="1"/>
  <c r="B40130" i="1"/>
  <c r="B40131" i="1"/>
  <c r="B40132" i="1"/>
  <c r="B40133" i="1"/>
  <c r="B40134" i="1"/>
  <c r="B40135" i="1"/>
  <c r="B40136" i="1"/>
  <c r="B40137" i="1"/>
  <c r="B40138" i="1"/>
  <c r="B40139" i="1"/>
  <c r="B40140" i="1"/>
  <c r="B40141" i="1"/>
  <c r="B40142" i="1"/>
  <c r="B40143" i="1"/>
  <c r="B40144" i="1"/>
  <c r="B40145" i="1"/>
  <c r="B40146" i="1"/>
  <c r="B40147" i="1"/>
  <c r="B40148" i="1"/>
  <c r="B40149" i="1"/>
  <c r="B40150" i="1"/>
  <c r="B40151" i="1"/>
  <c r="B40152" i="1"/>
  <c r="B40153" i="1"/>
  <c r="B40154" i="1"/>
  <c r="B40155" i="1"/>
  <c r="B40156" i="1"/>
  <c r="B40157" i="1"/>
  <c r="B40158" i="1"/>
  <c r="B40159" i="1"/>
  <c r="B40160" i="1"/>
  <c r="B40161" i="1"/>
  <c r="B40162" i="1"/>
  <c r="B40163" i="1"/>
  <c r="B40164" i="1"/>
  <c r="B40165" i="1"/>
  <c r="B40166" i="1"/>
  <c r="B40167" i="1"/>
  <c r="B40168" i="1"/>
  <c r="B40169" i="1"/>
  <c r="B40170" i="1"/>
  <c r="B40171" i="1"/>
  <c r="B40172" i="1"/>
  <c r="B40173" i="1"/>
  <c r="B40174" i="1"/>
  <c r="B40175" i="1"/>
  <c r="B40176" i="1"/>
  <c r="B40177" i="1"/>
  <c r="B40178" i="1"/>
  <c r="B40179" i="1"/>
  <c r="B40180" i="1"/>
  <c r="B40181" i="1"/>
  <c r="B40182" i="1"/>
  <c r="B40183" i="1"/>
  <c r="B40184" i="1"/>
  <c r="B40185" i="1"/>
  <c r="B40186" i="1"/>
  <c r="B40187" i="1"/>
  <c r="B40188" i="1"/>
  <c r="B40189" i="1"/>
  <c r="B40190" i="1"/>
  <c r="B40191" i="1"/>
  <c r="B40192" i="1"/>
  <c r="B40193" i="1"/>
  <c r="B40194" i="1"/>
  <c r="B40195" i="1"/>
  <c r="B40196" i="1"/>
  <c r="B40197" i="1"/>
  <c r="B40198" i="1"/>
  <c r="B40199" i="1"/>
  <c r="B40200" i="1"/>
  <c r="B40201" i="1"/>
  <c r="B40202" i="1"/>
  <c r="B40203" i="1"/>
  <c r="B40204" i="1"/>
  <c r="B40205" i="1"/>
  <c r="B40206" i="1"/>
  <c r="B40207" i="1"/>
  <c r="B40208" i="1"/>
  <c r="B40209" i="1"/>
  <c r="B40210" i="1"/>
  <c r="B40211" i="1"/>
  <c r="B40212" i="1"/>
  <c r="B40213" i="1"/>
  <c r="B40214" i="1"/>
  <c r="B40215" i="1"/>
  <c r="B40216" i="1"/>
  <c r="B40217" i="1"/>
  <c r="B40218" i="1"/>
  <c r="B40219" i="1"/>
  <c r="B40220" i="1"/>
  <c r="B40221" i="1"/>
  <c r="B40222" i="1"/>
  <c r="B40223" i="1"/>
  <c r="B40224" i="1"/>
  <c r="B40225" i="1"/>
  <c r="B40226" i="1"/>
  <c r="B40227" i="1"/>
  <c r="B40228" i="1"/>
  <c r="B40229" i="1"/>
  <c r="B40230" i="1"/>
  <c r="B40231" i="1"/>
  <c r="B40232" i="1"/>
  <c r="B40233" i="1"/>
  <c r="B40234" i="1"/>
  <c r="B40235" i="1"/>
  <c r="B40236" i="1"/>
  <c r="B40237" i="1"/>
  <c r="B40238" i="1"/>
  <c r="B40239" i="1"/>
  <c r="B40240" i="1"/>
  <c r="B40241" i="1"/>
  <c r="B40242" i="1"/>
  <c r="B40243" i="1"/>
  <c r="B40244" i="1"/>
  <c r="B40245" i="1"/>
  <c r="B40246" i="1"/>
  <c r="B40247" i="1"/>
  <c r="B40248" i="1"/>
  <c r="B40249" i="1"/>
  <c r="B40250" i="1"/>
  <c r="B40251" i="1"/>
  <c r="B40252" i="1"/>
  <c r="B40253" i="1"/>
  <c r="B40254" i="1"/>
  <c r="B40255" i="1"/>
  <c r="B40256" i="1"/>
  <c r="B40257" i="1"/>
  <c r="B40258" i="1"/>
  <c r="B40259" i="1"/>
  <c r="B40260" i="1"/>
  <c r="B40261" i="1"/>
  <c r="B40262" i="1"/>
  <c r="B40263" i="1"/>
  <c r="B40264" i="1"/>
  <c r="B40265" i="1"/>
  <c r="B40266" i="1"/>
  <c r="B40267" i="1"/>
  <c r="B40268" i="1"/>
  <c r="B40269" i="1"/>
  <c r="B40270" i="1"/>
  <c r="B40271" i="1"/>
  <c r="B40272" i="1"/>
  <c r="B40273" i="1"/>
  <c r="B40274" i="1"/>
  <c r="B40275" i="1"/>
  <c r="B40276" i="1"/>
  <c r="B40277" i="1"/>
  <c r="B40278" i="1"/>
  <c r="B40279" i="1"/>
  <c r="B40280" i="1"/>
  <c r="B40281" i="1"/>
  <c r="B40282" i="1"/>
  <c r="B40283" i="1"/>
  <c r="B40284" i="1"/>
  <c r="B40285" i="1"/>
  <c r="B40286" i="1"/>
  <c r="B40287" i="1"/>
  <c r="B40288" i="1"/>
  <c r="B40289" i="1"/>
  <c r="B40290" i="1"/>
  <c r="B40291" i="1"/>
  <c r="B40292" i="1"/>
  <c r="B40293" i="1"/>
  <c r="B40294" i="1"/>
  <c r="B40295" i="1"/>
  <c r="B40296" i="1"/>
  <c r="B40297" i="1"/>
  <c r="B40298" i="1"/>
  <c r="B40299" i="1"/>
  <c r="B40300" i="1"/>
  <c r="B40301" i="1"/>
  <c r="B40302" i="1"/>
  <c r="B40303" i="1"/>
  <c r="B40304" i="1"/>
  <c r="B40305" i="1"/>
  <c r="B40306" i="1"/>
  <c r="B40307" i="1"/>
  <c r="B40308" i="1"/>
  <c r="B40309" i="1"/>
  <c r="B40310" i="1"/>
  <c r="B40311" i="1"/>
  <c r="B40312" i="1"/>
  <c r="B40313" i="1"/>
  <c r="B40314" i="1"/>
  <c r="B40315" i="1"/>
  <c r="B40316" i="1"/>
  <c r="B40317" i="1"/>
  <c r="B40318" i="1"/>
  <c r="B40319" i="1"/>
  <c r="B40320" i="1"/>
  <c r="B40321" i="1"/>
  <c r="B40322" i="1"/>
  <c r="B40323" i="1"/>
  <c r="B40324" i="1"/>
  <c r="B40325" i="1"/>
  <c r="B40326" i="1"/>
  <c r="B40327" i="1"/>
  <c r="B40328" i="1"/>
  <c r="B40329" i="1"/>
  <c r="B40330" i="1"/>
  <c r="B40331" i="1"/>
  <c r="B40332" i="1"/>
  <c r="B40333" i="1"/>
  <c r="B40334" i="1"/>
  <c r="B40335" i="1"/>
  <c r="B40336" i="1"/>
  <c r="B40337" i="1"/>
  <c r="B40338" i="1"/>
  <c r="B40339" i="1"/>
  <c r="B40340" i="1"/>
  <c r="B40341" i="1"/>
  <c r="B40342" i="1"/>
  <c r="B40343" i="1"/>
  <c r="B40344" i="1"/>
  <c r="B40345" i="1"/>
  <c r="B40346" i="1"/>
  <c r="B40347" i="1"/>
  <c r="B40348" i="1"/>
  <c r="B40349" i="1"/>
  <c r="B40350" i="1"/>
  <c r="B40351" i="1"/>
  <c r="B40352" i="1"/>
  <c r="B40353" i="1"/>
  <c r="B40354" i="1"/>
  <c r="B40355" i="1"/>
  <c r="B40356" i="1"/>
  <c r="B40357" i="1"/>
  <c r="B40358" i="1"/>
  <c r="B40359" i="1"/>
  <c r="B40360" i="1"/>
  <c r="B40361" i="1"/>
  <c r="B40362" i="1"/>
  <c r="B40363" i="1"/>
  <c r="B40364" i="1"/>
  <c r="B40365" i="1"/>
  <c r="B40366" i="1"/>
  <c r="B40367" i="1"/>
  <c r="B40368" i="1"/>
  <c r="B40369" i="1"/>
  <c r="B40370" i="1"/>
  <c r="B40371" i="1"/>
  <c r="B40372" i="1"/>
  <c r="B40373" i="1"/>
  <c r="B40374" i="1"/>
  <c r="B40375" i="1"/>
  <c r="B40376" i="1"/>
  <c r="B40377" i="1"/>
  <c r="B40378" i="1"/>
  <c r="B40379" i="1"/>
  <c r="B40380" i="1"/>
  <c r="B40381" i="1"/>
  <c r="B40382" i="1"/>
  <c r="B40383" i="1"/>
  <c r="B40384" i="1"/>
  <c r="B40385" i="1"/>
  <c r="B40386" i="1"/>
  <c r="B40387" i="1"/>
  <c r="B40388" i="1"/>
  <c r="B40389" i="1"/>
  <c r="B40390" i="1"/>
  <c r="B40391" i="1"/>
  <c r="B40392" i="1"/>
  <c r="B40393" i="1"/>
  <c r="B40394" i="1"/>
  <c r="B40395" i="1"/>
  <c r="B40396" i="1"/>
  <c r="B40397" i="1"/>
  <c r="B40398" i="1"/>
  <c r="B40399" i="1"/>
  <c r="B40400" i="1"/>
  <c r="B40401" i="1"/>
  <c r="B40402" i="1"/>
  <c r="B40403" i="1"/>
  <c r="B40404" i="1"/>
  <c r="B40405" i="1"/>
  <c r="B40406" i="1"/>
  <c r="B40407" i="1"/>
  <c r="B40408" i="1"/>
  <c r="B40409" i="1"/>
  <c r="B40410" i="1"/>
  <c r="B40411" i="1"/>
  <c r="B40412" i="1"/>
  <c r="B40413" i="1"/>
  <c r="B40414" i="1"/>
  <c r="B40415" i="1"/>
  <c r="B40416" i="1"/>
  <c r="B40417" i="1"/>
  <c r="B40418" i="1"/>
  <c r="B40419" i="1"/>
  <c r="B40420" i="1"/>
  <c r="B40421" i="1"/>
  <c r="B40422" i="1"/>
  <c r="B40423" i="1"/>
  <c r="B40424" i="1"/>
  <c r="B40425" i="1"/>
  <c r="B40426" i="1"/>
  <c r="B40427" i="1"/>
  <c r="B40428" i="1"/>
  <c r="B40429" i="1"/>
  <c r="B40430" i="1"/>
  <c r="B40431" i="1"/>
  <c r="B40432" i="1"/>
  <c r="B40433" i="1"/>
  <c r="B40434" i="1"/>
  <c r="B40435" i="1"/>
  <c r="B40436" i="1"/>
  <c r="B40437" i="1"/>
  <c r="B40438" i="1"/>
  <c r="B40439" i="1"/>
  <c r="B40440" i="1"/>
  <c r="B40441" i="1"/>
  <c r="B40442" i="1"/>
  <c r="B40443" i="1"/>
  <c r="B40444" i="1"/>
  <c r="B40445" i="1"/>
  <c r="B40446" i="1"/>
  <c r="B40447" i="1"/>
  <c r="B40448" i="1"/>
  <c r="B40449" i="1"/>
  <c r="B40450" i="1"/>
  <c r="B40451" i="1"/>
  <c r="B40452" i="1"/>
  <c r="B40453" i="1"/>
  <c r="B40454" i="1"/>
  <c r="B40455" i="1"/>
  <c r="B40456" i="1"/>
  <c r="B40457" i="1"/>
  <c r="B40458" i="1"/>
  <c r="B40459" i="1"/>
  <c r="B40460" i="1"/>
  <c r="B40461" i="1"/>
  <c r="B40462" i="1"/>
  <c r="B40463" i="1"/>
  <c r="B40464" i="1"/>
  <c r="B40465" i="1"/>
  <c r="B40466" i="1"/>
  <c r="B40467" i="1"/>
  <c r="B40468" i="1"/>
  <c r="B40469" i="1"/>
  <c r="B40470" i="1"/>
  <c r="B40471" i="1"/>
  <c r="B40472" i="1"/>
  <c r="B40473" i="1"/>
  <c r="B40474" i="1"/>
  <c r="B40475" i="1"/>
  <c r="B40476" i="1"/>
  <c r="B40477" i="1"/>
  <c r="B40478" i="1"/>
  <c r="B40479" i="1"/>
  <c r="B40480" i="1"/>
  <c r="B40481" i="1"/>
  <c r="B40482" i="1"/>
  <c r="B40483" i="1"/>
  <c r="B40484" i="1"/>
  <c r="B40485" i="1"/>
  <c r="B40486" i="1"/>
  <c r="B40487" i="1"/>
  <c r="B40488" i="1"/>
  <c r="B40489" i="1"/>
  <c r="B40490" i="1"/>
  <c r="B40491" i="1"/>
  <c r="B40492" i="1"/>
</calcChain>
</file>

<file path=xl/sharedStrings.xml><?xml version="1.0" encoding="utf-8"?>
<sst xmlns="http://schemas.openxmlformats.org/spreadsheetml/2006/main" count="40454" uniqueCount="15651">
  <si>
    <t>Date</t>
  </si>
  <si>
    <t>Screen Name</t>
  </si>
  <si>
    <t>Tweet Text</t>
  </si>
  <si>
    <t>Retweets</t>
  </si>
  <si>
    <t>Favorites</t>
  </si>
  <si>
    <t>Followers</t>
  </si>
  <si>
    <t>Pengadilan Singapura Penjarakan WNI Yang Jadi Donatur ISIS</t>
  </si>
  <si>
    <t>Pemerintah Tak Cabut Status Kewarganegaraan WNI Eks ISIS</t>
  </si>
  <si>
    <t>Pengadilan Singapura Penjarakan WNI Yang Jadi Donatur ISIS #RepublikMerdeka</t>
  </si>
  <si>
    <t>Geram menyaksikan @MataNajwa: WNI eks ISIS atau ISIS eks WNI?</t>
  </si>
  <si>
    <t>Status ISIS Eks WNI @mohmahfudmd @jokowi @BNPTRI @kangdede78 @budimandjatmiko @zainalamochtar @umaleao @mpujayaprema @AlissaWahid @ariel_heryanto @gm_gm @bdm2502</t>
  </si>
  <si>
    <t>Soal Anak "ISIS Eks-WNI", Tetap Harus Ekstra Hati-hati</t>
  </si>
  <si>
    <t>Publik Pertanyakan Beda Perlakuan WNI Eks ISIS dan Reynhard Sinaga, Apakah Status Kewarganegaraan Juga Dicabut? ... Wallahumusta'an ...</t>
  </si>
  <si>
    <t>Bila memang pemerintah Indonesia akan mengambil anak anak para ISIS Eks WNI ini untuk dibawa pulang ke tanah air, maka pemerintah harus bisa memberikan jaminan yang pasti terkait anak anak ISIS Eks WNI ini. Artikel hradline saya di…</t>
  </si>
  <si>
    <t>Daripada membahas memulangkan anak anggota ISIS eks WNI, lebih baik urusi anak bangsa di dalam negeri masih banyak yg kekurangan dan belum mendapat pendidikan serta gizi yang layak</t>
  </si>
  <si>
    <t>Nah, selangkah lagi tinggal bikin sebiji pendukung ISIS yg lagi umroh abadi itu juga STATELESS. [Ma'ruf Amin: 689 WNI Otomatis Lepas Kewarganegaraan karena Ikut ISIS]</t>
  </si>
  <si>
    <t>Ma'ruf: Deradikalisasi Tak Mudah, Lebih Aman ISIS Eks WNI Tak Dipulangkan</t>
  </si>
  <si>
    <t>Kiai Said menolak kedatangan kombatan ISIS. Mereka pergi ke Suriah dengan kemauan sendiri. Bahkan, mereka menganggap Indonesia sebagai negara thaghut</t>
  </si>
  <si>
    <t>Perlu diingat partai dan orang yg mendukung agar eks WNI pendukung ISIS dipulangkan JANGAN DIPILIH ketika pemilu dan pilkada.</t>
  </si>
  <si>
    <t>Luruskan Soal Status Eks WNI ISIS, Mahfud Jangan Pertentangan Saya Dengan Moeldoko -</t>
  </si>
  <si>
    <t>"Mereka sendiri yang buat terlepas dari kewarganegaraan dengan keikutannya dalam kelompok ISIS. Itu sudah ketentuan perundang-undangan," kata Ma'ruf.</t>
  </si>
  <si>
    <t>WNI Eks ISIS Vs ISIS Eks WNI</t>
  </si>
  <si>
    <t>Sukamta: BPIP Stop Buat Kegaduhan Sudah berulang kali pejabat pemerintah membuat opini yang membuat gaduh. Sebelum ini Pak Menteri Agama berwacana soal pemulangan eks WNI yang terlibat ISIS. Sebelumnya lagi soal radikalisme, larangan celana cingkrang dan juga cadar.</t>
  </si>
  <si>
    <t>Luruskan Soal Status Eks WNI ISIS, Mahfud Jangan Pertentangan Saya Dengan Moeldoko  #ISIS #WNI @mohmahfudmd @Dr_Moeldoko</t>
  </si>
  <si>
    <t>Presiden RI Jokowi melalui Menkopolhukam, MENOLAK mantan WNI Anggota ISIS kembali ke Indonesia. Kalo ada yg NGOTOT/NGEYEL...patut diduga org tsb Anggota ISIS terselubung, gitu aja kok repot. RT @jr_kw19: Sangat disayangkan knp fadli zon begitu ngototnya menginginkan Anak2 eks WNI pro ISIS dipulangkan Wooiii ... ngapain buang waktu Biaya,tenaga, ngurus bibit teroris apa gak ada kerjaan apah .. #TolakAnakISISKembali</t>
  </si>
  <si>
    <t>Klo ngasih statement kayak Presiden dong. Eks WNI pro ISIS yg bener krn sesuai UU. Komennya: anak2 yg di luar negeri dipikirin, dalem negeri diabaikan. Situ sehat? RT @RadioElshinta: KPAI meminta agar pemerintah memberikan perhatian khusus pada anak-anak WNI eks ISIS. Komentar Kamu? #20thElshintaNewsAndTalk</t>
  </si>
  <si>
    <t>Video Debat Sengit Gayus Lumbuun Vs Ngabalin Soal WNI Eks ISIS  #vivanews</t>
  </si>
  <si>
    <t>KPAI meminta agar pemerintah memberikan perhatian khusus pada anak-anak WNI eks ISIS. Komentar Kamu? #20thElshintaNewsAndTalk</t>
  </si>
  <si>
    <t>Pemerintah Diminta Mendata Anak WNI Eks ISIS</t>
  </si>
  <si>
    <t>Sah Seperti Omongan Netizen, Jokowi Sebut Pemerintah Tak Niat Pulangkan ISIS Eks WNI!</t>
  </si>
  <si>
    <t>Gue bener bener ga setuju sih kalau anak-anak wni eks ISIS dibawa pulang, like why? Disini masih banyak anak-anak yang lebih butuh diperhatiin hidupnya, kenapa mau bawa anak-anak yang dr kecil udh dilatih jd teroris? Sorry to say👋</t>
  </si>
  <si>
    <t>Menurut UU no 12 th 2006 dan PP no 2 th 2007 WNI yg ikut perang tentara asing bisa ilang kewarganegaraannya dg sendrinya tanpa melalui pengadilan. Dg payung hukum tsb pemerintah diharapkan bisa tegas bersikap thd ratusan eks isis yg mau ke indonesia.. Cc @jokowi</t>
  </si>
  <si>
    <t>TERKAIT WNI EKS ISIS, MA'RUF AMIN: MEREKA SUDAH BUKAN WARGA NEGARA INDONESIA #TauCepatTanpaBatas</t>
  </si>
  <si>
    <t>Keputusan rapat tadi pemerintah dan negara harus memberi rasa aman dari teroris dan virus-virus baru, terhadap 267 juta rakyat Indonesia.  #TolakAnakISISKembali #TolakEksWNIproISIS</t>
  </si>
  <si>
    <t>jangan sampai ada 689 FTF kombatan ISIS eks WNI yg lolos masuk lewat jalur darat, laut dan udara, @DitjenImigrasi @Puspen_TNI @DivHumas_Polri RT @CNNIndonesia: Antisipasi WNI Eks ISIS, Pemerintah Awasi Jalur Perbatasan</t>
  </si>
  <si>
    <t>Mahfud Md Jelaskan Pencabutan Kewarganegaraan 689 ISIS Eks WNI</t>
  </si>
  <si>
    <t>Debat Soal WNI Eks ISIS, Gayus Lumbuun Sebut Ngabalin Bodoh  #vivanews</t>
  </si>
  <si>
    <t>Jelas ya Kombatan ISIS tdk ingin jadi warga negara Indonesia yg mrk cap sbg Negara Toghut. Lalu untuk apa kalian bela2 Klompok Yg bs membahayakan NKRI? Moeldoko: 689 Anggota ISIS Eks WNI Sudah Dikatakan Stateless</t>
  </si>
  <si>
    <t>NU Tolak Kepulangan 600 WNI yang jadi ISIS</t>
  </si>
  <si>
    <t>KPAI minta Pemerintah melindungi anak-anak WNI eks ISIS. Apa yang harus dilakukan terhadap anak anak WNI eks ISIS? #20thElshintaNewsAndTalk SIMAK #KomisiAndaElshinta - Streaming di</t>
  </si>
  <si>
    <t>Ansor Subang Tolak Pemulangan WNI Eks ISIS</t>
  </si>
  <si>
    <t>Mahfud MD Antisipasi Kemungkinan ISIS eks WNI Menyelinap di Jalur Tikus: Mereka Sembunyikan Paspor  lewat @tribunnews</t>
  </si>
  <si>
    <t>Ini 3 Hak WNI Eks ISIS Menurut Mantan Hakim Agung Gayus Lumbuun: Dia Punya Hak untuk Kembali  lewat @tribunnews</t>
  </si>
  <si>
    <t>Eks Hakim Agung: Menolak WNI Eks ISIS Bukan Kekuasaan Presiden</t>
  </si>
  <si>
    <t>Laksdya TNI Achmad Djamaludin Prediksi WNI Eks ISIS Pulang Lewat Filipina: Paling Banyak ke Sana  lewat @tribunnews</t>
  </si>
  <si>
    <t>WNI Eks ISIS Ditolak Kembali Ke Tanah Air, Rachmawati: Pemerintah Utamakan Keamanan</t>
  </si>
  <si>
    <t>Antisipasi WNI Eks ISIS, Pemerintah Awasi Jalur Perbatasan</t>
  </si>
  <si>
    <t>🤣😂...wkwkwk ETDAH PLINTIRAN lagi-PLINTIRAN lagi yg ELU jual PAK NUR. ituh KETUA BPIP ternyatah lagi nerangin soal KAUM ELU yg dimarih suka (sengaja) MEMPERTENTANGKAN AGAMA ma PANCASILA buat menuhin SYAHWAT KEKUASAAN. dr modus KHILAFAH bahkan skrg pake mauk IMPOR EKS WNI yg ISIS RT @hnurwahid: Pernyataan radikal Ketua BPIP itu ahistoric&amp;irrasional. Presiden Sukarno&amp;amp;Suharto tak jadikan Agama sbg musuh Pancasila. Bung Karno muliakan Agama dlm relasi dg Pancasila (saat di BPUPK,Panitya 9 maupun PPKI). BPIP tidak dibentuk unt bikin gaduh spt ini.</t>
  </si>
  <si>
    <t>Ma'ruf: WNI Ikut ISIS, Status Kewarganegaraannya Otomatis Hilang</t>
  </si>
  <si>
    <t>WNI eks ISIS Bisa Kehilangan Kewarganegaraan Jika Jokowi Terbitkan Keppres -</t>
  </si>
  <si>
    <t>Betul yang benar sebutan ANGGOTA isis eks WNI, jadi jelas mereka adalah ANGGOTA isis dan kita tidak wajib menerima mereka di Indonesia. Saya tetap MENOLAK kedatangan anggota isis eks wni baik anak2 maupun dewasa.</t>
  </si>
  <si>
    <t>PKS Hormati Keputusan Jokowi Yang Tolak Pemulangan 600 WNI Eks ISIS</t>
  </si>
  <si>
    <t>Ini Tanggapan Wakil Presiden Ma’ruf Amin Terkait WNI Eks ISIS  #makobarnews #wapres #eksisis #WNI</t>
  </si>
  <si>
    <t>Jokowi Minta 689 WNI Eks ISIS Dicekal Masuk Indonesia, Desmon: Bagaimana Kalau Itu Keponakan Mahfud?</t>
  </si>
  <si>
    <t>Bagaimana Dengan Nasib Anak Dibawah Umur Dari Ex WNI Pendukung ISIS di Suriah: JAKARTA…</t>
  </si>
  <si>
    <t>Direktur Imparsial Al Araf menilai opsi pemerintah memulangkan anak-anak dari WNI terduga teroris pelintas batas eks ISIS ke Indonesia sudah tepat. / #Nasional</t>
  </si>
  <si>
    <t>Soal wni eks-isis or isis eks-wni, atau apalah itu. Saya pikir menolak kepulangan mereka dengan cara memainkan generalisasi dan spekulasi tanpa ada verifikasi adalah keputusan yang sangat embrional. Indonesia, jangan sampai gagap validasi.</t>
  </si>
  <si>
    <t>Mereka itu anggota isis eks WNI. Catat, EKS WNI! PB Djarum jelas bawa nama harum Indonesia minta dibubarin. Sekarang teroris eks WNI mau didukung balik ke Indonesia . Organisasi kntl! RT @AhlulQohwah: Di Malang anak dibully sampai patah tangan anteng, di Purworejo anak perempuan dianiaya anteng. Giliran anak ISIS suaranya kenceng.</t>
  </si>
  <si>
    <t>KPAI minta Pemerintah melindungi anak-anak WNI eks ISIS. Apa yang harus dilakukan terhadap anak anak WNI eks ISIS? SIMAK #KomisiAndaElshinta - Streaming di</t>
  </si>
  <si>
    <t>Soal WNI eks ISIS ini harus benar2 di ferifikasi.. karna tdk sedikit juga mereka ksana hanya karna dijebak..</t>
  </si>
  <si>
    <t>Moeldoko menyatakan bahwa 689 anggota ISIS Eks-WNI tersebut saat ini telah berstatus tanpa kewarganegaraan atau stateless. #KAMUHARUSTAU</t>
  </si>
  <si>
    <t>Mahfud Jelaskan Pencabutan WNI eks-ISIS</t>
  </si>
  <si>
    <t>Pemerintah tidak akan memulangkan WNI eks ISIS karena dianggap berbahaya</t>
  </si>
  <si>
    <t>Mahfud MD: Pemerintah tidak cabut status kewarganegaraan WNI eks ISIS  #20thElshintaNewsAndTalk</t>
  </si>
  <si>
    <t>berawal kasus munculnya kerajaan kerajaan fiksi lalu munculnya wacana mengembalikan anak anak eks isis dgn memanfaatkan pemulangan wni dari wuhan akibat virus corona pdhl jauh sebelum itu ada kasus skandal jiwasraya yang harus dikawal penuntasannya. RIP CIKEAS</t>
  </si>
  <si>
    <t>Masih ada jutaan anak Indonesia yg harus di urusin, daripada capek ngurus anak eks WNI warga ISIS. Klo dari kecil udah teroris, gedenya jadi apa hayoo? #TolakAnakISISKembali</t>
  </si>
  <si>
    <t>KPAI minta Pemerintah melindungi anak-anak WNI eks ISIS. Apa yang harus dilakukan terhadap anak anak WNI eks ISIS? SIMAK! #DiskusiInteraktifElshinta bersama Komite Nasional Peduli Anak Indonesia sekaligus Pemerhati Anak, Kusumo Priyono. #20thElshintaNewsAndTalk</t>
  </si>
  <si>
    <t>Yg gak setuju, ditanya aja: ISIS Islam bukan "@CH_chotimah: Sebelumnya kita ucapkn terimakasih kpd pemerintah yg sdh putuskan tdk akan memulangkan ISIS eks WNI. Seperti halnya sblm keputusan ini ada yg mendukung mereka pulang .. #AwasAntek2ISIS. @fadjroeL "</t>
  </si>
  <si>
    <t>Pak @jokowi jangan pulang eks wni yg jd ISIS..meskipun anak2. Banyak anak2 di NKRI yg harus diperhatiin ..swn</t>
  </si>
  <si>
    <t>Aktivis Pertanyakan Tindak Lanjut Pemerintah Terkait WNI Eks ISIS | #indonesia #viral &gt;&amp;gt;&amp;gt; Click</t>
  </si>
  <si>
    <t>Sebut Eks WNI, Jokowi Aminkan Klaim ISIS Sebagai Negara Berdaulat  #vivanews</t>
  </si>
  <si>
    <t>Bagaimana status Kewarganegraan WNI yang Bergabung dengan ISIS? Pasal 23 UU No 12 Tahun 2006 tentang Kewarganegaraan menyebutkan bahwa, WNI yang bergabung dengan dinas tentara asing dan secara sukarela mengangkat…</t>
  </si>
  <si>
    <t>Pertanyaan khusus buat @Gerindra , bagaimana jika yg dialami anak-anak ini terjadi pada anak-anaknya elit partai Gerindra...?! Sibuk kali kelen buat narasi untuk menghasilkan pemulangan anak2 teroris ISIS eks WNI. 🤨🤨🤨🤨</t>
  </si>
  <si>
    <t>Rasanya mmg lbh tepat wn isis ex wni drpd wni ex isis RT @gorba_psi: Top sis @dini_purwono 👍👍👍</t>
  </si>
  <si>
    <t>Ansor Subang Dukung Pemerintah Tak Pulangkan Eks WNI Pro ISIS ke Tanah Air</t>
  </si>
  <si>
    <t>Jokowi Sebut ISIS eks WNI, Bukan WNI Eks ISIS, Konsisten dengan UU Kewarganegaraan</t>
  </si>
  <si>
    <t>Eks ISIS asal WNI atau warga ISIS eks WNI?</t>
  </si>
  <si>
    <t>KPAI: Negara Harus Hadir Lindungi Anak-anak WNI Eks ISIS, Mereka Korban  #LagiLagiKPAI #TidakAdaOtak</t>
  </si>
  <si>
    <t>Soal Status WNI Eks ISIS, Ma'ruf: Mereka yang Lepas Kewarganegaraan Sendiri</t>
  </si>
  <si>
    <t>Pemerintah Tegas Tak Terima WNI Eks ISIS, Ini Alasan Wapres</t>
  </si>
  <si>
    <t>kenapa harus di lindungi? jaminan aman gak? sedangkan bapak mahfud md bilang kalo menolak eks isis came back in ina karena memikirkan keselamatan 6jt lebih warganya. coba urus korban bully di malang sama jateng</t>
  </si>
  <si>
    <t>#TolakAnakISISKembali pak Moeldoko mngatakn bahwa jk nantinya ada WNI eks ISIS tsb ada yg masuk atau mnyusup ke Indonesia, yg bersangkutan akan diadili scara hukum,</t>
  </si>
  <si>
    <t>Bukan WNI eks ISIS tapi ISIS eks WNI. Itu yg sesuai UU kewarganegaraan yg berlaku di negara Republik Indonesia.&gt;</t>
  </si>
  <si>
    <t>Jokowi Tolak Pemulangan WNI Eks ISIS Dianggap Tepat | #indonesia #viral &gt;&amp;gt;&amp;gt; Click</t>
  </si>
  <si>
    <t>Menteri Koordinator Bidang Politik, Hukum dan Keamanan (Menko Polhukam) Mahfud MD menjelaskan alur dan mekanisme pencabutan kewarganegaraan warga negara Indonesia (WNI), terlebih yang pernah menjadi kombatan ISIS.</t>
  </si>
  <si>
    <t>Pak @prabowo kader2 anda koq banyak jadi pendukung ISIS . Gak salah ya ini partai gerindra koq kadernya jadi pendukung eks WNI pengikut ISIS RT @dedysteven80: Daripada menularkan virus ke anak2 saya, lebih baik tetap bersama ortu mereka di sana. Dan menjadi beban keluarga di sini... cc @Jokowi 👇 Desmond Minta Anak Eks ISIS Dipulangkan: Bagaimana Kalau Itu Saudara Pak Jokowi?</t>
  </si>
  <si>
    <t>Bedakan arti dari WNI eks ISIS sama ISIS eks WNI. Kalo WNI eks ISIS brrti dia dianggap masih WNI yg sudah "keluar" dari ISIS, sedangkan kalo ISIS eks WNI ya dia bukan WNI lagi dan sudah menjadi ISIS (cth: membakar paspor). Jadi jangan disebut WNI eks ISIS. Tapi harus sebaliknya.</t>
  </si>
  <si>
    <t>Presiden Jokowi menggunakan istilah eks WNI untuk menyebut para Kombatan ISIS. Lalu, apa kewarganegaraan mereka? #ISIS</t>
  </si>
  <si>
    <t>Ini PKS tau UUD45 gak yah,,,,? mereka sama si zonk knpa gak studi banding waktu isis berperang dan WNI yg ikut berperang di sana di liat amati agar bisa faham PKS Dorong Pemerintah Pulangkan Anak-anak WNI Eks ISIS: Beri Mereka Pendidikan</t>
  </si>
  <si>
    <t>KPAI minta Pemerintah melindungi anak-anak WNI eks ISIS. Apa yang harus dilakukan terhadap anak anak WNI eks ISIS? SIMAK! #DiskusiInteraktifElshinta bersama Pengamat Timur Tengah yang juga pendiri situs Al , Faisal Assegaf. #20thElshintaNewsAndTalk</t>
  </si>
  <si>
    <t>WNI Eks ISIS atau ISIS Eks WNI? Ini Landasan Hukumnya</t>
  </si>
  <si>
    <t>Hmmm..... Hidayat Nur Wahid mendorong pemerintah mengkaji peluang WNI di Suriah yang tak terlibat ISIS bisa pulang ke Indonesia.</t>
  </si>
  <si>
    <t>Pemerintah Tidak Memiliki Rencana Memulangkan Anggota ISIS Eks WNI - Rakyat Cirebon</t>
  </si>
  <si>
    <t>Pendidikan ala PKS ? no no no !!!!</t>
  </si>
  <si>
    <t>Pakar Hukum Pidana: Langkah PemerintahÂ Menolak Pemulangan WNI Eks ISIS Harus DidukungÂ</t>
  </si>
  <si>
    <t>Kenapa Zon Ngotot Ingin Pulang Kan Anak2 ISIS Eks WNI, Padahal Mereka Sangat Berbahaya Saat Tumbuh Dewasa, Bisa Mengancam 267 Juta Lebih Rakyat Indonesia Apa Iya Karena Zon Punya Pabrik Susu, Agar Susu Nya Laku. Katanya Jubir Rakyat, Rakyat yg mana Woyy.. #TolakAnakISISKembali</t>
  </si>
  <si>
    <t>PKS Dukung Jokowi Tolak Pemulangan WNI Eks ISIS</t>
  </si>
  <si>
    <t>Mahfud MD Luruskan Perbedaan Pendapat Dengan Moeldoko Soal Status Eks WNI ISIS #MahfudMD #Moeldoko #RepublikMerdeka</t>
  </si>
  <si>
    <t>Moeldoko menyatakan WNI eks ISIS berstatus tanpa kewarganegaraan.</t>
  </si>
  <si>
    <t>aseli sih bakal semarah itu kalo yang katanya WNI bekas isis dipulangin😭 serius ini mah apapun alasannya huf</t>
  </si>
  <si>
    <t>Eks WNI anggota ISIS itu ingin ke RI, karena kalah, bukan karena sadar.</t>
  </si>
  <si>
    <t>Pro kontra pemulangan Eks ISIS.. Bapak Menkopolhukam @mohmahfudmd , pro nya kalau bisa BNPT mendidik Eks ISIS menjadi cinta NKRI. Bisa jadi garda terdepan tuh Eks ISIS WNI jika Negara Indonesia diusik oleh Negara lain.</t>
  </si>
  <si>
    <t>Analisis Pasca Anggota ISIS Eks WNI Ditolak Masuk Indonesia - Rakyat Cirebon</t>
  </si>
  <si>
    <t>Isu pemulangan WNI yang bergabung dengan ISIS masih menjadi perbincangan hangat di tanah air. Presiden Jokowi sudah menegaskan tidak akan memulangkan mereka, bahkan sudah menyebut mereka ISIS eks WNI. Bagaimana seseorang telah lepas dari WNI?</t>
  </si>
  <si>
    <t>Silakan partai anda sj yg membina dn sy iklas bpk ke suriah bserta staf2 tnp tersisa trmasuk @MardaniAliSera !! Kami jg muak liat axtion anda sbgai partai krn trllu Naif dan Munafik !!! #PendukungTerorisAdalahTeroris #TolakAnakISISKembali #AwasAntek2ISIS</t>
  </si>
  <si>
    <t>Sangat disayangkan knp fadli zon begitu ngototnya menginginkan Anak2 eks WNI pro ISIS dipulangkan Wooiii ... ngapain buang waktu Biaya,tenaga, ngurus bibit teroris apa gak ada kerjaan apah .. #TolakAnakISISKembali</t>
  </si>
  <si>
    <t>Secara tidak langsung = negara harus melindungi anak anak terorris ISIS yang sudah membunuh anak anak di Suriah, membakar hidup hidup tawanan, menghancurkan Iraq - Suriah sampai detik ini. Gitu? Situ simpatisan ISIS?</t>
  </si>
  <si>
    <t>Pemerintah tak perlu beri ruang opsi memulangkan sebag eks WNI pro ISIS. Di Indonesia masih byk anak2 dr usia dini sd remaja yg perlu dibina. #TolakAnakISISKembali</t>
  </si>
  <si>
    <t>WNI kehilangan kewarganegaraan Indonesianya apabila dia bergabung dengan militer asing tanpa izin Presiden. WNI juga kehilangan kewarganegaraan jika menyatakan keinginan untuk tidak lagi menjadi WNI. @dini_purwono @jokowi @psi_id</t>
  </si>
  <si>
    <t>Isu pemulangan WNI yg ikut ISIS, sebenarnya mereka ingin pulang atau inisiatif pemerintah mau memulangkan? Kenapa jadi isu yg tdk jelas</t>
  </si>
  <si>
    <t>Orang bodoh membandingkan status WNI Reinhard Sinaga di Inggris yg melakukan pidana dgn ISIS EKS WNI. Membandingkan pidana umum dengan terorist sj tak mampu, dasar bego..!!</t>
  </si>
  <si>
    <t>Dalam beberapa hari ini, topik yang paling populer adalah berita ISIS eks WNI, disusul konggres PAN dengan aksi lempar kursi.</t>
  </si>
  <si>
    <t>Soal Status WNI Eks ISIS, Ma'ruf: Mereka yang Lepas Kewarganegaraan Sendiri: "Mereka…</t>
  </si>
  <si>
    <t>Presiden PKS Sohibul Iman meminta pemerintah memulangkan anak-anak ISIS eks WNI. Anak-anak itu, menurut Sohibul, dapat dibina di Indonesia. #TolakAnakISISKembali</t>
  </si>
  <si>
    <t>Status WNI Eks Kombatan ISIS Akan Dipertegas Lewat Keputusan Presiden #TolakAnakISISKembali #Jokowi #RepublikMerdeka</t>
  </si>
  <si>
    <t>Anak2 yg dididik baik2 di Muhammadiyah aja kek Genee Bijimane Anak2 yg dididik secara Intensif BRAINWASH oleh Kombatan ISIS Eks WNI !!!! BERANI JUJUR KAGAK ?? RT @PartaiSocmed: Kecilnya sekolah di SMP Muhammadiyah Butuh, cita2 kl besar kelak jadi politikus PAN 👍</t>
  </si>
  <si>
    <t>Hidayat Nur Wahid mendorong pemerintah mengkaji peluang WNI di Suriah yang tak terlibat ISIS bisa pulang ke Indonesia.</t>
  </si>
  <si>
    <t>Mantap Pak @jokowi !! Inget ya!! Bukan wni eks isis, tapi isis eks wni RT @tjhinfar21: Pemerintah tegas tdk akan memulangkan 689 org ISIS eks WNI demi keamanan 260jt rakyat Indonesia 👏👏👍👍👍 Dengar tuh pak @hnurwahid @MardaniAliSera jangan digoreng² lagi ya 😁🙏 Terima kasih pak @jokowi 🙏🙏🙏 #TolakAnakISISKembali</t>
  </si>
  <si>
    <t>KOMISI PERLINDUNGAN ANAK ISIS ...👏👏👏 DISILAKAN KE SURIAH ...🤪 #TolakAnakISISKembali</t>
  </si>
  <si>
    <t>Tidak ada yg lebih berbahaya dari anak yatim piatu yg sakit hati. Dia akan belajar dengan segenap kemampuannya untuk membalas sakit hati orang tuanya. Yakin mau bawa pulang anak ISIS eks WNI?</t>
  </si>
  <si>
    <t>Tolong itu KPAI, Komnas HAM sama PKS, yang congornya ngotot bener mulangin ISIS eks WNI. Dipake dong otaknya.. RT @PakarLogika: Ada wacana dari negara untuk memulangkan anak2 eks ISIS. Menurut saya sblm negara berpikir kesana, negara hrs hadir dulu bagaimana memulihkan trauma, kondisi anak2 korban kebiadaban teroris ISIS. Mereka lbh butuh perhatian negara daripada anak2 eks ISIS. #TolakAnakISISKembali</t>
  </si>
  <si>
    <t>Kasus seperti ini kemana @KPAI_official jangan hanya ngurusi anak ISIS eks WNI saja RT @kumparan: Siswi SMP yang dipukul temannya di Purworejo penyandang disabilitas.</t>
  </si>
  <si>
    <t>Argumen isis eks wni mau dipulangin ini harusnya ga usah dibahas sih, tinggal tanya aja ke mereka "ini semua kan karna isis kalah, kalo menang?" Ke congor mereka.</t>
  </si>
  <si>
    <t>PKS : Minta pulangkan dan membina anak2 WNI eks ISIS. Jokowi : Potong pensiun PNS Rp. 300.000,- PKS RADIKAL Jokowi orang baik Sak karepmu bong! 😂😂😂</t>
  </si>
  <si>
    <t>Setuju dengan yai,,, Mereka yg merasa ingin pindah dari pemerintahan togud yg menurut mereka  "Mereka sendiri yang buat terlepas dari kewarganegaraan dengan keikutannya dalam kelompok ISIS. Itu sudah ketentuan perundang-undangan," kata Ma'ruf.</t>
  </si>
  <si>
    <t>dasar taik memang ini @KPAI_official, segala anak teroris yang sudah diajari membunuh keceng suanya membela, sementara di Malang anak dibully sampai patah tangan diam, di Purworejo anak perempuan dianiaya diam. jangan² kalian ini juga sindikat ISIS</t>
  </si>
  <si>
    <t>Liat berita di @Metro_TV barusan,, ngulas tentang Isis dan pengukuhan Pak @jokowi jika tdk akan memulangkan WNI ISIS,, Agree saya pak,tp juga tdk semua sekalian, jgn krn yatim dll masih toleransi pak,bisaModyar negara kita,video anak2 ISIS di berita tsb sdh membuat kami ngeri</t>
  </si>
  <si>
    <t>Jokowi Tegaskan Teroris Lintas Batas adalah ISIS eks WNI</t>
  </si>
  <si>
    <t>Semua itu manusia bkn jin yg masuk &amp; datang pasti melewati pintu2 imigrasi! Lalu puluhan ribu mrk, negara tdk tahu? Lalu ratusan WNI ex Kombat ISIS yg jelas rakyat sendiri mau pulang mrk tahu datanya! Apa mmg Rakyat yg sdh tdk waras akalnya, atau mrk tdk w</t>
  </si>
  <si>
    <t>Ini mah saran nya orang bodoh. Atau kelompok nya ?? #TolakAnakISISKembali</t>
  </si>
  <si>
    <t>Cabut WNI Eks ISIS berarti 3 hal : 1. RI tidak pro aktif dalam Perdamaian Timteng 2. Dorong OPM lepas status WNI, sehingga penanganan Papua sepenuhnya di tangan Internasional 3. Ragukan kemampuan RI men-deradikalisasi Eks ISIS IQ Rendah Sulit Paham Cc. Prof @mohmahfudmd RT @ratu_adil: Cabut WNI Eks ISIS berarti 3 hal : 1. RI tidak pro aktif dalam Perdamaian Timteng 2. Dorong OPM lepas status WNI, sehingga penanganan Papua sepenuhnya di tangan Internasional 3. Ragukan kemampuan RI men-deradikalisasi Eks ISIS IQ Rendah Sulit Paham 🌐</t>
  </si>
  <si>
    <t>Semakin memperjelas sebenarnya PKS itu siapa?</t>
  </si>
  <si>
    <t>Pejabat manakah yang berbohong? (1) Presiden Joko Widodo mereka “eks WNI” (2) Moeldoko : mereka “stateless” (3) Mahfud MD pemerintah Indonesia tidak mencabut status kewarganegaraan WNI eks ISIS.</t>
  </si>
  <si>
    <t>Bro, mbok fokus dulu sama kasus-kasus perundungan di beberapa daerah dulu. Cari tahu kenapa banyak anak berprilaku aneh suka nge-bully temen-temennya bahkan anianya. Matanya melek dl! KPAI: Negara Harus Hadir Lindungi Anak-anak WNI Eks ISIS, Mereka Korban</t>
  </si>
  <si>
    <t>Dididik jadi Temanten...??? Oops....😷😷😷</t>
  </si>
  <si>
    <t>Akhirnya Presiden menyetujui untuk memulangkan ex ISIS dari Suriah. Amlah amlah 😎 Sayang disayang Presiden nya adalah Presiden PKS 😅😩 Saya setuju mereka yang pulang di jadiin anggota PKS Presiden PKS Minta Pemerintah Pulangkan-Bina Anak ISIS Eks WNI</t>
  </si>
  <si>
    <t>Gimana mau dibawa pulang bocah kaya gini. Apakah anakmu ada disitu curut kadrun? Jangak sok peduli ex wni isis ya. Kalo peduli berarti kau ada di dalamnya.</t>
  </si>
  <si>
    <t>#PKB: Eks WNI Kombatan ISIS Harus Dibedah Secara Komprehensif</t>
  </si>
  <si>
    <t>PEMERINTAH LEBIH MENGUTAMAKAN KESELAMATAN DAN KEAMANAN 267 JUTA RAKYAT INDONESIA DARIPADA 689 ANGG ISIS EX WNI....</t>
  </si>
  <si>
    <t>KPAI lgi urus anak" x WNI yg gabung isis untuk d pulangin ,,, RT @salahsambungya: Mungkin kejadian bullying di sekolah baru jadi akan gak lucu dan gak diselesaikan secara kekeluargaan, kalau korban anggota tubuhnya sampai harus diamputasi Seperti yang dialami siswa SMP di Malang ini Kok ini gak ramai ya kasusnya? KPAI mana nih woy!</t>
  </si>
  <si>
    <t>Pro kontra pemulangan anak-anak eks WNI yang anggota ISIS masih berembus. Muncul opsi setuju anak-anak ISIS eks WNI dipulangkan asal setia Pancasila.</t>
  </si>
  <si>
    <t>Pemerintah membuka peluang pemulangan anak-anak kombatan ISIS eks WNI.</t>
  </si>
  <si>
    <t>f*ck them kids bruh.. di negara sendiri aja urusan anak belum bener malah ngurusin anak eks ISIS</t>
  </si>
  <si>
    <t>Top sis @dini_purwono 👍👍👍</t>
  </si>
  <si>
    <t>Kalo gw jadi Presiden : Mentri : Pak WNI mantan anggota Isis pengen balik ke Indo, ngga betah katanya merasa ditipu. Presiden : Hih Amit2 ya Allah..</t>
  </si>
  <si>
    <t>Benih Radikalisme Jika Pulangkan Anak ISIS Eks WNI di Bawah Umur?</t>
  </si>
  <si>
    <t>Politikus Gerindra Desmond J. Mahesa meminta Presiden Joko Widodo memulangkan anak-anak warga negara Indonesia mantan anggota ISIS. Tapi sepakat dg pemerintah untuk tidak memulangkan para kombatan atau foreign terrorist fighter (FTF)</t>
  </si>
  <si>
    <t>Loh berita korupsi yg GEDE banget itu kemarin mana ya? Ketindih sama berita corona, wni di isis, lempar kursi dll. Menolak Lupa!</t>
  </si>
  <si>
    <t>“...bahwa kami sekali lagi ingin menegaskan dan tadi juga Bapak Presiden RI @jokowi mengatakan bahwa tidak ada lagi pemulangan atas ISIS atau anggota ISIS eks WNI,” ucap @fadjroeL ⁣ ⁣ ⁣ ⁣ #WNIEksISIS #IndonesiaMaju #MenujuIndonesiaMaju</t>
  </si>
  <si>
    <t>#TopNewsMetroTV Pasca tegas menolak eks WNI kombatan ISIS masuk ke Indonesia, Pemeintah Indonesia menyatakan akan mengirim tim gabungan ke Suriah untuk melakukan pendataan dan penelusuran pada eks WNI tersebut. @Metro_TV</t>
  </si>
  <si>
    <t>Demi Keamanan Negara, PB PMII DUkung Keputusan Presiden Jokowi Tolak Pulangkan Eks WNI Simpatisan ISIS #TolakAnakISISKembali #PMII #RepublikMerdeka</t>
  </si>
  <si>
    <t>Desmond meminta pemerintah mempertimbangkan untuk mengembalikan anak-anak eks kombatan ISIS ke Indonesia. #WNIEksISIS</t>
  </si>
  <si>
    <t>Apa mrk lbh mulia dibanding anak2 jalanan lampu merah dr Sabang sampai Merauke. Sdh seimbangkah rasa nasional dg apa yg mrk dpt. @jokowi @mohmahfudmd</t>
  </si>
  <si>
    <t>Makanya pak @jokowi saya inginnya menteri agama diusut tuh knp dia ingin pulangin wni ejs isis,padahal udh dibakar paspornye RT @jokowi: Mestinya, masalah intoleransi, baik di Tanjung Balai Karimun, maupun di Minahasa, Sulawesi Utara, sudah diselesaikan di daerah. Ternyata tidak. Karena itu, saya memerintahkan Menkopolhukam dan Kapolri, agar ini diselesaikan dengan tegas agar tidak menjadi preseden yang buruk.</t>
  </si>
  <si>
    <t>talk is cheap !!</t>
  </si>
  <si>
    <t>Eks WNI ISIS dilarang pulang? Saksikan Coverstory One Kamis, 13 Februari 2020 jam 22.30 WIB hanya di tvOne &amp; streaming tvOne Connect, android  &amp;amp; ios . #CoverStoryOne #tvOneNews</t>
  </si>
  <si>
    <t>KPAI hanya mengurus anak2 ex WNI ISIS................... kan itu proyek ada duitnya RT @salahsambungya: Siswi disabilitas SMP dibully sampai luka lebam, Kepsek cuma bilang "diselesaikan kekeluargaan?" Lalu KPAI tutup mata dengan kejadian seperti ini? Penyelesaian secara kekeluargaan emangnya bisa bikin pembully jadi jera??</t>
  </si>
  <si>
    <t>#Repost official_nasdem • • • • • • Program deradikalisasi di Indonesia masih babak belur sehingga rencana pemulangan WNI eks ISIS akan menjadi bumerang. Anggota Komisi I DPR RI Willy Aditya mengatakan Proses…</t>
  </si>
  <si>
    <t>WNI ANGGOTA ISIS bicara HAM? HAM masyarakat Indonesia untuk hidup tenang tolong dihargai juga ya. 1 orang dr mereka berpotensi membunuh puluhan orang. Jangan sampai mendahulukan HAM anggota ISIS dengan mengorbankan HAM warga sipil di sini.</t>
  </si>
  <si>
    <t>WNI eks ISIS, lah kan udah bakar paspor harusnya sih eks WNI eks ISIS💆🏻‍♂️💆🏻‍♂️💆🏻‍♂️</t>
  </si>
  <si>
    <t>Didalam negri kita masih banyak yang butuh perhatian pak,,, seharusnya lupakan saja dia yang sudah meninggalkan .seharusnya bapak lebih memikirkan yang didalam negri, yang kelaparan tapi tetep bersama indonesia.</t>
  </si>
  <si>
    <t>Dear eks WNI yg sudah menjadi anggota ISIS. Kalian kesana capek-capek dengan keinginan hati kalian sendiri, tapi naik pesawat pasti ada yg mendanai dong, nah tuntut itu yg berangkatin kalian, kalian jangan kembali ke Indonesia dan menuntut pemerintah untuk memulangkan kalian.</t>
  </si>
  <si>
    <t>Bukan Dikeluarkan, Justru Eks Kombatan ISIS yang Melepas Status WNI</t>
  </si>
  <si>
    <t>Begini Proses Pencabutan Kewarganegaraan WNI Eks Kombatan ISIS</t>
  </si>
  <si>
    <t>ADA APA DENGAN FADLI ZON Sempat terpikirkan kenapa Fadli Zon begitu ngeyel bersuara menginginkan eks WNI ISIS pulang ke Indonesia..? Ternyata Fadli Zon salah satu donatur untuk Pemberontakan ISIS di Suriah. #TindakTegasIntoleran</t>
  </si>
  <si>
    <t>Mahfud MD Tegaskan, Pemerintah Tak Mencabut Status WNI Pendukung ISIS</t>
  </si>
  <si>
    <t>KPAI lagi kepo ke pemerintah minta supaya mulangin anak-anak kombatan ISIS eks WNI. Lahhh, bukannya mereka dah stateless? RT @salahsambungya: Siswi disabilitas SMP dibully sampai luka lebam, Kepsek cuma bilang "diselesaikan kekeluargaan?" Lalu KPAI tutup mata dengan kejadian seperti ini? Penyelesaian secara kekeluargaan emangnya bisa bikin pembully jadi jera??</t>
  </si>
  <si>
    <t>Pemerintah Pertimbangkan Pemulangan Anak WNI Eks ISIS</t>
  </si>
  <si>
    <t>Nulisnya harus bener yah Eks WNI pro ISIS inget Eks WNI yg Pro ISIS Jangan Aneh2 lah, nggak usah di balikin, mereka sudah bahagia mengejar SORGA. #TolakAnakISISKembali</t>
  </si>
  <si>
    <t>WNI eks ISIS ditolak pulang TKA asing sipit pd pegang eKTP ??</t>
  </si>
  <si>
    <t>Yg mau menghancurkan NKRI pasti dukung kepulangan "eks ISIS" (katanya eks tp kan kita gak tau) . Bisa aja mereka mau bikin basis lbh besar di indonesia. #TindakTegasIntoleran #ISIS #WNIEksISIS</t>
  </si>
  <si>
    <t>Sak jané sing mbentuk kowé iku sopo tho bro...?? Terus tujuannya u/ apa...?? PT. DJARUM cari bibit unggul bulutangkis &amp; terbukti dapat mengharumkan bangsa ke kancah internasional,,,, kamu bubarkan. Sekarang kamu meributkan anak-anak teroris. Haduh....</t>
  </si>
  <si>
    <t>Alhamdulillah akhirnya Pemerintah memutuskan tidak memulangkan WNI eks ISIS maupun yang terlibat jaringan teroris lainnya di luar negeri. Hal ini berdasarkan keputusan rapat dengan Presiden Jokowi di Istana. #TindakTegasIntoleran #ISIS #WNIEksISIS</t>
  </si>
  <si>
    <t>MENCORENG NAMA BAIK NEGARA BENER BENER .KAYA GINI SEORANG BOCAH PETARUNG ISIS ASAL INDONESIA YANG MALU DAN JELEK NAMA SIAPA NEGARA KESATUAN REPUBLIK INDONESIA KAN .JADI GIMANA BISA DI AKUI LAGI WNI EKS KOMBATAN ISIS ???</t>
  </si>
  <si>
    <t>Jika benar, dah wajar jika kemarin ngotot supaya ISIS eks WNI dipulangkan. Tul kah @fadlizon ? RT @UKI_djayengrono: Benerkah ini @fadlizon ? Tolong klarifikasi anda Mei 2015 menyumbang utk Pergerakan di Suriah sebesar 20.000 USD ke HASI (Hilal Ahmar Society Indonesia) yg menyalurkan Dana ke Suriah.Dana tersebut diterima oleh ANGGA DIMAS yg ternyata ANGGA DIMAS adalah Anggota Al Qaeda</t>
  </si>
  <si>
    <t>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</si>
  <si>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Begini Proses Pencabutan Kewarganeraan WNI Eks Kombatan ISIS</t>
  </si>
  <si>
    <t>RT @jokowi: Empat dari 78 WNI awak kapal pesiar Diamond Princess yang berlabuh di Pelabuhan Yokohama, Jepang, dinyatakan positif terpapar virus korona. Mereka sudah dibawa ke rumah sakit setempat untuk dirawat sesuai protokol kesehatan WHO. Adapun 74 WNI tetap kita pantau.</t>
  </si>
  <si>
    <t>Ini anak2 ISIS ex WNI bukan WNI lagi! RT @WagimanDeep: Tenangkan hatimu wahai @KPAI_official urusan anak perempuan yang di buli di Purworejo kmaren pak @ganjarpranowo sudah langsung Gercep selesaikan...klean KPAI konsentrasi ke anak2 eks WNI pro ISIS saja kerna lebih banyak duitnya disitu,</t>
  </si>
  <si>
    <t>Bamsoet juga meminta pemerintah bisa menjamin WNI eks ISIS, terduga teroris, maupun kelompok teroris lainnya tidak masuk ke wilayah Indonesia. #WNIEksISIS</t>
  </si>
  <si>
    <t>KLB yang membantai warga pendatang di Papua... Menembaki wanita, polisi dibunuh lari tunggang langgang... Jokowi dan Mahfud adem ayem... Namun anak-anak, para wanita dari suami ISIS tidak pernah membantai, membunuh polisi ehhh dimusuhi. #BubarkanBPIP</t>
  </si>
  <si>
    <t>Kata Wapres Ma’ruf, Status Kewarganegaraan WNI Otomatis Hilang Saat Gabung ISIS</t>
  </si>
  <si>
    <t>WNI gabung ISIS bisa kehilangan kewarganegaraan secara otomatis</t>
  </si>
  <si>
    <t>Perundungan anak, pelecehan anak, yang akhir-akhir ini terjadi KPAI kemana ya? Ga kedengeran lantang selantang bela anak-anak isis eks WNI. 🤮</t>
  </si>
  <si>
    <t>gue 100000% mendukung #TolakAnakISISKembali ke Indonesia. mereka bukan lagi WNI ya, karena secara administrasi aja mereka udah dengan tolol dan rela hati buat membakar identitas diri demi gabung sama isis~ 👌🏻</t>
  </si>
  <si>
    <t>Pernyataan yg sangat tegas presiden pd menit 1:07 yaitu "ISIS eks WNI"... Jd tegas sudah bahwa 600 org yg ingin pulang ke NKRI 🇮🇩 bukanlah WNI eks ISIS melainkan ISIS eks WNI</t>
  </si>
  <si>
    <t>“Data yang disampaikan Menkopolhukam kita sumbernya dari CIA. Ini menunjukkan negara kita tidak kredibel. Seharusnya ngomong data dari BIN, bukan CIA,” tegas Gus Yaqut.</t>
  </si>
  <si>
    <t>Daripada lu ngurusin anak WNI eks Isis, mending lu urus dulu persoalan anak2 dalam negri yg lebih butuh 'perhatian'. @KPAI_official IQRA NIH IQRAAA GAUSAAA CAPEEEERRRRRRRRR RT @WagimanDeep: Tenangkan hatimu wahai @KPAI_official urusan anak perempuan yang di buli di Purworejo kmaren pak @ganjarpranowo sudah langsung Gercep selesaikan...klean KPAI konsentrasi ke anak2 eks WNI pro ISIS saja kerna lebih banyak duitnya disitu,</t>
  </si>
  <si>
    <t>Tegas beliau bilang "isis ex wni" jangan dibalik wni ex isis..seolah mereka masih warga negara indonesia #TolakAnakISISKembali RT @jr_kw19: Kata pak @jokowi pemerintah memiliki tanggung jawab atas keamanan 260juta penduduk Indonesia. Gw sih YES! #TolakAnakISISKembali</t>
  </si>
  <si>
    <t>Status WNI otomatis hilang saat bergabung ke ISIS, kata Wapres</t>
  </si>
  <si>
    <t>Kasih info dong om kepada KPK ... seandainya tau keberadaan Harun Masiku....</t>
  </si>
  <si>
    <t>Cepu Supriyanto: TEGAS! Tolak WNI Eks ISIS Pulang Ke Tanah Air , Bukti Presiden Jokowi Anti Radikalisme Dan Terorisme  #BersamaIndonesiaMaju #SDMUnggulIndonesiaMaju</t>
  </si>
  <si>
    <t>Mahfud Sebut Pemerintah Tak Mencabut Kewarganegaraan WNI Eks ISIS</t>
  </si>
  <si>
    <t>Yai menganggap ISIS adalah sebuah negara yg mengakibatkan seorang WNI kehilangan kewarganegaraan karena bergabung dg kelompok tersebut. Beginilah bila bukan ahlinya bicara ttg sebuah keputusan penting, asal jeplak saja ntar salah diralat.  via @tribunnews</t>
  </si>
  <si>
    <t>Tolak WNI Eks ISIS, Ini Jeritan Korban Serangan Teroris  via @YouTube</t>
  </si>
  <si>
    <t>Woiiii @KPAI_official masih yakin mau pulangin anak² eks WNI pro ISIS yg sudah dididik jd mesin pembunuh !!!! #TolakAnakISISKembali</t>
  </si>
  <si>
    <t>apakah anada sehat @KomnasHAM @KPAI_official?</t>
  </si>
  <si>
    <t>Malah mereka sibuk ngurusi anak ISIS EX WNI !! Kan ANEH !! RT @salahsambungya: Siswi disabilitas SMP dibully sampai luka lebam, Kepsek cuma bilang "diselesaikan kekeluargaan?" Lalu KPAI tutup mata dengan kejadian seperti ini? Penyelesaian secara kekeluargaan emangnya bisa bikin pembully jadi jera??</t>
  </si>
  <si>
    <t>Ini beritanya Istana: 689 WNI Eks ISIS Stateless</t>
  </si>
  <si>
    <t>PABRIK ANAK ANAK ISIS!!! do you understand? if not, i repeat.. PABRIK ANAK ANAK ISIS!!! ISIS CHILDREN'S FACTORY!!! jadi yakin nih mau pulangin bocah bocah eks WNI ISIS??? THINK TWICE PLEASE wahai penguasa! 🙏🙏🙏 RT @Je_Ly: Perhatikan baik2 video lama ini. Perempuan dianggap pabrik anak o/ ISIS. Dg tujuan apa? Jelas mereka butuh bibit2 yg melanjutkan aksi terorisme mereka. Skrg kita mau terima anak2 ISIS ex WNI? No way 😒 #TolakAnakISISKembali</t>
  </si>
  <si>
    <t>Trimakasih bpk @jokowi klo ni mentri masih bahas ISIS eks WNI jgn pake nunggu resufle pecat aja, krn dia sebagai bawahan tdk menghormati kebijakan bpk. RT @WahabisLokal: Lebih tepatnya loe kagak bole lagi sokor Ngejeplax. Menteri tukang bikin gaduh aja. #TolakAnakISISKembali</t>
  </si>
  <si>
    <t>Ingat ISIS Eks WNI Bukan WNI Eks ISIS, Presiden @jokowi : Pemerintah Tak Berencana Pulangkan Anggota ISIS Eks WNI Keterangan Pers, Istana Merdeka (12/2) #BersamaIndonesiaMaju #SDMUnggulIndonesiaMaju #JokowiMembangunIndonesia Cekidot Videonya Ni Dab!</t>
  </si>
  <si>
    <t>Mengapa Hanya Anak Mantan WNI Anggota ISIS yang Berpeluang Dipulangkan? Selengkapnya di  #PrimeTalkMetroTV #MetroTV</t>
  </si>
  <si>
    <t>#tolakanakisiskembali jangan lupakan kelakuan bengis WNI EKS ISIS #LawanRadikalisme FPI lingkaran ISIS</t>
  </si>
  <si>
    <t>Sebut Deradikalasi ISIS eks WNI Susah, Wapres Ma"ruf : Lebih Aman Tak Usah Pulangkan Mereka  via @tribunnews</t>
  </si>
  <si>
    <t>#tolakanakisiskembali Presiden @jokowi tidak perlu melakukan Ratas Terkait WNI EKS ISIS, karena mereka sudah keluar dari Kewarganegaraan Indonesia. #LawanRadikalisme FPI lingkaran ISIS</t>
  </si>
  <si>
    <t>#tolakanakisiskembali Gagal Masuk Surga, WNI EKS ISIS jangan be ani Pemerintah, #LawanRadikalisme #LawanRadikalisme FPI lingkaran ISIS</t>
  </si>
  <si>
    <t>Dari Discover di Google</t>
  </si>
  <si>
    <t>coba deh rumah pedeli zon si ikan buntel ini jadi rumah singgah ex wni isis, 3 bulan aja,supaya dia bisa ngecilin ferut buncitnya dan lambe-nya sedikit mengkeret agar gak tebal kayak empal kuro RT @ApriliaLin: Fadli Zon: Jangan sampe terorisme dibikin terus supaya ada anggaran nya terus. Fajroel: Nanti kita tanyakan kepada bapak Menteri Pertahanan Ngakak lagi-lagi Zonkkk 😂😂 #TolakAnakISISKembali</t>
  </si>
  <si>
    <t>#METROTVNEWSROOM "Presiden sudah berketetapan untuk menolak eks WNI kombatan ISIS. Saya kira itu sebuah kebijakan yang melegakan bagi semua pihak. Meskipun untuk anak-anak akan ada kajian lebih lanjut lagi." Zainut Tauhid, Wakil Menteri Agama. @Metro_TV</t>
  </si>
  <si>
    <t>Pemerintah tegas tdk akan memulangkan 689 org ISIS eks WNI demi keamanan 260jt rakyat Indonesia 👏👏👍👍👍 Dengar tuh pak @hnurwahid @MardaniAliSera jangan digoreng² lagi ya 😁🙏 Terima kasih pak @jokowi 🙏🙏🙏 #TolakAnakISISKembali</t>
  </si>
  <si>
    <t>ALASAN ISIS EKS WNI DILARANG KEMBALI KE INDONESIA !!</t>
  </si>
  <si>
    <t>Bambang Soesatyo mendukung keputusan pemerintah yang membatalkan rencana pemulangan WNI eks ISIS.</t>
  </si>
  <si>
    <t>Pemerintah Antisipasi Masuknya WNI Eks ISIS Lewat Jalur Tikus</t>
  </si>
  <si>
    <t>Kayak nya ISIS ex WNI perlu di ruqyah dengan cara seperti ini RT @satriafirlly_:</t>
  </si>
  <si>
    <t>#TegasMantul Presiden @jokowi : Cegah Tangkal ISIS Eks WNI  #BersamaIndonesiaMaju #SDMUnggulIndonesiaMaju #JokowiMembangunIndonesia</t>
  </si>
  <si>
    <t>Jelas ya.... EKS WNI !!!! Eks WNI pro ISIS !!! Jd tegas untuk #TolakAnakISISKembali #TolakAnakISISKembali #TolakAnakISISKembali #TolakAnakISISKembali #TolakAnakISISKembali #TolakAnakISISKembali #TolakAnakISISKembali #TolakAnakISISKembali #TolakAnakISISKembali</t>
  </si>
  <si>
    <t>Kepala Staf Presiden @GeneralMoeldoko Pastikan WNI Eks ISIS Jadi Stateless</t>
  </si>
  <si>
    <t>Mahfud MD mengatakan meski telah kehilangan status kewarganegaraannya, tetap ada prosedur administrasi yang harus dilalui WNI eks ISIS.</t>
  </si>
  <si>
    <t>Pemerintah drpd urus 660 org eks WNI pro ISIS mnding lindungi 267 jt org warga nya 😊😊</t>
  </si>
  <si>
    <t>GERAKAN PECAT FADLI ZONKOK DAN PENJARAKAN ADA APA DENGAN FADLI ZONKOK Sempat terpikirkan kenapa Fadli Zonkok begitu ngeyel bersuara menginginkan eks WNI kombatan ISIS pulang ke Indonesia. ..??? Ternyata Fadli Zonkok salah satu donatur untuk Pemberontakan ISIS di Suriah ===&gt;&amp;gt;</t>
  </si>
  <si>
    <t>KPAI sm PKS apa bedanya? Kadrun Pas Ada Itunya</t>
  </si>
  <si>
    <t>#TolakAnakISISKembali WNI EKS ISIS mereka punya cita2, sendiri, berdasarkan ideologi mereka yg sudah berbeda dengan pancasila, jadi biarkan mereka disana, BERJUANG DEMI CITA2 MEREKA. #LawanRadikalisme FPI lingkaran ISIS</t>
  </si>
  <si>
    <t>Aktivis Pertanyakan Tindak Lanjut Pemerintah Terkait WNI Eks ISIS</t>
  </si>
  <si>
    <t>Ingat ISIS Eks WNI Bukan WNI Eks ISIS, Presiden @jokowi : Pemerintah Tak Berencana Pulangkan Anggota ISIS Eks WNI  #BersamaIndonesiaMaju #SDMUnggulIndonesiaMaju #JokowiMembangunIndonesia</t>
  </si>
  <si>
    <t>Presiden PKS Minta Pemerintah Pulangkan-Bina Anak ISIS Eks WNI</t>
  </si>
  <si>
    <t>KPAI berengsek !! Buat apa ngurusi ISIS, apa mereka bagian dari ISIS ?</t>
  </si>
  <si>
    <t>Sampun... pak @jokowi 🙏 Pak bisa gak @Gerindra dikeluarkan dari koalisi ??? Gak bisa ya pak...😔 Maaf pak, sy tak mau yg sy tanya jadi beban baru 'tuk bapak.. Abaikan saja pak... 🙏 #TolakAnakISISKembali</t>
  </si>
  <si>
    <t>#TolakAnakISISKembali tolak PEMULANGAN mantan ISIS eks WNI ISIS. #LawanRadikalisme FPI lingkaran ISIS</t>
  </si>
  <si>
    <t>Mahfud jelaskan soal pencabutan kewarganegaraan WNI eks-ISIS - ANTARA News Aceh</t>
  </si>
  <si>
    <t>Semoga @fadlizon @MardaniAliSera dapat mengerti dan memahami isi video yg dibuat oleh ISIS agar tidak gagal faham menyikapi penolakan pemulangan ISIS eks WNI. RT @naqsya77: Sblm mrk membakar Paspor mrk telah bermaklumat bahwa hukum negeri ini adalah Thogut,Polri TNI mrk musuhi. Msh mau bela penghianat negara seperti agg ISIS itu? Trs si RS apa dia membakar paspor mbak @zarazettirazr?</t>
  </si>
  <si>
    <t>#TolakAnakISISKembali Haram Hukumnya Pulangkan EKS WNI PRO ISIS. #LawanRadikalisme FPI lingkaran ISIS</t>
  </si>
  <si>
    <t>Berhentikan saja.... jahat sekali. WNI ex ISIS pun belum tentu sejahat itu RT @ganjarpranowo: Akun sy dibanjiri kejadian di salah satu smp di butuh purworejo. Sy sdh telp kaseknya &amp; dia sdh urus. Polisi juga sdh menerima laporannya. Bsk saya minta pengawas sekolah &amp;amp; dinas utk turun agar bicara dg ortu anak2 itu. Pak Bupati Purworejo jg sdh sy kontak. --- Sayangi temanmu!</t>
  </si>
  <si>
    <t>KPAI: Negara Harus Hadir Lindungi Anak-anak WNI Eks ISIS, Mereka Korban  WOY LAH. LAGI NGELAWAK KELEN? @KPAI_official anak dpt biaya djarum diributin, dibilang eksploitasi, giliran kek gini aja kenceng cocotnya. 😂</t>
  </si>
  <si>
    <t>#TolakAnakISISKembali PPP Apresiasi keputusan pemerintah untuk tidak memulangkan WNI EKS ISIS #LawanRadikalisme</t>
  </si>
  <si>
    <t>Anak2 ISIS itu sdh tdk punya data diri krn paspornya dibakar,kalo RS mgk masih WNI jd kenapa hrs dicabut. RT @zarazettirazr: Apakah Status WNI RS akan dicabut? Setelah kasus kriminalitas Seksual dan hukumannya di Inggris? Ini yg sudah terjadi lo ya Sedangkan anak2 dan eks ISIS itu BELUM TERJADI sudah ngga mau diakui sbg WNI? Hanya bertanya</t>
  </si>
  <si>
    <t>ex WNI pengikut ISIS skrg spt habis ngepet gak bisa pulang.... lilinnya mati 🤦‍♂️ #TolakAnakISISKembali</t>
  </si>
  <si>
    <t>Status Stateless WNI Eks ISIS Bisa Disahkan Melalui Keppres</t>
  </si>
  <si>
    <t>Betul kata Gus Nuril: PKS FPI HTI ISIS itu segaris langsung maupun samar. Orang2 waras hrs waspada terus</t>
  </si>
  <si>
    <t>Ada kecurigaan kasus WNI ex ISIS &amp; ucapan ketua BPIP, utk menutupi kasus Jiwasraya &amp;amp; Harun Masiku - Hasto Krisyanto? 😏💭</t>
  </si>
  <si>
    <t>Gayus Lumbuun: Pengadilan yang Berhak Memutuskan Menolak WNI Eks ISIS.</t>
  </si>
  <si>
    <t>Pak Desmond bagaimana dengan yg terjadi di Gereja Surabaya jika korban adalah keluarga bapak? #TolakAnakISISKembali</t>
  </si>
  <si>
    <t>Pantesan sin zonk pengen banget ex WNI pro ISIS ini balik ke indonesia.. RT @AwlSyah: @RinjaniJB @jr_kw19 Menolak lupa Mantan Pimpinan DPR" yg mendonasikan dana 20.000 USD (setara Rp. 270 juta) utk mendukung Pergerakan di Suriah via HASI (Hilal Ahmar Society Indonesia) utk menyalurkan Dana ke IHH. LSM terbesar, pendukung Mujahid &amp; ISIS di Suriah,</t>
  </si>
  <si>
    <t>WNI eks ISIS Bisa Kehilangan Kewarganegaraan Jika Jokowi Terbitkan Keppres</t>
  </si>
  <si>
    <t>Mahfud Sebut Status WNI Eks ISIS Bisa Hilang Melalui Keppres</t>
  </si>
  <si>
    <t>PKS ini 11/12 dg Ikhwanul Muslimin di Suriah. IM adalah Oposisi pemerintah Suriah.. Ga heran PKS mau gulingkan pemerintah Indonesia yg sah lewat Mardani Ali Sera. #TolakAnakIsisKembali #TolakAnakIsisKembali #TolakAnakIsisKembali #TolakAnakIsisKembali</t>
  </si>
  <si>
    <t>Woi... dari pada urusin Anak2 Teroris ISIS ex WNI mending melindungi anak2 dari perudungan, penyiksaan orang tua, tidak melanjutkan sekolah didalam negri. #TolakAnakIsisKembali #TolakAnakIsisKembali #TolakAnakIsisKembali #TolakAnakIsisKembali</t>
  </si>
  <si>
    <t>Wkwkwk...lebih bahaya RS uni...rudalnya merusak 200 lelaki trauma seumur hidup...keluarga ex isis cuma korban kepala keluarga yg bodoh. Kasian anak-anaknya...okelah bapaknya ga usah jadi wni. Tapi anak istrinya jangan ikut dikorbankan. RT @zarazettirazr: Apakah Status WNI RS akan dicabut? Setelah kasus kriminalitas Seksual dan hukumannya di Inggris? Ini yg sudah terjadi lo ya Sedangkan anak2 dan eks ISIS itu BELUM TERJADI sudah ngga mau diakui sbg WNI? Hanya bertanya</t>
  </si>
  <si>
    <t>Wapres: Kita Masih Kaji Pemulangan Anak WNI Eks ISIS | #indonesia #viral &gt;&amp;gt;&amp;gt; Click</t>
  </si>
  <si>
    <t>Wapres, Status WNI Otomatis Hilang Saat Bergabung Dengan ISIS.</t>
  </si>
  <si>
    <t>Penjelasan DR. @IrmanputraSidin soal peran dan sikap Negara yang harusnya dilakukan terhadap eks-ISIS. PEMERINTAH TOLAK PEMULANGAN WNI EKS ISIS?? || BICARA KONSTITUSI - A. IRM...  via @YouTube</t>
  </si>
  <si>
    <t>Wapres tak ingin anak yang sudah terpapar paham radikal, suatu saat bisa muncul.</t>
  </si>
  <si>
    <t>ISIS ex WNI saja ditolak masuk RI, apalagi cuma virus corona</t>
  </si>
  <si>
    <t>Kalau WNI eks ISIS itu kaum LGBT Apakah akan dapat lebih banyak dukungan dr organisasi2 HAM dan LGBT 😆 dan penolakan bisa digeser ke isu diskriminasi gender? Hanya BERTANYA karena GA NGERTI 😆😆😆😆😆</t>
  </si>
  <si>
    <t>#TolakAnakISISKembali</t>
  </si>
  <si>
    <t>WNI ex ISIS, atau ISIS ex WNI, atau ex WNI ex ISIS ???</t>
  </si>
  <si>
    <t>Siapapun yg meawacanakan pengulangan WNI terorist ISIS, berarti simpati thd terorist dan itu bisa berarti bagian dari terorist. Cukup jelas bukan ?? RT @mochamadarip: Belain Teroris ISIS ex WNI, emang ada hubungan apa dg ISIS? #TolakAnak1sisKembali #TolakAnak1sisKembali</t>
  </si>
  <si>
    <t>Adakah celah hukum untuk memulangkan wni eks isis? Ada. Selama belum ada pasal yg secara khusus menyebutkan penghapusan kewarganegaraan bagi tindakan tsb, memulangkan mereka bukanlah hal yg mustahil.</t>
  </si>
  <si>
    <t>Warga isis - x WNI bukan tanggungjawab Indonesia lg #TolakAnakISISKembali</t>
  </si>
  <si>
    <t>Status kewarganegaraan ISIS eks WNI menjadi perdebatan. Menko Polhukam Mahfud Md angkat bicara.</t>
  </si>
  <si>
    <t>ternyata anggota ISIS rata2 dungu, gak punya malu  Minta pulang karena isis gagal,coba kalo isis berhasil minta pulang ga...kan gitu</t>
  </si>
  <si>
    <t>Sebenarnya pertanyaannya gampang saja, ketika anak-anak WNI eks ISIS itu difasilitasi oleh negara untuk pulang ke Indonesia, apakah KPAI punya jaminan bhw anak-anak tersebut tdk terkontaminasi lagi dengan paham ISIS? Jika tidak, maka sebaiknya KPAI diam!!</t>
  </si>
  <si>
    <t>#TolakAnakISISKembali pemerintah memutuskan tidak memulangkan WNI EKS ISIS ataupun yg terlibat jaringan jaringan teroris lainnya diluar negeri. #LawanRadikalisme beserta para pendukungnya.</t>
  </si>
  <si>
    <t>Jangan sampai keputusanmu hari ini membuatmu menyesal nanti ya...</t>
  </si>
  <si>
    <t>Eks wni pro isis: tolong pulangkan kami !!! Pemerintah: I don't fck with you 😎 #TolakAnakISISKembali</t>
  </si>
  <si>
    <t>Apakah Status WNI RS akan dicabut? Setelah kasus kriminalitas Seksual dan hukumannya di Inggris? Ini yg sudah terjadi lo ya Sedangkan anak2 dan eks ISIS itu BELUM TERJADI sudah ngga mau diakui sbg WNI? Hanya bertanya</t>
  </si>
  <si>
    <t>#TolakAnakISISKembali pengamat politik: apresiasi keputusan tepat pemerintah Indonesia Menolak PEMULANGAN WNI EKS ISIS #LawanRadikalisme beserta para pendukungnya</t>
  </si>
  <si>
    <t>Alasan Pemerintah Tak Pulangkan WNI Eks Kombatan ISIS Versi Ma'ruf Amin | Kabar24 -</t>
  </si>
  <si>
    <t>Cara penulisan yang benar WNI eks-ISIS ❌ ISIS eks-WNI ✅ Salah sendiri bakar paspor</t>
  </si>
  <si>
    <t>Mantap pak dhe @jokowi jangan biarkan eks wni isis masuk Indonesia karena sangat mengancam kedaulatan #NKRIHargaMati #TindakTegasIntoleran RT @Metro_TV: Pemerintah RI berketetapan tidak memulangkan mantan WNI yang bergabung dengan ISIS di Suriah Dan negara lain. Kepada 689 orang itu bahkan dikenakan status tangkal memasuki wilayah kedaulatan NKRI. #PrimeTalkMetroTV #MetroTV</t>
  </si>
  <si>
    <t>PKS suwe suwe nggethingi... Karepé apa kok yaa ngotot nemen mbalikin EX WNI Pro ISIS maring Indonesia... 🤔🤔</t>
  </si>
  <si>
    <t>Sempat Ngotot Minta WNI Eks ISIS Dipulangkan, Kini PKS Justru Balik Haluan</t>
  </si>
  <si>
    <t>Ada risiko yang harus pemerintah waspadai &amp; antisipasi, yaitu gugatan hukum dari anggota keluarga 689 orang mantan WNI kombatan ISIS di Suriah yang sedang menghadapi ancaman hukuman penjara seumur hidup. Belum lagi aksi teror dari simpatisan ISIS di dlm negeri. #PrimeTalkMetroTV</t>
  </si>
  <si>
    <t>WNI Eks ISIS Ditolak Pulang ke Indonesia, PKS: Biarkan Mereka Ditangani PBB</t>
  </si>
  <si>
    <t>Mahfud MD: Pemerintah tidak Mencabut Status WNI Eks ISIS</t>
  </si>
  <si>
    <t>Pntezzz @fadlizon ~ mati2an mo mulangin isis ex wni.... Rupanyaaa.... RT @UKI_djayengrono: Benerkah ini @fadlizon ? Tolong klarifikasi anda Mei 2015 menyumbang utk Pergerakan di Suriah sebesar 20.000 USD ke HASI (Hilal Ahmar Society Indonesia) yg menyalurkan Dana ke Suriah.Dana tersebut diterima oleh ANGGA DIMAS yg ternyata ANGGA DIMAS adalah Anggota Al Qaeda</t>
  </si>
  <si>
    <t>Pemerintah menolak pulangkan mantan WNI anggota ISIS di Suriah &amp; negara lain. Pemerintah juga memiliki pertimbangan kemanusiaan, khusus bagi yatim piatu &amp;amp; berusia kurang dari 10 tahun anak para mantan WNI anggota ISIS, dibukakan peluang dipulangkan ke Indonesia. #PrimeTalkMetroTV</t>
  </si>
  <si>
    <t>#TolakAnakISISKembali pemerintah punyak opsi tidak memulangkan WNI EKS ISIS #LawanRadikalisme</t>
  </si>
  <si>
    <t>Pemerintah RI berketetapan tidak memulangkan mantan WNI yang bergabung dengan ISIS di Suriah Dan negara lain. Kepada 689 orang itu bahkan dikenakan status tangkal memasuki wilayah kedaulatan NKRI. #PrimeTalkMetroTV #MetroTV</t>
  </si>
  <si>
    <t>MUI Jabar Apresiasi Keputusan Pemerintah Tak Pulangkan WNI Eks ISIS #TauCepatTanpaBatas #BeritaTerkini .</t>
  </si>
  <si>
    <t>Pak @jokowi eks ISIS sudah bukan WNI..otomatis anak anak mereka juga bukan WNI lagi,dan demi KEMANAN NASIONAL ,maka MEREKA harus di TOLAK KEMBALI KE INDONESIA.termasuk anak anak nya..sangat berbahaya bagi 260jt wni disini pak,</t>
  </si>
  <si>
    <t>Stafsus Milenial Jokowi Sepakat Tak Pulangkan WNI Eks ISIS</t>
  </si>
  <si>
    <t>Nasib WNI eks-ISIS: Moeldoko Sebut Stateless, Mahfud Bilang Belum Ada Pencabutan Kewarganegaraan</t>
  </si>
  <si>
    <t>1. Mari kita belajar lagi sejarah bangsa. Konon, dosa pernah jadi warisan yang diberikan kepada anak cucu yg terlibat PKI. Adakah persamaan dalam kasus anak WNI eks ISIS? #TolakAnakISISKembali? #KPAI #ISIS #HAM</t>
  </si>
  <si>
    <t>Di bungkam karena Dungu.!</t>
  </si>
  <si>
    <t>TNI &amp; POLRI harus Kita Bantu dgn sekuat tenaga untuk mewaspadai para pro eks WNI isis ,negara sudah darurat terorisme, Radikalisme Dan Intoleransi. Mari rapatkan barisan jaga NKRI Tercinta.</t>
  </si>
  <si>
    <t>Saya sepakat dgn Ngabalin di @akimalam_tvone bahwa Pemerintah dlm tujuan tertentu bisa mengeksekusi hukum layaknya membubarkan HTI pd tahun2 lalu. Status kewarganegaraan Anggota ISIS Eks WNI dinyatakan otomatis gugur bila sdh berperang utk asing, mk tak perlu pengadilan.</t>
  </si>
  <si>
    <t>Another honest title: Editorial, Kami mendukung kepulangan ISIS ex WNI ke Indonesia Stopla innuendo innuendo kaya begini RT @TirtoID: Keputusan pemerintah tidak memulangkan WNI eks ISIS menuai sorotan dari pelbagai pihak. Salah satunya menyebut pemerintah membiarkan warganya kehilangan kewarganegaraan atau stateless.</t>
  </si>
  <si>
    <t>Soal pemulangan Wni ex Isis di tolak..dgn alasan babibu.. lalu kenapa OPM yg mau kembali ke NKRI sdangkan yg ex ISIS ga boleh ? Lalu apa gunanya gaji org org tolol di BPIP kalo tra bisa kasi kembali Ideologi Pancasila ke mereka ? Apa karna ada label berbau islam di ISIS ?</t>
  </si>
  <si>
    <t>Jadi gini Ada eks ISIS yg minta pulang ditolak krn berbagai hal ngga dianggap WNI lagi Ada Yg mau refendrum ga dikasih dipaksa jadi WNI Apakah salah jalan pikiranku?</t>
  </si>
  <si>
    <t>Prof Gayus Lumbun...@tvOneNews jangankan bakar Paspor...bakar rumahpun mereka harus diadili! Prof Gayus mendukung proses hukum WNI ex ISIS!</t>
  </si>
  <si>
    <t>Saya sarankan bagi mereka yang ngotot memulangkan eks WNI pro isis, silahkan kalian pergi kesana ikut jadi satu dgn mereka. NKRI gak butuh kalian yg hanya Akan merusak Dan membahayakan NKRI . #</t>
  </si>
  <si>
    <t>Ace mengatakan meski masih anak-anak bukan berarti belum terpapar virus terorisme. Menurutnya, dalam memori pikiran anak tersebut bisa saja sudah tertanam tentang terorisme ISIS. #ISIS</t>
  </si>
  <si>
    <t>Ya sudah, yg pengin ex wni isis pulang jemput sendiri sana.</t>
  </si>
  <si>
    <t>Jika status WNI dicabut tentu akan ada proses hukumnya.</t>
  </si>
  <si>
    <t>Ini salah satu CONTOH dimana sekian Eks WNI ISIS kl pulang ke Indonesia pasti masuk dari tv program satu ke tv program lain. curcol panjang lbr kmudian nangis2 dan kita sedih mendengarnya..😪 RT @Je_Ly: Perhatikan baik2 video lama ini. Perempuan dianggap pabrik anak o/ ISIS. Dg tujuan apa? Jelas mereka butuh bibit2 yg melanjutkan aksi terorisme mereka. Skrg kita mau terima anak2 ISIS ex WNI? No way 😒 #TolakAnakISISKembali</t>
  </si>
  <si>
    <t>Pemerintah Diminta Peduli WNI Eks ISIS di Bawah Umur</t>
  </si>
  <si>
    <t>Mendingan ngurus anak yatim daripada anak" isis eks wni #TolakAnakISISKembali</t>
  </si>
  <si>
    <t>Jika bermodalkan kasihan saya persilakan anda ke Suriah !! Dan asuh mereka jadikan mereka anak anda dn bl perlu bawa kroni2 anda yg mrasa kasian !!! #TerorisLayaknyaMampus #PendukungTerorisAdalahTeroris #AwasAntek2ISIS</t>
  </si>
  <si>
    <t>Jangan beri ruang sedikitpun anak2 kombatan ISIS masuk ke indonesia, KPAI: Negara Harus Lindungi Anak-anak WNI Eks ISIS #TolakAnakISISKembali</t>
  </si>
  <si>
    <t>Soal ISIS Eks WNI, Desmond Minta Peran Aktif Pemerintah</t>
  </si>
  <si>
    <t>Wapres Soal Status WNI eks ISIS: Mereka yang Lepas Kewarganegaraan Indonesia</t>
  </si>
  <si>
    <t>Terkait WNI Eks ISIS, Maruf Amin: Mereka Sudah Bukan Warga Negara Indonesia #TauCepatTanpaBatas #BeritaTerkini #Berita #News #BeritaNasional .</t>
  </si>
  <si>
    <t>Detik nulisnya bener nih, "ISIS eks WNI" RT @detikcom: Presiden PKS Sohibul Iman meminta pemerintah memulangkan anak-anak ISIS eks WNI. Anak-anak itu, menurut Sohibul, dapat dibina di Indonesia. #PKS #ISIS</t>
  </si>
  <si>
    <t>Beginilah kalau manusia miskin nalar. Zonky kami tegas menolak isis mantan WNI, ga usah diperpanjang lagi, atau kalau ente mau silahkan gabung dgn mereka saja. Kami ikhlas kok kehilangan 1 orang fadli zon RT @jr_kw19: Sangat disayangkan knp fadli zon begitu ngototnya menginginkan Anak2 eks WNI pro ISIS dipulangkan Wooiii ... ngapain buang waktu Biaya,tenaga, ngurus bibit teroris apa gak ada kerjaan apah .. #TolakAnakISISKembali</t>
  </si>
  <si>
    <t>demi keamanan dan kedamaian indonesia, keputusan pemerintah tidak memulangkan anggota ISIS eks WNI ke indonesia merupakan keputan yang tepat agar mencegah gangguan keamanan dan kedamaian di indonesia. isis itu teroris, teroris itu tidak mengenal kemanusiaan. @jokowi @KSPgoid</t>
  </si>
  <si>
    <t>TVONE membahas Pemulangan WNI eks ISIS KOMPAS TV juga sama</t>
  </si>
  <si>
    <t>Terbilak bilak sdh......... KPAI: Negara Harus Hadir Lindungi Anak-anak WNI Eks ISIS, Mereka Korban</t>
  </si>
  <si>
    <t>Pemerintah memutuskan tidak akan memulangkan WNI mantan ISIS - more at  #Indonesia Pemerintah Indonesia sudah memutuskan untuk tidak memulangkan 689 WNI yang menjadi mantan anggota ISIS ke Indonesia. Berita ini telah diputuskan ada rapat kabinet tert...</t>
  </si>
  <si>
    <t>PKS Dorong Pemerintah Pulangkan Anak-anak WNI Eks ISIS: Beri Mereka Pendidikan - &gt;&amp;gt;&amp;gt;&amp;gt;&amp;gt;Mau direkrut jadi kader atau bagaimana ? ⁦@PKSejahtera⁩ ; ⁦@maspiyuuu⁩ ; ⁦@mas_piyuuu⁩ ; ⁦@mas__piyuuu⁩</t>
  </si>
  <si>
    <t>Cegah Tangkal perintah Jokowi ke Dirjen Imigrasi... #TolakAnakIsisKembali #TolakAnakIsisKembali #TolakAnakIsisKembali #TolakAnakIsisKembali</t>
  </si>
  <si>
    <t>Sohibul Iman &amp; PKS mendorong pemerintah pulangkan anak2 ISIS krn menyimpan agenda penting. Wajib diwaspadai. Sohibul &amp;amp; PKS mendukung pemulangan anak2 ISIS Ex-WNI krn ingin merekrut utk memanfaatkan radikalisme mereka?? #TolakAnakISISKembali</t>
  </si>
  <si>
    <t>ISIS eks WNI ga bole kembali. Yg anak2 pun sebenernya tanggung jawab orang tua, bukan negara. Secara hierarki juga masa iya negara mau rebut mereka dari orang tuanya. #TolakAnakISISKembali</t>
  </si>
  <si>
    <t>Kalau saya bilang saya ex SMA, maka apakah saya sekarang masih SMA? Tidak. Kalau dulunya WNI dan sekarang ex WNI, apakah sekarang masih WNI? Nannaya menjadi ex WNI. Kalau presiden jokowi bilang Isis ex WNI, maka dulunya WNI sekarang bukan WNI lagi.</t>
  </si>
  <si>
    <t>..Yukk pulangkan 30 anak saja, biar tinggal serumah dgn ⁦@kpai &amp; @fadlizon⁩ hehe.. KPAI: Negara Harus Hadir Lindungi Anak-anak WNI Eks ISIS, Mereka Korban</t>
  </si>
  <si>
    <t>Sekali lagi ingat ya.... ISIS itu EKS WNI dan bukan WNI eks ISIS. Jgn kebolak balik ya !!! #TolakAnakISISKembali</t>
  </si>
  <si>
    <t>eks WNI warga ISIS. jadi tuh anaknya gak bisa juga dibawa balik Indonesia, secara ortunya aja dah eks WNI. banyak juga yg lahirnya di luar Indonesia.</t>
  </si>
  <si>
    <t>pertanyaan buat @KomnasHAM &amp; @KPAI_official . disaat eks wni di isis melakukan kekejaman dan kontak senjata serta mengancam lewat video, adakah dr klian dua lembaga negara ini menuntut mereka melakukan kejahatan ham&amp;amp;kejahatan terhadap anak2 ?</t>
  </si>
  <si>
    <t>Dua orang wanita warga negara Indonesia (WNI) dilaporkan dijatuhi hukuman penjara di Singapura, setelah mereka terbukti menjadi donatur ISIS. Kedua WNI tersebut bekerja sebagai asisten rumah tangga di Singapura.</t>
  </si>
  <si>
    <t>Sebut Indonesia Sesat, PBNU Tolak Wacana Pemulangan WNI Eks ISIS #TolakAnakISISKembali</t>
  </si>
  <si>
    <t>Harus dipahami mana yg korban mana yg 'Jihad' bela ISIS..! Jangan samakan Korban yg biasa ditangani oleh LPSK dengan istri dan anak2 dari eks ISIS. #TolakAnakISISKembali</t>
  </si>
  <si>
    <t>RT @abcaustralia_id: WNI Kru Kapal Pesiar Diamond Princess menitipkan melalui @abcaustralia_id video yang ditujukan kepada Presiden @jokowi. Para kru meminta pemerintah Indonesia segera menjemput mereka dari Yokohama, Jepang.</t>
  </si>
  <si>
    <t>Itu lebih baik daripada bikin gaduh melulu.. Serahkan Ahlinya.. #TolakAnakISISKembali</t>
  </si>
  <si>
    <t>Penjelasan Istana Soal Kalimat Jokowi ‘ISIS Eks WNI’: Presiden Hanya Konsisten</t>
  </si>
  <si>
    <t>Kami dorong bapak2 yang terhormat ini untuk membimbing, memberi pendidikan dan mengayomi anak2 ini di Suriah #TolakAnakISISKembali</t>
  </si>
  <si>
    <t>Dicabut kok kewarganegaraan Indonesia teroris isis. Kan disebut presiden ex WNI. Kalau ex berarti dulunya warga negara Indonesia. Maka karena presiden sebut ex WNI maka BUKAN WNI lagi</t>
  </si>
  <si>
    <t>Sudah jgn banyak argumen lagi pukul palu Thok tidak ada tempat lg buat ISIS eks WNI untuk kembali ke tanah air.... TITIK ##TolakAnakISISKembali</t>
  </si>
  <si>
    <t>Mau pancasila musuh agama kek..! Mau pulangkan WNI eks ISIS kek..! Buat sy hanya satu.. Tangkap Para KORUPTOR mereka adalah #BangsatBangsa 🤬🤬</t>
  </si>
  <si>
    <t>Baru tahu kalo KPAI itu singkatannya Komisi Perlindungan Anak ISIS</t>
  </si>
  <si>
    <t>Pemerintah Tolak Kepulangan ISIS eks WNI Ada 3 Alasan 1.menjamin rasa aman&amp;nyaman bagi 267 warga negara Yg hidup di Indonesia.  memulangkan pejuang kombatan yg tergabung dlm FTF di beberapa negara 3 mengenai pendataan para FTF #TolakAnakISISKembali</t>
  </si>
  <si>
    <t>Ada dg @tvOneNews trs menerus mempertanyakan keputusan pemerintah menolak kembalinya WNI eks ISIS ke indonesia?</t>
  </si>
  <si>
    <t>Gini jadi makin yakin kalo kpa* tu ga fungsi..... Paan sih lu...urusan dalam negeri aja g bs nanganin...cari muka sm ex. WNI....caper ya..mo jd presiden?? Iya??? Cari dukungan???</t>
  </si>
  <si>
    <t>ISIS = eks WNI.</t>
  </si>
  <si>
    <t>Status Kewarganegaraan ISIS eks WNI, Moeldoko: Stateless</t>
  </si>
  <si>
    <t>Pemerintah tegas menolak memulangkan 600 an WNI yg tlh bergabung dg ISIS dg alsan melindungi 276 juta rakyat Indonesia. #TolakAnakISISKembali Jahatnya tujuan isis &amp; rangkaian teror di Indonesia</t>
  </si>
  <si>
    <t>Waspadalah.... Waspadalah!!! Ex WNI ISIS ternyata sudah mbrobol masuk Indonesia lewat jalur tidak resmi. #TolakAnakISISKembali</t>
  </si>
  <si>
    <t>Serem ngeri #TolakAnakISISKembali BBC News Indonesia - Pemulangan WNI eks ISIS: Dikhawatirkan bawa 'virus terorisme' baru</t>
  </si>
  <si>
    <t>Anggota ISIS mantan warga negara, bukan kewajiban kita. Hikmahanto Juwana Guru Besar Hukum Internasional UI, Sepakat makanya Pemerintah harus konsisten menolak ISIS eks WNI kembali ke tanah air. #TolakAnakISISKembali</t>
  </si>
  <si>
    <t>BNPT: ada 4 orang dari ratusan WNI yang dideradikalisasi ternyata KEMBALI BERAKSI, termasuk dalam kasus bom Surabaya. Tuuh, kan terbukti ! Deradikalisasi ISIS itu tidak perlu. Untuk itu pemerintah tegas saja, putuskan tanpa kompromi #TolakAnakISISKembali</t>
  </si>
  <si>
    <t>Poin 7. Pemerintah secara resmi tidak akan memulangkan WNI eks ISIS. #TolakAnakISISKembali</t>
  </si>
  <si>
    <t>Indonesia sdh gada hubnya lagi dgn exISIS! Ngapain kok diributkan lagi! Apa hub ISIS dgn PKS kok ngotot amat mau pulangin? 🤷🏻‍♂️ PKS Dorong Pemerintah Pulangkan Anak-anak WNI Eks ISIS: Beri Mereka Pendidikan</t>
  </si>
  <si>
    <t>Lebih tepatnya loe kagak bole lagi sokor Ngejeplax. Menteri tukang bikin gaduh aja. #TolakAnakISISKembali</t>
  </si>
  <si>
    <t>Presiden PKS Minta Pemerintah Pulangkan-Bina Anak ISIS Eks WNI -</t>
  </si>
  <si>
    <t>Perhatikan baik2 video lama ini. Perempuan dianggap pabrik anak o/ ISIS. Dg tujuan apa? Jelas mereka butuh bibit2 yg melanjutkan aksi terorisme mereka. Skrg kita mau terima anak2 ISIS ex WNI? No way 😒 #TolakAnakISISKembali</t>
  </si>
  <si>
    <t>Polemik WNI Eks ISIS, Moeldoko: Mereka sudah Hilang Kewarganegaraan</t>
  </si>
  <si>
    <t>Lebih Baik Para Pendukung Pemulangan ISIS ke Indonesia Itu di Kirim Ke Suriyah Untuk Babunya ISIS Ex WNI</t>
  </si>
  <si>
    <t>Yass👍 Tindakan tegas pemerintah atas kemungkinan pulangnya ISIS ex WNI ke Indonesia. "Paspor diblokir. Begitu disampaikan daftar nama itu ke Kementerian Hukum dan HAM, langsung blokir," kata @mohmahfudmd. Termasuk #TolakAnakISISKembali ya pak 🙏</t>
  </si>
  <si>
    <t>Terbalik Min Isis Eks WNI RT @mediaindonesia: PKS Apresiasi Pemerintah tidak Pulangkan WNI Eks IS</t>
  </si>
  <si>
    <t>Wakil Ketua Komisi III DPR RI Minta Jokowi Pulangkan Anak-anak WNI eks ISIS  #jitunews #mikir</t>
  </si>
  <si>
    <t>Terkait masalah WNI eks ISIS, Politikus PKS Nasir Djamil meminta pemerintah memberikan perlakuan berbeda terhadap anak-anak dan perempuan. #WNIEksISIS</t>
  </si>
  <si>
    <t>Apa harus anak2 eks WNI kombatan ISIS nantinya negara yg pelihara. Masih banyak masalah pekerjaan rumah pemerintah yg belum tuntas. Jadi tolak memulangkan anak2 kombatan ISIS. Jangan nuruti @msi_sohibuliman politikus PKS yg mendukung khilafah. #TolakAnakISISKembali RT @andy_nomicin: Sohibul meyakini anak-anak WNI eks ISIS itu bisa kembali menjadi anak-anak yang normal, salah satunya dengan diberikan pendidikan yang layak. Banyak anak2 di Negeri ini yg masih layak dididik, ketimbang anak2 eks ISIS. #TolakAnakISISKembali</t>
  </si>
  <si>
    <t>689 WNI kombatan ISIS meminta pulang ke Tanah Air, silang pendapat dari sejumlah pihak pun bergulir. Mengapa akhirnya pemerintah menolak pulangkan mereka? Selengkapnya di #SpecialReportMetroTV "Tolak Kombatan ISIS" malam ini, Kamis (13/2) pukul 22.05 WIB di @Metro_TV</t>
  </si>
  <si>
    <t>Boleh disimak, fakta fakta WNI eks ISIS: #TolakAnakISISKembali</t>
  </si>
  <si>
    <t>Presiden PKS Minta Pemerintah Pulangkan-Bina Anak ISIS Eks WNI #TolakAnakISISKembali</t>
  </si>
  <si>
    <t>Menag Tak Boleh Lagi Komentari Kepulangan WNI Eks ISIS. Wacana pemulangan WNI eks kombatan ISIS tersebut berawal saat Fachrul Razi menyebut Badan Nasional Penanggulangan Terorisme (BNPT) bakal memulangkan 600 warga negara Indonesia yang tergabung dalam ISIS dari Timur Tengah</t>
  </si>
  <si>
    <t>Si Padi Zonk berjuang Keras untuk Memulangkan ISIS ex WNI ke Indonesia. Jadi Hati hati pada Serangan Hama Padi ini</t>
  </si>
  <si>
    <t>Wapres Sebut Status WNI Otomatis Hilang Saat Gabung ke ISIS | #indonesia #viral &gt;&amp;gt;&amp;gt; Click</t>
  </si>
  <si>
    <t>Saran yg tdk patut didengar. Ngurus Kadrun aja uda kalang kabut ditambah lagi mau import mesin2 pembunuh (ISIS).</t>
  </si>
  <si>
    <t>Kira² kalau loe @MardaniAliSera yg ke suriah aja gimana?? Eh loe kira ideologi yg dah melekat pada mrk apalagi yg terdoktrin sejak anak² bisa bgt saja dirubah, TIDAK!!! #TolakAnakISISKembali</t>
  </si>
  <si>
    <t>Dengan Banyaknya Dukungan Agar Anggota ISIS ex WNI dipulangkan adalah Sebagai Bukti betapa Banyaknya Simpatisan ISIS di Indonesia secara Diam diam</t>
  </si>
  <si>
    <t>Tolak WNI eks ISIS demi keselamatan bangsa Indonesia dari virus radikalisme #TolakISISdemiRakyat</t>
  </si>
  <si>
    <t>Wakil Presiden Ma'ruf Amin menegaskan, para WNI terduga teroris pelintas batas maupun eks ISIS telah membuat status kewarganegaraan mereka lepas.</t>
  </si>
  <si>
    <t>Tabe. Tentang perundungan yang viral beberapa waktu terakhir, mereka ngemeng juga ga?</t>
  </si>
  <si>
    <t>WNI eks ISIS yang di bawah 10 tahun dan yatim piatu dipertimbangkan bisa pulang karena kemanusiaan.</t>
  </si>
  <si>
    <t>Ada kalanya oposisi sepakat dengan Pemerintah Soal WNI Eks ISIS, Politikus PKS Hidayat Sepakat dengan Keputusan Presiden Jokowi</t>
  </si>
  <si>
    <t>Pemulangan Anak-anak ISIS Eks WNI Adalah Bom Waktu #TolakAnakISISKembali itu yang terbaik jangan sampai indonesia membesarkan mesin” pembunuh berdarah dingin</t>
  </si>
  <si>
    <t>Anak-anak Eks WNI Pro ISIS yg katanya akan dipulangkan adalah anak2 usia dibawah 10 tahun dan tdk terkait kegiatan. Sedangkan kita tau anak usia 5 tahun saja sdh diajarkan cara mencabik boneka. Lalu mau pulangkan anak yg mana ?</t>
  </si>
  <si>
    <t>Pak @jokowi apakah masih punya keinginan memulangkan anak² ISIS eks WNI..?? Mending mengurus anak² yatim di panti asuhan yg ada di pelosok² NKRI.. #TolakAnakISISKembali</t>
  </si>
  <si>
    <t>Maaf, Pak Presiden. Tidak ada pengecualian bagi anggota ISIS eks WNI untuk kembali ke Indonesia. Tolong ingat, berapa banyak nyawa WNI akan dipertaruhkan, jika mereka kembali ke Indonesia. 🙏 RT @jokowi: Kita memang masih memberi peluang untuk yatim, yatim piatu, yang masih anak-anak di bawah 10 tahun. Tapi kita belum tahu apakah ada atau tidak ada. Semua akan terlihat setelah proses identifikasi dan verifikasi nantinya.</t>
  </si>
  <si>
    <t>Knapa KPAI lbh memikirkan anak2 ISIS dibandingkan anak2 audisi PB Djarum. Mohon dijawab @KPAI_official</t>
  </si>
  <si>
    <t>Pemulangan Anak-anak ISIS Eks WNI Adalah Bom Waktu #PDIPerjuangan</t>
  </si>
  <si>
    <t>Presiden Tegaskan Tak Berencana Pulangkan ISIS Eks WNI #PDIPerjuangan</t>
  </si>
  <si>
    <t>🤔 KPAI: Negara Harus Hadir Lindungi Anak-anak WNI Eks ISIS, Mereka Korban</t>
  </si>
  <si>
    <t>Cuitan Presiden sudah sangat jelas menyebutkan ' para anggota ISIS eks WNI ' artinya presiden sebagai kepala negara dan bertindak sebagai pemerintah sudah tidak mengakui mereka sebagai WNI paham ya teman teman #TolakAnakISISKembali #TolakEksWNIproISIS</t>
  </si>
  <si>
    <t>ISIS Eks WNI Pengkhianat, Penolakan Pemerintah Diapresiasi #PDIPerjuangan</t>
  </si>
  <si>
    <t>Bapak kau jemping2</t>
  </si>
  <si>
    <t>Yg dilatih Djarum buat jadi atlit berprestari di ributin, yg dilatih teroris di bela. Woii u sehat kan</t>
  </si>
  <si>
    <t>Soal WNI Eks ISIS, Politikus PKS Hidayat Sepakat dengan Keputusan Presiden Jokowi</t>
  </si>
  <si>
    <t>SYA KIRA JOKOWI MNGAMBIL KPUTUSAN ITU YG PLING TPAT. PENGACARA TEAM PEMBELA MUSLIM SBUT KPUTUSAN JOKOWI TOLAK PULANGKN WNI EKS MUSLIM ITU TDK TPAT. MSIH AMBIVALEN. 😏 Ahmad Michdan Sbut Kputusn Jokowi Tlak Plangkn WNI Eks ISIS Itu Tdk Tpat: Msh Ambivalen</t>
  </si>
  <si>
    <t>Bamsoet Dukung Keputusan pemerintah Soal Pembatalan Pemulangan WNI Eks ISIS</t>
  </si>
  <si>
    <t>PKS SEPAKAT DENGAN PRESIDEN JOKOWI TAK PULANGKAN WNI EKS ISIS. #TauCepatTanpaBatas</t>
  </si>
  <si>
    <t>PEMERINTAH TOLAK PULANGKAN WNI EKS ISIS, KOMISI III DPR NILAI SUDAH TEPAT. #TauCepatTanpaBatas</t>
  </si>
  <si>
    <t>"Mereka kan udah bakar paspor.." adalah bias nasionalisme banal yang mengkoridori bagaimana topik ini dibicarakan. Sentimen nasionalisme yang diartikulasikan secara dangkal dan kelewat lugu~</t>
  </si>
  <si>
    <t>Ketum PBNU, Kiai Said: Pemulangan WNI eks ISIS Hanya Ciptakan Kegaduhan Kedaulatan NKRI</t>
  </si>
  <si>
    <t>Wakil Ketua MPR RI Hidayat Nur Wahid sepakat dengan keputusan Presiden Jokowi tidak memulangkan ratusan WNI eks ISIS dari Timur Tengah. #MPRRI</t>
  </si>
  <si>
    <t>PP Muhammadiyah menilai kombatan ISIS eks WNI yang masih ingin pulang ke Indonesia perlu difasilitasi. WNI yang setia Pancasila bisa kembali dengan syarat.</t>
  </si>
  <si>
    <t>Termasuk @KomnasHAM @KPAI_official @kpp_pa @BNPTRI @Kemenag_RI yg NGOTOT mau pulangkan eks WNI kombatan ISIS ya,,, Cc. @jokowi @mohmahfudmd @Kiyai_MarufAmin @Kemenkumham_RI ➡️ ➡️ ➡️ Yang Dukung Pulangkan Eks-ISIS adalah Penghianat! | Politik</t>
  </si>
  <si>
    <t>WNI Eks ISIS Bongkar Perlakukan Tak Manusiawi ISIS: Wanita Jadi Pabrik Anak, Banyak Buat Janji Palsu</t>
  </si>
  <si>
    <t>Ketua Komisi Perlindungan Anak Indonesia (KPAI), Susanto menyebut negara harus hadir untuk memberikan perlindungan khusus lantaran anak hanyalah menjadi korban.</t>
  </si>
  <si>
    <t>kenapa BBC bahas WNI aja, yang jumlah nya 600an dari 68.000 pengungsi eks ISIS di kamp Al-Hol, gak sampe 1% nya.. yang Inggris, Rusia, Perancis, Australia? kurang bahan ya? gak ada teroris di Indonesia gak rame kayaknya ya RT @BBCIndonesia: "Orang tua saya dan saudara-saudara saya sudah meninggal ... Saya tak tahu mau ke mana. Saya akan bertahan di sini," kata anak Indonesia yang mengaku bernama Yusuf kepada wartawan BBC di kamp Al-Hol, Suriah.</t>
  </si>
  <si>
    <t>Wah.. Luar biasa kebijakan bapak. Beda perlakuan ya..sama KKB di papua yg jelas dgn nyata melakukan makar?? Sdgkan mereka kbnyakan hanya wanita dan anak2 yg tertipu drama ISIS. Dan merekapun perang melawan tentara Suriah bukan TNI.?</t>
  </si>
  <si>
    <t>Isis Adalah Islamic State of Iraq and Syiria</t>
  </si>
  <si>
    <t>KPAI Dikecam Usai Minta Anak WNI Eks ISIS Dilindungi Tapi Bungkam Soal Bullying</t>
  </si>
  <si>
    <t>Anak ISIS bukan anak WNI tapi eks ISIS kalo mau ngadopsi berarti Lo dulurnya RT @AnakKolong___: CONGOR @KPAI_official . . Anak² pengungsi jemaah Ahmadiyah di NTB, Anak perempuan dianiaya di Purworejo, di Malang anak dibully sampai patah tangan, kalian BUTA, BISU &amp; TULI. Giliran anak² ISIS CONGOR KALIAN NYARING. . .</t>
  </si>
  <si>
    <t>Halah taek.. @hnurwahid dmn nich???</t>
  </si>
  <si>
    <t>Setuju pake banget Eks. WNI tidak dipulangkan ke Indonesia , yang setuju Eks. WNI dipulangkan ke Indonesia adalah antek-antek ISIS, bgm kejamnya mereka mendidik anak2 dibawah umur mengangkat senjata utk. membunuh. Itu yang anda bela..!!!</t>
  </si>
  <si>
    <t>Mereka memilih meninggalkan Indonesia dan bergabung dengan kelompok militan</t>
  </si>
  <si>
    <t>ISIS ex WNI, STATELESS !!!</t>
  </si>
  <si>
    <t>KPAI Jangan tidur terlalu lelap, masih banyak kasus di dalam negeri</t>
  </si>
  <si>
    <t>KPAI lembaga apaan sih? Ketika ada ank perempuan dianiaya diem, giliran anak ISIS lgsg ngegas..</t>
  </si>
  <si>
    <t>Karena itu yang menjadi anggota ISIS adalah bukan lagi WNI.. RT @angedespoir5: Dg pernyataan ini justru membenarkan ISIS bagian dr negara asing atau membantu negara asing (AS, kata Pak Din), berarti unsur negara terpenuhi dlm uu nomor 2 th 2007 tentang kehilangan WNI nya. Mantap bukan WNI lagi. @mohmahfudmd @jokowi</t>
  </si>
  <si>
    <t>Dua institusi ini bukan nya mengurusi hak asasi orang banyak tapi selalu kelompok itu-itu saja yang dibela. Bagaimana anak dan keluarga yang ditinggal akibat bom teroris. Apakah mereka tidak punya hak asasi. sehingga dilupakan haknya</t>
  </si>
  <si>
    <t>ISIS Eks WNI sdh pas RT @kompascom: Presiden Jokowi menggunakan istilah eks WNI agar konsisten dengan Undang-Undang 12 Tahun 2006 tentang Kewarganegaraan | #Nasional</t>
  </si>
  <si>
    <t>Jokowi Minta WNI Eks ISIS dan Teroris Pelintas Batas Dicekal</t>
  </si>
  <si>
    <t>Jangan2 wni yang bergabung isis itu diberi misi oleh presiden terdahulu seperti itachi saat bergabung akatsuki.</t>
  </si>
  <si>
    <t>Apa Kewarganegaraan ISIS Eks WNI? Moeldoko: Stateless -</t>
  </si>
  <si>
    <t>Memilah-milah WNI Eks ISIS</t>
  </si>
  <si>
    <t>Menurut saya, WNI mantan anggota ISIS harus dipulangkan. Ke rahmatullah.</t>
  </si>
  <si>
    <t>Sekjen DPP PKB: Penanganan Eks WNI Kombatan ISIS Harus Komprehensif</t>
  </si>
  <si>
    <t>Pantes aja para begundal ini membela mati2an eks WNI kombatan ISIS itu,,, mrk ternyata pendukung dan pendana terorisme ISIS ===&gt;&amp;gt; 6 Orang Indonesia Diduga Terlibat Sumber Dana ISIS, Din Syamsudin</t>
  </si>
  <si>
    <t>Jangan buang energi utk membina anak² isis ex wni, didalam negeri banyak sekali anak² yg harus dibina cc. @fadlizon @prabowo RT @jr_kw19: Sangat disayangkan knp fadli zon begitu ngototnya menginginkan Anak2 eks WNI pro ISIS dipulangkan Wooiii ... ngapain buang waktu Biaya,tenaga, ngurus bibit teroris apa gak ada kerjaan apah .. #TolakAnakISISKembali</t>
  </si>
  <si>
    <t>"Sebenarnya mereka sendiri yang membuat terlepas dari kewarganegaraan dengan keikutannya dalam kelompok ISIS..." #ISISeksWNI</t>
  </si>
  <si>
    <t>Kalian KPAI simpatisan isis ya... Banyak kasus anak di Indonesia kalian diam saja... jadi jangan salahkan masyarakat kalau mencurigai kalian simpatisan isis... paham lo pade!!???</t>
  </si>
  <si>
    <t>WNI Eks ISIS Bongkar Perlakukan Tak Manusiawi ISIS: Wanita Jadi Pabrik Anak, Banyak Buat Janji Palsu  via @tribunnewswiki</t>
  </si>
  <si>
    <t>Moeldoko: Pemerintah Kirim Tim Verifikasi ISIS Eks WNI  lewat @epicentrum_news</t>
  </si>
  <si>
    <t>Eks Hakim Agung: Menolak ISIS Eks WNI Wewenang Pengadilan, Bukan Presiden  lewat @epicentrum_news</t>
  </si>
  <si>
    <t>Ace Hasan Usul Rehabilitasi Anak ISIS Eks WNI  lewat @epicentrum_news</t>
  </si>
  <si>
    <t>Tugas KPAI: masuk berita biar dikira kerja. Well. You got us.</t>
  </si>
  <si>
    <t>Ganti Istilah, Kini Jokowi Tegas Menyebut ISIS Eks WNI  lewat @epicentrum_news</t>
  </si>
  <si>
    <t>Ma'ruf Sebut Status WNI Otomatis Hilang saat Bergabung ISIS</t>
  </si>
  <si>
    <t>Kenapa @KPAI_official @KomnasHAM Gak Sejalan Dengan Pemerintah Soal Eks WNI ISIS ?????</t>
  </si>
  <si>
    <t>Istana Sebut Status WNI Eks ISIS Stateless dan Eks WNI, Mahfud MD: Kita Tak Cabut Kewarganegaraan  via @tribunnews</t>
  </si>
  <si>
    <t>Pantes bang*at2 ini pada ngotot bela eks WNI kombatan ISIS itu ===&gt;&amp;gt; 6 Orang Indonesia Diduga Terlibat Sumber Dana ISIS, Din Syamsudin?</t>
  </si>
  <si>
    <t>Komisi III Dukung Pemerintah Buka Peluang Pulangkan Anak-anak WNI Eks ISIS</t>
  </si>
  <si>
    <t>Bergabungnya WNI sebagai kombatan ISIS membuat status warga negara hilang.</t>
  </si>
  <si>
    <t>KPAI tau ga sih kalo di lampu merah banyak anak anak jadi pengemis, bahkan saat malem pun harus tetep ngemis. Daripada ngurusin yang jauh-jauh dan terlalu besar resikonya, mending urus dulu aja yang keliatan sama mata sendiri.</t>
  </si>
  <si>
    <t>Pemain sepakbola Radja Nainggolan, bisa gk disebut orang Indonesia? BISA, tp apkh dia WNI? BUKAN. Sama seperti anak2 isis keturunan Indonesia jd jgn sebut mereka WNI, jk kedua ortunya yg sdh dgn sengaja melepas WNInya hny utk bergabung dgn isis, krn pemahaman ideologi yg bodoh.</t>
  </si>
  <si>
    <t>Mungkin persepsi kategori “Anak”, tidak termasuk anak sekolah korban perundungan. Hmm..tak grayahi jitok ku dewe ae, koyoke aku kurang paham definisi “Anak”</t>
  </si>
  <si>
    <t>Kalau partai kadrun sayang sm mrk mending pks yg ke sana. Siapa tau jdi presiden isis.</t>
  </si>
  <si>
    <t>mw list tugas 1. bikin essai ttg wni eks isis yg mw plg ke indo (selasa malem) 2. ppt film (selasa) 3. nirmana 4 unsur: garis, ruang, kombinasi, lengkung (kamis) NIRMANA GMN ANJER GW GBS GAMBARR MW NANGIDDD😭😭😭</t>
  </si>
  <si>
    <t>Debat soal WNI Eks ISIS, Jawaban Guru Besar UI atas Argumen Fadli Zon Tuai Reaksi dari Penonton #TolakAnakISISKembali</t>
  </si>
  <si>
    <t>Biar KPAI aja yg membiayai ( tp jgn minta dana dr negara ya) melindungi &amp; melayani anak2 WNI Eks ISIS.. Klo perlu personel KPAI terjun lgsg k Suriah atw dmanapun ISIS ada utk lindungi anak2 tsb.. Mumet ra koweee</t>
  </si>
  <si>
    <t>Jika WNI bekas pengikut ISIS nekat mengupayakan hal itu. aparat akan menangkapnya. #WaspadaWNIeksISIS</t>
  </si>
  <si>
    <t>Ini lagi pemerintah ngapain sih balikin eks isis wni ke indo bikin emosi aja.</t>
  </si>
  <si>
    <t>Daripada mikirkan anak-anak eks WNI ISIS mending mikirkan gimana membina anak jalanan yang begitu byk di negeri sendiri pak. Mungkin PKS bisa membina mereka jadi kader.... RT @detikcom: Presiden PKS Sohibul Iman meminta pemerintah memulangkan anak-anak ISIS eks WNI. Anak-anak itu, menurut Sohibul, dapat dibina di Indonesia. #PKS #ISIS</t>
  </si>
  <si>
    <t>Bodoamat dengan "WNI eks ISIS mereka korban bla bla bla..." Halaah biarin aja mreka di suriah. Kan pengen masuk surga. Surga mereka udah deket ini kok RT @AhlulQohwah: Di Malang anak dibully sampai patah tangan anteng, di Purworejo anak perempuan dianiaya anteng. Giliran anak ISIS suaranya kenceng.</t>
  </si>
  <si>
    <t>Tangkal kepulangan WNI Eks ISIS. Pemerintah awasi jalur tikus. #WaspadaWNIeksISIS</t>
  </si>
  <si>
    <t>Pemerintah Tak akan Pulangkan WNI Eks ISIS, tapi Masih Ada Opsi untuk Anak-anak #TolakAnakISISKembali</t>
  </si>
  <si>
    <t>Pemerintah harus mengamankan perbatasan dan jalur-jalur tertentu yang dapat digunakan ISIS eks WNI untuk kembali ke Indonesia. #WaspadaWNIeksISIS</t>
  </si>
  <si>
    <t>Politikus Gerindra Minta Jokowi Pulangkan Anak WNI Eks ISIS</t>
  </si>
  <si>
    <t>Pemerintah Awasi Jalur Tikus Untuk Cegah Kepulangan ISIS Eks WNI. #WaspadaWNIeksISIS</t>
  </si>
  <si>
    <t>jalur-jalur tertentu yang dapat digunakan ISIS eks WNI untuk kembali ke Indonesia harus diawasi! #WaspadaWNIeksISIS</t>
  </si>
  <si>
    <t>Cerita Anak WNI Eks ISIS di Suriah, Lari Tak Lihat Keluarganya Lagi setelah Desanya Diserang Roket #TolakAnakISISKembali</t>
  </si>
  <si>
    <t>Pemerintah menolak ISIS eks WNI kembali ke Indonesia. #WaspadaWNIeksISIS</t>
  </si>
  <si>
    <t>Partai oposisi sllu saja jd sandungan kebijakan Pemerintah, sudah tegas &amp; jelas diputuskan masih saja ngotot minta dipulangkan. Apakah PKS mau bertanggung jawab penuh jika ada kegaduhan akibat pemulangan anak2 WNI Eks ISIS?</t>
  </si>
  <si>
    <t>#WaspadaWNIeksISIS WNI bekas pengikut ISIS yang hendak kembali ke Indonesia melalui jalur tikus. Harus diantisipasi dan diawasi.</t>
  </si>
  <si>
    <t>#WaspadaWNIeksISIS</t>
  </si>
  <si>
    <t>Pemerintah sudah mengantisipasi WNI bekas pengikut ISIS yang hendak kembali ke Indonesia melalui jalur tikus. Jika mereka nekat mengupayakan hal itu. aparat akan menangkapnya. #WaspadaWNIeksISIS</t>
  </si>
  <si>
    <t>Pemerintah mengantisipasi WNI bekas pengikut ISIS yang hendak kembali ke Indonesia utnuk awasi jalur tikus. #WaspadaWNIeksISIS</t>
  </si>
  <si>
    <t>GAK USAH banyak CINGCONG pake segala PERLINDUNGAN ANAK bagi anak² ISIS! Kamu keluar rumah pake kendaraan brenti di lampu merah, PLOTOTIN TUH MATA! LIHAT Anak² mau pilih dibawah/diatas umur terserah klean! DIMANA PASAL PERLINDUNGAN ANAK? @KPAI_official</t>
  </si>
  <si>
    <t>Pemerintah Tak Pulangkan 689 WNI Anggota ISIS, Bagaimana Menangkal Penyusupan?  Cari berita lain? Silahkan klik disini</t>
  </si>
  <si>
    <t>#WaspadaWNIeksISIS kita harus mendukung Pemerintah mengamankan perbatasan dan jalur-jalur tertentu yang dapat digunakan ISIS eks WNI untuk kembali ke Indonesia sebab mereka sangat berbahaya.</t>
  </si>
  <si>
    <t>Apresiasi terhadap keputusan Pemerintah menolak ISIS eks WNI. #WaspadaWNIeksISIS</t>
  </si>
  <si>
    <t>Beda sekali ya makna tulisan WNI EKS ISIS dengan ISIS EKS WNI#malamjumat</t>
  </si>
  <si>
    <t>Bahas Anak-anak WNI Eks ISIS, Fadjroel Rachman Singgung Bom Surabaya: Untung Enggak Kena Fadli Zon #TolakAnakISISKembali</t>
  </si>
  <si>
    <t>Pemerintah antisipasi masuknya WNI Eks ISIS Lewat Jalur Tikus. #WaspadaWNIeksISIS</t>
  </si>
  <si>
    <t>Guru Besar UI Kena Tegur Fadli Zon saat Bahas Risiko Pulangkan Anak WNI Eks ISIS: Jangan Berandai #TolakAnakISISKembali</t>
  </si>
  <si>
    <t>Desmond: Bagaimana Kalau Anak ISIS Eks WNI Keponakan Mahfud? -</t>
  </si>
  <si>
    <t>Wapres menegaskan tak mudah untuk mengembalikan ideologi orang terpapar radikalisme.</t>
  </si>
  <si>
    <t>Pemerintah harus selalu mengawasi Jalur Tikus Untuk Cegah Kepulangan ISIS Eks WNI. #WaspadaWNIeksISIS</t>
  </si>
  <si>
    <t>They literally burnt their passport omg I don't a dumber institution</t>
  </si>
  <si>
    <t>Presiden Joko Widodo meminta 689 ang­gota Islamic State in Iraq and Syria (ISIS) eks WNI yang di­duga teroris pelintas batas itu dikenakan cegah dan tangkal.</t>
  </si>
  <si>
    <t>Pemerintah sudah mengantisipasi WNI bekas pengikut ISIS yang hendak kembali ke Indonesia melalui jalur tikus. #WaspadaWNIeksISIS</t>
  </si>
  <si>
    <t>Cegah kepulangan ISIS Eks WNI. awasi jalur tikus! #WaspadaWNIeksISIS</t>
  </si>
  <si>
    <t>Negara tidak wajib mengurusi ex WNI atau gerombolan yg tdk mau jadi WNI atau antek2nya ISIS #TolakEksWNIproISIS RT @AhlulQohwah: Di Malang anak dibully sampai patah tangan anteng, di Purworejo anak perempuan dianiaya anteng. Giliran anak ISIS suaranya kenceng.</t>
  </si>
  <si>
    <t>Apresiasi terhadap keputusan Pemerintah menolak ISIS eks WNI kembali ke Indonesia. #WaspadaWNIeksISIS</t>
  </si>
  <si>
    <t>Maaf pak, statemen bapak benar, tapi sampah. Ke mana organisasi Anda saat banyak anak lain di Indonesia teraniaya? Bullying dan kekerasan anak di mana2, mana pernah ada statemen begini?</t>
  </si>
  <si>
    <t>Klo sdh siap begitu suruh anak itu minta gendong ke orang2 yg minta ex WNI pro ISIS pulang ke Indonesia. #TolakEksWNIproISIS RT @RiriJreeng: Apapun usulannya apapun caranya kita ga se7 ex isis pulang ke indonesia. #TolakAnakISISKembali</t>
  </si>
  <si>
    <t>ISIS eks WNI sangat berbahaya. #WaspadaWNIeksISIS</t>
  </si>
  <si>
    <t>Udah betul tu kata Jokowi "ISIS eks WNI" gausah dipulangkan, si Mahfud MD nya aja yang banya bacot.</t>
  </si>
  <si>
    <t>Maaf pak menteri yg benar ISIS eks WNI Bukan WNI eks ISIS RT @WahabisLokal: Matek kamu sekarang. Polah2 keluar dari warga negara RI, Malahan ada yg sampek bakar paspor. Pemerintah nyatakan Ex WNI ISIS bukan Warga Negara RI. Alias Stateless. 😁😁😁Ajuuur Kon🤣🤣🤣 #TolakAnakISISKembali</t>
  </si>
  <si>
    <t>Ngapain nyuruh-2 negara..? Elo pade aja ke suriah.. Daripada.. Disini cuma nyampah.. 🧐 #TindakTegasIntoleran #TolakAnakISISKembali</t>
  </si>
  <si>
    <t>Ngurusin ex WNI combatan isis lah Eh urusin rakyat kecil yg setia pada negara ini. BI Memberikan harapan harga getah karet akan naik, eh nyatanya nyungsep!! Mana penyerapan karet untuk aspal #hargakaretnyungsep #hargagetahkaret #AwasAntek2ISIS #TolakAnakISISKembali</t>
  </si>
  <si>
    <t>Pemerintah Antisipasi WNI Eks ISIS Menyusup ke Indonesia #TauCepatTanpaBatas #BeritaTerkini #Berita #News #BeritaNasional .</t>
  </si>
  <si>
    <t>#MetroHariIni Pemerintah tegas tidak akan memulangkan eks WNI Kombatan ISIS di Suriah. Presiden Jokowi meminta pihak imigrasi menjaga semua pintu masuk ke Indonesia untuk mengantisipasi masuknya para kombatan ISIS eks WNI. #MetroTV</t>
  </si>
  <si>
    <t>Moeldoko Sebut WNI Eks Isis yang Pulang ke RI Bakal Diadili</t>
  </si>
  <si>
    <t>Ini mah bukan saran. Tapi Menjlomprongkan pemerintah utk membawa virus teroris ke Negri ini. Tanpa mereka, Indonesia sdh kalang kabut berantas Terorisme. Btw Maklumin aja yak Kan ada media yg sebut Din tokoh 119 teroris dunia #TolakAnakISISKembali</t>
  </si>
  <si>
    <t>Pemerintah mengawasi Jalur Tikus Untuk Cegah Kepulangan ISIS Eks WNI. Awasi! Jangan kasih kendor! #WaspadaWNIeksISIS</t>
  </si>
  <si>
    <t>Apaan sik, sok banget penting inget"in. Noh masih banyak anak indo yg dipaksa ngemis, kalian kemana? Sibuk bener ngurusin isis. Manusia macam apa? Atau emng bagian dari mereka?</t>
  </si>
  <si>
    <t>Buat tabungan lakukan teror di seluruh Indonesia ya? Ora sudi... #TolakAnak1sisKembali #TolakAnak1sisKembali</t>
  </si>
  <si>
    <t>ISIS memiliki rencana cadangan untuk melatih anak-anak menjadi generasi masa depan kebencian. Masih mau mulangin anak2 Teroris ISIS ex WNI? Kalau gw...#TolakAnak1sisKembali</t>
  </si>
  <si>
    <t>Pemerintah Buka Opsi Pulangkan Anak-anak WNI Eks ISIS dan Teroris Lintas Batas -  ~ini bener. NKRI harga mati jangan kehilangan kemanusiaan.</t>
  </si>
  <si>
    <t>Telaah Psikologi Perkembangan terhadap Rencana Pemulangan Anak-anak WNI eks ISIS</t>
  </si>
  <si>
    <t>Najwa Shihab Debat Pernyataannya soal Anggota ISIS Eks WNI, Hikmahanto Juwana Memintanya Baca Ini  lewat @tribunnews</t>
  </si>
  <si>
    <t>WNI EKS ISIS DITOLAK PULANG KE INDONESIA. .... PKS MENGATAKAN. ... BIARLAH MEREKA DITANGANI PBB. .... KIRA2 PBB MAU NGGAK YA. ??? 🤔 WNI Eks ISIS Ditolak Pulang ke Indonesia, PKS: Biarkan Mereka Ditangani PBB</t>
  </si>
  <si>
    <t>Fix ya statusnya Stateless... 😊 .</t>
  </si>
  <si>
    <t>Bamsoet Dukung Keputusan Pemerintah soal Pembatalan Pemulangan WNI Eks ISIS #TauCepatTanpaBatas #BeritaTerkini #Berita #News #BeritaNasional .</t>
  </si>
  <si>
    <t>Pengembangan potensi bulu tangkis anak negeri kalian kebiri... Kalo urusan yang beginian kalian aja kenceng banget... Apa kita terlalu bodoh untuk melihat afiliasi mereka?😁 #KPAIProISIS</t>
  </si>
  <si>
    <t>Presiden @jokowi Tak menyebutkan status Kewarganegaraan WNI yg masuk ISIS &amp; di tolak pulang ke Indonesia. #TolakAnakISISKembali Jokowi kini sebut isis eks WNI bukan lagi WNI eks isis.</t>
  </si>
  <si>
    <t>Pemerintah Indonesia sepakat untuk tidak memulangkan ratusan WNI eks kombatan ISIS. Alasannya, mereka dikhawatirkan akan menjadi ‘virus’ baru di tengah masyarakat Indonesia. Pemerintah kini mengantisipasi kemungkinan mereka kembali ke Indonesia. #WaspadaWNIeksISIS | @PolhukamRI</t>
  </si>
  <si>
    <t>Prof. Hikmahanto Juwana sangat tegas menolak ketika isu kombatan ISIS minta Pemerintah Indonesia memulangkan mereka ke Tanah Air. Lalu betulkah WNI yang telah ikut ISIS itu bukan lagi warga negara Indonesia? dan apa dasarnya? Simak selengkapnya di link</t>
  </si>
  <si>
    <t>RT @HusinShihab: Yuk, kita voting seberapa besar perhatian kita thd keutuhan NKRI di masa depan. ✅ RT bagi yg menolak 600 WNI ISIS dipulangkan ke Indonesia. ✅ Like bagi yg menerima 600 WNI ISIS kembali ke Indonesia. Cc: @jokowi</t>
  </si>
  <si>
    <t>"Kita dengar dan catat aspirasi Muhammadiyah tersebut. Tapi pemerintah tetap pada sikap tidak akan memulangkan eks ISIS," kata Mahfud MD.</t>
  </si>
  <si>
    <t>Istana: WNI Eks ISIS Berstatus Stateless</t>
  </si>
  <si>
    <t>Ternyata ini benang merahnya sehingga mereka ngotot pemulangan teroris ISIS ex WNI..... Tak disangka sangka ternyata..... RT @P3nj3l4j4h_id: Jadi ini toh kenapa FZ sibuk dukung pemulangan sampah sampah ini..😯 Pantesan aja bacotannya tiap hari ga berhnti..😴 #TolakAnakISISKembali</t>
  </si>
  <si>
    <t>Tak Pulangkan WNI Eks ISIS, Pemerintah akan Beri Pertimbangan Khusus untuk Anak-anak</t>
  </si>
  <si>
    <t>Apakah mereka tidak peduli nasib anak Indonesia jika anak2 ISIS mantan teroris dipulangkan? Apakah @KPAI_official tidak tahu apa yg terjadi dgn anak2 Suriah ketika para robot pembunuh menguasai Suriah?</t>
  </si>
  <si>
    <t>Pemerintah Antisipasi Masuknya WNI Eks ISIS Lewat Jalur Tikus. #WaspadaWNIeksISIS</t>
  </si>
  <si>
    <t>Propaganda bakar pasport cara licik WNI eks ISIS masuk ke Indonesia. #WaspadaWNIeksISIS</t>
  </si>
  <si>
    <t>Tidak ada ruang masuk WNI eks ISIS. #WaspadaWNIeksISIS</t>
  </si>
  <si>
    <t>Pemerintah bertanggung jawab terhadap 260 juta penduduk negeri ini. Karena itu,pemerintah tidak berencana untuk memulangkan para anggota ISIS eks WNI. Saya telah memerintahkan agar 689 orang itu diidentifikasi satu per satu. Datanya dimasukkan ke imigrasi untuk proses cekal</t>
  </si>
  <si>
    <t>AKIBAT TERBURUK Dari Pulangkan WNI Eks ISIS Ke Indonesia !!! - Mardigu W...  via @YouTube</t>
  </si>
  <si>
    <t>Dulu saat anak bangsa mau berprestasi lewat jalur bulutangkis, malah dihalangi KPAI. Eh skrg yg jelas anak kombatan ISIS ex WNI, KPAI minta utk mereka dilindungi. Shame on you, KPAI! Dulu: Sekarang:</t>
  </si>
  <si>
    <t>Tdk sedkt fansboy ISIS. Ada yg koar2 ISIS sbg saudara. Knp PKS sok peduli pd eks WNI pro ISIS? Punya agenda apa? Mnrk simpati fans ISIS demi Pilkada 2020? PKS ahlinya ahli "nabok nyilih tangan". Pilkada DKI cth konkrit. Ada yg terlunta2 ada yg dpt tahta #TolakAnakISISKembali</t>
  </si>
  <si>
    <t>Al Araf mengatakan anak-anak itu masih di bawah umur. Sehingga memang menjadi kewajiban negara untuk memulangkannya ke Tanah Air.</t>
  </si>
  <si>
    <t>Gw gk prnh kaget klw partai in sllu mnyuarakn pmbelaan pd ISIS Msi ingt klian dgn Puisi Pujian Anies Matta ke Osama? Msi ingt klian dgn ucapan Hidayat soal Teroris dtembak bius? Ideologi mrk sma Tmn yg baik akn sllu mmbela tmnnya #TolakAnakISISKembali</t>
  </si>
  <si>
    <t>Komnas HAM Soroti Status Eks WNI ISIS, Guru Besar UI Emosi Bilang Begini #ifknews #infoviral #newsupdate</t>
  </si>
  <si>
    <t>Prioritaskan Keamanan 260 Juta Penduduk Indonesia, Jokowi Tak Ambil Pusing Nasib 689 WNI eks ISIS</t>
  </si>
  <si>
    <t>Anda-2 saja nyebutnya salah.. Eks WNI bukan eks isis..🧐 EKS WNI..PAHAM SAMPEYAN !! 😈😈😈😈😈😈😈😈😈😈😈 #TindakTegasIntoleran</t>
  </si>
  <si>
    <t>BIN Diminta Waspada Usai Jokowi Tolak Kepulangan WNI Eks ISIS #TolakAnakISISKembali</t>
  </si>
  <si>
    <t>pak @prabowo krn sibuk di kemenhan sampean jd kurang mengurus @gerindra, kader anda makin lucu: "meragukan kemampuan deradikalisasi pemerintah tapi ngotot memulangkan 600 anggota ISIS ex WNI" 😂 Saat Nama Prabowo Jadi Perdebatan dalam Bahasan Terorisme</t>
  </si>
  <si>
    <t>Jokowi: Pemerintah Tak Berencana Pulangkan ISIS Eks WNI</t>
  </si>
  <si>
    <t>Jokowi Tak Ambil Pusing soal Nasib 689 WNI Teroris Pelintas Batas dan Eks ISIS</t>
  </si>
  <si>
    <t>RT @BBCIndonesia: [Video] Nada Fedulla, seorang WNI, dibawa ayahnya yang menjadi anggota ISIS ke Suriah. Nada terpaksa meninggalkan sekolahnya di Indonesia dan melupakan cita-citanya menjadi dokter. Kini dia tak bisa pulang. Bisakah Nada memaafkan ayahnya?</t>
  </si>
  <si>
    <t>Presiden Jokowi menggunakan istilah eks WNI agar konsisten dengan Undang-Undang 12 Tahun 2006 tentang Kewarganegaraan | #Nasional</t>
  </si>
  <si>
    <t>#TolakAnakISISKembali Ngebayangin kedepannya jadi inget syair dari "Lord of Broken Heart", Tak tandur pari... 🎶 Jebul tukule...🎶 Malaaah, Suket Teki...🎶</t>
  </si>
  <si>
    <t>Hidayat: Bagaimana Nasib WNI Eks ISIS yang Tidak Membakar Paspor?</t>
  </si>
  <si>
    <t>Penjelasan Istana Jokowi Pakai Istilah 'Isis Eks WNI'</t>
  </si>
  <si>
    <t>Pemerintah tidak mencabut status kewarganegaraan warga negara Indonesia (WNI) yang pernah bergabung dengan ISIS. Pencabutan status kewarganegaraan harus melalui proses hukum yang berlaku.</t>
  </si>
  <si>
    <t>Bagaimana juga dengan yang umurnya 11 tahun, 15 tahun, tetapi berangkat ke sana karena diajak orang tuanya atau tertipu dengan iklanya dan di sana juga tidak melakukan apa-apa. #ISIS</t>
  </si>
  <si>
    <t>Guru2 kadrun ini perlu dikarantina &amp; dilakukan deradikalisasi &amp;amp; deintoleransi, gak usah ngurusi ISIS Eks WNI. @Kemenag_RI @Itjen_Kemdikbud @kemendagri @mohmahfudmd @jokowi ngurus kadrun2 intoleran macam ini saja gak becus, gak usah sok2an urus ISIS ex WNI. #RI_Darurat_Intoleran RT @P3nj3l4j4h_id: Begini toh gurunya yang denda muridnya karena nonton cap go meh di singkawang😴 Sejak kpn ada aturan melarang ank ank nonton cap go meh di negeri ini🤨 😑😑</t>
  </si>
  <si>
    <t>Jokowi Minta 689 WNI Teroris Lintas Batas dan Eks ISIS Kena Cegah Tangkal</t>
  </si>
  <si>
    <t>"Saya telah memerintahkan agar 689 orang itu diidentifikasi satu per satu. Datanya dimasukkan ke imigrasi untuk proses cekal," imbuhnya.</t>
  </si>
  <si>
    <t>Kasus Purworejo KPAI diam seribu bahasa...</t>
  </si>
  <si>
    <t>KPAI ternyata tdk tahu UU</t>
  </si>
  <si>
    <t>Presiden Partai Keadilan Sejahtera (PKS) Sohibul Iman mendukung langkah Presiden Joko Widodo (Jokowi) yang memutuskan menolak memulangkan sekitar 689 WNI eks ISIS. Sohibul menyebut keberadaan ratusan WNI tersebut merupakan masalah yang pelik.</t>
  </si>
  <si>
    <t>Polemik WNI Eks ISIS, Mahfud MD: Pemerintah Tidak Mencabut Kewarganegaraan #ISIS #AwasAntek2ISIS #RepublikMerdeka</t>
  </si>
  <si>
    <t>Orang Tua dan Keluarga telah Meninggal, Anak WNI eks ISIS di Suriah: Saya Akan Bertahan di Sini</t>
  </si>
  <si>
    <t>Kapokmu kapan eks ISIS , now... stateless...</t>
  </si>
  <si>
    <t>Salah Anak-anak ISIS Eks WNI yang bener. Mereka sdh menjatuhkan pilihan unt gabung Isis dgn melepaskan kewarganegaraan mereka sbg WNI . Selama ini kalian dimana aja @KPAI_official Kalian diam saat mereka bergabung, skr baru koar2 Kalau gak bs kerja diam aja, lbh bagus RT @wisanggeni_084: Ketika anak bangsa akan di bina utk berprestasi melalui cabang olah raga bulutangkis di masalahkan.... Anak eks WNI pro ISIS yg prestasinya merakit bom di bela.... Karep mu opo son ?</t>
  </si>
  <si>
    <t>Istana Sebut Status WNI Eks ISIS Stateless dan Eks WNI, Mahfud MD: Kita Tak Cabut Kewarganegaraan</t>
  </si>
  <si>
    <t>sepertinya ada yang sulit menentukan prioritas/urgensi ancaman yang nyata.. antara KoronaVirus vs. eks WNI yang tergabung pd ISIS 🤦🏻‍♂️</t>
  </si>
  <si>
    <t>Presiden Jokowi memutuskan tdk memulangkan 689 WNI eks ISIS ke Indonesia. Keputusan itu diambil atas dasar pertimbangan keamanan ratusan juta penduduk Indonesia lainnya. Namun masih mempertimbangkan utk memulangkan anak2 berusia di bawah 10 tahun</t>
  </si>
  <si>
    <t>Jadi, kenapa harus mempertaruhkan keamanan jutaan warga negara RI yg lain demi mereka yg sdh bukan warga negara!? HAM !? HAM kan utk yg WNI! Come on, dont be stupid! Saya dukung pemerintah RI menolak pulangkan Ex-Wni isis #TolakEksWNIproISIS</t>
  </si>
  <si>
    <t>Iya sdh pasti tambah subur terorisme dinegara ini kalo jd pak @jokowi @mohmahfudmd menyetujui pemulangan eks WNI kombatan ISIS ini walaupun itu ibu2 atau anak2 umur dibawah 10 thn  RT @mulanbilqis: Di tengah wacana repatriasi WNI eks ISIS, muncul kekhawatiran pemulangan mereka akan membawa VIRUS TERORISME baru ke Indonesia. Ngeriiikkk 😭 #TolakAnakISISKembali BBC News Indonesia - Pemulangan WNI eks ISIS: Dikhawatirkan bawa 'virus terorisme' baru</t>
  </si>
  <si>
    <t>KPAI: Negara Harus Hadir Lindungi Anak-anak WNI Eks ISIS, Mereka Korban #TolakAnakISISKembali</t>
  </si>
  <si>
    <t>Pemerintah bertanggung jawab terhadap 260 juta penduduk negeri ini. Karena itu, pemerintah tidak berencana untuk memulangkan para anggota ISIS eks WNI," #TindakTegasIntoleran #SAPAMANTAN</t>
  </si>
  <si>
    <t>Pemerintah Buka Opsi Pulangkan Anak-anak WNI Eks ISIS dan Teroris Lintas Batas #TolakAnakISISKembali</t>
  </si>
  <si>
    <t>Bukan Korban, Anak-Istri WNI Eks ISIS Tak Bisa Ditangani LPSK Wakil Ketua Lembaga Perlindungan Saksi dan Korban (LPSK), Edwin Partogi Pasaribu menyatakan, secara hukum anak dan istri WNI eks ISIS tak bs disebut sbg korban terorisme #TolakAnakISISKembali</t>
  </si>
  <si>
    <t>"Ya, kan karena mereka sendiri yang menyatakan sebagai stateless. Pembakaran paspor adalah suatu indikator," kata mantan Panglima TNI tersebut.</t>
  </si>
  <si>
    <t>PKS Dorong Pemerintah Pulangkan Anak-anak WNI Eks ISIS: Beri Mereka Pendidikan #TolakAnakISISKembali</t>
  </si>
  <si>
    <t>Yang menginginkan kedamaian dan yang menyayangi bangsanya pasti menolak intoleransi. Dan pasti juga menolak eks WNI pro ISIS. Pastikan ! #TindakTegasIntoleran #TolakAnakISISKembali</t>
  </si>
  <si>
    <t>Ndlogok yo ndlogok wae</t>
  </si>
  <si>
    <t>TOP 3| Merapi Erupsi, Kasus Corona Melonjak, WNI Eks Isis Tak Dipulangkan |13 Februari 2020</t>
  </si>
  <si>
    <t>Lucu sih, KPAI ma @KomnasHAM ga peduli sama mereka, tapi peduli sama anak2 ISIS ex WNI... RT @kisbet_: Kepada @KPAI_official kalian tau gak mengenai trinity dan alvaro. Mrka sedang berjuang setiap hari memulihkan diri. Daripada kalian mengurusi anak2 ISIS eks WNI mending mikirin mrka ini dan anak2 sekolah korban bully.</t>
  </si>
  <si>
    <t>"Dan mereka, saya yakin, ketika diberi pendidikan yg baik insyaallah mereka akan tumbuh tidak seperti yg diharapkan oleh orang tuanya mungkin ya. Saya percaya hal itu," tutur Sohibul. Yakin, mungkin, percaya.. mbulet amat si pak? #TolakAnakISISKembali</t>
  </si>
  <si>
    <t>ISIS eks - WNI saat ini berstatus tanpa kewarganegaraan</t>
  </si>
  <si>
    <t>Baca nih kaum.khilafah yg mendukung pemulangan eks WNI kombatan ISIS. @hnurwahid @fadlizon @MardaniAliSera @felixsiauw RT @RiriJreeng: Sadis kan ...? #TolakAnakISISKembali</t>
  </si>
  <si>
    <t>Ini Penjelasan Istana Soal WNI Eks ISIS yang Kehilangan Kewarganegaraannya</t>
  </si>
  <si>
    <t>Yg ikut audisi bulutangkis PB Djarum buat mengharumkan nama negara diSTOP. Giliran yg ini kenceng suara ne. Bubarkan saja KPAI. KPAI: Negara Harus Hadir Lindungi Anak-anak WNI Eks ISIS, Mereka Korban</t>
  </si>
  <si>
    <t>VIDEO: Kisruh Pemulangan WNI Eks ISIS</t>
  </si>
  <si>
    <t>Mereka bukan korban, tapi efek dari apa yg dilakukan orang tua. Kalo mereka korban, pelaku nya orang tua nya? #TolakAnakISISKembali</t>
  </si>
  <si>
    <t>Pemerintah Sudah Antisipasi WNI Eks ISIS Menyelinap Masuk ke Indonesia #TauCepatTanpaBatas #BeritaTerkini #Berita #News #BeritaNasional .</t>
  </si>
  <si>
    <t>Soal WNI Eks ISIS 'Stateless', Moeldoko: Pembakaran Paspor Indikatornya #TauCepatTanpaBatas #BeritaTerkini #Berita #News #BeritaNasional .</t>
  </si>
  <si>
    <t>Jokowi Pakai Istilah ISIS Eks WNI, Ini yang Jadi Alasannya</t>
  </si>
  <si>
    <t>#PKB Anggap Sikap Pemerintah Bersayap Sikapi WNI Eks ISIS #PKBDay</t>
  </si>
  <si>
    <t>Astagfirullah Bener2 anak Biadab. Ibu kandung sendiri ditembak mati didepan umum. Buka mata lo lebar2 yg mau pulangin anak2 Ex WNI ISIS. Jangan sok bicara HAM, emang kalian mau Ngebunuh 170 jt rakyat Indonesia yak. #TolakAnakISISKembali</t>
  </si>
  <si>
    <t>Ini PKS??? Kalau Mardani Ali Sera itu siapanya PKS yah? Kemaren ini HNW gak bilang kaya gini deh. Ada yg bisa jelaskan?</t>
  </si>
  <si>
    <t>Terus ketika Ada anak2 Indonesia yg jd korban kebiadaban Teroris Suara kalian kemana @KPAI_official??? Apapun Alasannya jangan sampai Indonesia di kotori darah Kombatan ISIS</t>
  </si>
  <si>
    <t>Pak @jokowi, kalau rasa kemanusiaan bapak terusik karena mereka cuma anak2 yg jd korban kebodohan orang tuanya, satu hal yg Pak Jokowi musti ingat..., ideologi tidak akan pernah mati! #TolakAnakISISKembali</t>
  </si>
  <si>
    <t>mantab pak @jokowi my Presiden</t>
  </si>
  <si>
    <t>Politik kemarin, tindak tegas intoleransi hingga eks ISIS tak akui WNI  #TindakTegasIntoleran</t>
  </si>
  <si>
    <t>Walaupun pemerintah telah memutuskan untuk tidak memulangkan WNI eks ISIS namun untuk anak-anak pemulangannya masih menjadi pertimbangan. Baca selengkapnya di website kami  #beritapapua #isis</t>
  </si>
  <si>
    <t>Istana Tegaskan ISIS eks WNI Pulang ke Indonesia akan Diadili</t>
  </si>
  <si>
    <t>Matek kamu sekarang. Polah2 keluar dari warga negara RI, Malahan ada yg sampek bakar paspor. Pemerintah nyatakan Ex WNI ISIS bukan Warga Negara RI. Alias Stateless. 😁😁😁Ajuuur Kon🤣🤣🤣 #TolakAnakISISKembali</t>
  </si>
  <si>
    <t>Kepala Kantor Staf Kepresidenan Moeldoko menyatakan 689 anggota ISIS eks WNI, saat ini berstatus tanpa kewarganegaraan atau stateless.</t>
  </si>
  <si>
    <t>daripada ngeluarin anggaran untuk bina anak anak ISIS eks WNI, lebih baik anggarannya untuk pendidikan anak anak didaerah Indonesia timur sana Pak, atau dipedalaman lainnya atau bamuat para guru honorer yang berdedikasi untuk para muridnya pak. RT @detikcom: Presiden PKS Sohibul Iman meminta pemerintah memulangkan anak-anak ISIS eks WNI. Anak-anak itu, menurut Sohibul, dapat dibina di Indonesia. #PKS #ISIS</t>
  </si>
  <si>
    <t>Kalo saya jd Pak Mahfud.. saya akan jawab.. "Ponakan saya tak akan begitu" Udahlah jgn sok2an.. punya hati dsb Anak2 itu udah dicuci otaknya.. mereka bisa membahayakan orang lain. #TolakAnakISISKembali</t>
  </si>
  <si>
    <t>Dasar elo Kecoa Bau. knapa sie kalian takut banget ama Salib &amp; Gereja. Ada aja cara kalian agar Gereja disegel &amp;amp; dirubuhkan. Untung aja Ex WNI Anggota ISIS sudah di Cegah &amp;amp; Tangkal ama Pak @jokowi agar tidak bisa pulang ke Indonesia. Parasite di Indonesia</t>
  </si>
  <si>
    <t>Sore semuanya. Pemerintah Tak Berencana Pulangkan Anggota ISIS Eks WNI  @PEDOMAN_id @PedomanNEWS @fadjroeL @SunandarPS @JubirPresidenRI #SAPAMANTAN</t>
  </si>
  <si>
    <t>Mungkin sudah selesai soal kata2. Contoh, bila klean setuju Kombatan ISIS Dipulangkan spt WNI Wuhan, mo kah bertanggung jawab ata mulut anda. Spt klo mereka bikin kerusuhan, maka di buang ke Luar Negeri bersama anda sbg Pendukungnya? Dan Lain Lain</t>
  </si>
  <si>
    <t>Yang disapa jangan GR ya #SAPAMANTAN √ Pemerintah Tak Berencana Pulangkan Anggota ISIS Eks WNI  @PEDOMAN_id @PedomanNEWS @fadjroeL @SunandarPS @JubirPresidenRI</t>
  </si>
  <si>
    <t>Telah diputuskan pemerintah tidak akan memulangkan WNI eks ISIS, namun mempertimbangkan pemulangan anak-anak yang berumur di bawah 10tahun. Kamu tim mana? #TolakAnakISISKembali Atau #BinaAnakISISKembali</t>
  </si>
  <si>
    <t>Yang lagi #SAPAMANTAN baca berita dulu yaa. Pemerintah Tak Berencana Pulangkan Anggota ISIS Eks WNI  @PEDOMAN_id @PedomanNEWS @fadjroeL @SunandarPS @JubirPresidenRI</t>
  </si>
  <si>
    <t>Dalam Undang-undang tentang Kewarganegaraan, kata Moeldoko, pemerintah berhak mencabut hak kewarganegaraan 689 WNI itu tanpa melewati pengadilan. #Moeldoko</t>
  </si>
  <si>
    <t>Kenapa dg Eks KNIL ? Gak relate dengan bahasan ISIS eks WNI 😀 RT @caknawa: Bagaimana dengan eks KNIL ....?</t>
  </si>
  <si>
    <t>Untung bukan Permintaan Presiden Republik Indonesia ...  Presiden PKS Sohibul Iman meminta pemerintah memulangkan anak-anak ISIS eks WNI. Anak-anak itu, menurut Sohibul, dapat dibina di Indonesia.</t>
  </si>
  <si>
    <t>Pemerintah Tak Berencana Pulangkan WNI Eks ISIS. Keterangan Pers Presiden @jokowi di Istana Kepresidenan Jakarta, pada Rabu 12 Februari 2020.</t>
  </si>
  <si>
    <t>Jika WNI yang ikut ISIS itu dianggap bersalah, proses hukumlah. Jika mencabut kewarganegaraan sbg sangsinya, biarkan pengadilan yang lakukan.</t>
  </si>
  <si>
    <t>Orang² @KPAI_official ini lagi kemasukan roh apa..?? Kemaren stop audisi jarum.. Sekrang ngotot ingin memulangkan anak ISIS eks WNI.. Apa tidak lihat video kekejaman anak² ISIS..??</t>
  </si>
  <si>
    <t>Mahfud: Pemerintah tak cabut status kewarganegaraan WNI eks ISIS</t>
  </si>
  <si>
    <t>Kalo mereka sdh berbai'at ke Baghdadi yo wes lah, positif stateless Cara Jokowi &amp; Mahfud MD Acuhkan HAM soal Pemulangan WNI Eks ISIS -</t>
  </si>
  <si>
    <t>Ralat: ISIS ex WNI RT @ipankptc049: Entah dimana tersimpan urat malu dan khawatirnya.. 😪</t>
  </si>
  <si>
    <t>Mbok anak2 di negeri ini saja yang diurus, byk juga yg kurang beruntung, aneh :Gadjah di pelupuk mata tak tampak tp semut diseberang tampak Pemerintah Buka Opsi Pulangkan Anak-anak WNI Eks ISIS dan Teroris Lintas Batas -</t>
  </si>
  <si>
    <t>Selamatkan Anak WNI eks ISIS. Bagaimana kalo kita yg jadi bejat. Bagaimana kalo Anak2 tsb jadi Ulama. Bagaimana + Bagaimana - Bagaimana .. Bagaimaba .. RT @BadjaNuswantara: Usia anak 0-8 tahun atau Golden age adlah masa2 membentuk WATAK. Bgm jika anak sdh terlanjur dididik berwatak tdk dpt menerima perbedaan, intoleran, radikal bahkan terlatih mjd pembunuh? Watuk bisa diobati, Watak sampai mati #TolakAnakISISKembali</t>
  </si>
  <si>
    <t>Pemerintah membuka opsi pemulangan anak-anak berusia di bawah 10 tahun. "Tapi, kita lihat case by case (untuk pemulangan anak usia di bawah 10 tahun)," ucap Mahfud ** Hello memang 'fasilitas' kita siyap? Udahlaaah #TolakAnakISISKembali aajaa 😑😑</t>
  </si>
  <si>
    <t>WNI EKS ISIS DITOLAK PULANG KE INDONESIA, PKS: BIARKAN MEREKA DITANGANI PBB #TauCepatTanpaBatas</t>
  </si>
  <si>
    <t>689 WNI Eks ISIS Berstatus Tak Memiliki Negara, Moeldoko: Mereka Bakar Paspor Sendiri</t>
  </si>
  <si>
    <t>Sekolah Menengah Pertama Agama Narasinya gene ENIH bukan Anak2 Kombatan ISIS Eks WNI aja kek genee kelakuan nya Bijimane Anak2 Kombatan ISIS yg dilatihnya GOROK LEHER TEMBAK TUSUK BOM 🤔  RT @kumparan: Siswi SMP yang dipukul temannya di Purworejo penyandang disabilitas.</t>
  </si>
  <si>
    <t>Pemerintah Resmi Tidak Akan Memulangkan WNI Eks Isis #TolakAnakISISKembali</t>
  </si>
  <si>
    <t>Pemulangan Anak-anak ISIS Eks WNI Adalah Bom Waktu  #pdiperjuangan</t>
  </si>
  <si>
    <t>Kata @caknanto Soal WNI Eks ISIS</t>
  </si>
  <si>
    <t>Nah loh... Gw bilang jg apa. Presiden PKS Dukung Keputusan Jokowi Tak Pulangkan WNI Eks ISIS - VIVAnews</t>
  </si>
  <si>
    <t>Pemerintah menilai, tidak perlu lewat pengadilan</t>
  </si>
  <si>
    <t>Ada misi apa sih? Kok PKS ngotot banget pulangin ISIS ex WNI !!!!</t>
  </si>
  <si>
    <t>Anak-anak ISIS Eks WNI akan lebih berbahaya dan kejam dari pada orang tua nya.. Karena mereka sudah tertanam ideologi pembunuh.. Akan berbahaya jika ada di indonesia #TolakAnakISISKembali #AwasAntek2ISIS</t>
  </si>
  <si>
    <t>Bukan Korban, Anak-Istri WNI Eks ISIS Tak Bisa Ditangani LPSK</t>
  </si>
  <si>
    <t>Pimpinan Komisi III Dukung Pemerintah Pulangkan Anak WNI Eks ISIS</t>
  </si>
  <si>
    <t>Presiden Partai Keadilan Sejahtera Sohibul Iman menghormati keputusan Presiden Joko Widodo yang menolak memulangkan 689 warga negara Indonesia pengikut kelompok militan Negara Islam Irak dan Suriah (ISIS). Selengkapnya klik  #NewsOne #PKS #WNIeksISIS</t>
  </si>
  <si>
    <t>Gimana klo Sohibul Iman yg kita kirim ke Suriah Dampingin anak-anak ISIS Eks WNI #AwasAntek2ISIS #CegahISISmasukNKRI RT @detikcom: Presiden PKS Sohibul Iman meminta pemerintah memulangkan anak-anak ISIS eks WNI. Anak-anak itu, menurut Sohibul, dapat dibina di Indonesia. #PKS #ISIS</t>
  </si>
  <si>
    <t>Apakah status kewarganegaraannya sudah di cabut....? Bukanlah judul tulisannya WNI ex ISIS mas...? RT @innovesian: Cak Nawa kok lsg mengaitkan dg "Kedzaliman" 😁 Argunentasi hukumnya kan jelas. Kalau seseorang berperang untuk Negara atau Kelompok lain yang Bukan Republik Indonesia, maka gugur sudah Status WNI nya. Apalagi mereka sudah berjanji setia pada ISIS dan Membakar Paspor RI.</t>
  </si>
  <si>
    <t>#TolakAnakISISKembali Lebih baik memastikan masa depan yang lebih baik bagi Anak Indonesia, daripada sibuk mengawasi dan mengurusi "Anak ISIS Eks WNI" yang dididik untuk men-Taghut-kan Pemerintah dan Negara ini 🙏🙏🙏 #MenujuIndonesiaMaju</t>
  </si>
  <si>
    <t>Presiden PKS Dukung Keputusan Jokowi Tak Pulangkan WNI Eks ISIS  #vivanews</t>
  </si>
  <si>
    <t>ⓚⓡⓔ.my.id : Apa Kewarganegaraan ISIS Eks WNI? Moeldoko: Stateless</t>
  </si>
  <si>
    <t>Video @Ruminstitute ,tidak tepat mengarahkan ke ISIS ex WNI RT @BangsaPlokotho: Siapa yg MAJNUN (gila), Pak @ariel_heryanto? Apakah mereka yg ISIS eks WNI ataukah yg tdk ingin mereka kembali pulang, Pak? Masih adakah CINTA di Negeri ini, Pak?</t>
  </si>
  <si>
    <t>KSP: ISIS Eks WNI Berstatus ''Stateless''</t>
  </si>
  <si>
    <t>Mahfud MD Tegaskan Pemerintah Tak Pernah Cabut Status Kewarganegaraan WNI Eks ISIS</t>
  </si>
  <si>
    <t>Pakar Hukum Nilai Pemerintah Harus Buat Kebijakan Ekstra Terkait WNI Eks ISIS</t>
  </si>
  <si>
    <t>Sudah DIPASTIKAN siapa saja yang sangat kesengsem ingin EKS WNI PRO ISIS balik Indonesia ? Jawabannya : @fadlizon @MardaniAliSera @hnurwahid DS pentolan² @PKSejahtera kaum intoleran pendukung khilafah #StopIntoleransi #stopbullying #CabutSKB2Menteri #TolakEksWNIproISIS</t>
  </si>
  <si>
    <t>Kembalinya eks WNI yg eks ISIS menimbulkan pro dan kontra. Kalau Anda? #ISIS #WNIEksISIS #WNI #kamisambyar #kamismanis #Trending #TrendingNow</t>
  </si>
  <si>
    <t>Presiden Tegaskan Tak Berencana Pulangkan ISIS Eks WNI  #pdiperjuangan</t>
  </si>
  <si>
    <t>Anggota DPR Minta Pemerintah Selektif Pulangkan WNI eks ISIS</t>
  </si>
  <si>
    <t>Cak Nawa kok lsg mengaitkan dg "Kedzaliman" 😁 Argunentasi hukumnya kan jelas. Kalau seseorang berperang untuk Negara atau Kelompok lain yang Bukan Republik Indonesia, maka gugur sudah Status WNI nya. Apalagi mereka sudah berjanji setia pada ISIS dan Membakar Paspor RI. RT @caknawa: WNI tidak boleh pulang, kedzaliman apa lagi yang kita pertontonkan ...?</t>
  </si>
  <si>
    <t>Permasalahan ISIS itu permasalahan internasional. Kalau dibilang, “mereka bukan WNI ngapain diurusin?” ya apa iya. Indo kan bagian dari PBB. Heeeeeeeee💭</t>
  </si>
  <si>
    <t>"Mereka sendiri yang menyatakan sebagai stateless. Pembakaran paspor adalah indikator," ujar Moeldoko. #ISISeksWNI #stateless</t>
  </si>
  <si>
    <t>........</t>
  </si>
  <si>
    <t>Eks WNI ISIS.</t>
  </si>
  <si>
    <t>RT @jokowi: Soal WNI eks organisasi ISIS yang dikabarkan hendak kembali ke Tanah Air, para wartawan bertanya ke saya: bagaimana dengan mereka yang telah membakar paspornya. Kalau saya saja sih, ya saya akan bilang: tidak. Tapi tentu saja, ini masih akan dibahas dalam rapat terbatas.</t>
  </si>
  <si>
    <t>#RezimAntiPancasila Ini Guru Besar Njilat-njilatinya Sampai Lidah nya Panjang #RezimAntiPancasila Komnas HAM Soroti Status WNI Eks ISIS, Guru Besar UI Emosi Bilang Begini</t>
  </si>
  <si>
    <t>RT @jokowi: Saudara-saudara kita WNI di Provinsi Hubei, Tiongkok, telah tiba di Tanah Air dengan selamat, Alhamdulillah. Mereka termasuk tim penjemput, akan melalui masa observasi selama 14 hari di Kepulauan Natuna, sebelum kembali ke keluarga masing-masing.</t>
  </si>
  <si>
    <t>.....</t>
  </si>
  <si>
    <t>Semua didasarkan aspek humanisme</t>
  </si>
  <si>
    <t>RT @jokowi: Sejumlah WNI masih berada di Wuhan, kota di Tiongkok yang sedang diisolasi karena wabah virus korona. KBRI Beijing terus menjalin kontak dengan mereka serta berupaya mengirimkan bantuan kebutuhan logistik. Mudah-mudahan, pengiriman bantuan tersebut dapat berjalan dengan baik.</t>
  </si>
  <si>
    <t>Dimana suara @KomnasHAM pada saat banyak anak2 yg jadi korban keganasan eks WNI anggota isis kalau bener @KomnasHAM peduli pafa anak2 eks WNI kenapa gak berangkat aj ke suriah Kak @LuwitaEmilly878 @Namaku_Mei @Ute58221550 @putri_lior4 @GHiugo @__MV_llestari__ @WR_4AG226 dll</t>
  </si>
  <si>
    <t>RT @jokowi: Tim penjemput dari Tanah Air sudah di perjalanan ke Tiongkok. Sebanyak 245 WNI di Provinsi Hubei sudah pula menuju titik penjemputan. Mereka semua sehat dan senang akan kembali. Mohon doa seluruh rakyat untuk tim penjemput, untuk warga negara kita, dan untuk Indonesia.</t>
  </si>
  <si>
    <t>WNI eks ISIS Diterima Muhammadiyah, Ditolak NU</t>
  </si>
  <si>
    <t>Belum tahu kalau ortunya disuruh agar dipenggal ?? Banyak hal lain yang jauh lebih penting !!</t>
  </si>
  <si>
    <t>Ragukan Keputusan Jokowi soal WNI Eks ISIS, Fadli Zon Ditegur Fadjroel: Jangan Bikin Pernyataan Baru  lewat @tribunnews</t>
  </si>
  <si>
    <t>Presiden PKS Sohibul Iman meminta pemerintah memulangkan anak-anak ISIS eks WNI. Anak-anak itu, menurut Sohibul, dapat dibina di Indonesia. #PKS #ISIS</t>
  </si>
  <si>
    <t>Ekhem ISIS eks WNI. . . RT @TirtoID: Keputusan pemerintah tidak memulangkan WNI eks ISIS menuai sorotan dari pelbagai pihak. Salah satunya menyebut pemerintah membiarkan warganya kehilangan kewarganegaraan atau stateless.</t>
  </si>
  <si>
    <t>Woi @KPAI_official #TolakAnakISISKembali Anak-anak di dalam negeri masih banyak korban bulying, yatim piatu, tawuran, nakal dll. Ngapain perhatian sama anak2 ISIS eks WNI. Nih video anak2 dibawah umur yg menjadi kombatan ISIS 👇</t>
  </si>
  <si>
    <t>Mahfud MD: Status Kewarganegaraan WNI Mantan ISIS Tak Dicabut</t>
  </si>
  <si>
    <t>Moeldoko: 689 WNI Eks ISIS Resmi Dinyatakan 'Stateless'</t>
  </si>
  <si>
    <t>Apa Kewarganegaraan ISIS Eks WNI? Moeldoko: Stateless - bestprofitsurabaya’s blog</t>
  </si>
  <si>
    <t>Pimpinan Komisi III Dukung Pemerintah Buka Peluang Pulangkan Anak WNI Eks ISIS #TauCepatTanpaBatas #BeritaTerkini #Berita #News #BeritaNasional .</t>
  </si>
  <si>
    <t>CONGOR @KPAI_official . . Anak² pengungsi jemaah Ahmadiyah di NTB, Anak perempuan dianiaya di Purworejo, di Malang anak dibully sampai patah tangan, kalian BUTA, BISU &amp; TULI. Giliran anak² ISIS CONGOR KALIAN NYARING. . .</t>
  </si>
  <si>
    <t>Bukan Jokowi yang Tentukan, Nasib WNI Eks ISIS Serahkan ke Pengadilan</t>
  </si>
  <si>
    <t>Ditolak Pulang, Jangan Biarkan WNI ISIS Tak Punya Negara</t>
  </si>
  <si>
    <t>Mau memulangkan anak2 ISIS? "We're going to slaughter you"....  #ISISGoToHell #TolakEksWNIproISIS</t>
  </si>
  <si>
    <t>#Magetan DPP #PDIPerjuangan: Pemerintah Tak Berencana Pulangkan WNI Eks ISIS  #PDIPerjuangan  RT @PDI_Perjuangan: Pemerintah Tak Berencana Pulangkan WNI Eks ISIS  #PDIPerjuangan</t>
  </si>
  <si>
    <t>Halah sok care' masalah Perundungan anak2 disekolah aja ga ada abisnya' ngapain lg ngurus anak2 yg berbahaya? Lagian blom tentu mrk mau dipisahkan dg ortunya!😡 KPAI: Negara Harus Hadir Lindungi Anak-anak WNI Eks ISIS, Mereka Korban</t>
  </si>
  <si>
    <t>Dear @amnestyindo, Tolong bela WNI yang ditipu ISIS yang tidak dibolehkan pulang ke Indonesia oleh @jokowi. Kasihan mereka terkatung-katung di negeri orang. Padahal UUD 1945 mewajibkan negara melindungi warga negaranya. Terima kasih. Salam.</t>
  </si>
  <si>
    <t>Giliran begini aja kenceng, itu anak2 yg kena bully kemaren sampe ada yg jarinya diamputasi malah diem aja. Susantooo susantooo...</t>
  </si>
  <si>
    <t>Pemerintah diharap proaktif soal pemulangan anak WNI eks ISIS</t>
  </si>
  <si>
    <t>halooo reporter, bukan WNI eks ISIS tapi ISIS eks WNI 😩</t>
  </si>
  <si>
    <t>WNI Eks ISIS Tak Dipulangkan, Sekjen DPP PKB @EmHasanuddin: Kata Mereka, Seperti Perang Salib #PKBDay</t>
  </si>
  <si>
    <t>Bapak/ibu pejabat KPAI, Ada juga itu yg di bully, suaranya kesana dong lebih kencang. Malah ngurus anak ISIS. 😑</t>
  </si>
  <si>
    <t>#Repatriasi WNI Eks ISIS dan Negara Hukum yang Demokratis - VIVA -   #Demokrasi #Indonesia</t>
  </si>
  <si>
    <t>Pakar hukum Internasional nilai sikap pemerintah untuk tidak memulangkan ISIS mantan WNI sudah tepat. @redaksisore_t7 #Redaksi</t>
  </si>
  <si>
    <t>Mahfud MD: Pemerintah tidak cabut status kewarganegaraan WNI eks ISIS</t>
  </si>
  <si>
    <t>(((Anggota ISIS eks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</si>
  <si>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PKS Dukung Pemerintah Tak Pulangkan WNI eks ISIS</t>
  </si>
  <si>
    <t>Presiden @jokowi perintahkan CEGAH &amp; TANGKAL Seluruh EX WNI ANGGOTA ISIS Agar TIDAK DAPAT menyusup datang ke Indonesia.... mudah2an anak2 buah nya Pak Jokowi taat pada Perintah Presiden.</t>
  </si>
  <si>
    <t>Penghianat bangsa jangan di pulangka ! #JejakBudayaMbakPuan</t>
  </si>
  <si>
    <t>PKS Dukung Pemerintah Tolak WNI Eks ISIS</t>
  </si>
  <si>
    <t>Sudah Bakar Paspor, Moeldoko: ISIS Eks WNI Berstatus Stateless</t>
  </si>
  <si>
    <t>Mahfud MD: WNI Eks ISIS Tak Dicabut Kewarganegaraanya, Hanya Tak Boleh Pulang ke Indonesia</t>
  </si>
  <si>
    <t>Jokowi Pilih Istilah ISIS Eks WNI Ketimbang WNI Eks ISIS, Ternyata Ini Alasannya  #jitunews #mikir</t>
  </si>
  <si>
    <t>Nanti akan diminta Jokowi data komplitnya</t>
  </si>
  <si>
    <t>Pemerintah tidak mencabut status kewarganegaraan eks ISIS.</t>
  </si>
  <si>
    <t>Maafkan.. Sy sering tdk setuju dg usulan2 partai ini. Kamu bgmn? Proses psikologis utk mrk itu rumit. Kita mampu? Hidden agenda kah? 🙄😑 #TolakAnakISISKembali ** Presiden PKS Sohibul Iman meyakini anak2 WNI eks ISIS yg dipulangkan bisa dibina kembali.</t>
  </si>
  <si>
    <t>Moeldoko: 689 WNI Eks ISIS Tak Miliki Kewarganegaraan</t>
  </si>
  <si>
    <t>ISIS telah banyak melatih &amp; merekrut anak-anak untuk menjadi pejuang, pembunuh &amp;amp; pembom bunuh diri Jangan sampai jadi celah kepulangan anak-anak WNI eks ISIS melakukan aksi teror &amp;amp; pembalasan kekalahan ISIS di timteng di Negara ini #TolakAnakISISKembali</t>
  </si>
  <si>
    <t>Habibie Center - salah satu partner WGWC - membuat sebuah kajian terkait WNI Eks ISIS pada 2019, lalu. Tim media WGWC mencoba membuat grafik atas hal tersebut sebagai salah satu respon dari masalah saat ini. Yuk…</t>
  </si>
  <si>
    <t>Apa Kewarganegaraan ISIS Eks WNI? Moeldoko: Stateless</t>
  </si>
  <si>
    <t>Pekalah kepada urusan dalam negeri ini @KPAI_official Banyak kasus yg harusnya kalian urusi, bukan masalah warga ISIS eks Wni yg diurusin. #TolakEksWNIproISIS RT @WagimanDeep: Tenangkan hatimu wahai @KPAI_official urusan anak perempuan yang di buli di Purworejo kmaren pak @ganjarpranowo sudah langsung Gercep selesaikan...klean KPAI konsentrasi ke anak2 eks WNI pro ISIS saja kerna lebih banyak duitnya disitu,</t>
  </si>
  <si>
    <t>Memulangkan ISIS eks WNI Beresiko tinggi bagi NKRI #TindakTegasIntoleran</t>
  </si>
  <si>
    <t>Bu Siti, Mereka bukan WNI. Knp masih ngeyel utk membawa mrk ke NKRI?</t>
  </si>
  <si>
    <t>Pemerintah Tak Cabut Status Kewarganegaraan WNI Eks ISIS  lewat @sayangicom</t>
  </si>
  <si>
    <t>Azis Syamsuddin Yakin Pemerintah Pikirkan Nasib Anak-anak WNI Eks ISIS #kabargolkar #Golkar #partaigolkar #Sayagolkar #golkarupdate #golkarindonesia #golkarsolid</t>
  </si>
  <si>
    <t>Jokowi Akan Pulangkan Anak Yatim eks WNI ISIS</t>
  </si>
  <si>
    <t>KPAI tydac bosan KPAI: Negara Harus Hadir Lindungi Anak-anak WNI Eks ISIS, Mereka Korban</t>
  </si>
  <si>
    <t>Menolak memulangkan ISIS eks WNI, Indonesia tidak melanggar HAM #TindakTegasIntoleran</t>
  </si>
  <si>
    <t>Tim tersebut akan mengecek langsung 689 WNI eks ISIS dan memverifikasi data, termasuk mengklasifikasi mereka ke beberapa kelompok dari ibu-ibu hingga anak-anak.</t>
  </si>
  <si>
    <t>Nah betul mereka eks WNI pa @jokowi bukan eks ISIS. Mana nich @MardaniAliSera kok diam</t>
  </si>
  <si>
    <t>Pak Mahfud, Bagaimana Kalau Anak ISIS Eks WNI Ini Keponakan Bapak? Oleh Warta Ekonomi Online</t>
  </si>
  <si>
    <t>ISIS Eks WNI Pengkhianat, Penolakan Pemerintah Diapresiasi  #pdiperjuangan</t>
  </si>
  <si>
    <t>BAJINGAN KHILAFAH &amp; "AGEN" ISIS seperti kau ini, mestinya ada diantara 600 EKS WNI PRO ISIS. Kapan kau berangkat ke Ghouta, Allepo &amp;amp; wilayah² Syiria lainnya sebagai bentuk dukunganmu kepada TERORIS ISIS &amp;amp; perlawananmu thd Assad ? | @BNPTRI  RT @felixsiauw: A few moments later.. 🤣🤣🤣</t>
  </si>
  <si>
    <t>Desmond: Bagaimana Kalau Anak ISIS Eks WNI Keponakan Mahfud?</t>
  </si>
  <si>
    <t>Menteri Mahfud MD, menyebutkan bahwa pemerintah tidak mencabut status kewarganegaraan Indonesia pendukung ISIS.</t>
  </si>
  <si>
    <t>Pak Dhe tdk memulangkan ISIS eks WNI sngat di apresiasi dgn positif, Pak Dhe printahkan kapolri utk mnindak tegas org2 prusak toleransi pun di apresiasi dgn positif. Tp ga cukup smpe disitu selama SKB 2 Menteri msh berkibar akan trs mningkat sikap intoleransi.</t>
  </si>
  <si>
    <t>Untk anak2 yg di bully kmrin &amp; sempat viral sudh ditnganin langsung oleh @ganjarpranowo @KPAI_official cukup menangani anak2 eks WNI Saja yg dri ISIS Mungkin lebih banyak duitnya disana!!!</t>
  </si>
  <si>
    <t>Kalau pentolan ISIS dulunya berhasil menginstall ideologi ekstrimis anti Pancasila ke benak para WNI. Kenapa sekarang pemerintah justru memilih untuk tidak ikut andil dalam uninstall ideologi tersebut lalu menggantinya dengan ideologi Pancasila? #TindakTegasIntoleran</t>
  </si>
  <si>
    <t>Matamu kui eks ISIS. Seng bener iku eks WNI yg menjadi ISIS</t>
  </si>
  <si>
    <t>Hahahahahaahaha.......</t>
  </si>
  <si>
    <t>Jokowi Bilang Pengikut ISIS Eks WNI, Apa Sebutan Moeldoko dan Mahfud?  #vivanews</t>
  </si>
  <si>
    <t>Penjelasan Istana Terkait Istilah ‘ISIS Eks WNI’ yang Digunakan Presiden Jokowi</t>
  </si>
  <si>
    <t>Nih ada lagi.... Halooo KPAI, WARAS TAH?</t>
  </si>
  <si>
    <t>TRANS7: "Kami sudah menegaskan bahwa Presiden Jokowi tidak akan pulangkan anggota ISIS eks WNI," kata Fadjroel Rachman, Juru Bicara Presiden. #MataNajwa #MataNajwaMenangkisISIS</t>
  </si>
  <si>
    <t>TRANS7: "Kita tegas pada sikap-sikap yang bertentangan dengan semangat NKRI. Kalau toleran terhadap mereka (WNI yang ikut ISIS), itu menyalahi hukuman internasional." kata Ace Hasan, politikus Partai Golkar. #MataNajwa #MataNajwaMenangkisISIS</t>
  </si>
  <si>
    <t>Ada Amanah UUD 1945, Damai Hari Lubis: Sebaiknya Pemerintah Permudah Eks ISIS Yang Ingin Kembali Jadi WNI #Jokowi #ISIS #RepublikMerdeka</t>
  </si>
  <si>
    <t>komentar ulil abshar soal pemulangan WNI eks ISIS :) "“A mom will always embrace her children in her lap, no matt...</t>
  </si>
  <si>
    <t>Kepada @KPAI_official kalian tau gak mengenai trinity dan alvaro. Mrka sedang berjuang setiap hari memulihkan diri. Daripada kalian mengurusi anak2 ISIS eks WNI mending mikirin mrka ini dan anak2 sekolah korban bully. RT @kisbet_: Bajer teroris ini pande kali memang bermain kata2. Cuma krna liat video tentang seorang perempuan yg sudah dewasa yg bercita2 pen jadi dokter tp nda kesampaian krna berangkat ke suriah sambil nangis udah kasian dan sok bijak2 bestari Hati kelen gak menangis liat ini?</t>
  </si>
  <si>
    <t>Kita berkutat meributkan eks wni dr isis, sementara pembiaran di dlm negeri yg mengatasnamakan agama msh melenggang . "semut di gunung bisa terlihat tapi gajah di pelupuk mata tdk terlihat". Umar bin khatab berbalik hatinya ketika kelembutan Nabi dlm membimbingnya. @mohmahfudmd</t>
  </si>
  <si>
    <t>Komnas HAM Soal ISIS: Sepanjang Mereka WNI, Pemerintah Tetap Harus Urus</t>
  </si>
  <si>
    <t>Anak demit ya ttp saja anak demit, untuk apa dipulangkan ?? #MikirPakeOtak #TolakAnakISISKembali</t>
  </si>
  <si>
    <t>Beda Pernyataan Menteri Jokowi dengan Moeldoko soal Kewarganegaan WNI yang Jadi Anggota ISIS  lewat @tribunnews</t>
  </si>
  <si>
    <t>Presiden Jokowi: Pemerintah Tidak Berencana Pulangkan WNI eks ISIS</t>
  </si>
  <si>
    <t>Menangkis ISIS: WNI Eks ISIS atau ISIS Eks WNI (Part 3) | Mata Najwa  via @YouTube</t>
  </si>
  <si>
    <t>Pemerintah Buka Opsi Pulangkan Anak-anak WNI Eks ISIS dan Teroris Lintas Batas</t>
  </si>
  <si>
    <t>Pemerintah Tolak Kepulangan WNI Eks ISIS, Ada 3 Alasan</t>
  </si>
  <si>
    <t>#Magetan | Twit Presiden #Jokowi: Pemerintah bertanggung jawab terhadap 260 juta penduduk negeri ini. Karena itu, pemerintah tidak berencana untuk memulangkan para anggota ISIS eks WNI. Saya telah memerintahkan agar 689 orang itu diidentifikasi satu per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</si>
  <si>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Siapa yg MAJNUN (gila), Pak @ariel_heryanto? Apakah mereka yg ISIS eks WNI ataukah yg tdk ingin mereka kembali pulang, Pak? Masih adakah CINTA di Negeri ini, Pak?</t>
  </si>
  <si>
    <t>DPR Dukung Keputusan Pemerintah Tolak Kepulangan WNI eks ISIS, demi Hindari Ideologi Terorisme</t>
  </si>
  <si>
    <t>Tidak seharusnya dipulangkan dan dipikirkan. Negara seharusnya hadir untuk melindungi Anak Indonesia yang mengalami kekerasan di seluruh daerah. Bukan malah melindungi penghianat.</t>
  </si>
  <si>
    <t>Bgaimana dengan ini @KPAI_official</t>
  </si>
  <si>
    <t>ISIS Eks WNI Pengkhianat, Penolakan Pemerintah Diapresiasi</t>
  </si>
  <si>
    <t>Menangkis ISIS: Ketika 18 WNI Eks ISIS Bisa Pulang pada 2017 (Part 1) | ...  via @YouTube</t>
  </si>
  <si>
    <t>Begini Alasan Anak-Istri Terduga Teroris ISIS Eks WNI Tidak Bisa Ditangani LPSK</t>
  </si>
  <si>
    <t>Ya klo kasihan brgkt donk ksna bang....temani mreka, bntu mreka dsna. Jgn yg 262jt rkyat NKRI yg dkorbankn... jgn udang2 NKRI yg dkorbankan yg susah pyah dsusun oleh pra pndri bngsa. Mardani Ingin WNI Eks ISIS Dipulangkan dan Dijaga: Kasihan Mereka</t>
  </si>
  <si>
    <t>Sesuai pendpt KomHAM tidak ada pejabat Pemerintah yg melarang Mantan ISIS ex WNI utk pulang .maka sebelum terjadi hal tsb sbg langkah yg jitu utk antisipasi.</t>
  </si>
  <si>
    <t>Stlh Pemerintah tidak memulangkan Ex WNI ISIS. Din Samsudin dan tokoh Islam lainnya mengaung. Mrk minta Pemerintah menyelamatkan anak². Itu artinya memulangkan ibunya. Skrg Pemerintah melunak. Jadi keputusan menolak dipulangkan Ex WNI ISIS belum final.</t>
  </si>
  <si>
    <t>Ada maksud apa kok ngotot banget PKS Dorong Pemerintah Pulangkan Anak-anak WNI Eks ISIS: Beri Mereka Pendidikan #TolakAnakISISKembali</t>
  </si>
  <si>
    <t>Eks Hakim Agung: Menolak ISIS Eks WNI Wewenang Pengadilan, Bukan Presiden  tugas pemerintah melindungi warganya, jadi mestinya ISIS eks WNI ga perlu diadili</t>
  </si>
  <si>
    <t>Istana Jelaskan Soal WNI Eks ISIS yang Kehilangan Kewarganegaraannya</t>
  </si>
  <si>
    <t>Cc @KPAI_official mainan anak-anak WNI pro ISIS di Suriah itu bedil beneran lho, bukan bedil yg terbuat dari pelepah daun pisang! #TindakTegasIntoleran #TolakEksWNIproISIS RT @Je_Ly: Yg spt ini yg mau dibalikin? Yakin rehabilitasi bs "membersihkan" otak mereka? Saya tidak!!!! #TolakAnakISISKembali Drpd membahayakan negeri &amp; generasi tercinta Indonesia 🇮🇩💪</t>
  </si>
  <si>
    <t>#Nasional Moeldoko : 689 Anggota ISIS Eks WNI Berstatus Tanpa Kewarganegaraan</t>
  </si>
  <si>
    <t>Bantah Pernyataan Jokowi, Mahfud MD: Kita Enggak Mencabut Kewarganegaraan WNI Eks ISIS  #jitunews #mikir</t>
  </si>
  <si>
    <t>Pekerja dari Tiongkok yg membuat rakyat tidak dapat jatah pekerjaan apa ga dicekal sekalian bos?</t>
  </si>
  <si>
    <t>Mengapa banyak yg ngotot pulangkan ISIS ex WNI? Krn Virus terrorisme itu tdk berbahaya bagi para pendukungnya apa lagi di daerah basis mereka. Yg selalu jadi target ya Bali, Ambon, dan bbrp daerah lain serta kedutaan2 negara tertentu.</t>
  </si>
  <si>
    <t>Persoalan 689 FTF kombatan ISIS eks WNI adalah masalah hukum humaniter internasional @Refugees @UN dan bukan urusan Pemerintah Indonesia, @kspgoid @Dr_Moeldoko RT @cnbcindonesia: Moeldoko: 689 Anggota ISIS Eks WNI Sudah Dikatakan Stateless</t>
  </si>
  <si>
    <t>K N T O L....</t>
  </si>
  <si>
    <t>Gue lebih setuju si melambai ini yg berangkat ke Suriah.... Daripada mengembalikan yg dr Suriah ke NKRI IDIOLOGI itu kl sdh melekat sulit dihilangkan apalagi dicekoki sejak kecil... #TolakAnakISISKembali</t>
  </si>
  <si>
    <t>duduk wni eks isis, tp isis eks wni. ojo diwolak walik, mbarai g mateng2 engko 😡😡 RT @WagimanDeep: Tenangkan hatimu wahai @KPAI_official urusan anak perempuan yang di buli di Purworejo kmaren pak @ganjarpranowo sudah langsung Gercep selesaikan...klean KPAI konsentrasi ke anak2 eks WNI pro ISIS saja kerna lebih banyak duitnya disitu,</t>
  </si>
  <si>
    <t>Jokowi Tak Pulangkan WNI Eks ISIS, Ini Respons Presiden PKS</t>
  </si>
  <si>
    <t>Demi Lindungi 260 Juta, Pemerintah Tolak Pulangkan WNI Eks ISIS  #DirgahayuRI72th</t>
  </si>
  <si>
    <t>"Kami menghormati keputusan pemerintah untuk menjaga keutuhan NKRI dari rongrongan pelaku terorisme. Karena mereka ketika memilih bergabung dengan ISIS sudah membakar paspor dan bisa dianggap memang tidak mengakui NKRI," Wasekjen PPP @acbaidowi</t>
  </si>
  <si>
    <t>Pemerintah akan mengadili eks ISIS yang kembali masuk ke Indonesia.</t>
  </si>
  <si>
    <t>Basi dan Basin ..😂 Tuh anak sekolah sudah banyak yang main bully, main gebuk, loe diem aje. Gilirin anak ISIS yang loe sendiri tidak paham malah ngebacoot.. Inget ya Eks WNI ISIS, jangan dibalik, nah gak paham kan?</t>
  </si>
  <si>
    <t>Moeldoko: 689 Anggota ISIS Eks WNI Sudah Dikatakan Stateless</t>
  </si>
  <si>
    <t>Sulit di Deradikalisasi, Dewan Ketahanan Nasional Sepakat Pemerintah Tak pulangkan ISIS Eks WNI</t>
  </si>
  <si>
    <t>he kumat maneh KPAI iki, wingi Djarum badminton dieker-eker, saiki malah ape ngomongne hak anak, bocah2 korban bully wingi neng malang &amp; purworejo lho urusen cok, instansi iki gak gelem dadi dinas pengairan sawah ae tow rodok berguna ?</t>
  </si>
  <si>
    <t>ngeri !!! klu anak2 eks WNI pro ISIS yg seperti ini pulang kembali ke Indonesia @fadlizon @MardaniAliSera @KomnasHAM #TolakAnakISISKembali</t>
  </si>
  <si>
    <t>Belain Teroris ISIS ex WNI, emang ada hubungan apa dg ISIS? #TolakAnak1sisKembali #TolakAnak1sisKembali</t>
  </si>
  <si>
    <t>Pendidikan ISIS yang mengubah anak-anak menjadi pembunuh. Bawa pulang anak2 Teroris ISIS ex WNI sama aja membawa ideologi ISIS ke Indonesia dan tunggu 10thn lagi, siap2 aja Indonesia hancur. #TolakAnak1sisKembali #TolakAnak1sisKembali</t>
  </si>
  <si>
    <t>Gw pribadi #TolakAnas1sisKembali karena gw tau anak yg orang tua nya Teroris ISIS ex WNI masih piyik sudah diajarkan cara menggorok leher manusia dewasa. Mau keluarga anda jadi korban? #TolakAnak1sisKembali</t>
  </si>
  <si>
    <t>Jgn korbankan 260 juta WNI yg selama ini setia kpd NKRI demi ambisi politik kalian ! Pengkhianat2 itu pingin pulang adalah karena ISIS Kalah BUKAN karena cinta kpd NKRI ! #TolakAnakISISKembali</t>
  </si>
  <si>
    <t>Ada Peluang Anak-anak Kombatan ISIS Mantan WNI Bisa Dipulangkan, Golkar: Harus Ada Rehabilitasi Psikososial #ISIS #PartaiGolkar #RepublikMerdeka</t>
  </si>
  <si>
    <t>RT @abcaustralia_id: @jokowi Para WNI kru kapal Diamond Princess ini belum dikarantina sejak kapal bersandar di Yokohama, 4 Feb lalu. Mereka sampai kemarin masih bekerja dengan normal melayani penumpang yang dikarantina. Kini setelah penumpang kapal pulang, nasib mereka masih belum jelas.</t>
  </si>
  <si>
    <t>Pemerintah tak perlu putuskan lewat peradilan</t>
  </si>
  <si>
    <t>Resmi, Keputusan Pemerintah untuk tidak memulangkan 689 WNI eks ISIS. #TolakEksWNIproISIS #LawanTerorisme #RezimAntiPancasila #TolakWNIEksISIS</t>
  </si>
  <si>
    <t>Setelah menonton @MataNajwa Tentang ISIS eks WNI..sebenar nya kenapa bnyak yg menolak, karena di indonesia sndiri msih tinggi intoleransi nya..</t>
  </si>
  <si>
    <t>👉Seharusnya eks WNI &amp; Kombatan ISIS, karena Paspor WNI-nya sudah dibakar sendiri artinya sudah tidak mengakui sebagai WNI.💪 Jokowi Minta 689 WNI Eks ISIS Dicekal Masuk Indonesia</t>
  </si>
  <si>
    <t>Trus kelak klo mereka melakukan sesuatu di negeri ini kalian mau tanggung jawab? Klo ga kalian aja lah yg dikirim k suriah gabung dsna gimana, kalian bina itu anak anak isis dsna bukan di Indonesia! #TolakAnakISISKembali</t>
  </si>
  <si>
    <t>BIN setujui kebijakan Pemerintah untuk tolak kepulangan WNI eks kombatan ISIS. #Pancasila #tolakpulangkankombatanisis #ISISGoToHell #NKRIHargaMati</t>
  </si>
  <si>
    <t>Tegas dan lugas Urusan penanganan 689 FTF kombatan ISIS eks WNI adalah ranah hukum humaniter internasional @Refugees @UN Pemerintah Suriah dan Irak Bukan urusan hukum nasional pak @jokowi @PolhukamRI @mohmahfudmd @Kemenag_RI @BNPTRI @KomnasHAM RT @cnbcindonesia: Jokowi Perintahkan 689 Anggota ISIS eks WNI Dicekal!</t>
  </si>
  <si>
    <t>Data Dan Gerak-gerik Anggota ISIS Eks WNI Tetap Harus Dipantau  #Polhukam</t>
  </si>
  <si>
    <t>Penyelesain masalah tidaklah hitam putih Syukurlah masih ada yang hidup di area abu-abu yang jarang dijamah</t>
  </si>
  <si>
    <t>Dipikirnya anak" WNI pro ISIS itu mainannya bedil yg dibuat dari pelepah daun pisang apa?! #TindakTegasIntoleran #TolakEksWNIproISIS RT @WahabisLokal: Buat kalian yg teriak mau Pulangin Anak2 Ex WNI ISIS Kamu pikir mau besarin anak kucing yak. Lucu2 trus besar bisa kamu atur2 gitu🤪 Woii Anak2 mrk sdh Dicekokki dan Didoktrin faham ISIS amat kuat Tulul sok pintar ya kalian!! Nih👇🏻 #TolakAnakISISKembali</t>
  </si>
  <si>
    <t>Tolak pemulangan 689 WNI eks ISIS ke Indonesia. Rasa aman dari ancaman teroris adalah yang utama bagi 267 juta rakyat Indonesia. #TolakEksISIS #TindakTegasIntoleran #RezimAntiPancasila</t>
  </si>
  <si>
    <t>Moeldoko Tegaskan 689 Kombatan ISIS eks WNI Berstatus Tanpa Negara</t>
  </si>
  <si>
    <t>Sohibul meyakini anak-anak WNI eks ISIS itu bisa kembali menjadi anak-anak yang normal, salah satunya dengan diberikan pendidikan yang layak. Banyak anak2 di Negeri ini yg masih layak dididik, ketimbang anak2 eks ISIS. #TolakAnakISISKembali</t>
  </si>
  <si>
    <t>RT @newsplatter: Gw menolak pemulangan ex WNI anggota ISIS atas dua alasan, dan dua2nya BUKAN sebagai "hukuman"/dendam: 1. Membakar paspor artinya sudah aktif menyatakan bukan WNI lagi. Jadi buat apa diurus? 2. Menjadi preseden buruk ke depan... (sambung)</t>
  </si>
  <si>
    <t>Anak-anak WNI eks ISIS di bawah 10 tahun akan dibina kontra radikalisasi. #AwasAntek2ISIS #WNIEksISIS #TolakEksWNIproISIS #RezimAntiPancasila</t>
  </si>
  <si>
    <t>Pemerintah tdk perlu beri ruang opsi pemulangan ex WNI pro ISIS. Tdk baik memisahkan anak2 dg org tuanya. Justru anak bisa jd dendam jika dipisahkan dg ortunya. Smtara mrk pasukan terlatih yg mampu membunuh tanpa rasa menyesal. #TolakAnakISISKembali</t>
  </si>
  <si>
    <t>Indonesia tolak pemulangan WNI eks ISIS dengan pertimbangan jaminan rasa aman &amp; nyaman bagi warga Indonesia dan pemulangan untuk anak kurang dari 10 tahun yang ditelusuri kasus per kasus. #AwasAntek2ISIS #TolakWNIEksISIS #TindakTegasIntoleran</t>
  </si>
  <si>
    <t>√ Pemerintah Tak Berencana Pulangkan Anggota ISIS Eks WNI @fadjroeL @JubirPresidenRI @PedomanNEWS</t>
  </si>
  <si>
    <t>Pemerintah mempunyai tanggung jawab keamanan kpd 260 juta penduduk Indonesia. Itu yg utama. Dan pemth tdk punya rencana memulangkan orang2 yg ada disana ( ISIS ex WNI ) termasuk anak2 ISIS pastinya. Jelas ya !! #TolakAnakISISKembali</t>
  </si>
  <si>
    <t>Jadi ingat anak2 WNI yg jadi korban Bom Bunuh diri. Inget juga anak2 pemain bulu tangkis yg kehilangan kesempatan berprestasi. Apakah ada yg sibuk membicarakan dan memberi solusi buat mereka? #TolakAnakISISKembali</t>
  </si>
  <si>
    <t>Sejarah mencatat anak-anak ISIS, sebagian diduga dari Indonesia, melakukan pembakaran paspor hijau. Masih perlukah pemerintah membahas rencana pemulangan WNI eks ISIS tersebut? Saya rasa tidak #TolakAnakISISKembali</t>
  </si>
  <si>
    <t>#Jitunews Bantah Pernyataan Jokowi, Mahfud MD: Kita Enggak Mencabut Kewarganegaraan WNI Eks…</t>
  </si>
  <si>
    <t>#Jitunews Jokowi Pastikan WNI eks-ISIS Tidak Dipulangkan, Kecuali Kategori Ini: Jokowi…</t>
  </si>
  <si>
    <t>Tidak ada jaminan bahwa mereka akan sembuh dari dokrin yg sudah diterima Komisi VIII Usul Anak Eks WNI ISIS yang Akan ke Indonesia di Rehabilitasi #TolakAnakISISKembali</t>
  </si>
  <si>
    <t>Pemulangan ini nanti akan ditampung di penampungan anak atau mau dimana? Apa nanti ngga menyalahi HAM lagi memisahkan anak dgn orangtua (jika masih ada)? #TolakAnakISISKembali</t>
  </si>
  <si>
    <t>Bukankah mereka udah jelas jelas berkianat dg NKRI #TolakAnakISISKembali Bukan korban ,anak istri eks wni isis tak bisa ditangani lpsk</t>
  </si>
  <si>
    <t>*FINAL !!* TIADA AMPUN BAGI PENGHIANAT BANGSA !!  Baru Baru ini beredar isu pemulangan ISIS Eks WNI hingga penolakan Presiden Jokowi terkait pemulangan ISIS Eks WNI. Berikut penjelasan mengapa ISIS Eks WNI dilarang dipulangkan ke Indonesia.</t>
  </si>
  <si>
    <t>Buat kalian yg teriak mau Pulangin Anak2 Ex WNI ISIS Kamu pikir mau besarin anak kucing yak. Lucu2 trus besar bisa kamu atur2 gitu🤪 Woii Anak2 mrk sdh Dicekokki dan Didoktrin faham ISIS amat kuat Tulul sok pintar ya kalian!! Nih👇🏻 #TolakAnakISISKembali</t>
  </si>
  <si>
    <t>Pemerintah RI sdh tegas tdk menerima kembali mantan Teroris WNI eks ISIS. Apa yg sahabat Tuips pikirkan jika mereka kembali ke Indonesia? #TolakAnakISISKembali</t>
  </si>
  <si>
    <t>Wajah anak2 eks WNI pro ISIS memang tidak jahat. Tapi siapa bisa menjamin mrk yg sdh terlatih tidak mjd maslah keamanan dlm negeri? Ada jutaan warga yg hrs dijamin keselamatannya oleh negara. #TolakAnakISISKembali</t>
  </si>
  <si>
    <t>Pemerintah Buka Opsi Pulangkan Anak-anak WNI Eks ISIS dan Teroris Lintas Batas #TolakAnakISISKembali Jgn lagi menebar virus baru di negeri ini</t>
  </si>
  <si>
    <t>.@Dr_Moeldoko menyebut WNI terduga teroris ISIS telah membakar paspor sehingga dianggap telah kehilangan status kewarganegaraan.</t>
  </si>
  <si>
    <t>Di tengah wacana repatriasi WNI eks ISIS, muncul kekhawatiran pemulangan mereka akan membawa VIRUS TERORISME baru ke Indonesia. Ngeriiikkk 😭 #TolakAnakISISKembali BBC News Indonesia - Pemulangan WNI eks ISIS: Dikhawatirkan bawa 'virus terorisme' baru</t>
  </si>
  <si>
    <t>WNI Eks ISIS Disebut Bakal Nekat Pulang Via Filipina, Mahfud MD Angkat Bicara</t>
  </si>
  <si>
    <t>Nakanak korban bom uda dikunjungi belom Pak....</t>
  </si>
  <si>
    <t>Artinya tidak ada alasan menerima mereka kembali ke tanah air. Keputusan sdh diambil, resiko wajib ditanggung. 😏 #TolakAnakISISKembali "Kalau dia jd korban, hrs ada pelakunya. Kalau mereka yg bergabung dg ISIS ini disebut dg korban, trs pelakunya siapa?"</t>
  </si>
  <si>
    <t>Makanya #TolakAnakISISKembali sj. Tdk ada yg bisa jamin mrk bebas dr virus terorisme.😒 Ace mengatakan meski masih anak2 bukan berarti belum terpapar virus terorisme. Menurutnya, dlm memori pikiran anak tersebut bisa saja shh tertanam ttg terorisme ISIS.</t>
  </si>
  <si>
    <t>Buat Pemerintah RI khususnya @BareskrimPolri @DivHumas_Polri setelah pemerintah memutuskan tdk menerima ISIS eks WNI kembali ke tanah air mari focus untuk jg wilayah kesatuan RI jgn sampai kasus begal seperti di Bintara td pagi terulang kembali. #TolakAnakISISKembali</t>
  </si>
  <si>
    <t>Kalo pemerintah sudh tegaskan tolak Ex WNI ISIS, plz #TolakAnakISISKembali juga. Anak2 tsb sdh dicuci otak u/ terbiasa melakukan tindakan2 terorisme. Apa yg sdh tertanam sjk kecil bagai fondasi. Bisa sj 4-5th berikutnya lupa, tp bisa pd saat dewasa memorinya kembali. Bahaya. 😑</t>
  </si>
  <si>
    <t>anak ISIS eks WNI mau dilindungi? bersiaplah untuk perang saudara dalam 10 tahun lagi. RT @AhlulQohwah: Di Malang anak dibully sampai patah tangan anteng, di Purworejo anak perempuan dianiaya anteng. Giliran anak ISIS suaranya kenceng.</t>
  </si>
  <si>
    <t>Sbnry KPAI ini Kategori Lembaga apa sihh?🤔 Dsaat Ad pawai Anak2 TK yg bercadar dn Bersenjata di Probolinggo bungkam,dMalang ad anak dibully sampai patah tangan Hening,di Purworejo anak prempuan dianiaya Diam! Giliran anak ISIS Nadany bela banget !</t>
  </si>
  <si>
    <t>Jokowi Perintahkan 689 Anggota ISIS eks WNI Dicekal!</t>
  </si>
  <si>
    <t>Banyak Kasus pembulian anak² saat ini, kok gak nongol sih Kalian???</t>
  </si>
  <si>
    <t>Negara juga harus lindungi mayoritas rakyat Indonesia dari ancaman ideologi ISIS.</t>
  </si>
  <si>
    <t>Ketika anak bangsa akan di bina utk berprestasi melalui cabang olah raga bulutangkis di masalahkan.... Anak eks WNI pro ISIS yg prestasinya merakit bom di bela....</t>
  </si>
  <si>
    <t>Keren Pak @jokowi nyebut mereka combatan ISIS ex WNI, jadi mereka itu bukan WNI lagi</t>
  </si>
  <si>
    <t>Jokowi Pastikan WNI eks-ISIS Tidak Dipulangkan, Kecuali Kategori Ini  #jitunews #mikir</t>
  </si>
  <si>
    <t>Meski tak boleh pulang, status kewarganegaraan WNI Eks-ISIS tidak dicabut - ANTARA News Bengkulu</t>
  </si>
  <si>
    <t>Buat yg teriak ingin pulangkan ISIS eks WNI simak video ini dg seksama jangan hanya bisa teriak HAM melulu. RT @KadalGu: Perlu di ingat !!! Ini perintah ISIS utk berjuang di Negara masing-masing.Termasuk Indonesia. Jadi saya simpulkan bahwa Kepulangan ISIS ini hanyalah MODUS !!! Cc @TolakBigotRI @AnakLolina @arjuno_ireng01 @ayah_9Garislucu @narkosun @k4ng_C1reNG @CH_chotimah</t>
  </si>
  <si>
    <t>Verifikasi WNI Eks ISIS Perlu Waktu 4 Bulan #TauCepatTanpaBatas #BeritaTerkini #Berita #News #BeritaNasional .</t>
  </si>
  <si>
    <t>Mahfud menegaskan, pemerintah hanya melarang mereka untuk pulang ke Indonesia. Untuk pencabutan kewarganegaraan, tetap harus melalui proses hukum.</t>
  </si>
  <si>
    <t>200-an juta WNI berhak hidup tanpa teror &lt;&amp;lt;&amp;lt; Ponpes yang Mau Tampung Eks ISIS Kecewa Berat: Pemerintah Gak Waras</t>
  </si>
  <si>
    <t>#Nasional Mahfud MD : Pemerintah Tak Cabut Status Kewarganegaraan WNI Eks ISIS</t>
  </si>
  <si>
    <t>Pemerintah Indonesia memastikan tidak akan memulangkan sekitar 660 WNI eks ISIS yang diduga menjadi kombatan teroris lintas batas atau foreign terrorist fighters (FTF) di beberapa negara.</t>
  </si>
  <si>
    <t>teruntuk yang teriak-teriak memulangkan warga isis ex WNI itu... RT @KadalGu: Perlu di ingat !!! Ini perintah ISIS utk berjuang di Negara masing-masing.Termasuk Indonesia. Jadi saya simpulkan bahwa Kepulangan ISIS ini hanyalah MODUS !!! Cc @TolakBigotRI @AnakLolina @arjuno_ireng01 @ayah_9Garislucu @narkosun @k4ng_C1reNG @CH_chotimah</t>
  </si>
  <si>
    <t>"Oh iya. Mendukung lah. WNA saja dalam rangka kepentingan nasional untuk bola, basket, didukung. Ini WNI bapaknya melepas, tapi anak ini kan masih ada, masa dia mau balik kita tidak bisa terima," kata Desmond. #ISIS</t>
  </si>
  <si>
    <t>Mantap redaksi katanya, ISIS ex-WNI bukan kek media mainstream WNI ex-ISIS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</si>
  <si>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Beda dengan Mahfud MD, Moeldoko Sebut Status WNI Eks ISIS Stateless ttp://bit.ly/37mc1GE</t>
  </si>
  <si>
    <t>"anggota ISIS eks WNI" !! i like that, mereka yang memutuskan buat kesana ngelepas kewarganegaraan (bakar paspor and shit) jadi ya biarkan mereka dibiarkan dengan pilihannya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</si>
  <si>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Baca nih din.</t>
  </si>
  <si>
    <t>Sudah banyak kesedihan yg disebabkan oleh radikalisme ISIS. Mau itu WNI ato bukan, kalian udah milih jadi teroris sebagai jalan ninjamu. Jadi gak usah nangis-nangis buat minta balik ke indonesia dengan alesan "kelaperan" 🤭🤣</t>
  </si>
  <si>
    <t>Menko Polhukam Mahfud Md mengatakan pemerintah Indonesia tidak mencabut status kewarganegaraan WNI eks ISIS. Ia menegaskan eks ISIS hanya tidak diperbolehkan pulang ke Indonesia. #ISIS</t>
  </si>
  <si>
    <t>"Kita kan tidak mencabut kewarganegaraannya, hanya mereka tidak boleh pulang ke Indonesia karena mereka ISIS," #MahfudMD #WNIEksISIS</t>
  </si>
  <si>
    <t>Pemerintah Akan Kirim Tim untuk Data 689 ISIS Eks WNI</t>
  </si>
  <si>
    <t>Jokowi Tegaskan Pemerintah Tak Akan Pulangkan ISIS Eks WNI</t>
  </si>
  <si>
    <t>KPAI = Komisi Pembela Anak ISIS... Setuju...??? #TolakEksWNIproISIS #TolakWNIEksISIS #TolakEksISIS</t>
  </si>
  <si>
    <t>interesting perspective</t>
  </si>
  <si>
    <t>Pemerintah Waspadai Kepulangan Eks WNI ISIS Lewat Jalur Tikus</t>
  </si>
  <si>
    <t>"Bahwa WNI kehilangan kewarganegaraan Indonesianya apabila dia bergabung dengan militer asing tanpa izin Presiden," kata Dini Purwono.</t>
  </si>
  <si>
    <t>Ingat yah mereka adalah 'ISIS eks WNI' Catat itu Bentar lagi Kadrun ngamuk</t>
  </si>
  <si>
    <t>Sohibul meminta agar masalah ini dilihat dari pelbagai sisi, terutama status kewarganegaraan mereka. #WNI</t>
  </si>
  <si>
    <t>Pemerintah Indonesia memastikan tidak akan memulangkan sekitar 660 WNI eks ISIS yang diduga menjadi kombatan teroris lintas batas atau _foreign terrorist fighters_ (FTF) di beberapa negara. Hal itu diputuskan dalam rapat kabinet yang dipimpin Presiden Joko Widodo di Istana Bogor.</t>
  </si>
  <si>
    <t>Untuk kesekian kalinya @DPR_RI menunjukkan ketidakberpihakannya kepada masyarakat. Ketika banyak masyarakat menolak pemulangan ISIS eks WNI, mereka justeru mendukung  @jokowi @PolhukamRI @mohmahfudmd @BNPTRI #TolakWNIEksISIS</t>
  </si>
  <si>
    <t>Tenangkan hatimu wahai @KPAI_official urusan anak perempuan yang di buli di Purworejo kmaren pak @ganjarpranowo sudah langsung Gercep selesaikan...klean KPAI konsentrasi ke anak2 eks WNI pro ISIS saja kerna lebih banyak duitnya disitu,</t>
  </si>
  <si>
    <t>Presiden PKS Sohibul Iman meyakini anak-anak WNI eks ISIS yang dipulangkan bisa dibina kembali, salah satunya dengan pendidikan.</t>
  </si>
  <si>
    <t>Wakil Ketua Komisi VIII DPR dari Fraksi Partai Golkar, @acehasan76 mengusulkan adanya rehabilitasi khusus terhadap anak-anak ISIS eks WNI #kabargolkar #Golkar #partaigolkar #Sayagolkar #golkarupdate #golkarindonesia #golkarsolid</t>
  </si>
  <si>
    <t>Kelakuan tak pantas seprti ini hrusnya Lebih di Perhatikan daripda sibuk mikirin memulangkan WNI terjngkit ISIS. Saya yakin pak @ganjarpranowo Mampu dan Berusaha memperbaiki keadaan Anak Di Jateng. GBU RT @black__valley1: Tolong Viralkan biar anak² bego divideo ini di DO aja dari sekolahnya 😠😠😠 apalagi anak cewe yg dibully ini kekurangan gak kaya anak normal . Cc @ganjarpranowo</t>
  </si>
  <si>
    <t>ralat: ISIS eks WNI. jangan dibalik2 nyet! RT @CNNIndonesia: Jokowi Minta 689 WNI Eks ISIS Dicekal Masuk Indonesia</t>
  </si>
  <si>
    <t>Pemerintah Tak Berencana Pulangkan Anggota ISIS Eks WNI Pemerintah memiliki tanggung jawab untuk memberikan rasa aman bagi kurang lebih 260 juta penduduk Indonesia. Lanjut scroll kebawah ⬇️</t>
  </si>
  <si>
    <t>Mengutip data CIA, pemerintah Indonesia memutuskan tidak akan memulangkan WNI yang bergabung dengan ISIS.</t>
  </si>
  <si>
    <t>Tak cabut status WNI, pemerintah tetap tolak kepulangan eks ISIS</t>
  </si>
  <si>
    <t>Dukung keputusan tolak terroris ISIS. Mereka pergi dengan kemauan mereka sendiri dan mereka membakar pasport mereka. mereka bukan eks ISIS tapi sebenranya mereka ISIS yang eks WNI. #TolakEksISIS</t>
  </si>
  <si>
    <t>Jangan sampai terjadi repatriasi atau masuk diam2 Tolak dan cekal 689 FTF kombatan ISIS eks WNI @jokowi @mohmahfudmd @PolhukamRI RT @CNNIndonesia: Jokowi Minta 689 WNI Eks ISIS Dicekal Masuk Indonesia</t>
  </si>
  <si>
    <t>Jokowi : Tidak Akan Memulangkan dan Mencekal Ratusan WNI eks ISIS -</t>
  </si>
  <si>
    <t>Bapak Jokowi Minta Kapolri Tindak Tegas Warga yang Tolak Renovasi Gereja di Karimun dan menegaskan bahwa pemerintah TIDAK memulangkan isis eks wni. wes ngono bae, mantep presiden kita !</t>
  </si>
  <si>
    <t>KPAI itu singkatan Komisi Perlindungan Anak Isis kah... Banyak anak di bulli.. kpai diem..kmarin bermasalah dengan pembinaan atlet bulu tangkis... Kok malah ngurusin anak ISIS KPAI: Negara Harus Hadir Lindungi Anak-anak WNI Eks ISIS, Mereka Korban</t>
  </si>
  <si>
    <t>Jokowi Minta 689 WNI Eks ISIS Dicekal Masuk Indonesia</t>
  </si>
  <si>
    <t>Diminta Buktikan 689 Eks ISIS Masih WNI, Fadli Zon: Harus Diverifikasi Satu-satu</t>
  </si>
  <si>
    <t>Tak menutup kemungkinan, kata Choirul Anam, anak-anak dari WNI anggota ISIS dan teroris lintas batas pun mendapat ajaran paham radikal.</t>
  </si>
  <si>
    <t>Antri loket membeli karcis Karcis buat pergi berlayar Tiada tempat buat pro ISIS Jangan sampe negeri ini buyar Kapal berlayar ke kota raja Brlayar cepat ombaknya deras Liat siswa dibully KPIA diam aja Giliran anak ISIS teriak keras #TindakTegasIntoleran</t>
  </si>
  <si>
    <t>Semua pejabat Indonesia menolak pemulangan WNI eks-ISIS. Presiden Joko Widodo, Menkopolhukam Mahfud MD, kepala keamanan, dan hingga para pemimpin agama. Kini mereka hidup terdampar di Suriah. Baca kisahnya di sini:  #ISIS #MataMataPolitik</t>
  </si>
  <si>
    <t>Pimpinan Komisi III DPR Dukung Pemulangan Anak WNI Eks ISIS Wakil Ketua Komisi I</t>
  </si>
  <si>
    <t>Lalu anak2 yg tekena bom di surabaya yg diklaim ISIS yg melakukananya, mana suara mu???? Dasar soplak..</t>
  </si>
  <si>
    <t>wahai syiah, kalian pasti HANCUR ! Bersiaplah</t>
  </si>
  <si>
    <t>Istana Sebut 689 WNI Eks ISIS Stateless</t>
  </si>
  <si>
    <t>KIAI NU Diusulkan Jadi Bapak Asuh Anak-anak ISIS Eks WNI Jika Jadi Dipulangkan Pemerintah  lewat @wartakotalive</t>
  </si>
  <si>
    <t>Bukti nyata kalangan masyarakat menolak WNI eks ISIS kembali pulang ke Indonesia 😇 #SangPemimpinIdola #kamisambyar #Kerupuk #LucuItuPas #Valentinewithkaye #fmipa #TindakTegasIntoleran</t>
  </si>
  <si>
    <t>WHO pasti punya data akurat...Lha tempo hari ada yg bilang sebaliknya, mana yg benar?</t>
  </si>
  <si>
    <t>Menjadi stateless adalah resiko yg harus dihadapi oleh Eks WNI Pro ISIS yg sudah membakar Paspornya. Resiko mati saja katanya sudah siap ? RT @Je_Ly: Biar tau rasa. Resiko tanggung penumpang. Siap ditolak sana sini aj 😏 Mnrt Moeldoko, tak perlu ada proses peradilan u/ mencabut status kewarganegaraan tsb. "Ya, kan krn mereka sendiri yg menyatakan sbg stateless. Pembakaran paspor adl suatu indikator,"</t>
  </si>
  <si>
    <t>Istana Kepresidenan: Anggota ISIS eks WNI berstatus tanpa kewarganegaraan  #ISIS</t>
  </si>
  <si>
    <t>... Clear ya🙂,... Stateless !!🤔,... Jangan sebut lagi WNI eks ISIS,... tapi sebut "eks WNI pro ISIS" 🤔,... #TindakTegasIntoleran</t>
  </si>
  <si>
    <t>Presiden Joko Widodo menegaskan pemerintah tidak akan memulangkan WNI yang tergabung dalam ISIS. Alasannya untuk melindungi ratusan juta penduduk Indonesia lainnya. Pilihan pemerintah ini menimbulkan pro dan kontra. #CNNIDNewsReport</t>
  </si>
  <si>
    <t>Tai!!!! BUBARKAN SAJA KPAI..,NGK GUNA SAMA SEKALI</t>
  </si>
  <si>
    <t>Desmond: Bagaimana Kalau Anak ISIS Eks WNI Keponakan Mahfud? #TolakEksWNIproISIS #KomisiIIIDPR #RepublikMerdeka</t>
  </si>
  <si>
    <t>Kepala Staf Kepresidenan Moeldoko menjelaskan WNI eks ISIS secara otomatis sudah kehilangan status kewarganegaraannya.</t>
  </si>
  <si>
    <t>Pemerintah Tidak Berencana Pulangkan ISIS Eks-WNI. Presiden Jokowi: Saya Kira Pemerintah Tegas Untuk Hal Ini #RakyatRukun</t>
  </si>
  <si>
    <t>Mahfud MD: Status WNI Eks ISIS Tak Dicabut, Hanya Tidak Boleh Pulang</t>
  </si>
  <si>
    <t>Pemerintah Tegas Menolak, WNI Eks ISIS Pasrah: Mungkin Allah Punya Rencana Lebih Baik</t>
  </si>
  <si>
    <t>Pemerintah Tak Pulangkan WNI Eks ISIS, Muncul Pertanyaan Bagaimana Jika Mereka Pulang Sendiri #pkbday</t>
  </si>
  <si>
    <t>Soal Eks WNI Kombatan ISIS, PKB Anggap Sikap Pemerintah Bersayap' #pkbday</t>
  </si>
  <si>
    <t>GP Ansor: Sikap Pemerintah Bersayap Terkait eks WNI Kombatan ISIS #pkbday</t>
  </si>
  <si>
    <t>PKB: Eks WNI Kombatan ISIS Harus Dibedah Secara Komprehensif #pkbday</t>
  </si>
  <si>
    <t>WNI Eks ISIS Tak Dipulangkan, Sekjen DPP PKB: Kata Mereka, seperti Perang Salib #pkbday</t>
  </si>
  <si>
    <t>Soal Pemulangan WNI Eks ISIS, MUI Tetap Kedepankan UU  via @Metro</t>
  </si>
  <si>
    <t>PKB Anggap Sikap Pemerintah Bersayap Sikapi WNI Eks ISIS #pkbday</t>
  </si>
  <si>
    <t>Pemerintah Tak Berencana Pulangkan Anggota ISIS Eks WNI</t>
  </si>
  <si>
    <t>Soal ISIS Eks WNI, PKB Anggap Sikap Pemerintah Bersayap #pkbday</t>
  </si>
  <si>
    <t>Pemerintah tolak WNI eks isis,yg di salahkan persiden,klau teroris ngebom,yg di salahkan jga presiden,sedangkan yg keberatan dengan usul pemerintah adalah warga sendiri, mmng warga +62🤦‍♀ #IndonesiaDamaiTanpaISIS #Indonesia</t>
  </si>
  <si>
    <t>Kalau 600 Eks WNI Kombatan ISIS ingin hidup damai, kami yang 250jt lebih juga ingin hidup damai, makanya jangan dipulangkan KH Ahmad Nadzif Abdul Mujib #TindakTegasIntoleran  lewat @YouTube</t>
  </si>
  <si>
    <t>Presiden Jokowi telah menyebut mereka "ISIS eks WNI", sehingga tidak akan dipulangkan ke Indonesia.</t>
  </si>
  <si>
    <t>Pengawasan Jalur Tikus WNI eks ISIS Diperketat</t>
  </si>
  <si>
    <t>Balasan Menohok Fadli Zon saat Nama Prabowo Disindir Jubir Presiden Jokowi di Acara Mata Najwa  via @tribunkaltim #MataNajwa #FadliZon #FadjroelRachman #WNI #ISIS #DebatPanas</t>
  </si>
  <si>
    <t>Komisi III Dukung Pemerintah Buka Peluang Pulangkan Anak-anak WNI Eks ISIS  #DariSuara</t>
  </si>
  <si>
    <t>Menolak Memulangkan ISIS Eks WNI, Indonesia Tidak Melanggar HAM. #TindakTegasIntoleran</t>
  </si>
  <si>
    <t>Mantap Pak @jokowi  RT @decanwaskita: MEREKA ADALAH Warga Negara ISIS ex WNI Warga Negara ISIS ex WNI Warga Negara ISIS ex WNI Warga Negara ISIS ex WNI Warga Negara ISIS ex WNI Warga Negara ISIS ex WNI Warga Negara ISIS ex WNI Warga Negara ISIS ex WNI Warga Negara ISIS ex WNI JANGAN DIBOLAK BALIK</t>
  </si>
  <si>
    <t>Anak2 kecil itu bkn WNI, mrka anak hasil perkosaan, bapak mrka tuh ISIS. RT @wisanggeni_084: Ketika anak bangsa akan di bina utk berprestasi melalui cabang olah raga bulutangkis di masalahkan.... Anak eks WNI pro ISIS yg prestasinya merakit bom di bela.... Karep mu opo son ?</t>
  </si>
  <si>
    <t>Biar tau rasa. Resiko tanggung penumpang. Siap ditolak sana sini aj 😏 Mnrt Moeldoko, tak perlu ada proses peradilan u/ mencabut status kewarganegaraan tsb. "Ya, kan krn mereka sendiri yg menyatakan sbg stateless. Pembakaran paspor adl suatu indikator,"</t>
  </si>
  <si>
    <t>versus  baca ya @KomnasHAM</t>
  </si>
  <si>
    <t>Debat Panas Anak Buah Jokowi dan Fadli Zon Soal Teroris, hingga Singgung Nama Prabowo Subianto  via @tribunkaltim #DebatPanas #FadjroelRachman #PrabowoSubianto #Jokowi #FadliZon #Teroris #WNI #ISIS #MataNajwa #NajwaShihab</t>
  </si>
  <si>
    <t>DPR apresiasi keputusan pemerintah tidak akan pulangkan WNI eks ISIS #OPMBubarPapuaAman</t>
  </si>
  <si>
    <t>"Sudah dikatakan stateless," ujar Moeldoko, menanggapi pertanyaan soal WNI terduga teroris lintas batas dan eks ISIS.</t>
  </si>
  <si>
    <t>Wartawan memahaminya saja sudah beda, wartawan cnn menyebut mereka dengan sebutan WNI eks ISIS, bukannya ISIS eks WNI. RT @DjanChoek: Moralitas wartawan CNN dan pemulangan eks. ISIS. Apa ug ditunjukan wartawan ini sungguh mengkhawatirkan. Apa yg bisa diharapkan dari seseoranh yang rela mengorbaan jutaan perasaan hanya bela 600-an pengkhianat?</t>
  </si>
  <si>
    <t>Disaat anak2 korban bully di depan mata, eh malah ributin anak2 warga isis eks WNI nun jauh di sonoh... Bangkeee kpai negh 👎👎</t>
  </si>
  <si>
    <t>Apa yg blum jelas bagi @KomnasHAM ??? Mereka pergi mnjadi teroris dgn sadar atas kemauan mereka sendiri, bahkan dgn sembunyi2 demi tercapai niat Jihad nya" Buka mata, buka Hati bukan hya RI yg tegas menolak kepulangan eks WNI Di negara2 lainpun menolak</t>
  </si>
  <si>
    <t>Verifikasi akan dilakukan oleh tim gabungan dari BNPT, BIN, dan juga kepolisian.</t>
  </si>
  <si>
    <t>Wooooyyy.... kebalik.!!! Yang bener tuh isis EKS WNI...  RT @triwul82: Istana: 689 WNI Eks ISIS Stateless</t>
  </si>
  <si>
    <t>Jokowi Pakai Istilah ISIS Eks WNI, Kenapa?</t>
  </si>
  <si>
    <t>Istana: 689 WNI Eks ISIS Stateless</t>
  </si>
  <si>
    <t>Dg pernyataan ini justru membenarkan ISIS bagian dr negara asing atau membantu negara asing (AS, kata Pak Din), berarti unsur negara terpenuhi dlm uu nomor 2 th 2007 tentang kehilangan WNI nya. Mantap bukan WNI lagi. @mohmahfudmd @jokowi</t>
  </si>
  <si>
    <t>Berdasarkan UU 12/2006, tidak melanggar HAM kalo Indonesia tolak kepulangan ISIS eks WNI #OPMBubarPapuaAman</t>
  </si>
  <si>
    <t>Memulangkan ISIS eks WNI beresiko tinggi bagi NKRI #KeputusanTerbaik #OPMBubarPapuaAman</t>
  </si>
  <si>
    <t>Mereka korban!!?</t>
  </si>
  <si>
    <t>Ngga masalah kok Indonesia ngga pulangin ISIS eks WNI, tidak melanggar HAM #OPMBubarPapuaAman</t>
  </si>
  <si>
    <t>Jangan pulangkan ISIS eks WNI! #OPMBubarPapuaAman</t>
  </si>
  <si>
    <t>Di Malang anak dibully sampai patah tangan anteng, di Purworejo anak perempuan dianiaya anteng. Giliran anak ISIS suaranya kenceng.</t>
  </si>
  <si>
    <t>Emang udah bekas ya tinggalin aja</t>
  </si>
  <si>
    <t>Sangat setuju. Tolak pemulangan WNI eks ISIS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</si>
  <si>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Mereka bukan WNI Eks ISIS Tpi ISIS Eks WNI. PAHAM?!</t>
  </si>
  <si>
    <t>Loe mau adopsi @KPAI_official ? 😁</t>
  </si>
  <si>
    <t>Ingat ISIS Eks WNI Bukan WNI Eks ISIS, Presiden @jokowi : Pemerintah Tak Berencana Pulangkan Anggota ISIS Eks WNI Keterangan Pers, Istana Merdeka, 12 Feb 2020 #BersamaIndonesiaMaju #SDMUnggulIndonesiaMaju #JokowiMembangunIndonesia Cekidot Videonya Ni Dab!</t>
  </si>
  <si>
    <t>ISIS &amp; SURIAH TAKUT TERHADAP PASUKAN ARAB SAUDI</t>
  </si>
  <si>
    <t>Presiden @jokowi tegas menyebut ISIS EKS WNI Salut untul ketegasan bapak Tolong pertegas juga sikap bapak terhadap SKB 2 Mentri RT @Beritasatu: Ini Alasan Presiden Sebut ISIS Eks WNI</t>
  </si>
  <si>
    <t>Pemerintah Tak Pulangkan WNI Eks ISIS, Muncul Pertanyaan Bagaimana Jika Mereka Pulang Sendiri</t>
  </si>
  <si>
    <t>Kembalikan ex WNI simpatisan ISIS sama aja bawa penyakit ke Indonesia RT @Galihzainur1: Sebelum Nasi Mjd Bubur Dan Semua Tinggal Derita Simak Tragedi Berdarah ini untuk Penghianat NKRI. CC: @fadlizon @KPAI_official @KomnasHAM @hnurwahid @Kemenag_RI @felixsiauw @Fahrihamzah #BasmiRadikalisme Apa Yg Bisa Kita Harapkan Dari Kepulangan #ISIS Selain Kehancuran dan Derita</t>
  </si>
  <si>
    <t>Akhirnya pemilihan kata yang sangat baik. Anggota ISIS "eks"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</si>
  <si>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WNI Eks ISIS Tak Dipulangkan, Sekjen DPP PKB: Kata Mereka, seperti Perang Salib</t>
  </si>
  <si>
    <t>ini maap kalo sensitif... kalo terlibat ISIS uda di sebut Ex WNI jangan di tanya WN mana... Mereka sudah di katakan stateless... apa itu stateless... Orang yang sudah tidak diakui negara manapun dan tidak menjadi warga negara manapun...</t>
  </si>
  <si>
    <t>Tak Mau Dimanfaatkan Teroris, Mahfud MD Enggan Ungkap Langkah Antisipasi WNI Eks ISIS Pulang Sendiri  lewat @tribunnews</t>
  </si>
  <si>
    <t>Staf Khusus Presiden bidang Hukum, Dini Purwono, menjelaskan alasan Jokowi menyampaikan istilan ISIS eks WNI.</t>
  </si>
  <si>
    <t>Nah @CNNIndonesia tolong banget banget sampaikan pernyataan pak Jokowi ini kepada jurnalis anda, Bimo Wiwoho yang menulis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</si>
  <si>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Status kewarganegaraan WNI eks ISIS otomatis gugur</t>
  </si>
  <si>
    <t>Paspor eks WNI pro ISIS luar negri diBLOKIR... Tindakan Tegas bahwa Tidak Ada Nego dgn Radikalisme Teruskan Jihad sampe dijemput 27 Bidadari 👍</t>
  </si>
  <si>
    <t>Ini Alasan Presiden Sebut ISIS Eks WNI</t>
  </si>
  <si>
    <t>Pandangan CERDAS Ahli Hukum Tata Negara Prof. Irman Putra Sidin Soal Pemulangan WNI eks ISIS</t>
  </si>
  <si>
    <t>Jgn mau dibegoin sm pembela dan simpatisan ISIS,,, yg benar nyebutnya kombatan ISIS eks WNI yak ===&gt;&amp;gt; Ingat ISIS Eks WNI Bukan WNI Eks ISIS, Presiden Jokowi: Pemerintah Tak Berencana Pulangkan Anggota ISIS Eks WNI</t>
  </si>
  <si>
    <t>Tegas Tolak Pemulangan WNI eks ISIS, Jokowi Sebut Mereka ISIS eks WNI  via @tribunnews</t>
  </si>
  <si>
    <t>Ketegasan Presiden dlm menyikapi pemulngan 689 yg ktnya eks ISIS menurut versi KADRUN. Tpi dlm prnyataan Presiden mereka adlh ANGGOTA ISIS EKS WNI. klo eks WNI knp kalian teriak2 minta pemerintah pulangin mereka, khn bkn WNI lgi!? Salut buat Bpk Joko Widodo💪sehat sllu Aamiin🙏</t>
  </si>
  <si>
    <t>Prof Mahfud MD menyebutkan bhw ex kombatan ISIS tdk mengakui sebagai WNI. #TindakTegasIntoleran #TindakTegasIntoleran *</t>
  </si>
  <si>
    <t>Menteri Mahfud MD mengatakan keputusan untuk tidak memulangkan WNI yang diduga pendukung ISIS didasarkan pada hukum tertinggi.</t>
  </si>
  <si>
    <t>Mendidik intoleransi sejak usia dini.... persis cara ISIS mendoktrin bocah2 Eks WNI.... RT @tahupetismanis: Ini Kepsek dn Guru SDN di Singkawang yg mendenda muridnya gara2 nnton cap Gomeh. Katanya utk pendidikan agama siswa krn itu ritual. Cm melihat, apa auto kapir buk?? Ini malah pendidikan kerukunan dn toleransi antar umat beragama..buukk!!!🤦‍♀️ @jokowi @Aryprasetyo85 @Namaku_Mei</t>
  </si>
  <si>
    <t>Presiden Jokowi menggunakan istilah eks WNI untuk menyebut para kombatan yang bergabung dengan ISIS. Ini alasannya! #Jokowi #ISIS</t>
  </si>
  <si>
    <t>Menolak memulangkan ISIS eks WNI Indonesia tidak melanggar HAM #OPMBubarPapuaAman</t>
  </si>
  <si>
    <t>Memulangkan eks WNI pro ISIS beresiko tinggi bagi NKRI #OPMBubarPapuaAman</t>
  </si>
  <si>
    <t>Judul yg bener adalah pemerintah Indonesia menolak eks WNI yg tergabung dl ISIS,</t>
  </si>
  <si>
    <t>Presiden Jokowi mengatakan pemerintah tidak berencana untuk memulangkan lebih dari 600 orang di kamp-kamps Suriah, yang dia sebut sebagai `ISIS eks WNI`. Namun, ada peluang untuk repatriasi anak. Jadi, perlu atau tidak anak-anak WNI eks-ISIS dikembalikan ke Indonesia?</t>
  </si>
  <si>
    <t>Apresiasi atas keputusan Pemerintah untuk menolak pemulangan WNI eks ISIS! #TolakEksISIS #TolakEksWNIproISIS #TolakPemulanganWNIeksISIS #CabutStatusWNIproISIS #TolakPulangkanKombatanISIS #PersatuanIndonesia #PresidenJokowi #NKRIHargaMati</t>
  </si>
  <si>
    <t>BACOT , yg didalam negri gak diurusi !! Apa @KPAI_official ud terkontaminasi juga ?!!</t>
  </si>
  <si>
    <t>Mau made in USA atau made in mana pun juga, tetap saja seperti Preaiden Jokowi bilang "TOLAK MEMULANGKAN EX WNI YANG MENJADI ISIS", kalau ada yang tetap ngotot mau pulangkan, sekalian saja pergi bergabung kesana RT @spiderr__matrix: Sudah tahu begini malah setuju dipulangkan si dien. #TolakEksWNIproISIS Kan peak si Dien..!</t>
  </si>
  <si>
    <t>"Sehingga cegah tangkal itu bisa dilakukan di sini kalau data itu dimasukkan ke imigrasi." ujar Jokowi.  SETOEDJOE 👍 cekal saja mereka, Pakde @jokowi ! jangan kotori tanah Bhinneka Tunggal Ika ini dengan pemahaman mereka yg picik ! #TindakTegasIntoleran</t>
  </si>
  <si>
    <t>Salim Said Usul WNI eks ISIS Ditampung di Pulau Buru, Politikus PDIP Nilai Konyol: Tidak Bisa Begitu</t>
  </si>
  <si>
    <t>Kalian tidak menghargai hak saya juga? Hak jutaan masyarakat Indonesia? Gini, bro Saya bayar pajak, mereka tidak. Saya mencintai negeri ini, mereka tidak. Kenapa harus dipulangkan? Komnas HAM Desak Seluruh WNI Eks ISIS Dipulangkan -</t>
  </si>
  <si>
    <t>Bkn eks ISIS tp eks WNI kombatan ISIS ,,, mrk itu msh tetap gerombolan terorisme yg sdh menanggalkan kewarganegaraan nya ,,, kalo si Din ini memang donatur kombatan ISIS gerombolan teroris itu  RT @Mmahalik2: Tapi semua TERORIS 😡</t>
  </si>
  <si>
    <t>Kepala BIN mengatakan negara lebih memprioritaskan keamanan 267 juta rakyat Indonesia dibandingkan 600-an simpatisan ISIS.</t>
  </si>
  <si>
    <t>Pemulangan Anak-anak dan Perempuan WNI Eks ISIS Harus Dipertimbangkan</t>
  </si>
  <si>
    <t>WNI eks isis ga dipulangkan(bagos), tp klo yg anak kecil gw ga tega bgt anjir😭</t>
  </si>
  <si>
    <t>GERAKAN PECAT Sempat terpikirkan kenapa Fadli Zon begitu ngeyel bersuara menginginkan eks WNI ISIS pulang ke Indonesia. ..??? Ternyata Fadli Zon salah satu donatur untuk Pemberontakan ISIS di Suriah. Pada bulan Mei 2015, Fadli Zon (semasa jadi Wakil Ketua DPR RI)</t>
  </si>
  <si>
    <t>Pakar Hukum Internasional mengatakan warga negara Indonesia pendukung ISIS telah kehilangan kewarganegaraannya.</t>
  </si>
  <si>
    <t>"Anggota isis eks WNI" adalah pilihan diksi yang cakep.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</si>
  <si>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#TindakTegasIntoleran tolak ISIS eks WNI</t>
  </si>
  <si>
    <t>Ketua MPR RI Bambang Soesatyo mendukung keputusan pemerintah yang membatalkan rencana pemulangan WNI eks ISIS. Begini penjelasannya: #ISIS #Bamsoet</t>
  </si>
  <si>
    <t>GISS: Sebut ISIS Eks WNI, Jokowi Aminkan Klaim ISIS Sebagai Negara Berdaulat</t>
  </si>
  <si>
    <t>Fadli Zon Bantah Klarifikasi Fadjroel Rachman soal Isu WNI Eks ISIS: Itu Gara-gara Menteri Agama  lewat @tribunnews</t>
  </si>
  <si>
    <t>PKB: Eks WNI Kombatan ISIS Harus Dibedah Secara Komprehensif #IndonesiaDamaiTanpaISIS  @cakimiNOW @EmHasanuddin @DPP_PKB @FraksiPKB @Gardabangsaa #pkbday #diehard #sahabatodie</t>
  </si>
  <si>
    <t>Yang ngotot mulangin ISIS eks WNI pastinya ya golongan mereka. Sebagian ngantor di Senayan, mungkin juga di lingkaran Istana ...  RT @ayunovita__: Selamat menikmati ya Akhi Ukhty, apa yang kau tanam pasti akan kau petik juga😊 #TolakEksWNIproISIS Ramaikan Yuk, Retweet massal 🙏 @TolakBigotRI @YRadianto @Parapat_Nixon @03__nakula @1504ers @4Y4NKZ</t>
  </si>
  <si>
    <t>Setuju enggak dengan keputusan ini? Bagaimana aturan hukumnya? SIMAK!</t>
  </si>
  <si>
    <t>PT Solid Gold Berjangka | Tok! Pemerintah Tak Akan Pulangkan WNI Eks ISIS - Tok! Pemerintah Tak Akan Pulangkan WNI Eks ISIS – PT Solid Gold Berjangka PT Solid Gold Berjangka Semarang | Pemerintah memutuskan tidak memulangkan WNI eks ISIS ataupun...</t>
  </si>
  <si>
    <t>Bamsoet Dukung Keputusan Pemerintah Soal Pembatalan Pemulangan WNI Eks ISIS</t>
  </si>
  <si>
    <t>Nasib WNI Eks ISIS Tidak Bisa Diputuskan Lewat Ratas di Istana</t>
  </si>
  <si>
    <t>Presiden Joko Widodo (Jokowi) membuka peluang memulangkan anak-anak WNI bekas pengikut ISIS jika ada yang telantar di Timur Tengah. Namun, pemerintah akan mengidentifikasi mereka dulu.</t>
  </si>
  <si>
    <t>#TindakTegasIntoleran</t>
  </si>
  <si>
    <t>Bamsoet Dukung Keputusan Pemerintah Soal Pembatalan Pemulangan WNI Eks ISIS  via @Indopolitika</t>
  </si>
  <si>
    <t>Pakai Istilah ISIS Eks WNI, Istana: Presiden Jokowi Konsisten dengan UU Kewarganegaraan #TauCepatTanpaBatas #BeritaTerkini #Berita #News #BeritaNasional .</t>
  </si>
  <si>
    <t>Menkopolhukam: Pemerintah Akan Tangkap WNI eks ISIS yang Masuk ke Indonesia Lewat Jalur Tikus</t>
  </si>
  <si>
    <t>Mantap..</t>
  </si>
  <si>
    <t>Eks WNI ISIS. Mereka udah bakar pasport, kemaren kemaren juga gak mau ngaku warga Indonesia. Gak usah dibilang WNI lagi. RT @TirtoID: Keputusan pemerintah tidak memulangkan WNI eks ISIS menuai sorotan dari pelbagai pihak. Salah satunya menyebut pemerintah membiarkan warganya kehilangan kewarganegaraan atau stateless.</t>
  </si>
  <si>
    <t>RADIKALISM sama bahayanya dgn NARKOBA, kebiasaan KORUP, budaya SELINGKUH jg PORNOGRAFI. ada efek adiktif serta hasrat mengulang mskpn sdh lama prnah terjadi. Tp apkh seorang "BAPAK" perlu mengusir mrk yg terlanjur terpapar atau bhkn cm terkait?</t>
  </si>
  <si>
    <t>Din Syamsuddin: WNI Eks ISIS Jangan Digeneraalisir</t>
  </si>
  <si>
    <t>Tegas Tolak Pemulangan, Jokowi Gunakan Kata 'ISIS eks WNI': Hanya Kriteria Ini yang Bisa Dipulangkan  via @tribunnewswiki</t>
  </si>
  <si>
    <t>isu pemulangan ex wni isis merupakan ancaman bagi setiap orang tua yg memiliki anak berusia dibawah 10thn krn ketika mreka dewasa maka bibit isis yg kembali sudah berbuah dan siap menjadi ancaman buat mereka</t>
  </si>
  <si>
    <t>Saat mereka melakukan pembunuhan dan terrorisme, kita mengutuk mereka atas nama kemanusiaan. Dan skarang saat mreka tdk di izinkan pulang, kita salahkan pemerintah atas nama kemanusiaan. Jadi sebenarnya kemanusiaan itu apa???</t>
  </si>
  <si>
    <t>Kalau eks WNI ISIS itu berbuat teror di Indonesia, apa #komnasHAM Mau bertanggung jawab ? #AwasAntek2ISIS</t>
  </si>
  <si>
    <t>Ini punya otak gak sih? Kalo emang gak fungsi bubarin aja lah.</t>
  </si>
  <si>
    <t>Jokowi Perintahkan Imigrasi Cekal WNI Eks ISIS Pulang ke Indonesia</t>
  </si>
  <si>
    <t>PWNU Sulut Dukung Pemerintah Tolak Kepulangan WNI Eks ISIS</t>
  </si>
  <si>
    <t>Seandainya ISIS menang, mungkin nggak mrk minta pulang? #TolakEksISIS #TolakISIS Tolak #Ormasradikal  @mokhamadtoha2 @faqirah82 @eizanfolks @ztw868992 @Dee06644722 @ronindrawan</t>
  </si>
  <si>
    <t>Astaghfirullah! Usai Ikut Deradikalisasi, Pasutri WNI Malah Jadi Bomber ISIS di Filipina  via @suaraislamco</t>
  </si>
  <si>
    <t>Kepulangan WNI Eks-ISIS: Seberapa Jauh Media Membantu Publik Memahaminya?</t>
  </si>
  <si>
    <t>Jokowi Buka Peluang Terima Anak Yatim dari WNI Eks ISIS</t>
  </si>
  <si>
    <t>PT...  #PtSolidBerjangka #SolidBerjangka #PtSolidGoldBerjangka #SolidGold #SolidGoldBerjangka #ptsolidgroup #sgb #sgberjangka #solid #solidberjangka #solidgroup #ptsgb #ptsgberjangka #ptsolid</t>
  </si>
  <si>
    <t>Wantannas sepakat dengan keputusan pemerintah yang tidak akan memulangkan ISIS eks WNI ke Indonesia. Pemulangan mereka dinilai membahayakan keamanan nasional.</t>
  </si>
  <si>
    <t>Wantannas Setuju Jokowi Tolak Pemulangan ISIS Eks WNI: Sulit Deradikalisasi</t>
  </si>
  <si>
    <t>Anggota komisi I DPR RI fraksi NasDem, Hillary Brigitta Lasut menyatakan sikap tidak setuju terhadap wacana pemulangan WNI eks Kombatan ISIS. Kakak Hillary melihat pemulangan WNI eks ISIS bisa berpotensi menimbulkan terorisme di Indonesia. #KaderNasDem #NasDemAntiMahar</t>
  </si>
  <si>
    <t>Ada istilah taqiyah.yg arti harfiahnya menyembunyikan keimanan demi menghindri hukum ato jedzoliman penguasa. Sering dipake eks hti n isis.mereka menyembunyikan idiologi mereka dan membaur di masyarkat. Jangan tertipu. Mereka bukan wni esk isis.tapi isis eks wni.</t>
  </si>
  <si>
    <t>Mereka sudah bkn WNI @KomnasHAM.. Ingat 5 tahun mereka menikmati hidup di sana lo. Komnas HAM Desak Seluruh WNI Eks ISIS Dipulangkan  lewat @tirtoid</t>
  </si>
  <si>
    <t>Eks WNI Kombatan ISIS Bisa Mengancam Balik Indonesia</t>
  </si>
  <si>
    <t>Astaghfirullah! Usai Ikut Deradikalisasi, Pasutri WNI Malah Jadi Bomber ISIS di Filipina  Program deradikalisasi berarti cuma buang2 duit, klu mrk balik lagi terus dipekerjakan di BUMN gitu ya 😪</t>
  </si>
  <si>
    <t>Tulisan ini terlalu menonjolkan rasa humanis dari sisi pelaku teror, dgn sadar menjauhi rasa humanis korban" teror, khususnya didalam negeri. Nasionalisme bukan hal sakral,namun bertindak keji melawan humanisme itu sendiri.</t>
  </si>
  <si>
    <t>Soal ISIS Eks WNI, PKB Anggap Sikap Pemerintah Bersyap #IndonesiaDamaiTanpaISIS</t>
  </si>
  <si>
    <t>Guru Besar UI Sebut Eks ISIS Bukan WNI Lagi: Kenapa Uang Negara Harus Digunakan Memulangkan Mereka?  via @tribunnews</t>
  </si>
  <si>
    <t>Politik kemarin, tindak tegas intoleransi hingga eks ISIS tak akui WNI #TindakTegasIntoleran</t>
  </si>
  <si>
    <t>Bamsoet dukung keputusan pemerintah soal pembatalan pemulangan WNI eks ISIS</t>
  </si>
  <si>
    <t>Pemerintah harus tegas terhadap WNI eks ISIS. cc: @jokowi @Kiyai_MarufAmin @DPP_PKB @cakimiNOW @EmHasanuddin @GPAnsor_Satu #SuaraPKB</t>
  </si>
  <si>
    <t>WNI Eks Isis ga usah dipulangi lah #KeputusanTerbaik #Tolak #EksWNI #Indonesia #Jokowi #IndonesiaMaju #KamisAmbyar #GarudaNusantara</t>
  </si>
  <si>
    <t>Pemerintah Menolak, Muhammadiyah Minta WNI eks ISIS Dipulangkan</t>
  </si>
  <si>
    <t>Presiden Jokowi membuka peluang bagi anak-anak di bawah 10 tahun atau yatim piatu dari kombatan ISIS eks WNI untuk kembali dengan syarat. Sementara itu, Wakil Ketua Komisi VIII DPR, Ace Hasan Syadzily mengusulkan adanya rehabilitasi khusus terhadap anak-anak tersebut.</t>
  </si>
  <si>
    <t>Artikel ini mewakili semua keresahanku beberapa hari yang lalu. Jangan kobam tergiring oleh narasi pembakaran paspor sampai dibandingkan dengan virus Corona. Baca, ini uwu sekali...</t>
  </si>
  <si>
    <t>Jokowi Tak Berencana Pulangkan 689 WNI Eks ISIS, Proritaskan Keamanan 260 Juta Penduduk Indonesia</t>
  </si>
  <si>
    <t>Soal polemik pemulangan WNI eks ISIS ke tanah air, Presiden Jokowi kembali tegaskan TIDAK AKAN memulangkan WNI yang terlibat jaringan radikal internasional tersebut. #IndosiarBerita</t>
  </si>
  <si>
    <t>Via @jokowi Pemerintah Republik Indonesia bertanggung jawab terhadap 260 juta penduduk negeri ini. Itu yang kita utamakan. Oleh sebab itu, pemerintah tidak memiliki rencana untuk memulangkan para anggota ISIS eks WNI ke Indonesia.</t>
  </si>
  <si>
    <t>Tak Pulangkan WNI Eks ISIS Dinilai sebagai Upaya Antisipasi Berkembangnya Benih Terorisme</t>
  </si>
  <si>
    <t>Kami dukung sikap tegas pemerintah @jokowi terhadap eks WNI ISIS  Istilah yang digunakan untuk menyebut orang-orang itu adalah 'WNI eks ISIS'. Kini Jokowi menyebut mereka bukan sebagai WNI, melainkan sebagai eks WNI.</t>
  </si>
  <si>
    <t>Tolak orang ISIS eks WNI Tolak orang intoleran #TindakTegasIntoleran RT @jr_kw19: Tegass !! Presiden @Jokowi perintahkan Menkopolhukam dan Kapolri untuk selesaikan kasus Intoleransi baik Gereja yg di Karimun maupun Mesjid di Minahasa #TindakTegasIntoleran</t>
  </si>
  <si>
    <t>Setuju pak @jokowi Mantan aja bisa dibuang, eks WNI yang jadi anggota ISIS jelas2 udah bikin malu masa gak dibuang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</si>
  <si>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Coba wartawan CNN ngomong sama korban bom Samarinda dan korban ISIS lainnya tentang moralitas. | Moralitas Jokowi dan 'Eksekusi' Tolak Ratusan WNI Eks ISIS</t>
  </si>
  <si>
    <t>Clearkan dulu ISIS itu termasuk negara asing atau bukan? Kalo itu termasuk negara asing, baru deh bicara mereka telah kehilangan kewarganegaraannya. Kalo tindak pidana, cek juga nasib WNI yang jadi pencopet di LN. Apakah kehilangan kewarganegaraan juga? dsb, dsb.. RT @tokillosophy: @faldyrzk @windidniw @tubirfess + beberapa dari mereka akan kembali. Tapi gimana cara negara ini memastikan mereka tidak akan memberi keresahan? It is a lifetime process, pertimbangannya jadi banyak. Dari situ variabelnya jadi banyak.</t>
  </si>
  <si>
    <t>Kata kuncinya “Anggota ISIS eks WNI” bukan “WNI eks ISIS”....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</si>
  <si>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Memulangkan ISIS EKS WNI Beresiko Tinggi Bagi NKRI #KeputusanTerbaik #Tolak #EksWNI #Indonesia #Jokowi #IndonesiaMaju #KamisAmbyar #GarudaNusantara</t>
  </si>
  <si>
    <t>Lalu bagaimana dengan eks ISIS yang (diam²) pulang sendiri ke Indonesia?</t>
  </si>
  <si>
    <t>Kalo liat jenggotnya sih, keknya terpapar nich orang.</t>
  </si>
  <si>
    <t>#RezimAntiPancasila #RezimAntiPancasila Bukan Jokowi yang Tentukan, Nasib WNI Eks ISIS Serahkan ke Pengadilan</t>
  </si>
  <si>
    <t>Urus juga yang ini ; KPAI: Negara Harus Hadir Lindungi Anak-anak WNI Eks ISIS, Mereka Korban</t>
  </si>
  <si>
    <t>Komnas HAM Soroti Status WNI Eks ISIS, Guru Besar UI Emosi Bilang Begini  #DariSuara</t>
  </si>
  <si>
    <t>PT Solid Gold Berjangka | Tok! Pemerintah Tak Akan Pulangkan WNI Eks ISIS</t>
  </si>
  <si>
    <t>Ini Sikap Tegas Jokowi untuk WNI Eks ISIS</t>
  </si>
  <si>
    <t>Sebenernya wni eks isis itu bukan dipulangkan ke indonesia melainkan diretur..</t>
  </si>
  <si>
    <t>Negara menolak memulangkan WNI yg telah bergabung dengan ISIS, namun keputusan tersebut menuai Pro dan Kontra. Bagaiman dengan sobat semua ?</t>
  </si>
  <si>
    <t>Kena Skak Guru Besar UI, Fadli Zon Gagal Paham Soal WNI Eks ISIS?</t>
  </si>
  <si>
    <t>Tolak pemulangan ISIS eks WNI #TindakTegasIntoleran</t>
  </si>
  <si>
    <t>Sbg masyarakat, mhn Bpk Peresiden TNI POLRI berserta seluruh penyelenggara negara mari tolak X WNI yg ISIS msk NKRI, sekali lancung keujian, seumur hdp tdk percaya, jgn coba2 mengasa tajamnya pisau, bisa terluka, satu org makan cempedak, jgn sampai 267 juta WNI kena getahnya..!!!</t>
  </si>
  <si>
    <t>Pemerintah Tolak Pemulangan WNI Eks ISIS, Kepala BIN: Tentu Ada Risiko yang Sudah Diperhitungkan #TindakTegasIntoleran  lewat @tribunnews</t>
  </si>
  <si>
    <t>Anak2 yg menjadi korban Bom Gimana? KPAI: Negara Harus Hadir Lindungi Anak-anak WNI Eks ISIS, Mereka Korban</t>
  </si>
  <si>
    <t>woii...duit Bloomberg dah habis ya 😄😄</t>
  </si>
  <si>
    <t>Anak-Istri WNI Eks ISIS Disebut Bukan Korban Terorisme, Tak Bisa Dapat Perlindungan LPSK</t>
  </si>
  <si>
    <t>Ditolak Indonesia Eks WNI Kombatan ISIS Bisa Layangkan Aksi Balas Dendam</t>
  </si>
  <si>
    <t>Tegas Tolak Pemulangan WNI eks ISIS, Jokowi Sebut Mereka ISIS eks WNI #TindakTegasIntoleran  lewat @tribunnews</t>
  </si>
  <si>
    <t>Bukan WNI eks ISIS, tapi anggota ISIS eks WNI. Baek2lah bikin judul berita Tirto.. RT @TirtoID: Keputusan pemerintah tidak memulangkan WNI eks ISIS menuai sorotan dari pelbagai pihak. Salah satunya menyebut pemerintah membiarkan warganya kehilangan kewarganegaraan atau stateless.</t>
  </si>
  <si>
    <t>Prioritaskan Keamanan 260 Juta Penduduk Indonesia, Jokowi Tak Ambil Pusing Nasib 689 WNI eks ISIS #TindakTegasIntoleran  lewat @tribunnews</t>
  </si>
  <si>
    <t>Tiap bikin berita terkait rencana pemulangan WNI eks ISIS ini emg banyak pergulatan... apakah bs sekadar menolak atau mendukung? Apakah bs memandang persoalan ini scr hitam putih? Patut disimak.</t>
  </si>
  <si>
    <t>Biarin aja ISIS eks WNI disono...jangan balik, itu pilihan kalian dulu!!! RT @heniunique: ISIS and slavery #CegahISISmasukNKRI @elkrova</t>
  </si>
  <si>
    <t>Betul Ini negara Hukum. Berlandaskan hukum dan pancasila. Bukan negara milik joko widodo. Beliau bukan pemilik cuma pelaksana. ☕ Bukan Jokowi yang Tentukan, Nasib WNI Eks ISIS Serahkan ke Pengadilan</t>
  </si>
  <si>
    <t>Ternyata moralitas anda telah anda proklamasikan. Kami sudah paham.</t>
  </si>
  <si>
    <t>Ketika anak bangsa akan di bina utk berprestasi melalui cabang olah raga bulutangkis di masalahkan.... Anak eks WNI pro ISIS yg prestasinya merakit bom di bela.... Karep mu opo son ?</t>
  </si>
  <si>
    <t>Pemantauan Remotivi terhadap pemberitaan WNI eks-ISIS dikerjakan dengan baik oleh @azharathustra dan @dikirakira_. Dibantu juga oleh @scoradian (halah akun gembok). Silakan dibaca, Teman-teman.</t>
  </si>
  <si>
    <t>Mereka ISIS eks WNI, bukan WNI eks ISIS.. RT @MurtadhaOne1: Mantap! Presiden @jokowi sebut ISIS eks WNI bukan WNI eks ISIS seperti yg sering disebut media2 belakangan ini Jokowi: "Pemerintah tidak memiliki rencana untuk memulangkan ISIS eks WNI"</t>
  </si>
  <si>
    <t>Menangkal Penyusupan 689 WNI Anggota ISIS yang Tidak Dipulangkan -</t>
  </si>
  <si>
    <t>Menolak Kepulangan Eks WNI Anggota ISIS</t>
  </si>
  <si>
    <t>Jokowi Tegaskan Nasib 689 WNI Eks ISIS Bukan Tanggung Jawab Pemerintah #TindakTegasIntoleran  lewat @beritasatu</t>
  </si>
  <si>
    <t>Kenapa setiap baca yg seperti ini, mata saya selalu terfokus dengan jenggot ya...</t>
  </si>
  <si>
    <t>Anak-anak WNI eks ISIS terlantar, Mahfud: Sudah dicari, tidak ada - ANTARA News Jawa Barat</t>
  </si>
  <si>
    <t>WNI Eks ISIS di Tolak Dipulangkan, Rusia Justru Telah Pulangkan 200 Anak Anggota ISIS</t>
  </si>
  <si>
    <t>Jokowi dengan tegas menyampaikan bahwa pemerintah Indonesia tidak ada rencana untuk memulangkan WNI eks ISIS. Bagaimana menurut Sahabat Lensa? . . #jokowi #presiden #isis #wnieksisis #eksisis #wni #lensaindonesia #rtv</t>
  </si>
  <si>
    <t>Sbg masyarakat, sebaiknya X WNI yg ISIS, stop dibahas, bisa melunturkan kecerdasan kita, krn rasa ibah, padahal kalau ISIS menang, habis ank NKRI hijrah ke Suriyah, kalau alasan kemeskinan, ribuan ank negeri ini, ke LN menjadi TKI, tanpa hrs msk ISIS, kita ini sdh gagal pikir.!!?</t>
  </si>
  <si>
    <t>Saya heran sama orang-orang ini, ngotot banget sih ? Apa mata mereka buta, berapa banyak anak-anak korban aksi teroris di negeri ini. Mereka sudah lakukan apa utk obati traumanya ?  KPAI: Negara Harus Hadir Lindungi Anak-anak WNI Eks ISIS, Mereka Korban</t>
  </si>
  <si>
    <t>pemerintah tentu telah melalui banyak pertimbangan dan masukan dari berbagai pihak dalam mengambil keputusan soal rencana pemulangan WNI eks ISIS. #KeputusanPolemikEksISIS</t>
  </si>
  <si>
    <t>Pemerintah Tak Pulangkan WNI Eks ISIS, Muncul Pertanyaan Bagaimana Jika Mereka Pulang Sendiri -</t>
  </si>
  <si>
    <t>Wooooiii ... Mas Tirto ... yang ada itu ISIS eks WNI, bukan WNI eks ISIS,</t>
  </si>
  <si>
    <t>Jokowi gak tanggungjawa ke WNI eks ISIS Memang WNI yang gak ISIS, Negara tanggungjawab? Wiji Thukul Munir Tri Sakti Kendeng Tumpang Pitu BPJS naik Gas mau naik Ekonomi stagnan 5% Omnibus law Kartu Pra Kerja 22 juta kelaparan 145 juta terancam misquen Capek ah... -kopi ke2</t>
  </si>
  <si>
    <t>Keputusan Tidak Pulangkan WNI Eks ISIS Sudah Melalui Pertimbangan Matang #KeputusanPolemikEksISIS</t>
  </si>
  <si>
    <t>Pemerintah perlu mempertimbangkan asesmen terhadap WNI eks ISIS serta merevisi Undang-Undang Kewarganegaraan.</t>
  </si>
  <si>
    <t>Mahfud Minta WNI Eks ISIS Lapor ke Kedutaan Jika Ingin Pulang</t>
  </si>
  <si>
    <t>Pemerintah Matang Selesaikan Polemik Pemulangan WNI Eks ISIS #KeputusanPolemikEksISIS</t>
  </si>
  <si>
    <t>Hikmahanto Sebut WNI Sumpah Setia dengan ISIS Otomatis Kehilangan Kewarganegaraan</t>
  </si>
  <si>
    <t>Jokowi Perintahkan Anak Buahnya Sisir Identitas 689 WNI Eks ISIS</t>
  </si>
  <si>
    <t>Tegas Tolak Pemulangan WNI eks ISIS, Jokowi Sebut Mereka ISIS eks WNI</t>
  </si>
  <si>
    <t>Sangat Biadap ini.... oh iyaa.... @KomnasHAM dan @KPAI_official sibuk ngurus anak-anak Eks WNI Eks ISIS soal nya... sudah diurus sama pak @ganjarpranowo ... 🙏 RT @narkosun: Biadab ini. Bullying seperti ini harus ditindak tegas. Ga boleh dibiarkan. Pidanakan klo perlu biar ada efek jera. Info kejadian di SMP Muhammadiyah Butuh Purworejo. Semoga segera ditangani pihak² terkait. Cc: pak @ganjarpranowo</t>
  </si>
  <si>
    <t>Tolak Pulangkan WNI Eks ISIS, Indonesia Tak Melanggar HAM!</t>
  </si>
  <si>
    <t>Mata Najwa Tadi Malam, Reaksi Fadli Zon Ditantang Buktikan 689 Orang di Suriah Eks ISIS adalah WNI #NajwaShihab #MbakNana</t>
  </si>
  <si>
    <t>Debat soal WNI Eks ISIS, Jawaban Guru Besar UI atas Argumen Fadli Zon Tuai Reaksi dari Penonton  lewat @tribunnews</t>
  </si>
  <si>
    <t>Neh satu mulai kumat lagi dah.... masih aja jualan logika wni eks isisi.... bubarin aja lah lembaga pengangguran kayak gini keenakan makan sumbangan.... 😌</t>
  </si>
  <si>
    <t>5 dari 7 komisioner KPAI propagandis Negara Khilafah. Kalau begitu beritanya tar ribut.</t>
  </si>
  <si>
    <t>Tolak Pulangkan WNI Pro ISIS, Indonesia Serius Perangi Terorisme</t>
  </si>
  <si>
    <t>Pemerintah harusnya tidak hanya melarang WNI eks ISIS tinggal di Indonesia tetapi juga anak-anak eks PKI juga dilarang, karena mereka berpotensi punya dendam sejarah untuk mengganti Pancasila</t>
  </si>
  <si>
    <t>Memulangkan ISIS eks WNI beresiko tinggi #ISISGoToHell</t>
  </si>
  <si>
    <t>#KeputusanPolemikEksISIS Banyak yang mengatakan bahwa memulangkan WNI eks ISIS sama saja dengan membawa virus. namun banyak juga yang menyinggung tugas negara untuk memulangkan dan melindungi.</t>
  </si>
  <si>
    <t>KPAI mulai ikut-ikutan, Sepertinya @KomnasHAM @KPAI_official Telah menitipkan diri Pada Densus 88 Ayo siapa lagi yang mau mendaftar atau mencantumkan diri pada List.</t>
  </si>
  <si>
    <t>Program deradikalisasi di Indonesia masih babak belur sehingga rencana pemulangan WNI eks ISIS akan menjadi bumerang. Anggota Komisi I DPR RI @adityawilly mengatakan tak ingin jika WNI eks ISIS yang pulang ke Indonesia suatu hari nanti akan melakukan teror. #NasDemAntiMahar</t>
  </si>
  <si>
    <t>Presiden Joko Widodo membuka peluang untuk anak-anak kombatan ISIS eks WNI untuk bisa dipulangkan namun dengan berbagai syarat. 👇👇👇</t>
  </si>
  <si>
    <t>ISIS EKS WNI BKN WNI EKS ISIS 👏👏👏 RT @ruhutsitompul: Presiden RI ke 7 Bpk Joko Widodo tegas menolak memulangkan ke Indonesia dan panggil mereka ISIS EKS WNI bukan WNI EKS ISIS, tapi kenapa Anak Yatim Piatu dibawah 10 thn Pak Jokowi ampuni itu jugakan Anak ISIS EKS Warga Negara Indonesia kok mau dipulangkan ? MERDEKA.</t>
  </si>
  <si>
    <t>Keputusan atas Polemik Pemulangan WNI Eks ISIS Lewati Pertimbangan Matang #KeputusanPolemikEksISIS</t>
  </si>
  <si>
    <t>KPAI: Negara Harus Lindungi Anak-anak WNI Eks ISIS</t>
  </si>
  <si>
    <t>Viral pernyataan Presiden Jokowi menolak Warga ISIS eks WNi</t>
  </si>
  <si>
    <t>Gajelas definisi anak2. Kalau mau aman sih yg balita saja.  PP Muhammadiyah menilai kombatan ISIS eks WNI yang masih ingin pulang ke Indonesia perlu difasilitasi. WNI yang setia Pancasila bisa kembali dengan syarat.</t>
  </si>
  <si>
    <t>Masyarakat harus melihat perspektif lain</t>
  </si>
  <si>
    <t>ISIS eks wni 💯 RT @Wes12320: @ShantiSetiawati @jokowi Sah</t>
  </si>
  <si>
    <t>Yuk manteman kita patungan buat kirim @KomnasHAM ke suriah. Buat temenin kombatan ISIS. 😋😋 @Kemenag_RI klo gak sadar kita kirim juga.</t>
  </si>
  <si>
    <t>Sebuah diskursus alternatif mengenai warga WNI eks-ISIS atau ISIS eks-WNI RT @TirtoID: Keputusan pemerintah tidak memulangkan WNI eks ISIS menuai sorotan dari pelbagai pihak. Salah satunya menyebut pemerintah membiarkan warganya kehilangan kewarganegaraan atau stateless.</t>
  </si>
  <si>
    <t>Kalau saya.. Jangan kasi hati ke mereka. Di kasi hati nanti minta jantung,Bikin negara ini kacau. Ingat.. Mereka adalah Kader ISIS dan mereka bukan lagi mereka yg dulu.</t>
  </si>
  <si>
    <t>: Analisis Pasca Anggota ISIS Eks WNI Ditolak Masuk ...</t>
  </si>
  <si>
    <t>Soal Anak ISIS Eks WNI, Tetap Harus Ekstra Hati-hati</t>
  </si>
  <si>
    <t>Presiden Jokowi Perintahkan Jajarannya Identifikasi WNI Eks ISIS Lalu Cekal</t>
  </si>
  <si>
    <t>Kewajiban buat bela negara ga dilakuin, passport nya mereka bakar Trus skrg ngomongin soal hak yg harusnya mereka dapet?</t>
  </si>
  <si>
    <t>Waspadai Anggota ISIS Eks WNI Masuk ke Indonesia Secara Ilegal</t>
  </si>
  <si>
    <t>PEMERINTAH PERTIMBANGKAN PEMULANGAN ANAK-ANAK EKS ISIS. Itu artinya keputusan #TolakEksWNIproISIS belum final. #PolitikOhPolitik ...oh ya saya tunggu berita ajalah, kapan 12.000 anak jalanan asli WNI di evakuasi oleh pemerintah. I Love U Full pak de @jokowi Merdeka ✊✊✊</t>
  </si>
  <si>
    <t>Anak ISIS eks WNI Berpeluang Dipulangkan ke Indonesia</t>
  </si>
  <si>
    <t>Kepala @BIN_Official Budi Gunawan mengatakan pihaknya juga menjelaskan ke DPR mengenai WNI eks #ISIS yang tidak dipulangkan. Budi menyampaikan sesuai dengan hasil rapat terbatas di Istana Negara.</t>
  </si>
  <si>
    <t>Pemerintah Mendengar Aspirasi Semua Pihak Terkait Polemik Pemulangan WNI Eks ISIS. #KeputusanPolemikEksISIS</t>
  </si>
  <si>
    <t>Abaikan yg didepan mata.... perhatian yang jauh dimata walau itu bs jadi virus adanya.... dimanakah nuranimu berada.... disat kekerasan bullying dan intoleransi meraja lela... KPAI: Negara Harus Hadir Lindungi Anak-anak WNI Eks ISIS, Mereka Korban</t>
  </si>
  <si>
    <t>Bakalan dihukum mati termasuk mantan WNI yg ikut ISIS RT @LeoYae:</t>
  </si>
  <si>
    <t>Gw menolak manusya² ISIS ex WNI balik. Udah minggat pake nyobek paspor, giliran kalah minta balik. Ha do modyaro wae ng kono sisan. Cih.</t>
  </si>
  <si>
    <t>gimana kalo tukeran,ikan buntel dikirim ke suriah sbg ganti ex wni isis yang di bela ama si gembul bantet , ndelok raine kudu nglebokno rudal nok cangkeme sih nggedebel koyok empal kuro RT @WR_4AG226: Sikap pemerintahan jokowi menolak kepulangan 600 ex WNI pro ISIS sdh sangat tepat..krn mereka hanya akan menjadi racun dan benalu bagi NKRI Jangan pedulikan pendukung dan simpatisannya yg marah2...😫🙄</t>
  </si>
  <si>
    <t>Partai NasDem mendukung langkah pemerintah untuk tidak memulangkan kombatan ISIS eks WNI. Langkah itu dinilai sebagai keputusan yang tepat. Selengkapnya  #NasDemAntiMahar</t>
  </si>
  <si>
    <t>PP Muhammadiyah: Anak-anak WNI Eks ISIS Bisa ke Indonesia Asal Setia Pancasila</t>
  </si>
  <si>
    <t>tolak 600 anggota ISIS eks WNI ke tanah air #TolakEksWNIproISIS</t>
  </si>
  <si>
    <t>tolak eks WNI pro ISIS #TolakEksWNIproISIS</t>
  </si>
  <si>
    <t>tolak mantan ISIS eks WNI #TolakEksWNIproISIS</t>
  </si>
  <si>
    <t>Presiden Tegaskan Tidak Berencana Pulangkan ISIS Eks-WNI</t>
  </si>
  <si>
    <t>tolak pemulangan mantan ISIS eks WNI #TolakEksWNIproISIS</t>
  </si>
  <si>
    <t>Wow isis eks wni not wni eks isis YASSSSSS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</si>
  <si>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haram hukumnya pulangkan eks WNI pro ISIS #TolakEksWNIproISIS</t>
  </si>
  <si>
    <t>Diputus Pengadilan, Peradilan In Absentia Dapat Dibuat Tentukan Nasib WNI Eks ISIS #BacaIndoposAja #WNIEksISIS</t>
  </si>
  <si>
    <t>Pemulangan WNI Mantan Pengikut ISIS Ditolak -</t>
  </si>
  <si>
    <t>dukung keputusan pemerintah tolak kedatangan eks WNI pro ISIS #TolakEksWNIproISIS</t>
  </si>
  <si>
    <t>Kalau wni ex ISIS saja di tolak, kenapa para PENCURI KERJAAN di negara ini di PELIHARA..?? yg BODOH siapa??</t>
  </si>
  <si>
    <t>Pemerintah Heran Untuk Apa Pulangkan WNI Kombatan ISIS #wni #isis #merahputih</t>
  </si>
  <si>
    <t>gmn jika menag dan padeli zonk,tuker aja bagi ex wni isis,kalian berdua ke suriah dan leyeh leyeh di sana RT @WR_4AG226: Jangan blunder ahhh Pak.... Jangan bawa pulang 600 ex ISIS, Mereka hanya akan jadi racun Dan benalu bagi NKRI, Nanganin para pecandu khilafah aja belum mampu, ditambah lagi masalah Baru Cerdas dikit dong !!😫😔 Menag Ajak Ormas Bina 600 WNI Mantan ISIS</t>
  </si>
  <si>
    <t>*ISIS eks WNI RT @TirtoID: Keputusan pemerintah tidak memulangkan WNI eks ISIS menuai sorotan dari pelbagai pihak. Salah satunya menyebut pemerintah membiarkan warganya kehilangan kewarganegaraan atau stateless.</t>
  </si>
  <si>
    <t>Pro Kontra Pemulangan WNI Yang Tergabung ISIS, Ini Pendapat Ketua PPP Jawa Tengah ~&gt;</t>
  </si>
  <si>
    <t>ya,sepakat,buat ikan buntel tembem padeli songong yang selalu mengatas namakan ham,gimana jika anda dikirim balik ke suriah,dan sbg ganti ex wni isis yg anda bela,semoga bacot anda yang tebal bisa jadi sasaran rudal RT @WR_4AG226: Sikap jokowi tolak pemulangan 600 WNII ex ISIS sangat tepat👍 Menag serta pejabat terkait lainnya hrs bersuara bulat sesuai keinginan masyarakat luas, mereka akan jadi racun &amp; benalu bagi NKRI Sikap Jokowi Ogah Pulangkan WNI Eks ISIS Dinilai Sudah Tepat</t>
  </si>
  <si>
    <t>Itu bukan Eks ISIS bro, tapi Eks WNI.. 😁 RT @ArdaniRahmansyh: Seorang dokter saja bisa mendiagnosa org itu sembuh atau belum dr wabah virus, tp 270 rakyat indonesia tdk bisa mendiagnosa org itu bener2 sembuh atau belum dr ideologi radikalnya... @PKSejahtera gemblung #AwasAntek2ISIS</t>
  </si>
  <si>
    <t>wni ex isis yang pengen pulang tuh analoginya kaya cewek yang udah di php in cowok. dijanjiin yang manis manis etapi ga sesuai omongannya ☺️</t>
  </si>
  <si>
    <t>Muhammadiyah Minta Pemerintah Fasilitasi WNI eks ISIS yang Mau Pulang</t>
  </si>
  <si>
    <t>Menolak Kepulangan Eks WNI Anggota ISIS -</t>
  </si>
  <si>
    <t>Jokowi Sebut 689 Kombatan di Luar Negeri Sebagai ISIS Eks WNI, Bukan WNI Eks ISIS  lewat @wartakotalive</t>
  </si>
  <si>
    <t>woy Bapak cendekiawan, memangnya dulu mereka ingat dgn negara? mikir dong! ==&gt; Ditolak Pulang, Jangan Biarkan WNI ISIS Tak Punya Negara - VIVA</t>
  </si>
  <si>
    <t>Bagaimana pendapat kalian tentang rencana pemerintah yang menolak memulangkan WNI eks ISIS?</t>
  </si>
  <si>
    <t>Ada apa dengan KPAI dan Komnas HAM Yang jauh di mata diurus Yang dekat di mata di biarkan Atau hanya mau numpang berita yang lagi booming untuk pansos</t>
  </si>
  <si>
    <t>Terimakasih bpk Presiden atas sikap tegasnya terhadap anggota ISIS ex WNI.</t>
  </si>
  <si>
    <t>Pemerintah Putuskan Tak Pulangkan WNI Eks ISIS #wnieksisis</t>
  </si>
  <si>
    <t>bullying seperti ini perlu kita waspadai. kita say no to ex WNI pro ISIS tapi kita juga harus say no sama bibit2 kekerasan spt ini. Stop kekerasan. Titik. RT @ganjarpranowo: Akun sy dibanjiri kejadian di salah satu smp di butuh purworejo. Sy sdh telp kaseknya &amp; dia sdh urus. Polisi juga sdh menerima laporannya. Bsk saya minta pengawas sekolah &amp;amp; dinas utk turun agar bicara dg ortu anak2 itu. Pak Bupati Purworejo jg sdh sy kontak. --- Sayangi temanmu!</t>
  </si>
  <si>
    <t>Kini @Jokowi menyebut mereka bukan sebagai WNI, tapi sebagai eks WNI. #TolakPulangkanKombatanISIS #TolakEksWNIproISIS #DukungJokowiBerantasISIS</t>
  </si>
  <si>
    <t>Aku seneng banget sama padanan kata, "ISIS eks WNI". Padahal hanya beda urutan aja sama "WNI eks ISIS" yang kemarin-kemarin banyak dipake, tapi maknanya beda sejadi-jadinya macem aku beda banget sama Chung Ha yang jago segalanya.</t>
  </si>
  <si>
    <t>Pelaku jadi korban, korban jadi pelaku Kapan bubarnya ni komisi tiada guna</t>
  </si>
  <si>
    <t>Tapi hampir semua masyarakat Indonesia tidak setuju eks WNI pro ISIS itu kembali lagi ke tanah air Indonesia. #TolakEksWNIproISIS #ISISGoToHell #DukungJokowiBerantasISIS RT @CNNIndonesia: MUI Ingatkan Pemerintah Tak Semua Eks ISIS Lepas Status WNI</t>
  </si>
  <si>
    <t>Hikmahanto: Secara UU WNI Anggota ISIS Sudah Bukan Warga Indonesia  Dapatkan berita lainnya di tvOne connect #tvOneNews</t>
  </si>
  <si>
    <t>yg bener tu ISIS eks WNI lah, jd pmrntah yg tegas ngapa jan lembek kea yupi</t>
  </si>
  <si>
    <t>Mahfud Md soal Eks ISIS: Mereka Tak Pernah Mengaku Sebagai WNI  Cari berita lain? Silahkan klik disini</t>
  </si>
  <si>
    <t>Data Dan Gerak-gerik Anggota ISIS Eks WNI Tetap Harus Dipantau #TolakEksWNIproISIS #ISIS #RepublikMerdeka</t>
  </si>
  <si>
    <t>Keputusan pemerintah tidak memulangkan WNI eks ISIS menuai sorotan dari pelbagai pihak. Salah satunya menyebut pemerintah membiarkan warganya kehilangan kewarganegaraan atau stateless.</t>
  </si>
  <si>
    <t>WNI bekas pendukung ISIS, setuju bila pemerintah memprioritaskan pemulang anak-anak yatim piatu asal Indonesia di Suriah.</t>
  </si>
  <si>
    <t>ADA APA DENGAN FADLI ZON Sempat terpikirkan kenapa Fadli Zon begitu ngeyel bersuara menginginkan eks WNI ISIS pulang ke Indonesia. ..??? Ternyata Fadli Zon salah satu donatur untuk Pemberontakan ISIS di Suriah.</t>
  </si>
  <si>
    <t>Anggota ISIS eks WNI - good point pak @jokowi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</si>
  <si>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Wni eks isis harusnya udh bukan isis lagi dong tapi waswas.</t>
  </si>
  <si>
    <t>Sekarang narasinya menjadi anggota ISIS eks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</si>
  <si>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Ketua MPR Dukung Pemerintah Batalkan Pemulangan WNI Eks ISIS</t>
  </si>
  <si>
    <t>Isu pemulangan WNI yang bergabung dengan ISIS masih menjadi perbincangan. Sebenarnya bagaimanakah penjelasan hilangnya status WNI seseorang? Berikut penjelasannya. #CNNIDGoodMorning #WNIEksISIS interpreter: @sasantis via:@CNNIDdaily</t>
  </si>
  <si>
    <t>Pak @jokowi pak @mohmahfudmd apakah masih ingin memulangkan anak² ISIS eks WNI.. Biarkan mereka disana dan biar cepat masuk ketemu bidadari..</t>
  </si>
  <si>
    <t>#ISIS</t>
  </si>
  <si>
    <t>Urus aja anak" disini. Anak" ISIS sdh bahagia dgn ortunya disana. Biar KPAI ISIS yg ngurus. Perlindungan diberikan utk anak" dan ortunya yg cinta 💯% NKRI😎😎🇲🇨🇲🇨🇲🇨💪💪💪  Ketua KPAI, Susanto menyebut negara harus hadir ....</t>
  </si>
  <si>
    <t>Ada udang dibalik batu....: Urusan pemerintahan : teriak paling kenceng Urusan kebijakan : teriak paling kencemg Urusan koruptor : teriak paling kenceng Urusan pembangunan : teriak kuuwenceng Giliran masalah polemik ex WNI ISIS : DIIIEEEEEEEMMMM... jangan2....ASUDAHLAH. 😁</t>
  </si>
  <si>
    <t>HLHKNTL KLEN KOMNAS HAM!!!</t>
  </si>
  <si>
    <t>- Keputusan resmi pemerintah untuk menolak keluarga para teroris pulang ke Indonesia masih meninggalkan sejumlah persoalan. #Indonesia #ISIS #radikalisme #Terorisme</t>
  </si>
  <si>
    <t>Lha mmg anggota ISIS ex. WNI...ada yg salah ? RT @CNNIndonesia: Jokowi Kini Sebut ISIS Eks WNI, Bukan Lagi WNI Eks ISIS</t>
  </si>
  <si>
    <t>Anggota. ISIS. eks.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</si>
  <si>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Dengan mempertimbangkan keamanan bagi ratusan juta penduduk di Indonesia, pemerintah putuskan TAK AKAN PULANGKAN 689 WNI eks ISIS yg tersebar di sejumlah wilayah seperti Suriah &amp; Turki. TOK!!TOK!!TOK!! SAH! #ISIS #dukungFadliZonGubernurSuriah</t>
  </si>
  <si>
    <t>Negara berhak mencabut status WNI yang memilih untuk menjadi anggota ISIS. RT @WagimanDeep: "Apakah perilaku seperti itu (penolakan oleh negara) lebih baik atau buruk? Buruk!..” kata Choirul Anam Lebih buruk mana meninggalkan negeri sdr bkar passport demi gabung teroris ISIS? Dasar Komisi kagak berguna bagi Nusa dan Bangsa lu! #AwasAntek2ISIS</t>
  </si>
  <si>
    <t>#WNIEksISIS</t>
  </si>
  <si>
    <t>Wni eks isis gajadi dipulangkan Yang gua takutkan kalau pemerintah benar benar menolak mereka tanpa toleransi Salah satu satu mereka/anggota keluarganya ada yg mengalami semacam musibah besar disana</t>
  </si>
  <si>
    <t>Korban ? ... Mas lebih baik kebekasi sana urus anak sekolah yg dipukuli gurunya  Ketua KPAI, Susanto menyebut negara harus hadir untuk memberikan perlindungan khusus pada anak kombatan ISIS eks WNI lantaran anak hanyalah menjadi korban.</t>
  </si>
  <si>
    <t>Buat ISIS EKS WNI</t>
  </si>
  <si>
    <t>Tak Sembarangan, Ini Lho Dasar Hukum Pemerintah Bisa Tolak WNI Eks ISIS Masuk Indonesia</t>
  </si>
  <si>
    <t>Hati-hati bro, ad yang memaksa opini rakyat agar mendukung agar para WNI eks ISIS dipulangkan. jgn biarkan Indonesia jadi basis mereka</t>
  </si>
  <si>
    <t>Yang jelas PKS meradang dgn tidak diijinkannya pulang Anggota ISIS ex WNI, secara dia berharap tambahan suara dari mereka. Hahahaha</t>
  </si>
  <si>
    <t>Mereka pergi sendiri Mereka sebut NKRI itu Thogut Mereka gabung dengan ISIS Mereka bakar paspor RI Mereka ancam TNI Mereka ancam NKRI Saat ISIS kalah mereka minta pulang ke Indonesia..... Apa kata Indonesia ?</t>
  </si>
  <si>
    <t>jangan disuruh balik mereka 👍</t>
  </si>
  <si>
    <t>Tolak repatriasi 689 FTF kombatan ISIS eks WNI Biarkan diselesaikan @unhcr @UN @jokowi @mohmahfudmd @PolhukamRI @BNPTRI @Kemenag_RI @KomnasHAM RT @BBCIndonesia: "Orang tua saya dan saudara-saudara saya sudah meninggal ... Saya tak tahu mau ke mana. Saya akan bertahan di sini," kata anak Indonesia yang mengaku bernama Yusuf kepada wartawan BBC di kamp Al-Hol, Suriah.</t>
  </si>
  <si>
    <t>tidak peduli meski ISIS itu manusia, karna mereka juga merampas Hak Asasi Manusia lainnya. mereka tidak layak menyandang gelar WNI</t>
  </si>
  <si>
    <t>Jokowi: Pemerintah Tak Akan Pulangkan ISIS Eks WNI</t>
  </si>
  <si>
    <t>Fadjroel Rahman di Mata Najwa, Pemulangan 238 WNI dari Wuhan dengan 267 WNI Eks ISIS.Pilih Mana?  #MataNajwa #MataNajwaMenangkisISIS</t>
  </si>
  <si>
    <t>Ex WNI bukan WNI ex ISIS .. karena sudah bakar identitas lho pak @NetaSPane . Paspor ilang, kena air dll yang ngga sengaja saja denda dan ngurusnya ribet.. ini paspornya dibakar lho.. awalan "di" berarti sengaja. sekali berkeputusan sudah barang tentu ada konsekuensinya RT @tempodotco: Indonesia Police Watch (IPW) menilai Pemerintah harus memulangkan orang Indonesia pendukung ISIS ke Indonesia, terutama perempuan dan anak-anak.</t>
  </si>
  <si>
    <t>ISIS... mantan anggotanya yang WNI mengapa tidak di kembalikan ke pangkuan ibu pertiwi dengan sumpah...</t>
  </si>
  <si>
    <t>Pemerintah Putuskan Tak Akan Pulangkan 689 WNI Eks ISIS</t>
  </si>
  <si>
    <t>Presiden RI ke 7 Bpk Joko Widodo tegas menolak memulangkan ke Indonesia dan panggil mereka ISIS EKS WNI bukan WNI EKS ISIS, tapi kenapa Anak Yatim Piatu dibawah 10 thn Pak Jokowi ampuni itu jugakan Anak ISIS EKS Warga Negara Indonesia kok mau dipulangkan ? MERDEKA.</t>
  </si>
  <si>
    <t>Si udin ini getol amat ya mewacanakan pemulangan WNI anggota ISIS di Suriah ?! Serahkan saja ke hukum Negara Suriah! Antek ISIS yg sdh ada di Indonesia lebih banyak jumlahnya din! #AwasAntek2ISIS RT @My_LoveNebe: Ketua DP MUI Din Syamsuddin meminta pemerintah memilah WNI eks ISIS soal polemik pemulangan. Din menyatakan ISIS adlh buatan Amerika. Haii Udiiinnn. Isis mau buatan Jin iprit pun mrk sdh menjd teroris. Mrk mau pulang krn kalah #AwasAntek2ISIS</t>
  </si>
  <si>
    <t>Kalau Pemerintah Presiden @Jokowi sudah memutuskan tidak ngurusi ex wni yg jadi isis mk siapapun media berenti membahasnya bukan malah nunggu keadaan ...</t>
  </si>
  <si>
    <t>Yg protes eks ISIS ga bole balik ke Indonesia pasti banyak. Walau mereka ga jago main hashtag Krn itu walau jg berharap mrk ga balik, sy berharap langkah pemerintah hati2 &amp; sesuai aturan Sy ga bilang sesuai HAM, krn nentuinnya bisa suka2. Sesuai aturan</t>
  </si>
  <si>
    <t>Ketegasan di Balik Kata ISIS Eks WNI</t>
  </si>
  <si>
    <t>jadi gini... kepala negara sudah memutuskan tidak memulangkan isis eks wni.. tapi kalian masib gembar gembor... jadi sebenernya.. mau kalian apa ??</t>
  </si>
  <si>
    <t>Kombatan eks. WNI pro ISIS dilarang masuk Indonesia. Keputusan penolakan tersebut sudah tepat untuk mencegah potensi aksi teror. #TolakWNIEksISIS #TolakEksWNIproISIS</t>
  </si>
  <si>
    <t>Memulangkan WNI eks pro ISIS haram hukumnya karena kemaslahatan yang ditimbulkan tidak sebanding dengan mudharatnya. Rasa aman adalah penting bagi setiap rakyat Indonesia. #TolakEksWNIproISIS #ISISGoToHell #WNIEksISIS</t>
  </si>
  <si>
    <t>Pemerintah Indonesia sudah menyepakati untuk tidak memulangkan WNI eks ISIS demi keamanan dan ketenteraman warga Indonesia. #tolakpulangkankombatanisis #NKRIHargaMati</t>
  </si>
  <si>
    <t>Pemerintah bersama masyarakat sepakat tolak pulangkan mantan ISIS eks. WNI. #TolakWNIEksISIS #TolakEksISIS</t>
  </si>
  <si>
    <t>Jelas ya, kalau masih ada yg ngotot pulangin artinya mereka antek2 nya ISIS yg ada di Indonesia.</t>
  </si>
  <si>
    <t>Mantan WNI eks ISIS adalah individu2 yg pernah memiliki tujuan sendiri &amp; bertentangan dengan #Pancasila. Mereka rela melepaskan kewarganegaraan demi mencapai tujuannya. Saat tujuan itu gagal, mereka meminta pulang ke negara yg telah mereka khianati. #TolakEksWNIproISIS</t>
  </si>
  <si>
    <t>Kenapa radio @SonoraFM92 selalu menggunakan diksi WNI EX ISIS? Apakah sebenarnya Sonora sama kayak pendukung ISIS di Indonesia yg tetap anggap orang yg sudah bakar paspor Indonesia dan berperang atas nama teroris ISIS tetap sebagai WNI??</t>
  </si>
  <si>
    <t>Pemerintah Indonesia tidak akan memulangkan terduga teroris pelintas batas atau WNI yang terlibat ISIS. Ketegasan di Balik Kata ISIS eks WNI</t>
  </si>
  <si>
    <t>Bravo @CNNIndonesia, berani menyebut "ISIS eks WNI"</t>
  </si>
  <si>
    <t>sebutan yg tepat ISIS eks WNI RT @semiaji_w:</t>
  </si>
  <si>
    <t>Sekjen Majelis Ulama Indonesia (MUI) Anwar Abbas menilai setiap WNI memiliki hak kembali ke Tanah Air, sehingga menurut dia harus ada penjelasan lebih rinci soal larangan WNI eks kombatan ISIS.</t>
  </si>
  <si>
    <t>Kata Kim Jong Un Presiden Korea Utara Juga ISIS Itu Buatan Amerika Yg Ingin Menghancurkan Negara Islam.  Din Syamsuddin meminta pemerintah memilah WNI eks ISIS soal polemik pemulangan. Din menyatakan ISIS adalah buatan Amerika Serikat.</t>
  </si>
  <si>
    <t>setuju pak, hampir seluruh rakyat mendukung langkah Bp Presiden @jokowi ini. Jgn ragu pak, ttp melangkah. Yg tdk mendukng langkah ini, paling yg sdh terpapar ISIS jg a/ kombatan yg sdh ada di Indonesia. Jokowi: Pemerintah Tak Akan Pulangkan ISIS Eks WNI</t>
  </si>
  <si>
    <t>Presiden Jokowi: Pemerintah Tak Berencana Pulangkan Angota ISIS Eks WNI  via @vibizmediacom</t>
  </si>
  <si>
    <t>Part 1 Timeline : @Dennysiregar7 Bahwasanya tak ada tempat bagi Kombatan ISIS atau pun Eks WNI Pro ISIS.. Tolak mereka dari Bumi Tercinta Indonesia ... @arjuno_ireng01 @ayah_9Garislucu @03__nakula @triwul82 @HusinShihab @jr_kw19 @k4ng_C1reNG</t>
  </si>
  <si>
    <t>Mereka itu ISIS ex WNI !!!</t>
  </si>
  <si>
    <t>Apa yang dilakukan pemerintah soal ISIS sudah betul. Kalau mau dipulangkan mau ditaruh di mana? Program2 de-radikalisasi yang sudah ada apa sudah berjalan lancar? Lalu napiter2 yang di sel2 bagaimana perkembangannya? Lalu ketika dipulangkan WNI eks ISIS mau ditaruh di mana?</t>
  </si>
  <si>
    <t>Ahmad Michdan: Tak Tepat Jika Pemerintah Jokowi Tolak Pulangkan WNI Eks ISIS  via @tribunnews</t>
  </si>
  <si>
    <t>Harusnya pemerintah memfasilitasi dan memberikan pekerjaan bagi WNI anggota ISIS, karena kepanjangan ISIS itu Ikatan Sarjana Ingin Sukses</t>
  </si>
  <si>
    <t>Si Din ini emang aneh. Katanya ISIS bikinan Amrik. Tapi kok ngeyel ISIS ex WNI dipulangin? Ngapain sih bawa masuk bikinan Amrik? Bawa penyakit aja. Jangan² Si Din bilang begini gara² ISIS keok makar ya? 🤣</t>
  </si>
  <si>
    <t>Ketua Bamusi Apresiasi Langkah Pemerintah Tolak ISIS Eks WNI #EksKombatanISIS #Bamusi #RepublikMerdeka</t>
  </si>
  <si>
    <t>Pemerintah Indonesia tidak memiliki rencana untuk memulangkan simpatisan ISIS eks WNI. "Pemerintah memiliki tanggung jawab keamanan terhadap 260 juta penduduk Indonesia. Itu yang kita utamakan". @jokowi Presiden Republik Indonesia #NKRIhargamati🇮🇩 #GMNUCyberTeam</t>
  </si>
  <si>
    <t>Nah ini.... Ide ini yg gw aga kurang setuju penolakan WNi ex isis ke indonesia. Ada beberapa yg masih anak2 dan remaja. Mereka belum menjadi manusia dewasa seutuhnya. Harus nya mereka difasilitasi utk pulang . RT @ulil: 13/ Banyak di antara WNI eks-ISIS ini yg masih anak2, dan remaja yg baru tumbuh menjadi manusia. Mereka tentu memiliki impian sebagaimana anak2 lain. Mereka jelas tak boleh direnggutkan dari impian2 mereka di masa depan. Pemerintah mestinya tak boleh mematikan impian mereka ini.</t>
  </si>
  <si>
    <t>Eks WNI yg di syria pengen pulang semenjak ISIS udah runtuh. Jarene Iman mu nang kono. Sak erohku Iman iku yo personal Masio ndas2anmu buyar, yo awakmu kudhu pancet berjuang. Gak usah mulih !!! ncepno ae pindah Damaskus karo ngenteni Imam Mahdi ... wkwkwkk</t>
  </si>
  <si>
    <t>*Nih yg bener...* *Jng ikutin rezim orba yg phobie sm komunis..* *Kok skng phobie sm islam..*</t>
  </si>
  <si>
    <t>Monggo dengarkan dan lihat wahai elit negeri ini yg mendukung pemulangan ISIS eks WNI. @BNPTRI @NUgarislucu @MuhammadiyinGL @WagimanDeep #NKRIHargaMati</t>
  </si>
  <si>
    <t>Video: Jokowi Tegaskan ISIS Eks WNI Tak Akan Pulang ke Indonesia!</t>
  </si>
  <si>
    <t>Jokowi Minta Identifikasi 689 Anggota ISIS Eks WNI</t>
  </si>
  <si>
    <t>kalau aku sih setuju wni isis tidak di pulangkan. selain kejam dan membawa bawa islam mereka itu teroris. jangan melihara teroris di negara sendiri. teroris harus di tumpas.</t>
  </si>
  <si>
    <t>Mata Najwa Tadi Malam, Reaksi Fadli Zon Ditantang Buktikan 689 Orang di Suriah Eks ISIS adalah WNI  via @tribunkaltim #MataNajwa #FadliZon #MenangkisISIS #WNIEksISIS #ISIS</t>
  </si>
  <si>
    <t>Yth Bpk MenkoPolhukam @mohmahfudmd saran saja : Dlm berita dimedia masih banyak yg menyebutkan ' WNI Eks ISIS ' menurut saya lebih tepat disebut ' Eks WNI pro ISIS ' Karena mereka itu sudah otomatis keluar dari WNI sejak bergabung dgn ISIS, 🙏🙏🙏</t>
  </si>
  <si>
    <t>Pemerintah masih akan verifikasi data, khususnya mereka yang telah membakar paspor.</t>
  </si>
  <si>
    <t>Apakah ada yang bisa menjamin jika eks WNI ISIS pulang tidak menimbulkan masalah baru??? Dari sisi eks WNI ISIS dan dari sisi WNI itu sendiri. RT @BBCIndonesia: "Orang tua saya dan saudara-saudara saya sudah meninggal ... Saya tak tahu mau ke mana. Saya akan bertahan di sini," kata anak Indonesia yang mengaku bernama Yusuf kepada wartawan BBC di kamp Al-Hol, Suriah.</t>
  </si>
  <si>
    <t>Pemerintah Tolak Pulangkan 689 WNI Eks ISIS.</t>
  </si>
  <si>
    <t>#Trans7 FadliZonk mati2an Bela Eks WNI ISIS ! "Siapapun yang mengambil pilihan (WNI) harus bertanggung jawab atas pilihannya." Fadjroel Rachman, Jubir Presiden. #MataNajwa  @Usep210 @Bnie18 @Bubut871 @LisdiyantoR @Aadec @P_Eneste @gundala222 @senasurya53</t>
  </si>
  <si>
    <t>buat media yg katanya mainstream maunya bikin opini sendiri. cari argumentasinya dong kenapa harus ISIS ex WNI, bukan sebaliknya! atau kalian punya hidden agenda?! @kompascom @detikcom @kumparan @TirtoID @VIVAcoid @liputan6dotcom @suaradotcom @tempodotco RT @satyasuryawan: jadi jelas ya, Presiden sudah menegaskan mereka adalah "anggota ISIS eks WNI"</t>
  </si>
  <si>
    <t>Pemerintah Buka Peluang Pulangkan Anak-anak WNI Eks ISIS, Ini Penjelasan Jokowi: Mantan Gubernur DKI Jakarta itu telah meminta menteri terkait untuk mengidentifikasi WNI eks ISIS yang kini terpencar di wilayah Timur Tengah. Sumber merdeka com</t>
  </si>
  <si>
    <t>Gw pribadi ga mslh utk plg lg, aplg yg dibawa paksa ortunya. Sblm jd WNI lg, org yg "diizinkan" plg diberi "pendidikan ulang" sblm membaur di masyarakat. Paham ISIS emg kadal, dan gw jg g yakin 100% org yg tobat paham ISIS-nya luntur, pst msh ada "virus"-nya walau sdkt. RT @ulil: 1/ Pemerintah sudah mengetok palu: tak akan memulangkan WNI eks-ISIS di Suriah dan Turki. Jumlah mereka mencapai hampir 700 orang. Saya menghormati keputusan pemerintah. Meski demikian, saya punya pendapat yg berbeda. Perkenankan saya menyampaikannya di sini.</t>
  </si>
  <si>
    <t>Ribut - ribut menolak ISIS ex WNI , bgm kalau ada sponsor secara diam - diam memulangkan mrk ? Perwakilan RI kedutaan, konsulat perlu waspada utk memberikan surat perjalanan (paspor/SPLP) - setuju ?</t>
  </si>
  <si>
    <t>Tetap tegas menghadapi para penentang dasar negara PANCASILA, Redaksi @CNNIndonesia seharusnya lebih tepat menyebut "Eks WNI yg bergabung dgn ISIS" bukan "WNI Eks ISIS" karena mereka sudah bukan WNI, Dukung keputusan negara tidak menerima Eks WNI tsb. 🇮🇩</t>
  </si>
  <si>
    <t>Mata Najwa - Menangkis ISIS (Part 1)  Pendiri Yayasan Prasasti Perdamaian Noor Huda Ismail menceritakan kisahnya mendampingi pemulangan 18 WNI dari Suriah pada 2017. #MataNajwaMenangkisISIS</t>
  </si>
  <si>
    <t>Pemerintah telah memutuskan tidak akan memulangkan WNI Eks Kombatan dan Simpatisan ISIS. Adakah dampak yg perlu diwaspadai dari kebijakan tsb? #Talk brsm: 1. Tenaga Ahli Kantor Staf Kepresidenan Ali Mochtar Ngabalin 2. Pengamat Intelijen dan Keamanan Negara, Stanislaus Riyanta</t>
  </si>
  <si>
    <t>Kembali ke Catatan Awal : 👉 Adakah pernyataan atas WNI eks ISIS dgn Pemerintah terkait Keberangkatan dan kepulangannya menjadi Jaminan dan tanggung jawab Pemetintah...? Bila Tidak ada itu sudah menjadi Resiko WNI eks ISISI, atas kemauannya Sendiri.</t>
  </si>
  <si>
    <t>Seperti apa WNI ISIS yg nanti mungkin dikembalikan??? Mudah2an gak banyak dengan riwayat panjang kaya Ustad Ganna. #jangansuriahkanindonesia #lawanradikalisme @Bangzul__88 @BlackisBlackMSS @jelataNKRI_ndai @RRizkawati @zlametabidin</t>
  </si>
  <si>
    <t>Bubarkan saja Komnas HAM ini. Teroris dibela habis habisan. Giliran polisi jadi korban bungkam.</t>
  </si>
  <si>
    <t>Ada rakyat indonesia yg bergabung dgn ISIS setahu saya blm pernah mencabut kewarganegaraan mrk pak. Jd tidak tepat bpk bilang mrk adalah eks WNI. Terima kasih.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</si>
  <si>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Menakar Dampak Positif &amp; Negatif Kebijakan Jokowi Tolak Pulangkan WNI Eks ISIS ke RI. Jelas itu berdampak positif dan memberi ketenangan bagi masyarakat Indonesia. RT @merdekadotcom: Menakar Dampak Positif &amp;amp; Negatif Kebijakan Jokowi Tolak Pulangkan WNI Eks ISIS ke RI</t>
  </si>
  <si>
    <t>dia ga nyimak... mereka bukan lagi wni... jd tdk ada kewajiban utk memulangkan... dan jika ada wni.. dan dipulangkan.. apakah komas ham bertanggung jawab pada ham 260jt masyarakat Indonesia? bicara ham itu susah boss.. ga usah cari panggung</t>
  </si>
  <si>
    <t>jadi jelas ya, Presiden sudah menegaskan mereka adalah "anggota ISIS eks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</si>
  <si>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Media harusnya bisa berperan penting dalam mencegah terorism, headline yang benar harusnya “ISIS ex WNI, bukan WNI eks ISIS” ini remeh tapi meribah sudut pandang</t>
  </si>
  <si>
    <t>Mereka pergi sendiri Mereka sebut NKRI itu Thogut Mereka gabung dengan #ISIS Mereka bakar paspor RI Mereka ancam TNI Mereka ancam #NKRI Saat ISIS kalah mereka minta pulang ke Indonesia..... Apa kata Indonesia ? INDONESIA TAK AKAN PULANGKAN EKS WNI YANG BERGABUNG DENGAN ISIS !!</t>
  </si>
  <si>
    <t>Menakar Dampak Positif &amp; Negatif Kebijakan Jokowi Tolak Pulangkan WNI Eks ISIS ke RI</t>
  </si>
  <si>
    <t>ISIS eks WNI pelaku, bukan korban RT @CNNIndonesia: Bukan Korban, Anak-Istri WNI Eks ISIS Tak Bisa Ditangani LPSK</t>
  </si>
  <si>
    <t>Ratusan Mantan ISIS asal Indonesia Mau ke Mana?  @kopisusudotid @ekosahus @MIzzulMutho1 #ISIS #wni #indonesia #hikmahantojuwana #kopisusu</t>
  </si>
  <si>
    <t>Lho moralitas penulis ini yg perlu dipertanyakan</t>
  </si>
  <si>
    <t>#Jokowi #JokowiMaruf2019 #Jokowi2Periode #jokowikamisandimana #BubarkanBPIP #MataNajwa #InterNapoli #AniesGabisakerja #anies #aniesbaswedangubernurgagal #4nieslayakdimakzulkan #4nieshancurkanmonas #4niesuntungwargabuntung #Politik #ISIS #ISISGoToHell</t>
  </si>
  <si>
    <t>Pemerintah Indonesia memutuskan tidak akan memulangkan Warga Negara Indonesia (WNI) terkait kelompok ekstrem ISIS. Hal itu, seperti diungkapkan Kepala Badan Intelijen Negara (BIN) Budi Gunawan, di gedung DPR, Jakarta, Rabu (12/2) @jokowi</t>
  </si>
  <si>
    <t>"Anggota ISIS eks WNI" ✔️ ntaps Bapak Presiden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</si>
  <si>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WNI Eks ISIS Masih Berharap Pemerintah Berubah Pikiran</t>
  </si>
  <si>
    <t>Presiden Joko Widodo menegaskan, pemerintah Indonesia tidak akan memulangkan terduga teroris pelintas batas atau WNI yang terlibat ISIS. / #Nasional</t>
  </si>
  <si>
    <t>Keputusan pemerintah tak pulangkan WNI eks ISIS dinilai tepat</t>
  </si>
  <si>
    <t>*Nasib WNI Eks ISIS Tidak Dipulangkan. =Nasib oh nasib... Salah sendiri,- #WNIEksISIS #Teroris #NKRI #Rafans</t>
  </si>
  <si>
    <t>Ini tanggapan Turki setelah Indonesia menolak memulangkan WNI eks-ISIS</t>
  </si>
  <si>
    <t>Nasib WNI Eks-ISIS hingga Kongres Ricuh PAN, Ini 5 Artikel yang Mesti Kamu Tahu!</t>
  </si>
  <si>
    <t>LAIN VIA JALUR TIKUS, WNI EKS ISIS BISA KE INDONESIA PAKAI CARA INI, MAHFUD MD KHAWATIR SOAL PASPOR #MahfudMD #WNIeksISIS #Jokowi  via @tribunkaltim</t>
  </si>
  <si>
    <t>Pemerintah bertanggung jawab atas 267 juta jiwa Dan bertanggung jawab Atas berlangsung nya NKRI maka TIDAK memulangkan Anggota ISIS EX WNI.</t>
  </si>
  <si>
    <t>Anggota ISIS Eks WNI MANTAAABS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</si>
  <si>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Ini PRESIDENKU .....Hidup ad peluang,kesempatan dn perhitungan.Hidup ad Pilihan....Mantap pak jgn kasih ruang bagi pengkhianat Bangsa.</t>
  </si>
  <si>
    <t>Taiwan belum d akui PBB tp ada, Kosovo belum juga tp ada, Israel tidak d akui negara kepulauan tp PBB mengakui .. 🧐</t>
  </si>
  <si>
    <t>Eks WNI peserta isis itu sebutannya foreign terrorist fighter ya.. Tok! Pemerintah Tak Akan Pulangkan WNI Eks ISIS</t>
  </si>
  <si>
    <t>Yang bener itu eks WNI anggota isis. BUKAN WNI eks anggota isis. Mreka akan tetap mengaku bahwa mereka bukan bekas WNI tp masih tetap WNI</t>
  </si>
  <si>
    <t>"ISIS eks WNI"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</si>
  <si>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HEADLINE: Pemerintah Tak Pulangkan 689 WNI Anggota ISIS, Bagaimana Menangkal Penyusupan?</t>
  </si>
  <si>
    <t>Bukan di eksekutif keputusannya...</t>
  </si>
  <si>
    <t>Pendukung Ex WNI pro ISIS, nampaknya orang/kelompok yang sefaham. Bagusnya sejak dulu ikut gabung perang bersama disana (kalo berani) RT @WagimanDeep: Pelitisi PKS Makdani aloy Vera ngeyel menyatakan eks WNI pro ISIS adlh anak kandung ibu pertiwi.. Iyalah anak kandung yg durhaka kerna mengeluarkan diri dari Kartu kluarga ea Tesiiii... Apa kgak mikir klo ISIS menang eang mlambe2 gni bakal dilempar dr atas gedung #AwasAntek2ISIS</t>
  </si>
  <si>
    <t>KOMNAS HAM DENGAN GAYA NYA YANG SOK "MENINGGIKAN MUTU DIRI" melakukan pendesakan thd pemerintah untuk memulangkan 600 kombatan eks ISIS mantan WNI 😂😂😂😂😂😂😂😂😂😂😂😂 Propagandanya kliatan kampungan #hare #TolakWNIEksISIS</t>
  </si>
  <si>
    <t>Jokowi Kini Sebut ISIS Eks WNI, Bukan Lagi WNI Eks ISIS</t>
  </si>
  <si>
    <t>Mau bikinan mamarika ato mamasuriah kalo sudah teroris ya tetap teroris.. Dan pemerintah sdh jelas tolak ISIS eks WNI.. #AwasAntek2ISIS</t>
  </si>
  <si>
    <t>Kita patut bersyukur dan publik Indonesia pasti Indonesia mendukung 100 Presiden RI selaku Kepala Negara dan Kepala Pemerintahan atas Keputusan tidak memulangkan Eks WNI dan Anggota ISIS dari Indonesia.</t>
  </si>
  <si>
    <t>Video: Jokowi Tegaskan ISIS Eks WNI Tak Akan Pulang ke Indonesia!: Presiden Joko Widodo (Jokowi) menggunakan istilah ISIS eks WNI. Jokowi menegaskan pemerintah tak berniat memulangkan mereka.</t>
  </si>
  <si>
    <t>Analisis Pasca Anggota ISIS Eks WNI Ditolak Masuk Indonesia</t>
  </si>
  <si>
    <t>Ini baru benar. 👍 Pak @Jokowi Pakai Istilah ISIS Eks WNI</t>
  </si>
  <si>
    <t>Jokowi: ISIS eks WNI Bukan Lagi Tanggung Jawab Negara</t>
  </si>
  <si>
    <t>Faruk, Yusuf, Nasa, tiga anak WNI eks ISIS yang ditemui wartawan BBC @sommervilletv di Suriah. Mereka kehilangan keluarga dan tak tahu apa yang harus dilakukan. "Saya akan bertahan di sini," kata Yusuf.</t>
  </si>
  <si>
    <t>Terimakasih Bapak Menteri @mohmahfudmd.</t>
  </si>
  <si>
    <t>Presiden Jokowi Tegaskan Tak Akan Pulangkan ISIS Eks WNI ke Tanah Air</t>
  </si>
  <si>
    <t>Moralitas Jokowi dan 'Eksekusi' Tolak Ratusan WNI Eks ISIS&gt;&amp;gt;&amp;gt;&amp;gt;moralitas ente bagaimana ? ⁦@CNNIndonesia⁩</t>
  </si>
  <si>
    <t>Imparsial Minta Pemerintah Pulang WNI Eks ISIS</t>
  </si>
  <si>
    <t>Kalau ISIS benar buatan AS dan Israel .akan 600 eks WNI itu mestinya jadi urusan AS dan Israel.</t>
  </si>
  <si>
    <t>Aku rasa ISIS adalah sebuah negara. Karena, ISIS telah memenuhi 3 syarat berdirinya negara: Ada pemerintah, ada wilayah dan ada rakyat. Persoalan pengakuan dari negara lain itu urusan nanti. Komnas HAM Desak Seluruh WNI Eks ISIS Dipulangkan  lewat @TirtoID</t>
  </si>
  <si>
    <t>Gayus Lumbuun: Menolak WNI Eks ISIS Bukan Kekuasaan Presiden  #vivanews</t>
  </si>
  <si>
    <t>Din Syamsuddin sebaiknya URUS sekolah dari Organisasi yg pernah dipimpinnya Jangan URUS ISIS eks WNI, belum sampai ilmumu Urus anak sekolah yg berpotensi mengabaikan KEMANUSIAAN saja belum bisa, Apalagi urus TERORIS?? 🇮🇩😡😡😡🇮🇩 #WaspadaSimpatisanISIS RT @narkosun: Biadab ini. Bullying seperti ini harus ditindak tegas. Ga boleh dibiarkan. Pidanakan klo perlu biar ada efek jera. Info kejadian di SMP Muhammadiyah Butuh Purworejo. Semoga segera ditangani pihak² terkait. Cc: pak @ganjarpranowo</t>
  </si>
  <si>
    <t>Agak Beda dengan Pemerintah, Begini Sikap Muhammadiyah soal Pemulangan WNI Kombatan ISIS</t>
  </si>
  <si>
    <t>Pemerintah tidak akan memulangkan ISIS eks WNI dari Suriah</t>
  </si>
  <si>
    <t>Presiden sudah menyebut ISIS eks WNI. Wuih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</si>
  <si>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WNI eks isis? itumah isis eks WNI RT @tjhinfar21: Good news 👍👍😁 Pak Jokowi Prof Mahfud sampai dgn Pak Ganjar dan terakhir Menag jg menyatakan ikut menolak kepulangan WNI eks ISIS👍👏👏 Mari kita gaungkan penolakan tersebut sampai betul² keluar statement resmi dari pemerintah🙏 #CegahISISmasukNKRI</t>
  </si>
  <si>
    <t>Anggota ISIS EKS WNI bukan WNI eks Anggota ISIS.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</si>
  <si>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Alhamdulillahirobbil'alamin...,Sah Pemerintah tolak pulangkan WNI ISIS,terima kasih Bapak Presiden Jokowi dan Menkopolhukam Pak Mahfud MD, tidak sia-sia netizen seluruh Indonesia protes, Kami warga Indonesia ingin hidup tentram, damai, adem, sejuk, 👍🙏❤️🇮🇩. #TolakEksWNIproISIS</t>
  </si>
  <si>
    <t>Exs wni isis sudah ditolak masuk NKRI tapi masih ada anak anak yang akan dpertimbangkan kembali k nkri. Tidak perlu lagi anak anak itu kembali, kelak mereka hanya akan jadi bom waktu bagi negeri ini, biarkan mereka kekal dsana! Cc @mohmahfudmd #TolakAnakIsis</t>
  </si>
  <si>
    <t>Simpatisan isis? Sudah jelas ex = mantan. Eks WNI = mantan WNI. RT @AHSANFURQANIBR5: @Varez73685005 @jokowi Itu pendapat sampeyan, orang lain pun punya pendapat juga, Negara jangan Semena-mena terhadap warganegaranya, kewajiban Negara mengayomi dan membina warganegaranya</t>
  </si>
  <si>
    <t>"ISIS eks WNI" for the first time in a long time, your PR team do thing right, Mr. President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</si>
  <si>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"tentu saja pernyataan-pernyataan Choirul dilandasi pertimbangan KEMANUSIAAN." Jadi hanya 600 orang ISIS eks WNI yg manusia, sedangkan lebih dari 200 juta WNI yang setia pancasila BUKAN MANUSIA sehingga tidak perlu dipertimbangkan keamanannya. begitukah maksudnya? RT @WagimanDeep: "Apakah perilaku seperti itu (penolakan oleh negara) lebih baik atau buruk? Buruk!..” kata Choirul Anam Lebih buruk mana meninggalkan negeri sdr bkar passport demi gabung teroris ISIS? Dasar Komisi kagak berguna bagi Nusa dan Bangsa lu! #AwasAntek2ISIS</t>
  </si>
  <si>
    <t>"Anggota ISIS eks WNI" itu yg sebenarnya ketika seorang warganegara dgn sadarnya telah mengkhianati,melenyapkan jati diri &amp; identitas dirinya dari negara ini, mereka bukan lagi sebagai WNI!! "Cekal" adalah tindakan yg tepat. Terima kasih pak @jokowi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</si>
  <si>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3 pemerintah Biarkan Keadaan WNI eks ISIS</t>
  </si>
  <si>
    <t>Pemerintah Tak Berencana Pulangkan Anggota ISIS Eks WNI  lewat @Kanalindonesia.com</t>
  </si>
  <si>
    <t>Jangan ada lagi yang menggunakan Narasi bahwa Kombatan ISIS itu adalah WNI. RT @MataNajwa: "Kalau kita masih anggap mereka WNI, berarti kita biarkan WNI yg ada di luar negeri menyerang pemerintahan yg sah yaitu Irak, dan Suriah," kata Hikmahanto Juwana, guru besar hubungan internasional UI #MataNajwaMenangkisISIS</t>
  </si>
  <si>
    <t>Pemerintah Tak Berencana Pulangkan WNI Eks ISIS  #PDIPerjuangan</t>
  </si>
  <si>
    <t>Yang Benar adalah "ISIS eks WNI" Bukan "WNI eks ISIS" Kedua istilah itu beda Makna Kadang media suka asal nulis</t>
  </si>
  <si>
    <t>Baca baik baik Pemerintah tidak berencana untuk memulangkan para anggota ISIS EKS WNI Akal Sehat : Kalau sudah EKS ngapain juga harus di pikirin .. Cari ISU Lain lah yang bisa buat lupa JIWASRAYA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</si>
  <si>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Propaganda ISIS kalah perang pasang wajah sendu di media, berharap dipulangkan sambil bawa bom waktu siap diledakkan. Tangis Remaja Perempuan WNI Eks ISIS di Suriah, Menangis Histeris Rindukan Suasana Damai Indonesia</t>
  </si>
  <si>
    <t>Ingin Lindungi 260 Juta Penduduk, Presiden Tegaskan Pemerintah Tidak Berencana Pulangkan ISIS Eks-WNI</t>
  </si>
  <si>
    <t>Moralitasmu dipertanyakan!</t>
  </si>
  <si>
    <t>Enak bacanya, ISIS eks WNI, dr kmrn media mainstream kebalik mulu otaknya. Makasih pak @jokowi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</si>
  <si>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Korpus DEMA Se Indonesia : Kami Menolak Pemulangan WNI ISIS ke Indonesia  #MataNajwa #MataNajwaMenangkisISIS</t>
  </si>
  <si>
    <t>PBNU menyatakan penolakan pemulangan WNI Eks ISIS.</t>
  </si>
  <si>
    <t>Jangan pernah kita melegitimasi para milisi ISIS sbg Eks WNI...krn ini akan memiliki konsekwensi akibat hukum yg mesti ditanggung oleh Negara RI.... RT @cagubnyinyir2: Istilah kelompok teroris ISIS banyak menyebut 'WNI eks ISIS'. Kini Presiden Jokowi menyebut mereka bukan sebagai WNI, melainkan menggunakan Istilah 'ISIS eks WNI'  @Usep210 @Jokoumb64504158 @EdiDiyanto @ediedot108 @didi_armayanto @NGOBUSH3 @periani @BHD_8</t>
  </si>
  <si>
    <t>Mau bicara sedikit mengenai WNI eks ISIS.</t>
  </si>
  <si>
    <t>Bamusi Dukung Langkah Jokowi Tolak Pemulangan 687 WNI Eks ISIS  #vivanews</t>
  </si>
  <si>
    <t>Pemerintah memastikan tak akan memulangkan warga negara Indonesia (WNI) bekas pengikut ISIS. Dari identifikasi sementara, WNI bekas pengikut ISIS di Timur Tengah (Timteng) mencapai 689 orang.</t>
  </si>
  <si>
    <t>WNI Eks ISIS Tak Dipulangkan, PBNU Minta RI Gencarkan Gerakan Deradikalisasi</t>
  </si>
  <si>
    <t>Mohon pak, awasi dgn ketat n tangkap jg para tokoh2 utama yg menginginkan ex WNI anggota ISIS bs pulang ke sini. Mrk adalah pendukung2 ISIS yg msh leluasa menebarkan provokasi n hasutan2 u memecahbelah bangsa,membuka pintu msknya ISIS ke Indonesia.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</si>
  <si>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Presiden Joko Widodo juga mengatakan, bahwa keputusan itu untuk menjaga kemanan 260 juta penduduk Indonesia. #KAMUHARUSTAU</t>
  </si>
  <si>
    <t>Kalau benar eks WNI yg gabung ke ISIS di Suriah telah menyesal dan merasa tertipu, harusnya mereka meminta pertanggung jawaban dari kpd yg telah menipu mereka. Salah satunya ya ke Koh FelixSiauw ini. 👇 #AwasAntek2ISIS</t>
  </si>
  <si>
    <t>Isis eks WNI bukan WNI eks isis</t>
  </si>
  <si>
    <t>Pemerintah Masih Verifikasi Data WNI Eks Simpatisan ISIS</t>
  </si>
  <si>
    <t>Lega rasa nya NKRI menolak ISIS eks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</si>
  <si>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Wtf lah sjw Being contra about ex WNI who are joining isis back to Indonesia is called as alt right, populism bla bla bla what an asshole</t>
  </si>
  <si>
    <t>Gayus: Nasib WNI Eks ISIS Harus Diputus Pengadilan</t>
  </si>
  <si>
    <t>Sudah ... ya sudah ...! Pemerintah tidak berencana dan tidak akan memulangkan ISIS Eks WNI. Cukup ...!</t>
  </si>
  <si>
    <t>Pemerintah membuka kemungkinan memulangkan anak-anak warga negara Indonesia (WNI) bekas pengikut ISIS jika ada yang terlantar di Timur Tengah (Timteng). Anak-anak yang diajak orang tuanya itu berusia di bawah 10 tahun.</t>
  </si>
  <si>
    <t>"Kami sudah menegaskan bahwa Presiden Jokowi tidak akan pulangkan anggota ISIS eks WNI," ungkap Fadjroel Rachman, Juru Bicara Presiden. cc @fadjroeL #MataNajwa #MataNajwaMenangkisISIS</t>
  </si>
  <si>
    <t>Om Mardigu .. luv this chanel.. Pendapatnya ttg ex WNI pro isis ...</t>
  </si>
  <si>
    <t>Pemerintah Tak Berencana Pulangkan WNI Eks ISIS: Pemerintah memiliki tanggung jawab untuk memberikan rasa aman bagi kurang lebih 260 juta penduduk Indonesia. Mengutamakan hal tersebut, hingga saat ini pemerintah tak berencana untuk…  via @kabar_tangsel</t>
  </si>
  <si>
    <t>Pemerintah Tolak Pemulangan WNI Exs ISIS, BIN: Risiko Sudah Diperhitungkan</t>
  </si>
  <si>
    <t>Ttg ISIS Eks WNI di @tvOneNews brsama @H_Sutiyoso</t>
  </si>
  <si>
    <t>Permasalahan terorisme seolah menjadi benalu di Indonesia. Berbagai macam teror telah dilakukan oleh teroris untuk merusak tatanan pemerintahan yang mereka anggap thogut (setan). Lalu, Apakah mereka berhak untuk kembali?</t>
  </si>
  <si>
    <t>Ditolak Pulang ke Indonesia, Bagaimana Nasib Anak WNI Eks-ISIS? | #gayahidup #viral</t>
  </si>
  <si>
    <t>Demi Rasa Aman Rakyat Indonesia Pemerintah Tidak Pulangkan WNI eks ISIS</t>
  </si>
  <si>
    <t>Mantan Lo yg brengsek ngajak balikan dan Lo mau gw si bodo amat.Bisa paham gw.Nah kalo kasus nya eks isis ini yg ga bisa gw paham.Ini negara rek.klo pemulangan wni di Wuhan iya jls itu dalam rangka kemanusiaan. Kalo pemulangan eks isis dalam rangka apa?Masa kesetanan? #matanajwa RT @TRANS7: "Ini pelajaran bagi kita semua, siapapun yang mengambil pilihan harus bertanggung jawab atas pilihannya." Fadjroel Rachman, Juru Bicara Presiden. #MataNajwa #MataNajwaMenangkisISIS</t>
  </si>
  <si>
    <t>Sangat senang sekali, Pakde Jokowi memutuskan dengan tegas tidak akan memulangkan eks WNI yg tergabung di ISIS ke Indonesia. Tapi inget Pakde @jokowi , masih banyak WNI yg terpapar oleh paham ISIS. Saya rasa, negara harus lebih tegas menyikapi WNI semacam ini.</t>
  </si>
  <si>
    <t>Keputusan masalah Polemik pemulangan WNI eks ISIS sudah melalui pertimbangan yang matang #KeputusanPolemikEksISIS</t>
  </si>
  <si>
    <t>Memulangkan WNI eks isis sama aja masukin kuda troya ke dalam kota troya dalam semalem kota troya ancur</t>
  </si>
  <si>
    <t>Keputusan polemik pemulangan WNI ISIS melalui proses yang matang #KeputusanPolemikEksISIS</t>
  </si>
  <si>
    <t>Banyak yg salah sebut. Mereka bukan eks ISIS. Tapi combatan ISIS mantan WNI. Semua orang yg setia kpd selain Indonesia, otomatis runtuhlah WNI nya.&gt;detikNews: Tak Dipulangkan Pemerintah, WNI Eks ISIS Mau ke Mana?.  melalui @GoogleNews</t>
  </si>
  <si>
    <t>WNI Eks ISIS Tak Dipulangkan, Napiter Kritik Sikap Pemerintah</t>
  </si>
  <si>
    <t>(x-ISIS)(x-WNI) = (x^2) - x(WNI+ISIS) + (ISIS.WNI) WNI = 0; ISIS ≠ 0 (x^2) - x.ISIS = 0 (x^2) = x.ISIS x = ISIS --&gt; terbukti 😌</t>
  </si>
  <si>
    <t>Itu artinya, mereka sudah tidak diakui sbg WNI lagi . #AwasAntek2ISIS</t>
  </si>
  <si>
    <t>BIN angkat bicara soal ditolaknya pemulangan WNI eks ISIS  #ISIS</t>
  </si>
  <si>
    <t>BIN Soal WNI Eks ISIS Tak Dipulangkan: Risiko Sudah Diperhitungkan</t>
  </si>
  <si>
    <t>Mahfud MD: WNI eks ISIS Tak Akui Sebagai Warga Indonesia, Paspor Dibakar</t>
  </si>
  <si>
    <t>Sudah jelas kan ISIS eks WNI Tidak perlu debat lagi untung di pulangkan 👍👍👍</t>
  </si>
  <si>
    <t>nah. eks WNI..bukan WNI (eks ISIS). 👍 RT @detikcom: Istilah yang digunakan untuk menyebut orang-orang itu adalah WNI eks ISIS. Kini Jokowi menyebut mereka bukan sebagai WNI, tapi sebagai eks WNI.</t>
  </si>
  <si>
    <t>"ISIS eks WNI" nice! Nek sek ada sing bilang humanity Jkw dmn? Tulung diliat lagi, ISIS eks WNI yang mok bela itu sek ada sisi humanis e ta?!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</si>
  <si>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ISIS Eks WNI, Apakah Indonesia Tidak Lagi Negara Hukum?</t>
  </si>
  <si>
    <t>Lebih mengayomi 267 juta jiwa ketimbang memulangkan WNI PROISIS #TolakEksISIS #TolakEksWNIproISIS #AwasAntek2ISIS</t>
  </si>
  <si>
    <t>Tapi semua TERORIS 😡</t>
  </si>
  <si>
    <t>Baiknya komisioner Ham Anam cari tahu gimana cara membuktikan mereka itu (masih) WNI? Jangan2 mereka sebenarnya penyusup yg berkedok (eks) WNI</t>
  </si>
  <si>
    <t>ISIS EKS WNI min...!!! RT @nupedia_id: 🎉GIVEAWAY TIME!🎉 Sesuai janji, krn lg rame pro-kontra pemulangan WNI eks ISIS, Mimin mau kasih GA buku Gus @na_dirs "Islam Yes Khilafah No" Semoga bisa nambah wawasan utk menyikapi hal ini Syarat: Retweet &amp; follow @nupedia_id Pengumuman 14 Feb, 16.00 WIB Yuk!😊 #rabuambyar</t>
  </si>
  <si>
    <t>EX WNI Pro ISIS RT @cagubnyinyir2: Sebutan kelompok teroris ISIS disebut Istilah 'WNI eks ISIS'. Kini Presiden Jokowi menyebut mereka bukan sebagai WNI, melainkan menggunakan Istilah 'ISIS eks WNI'  @blacpanthe @stevent_black @Berty69968038 @angelmaximilan @yosgabe4 @IMulya77 @SoffiAgus</t>
  </si>
  <si>
    <t>Pengamat Intelijen Sebut WNI Eks Kombatan ISIS Tak Dipulangkan Tetap Berbahaya</t>
  </si>
  <si>
    <t>Ya, pulang saja lewat jalur biasa dan tidak perlu minta dipulangkan oleh pemerintah. Kan perginya juga pergi sendiri. 👀</t>
  </si>
  <si>
    <t>Tolak WNI Eks ISIS, Said Aqil Kutip Surat Al Ahzab</t>
  </si>
  <si>
    <t>Saya yakin pemerintah Indonesia tdk pernah mudah mengambil keputusan utk menolak kepulangan WNI eks kombatan ISIS mengingat bnyk pihak yg menekan atas dasar kemanusiaan &amp; HAM. Namun ISIS pun menunjukkan scr tegas telah mengesampingkan HAM &amp;amp; kemanusiaan korban2nya scr keji.</t>
  </si>
  <si>
    <t>Dalam sebuah pilihan pasti ada baik dan buruk nya , WNI memilih isis itu sudah pilihan jd jgn lg di tarik kembali ke indonesia , karna mereka memilih untuk mengikuti apa yg mereka yakini , pemerintah stop bahas ex indonesia</t>
  </si>
  <si>
    <t>Sebutan kelompok teroris ISIS disebut Istilah 'WNI eks ISIS'. Kini Presiden Jokowi menyebut mereka bukan sebagai WNI, melainkan menggunakan Istilah 'ISIS eks WNI'  @blacpanthe @stevent_black @Berty69968038 @angelmaximilan @yosgabe4 @IMulya77 @SoffiAgus</t>
  </si>
  <si>
    <t>Tebak-tebakan 600+ orang yg ikut isis mantan wni kalo pulang ke Indo jadi apa? Pengangguran 🗑️</t>
  </si>
  <si>
    <t>Bravo pak Presiden... Terima kasih Note : ISIS eks WNI, not WNI eks ISIS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</si>
  <si>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Nah ini benar, ISIS eks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</si>
  <si>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#BREAKING #NEWS : #Pemerintah Putuskan Tolak Wacana Pemulangan 689 WNI Eks #ISIS</t>
  </si>
  <si>
    <t>Abdul Mu'ti: Pemerintah Wajib Fasilitasi WNI Eks Pengikut ISIS yang Ingin Kembali #MataNajwa</t>
  </si>
  <si>
    <t>Kode baru: #DS119</t>
  </si>
  <si>
    <t>Pengurus Besar Nahdatul Ulama (PBNU) mendukung langkah pemerintah yang tak akan memulangkan WNI eks ISIS. PBNU meminta pemerintah segera membuat gerakan deradikalisasi. #AwasAntek2ISIS</t>
  </si>
  <si>
    <t>Inilah sebutan yg benar,,, setuju 👍 dgn sebutan pakde @jokowi kombatan ISIS eks WNI ===&gt;&amp;gt; Jokowi Pakai Istilah ISIS Eks WNI</t>
  </si>
  <si>
    <t>Lahhh udah jls Presiden blg ISIS ex WNI knp msh diblg WNI ex ISIS?? Jangan dibalik. Yang bener itu: ISIS ex WNI. RT @CNNIndonesia: Jokowi Kini Sebut ISIS Eks WNI, Bukan Lagi WNI Eks ISIS</t>
  </si>
  <si>
    <t>Amnesty International Ingatkan WNI Eks ISIS Tak Boleh Dilarang Pulang  #vivanews</t>
  </si>
  <si>
    <t>Apresiasi utk pemerintah Indonesia khususnya presiden @jokowi yg sudah mempertimbangkan dan memberikan keputusan menolak WNI eks kombatan ISIS kembali ke tanah air. Ini akan jd pelajaran berharga utk semua warga negara dunia khususnya WNI yg sudah/hendak bergabung dgn ISIS.</t>
  </si>
  <si>
    <t>Edisi ga bisa tidur. Baca issue ex simpatisan ini kenapa jadi inget sama sisa warga wen sect yang ditolong weiying ya :(</t>
  </si>
  <si>
    <t>Kantor Staf Kepresidenan (KSP) mengungkapkan pemerintah tetap mengumpulkan data para WNI eks ISIS meski telah memutuskan tak akan memulangkannya. Para WNI eks ISIS ini tetap diawasi guna memastikan mereka bukan ancaman terhadap keamanan nasional. #AwasAntek2ISIS</t>
  </si>
  <si>
    <t>Istilah kelompok teroris ISIS banyak menyebut 'WNI eks ISIS'. Kini Presiden Jokowi menyebut mereka bukan sebagai WNI, melainkan menggunakan Istilah 'ISIS eks WNI'  @Usep210 @Jokoumb64504158 @EdiDiyanto @ediedot108 @didi_armayanto @NGOBUSH3 @periani @BHD_8</t>
  </si>
  <si>
    <t>Pemerintah Putuskan Tak Akan Pulangkan WNI eks ISIS #AwasAntek2ISIS</t>
  </si>
  <si>
    <t>WNI Eks ISIS Dipulangkan ke Indonesia pada 2017, Tapi Ini Hasilnya</t>
  </si>
  <si>
    <t>PANDANGAN MUHAMMADIYAH TERKAIT WNI EKS ISIS TAK AKAN DIPULANGKAN. #TauCepatTanpaBatas</t>
  </si>
  <si>
    <t>Pasti jutaan rkyt indonesia sangat bersyukur Di satu sisi eks isis itu menyeramkan dgn otak mrk yg sudah tercuci</t>
  </si>
  <si>
    <t>Ini orang kok kayak ngebeett bgt eks WNI yang juga eks #ISIS balik Indonesia..katanya 689 orang tsb kasian disana terlantar, lantas kalo emang balik Indonesia apa ngga kasian sama 270jt penduduk Indonesia yang ketar ketir?@fadlizon #MataNajwaMenangkisISIS #MataNajwa</t>
  </si>
  <si>
    <t>Kasus ini ternyata sangat kompleks kalau kita menambahkan sudut pandang lain seperti hak asasi manusia, hukum internasional, kemanusiaan, dll.</t>
  </si>
  <si>
    <t>indonesia itu negara kepulauan..dan gw yakin ada yg msh kosong.daripada kosong dan dijual sm asing..wni ex isis lo simpen disana..lo bisa jaga..n mamfaatin klo lo kampanye...betul?</t>
  </si>
  <si>
    <t>Artikel dari @remotivi seperti oase ditengah kultur berita-berita yang sukanya bikin huru-hara di lini masa.</t>
  </si>
  <si>
    <t>Mantan ISIS Komentari Keputusan Pemerintah Tak Pulangkan WNI Eks Kombatan di Suriah. #AwasAntek2ISIS</t>
  </si>
  <si>
    <t>Komnas HAM: Tak Ada Pejabat yang Bisa Larang WNI Eks Pro ISIS Pulang  Hayoloh pemerintah sedang cek ricek bibit bebet bobot org ISIS eks WNI itu. Jangan jangan ada familynya komnas ham. 👀</t>
  </si>
  <si>
    <t>ICJR memandang pemerintah perlu menimbang opsi lain terkait keputusannya yang batal memulangkan WNI eks ISIS ke Tanah Air.</t>
  </si>
  <si>
    <t>Pemerintah akan mendata jumlah valid WNI eks ISIS berikut identitas mereka secara lengkap. #AwasAntek2ISIS</t>
  </si>
  <si>
    <t>Menko Polhukam Mahfud: Mantan Anggota ISIS tak Akui sebagai WNI #merahputih #mahfudmd #isis #wni</t>
  </si>
  <si>
    <t>Udah jelas bgt pdhl alasannya, tp masih ada aja sender yg nanya dan seolah kontra dengan keputusan pa jokowi. Ngebakar paspor = melepaskan kewarganegaraan Bergabung dengan tentara isis = mengkhianati negara Jadi, adakah sebutan yg lebih pantas untuk mantan isis selain EKS WNI? RT @tubirfess: 2beer! Sebentar2. Jadi Presiden J0k0 Wid0d0 mencabut kewarganegaraan 600 orang ini karena apa? Bergabung dengan ISIS? Bakar paspor? Make niqab? Melihara kambing? Atau apa? Presiden gak jelasin alasannya. Masa mau mencabut kewarganegaraan orang gak make alasan?</t>
  </si>
  <si>
    <t>Tapi udah diumumkan Pak Mapud. Gmn Pak..??</t>
  </si>
  <si>
    <t>Golkar dan PDIP Puji Pemerintah Tidak Memulangkan WNI eks ISIS #MataNajwa</t>
  </si>
  <si>
    <t>Keputusan Pemerintah untuk tidak menerima Eks WNI ISIS sudah tepat. Demi keamanan, kedamaian, Persatuan 260njuta rakyat Indonesia dan mereduksi sikap intoleran serta menghentikan kelompok radikal, keputusan Pemerintah ini musti mendapat dukungan seluruh rakyat Indonesia</t>
  </si>
  <si>
    <t>"Kalau bergabung dengan terorisme dipulangkan untuk apa? Malah kamu nanti yang berbahaya di sini. Tetapi kalau memang ada orang terlantar dan bukan teroris, pasti dilindungi negara," tegas Mahfud.</t>
  </si>
  <si>
    <t>Pemerintah Buka Peluang Pulangkan Anak-anak WNI Eks ISIS, Ini Penjelasan Jokowi</t>
  </si>
  <si>
    <t>Pemerintah memutuskan tidak memulangkan WNI eks ISIS ataupun yang terlibat jaringan teroris lainnya di luar negeri. Hal ini didasari keputusan rapat dengan Presiden Jokowi di Istana.. #AwasAntek2ISIS</t>
  </si>
  <si>
    <t>ISIS 👏🏻 eks 👏🏻 WNI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</si>
  <si>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ISIS Eks WNI Yatim Piatu, Dibawah Umur 10 Tahun Punya Kans Dipulangkan?</t>
  </si>
  <si>
    <t>ISIS Eks WNI Yatim Piatu, Dibawah Umur 10 Tahun Punya Kans Dipulangkan?  via @Indopolitika</t>
  </si>
  <si>
    <t>Prof Hikmahanto Juwana mengapresiasi langkah pemerintah untuk tidak memulangkan 600-an WNI pengikut eks ISIS. Sebab, lebih baik melindungi 267 juta nyawa rakyat Indonesia daripada memulangkan 600-an pengikut teroris. #AwasAntek2ISIS</t>
  </si>
  <si>
    <t>Mahfud MD Sebut Mantan Kombatan ISIS Tak Akui sebagai WNI</t>
  </si>
  <si>
    <t>Kenapa Komnas HAM gak ikut kesana aja atuh? Rakyat lebih rela kehilangan Komnas HAM dibanding ngasi ruang bagi ISIS eks WNI di Indonesia. btw, coba berbicara HAM juga dong sama korban pemboman aksi teror. #AwasAntek2ISIS</t>
  </si>
  <si>
    <t>TERORIS kok Perlu di Klarifikasi Sekjen MUI tak perlu urus ISIS EKS WNI Urus saja Ummat yg hendak Beribadah Umrah yg Tertipu oleh Oknum Travel Umrah Lebih Besar Faedahnya bagi Ummat RT @semiaji_w: *Sekjen MUI-nya saja yang diekspor ke Suriah*  Sekjen MUI Anwar Abbas meminta pemerintah menjelaskan alasan tak memulangkan WNI eks ISIS ke RI. Anwar menilai pemerintah jangan pukul rata semua.</t>
  </si>
  <si>
    <t>Cuma di eranya Pak @jokowi, status WNI bisa dicabut tanpa alasan yang jelas. Gokil</t>
  </si>
  <si>
    <t>Fajroel Rahman : Kita lebih baik membela pro Pancasila,NKRI (drpd membela ISIS eks WNI). Yang ngotot mulangin mereka =pro ISIS=antek HTI,politikus psikopat,pro pebudakan perempuan,perempuan yg tak sepaham boleh diperkosa sesukanya pro genocida berkedok agama. #MataNajwa</t>
  </si>
  <si>
    <t>Selingan dulu ah posting gini, daripada pusing mikirin ex. WNI yg yg gabung sama ISIS RT @detikcom: "Di dalam KTP-nya tertera yang bersangkutan ini adalah perempuan, paspornya laki-laki," kata Kabid Humas Polda Metro Jaya, Kombes Pol Yusri Yunus. #LucintaLuna #LucintaLunaNarkoba</t>
  </si>
  <si>
    <t>"Kalau bergabung dengan terorisme dipulangkan untuk apa? Malah kamu nanti yang berbahaya di sini. Tetapi kalau memang ada orang terlantar dan bukan teroris, pasti dilindungi negara," tegas Mahfud. #ISIS</t>
  </si>
  <si>
    <t>Presiden Jokowi: "Pemerintah tdk memiliki rencana utk memulangkan ISIS eks WNI" (Biro Pers Setpres). #ElshintaAja</t>
  </si>
  <si>
    <t>UDAH TAHU BEGITU KOK MASIH AJA ADA YG MENDUKUNG. .... CERITA WNI EKS ISIS. ... ""KAMI DIINTIMIDASI, DIANCAM SEGALA MACAM ...."" 🤔😏🤔😏🤔😏🤔😏🤔😏🤔😏 Cerita WNI eks ISIS: Kami Diintimidasi, Diancam Segala Macam.</t>
  </si>
  <si>
    <t>Pemerintah Tak Berencana Pulangkan Anggota ISIS Eks WNI  lewat @tribunnews Emang seharusnya begitu.....</t>
  </si>
  <si>
    <t>sangat sangat sangat sangat sangat setuju. tak ada WNI Eks ISIS. yang ada : Eks WNI Pro ISIS. Mantapku tidak lagi 100%, tapi 1000%. RT @MurtadhaOne1: Mantap! Presiden @jokowi sebut ISIS eks WNI bukan WNI eks ISIS seperti yg sering disebut media2 belakangan ini Jokowi: "Pemerintah tidak memiliki rencana untuk memulangkan ISIS eks WNI"</t>
  </si>
  <si>
    <t>Pulang kantor rencananya mau nonton to all the boys:2, tp pas nyalain TV ada matanajwa lg bahas pro kontra pemulangan anggota ISIS eks WNI ke IND. Auto ganti wacana.</t>
  </si>
  <si>
    <t>*Benar Presiden*</t>
  </si>
  <si>
    <t>DPR Dukung Pemerintah Tolak WNI Eks ISIS.</t>
  </si>
  <si>
    <t>Pemerintah tegaskan tidak berencana pulangkan WNI terkait ISIS</t>
  </si>
  <si>
    <t>Pemerintah Putuskan Tak Akan Pulangkan WNI Eks ISIS</t>
  </si>
  <si>
    <t>#BubarkanBPIP Gayus: Nasib WNI Eks ISIS Seharusnya Diputus Pengadilan | Republika Online Mobile</t>
  </si>
  <si>
    <t>Barusan kzl karena media-media nulisnya 'WNI eks ISIS', trus nemu ini dan lega, Bapak nyebutnya 'Anggota ISIS eks WNI'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</si>
  <si>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Nah gitu dong Pak @jokowi 👍 Untuk temen2 yang mau gabung ISIS juga boleh, mayan kan jadi eks WNI dan mengurangi jumlah penduduk Indonesia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</si>
  <si>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Mantoooool "ISIS eks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</si>
  <si>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Nah ini yang bener, anggota ISIS eks WNI.. bukan WNI anggota ISIS.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</si>
  <si>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Ralat; ISIS eks WNI 😁 RT @qronoz: Pemerintah memutuskan melindungi 267 juta rakyat Indonesia dengan tidak memulangkan WNI eks ISIS.</t>
  </si>
  <si>
    <t>Sekali lagi terima kasih Pakde atas ketegasannya untuk tidak memulangkan ex WNI pro ISIS 🙏 Yg suka bikin gaduh PECAT aja Pakde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</si>
  <si>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Woiii kadal gurun, kalimat yang bener itu begini: EKS WNI PRO ISIS jangan kau balik menjadi: WNI EKS ISIS so, jangan membodohi rakyat!</t>
  </si>
  <si>
    <t>Ini soal kemanusiaan, media2 indo rupanya tdk punya perspektif HAM.</t>
  </si>
  <si>
    <t>Pemerintah memiliki tanggung jawab keamanan terhadap 260 juta penduduk Indonesia. Itu yang kita utamakan. Oleh sebab itu, pemerintah tidak memiliki rencana untuk memulangkan orang-orang yang ada di sana.</t>
  </si>
  <si>
    <t>saya sih lebih setuju dengan upaya melindungi 247 juta lebih rakyat indonesia dibanding 600 wni eks isis yang kita tuh gatau jika kapan2 sja mereka menyebarkan doktrin yg mereka dapatkan disana ataupun kejahatan yg mengancam 247 juta rakyat indonesia. RT @TRANS7: "Ini pelajaran bagi kita semua, siapapun yang mengambil pilihan harus bertanggung jawab atas pilihannya." Fadjroel Rachman, Juru Bicara Presiden. #MataNajwa #MataNajwaMenangkisISIS</t>
  </si>
  <si>
    <t>Liat pak jkw aja bener ngucapinya Eks WNI, anggota ISIS, gausah segala WNI eks Isis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</si>
  <si>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Nah bener banget ini. EKS WNI, ngapain dipikirin. Dah mikir yg rakyat masih di Indonesia aja, masih banyak yg harus dikerjakan. Jokowi Kini Sebut ISIS Eks WNI, Bukan Lagi WNI Eks ISIS</t>
  </si>
  <si>
    <t>Fix ya pak.... 👍 ((( Cekal isis EKS WNI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</si>
  <si>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TEPAT...anggota ISIS eks WNI terimakasih pak @jokowi, saya titip satu persoalan lagi yang harus diselesaikan segera : korupsi berjamaah dana BOS bapak...tolong sampaikan abang ganteng @kaesangp sama bapak atau abangnya @Chilli_Pari.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</si>
  <si>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Kepala Badan Intelijen Negara (BIN) Budi Gunawan mengatakan pihaknya juga menjelaskan ke DPR mengenai WNI eks ISIS yang tidak dipulangkan. Terima Kasih Jenderal &lt;😊</t>
  </si>
  <si>
    <t>Nah, ini baru benar kalimatnya "ANGGOTA ISIS EKS WNI", ingat woiii media media abal-abal...jangan kalian bolak-balik kalimatnya menjadi " WNI EKS ISIS", beda maknanya! mereka itu BEKAS WNI, bukan BEKAS ISIS sampai disini kalian paham ora?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</si>
  <si>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Komnas HAM pake duit rakyat kerjanya cuma jd oposisi</t>
  </si>
  <si>
    <t>Antisipasi memang sangat di perlukan, bagaimanapun juga pasti ada niatan dari mereka utk kembali ke kampung halaman meski harus menyusup seperti angin. Waspada dan berjaga-jagalah.</t>
  </si>
  <si>
    <t>Tegas atau keliru? Ga ada WNI jadi ISIS RT @tribunnews: Sikap Tegas Jokowi Terkait WNI Eks ISIS, Presiden Sebut akan Ada Proses Pencekalan</t>
  </si>
  <si>
    <t>Alasan Pemerintah Tidak Pulangkan WNI Bekas ISIS</t>
  </si>
  <si>
    <t>Jokowi Tegaskan, Para Kombatan ISIS yang Merengek Rengek Minta Dipulangkan Dari Gurun Pasir Bukan Lagi WNI</t>
  </si>
  <si>
    <t>Petisi, suara rakyat di medsos de el el ada pengaruh?</t>
  </si>
  <si>
    <t>"Kami sudah menegaskan bahwa Presiden Jokowi tidak akan pulangkan anggota ISIS eks WNI," kata Fadjroel Rachman, Juru Bicara Presiden. #MataNajwa #MataNajwaMenangkisISIS</t>
  </si>
  <si>
    <t>Isis eks WNI, I love you, Pak!!!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</si>
  <si>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Sikap FINAL Pemerintah: Tolak WNI eks ISIS masuk Indonesia!!! #kamismalam #ISISGoToHell</t>
  </si>
  <si>
    <t>Dalam konteks keindonesiaan, keberadaan simpatisan ISIS yang konon berstatus Warga Negara Indonesia (WNI) sempat mencoreng citra humanisme masyarakat muslim di negeri ini.</t>
  </si>
  <si>
    <t>Sikap Tegas Jokowi Terkait WNI Eks ISIS, Presiden Sebut akan Ada Proses Pencekalan</t>
  </si>
  <si>
    <t>Virus jangan di bawa ke indonesia, indonesia sehat, indonesia kuat. Kembangkan WNI yg cinta NKRI, abaikan mereka yang menolak NKRI. Garuda lebih tangguh ketika melawan badai.</t>
  </si>
  <si>
    <t>Respons : Persoalannya bukan terletak pada uang rakyat yang harus terbuang sia-sia untuk memulangkan WNI yang masuk ISIS,tetapi ISIS adalah ancaman bagi bangsa dan negara,bahkan sudah menjadi musuh negara sedunia sehingga tidak ada ruang sedikitpun buat ISIS kembali ke Indonesia. RT @TRANS7: "Kita mesti ada tindakan yang pro - aktif memerangi terorisme. ISIS ini fenomena global terorrism. Kita ngga bisa diam saja. Ikut dalam global countre terrorism untuk melindungi Indonesia." Ahmad Taufan Damanik #MataNajwaMenangkisISIS</t>
  </si>
  <si>
    <t>#TopNewsMetroTV Keluarga korban pengeboman serta sejumlah tokoh mendukung keputusan pemerintah yang tidak memulangkan eks WNI kombatan ISIS. @Metro_TV</t>
  </si>
  <si>
    <t>tolak masuknya Eks ISIS WNI... #AwasAntek2ISIS #ulamabersatu #Islam #isisteroris</t>
  </si>
  <si>
    <t>Demi menjaga HAM di Indonesia.... Kami mendesak pemerintah Bubarkan Komnas HAM.! Yth @jokowi @mohmahfudmd 🙏🏻 #AwasAntek2ISIS</t>
  </si>
  <si>
    <t>Pemerintah menolak 600-an WNI yang bergabung dengan ISIS untuk pulang ke Indonesia. Alasannya, mereka bisa membuat rasa ketakutan bagi 267 juta orang Indonesia. Ini dasar hukumnya: #ISIS #WNIEksISIS</t>
  </si>
  <si>
    <t>ISIS eks WNI RT @arianarosaline: Pantau dan terus waspada, pemerintah sudah membuat keputusan yang tepat untuk tidak pulangkan isis! #AwasAntek2ISIS</t>
  </si>
  <si>
    <t>#TopNewsMetroTV Presiden Joko Widodo menegaskan pemerintah tidak berencana memulangkan eks WNI yang bergabung dengan ISIS dan akan mengutamakan keamanan warga Indonesia. Meski begitu pemerintah masih membuka peluang bagi eks WNI yang masih dibawah batas umur 10 tahun. @Metro_TV</t>
  </si>
  <si>
    <t>Perlu kaji ulang keberadaan KOMNAS HAM ITU UTK KEPENTINGAN NKRI U APA SIH? Koq mau korbankan keselamatan 267 juta jiwa hanya untuk prinsipnya saja bhw ISIS WX WNI BERHAK BALIK INDINESIA? Berhak dimana nya? APA YG DISEBUT 'BERHAK' itu? RT @FaGtng: Doktrin ISIS bukan hanya ; ~ BUNUH , BAKAR , BOM yg tak sefaham , Siapapun itu !! Tapi juga Doktrin "TAQIYAH" {BERPURA-PURA} ~ Pura² Sadar ~ Pura² nyesel ~ Pura² Cinta Negara Fix !! #CombatanIsisAhliAkting #AwasAntek2ISIS Credit : @yusuf_dumdum 🇲🇨🙏</t>
  </si>
  <si>
    <t>Catat: ISIS eks WNI. Jgn kebalik!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</si>
  <si>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Mrk yg tlah khianati bangsanya dan lakukn kjahatan kmanusiaan di negara asing kok harus dilindungi oleh negara dari mnanggung konsekuensi atas kjahatan mrk? Suriah dan Irak brhak mngadili kjahatan ISIS yg tlah buat negara mrk hancur dan rakyatnya mnderita.</t>
  </si>
  <si>
    <t>Komnas ham itu pahlawan kesiangan nan goblok dalam menangani isu ISIS eks WNI... Contoh org2 idealis yg goblok</t>
  </si>
  <si>
    <t>Terima Kasih Pak Presiden. 👍</t>
  </si>
  <si>
    <t>Menolak eks wni kombatan ISIS pulang.. Sampeyan cen presidenku.. #AwasAntek2ISIS</t>
  </si>
  <si>
    <t>RT @catuaries: 3 WNI positif terinfeksi COVID-19 Siap-siap ntar udah keluar aja siapa namanya, kampungnya di mana, lalu wartawan nanya ke orang tuanya apakah ada firasat akan terkena COVID-19, apa makanan kegemarannya, hobi kulinernya, ukuran sepatunya, komentar artis irrelevant, etc</t>
  </si>
  <si>
    <t>Media tulung belajar juga ya. Isis ex wni. Bukan wni ex isis. Logikanya beda. Wkwkwk. Kali ini presiden bikin ayem sedelok. RT @dw_indonesia: Presiden @jokowi kembali menegaskan bahwa pemerintah tidak memiliki rencana memulangkan 689 orang yang ia sebut sebagai "ISIS eks WNI". Menurut Jokowi, pemerintah memiliki tanggung jawab keamanan terhadap 260 juta penduduk Indonesia yang harus diutamakan.</t>
  </si>
  <si>
    <t>Pemerintah Tegaskan Tak Miliki Rencana Pulangkan WNI Terlibat ISIS</t>
  </si>
  <si>
    <t>Alhamdulillah bakal ga ada WNI yg kena cekal karena ga ada WNI yg gabung dgn ISIS RT @merdekadotcom: Mantan anggota ISIS bukan lagi tanggung jawab pemerintah, Jokowi perintahkan imigrasi cekal WNI Eks ISIS pulang ke Indonesia</t>
  </si>
  <si>
    <t>Kok selalu berlawanan dg pandangan umumnya. @KomnasHAM Ada video baguuusa nihh... kekejian anggota senior isis,,,, Yang anggota yunior/ anak anakk kecil juga ada lhoo</t>
  </si>
  <si>
    <t>ISIS eks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</si>
  <si>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Emangnya ada WNI jadi ISIS? Ga ada tuh Pak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</si>
  <si>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“Penekanan pada sub-topik pembakaran paspor dalam isu ini merupakan cerminan kuatnya sentimen nasionalistik dalam diskursus kewarganegaran. Ada bias nasionalisme banal yang mengkoridori bagaimana topik ini dibicarakan.”</t>
  </si>
  <si>
    <t>Sangat mewakili perasaan saya 😭 👍</t>
  </si>
  <si>
    <t>Ini bener, mereka bukan WNI lagi, jangan bilang WNI eks ISIS lagi RT @CNNIndonesia: Jokowi Kini Sebut ISIS Eks WNI, Bukan Lagi WNI Eks ISIS</t>
  </si>
  <si>
    <t>The point is "Anggota isis EKS WNI" .. So, they are not indonesian anymore.. makanya ngaji yg bener. Jihad ga dapet, status kewarganegaraan malah ilang. Mending di sini, kerja untuk kasih nafkah keluargamu, insyaAllah itu juga Jihad dan dapat rahmat dari Allah.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</si>
  <si>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Nah ini takutnya, ke media bilangnya gaakan balikin eks WNI Isis, eh taunya dibalikin diem2 RT @Agamajinasi: Sibuk bgt bolak balik ganti istilah substansinya malah gak kesentuh. Dipulangin diem2 juga gak ada yg tau, pak.</t>
  </si>
  <si>
    <t>ISIS ITU TERORIS YG TERIAK PULANGKAN ISIS EKS WNI PATUT DISEBUT KRONI TERORIS ? RT @216yussuf: Yg diobok2 itu negri org. Biarkn mrk para kadal itu dihukum disana. Mau pancung, mau gantung, mau tembak urusan hukum sana Pengamat koplak</t>
  </si>
  <si>
    <t>Mantan anggota ISIS bukan lagi tanggung jawab pemerintah, Jokowi perintahkan imigrasi cekal WNI Eks ISIS pulang ke Indonesia</t>
  </si>
  <si>
    <t>"ISIS eks WNI" kekacauan berpikir at so many level. RT @dw_indonesia: Presiden @jokowi kembali menegaskan bahwa pemerintah tidak memiliki rencana memulangkan 689 orang yang ia sebut sebagai "ISIS eks WNI". Menurut Jokowi, pemerintah memiliki tanggung jawab keamanan terhadap 260 juta penduduk Indonesia yang harus diutamakan.</t>
  </si>
  <si>
    <t>Sibuk bgt bolak balik ganti istilah substansinya malah gak kesentuh. Dipulangin diem2 juga gak ada yg tau, pak.</t>
  </si>
  <si>
    <t>. A msf ocmed&amp;utm_source=Twitter#Echobox=1581482317</t>
  </si>
  <si>
    <t>Fadlizon bertanya Untuk aksi bela negara, sila berapa yang mencerminkan pada kasus wni eks isis??? Nonton mata najwa gaes Sesuk metu pas cat 🤭 @ulliputrofin @ini_siapa_ya_</t>
  </si>
  <si>
    <t>Akademisi dan LSM apaan, sdh final Ndak usah pulangin eks WNI anggota ISIS... #AwasAntek2ISIS #AwasAntek2ISIS #AwasAntek2ISIS RT @Bangzul__88: #AwasAntek2ISIS Sejumlah akademisi dan LSM menyarankan pemerintah tetap memulangkan WNI eks ISIS sambil memproses mereka secara hukum. #AwasAntek2ISIS Gimana mau dihukum di Indonesia, eks WNI pro ISIS tersebut melanggar hukum di negara orang, ente waras?</t>
  </si>
  <si>
    <t>Sebaiknya dibubarkan saja kumpulan ini.... Saya semakin yakin jadinya dengan pihak asing yang menempatkan orang ini dalam kelompok *****is..... MUI Ingatkan Pemerintah Tak Semua Eks ISIS Lepas Status WNI</t>
  </si>
  <si>
    <t>ISIS eks WNI. sarkasme level dewa 🤭 bangga saya. Sedangkan banyak bilangnya WNI eks ISIS wkwkwkwkwkwkwk preach it sir.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</si>
  <si>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Peneliti terorisme Ridlwan Habib mengatakan pemerintah harus waspada serangan balas dendam imbas penolakan itu. #ISIS</t>
  </si>
  <si>
    <t>PKB menilai keputusan pemerintah tepat tetapi masih bersayap soal eks ISIS.</t>
  </si>
  <si>
    <t>Ini yang ngedukung mereka balik kenapa dahhh😑 Amit-amit jangan sampe baliklah itu simpatisan isis eks wni #ISISGoToHell</t>
  </si>
  <si>
    <t>"Adakah jaminan kl ex WNI anggota ISIS dipulangkan tdk akan tjd kekacauan di Indonesia?" Tanya slh satu panelis Mata Najwa "Emang ada jaminan kl ex WNI anggota ISIS nggak dibalikin, Indonesia akan aman dr kekacauan?" Kata Fadli Zon. Ehgimana itu cara berpikirnya? #MataNajwa</t>
  </si>
  <si>
    <t>Pokoknya menolak WNI ex ISIS. Mereka semua sudah menjadi ex WNI byeeee. TOLAK!</t>
  </si>
  <si>
    <t>Kalau pukul bacotmu boleh? Trinity dan korban bom Molotov Gereja apakah MUI ada sumbangsih sepeserpun? Kalo ex ISIS kembali berulah yang dibom gereja, bukan masjid</t>
  </si>
  <si>
    <t>#AwasAntek2ISIS</t>
  </si>
  <si>
    <t>Cuma saran : Lebih baiknya,pak @jokowi memulangkan WNI eks ISIS,karena biarpun eks ISIS mereka itu punya hak untuk bertaubat.</t>
  </si>
  <si>
    <t>Hati2 mereka yg ngotot ingin pulangkan orang2 isis eks WNI patut kita curigai.jgn2 mereka ada apa2 nya.harus waspada #AwasAntek2ISIS</t>
  </si>
  <si>
    <t>Watching mata najwa, dan saya bingung kenapa ada aja yang pro mulangin 500-600 orang eks ISIS dengan mengambil risiko bagi ratusan juta masyarakat Indonesia yang hidupnya bahagia ga bahagia tetapi tetap teguh menjadi WNI.</t>
  </si>
  <si>
    <t>Ex WNI, milih ninggalin NKRI buat “jihad” trus nyesel, minta balik. Sama aja kea ujian, trus milih jawaban yg salah, kan gk mungkin nyesel trus minta ganti jawaban atas dasar keadilan. Hidup memang sekeras itu. - #AwasAntek2ISIS</t>
  </si>
  <si>
    <t>bekas WNI yang terlanjur ikut ISIS mungkin bisa minta tips ke komunitas TKI ilegal dan diaspora buat nyari tau gimana cara bertahan hidup di negara lain dengan modal seadanya. kalo susah, coba kontak PPI atau komunitas muslim indo kayak KIBAR gitu. cobain dulu aja.</t>
  </si>
  <si>
    <t>Menurut ku wni yg isis dan yg tinggal di wuhan gausah dipulangin ngapain ? Kalo kesini juga takutnya pemikirannya masih radikal, jangan mentang mentang isis kalah perang terus mau pulang lagi ke indonesia. Enak bgt idupnya.</t>
  </si>
  <si>
    <t>Ngapusi doang ini mah, jgn langsung dipercaya aja. Dia mau cuci tangan, seolah2 intoleransi tanggung jawab penegak hukum. Sama kayak WNI simpatisan ISIS katanya pemerintah memutuskan untuk tidak memulangkan, palingan jg tar mereka dipulangkan. Liata aja! RT @Elina_Vay: Terima kasih Presiden @jokowi 🙏 Baru dapat laporan ya? 🤭</t>
  </si>
  <si>
    <t>Benar2 dilegakan melihat isi tweet @jokowi hari ini. Pertama statement mengenai intoleransi akhirnya keluar dan instruksinya jelas. Kedua penggunaan istilah ISIS EKS WNI. Statementnya jelas lugas tidak mencle2. MANTAB!!</t>
  </si>
  <si>
    <t>"Kita tegas pada sikap-sikap yang bertentangan dengan semangat NKRI. Kalau toleran terhadap mereka (WNI yang ikut ISIS), itu menyalahi hukuman internasional." kata Ace Hasan, politikus Partai Golkar. #MataNajwa #MataNajwaMenangkisISIS</t>
  </si>
  <si>
    <t>Pemerintah Tidak Akan Pulangkan WNI Anggota ISIS #AwasAntek2ISIS</t>
  </si>
  <si>
    <t>Udah jelas yaa.... jangan dibolak balik lagi sama media.... apalagi tuh para kadrun dan SJW HAM... ((( TOLAK isis EKS WNI ))) RT @CNNIndonesia: Jokowi Kini Sebut ISIS Eks WNI, Bukan Lagi WNI Eks ISIS</t>
  </si>
  <si>
    <t>jokowi: Pemerintah bertanggung jawab terhadap 260 juta penduduk negeri ini. Karena itu, pemerintah tidak berencana untuk memulangkan para anggota ISIS eks WNI. Saya telah memerintahkan agar 689 orang itu diidentifikasi satu per satu. Datanya dimasukkan k…</t>
  </si>
  <si>
    <t>Nah bener ini ISIS eks WNI RT @detikcom: Istilah yang digunakan untuk menyebut orang-orang itu adalah WNI eks ISIS. Kini Jokowi menyebut mereka bukan sebagai WNI, tapi sebagai eks WNI.</t>
  </si>
  <si>
    <t>Kesel bgt denger pendapatnya fadli zon yg bilang pemerintah gak bisa proteksi wni jadi isis padahal dia sendiri juga bagian dr pemerintah dan oknum goreng agama</t>
  </si>
  <si>
    <t>emak w jahattt bgt anjirrr yakali katanya eks wni isis mending dikasih racun tikus aja 💆‍♀️ hadeeeh</t>
  </si>
  <si>
    <t>Gak heran kalau MUI..!!</t>
  </si>
  <si>
    <t>Gw mendukung keputusan Pak @jokowi yang menolak eks WNI anggota ISIS untuk kembali ke Indonesia. Mereka yang mengambil keputusan bergabung ISIS sampai membakar pasport harus mau menanggung konsekuensinya sendiri sekarang. Bahkan yang masih berusia anak2/balita sebaiknya ditolak.</t>
  </si>
  <si>
    <t>Tidak Dipulangkan ke Indonesia, Bagaimana Nasib WNI Eks ISIS?</t>
  </si>
  <si>
    <t>Soal Nasib WNI Eks ISIS, Eks Hakim Agung: Harus Diputus Pengadilan</t>
  </si>
  <si>
    <t>Betul Pakdhe , isis Eks wni #istillbelieveinjokowi RT @detikcom: Istilah yang digunakan untuk menyebut orang-orang itu adalah WNI eks ISIS. Kini Jokowi menyebut mereka bukan sebagai WNI, tapi sebagai eks WNI.</t>
  </si>
  <si>
    <t>Mahfud: WNI Terlantar akan Dipulangkan, Kecuali Eks Kombatan ISIS</t>
  </si>
  <si>
    <t>Para WNI eks ISIS ini tetap diawasi guna memastikan mereka bukan ancaman terhadap keamanan nasional. #ISIS</t>
  </si>
  <si>
    <t>Kalian para wni eks isis sedih,menderita???? Kalian pikir apa yg dirasakan para korban dr idiologi yg kalian bangga2kan "dulu" itu??????? Bagaimna negri kami gara2 keberadaan kalian????? @MataNajwa @mohmahfudmd</t>
  </si>
  <si>
    <t>Hasil diskusi yang sangat singkat dan penuh dengan candaan, menghasilkan proposal solusi kepada negara terkait WNI yang tergabung dalam ISIS: 1. Pulangkan WNI dan berikan hukuman penjara sesuai kesalahan. 2. Pulangkan WNI, dan tempatkan di pulau khusus, dan mengolah pulau itu.</t>
  </si>
  <si>
    <t>Maaf Pak Presiden, @jokowi Tidak ada alasan Bapak menolak WNI eks ISIS. Mereka adalah Anak kandung NKRI yang tersesat. Maafkan mereka, bimbing dan tuntunlah mereka. Itulah gunanya Bapak diangkat sebagai Pemimpin di Republik ini. Melindungi setiap anak Bangsa...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</si>
  <si>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Orang-orang yang tidak setuju langkah pemerintah dengan tidak memulangkang anggota ISIS ex WNI, hanya orang-orang yang kontra terhadap pemerintah atau bisa jadi pro ISIS. #matanajwa</t>
  </si>
  <si>
    <t>Seruuu ni @MataNajwa malam ini. Entah kenapa gw masih gregetan banget sama Fadli Zon sejak jaman pilpres sampai malam ini dia komentar2 soal "pemulangan eks WNI ISIS". 😤</t>
  </si>
  <si>
    <t>Siapa pun... Apa pun alasan nya yang menginginkan Eks WNI ISIS kembali ke Indonesia, dia adalah Antek ISIS !!! Keselamatan 250 juta WNI, lebih penting dan berharga daripada Teroris !!! Si Kadrun pasti nangis... WNI ISIS ditolak !!!</t>
  </si>
  <si>
    <t>Siyap Mr. President 🇮🇩 Negara berpihak pada warga NKRI bukan pada anggota ISIS ex WNI. #AwasAntek2ISIS #AwasAntek2ISIS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</si>
  <si>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Isis ex wni? Makin berat nih ideologi kita yg disebut Pancasila dengan aliran demokrasi</t>
  </si>
  <si>
    <t>Ini liat acara tv..jelas yang mau &amp; setuju eks WNI yg skrng anggota ISIS utk dipulangkan perlu di cek isi kepalanya..jangan2 mrk itu sudah terpapar faham teroris.</t>
  </si>
  <si>
    <t>Jokowi Hanya Mau Pulangkan Anak Yatim Piatu dari WNI Kombatan ISIS</t>
  </si>
  <si>
    <t>Yakali anggota ISIS diberi akses masuk negara Big NO! Dia aja udah ga WNI masa mau balikan lagi, enak aja udah ninggal pas sayang-sayangnya eh sekarang pengen balikan. Eeeh ko malah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</si>
  <si>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Lbh baik urusi 9% atau 25 Jt WNI miskin agar keluar dr garis kemiskinan drpd urusi mantan combatan ISIS yg sdh lepas kewarganegaraan.</t>
  </si>
  <si>
    <t>Anggota Isis eks WNI'. It's Lit!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</si>
  <si>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sebentar, bagaimana mungkin mereka disebut eks WNI, sedangkan mereka belum mengikuti proses peradilan pencabutan kewarganegaraan. pencabutan kewarganegaraan harus secara konstitusi, tidak bisa kalo hanya dibenturkan dengan sejumlah regulasi, karena isis bukan negara. @jokowi RT @detikcom: Istilah yang digunakan untuk menyebut orang-orang itu adalah WNI eks ISIS. Kini Jokowi menyebut mereka bukan sebagai WNI, tapi sebagai eks WNI.</t>
  </si>
  <si>
    <t>Mereka pergi sendiri Sebut NKRI itu Thogut Gabung dengan ISIS Bakar paspor RI Ngancam TNI dan NKRI Saat ISIS kalah mereka minta pulang ke Indonesia..... Apa kata Indonesia ? *INDONESIA TAK AKAN PULANGKAN EKS WNI YANG BERGABUNG DENGAN ISIS !!*</t>
  </si>
  <si>
    <t>Para pendukung kepulangan kombatan ISIS eks WNI ini maunya apa sih? Mending ngurusin virus corona ajah deh, di Sumatera udah ada yang terkena tuh. Ngapain ngurusin kombatan ISIS.</t>
  </si>
  <si>
    <t>Bamusi berpendapat mereka yang gabung ISIS telah menyatakan keluar NKRI.</t>
  </si>
  <si>
    <t>berubah pikiran, gue setuju WNI ex ISIS boleh pulang tapi nanti kerja di atraksi White Bear ya. Nah simulasinya mereka jadi korban ISIS biar jera. Atraksinya eksklusif, sehari cuman 1 show, pengunjung cuman sbg penonton (g boleh ikut nyiksa), stafnya org PNS sbg hunter/karakter</t>
  </si>
  <si>
    <t>Lah si bapak kocak juga, membandingkan dua kasus berbeda terkait kehilangan kewarganegaraan pas taun 65 sama WNI eks ISIS. Jelas beda lah anjir 🙃</t>
  </si>
  <si>
    <t>Hasek nyebutnya "anggota isis eks WNI"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</si>
  <si>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Benar statment pak @jokowi mereka itu ISIS EKS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</si>
  <si>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t>
  </si>
  <si>
    <t>Terima kasih pak, sudah menjawab semua kekhawatiran kami terhadap kembalinya para anggota ISIS eks WNI ini. Terima kasih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</si>
  <si>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Enak banget ya pak langsung labeling "isis eks WNI" saya tahu bapak adalah seorang kepala negara. Tapi pernah mikir ga pak dengan perspektif yg lain dan emang kita tahu disana mereka beneran jadi teroris? Apa cuma di perbudak sm petinggi isis?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</si>
  <si>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mantap pakdhe 👍 anggota ISIS ex.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</si>
  <si>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Jokowi Tegaskan ISIS Eks WNI Tak Akan Pulang ke Indonesia!</t>
  </si>
  <si>
    <t>ISIS eks WNI 🗣️🗣️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</si>
  <si>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Berarti ada yg kurang dr keputusan presiden soal isis ex wni. Narasi Seharusnya : tdk dipulangkan dan mencegah/menolak mereka kembali. RT @TRANS7: "Kita lihat aturan berlaku. Presiden sudah tolak pemulangan ISIS, eks WNI. PP jelas-jelas sebutkan "dengan sendirinya" akan kehilangan status kewarganegaraan." Guru Besar Hukum Internasional UI Hikmahanto Juwana. #MataNajwa #MataNajwaMenangkisISIS</t>
  </si>
  <si>
    <t>Pemberitaan mengenai pemulangan 600 isis ex WNI Begitu gencar Menag yg ingin memulangkan mereka ke Negara ini kembali, skrg berubah menolak Krn banyak WNI yg menolak kebijakan nya itu</t>
  </si>
  <si>
    <t>Tapiya aku ttp setuju pak presiden deh gausahlah repot2 ngeluarin duid balikin wni yg ikut isis. Ibaratnya uda ngelakuin ya terima konsekuensinya lah:( tukadsnya ntar2nya pemerintah digampangin sama mereka2 yg kayak begitu. Indonesia fleksibel bgt. Gamau akutu.</t>
  </si>
  <si>
    <t>Fadli zon ngotot pingin anggota isis ex wni di pulangin, dia punya maksud apa ya @permadiaktivis @FiersaBesari @FirzaHusain @WagimanDeep</t>
  </si>
  <si>
    <t>Fix, yang sudah gabung dengan kelompok teroris ISIS bukan lagi Warga Negara Indonesia..</t>
  </si>
  <si>
    <t>ISIS eks WNI, sebuah pilihan kata yang mantab dan tegas. Makasih pak!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</si>
  <si>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RT @PEDOMAN_id: √ Masyarakat Menerima Sangat Terbuka kepada WNI yang Usai Observasi di Natuna cc @fadjroeL @JubirPresidenRI @PedomanNEWS</t>
  </si>
  <si>
    <t>ISIS EKS WNI.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</si>
  <si>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isis eks WNI ? 🤭</t>
  </si>
  <si>
    <t>Hei media Bila ingin ngasih tag lines tentang ISIS... Ini sudah di contoh pa @jokowi " ISIS EKS WNI " jangan kebalik lagi @kompascom @korantempo @Metro_TV @tvOneNews</t>
  </si>
  <si>
    <t>600 orang eks WNI anggota ISIS Berapa duit mau dikeluarkan negara untuk memulangkan dan mendapingin mereka untuk tidak radikal lagi Gw Usul Gini Aja Anggaran untuk itu di bagikan ke 600 pasangan untuk bikin anak lagi Gimana Blo setuju ?</t>
  </si>
  <si>
    <t>260 Juta Rakyat Indonesia, Pemerintah Tak Berencana Pulangkan Anggota ISIS Eks WNI</t>
  </si>
  <si>
    <t>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</si>
  <si>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@FPPP_DPRRI @DPDRI @MPRRI @Kemenhan @RossiAnkPLB87</t>
  </si>
  <si>
    <t>Pandangan Muhammadiyah Terkait WNI Eks ISIS Tak Akan Dipulangkan #TauCepatTanpaBatas #BeritaTerkini #Berita #News #BeritaNasional .</t>
  </si>
  <si>
    <t>Hanya mereka yg sepaham, seideologi atau ISIS itu sendiri yg menginginkan eks WNI kombatan ISIS untuk kembali ke Indonesia. Dengan dalih kemanusiaan antek² ISIS ini mau memperluas daerah operasinya di Indonesia. #AwasAntek2ISIS #AwasAntek2ISIS #AwasAntek2ISIS</t>
  </si>
  <si>
    <t>@ppim_uinjakarta @Dema_Uinjakarta @UINjakarta_2013 @uinwalisongosm9 @iainsalatiga @hmjipa2016 @MabesPolri @MabesTNI @BNPTRI @setkabgoid @setnegri_</t>
  </si>
  <si>
    <t>Gue pribadi setuju aja sih keputusan tidak memulangkan anggota isis ex wni. Ya karna logikanya sudah bukan wni kok, bukan tanggungan negara lagi. Asli ini f*dli z*n di mata najw*a sangat2 aneh. Iya d*pr tinggal ngomong. Trus lu mau interogasi 600 sekian org satu2?</t>
  </si>
  <si>
    <t>"Kita lihat aturan berlaku. Presiden sudah tolak pemulangan ISIS, eks WNI. PP jelas-jelas sebutkan "dengan sendirinya" akan kehilangan status kewarganegaraan." Guru Besar Hukum Internasional UI Hikmahanto Juwana. #MataNajwa #MataNajwaMenangkisISIS</t>
  </si>
  <si>
    <t>ان الله غفور رحیم Sesungguhnya Allah swt maha Pemaaf dan kasih sayang. Semoga pak @jokowi mau menerima mantan Eks ISIS sehingga mereka bukan menjadi mantan WNI.</t>
  </si>
  <si>
    <t>Mantap Presidenku #jokowi #TolakEksWNIproISIS #TolakWNIEksISIS</t>
  </si>
  <si>
    <t>Pemerintah Harus Cermat Dan Hati-Hati Menyikapi WNI Eks ISIS</t>
  </si>
  <si>
    <t>Setuju......jangan kasih kendor. Tidak untuk ISIS ex WNI RT @dw_indonesia: Presiden @jokowi kembali menegaskan bahwa pemerintah tidak memiliki rencana memulangkan 689 orang yang ia sebut sebagai "ISIS eks WNI". Menurut Jokowi, pemerintah memiliki tanggung jawab keamanan terhadap 260 juta penduduk Indonesia yang harus diutamakan.</t>
  </si>
  <si>
    <t>Sepakat, Pak. Mereka bukan lagi WNI.</t>
  </si>
  <si>
    <t>Pemulangan anak-anak WNI eks ISIS sudah diserahkan ke Menko Polhukam, Mahfud MD.</t>
  </si>
  <si>
    <t>Pemerintah Indonesia secara resmi menolak kepulangan WNI eks combatan ISIS. Sementara itu, sikap pemerintah dinilai merupakan sikap yang secara tidak langsung mengaku ISIS sebagai sebuah negara. #tvOneNews</t>
  </si>
  <si>
    <t>ISIS ex WNI (ini yg betul) #TolakpemulanganISIS</t>
  </si>
  <si>
    <t>Istilah yang digunakan untuk menyebut orang-orang itu adalah WNI eks ISIS. Kini Jokowi menyebut mereka bukan sebagai WNI, tapi sebagai eks WNI.  #IndonesiaDamaiTanpaISIS</t>
  </si>
  <si>
    <t>"Kami ingin tegaskan, Presiden juga tegaskan, tidak ada lagi pemulangan WNI eks ISIS. Untuk melindungi yang di sini. Ada pertimbangan di antaranya konstitusi dan terkait UU Kewarganegaraan. Fadjroel Rachman, Juru Bicara Presiden. #MataNajwa #MataNajwaMenangkisISIS</t>
  </si>
  <si>
    <t>Ini Dasar Hukum Pemerintah Bisa Menolak WNI Eks ISIS Masuk Indonesia Lagi</t>
  </si>
  <si>
    <t>Jokowi Tegas Sebut ISIS Eks WNI Ditolak, Pastikan Imigrasi 'Pasang Barikade'</t>
  </si>
  <si>
    <t>RT @wahhabicc_jabar: Mulai viral video anak yg (SEOLAH) jadi korban bapaknya yg ISIS. Mulai pd mlipir iba melihat anaknya! Mulai penggiringan opini sedikit demi sedikit dgn narasi HAM lah, Kasihan lah... Heh tong! Jika ISIS yg berkuasa, apakah kalian akan dimaafkan? ISIS kenal HAM? MIKIIIIIR..!</t>
  </si>
  <si>
    <t>Presiden @jokowi kembali menegaskan bahwa pemerintah tidak memiliki rencana memulangkan 689 orang yang ia sebut sebagai "ISIS eks WNI". Menurut Jokowi, pemerintah memiliki tanggung jawab keamanan terhadap 260 juta penduduk Indonesia yang harus diutamakan.</t>
  </si>
  <si>
    <t>Istilah yang digunakan untuk menyebut orang-orang itu adalah WNI eks ISIS. Kini Jokowi menyebut mereka bukan sebagai WNI, tapi sebagai eks WNI.</t>
  </si>
  <si>
    <t>Fadli Zon mukanya ga enak bener dah. Lah, emang Presiden kan melindungi dia juga makanya ISIS eks WNI gk dipulangin lagi. Kok komuknya nyebelin gitu. Kalau mereka pulang dan masih bawa ideologi radikalismenya itu dan jadi bomber, aku harap korbannya yg dukung kepulangan mereka.</t>
  </si>
  <si>
    <t>Pemerintah Tak Pulangkan WNI eks ISIS, Achmad Michdan Sebut Bukan Keputusan yang Tepat  via @tribunnews</t>
  </si>
  <si>
    <t>Gue makin ngeri jir 600 orang ex WNI anggota ISIS bisa beranak pinak cepet di sana. Terus ntar bisa bikin ISIS baru lagi 🙃. Atau mereka bisa balik sendiri. Anjir lah.</t>
  </si>
  <si>
    <t>Disebut Jokowi sebagai Eks WNI, Mantan ISIS Kini Warga Negara Mana?</t>
  </si>
  <si>
    <t>Pemulangan WNI eks ISIS gadikabulkan oleh pemerintah, tetapi di ICCPR (International Convention on Civil and Political Rights) itu tidak ada yang bisa menghalangi bagi seorang warga negara untuk kembali ke negara asalnya, berarti WNI eks ISIS ini masih bisa pulang sendiri ya?</t>
  </si>
  <si>
    <t>Saat Pilkada/Pilpres ada partai yg serasa wakil Tuhan di dunia utk mengambil keputusan semaunya. Sekarang, ada yg lebih tinggi yaitu @KomnasHAM rasa MALAIKAT. Bahkan Jokowi tak berhak melarang selain mereka. Mana tanggapannya terhadap gereja yg di tutup?</t>
  </si>
  <si>
    <t>Soal WNI Eks ISIS, Mahfud MD : Kalau Sudah jadi Teroris, Untuk Apa Dipulangkan</t>
  </si>
  <si>
    <t>Tolak WNI Eks ISIS Diabaikan, Intelektual NU: Mereka Bisa Rekrut Online</t>
  </si>
  <si>
    <t>Sangat setuju..👍👍👍 Pernyataan sikap tegas Presiden @jokowi Untuk tidak memulangkan ISIS ex WNI ke tanah air.. Sikap tegas presiden Bukti nyata.. Bhwa presiden sngat peduli Bagi keselamatan rakyat Keamanan Bangsa dan Negara.. #AkimalamtvOne 🙏🙏 #TeamHumas #Office_PKGCity</t>
  </si>
  <si>
    <t>Masih pd salah kaprah sih ya. Bahkan media2 nasional seperti TV pun. Nulis kok eks isis. Atau wni eks isis. Aku ngikut pak kiyai said agil, nyebut mereka itu kombatan isis eks wni. Sekali lagi: KOMBATAN ISIS EKS WNI.</t>
  </si>
  <si>
    <t>Se7 dgn pak @jokowi. Rsknya bsr kalau Isis eks WNI dipulangkan. kt tdk punya metodologi deteksi ideologi thdp mntn isis. Jgn mengrbnkn HAM WNI yg lain DEMI HAM 600 ISIS EKS WNI. Lbh baik fokus mengedukasi masyarakat,bahaya menjadi korban propaganda Isis!</t>
  </si>
  <si>
    <t>PBNU Sepakat WNI Eks ISIS Tidak Perlu Dipulangkan #TauCepatTanpaBatas #BeritaTerkini #Berita #News #BeritaNasional .</t>
  </si>
  <si>
    <t>Wakil Ketua DPR Dukung Tolak WNI Eks ISIS</t>
  </si>
  <si>
    <t>Ini apa lagi Pak Moel? Kami warga negara Republik Indonesia menolak Eks WNI Pro ISIS karena mereka penjahat kemanusiaan !!! #TolakEksWNIproISIS !!! #TolakPenjahatKemanusiaan !!!</t>
  </si>
  <si>
    <t>Din Syamsuddin ini goblok! ISIS itu teroris! Titik!</t>
  </si>
  <si>
    <t>Mantap! Presiden @jokowi sebut ISIS eks WNI bukan WNI eks ISIS seperti yg sering disebut media2 belakangan ini Jokowi: "Pemerintah tidak memiliki rencana untuk memulangkan ISIS eks WNI"</t>
  </si>
  <si>
    <t>Kepala Badan Intelijen Negara (BIN) Budi Gunawan mengatakan pihaknya juga menjelaskan ke DPR mengenai WNI eks ISIS yang tidak dipulangkan.</t>
  </si>
  <si>
    <t>Jokowi Minta 689 WNI Teroris Lintas Batas dan Eks ISIS Kena Cegah Tangkal -   Pemerintah lebih mengutamakan keamanan 260 juta rakyat Indonesia di Tanah Air daripada harus memulangkan 689 WNI teroris pelintas batas. 👍👍😘😘</t>
  </si>
  <si>
    <t>ISIS ex WNI not WNI ex ISIS, nice one mr. president @jokowi 👍🏼👍🏼</t>
  </si>
  <si>
    <t>Pemerintah Tak Berencana Pulangkan Anggota ISIS Eks WNI  via @kabar_tangsel</t>
  </si>
  <si>
    <t>Dalam wawancara dengan media, Presiden @jokowi tegas tidak akan memulangkan ex wni kombatan isis. Alhamdulillah. Kl kemarin banyak yg masih bilang wni eks isis. Skr sdh fix menjadi kombatan isis eks wni Merdeka !!</t>
  </si>
  <si>
    <t>Baiknya org disini baca kembali UU, serta dengar suara kebanyakan masyarakat Indonesia, emang mereka tak bergabung ke sebuah negara, tapi mereka gabung ke pengahncur negara yg damai.jika kedamaian negeri ini lenyap kalian mau tanggung.</t>
  </si>
  <si>
    <t>Setuju nich,,, Pak @jokowi pemerintah tegas tidak ada rencana pemulangan ISIS Eks WNI ....👍 #ISISEksWNI #AwasAntek2ISIS RT @Lady_Zeebo: Tegas #ISISEksWNI</t>
  </si>
  <si>
    <t>mantengin trending topic hari ini 1. Irfan Bachdim karena ke pss sleman 2. H-90 3. Dian Anita siapa lagi nih 4. #BubarkanBPIP (isu politik) 5. AwasAntek2ISIS (isu WNI ISIS tidak akan dipulangkan 6. #PSIStillLoveYou film netflix aktor jordan di kampung sambil #NgopiMalam</t>
  </si>
  <si>
    <t>Yang gabung ISIS bukan WNI lagi... @jokowi</t>
  </si>
  <si>
    <t>Mau dibelain sampe budek pun tetap TIDAK utk ISIS eks WNI. Mau dibahas sampe nyonyor pun diTV manapun, bangsa ini dan pemerintahan tidak menerima kembali ISIS eks WNI. Hati2 mungkin mrk masih ada yg memiliki pasport krn mrk ada yg pura2 membakar pasportnya. Mrk bs saja masuk.</t>
  </si>
  <si>
    <t>Gendeng wong iki..!!!!</t>
  </si>
  <si>
    <t>Pemerintah Indonesia sepakat tidak akan memulangkan sekitar 660 WNI eks-ISIS. Pemerintah bahkan akan menangkap mereka, jika berani masuk ke Indonesia. #SorotanMedia #WaktunyaLokadata</t>
  </si>
  <si>
    <t>Putuskan Tak Pulangkan ke Tanah Air WNI Kombatan ISIS</t>
  </si>
  <si>
    <t>Terkait soal WNI yg ingin pulang karena tertipu Ideologi ISIS, harusnya kita introsfeksi diri dan malu, bahwa motifasi dan niat mereka karena rindu dgn kehidupan islam yg kaaffah dgn segala keterbatasan ilmu mereka. Ketimbang kita yg menyandang gelar ULAMA/berjubah, tapi senang</t>
  </si>
  <si>
    <t>Nih media giat banget keknya belain eks wni isis?.... RT @CNNIndonesia: Eks Hakim MA Sebut Jokowi Tak Bisa Putuskan Tolak Mantan ISIS</t>
  </si>
  <si>
    <t>Pemerintah Tak Berencana Pulangkan WNI Eks ISIS</t>
  </si>
  <si>
    <t>Akur pak !</t>
  </si>
  <si>
    <t>Presiden Joko Widodo meminta 689 WNI yang diduga teroris lintas batas dan eks kelompok teror ISIS dikenakan cegah dan tangkal.</t>
  </si>
  <si>
    <t>Jokowi Pastikan Tak Pulangkan WNI yang Terlibat ISIS</t>
  </si>
  <si>
    <t>Kenapa disebutnya WNI eks ISIS?</t>
  </si>
  <si>
    <t>Setuju sama statement pak Jokowi. "Mereka isis eks wni" Terima kasih pak, sudah tidak memulangkan mereka.</t>
  </si>
  <si>
    <t>Presiden Joko Widodo tak ambil pusing soal nasib 689 WNI terduga teroris pelintas batas dan eks ISIS yang tak jadi dipulangkan. &gt; #Nasional</t>
  </si>
  <si>
    <t>Status kewarganegaraan tidak boleh dicabut secara serta-merta oleh pemerintah.</t>
  </si>
  <si>
    <t>Ormas terbesar di Indonesia, NU. Melalui pengurusnya di PBNU sudah menolak wacana kepulangan 600 eks WNI anggota ISIS ke Indonesia. #DukungJokowiTolakIsis</t>
  </si>
  <si>
    <t>Presiden Jokowi Gunakan Istilah ISIS Eks WNI</t>
  </si>
  <si>
    <t>Banyak nonton XXI ini si pa Syamsuddin  Ketua Dewan Pertimbangan MUI Din Syamsuddin meminta pemerintah memilah WNI eks ISIS soal polemik pemulangan. Din menyatakan ISIS adalah buatan Amerika Serikat.</t>
  </si>
  <si>
    <t>Apa hubungannya dengan pelarangan eks wni balik sini?. Din Syamsuddin: ISIS Itu Bikinan Amerika</t>
  </si>
  <si>
    <t>Dari awal makanya gak usah ikut2an. Kan skarang jadinya bukan cuma eks ISIS, tapi nambah jadi eks WNI~~ ckckckckckck</t>
  </si>
  <si>
    <t>Sudah Ngutang, jadi Provokator pula. #VeronicaAntiIndonesia tidak ubahnya seperti WNI yang menyebrang ke ISIS</t>
  </si>
  <si>
    <t>Mau Made in USA kek Mau Made in DP MUI kek Klo terlibat dgn ISIS itu sudah pasti musuh semua dgn negara-negara di Dunia Udin.. Sudah 5 kali lebaran 5 kali puasa kagak pulang itu urusan mereka, bangsa Indonesia sudah tidak ada lagi urusan dgn Eks WNI Pro ISIS #AwasAntek2ISIS RT @detikcom: Ketua Dewan Pertimbangan MUI Din Syamsuddin meminta pemerintah memilah WNI eks ISIS soal polemik pemulangan. Din menyatakan ISIS adalah buatan Amerika Serikat.</t>
  </si>
  <si>
    <t>Mahfud mengaku membahas banyak hal selama pertemuan berlangsung. Menurutnya itu wajar karena isu WNI eks ISIS atau Foreign Terrorist Fighters (FTF) telah menimbulkan pro dan kontra di masyarakat. #DukungJokowiTolakIsis</t>
  </si>
  <si>
    <t>ISIS EKS WNI atau WNI EKS ISIS?</t>
  </si>
  <si>
    <t>JOKOWI BUKA PELUANG PULANGKAN ANAK YATIM WNI EKS ISIS. #TauCepatTanpaBatas</t>
  </si>
  <si>
    <t>Pemerintah mempunyai tanggung jawab keamanan terhadap 260 juta rakyat indonesia kata pak presiden... Oleh sebab itu pemerintah tidak ada rencana untuk memulangkan WNI eks ISIS..👍👍👍👍👍</t>
  </si>
  <si>
    <t>Jokowi Sebut Mantan Anggota ISIS Adalah Eks WNI</t>
  </si>
  <si>
    <t>Pemerintah memutuskan tak memulangkan ratusan WNI eks ISIS ke Indonesia. Diputuskan dalam rapat kabinet yg digelar tertutup oleh Presiden Joko Widodo bersama kementerian di Istana Kepresidenan, Bogor, Jawa Barat, Selasa (11/2). #DukungJokowiTolakIsis</t>
  </si>
  <si>
    <t>BIN Diminta Waspada Usai Jokowi Tolak Kepulangan WNI Eks ISIS</t>
  </si>
  <si>
    <t>Selain menolak... Beliau mencekal ISIS itu laten Top👍👍👍👍</t>
  </si>
  <si>
    <t>O' O' * *  Ketua Dewan Pertimbangan MUI Din Syamsuddin meminta pemerintah memilah WNI eks ISIS soal polemik pemulangan. Din menyatakan ISIS adalah buatan Amerika Serikat.</t>
  </si>
  <si>
    <t>Mahfud MD Tegaskan Akan Tangkap Para WNI Eks ISIS yang Nekat Pulang Lewat Jalur Tikus</t>
  </si>
  <si>
    <t>Dah paling pas nyebut isis itu kombatan isis bukan eks isis atau warga isis, walau kmrn2 aku nyebutnya jg warga isis sih, krn kupikir lagi mau nyebut warga kan isis bukan negara. Jd sdh bener itu nyebutnya kombatan isis eks WNI. Ga berperasaan? Halah, mereka aja ga berperasaan.</t>
  </si>
  <si>
    <t>si din @opinidin mau nggedabrus apa saja cuekin, pemerintahan presiden @jokowi sdh memutuskan tdk memulangkan ISIS ex WNI 👍😁 Din Syamsuddin: ISIS Itu Bikinan Amerika</t>
  </si>
  <si>
    <t>Presiden Joko Widodo buka-bukaan perihal keputusan pemerintah tidak akan memulangkan 689 WNI eks ISIS. Jokowi mengatakan keputusan itu bertujuan untuk melindungi ratusan juta orang penduduk Indonesia.</t>
  </si>
  <si>
    <t>Jgn sampe hbs ini ada aksi bela militan isis eks wni wqwq</t>
  </si>
  <si>
    <t>Labelnya dibolak balik, biar ada alasan untuk di pulangkan, maaf bahasanya bukan WNI eks ISIS, tapi yg benar adala ISIS eks WNI</t>
  </si>
  <si>
    <t>Soal ISIS Eks WNI, PKB Anggap Sikap Pemerintah Bersayap - ⁦@RadesaInstitute⁩</t>
  </si>
  <si>
    <t>Artikel yang menarik, tidak hanya terkait untuk WNI ex ISIS, tapi juga bagi kaum minoritas lainnya RT @ariel_heryanto: Berpikir jernih, adil dan terbuka itu langka. Massa cenderung beramai2 mengeroyok kelompok sosial yang sedang menderita dan rentan. Contohnya banyak dari berbagai masa dan tempat: dari kelompok politik, ideologi, etnis, hingga orientasi seksual tertentu.</t>
  </si>
  <si>
    <t>Tegas! Presiden Jokowi Tolak Pemulangan Militan ISIS Eks WNI</t>
  </si>
  <si>
    <t>[asking] wdyt about wni eks simpatisan isis ? kalo gua mah no way ketombe</t>
  </si>
  <si>
    <t>Jadi kenapa kemaren loe bela,WNI eks ISIS...salah minum obat kale yak... RT @kang_kayu: Kaum Munafikun Masih Pede Dengan Kelakuan Ngelesnya,, Din Syamsuddin: ISIS Itu Bikinan Amerika</t>
  </si>
  <si>
    <t>Menurut Muhammadiyah WNI gabung ISIS ada yang karena tertipu, ikut-ikutan, dan bukan kombatan.</t>
  </si>
  <si>
    <t>Ke laut aja !!! #AwasAntek2ISIS</t>
  </si>
  <si>
    <t>Jokowi Gunakan Istilah ISIS Eks WNI Tok, Tok, Tok Final Sudah! “Pemerintah tidak memiliki rencana untuk memulangkan orang-orang yang ada di sana, ISIS eks WNI,” kata Jokowi di Istana Negara, Rabu (12/2/2020). Yuk Ramaikan Tag #ISISEksWNI</t>
  </si>
  <si>
    <t>Jokowi, Kemungkinan Anak WNI Eks Isis Akan di Pulangkan ke Tanah Air</t>
  </si>
  <si>
    <t>Pemerintah Tak Berencana Pulangkan WNI Eks ISIS  via @kabar_tangsel</t>
  </si>
  <si>
    <t>MUI Ingatkan Pemerintah Tak Semua Eks ISIS Lepas Status WNI</t>
  </si>
  <si>
    <t>Ayo, Kita #JagaRumahKita 💪🏻🇲🇨🇲🇨🇲🇨❤ #TolakEksWNIproISIS #TolakEksISIS #TolakWNIEksISIS =======================  =======================</t>
  </si>
  <si>
    <t>Apa persamaan rampok,pembunuh &amp; penjahat kambuhan? "Melakukan tindakan kriminal utk cari uang &amp;amp; makan" which side are you Pak??  Ketua Dewan Pertimbangan MUI Din Syamsuddin minta pemerintah memilah WNI eks ISIS soal pemulangan.Din menyatakan ISIS adlh ...</t>
  </si>
  <si>
    <t>Mereka tidak akn prnah pergi meninggalkan ISIS jikalau ISIS berjaya. Mereka ingin pergi hnya krna rumah yg dinaungi skrg mulai runtuh. Bukan krna dedikasinya terhadap ibu pertiwi. So, for every ex WNI who's decided to joining ISIS, If you really a man, never lick your spit!</t>
  </si>
  <si>
    <t>kumpulan manusia disini mikirnya gimana sih? kira² kalau ada orang dari luar negeri mau ke Indonesia nggak punya paspor (baik di negara keberangkatan atau di negara tujuan), apakah bisa? apa nggak kemudian disebut manusia ilegal?</t>
  </si>
  <si>
    <t>untuk Komnas HAM sebaiknya kalian hentikan polemik pemulangan ex wni teroris isis ini,jangan kalian korbankan 267juta wni hanya demi teroris yg belum tentu insaf njeng😡 #AwasAntek2ISIS RT @HusinShihab: Ah, Anam @KomnasHAM ini cuma cari simpati ISIS. Alasan ISIS bkn negara, Kombatan ISIS dikatakan msh WNI, baca lagi UU No 15/2006 ttg WNI ps 23 (i). ISIS bkn negara tp berada diluar wilayah NKRI dan kombatan itu lbh dr 5th ada dsna gabung dgn TERORIS.</t>
  </si>
  <si>
    <t>Ganti Istilah, Kini Jokowi Tegas Menyebut ISIS Eks WNI  via @epicentrum_news</t>
  </si>
  <si>
    <t>Tok! Pemerintah Tak Akan Pulangkan WNI Eks ISIS</t>
  </si>
  <si>
    <t>#PrimeTalkMetroTV "Yang harus kita pikirkan adalah perlindungan WNI terhadap ISIS eks WNI dan virus-virus teror dari luar yang akan masuk ke Indonesia." Fadjroel Rahman, Juru Bicara Presiden. @Metro_TV</t>
  </si>
  <si>
    <t>Jokowi Tegaskan Pemerintah Tak Akan Pulangkan Anggota ISIS Eks WNI #TauCepatTanpaBatas #BeritaTerkini #Berita #News #BeritaNasional .</t>
  </si>
  <si>
    <t>Silakan bicara soal amanat UUD 1945, Hak Asasi Manusia dan segala pembelaan lain terkait akan kembalinya bekas WNI yang sekarang menjadi ISIS itu. Tapi nanti, setelah anak atau salah satu anggota keluargamu meledak dengan potongan tubuhnya terlempar ke udara. Sanggup?</t>
  </si>
  <si>
    <t>#IndonesiaDamaiTanpaISIS PKB: Eks WNI Kombatan ISIS Harus Dibedah Secara Komprehensif</t>
  </si>
  <si>
    <t>Tidak ada WNI Eks-ISIS, yang ada itu ISIS Eks-WNI. Mari kita pahami bersama.</t>
  </si>
  <si>
    <t>#PrimeTalkMetroTV "Istilah yang harus kita pergunakan adalah 'ISIS eks WNI', tidak ada istilah lain dalam isu ini. Tidak akan ada pemulangan anggota ISIS eks WNI." Fadjroel Rahman, Juru Bicara Presiden. @Metro_TV</t>
  </si>
  <si>
    <t>Budi Gunawan menegaskan keputusan tak memulangkan WNI eks ISIS bentuk perlindungan kepada 267 juta rakyat Indonesia.</t>
  </si>
  <si>
    <t>Angin seger....🌬 Jokowi: Mereka ISIS Eks WNI  #LINETODAY</t>
  </si>
  <si>
    <t>Komnas HAM: Tak Ada Pejabat yang Bisa Larang WNI Eks Pro ISIS Pulang - &gt;&amp;gt;&amp;gt;&amp;gt;&amp;gt;&amp;gt; jangan mau jadi orang tolol choirul ,,,,! ⁦@KomnasHAM⁩</t>
  </si>
  <si>
    <t>Yeay finally mereka disebut EKS WNI, bukan eks isis 😁😁😁</t>
  </si>
  <si>
    <t>Ketua DP MUI Din Syamsuddin meminta pemerintah memilah WNI eks ISIS soal polemik pemulangan. Din menyatakan ISIS adlh buatan Amerika. Haii Udiiinnn. Isis mau buatan Jin iprit pun mrk sdh menjd teroris. Mrk mau pulang krn kalah #AwasAntek2ISIS</t>
  </si>
  <si>
    <t>Bagus deh...akhirnya pemerintah tegas TIDAK akan memulangkan eks WNI anggota ISIS, lebih baik melindungi 276 JUTA penduduk Indonesia daripada 600 terorist. @mohmahfudmd @jokowi @tni_ad @_TNIAU @Puspen_TNI @_TNIAL_</t>
  </si>
  <si>
    <t>80% WNI ITU SEKARANG MENGALAMI ISIS. Ini Susah, Itu Susah. RT @Anna_MaSue: Sadar atau tidak, sebagian orang Indonesia sudah menjadi ISIS dalam beberapa tahun terakhir.. Ini Susah Itu Susah</t>
  </si>
  <si>
    <t>Kenapa sang wartawan CNN ini tidak mau jadi relawan di Suriah saja, dan merawat mereka eks wni?</t>
  </si>
  <si>
    <t>"ISIS EX WNI" ya bukan "WNI EX ISIS" ....</t>
  </si>
  <si>
    <t>Menurut Anda, apakah setuju jika WNI eks ISIS dipulangkan ke Indonesia ? #ISISGoToHell #AwasAntek2ISIS</t>
  </si>
  <si>
    <t>Sebelum kader PKS setuju soal kepulangan ex WNI pro ISIS.. Kader PKS malah mengusulkan utk Ekspor Ganja😂😂 Ayoo kita dukung @PKSejahtera .. Kalau ganja Itu HALAL.. Yg haram itu apa? ✓Main Catur ✓Nonton Film Korea #AwasAntek2ISIS</t>
  </si>
  <si>
    <t>Lanjut kan pak  Namun untuk anak-anak di bawah 10 tahun atau yatim piatu, Jokowi membuka peluang bagi mereka untuk dipulangkan. Anak-anak boleh pulang dengan syarat.</t>
  </si>
  <si>
    <t>Sangat setuju..👍👍👍 Pernyataan sikap tegas Presiden @jokowi Untuk tidak memulangkan ISIS ex WNI ke tanah air.. Sikap tegas presiden.. Bukti nyata.. Bhwa presiden sngat peduli Bagi keselamatan rakyat Keamanan Bangsa dan Negara.. #PrimeTalk 👌🙏🙏 #TeamHumas #Office_PKGCity</t>
  </si>
  <si>
    <t>Keputusan pemerintah yg tidak pulangain Ex WNI ISIS dapat apresiasi mantan Kombatan ISIS. Karena dia tau persis betapa kejamnya ISIS #AwasAntek2ISIS</t>
  </si>
  <si>
    <t>Menko Polhukam Mahfud Md menegaskan pemerintah sudah mengantisipasi jika WNI eks ISIS menyelinap masuk ke Indonesia via negara bebas visa. Begini penjelasannya: #ISIS #WNIEksISIS</t>
  </si>
  <si>
    <t>"Pemerintah tidak memiliki rencana untuk memulangkan orang-orang yang ada di sana, ISIS eks WNI," ujar Jokowi saat memberikan keterangan di Istana Negara, Jakarta, Rabu (12/2). ~ ISIS EKS WNI... ISIS BEKAS WARGA NEGARA INDONESIA... Yes! ITU SEBUTAN YANG BENAR!</t>
  </si>
  <si>
    <t>salah dengar nggak ya saya? Tidak ada rencana memulangkan ISIS Ex WNI ~~ Thank you pak @jokowi</t>
  </si>
  <si>
    <t>Kepentingan vital Indonesia saat ini adalah keamanan negara. Langkah Pak Presiden Jokowi sudah benar untuk melarang masuknya kembali WNI eks ISIS. Kenapa ge setuju? Karena gini loh sekalipun mereka eks ISIS dan WNI tapi siapa yg bisa menjamin kalo mereka benar2 udah TOBAT?</t>
  </si>
  <si>
    <t>HEY TUAN PRESIDEN @jokowi JIKA ANDA SUDAH MEMILIKI KEPUTUSAN JANGAN DIPERDEBATKAN !! @BNPT 2016 Jika saya sebagai Presiden saat itu saya akan tolak pemulangan 50 Anggota ISIS karena ISIS sedang berjaya @BNPT 2020 WNI EX ISIS ADALAH KORBAN PERDAGANGAN MANUSIA YG DIJANJIKAN !!</t>
  </si>
  <si>
    <t>TAMPUNG DIRUMAH MU AJA ! Din Syamsuddin minta pemerintah memilah WNI eks ISIS. Din menyatakan ISIS merupakan buatan Amrik. "Eks ISIS itu yg berada di luar negeri masih berstatus WNI.  @sirajapadoha @ellys_kerhi @Winardhi__ @ediedot108 @tandanVradio @BHD_8</t>
  </si>
  <si>
    <t>Keputusan pemerintah utk tdk memulangkan eks WNI pro ISIS sdh tepat. Mereka telah keluar dari NKRI dan gabung ISIS, tidak usah diperhatikan lagi oleh negara. Biarkan saja, mereka tidak penting. Lebih penting memperhatikan keamanan dan kedamaian disini #AwasAntek2ISIS</t>
  </si>
  <si>
    <t>Keputusan yang tepat. Namun dibalik itu, patut diwaspadai strategi baru dari mereka yang mendukung kepulangan WNI eks ISIS selama ini, karena biar bagaimanapun ketika pemerintah mengambil keputusan ini tentu saja mereka tidak akan terima. #AwasAntek2ISIS</t>
  </si>
  <si>
    <t>Sedang cari arena ya? Hahahahahaha nohhhh..... mending ke surih. Ceramahjn tu WNI EKS ISIS. RT @JKDaulay: "Aku Heran, Ko ada Muslimah yg tidak mau memakai Jilbab"  iya, saya juga heran... kok ada ya, seorang Muslimah yg nyinyir seperti Mba' Bebi ini ! waktu itu soal virus Corona, sekarang malah soal jilbab. Opick... mana Opick ! 📢 @opick_tomboati1</t>
  </si>
  <si>
    <t>Bahaha apalah Arti HAM, Buat Indonesia, apapun tidak penaruh, tapi bagi Ci Koman. Apapun tentang Indonesia itu tidaklah penting. Pantes dicopot Paspornya kyak ISIS Eks WNI. Cc @kemendagri @KemensetnegRI @Kemhan_RI RT @VeronicaKoman: Mahfud MD Anti-Human Rights</t>
  </si>
  <si>
    <t>Sebutnya "Eks WNI", BUKAN "Eks ISIS"! Mereka sudah mendedikasikan diri utk bergabung dgn ISIS, meninggalkan Indonesia, membakar paspor, dsb agar bisa melaksanakan hal yg mereka sebut jihad. Lalu ketika ISIS mulai lemah, mereka ingin pulang dan disebut eks ISIS? Hoho</t>
  </si>
  <si>
    <t>600 mantan wni eks isis free agent di rekrut klub mana y</t>
  </si>
  <si>
    <t>Sok teu lo  Ketua Dewan Pertimbangan MUI Din Syamsuddin meminta pemerintah memilah WNI eks ISIS soal polemik pemulangan. Din menyatakan ISIS adalah buatan Amerika Serikat.</t>
  </si>
  <si>
    <t>ISIS eks WNI RT @Metro_TV: Dari 600an orang yang didata merupakan WNI eks ISIS, mayoritas adalah perempuan dan anak-anak. Sekjen MUI Anwar Abbas meminta pemerintah tidak pukul rata atas keputusan tidak memulangkan WNI eks ISIS. #PRIMETALK hari Rabu (12/2) pukul 19.05 WIB di Metro TV bersama Rory Asyari.</t>
  </si>
  <si>
    <t>Ketua Dewan Pertimbangan MUI Din Syamsuddin meminta pemerintah memilah WNI eks ISIS soal polemik pemulangan. Din menyatakan ISIS adalah buatan Amerika Serikat.</t>
  </si>
  <si>
    <t>jgn sampe WNI eks aggta ISIS msk k endonesia dngan sandiwaranya. Tolak tegas phm radikal d mak Pertiwi #AwasAntek2ISIS</t>
  </si>
  <si>
    <t>Dari 600an orang yang didata merupakan WNI eks ISIS, mayoritas adalah perempuan dan anak-anak. Sekjen MUI Anwar Abbas meminta pemerintah tidak pukul rata atas keputusan tidak memulangkan WNI eks ISIS. #PRIMETALK hari Rabu (12/2) pukul 19.05 WIB di Metro TV bersama Rory Asyari.</t>
  </si>
  <si>
    <t>Bertemu Menlu, Kiai Said: Tak Ada Salahnya Pemerintah Tolak WNI Eks ISIS</t>
  </si>
  <si>
    <t>Mereka berpotensi menyebarkan ideologi radikal bagi rakyat Indonesia.</t>
  </si>
  <si>
    <t>Mereka bkn WNI eks ISIS tp eks WNI ISIS RT @DjanChoek: Moralitas wartawan CNN dan pemulangan eks. ISIS. Apa ug ditunjukan wartawan ini sungguh mengkhawatirkan. Apa yg bisa diharapkan dari seseoranh yang rela mengorbaan jutaan perasaan hanya bela 600-an pengkhianat?</t>
  </si>
  <si>
    <t>Pemerintah tidak akan memulangkan WNI eks ISIS.</t>
  </si>
  <si>
    <t>Jokowi Sebut Pengikut ISIS Sebagai Eks WNI  #vivanews</t>
  </si>
  <si>
    <t>jangn smpai WNI eks anggta ISIS suk k endonesia dg sandiwaranya. Tolak tegas faham radikal d mak Pertiwi #AwasAntek2ISIS</t>
  </si>
  <si>
    <t>Kayaknya dia suka pasang jebakan...</t>
  </si>
  <si>
    <t>#IndonesiaDamaiTanpaISIS</t>
  </si>
  <si>
    <t>Komisi I DPR menggelar rapat tertutup dengan Kepala BIN Budi Gunawan.</t>
  </si>
  <si>
    <t>Korpus DEMA Se Indonesia : Kami Menolak Pemulangan WNI ISIS ke Indonesia</t>
  </si>
  <si>
    <t>Jokowi: Pemerintah Tak Akan Pulangkan ISIS Eks WNI Presiden Joko Widodo (Jokowi)kembali menegaskan sikapnya yang enggan memulangkan kombatan ISIS ke Indonesia. Jokowi ingin menjamin keamanan dalam negeri.</t>
  </si>
  <si>
    <t>Semua berujung pd keraguan thd kesiapan negara dlm recoveri/deradikalisasi eks kombatan ISIS. Dan itu berawal dr jungkir baliknya negara mengurus toleransi beragama di dlm negri.</t>
  </si>
  <si>
    <t>Mantab My Presiden @jokowi Bener banget, supaya mereka tidak bisa menyusup masuk Indonesia Terima kasih Pak. Jokowi perintahkan 689 wni eks isis di data agar di cegah masuk</t>
  </si>
  <si>
    <t>Jokowi: Pemerintah Tak Akan Pulangkan ISIS Eks WNI Instruksi selanjutnya adalah Jokowi memerintahkan supaya 689 orang dilakukan identifikasi. Data mereka akan dimasukkan ke Imigrasi untuk dicegah masuk ke Indonesia.</t>
  </si>
  <si>
    <t>Bapak Presidenku @jokowi yang Hebat, para petinggi ISIS itu yakin Indonesia adalah Bangsa Pema'af apalagi sesama saudaranya. Dan jika pintu gerbang ma'af dibuka maka NKRI akan menjadi SYIRIA. Jadi lakukan saja apa yang Bapak telah putuskan. Salam Hormat 🙏</t>
  </si>
  <si>
    <t>Dari kemarin saya sudah sampaikan. Eks WNI jadi ISIS. Jangan di balik WNI eks ISIS.... Gak ada sejarah eks ISIS jadi WNI. RT @CNNIndonesia: Jokowi Kini Sebut ISIS Eks WNI, Bukan Lagi WNI Eks ISIS</t>
  </si>
  <si>
    <t>Lah maksudnya ini orang apa yah? Kombatan ISIS eks WNI itu di penjara dan Camp tahanan. Dan pemerintah negara yang mereka porakporandakan akan mengadili dan menghukum mereka, lalu apa gunanya hukum Indonesia dibahas?</t>
  </si>
  <si>
    <t>Korpus DEMA PTKIN SE INDONESIA : Kami Menolak Pemulangan WNI ISIS ke Indonesia  #TolakWNIEksISIS #AwasAntek2ISIS</t>
  </si>
  <si>
    <t>Knp gak lapor dr dulu klo dibawa kabur? 6 th itu kan bukan waktu yg sebentar.... Jangan terpengaruh, pakdhe.... @jokowi Drpd ngurusin yg 600 an, mending melindungi yg 267 jt an (kurangin dikiiiiiiit....😜)</t>
  </si>
  <si>
    <t>- Rumah tahanan 'sesak', napi berontak. - Presiden Jokowi: "Mereka ISIS eks WNI. Saksikan selengkapnya di Apa Kabar Indonesia Malam hanya di tvOne &amp; streaming di tvOne connect, android  &amp;amp; ios  #AKIMalamtvOne</t>
  </si>
  <si>
    <t>djangan smpe WNI eks aggta ISIS suk k endonesia dg sandiwaranya. Tolak tegas faham radikal d ibuk Pertiwi #AwasAntek2ISIS</t>
  </si>
  <si>
    <t>ojo mpe WNI eks anggta ISIS msuk k endonesia dg sandiwaranya. Tolak tegas faham radikal d mak Pertiwi #AwasAntek2ISIS</t>
  </si>
  <si>
    <t>Jangan sampai lengah sedikitpun untuk mengawal komitmen Pemerintah "Tidak memulangkan WNI eks Kombatan ISIS , Ideologi ISIS sangat berbahaya bagi keutuhan NKRI #AwasAntek2ISIS</t>
  </si>
  <si>
    <t>jgan sampek WNI eks anggta ISIS msuk k endonesia dg n sandiwaranya. Tolak tegas faham radikal d mak Pertiwi #AwasAntek2ISIS</t>
  </si>
  <si>
    <t>Akal-akalan WNI Eks ISIS ke Indonesia, Pemerintah Siap Tangkal... #AwasAntek2ISIS</t>
  </si>
  <si>
    <t>Jokowi Buka-bukaan Keputusan Tak Pulangkan 689 WNI Eks ISIS</t>
  </si>
  <si>
    <t>Yang masih ingin dan memaksa pemerintah utk memulangkan ISIS eks WNI berarti dia adalah antek² ISIS.. Karena pemerintah sdh jelas dan tegas,ISIS No Way..#AwasAntek2ISIS</t>
  </si>
  <si>
    <t>Bahasa Kalian Awak Media Slah Semua Yg Ada ISIS ex WNI , Bukan WNI lagi Pahami !!! , Karena mereka sdh melepas WNI mereka !!!!!! RT @Beritasatu: Pemerintah Antisipasi WNI Eks ISIS yang Menyelundup ke Indonesia</t>
  </si>
  <si>
    <t>Inilah mereka2 yg MERASA PALING NASIONALIS dan PALING BERKEMANUSIAAN.. yg TIDAK PERDULI akan RASA AMAN 160 jt lebih rakyat Indonesia.. hanya demi sekelompok EKS WNI yg bergabung dgn TERORIS ISIS 😡 @MardaniAliSera @fadlizon @KomnasHAM #AwasAntek2ISIS</t>
  </si>
  <si>
    <t>#AwasAntek2ISIS PKS sebagai Partai Islam terbesar Indonesia meminta pemerintah untuk memulangkan eks WNI pro ISIS, padahal jelas² eks teroris tersebut telah merusak citra Islam dimata dunia. Eh.. Anggota PKS sendiri juga berkelakuan begitu ya 😤 - Garap Maharani - Ganja Halal</t>
  </si>
  <si>
    <t>#AwasAntek2ISIS 2). Salah satu partai yang meminta pemerintah untuk memulangkan eks WNI pro ISIS adalah @PKSejahtera Menurut salah satu politisi senior PKS, Nasir Djamil, tahun 2016 pemerintah pernah memulangkan 50 WNI pro ISIS. Demikian pula dgn Mardani Ali Sera 👇 Next..</t>
  </si>
  <si>
    <t>djangan sampek WNI eks aggta ISIS msuk k endonesia dgan sandiwaranya. Tolak tegas phm radikal d mak Pertiwi #AwasAntek2ISIS</t>
  </si>
  <si>
    <t>Apa presiden Anda ini sedang mengakui bahwa ISIS adalah sebuah negara? Wqwq</t>
  </si>
  <si>
    <t>Jokowi Kini Sebut "ISIS Eks WNI", Bukan Lagi " WNI Eks ISIS" Naah.. berarti qan JOKOWI hari ini sedang kumat CERDAS.. iya qan?</t>
  </si>
  <si>
    <t>Moralitas wartawan CNN dan pemulangan eks. ISIS. Apa ug ditunjukan wartawan ini sungguh mengkhawatirkan. Apa yg bisa diharapkan dari seseoranh yang rela mengorbaan jutaan perasaan hanya bela 600-an pengkhianat?</t>
  </si>
  <si>
    <t>Jokowi menyebut mereka sebagai eks WNI, bukan eks ISIS. RI tak mengenal status tanpa kewarganegaraan. Lalu apa eks WNI itu sudah punya kewarganegaraan baru?</t>
  </si>
  <si>
    <t>Woooyyy.... itu ISIS eks WNI.... jangan dibalik balik terus.... 😒 RT @merdekadotcom: Jokowi menegaskan, keputusan pemerintah tak memulangkan WNI eks ISIS sudah bulat. Hal itu demi menjaga keamanan 267 juta rakyat Indonesia yang menjadi tanggung jawab pemerintah.</t>
  </si>
  <si>
    <t>Keputusan pemerintah untuk tidak memulangkan WNI eks ISIS Internasional tetap mendapatkan pengawasan pemerintah guna memastikan bukan ancaman keamanan nasional.⁣ ⁣ 600 WNI yang berangkat perang ke Suriah yang…</t>
  </si>
  <si>
    <t>#AwasAntek2ISIS TEGAAAS..! @jokowi: Pemerintah Tak Akan Pulangkan ISIS Eks WNI Pemerintah tidak memiliki rencana untuk memulangkan orang-orang yang ada di sana, ISIS eks WNI," kata Jokowi @My_LoveNebe @AlvinoLulu @cintada17 @NannyAlexendry @Namaku_Mei</t>
  </si>
  <si>
    <t>Negara memberi rasa aman terharap masyarakat dari virus baru terorisme. Pemerintah memutuskan melindungi 267 juta rakyat Indonesia dengan tidak memulangkan WNI eks ISIS. MERDEKA !!! Hidup adalah Pilihan ,Bahkan saat kamu pergi jihad spt aku☝️😋. ?</t>
  </si>
  <si>
    <t>Jangan hanya ngurusi eks wni isis...nih orang penghasil teoris eh teloris. .terorrrrisss. bungkus. RT @Kesit_: Sesungguhnya orang orang seperti inilah yg menghancurkan NKRI.. Ngoookk... Cc : @CCICPolri @DivHumas_Polri @Kemenag_RI #AwasAntek2ISIS #AwasAntek2ISIS</t>
  </si>
  <si>
    <t>Pemerintah memutuskan tak memulangkan WNI eks ISIS ke Indonesia. Polemik tersebut memantik perdebatan publik, tak ada jaminan mantan ISIS bertobat, namun ada rasa kemanusiaan untuk anak yg ikut berperang ke Suriah. Ikuti #MataNajwaMenangkisISIS malam ini. @KapalApi_ID #MataNajwa</t>
  </si>
  <si>
    <t>Jokowi Buka Peluang Pulangkan Anak Yatim WNI Eks ISIS #TauCepatTanpaBatas #BeritaTerkini #Berita #News #BeritaNasional .</t>
  </si>
  <si>
    <t>Tp abu bakr Ba'asyir ber baiat dgn pemimpin ISIS Al Baghdadi  #AwasAntek2ISIS Ketua Dewan Pertimbangan MUI Din Syamsuddin meminta pemerintah memilah WNI eks ISIS soal polemik pemulangan. Din menyatakan ISIS adalah buatan Amerika Serikat.</t>
  </si>
  <si>
    <t>Komnas HAM ini dpt bantuan dana dari pemerintah gak ya... kok selalu menentang pemerintah.? ISIS ini telah membakar paspor dan mengatakan pemerintah thogut...masih saja dia bela #AwasAntek2ISIS</t>
  </si>
  <si>
    <t>Presiden Jokowi perintahkan CEKAL 689 WNI/mantan ISIS, bukan lagi tanggung jawab pemerintah. Sebab, para teroris lintas batas itu sudah menjadi anggota ISIS. "Itu sudah jadi keputusan mereka.  @USutendi @asepapit @cadarmerah @Bubut871 @BHD_8 @angelmaximilan</t>
  </si>
  <si>
    <t>Pemerintah tidak akan mengambil langkah hukum atau upaya lain terhadap warga negara Indonesia (WNI) terduga eks ISIS. / #Nasional</t>
  </si>
  <si>
    <t>#AwasAntek2ISIS Apakah mereka yang menuntut pemerintah agar memulangkan eks WNI pro ISIS dari Suriah berani menjamin, bhwa mereka tidak akan berperilaku radikal di negri kita? Jangan lupa, peristiwa bom Gereja di Surabaya, pelaku adalah bagian dari ISIS. LAWAN TERORIS 💪</t>
  </si>
  <si>
    <t>"Pemerintah tidak memiliki rencana memulangkan orang-orang yang ada disana, ISIS, eks-WNI," @jokowi #WNIEksISIS</t>
  </si>
  <si>
    <t>Msih ngotot memulangkan Ex ISIS? Coba Imparsial cek apakah mereka msh mempunyai Dokumen sbg WNI?</t>
  </si>
  <si>
    <t>Aku memiliki pemikiran yg sama dg om Refly....tidak banyak orang yg cukup waras melihat persoalan WNI ex ISIS ini! Bahkan aku meragukan kewarasan Jokowi....😂</t>
  </si>
  <si>
    <t>Wakil Ketua DPR Dukung Pemerintah Tolak WNI Eks ISIS</t>
  </si>
  <si>
    <t>Mungkin langkah Rusia bisa di ikuti oleh pak @jokowi terkait polemik pemulangan WNI eks ISIS. Jangan biarkan anak2 tak bersalah menanggung beban dosa orang tua. Negara harus adil.</t>
  </si>
  <si>
    <t>Presiden @jokowi menyampaikan alasan dirinya tak akan memulangkan WNI eks ISIS. “Pemerintah punya tanggung jawab keamanan terhadap 260 juta penduduk Indonesia, itu yang kami utamakan,” ujarnya.</t>
  </si>
  <si>
    <t>Refly Harun merupakan pihak yang setuju dan meminta negara untuk memulangkan WNI eks ISIS kembali ke Indonesia.</t>
  </si>
  <si>
    <t>PEMERINTAH TIDAK AKAN PULANGKAN WNI ANGGOTA ISIS "Pemerintah tidak ada rencana memulangkan teroris. tidak akan memulangkan FTF (Foreign Terrorist Fighter) ke Indonesia" Mahfud MD - Menko Polhukam</t>
  </si>
  <si>
    <t>Pemerintah tak akan pulangin Ex WNI ISIS. Netizen emang Juos👍 Alhamdulillah Tq Pemerintah yg telah melindungi 270 jt penduduk Indonesia dari Biadabnya ISIS. #AwasAntek2ISIS</t>
  </si>
  <si>
    <t>jng mpe WNI eks anggauta ISIS msuk k endonesia dngn sandiwaranya. Tolak tegas phm radikal d mak Pertiwi #AwasAntek2ISIS</t>
  </si>
  <si>
    <t>"Oleh sebab itu, pemerintah tidak memiliki rencana untuk memulangkan orang-orang yang ada di sana, ISIS eks WNI," kata @jokowi</t>
  </si>
  <si>
    <t>Tolak pemulangan ISIS eks WNI ISIS tidak berlaku di Indonesia 🇲🇨 #AwasAntek2ISIS</t>
  </si>
  <si>
    <t>Nahh statement begini yg ditunggu, bukan kayak pak menteri yg nganu itu kemarin, yg statement nya bikin resah</t>
  </si>
  <si>
    <t>Jokowi : ISIS eks WNI !! 👍👍👍👍 RT @CNNIndonesia: Jokowi Kini Sebut ISIS Eks WNI, Bukan Lagi WNI Eks ISIS</t>
  </si>
  <si>
    <t>ojo mpe WNI eks anggta ISIS msuk k endonesia dgn sandiwaranya. Tolak tegas phm radikal d nyokap Pertiwi #AwasAntek2ISIS</t>
  </si>
  <si>
    <t>Bukan wni eks isis. Yg bener isis eks wni.</t>
  </si>
  <si>
    <t>"ISIS Eks WNI" RT @Beritasatu: Jokowi Tegaskan Nasib 689 WNI Eks ISIS Bukan Tanggung Jawab Pemerintah</t>
  </si>
  <si>
    <t>Terima kasih pak jokowi telah menolak eks wni yg ikut isis masuk indonesia#ISISGoToHell</t>
  </si>
  <si>
    <t>Menteri Koordinator Bidang Politik, Hukum dan Keamanan (Menko Polhukam), Mahfud MD, menegaskan pemerintah membuka diri jika ada laporan keberadaan anak-anak dari WNI eks ISIS yang mau pulang setelah pemerintah…</t>
  </si>
  <si>
    <t>ISIS EKS WNI RT @tempodotco: Presiden Jokowi sebut 600-an orang Indonesia yang bergabung dengan ISIS di Suriah yaitu ISIS eks WNI.</t>
  </si>
  <si>
    <t>Judulnya salah @detikcom Mrk eks WNI anggota ISIS, bukan WNI eks ISIS. Jangan dibalik, logikanya jd terbalik semua. RT @semiaji_w:  Pemerintah memutuskan tak akan memulangkan WNI eks ISIS ke Indonesia. Pemerintah pun mencap eks kombatan ISIS itu sebagai teroris.</t>
  </si>
  <si>
    <t>Pemerintah tak Pulangkan 689 WNI eks ISIS Ke Indonesia.</t>
  </si>
  <si>
    <t>Saya mendukung kebijakan pk presiden RI @jokowi untuk tidak memulangkan eks WNI pro ISIS ini ke tanah air Indonesia yang kita cintai ini ♥️♥️ , inilah sepatah kata dari prof Hikmahanto Juwana. Mantap 👍 pencerahan dari pakar hukum internasional ini. #TolakEksWNIproISIS</t>
  </si>
  <si>
    <t>Harapan WNI Eks ISIS: Semoga Pemerintah Berubah Pikiran</t>
  </si>
  <si>
    <t>Ini politisi sok bijak,, pak ali sera jangan kamu sibuk ngurusin para ISIS yg dengan terang benderang membakar paspor WNI,, jgn ganggun ketenangan bangsa kami dengan kepulangan mereka... RT @WagimanDeep: Pelitisi PKS Makdani aloy Vera ngeyel menyatakan eks WNI pro ISIS adlh anak kandung ibu pertiwi.. Iyalah anak kandung yg durhaka kerna mengeluarkan diri dari Kartu kluarga ea Tesiiii... Apa kgak mikir klo ISIS menang eang mlambe2 gni bakal dilempar dr atas gedung #AwasAntek2ISIS</t>
  </si>
  <si>
    <t>Sikap Presiden Joko Widodo (Jokowi) sangat jelas menyikapi WNI yang ikut ISIS. Mereka menjadi mantan WNI dan dilarang kembali ke RI.</t>
  </si>
  <si>
    <t>Presiden Jokowi sebut 600-an orang Indonesia yang bergabung dengan ISIS di Suriah yaitu ISIS eks WNI.</t>
  </si>
  <si>
    <t>Pemerintah Putuskan Tak Pulangkan WNI Eks ISIS, Komisi I DPR RI: Keputusan yang Tepat</t>
  </si>
  <si>
    <t>sudah bukan warga negara indonesia kenapa Pemerintah RI mengurusi mereka eks WNI yg ikut isis ???</t>
  </si>
  <si>
    <t>Jokowi enggan memikirkan nasib eks kombatan ISIS yang hendak pulang ke Indonesia. Menurut Jokowi, para FTF harusnya sudah memperhitungkan risiko gabung ke ISIS.</t>
  </si>
  <si>
    <t>masalah radikalisme dan ISIS harus diselesaikan secara menyeluruh. Sekjen DPP PKB @EmHasanuddin : Eks WNI Kombatan ISIS Harus Dibedah Secara Komprehensif #IndonesiaDamaiTanpaISIS</t>
  </si>
  <si>
    <t>Dua Sikap Jokowi ke Pengikut ISIS: Jadi Eks WNI dan Dilarang Kembali ke RI</t>
  </si>
  <si>
    <t>Jokowi memerintahkan supaya 689 orang dilakukan identifikasi. Data mereka akan dimasukkan ke imigrasi utk dicegah masuk ke Indonesia... #CegahISISmasukNKRI #TolakEksWNIproISIS 🇮🇩💪🏼✊🏼✊🏼✊🏼💪🏼🇮🇩</t>
  </si>
  <si>
    <t>apresiasi langkah Pak Presiden, Jokowi Perintahkan Imigrasi Cekal WNI Eks ISIS Pulang ke Indonesia |  https://m.</t>
  </si>
  <si>
    <t>GP Ansor: Sikap Pemerintah Bersayap Terkait eks WNI Kombatan ISIS #IndonesiaDamaiTanpaISIS</t>
  </si>
  <si>
    <t>PKB: Eks WNI Kombatan ISIS Harus Dibedah Secara Komprehensif #IndonesiaDamaiTanpaISIS</t>
  </si>
  <si>
    <t>Penegasan Jokowi, Pemerintah Tak Akan Pulangkan ISIS Eks WNI</t>
  </si>
  <si>
    <t>Mana yg lbh bahaya org china Komunis yg atheis dg wni eks ISIS yg msh bertuhan??#tolakpulangkankombatanisis</t>
  </si>
  <si>
    <t>Jokowi minta menterinya mendata anggota ISIS eks WNI</t>
  </si>
  <si>
    <t>Anggota ISIS eks WNI, bukan eks ISIS</t>
  </si>
  <si>
    <t>Fraksi Golkar dan PDIP Puji Pemerintah yang Tolak Pulangkan WNI Eks ISIS</t>
  </si>
  <si>
    <t>Mantan ISIS Komentari Keputusan Pemerintah Tak Pulangkan WNI Eks Kombatan di Suriah  Cari berita lain? Silahkan klik disini</t>
  </si>
  <si>
    <t>jgn nympek WNI eks anggta ISIS suk k endonesia dng sandiwaranya. Tolak tegas faham radikal d nyokap Pertiwi #AwasAntek2ISIS</t>
  </si>
  <si>
    <t>Jangan sampai WNI eks Anggota ISIS masuk ke Indonesia dengan sandiwaranya. Tolak tegas paham radikal di Ibu Pertiwi #AwasAntek2ISIS</t>
  </si>
  <si>
    <t>Sudah ... ya sudah, Pemerintah tidak berencana dan tidak akan memulangkan. Cukup ...!</t>
  </si>
  <si>
    <t>jangn mpe WNI eks anggta ISIS msuk k endonesia dg n sandiwaranya. Tolak tegas phm radikal d mak Pertiwi #AwasAntek2ISIS</t>
  </si>
  <si>
    <t>ISIS eks WNI 👍  RT @detikcom: "Saya kira kemarin sudah disampaikan bahwa pemerintah punya tanggung jawab keamanan terhadap 267 juta penduduk Indonesia, itu yang kita utamakan," kata Jokowi. #ISIS #Jokowi</t>
  </si>
  <si>
    <t>GAK TAEK TAEKAN . . . . #AwasAntek2ISIS</t>
  </si>
  <si>
    <t>ISIS eks WNI jangan dibalik mas aulil, faham dan keyakinan mereka itu tak semudah membakar pasport yg tinggal bikinin lagi. Buktikan sampeyan sudah bisa menyulap akidah seseorang. Mana? RT @ulil: 1/ Pemerintah sudah mengetok palu: tak akan memulangkan WNI eks-ISIS di Suriah dan Turki. Jumlah mereka mencapai hampir 700 orang. Saya menghormati keputusan pemerintah. Meski demikian, saya punya pendapat yg berbeda. Perkenankan saya menyampaikannya di sini.</t>
  </si>
  <si>
    <t>Pemerintah tak akan pulangkan WNI anggota ISIS #TolakEksWNIproISIS</t>
  </si>
  <si>
    <t>Bung Al Arab, dipulangkan x WNI x ISIS ke Indonesia anda bertanggung jawab, kalau mrk berulah, mrk org2 yg punya keahlian meracik bom, ahli bongkar senjata, perlu anda tau, kalau musuh besar mrk adalah POLRI kafir TNI kafir, apakah intitusi ini akn diadu dgn kebodohan ini..!???</t>
  </si>
  <si>
    <t>Bangga kepada pak joko widodo yang melarang eks wni ikut isis yg mau kembali ke indonesia</t>
  </si>
  <si>
    <t>Jokowi menegaskan, keputusan pemerintah tak memulangkan WNI eks ISIS sudah bulat. Hal itu demi menjaga keamanan 267 juta rakyat Indonesia yang menjadi tanggung jawab pemerintah.</t>
  </si>
  <si>
    <t>Indonesia tidak punya dasar hukum untuk memperoses mereka, mereka sudah membakar semua dokumennya. Udah biarkan saja mereka disana jadi pemberontak.</t>
  </si>
  <si>
    <t>Alhamdulillah... Keputusan yg sangat tepat, pemerintah secara resmi tolak pemulangan eks WNI kombatan ISIS ke NKRI. Semoga negeri ini terbebas dari perusuh dan terorisme. Aamiiin</t>
  </si>
  <si>
    <t>PIGAI Bela WNI ISIS spy diurus, dilindungi Pemerintah', dimasukkan DALAM Program Deralikasi BNPT @BossToukeeIsa @Boemi_Pertiwi12 @ellys_kerhi @senasurya53 @sudrajatasep17 @Usep210</t>
  </si>
  <si>
    <t>Sdh selesai masalah pemulangan eks WNI pro ISIS dan skrng waktunya kita terus dukung pemerintah dlm menuntaskan kasus korupsi Jiwasraya dan Asabri serta kasus #misteripohonmagoni yg ditebangi dimonas dimn keberadaan pohon itu semua.... CC @aniesbaswedan</t>
  </si>
  <si>
    <t>Jokowi Tegaskan Nasib 689 WNI Eks ISIS Bukan Tanggung Jawab Pemerintah</t>
  </si>
  <si>
    <t>#ProduktivitasHortikultura</t>
  </si>
  <si>
    <t>Akhirnya hooman ini dapat pencerahan juga. Good job. Next!</t>
  </si>
  <si>
    <t>Keputusan pemerintah utk tdk memulangkan eks WNI pro ISIS sdh tepat. Mereka telah keluar dari NKRI dan gabung ISIS, tidak usah diperhatikan lagi oleh negara. Biarkan saja, mereka tidak penting. #AwasAntek2ISIS</t>
  </si>
  <si>
    <t>Giliran masih di ISIS bakar passport Indonesia dan gamau ngakuin sebagai WNI Giliran udah jadi eks ISIS pengen balik ke indonesia Gatau diri nya melebihi dari temen yang minjem duit kaga bayar2</t>
  </si>
  <si>
    <t>WNI eks ISIS tidak dipulangkan</t>
  </si>
  <si>
    <t>Tolak ukur utama eks ISIS awal adlh msh WNI/bkn?. Debatable. Ini sbg celah pertama dr segi hukum dpt dipulangkan/tdk. Tolak ukur lain adlh tujuan bernegara&amp;HAM. Ini pun debatable. Sejauh ini langkah pemerintah sdh tepat. Tdk memulangkan dg pertimbangan keamanan rakyat yg lbh bsar</t>
  </si>
  <si>
    <t>Setuju banget walau tdk dipulangkan,tp mereka harus selalu dipantau,takutnya mereka kembali ke NKRI secara diam².bagaimana dengan sahabat +62 setuju atau tdk ex WNI pro isis selalu dipantau?replay jawaban dan alasan kalian ya Jgn lupa 👉#AwasAntek2ISIS</t>
  </si>
  <si>
    <t>Sebelumnya kita ucapkn terimakasih kpd pemerintah yg sdh putuskan tdk akan memulangkan ISIS eks WNI. Seperti halnya sblm keputusan ini ada yg mendukung mereka pulang ternyata keputusan inipun ada yg tdk se7, #AwasAntek2ISIS. @fadjroeL</t>
  </si>
  <si>
    <t>Pemerintah Putuskan Tidak Akan Pulangkan 689 WNI Eks ISIS #IndonesiaTolakISIS</t>
  </si>
  <si>
    <t>ISIS &amp; PKI...mana yg lbh berbahaya? WNI mantan anggota ISIS ditolak tp warga china yg nota bene Komunis diterima dg tangan terbuka</t>
  </si>
  <si>
    <t>Bodo Amat !</t>
  </si>
  <si>
    <t>#AwasAntek2ISIS 1). Ada beberapa lembaga &amp; partai yang menyerang keputusan pemerintah ttg penolakan eks WNI pro ISIS kembali ke Indonesia. Mereka tdk mendukung komitmen pemerintah dalam memberantas terorisme, justru memberi pembelaan terhadap teroris.</t>
  </si>
  <si>
    <t>Wacana pemulangan WNI eks ISIS menjadi perdebatan publik. #IndonesiaTolakISIS</t>
  </si>
  <si>
    <t>Presiden Jokowi mengaku tak setuju dengan pemulangan WNI eks ISIS ke Indonesia. #AmanatKonstitusi</t>
  </si>
  <si>
    <t>Jokowi Sebut Pemerintah Hanya Mau Pulangkan Anak WNI Eks ISIS yang Yatim</t>
  </si>
  <si>
    <t>Presiden Jokowi Perintahkan Jajarannya Identifikasi WNI Eks ISIS Lalu Cekal #TauCepatTanpaBatas #BeritaTerkini #Berita #News #BeritaNasional .</t>
  </si>
  <si>
    <t>Natalius pigai, sok tau lu cuy.. Kita tidak butuh eks WNI ISIS pigai. Pikirin hak azazi bangsa ini butuh hidup tenang dan damai !</t>
  </si>
  <si>
    <t>Jokowi Tegaskan Ogah Pulangkan WNI Eks ISIS</t>
  </si>
  <si>
    <t>pemerintah masih akan mendata jumlah valid WNI eks ISIS dan identitas secara lengkap. #IndonesiaTolakISIS</t>
  </si>
  <si>
    <t>Istana: WNI Eks ISIS Tak Dipulangkan ke Indonesia Tetap Dimonitor</t>
  </si>
  <si>
    <t>Komnas HAM Desak Seluruh WNI Eks ISIS Dipulangkan  lewat @tirtoid</t>
  </si>
  <si>
    <t>Ni orang pingin ngerasain Bom ISIS kayaknya</t>
  </si>
  <si>
    <t>Judul yang tepat, terutama "ISIS Eks WNI" | Jokowi: Pemerintah Tak Berencana Pulangkan ISIS Eks WNI...</t>
  </si>
  <si>
    <t>Terkait 689 WNI Eks ISIS pemerintah tegaskan tidak akan memulangkan #IndonesiaTolakISIS</t>
  </si>
  <si>
    <t>ojok sampek WNI eks anggt ISIS suk k endonesia dngan sandiwaranya. Tolak tegas phm radikal d mak Pertiwi #AwasAntek2ISIS</t>
  </si>
  <si>
    <t>Kebolaaak, ISIS eks WNI... RT @CNNIndonesia: Jokowi Masih Buka Kans Pulangkan Anak Yatim WNI Eks ISIS</t>
  </si>
  <si>
    <t>posisi Presiden Jokowi tegas menolak pemulangan WNI eks ISIS #AmanatKonstitusi</t>
  </si>
  <si>
    <t>Terima Kunjungan Menlu Retno, Kiai Said Tegaskan Tolak WNI Eks ISIS Ketum PBNU KH Said Aqil Siroj saat menerima kunjungan Menteri Luar Negeri Retno LP Marsudi, Selasa (11/2) di Kantor PBNU Kramat Raya Jakarta.</t>
  </si>
  <si>
    <t>Sebaiknya Pertimbangkan UNTUK TIDAK MEMULANGKAN siapapun yang terafiliasi ISIS sama sekali bahkan anak2 pak @jokowi @mohmahfudmd @PolhukamRI RT @WR_4AG226: Mereka bukan lagi anak2 yg lucu , tapi sdh diciptakan menjadi mesin pembunuh yg siap tempur... Yang siap bantai , dan siap teror...😔😥😫</t>
  </si>
  <si>
    <t>Pemerintah resmi menolak kembalinya WNI ex anggota ISIS. Trs anak2 mrk yg msh balita gmn ?</t>
  </si>
  <si>
    <t>Tak Pulangkan WNI Eks ISIS, Mahfud MD: Agar Tak Ada Virus Teroris di RI #AwasAntek2ISIS</t>
  </si>
  <si>
    <t>Turki mengakui kerap mendeportasi warga negara asing yang melintas batas ke Suriah.</t>
  </si>
  <si>
    <t>Stafus Presiden Joko Widodo (Jokowi). Dini Shanti Purwono. menegaskan kepala negara secara pribadi menolak rencana pemulangan WNI eks ISIS dari Suriah. #AmanatKonstitusi</t>
  </si>
  <si>
    <t>ojok nympek WNI eks anggauta ISIS msuk k endonesia dng sandiwaranya. Tolak tegas phm radikal d ibuk Pertiwi #AwasAntek2ISIS</t>
  </si>
  <si>
    <t>keputusan tidak akan memulangkan WNI eks ISIS adalah cara Pemerintah memberikan rasa aman dari ancaman teroris #IndonesiaTolakISIS</t>
  </si>
  <si>
    <t>Nah ini yg pas Kalo disebut wni eks isis seolah kita punya kewajiban mulangin mereka RT @CNNIndonesia: Jokowi Kini Sebut ISIS Eks WNI, Bukan Lagi WNI Eks ISIS</t>
  </si>
  <si>
    <t>ratusan WNI eks ISIS ke RI ditolak! #IndonesiaTolakISIS</t>
  </si>
  <si>
    <t>689 WNI Eks ISIS tidak akan dipulangkan oleh pemerintah #IndonesiaTolakISIS</t>
  </si>
  <si>
    <t>Satu lagi. Negara tdk boleh gagal menanggapi rasa takut.</t>
  </si>
  <si>
    <t>Gak ada yg kritik kalo mereka tidak dipulangkan. Jangan buat statement aneh lagi bapak ⁦⁦@KomnasHAM⁩ Komnas HAM Berharap Pemerintah Cermat Dalam Wacana Pemulangan WNI Simpatisan ISIS - MerahPutih</t>
  </si>
  <si>
    <t>Tegas! Pemerintah Putuskan Tidak Akan Pulangkan 689 Wni Eks Isis #IndonesiaTolakISIS</t>
  </si>
  <si>
    <t>Ketua DPP Partai NasDem Bidang Agama dan Masyarakat Adat, Hasan Aminuddin menyatakan sikap tidak setuju terhadap wacana pemulangan WNI eks ISIS. Mereka tetap membawa idiologi yang bisa mengganggu tatanan sosial masyarakat Indonesia. #KaderNasDem #NasDemAntiMahar</t>
  </si>
  <si>
    <t>pemerintah akhirnya memutuskan tidak akan memulangkan WNI eks ISIS #IndonesiaTolakISIS</t>
  </si>
  <si>
    <t>WNI eks ISIS? ISIS eks WNI?</t>
  </si>
  <si>
    <t>keputusan tidak akan memulangkan WNI eks ISIS adalah keputusan yang tepat! #IndonesiaTolakISIS</t>
  </si>
  <si>
    <t>jngn nyampe WNI eks anggauta ISIS msk k endonesia dgn sandiwaranya. Tolak tegas faham radikal d ibuk Pertiwi #AwasAntek2ISIS</t>
  </si>
  <si>
    <t>Pemerintah Tidak Akan Pulangkan 689 WNI Eks ISIS #IndonesiaTolakISIS</t>
  </si>
  <si>
    <t>presiden Jokowi menolak rencana pemulangan WNI eks ISIS dari Suriah #AmanatKonstitusi</t>
  </si>
  <si>
    <t>Alhamdulillah🙏 Ini baru Presiden ku 🇮🇩Keren👍 Dan untuk yg terus2an masih ngeyel, silahkan gigit jari masing ya😃 Jangan lupa NAMA KALIAN dipastikan sudah tercatat dalam Black Book Record! Terimakasih pakde @jokowi sudah mendengar Aspirasi kami🙏</t>
  </si>
  <si>
    <t>Yes "Oleh sebab itu, pemerintah tidak memiliki rencana untuk memulangkan orang-orang yang ada di sana, ISIS eks WNI," kata Jokowi.</t>
  </si>
  <si>
    <t>Jokowi Pertimbangkan Pemulangan Anak-anak WNI Eks ISIS, Tapi</t>
  </si>
  <si>
    <t>PKB: Eks WNI Kombatan ISIS Harus Dibedah Secara Komprehensif ⁦@EmHasanuddin⁩ ⁦@RadesaInstitute⁩ #IndonesiaDamaiTanpaISIS</t>
  </si>
  <si>
    <t>#IndonesiaTolakISIS Pemerintah memutuskan tak memulangkan ratusan WNI eks ISIS ke Indonesia</t>
  </si>
  <si>
    <t>keputusan tidak akan memulangkan WNI eks ISIS adalah cara Pemerintah memberikan rasa aman dari ancaman teroris dan pengaruh radikalisme terhadap masyarakat Indonesia #IndonesiaTolakISIS</t>
  </si>
  <si>
    <t>Kalau anak-anak Partai Komunis Indonesia gmana prof @mohmahfudmd ? Kata Mahfud Md soal Nasib Anak-anak WNI Eks ISIS di Luar Negeri</t>
  </si>
  <si>
    <t>ya udah sih, @CNNIndonesia Rakyat Indonesia gak harus setuju sama lo.. #TolakEksWNIproISIS</t>
  </si>
  <si>
    <t>Kenapa masih disebut sebagai "WNI" Eks-ISIS dan bukan disebut Eks-WNI anggota ISIS? Berarti mereka masih WNI kah? Kepulangan WNI Eks-ISIS: Seberapa Jauh Media Membantu Publik Memahaminya?</t>
  </si>
  <si>
    <t>Setuju! Mereka itu anggota ISIS eks WNI, bukan WNI eks ISIS  "Oleh sebab itu, pemerintah tidak memiliki rencana untuk memulangkan orang-orang yang ada di sana, ISIS eks WNI," kata Jokowi.</t>
  </si>
  <si>
    <t>Soal pengembalian eks WNI kombatan ISIS, dgn membenturkan HAM, saya yakin HAM tidak universal, sebaliknya, dia beragam dan kontekstual-lokalisasi. Saya disensus bagi bibit kefanaan seperti ini.</t>
  </si>
  <si>
    <t>GP Ansor Sebut Pemerintah Tak Tegas Sikapi Eks WNI Kombatan ISIS</t>
  </si>
  <si>
    <t>Jokowi Tolak WNI ISIS Jadi Dasar Pemerintah Tentukan Sikap #AwasAntek2ISIS #AwasAntek2ISIS #AwasAntek2ISIS</t>
  </si>
  <si>
    <t>#UlahRezimIndonesiaSuram  "Oleh sebab itu, pemerintah tidak memiliki rencana untuk memulangkan orang-orang yang ada di sana, ISIS eks WNI," kata Jokowi.</t>
  </si>
  <si>
    <t>Menjadi teroris ISIS itu enak lah bro...!! Tinggalnya di luar negeri dan tidak akan pernah pulang kampunt lagi...he..he..he..!!?</t>
  </si>
  <si>
    <t>"Saya kira kemarin sudah disampaikan bahwa pemerintah punya tanggung jawab keamanan terhadap 267 juta penduduk Indonesia, itu yang kita utamakan," kata Jokowi. #ISIS #Jokowi</t>
  </si>
  <si>
    <t>Akhirnya Pak @jokowi Kini Sebut ISIS Eks WNI, Bukan Lagi WNI Eks ISIS. Ini baru Bener, karena mereka udah berbaiat ke ISIS, dah bakar paspor segala, otomatis dah kehilangan kewarganegaraannya #AwasAntek2ISIS</t>
  </si>
  <si>
    <t>Setuju dan Dukung Penuh Keputusan Pemerintah untuk Pertahanan NKRI!! Heran, Menteri Pertahanannya bisu seribu bahasa!! Tok! Pemerintah Tak Akan Pulangkan WNI Eks ISIS</t>
  </si>
  <si>
    <t>Resmi, Pemerintah Tolak Pemulangan WNI Eks ISIS -</t>
  </si>
  <si>
    <t>Bravo pak Presiden... case closed.. ga perlu dibahas lagi!!!</t>
  </si>
  <si>
    <t>PBNU Tolak Pemulangan Ratusan WNI Eks ISIS. #AwasAntek2ISIS #AwasAntek2ISIS</t>
  </si>
  <si>
    <t>jgn nyampe WNI eks anggauta ISIS suk k endonesia denga sandiwaranya. Tolak tegas faham radikal d mak Pertiwi #AwasAntek2ISIS</t>
  </si>
  <si>
    <t>Diskusi #CNNIDPrimeNews malam ini membahas "Pemerintah Tak Pulangkan WNI Eks ISIS, Langgar HAM?", bersama Choirul Anam, AS. Hikam, dan Syahrul Munif. Simak selengkapnya pukul 19.00 WIB hanya di @TransvisionID atau streaming !</t>
  </si>
  <si>
    <t>Alasan inilah yg membuat ex WNI ISIS merengek minta pulang ke RI ...</t>
  </si>
  <si>
    <t>Kebenaran di Balik Opsi Pemulangan Anak-anak WNI Eks ISIS</t>
  </si>
  <si>
    <t>RT @Suharto_BC: @BBCIndonesia Pro Kontra Pulangkan atau WNI mantan ISIS ...!!! Sedikit Video ...tentang ISIS Ngeri ...</t>
  </si>
  <si>
    <t>yah mungkin mereka saudaran ama ISIS eks WNI RT @KakekHalal: Selain Desak Gereja Katolik St Joseph Dijadikan Cagar Budaya, Massa Intoleran Juga Mau Usir @RomeskoP Dari Karimun Jiwa &amp; raga ini sedih 🥺 Hati ini menangis 😢 Ya Tuhan..... hanya kepada-Mu kami berserah diri 🙏</t>
  </si>
  <si>
    <t>ojo smpai WNI eks aggta ISIS suk k endonesia denga sandiwaranya. Tolak tegas faham radikal d ibuk Pertiwi #AwasAntek2ISIS</t>
  </si>
  <si>
    <t>masih banyak masyarakat Indonesia yg harus dibantu ketimbang WNI Ex ISIS. kelakuan mereka sdh sangan kelewatan..#AwasAntek2ISIS</t>
  </si>
  <si>
    <t>Jokowi Masih Buka Kans Pulangkan Anak Yatim WNI Eks ISIS</t>
  </si>
  <si>
    <t>jngan mpe WNI eks aggta ISIS msk k endonesia dg n sandiwaranya. Tolak tegas phm radikal d ibuk Pertiwi #AwasAntek2ISIS</t>
  </si>
  <si>
    <t>"Pemerintah punya tanggung jawab keamanan terhadap 260 juta penduduk Indonesia, itu yang kita utamakan," ujar Jokowi.</t>
  </si>
  <si>
    <t>Sementara ini, remotivi masih cukup adil, tidak memihak ataupun mengadili.</t>
  </si>
  <si>
    <t>djangan sampek WNI eks anggt ISIS msuk k endonesia dgan sandiwaranya. Tolak tegas phm radikal d mak Pertiwi #AwasAntek2ISIS</t>
  </si>
  <si>
    <t>Pemerintah telah menyiapkan langkah antisipasi apabila 689 eks WNI/ ISIS pulang sendiri ke Tanah Air. Bahwa mereka tak bisa masuk ke Indonesia dengan cara apa pun.  @didik_tepus @Boemi_Pertiwi12 @budiarto2303 @Ze_sukma @Winardhi__</t>
  </si>
  <si>
    <t>WNI Eks ISIS Nekad Pulang, Mahfud MD: Kita Tangkap  #DirgahayuRI72th</t>
  </si>
  <si>
    <t>Betul pak @jokowi, mrk bkn WNI tp mrk eks WNI dn demi keamanan negri ini dr bahaya propaganda dn ideologi ISIS #AwasAntek2ISIS  "Oleh sebab itu, pemerintah tidak memiliki rencana untuk memulangkan orang-orang yang ada di sana, ISIS eks WNI," kata Jokowi.</t>
  </si>
  <si>
    <t>Veronica Koman, Eks ISIS dan Simpatisan OPM Wajib di Cabut Status WNI-NYA</t>
  </si>
  <si>
    <t>Jokowi Perintahkan 689 WNI Eks ISIS Didata Agar Dicegah Masuk RI</t>
  </si>
  <si>
    <t>Ide bagus nih dari PBNU untuk #DukungJokowiTolakIsis</t>
  </si>
  <si>
    <t>Keputusan pemerintah pulangkan WNI pendukung ISIS patut diberi apresiasi yang tinggi. Pemerintah telah mengambil keputusan untuk melindungi rakyat yang lebih banyak daripada 600-an orang. #AwasAntek2ISIS #AwasAntek2ISIS</t>
  </si>
  <si>
    <t>Presiden Jokowi anggap WNI eks ISIS sudah menghitung risiko saat memilih terorisme.</t>
  </si>
  <si>
    <t>Nasionalisme ?</t>
  </si>
  <si>
    <t>Pernyataan Menkopolhukam, @mohmahfudmd : Pemerintah memutuskan tidak memulangkan ratusan WNI eks ISIS ke Indonesia. Hal itu diputuskan dalam rapat kabinet dengan pertimbangan keamanan ratusan juta penduduk di Indonesia. #IndonesiaTolakISIS</t>
  </si>
  <si>
    <t>Ini baru Tegass "Oleh sebab itu, pemerintah tidak memiliki rencana untuk memulangkan orang-orang yang ada di sana, ISIS eks WNI," kata Jokowi.</t>
  </si>
  <si>
    <t>Akademia, Pemerintah dengan tegas menolak memulangkan 689 WNI teroris pelintas batas dan eks ISIS. Hal tersebut dilakukan untuk mencegah kasus terorisme baru yang akan membahayakan nyawa 267 juta rakyat Indonesia.  #SELAMATSORE #MSTRIFM</t>
  </si>
  <si>
    <t>Kali ini saya dukung kebijakan @jokowi. Penyebutannya juga benar, ISIS eks WNI, bukan WNI eks ISIS. Mereka sdh membakar dokumen kewarganegaraan dan menyatakan keberpihakan ke negara selain Indonesia @mohmahfudmd @BNPTRI #TolakEksWNIproISIS</t>
  </si>
  <si>
    <t>Jokowi: Pemerintah Tak Akan Pulangkan ISIS Eks WNI  "Oleh sebab itu, pemerintah tidak memiliki rencana untuk memulangkan orang-orang yang ada di sana, ISIS eks WNI," kata Jokowi.</t>
  </si>
  <si>
    <t>Pemerintah akan menghimpun data yg lbh valid terkait jumlah &amp; identitas WNI eks ISIS di Suriah. Prinsipnya, di mana saja WNI eks ISIS hrs diawasi utk memastikan mrk bkn ancaman bagi keamanan nasional. #DukungJokowiTolakIsis</t>
  </si>
  <si>
    <t>Pertemuan ini membahas beberapa isu mutakhir dunia global dan peran Indonesia di dalamnya. Perjuangan Palestina makin lama makin berat, membutuhkan perjuangan politik internasional lebih kuat. Artikulasi diplomasi bebas aktif harus lebih proaktif</t>
  </si>
  <si>
    <t>Setuju dgn alasan keamanan bangsa diatas segala2nya  "Oleh sebab itu, pemerintah tidak memiliki rencana untuk memulangkan orang-orang yang ada di sana, ISIS eks WNI," kata Jokowi.</t>
  </si>
  <si>
    <t>"Diidentifikasi satu per satu, 689 orang (WNI eks ISIS) yang ada di sana. Nama dan siapa berasal dari mana sehingga data itu komplet," ucap Presiden Jokowi.</t>
  </si>
  <si>
    <t>Presiden @jokowi tegas menolak pemulangan WNI eks ISIS dan hal itu sejalan dengan posisi hukum Indonesia yang menentang terorisme dan radikalisme serta tidak ingin membahayakan keselamatan rakyat Indonesia. #AmanatKonstitusi</t>
  </si>
  <si>
    <t>Puji syukur dengan ketegasan Pemerintah. Penyebutannya juga benar, ISIS eks WNI, bukan WNI eks ISIS, karena mereka sdh membakar dokumen kewarganegaraan dan menyatakan keluar sbg WNI dengan mendukung ISIS @BNPTRI @DamailahRI @PolhukamRI</t>
  </si>
  <si>
    <t>WNI eks ISIS? kebalik meren. ISIS eks WNI. RT @detikcom: Pemerintah memutuskan tidak memulangkan WNI eks ISIS maupun yang terlibat jaringan teroris lainnya di luar negeri. Hal ini berdasarkan keputusan rapat dengan Presiden Jokowi di Istana. #ISIS #WNIEksISIS</t>
  </si>
  <si>
    <t>Kisah Febri Ramdani, WNI Eks ISIS yang Diintimidasi dan Diancam</t>
  </si>
  <si>
    <t>Indonesia Tak Mau Pulangkan WNI eks ISIS, Mahfud: Mereka Pergi Mau Ngapain?</t>
  </si>
  <si>
    <t>Bubarkan komnas ham.</t>
  </si>
  <si>
    <t>Plissss jgn predikatkan mereka dg EKS ISIS. Mereka adalah EKS WNI. Dan tak ada jaminan para pro ISIS akan insyaf dan kembali jadi warga fana, krn doktrin pd mereka sangat kuat menjunjung sorga dan menghina dunia. #TolakEksWNIproISIS RT @Boemi_Pertiwi12: SEBUAH DILEMA. .... 🤔🤔🤔🤔🤔 Orangtua WNI Eks ISIS ke Jokowi: Mohon Pulangkan, Anak Kami Sudah Menjerit-jerit Minta Pulang</t>
  </si>
  <si>
    <t>Presiden Jokowi kembali menegaskan enggan memulangkan kombatan ISIS ke Indonesia. Jokowi ingin menjamin keamanan dalam negeri</t>
  </si>
  <si>
    <t>👍👍👍</t>
  </si>
  <si>
    <t>ⓚⓡⓔ.my.id : Jokowi: Pemerintah Tak Akan Pulangkan ISIS Eks WNI</t>
  </si>
  <si>
    <t>ISIS eks WNI sebab 689 FTF kombatan ISIS ini telah membakar paspor Indonesia mereka dan telah kehilangan status WNI sebab telah berperang sebagai legiun asing, pak @jokowi @mohmahfudmd @PolhukamRI @BNPTRI @KomnasHAM @Kemenag_RI @PKSejahtera @MardaniAliSera @fadlizon @ridwankamil RT @CNNIndonesia: Jokowi Kini Sebut ISIS Eks WNI, Bukan Lagi WNI Eks ISIS</t>
  </si>
  <si>
    <t>Persis menyarankan pemerintah tetap pulangkan anak-anak eks ISIS.</t>
  </si>
  <si>
    <t>"Pemerintah tidak memiliki rencana untuk memulangkan orang-orang yang ada di sana, ISIS eks WNI," @jokowi #ISISGoToHell #MenujuIndonesiaMaju</t>
  </si>
  <si>
    <t>Saat akan di proses,pengamat ngoceh lagi..."nda bisa di proses hukum karena ex isis tsb melakukan kejahatannya di luar negeri.." kalo gitu gw cuma mau bilang...fak lo lah..</t>
  </si>
  <si>
    <t>#LiveNow telewicara Komisioner Komisi Nasional Hak Asasi Manusia @KomnasHAM Beka Ulung Hapsara terkait pemerintah tak akan pulangkan WNI eks ISIS. Dengarkan sekarang hanya di #IndonesiaSiang Pro 3 RRI</t>
  </si>
  <si>
    <t>Pemerintah akhirnya memutuskan untuk tidak akan memulangkan WNI eks ISIS di Suriah. Keputusan ini diambil setelah Presiden menggelar rapat terbatas dengan sejumlah Menteri. . (Sumber: iNews) . #mncnewsroom #jokowi #presiden #isis #eksisis #WNI #mahfudmd #menkopolhukam #pemerintah</t>
  </si>
  <si>
    <t>Jokowi: Pemerintah Tak Akan Pulangkan ISIS Eks WNI "Oleh sebab itu, pemerintah t</t>
  </si>
  <si>
    <t>Nah kan...setuju pak jokowi  "Oleh sebab itu, pemerintah tidak memiliki rencana untuk memulangkan orang-orang yang ada di sana, ISIS eks WNI," kata Jokowi.</t>
  </si>
  <si>
    <t>Jokowi: Pemerintah tidak punya rencana memulangkan ISIS eks WNI  #ISIS</t>
  </si>
  <si>
    <t>Padahal yg paling berbahaya itu anak² pak @mohmahfudmd Mereka kejam² pak bahkan ada yg sdh berani menyembelih orang.. Mengeksekusi mati tentara kurdi.. Memenggal kepala orang yg tidak menurut perintah ISIS.. Sebagian dr anak² mgkn dr WNI  #AwasAntek2ISIS</t>
  </si>
  <si>
    <t>Pak @jokowi bgaimana kelanjutan Pembangunan Gereja Katolik yg di Karimun.??? Masa cuma ngurusi Ex WNI ISIS doang.??? Kalo @Kemenag_RI gak sanggup, ganti aja Menteri nya Pak.!!!</t>
  </si>
  <si>
    <t>Pemerintah Tidak Akan Pulangkan 689 Wni Eks ISIS. #IndonesiaTolakISIS</t>
  </si>
  <si>
    <t>Tutup Wabah VirusTerorisme, Pemerintah Tolak WNI Eks ISIS. #IndonesiaTolakISIS</t>
  </si>
  <si>
    <t>Maaf pak @jokowi @PolhukamRI ' @Menlu_RI ' mrk bkn anak2 biasa' tp anak2 yg sudah dicuci Otaknya untuk mnjadi mesin pembunuh' apa yakin anak 10 th tdk terpapar Isis??  RT @007koteka: Mereka ini adalah VIRUS yang kapan saja bisa MENYERANG Ayo Jaga Nusantara #DukungJokowiBerantasISIS #DukungJokowiBerantasISIS</t>
  </si>
  <si>
    <t>#LiveNow telewicara Tenaga Ahli Utama @KSPgoid Ali Mochtar Ngabalin terkait pemerintah tak akan pulangkan WNI eks ISIS. Dengarkan sekarang hanya di #IndonesiaSiang Pro 3 RRI</t>
  </si>
  <si>
    <t>RT @Iqbal__Kholidi: bakal rame lagi nih</t>
  </si>
  <si>
    <t>WNI Eks ISIS sudah dipastikan tidak dipulangkan ke Indonesia. Bagaimana nasib anak-anak mereka? #ISIS</t>
  </si>
  <si>
    <t>Legislator PDIP Apresiasi Sikap Pemerintah Tolak Kepulangan WNI Eks ISIS</t>
  </si>
  <si>
    <t>P3WNI: TKI Tanpa Kewarganegaraan di Malaysia Lebih Penting Diurus Ketimbang WNI Eks ISIS #AwasAntek2ISIS</t>
  </si>
  <si>
    <t>Yang namanya MANTAN, Akan selalu mengemis untuk minta kembali, mereka baru menyesal setelah tau bahwa sebenarnya kita lah yg paling menyayanginya, #MantanISIS Maaf, SUDAH TERLAMBAT!!! Diskusi Reboan di DPP PKB, WNI Eks ISIS bukan WNI lagi, #rabuambyar Jgn #BubarkanBPIP</t>
  </si>
  <si>
    <t>ketika saudara2mu tak bisa beribadah kemana suaramu @KomnasHAM ketika saudara2mu dipersekusi kemana suaramu @KomnasHAM</t>
  </si>
  <si>
    <t>Kita mesti memilah media informasi yg akan kta konsumsi. Framing yg bias sering sekali menciptakan kegaduhan yg tak membuat pembacanya cerdas. @remotivi bsa jdi alternatif yg mengajak pembacanya melihat persoalan dri sudut pandang berbeda.</t>
  </si>
  <si>
    <t>Pemerintah RI mendapatkan data sebanyak 689 WNI eks ISIS di Suriah, Jokowi memerintahkan untuk memverifikasinya.</t>
  </si>
  <si>
    <t>Pemerintah Tolak Pulangkan WNI Eks ISIS, Mau ke Mana?</t>
  </si>
  <si>
    <t>... It makes me wonder 🤔,... Memulangkan and membina anak tanpa orang tuanya🤔,...it's weird, don't you think ?🤔,...ya bisa2 aja sih🤔😌,...benar2 pembelajaran buat kita semua, betapa merugikan and bahayanya paham radikal,... #AwasAntek2ISIS</t>
  </si>
  <si>
    <t>Tak Pulangkan WNI Eks ISIS, Mahfud MD: Agar Tak Ada Virus Teroris di RI</t>
  </si>
  <si>
    <t>Dari kemaren, cari media yang menulis judul tentang Eks WNI, gak ketemu-ketemu, kebanyakan judulnya WNI Eks ISIS. Akhirnya ada juga, walhamdulillah. RT @robikinemhas: PBNU Dukung Sikap Tegas Pemerintah Tolak Pemulangan Eks WNI ⁦@mediaindonesia⁩</t>
  </si>
  <si>
    <t>Tak Pulangkan WNI Eks ISIS, Mahfud Md: Agar Tak Ada Virus Teroris di RI  #AwasAntek2ISIS</t>
  </si>
  <si>
    <t>Itu judulnya harusnya gini " Tok!.. Pemerintah tegas tidak memulangkan Eks WNI yg bergabung dengan ISIS" RT @negativisme: Nah gini dong Tegas! yang mau nerima ya bisa jadi itu satu gank dengan mereka, itu orang2 yg mau ngasi kerjaan di BUMN juga tolong itu agak dipantau 🧐 mereka ISIS eks WNI, jangan kebalik</t>
  </si>
  <si>
    <t>Mantan ISIS Komentari Keputusan Pemerintah Tak Pulangkan WNI Eks Kombatan di Suriah  #AwasAntek2ISIS</t>
  </si>
  <si>
    <t>Didikan yg melekat pd anak di bwh usia 10 th, jika spt ini, ada kemungkinan nanti anak dibawah 18 th pun akan dibina, dst...mohon pertimbanganya pak @mohmahfudmd</t>
  </si>
  <si>
    <t>Imparsial Minta Pemerintah Pulangkan WNI Eks ISIS</t>
  </si>
  <si>
    <t>Hei @KomnasHAM apa buktimu mereka ex ISIS? Kalau ex WNI pro ISIS itu baru benar RT @WagimanDeep: "Apakah perilaku seperti itu (penolakan oleh negara) lebih baik atau buruk? Buruk!..” kata Choirul Anam Lebih buruk mana meninggalkan negeri sdr bkar passport demi gabung teroris ISIS? Dasar Komisi kagak berguna bagi Nusa dan Bangsa lu! #AwasAntek2ISIS</t>
  </si>
  <si>
    <t>Tegas! Pemerintah Putuskan Tidak Akan Pulangkan 689 Wni Eks ISIS. #IndonesiaTolakISIS</t>
  </si>
  <si>
    <t>Tegas..! Pemerintah Bakal Tangkap WNI Eks ISIS Menyusup ke Indonesia  #</t>
  </si>
  <si>
    <t>Sikap Jokowi Tolak WNI Eks ISIS, Sejalan Hukum Indonesia Lawan Paham Radikal. #AmanatKonstitusi</t>
  </si>
  <si>
    <t>Melihat Aturan Hukum WNI Eks ISIS Dilarang Pulang ke Indonesia</t>
  </si>
  <si>
    <t>Pemerintah tak akan pulangkan WNI eks ISIS. Bagaimana dengan mereka yang pulang sendiri? Apa tindakan pemerintah pak menteri @mohmahfudmd? #IndonesiaDamaiTanpaISIS</t>
  </si>
  <si>
    <t>#UlahRezimIndonesiaSuram #UlahRezimIndonesiaSuram Mahfud Md: Eks ISIS Tidak Mengaku WNI, Teroris Tak Akan Dipulangkan  Ada yg ngaku Pancasilais, tapi perilaku spt komunis ... Gmn tuhh... Contoh, kepala BPIP Yudian</t>
  </si>
  <si>
    <t>Mahfud MD menyatakan, pemerintah tak segan menangkap langsung WNI eks ISIS yang berani masuk ke Indonesia</t>
  </si>
  <si>
    <t>Pemerintah Bakal Tangkap WNI Eks ISIS yang Masuk ke Indonesia Lewat Jalur Tikus</t>
  </si>
  <si>
    <t>Pemerintah Tangkap WNI Eks ISIS Menyusup ke Indonesia</t>
  </si>
  <si>
    <t>Anak-anak WNI Eks ISIS Akan Dibina Kontra Radikalisasi</t>
  </si>
  <si>
    <t>Menteri Koordinator Politik, Hukum dan Keamanan, Mahfud MD memastikan WNI eks-ISIS yang ada di beberapa negara Timur Tengah saat ini berjumlah 689. Mereka sudah diputuskan tidak akan diterima kembali ke Tanah Air. Selengkapnya klik  #NewsOne #WNIeksISIS</t>
  </si>
  <si>
    <t>Mahfud MD Enggan Jelaskan Langkah Antisipasi WNI Eks ISIS Pulang Sendiri, Mengapa?</t>
  </si>
  <si>
    <t>Mahfud MD Enggan Jelaskan Langkah Antisipasi WNI Eks ISIS Pulang Sendiri, Mengapa?  via @tribunnews</t>
  </si>
  <si>
    <t>Mahfud menyatakan, rencana memulangkan anak-anak itu akan dipertimbangkan per kasus. Artinya jika anak-anak pernah terlibat latihan senjata atau mendapat paparan ISIS, maka tak akan dipulangkan</t>
  </si>
  <si>
    <t>Pemerintah Putuskan Tak Pulangkan WNI Eks ISIS #AwasAntek2ISIS</t>
  </si>
  <si>
    <t>Soal Nasib Anak-anak WNI Eks ISIS di Luar Negeri, Ini Kata Mahfud Md..</t>
  </si>
  <si>
    <t>Pemerintah Indonesia lebih memilih menjaga keamanan dan kenyamanan 267 juta warganya dibandingkan memulangkan 689 orang eks WNI pro ISIS #DukungJokowiTolakISIS</t>
  </si>
  <si>
    <t>"Apakah perilaku seperti itu (penolakan oleh negara) lebih baik atau buruk? Buruk!..” kata Choirul Anam Lebih buruk mana meninggalkan negeri sdr bkar passport demi gabung teroris ISIS? Dasar Komisi kagak berguna bagi Nusa dan Bangsa lu! #AwasAntek2ISIS</t>
  </si>
  <si>
    <t>Menteri Kordinator Bidang Politik, Hukum, dan Keamanan Mahfud MD menyebutkan warga negara Indonesia (WNI) yang pernah menjadi Foreign Terorists Fighter (FTF) atau mantan kombatan ISIS di Suriah tidak mengakui dirinya sebagai ... #Papua</t>
  </si>
  <si>
    <t>Hmm...</t>
  </si>
  <si>
    <t>#TolakEksWNIproISIS #TolakEksISIS</t>
  </si>
  <si>
    <t>Resmi! Pemerintah Indonesia Tolak Pulangkan WNI Eks ISIS  #DirgahayuRI72th</t>
  </si>
  <si>
    <t>Sudah diputuskan  #TolakEksWNIproISIS</t>
  </si>
  <si>
    <t>Komnas HAM: Pemerintah Tak Bisa Cabut Kewarganegaraan 600 WNI yang Pernah Gabung ISIS silahkan di UU nya @KomnasHAM KomnasHAM rasa ISIS</t>
  </si>
  <si>
    <t>Pemerintah tidak pulangkan WNI eks ISIS krn pertimbangan keamanan ratusan juta penduduk di Indonesia, namun untuk anak-anak usia di bawah 10 tahun masih akan dipertimbangkan #TolakEksWNIproISIS</t>
  </si>
  <si>
    <t>Pemerintah putuskan tak pulangkan WNI Eks ISIS #AwasAntek2ISIS</t>
  </si>
  <si>
    <t>Sikap Tak Pulangkan WNI Eks ISIS Tepat, Ideologinya belum Mati. Mereka ingin pulang karena kalah, bukan karena sadar akan kesalahannya. #AwasAntek2ISIS #AwasAntek2ISIS</t>
  </si>
  <si>
    <t>Anak-anak WNI eks ISIS terlantar, Mahfud: Sudah dicari, tidak ada</t>
  </si>
  <si>
    <t>WNI eks ISIS atau ISIS eks WNI?</t>
  </si>
  <si>
    <t>Pemerintah memutuskan tidak memulangkan ratusan WNI eks ISIS ke Indonesia #TolakEksWNIproISIS</t>
  </si>
  <si>
    <t>Kebebasan melanggar HAM dibela Komnas HAM</t>
  </si>
  <si>
    <t>Inilah mrk yg berorasi dlm kegiatan Tabligh Akbar dgn tema "Peduli Suriah" "Save Aleppo", "Save Idlib", "Peduli Bumi Syam" &amp; sbgny yg diselenggarakn di berbagai kota sekitar 2012 - 2016, mrk inilah provokator yg menyebabkan byk WNI berangkat ke Suriah untk bergabung dgn ISIS.</t>
  </si>
  <si>
    <t>WNI Eks ISIS Diyakini Bisa Tobat seperti Napi Teroris Umar Patek  #vivanews</t>
  </si>
  <si>
    <t>Sudah sejauh mana ya KOMNAS HAM ngurusin yg jd korban bom ?</t>
  </si>
  <si>
    <t>#DukungJokowiTolakIsis</t>
  </si>
  <si>
    <t>Pemerintah Tak Akan Pulangkan WNI Eks ISIS. #AwasAntek2ISIS #AwasAntek2ISIS</t>
  </si>
  <si>
    <t>Pemerintah Tak Akan Pulangkan WNI Eks ISIS</t>
  </si>
  <si>
    <t>RT @sweethellena: Tanggal 15 Feb Kemenkes bilang 78 WNI di atas Diamond Princess sudah diperiksa dan negatif corona sehingga tidak ada perlakuan khusus bagi mereka. Padahal sesuai pengakuan kru WNI, mereka belum diperiksa sampai kemarin. Sekarang ada 3 yg terbukti positif.</t>
  </si>
  <si>
    <t>#CegahISISmasukNKRI</t>
  </si>
  <si>
    <t>Alhamdulillah 🤲</t>
  </si>
  <si>
    <t>Pakar Menyebutkan Pemerintah Sudah Tepat Tak Pulangkan Anggota Isis Eks WNI</t>
  </si>
  <si>
    <t>Anggota DPR mengatakan para eks ISIS sangat berbahaya jika dipulangkan karena berpotensi menyebarkan ideologi radikal di Tanah Air.</t>
  </si>
  <si>
    <t>Menolak WNI eks ISIS pulang ke Indonesia itu udah paling bener, ini urusan keselamatan rakyat #CegahISISmasukNKRI</t>
  </si>
  <si>
    <t>PBNU Mendukung Sikap Tegas Pemerintah Tolak Pemulangan Eks WNI ISIS</t>
  </si>
  <si>
    <t>Tak Pulangkan WNI Eks ISIS, Ini yang Dilakukan Pemerintah</t>
  </si>
  <si>
    <t>Ini Kata Menko Polhukam Soal Anak WNI Eks ISIS yang Terlantar di Suriah</t>
  </si>
  <si>
    <t>Penolakan Kepulangan Eks WNI ISIS Dinilai Patut Diapresiasi</t>
  </si>
  <si>
    <t>saya belum menemukan alasan yg logis untuk setuju dengan pemulangan "mantan" WNI yg menjadi anggota ISIS, atas tindakan membunuh sesama atas nama agama. #IndonesiaDamaiTanpaISIS</t>
  </si>
  <si>
    <t>Lembaga pemantau HAM Imparsial meminta pemerintah Indonesia memulangkan ratusan WNI eks ISIS.</t>
  </si>
  <si>
    <t>Soal WNI Eks ISIS, Jokowi Diminta Ubah Aturan Kewarganegaraan</t>
  </si>
  <si>
    <t>Pemerintah Memutuskan Tidak Akan Pulangkan Eks WNI ISIS</t>
  </si>
  <si>
    <t>Menteri Koordinator Bidang Politik, Hukum, dan Keamanan (Menkopolhukam) @mohmahfudmd mengatakan pemerintah masih mempertimbangkan secara mendalam terkait memulangkan anak-anak di bawah umur yang orang tuanya terlibat jaringan teroris.</t>
  </si>
  <si>
    <t>Saya komplain kepada Dunia!! Pemerintah Indonesia tidak percaya kepada Undang-undang Negara #copy #lembaga #pancasila Saya kecam keras kepada Pemerintah Sementara Indonesia @jokowi atas penolakan hak kebangsaan dan kewarganegaraan WNI ex ISIS ~ DEMI 267 JUTA WNI Tidak beralasan</t>
  </si>
  <si>
    <t>Menteri Mahfud MD mengatakan siapapun WNI eks ISIS yang ingin kembali ke Indonesia secara ilegal akan ditangkap.</t>
  </si>
  <si>
    <t>We can’t believe you. What is delivered is a reall representation of your hearth or value inside. Your party board member had pushed the government to bring them all back home firmly with reasons that are not reasonable.</t>
  </si>
  <si>
    <t>ISIS eks WNI, @mohmahfudmd @PolhukamRI RT @CNNIndonesia: Pemerintah Bakal Tangkap WNI Eks ISIS Menyusup ke Indonesia</t>
  </si>
  <si>
    <t>#Magetan DPP #PDIPerjuangan: Pemerintah memutuskan tidak memulangkan WNI eks ISIS ataupun yang terlibat jaringan teroris lainnya di luar negeri. "Pemerintah tidak ada rencana memulangkan teroris. Tidak akan memulangkan FTF (foreign terrorist fighter) ke… RT @PDI_Perjuangan: Pemerintah memutuskan tidak memulangkan WNI eks ISIS ataupun yang terlibat jaringan teroris lainnya di luar negeri. "Pemerintah tidak ada rencana memulangkan teroris. Tidak akan memulangkan FTF (foreign terrorist fighter) ke Indonesia,"  #PDIPerjuangan</t>
  </si>
  <si>
    <t>Pemerintah Tolak WNI Anggota ISIS Pulang, Ada Skenario Lain</t>
  </si>
  <si>
    <t>Pemerintah Bakal Tangkap WNI Eks ISIS Menyusup ke Indonesia</t>
  </si>
  <si>
    <t>Pemerintah sebenarnya memiliki opsi terhadap WNI eks ISIS yang ingin kembali ke Indonesia, yaitu diadili secara hukum. Tindakan yang dilakukan oleh ISIS telah ditetapkan sebagai tindakan terorisme oleh Dewan Keamanan PBB.</t>
  </si>
  <si>
    <t>Tak Pulangkan WNI Eks ISIS, Mahfud MD: Agar Tak Ada Virus Teroris di RI  #AwasAntek2ISIS</t>
  </si>
  <si>
    <t>Pemerintah Putuskan Tak Pulangkan WNI Eks HTI Sumber:  #AwasAntek2ISIS</t>
  </si>
  <si>
    <t>WNI Eks ISIS | Tak hanya WNI eks ISIS, menurut Mahfud, pemerintah juga tak akan memulangkan WNI yang diduga teroris lintas batas (FTF).</t>
  </si>
  <si>
    <t>Itu WNI bekas ISIS yg gak boleh pulang ke indo harusnya bisa dimanfaatkan buat uji coba vaksin corona.... Biar kematiannya dapat berguna buat banyak orang... Auto surga bersama bidadari...</t>
  </si>
  <si>
    <t>Mantan ISIS Minta Pemerintah Beri Solusi untuk WNI di Suriah</t>
  </si>
  <si>
    <t>Sejumlah anggota Dewan Perwakilan Rakyat mengapresiasi keputusan pemerintah tak memulangkan WNI eks ISIS ke Indonesia.</t>
  </si>
  <si>
    <t>@mohmahfudmd @jokowi Pikirkan kembali Pak utk membawa anak anak ISIS eks WNI pulang k Indonesia</t>
  </si>
  <si>
    <t>Pemerintah Tegaskan Tak Akan Pulangkan WNI Eks ISIS</t>
  </si>
  <si>
    <t>P jokowi ws lereno ra usah ngurusi infra strukture ae ..ra usah ngurusi bekas isis mereka bukan WNI lg..urusi ekonomi wong cilik umkm d toto pkl d tepakno duwek negoro gawe subsidi rakyat miskin ae ojo mala subsidi d cabuti rakyat pingin murah sandang pangan gema ripa loh jinawi</t>
  </si>
  <si>
    <t>Berpikir jernih, adil dan terbuka itu langka. Massa cenderung beramai2 mengeroyok kelompok sosial yang sedang menderita dan rentan. Contohnya banyak dari berbagai masa dan tempat: dari kelompok politik, ideologi, etnis, hingga orientasi seksual tertentu.</t>
  </si>
  <si>
    <t>Salah satu dari 4 alasan menolak Kombatan ISIS Keberadaan 600- an ISIS apabila dipulangkan berpotensi mengancam 260 juta WNI ditanah air Jd Sudah tepat Pemerintah menolak kepulangan mereka dgn dalih apapun #AwasAntek2ISIS</t>
  </si>
  <si>
    <t>Imparsial dan Komnas HAM Harap Keputusan Tak Memulangkan WNI Eks ISIS Dikaji Ulang Seharusnya kedua lembaga ini yg harus dikaji ulang mengapa begitu ngototnya hars di pulangkan #AwasAntek2ISIS  lewat @merdekadotcom</t>
  </si>
  <si>
    <t>Mahfud MD: WNI Eks ISIS Pulang Lewat Jalur Gelap Akan Ditangkap</t>
  </si>
  <si>
    <t>Tegas! WNI Eks ISIS Ditolak Pulang, Sujiwo Tedjo: Usir Juga Para Koruptor!</t>
  </si>
  <si>
    <t>Mereka pergi sendiri Mereka sebut NKRI itu Thogut Mereka gabung dengan ISIS Mereka bakar paspor RI Mereka ancam TNI Mereka ancam NKRI Saat ISIS kalah mereka minta pulang ke Indonesia..... Apa kata Indonesia ? *INDONESIA TAK AKAN PULANGKAN EKS WNI YANG BERGABUNG DENGAN ISIS !!*</t>
  </si>
  <si>
    <t>Nah ini. Gak cuman eks WNI pro ISIS yang gak dibalikin kesini, semua yang terlibat terorisme lintas batas juga. Tegas nih prof @mohmahfudmd. #DukugJokowiTolakIsis</t>
  </si>
  <si>
    <t>Diskusi "Kombatan ISIS tdk dipulangkan what's next? @AltoLuger menyampaikan 1. Indonesia tdk mau memulangkan WNI eks ISIS, bagaimana negara yg menampung mereka? Ex Turki memulangkan FTF dr Inggris dan Jerman, tdk bisa ditolak oleh negara asala</t>
  </si>
  <si>
    <t>Pemerintah Tak Akan Pulangkan WNI Eks ISIS Maupun FTF, Begini Nasib Anak-anak Mereka Nantinya</t>
  </si>
  <si>
    <t>Moralitas Jokowi dan 'Eksekusi' Tolak Ratusan WNI Eks ISIS</t>
  </si>
  <si>
    <t>Menko Polhukam Mahfud MD menyatakan bahwa pemerintah telah menutup semua jalur bagi WNI eks ISIS ataupun foreign terrorist fighters (FTF) yang akan kembali ke Indonesia. #ISIS</t>
  </si>
  <si>
    <t>Mereka BUKAN WNI EKS ISIS TAPI MEREKA ADALAH ISIS EKS.WNI.#IndonesiaDamaiTanpaISIS</t>
  </si>
  <si>
    <t>Konasham: tidak ada yang melarang eks WNI pro ISIS pulang. Lha.. pulang-pulang saja. Memang keluar dari negara tempatnya sekarang, tidak ditanya, mana paspornya?</t>
  </si>
  <si>
    <t>Secara hukum eks WNI masih anggota ISIS,,,,Jangan di balik kalimatnya,,,biar tidak terjadi pembodohan publik,,, #IndonesiaDamaiTanpaISIS</t>
  </si>
  <si>
    <t>Pemerintah dengan tegas menolak memulangkan 689 WNI teroris pelintas batas dan eks ISIS ke Tanah Air #IndonesiaDamaiTanpaISIS</t>
  </si>
  <si>
    <t>Setelah memutuskan tidak memulangkan WNI eks ISIS, Pemerintah juga mengantisipasi mereka yg pulang sendiri lewat jalur tikus &amp; menggunakan jalur legal Negara bebas Visa #IndonesiaDamaiTanpaISIS</t>
  </si>
  <si>
    <t>Secara Hukum eks WNI masih berstatus sebagai anggota ISIS,,,,mohon jangan di bolak balik biar tidak terjadi pembodohan publik,,dan pembelokan makna #IndonesiaDamaiTanpaISIS</t>
  </si>
  <si>
    <t>Pejuang ISIS eks WNI tdk dipulangkan saja ancaman kelompok mrk yg ada dlm megeri sudah begitu besar, dan ancaman thd NKRI begitu nyata dan terang2an, apalagi mrk dipulangkan. Makanya banyak rakyat Indonesia yg khawatir shg muncul tagar: #IndonesiaDamaiTanpaISIS</t>
  </si>
  <si>
    <t>Eks WNI yg gabung ISIS keluarga harusnya brsyukur gak jd dipulangkn pemerintah agar gak lg bebenin kluarga kan yaa,palagi bebanin negara. Dah nikmatin aj sorga dr ISIS #AwasAntek2ISIS</t>
  </si>
  <si>
    <t>Mantan ISIS Minta Pemerintah Beri Solusi untuk WNI di Suriah Mantan ISIS Minta Pemerintah Beri Solusi untuk WNI di Suriah #IndonesiaDamaiTanpaISIS</t>
  </si>
  <si>
    <t>Sebelumnya kita ucapkn terimakasih kpd pemerintah yg sdh putuskan tdk akan memulangkan ISIS eks WNI. #IndonesiaDamaiTanpaISIS</t>
  </si>
  <si>
    <t>Disini kita koar2 berantas ISIS agar kombatannya tdk kembali, mereka tdk kembali pun INTOLERANSI tetap berjalan mulus. Hampir sebagian lebih masyarakat Indonesia menolak, namun tdk ada yg mampu hentikan kelakuan barbar yg bisa terjadi kapanpun.</t>
  </si>
  <si>
    <t>Pemerintah menyiapkan berbagai upaya untuk menangkal kepulangan WNI Eks ISIS #IndonesiaDamaiTanpaISIS</t>
  </si>
  <si>
    <t>Mahfud menegaskan pemerintah sudah mengantisipasi kemungkinan ratusan WNI eks ISIS pulang ke RI via negara yang bebas visa. #IndonesiaDamaiTanpaISIS</t>
  </si>
  <si>
    <t>Pimpinan DPR setuju keputusan pemerintah tidak akan pulangkan WNI eks ISIS  #DPR</t>
  </si>
  <si>
    <t>Pemerintah dengan tegas menolak memulangkan mereka ke Tanah Air lantaran dikhawatirkan menjadi teroris baru yang membahayakam nyawa 267 juta rakyat Indonesia | #Nasional</t>
  </si>
  <si>
    <t>Pemerintah Putuskan Tak Akan Pulangkan 689 WNI Eks ISIS  #AwasAntek2ISIS RT @MalinForKundang: Pemerintah Putuskan Tak Akan Pulangkan 689 WNI Eks ISIS  #AwasAntek2ISIS</t>
  </si>
  <si>
    <t>PBNU Tolak Pemulangan Ratusan WNI Eks ISIS  #AwasAntek2ISIS RT @MalinForKundang: PBNU Tolak Pemulangan Ratusan WNI Eks ISIS  #AwasAntek2ISIS</t>
  </si>
  <si>
    <t>Mahfud: BNPT Sempat Cari Anak-anak WNI Eks ISIS</t>
  </si>
  <si>
    <t>Anak-anak lapor... yang nganter orangtuanya😜 Anak-anak WNI eks ISIS yang Terlantar Dipersilahkan Lapor Diri ke KBRI  #Wni eks isis jokowi teroris mahfud md FTF</t>
  </si>
  <si>
    <t>KSP mengungkapkan, pemerintah tetap mengumpulkan data para eks WNI pro ISIS meski telah memutuskan tak akan memulangkan. WNI eks ISIS ini tetap diawasi guna memastikan mereka bukan ancaman terhadap keamanan nasional. Yang harus diwaspadai #AwasAntek2ISIS</t>
  </si>
  <si>
    <t>Sejengkal pun tidak ada tempat buat ISIS EKS WNI. #IndonesiaDamaiTanpaISIS</t>
  </si>
  <si>
    <t>1. PKB juga menjadi salah satu pihak yang menolak keras wacana pemulangan sekitar 600 warga negara Indonesia (WNI) eks kombatan ISIS. #IndonesiaDamaiTanpaISIS</t>
  </si>
  <si>
    <t>#AwasAntek2ISIS 🐍 #AwasAntek2ISIS 🦎 ⚠️ lembaga/kelompok/orang yg mendukung kepulangan para pecundang isis eks wni bisa jadi adalah konsultan, agen² dan para rekruter isis di negara ini...</t>
  </si>
  <si>
    <t>Pemerintah tak akan pulangin Ex WNI ISIS. Netizen emang Juos Alhamdulillah Tq Pemerintah yg telah melindungi 270 jt penduduk Indonesia dari Biadabnya ISIS. #AwasAntek2ISIS RT @WahabisLokal: D U A A A A R Pemerintah tak akan pulangin Ex WNI ISIS. Netizen emang Juos👍 Alhamdulillah Tq Pemerintah yg telah melindungi 270 jt penduduk Indonesia dari Biadabnya ISIS. #AwasAntek2ISIS</t>
  </si>
  <si>
    <t>Moeldoko Akui Pemerintah Masih Bingung Tentukan Status Kewarganegaraan WNI Eks ISIS  lewat @wartakotalive</t>
  </si>
  <si>
    <t>Jangan sampai lengah sedikitpun untuk mengawal komitmen Pemerintah "Tidak memulangkan WNI eks Kombatan ISIS , Ideologi ISIS sangat berbahaya bagi keutuhan NKRI #AwasAntek2ISIS RT @kupra_tubagus: Jangan sampai lengah sedikitpun untuk mengawal komitmen Pemerintah "Tidak memulangkan WNI eks Kombatan ISIS , Ideologi ISIS sangat berbahaya bagi keutuhan NKRI #AwasAntek2ISIS #AwasAntek2ISIS</t>
  </si>
  <si>
    <t>Komnas HAM menilai diksi 'pemulangan' WNI Eks ISIS membuat salah kaprah di publik. @KomnasHAM #republika #komnasham #wni #isis</t>
  </si>
  <si>
    <t>Pemerintah Belum Putuskan Status Kewarganegaraan WNI Eks ISIS</t>
  </si>
  <si>
    <t>Pemerintah Biarkan Keadaan WNI eks ISIS</t>
  </si>
  <si>
    <t>Paspor Dibakar, Eks Kombatan ISIS Tak Mengaku WNI</t>
  </si>
  <si>
    <t>Mantap, langkah pemerintah sudah sangat tepat . #AwasAntek2ISIS</t>
  </si>
  <si>
    <t>Mantan ISIS Minta Pemerintah Beri Solusi untuk WNI di Suriah  siapa kalian WNI JUGA BUKAN NIKMATI AJ tapi awas Pemerintah dah tegas menolak mereka masuk NKRI TAPI YG DDAKAM NIH WASPADA #AwasAntek2ISIS</t>
  </si>
  <si>
    <t>Pemerintah telah menegaskan untuk tidak memulangkan eks kombatan ISIS ke Tanah Air.</t>
  </si>
  <si>
    <t>DPR Dukung Pemerintah Tolak Kepulangan WNI Eks ISIS</t>
  </si>
  <si>
    <t>Salut buat Para #EksWNIProISIS Bgitulah seharusnya.seandainya Pemrentah memaksa mok memulangkan,Tolak!!!Kerna Anda sdh di Jalan nyang Bener.Bener Bener Keblinger!!! Dan Mudah2an Surga nya Bu Neno mingsih menjual Tiket Diskonan. #TolakPulangkanKombatanISIS</t>
  </si>
  <si>
    <t>Woeeee @VeronicaKoman Bayar utang BEASISWAmu. Cabut gelarmu. Enak aja mau dpt gelar tp jd PENGHIANAT. Lo sama aja dgn ex WNI ISIS!!! Gak layak lo jd warga NKRI. Mahfud MD: Veronica Koman Ingkar Janji, Punya Utang dengan Indonesia</t>
  </si>
  <si>
    <t>WNI Eks ISIS Pulang Via Jalur 'Tikus', Mahfud: Tangkap Dong!</t>
  </si>
  <si>
    <t>D U A A A A R Pemerintah tak akan pulangin Ex WNI ISIS. Netizen emang Juos👍 Alhamdulillah Tq Pemerintah yg telah melindungi 270 jt penduduk Indonesia dari Biadabnya ISIS. #AwasAntek2ISIS</t>
  </si>
  <si>
    <t>Sederhana koq ! Kalau kasihan, kesana aja samperin, kasih mereka uang bwt jajan, kasih mereka selimut. Gak usah manja ! #AwasAntek2ISIS</t>
  </si>
  <si>
    <t>Setuju Kang @DediMulyadi71. ISIS itu kejahatan ideologi. Gak ada alasan bagi pemerintah mengembalikan eks WNI pro ISIS ini. #DukungJokowiTolakIsis</t>
  </si>
  <si>
    <t>Kamu pergi sendiri bro katanya cari surgawi mau buat negara sendiri ISIS skrg merengek minta pulang.. mau hidup mau mati udh silahkan di syuriah,kami tetep menolak.. #AwasAntek2ISIS</t>
  </si>
  <si>
    <t>Mahfud Md: Eks ISIS Tidak Mengaku WNI, Teroris Tak Akan Dipulangkan -</t>
  </si>
  <si>
    <t>Anak-anak WNI eks ISIS terlantar dipersilahkan melapor</t>
  </si>
  <si>
    <t>Pemerintah masih belum memastikan status kewarganegaraan 689 WNI pendukung ISIS yang diduga menjadi teroris lintas negara.</t>
  </si>
  <si>
    <t>WNI Berideologi Pancasila, WNI Eks ISIS?</t>
  </si>
  <si>
    <t>Apresiasi pada pemerintah yg mempertegas keputusannya. Jgn lg jd polemik berkepanjangan di masyarakat. Keputusan tsb berdasarkan kajian mendalam dan komprehensif terkait beragam aspek menyangkut pemulangan para pro ISIS. #DukungJokowiTolakProIsis</t>
  </si>
  <si>
    <t>Untuk memberi rasa aman dari ancaman teroris dan virus-virus baru teroris terhadap 267 juta rakyat Indonesia, Pemerintah Indonesia tidak akan memulangkan FTF (Foreign Terrorist Fighters) atau WNI eks ISIS yang ada di Suriah, Turki, dan negara lainnya. #IndonesiaDamaiTanpaISIS</t>
  </si>
  <si>
    <t>Pemerintah sudah tegas, menolak WNI eks ISIS pulang, masyarakat Indonesia sangat senang mendengarnya, terima kasih pak @jokowi dan pak @mohmahfudmd #AwasAntek2ISIS #DukungJokowiTolakISIS</t>
  </si>
  <si>
    <t>Keputusan pemerintah ini mnjdi pelajaran bgi warga negara yg tlh merendahkn, mnghina &amp; mncemooh negaranya sndiri. Bahkn akn mnggnti negara in mnjdi negara khilafah. Jk mrk gk trima dgn negara Indonesia mnding klian kluar ikutin jejak ex WNI pro ISIS #AwasAntek2ISIS</t>
  </si>
  <si>
    <t>Daripada Memulangkan 600 WNI Eks ISIS, Lebih Baik Lindungi Keamanan 267 Juta Rakyat Indonesia</t>
  </si>
  <si>
    <t>Pemerintah telah memutuskan tidak memulangkan 600 WNI eks anggota ISIS ke Indonesia. Keputusan itu diambil, pemerintah khawatir Kombatan ISIS akan jadi teroris baru di Indonesia. Tapi apa langkah pemerintah selanjutnya? yuk ikuti Diskusi Reboan hari ini #IndonesiaDamaiTanpaISIS</t>
  </si>
  <si>
    <t>Ratusan Juta Rakyat Berhak Bebas dari Teror,Tolak Pemulangan WNI Eks ISIS #IndonesiaDamaiTanpaISIS</t>
  </si>
  <si>
    <t>Putusan Rapat Presiden WNI Eks ISIS Tidak Akan Dipulangkan</t>
  </si>
  <si>
    <t>ex WNI pro ISIS tdk jauh berbeda dgn chat mesum.. pergi sendiri so pulang2 sendiri...ngapain minta tulong.. RT @WR_4AG226: Sikap pemerintahan jokowi menolak kepulangan 600 ex WNI pro ISIS sdh sangat tepat..krn mereka hanya akan menjadi racun dan benalu bagi NKRI Jangan pedulikan pendukung dan simpatisannya yg marah2...😫🙄</t>
  </si>
  <si>
    <t>Pemerintah dengan tegas menolak memulangkan eks WNI pro ISIS ke Tanah Air krn dikhawatirkan jd teroris baru yg membahayakam nyawa 267 juta rakyat Indonesia. #DukungJokowiTolakIsis</t>
  </si>
  <si>
    <t>Stop bicara ISIS eks WNI. Sudah final. Ditolak kembali ke Indonesia. Mari fokus lagi ke: Dugaan korupsi ZulHas Jiwasraya Asabri Monas dan Formula E.</t>
  </si>
  <si>
    <t>menjadi salah satu pihak yang menolak keras wacana pemulangan sekitar 600 warga negara Indonesia (WNI) eks kombatan ISIS #IndonesiaDamaiTanpaISIS</t>
  </si>
  <si>
    <t>Pemerintah Suriah dan Iraq lebih berhak mengadili dan menjatuhkan hukuman yg adil pada Gerombolan ISIS atas kejahatan mereka yg telah menghancurkan negara² itu dan membuat rakyat mereka melalui penderitaan teramat berat.</t>
  </si>
  <si>
    <t>Jokowi Tolak WNI ISIS Jadi Dasar Pemerintah Tentukan Sikap  #AwasAntek2ISIS</t>
  </si>
  <si>
    <t>Kasus ini tak bisa dipandang sebelah mata</t>
  </si>
  <si>
    <t>Pemerintah sudah antisipasi ISIS eks WNI gunakan jalur tikus</t>
  </si>
  <si>
    <t>PBNU Tolak Pemulangan Ratusan WNI Eks ISIS  #AwasAntek2ISIS</t>
  </si>
  <si>
    <t>Pemerintah Putuskan Tak Akan Pulangkan 689 WNI Eks ISIS  #AwasAntek2ISIS</t>
  </si>
  <si>
    <t>Aturan teknis penangkalan ada dlm Peraturan Pemerintah No. 21 th 2013 ttg Peraturan Pelaksanaan UU Keimigrasian. Ps 236: org yg terlibat kejahatan transnasional terorganisasi, bisa ditangkal masuk ke Indonesia. #DukungJokowiTolakIsis</t>
  </si>
  <si>
    <t>Pemerintah Antisipasi WNI Eks ISIS yang Ingin Pulang Sendiri</t>
  </si>
  <si>
    <t>Pemerintah tak akan pulangin Ex WNI ISIS. #AwasAntek2ISIS</t>
  </si>
  <si>
    <t>Rakyat Berhak Bebas dari Teror, PKB Tolak Pemulangan WNI Eks ISIS #IndonesiaDamaiTanpaIsis</t>
  </si>
  <si>
    <t>PBNU menolak pemulangan WNI eks ISIS itu karena menilai bahwa para kombatan itu telah memilih jalan yang bertentangan dengan Pancasila #IndonesiaDamaiTanpaIsis</t>
  </si>
  <si>
    <t>Karena WNI ISIS yang memilih keluar kok kita yang repot memulangkan dengan uang negara? Jadi daripada uang rakyat digunakan untuk yang tidak urgent mending buat yang lebih urgent #IndonesiaDamaiTanpaISIS</t>
  </si>
  <si>
    <t>PBNU Tegaskan Tolak WNI eks ISIS Pulang ke Indonesia #IndonesiaDamaiTanpaISIS</t>
  </si>
  <si>
    <t>Ratusan Juta Rakyat Berhak Bebas dari Teror, PKB Tolak Pemulangan WNI Eks ISIS #IndonesiaDamaiTanpaISIS -</t>
  </si>
  <si>
    <t>Sudah benar itu Presiden Jokowi menolak memulangkan WNI eks ISIS karena mereka menyatakan dengan sadar bahwa pemerintahan yang ada ini pemerintah yang tidak syah, karena tidak menggunakan sistim islam dan khilafah #IndonesiaDamaiTanpaISIS</t>
  </si>
  <si>
    <t>Sebut Indonesia Sesat, PBNU Tolak Wacana Pemulangan WNI Eks ISIS #IndonesiaDamaiTanpaISIS</t>
  </si>
  <si>
    <t>Pasalnya pembakaran paspor Indonesia oleh WNI ISIS menunjukkan secara sadar mereka sudah tak lagi jadi bagian dari Indonesia. #IndonesiaDamaiTanpaISIS</t>
  </si>
  <si>
    <t>Sudah benar itu Presiden Jokowi menolak memulangkan WNI eks ISIS karena mereka menyatakan dengan sadar bahwa pemerintahan yang ada ini pemerintah yang tidak syah, karena tidak menggunakan sistim islam dan khilafah #IndonesiaDamaiTanpaIsis</t>
  </si>
  <si>
    <t>Terima Kunjungan Menlu RI, Ketum PBNU Tegas Tolak WNI Eks ISIS #IndonesiaDamaiTanpaISIS</t>
  </si>
  <si>
    <t>Bos NU Soal WNI Eks ISIS, Mereka Pembunuh, Ngapain Diramahin #IndonesiaDamaiTanpaISIS</t>
  </si>
  <si>
    <t>Politisi PKB Maman Imanulhaq Tolak WNI Eks ISIS Pulang dan Beri Kritikan: Lucu Juga Pemerintah Ini #IndonesiaDamaiTanpaISIS</t>
  </si>
  <si>
    <t>Soal Rencana Dipulangkannya WNI Eks ISIS, KH Maman Imanulhaq: Mereka Keluar NKRI Kok Kita yang Repot? #IndonesiaDamaiTanpaISIS</t>
  </si>
  <si>
    <t>WNI yang berniat bergabung dengan ISIS dan menyeberang ke Suriah, merupakan orang-orang yang menolak konsep Negara Kesatuan Republik Indonesia #IndonesiaDamaiTanpaISIS</t>
  </si>
  <si>
    <t>PBNU Tegas Tolak Pemulangan Ratusan WNI Simpatisan ISIS  #IndonesiaDamaiTanpaISIS</t>
  </si>
  <si>
    <t>Pengurus Besar Nahdlatul Ulama (PBNU) menyuarakan penolakan tegas terhadap 600 warga negara Indonesia (WNI) eks kombatan ISIS kembali ke Indonesia ke tanah air. #IndonesiaDamaiTanpaIsis</t>
  </si>
  <si>
    <t>Ratusan WNI tersebut diduga bergabung dengan kelompok-kelompok radikal, salah satunya Negara Islam Irak Suriah atau ISIS #IndonesiaDamaiTanpaISIS</t>
  </si>
  <si>
    <t>WNI ISIS memilih bergabung dengan ISIS itu sudah mencabik-cabik kesepakatan kita bernegara #IndonesiaDamaiTanpaISIS</t>
  </si>
  <si>
    <t>PBNU Tolak Pemulangan WNI ISIS ke Indonesia #IndonesiaDamaiTanpaISIS</t>
  </si>
  <si>
    <t>WNI ISIS sudah jelas meninggalkan Indonesia demi membela ISIS. #IndonesiaDamaiTanpaISIS</t>
  </si>
  <si>
    <t>Anggota Komisi I DPR RI dari Fraksi NasDem, @farhanpenyiar menyarankan kepada pemerintah Indonesia untuk memprioritaskan evakuasi WNI di Damaskus, Suriah yang menghadapi serangan Israel, dari pada mengembalikan kombatan ISIS asal Indonesia. #KaderNasDem #NasDemAntiMahar</t>
  </si>
  <si>
    <t>Tujuan besar WNI ISIS kan hanya satu, mendirikan negara khilafah. Kalau mereka WNI artinya mereka menolak NKRI #IndonesiaDamaiTanpaISIS</t>
  </si>
  <si>
    <t>Pemulangan WNI Eks ISIS, PBNU: Tolak! Tidak Setuju! #IndonesiaDamaiTanpaISIS</t>
  </si>
  <si>
    <t>Syaiful Bahri Anshori mendukung sikap Presiden Joko Widodo (Jokowi) yang mengisyaratkan tak mau memulangkan 600 Warga Negara Indonesia (WNI) eks ISIS. #IndonesiaDamaiTanpaIsis</t>
  </si>
  <si>
    <t>Tok! Pemerintah Tak Akan Pulangkan WNI Eks ISIS #IndonesiaDamaiTanpaISIS</t>
  </si>
  <si>
    <t>pemerintah harus tegas menolak kepulangan wni ISIS #IndonesiaDamaiTanpaISIS</t>
  </si>
  <si>
    <t>NU Tolak Rencana Pemulangan 600 WNI Berafiliasi ISIS, Said Aqil: Saya Tolak, Mereka Sudah Katakan Kami Thagut #IndonesiaDamaiTanpaISIS</t>
  </si>
  <si>
    <t>WNI ISIS yang bergabung dengan ISIS itu sudah tidak mengakui NKRI, menolak pancasila, dan bahkan mereka membakar paspor maka tak ada urgensinya negara memfasilitasi mereka pulang #IndonesiaDamaiTanpaISIS</t>
  </si>
  <si>
    <t>Rakyat Berhak Bebas dari Teror, PKB Tolak Pemulangan WNI Eks ISIS #IndonesiaDamaiTanpaISIS</t>
  </si>
  <si>
    <t>rencana salah seorang pejabat yang pernah memiliki keinginan untuk memulangkan WNI eks ISIS merupakan kesalahan besar #IndonesiaDamaiTanpaIsis</t>
  </si>
  <si>
    <t>Ketua Umum PBNU Said Aqil Tolak Rencana Pemulangan 660 WNI Eks-ISIS #IndonesiaDamaiTanpaISIS</t>
  </si>
  <si>
    <t>WNI ISIS enggak usah diterima di Indonesia Sudah biarkan saja tidak punya kewarganegaraan #IndonesiaDamaiTanpaISIS</t>
  </si>
  <si>
    <t>Mahfud MD eks WNI eks ISIS tak minta dipulangkan WNI eks ISIS itu sudah tidak mengaku sebagai bagian dari Indonesia. Bagus gosah dipulangin Apalagi sdh tdk mengaku WNI berarti sdh bkn WNI lg #TolakPulangkanKombatanISIS</t>
  </si>
  <si>
    <t>WNI eks ISIS Batal Dipulangkan, Imparsial: Bakal Muncul Masalah Baru</t>
  </si>
  <si>
    <t>#TolakEksWNIproISIS Alhamdulillah...</t>
  </si>
  <si>
    <t>Pemerintah Belum Tentukan Status Kewarganegaraan WNI Eks ISIS #TauCepatTanpaBatas #BeritaTerkini #Berita #News #BeritaNasional .</t>
  </si>
  <si>
    <t>Apa Bahayanya Jika WNI Eks Simpatisan ISIS Balik ke Indonesia? Baca selengkapnya di artikel "Apa Bahayanya Jika WNI Eks Simpatisan ISIS Balik ke Indonesia?",  #AwasAntek2ISIS</t>
  </si>
  <si>
    <t>Apresiasi atas keputusan Pemerintah untuk menolak pemulangan WNI eks ISIS! #TolakEksISIS #TolakEksWNIproISIS #TolakPemulanganWNIeksISIS #CabutStatusWNIproISIS #TolakPulangkanKombatanISIS #NKRIHargaMati</t>
  </si>
  <si>
    <t>Padahal, ada opsi menindak hukum terhadap para WNI eks kombatan ISIS.</t>
  </si>
  <si>
    <t>Fixed. Ketegasan pemerintah Indonesia menolak kepulangan eks WNI pro ISIS. #DukungJokowiTolakIsis</t>
  </si>
  <si>
    <t>Pemerintah memutuskan tak akan memulangkan WNI eks ISIS di luar negeri. Menkopolhukam Mahfud MD menyatakan keputusan tersebut diambil berdasarkan pertimbangan keamanan bagi 267 juta penduduk Indonesia. #MataNajwaMenangkisISIS #MataNajwadiTRANS7 #Narasi #NarasiNeswroom</t>
  </si>
  <si>
    <t>Goblok goblok goblok</t>
  </si>
  <si>
    <t>Mahfud MD : mantan kombatan ISIS di Suriah tidak mengakui dirinya sebagai WNI. #Peristiwa #MenkoPolhukam #MahfudMD #ISIS #WNI</t>
  </si>
  <si>
    <t>Pagi ini aku terbangun, dan suara TV langsung menyita perhatianku, memaksaku sadar sepenuhnya. Berita yang dikabarkan mengatakan, "Indonesia telah mengambil keputusan untuk mantan WNI yang bergabung dengan ISIS......</t>
  </si>
  <si>
    <t>Pemerintah Antisipasi WNI Eks ISIS yang Menyelundup ke Indonesia</t>
  </si>
  <si>
    <t>Komnas HAM macam kura² dlm perahu aja ttg bgimana anak² yg diikutkan ortunya dlm gerombolan ISIS dididik. Sejak dini mrk udah dibiasakn dgn budaya kkerasan dan sadism. Ayo desak negara utk ambil tnggung jawab atas pmeliharaan anak² trlantar di dlm negeri.</t>
  </si>
  <si>
    <t>SAH.! Eks WNI Member ISIS Tetap Jihad Di Suriah  #moreshareforum #beritaterkini</t>
  </si>
  <si>
    <t>$RPNRF Alert - RAPID NUTRITION PLC Nutrition / Weight Loss  #Nutrition #WeightLoss $WNI $NUTR $GNC</t>
  </si>
  <si>
    <t>RT @Kemlu_RI: 12/02/2020 - Kemlu dan KBRI Tokyo terus memantau kondisi 78 kru WNI di Kapal Pesiar Diamond Princess. Saat ini seluruhnya dalam keadaan sehat. Berita selengkapnya dapat di lihat di:  #IniDiplomasi #NegaraMelindungi</t>
  </si>
  <si>
    <t>RT @Kemlu_RI: #SahabatKemlu Bantu WNI di RRT, Kemlu &amp; Enesis Group Indonesia tandatangani serah terima bantuan berupa hand sanitizer, masker dan minuman pereda panas dalam u/ disalurkan kepada WNI di RRT guna cegah virus Novel Corona. Selengkapnya pada  #NegaraMelindungi</t>
  </si>
  <si>
    <t>RT @Kemlu_RI: #SahabatKemlu, hari ini #MenluRetno sambut kepulangan Tim Aju dan Tim Evakuasi WNI dari Wuhan (18/02). Berkat kerja sama dan koordinasi berbagai pihak, 237 WNI di Wuhan telah pulang dengan selamat ke pangkuan Ibu Pertiwi. Selengkapnya  #NegaraMelindungi</t>
  </si>
  <si>
    <t>RT @Ireneviena_: Umat dan ormas Islam utang budi dan harus bertrima kasih pada TB 1 yg konsiten mencegah institusinya ditunggangi kepentingan politik Jend Merah cq rekayasa aksi terorisme Isu ISIS sbg pengganti tidak laku dan basi Ki Lurah cs frustasi ...</t>
  </si>
  <si>
    <t>RT @Adv_BudiSatria: Alhamdulillah bakal ga ada WNI yg kena cekal karena ga ada WNI yg gabung dgn ISIS</t>
  </si>
  <si>
    <t>RT @hermana_t: Menkes Terawan menerangkan ada 9 WNI di Jepang yg terkena wabah corona "WNI yg kena dirawat oleh pemerintah Jepang, sembilan orang," ujar Terawan Mereka adalah kru kapal pesiar Diamond Princess yg berada di Jepang Nah, sudah gak bisa menyangkal lagi</t>
  </si>
  <si>
    <t>RT @UjangBustomi: Orang Indonesia Yg gabung ISIS,bagi sy adlh para penghianat Bangsa!vidio ini sy Sampaikan buat para penghianat2 Bangsa!!</t>
  </si>
  <si>
    <t>Tenggelamkan antek ISIS #2019JokowiMaruf #Jokowi2Periode #jokowi2periode #2019tetapjokowi</t>
  </si>
  <si>
    <t>RT @kopipolitik1: 1) Halo tweeps, mimin mau berbagi cerita tentang penyelamatan 243 WNI di Wuhan dari keganasan virus novel Corona. Langkah cepat Pemerintah RI ini diambil setelah Badan Kesehatan Dunia( WHO) menetapkan darurat global virus Corona @DivHumas_Polri #Dinamika</t>
  </si>
  <si>
    <t>RT @JubirPresidenRI: Pemerintah Tak Berencana Pulangkan WNI Eks ISIS. Keterangan Pers Presiden @jokowi di Istana Kepresidenan Jakarta, pada Rabu 12 Februari 2020.</t>
  </si>
  <si>
    <t>RT @KBRITokyo: Bagi WNI pelajar/pekerja di Tokyo, atau Anda yang sedang berkunjung ke Tokyo: Pemerintah Metropolitan Tokyo mengumumkan beberapa info penting seputar berbagai upaya menahan penyebaran virus COVID-19, yang mungkin mempengaruhi kwalitas pengalaman Anda di Jepang. #NegaraMelindungi</t>
  </si>
  <si>
    <t>RT @inizali: "lo kok aktif banget sih di twitter ?" y daripada w aktif di ISIS.</t>
  </si>
  <si>
    <t>Tenggelamkan antek ISis.. #2019JokowiMaruf #Jokowi2Periode</t>
  </si>
  <si>
    <t>RT @aliralira: Makin naik, persebaran makin cepat. Ada kabar (belum diverifikasi resmi) 1 WNI kena, tunggu press release dulu sebelum heboh. Imbasnya tempat wisata KOSOOOOOONG. Nami Island today.</t>
  </si>
  <si>
    <t>RT @samhudibae: INI DIA RETNO LISTYARTI KOMISIONER KPAI YANG PRO ANAK ISIS DI PULANGKAN! DIA Kepala Sekolah yang di pecat jaman Gubernur AHOK karena kedapatan keluyuran waktu Anak Didiknya sedang mengikuti Ujian Nasional. #PecatSittiHikmawatty</t>
  </si>
  <si>
    <t>Sebelum Tentara Saudi Tiba di Suriah, ISIS BANCI LARI ke Libya</t>
  </si>
  <si>
    <t>RT @samhudibae: Di Malang anak dibully sampai patah tangan KPAI anteng, di Purworejo anak perempuan dianiaya banyak laki2 karena disabilitas anda anteng. Giliran anak ISIS suaranya kenceng belain. Dimulai dari diri sendiri aja Pak..angkat anak ini jadi anakmu. #PecatSittiHikmawatty</t>
  </si>
  <si>
    <t>RT @AriestaRiico: Perlu diketahui ISIS Buatan Amerika Fakta Yang Tak Pernah Diketahui Banyak Orang...#AwasAntek2ISIS</t>
  </si>
  <si>
    <t>RT @RinjaniJB: @jokowi @Ari3Pras Biar aja aku dikata ratu tega. Wong ISIS juga luar biasa kejam kok. Wanita dan anak-anak ISIS itu apa ga kurang kejam, kalau sudah mampu penggal Kepala orang tuanya sendiri ? Apakah Pak Jokowi bisa jamin bhw anak-anak itu kelak tidak menjadi pemenggal kepala rakyat Indonesia ?</t>
  </si>
  <si>
    <t>RT @RinjaniJB: @jokowi @Ari3Pras Coba deh, bapak punya data atau tidak tentang jumlah anak yatim dan yatim piatu di Indonesia. Berapa banyak ? Yg karena korban aksi teroris berapa banyak ? Sudahkah semuanya dipelihara negara ? Itu dulu Pak, pastikan sudah dipelihara. Ngapain bapak urus anak-anak ISIS itu ?</t>
  </si>
  <si>
    <t>RT @pujangga1123: Secuil Jejak Seorg "Mantan Pimpinan DPR" yg mendonasikan dana 20.000 USD (setara Rp. 270 juta) utk mendukung Pergerakan di Suriah via HASI (Hilal Ahmar Society Indonesia) utk menyalurkan Dana ke IHH. LSM terbesar, pendukung Mujahid &amp; ISIS di Suriah, ehem #TolakAnakISISKembali</t>
  </si>
  <si>
    <t>RT @AnakKolong___: 3. Dalam Peraturan Internasional memang ada larangan membiarkan warga negara terlunta-lunta, tp apakah 600 Yankee Jihad pembakar paspor Indonesia itu WNI ? Tentunya tidak krn mereka hanya EKS WNI PRO ISIS. Bahkan Turki &amp; Amerika pun OGAH memberi Asylum, Assad PUN menegaskan,</t>
  </si>
  <si>
    <t>RT @AnakKolong___: 5. @BNPTRI @BIN_Official @Puspen_TNI @DivHumas_Polri @PPATK tentunya sudah tahu siapa² saja di Republik ini yang mendukung YINON PLAN dgn kemasan GAMIS &amp; SORBAN, sembunyi dlm ormas &amp;amp; parpol tapi diam² mendukung BERNARD HENRY LEVY &amp;amp; Mc CAIN. ISIS MAP hanya candaan kah ?</t>
  </si>
  <si>
    <t>RT @AnakKolong___: 2. PERTANYAANNYA KEMUDIAN | . . Mengapa pemerintan tidak bersikap spt Russia atau Chechnya dalam soal ISIS ? Apakah karena "DURI DALAM DAGING" @KomnasHAM ? Atau karena ada "negara" dalam NEGARA yang "MENGENDALIKAN" NEGARA ? . .</t>
  </si>
  <si>
    <t>RT @IdEmbassy_Seoul: Mengingat semakin banyaknya jumlah pasien yang positif terjangkit Virus Corona (COVID-19) di Korea Selatan, KBRI kembali menghimbau kepada seluruh WNI untuk mewaspadai penyebaran virus tersebut. @Kemlu_RI @UmarHad73314840 @sofia_sudarma</t>
  </si>
  <si>
    <t>RT @AnakKolong___: FELIX SIAUW "AGEN" ISIS | #MenolakLupa BAJINGAN KHILAFAH @felixsiauw aktif mempropagandakan jihad dukung ISIS di Ghouta, Allepo &amp; wilayah² Syiria lainnya. 4 th "kami" menunggu fitnah dari BACOT FELIX TERUNGKAP. Kapan bajingan khilafah ini diringkus ? | @mohmahfudmd</t>
  </si>
  <si>
    <t>RT @BobbyIrwanda: @jokowi tolong diperhatikan WNI krew kapal ini. Tinggal mereka yang belum jelas kapan akan dijemput oleh negaranya, jumlah yang sakit dari 4 sudah menjadi 9. Di kapal tinggal tersisa krew dri filipina, india &amp; indonesia. Hanya tinggal Indonesia saja yang blm jelas nasibnya.</t>
  </si>
  <si>
    <t>Tiga WNI yang bekerja di kapal pesiar Diamond Princess dilaporkan positif tertular Virus Corona (COVID-19), selengkapnya di</t>
  </si>
  <si>
    <t>RT @__MV_llestari__: Mereka adalah koban, mereka hanya kena akibat ataupun mereka justru bagian tak terpisahkan dari ISIS, sebaiknya keluar dari sebuah proses pengadilan yang jujur dan independen. Mereka akan ditampung dimana, dipenjara dimana, biarkan pengadilan berbicara.</t>
  </si>
  <si>
    <t>RT @__MV_llestari__: ISIS Islamic State of Iraq and Suriah, kelompok pengejar mimpi khilafah. Mereka adalah kelompok masyarakat militan yang sengaja disuntikkan pada negara dimana kekacauan diciptakan demi sebuah keadaan seperti yang diinginkan negara sponsor.</t>
  </si>
  <si>
    <t>RT @__MV_llestari__: Demikianlah Eks WNI ISIS sebagai bagian dari keluarga Indonesia menemukan polemik. Perdebatan panjang tentang status mereka telah diulas banyak pakar. Pro dan kontra pandangan hukum maupun sisi kemanusiaan tentang apa yang seharusnya negara lakukan masih menyisakan gaung.</t>
  </si>
  <si>
    <t>RT @kopipolitik1: 6) Lagi pula 243 WNi yang di Wuhan belum ada yang terinfeksi virus novel Corona. Meski begitu pemerintah tetap memastikan adanya lokasi dan waktu karantina sesaui prosedur WHO @DivHumas_Polri @Sudastika @AwangSancaka #Dinamika</t>
  </si>
  <si>
    <t>RT @kopipolitik1: 3) Mulai dari penyediap tim medis, pesawat angkut WNI, peralatan medis, lokasi evakuasi dan observasi, hingga koordinasi dengan pihak pemerintah China dan juga daerah Wuhan. Pokoknya pemerintah telah readyb ambil tindakan penyelamatan l WNI @DivHumas_Polri #dinamika</t>
  </si>
  <si>
    <t>RT @budimandjatmiko: Membahagiakan anak lewat kebohongan putih (white lie) itu sehat, spt di video ini &amp; di film "Life is Beautiful" saat ayahnya pura2 main petak umpet pdhl mau dieksekusi Nazi. Yg buruk adalah membohongi anak bhw temannya kafir &amp;amp; layak dibunuh (spt doktrin ISIS)</t>
  </si>
  <si>
    <t>RT @Detektif_Ngibul: Contoh nyata antek isis yg berkeliaran di Indonesia. Ormas yg terkenal BRUTAL, sampai junjungan tertinggi menyerukan untuk membela ISIS. Ada juga partai yg mengusung pendukung ISIS. @AriestaRiico @jiiviiw @narkosun @wahhabicc_jabar @TolakBigotRI @P3nj3l4j4h_id #AwasAntek2ISIS</t>
  </si>
  <si>
    <t>RT @kopipolitik1: 2) Sebelum melakukan langkah evakuasi penyelamatan 243 WNI, pemerintah telah melakukan rapat koordinasi dan tindakan evakuasi yang sesuai dengan prosedur protocol WHO @DivHumas_Polri #Dinamika</t>
  </si>
  <si>
    <t>RT @SonoraFM92: 3 WNI yang Positif Corona Ditangani Pemerintah Jepang</t>
  </si>
  <si>
    <t>3 WNI yang Positif Corona Ditangani Pemerintah Jepang</t>
  </si>
  <si>
    <t>RT @abcaustralia_id: @jokowi Kru WNI kapal baru diperiksa kesehatannya dgn metode swab lendir di tenggorokan pada Kamis (20/02) &amp; Jumat (21/02) lalu. Selain opsi dievakuasi dengan KRI Dr Soeharso, sempat dikabarkan opsi 14 hari karantina di atas Diamond Princess. Tetapi mereka minta dijemput secepatnya.</t>
  </si>
  <si>
    <t>RT @AnakKolong___: REINKARNASI ISIS DI MEDIA SOSIAL | . . Pada 2016 lalu, Twitter mencatat ada sekitar 125.000 akun yg ditengarai mempunyai hubungan dengan ISIS. . . - sebuah utas | habib @BakarSmith - . . Sumber : Analisis Zuhairi Misrawi Propaganda ISIS di Media Sosial . .</t>
  </si>
  <si>
    <t>RT @kopipolitik1: 26) Bagi mereka yang masih WNI tentu akan diharuskan sumpah setia untuk NKRI dan nantinya akan ada pendampingan bagi mereka secara ketat. Polri yang akan melakukan profiling ketat @DivHumas_Polri @Sudastika @AwangSancaka #Dinamika</t>
  </si>
  <si>
    <t>RT @kopipolitik1: 28) Pemerintah jelas telah menyiapkan berbagaii plan dan program bagi mereka yang setia sebagai WNI dan NKRI. Prinsip ini tak bisa ditawar lagi bagi seluruh warga Negara Indonesia @DivHumas_Polri @AwangSancaka #Dinamika</t>
  </si>
  <si>
    <t>RT @WahabisLokal: Kepada WNI Keturunan Arab: Kalian disini kami terima dan kami sambut dengan baik. Tapi jika Kelakuan Jahiliyah dari Moyangmu masih kamu lakukan disini, Maka lebih baik: Kalian Minggat Dari Sini👊 #TangkapHaikalHasan</t>
  </si>
  <si>
    <t>RT @abcaustralia_id: @jokowi WNI kru kapal berharap Presiden @jokowi dan Pemerintah Indonesia segera tanggap dan memutuskan opsi evakuasi yang dipilih seperti halnya pemerintah negara lain yang sudah terlebih dahulu memberi kepastian evakuasi warga negaranya dari kapal Diamond Princess di Yokohama, Jepang.</t>
  </si>
  <si>
    <t>Pemerintah Upayakan Perlindungan bagi WNI di Wuhan</t>
  </si>
  <si>
    <t>RT @AnakLolina: Lihatlah video singkat seorang anak ISIS berbicara : "Kami akan membantaimu". Yang terbiasa menyaksikan &amp; melakukan pembunuhan mau di deradikalisasi? Siapapun kalian, ISIS jangan di jadikan panggung politik, mereka adalah musibah. #TolakAnakISISKembali</t>
  </si>
  <si>
    <t>BAHAYA RADIKALISME ISIS &amp; SYI’AH TERHADAP AGAMA &amp;amp; NEGARA</t>
  </si>
  <si>
    <t>RT @isalfatur: @BBCIndonesia Berdasarkan UUD 45, setiap warga negara yg berpartisipasi dgn kegiatan militer negara lain otomatis kehilangan kewarganegaraannya. Mau bagaimanapun juga, mereka semua secara hukum udh bukan WNI, kecuali pemerintah mau ganti UUD.</t>
  </si>
  <si>
    <t>RT @NyiGiri: Selamat pagi Kamis Optimis Indonesia Tegas menolak Teroris Katakan TIDAK pada golongan ISIS Indonesia Negeri Agamis, Nasionalis dan Pancasilais.. Berkah bagi saudara-saudari ku semua, Senyum manis bagimu Indonesia Raya..</t>
  </si>
  <si>
    <t>RT @Iqbal__Kholidi: ketika mantan budak seks ISIS dipertemukan dengan eks-komandan ISIS</t>
  </si>
  <si>
    <t>Sadiq Khan, London’s ‘Liberal Muslim’ Mayor, Has Ties To ISIS  via @yournewswire</t>
  </si>
  <si>
    <t>RT @oxfara: What can we do? Increase our surveillance, perbaiki case detection nya.Jgn cuma ngandalin pake gejala klinis dooang. Because in COVID-19, it’s pretty misleading. Orang high risk carier virus sprt WNI dari Wuhan harusnya dites dgn Covid test kit, jgn puas klo asimtomatik</t>
  </si>
  <si>
    <t>RT @Metro_TV: #MetroHariIni Pemerintah menyiapkan sejumlah opsi dalam upaya evakuasi 74 warga negara Indonesia yang saat ini berada di Kapal Pesiar Diamond Princess di Yokohama, Jepang. Hingga saat ini, 4 WNI yang terinfeksi Covic-19 masih dirawat di 2 rumah sakit Jepang. #MetroTV</t>
  </si>
  <si>
    <t>RT @YohanesPatty2: Ternyata dua tahun tidak cukup waktu makan gratis di Prodeo. Alpian Tanjung Provokator. Bagai mana dgn rencana Negara ingin mengembalikan eks WNI ISIS..?? Yang ada di NKRI tdk berjalan redikalisasinya, bagai mana memelihara anak harimau ISIS...</t>
  </si>
  <si>
    <t>Merdeka bukan hanya lepas dari tangan penjajah, tapi lepas dari tangan jahil yg merampas hak kita sebagai WNI.</t>
  </si>
  <si>
    <t>Mereka menyebarluaskan barbarisme dengan justifikasi agama dalam upaya mengeklaim kendali penguasaan atas kekuasaan tersebut.</t>
  </si>
  <si>
    <t>RT @DPP_PKB: Pemerintah telah memutuskan tidak memulangkan 600 WNI eks anggota ISIS ke Indonesia. Keputusan itu diambil, pemerintah khawatir Kombatan ISIS akan jadi teroris baru di Indonesia. Tapi apa langkah pemerintah selanjutnya? yuk ikuti Diskusi Reboan hari ini #IndonesiaDamaiTanpaISIS</t>
  </si>
  <si>
    <t>RT @IrmanputraSidin: Kita tidak pernah merasa takut terhadap bangsa yg pernah menjajah kita padahal kekejamannya kita telah mengetahuinya, karenanya kita tidak perlu merasa takut terhadap saudara kita yang pernah bergabung dgn ISIS, krn mereka sesungguhnya adalah korban (saksikan lengkap YT UUD TV)</t>
  </si>
  <si>
    <t>RT @KBRITokyo: 19 Feb 2020: total 4 WNI dari kapal Diamond Princess yg terdeteksi virus corona. Dua dirawat di RS di Chiba, 2 di Tokyo. 🇲🇨 KBRI Tokyo upayakan mereka tetap bisa kontak keluarga &amp; ABK lainnya, dan kami tunggu tes yg menyatakan 74 WNI lainnya selesai dikarantina. #NegaraMelindungi</t>
  </si>
  <si>
    <t>RT @narkosun: Mereka pergi ke Suriah berharap mendapat kemuliaan. Hidup enak, mendapat segala fasilitas. Apalagi ada jaminan masuk surga krn menjalankan syariat agama. Di saat pergi, ISIS msh berjaya. Negeri sendiri dicampakkan. Skrg? Mewek pengen pulang. 🙄🙄🙄</t>
  </si>
  <si>
    <t>RT @gieyulia: @hendralm Dear Pak Ahmad, Mereka bukan keluarga, jadi tidak perlu diselesaikan secara kekeluargaan. Kalau bapak WNI tentunya tahu bahwa di Indonesia ada lapas untuk anak. Ketika bapak sebagai kepala sekolah gagal mendidik mereka biarkan kepala lapas anak yang mengajari mereka. Salam.</t>
  </si>
  <si>
    <t>RT @ChusnulCh__: Dari soal anak2 yg teriak bunuh Ahok dijalan, demo 212 yg berkali2 memanfaatkn anak2, Audisi PB Djarum, anak2 ISIS hingga pernyataan kontroversi perempuan bisa hamil hny gara2 satu kolam dgn laki2, sebenarnya yg pantas itu KPAI langsung dibubarkan bkn cuma #PecatSittiHikmawatty.</t>
  </si>
  <si>
    <t>Iklim investasi pun menjadi lesu, karena akan adanya ancaman laten dari mereka. Islamofobia pun menjadi semakin bertambah</t>
  </si>
  <si>
    <t>Persoalan ISIS memang sempat menyita perhatian dunia, bukan soal gagasan sistem kenegaraan yang ditawarkan, tetapi lebih kepada aksi-aksi yang mempertontonkan kebiadaban sekelompok manusia.</t>
  </si>
  <si>
    <t>RT @TirtoID: Fachrul Razi kerap menjadi sorotan sejak dilantik Presiden Joko Widodo sebagai Menteri Agama pada 23 Oktober lalu. Bukan karena prestasinya, melainkan sejumlah pernyataan dan kebijakan yang memicu kontroversi. Apakah layak diganti?</t>
  </si>
  <si>
    <t>RT @APLpangeran1: Apakah masih jg akan mempertimbangkan memulangkan anak2 eks pro ISIS..? Silahkan simak Video ini...👇 Yg wanita janda ISIS berhasil pulang bawa anaknya, lalu nikah, bapak sambungnya, mau ditebas lehernya oleh anaknya 🙈 lihat anaknya beri kode tebas leher hasil cuci otak isis</t>
  </si>
  <si>
    <t>RT @kopipolitik1: 22) selain isu virus Corona, #Dinamika isu terbaru juga muncul isu pemulangan eks ISIS. Tak perlu cemas Guys....@AwangSancaka @DivHumas_Polri</t>
  </si>
  <si>
    <t>RT @fadjroeL: Perintah Presiden @jokowi bahwa pemerintah tidak akan memulangkan anggota ISIS asal Indonesia ~ #Jubir #BungJubir @Kiyai_MarufAmin @KemensetnegRI @setkabgoid</t>
  </si>
  <si>
    <t>RT @kopipolitik1: 29) Tak perlu khawatir terkait info adanya 600 eks ISIS yang kembali ke tanah air. Pemerintah pastikan semua dalam kendali dan sesuai prosedur hokum serta konstitusi @DivHumas_Polri @Sudastika @AwangSancaka #Dinamika</t>
  </si>
  <si>
    <t>RT @kopipolitik1: 32) Pilihan eks ISIS yang kembali ke tanah air bisa jadi bagian dari kesadaran mereka dan ternyata hidup di Indonesia lebih baik dan lebih aman. Seperti ada eks teroris Nasir Abbas dan Ali Imron yang kini setia dengan NKRI @DivHumas_Polri @Sudastika</t>
  </si>
  <si>
    <t>RT @mohmahfudmd: ALHAMDULILLAH' 243 WNI yg pulang dr Wuhan dan diobservasi 14 hr di Natuna dinyatakan brsh dr Corona. Dlm kelakarnya, Menko Perekonomian Airlangga bilang "Krn perizinan di Indonesia ber-belit2 maka virus corona tak bs masuk. Tp omnibus law ttg perizinan lapangan kerja jalan trs"🤣</t>
  </si>
  <si>
    <t>RT @samhudibae: Di Malang anak dibully sampai patah tangan KPAI anteng terus ada lagi di Purworejo anak perempuan dianiaya banyak laki2 karena disabilitas anda anteng alias diem2 bae. Eh Giliran anak ISIS suaranya kenceng belain. Dimulai dari diri sendiri aja Pak..angkat anak ini jadi anakmu.</t>
  </si>
  <si>
    <t>RT @GUSDURians: BAGAIMANA TOKOH INDONESIA MEMBICARAKAN WACANA KEPULANGAN MANTAN ISIS? (A Thread) Tim Riset DNA GUSDURian (Tridian) memetakan pernyataan tokoh Indonesia terkait wacana kepulangan warga negara Indonesia yang pernah terlibat dalam perang bersama ISIS.</t>
  </si>
  <si>
    <t>RT @Bangzul__88: Menurut tentara Suriah, banyak sekali sel tidur di pengungsian eks ISIS yang mereka awasi. Mereka setia pada organisasinya, karena sudah mengalami proses cuci otak luar biasa. #DukungJokowiBerantasISIS Apakah masih yakin pemerintah Indonesia ingin pulangkan mereka? Cc @jokowi</t>
  </si>
  <si>
    <t>RT @narkosun: Dia juga yg mengapresiasi jika pemerintah memulangkan anak2 eks WNI 1SIS. KPAI: Negara Harus Siapkan Hak Asuh Anak WNI Terduga Teroris jika Pulang.</t>
  </si>
  <si>
    <t>RT @afrizal_batuah: Siapakah yang layak meneriakkan NKRI harga mati? Apakah ormas tertentu yang meneriakkan itu? Bukan, namun pengungsi WNI Eks Timtim yang selama 20 TAHUN hidup di Kamp Pengungsi. Mereka masih bertahan sekalipun dalam kemiskinan. Yang jelas, mereka mempertahankan NKRI harga mati .</t>
  </si>
  <si>
    <t>RT @4smara1701: Makin mantul aja nih Pak Rocky 😎 WNI yang di Amerika Serikat mulai mengevaluasi pemilu kemarin untuk menanamkan ulang kepercayaan pada masa depan Indonesia.. Virus akal sehat mulai mendunia 😎</t>
  </si>
  <si>
    <t>RT @samhudibae: Makhluk yang bernama Haiqal hasan ini adalah pendukung utama kelompok RADIKAL radikul pendukung militan ISIS sehingga sampai kapan pun mahluq ini akan tetap menjadi musuh bagi pemerintahan yang sah. Dan ini jelas bahwa dia telah menjadi Pengkhianat bangsa. #UmatCerdas212Amblas</t>
  </si>
  <si>
    <t>RT @RizmaWidiono: Kurang Ajar Alfian Tanjung Sebut Polisi dan Pemerintah Komunis Ingatlah kawan Dgn gelintir makhluk ini saja Indonesia sdh dibuat gaduh, bgmn jika ditambah lg dg 660 orang eks kombatan ISIS pulang ke Indonesia.?😭 @DivHumas_Polri @BareskrimPolri @CCICPolri #RingkusAlfianTanjung</t>
  </si>
  <si>
    <t>RT @VICE_ID: Kepada VICE, otoritas Kurdi berharap Indonesia mau terlibat dalam pengadilan tersebut.</t>
  </si>
  <si>
    <t>Pemerintah Akan Evakuasi WNI ABK World Dream ke Pulau Sebaru</t>
  </si>
  <si>
    <t>RT @KeyshaAdinda5: Israel serang Suriah, Kekalahan total ISIS di suriah ngebuka kedok kepentingan Zionist n sekutu d suriah. Terbukti mereka g beri ksmpatan bagi pmrintahn Assad memperbaiki negaranya yg hancur BTW, Erdogan jg ada sst dg Suriah loh.🤔 Cc sis @Nouna_jessica94</t>
  </si>
  <si>
    <t>Kemlu Pastikan 362 Kru WNI Kapal Pesiar Westerdaam dalam Keadaan Sehat</t>
  </si>
  <si>
    <t>RT @netralnews: Menkes: WNI yang akan dievakuasi dari kapal pesiar Diamond Princess dan World Dream akan diobservasi di Pulau Sebaru, Kepulauan Seribu. #Peristiwa #COVID2019 #Covid_19 #VirusCorona #KapalPesiar #DiamondPrincess #DreamWorld</t>
  </si>
  <si>
    <t>Merdeka bukan hanya lepas dari tangan penjajah, tapi lepas dari tangan jahil yg merampas hak kita sebagai WNI."</t>
  </si>
  <si>
    <t>Pemerintah terus mengoptimalkan berbagai upaya untuk memastikan warga negaranya tidak terpapar virus corona, termasuk melakukan pendampingan terhadap WNI yang sudah boleh pulang hingga ke daerah asal. #viruscorona</t>
  </si>
  <si>
    <t>RT @arfanalfikyy: tolong untuk pemerintah cepat dalam mengambil keputusan dalam evakuasi kru wni di kapal diamond princess pikirkan perasaan kami sebagai keluarga yang masih ada di dalam kapal @jokowi @mohmahfudmd @Menlu_RI #coronavirus #evakuasi #wni #DiamondPrincess</t>
  </si>
  <si>
    <t>RT @FerdinandHaean2: @detikcom @HusinShihab Salah pemahaman ttg NKRI ya ujungnya sprt ini. Ditanbah produk kebencian yg didapatnya dr komunitas hidup yg radikal akan membuat jiwanya tak normal. Sama dgn ISIS EKS WNI itu, mrk menyimpang pemahaman krn komunitas hidupnya yg extrim dan radikal dlm memberi kebencian.</t>
  </si>
  <si>
    <t>RT @KBinsa: Jadi WNI yang baik tidak ada ruginya kok. Justru malah jadi contoh dalam kehidupan berbangsa 😊 Orang tua pasti bangga🤗 @jokowi @TjahjantoHadi @Puspen_TNI @DivHumas_Polri @BPIPRI #KomikKita #SiBinsa #P5TNI #NegaraHukum</t>
  </si>
  <si>
    <t>RT @AdhieMassardi: Pak Presiden &amp; Wapres RI Yth. Anda sdh ucapkan sumpah: "...memegang teguh UUD &amp;amp; jalankan segala UU, dst." ¤ perintah Konstitusi al: "melindungi segenap bangsa Indonesia..!" Maka kewajiban Anda berdua selamatkan WNI ABK kapal Diamond yg terancam jiwanya. DPR, DPD, ingatkan mereka!</t>
  </si>
  <si>
    <t>Menkes: 9 WNI Positif Virus Corona di Jepang</t>
  </si>
  <si>
    <t>RT @PDI_Perjuangan: Pemerintah Siapkan Opsi Evakuasi WNI di kapal pesiar Diamond Princess yang berlabuh di Pelabuhan Yokohama Jepang  #PDIPerjuangan</t>
  </si>
  <si>
    <t>RT @geloraco: Dampak Korona, Pekerja Tiongkok di Proyek Kereta Cepat Diganti WNI</t>
  </si>
  <si>
    <t>RT @arwidodo: Dirut PT Kereta Cepat Indonesia China, Chandra Dwiputra menyatakan, ada tenaga kerja asal China yang tidak bisa ke Indonesia karena wabah Covid-19. Selain itu, bahan-bahan dari Tiongkok tidak bisa diimpor ke tanah air.</t>
  </si>
  <si>
    <t>RT @kompascom: Pemerintah akan menjemput 188 WNI yang menjadi anak buah kapal (ABK) World Dream di Selat Johor, Malaysia dengan KRI Soeharso.</t>
  </si>
  <si>
    <t>RT @isari68: Sudah waktunya Pemerintah segera mengirim Tim Evakuasi u menjemput WNI kita yg berada di Kapal Pesiar Diamond Princess. Bagaimanapun mereka sdh lebih 2 pekan di lingkungan endemi. Ada baiknya mereka segera dijemput cc @KemenkesRI @Kemlu_RI @BNPB_Indonesia @jokowi</t>
  </si>
  <si>
    <t>RT @BBCIndonesia: [Video] BBC menelusuri jejak suami istri pengebom bunuh diri ISIS asal Indonesia, Ruille Zeke dan Ulfa. Dari tempat persembunyian mereka di Istanbul, Turki, setelah gagal memasuki Suriah, kemudian ke Malaysia dan berakhir sebagai martir di Filipina.</t>
  </si>
  <si>
    <t>RT @translatorbali: @zkyhna_ @jokowi 9 ABK WNI Kena Corona di Kapal Diamond Princess. Pemerintah Masih Nego Jepang untuk Pulangkan WNI ABK #DiamondPrincess." Menkes Terawan usai menghadap Presiden Joko Widodo ,  #HangInThereDiamondPrincess</t>
  </si>
  <si>
    <t>RT @kjri_sf: Sebagian besar mahasiswa yang hadir merupakan penerima beasiswa otonomi khusus Pemprov Papua dan Papua Barat. Ketua Ikatan Mahasiswa Papua USA-Canada, Manuel Heselo, Ketua PERMIAS OSU, Augelvin Dermaga, serta WNI di Oregon juga turut hadir. @Kemlu_RI @KBRIWashDC #Indonesianway</t>
  </si>
  <si>
    <t>RT @VrushantM: President Trump used this words during his speech till now...😍 Chai wala Swami Vivekanand Bollywood DDLJ Sachin Tendulkar Virat Kohli Sardar Patel Diwali Holi Gujarat Terrorism ISIS Radical Islamic Terrorism Pakistan #NamasteyTrump</t>
  </si>
  <si>
    <t>Pemerintah Utamakan Prinsip Kehati-hatian Tangani Pemulangan WNI di Diamond Princess</t>
  </si>
  <si>
    <t>RT @hate_HTi: Ingat kekejaman yg mereka buat!! Betul kata bung @Dennysiregar7 bahwa ISIS itu keyakinan, dan keyakinan ga akan pudar sampai mati kecuali datang hidayah dariNya. #DukungJokowiBerantasISIS</t>
  </si>
  <si>
    <t>RT @Bangzul__88: #AwasHTImasihEksis Cara-cara yang dilakukan HTI mungkin lebih halus. kalau ISIS mengajarkan perjuangan untuk mendirikan khilafah itu harus dengan peran fisik, seperti menculik orang, menembak di mana-mana dg cara memaksa supaya orang mengikuti kehendak mereka.</t>
  </si>
  <si>
    <t>RT @vierda: Bokap Aceh, suami Aceh Padang, agama Islam, pilpres kaga milih Jokowi, pilkada kagak milih Ahok, pileg kagak milih PDIP Untung kaga dicabut aja ini udah status WNI sayah 🤣</t>
  </si>
  <si>
    <t>RT @dr_koko28: Saran saya kepada pres/wapres : energi BPIP dipakai membina eks isis. Lebih bisa terukur kinerjanya.</t>
  </si>
  <si>
    <t>RT @sudjiwotedjo: IQ Melati akan termehek2 membedakan “narsum yg ngomong kayu, besi dll hingga tanah” dan “narsum yang ngomong zat inti yg sama pada kayu, besi dll hingga tanah”. Sebagaimana mereka akan jatuh bangun membedakan “ISIS benar saat bilang 2+2=4” dan “Membela ISIS”.</t>
  </si>
  <si>
    <t>RT @ravenclawmate: @spoilagedcapo @catuaries 3 WNI TERPAPAR VIRUS CORONA! BEGINI PENDAPAT NIA RAMADHANI!</t>
  </si>
  <si>
    <t>RT @KompasTV: Enggan Dibunuh Pelan-pelan, WNI di Diamond Princess Kirim Pesan ke Jokowi</t>
  </si>
  <si>
    <t>RT @aiek_esthreem__: #ReshufflePengalihanIsu #ReshufflePengalihanIsu Pesan WNI Yang Ada di Kapal Diamond Princess Untuk aJokowi: Kami Juga Warga Indonesia, Pak Presiden, Jemput Kami  Ga ada dana Utang numpuk Gmn bisa jemput???</t>
  </si>
  <si>
    <t>RT @cempala: WNI Kru Kapal Pesiar Diamond Princess</t>
  </si>
  <si>
    <t>RT @syellla_lagiii: Name: syella 🥰 Hobby: basahin kasur💦 Aku chubby beb tapi masih bisa ngulek di atas perut kok🤭 , TB ga pendek ga tinggi juga😌 wrn kulit ciri khas WNI bgt deh☺ BOOBS? ukur aja sendiri sini😜 Save no syella ya krn akun rentan suspend👉 081283132735 👈rek aku ttp bca an R yaa😘</t>
  </si>
  <si>
    <t>RT @Sifudan_mora: Narasi si baju merah ini sudah familiar di telinga WNI. Itulah sebabnya kita serukan perlawanan terhadap narasi sesat seperti ini. Tapi @DivHumas_Polri @jokowi @mohmahfudmd adem ayem aja tuh...</t>
  </si>
  <si>
    <t>Menolak Kepulangan ISIS Eks WNI Adalah Pilihan Bijak dan Tepat</t>
  </si>
  <si>
    <t>RT @Tanpaagama: Mereka yang ngotot bilang isis tak beragama, mereka pula yang ngotot isis dipulangkan ke indonesia. Orang gila mah, bebas.</t>
  </si>
  <si>
    <t>Pemerintah akan mengevakuasi 188 anak buah kapal (ABK) World Dream ke Kepulauan Seribu.</t>
  </si>
  <si>
    <t>Pemerintah Hati-Hati Pulangkan WNI Kapal Diamond Princess</t>
  </si>
  <si>
    <t>@uncmnfs Ngomongin cara gimana bantuin ex isis pulang ke indonesia</t>
  </si>
  <si>
    <t>Menko PMK Muhadjir Effendy memimpin Rapat Koordinasi Tingkat Menteri di Jakarta, Senin (24/2/2020). Rakor itu membahas rencana pemulangan WNI ABK kapal pesiar World Dream. #WNI #WorldDream #MuhadjirEffendy #Kapal #ABK</t>
  </si>
  <si>
    <t>Gunakan KRI Suharso, WNI di Kapal World Dream Dievakuasi dan Diobservasi di Sebaru</t>
  </si>
  <si>
    <t>Waktu maba pernah ada omongan kalo di hutan ui ada markas isis yang gak pernah ketahuan. Aku pernah percaya. Dasar aku maba. RT @collegemenfess: [Cm] Baru tau UI Depok dari atas begini😭 Pohonnya klo ga bahayain jgn ditepak pak/buk, sumber oksigen ini😭😭</t>
  </si>
  <si>
    <t>RT @Metro_TV: #PrimeTimeNews Pemerintah menyiapkan 1 pulau tak berpenghuni di wilayah Kepulauan Seribu untuk observasi dan penanganan 188 kru kapal pesiar World Dream. Ratusan WNI tersebut akan dijemput dengan menggunakan kapal TNI Angkatan Laut.</t>
  </si>
  <si>
    <t>- Soal Evakuasi WNI di Kapal Diamond Princess, Pemerintah Tak Ingin Seperti Australia dan AS: Pemerintah menerapkan prinsip kehati-hatian terkait rencana evakuasi 74 WNI di Kapal Diamond Princess yang tengah bersandar di Yokohama.</t>
  </si>
  <si>
    <t>@detiksport pelatih timnas udah korea2an, pemain wni pun mau korea2an ... -_-</t>
  </si>
  <si>
    <t>Pemerintah akan menjemput 188 WNI yang menjadi anak buah kapal (ABK) World Dream di Selat Johor, Malaysia dengan KRI Soeharso.</t>
  </si>
  <si>
    <t>WNI Kru Kapal Pesiar Dievakuasi ke Gugusan Pulau Seribu</t>
  </si>
  <si>
    <t>Pemerintah Evakuasi 188 WNI di Kapal World Dream pada 26 Februari 2020 #TauCepatTanpaBatas #BeritaTerkini #Berita #News #BeritaNasional .</t>
  </si>
  <si>
    <t>@CapshaBanting ISIS dulu iming-imingnya juga sama yg gabung bakal kaya raya, ujung-ujungnya sengsara di penjara dan penampungan pengungsi. Jgn mau ditipu.</t>
  </si>
  <si>
    <t>RT @ZAEffendy: Di Singapura, 30 terinfeksi #Coronavirus (termasuk 1 pekerja WNI) menetapkan status ORANGE "Disease Outbreak Response System Condition"/DORSCON - Alert Levels. Apakah pejabat Indonesia masih *asbun dan bersikap takabur?</t>
  </si>
  <si>
    <t>RT @mostradio1058fm: Menteri Kesehatan #Terawan Agus Putranto menyatakan jumlah WNI di kapal pesiar Diamond Princess yang positif virus corona bertambah menjadi total 9 orang dan dipastikan telah mendapatkan perawatan dari Pemerintah Jepang. #MostUpdate1058</t>
  </si>
  <si>
    <t>#PrimeTimeNews Pemerintah menyiapkan 1 pulau tak berpenghuni di wilayah Kepulauan Seribu untuk observasi dan penanganan 188 kru kapal pesiar World Dream. Ratusan WNI tersebut akan dijemput dengan menggunakan kapal TNI Angkatan Laut.</t>
  </si>
  <si>
    <t>RT @kompascom: Operasi pembebasan dilakukan oleh tim gabungan yang melibatkan Kementerian Luar Negeri (Kemenlu), Badan Inteljen Indonesia (BIN), hingga BAIS.</t>
  </si>
  <si>
    <t>@KompasTV mana kowii ? nih rakyat lo jg ! Enggan Dibunuh Pelan-pelan, WNI di Diamond Princess Kirim Pesan ke Jokowi</t>
  </si>
  <si>
    <t>RT @Metro_TV: #PrimeTimeNews Menteri Kesehatan juga membenarkan, ada 9 WNI yang merupakan anak buah kapal pesiar Diamond Princess yang positif terjangkit virus Corona di Jepang. Menkes menyatakan pemerintah masih terus berusaha melakukan negoisasi untuk memulangkan WNI</t>
  </si>
  <si>
    <t>Terawan ingin memastikan Indonesia tetap berada dalam zona hijau dalam kasus virus corona. #VirusCorona</t>
  </si>
  <si>
    <t>@hay_calm Kasian ego ga turun2 juga.... banyak wni di daegu...... di seoul dan banyak lagi. Msh pada kerja normal.</t>
  </si>
  <si>
    <t>RT @kompascom: Pemerintah akan mengevakuasi 188 anak buah kapal (ABK) World Dream ke Kepulauan Seribu.</t>
  </si>
  <si>
    <t>Pemerintah Indonesia tak ingin gegabah menjemput 74 WNI yang saat ini masih berada di kapal pesiar Diamond Princess di Yokohama, Jepang. Menkes mengaku masih bernegosiasi dengan pemerintah Jepang mengenai cara penjemputan apakah dgn kapal laut atau pesawat. #HeadlineNewsMetroTV</t>
  </si>
  <si>
    <t>188 WNI di Kapal Pesiar World Dream Akan Dijemput 28 Februari</t>
  </si>
  <si>
    <t>@Flowerdoom_ @Iqbal__Kholidi Isis identitas nya ya eksekusi.</t>
  </si>
  <si>
    <t>Pemerintah berhati-hati dan enggan terburu-buru mengevakuasi WNI terdampak Corona.</t>
  </si>
  <si>
    <t>RT @TirtoID: Peneliti ICJR Ari Pramuditya merujuk pada Kovensi Hak Anak yang telah diratifikasi Indonesia 1996, pemerintah seharusnya memulangkan seluruh anak-anak dari WNI eks ISIS.</t>
  </si>
  <si>
    <t>Di kantor diajak diskusi sm bpk OM yang kebetulan nonis, diskusi banyak ttg agama, Al-Quran, Injil, ISIS, dll. Bapaknya tau bnyak bgt ttg sejarah Islam, yang aku aja msh bingung 'hah emg iya' sampe tau ayat2 Al-Quran. Aku sbg Islam dari lahir merasa malu ya Allah aku maluuu 😭</t>
  </si>
  <si>
    <t>RT @Parapat_Nixon: 2 MINGGU YG LALU 78 WNI Kru Kapal Pesiar Diamond Princess “DIKURUNG" (karantina), cegah penyebaran vrs corona  "Pak Pres @jokowi, kami di sini utk hidupi keluarga +62. Jgn biarkan kami MATI krn KELAMAAN DIEVAKUASI" [HANYA TUNGGU PERINTAH JKW] @kaesangp 🙏</t>
  </si>
  <si>
    <t>#PrimeTimeNews Menteri Kesehatan juga membenarkan, ada 9 WNI yang merupakan anak buah kapal pesiar Diamond Princess yang positif terjangkit virus Corona di Jepang. Menkes menyatakan pemerintah masih terus berusaha melakukan negoisasi untuk memulangkan WNI</t>
  </si>
  <si>
    <t>Enggan Dibunuh Pelan-pelan, WNI di Diamond Princess Kirim Pesan ke Jokowi</t>
  </si>
  <si>
    <t>@black__valley1 Hmmm:( indonesia dari dulu beragam bukan karna keturunan tionghoa jdi bkn indonesia, kalo dia WNI ya tetep warga indonesia msu keturunan apapun 😒 NKRI harga mati tapi rasis bukannya indonesia berbeda beda tapi tetep satu ya? Tampol nihhh kesel jadinya</t>
  </si>
  <si>
    <t>@nekonyansu oalahh isis 😂😂</t>
  </si>
  <si>
    <t>RT @kompascom: "Jangan mengikuti apa yang mereka inginkan, hanya sekedar secepatnya saja," kata Terawan.</t>
  </si>
  <si>
    <t>Ratusan WNI Kru Kapal Pesiar World Dream Dikarantina di Kepulauan Seribu - Berita Trans  lewat @beritatrans</t>
  </si>
  <si>
    <t>Menteri Kesehatan #Terawan Agus Putranto menyatakan jumlah WNI di kapal pesiar Diamond Princess yang positif virus corona bertambah menjadi total 9 orang dan dipastikan telah mendapatkan perawatan dari Pemerintah Jepang. #MostUpdate1058</t>
  </si>
  <si>
    <t>19 WNI tertahan di china, 9 diantaranya positif corona #corona #wni</t>
  </si>
  <si>
    <t>Pemerintah Indonesia dalam waktu dekat akan melakukan evakuasi tahap kedua kepada sejumlah WNI yang berada di dua kapal pesiar, yaitu Dream World di perairan dekat Pulau Bintan, Kepulauan Riau dan Diamond Princess di Yokohama, Jepang. #CNNIDNewsroom</t>
  </si>
  <si>
    <t>RT @tempodotco: Jumlah WNI yang terinfeksi virus corona di kapal pesiar Diamond Princess, bertambah. Jika sebelumnya jumlahnya empat orang, kini menjadi sembilan orang. #VirusCorona</t>
  </si>
  <si>
    <t>@zarazettirazr Disinilah sedihnya jadi WNI, negara lain mah sudah sigap untuk melayani warganya.</t>
  </si>
  <si>
    <t>@CNNIndonesia WNI sebagai kru di Kapal Pesiar di Jepang sudah gak kerasan dan ingin dijemput. MEREKA BERHARAP JOKOWI MENJEMPUT SEBELUM MAUT MENJEMPUT MEREKA.</t>
  </si>
  <si>
    <t>RT @snjayajonggrang: kalian kebangetan ya.! 😆 Tak Termasuk Rizieq, KBRI Riyadh Sukses Pulangkan 42 WNI Overstay Tanpa Denda Sepeserpun</t>
  </si>
  <si>
    <t>Nasib WNI yang berada di kapal pesiar mangkrak akibat virus covid-19 mulai terjawab. Pemerintah Indonesia mengirim tim penjemput 188 WNI yang berada kapal World Dream. Saksikan #PRIMETALKMETROTV "NEGOSIASI ALOT EVAKUASI WNI" Malam ini LIVE pukul 19.05 WIB. #Corona</t>
  </si>
  <si>
    <t>Gue kira kamp pelatihan ISIS................... RT @hendralm: biar apa?</t>
  </si>
  <si>
    <t>@rahmanariefs @rlthingy Isis misalnya</t>
  </si>
  <si>
    <t>@grmmrw lu gak pham sama apa yg gua mksd. mslh yg gua address adlh msh adanya pngngguran tp lapangan krja yg sehrsnya bs serap WNI malah diberikan ke TKA. Jijik bgt gua ujung-ujungnya nyuruh orng bljr bersyukur. lau sokap tong?</t>
  </si>
  <si>
    <t>Travel advisory dari Kementerian Luar Negeri untuk WNI yang akan ke Korea Selatan, khususnya Daegu dan Gyeongsang Bukdo, dua special care zones pasien virus corona di Korsel.</t>
  </si>
  <si>
    <t>Ribuan Prajurit ISIS di Suriah, Termasuk WNI Akan Diadili Maret 2020</t>
  </si>
  <si>
    <t>Dirut PT Kereta Cepat Indonesia China, Chandra Dwiputra menyatakan, ada tenaga kerja asal China yang tidak bisa ke Indonesia karena wabah Covid-19. Selain itu, bahan-bahan dari Tiongkok tidak bisa diimpor ke tanah air.</t>
  </si>
  <si>
    <t>RT @ardynshufi: Bhayangkara ada 5 pemain asing. Lee Yoo-joon sdg diupayakan naturalisasi. Di Indonesia sejak 2016, baru 4 tahun. Biasanya bisa dinaturalisasi kalau 5 tahun berturut-turut/10 tahun tidak berurut. Fabiano butuh satu musim untuk dapet WNI, kita nantikan berapa lama Lee dapet WNI :)</t>
  </si>
  <si>
    <t>@amiranaafilala @kompascom Kamu ISIS</t>
  </si>
  <si>
    <t>WNI di kapal pesiar Diamond Princess minta dijemput Jokowi: "Kami Seperti Dibunuh Pelan-pelan"  #coronavirus</t>
  </si>
  <si>
    <t>@apricotthalspi waduh bukan wni kali lu yak wkwkwkw</t>
  </si>
  <si>
    <t>Berita update: WNI POSITF COVID-19 DI JEPANG</t>
  </si>
  <si>
    <t>@noveliatyzan Kok km pesimis km bukan wni ya</t>
  </si>
  <si>
    <t>@bacotbgtsumpa Pendek kan punya keunggulan Zona lehernya kelihatan Selain cakep +10 Isis, kelewatan angin</t>
  </si>
  <si>
    <t>Pemerintah memberikan imbauan mengenai langkah-langkah pencegahan penularan corona</t>
  </si>
  <si>
    <t>@ISIS_Balik_NO @Dahnilanzar @jokowi @prabowo Eks kampret yg menolak menjadi kadrun. Okesip</t>
  </si>
  <si>
    <t>@ISIS_Balik_NO @Dahnilanzar @jokowi @prabowo Klu sudah begini bacotnya terdiam , dan vespa uduk pun terbengkalai 🤭🤮🤮🤮</t>
  </si>
  <si>
    <t>@ISIS_Balik_NO @Dahnilanzar @jokowi @prabowo Cairrr... Cairrr.. Pajak motor kebayar 😂</t>
  </si>
  <si>
    <t>RT @kabarpol: Pemerintah Akan Evakuasi WNI ABK World Dream ke Pulau Sebaru</t>
  </si>
  <si>
    <t>@zkyhna_ @jokowi 9 ABK WNI Kena Corona di Kapal Diamond Princess. Pemerintah Masih Nego Jepang untuk Pulangkan WNI ABK #DiamondPrincess." Menkes Terawan usai menghadap Presiden Joko Widodo ,  #HangInThereDiamondPrincess</t>
  </si>
  <si>
    <t>Jumlah WNI yang terinfeksi virus corona di kapal pesiar Diamond Princess, bertambah. Jika sebelumnya jumlahnya empat orang, kini menjadi sembilan orang. #VirusCorona</t>
  </si>
  <si>
    <t>RT @Metro_TV: #MetroHariIni WNI ABK Kapal Pesiar Diamond Princess di Yokohama, Jepang, pemerintah Indonesia menyatakan tidak ingin gegabah menjemput 74 WNI yang saat ini masih berada di kapal tersebut. #MetroTV</t>
  </si>
  <si>
    <t>Barusan liat tv. ada dr apex dong. Isi beritanya tentang RSDS lagi nyiapin ruangam buat WNI dari kapal pesiar Dream World yang keinfeksi COVID-19. hmm</t>
  </si>
  <si>
    <t>Kemenkes Tekankan Indonesia Tak Buru-buru Bawa Pulang WNI yang Dikarantina di Kapal Diamond Princess</t>
  </si>
  <si>
    <t>"Jangan mengikuti apa yang mereka inginkan, hanya sekedar secepatnya saja," kata Terawan.</t>
  </si>
  <si>
    <t>RT @895jizfm: #infoterkini hari ini di #santaisore, yaitu: -Pembina Pramuka SMPN 1 Turi Resmi Ditahan -WNI Kapal World Dream Akan Dikarantina di Kepulauan Seribu -Grebek Pabrik Pembuatan Narkoba di Bandung, 6 Orang Jadi Tersangka Streaming:</t>
  </si>
  <si>
    <t>@im_ojee @miqa0912 @faridmohmdMF @yettiaka Org2 kayak elu emang perlu di-gas. Lu jawab aja. Siapa yg ngasih otoritas elu mengintepretasikan org lain salah? Punya surat dari langit? Elu lihat tentara ISIS mengeksekusi perempuan2 yg ggk tdk menutup wajahnya. Pake jilbab aja dianggap msh salah.</t>
  </si>
  <si>
    <t>Menkes Terawan 'Keberatan' Evakuasi WNI di Diamond Princess, Ini Alasannya</t>
  </si>
  <si>
    <t>WNI di Diamond Princess Minta Dijemput Pakai Pesawat, Kemenhub Justru Usul Evakuasi Lewat Moda Laut</t>
  </si>
  <si>
    <t>#MetroHariIni WNI ABK Kapal Pesiar Diamond Princess di Yokohama, Jepang, pemerintah Indonesia menyatakan tidak ingin gegabah menjemput 74 WNI yang saat ini masih berada di kapal tersebut. #MetroTV</t>
  </si>
  <si>
    <t>RT @smartizen_: Dampak corona, tenaga kerja proyek kereta cepat asal China diganti WNI #coronavirus #keretacepat</t>
  </si>
  <si>
    <t>RT @Metro_TV: #MetroHariIni Pemerintah Indonesia bergerak mengevakuasi 188 WNI yan gjuga awak Kapal Pesiar World Dream dengan menggunakan KRI Dr. Soeharso. Nantinya para WNI ini akan menjalani observasi di Pulau Sebaru Satu, Kepulauan Seribu, DKI Jakarta. #MetroTV</t>
  </si>
  <si>
    <t>@Bijiganja Praja Muda ISIS</t>
  </si>
  <si>
    <t>#MetroHariIni KRI Dokter Soeharso memiliki fasilitas medis untuk mengevakuasi WNI dari Kapal Pesiar World Dream. Fasilitas dan sistem yang ada di kapal ini sudah disiapkan untuk menangani WNI apabila ada yang terinfeksi virus corona. #MetroTV</t>
  </si>
  <si>
    <t>#MetroHariIni Menteri Kesehatan, Terawan Agus Putranto menjelaskan alasan pemerintah mengevakuasi 188 WNI dari Kapal Pesiar World Dream dengan menggunakan KRI Soeharso sebagai bentuk kehati-hatian pemerintah agar Coviv-19 tidak menular ke masyarakat yang ada di daratan. #MetroTV</t>
  </si>
  <si>
    <t>RT @diVIDEOetImpera: Uni Afrika Penentu Nasib Palestina, Neo ISIS, West Papua, Taiwan (Part 3) Uni Afrika adalah pemain kunci negara baru di dekade 3 milenium 3 @Kemlu_RI @usembassyjkt @UKinIndonesia @DubesAustralia @israelindonesia @_AfricanUnion @Ronnie_Rusli @do_ra_dong @ratu_adil @JackVardan</t>
  </si>
  <si>
    <t>@bakpiah @mdverse Saya ahli sunnah wal jama'ah 😊 tapi menerima adanya Muhammadyah dan menolak Ahmadiyah dan isis ✊</t>
  </si>
  <si>
    <t>Kru WNI di Kapal Pesiar Diamond Princess minta DiEvakuasi.....( 24/2/2020, 14:37 WIB.</t>
  </si>
  <si>
    <t>Dan krn saat itu capres prabowo ditunggangi para hti pengusung syariah - khilafah dan isis. Seperti sblmnya, pilgub dki yg skrng sdh terbukti. RT @RustamIbrahim: Saya berpendapat, dukungan kaum minoritas kpd @jokowi dlm Pilpres 2019, spt terlihat di Bali, NTT, Papua, Sulut, Kalteng, etnis China dll., bkn krn mereka sdh sejahtera, tapi harapan perlindungan dari diskriminasi berdasar agama &amp; etnis. Kini mrk menunggu apa kebijakan Presiden.</t>
  </si>
  <si>
    <t>WNI Kru Kapal Diamond Princess Positif Corona Bertambah Lagi</t>
  </si>
  <si>
    <t>WNI di Diamond Princess: Pak Jokowi, Jangan Biarkan Kami Mati Perlahan</t>
  </si>
  <si>
    <t>Suriah nasibmu.. Diserbu ISIS, salah Suriah; ISISI kalah, Suriah tetap salah; Kini di bom Israel, tetap Suriah yang salah...</t>
  </si>
  <si>
    <t>Menkes: WNI yang akan dievakuasi dari kapal pesiar Diamond Princess dan World Dream akan diobservasi di Pulau Sebaru, Kepulauan Seribu. #Peristiwa #COVID2019 #Covid_19 #VirusCorona #KapalPesiar #DiamondPrincess #DreamWorld</t>
  </si>
  <si>
    <t>Kalau temen2 ini mau di karantina di Jepang, do it lah segera jangan biarkan mereka di kapal itu lah Pak, kebanyakan meeting!! Kondisi ngga fit juga kan bikin orang rentan terkena virus ini. Kalau orang down bisa rentan juga kali😏 #CoronavirusIndonesia</t>
  </si>
  <si>
    <t>@MiraHanafi90 @Nerchandise4 @hanifgenzo @emanhakim12 Isis tu israel nak rosakkan islam di mata orang kafir. Kenapa negara islam je ada hal macam tu? Sebab campurtangan luar lah nak rosakkan imej, pastu orang islam pun percaya segala news.</t>
  </si>
  <si>
    <t>Menkes: Lokasi Observasi WNI di Dua Kapal Pesiar di Pulau Sebaru</t>
  </si>
  <si>
    <t>@belindch @octania_ Mungkin aku yang salah mengartikan.. Disitu mas Ryan ditanyakan etnis nya.. Sedangkan beliau wni keturunan ( china)</t>
  </si>
  <si>
    <t>President Trump used this words during his speech till now...😍 Chai wala Swami Vivekanand Bollywood DDLJ Sachin Tendulkar Virat Kohli Sardar Patel Diwali Holi Gujarat Terrorism ISIS Radical Islamic Terrorism Pakistan #NamasteyTrump</t>
  </si>
  <si>
    <t>@PamanDobl4ng @ken_mrizal @BuddhisGL Blatung isis? Sepertinya saya setuju pernyayaan anda😅</t>
  </si>
  <si>
    <t>@sinnersatire @dailystar Kami wni sangat mengizinkan malaysia mengklaim manusia ini👍</t>
  </si>
  <si>
    <t>RT @RoyNasu63702098: Jemput mereka dek @jokowi WNI di Kapal Pesiar Diamond Princess Minta Dievakuasi, Ketakutan dan Tak Mau Mati Perlahan</t>
  </si>
  <si>
    <t>9 Orang WNI di Kapal Pesiar Diamond Princess Positif Corona</t>
  </si>
  <si>
    <t>Jemput mereka dek @jokowi WNI di Kapal Pesiar Diamond Princess Minta Dievakuasi, Ketakutan dan Tak Mau Mati Perlahan</t>
  </si>
  <si>
    <t>RT @PojokNU: Pemulangan Eks ISIS Ancam Keamanan Nasional</t>
  </si>
  <si>
    <t>Sudah Selesai Karantina Tapi Belum Dipulangkan, WNI di Diamond Princess Cuma Disuruh Sabar</t>
  </si>
  <si>
    <t>Pesan WNI Yang Ada di Kapal Diamond Princess Untuk Jokowi: Kami Juga Indonesia, Pak Presiden</t>
  </si>
  <si>
    <t>Pemerintah Utamakan Prinsip Kehati-hatian WNI kapal Pesiar, Terawan: Kita Tetap Green Zone Ya – Warta Kepri</t>
  </si>
  <si>
    <t>@narkosun Do u know bro, anak2 itu ga tau apa2 dan org tuanyalah yg mendorongnya utk jadi majusi, nasrani, termasuk jadi isis? Do they do wrong? Di mana nurani kalau kita tutup mata ga mau tau nasib mereka?</t>
  </si>
  <si>
    <t>Wabah Corona, 188 WNI Kru Kapal World Dream Dievakuasi ke Kepulauan Seribu</t>
  </si>
  <si>
    <t>Takut Mati Perlahan karena Virus Corona, WNI di Kapal Pesiar Diamond Princess Minta Dievakuasi</t>
  </si>
  <si>
    <t>Pemulangan WNI di kapal pesiar tersebut menunggu keputusan dari rapat koordinasi dengan kementerian terkait</t>
  </si>
  <si>
    <t>Wabah Covid-19 Merebak, WNI di Korsel Diminta Tingkatkan Kewaspadaan</t>
  </si>
  <si>
    <t>RT @RadioElshinta: Menko PMK Muhadjir Effendy memimpin Rapat koordinasi Tingkat Menteri tentang Pemulangan WNI ABK Kapal World Dream Di Kantor Kemenko PMK, Jakarta, Senin (24/2). (Asb) #ElshintaEdisiSiang</t>
  </si>
  <si>
    <t>@detikcom @HusinShihab Salah pemahaman ttg NKRI ya ujungnya sprt ini. Ditanbah produk kebencian yg didapatnya dr komunitas hidup yg radikal akan membuat jiwanya tak normal. Sama dgn ISIS EKS WNI itu, mrk menyimpang pemahaman krn komunitas hidupnya yg extrim dan radikal dlm memberi kebencian.</t>
  </si>
  <si>
    <t>Menkes: WNI dari Diamond Princess dan World Dream akan Diobservasi di Pulau Sebaru</t>
  </si>
  <si>
    <t>[INFOGRAFIS] Evakuasi 188 WNI ABK Kapal World Dream Guna Cegah Penularan Virus Corona</t>
  </si>
  <si>
    <t>@Felyyceia @sherlanova @KienAnd_ namun ketika sebutan China , memang terkesan becanda tapi lama2 jadi rasis apalagi ditambahi dengan org China pasti makan babi, org China cuma numpang di Indonesia, padahal kami juga dibebankan pajak sebagai WNI, org China kaya pdhl kami kerja keras</t>
  </si>
  <si>
    <t>KBRI Beijing: 19 WNI Masih Tertahan di Daerah Terisolasi China</t>
  </si>
  <si>
    <t>WNI yang masih dikapal (kapal yg kena virus corona) minta dievakuasi, udah ada 3 wni yg +corona. Besok kalau mereka (wni lainnya) dievakuasi dan dikarantina pasti bakalan rame:)))</t>
  </si>
  <si>
    <t>RT @fadlizon: Tunggu apalagi, WNI harus dipulangkan n diselamatkan. Negara2 lain melakukan, knp kita lamban?</t>
  </si>
  <si>
    <t>Menteri Kesehatan : 9 WNI Positif Virus Corona di Jepang -</t>
  </si>
  <si>
    <t>Duh Sembilan WNI Positif Terinfeksi Corona di Jepang</t>
  </si>
  <si>
    <t>@tapiBajaa @yrrrlf @joo_fisabil iya ngakak aja, emang gitu isis mh dikit² maen bomb</t>
  </si>
  <si>
    <t>@ChusnulCh__ @MichaelHarto77 @jokowi @fadjroeL @KemenkesRI Semoga Segera Sembuh WNI yg terjangkit Corona ,Amin.</t>
  </si>
  <si>
    <t>RT @eggyarrhmn: @Uki23 Saya rasa ga pantes teriak-teriak “NKRI harga mati!” kalo masih aja rasis kayak di video tersebut, terlebih ke sesama WNI. Yang ada Indonesia malah hancur akibat kelakuan kayak gitu.</t>
  </si>
  <si>
    <t>RT @antaranews_bali: Pemerintah akan evakuasi WNI dari dua kapal pesiar: Menteri Koordinator bidang Pembangunan Manusia dan Kebudayaan Muhadjir Effendy menyatakan pemerintah akan mengevakuasi seluruh Warga Negara Indonesia (WNI) yang berada pada dua kapal pesiar yakni…</t>
  </si>
  <si>
    <t>@BobbyIrwanda @jokowi Pemerintah sudah bertindak kok Mas. KRI Soeharso dikirimkan untuk mengevakuasi WNI di Kapal Diamond Princess.</t>
  </si>
  <si>
    <t>Keterangan Pers Menko PMK dan Menkes Terkait Evakuasi WNI ABK World Dream</t>
  </si>
  <si>
    <t>Pemerintah akan evakuasi WNI dari dua kapal pesiar: Menteri Koordinator bidang Pembangunan Manusia dan Kebudayaan Muhadjir Effendy menyatakan pemerintah akan mengevakuasi seluruh Warga Negara Indonesia (WNI) yang berada pada dua kapal pesiar yakni…</t>
  </si>
  <si>
    <t>@jokowi PAK SEGERA EVAKUASI WNI ABK DIAMOND PRINCESS 😭😭😭😭</t>
  </si>
  <si>
    <t>RT @okezonenews: Minta Segera Dievakuasi, WNI Kru Diamond Princess: Kami Ibarat Dibunuh Pelan-Pelan #TauCepatTanpaBatas #BeritaTerkini #International #BeritaInternasional .</t>
  </si>
  <si>
    <t>@narkosun @syam2s KPAI = Komisi Pembela Afiliasi Isis</t>
  </si>
  <si>
    <t>Kemenhub Usul Pemulangan WNI di Kapal Diamond Princess Gunakan Jalur Laut</t>
  </si>
  <si>
    <t>Dampak Virus Corona, Pekerja Proyek Kereta Cepat Diganti WNI</t>
  </si>
  <si>
    <t>Secara pribadi saya mencurigai berbagai pola2 strategi ISIS mulai diterapkan di Indonesia..adanya Pjbt bertindak Mbalelo/Ngawur... Fitnah2.. Hinaan2 dan hujatan thd simbol2 Negara tanpa ada rasa hormat dan takut...Ini sengaja mereka terapkan agar terjadi Cheos..Gaduh dan Rusuh...</t>
  </si>
  <si>
    <t>@KiputKingg @s4ng_pn4kLuk Ketika WNI masih banyak pengangguran apakah layak mempekerjakan warga asing untuk bidang pekerjaan yg mampu dikerjakan WNI?</t>
  </si>
  <si>
    <t>@hnurwahid @jokowi Paling WNI Cina,yg lagi dikapal pesiar,pribumi mana mampu untuk plesiran dgn kapal pesiar mewah.</t>
  </si>
  <si>
    <t>KBRI Tokyo Minta WNI di Jepang Tak Pasif Hadapi Ancaman Virus Corona</t>
  </si>
  <si>
    <t>Evakuasi akan dilakukan menggunakan kapal untuk mencegah penularan virus corona</t>
  </si>
  <si>
    <t>WNI di Diamond Princess Memohon Dievakuasi, Menhub Janji Bakal Diputus Besok</t>
  </si>
  <si>
    <t>RT @tubirfess: 2beer! Gue sih kurang setuju kalo yg posiif kena corona ini balik. Presiden jg molor kasih pertimbangan bs jadi karena ragu. Sama kaya kasus ISIS, malah corona lebih bahaya dari ISIS. 😔</t>
  </si>
  <si>
    <t>RT @kompascom: Penambahan jumlah WNI di kapal pesiar Diamond Princess yang terinfeksi virus corona juga telah dibenarkan Kementerian Luar Negeri.</t>
  </si>
  <si>
    <t>RT @virgofox_yj99: @TXTMenfesss Itu video saat WNI dari Wuhan yg transit dan harus kembali naik pesawat ke pulau tempat karantina. Dan mereka di karantina selama 2 minggu. Kalau penyebaran bisa dihentikan semudah itu, kasus corona di korea nggak bakal nyampe 700-an. Lebih baik ditunda</t>
  </si>
  <si>
    <t>Kalo NKRI harga mati nggak begini caranya juanedi, tidak dengan merundung etnis lain. Etnis China bukan berarti orang China. Bahkan WNI keturunan china bisa lebih Indonesia daripada pribumi sendiri. Nggak pernah belajar PKN kali ya ni orang. RT @black__valley1: Abang yg baju hitam ini brkebutuhan kusus, di buli sama orng yg baju merah, videonya cuman sbntr karna yg merekam hrus slamatin abang yg baju hitam, karna mau di timpuk menggunakan batu, bnyk orng di situ tapi gk mau misahin mereka, yg ada malah teriak hbisin ada yg teriak bakar</t>
  </si>
  <si>
    <t>@wildanrmdhon Iya iya WNI</t>
  </si>
  <si>
    <t>Menko PMK Muhadjir Effendy memimpin Rapat koordinasi Tingkat Menteri tentang Pemulangan WNI ABK Kapal World Dream Di Kantor Kemenko PMK, Jakarta, Senin (24/2). (Asb) #ElshintaEdisiSiang</t>
  </si>
  <si>
    <t>RT @dwiyanaDKM: Dari Sarjana Tehnik (ST) diploma IV gizi, magister pendidikan anak usia dini (M.Pd) lalu doktoral manajemen SDM. Pantes aja dia asal jeplak ttg kehamilan, latar belakang pendidikannya gk ada yg sinkron sjk program sarjana strata satu smp doktoral. Duh 🙄 #PecatSittiHikmawatty</t>
  </si>
  <si>
    <t>Pemerintah Putuskan Evakuasi 188 WNI dari Kapal Pesiar World Dream, Muhadjir : Semua Kru Negatif Terpapar Virus Corona</t>
  </si>
  <si>
    <t>Ratusan WNI di Kapal Pesiar World Dream Akan Dievakuasi ke Pulau Tak Berpenghuni</t>
  </si>
  <si>
    <t>RT @snsdfess: Mari kita berdoa gengs Semoga ini gak positif Semoga warga korsel semua baik2 aja Semoga WNI disana juga sehat2 Dan paling penting semoga Uri Soshi sehat selalu🥺 /snsd/</t>
  </si>
  <si>
    <t>WNA : • Surat permohonan dari sponsor, perusahaan, atau lembaga yang mempekerjakan, menggunakan atau bertanggung jawab pada WNA tersebut. • KTP dan surat nikah apabila sponsor merupakan WNI (suami/istri) (Asli dan Fotocopy) • Fotocopy Passport.</t>
  </si>
  <si>
    <t>RT @Jokoumb64504158: @gher_s @SetiaAdy_p @2024GanjarRisma @evisuryanti10 @MOMDian2 @wantahgdn @RizkiR4madani @Edward07011971 @dfajry01 @BHD_8 @felixaaf1 @JohnIrwan4 @MaryanaNunung @BHoaxx @Roroarumi3 @APLpangeran00 @RanangMbs @periani @TukangMu @AriestaRiico @aguzts_ @CANDAdanBISNIS @APLpangeran1 @edward_7011971 @bhenytarika28 @AaLembur @MukhtarLuthfi12 @lukmanalwahid @LukmanHarijanto @dwija_pangarsa @Galih_Akek @So3daRn0 @Dickusnadi1 @sofiankawar1 @Yul3h4 @RazkaFaiz @PLiantini @Zulfika35354359 @babegalak1 @HeriSu19 @mamiagarislucu @SultanAnjar @BayuErrianto @jubrik844 @positive_values @kasrulsani9 @CCICPolri @BareskrimPolri @DivHumas_Polri @jokowi Agaknya pola pola ISIS sdh mulai mereka terapkan..utamanya dg cara memancing hujatan via medsos...</t>
  </si>
  <si>
    <t>@gher_s @SetiaAdy_p @2024GanjarRisma @evisuryanti10 @MOMDian2 @wantahgdn @RizkiR4madani @Edward07011971 @dfajry01 @BHD_8 @felixaaf1 @JohnIrwan4 @MaryanaNunung @BHoaxx @Roroarumi3 @APLpangeran00 @RanangMbs @periani @TukangMu @AriestaRiico @aguzts_ @CANDAdanBISNIS @APLpangeran1 @edward_7011971 @bhenytarika28 @AaLembur @MukhtarLuthfi12 @lukmanalwahid @LukmanHarijanto @dwija_pangarsa @Galih_Akek @So3daRn0 @Dickusnadi1 @sofiankawar1 @Yul3h4 @RazkaFaiz @PLiantini @Zulfika35354359 @babegalak1 @HeriSu19 @mamiagarislucu @SultanAnjar @BayuErrianto @jubrik844 @positive_values @kasrulsani9 @CCICPolri @BareskrimPolri @DivHumas_Polri @jokowi Agaknya pola pola ISIS sdh mulai mereka terapkan..utamanya dg cara memancing hujatan via medsos...</t>
  </si>
  <si>
    <t>@Vmariaw @black__valley1 Temen2 saya banyak orang China WNI dan saya belajar banyak dari mereka mengenai komitmen, kerja keras dan konsistensi. Ya sangat betul, kalau mau sukses ya usaha bukan nyalahin</t>
  </si>
  <si>
    <t>@fadlizon Zonk.. zonk.. kamu gampang aja ngomong, entar kalo WNI itu ada apa2nya paling kamu duluan yang berkoar koar nyalahin pemerintah. Zonk..zonk... gobloknya jangan dipelihara. Kamu yg sabar Pemerintah akan bekerja dgn baik koq atas kepulangan WNI kita.</t>
  </si>
  <si>
    <t>@grmmrw @Herdul2 @tuadiartha @arif1eca @jokowi Angka pngangguran Indonesia fakta, ada TKA cina jg fkta. Apalagi mnurut invstigasi ombudsman bnyk TKA yg jd pkrja kasar. Poinnya adlh knp gak ksh itu krjaan ke WNI?</t>
  </si>
  <si>
    <t>Sembilan WNI Terinfeksi Virus Corona Dirawat di Jepang</t>
  </si>
  <si>
    <t>Ratusan WNI Kru Kapal Pesiar World Dream Dikarantina di Kepulauan Seribu</t>
  </si>
  <si>
    <t>@null WNI di Diamond Princess Memohon Dievakuasi, Menhub Janji Bakal Diputus Besok</t>
  </si>
  <si>
    <t>RT @vivanewscom: Virus Corona: 180 WNI Kru Kapal Pesiar Dikarantina di Kepulauan Seribu  #vivanews</t>
  </si>
  <si>
    <t>next (WNI...) dengan berpakaian sopan berkerah dan tampak muka jelas. begitu pula bagi yang berhijab/berkerudung harus tampak muka jelas. • Passport (Jika punya) • Kartu Keluarga (KK Asli dan Fotocopy) • Akte Kelahiran/ Ijazah (Asli dan Fotocopy)</t>
  </si>
  <si>
    <t>syarat untuk berkas2 yang akan kamu bawa untuk bikin SKCK di bedain juga yap untuk WNI dan WNA : WNI • KTP (Asli dan Fotocopy) • Pas foto berwarna dengan background merah berukuran 4x6 sebanyak (6 lembar kalau kalian ke polres tapi kalau kalian ke polsek 4 lembar aja)</t>
  </si>
  <si>
    <t>Ya ampun bang, jangan buang² kuota. Panglima kan sudah kasih tombol emas ke pendukung isis pas tes akmil. RT @muktarlim: Letkol Aloysius Sandi Dihukum Penjara Usai mengungkapkan keprihatinannya melalui surat terbuka untuk presiden @jokowi panglima ABRI @Puspen_TNI Kapolri @DivHumas_Polri #RIPToleransiIndonesia</t>
  </si>
  <si>
    <t>@Jokoumb64504158 @SetiaAdy_p @2024GanjarRisma @evisuryanti10 @MOMDian2 @wantahgdn @RizkiR4madani @Edward07011971 @dfajry01 @BHD_8 @felixaaf1 @JohnIrwan4 @MaryanaNunung @BHoaxx @Roroarumi3 @APLpangeran00 @RanangMbs @periani @TukangMu @AriestaRiico @aguzts_ @CANDAdanBISNIS @APLpangeran1 @edward_7011971 @bhenytarika28 @AaLembur @MukhtarLuthfi12 @lukmanalwahid @LukmanHarijanto @dwija_pangarsa @Galih_Akek @So3daRn0 @Dickusnadi1 @sofiankawar1 @Yul3h4 @RazkaFaiz @PLiantini @Zulfika35354359 @babegalak1 @HeriSu19 @mamiagarislucu @SultanAnjar @BayuErrianto @jubrik844 @positive_values @kasrulsani9 @CCICPolri @BareskrimPolri @DivHumas_Polri @jokowi kek nya dah jd rencana...buktinya kmrn demo da banyak anak kcl tuh...blm lg anak kcl yg bnr2 br bs ngom da di atas truk demo nya...ga bda jauh ma isis...di didik sejak dini.</t>
  </si>
  <si>
    <t>Penambahan jumlah WNI di kapal pesiar Diamond Princess yang terinfeksi virus corona juga telah dibenarkan Kementerian Luar Negeri.</t>
  </si>
  <si>
    <t>RT @Metro_TV: KRI Soeharso berangkat utk mengevakuasi 188 WNI dari kapal pesiar World Dream di perairan Bintan. KRI akan membawa WNI tersebut ke Natuna, Kepulauan Riau utk jalani observasi. Para WNI ini telah mendapat sertifikat kelayakan utk kesehatan di Yokohama, Jepang. #HeadlineNewsMetroTV</t>
  </si>
  <si>
    <t>188 WNI ABK Kapal Pesiar World Dream Ditempatkan di Pulau Tak Berhuni</t>
  </si>
  <si>
    <t>Pemerintah tengah bernegosiasi dengan Jepang untuk memulangkan 74 WNI kru kapal Diamond Princess yang menjadi episentrum baru penyebaran virus corona.</t>
  </si>
  <si>
    <t>Menkes Sebut 9 WNI di Jepang Dirawat karena Virus Korona #TauCepatTanpaBatas #BeritaTerkini #Berita #News #BeritaNasional .</t>
  </si>
  <si>
    <t>@Kadalgurun1990 @LeBrekele @kondekturbus_ @ISIS_Balik_NO @nety_rusi @aniesbaswedan @Paltiwest @kokokdirgantoro @BadjaNuswantara @ulinyusron @tangan_kir1 @tolakbigotnkri @StellaSuwardi @Twit_Opini @IraSKaminsky Kodok goblok</t>
  </si>
  <si>
    <t>Ini Alasan Pemerintah Evakuasi Terlebih Dahulu 188 WNI ABK Kapal World Dream</t>
  </si>
  <si>
    <t>Pengembalian WNI Kru Kapal World Dream, Menhub Masih Pertimbangankan Transportasi</t>
  </si>
  <si>
    <t>Bhayangkara ada 5 pemain asing. Lee Yoo-joon sdg diupayakan naturalisasi. Di Indonesia sejak 2016, baru 4 tahun. Biasanya bisa dinaturalisasi kalau 5 tahun berturut-turut/10 tahun tidak berurut. Fabiano butuh satu musim untuk dapet WNI, kita nantikan berapa lama Lee dapet WNI :) RT @detiksport: Bhayangkara FC secara resmi meluncurkan skuatnya untuk mengarungi Shopee Liga 1 2020. Total ada 32 pemain yang diperkenalkan. #Liga1 #BhayangkaraFC</t>
  </si>
  <si>
    <t>19 WNI Masih Tertahan di Pedalaman Tiongkok #BacaIndoposAja #VirusCorona</t>
  </si>
  <si>
    <t>Para kaum In-CELEK To All, adlh org² trpelajar &amp; brpendidikan, ustad(KAFIR), para pngajar(guru), para pgawai pmerintahan yg mngusung ajarn KHILAFAH SESAT &amp;amp; brpatok pda ISIS. Mrk slalu sbar brita² HOAX, FITNAH, slalu mmutarbalikkan FAKTA &amp;amp; amat sngat bnci umat agama lain</t>
  </si>
  <si>
    <t>@jokowi Bapak presiden tolong bantu,teman teman kami para keluarga WNI yang berjuang dijepang mohon bantuan nya 🙏🙏🙏🙏</t>
  </si>
  <si>
    <t>Alasan Pemerintah Lebih Dahulu Evakuasi WNI di Kapal World Dream #TauCepatTanpaBatas #BeritaTerkini #Berita #News #BeritaNasional .</t>
  </si>
  <si>
    <t>Bokap Aceh, suami Aceh Padang, agama Islam, pilpres kaga milih Jokowi, pilkada kagak milih Ahok, pileg kagak milih PDIP Untung kaga dicabut aja ini udah status WNI sayah 🤣</t>
  </si>
  <si>
    <t>@GiaPratamaMD dok, udah ada update kabar tentang WNI yang kemarin terkena COVID? yang di Singapura sama Jepang. bagaimana perkembangannya? apakah mereka sudah sembuh?</t>
  </si>
  <si>
    <t>Analisis: pemerintah perlu memulangkan keluarga eks ISIS</t>
  </si>
  <si>
    <t>RT @antaranews: "Kalau orang sehat tak apa. Orang sehat ya kita terima. Itu hanya persyaratan harus diobservasi aja. Tidak ada masalah," kata Bupati Natuna. #Covid_19</t>
  </si>
  <si>
    <t>@samhudibae Lama kelamaan ada juga kerinduan KPAI terhadap gerombolan ISIS</t>
  </si>
  <si>
    <t>@KemenkesRI silahkan !!! WNI ad di sana,di tunggu tindakan selanjutnya... RT @BobbyIrwanda: @jokowi tolong diperhatikan WNI krew kapal ini. Tinggal mereka yang belum jelas kapan akan dijemput oleh negaranya, jumlah yang sakit dari 4 sudah menjadi 9. Di kapal tinggal tersisa krew dri filipina, india &amp; indonesia. Hanya tinggal Indonesia saja yang blm jelas nasibnya.</t>
  </si>
  <si>
    <t>@black__valley1 Ya Allah, gk punya akal, hati, dan pikiran bpk baju merah it Gk ngerti apa atau sengaja mau marah2 sm orng berkebutuhan khusus yg *maaf gk mampu jawab semua it. Cb noh lu protes sm yg bersangkutan. Berani kagak?! Mana bawa2 unsur SARA lagi. Itu Ras jg WNI kali pak Susah idupmu</t>
  </si>
  <si>
    <t>Menteri Kesehatan Terawan Agus Putrano menyebutkan bahwa warga negara Indonesia (WNI) yang akan dievakuasi dari kapal pesiar Diamond Princess dan World Dream akan diobservasi di Pulau Sebaru, Kepulauan Seribu. #Corona</t>
  </si>
  <si>
    <t>Dibalik tiket 600rb pp  Ohhh whyyyyyyyyyy</t>
  </si>
  <si>
    <t>@3kucing Air asiaaalaaaa. Gamungken garuda hahaha Tapi kemudian aku tau sebabnya</t>
  </si>
  <si>
    <t>RT @isalfatur: @BBCIndonesia "Semua orang pernah membuat kesalahan" wow gampang banget ngomongnya.., apakah dia berani ngomong ini di depan orang2 suriah dan iraq yg dibunuh sama ISIS??? ke keluarga2 mereka? ke orang2 kurdi yg dijadiin budak?</t>
  </si>
  <si>
    <t>RT @cnbcindonesia: Bukan Natuna, WNI ABK World Dream Dievakuasi di Pulau Seribu</t>
  </si>
  <si>
    <t>RT @achmadsidiqasad: @BBCIndonesia Wacana pemerintah memulangkan WNI simpatisan ISIS apakah mendesak? Mengingat kita belum memiliki satu mekanisme yang teruji secara ilmiah dalam rangka deradikalisasi. Dengan situasi seperti ini saya malah khawatir akan menjadi bom waktu bagi Indonesia.</t>
  </si>
  <si>
    <t>RT @BayDawi: @3_devout @blackpink828 Si Nada bisa punya cita2 jadi dokter..gak jd dokterpun badan dia masih normal..lah ini anak2 kecil korban bom isis..jg banyak yg punya cita2 tapi gara2 ulah ISIS hancur hidup mereka.. mikir gak banyak yg mati dan cacat seumur hidup..bisa2nya simpati sama air mata anak pelaku</t>
  </si>
  <si>
    <t>@pikiran_rakyat NKRI HARGA MATI tapi ga bodoh juga, bisa bedain mana china daratan mana keturunan china yg wni</t>
  </si>
  <si>
    <t>Menkes Terawan menerangkan ada 9 WNI di Jepang yg terkena wabah corona "WNI yg kena dirawat oleh pemerintah Jepang, sembilan orang," ujar Terawan Mereka adalah kru kapal pesiar Diamond Princess yg berada di Jepang Nah, sudah gak bisa menyangkal lagi</t>
  </si>
  <si>
    <t>Minta Dijemput Jokowi, WNI di Diamond Princess: Jangan Biarkan Kami Sakit dan Mati Perlahan-lahan</t>
  </si>
  <si>
    <t>Korea selatan jadi negara diluar daratan china dgn kasus Corona Virus terbanyak ... Tetap hati2 utk semua WNI yg tinggal disana. Terutama yg stay di daegu #Agnation #BestFanArmy #iHeartAwards</t>
  </si>
  <si>
    <t>@tubirfess Klo mnurut Saya ISis tetap lebi bahaya drpd korona karena korona tidak begitu memabukkan. Gatau klo mnurut otakmu yang gempil itu</t>
  </si>
  <si>
    <t>Kapan WNI di Diamond Princess dievakuasi?</t>
  </si>
  <si>
    <t>RT @republikaonline: Pemerintah pilih berhati-hati memulangkan WNI dari Diamond Princess.</t>
  </si>
  <si>
    <t>@rlthingy Nyeker lebih isis</t>
  </si>
  <si>
    <t>Kenapa WNI di World Dream lebih dulu dari Diamond Princess?</t>
  </si>
  <si>
    <t>RI masih Negosiasikan Evakuasi WNI dari Kapal Diamond Princess</t>
  </si>
  <si>
    <t>@muhficki Rumornya Anderson Salles, kalo Marc Klok udh wni</t>
  </si>
  <si>
    <t>RT @TSpartan99: Monas itu cagar budaya yang harus dilestarikan. Gabener @aniesbaswedan ingin merusak cagar budaya itu dengan dalih balapan Formula E. Mentalitas tidak menghargai budaya itu mentalitas neo khawarij ISIS. ISIS hancurkan banyak cagar budaya berusia ratusan tahun di Irak dan Suriah.</t>
  </si>
  <si>
    <t>RT @KontanNews: Sri Mulyani sudah kantongi data transaksi WNI di luar negeri Rp 3.684,7 triliun</t>
  </si>
  <si>
    <t>Wow first kelas kena sidai ngan lect 😂😂😂😂</t>
  </si>
  <si>
    <t>Pemerintah pilih berhati-hati memulangkan WNI dari Diamond Princess.</t>
  </si>
  <si>
    <t>WNI dari Diamond Princess dan World Dream Akan Diobservasi di Pulau Sebaru  lewat @sayangicom</t>
  </si>
  <si>
    <t>Dunia yang Adil di Mata ISIS</t>
  </si>
  <si>
    <t>KJRI Kuching Kembali Mengimbau Kepada WNI di Sarawak, Malaysia. #IniDiplomasi @Kemlu_RI #NegaraMelindungi #IndonesianWay</t>
  </si>
  <si>
    <t>@teudoongii di indonesianya gatau ada apa engga, tp wni ada yg kena</t>
  </si>
  <si>
    <t>"Kalau orang sehat tak apa. Orang sehat ya kita terima. Itu hanya persyaratan harus diobservasi aja. Tidak ada masalah," kata Bupati Natuna. #Covid_19</t>
  </si>
  <si>
    <t>Wanita Jepang Positif Virus Corona setelah Turun dari Kapal Diamond Princess, Bagaimana Nasib WNI?  lewat @tribunnews</t>
  </si>
  <si>
    <t>@Puteriswift_ Kau baru ckp ngan cermin ke tu?</t>
  </si>
  <si>
    <t>Sudah Selesai Karantina Tapi Belum Dipulangkan, WNI di Diamond Princess Cuma Disuruh Sabar  #BeritaIslam #eramuslim</t>
  </si>
  <si>
    <t>@tubirfess Padahal denger denger pemerintah lagi rapatin buat jemput WNI yang terisolasi di Jepang</t>
  </si>
  <si>
    <t>RT @arlinabanana: I rasa nak peluk semua perempuan yang tengah try to lose weight. I know how stressful it is to tahan lapar &amp; deal dgn cravings time period. Tak masuk lagi yang struggle dengan PCOS &amp;amp; other hormonal issues. Pastu gi kenduri tetiba org tegur pasal badan!!! Semak tau.</t>
  </si>
  <si>
    <t>RT @AzminAli: Kami, Ahli-Ahli Parti Keadilan Rakyat (KEADILAN) mengisytiharkan keluar daripada KEADILAN dan muafakat Pakatan Harapan bagi membentuk sebuah blok bebas di Parlimen.</t>
  </si>
  <si>
    <t>@widjayayoh Kasian kucingnya masi kecil udah jadi anggota isis</t>
  </si>
  <si>
    <t>RT @Vwi_Vwi: JKW bilang gak ada beban lagi. kirain mo mati2an dgn revolusi mental nya...eh gak taunya mati2 an dgn rekonsiliasi nya. buktinya para pelaku makar dn perusuh dirangkuli bukan dihukum berat. buktinya teroris ISIS mo diterima pulang..periode ke 2 mlh kacau</t>
  </si>
  <si>
    <t>@margareena_ Merinding 😰 secepat itu penyebarannya. Semoga WNI aman dan tetap sehat. Member EXO jugaa, semoga sehat, enggak terjangkit virus itu 😭</t>
  </si>
  <si>
    <t>RT @kompascom: Kemenlu mengeluarkan imbauan bagi WNI terkait dengan perjalanan dan situasi di Korea Selatan karena virus corona.</t>
  </si>
  <si>
    <t>RT @501Awani: [TERKINI] Tun Dr Mahathir Mohamad letak jawatan sebagai Perdana Menteri ke-7. Surat peletakan jawatan telah dihantar pada YDP Agong sekitar jam 1 tengah hari tadi. [BERITA LANJUT MENYUSUL]</t>
  </si>
  <si>
    <t>Pemerintah akan evakuasi WNI dari kapal Diamond Princess dan World Dream</t>
  </si>
  <si>
    <t>@TR_RYUJIN01 Iya~ WNI bebas visa sebulan jga klo ke sana~</t>
  </si>
  <si>
    <t>19 WNI Masih Tertahan di Wilayah Terisolasi Harbin China</t>
  </si>
  <si>
    <t>@VICE_ID Betul ini problem internasional, kasihan pemerintah suriah jika dunia lepas tangan dari problem ini karena wilayah suriah hanya sebagai objek atau tempat saja. Semoga ada jalan tengah yg baik antara eks isis, pemerintah suriah dan masyarakat dunia.</t>
  </si>
  <si>
    <t>RT @IndonesiaRAW: Setelah Wuhan, Pemerintah Segera Evakuasi WNI dari Kapal Pesiar Diamond Princess di Yokohama #EvakuasiWNIYokohama</t>
  </si>
  <si>
    <t>Pemerintah Akan Evakuasi 188 WNI ABK World Dream ke Pulau Sebaru</t>
  </si>
  <si>
    <t>RT @mboy72: WNI Kru Kapal Pesiar Diamond Princess menitipkan melalui @abcaustralia_id video yang ditujukan kepada Presiden @jokowi. Para kru meminta pemerintah Indonesia segera menjemput mereka dari Yokohama, Jepang. #ReshufflePengalihanIsu #ReshufflePengalihanIsu Repost: vyr4.w43e</t>
  </si>
  <si>
    <t>@tubirfess (((sama kaya kasus isis, malah corona lebih bahaya dari isis)))) lah gaada org yg mau kena corona, lah kalo teroris mereka secara sadar memutuskan buat jadi anggotanya wkwwkkw</t>
  </si>
  <si>
    <t>Presiden Jokowi memerintahkan semua pihak untuk mempersiapkan evakuasi tahap 2 WNI yang menjalani masa karantina di Kapal Diamond Princess di Yokohama #EvakuasiWNIYokohama</t>
  </si>
  <si>
    <t>@tubirfess Mentri : pak WNI kita minta dijemput  : bentar mam kari kambing dulu..</t>
  </si>
  <si>
    <t>Dampak Korona, Pekerja Tiongkok di Proyek Kereta Cepat Diganti WNI</t>
  </si>
  <si>
    <t>@VICE_ID Dahulu Ketika ISIS Lagi Jaya-jayaNya, MEREKA Dengan SombongNya Tidak Mengakui DiriNya Lagi Sebagai Seorang WNI (Membakar PASSPORT) Jelas-jelas STATUS MEREKA Sekarang Sudah STATELESS. Lebih Baik MEREKA Semua Di HUKUM Saja Sesuai Dengan PENGADILAN Yang Berlaku.</t>
  </si>
  <si>
    <t>RT @weirdoritos: @tubirfess kalo soal pemerintah buat pulangin WNI di Diamond Princess kan emang lagi diusahain? Bahkan ada pilihan mau pake pesawat terbang atau kapal rumah sakit milik TNI AL. Pernah lihat berita ga sih?</t>
  </si>
  <si>
    <t>Sekedar meneruskan, semoga di baca oleh Pak Presiden @jokowi Teriakan pilu #WNI di #Jepang</t>
  </si>
  <si>
    <t>RT @tempodotco: Pemerintah mengajukan sejumlah permintaan kepada pemerintah Jepang soal WNI awak kapal Diamond Princess, namun belum berbalas. #VirusCorona</t>
  </si>
  <si>
    <t>Pemerintah mengajukan sejumlah permintaan kepada pemerintah Jepang soal WNI awak kapal Diamond Princess, namun belum berbalas. #VirusCorona</t>
  </si>
  <si>
    <t>Dampak corona, tenaga kerja proyek kereta cepat asal China diganti WNI #coronavirus #keretacepat</t>
  </si>
  <si>
    <t>WNI Kru Kapal Pesiar World Dream Bakal Diobservasi di Pulau Sebaru di Kepulauan Seribu  lewat @wartakotalive</t>
  </si>
  <si>
    <t>@tubirfess Corona lebih bahaya dari isis? WKWKKWKWKWKWKWKWKW sehat lu</t>
  </si>
  <si>
    <t>... ya Allah, paham nggak sih kenapa ISIS dilarang balik? Nggak ngeliat di WikiLeaks parahnya gimana ya? Lagian masalah Corona sama ISIS konteksnya beda. Nggak bisa disangkut paut. RT @tubirfess: 2beer! Gue sih kurang setuju kalo yg posiif kena corona ini balik. Presiden jg molor kasih pertimbangan bs jadi karena ragu. Sama kaya kasus ISIS, malah corona lebih bahaya dari ISIS. 😔</t>
  </si>
  <si>
    <t>Lepas LTTE, semak kes babit Isis — Syahredzan Johan | ProjekMM</t>
  </si>
  <si>
    <t>RT @kompascom: "Lokasi sudah diterapkan dan disiapkan, yaitu di Kepulauan. Ada pulau yang tidak berpenghuni, di Sebaru 1,"</t>
  </si>
  <si>
    <t>@oxfara terkait ada sistem deteksi yg tdk baik. bukankah di beritakan saat karantina WNI sudah sesuai standar WHO?</t>
  </si>
  <si>
    <t>Diturunkan dari Kapal Pesiar World Dream Dekat Perairan Bintan,188 WNI Diangkut ke Pulau Tak Berpenghuni</t>
  </si>
  <si>
    <t>2beer! Gue sih kurang setuju kalo yg posiif kena corona ini balik. Presiden jg molor kasih pertimbangan bs jadi karena ragu. Sama kaya kasus ISIS, malah corona lebih bahaya dari ISIS. 😔 RT @tubirfess: 2beer! Trump ini parah, bahkan dia menolak WN mereka dijemput! Ini pelanggaran HAM, tapi ya jelas Trump begitu org nya, masalahnya presiden kita juga gitu?</t>
  </si>
  <si>
    <t>Pemerintah RI dan Jepang masih bicarakan soal waktu evakuasi WNI di Diamond Princes.</t>
  </si>
  <si>
    <t>Melambung jauh terbang tinggi Bersama mimpi Terlelap dalam lautan emosi Setelah aku sadar diri Tak jadi WNI~~~</t>
  </si>
  <si>
    <t>Wabah Corona, WNI Diimbau Tak Kunjungi Daegu dan Gyeongsang Bukdo di Korsel #NEWS</t>
  </si>
  <si>
    <t>Lebih banyak yang bahas kebodohan KPAI, daripada WNI yang positif corona, melempemnya KPK era baru, radiasi nuklir di Serang, dan berita-berita lain yang mungkin dapat "mengancam stabilitas negara". Kontrol medianya nice sekali gan.</t>
  </si>
  <si>
    <t>RT @yusdiusman: Pemerintah perlu mengambil tindakan terbaik untuk menyelamatkan WNI kita di Jepang.. Jangan biarkan mereka.. Pak @jokowi Pak @Kiyai_MarufAmin Pak @mohmahfudmd Bu @Menlu_RI</t>
  </si>
  <si>
    <t>bakal rame lagi nih</t>
  </si>
  <si>
    <t>RT @gadisresidu_b3: Pak PRESIDEN @Jokowi tolong bantu,, kami para keluarga WNI yg sedang brjuang d jepang mohon bantuan ny tolong d pulangkan</t>
  </si>
  <si>
    <t>@awemany padahal saat di awal mereka menyerang AHY.kmudian di putaran kedua mereka menjilat,minta AHY bergabung. fitnah mereka ke AHY &amp; Anies saat itu hampir sama.pendukung FPi, isis,intoleran,radikal</t>
  </si>
  <si>
    <t>Selamat pagi, sob. Kegiatan kami hari ini adalah menjalankan tugas dengan memberikan pelayanan terbaik bagi pemohon baik WNI maupun WNA, &amp; itu semua dimulai dengan kegiatan Apel Pagi. Nah, kalau sobat Mido mau ngapain aja nih hari ini? #zi #wbk #jatimpastihebat #ditjenimigrasi</t>
  </si>
  <si>
    <t>Akhirnya, KTP kombatan ISIS gw jadi juga setelah satu tahun ga jadi2. Birokrasi kalo pake jalur biasa emang banyakan makan hatinya. 😂</t>
  </si>
  <si>
    <t>Menko PMK, Muhadjir Effendy, menyatakan pemerintah akan mengevakuasi seluruh WNI yang berada di kapal pesiar Diamond Princess dan World Dream. Dua kapal ini terjebak dalam epidemi virus corona jenis baru (Covid-19) sejak awal Februari. #coronavirus</t>
  </si>
  <si>
    <t>RT @IvanRT05: Tahun 2018, secara kolektif WNI mengucurkan dana sebesar EUR 12.600.000 untuk biaya permohonan visa, entah itu biaya milik pribadi atau kalau biaya visa ditanggung oleh pihak tertentu. Angka yang cukup besar bukan, yang bisa 'dimitigasi' apabila WNI #bebasvisa Schengen.</t>
  </si>
  <si>
    <t>IQ Melati akan termehek2 membedakan “narsum yg ngomong kayu, besi dll hingga tanah” dan “narsum yang ngomong zat inti yg sama pada kayu, besi dll hingga tanah”. Sebagaimana mereka akan jatuh bangun membedakan “ISIS benar saat bilang 2+2=4” dan “Membela ISIS”.</t>
  </si>
  <si>
    <t>Bebas Korona, 19 WNI Masih Tertahan di Wilayah Terisolasi China.</t>
  </si>
  <si>
    <t>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</si>
  <si>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Setelah Wuhan, Pemerintah Segera Evakuasi WNI dari Kapal Pesiar Diamond Princess di Yokohama #EvakuasiWNIYokohama</t>
  </si>
  <si>
    <t>@aliralira Daerah mana ka WNI yg kena ? Daegu kah ?</t>
  </si>
  <si>
    <t>Hati-hati Jemput WNI di Diamond Princess, Menkes: Taruhannya Besar!</t>
  </si>
  <si>
    <t>@Yerimakoo Yeah penanganan dan pencegahan itu perlu, melihat sdh ada beberapa RS yg sdh menyediakan ruangan untk pasn covid itu sdh bgs bgd. Dan cara pem. memperlakukan WNI dr wuhan, pnh dg antisipasi. Tp Media yg menggunkn momen ini dg menggukn Kata yg kurang tpt justru meresahkan masyrkat</t>
  </si>
  <si>
    <t>19 WNI masih tertahan di wilayah terisolasi di China</t>
  </si>
  <si>
    <t>Kehidupan warga eks Timor Timur di Nusa Tenggara Timur masih dibelit keprihatinan. Kesabaran mereka selama 20 tahun sejak pascajajak pendapat perlu dijawab dengan langkah konkrit oleh pemerintah. #LitbangKompas #AdadiKompas #LiputanTematik</t>
  </si>
  <si>
    <t>Trus menghadangnya pake apa..? Ambang batas PT z kalian tdk lolos Mau goreng isu banjir mau goreng formula E Mau goreng isas isis Mau goreng isu intoleran Hello rakyat ga bodoh.. Terbukti ga loslos senayan Terbukti ahok tepar di jkt Itu bukti kl kalian tdk di sukai oleh rakyat RT @psi_id: "Alasan PSI ingin menghadang Anies karena tidak ingin sosok yang membawa isu primordial dan retorika keagamaan yang bisa membelah masyarakat, menjadi pemimpin Indonesia di masa yang akan datang."</t>
  </si>
  <si>
    <t>RT @oak_math_lee_91: @MikeyAM97 @BebasVisaID @chuentoi @ditjen_imigrasi @peruriID @Kemenkumham_RI @kanim_soeta Ayo Ibu @Menlu_RI @Kemlu_RI mohon dibuat prioritas khusus untuk memperkuat kekuatan menjelajah paspor biasa WNI. Kita juga harus kompetitif dan tidak mau kalah dengan negara2 lainnya.</t>
  </si>
  <si>
    <t>RT @Metro_TV: #MetroSiang KRI dr. Soeharso berangkat untuk mengevakuasi 188 WNI dari kapal pesiar World Dream. KRI akan membawa WNI tersebut ke Natuna, Kepulauan Riau untuk menjalani observasi. Live Streaming:</t>
  </si>
  <si>
    <t>Sri Mulyani sudah kantongi data transaksi WNI di luar negeri Rp 3.684,7 triliun</t>
  </si>
  <si>
    <t>Jadi Wilayah Isolasi Baru COVID-19, 19 WNI Masih Tertahan di Harbin Tiongkok</t>
  </si>
  <si>
    <t>RT @jawapos: Terombang-ambing di Laut, 188 WNI di Kapal World Dream Segera Dijemput</t>
  </si>
  <si>
    <t>@bangagoeng96 Ahok tidak bisa jadi calon presiden karena ahok lahir di NKRI tapi masuk WNI setelah usia 20 thn, jadi tidak jadi WNI sejak lahir</t>
  </si>
  <si>
    <t>@Sugiyan23894368 Enggak, ongkosnya mahaal 🤣 Aku dr lahir memang udah WNI. Soalnya ayah kan asli Indonesia. Kecuali kalau ayahnya WNA, anaknya bisa ikut kewarganegaraan ayahnya atau 2 kewarganegaraan sampai usia 21 tahun.</t>
  </si>
  <si>
    <t>@MikeyAM97 @BebasVisaID @chuentoi @ditjen_imigrasi @peruriID @Kemenkumham_RI @kanim_soeta Ayo Ibu @Menlu_RI @Kemlu_RI mohon dibuat prioritas khusus untuk memperkuat kekuatan menjelajah paspor biasa WNI. Kita juga harus kompetitif dan tidak mau kalah dengan negara2 lainnya.</t>
  </si>
  <si>
    <t>KBRI: 19 WNI masih tertahan di wilayah terisolasi China Timur - ANTARA News Jawa Barat</t>
  </si>
  <si>
    <t>RT @hermana_t: "Kami yg berada dlm Princess sangat takut, ibaratnya dibunuh pelan2. Jangan biarkan kami sakit dan mati krn kelamaan dievakuasi," ujar seorang kru WNI di kapal pesiar Princess Diamond "Kami juga Indonesia, Pak Presiden," ujar seseorang menimpali</t>
  </si>
  <si>
    <t>Pemerintah ingin memastikan langkah penjemputan tersebut tidak menyebabkan terjadinya penyebaran virus Corona (Covid-19) di tanah air.</t>
  </si>
  <si>
    <t>"Lokasi sudah diterapkan dan disiapkan, yaitu di Kepulauan. Ada pulau yang tidak berpenghuni, di Sebaru 1,"</t>
  </si>
  <si>
    <t>Siap2 yg biasa menyimpan dana di LN.Dari Discover di Google</t>
  </si>
  <si>
    <t>Kenapa aku bacanya Isis 😭😭 RT @semestasains: Waktu yang tepat adalah ketika berhasil mengabadikan ISS, Luna, dan Mars dalam satu frame. ISS melintas di depan Luna, sementara Mars berada di kanan atas. 📸: Paul Schmit, Gary Schmit.</t>
  </si>
  <si>
    <t>Kapal World Dream Hentikan Operasional Dampak Virus Korona, 188 WNI Dievakuasi TNI #TauCepatTanpaBatas #BeritaTerkini #International #BeritaInternasional .</t>
  </si>
  <si>
    <t>RT @spoilagedcapo: @catuaries "3 WNI positif corona dikenal sahabat sbg pribadi ramah dan suka meminjamkan uang, begini kekayaannya, nomor 4 bkin tercengang, nomor 5 terbelalak, nomor 9 mengoper bola, nomor 10 bersiap2 di kotak penalti, baca selanjutnya..." Gitu mulu template beritanya palingan</t>
  </si>
  <si>
    <t>@bigfxxkingnoise I can’t be anymore disappointed, man. 🙂 gpp, calon utk bikin gw jdi WNI juga blm ada. Huehue</t>
  </si>
  <si>
    <t>RT @SammiSoh: Tentara koalisi ini tiba2 langsung terjang hujan peluru selamati anak kecil di tengah pertempuran. Di sisi lain, ISIS sibuk perkosa bocah2.</t>
  </si>
  <si>
    <t>Terombang-ambing di Laut, 188 WNI di Kapal World Dream Segera Dijemput</t>
  </si>
  <si>
    <t>RT @ohmymediacc: Rakyat harapkan yang terbaik dari barisan depan pemimpin. Semoga semuanya aman 🙏</t>
  </si>
  <si>
    <t>RT @KadrunHunter99: What is KPAI ? Komisi Perlindungan Anak ISIS? Komisi Pelecehan Anak Indonesia? Komisi Penistaan Agama Islam? Atau apa nih? 🧐🤔 #PecatSittiHikmawatty</t>
  </si>
  <si>
    <t>@black__valley1 Semoga bisa tetap tegar .... jangan tunduk lagi......waktunya berdiri tegak sesama WNI... biar tidak ada tempat lagi buat rasis dan diskriminasi</t>
  </si>
  <si>
    <t>19 WNI Masih Tertahan di Wilayah Terisolasi China</t>
  </si>
  <si>
    <t>RT @tempodotco: Anggota ISIS percaya terhadap konsep dunia yang adil. Keadilan semacam ini dipercaya hanya bisa diwujudkan oleh ISIS.</t>
  </si>
  <si>
    <t>RT @XavierNaxa: Apabila kita berbicara soal politik ia tidak menjadikan kita seorang ahli politik. Kita sebagai rakyat Malaysia yakni Pengundi harus cakna berkenaan dengan isu semasa lebih-lebih lagi perkara yang berlaku pada hari ini yang bagi saya sangat kritikal.</t>
  </si>
  <si>
    <t>@kompascom duh ini survey dapat dari mana sih? pengen dong sekali-kali sebagai WNI ikut andil dalam survey 😆</t>
  </si>
  <si>
    <t>@kandargalang Yang jelas pak de sekarang President RI. Yaaa presiden kita WNI</t>
  </si>
  <si>
    <t>@denalipeach taro di suriah aja lah biar kena bom ama isis</t>
  </si>
  <si>
    <t>RT @RMondrokumoro: @Dennysiregar7 @KPAI_official Asli dri lubuk hati yg paling dlm ga ridlo,disaat anak2 jd isis,korban cabul,dll mereka diam,urusan mesum kok mereka sgt peduli? Jakarta banjir jd kolam bikin anak2 ga bisa belajar ga nyaman tidur bikin anak2 rawan penyakit kok diam saja?Apa KPAI udah ganti ke urusan permesuman?</t>
  </si>
  <si>
    <t>RT @hariankompas: Selamat Pagi Sahabat Kompas, Sudah dua dekade setelah Timor Timur lepas dari Indonesia, kemiskinan masih melekat dengan sebagian dari mereka yang memilih menjadi WNI. Hingga kini mereka ada yang tetap tinggal di kamp pengungsian. #adadikompas #KawandalamPerubahan</t>
  </si>
  <si>
    <t>@sopojenenge13 ISIS=SEMRIWING</t>
  </si>
  <si>
    <t>RT @pedoqpop: Kalau mufti kl pun dah berdoa pasal negara harini, kita sebenarnya boleh lah sedikit risau</t>
  </si>
  <si>
    <t>RT @aensaari: Kita ni bukannya special yang orang wajib suka.</t>
  </si>
  <si>
    <t>RT @AdDien90: Latest news, Sah! P.M dah bertukar kepada A.M 😔😭</t>
  </si>
  <si>
    <t>RT @zafranz_: Korang ni sedar tak ada someone yang suka korang dalam diam?</t>
  </si>
  <si>
    <t>RT @EsTehPa04392779: @3_devout Biar aja pd beranak pinak, tua membusuk di sana...mereka sudah bukan WNI lg. Jangan terkecoh sm jualan tangis &amp; airmata mereka. Ga usah ngomong kemanusiaan, mereka juga ga peduli dg manusia lain.</t>
  </si>
  <si>
    <t>@narkosun Bubarkan kpi antek" cendana dan kelompok paham radikal isis</t>
  </si>
  <si>
    <t>susis.. uwo uwo uwo suusis... suuami takut isis</t>
  </si>
  <si>
    <t>RT @KontanNews: WNI yang bekerja di kapal pesiar World Dream dipulangkan ke tanah air  #VirusCorona</t>
  </si>
  <si>
    <t>19 WNI tersebut terdiri dari 18 pelajar dan seorang WNI yang menikah dengan warga setempat. #Corona</t>
  </si>
  <si>
    <t>RT @kompascom: Sebelum dipulangkan, Michael memastikan, para kru WNI telah diperiksa kesehatannya oleh Departemen Kesehatan Hong Kong. Hasilnya?</t>
  </si>
  <si>
    <t>@ohsyiddd Sperti relawan isis</t>
  </si>
  <si>
    <t>@501Awani Ramai yg sokong Ltte ni, sama macam ISIS, Hamas , JI dll. Jadi kena la lepaskan yg lain jugak, kecuali kalau ada 'direct link', money laundering etc..</t>
  </si>
  <si>
    <t>RT @translatorbali: @jokowi @KBRITokyo @Menlu_RI Kondisi terkini 23 Februari 2020 perihal WNI ABK yang masih ada di Kapal Pesiar @PrincessCruises #DiamondPrincess #NegaraMelindungi  @KBRITokyo @KJRI_Guangzhou @Kemlu_RI @KemenkesRI</t>
  </si>
  <si>
    <t>RT @translatorbali: @jokowi Maaf pak Jokowi menggangu waktu istirahatnya, Alhamdulilah WNI Kru #DiamondPrincess sehat dan mereka titip video yang ditujukan utk Pak Jokowi, mereka meminta pemerintah Indonesia segera menjemput mereka #Yokohama Jepang. @KBRITokyo Matur nuwun @Menlu_RI</t>
  </si>
  <si>
    <t>WNI yang bekerja di kapal pesiar World Dream dipulangkan ke tanah air  #VirusCorona</t>
  </si>
  <si>
    <t>Pemerintah harus segera menjemput WNI kru kapal pesiar Diamond Princess. Negara punya kewajiban mengupayakan perlindungan thdp WNI di luar negeri. cc: @Kemlu_RI RT @abcaustralia_id: WNI Kru Kapal Pesiar Diamond Princess menitipkan melalui @abcaustralia_id video yang ditujukan kepada Presiden @jokowi. Para kru meminta pemerintah Indonesia segera menjemput mereka dari Yokohama, Jepang.</t>
  </si>
  <si>
    <t>@Vjangkar @falla_adinda Masih WNI tapi mba. :3</t>
  </si>
  <si>
    <t>penasaran banget,, Indonesia beneran gada yg kena corona? kalaupun kena itu yg bukan tinggal di Indonesia, ART indo di Spore aja udah sembuh, dari 78 WNI yg kena 3 di kapal jepang itu. asia tenggara udah was2, Indonesia blm ada yg kena beneran?</t>
  </si>
  <si>
    <t>@ABPNews ये हैं शहीद Qasim Sulaimanie jinhone Iraq me isis ke changul se bhartiye narso ko bachaya tha Or inko American President doland Trump ke kehne pr sahid kar diya gaya Or aaj bharat me usi Trump ke suagat me jor se teyaria chal rahi hai फैसला आपके हाथ में है</t>
  </si>
  <si>
    <t>Italia Diserang Virus Corona, WNI Ingin Pulang ke Indonesia</t>
  </si>
  <si>
    <t>@agungfauzi650 @cursedkidd Ppah wili gabung isis</t>
  </si>
  <si>
    <t>@black__valley1 Makan tai nih orang.! Orang tionghoa kelahiran indonesia sudah WNI dasar goblok.!! Muka dan otak sama sama jelek.</t>
  </si>
  <si>
    <t>RT @syokwehtweet: Cara padanan warna tudung atau shawl yang sesuai dengan baju 😍 Boleh la buat persiapan awal utk raya nanti😍 Kredit: Fb Share Je</t>
  </si>
  <si>
    <t>RT @islamlib: Persoalan ISIS memang sempat menyita perhatian dunia, bukan soal gagasan sistem kenegaraan yang ditawarkan, tetapi lebih kepada aksi-aksi yang mempertontonkan kebiadaban sekelompok manusia.</t>
  </si>
  <si>
    <t>Pendapatku tentang kebijakan pemerintah menolak pemulangan mereka. OBROLAN CIPUTAT | Menolak WNI eks-ISIS, Sudah Tepatkah?  via @YouTube</t>
  </si>
  <si>
    <t>Sebelum dipulangkan, Michael memastikan, para kru WNI telah diperiksa kesehatannya oleh Departemen Kesehatan Hong Kong. Hasilnya?</t>
  </si>
  <si>
    <t>RT @SquidwardRajin: @spoilagedcapo @ravenclawmate @catuaries 3 WNI terpapar virus corona, Nia Ramadhani tidak tau cara pakai masker</t>
  </si>
  <si>
    <t>jahat banget ga si temen gw bilang dia bingung wni yang dari sini mending pulang apa engga katanya kalo pulang takut bawa virus :( maksud lo apa anjir :( ya ga salah si somehow tapi harus banget bilang ke gw.. mulut enak bgt nyeplos pengen gw kuncir.</t>
  </si>
  <si>
    <t>@NNugie @bocahkakung22 @BebasVisaID Yang gak butuh visa untuk WNI tapi WN negara itu butuh visa untuk ke Indonesia di kawasan Amerika Latin: Kolombia.</t>
  </si>
  <si>
    <t>RT @emirazahari: beliau sepatutnya perdana menteri wanita pertama di Malaysia setelah YDPA menawarkan jawatan tersebut....namun beliau tolak demi memberi ruang kpd Tun M.</t>
  </si>
  <si>
    <t>RT @Tattyandra: ALHAMDULILLAH..Saya tidak termasuk.. 😏🙄 Sri Mulyani Kantongi Data Transaksi WNI di Luar Negeri Senilai Rp 3.674 Triliun</t>
  </si>
  <si>
    <t>@dr_koko28 seharusnya eks ISIS yang membina BPIP</t>
  </si>
  <si>
    <t>RT @Niachooo: Yg kena virus corona di Korea Selatan yaitu 80% Shincheonji Kita doakan para idol+staf.a agar sehat", terutama WNI yg bekerja, kuliah, ataupun liburan d sana.. 🙏 #CoronaOutbreak</t>
  </si>
  <si>
    <t>@representatif Yuk, hidup di jalan Allah ala Mu'tazilah, bukan hidup di jalan Allah ala ISIS~ 🙂</t>
  </si>
  <si>
    <t>Sudah Selesai Karantina Tapi Belum Dipulangkan, WNI Pekerja Kapal Diamond Princess Disuruh Bersabar -</t>
  </si>
  <si>
    <t>@tubirfess iqra tub u agak kudet keknya kemaren kapal udh dikirim ke diamond princess buat para WNI dari surabaya itu kapal dengan fasilitas kesehatan gt</t>
  </si>
  <si>
    <t>@yoris_ab @majisyafii @jokowi ISIS dlm bentuk lain, bisa jadi.</t>
  </si>
  <si>
    <t>RT @wahhabicc_jabar: Ini adalah orang yang disebut oleh AS sebagai "teroris." ??? Rekaman langka menunjukkan Jenderal Qassem Soleimani memerintahkan kpd tentaranya untuk menyelamatkan perempuan &amp; anak² dari teroris Da'esh (ISIS). Terimakasih Jenderal Ruhmu bahagia bersama org² yg kau cintai. 😭</t>
  </si>
  <si>
    <t>@samhudibae @yunartowijaya Kalau dia yg di kirim ke sana unk ngajarin anak isis yg disana aja bgmn?</t>
  </si>
  <si>
    <t>@arilestari61 @majisyafii @jokowi itulah gaya isis.... menghancurkan budaya dan peradaban utk menguasai sebuah wilayah. hati2 yaaaa jangan sampe ada yg lebih isis daripada isis</t>
  </si>
  <si>
    <t>Pemerintah akan memutuskan opsi pemulangan WNI yang berada di kapal pesiar Diamond Princess, Yokohama, Jepang, ke Indonesia menggunakan transportasi laut atau udara pada Selasa, 25 Februari 2020.</t>
  </si>
  <si>
    <t>Yg kena virus corona di Korea Selatan yaitu 80% Shincheonji Kita doakan para idol+staf.a agar sehat", terutama WNI yg bekerja, kuliah, ataupun liburan d sana.. 🙏 #CoronaOutbreak</t>
  </si>
  <si>
    <t>RT @jawapos: Dampak Korona, Pekerja Tiongkok di Proyek Kereta Cepat Diganti WNI</t>
  </si>
  <si>
    <t>@abcaustralia_id @jokowi Mudah-mudahan segera didengar dan ditindaklanjuti. Apa pemerintah Indonesia bisa diplomasi dengan pemerintah Jepang untuk pelayanan yang lebih baik bagi para kru WNI? Para kru pasti sudah bekerja keras untuk membantu para penumpang juga dan berhak dapat pelayanan yang baik.</t>
  </si>
  <si>
    <t>RT @rmol_id: Ini Pesan Dari WNI Yang Ada Di Kapal Pesiar Diamond Princess Untuk Jokowi #COVID-19 #RepublikMerdeka</t>
  </si>
  <si>
    <t>@SammyWakatobi Kesimpulan goblok dari cebong, kalau ISIS atau teroris polri sudah beraksi bong. 🤣🤣🤣🤣</t>
  </si>
  <si>
    <t>RT @hnurwahid: Berharap sangat Presiden @jokowi peduli dengarkan dan sgra perintahkan, unt evakuasi WNI yg Ada di Kapal Pesiar Diamond Princess tidak dg kapal, melainkan dg pesawat, spt yg dulu dilakukan unt WNI di Wuhan. Agar semuanya selamat dari virus Corona.</t>
  </si>
  <si>
    <t>@ISIS_Balik_NO @andrianiputr @yettiaka Gue gak lihat apa"😂😂😂😂😂</t>
  </si>
  <si>
    <t>Name: syella 🥰 Hobby: basahin kasur💦 Aku chubby beb tapi masih bisa ngulek di atas perut kok🤭 , TB ga pendek ga tinggi juga😌 wrn kulit ciri khas WNI bgt deh☺ BOOBS? ukur aja sendiri sini😜 Save no syella ya krn akun rentan suspend👉 081283132735 👈rek aku ttp bca an R yaa😘</t>
  </si>
  <si>
    <t>Sri Mulyani berhasil kantongi lebih dari 1,6 juta data transaksi WNI di luar negeri #InfoAktual</t>
  </si>
  <si>
    <t>Evakuasi, TNI AL Jemput 188 WNI Awak Kapal Pesiar World Dream, Khawatir Virus Corona baca selengkapnya:</t>
  </si>
  <si>
    <t>Evakuasi, TNI AL Jemput 188 WNI Awak Kapal Pesiar World Dream, Khawatir Virus Corona baca selengkapnyaa:</t>
  </si>
  <si>
    <t>@aiek_esthreem__ jokow jika tau WNI meninfgal entah karena sakit, entah musibah, justru dia merasa senang sebab emang tujuannya emang pngin memusnakan WNI, negara ingin dimiliki #ReshufflePengalihanIsu #ReshufflePengalihanIsu</t>
  </si>
  <si>
    <t>@adieeu_ @timesxspace @rlthingy Lek kenek banyu dadi isis</t>
  </si>
  <si>
    <t>@khanasluhu @JohnKey07 @IrwandyZul @radaradapaham @AldiPapua @JuliantoDer @anto_djaf66 @ArifPut07 @jek41167575 @JoniWanimbo @mentionke @Haryantoslame15 @NovietaSuyoso @gembus_1 @KangAce3 @juntak_m14 Yuk kita Jaga Negeri Indonesia yg INDAH INI karena ALLAH SWT Memberkahi NKRI. Damailah NKRI sbg WNI Jauhilah dari KADRUN yg jualan Agama.</t>
  </si>
  <si>
    <t>@andrianiputr @yettiaka Duduk di teras bukam sholat kan mbak ? Atau ada gaya baru setelah muncul virus somat ?</t>
  </si>
  <si>
    <t>RT @RajaDewAQ666: @dEyy_smi @wahhabicc_jabar ISIS itu sampah peradaban, anjing anjing dari ideologi yang salah , faham</t>
  </si>
  <si>
    <t>@khanasluhu @BambangYoga6 @JagoanMelon @kusaniyadi @rondiyan @Sastroklengsre1 @Chimol79 @ginabicara @KopongPaskalia @HezekiaBenjamin @upress2 @CintaNegeri_ID @XiuNam1 @iwsumartopo @ShantiSetiawati Semoga kita selalu Menjaga dng Jiwa Raga sbg WNI kita tetap menjaga Toleransi dengan Pancasila dan Bhineka Tunggal Ika. Amin</t>
  </si>
  <si>
    <t>@ayahdiar @BungRetweet @yunartowijaya Wkwkkw.... Minta digrogotin belalang daratan nih.... Kampung empang tu pulogadung klpgading.. Baru 7thn jadi wni ????.. Cemen amat...</t>
  </si>
  <si>
    <t>RT @vincent_ves: @Syarman59 @asepapit @KPAI_official @jokowi Kasus Bulu tanggis .. Kasus pulangkan anak" ISIS.. sekarang berenang bisa hamil.. . Itu lah kalau semua org org @KPAI_official boleh bebas bicara didepan tv unk nampang... #bubarkanKPAI</t>
  </si>
  <si>
    <t>Seorang WNI yang bekerja sebagai asisten rumah tangga di Singapura dan sempat terjangkit virus #corona dinyatakan oleh Kementerian Kesehatan setempat sudah sembuh. WNI itu akhirnya dipulangkan dari rumah sakit.</t>
  </si>
  <si>
    <t>RT @ylchaniago: Betama bahagianya aku mendengar kabar dari dua orang WNI yang di Wuhan, dua orang ini adalah empat orang yang memutuskan untuk tidak ikut dievakuasi. Del dan Om Akbar memilih untuk tidak dievakuasi.</t>
  </si>
  <si>
    <t>@arissmn Untuk pengurusan pindah keluar Kota Surabaya silahkan klik =&gt;</t>
  </si>
  <si>
    <t>RT @Jokos_arbas: Menerima kembali 600 ex Kombatan ISIS sama saja kita akan bunuh diri.. Jgn sampai percaya sedikit pun alasan utk mereka ke NKRI.. Saat kecil dia imut.. saat besar kita yg jadi mangsanya..😉</t>
  </si>
  <si>
    <t>#ReshufflePengalihanIsu #ReshufflePengalihanIsu Pesan WNI Yang Ada di Kapal Diamond Princess Untuk aJokowi: Kami Juga Warga Indonesia, Pak Presiden, Jemput Kami  Ga ada dana Utang numpuk Gmn bisa jemput???</t>
  </si>
  <si>
    <t>@dEyy_smi @wahhabicc_jabar ISIS itu sampah peradaban, anjing anjing dari ideologi yang salah , faham</t>
  </si>
  <si>
    <t>Antisipasi Virus Corona, 188 WNI di World Dream Dipulangkan</t>
  </si>
  <si>
    <t>Betama bahagianya aku mendengar kabar dari dua orang WNI yang di Wuhan, dua orang ini adalah empat orang yang memutuskan untuk tidak ikut dievakuasi. Del dan Om Akbar memilih untuk tidak dievakuasi.</t>
  </si>
  <si>
    <t>#Dunia Negatif Korona, 188 WNI Kru Kapal Pesiar World Dream Dipulangkan</t>
  </si>
  <si>
    <t>RT @Niachooo: Info terbaru virus corona di Korea Selatan, terakhir 602 kasus dan sekarang bertambah menjadi 763 kasus.. Kematian bertambah 1 menjadi 7 orang yg meninggal.. Penggemar KPop, jangan lupa ber do'a untuk WNI dan idol + staff.a yg d sana y 🙏 #CoronaOutbreak #coronavirus #Corona</t>
  </si>
  <si>
    <t>RT @Ivone_RSZ: @makLambeTurah Kita lihat aja 🤣apakah WNI banyak yg cerdas atau engga ya mak...</t>
  </si>
  <si>
    <t>Wahabisme-Jihadis ISIS; Kongkalikong Deislamisasi (Bagian IV)</t>
  </si>
  <si>
    <t>Berpotensi Terinfeksi Corona, 188 Awak WNI Di World Dream Dijemput TNI AL #VirusCorona #WNITerjangkitCorona #RepublikMerdeka</t>
  </si>
  <si>
    <t>RT @Bisniscom: Virus Corona, WNI ABK Diamond Princess Jalani Tes PCR</t>
  </si>
  <si>
    <t>RT @rmol_id: Jepang Hadapi Virus Corona Terbesar Setelah China, KBRI Umumkan WNI Awak Kapal Diamond Princess Telah Jalani Tes PCR #diamondprincess #RepublikMerdeka</t>
  </si>
  <si>
    <t>Virus Corona, WNI ABK Diamond Princess Jalani Tes PCR</t>
  </si>
  <si>
    <t>@rainmakerfellow @ign_loona @tubirfess WNI dari kapal yg positif itu imunitas nya emang rendah dari WNI asli hahahaha</t>
  </si>
  <si>
    <t>@abcaustralia_id @jokowi Kemaren keWuhan... Wus...wuswus.... lsg pake Lion.... Ini kenapa malah opsi kapal laut? ... Sama2 WNI lho...</t>
  </si>
  <si>
    <t>Jepang Hadapi Virus Corona Terbesar Setelah China, KBRI Umumkan WNI Awak Kapal Diamond Princess Telah Jalani Tes PCR #diamondprincess #RepublikMerdeka</t>
  </si>
  <si>
    <t>@HeriBassista Gaji gede Statment tolol Masih jgk belain ISIS jgk</t>
  </si>
  <si>
    <t>Kerja sama informasi ihwal radikalisme dan terorisme dengan intelijen negara lain sangat penting lantaran pergerakan aktor radikalisme lintas negara.</t>
  </si>
  <si>
    <t>@medcom_id Kan sdh final. Fix tidak ada pemulangan eks ISIS. Udah dong, medianya mending fokus ke berita lain. Cus. Mending ditelusuri WN 🇯🇵 yg pulang dari 🇮🇩 kemarin kemana saja. Kontak dgn siapa saja. Segera karantina.</t>
  </si>
  <si>
    <t>@ustadtengkuzul Pertanyaan yg simple, Kenapa ya pak dengkul atau kelompok kalian tdk pernah membahas tentang pemulangan isis, bom meledak dll. Apa segan, enggan, simpati gitu? Monggo, , ,</t>
  </si>
  <si>
    <t>"Kami yg berada dlm Princess sangat takut, ibaratnya dibunuh pelan2. Jangan biarkan kami sakit dan mati krn kelamaan dievakuasi," ujar seorang kru WNI di kapal pesiar Princess Diamond "Kami juga Indonesia, Pak Presiden," ujar seseorang menimpali</t>
  </si>
  <si>
    <t>@BreKaro_ndai @mrbaim_ Lha, kritik yg mana itu? 🤣😂 Pastikan dulu bisa bedakan mana kritik, mana nyinyir, mana hoax.😀 Kalo mau mendirikan khilafah, dukung hti, dukung Isis, maksa pake jilbab, dll. hingga Anti Pancasila, ya memang bukan di NKRI tempatnya.😁</t>
  </si>
  <si>
    <t>Sudah Selesai Karantina Tapi Belum Dipulangkan, WNI Pekerja Kapal Diamond Princess Disuruh Bersabar</t>
  </si>
  <si>
    <t>RT @GED0NG: @null 4 WNI Terjangkit Virus Korona Masih Dirawat Intensif di Jepang Empat Warga Negar</t>
  </si>
  <si>
    <t>Kemarin, dari pemulangan WNI hingga rute Jakarta-Malang Sriwijaya</t>
  </si>
  <si>
    <t>I wanna show this pict to my abang yg alirannya isis but i masih need home untuk berlindung</t>
  </si>
  <si>
    <t>RT @hafizaquafiz: Just nak sikit gambar2 aku bawa pengantin outdoor shoot di Kg Agong, Penaga, Penang 💚 banyak spot utk bergambar, sampai letih berjalan! 🤣 View yg sgt2 cantik ala2 negara seberang kan! 🌾 Yg love kampung vibes &amp; nature, wajib datang ootd sini okay! Btw enjoy the thread 🤗</t>
  </si>
  <si>
    <t>@null 4 WNI Terjangkit Virus Korona Masih Dirawat Intensif di Jepang Empat Warga Negar</t>
  </si>
  <si>
    <t>Ada beberapa kemungkinan terkait Ibu yang melakukan tindakan kekerasan yang satu ini 1. Gangguan psikis 2. Masalah rumah tangga 3. Masalah pekerjaan 4. Masalah lainnya atau, 5. Pernah menjadi simpatisan ISIS, wakzlgw 🙄 RT @rinafarzia: Pengalaman naik @CommuterLine ku dan teman2ku hari ini. Semoga ga ada lagi kejadian2 kaya gini Kereta arah bogor, gerbong khusus wanita (22/02/2020 pukul 21.15)</t>
  </si>
  <si>
    <t>RT @pudynzayn: Pakar virus dengan pakar faraid boleh rehat, bagi palatao pakar politik pulak masuk line di timeline twitter.</t>
  </si>
  <si>
    <t>RT @rmol_id: Sudah Selesai Karantina Tapi Belum Dipulangkan, WNI Pekerja Kapal Diamond Princess Disuruh Bersabar #Corona #DiamondPrincess #RepublikMerdeka</t>
  </si>
  <si>
    <t>RT @neddokhan: Kepada yang sibuk mengejek "Haha kan korang yang nak sangat #MalaysiaBaru" atau "Haha kena game padan muka" Why make it rakyat vs rakyat? Kita sama-sama mahukan yang terbaik untuk negara. It's us against dirty politicians. Not us against each other, please.</t>
  </si>
  <si>
    <t>RT @ahmadleofaisal: @SHikmawatty Enak amat ngomong Minta Maaf, anak berprestasi di Bulutangkis dianggap eksploitasi anak lalu Minta Memulangkan anak Isis sekarang Renang beresiko hamil.. KLO MAU MINTA MAAF YA BUNUH DIRI AJA.. #PecatSittiHikmawaty #BubarkanKPAI</t>
  </si>
  <si>
    <t>minta Bukti sebagai penduduk WNI yg sah....!!!!🙈</t>
  </si>
  <si>
    <t>RT @sorotnews: Tak Ada Kepastian dari Pemerintah, Dari Kapal Pesiar Diamond Princess WNI Tulis Pesan Ke Jokowi dan Ungkap Ketakutannya</t>
  </si>
  <si>
    <t>@its_menieb @Ninja @TTfue ALLAH AKBAR BOOM BOOM ISIS MAN SMELL LIKE DUKE</t>
  </si>
  <si>
    <t>Tak Ada Kepastian dari Pemerintah, Dari Kapal Pesiar Diamond Princess WNI Tulis Pesan Ke Jokowi dan Ungkap Ketakutannya</t>
  </si>
  <si>
    <t>Mohon bantuannya, jika Anda WNI berusia 18 - 35 tahun 😇😇</t>
  </si>
  <si>
    <t>@geloraco Apa hak anda menjegal Setiap wni berhak Maju dan diajukan Apabila syarat dan persyaratanya dipenuhi</t>
  </si>
  <si>
    <t>Job magang ke Jepang bidang peternakan TOYO TECHNO FARMS CO., LTD PENEMPATAN SUZUKA, MEI JAPAN - WNI, Sehat jasmani dan Rohani - Pria/Wanita, Sehat jasmani dan rohani, Berat badan ideal(Tidak Obesitas/kegemukan) -…</t>
  </si>
  <si>
    <t>@hobisunmi JAAJAJJAKSHDLDGDKD PERO ISIS</t>
  </si>
  <si>
    <t>Berharap sangat Presiden @jokowi peduli dengarkan dan sgra perintahkan, unt evakuasi WNI yg Ada di Kapal Pesiar Diamond Princess tidak dg kapal, melainkan dg pesawat, spt yg dulu dilakukan unt WNI di Wuhan. Agar semuanya selamat dari virus Corona. RT @rmol_id: Ini Pesan Dari WNI Yang Ada Di Kapal Pesiar Diamond Princess Untuk Jokowi #COVID-19 #RepublikMerdeka</t>
  </si>
  <si>
    <t>@TolakBigotRI @Onta_buluk @mohmahfudmd Jgn sampai pak @jokowi memulangkan anak2 isis, takut anak2 yg lain yg ada di sini terkontaminasi, udah lah pemerintah fokus terhadap masalah radikalisme, terorisme yg ada di dlm negeri jgn ngurusin mrk yg udh keluar dr indonesia</t>
  </si>
  <si>
    <t>Yang belaian ngarab Kadrun, kalo bukan ISIS ya teroris itu saja.... RT @kodokburik10: @SammyWakatobi @Restichayah yg bela si yuyun kalau gak kapir, cina, pki.</t>
  </si>
  <si>
    <t>RT @demokrasicoid: Beredar Video WNI di Diamond Princess Minta ke Jokowi Pulang dengan Pesawat</t>
  </si>
  <si>
    <t>Ini Pesan Dari WNI Yang Ada Di Kapal Pesiar Diamond Princess Untuk Jokowi #COVID-19 #RepublikMerdeka</t>
  </si>
  <si>
    <t>@dr_koko28 Pemerintah ngga mau terima eks kombatan ISIS pulang, tp masih lunak tentang TKA China, BPIP harusnya bina jg dong WNI berpaham neo PKI.</t>
  </si>
  <si>
    <t>@Isis_oliveiira_ Pprt eu vi kkk</t>
  </si>
  <si>
    <t>#AssalamuAlaikumWrWb "Islam adlh agama dg pertumbuhan tertinggi, masya allah." Bagaimana dgn syiah? "Bukan Muslim" Ahmadiyah? "Bukan Muslim" ISIS? "Bukan Muslim" Eks-Muslim? "Tidak pernah Muslim." Muslim liberal? "Bukan muslim. Muslim Sufi? "Bukan Muslim" #katabijak RT @maliklendell: "Islam is the fastest growing religion, mashallah." What about the Shia? "Not real Muslims" Ahmadi? "Not real Muslims" ISIS? "Not real Muslims?" What about this mullah? "Not a real Muslim" What about ex-Muslims? "They never were real Muslims." 🙄</t>
  </si>
  <si>
    <t>RT @republikaonline: Entrepreneur School kali ini ada konsultasi dan pelatihan berkelanjutan.</t>
  </si>
  <si>
    <t>@dr_koko28 Setuju dok,klo perlu mantan isis srh ngabisin koruptor2 jahat negeri ini,tinggal ksh daftarnya aja.</t>
  </si>
  <si>
    <t>@imfsea_aruna @drmazacom Orang Malaysia pejuang isis yang pulang dan akan pulang itu yang akan mengugat keselamatan negara, itu yang patut dibimbangkan. Bodoh punya Dr</t>
  </si>
  <si>
    <t>@isis_macedo10 Tapada</t>
  </si>
  <si>
    <t>@detikcom Orang2 kayak gini lah yg ga pantes jadi WNI. Kenapa ga ke timur tengah aja jadi warga ISIS? Pst lbh bahagia hidupnya. Daripada di Indo cm bikin ribut.</t>
  </si>
  <si>
    <t>RT @AnakKolong___: ABDULLAH GYMNASTIAR, PKS, OSAMA BIN LADEN &amp; ISIS | . . . . sebuah utas . . . .</t>
  </si>
  <si>
    <t>@kompascom Pembina nya jelas2 teroris isis radikal..sengaja mau membunuh murid2 nya</t>
  </si>
  <si>
    <t>@Ummukullthumm 🤣shege yanaso yayi wni abu</t>
  </si>
  <si>
    <t>RT @MoffersYesaya: @TolakBigotRI @KakekHalal @mohmahfudmd Katakan tolak ya tetap tolak.jangan berubah-ubah.mau anaknya isis kah,bapaknya kah,nenek moyanynya pun.kami tak mau trima mereka tinggal di Indonesia.</t>
  </si>
  <si>
    <t>RT @Dewa93716095: @TolakBigotRI @Onta_buluk @mohmahfudmd Kebiadaban isis !!!</t>
  </si>
  <si>
    <t>RT @translatorbali: Lebih dari 200 WNI yang bekerja sebagai ABK #WorldDream dinyatakan negatif COVID-19 setelah dikarantina selama 14 hari di Hong Kong," Joedha Nugraha, Direktur Perlindungan Warga Negara Indonesia Kemlu RI setelah mendapat konfirmasi dari @kjrihongkong , .</t>
  </si>
  <si>
    <t>Lebih dari 200 WNI yang bekerja sebagai ABK #WorldDream dinyatakan negatif COVID-19 setelah dikarantina selama 14 hari di Hong Kong," Joedha Nugraha, Direktur Perlindungan Warga Negara Indonesia Kemlu RI setelah mendapat konfirmasi dari @kjrihongkong , .</t>
  </si>
  <si>
    <t>@yunartowijaya @aniesbaswedan Rumah lo gaya rumah kebanyakan Cina WNI ya, pake benteng tinggi, ngaku NKRI , saya Pancasila , gmn mau berbaur, pager aja pake benteng, parno urusan luar!!</t>
  </si>
  <si>
    <t>Serem banget ini penyebarannya 😰 Stay safe buat WNI yang ada di korea RT @margareena_: [THREAD] Resume update about Korean situation on COVID-19 from IG msbitsee</t>
  </si>
  <si>
    <t>RT @budiartosjp: @Luthfi_nasrul @Luana0119411577 @CetakBalikpapan @Anginma50751347 @YCH7168 @Cebongmilitan1 @Puanita9 @cadarmerah @carina_niken @Namaku_Mei @ulamakardus @FDerKanzler @APLpangeran1 @novapermana8 @TjahjadiJudono @paquitacumadebu @AbelGunawan2 @gunady_678 @Suka_kopi @majisyafii @Muslihu70192548 @LambangDC5 @Anak_Perantau_ @JhrPujianto @TaufiqR7471 @juventini_3rwin @swarnadiva6 @SuryoUdoro @LebahBorneo @s1_tapir @FloDeQueen @habib_gai @Rohadi38619586 @tirta_helena @212ThePowerOff1 @nissaLoveAllah @Cobra0312 @vintenas @0d5e359a58f4437 @KPakdhe @enny_fadjri @gunwbisono @al_nghothot @INTAN37866162 @feradiana_a @fahiraidris @basuki_btp Ali Al Jufry ini habib impor.. Anjing impor dari Yaman ini jgn Di bangga2kan... Sdh byk imigran Yaman Di Indo yg bikin rusuh. Si Habib Sepong ini jilat Yahudi dan Mamarika. Habib2 spesies penjilat. si Bieb Sepong difatwa mati sama ISIS☝️🤣</t>
  </si>
  <si>
    <t>Jokowi Tolak Pulangkan Eks ISIS, Anda Sepakat atau Tidak?</t>
  </si>
  <si>
    <t>Pemerintah perlu mengambil tindakan terbaik untuk menyelamatkan WNI kita di Jepang.. Jangan biarkan mereka.. Pak @jokowi Pak @Kiyai_MarufAmin Pak @mohmahfudmd Bu @Menlu_RI RT @abcaustralia_id: WNI Kru Kapal Pesiar Diamond Princess menitipkan melalui @abcaustralia_id video yang ditujukan kepada Presiden @jokowi. Para kru meminta pemerintah Indonesia segera menjemput mereka dari Yokohama, Jepang.</t>
  </si>
  <si>
    <t>@Maryampema @umarkhalifa19 Yyi kyau ne har n fara wni tunani 😃😭</t>
  </si>
  <si>
    <t>@h_yakubi 911,26/11,Madrid,Kenya,London,Kabul,France,Sri lanka,Isis,boko haram,hamas,hezbollah,al qeada,let,Jem,taliban etc etc etc all muslims buddy. But facts don’t matter much .</t>
  </si>
  <si>
    <t>Selamat Pagi Sahabat Kompas, Sudah dua dekade setelah Timor Timur lepas dari Indonesia, kemiskinan masih melekat dengan sebagian dari mereka yang memilih menjadi WNI. Hingga kini mereka ada yang tetap tinggal di kamp pengungsian. #adadikompas #KawandalamPerubahan</t>
  </si>
  <si>
    <t>Sudah Selesai Karantina Tapi Belum Dipulangkan, WNI Pekerja Kapal Diamond Princess Disuruh Bersabar #Corona #DiamondPrincess #RepublikMerdeka</t>
  </si>
  <si>
    <t>RT @geloraco: Beredar Video WNI di Diamond Princess Minta ke Jokowi Pulang dengan Pesawat</t>
  </si>
  <si>
    <t>@ENewmaan Sam Adams Boston Lager</t>
  </si>
  <si>
    <t>@rifqizone Kami infokan kpd Bapak Rifqi utk DP KPR BCA, Dp murni minimum 10% dari harga rumah. Berikut kami sampaikan ketentuan &amp; persyaratan pengajuan KPR BCA: -WNI -Status karyawan/pengusaha/profesional -Lama bekerja/usaha min 2 tahun -Harga rumah minimal (1/12) ^Alif</t>
  </si>
  <si>
    <t>RT @trinsna1044: @kangdin223 @HmfaqihA @ArSunantoaris kayanya anggota khilafah atau isis</t>
  </si>
  <si>
    <t>@HildaNewton21 @HecheJohn @kigogo2014 @fatma_karume @MariaSTsehai @MarekaMalili @OleMtetezi @IAMartin_ @Leyenda_vivien uso wa dunia unatambua Islamic state ni kikundi kilichoanzisha kuitaji utawala wake binafsi ni bora awa ISIS kuliko ichi kikundi cha SISIEMU kilichojificha katika sura ya cell-kali ya nchi.</t>
  </si>
  <si>
    <t>Observasi WNI Dari China Sukses, Masyarakat Tak Perlu Cemas</t>
  </si>
  <si>
    <t>Sgr Kemenkeu pungut PPh dr dana WNI yg disimpan di Bank2 di Luar Negeri utk keadilan Pajak. Drpd kejar2 pajak recehan di DN, mending kejar pajak simpanan mereka yg konon mencapai lbh dr Rp 5000 Triliun. Dananya bisa utk Subsidi Pangan, Energi Terbarukan dan Kesehatan Masyarakat.</t>
  </si>
  <si>
    <t>@kangdin223 @HmfaqihA @ArSunantoaris kayanya anggota khilafah atau isis</t>
  </si>
  <si>
    <t>@SiTahiGebu Member aku kena tau. Dah la mak bapak takde. Terumbang ambing die.. Masuk lak group2 extremis.. Lg kelaut. Die kena tangkap sbb nak travel pg iran ke mana pasal isis tu. Ni lepas senang2 je memang tak adil la.</t>
  </si>
  <si>
    <t>RT @DedyFreak: Ini yg namanya "isis" 😅😅</t>
  </si>
  <si>
    <t>@Kingsahab786 @pramila2710 @ShamimA15264816 @anjanaomkashyap Han ye ek dikat to hai...or ham mai Abdul kalam ajad se bohot pyaar akrta hu or samn deta hu dara sikoh v bohot ache lagte hai mujhe or kerla k governor v...lekin I hate SIMI, ISIS, osama bin laden, and all those who preach jihad and conspire against hindu....</t>
  </si>
  <si>
    <t>RT @samhudibae: @Nezhea_Thann PenDukung isis malah #PecatSittiHikmawatty</t>
  </si>
  <si>
    <t>Pak PRESIDEN @Jokowi tolong bantu,, kami para keluarga WNI yg sedang brjuang d jepang mohon bantuan ny tolong d pulangkan</t>
  </si>
  <si>
    <t>WNI kru Kapal Pesiar ini minta segera di Evakuasi Pak   RT @jokowi: Melalui KBRI Tokyo, pemerintah berkomunikasi dan menyampaikan bantuan logistik, sambil membahas kondisi mereka dengan otoritas di Jepang. Mohon doa agar saudara kita yang dirawat mendapat kesembuhan, yang sedang menjalani karantina dilindungi oleh Allah SWT dan segera pulang.</t>
  </si>
  <si>
    <t>@HmfaqihA Yg tdk setia brarti KADRUN, krn mrk itu berpatok pada ajaran KHILAFAH dan ISIS.</t>
  </si>
  <si>
    <t>Parah si WNI terlalu welcome sampe sampe gabisa bedain mana yg harus di privasiin mana yg harus di viralkan.</t>
  </si>
  <si>
    <t>Ai papai 🤤</t>
  </si>
  <si>
    <t>@syafrinkar Kalau mereka jegal menjegal pake seruan begitu biasa2 aja, coba buat seruan jegal Ahok Juragan Tokai pasti di tuduh intoleran, radikal, kilafah, isis dll.. Gw cuman mau bilang @AntoniRaja KNTL</t>
  </si>
  <si>
    <t>Komisi Perlindungan Anak Isis (KPAI) #PecatSittiHikmawatty RT @samhudibae: INI DIA RETNO LISTYARTI KOMISIONER KPAI YANG PRO ANAK ISIS DI PULANGKAN! DIA Kepala Sekolah yang di pecat jaman Gubernur AHOK karena kedapatan keluyuran waktu Anak Didiknya sedang mengikuti Ujian Nasional. #PecatSittiHikmawatty</t>
  </si>
  <si>
    <t>@sttaringart mds Isis vc desmonta kakakaakakak</t>
  </si>
  <si>
    <t>RT @_bayangan_semar: Yang ISAS ISIS Yang Al Qaeda Al Qaedi. Tonton ini pengakuan Hillary. Mereka yang rekrut, latih, dan persenjatai. Demi melawan Soviet pada waktu itu. Ini bukti. Bukan bualan tengah hari bolong.</t>
  </si>
  <si>
    <t>RT @samhudibae: Ini bukti jelas FPI si rijieq big bos demo yg pro isis yg saat ini isis kalah dlm perang. kadrun radikalis triak kata isis bukan islam? owala drun kadrun otakmu kenapa ya kok bisa bolak balik? kadang didengkul kadang ditungkak. #UmatCerdasKadrunAmblas</t>
  </si>
  <si>
    <t>@isis_alvesss chataaaaaa</t>
  </si>
  <si>
    <t>WNI Kru Kapal Pesiar Diamond Princess</t>
  </si>
  <si>
    <t>RT @klelur028: @AnakKolong___ @ganjarpranowo @ken_mrizal @PoldaJogja mohon di bantu @AnakKolong___ pak @ganjarpranowo .. bukan apa2 sih..jangan sampai di jawa tengah ada propagandis khilafah ala isis yg mjd bahaya laten dan terus menyebarkan paham sesatnya... #JatenhAdemAyem.. 🙏🙏</t>
  </si>
  <si>
    <t>@DanDarsim @Angjuan2 @Restichayah Ngomong apa sih anda ini. Anda aja bicara bgini kepada sesama yang punya ktp dan jelas2 wni 😊. Gk usah bawel ini itu. Buktikan aja. Bsa gak ? Gak bisa juga kan ? Hahahahahahahaha</t>
  </si>
  <si>
    <t>RT @AutoAdsJa: 2012 Toyota Isis For Sale in #Jamaica #usedcar #carforsale</t>
  </si>
  <si>
    <t>RT @ainurroh_mah: Dan benar saja. Itu ternyata demonstrasi untuk menentang ISIS/terorisme, bukan tuntutan untk menegakkan sharia.</t>
  </si>
  <si>
    <t>@samhudibae Saya adalah murid yang pernah diajarkan ibu @RetnoListyarti di SMAN 13, memang beliau selalu PRO anak, selalu menjadi guru favorit anak2, saya selalu sependapat dengan ibu Retno namun tidak dengan memulangkan anak eks ISIS.</t>
  </si>
  <si>
    <t>2012 Toyota Isis For Sale in #Jamaica #usedcar #carforsale</t>
  </si>
  <si>
    <t>@DanDarsim @wansyah_wanyu @Angjuan2 @Restichayah Anda siapa welcome2 disini ? Merasa yg punya negara ini ? Ktp anda sam ktp @yunartowijaya sama2 wni. Paham ? Loh. Saya paham kalo anda itu gk bsa trima fakta. Argumen kosong tanpa data mah gk ada artinya 😊.</t>
  </si>
  <si>
    <t>@wahhabicc_jabar Isis itu siapa,jika org pencari berita akan tau isis itu sebenarnya siapa.setelah saddam husein wafat.negara itu seperti hilang marwah,kekacauan sering terjadi.pembuat kekacauan saling memiliki kepentingan termasuk iran.apakah yakin anda @wahhabicc_jabar bahwa yg di basmi isis</t>
  </si>
  <si>
    <t>Tolak ISIS, apapun alasannya!! RT @Dewa93716095: @TolakBigotRI @Onta_buluk @mohmahfudmd Mereka2 Ini apa perlu untuk dipulangkan Pak @mohmahfudmd . masyarakat tidak ingin anak2 macam begini kembali ke Indonesia.</t>
  </si>
  <si>
    <t>Begitulah orang yang gak tau bedanya politik dengan agama. Wahabis IM Bahkan ISIS</t>
  </si>
  <si>
    <t>@MrsRachelIn @MustEkeph Jadi suriah ke 2, HeadQuarter ISIS dan kadrun</t>
  </si>
  <si>
    <t>Hrs bs ubah mindset org2. Kita2 yg main sosmed tau gimana di luar sna bnyk yg dirugikan krn plastik, tp org2 yg gapunya sosmed dan setiap hr banting tulang buat kerja aja ? Mreka blm tentu tau. Pemerintah hrs pikirkan cara gmn hal ini bs smpe ke semua WNI scr MENYELURUH. 😔 RT @zhellinrm: Keknya indo masih tabu akan "no plastics movement", aku beli gado2 bilang gapake kresek aja masih dipaksa dikasih sampe kudu bilang "akunya yg gamau, pak" :( sedih aku ges.. gimana ya cara untuk lebih bangun plastic awareness ke masyarakat</t>
  </si>
  <si>
    <t>@gito0811 @Gellentalrohim1 Gellent jadi masuk isis g ?</t>
  </si>
  <si>
    <t>RT @KompasTV: Berikut tiga berita terpopuler yang terjadi hari ini, mulai dari wilayah Jakarta yang banjir hingga menggenangi RSCM dan membuat sejumlah alat medis rusak, kontroversi pernyataan salah satu Komisioner KPAI dan pemerintah yang akan mengevakuasi WNI di Kapal Diamond Princess Jepang</t>
  </si>
  <si>
    <t>@gito0811 Abis S3 Vatikan, tes ujian masuk isis.. tapi bawa bawa nya bendera Slank tetep *plot twist pangkat 3</t>
  </si>
  <si>
    <t>@kumparan Seorang berpendidilan TINGGI....hanya minta maaf atas Bacotannya yg MENGADA ADA....kagak malu sama PENDIDIKANnya? Atau ke KADRUNannya melebihi batas OTAK ? #PecatSittiHikmawatty</t>
  </si>
  <si>
    <t>@DanDarsim @wansyah_wanyu @Angjuan2 @Restichayah  Masih mw bilang gk rasis ? Mksdnya anda disini apa ? Atau perlu dikasih liat ktp anda dan dia itu sama2 WNI 😊. RT @DanDarsim: @noe83070628 @Ndrews1162011 @Angjuan2 @Restichayah btw, yuuk cukupin deh.. Ni gegara cuitan si Narto botak yg kita tau doi siapa.. Sampah Jakarta, ampir sll berulang buat percikan keributan.. Gak usah nyerempet tll jauh ke cina scr ras 🙏 Dah wabah covid19 jgn jd mainan, sadunia sedih, dan turut simpati.. Belon tentu RI jg aman,</t>
  </si>
  <si>
    <t>descukpa isis</t>
  </si>
  <si>
    <t>RT @BirgaldoS: Pak Aloysius Sandi Sudirman sedang menghadapi masalah. Tulisannya di media sosial soal keprihatinannya pada kasus Gereja Paroki Santo Joseph Karimun berakhir dengan hukum militer. Kita dukung dan doakan semoga Pak Aloysius bisa mendapatkan keadilan.</t>
  </si>
  <si>
    <t>RT @aldrinoo: wni: banjir di jepang jernih yah airnya yaa namanya jg negara maju warganya tertib ga kayak indan indon indan indon inggris:</t>
  </si>
  <si>
    <t>@LeBrekele @kondekturbus_ @ISIS_Balik_NO @nety_rusi @aniesbaswedan @Paltiwest @kokokdirgantoro @BadjaNuswantara @ulinyusron @tangan_kir1 @tolakbigotnkri @StellaSuwardi @Twit_Opini @IraSKaminsky Sebab nya Gubernur nga becus kerja 🤭</t>
  </si>
  <si>
    <t>A vote for @BernieSanders is a vote for Alqaeda, Hamas, Hezbollah , Taliban , Jaamat e Islami, Al Shahab , ISIS .</t>
  </si>
  <si>
    <t>pgn mati tapi pgn ga dosa "isis come to me *log in, join..~~~</t>
  </si>
  <si>
    <t>indonesia gblk bgt males gue jd wni</t>
  </si>
  <si>
    <t>@CatWomaniya Or terrorist attack hone ke baad intelligence agencies ko bhi prove karna padta hai ki attack Taliban/ISIS/jihadi terrorist organisation ne kia hai 🤧🤧</t>
  </si>
  <si>
    <t>@Muhd_Sayyadi Kaima pa kace wni abu</t>
  </si>
  <si>
    <t>@HASSANIRFAN11 Tuhi geywe sahab. Aes chi wni bekaar 🤣</t>
  </si>
  <si>
    <t>@chiw Yg dia dipecat Ahok karena meninggalkan sekolah saat UN. Sekarang ‘diangkat’ lagi sehubungan dengan KPAI &amp; pendapatnya ttg anak2 (eks) ISIS</t>
  </si>
  <si>
    <t>@ISIS_Balik_NO @jr_kw19 @KPAI_official Bisa jadi,bisa jadi,masuk akal hhhhh</t>
  </si>
  <si>
    <t>@iBon_65 @ztw868992 @RikaSudjiman Gada gregetnya sekarang dia mah @ridwankamil kan ? Saya mah no</t>
  </si>
  <si>
    <t>Dulu KPAI diam ketika anak-anak teriak bunuh Ahok, terus PB Djarum dianggap eksploitasi, anak kombatan isis dikasih kesempatan pulang. Sekarang kalau berenang bisa hamil. Mending dibubarin</t>
  </si>
  <si>
    <t>@upilitilia @jr_kw19 @KPAI_official Jangan2 dia sudah hamil beberapa kali di kolam renang....bagi2 pengalaman pribadi</t>
  </si>
  <si>
    <t>RT @black__valley1: Abang yg baju hitam ini brkebutuhan kusus, di buli sama orng yg baju merah, videonya cuman sbntr karna yg merekam hrus slamatin abang yg baju hitam, karna mau di timpuk menggunakan batu, bnyk orng di situ tapi gk mau misahin mereka, yg ada malah teriak hbisin ada yg teriak bakar</t>
  </si>
  <si>
    <t>RT @black__valley1: Lokasi.perepatan SPBU tanah kusir depan alfa midi,</t>
  </si>
  <si>
    <t>RT @AnakKolong___: BERITA DUKA | . . Surga di bom ISIS, 72 bidadari kabur, menolak di poligami . . . . . . Selamat pagi saudara² sebangsa &amp; setanah air, yg beragama maupun tidak, selamat beraktivitas. Jangan ada kadrun diantara kalian, PUN jangan pernah jd kadrun, jadi kadrun berat, biar mereka</t>
  </si>
  <si>
    <t>@ZishanK10572995 @MridulaSaxena7 Are Teri Ammi ka halala hum karenge .... tension mat le Tu... ISIS ke bh@dwe🤑🤑</t>
  </si>
  <si>
    <t>RT @AnakKolong___: 15. Tapi, As'ad ogah menyamakan HT dgn kelompok ekstrem kanan seperti Islamis State of Iraq and Syria (ISIS). Menurut dia,ada perbedaan antara HT dengan ISIS. Meski keduanya sama2x mengusung khilafah,tp ISIS bergaya frontal dengan gerakan perlawanan fisik.</t>
  </si>
  <si>
    <t>@DarkAbsinth Eh iya klo mesum, kenapa dr boyke dkk ga di banned jadi wni ya?🙄.</t>
  </si>
  <si>
    <t>Narasi si baju merah ini sudah familiar di telinga WNI. Itulah sebabnya kita serukan perlawanan terhadap narasi sesat seperti ini. Tapi @DivHumas_Polri @jokowi @mohmahfudmd adem ayem aja tuh... RT @black__valley1: Abang yg baju hitam ini brkebutuhan kusus, di buli sama orng yg baju merah, videonya cuman sbntr karna yg merekam hrus slamatin abang yg baju hitam, karna mau di timpuk menggunakan batu, bnyk orng di situ tapi gk mau misahin mereka, yg ada malah teriak hbisin ada yg teriak bakar</t>
  </si>
  <si>
    <t>@IlhanMN Mujahid spam🤔 Paid by ISIS Taliban and @OfficialDGISPR</t>
  </si>
  <si>
    <t>@Jumai_jade @echoPiR @abcaustralia_id @jokowi Pak @jokowi jgn pengen beda sendiri, pakai kapal segala...ini bukan marketing supaya menarik perhatian dunia....jemput mereka segera dgn peswat spt wni di wuhan...jemput pakai @IndonesiaGaruda ...toh garuda ada rute toh ke jepang...</t>
  </si>
  <si>
    <t>RT @ErsatKera: @SondoroMusic @rinafarzia @CommuterLine @jokowi Narjiiiii Narjiiii Lagi sakaw ya? Kok tiba2 nyebut2 Monster Berhijab? Giliran kasus WNI homo di London kamu diam... apa kamu juga homo?</t>
  </si>
  <si>
    <t>RT @ratu_adil: #TolakSementaraTurisChina Ada kalanya kita menolak Kepulangan mereka yang Terpapar ISIS Demi NKRI Ini saatnya kita menolak Kedatangan mereka yang berpotensi Terpapar #VirusChina Demi NKRI Gong Xi Fa Cai #Imlek All China Hell Breaks Loose #WuhanCoronaVirus #ChinaVirus 🌐</t>
  </si>
  <si>
    <t>@samhudibae Mungkin dia kepingin punya anak asuh rasa ISIS .....</t>
  </si>
  <si>
    <t>@i_theindian @_Hindustanii_ @BJP4India @amitmalviya ISIS ki ma Ka Bh00$da🤑🤑</t>
  </si>
  <si>
    <t>RT @L3OF14N: @Luana_LD @APLpangeran1 @Aryprasetyo85 @aniesbaswedan @basuki_btp @AnakLolina @elHurryKoRn @Joker__Gantenk @spiderr__matrix Yang jelas yang mukul yang salah, biarpun orang tua nga boleh lakukan tindakan pemukulan terhadap orang lain. Semua WNI memilik hak konstitusi dan di lindungi UU, orang tua tersebut dapat di jerat dengan hukum pidana.</t>
  </si>
  <si>
    <t>Bisa tolong bantu pulsa yg tiba2 terpotong dari nomor saya...saya tidak bisa DM</t>
  </si>
  <si>
    <t>tolong untuk pemerintah cepat dalam mengambil keputusan dalam evakuasi kru wni di kapal diamond princess pikirkan perasaan kami sebagai keluarga yang masih ada di dalam kapal @jokowi @mohmahfudmd @Menlu_RI #coronavirus #evakuasi #wni #DiamondPrincess</t>
  </si>
  <si>
    <t>@Isis_Fumagalli 🙈🙈🙈 vc eh pfta sabia</t>
  </si>
  <si>
    <t>@samhudibae @D_OrpSandy Ini satu lagi wanita yg punya ide jenius.. dia ingin anak isis kembali ke indonesia... ybs cocok jadi penasehat isis cabang indonesia..</t>
  </si>
  <si>
    <t>Sarung dapat mengakibatkan orang menjadi ISIS RT @SantriGayengCom: Lawan bicaranya perempuan (singular): "anti sunnah" Lawan bicaranya pria (singular): "anta sunnah" Orang Betawi ke pria (singular): "ente sunnah" Kita ke orang yang sok nyunnah: "ente kenapa?" 😊</t>
  </si>
  <si>
    <t>RT @WandiAlghifari: Pada saat ahok menjabat orang ini dipecat, karena kedapatan keluyuran pada saat anak didiknya mengikuti ujian, dan baru baru ini ngotot ingin memulangkan anak anak isis. #PecatSittiHikmawatty #PecatSittiHikmawatty</t>
  </si>
  <si>
    <t>RT @KresnaAstra: WNI pertama yg diketahui terinfeksi COVID19 telah dinyatakan sembuh total dan sudah pulang dari rumah sakit SGH per 18 Feb. Dia adalah case#21, bekerja sebagai ART dan terpapar dari majikannya. Berita gembira yg jarang diberitakan</t>
  </si>
  <si>
    <t>@mrbaim_ Ini ciri khas yg gak bisa argumen. Yg dibahas banjir, lompat ke IMB 🤣😂 Kalo gw wni keturunan yg protes banjir, udah disuruh pulang kenegara nenek moyang kayak yg diretweetnya.😁😀</t>
  </si>
  <si>
    <t>RT @HaftaWasooli: @ParagRShinde @AbbuAbbu1 @mdbaid Whats hindutva? Terrorist organization like ISIS... Chal shoo lallubhakt.. Tere papa ki Vikas sabko pata hai.. Lallu sabse bada chor hai..</t>
  </si>
  <si>
    <t>@fancyeolgi ANNYEONGHASEYO ISIS IMNIDAAAA</t>
  </si>
  <si>
    <t>@echoPiR @h4_x0r @abcaustralia_id @awemany @jokowi semua orang yg sudah ditest lebih dulu boleh pulang setelah karantina 14 hari, sedangkan masih ada WN amerika yang belum di test masih di kapal. Test pertama tgl 4 Februari, WNI baru ditest tgl 18 Februari 2020 &amp; wajib dikarantina dikapal selama 14 hari.</t>
  </si>
  <si>
    <t>@KienAnd_ Makanya karena itu selalu dan selalu orang tua dari suku minoritas di Indonesia berpesan kepada anak anaknya, jangan main politik, bergaul dgn sesama suku ( bukan krn merasa kaum exclusive ) tapi buat apa sudah WNI di KTP masih juga dipanggil CHINA</t>
  </si>
  <si>
    <t>@kondekturbus_ @ISIS_Balik_NO @nety_rusi @aniesbaswedan @Paltiwest @kokokdirgantoro @BadjaNuswantara @ulinyusron @tangan_kir1 @tolakbigotnkri @StellaSuwardi @Twit_Opini @IraSKaminsky liat penyebabnya.</t>
  </si>
  <si>
    <t>@Hend082 @DedyPitopang @hannarayliza @ruhutsitompul Kalau nga suka di republik ini mas gampang..nooh isis suriah masih perlu orang...monggoo</t>
  </si>
  <si>
    <t>@hendryan_edy @Nomor155360515 @haikal_hassan Kok lw gak mampus klo kita ISIS? Mudah2an lw diazab Allah dng bomnya ISIS suatu saat nanti amiiinnnn</t>
  </si>
  <si>
    <t>Dengarkan dari mulut Deep State-1 ini siapa yang menciptakan dan melatih ISIS. Bukan Amerika secara keseluruhan, tetapi komponen penghianat yg menyusup sampai ke puncak eksekutif. Begitu pula dengan tampuk kekuasaan legislatif, yudikatif, militer, kepolisian, pers, hiburan dll. RT @DeepStateExpose: "With the steps I ordered last month, we are speeding up the training of ISIS forces with Sunni volunteers" ~Obama #DrainTheDeepState4thReich</t>
  </si>
  <si>
    <t>RT @PakatDayak: Cc @Kemenag_RI dari pada kalian buang-buang waktu dan energi mikirin eks WNI Combatan ISIS... Kenapa tidak kalian pikirkan kami masyarakat Dayak yg hidup di tapal batas..? @WagimanDeep @permadiaktivis @Takviri @nadreaselta</t>
  </si>
  <si>
    <t>@ISIS_Balik_NO @nety_rusi @aniesbaswedan @Paltiwest @kokokdirgantoro @BadjaNuswantara @ulinyusron @tangan_kir1 @kondekturbus_ @tolakbigotnkri @StellaSuwardi @Twit_Opini @IraSKaminsky Fakta, ngga dongo bukan cebong namanya</t>
  </si>
  <si>
    <t>@abcdefby Cewe mainnya pubg kaya isis</t>
  </si>
  <si>
    <t>RT @awan137: @Robert__Moses @yunosusanto24 @7int4Putih @KPAI_official Bukan hanya di rombak #PecatSittiHikmawatty #BubarkanKPAI</t>
  </si>
  <si>
    <t>@ShUjAkHaN_1 @neeraj7791 @UdaySRana @zoo_bear Terrorists are synonymous with Muslims Osama ,al Qaeda , Isis ,boko haram , Laskar e thoiba ,jaish e Mohammad</t>
  </si>
  <si>
    <t>@abcaustralia_id @jokowi Bantu share yaa. Sodara temenku dan para WNI disana blm ada kepastian pulang. Semoga mereka bisa secepatnya pulang dgn selamat. Aaaamiiin ya Allah</t>
  </si>
  <si>
    <t>@younthigh @kukuneeeeee Sori kt UUD pasal 28 ada yg namanya hak asasi tiap wni punya hak buat mengutarakan suara knp w ngablh reply smuanya y !</t>
  </si>
  <si>
    <t>RT @hanishx: Macam mana budak univ ada buku pasal pengganas isis sebab nak buat research pun kena tangkap tapi yang terang2 sokong pengganas ltte 12 orang tu boleh lepas macamtu je.</t>
  </si>
  <si>
    <t>Iran Positif Terinfeksi Corona, Bagaimana Nasib WNI???</t>
  </si>
  <si>
    <t>RT @HilalAsyraf: Orang Islam angkat jari telunjuk aja, dah berdegar-degar orang karang artikel fasal persamaan dengan ISIS. Orang Islam ada ISIS-related material, kena cekup dan didakwa. 12 orang ada gambar ketua pengganas LTTE, peguam negara gugurkan pertuduhan. Dia kata dia 'impartial'.</t>
  </si>
  <si>
    <t>[Top3News] Banjir, Alat Medis RSCM Rusak l Kontroversi KPAI l Pemerintah Akan Evakuasi WNI di Jepang</t>
  </si>
  <si>
    <t>@MardaniAliSera Pasti di pulang in kalo segitu kami percaya presiden asal jangan MANTAN ISIS AJA!!! Yang di pulangin</t>
  </si>
  <si>
    <t>@KurniaSubud @Hali__lintar @jokowi @mohmahfudmd @prabowo Anak-anak ini otaknya sudah dicuci dan didoktrin,untuk membunuh dan membunuh.sampai dewasa malah akan lebih kejam lagi kelakuannya terhadap orang yg berseberangan dengan mereka.jadi biarkanlah mereka tetap bersama ortunya yg warga ISIS itu.</t>
  </si>
  <si>
    <t>RT @anjarpoo: Kata iklan jaringan tsel ada dimana mana, itu provider apa ISIS</t>
  </si>
  <si>
    <t>RT @1Obefiend: Oh daring government dengan letak pro ISIS avatar di social media ye? Tak apa. Bodoh tak boleh diajar. Ingat ya kalau kena raided tolong dapatkan bantuan guaman segera. Jangan mengaku bersalah. Those 2 are important</t>
  </si>
  <si>
    <t>Beredar Video WNI di Diamond Princess Minta ke Jokowi Pulang dengan Pesawat</t>
  </si>
  <si>
    <t>@nasiimerah Aku gausa pake di loss no ae enak isis</t>
  </si>
  <si>
    <t>@gud_gurll isi isis</t>
  </si>
  <si>
    <t>Sikap Pemerintah Menolak Kepulangan FTF ISIS Asal Indonesia adalah untuk Kepentingan Bangsa dan Negara, karena tugas negara yang paling utama adalah memberi rasa aman kepada rakyatnya.</t>
  </si>
  <si>
    <t>@TolakBigotRI @KakekHalal @mohmahfudmd Katakan tolak ya tetap tolak.jangan berubah-ubah.mau anaknya isis kah,bapaknya kah,nenek moyanynya pun.kami tak mau trima mereka tinggal di Indonesia.</t>
  </si>
  <si>
    <t>@muhsinlabib Disinilah kyai mestinya pemerintah dg segala perangkat hukumnya melindungi segenap warganya..dari konflik itu.bukan malah menghindari konflik..dan lucunya Komnasham pun diam..tp teriak ketika anak Kombatan isis ingin kembali di Indonesia.</t>
  </si>
  <si>
    <t>Ada ribuan WNI menetap di kota Daegu. Yuk di RT dan mhn kesediaannya bacakan Alfateha, doakan agar mereka terhindar dari VirusSetanCorona ini. Aamiin YRA RT @kumparan: Kota Daegu di Korea Selatan mendadak jadi Kota Hantu. Mal, restoran, dan jalan utama di Kota Daegu kosong melompong. Padahal, Daegu merupakan kota terbesar keempat di Negeri Ginseng. Kota ini disinyalir merupakan asal virus corona sampai di Korea. #TopNews</t>
  </si>
  <si>
    <t>Bisa dibilang aku generasi ke empat dr keluargaku yg lahir di indonesia dan sudah menjadi WNI, ketika aku di HK, aku merasa lebih aman karena secara fisik aku gk berbeda dengan warga HK yang lain, tapi ntah kenapa aku ngerasa bukan warga HK ataupun China.</t>
  </si>
  <si>
    <t>Kasus Virus Corona di Iran Terus Bertambah, Bagaimana Kondisi WNI?</t>
  </si>
  <si>
    <t>@dipermalukan Cocok kok tp ambe rondo isis wingi</t>
  </si>
  <si>
    <t>Setuju dengan sikap pemerintah terhadap WNI eks ISIS</t>
  </si>
  <si>
    <t>RT @bonerdude69: smirnoff isis</t>
  </si>
  <si>
    <t>@TolakBigotRI @Onta_buluk @mohmahfudmd Kebiadaban isis !!!</t>
  </si>
  <si>
    <t>Sikap Pemerintah Menolak Kepulangan FTF ISIS asal Indonesia</t>
  </si>
  <si>
    <t>gue baca berita katanya ada ribuan wni di korsel wow ribuann. kemaren di china ada hampir 300. banyak jg ya orang indo tu</t>
  </si>
  <si>
    <t>@Kinan18069393 Jelas sudah @KPAI_official antek HTI/ISIS/CENDANA 😱😱😱</t>
  </si>
  <si>
    <t>Saat anak2 indonesia bnyk yg kurang beruntung anda woles bae. Saat anak² calon pengebom anda teriak. Eh bambaaaaaaaang yg gaji lo itu warga indonesia bukan warga isis vangke...</t>
  </si>
  <si>
    <t>@samhudibae ooohhh betina kadrurun pecatan pro isis wadoooh.</t>
  </si>
  <si>
    <t>Kata iklan jaringan tsel ada dimana mana, itu provider apa ISIS</t>
  </si>
  <si>
    <t>bayangin johnny tiba2 ganti kewarganegaraan jd WNI terus tau2 ganti nama jadi Johnny Sihombing atau Johnny Sihotang. cocok bgt dia jd orang batak ya Allah wkwk</t>
  </si>
  <si>
    <t>Sudahlah kembali ke kittah-nya aja urusin anak² yg kurang beruntung,tp jngn teriak anak² eks.isis lg yah. Mslh anak2 msh bnyk PR krn entah tebang pilih atau pesanan jg saya krg paham. Saat anak2 diajak demo anda diam. Saat anak2 dilatih PB djarum anda teriak. Anda waras?</t>
  </si>
  <si>
    <t>@KPAI_official drpd ribet kliatan vekok nya urus sperma di kolam renang .. Mnding elu urus eksploitasi anak2 dipke demo 212, HTI n ISIS 🤔 Berani gk elu ?? Atw emx udah sepaket m mrk ?</t>
  </si>
  <si>
    <t>RT @Fatimah4jeng: #PecatSitiHikmawatty bikin heboh lg dngn prnyataannya trkait khamilan saat brenang. Sbelumnya ibu ini yg angkat kasus audisi PB Djarum (masih inget ga?). Lalu di mana kamu ketika ada kasus anak2 dibully? Giliran anak2 ISIS suaranya paling kenceng. Sepertinya kurang AQUA si Ibu.</t>
  </si>
  <si>
    <t>WNI dan negara di kuasi oleh elit politik dan partai mau apa rakyat yg tdk elit dan tdk bersama elit politik dan partai , rakyat di gunakan sebagai alat politik dan untuk di atur kan rakyat yg ngatur elit yg berharap rakyat terti ggi itu cuma kalimat di uud 1945 RT @Jean_Aprilia97: Reformasi menumbangkan rezim orde baru krn Dianggap Otoriter dan KKN. Trus skrg apa? ▫Korupsi mkin bnyk ▫Bagi bagi jabatan ▫Politik Dinasty ▫Yang kritis di bui ▫Media msih ada yg tdk berimbang ▫wakil rakyat yg harusnya mengawasi mlh jd pndukung</t>
  </si>
  <si>
    <t>@mintcocs pgn naturalisasi hangyul bgt, biar jadi bagian wni</t>
  </si>
  <si>
    <t>@KemenkesRI @infoppkk mohon di tindak lanjutin mrk ini WNI. RT @abcaustralia_id: WNI Kru Kapal Pesiar Diamond Princess menitipkan melalui @abcaustralia_id video yang ditujukan kepada Presiden @jokowi. Para kru meminta pemerintah Indonesia segera menjemput mereka dari Yokohama, Jepang.</t>
  </si>
  <si>
    <t>Isis eks wni not wni eks isis</t>
  </si>
  <si>
    <t>RT @TofaTofa_id: Waspadalah terhadap HTI dan ISIS. 🙂</t>
  </si>
  <si>
    <t>RT @ontasirkus: "Kenapa Batik Air yang digunakan untuk evakuasi WNI di Wuhan?" "Kenapa ga pake Garuda Indonesia aja?" "Garuda Indonesia lebih bagus pelayanannya dibanding Lion group, kenapa harus pake Batik Air?" ---------- u t a s ----------</t>
  </si>
  <si>
    <t>@abcaustralia_id @LisaAmartatara3 @jokowi Ini kasusnya sama dgn virus ISIS..</t>
  </si>
  <si>
    <t>aku ingin jadi WNI (Warga Negara Italia) RT @FaktaGoogle: Italia termasuk negara barat yang angka kelahirannya paling rendah. Disana pasangan yang punya anak lebih dari 1 akan dikasih reward.</t>
  </si>
  <si>
    <t>RT @dagadgetboi: @zoelfick Honourable mention: 2. "Anak ISIS harus segera dipulangkan", anak kena bully, "maaf KPAI sedang sibuk". 3. Djarum eksploitasi anak, anak jalanan dibiarkan. 4. Coming soon... ketololan berikutnya</t>
  </si>
  <si>
    <t>Haaqni network jeish muhammad tlp jamat e islami jui jamat ul ahrar hafiz saeed mulana tariq masood tariq jameel esa hota h leaders islami partys isis tu hai he buri</t>
  </si>
  <si>
    <t>RT @VaniaCiprut: Korban bully Jari di amputasi.. Selama ini kok gak pernah denger @KPAI_official teriak2 soal itu, Malah urusin anak ISIS dan sperma di kolam renang yg bikin HAMIL Ingat KPAI urusin anak bukan urusin kolam renang #PecatSittiHikmawatty #PecatSittiHikmawatty</t>
  </si>
  <si>
    <t>@collegemenfess ISIS (Istri Solehah Idaman Suami)</t>
  </si>
  <si>
    <t>RT @kompascom: Sri Mulyani mengungkapkan telah memiliki data transaksi WNI di luar negeri berkat kerja sama pertukaran informasi data keuangan secara otomatis.</t>
  </si>
  <si>
    <t>RT @permadiaktivis: @risrisus aturan Dais (Daulah Islam) ISIS</t>
  </si>
  <si>
    <t>@HHowatio @LusiHQ @EL_Atheos @primanthaevelin Loe gila kali ya? Mau gw tunjukin sebagian besar dr koruptor itu adlh pendonor utama bagi kegiatan evangelis di Indonesia? Membangun gereja2 &amp; vihara2 megah di seantero republik ini. Mgkn saja ada yg dibangun dgn uang hasil korupsi itu. Loe gak tau kalo ISIS itu ciptaan Amerika?</t>
  </si>
  <si>
    <t>Sri Mulyani mengungkapkan telah memiliki data transaksi WNI di luar negeri berkat kerja sama pertukaran informasi data keuangan secara otomatis.</t>
  </si>
  <si>
    <t>RT @WahabisLokal: Fik kan....! KPAI tidak ada fungsi. Berbagai kasus anak2 Indonesia tidak disentuh. Buruan ada anak2 ISIS terlantar di Luar Negri, Ehhh....mereka teriak kecang sekali. @SHikmawatty #PecatSittiHikmawatty</t>
  </si>
  <si>
    <t>RT @belongtome_ndh: wira dan dodo udah cocok ni jadi WNI hhhaa #RebootX1_2020 #BraveForX1</t>
  </si>
  <si>
    <t>wira dan dodo udah cocok ni jadi WNI hhhaa #RebootX1_2020 #BraveForX1</t>
  </si>
  <si>
    <t>Pesan WNI ABK Diamond Princes kepada Presiden RI dari Yokohama. Jemput kami secepatnya Pak Presiden Kami ingin pulang secepatnya Jangan biarkan kami terpapar virus Covid-19 Begitu poster yg mereka bawa, saat menyampaikan pesannya.</t>
  </si>
  <si>
    <t>@KPAI_official urusan sperma dan agama paling kenjeng, giliran ngurus kekerasan atas nama agama dan anak2 isis pd mingkemm</t>
  </si>
  <si>
    <t>Wow, Ternyata Data Transaksi WNI di Luar Negeri Mencapai Rp3.674 Triliun!</t>
  </si>
  <si>
    <t>pemukiman di seluruh Indonesia,akibatnya pertumbuhan ekonomi merosot,kegiatan banyak yang terhenti,sehingga lumpuh pergerakkan perekonomian di segala bidang di seluruh Indonesia di tambah beban yang berlipat-lipat di pundak setiap WNI beragama Islam,Kristen,Budha,Kongfu-cu &amp;Hindu</t>
  </si>
  <si>
    <t>RT @TRANS7: "Kita lihat aturan berlaku. Presiden sudah tolak pemulangan ISIS, eks WNI. PP jelas-jelas sebutkan "dengan sendirinya" akan kehilangan status kewarganegaraan." Guru Besar Hukum Internasional UI Hikmahanto Juwana. #MataNajwa #MataNajwaMenangkisISIS</t>
  </si>
  <si>
    <t>@AnakKolong___ @ganjarpranowo @ken_mrizal @PoldaJogja mohon di bantu @AnakKolong___ pak @ganjarpranowo .. bukan apa2 sih..jangan sampai di jawa tengah ada propagandis khilafah ala isis yg mjd bahaya laten dan terus menyebarkan paham sesatnya... #JatenhAdemAyem.. 🙏🙏</t>
  </si>
  <si>
    <t>RT @LisaRah07320148: Pemerintah Terus Pantau Kondisi WNI Di Diamond Princess #KitabullahDitassegalanya</t>
  </si>
  <si>
    <t>RT @_ChusnulCh_: Dari soal anak2 yg teriak bunuh Ahok dijalan, demo 212 yg berkali2 memanfaatkn anak2, Audisi PB Djarum, anak2 ISIS hingga pernyataan kontroversi perempuan bisa hamil hny gara2 satu kolam dgn laki2, sebenarnya yg pantas itu KPAI langsung dibubarkan bkn cuma #PecatSittiHikmawatty.</t>
  </si>
  <si>
    <t>RT @IffahAlqadrie: Alamdulillah...barakallahulakum...akhirnya ..kalian terbebas dari virus corona😇 #mahasiswa #wni #yang #sudah #dikarantina #di #natuna #dari #wuhan #china #coronavirus #Alhamdulillah #Selamat #kuasa #Allahtaala</t>
  </si>
  <si>
    <t>RT @MoosaShifau: Bilal Philips is hated by MDP heads, MDN heads, ISIS, US, UK, EU, India, and Maktabah Salafiyyaa.. Al hamdhulillah, they have similarities</t>
  </si>
  <si>
    <t>@TheUnpopularO13 @amitmalviya Chup be Pakistani isis terrorist bola na tereko wahi kar ghusa le...</t>
  </si>
  <si>
    <t>RT @qureta: Mereka menyebarluaskan barbarisme dengan justifikasi agama dalam upaya mengeklaim kendali penguasaan atas kekuasaan tersebut.</t>
  </si>
  <si>
    <t>@prabawananda @mbahCokro77 @EdiSofi0567 CIA ya...🤔 Ah...lempar batu sembunyi tangan itu... Al-Qaedah, ISIS, bla bla bla... Jangan anggap orang Indonesia zaman now bodoh" lah...😆</t>
  </si>
  <si>
    <t>RT @afnfahmi: Sedikit cerita saya soal 2 teman dekat yang kemarin tidak lolos screening saat evakuasi? Keduanya sehat, wal afiat. Kami terus mengirimkan dukungan. Semoga ada solusi konkret dari @Kemlu_RI untuk membantu. via @skorindonesia cc: @ylchaniago</t>
  </si>
  <si>
    <t>What is KPAI? Komisi Perlindungan Anak ISIS? Komisi Pelecehan Anak Indonesia? Komisi Penistaan Agama Islam? Atau apa nih? 🧐🤔 #PecatSittiHikmawatty</t>
  </si>
  <si>
    <t>@garpitduabatang Dasar isis</t>
  </si>
  <si>
    <t>@robbyansyah Oh gitu. Soalnya seinget gue pas balik kemaren, gak ada tulisan khusus e-passport, malah tulisannya "Indonesian only" 😂 gue kira seluruh paspor WNI bisa pake autogate.</t>
  </si>
  <si>
    <t>RT @HHowatio: @sultanalfathir @LusiHQ @EL_Atheos @primanthaevelin @ryuhasan @KemenkesRI @KemenristekBRIN apa topik awalnya tentang isis kan enggak njing. Knp lu ke triggered. Ga usa sok prihatin sm negara lain kalau yg sebangsa msh ditindas, ketahuan lu bukan pro nkri tp islam radikal. Join aja isis klo mau habisin kafir2 yg “mnghancurkan” negara islam.Bacin bukan insult bg gw, drun</t>
  </si>
  <si>
    <t>RT @martuadavid: @wisanggeni_084 Sejak masalah dengan bulutangkis itu kan memang udh ada beberapa yg menduga KPAI isinya kadrun semua. Wajar aja membela ISIS.</t>
  </si>
  <si>
    <t>Informasi Seorang WNI (Aceh Timur) Meminta pertolongan untuk pulang ke Aceh. Beliau Ditahan di JABATAN IMIGRESEN LANGKAP MALAYSIA Nama. : Munandar Umur. : Kurang lebih 30 thn Alamat. : Desa Mane Rampak…</t>
  </si>
  <si>
    <t>Keputusan pemerintah menolak kembali mantan anggota ISIS menunjukan bahwa Indonesia sangat serius memerangi terorisme #TolakEksWNIISIS #WNIISIS #IndonesiaMaju</t>
  </si>
  <si>
    <t>RT @babygvrl: Untung bukan WNI</t>
  </si>
  <si>
    <t>2023 Malaysian General Election Lin Guan Eng vs ISIS</t>
  </si>
  <si>
    <t>Waktu penjemputan masih belum diketahui</t>
  </si>
  <si>
    <t>cc : pak @jokowi mereka WNI, perintahkan @Menlu_RI , @KemenkesRI , @_TNIAU untuk segera menjemput mereka hidup-hidup. Kami menggaji bapak yang terhormat untuk menjaga kami semua. RT @sandalista1789: cc: @jokowi</t>
  </si>
  <si>
    <t>RT @InfosuporterID: Serial tulisan @afnfahmi untuk @skorindonesia Tak semua WNI yang ada di WUhan bisa pulang ke Indonesia. ini cerita mereka Basket, Usaha 2 WNI Jaga Kebugaran di Tengah Wabah Corona</t>
  </si>
  <si>
    <t>RT @weddie_s: Pemerintah segera melakukan evakuasi WNI dari Yokohama, Jepang, dalam waktu dekat... #coronavirus #Covid19</t>
  </si>
  <si>
    <t>@PendekarMuda19 Siapapun yg mabok agama adh teroris..plg mudah ye jual soal agama.dikit2 komunis.kl ini yg mabok agama adh teroris yg patut diberantas mcm isis..cuih</t>
  </si>
  <si>
    <t>@RanaAyyub @ReallySwara Baklundi Aayub ISIS ki agent</t>
  </si>
  <si>
    <t>Serial tulisan @afnfahmi untuk @skorindonesia Tak semua WNI yang ada di WUhan bisa pulang ke Indonesia. ini cerita mereka Basket, Usaha 2 WNI Jaga Kebugaran di Tengah Wabah Corona</t>
  </si>
  <si>
    <t>@afnfahmi @skorindonesia Serial ketiga tulisan @afnfahmi untuk @skorindonesia Kegiatan para rombongan yang ditampung di Natuna Pulang karena Corona: Kisah WNI dan Astaire Dance</t>
  </si>
  <si>
    <t>RT @antaranews: "Rencananya Selasa pekan depan akan ada rapat untuk membahas pemulangan WNI yang berada di kapal pesiar Diamond Proncess menggunakan apa," kata Menteri Perhubungan Budi Karya Sumadi tentang rencana menggunakan jalur laut atau udara. #Corona #CoronaVirus</t>
  </si>
  <si>
    <t>Sepak Terjang ISIS di Asia Tenggara</t>
  </si>
  <si>
    <t>kata siapa bukan musuh negara. . justru kalian adalah musuh negara yg mau mendiriian khilafah dan mendukung ISIS RT @KakekHalal: Kalau @DivHumas_Polri tegas seharusnya spanduk bertuliskan HTI itu diamankan krn HTI sdh resmi dibubarkan oleh Negara. Mungkin @DivHumas_Polri Takut kriminalisasi spanduk 😂</t>
  </si>
  <si>
    <t>RT @AinaQistina99: Cuma masa yang menemukan dia dan kamu. . . . Dan masa juga yang menghentikan segalanya.</t>
  </si>
  <si>
    <t>RT @King_COAK: Messi: La Masia Ben Arfa Hazard: Belgian Kardashian Alexis Sanchez: Chilean Bolasie Neymar: Brazilian Zaha Lukaku: Belgian Mark Henry Vardy: Brexit R9 Sean Dyche: bronchitis Simeone Salah: ISIS Gervinho Mourinho: exotic Tony Pulis Bakayoko: dandruff Elneny</t>
  </si>
  <si>
    <t>Guobloggg kok ngurusin KPAI, makanya anak demo bela agama, anak teriak teriak bunuh A.... pd saat kasus fitnah nista ayat, anak WNI yg ikut ortu bela ISIS didiamkan, KPAI tapi anak PB Jarum yg ikut seleksi dibilang dieksploitasi !  RT @detikcom: Komisioner KPAI Sitti Hikmawatty bikin heboh dengan pernyataan 'wanita berenang bersama pria bisa hamil'. Sitti Hikmawatty kini meminta maaf. #KPAI #SittiHikmawatty</t>
  </si>
  <si>
    <t>Ternyata ada 4 org WNI yg kena virus corona di kapal jepang kemarin itu</t>
  </si>
  <si>
    <t>@ISIS_Balik_NO @aniesbaswedan @DKIJakarta Waduhhhhhh 😮 😮 😮 😮 😮, Jakarta kog makin kumuh ya gini..😮😮😮😮😮</t>
  </si>
  <si>
    <t>Awas Bahaya ISIS Disekitar Kita</t>
  </si>
  <si>
    <t>@nebulasafina Aku gatau sepenuhnya soal yg ini. Ini wajib dilakukan buat wni kah?</t>
  </si>
  <si>
    <t>@Gobang09791575 @Parapat_Nixon @jokowi @mohmahfudmd Di hentikan! Tidak lagi datang Indonesia senang Tidak bumerang Isis pencuci merusak akal Tidakkan hilang hingga akhir zaman Nyatanya hidup di buat bom bunuh diri Jadi biarkan mereka di kandang mati kebakar</t>
  </si>
  <si>
    <t>RT @faizalassegaf: Hahaha lg kemasukan "Ruhul Kudus". Dengarin tuh Habib Qurais Shihab, Najwa Shihab, HRS, Ketua PBNU Aqil Siraij, Wantimpres Habib Lutfie Bin Yahya, Anies Baswedan. Kita WNI keturunan Arab cuma numpang di NKRI. Pencerahan yg menyegarkan 😂 copas dari akun</t>
  </si>
  <si>
    <t>@semestasains Aku bacanga ISIS:(</t>
  </si>
  <si>
    <t>What is KPAI? Komisi Perlindungan Anak ISIS? Komisi Pelecehan Anak Indonesia? Komisi Penistaan Agama Islam? Atau apa nih? #PecatSittiHikmawatty</t>
  </si>
  <si>
    <t>@Gobang09791575 @Parapat_Nixon @jokowi @mohmahfudmd Tentu itu harus dihentikan Para isis tetap bengis Kepepet lamis Tukmis pengemis Amis Amis Agama Miris Islam So'k sosial bengis</t>
  </si>
  <si>
    <t>@stipitanata Daripada aktif di isis</t>
  </si>
  <si>
    <t>So far, WNI yang kena virus corona itu jumlahnya 4 orang dan bukan disini tp di Jepang</t>
  </si>
  <si>
    <t>@HHowatio @LusiHQ @EL_Atheos @primanthaevelin @ryuhasan @KemenkesRI @KemenristekBRIN Loe menggeneralisasi kelakuan beberapa ribu org fanatics spt ISIS dibandingan dgn 1,8 M muslim di seantero bumi? Itu cm 0,00001 % dr populasi. Emang gak ada kristen, budha, hindu atau Yahudi yg fanatics? Banyakkk. Tp loe pura2 gak tau. Yg ada diotak loe hanya kebencian pd Islam.</t>
  </si>
  <si>
    <t>SALAAAHHHH BUKAN JIBRIL YANG JADI ISIS MAAP HUHU</t>
  </si>
  <si>
    <t>@dwiyanaDKM ISIS beraksi. Negara tidak berani.. melawan...</t>
  </si>
  <si>
    <t>@WiwidCorry @7int4Putih8 @KPAI_official Kali saja berdasarkan penelitian lembaga kadrun al syariah</t>
  </si>
  <si>
    <t>RT @Jalakovic: @hemaviton99 Itu kalo kmrn isis eks wni diterima lg, bakalan kejadian sama bgtu</t>
  </si>
  <si>
    <t>RT @GrbToni: @7int4Putih @KPAI_official Orang2 @KPAI_official emang bego2 sih #BubarkanKPAI #BubarkanKPAI #BubarkanKPAI #BubarkanKPAI #BubarkanKPAI #BubarkanKPAI #BubarkanKPAI #BubarkanKPAI #BubarkanKPAI #BubarkanKPAI #BubarkanKPAI #BubarkanKPAI #BubarkanKPAI #BubarkanKPAI #BubarkanKPAI #BubarkanKPAI</t>
  </si>
  <si>
    <t>WNI Kru Kapal Pesiar Diamond Princess menitipkan melalui @abcaustralia_id video yang ditujukan kepada Presiden @jokowi. Para kru meminta pemerintah Indonesia segera menjemput mereka dari Yokohama, Jepang.</t>
  </si>
  <si>
    <t>@cinnamon_irish @zenoldgonzalez siap-siap deh bawa ke MK biar bisa dikoreksi agar ada keadilan yang setara buat WNI.. rakyatnya sendiri.. Duuh..Gusti..🤲🙏</t>
  </si>
  <si>
    <t>@7int4Putih @KPAI_official Karena sudah terpapar virua kadrun oposisi</t>
  </si>
  <si>
    <t>@hemaviton99 Itu kalo kmrn isis eks wni diterima lg, bakalan kejadian sama bgtu</t>
  </si>
  <si>
    <t>@SherrlyVania Kalau rasa bunga mawar gak begitu aneh.....banyak didapat kok, rose water flavor...yg 3 lainnya 😂😂😂😂</t>
  </si>
  <si>
    <t>@wni_sni Riak takbur ujub</t>
  </si>
  <si>
    <t>Belom lagi yg keluarin statement cov2019 ngga bisa kena wni karena spike protein, langsung dibales dengan wni yg positif di diamond princess. Kayaknya belom ada tarik pernyataan deh.</t>
  </si>
  <si>
    <t>@dwiyanaDKM @KPAI_official @jokowi @KPAI_official KLARIFIKASI GEJE.....Kagak JELAS !</t>
  </si>
  <si>
    <t>RT @AgusSetiawanAr4: Doakan juga wni yang dikorea selatan semoga terhindar dari virus corona</t>
  </si>
  <si>
    <t>Doakan juga wni yang dikorea selatan semoga terhindar dari virus corona</t>
  </si>
  <si>
    <t>Damn @KPAI_official Klean isinya brengsek2 sejenis menteri pecatan yang lagi maen gubernur2an kah? Buruan Sono pindah ke ISIS RT @samhudibae: INI DIA RETNO LISTYARTI KOMISIONER KPAI YANG PRO ANAK ISIS DI PULANGKAN! DIA Kepala Sekolah yang di pecat jaman Gubernur AHOK karena kedapatan keluyuran waktu Anak Didiknya sedang mengikuti Ujian Nasional. #PecatSittiHikmawatty</t>
  </si>
  <si>
    <t>RT @ZAEffendy: 1 WNI, Perempuan, suspect #COVID19 rawat isolasi di RSHS Bandung sejak Jumat, 21 Feb. Pasien diketahui baru kembali dari Malaysia-Singapura- Thailand, bulan Februari ini.</t>
  </si>
  <si>
    <t>@cecile2771 @mie_ayamm pendukung Anak ISIS masuk NKRI🇮🇩</t>
  </si>
  <si>
    <t>@davidridwanbetz Ya di kubur atau di kremasi, terserah permintaan dia dan keluarga. Gak harus WNI ket Tionghoa saja yang di kremasi saat meninggal dunia.</t>
  </si>
  <si>
    <t>Ini Kentaro Iwata yang dikutip @jakpost ttg Diamond cruise.Gimana nih WNI yg darisana, bakal diisolasi dulu di Natuna atau gmn? RT @lawyerMAYUZO: 動画の、英語バージョン</t>
  </si>
  <si>
    <t>huhu kamu masih harus tetap waspada yaa</t>
  </si>
  <si>
    <t>@KadrunHunter99 Makin lama makin muak liat WNI ARAB di indonesia.bikin onar propokator bacot pada gede.mending pada balik sono ke negri leluhur mu.</t>
  </si>
  <si>
    <t>@watipp @amasna Rencananya karantina 28 hari, lebih panjang daripada yg dipulangkan dari Wuhan.</t>
  </si>
  <si>
    <t>And abang gue update status lagi dan mulai pake masker. Mana mainnya di lab pula 😣😣😣 10-15 kasus dgn korban almost 200 ppl /day Ya allah astaghfirullah.. Stay safe WNI yg di sana..  RT @OH_mes2: 46 new cases of Coronavirus in Korea There are now 602 total cases in Korea</t>
  </si>
  <si>
    <t>RT @aswaliaaa: @faroukhaq Ya, and sunni ISIS, Afghanistan semua layan perempuan elok sangattt</t>
  </si>
  <si>
    <t>@KompasTV @jokowi @DPR_RI Wakil Ketua Lembaga Perlindungan Saksi dan Korban (LPSK), Edwin Partogi Pasaribu menyatakan, secara hukum anak dan istri eks ISIS bukanlah korban. LPSK: Anak dan Istri Eks ISIS Bukan Korban</t>
  </si>
  <si>
    <t>Indonesia Dengan Tegas Menolak Masuknya Eks Anggota ISIS Demi Keamanan. #PecatSittiHikmawatty</t>
  </si>
  <si>
    <t>Biadab! Ini perbuatan teroris ISIS atau simpatisan ISIS. Tolong segera ditangkap @DivHumas_Polri RT @kompascom: Apa ancaman bagi mereka yang melakukan tindakan yang membahayakan perjalanan kereta api seperti meletakkan tumpukan batu di atas rel?</t>
  </si>
  <si>
    <t>@V_Stone_Kardol @iwan2701 Ngurusin nya yg aneh2 spt PB Jarum exploitasi anak. Isis ex wni. Dan skrg wanita berenang dikolam renang.campur pria bs hamil.</t>
  </si>
  <si>
    <t>@jr_kw19 @DivHumas_Polri Takbir org2 ini harus basmi mereka2 ini yg kombatan isis perkataannya sm dgn isis apa2 takbir tembak org takbir.apa2 takbir ini yg bahaya kl sy presidennya sy tangkap org2 lebih baik di musnahkan merugikan mereka hidup di negara indonesia tp mereka tidak meng</t>
  </si>
  <si>
    <t>Pemerintah Selasa putuskan opsi pemulangan WNI di Diamond Princess</t>
  </si>
  <si>
    <t>((camp simpatisan isis)) jingan 😭🤣 RT @adhityanandhakp: Depan rumah lagi mantu, musiknya musik gambus. Auto berasa rebahan di camp simpatisan isis.</t>
  </si>
  <si>
    <t>Al-Hash Al-Shaabi Berhasil Menangkap Koordinator ISIS di Luar Irak</t>
  </si>
  <si>
    <t>RT @AminH42671425: WNI di Amerika Serikat mulai ....</t>
  </si>
  <si>
    <t>@IdEmbassy_Seoul Selamat sore min. Saya mau tanya apakah sudah ada larangan ke korea selatan utk WNI meskipun hanya utk wisata di Seoul dan skitarnya? Karena saya ada rencana kesana dalam waktu dekat, takutnya nanti balik2 harus dikarantina. Mohon penjelasannya min, terima kasih 🙏🏻🙏🏻🙏🏻</t>
  </si>
  <si>
    <t>@SondoroMusic @rinafarzia @CommuterLine @jokowi Narjiiiii Narjiiii Lagi sakaw ya? Kok tiba2 nyebut2 Monster Berhijab? Giliran kasus WNI homo di London kamu diam... apa kamu juga homo?</t>
  </si>
  <si>
    <t>Di korsel makin nambah angka yang kena virus corona bahkan sudah ada 4 orang yang dinyatakan meninggal. Banyak WNI disana dan ada beberapa temanku yang kuliah disana 😭</t>
  </si>
  <si>
    <t>Kondisi yg seperti apakah yg disebut "Mabuk Agama"? Ketika orang sudah mengesampingkan logika, akal sehat. Pilih gubernur karena seagama KTPnya. Sebelum masuk pada fase gila agama ala khilafah aka ISIS, biasanya didahului dengan mabok agama kek gini. Coz BAHLUL! #WajahBaruJakarta  RT @kangdede78: Warga DKI harus bangga, inilah #WajahBaruJakarta dibawah ke pemimpinan gabener @aniesbaswedan</t>
  </si>
  <si>
    <t>Abdul Chair Ramadhan, Direktur HRS Center: Dalam hal ini tentu lebih arif dan bijak, Pemerintah memulangkan kemudian melakukan proses hukum. Simak dialog lengkapnya Dua Sisi di tvOne connect. #RepostNews #tvOneNews #DuaSisitvOne #WNI</t>
  </si>
  <si>
    <t>rombongan ira expedisi raja sargon mendarat di eroppa disekitar irelandia menurunkan suku suku diirlandia dan suku iris orang orang yang dikirim expedisi adalah murid murid perguruan arcapada yunani kuno karena perjanjian damai perang babilonia antara isis dan raja ali</t>
  </si>
  <si>
    <t>Pemerintah Segera Evakuasi 74 WNI di Kapal Diamond Princess, Semuanya Anak Buah Kapal  via @tribunjabar</t>
  </si>
  <si>
    <t>mikir kolam renang udah, mikir anak isis udah, mikir anak palestina udah .... yg belom apa ya? ooo mikir anak2 yg diajak demo ahok RT @permadiaktivis: Setelah saya cek lagi buku Biologi terbitan tahun 1922, penerbit Khilafah Ottoman, hal. 299 Bab Reproduksi, ternyata sperma laki2 memang ada tipe PENYELAM yang bisa berenang gaya cebong hamili perempuan na'as di kolam renang. Kali ini kita salah &amp; @KPAI_official lah yang benar 😃</t>
  </si>
  <si>
    <t>baca/dengar pernyataan2 KPAI minggu2 ini soal perlindungan anak2 isis &amp; bahaya hamil akibat renang kita tahu komisi ini sudah jatuh ke tangan pengusung khilafah. KPAI has fallen ... one komisi down, 103 lembaga non-struktural to go ...</t>
  </si>
  <si>
    <t>@KPAI_official Vangkee namax Isis...semua keturunannya yg ikut kesana nga usah dipedulikan,mana kalian tau kalo saat mereka besar salah satunya jadi bomber...ini KPAI sepertinya penuh antek2 khilafah juga ya...@jokowi sebaiknya dibubarkan saja komisis ini</t>
  </si>
  <si>
    <t>@KakekHalal @kapuaspalace89 Maha Benar Somad.......😂</t>
  </si>
  <si>
    <t>RT @SondoroMusic: Inilah hasil kerja dan karya karyamu @aniesbaswedan 👍👍👍Baru di Era ente RSCM sampai parah begini nih sepertinya . Mohon prioritaskan utk urus banjir jakarta dan kemacetannya , tunda dulu urusan Balapan . Balapan karung aje deh murmer 😂😂😂</t>
  </si>
  <si>
    <t>Tolak kembalinya Eks ISIS ke indonesia</t>
  </si>
  <si>
    <t>@yusuf_dumdum @sammy0809SmrgkR @KPAI_official Apa KPAI nggak ada kerjaan/kajian yang lebih penting? Dulu film-film Indonesia yang berenang pakai bikini juga aman-aman saja. Tapi sekarang kartun pentil ban pun harus diblur. Apa sekotor itu otak WNI sekarang?</t>
  </si>
  <si>
    <t>@SATRIAN09792416 @ISIS_Balik_NO Betul tuh,, statement KPAI yg ngaco</t>
  </si>
  <si>
    <t>Yg mintk di kembalikan sama niat nya tujuan dari kelompok isis wni pemikiran jahat prilaku jahat , mungkin keluarga dan famili nya yg belum pernah sebagai perbuatan isis atau orang yg nyiyir untuk memulangkan itu dia nya termasuk bagian organisasi isis , masyarakat agr hati ht RT @tvOneNews: Maman Imanul Haq, Politisi PKB: Saya rasa mereka tidak perlu dikembalikan karena mereka telah memilih untuk keluar dari negara ini. Simak dialognya dalam Dua Sisi di tvOne connect. #RepostNews #tvOneNews #DuaSisitvOne #WNI #PKB</t>
  </si>
  <si>
    <t>@Alfiansyahfahri @ISIS_Balik_NO Lagian secara umum libido pria sulit "action" di tempat kolam renang walau ada dukungan "pemandangan" apalagi sampe Ade yg sempet2nye coli sendiri, dah pasti maniak tuh..!</t>
  </si>
  <si>
    <t>@WahabisLokal @SHikmawatty Apakah ada oknum di KPAI yg terpapar ISIS ? kenapa koq mereka berkepentingan sekali mengurus yg di sana tetapi kurang tanggap yg ada di depan mata ? @BadjaNuswantara</t>
  </si>
  <si>
    <t>@kompascom *KAFIR ITU SUATU CHLOE SEBAGAI CIRIKHAS DARI PEMBENTUK ISIS YAITU REJIM: OBAMA AMRIK + ERDOGAN TURKEY! SIMAK DAN BACA FOTO DIBAWAH INI... MANA PRESIDEN INDOE MAMPU KALIBER BEGINI?</t>
  </si>
  <si>
    <t>Maman Imanul Haq, Politisi PKB: Saya rasa mereka tidak perlu dikembalikan karena mereka telah memilih untuk keluar dari negara ini. Simak dialognya dalam Dua Sisi di tvOne connect. #RepostNews #tvOneNews #DuaSisitvOne #WNI #PKB</t>
  </si>
  <si>
    <t>RT @jojoeles77: @AnakKolong___ @BNPTRI Sudah banyak contoh kehancuran yang di sebabkan kilapah dan isis ini, mengapa tidak kita basmi saja, ini jelas2 penjajah dengan kedok agama. Nggk usah ngomong surga, membela tanah air dan bangsa juga sebuah Jihad,Bekerja untuk keluarga juga jihad. Itulah surga yg sebenarnya</t>
  </si>
  <si>
    <t>RT @TakanaJuo6: KPAI tidak ada fungsi. Berbagai kasus anak2 Indonesia tidak disentuh. Buruan ada anak2 ISIS terlantar di Luar Negri, Ehhh....mereka teriak kecang sekali. @SHikmawatty #PecatSittiHikmawatty</t>
  </si>
  <si>
    <t>RT @Elsia_CChaidir: Prof Hikmahanto: "Eks WNI pengikut ISIS sudah kehilangan WNI sesuai UU. Secara teori mereka stateless, tetapi tidak di Indonesia. Pemerintah Indonesia tidak memiliki kewajiban lagi untuk melindungi mereka". @jokowi</t>
  </si>
  <si>
    <t>@untukfastrespon Atau nina. Nina juga enak kok kalo mau cari sensasi isis</t>
  </si>
  <si>
    <t>@dita_moechtar Kalo jd WNI nanti malah disuruh main di laskar wong kito 🤣 org tuh dak pacak ngirup</t>
  </si>
  <si>
    <t>KPAI tidak ada fungsi. Berbagai kasus anak2 Indonesia tidak disentuh. Buruan ada anak2 ISIS terlantar di Luar Negri, Ehhh....mereka teriak kecang sekali. @SHikmawatty #PecatSittiHikmawatty RT @WahabisLokal: Fik kan....! KPAI tidak ada fungsi. Berbagai kasus anak2 Indonesia tidak disentuh. Buruan ada anak2 ISIS terlantar di Luar Negri, Ehhh....mereka teriak kecang sekali. @SHikmawatty #PecatSittiHikmawatty</t>
  </si>
  <si>
    <t>RT @dita_moechtar: Saking gak maunya kuseret jd WNI baru menang kau.</t>
  </si>
  <si>
    <t>Pb djarum, eks isis, renang meteng, apalagi besok? 2 tahun lagi masa jabatan wong wong iki. RT @KPAI_official: Komisioner KPAI Bidang Trafficking Dan Eksploitasi Ai Maryati Solihah hadir dalam Rapat koordinasi antar SKPD tentang anak korban prostitusi online, rapat koordinasi dipimpin langsung oleh Kepala Dinas PPA Sulut di…</t>
  </si>
  <si>
    <t>WNI crew diamond Cruise seharusnya dipulangkan pakai pesawat terbang spt mhs dari Wuhan. pemerintah harus bertindak adil apalagi para crew itu adl penghasil devisa.</t>
  </si>
  <si>
    <t>@ustadtengkuzul @NAGA239 Tetap kawal dan jangan lupakan "KHILAFAH HTI" di NKRI. FPI,HTI, TALIBAN, ISIS, Kasus jual ayat serta PEAK 212 dll. Singkirkan dan lupakan ISU ISU murahan ttg Radikalisme dan Intoleransi..!ya statt Siap....?</t>
  </si>
  <si>
    <t>@its_hurtts @KemensetnegRI @kbridenhaag no hotline WNI KBRI Bangkok di +66929031103. Bisa dihubungi melalui WA.</t>
  </si>
  <si>
    <t>RT @SydSalesman: cocok dong. komisi perlindungan anak2 isis kan?</t>
  </si>
  <si>
    <t>@thisislaemerson Ok makasih ya saya isis</t>
  </si>
  <si>
    <t>Nyatane potong gondol iku isis wkwk</t>
  </si>
  <si>
    <t>RT @CukongLaut: @AnakKolong___ @BNPTRI militan ISIS(ISISER) asal Bekasi, indonesia berinisial AM alias Abu Aswin, yang berpropesi sebagai mantan pilot yang kemudian berhijrah ke wilayah ISIS Semoga cpt di Qishos</t>
  </si>
  <si>
    <t>Tetap kawal dan jangan lupakan "KHILAFAH HTI" di NKRI. FPI,HTI, TALIBAN, ISIS, Kasus jual ayat serta PEAK 212 dll. Singkirkan dan lupakan ISU ISU murahan ttg Radikalisme dan Intoleransi..!ya statt Siap....? RT @ustadtengkuzul: Tetap kawal dan jangan lupakan "PERAMPOKAN BESAR" di NKRI. Jiwasraya, Asabri, Pelindo II, Kasus suap KPU, Freud di bank Mandiri, proyek fiktif Waskita Karya dll. Singkirkan dan lupakan ISU ISU murahan ttg Monas dan Anies...! Siap....?</t>
  </si>
  <si>
    <t>@ustadtengkuzul Tetap kawal dan jangan lupakan "KHILAFAH HTI" di NKRI. FPI,HTI, TALIBAN, ISIS, Kasus jual ayat serta PEAK 212 dll. Singkirkan dan lupakan ISU ISU murahan ttg Radikalisme dan Intoleransi..!ya statt Siap....?</t>
  </si>
  <si>
    <t>Menolak kepulangan WNI eks ISIS adalah pilihan bijak dan tepat</t>
  </si>
  <si>
    <t>RT @AnakKolong___: MEMANDANG INDONESIA | seperti menonton "sabung ayam" Pemerintah seperti pemilik ayam aduan &amp; rakyat adalah ayam yg dibiarkan bertengkar. . . Membangun rumah ibadah umat Non Muslim SULIT, FORMULA E diijinkan &amp;amp; 600 KOLONI PEMBUNUH EKS WNI jadi pembicaraan HANGAT di Istana.</t>
  </si>
  <si>
    <t>RT @cemaragunung: @7int4Putih8 @KPAI_official Ada anak2 skul kena buly dia anteng2 aja. Giliran anak Isis teriak paling kenceng. Apa sih @KPAI_official ini maunya? #PecatSittiHikmawatty #PecatSittyHikmawaty</t>
  </si>
  <si>
    <t>@TSMusaHassan Klo didakwa penyokong ISIS kena tangkap mereka diam, tp bila penyokong LTTE bising plak. Memang keling2 ni lahanat.</t>
  </si>
  <si>
    <t>Kzl baca komen di ig mbe sg lgsg ' pramuka gaguna, emg pramuka gila, anjg ' bisa2nya langsung memukul rata. kalo ada teroris atau isis berulah aja kalian gamau toh islam dipukul rata dianggep semua kyk gitu. Kasus reynhard sinaga emg mau semua WNI dianggep predator? Be smart plis RT @merapi_news: [Breaking news] 15:50 wib siswa SMP Negeri 1 TURI melakukan susur sungai padahal sungai dalam keadaan banjir akibatnya banyak siswa hanyut di lembah Sempor dukuh donokerto Turi Sleman. Sampai saat ini baru di temukan 4 orang dan sudah di larikan ke klinik swa |@gabuatdiabetess</t>
  </si>
  <si>
    <t>Di Malang anak dibully sampai patah tangan KPAI anteng, di Purworejo anak perempuan dianiaya banyak laki2 karena disabilitas anda anteng. Giliran anak ISIS suaranya kenceng belain. Dimulai dari diri sendiri aja Pak..angkat anak ini jadi anakmu. #PecatSittiHikmawatty</t>
  </si>
  <si>
    <t>Lebih kurang, Negara terapkan 5 hari kerja, 2 hari istirahat, serta 7,5 jam/hari, kepada para "pekerjanya" (Aparaturnya). . Apakah Negara "WAJIB" (bukan hanya harus), melakukan hal yg sama kpd rakyatnya yg jd pekerja para swasta, karena Negara adalah "Wali" setiap WNI?.</t>
  </si>
  <si>
    <t>@samhudibae @7int4Putih Oh betina ISIS ini mungkin punya anak korban dari kolam renang.</t>
  </si>
  <si>
    <t>Korban bully Jari di amputasi.. Selama ini kok gak pernah denger @KPAI_official teriak2 soal itu, Malah urusin anak ISIS dan sperma di kolam renang yg bikin HAMIL Ingat KPAI urusin anak bukan urusin kolam renang #PecatSittiHikmawatty #PecatSittiHikmawatty</t>
  </si>
  <si>
    <t>Menolak Kepulangan Anak ISIS Eks WNI -</t>
  </si>
  <si>
    <t>Pemerintah Kaji Rencana Pemulangan Anak WNI Eks ISIS. #AnakWNIEksISIS</t>
  </si>
  <si>
    <t>Nah ini baru benar, pengadilan internasional dan pemerintah Indonesia harus ikut serta!</t>
  </si>
  <si>
    <t>@serszn Barangkali itu antre daftar jd anggota isis</t>
  </si>
  <si>
    <t>@samhudibae @Airin_NZ Suruh mereka ke Suriah aja biar jadi budak isis</t>
  </si>
  <si>
    <t>RT @Iqbal__Kholidi: akibatnya 700-800 keluarga daesh berhasil melarikan diri dari kamp penahanan Ain Issa. pihak SDF mengklaim berhasil menangkap kembali mereka hanya 200</t>
  </si>
  <si>
    <t>Ye pehle naxali tha , ab to ISIS group ke chaddis saaf krta hai. RT @PJkanojia: ये पहले कांस्टेबल थे लेकिन ऐसे चाटे की आईपीएस बन गए!</t>
  </si>
  <si>
    <t>@FaGtng @KPAI_official INI DIA RETNO LISTYARTI KOMISIONER KPAI YANG PRO ANAK ISIS DI PULANGKAN! DIA Kepala Sekolah yang di pecat jaman Gubernur AHOK karena kedapatan keluyuran waktu Anak Didiknya sedang mengikuti Ujian Nasional. #PecatSittiHikmawatty</t>
  </si>
  <si>
    <t>@NgaritCommunity @rinafarzia @CommuterLine Virus isis mungkin</t>
  </si>
  <si>
    <t>RT @HilalAsyraf: Saya ingatkan YB supaya bertaqwa kepada Allah SWT dan jangan terlalu hanyut sangat dalam politik sampai semua isu mahu dilihat dengan kaca mata politik. Penangkapan LTTE bukan sebab ras atau politik. Mereka ditangkap macam penyokong ISIS ditangkap. Kerana sokong pengganas.</t>
  </si>
  <si>
    <t>What is KPAI ? Komisi Perlindungan Anak ISIS? Komisi Pelecehan Anak Indonesia? Komisi Penistaan Agama Islam? Atau apa nih? 🧐🤔 #PecatSittiHikmawatty</t>
  </si>
  <si>
    <t>RT @JoniSukaPaha: @YRadianto @KPAI_official @kawananraja @PengarangPublik KPAI; Keliatannya Pinter Aslinya ISIS</t>
  </si>
  <si>
    <t>@shizakkusyed Fanatik ada dlm mana2 kumpulan. ISIS itu fanatik ISLAM. sampai membunuh ribuan org awam</t>
  </si>
  <si>
    <t>Kealitas KPAI, kenapa ada anggota KPAI terpilih kayak ini. Siapa ketua tim seleksinya, bayar berapa ini? Kenapa? Sebagai taxpayer dan WNI saya sangat keberadaan menggunakan anggaran negara</t>
  </si>
  <si>
    <t>@addamfarizi @IvanRT05 @MikeyAM97 @BebasVisaID @sandmanindo @oak_math_lee_91 @yovie_myg @MuhammadRezaHil @chuentoi @jameshandaja Betul. Sy tetep brharap Ditjen imigrasi selektif lagi dlm mmberikan paspor kpd WNI. Terutama perlu ada beberapa cek Spt cek psikologi agar pmegang paspor RI jd brg mewah &amp; hanya org 2 yg mmg pantas pny paspor. Krn Sy ykn kl paspor RI jd brg mewah akan bnyk negara mmbebaskan visa</t>
  </si>
  <si>
    <t>RT @sengatrans: Nak dapat pengaruh utk politik senang ja.. Guna agama Guna kaum Senang ja buat kumpulan..ini termasuk LTTE Al qaeda ISIS At last kita tau perjuangan mereka utk menjadi NEGARA yg ada kuasa utk memerintah.. Jgn terpedaya kawan2.. Ni semua takda kaitan dgn agama or kaum..</t>
  </si>
  <si>
    <t>akibatnya 700-800 keluarga daesh berhasil melarikan diri dari kamp penahanan Ain Issa. pihak SDF mengklaim berhasil menangkap kembali mereka hanya 200</t>
  </si>
  <si>
    <t>Nak dapat pengaruh utk politik senang ja.. Guna agama Guna kaum Senang ja buat kumpulan..ini termasuk LTTE Al qaeda ISIS At last kita tau perjuangan mereka utk menjadi NEGARA yg ada kuasa utk memerintah.. Jgn terpedaya kawan2.. Ni semua takda kaitan dgn agama or kaum..</t>
  </si>
  <si>
    <t>RT @TRANS7: "Kami ingin tegaskan, Presiden juga tegaskan, tidak ada lagi pemulangan WNI eks ISIS. Untuk melindungi yang di sini. Ada pertimbangan di antaranya konstitusi dan terkait UU Kewarganegaraan. Fadjroel Rachman, Juru Bicara Presiden. #MataNajwa #MataNajwaMenangkisISIS</t>
  </si>
  <si>
    <t>Monas itu cagar budaya yang harus dilestarikan. Gabener @aniesbaswedan ingin merusak cagar budaya itu dengan dalih balapan Formula E. Mentalitas tidak menghargai budaya itu mentalitas neo khawarij ISIS. ISIS hancurkan banyak cagar budaya berusia ratusan tahun di Irak dan Suriah.</t>
  </si>
  <si>
    <t>@bdgfess Saya sukanya nonton vlog wni yang tinggal di luar kayak gitasav terus maudy dll.</t>
  </si>
  <si>
    <t>Semula pemerintah tidak ingin anak WNI eks ISIS dipulangkan ke Indonesia karena berpeluang terpapar ideologi radikal. #AnakWNIEksISIS</t>
  </si>
  <si>
    <t>#AnakWNIEksISIS tidak menutup kemungkinan anak WNI eks ISIS memiliki memori aktivitas radikal orang orang di sekitarnya yang dapat muncul sewaktu waktu.</t>
  </si>
  <si>
    <t>Maruf soal rencana pemulangan anak isis eks wni : masih dipertimbangkan. #AnakWNIEksISIS</t>
  </si>
  <si>
    <t>Alamdulillah...barakallahulakum...akhirnya ..kalian terbebas dari virus corona😇 #mahasiswa #wni #yang #sudah #dikarantina #di #natuna #dari #wuhan #china #coronavirus #Alhamdulillah #Selamat #kuasa #Allahtaala</t>
  </si>
  <si>
    <t>@ramboisher @shinesaja @meyz_merry @aniesbaswedan DKI adalah bagian dari NKRI , gw lahir di jakarta dan besar di jakarta dan gw WNI yang cinta negaranya dan ingin NKRI maju , sejajar dengan negara Superpower lainnya spt Germany , France , JAPAN dll tong ( kalo elo maunya NKRI sejajar dgn Afghanistan ) 🙏😊</t>
  </si>
  <si>
    <t>Pemerintah masih mempertimbangkan dan mengkaji dampak dari rencana untuk memulangkan anak WNI eks ISIS. #AnakWNIEksISIS</t>
  </si>
  <si>
    <t>@barait_tinandai @malaymail Itu perang antara sesama mereka. Isu geololitik. Alang2 tu, letak ISIS sama.</t>
  </si>
  <si>
    <t>Oleh sebab itu. pemerintah akan berhati hati untuk memulangkan anak WNI eks ISIS. #AnakWNIEksISIS</t>
  </si>
  <si>
    <t>KPAI sebenarnya fungsinya apa? untuk melindungi anak Indonesia atau anak Isis???? #PecatSittiHikmawatty</t>
  </si>
  <si>
    <t>@BiLLRaY2019 PRESTASINYA KPAI APASI? support isis kali Ya?</t>
  </si>
  <si>
    <t>KPAI = Komisi Perlindungan Anak-anak Isis #PecatSittiHikmawatty</t>
  </si>
  <si>
    <t>RT @sianjrit: 🙅🏻‍♂️:Kenapa elu menolak khilafah? 👳🏻‍♀️:Karena eropa pernah terapkan dan berujung pada dark ages 🙅🏻‍♂️:Ini beda berdasarkan syariah 👳🏻‍♀️:Sama aja teokrasi. Dogmatis. Kaku. Menentang negara dianggap menentang Tuhan 🙅🏻‍♂️:Karena sesat 👳🏻‍♀️:ISIS itu mirip eropa masa lalu. Peradaban kok mundur</t>
  </si>
  <si>
    <t>(11) Botch - We Are The Romans American Apparel. Medium. Beli lgsg dari HydraHead, sama kek kaos ISIS. 300k</t>
  </si>
  <si>
    <t>@bijiguakejepit @skidipapap95 Rohani isis</t>
  </si>
  <si>
    <t>Maruf khawatir anak wni eks isis terpapar memori radikal. Setuju! #AnakWNIEksISIS</t>
  </si>
  <si>
    <t>KPAI semestinya melindungi anak Indonesia bukan melindungi anak-anak ISIS #PecatSittiHikmawatty</t>
  </si>
  <si>
    <t>@diwanggasa -; bayangin aja sekali pertemuan 10k orang satu tempat.. di tiktok ada wni yang jelasin gitu soal cult-nya sampe udah mirip mirip wuhan ada yang pingsan</t>
  </si>
  <si>
    <t>Wapres Ma'ruf Amin : pemerintah masih mempertimbangkan dan mengkaji dampak dari rencana untuk memulangkan anak WNI eks ISIS. #AnakWNIEksISIS</t>
  </si>
  <si>
    <t>RT @samhudibae: 01). Maklumat FPI: Mendukung ISIS dan Penegakan Khilafah Islamiyah di Indonesia Dewan Pimpinan Pusat Front Pembela Islam (DPP FPI) telah melakukan kajian komprehensif terhadap semua data primer dan sekunder terkait Islamic State of Iraq and Syria (ISIS) #UmatCerdasKadrunAmblas</t>
  </si>
  <si>
    <t>Giliran Korea Selatan di-Wabah Virus Corona, WNI Diimbau Tunda Kunjungi Daegu di Korsel</t>
  </si>
  <si>
    <t>@KPAI_official Urusin dulu itu anak yg terlantar dlm negeri. Kok ngurusin anak WNI eks ISIS yg jelas2 ortu mreka dgn sadar membakar paspor &amp; meninggalkan Indonesia untuk gabung dgn teroris. Apa ga ngeri kalau anak2 WNI eks ISIS yg sdh dicuci otaknya balik ke Indonesia? Pak @jokowi HELP</t>
  </si>
  <si>
    <t>RT @do_ra_dong: Untuk urusan data saja masih saling berbeda faktualnya, bagaimana bisa dipercaya? Antara direktur pemantauan dan karantina kesehatan kemenkes dan Menteri Luar Negeri soal data WNI yang terinfeksi virus corona dikapal pesiar Diamond Princess</t>
  </si>
  <si>
    <t>RT @twitervirall: Misi mencari tempat ootd viral di Perlis 😁 ✔ Lalang Chuping-Padang Besar ✔ Ladang Kenaf Chuping ✔ Taman Ular (Bunga Matahari) ✔ Street Art (Belakang Cimb Kangar) ✔ Masjid Al-Hussain Kuala Perlis ✔ Ladang Madu Kelulut</t>
  </si>
  <si>
    <t>Pemerintah Menolak Kepulangan ISIS Eks WNI Adalah Pilihan Bijak dan Tepat #cegahradikalisme #lawanradikalisme #lawanterorisme #eksISIS</t>
  </si>
  <si>
    <t>RT @todays_qoute: @SammyMujahidah @Hiro_TheCat @Sammy_mujahidah gapake salam pancasila, kamu ISIS yah??</t>
  </si>
  <si>
    <t>@SammyMujahidah @Hiro_TheCat @Sammy_mujahidah gapake salam pancasila, kamu ISIS yah??</t>
  </si>
  <si>
    <t>@rinafarzia @xusinaga @CommuterLine ISIS tuh</t>
  </si>
  <si>
    <t>Pemerintah Menolak Kepulangan ISIS Eks WNI Adalah Pilihan Bijak dan Tepat. Demi menyelamatkan jutaan rakyat Indo #cegahradikalisme #lawanradikalisme #lawanterorisme #eksISIS</t>
  </si>
  <si>
    <t>1 WNI, Perempuan, suspect #COVID19 rawat isolasi di RSHS Bandung sejak Jumat, 21 Feb. Pasien diketahui baru kembali dari Malaysia-Singapura- Thailand, bulan Februari ini. RT @detikcom: Rumah Sakit Hasan Sadikin (RSHS) Bandung kembali menangani pasien suspect virus Corona atau COVID-19. Pasien perempuan itu ditangani di ruang isolasi khusus. #RSHSBandung #VirusCorona</t>
  </si>
  <si>
    <t>RT @DindaSayang09: Dia gak peduli dengan anak anak demo di PA 212, anak anak eks ISIS. Lantas, melontarkan pernyataan ngawurrr .... Bikin jengel aja deh 😠 #PecatSittiHikmawatty</t>
  </si>
  <si>
    <t>@Hendfry_Gerard Mungkin ibunya ikut isis</t>
  </si>
  <si>
    <t>@renegad19207887 @DivHumas_Polri Calon ISIS sulut bakar!</t>
  </si>
  <si>
    <t>Pendapat Masyarakat Kembali Terbelah Soal Wacana Pemulangan WNI Eks-ISIS ke Indonesia  lewat @VICE Mau minta pulang krn mau berpulang vonis pengadilan</t>
  </si>
  <si>
    <t>Dari soal anak2 yg teriak bunuh Ahok dijalan, demo 212 yg berkali2 memanfaatkn anak2, Audisi PB Djarum, anak2 ISIS hingga pernyataan kontroversi perempuan bisa hamil hny gara2 satu kolam dgn laki2, sebenarnya yg pantas itu KPAI langsung dibubarkan bkn cuma #PecatSittiHikmawatty.</t>
  </si>
  <si>
    <t>RT @__MV_llestari__: Jauh lebih gahar dibanding OPM di Papua, mereka yang ada di Uighur telah mengekspor militannya jauh ke barat bergabung dengan ISIS di Suriah dan diselatan dengan kelompok Moro di Philiphina. Bahkan Indonesiapun mereka telah masuk dan terlibat tindakan teror di Poso.</t>
  </si>
  <si>
    <t>RT @KompasTV: 74 WNI Awak Kapal Diamond Princess Siap Pulang</t>
  </si>
  <si>
    <t>RT @rmol_id: Menkes: WHO Apresiasi Indonesia Tangani Observasi WNI Dari Wuhan #VirusCorona #RepublikMerdeka</t>
  </si>
  <si>
    <t>@ssstselma Kontraaa pemulangan isis. Pusingg gak lo</t>
  </si>
  <si>
    <t>74 WNI Awak Kapal Diamond Princess Siap Pulang</t>
  </si>
  <si>
    <t>@ATMology Ada. Jika isu tegar keganasan tidak berbaur perkauman dan keagamaan maka dikala warga keturunan India dilokap sebab aktiviti LTTE kenapa balu dan anak penganas ISIS bertungkus lumus kita terima balik, Yazid Sufaat dibebaskan, Zakir Naik terus dinegara? Semoga keraguan terjawab.🇲🇾</t>
  </si>
  <si>
    <t>TGSIS ISIS SOS SAD AHSHSHHAUAHSHBS RT @tiny_mlee: #마크</t>
  </si>
  <si>
    <t>@Sitoapriyanto @sianjrit ISIS = Senjata Ideologi Bercadar Agama.</t>
  </si>
  <si>
    <t>@rinafarzia @CommuterLine Isis tu</t>
  </si>
  <si>
    <t>@marcelamcgowan Linda bb 😍😍</t>
  </si>
  <si>
    <t>RT @dawiguna: Semakin jadi PERTANYAAN Apakah para komisioner KPAI berafiliasi / mendukung paham ajaran radikal dan manipulatif dari ISIS dan sejenisnya? Tolong dijawab, @KPAI_official</t>
  </si>
  <si>
    <t>#ENTAH SIAPA YANG MEMILIH ORANG INI JADI KPAI# Itu hasil juang mrk: kaumnya hrs ada (dan skrng sdh ada) di mana2 di lembaga pemerintah dan swasta sbg biang syariah hti khilafah isis. Kita saja yg terlalu lama berpikir positif. Ayo hijrah pikir! RT @negativisme: Wanita berenang di kolam bareng laki-laki bisa hamil, iya sih masuk akal kalo begini yang dipikiran @KPAI_official ???</t>
  </si>
  <si>
    <t>sob abis ini di #BELAGU ada tanggapan Jokowi terhadap omnibus law, seorang pria yang tewas terbakar, 3 gubernur indonesia yang main tiktok dan kabar evakuasi terhadap WNI di kapal Diamond Princess. Dengerin kuy di #SemangatPagiWeekend Streaming :</t>
  </si>
  <si>
    <t>RT @prabayaksa: Ngapunten KPAI, semakin kesini saya kok merasa semakin herman sama anda semua. Dulu audisi badminton dikritik, kemarin urusan pe-renang-an, sekarang pramuka. Giliran anak ISIS, anda minta negara memperhatikan. Utak ku ga nyandak, sumpah</t>
  </si>
  <si>
    <t>@RoniaLkhoir @arif1eca @jokowi "ISIS adalah saudara" begitu kata yg kabur ke gurun. Dia ongkang ongkang kaki saja bisa ngidupin anak bini di tempat pelarian. Siapa donor nya ?</t>
  </si>
  <si>
    <t>Semakin jadi PERTANYAAN Apakah para komisioner KPAI berafiliasi / mendukung paham ajaran radikal dan manipulatif dari ISIS dan sejenisnya? Tolong dijawab, @KPAI_official RT @samhudibae: Di Malang anak dibully sampai patah tangan KPAI anteng terus ada lagi di Purworejo anak perempuan dianiaya banyak laki2 karena disabilitas anda anteng alias diem2 bae. Eh Giliran anak ISIS suaranya kenceng belain. Dimulai dari diri sendiri aja Pak..angkat anak ini jadi anakmu.</t>
  </si>
  <si>
    <t>RT @omarfaayiz: Korang nampak tak?</t>
  </si>
  <si>
    <t>RT @Yeyen41020695: Kalau didengeri bikin kita DUNGU dan Pekok jadilah KITA WNI yg Waras yahh. HRS ajah gak bisa menahan nafsunya jadi Inget CHAT MESUM dng Firza HOSEN 🤣🤣🤣 #UmatCerdas212Amblas</t>
  </si>
  <si>
    <t>@adrianSP75 Elu type2 HTI /ISIS. Kejam dan sadis</t>
  </si>
  <si>
    <t>RT @RD_4WR1212: Dahnil apa loe sdh gila Eks Teroris Boleh bergabung apa sdh tdk ada org lg di negara ini, lbh baik loe Import aja Sekalian ISIS dari Suriah. Jubir Prabowo Sebut Eks Teroris Boleh Bergabung Jadi Komcad</t>
  </si>
  <si>
    <t>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</si>
  <si>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@KhwajaS33354051 Ab ISIS, Taliban se darr to lgega hi</t>
  </si>
  <si>
    <t>@Bangzul__88 @KPAI_official KPAI lgi sibuk ngurusin anak kombatan isis anak yg jelas sttsnya di cuekin aja.....terllu ...#bubarkanKPAIunpaedah</t>
  </si>
  <si>
    <t>Kolam Renang diributin, ANAK2 WNI EKS ISIS TERLANTAR DIAM! @KPAI_official INDONESIA HEBAT! #INDONESIAHEBAT RT @blogdokter: Sekali lagi saya ingatkan, kalau memang tidak paham masalah kesehatan lebih baik diam. Daripada komentar kalian menimbulkan keresahan dan kepanikan. KPAI Ingatkan Wanita Berenang di Kolam Bareng Laki-laki Bisa Hamil, Begini Penjelasannya</t>
  </si>
  <si>
    <t>Empat WNI yang Terjebak di Kapal Pesiar Diamond Princess Positif Corona  Dapatkan berita lainnya di tvOne connect #tvOneNews</t>
  </si>
  <si>
    <t>RT @tvOneNews: Empat WNI yang Terjebak di Kapal Pesiar Diamond Princess Positif Corona  Dapatkan berita lainnya di tvOne connect #tvOneNews</t>
  </si>
  <si>
    <t>@Febri___1717 @___Sh1zuk4_Ct3 @Orang_Atjeh @autumnove @Sammy_mujahidah @m_canTM @JohnWickNo @RaxshaP @WidaLoveKidz @a_mantu71 @bangagoeng96 @rizkikitri @cHa____uNk @AnNisaaAlmeer yaudh deh kl kakak maksa.. Jangan tuduh aku ISIS ya kakak</t>
  </si>
  <si>
    <t>@JaritaKirana @ustadtengkuzul Wkwkwk Isis buatan Amerika 😅😅😅 Isis Sering Teriak Ape Coba Drun,Agamanye ape Coba 😅😅😅 Masa Die Teriak Haleluya 🤣🤣🤣 Kalo PEA jgn Di borong Semua 😜😜😜 Kadrun Isis Bloon Otak lu Kaga Nyampe Drun 🤪🤪🤪</t>
  </si>
  <si>
    <t>@DamarJuniarto 🤣🤣🤣🤣🤣 Anggaran negara untuk orang-orang model gini apa nggak rugi? Mending duit APBN itu dibagi rata ke seluruh WNI drpd buat menggaji orang-orang berpredikat tinggi tapi logikanya gak jalan. Jadi nggak dongkol kita ini.</t>
  </si>
  <si>
    <t>🙅🏻‍♂️:Kenapa elu menolak khilafah? 👳🏻‍♀️:Karena eropa pernah terapkan dan berujung pada dark ages 🙅🏻‍♂️:Ini beda berdasarkan syariah 👳🏻‍♀️:Sama aja teokrasi. Dogmatis. Kaku. Menentang negara dianggap menentang Tuhan 🙅🏻‍♂️:Karena sesat 👳🏻‍♀️:ISIS itu mirip eropa masa lalu. Peradaban kok mundur</t>
  </si>
  <si>
    <t>Misalnya mereka ke ISIS, terus balik lagi ke Indonesia, selama KTP dan KK nya masih aktif ya masih jadi WNI. Gitu gak sih?.</t>
  </si>
  <si>
    <t>Kombatan ISIS, petempur ISIS. Yang "hijrah" kesana memangnya jadi tentara?. Dan apakah ISIS itu bisa disebut sebagai negara?. Entahlah.</t>
  </si>
  <si>
    <t>Ngapunten KPAI, semakin kesini saya kok merasa semakin herman sama anda semua. Dulu audisi badminton dikritik, kemarin urusan pe-renang-an, sekarang pramuka. Giliran anak ISIS, anda minta negara memperhatikan. Utak ku ga nyandak, sumpah RT @CNNIndonesia: Insiden Siswa Hanyut, KPAI Minta Ekskul Pramuka Dievaluasi</t>
  </si>
  <si>
    <t>siapa buh gambaq isis jadi DP tu?bodo gila</t>
  </si>
  <si>
    <t>RT @kulit_kcang: Virus corona di Korea terus menyebar dan makin bertambah yang terpapar,semoga WNI yang tinggal di sini terhindar dari virus ini</t>
  </si>
  <si>
    <t>Virus corona di Korea terus menyebar dan makin bertambah yang terpapar,semoga WNI yang tinggal di sini terhindar dari virus ini</t>
  </si>
  <si>
    <t>RT @Namaku_Mei: PENOLAKAN warga Natuna terhadap WNI yg di jemput PEMERINTAH dari WUHAN tolong sampekan ke HIDAYAT NURWAHID buat tanggung jawab Kemaren si bahlul PKS yg KOAR2 minta pemerintah menjemput WNI di WUHAN LANUD RADEN SADJAD RANAI NATUNA pasca kedatangan pesawat Batik air.</t>
  </si>
  <si>
    <t>78 Kru WNI di Kapal Diamond Princess dipastikan dalam keadaan sehat dan negatif virus corona, selengkapnya di</t>
  </si>
  <si>
    <t>@arif1eca @jokowi Bersyukur elu jadi rakyat Indonesia. Coba kalo jadi rakyat ISIS, anak mu bisa dijual buat syahwat tentara ISIS</t>
  </si>
  <si>
    <t>RT @ScreamerClown: @cuanbaksit @donny7etrost @KPAI_official @Kemenag_RI @BNPTRI @KomnasHAM @jokowi Kalau lagi tidur leher toleran isis digorok sih resiko, tapi Kalo dia gorok leher anak lainnya gara gara rebutan maenan sih serem juga!</t>
  </si>
  <si>
    <t>RT @samhudibae: Rizieq Dukung ISIS Dan Rencana Mereka Adalah Sembelih Polisi dan tentara Naudzubillah, doktrin kadrun. RS ternyata dari dulu sangat idolakan ISIS bahkan tdk tanggung2 siap tuk lawan pemerintah agar bisa melanggengkan ISIS ada di Indonesia. Traktir!! #DukungJokowiBerantasISIS</t>
  </si>
  <si>
    <t>RT @Agamajinasi: Atau kaya propaganda "taliban, alqaeda, isis, itu bikinan amerika bro! Untuk hancurin islam!" Begitulah diulang2 kaya kaset rusak. Tapi di rumah punya foto Usama Bin Laden, dipercaya sbg tokoh agama yang mati syahid. Hahahaha.</t>
  </si>
  <si>
    <t>RT @ivnrhadzes: Mahathir tak patut amik dia dari awal lagi. Geng2 macam dia ni akan backup kaum2 dia punye. Kita yg kalo ada yg terpalit ngan ISIS trus masuk penjara bagai. Tapi geng2 LTTE ni lepas camtu je. Lepas ni apa pulak</t>
  </si>
  <si>
    <t>RT @ManPin: LTTE itu sekarang adalah hanya sebuah organisasi kebajikan. Lebihkurang macam "Persatuan Bekas Askar Jalankaki" atau "Pertububan Jahit-Menjahit Wanita Kg. Pisang" saja. Maka LTTE bukanlah seperti ISIS. Paham?</t>
  </si>
  <si>
    <t>Oh daring government dengan letak pro ISIS avatar di social media ye? Tak apa. Bodoh tak boleh diajar. Ingat ya kalau kena raided tolong dapatkan bantuan guaman segera. Jangan mengaku bersalah. Those 2 are important</t>
  </si>
  <si>
    <t>Kangen suasana Natuna yang dulu selalu aman, adem dan damai. Sejak kebijakan pemerintah pusat observasi WNI di Natuna, Daerah ini tdk seindah dulu lagi... Kita masyarakat ini hanya dpat berdoakan mudahan yg berniat kurang bagus maka akan mendapat hasil dgn kebijakan nanti...</t>
  </si>
  <si>
    <t>@bharianmy Maknanya apa ni. Ltte isis daesh dah jadi ok ke. Bahaya kpd negara ni. Jgn krn nak selamatkan geng pertaruhkan keselamatan negara/rakyat. Cegah sebelum parah</t>
  </si>
  <si>
    <t>Dan Perhatikan akan ada RUU yang akan melegalkan Napi dan WNI non Pribumi yang bisa menjadi Nyapres/ Wapres dan Pres RI. Ahok dengan Pak Tito sahabat Karib sejak dulu. Ahok dengan Pak Jokowi Sahabat satu hati dua Badan. Makanya Ahok tambah besar Kepala sep marah2 kpd semua Orang? RT @abu_cebong: @syafrinkar Bangke itu sudah star.. perhatikan media² lacur mulai goreng² bangke ini..</t>
  </si>
  <si>
    <t>@hfdiagusty @pentaheksa_ tp wni dari cina yg dikarantina dikasih tolak angin ._.</t>
  </si>
  <si>
    <t>Mahathir tak patut amik dia dari awal lagi. Geng2 macam dia ni akan backup kaum2 dia punye. Kita yg kalo ada yg terpalit ngan ISIS trus masuk penjara bagai. Tapi geng2 LTTE ni lepas camtu je. Lepas ni apa pulak RT @mhilmiismail: Netizen sekalian, ketepikan kejap isu harta pusaka artis. Ini isu lagi utama, ini isu keselamatan negara. Tommy Thomas dah melampau dan rasa lebih berkuasa dari KDN. Belum masuk isu Arwah Adib yang tak selesai sampai kesudah Undur je lah wahai peguam negara!</t>
  </si>
  <si>
    <t>RT @SydSalesman: komisi perlindungan anak2 isis knp tiba2 jd ngurusin anak2 Indonesia?</t>
  </si>
  <si>
    <t>@detikcom Sudah muak saya dengan tingkah laku gerombolan wiro sableng ini. Saya WNI dan muslim, setuju pak @basuki_btp membangun dan memajukan @pertamina . Maju terus pak BTP! Jangan pernah gentar membela yg benar. Kami rakyat Indonesia menginginkan Pertamina maju pasti mendukungmu pak.</t>
  </si>
  <si>
    <t>1. Sumut, 2. Riau, 3. Sumsel, 4. DKI Jakarta, 5. Jabar, 6. Banten, 7. Jateng, 8. DIY, 9. Jatim, 10. Bali, 11. NTB, 12. Kalbar, 13. Kalsel, 14. Kaltim, 15. Sulut, 16. Sulsel, 17. Maluku. 34 taon jadi WNI, baru pernah mendarat di 50% wilayah administratif-nya saja.</t>
  </si>
  <si>
    <t>@renegad19207887 @DivHumas_Polri Wah.. Ngerik juga ya.. Kadrun paling.. Atau anggota isis.. 🤣🤣</t>
  </si>
  <si>
    <t>komisi perlindungan anak2 isis knp tiba2 jd ngurusin anak2 Indonesia? RT @CNNIndonesia: Insiden Siswa Hanyut, KPAI Minta Ekskul Pramuka Dievaluasi</t>
  </si>
  <si>
    <t>@novaesbb @eoqhom homi isis</t>
  </si>
  <si>
    <t>RT @SondoroMusic: @HusinShihab @aniesbaswedan Nte WNI keturunan arab yg waras Wan Husin ma brader , nah kalo Wan aibon itu arab b4hlul al k1bul 😂😂😂</t>
  </si>
  <si>
    <t>Hbs nntn the flu..kemarin nya Ya ampun skr SK udah 500an org.. 😭😭 Gak yohan aja sih yg dikhawatirkan tapi anak2 X1 dan WNI disna Semoga lekas kembali normal</t>
  </si>
  <si>
    <t>@limweijiet Lantak la,hrp2 lepas ni jika ada kes bom dimalaysia jgn bising2 plak,padahal kes LTTE ,ISIS,dll sama jer,mcm mana isu keselamatan blh dikrompomi,keputusan yg bodoh dri AG,penyokong ISIS perlu ditangkap,mcm mana LTTE xperlu,double standard.. Low class AG..</t>
  </si>
  <si>
    <t>Pagiii Masyarakat Menerima Sangat Terbuka kepada WNI yang Usai Observasi di Natuna  @fadjroeL @SunandarPS @JubirPresidenRI @PEDOMAN_id @Jokowinomics_id #minggupagi #minggu</t>
  </si>
  <si>
    <t>tbh, belum melakukan persiapan apapun sejak ada berita WNI positif terinfeksi Corona. Bukan, ga sesantai itu. Tetep aja khawatir sm diri sendiri dan keluarga. Sedih kalo diceritain mah😖</t>
  </si>
  <si>
    <t>@heeShinju Jadi WNI sejak brojol sampe udh umur segini ujian paling susah selain mtk adalah Bahasa Indonesia</t>
  </si>
  <si>
    <t>Maruf khawatir anak wni eks isis terpapar memori radikal. #AnakWNIEksISIS</t>
  </si>
  <si>
    <t>Jangan lupa ngopi #minggupagi Masyarakat Menerima Sangat Terbuka kepada WNI yang Usai Observasi di Natuna  @PEDOMAN_id @Jokowinomics_id @JubirPresidenRI @fadjroeL @SunandarPS #minggu #MingguRebahan #BesokSenin</t>
  </si>
  <si>
    <t>Semangat #minggupagi √ Masyarakat Menerima Sangat Terbuka kepada WNI yang Usai Observasi di Natuna  @JubirPresidenRI @fadjroeL @SunandarPS @PEDOMAN_id @Jokowinomics_id #BesokSenin #minggu</t>
  </si>
  <si>
    <t>@jr_kw19 @RizmaWidiono Yg tega motong leher itu kan ISIS &amp; PKI</t>
  </si>
  <si>
    <t>@hrrisshzmn @DamnLoveNKRI Tua... Bodoh... Buang aja keluar dar kereta api biar mati</t>
  </si>
  <si>
    <t>@itshwangbreezy Ga ada niatan pulang? Kedubes RI sepertinya udah kasih announce u/ pendataan WNI yg kuliah di Korea?</t>
  </si>
  <si>
    <t>RT @nrhanishh: Penanda Wacana 1. Akal sari - satu hari nanti 2. Kalakian - Kala itu, kemudian 3. Kendatipun - meskipun 4. Panas pinih tenggala tua - telah tengah hari/menjelang petang 5. Penaka - seolah-olah 6. Toleh tenggala - waktu pagi (pukul 8 - 11)</t>
  </si>
  <si>
    <t>Yampun korban nya terus bertambah 😟 Duh bisa2 kek wuhan ini mah korsel... corona nya sih blm nyampe seoul katanya, tpi udh nyerang(?) beberapa daerah di korsel.. aduuuhhh stay safe please semua orang, wni juga yg ada disana.. pasti byk bgt,, RT @KoreaCDC: 🔊#코로나19 국내 발생 현황(2.23. 9시 기준) 확진환자 123명 추가 확인 확진환자 556명 중 격리중 534명, 확진환자 격리해제 18명, 사망 4명 의사환자 22,077명 중 검사중 6,039명, 결과음성 16,038명</t>
  </si>
  <si>
    <t>@qzruh_jogja @KPAI_official sgala renang diurusi,, sgala anak" isis eks wni</t>
  </si>
  <si>
    <t>Mereka yg ikut Isis itu agamanya apa ya ?</t>
  </si>
  <si>
    <t>ISIS eks WNI telah kehilangan hak kewarganegaraannya #tolakekswniproisis</t>
  </si>
  <si>
    <t>tolak pemulangan ISIS eks WNI #tolakekswniproisis</t>
  </si>
  <si>
    <t>@salahsambungya Alihkan ke barang arab Kencing onta, daster, sorban, korma, madu, minyak wangi, karpet abunawas, rudal, isis, hti dst.</t>
  </si>
  <si>
    <t>cabut status WNI pro ISIS #tolakekswniproisis</t>
  </si>
  <si>
    <t>Indonesia tolak ISIS #tolakekswniproisis</t>
  </si>
  <si>
    <t>ISIS eks WNI telah kehilangan kewarganegaraannya #tolakekswniproisis</t>
  </si>
  <si>
    <t>@KamalaHarris USA Isis !!!</t>
  </si>
  <si>
    <t>RT @Immorta56343084: @yunartowijaya Apa sudah ada kombatan ISIS yg pulang dr syiria?</t>
  </si>
  <si>
    <t>RT @asuhan101010101: Evakuasi lagi WNI dari KorSel. Wah, Samsung bisa bangkrut ini. 🙈</t>
  </si>
  <si>
    <t>pernyataan kpai semakin ga bermutu malah semakin senewen saja ada yg bilang kolam renang bisa bikin hamil dan yg cowo ttg isis benar2 sdh gagal laku! RT @samhudibae: Dimata KPAI anak ISIS difoto ini lucu ngegemesin bikin pengen nyubit pipinya jadi harus dilindungi. Buahahaha 😅😅😅</t>
  </si>
  <si>
    <t>RT @Hariannie3: @jokowi Dan kami punya usul pak yg sering bikin gaduh jualan agama dan mengkafirkan saudara2 nya tolong di data dan sekalian kirim menyusul yg eks wni Pro isis itu,</t>
  </si>
  <si>
    <t>RT @Hendfry_Gerard: TIDAK TAU MALU... !!! Mereka ini adalah pelarian asal Suriah yang mengungsi ke Inggris. Dan saat ini mereka ingin menetapkan syariah di Inggris. Apakah Indonesia masih mau menerima ex kombatan ISIS??</t>
  </si>
  <si>
    <t>@haikal_hassan Gunakanlah ploduk2 buatan Indonesia. Ujar seolang pemilik usaha mengiklankan ploduknya. Tp bliau jg seorang wni keturunan. Gimana tad.</t>
  </si>
  <si>
    <t>@TheBrandols @Lukethewiseman @iqbalkhatami21 Kalianlah yg justru MEMUTAR BALIKAN FAKTA MENGANGKAT ISSUE TERORIS utk menutupi jiwa komunis kalian? Segala khilafah ISIS dibawa-bawa tp endingnya mau merusak ISLAM ASWAJA HAI DUNGU Dari dulu komunis selalu tebar fitnah utk BANTAI kehidupan umat Islam Aswaja</t>
  </si>
  <si>
    <t>RT @OmBrewoks3: Entah bercanda atau tdk,baru saja sy ketemu teman &amp; dia mengucapkan "Salam" Namun bkn "Asssalamualaikum" spt biasanya, tapi "Salam Pancasila" dia bilang, Sy bingung mau jawab apa! Walaaikum Indonesia kah? Waalaikum NKRI kah? Waalaikum Nusantara kah? Atau Waalaikum WNI kah?</t>
  </si>
  <si>
    <t>Pemerintah timbang dua opsi evakuasi 74 WNI dari Jepang</t>
  </si>
  <si>
    <t>RT @VideoReactionNg: Bomboclaat.</t>
  </si>
  <si>
    <t>RT @Budys09680251: @samhudibae Msh byk kasus anak2 dalam negri yg sgt membutuhkan perhatian dr KPAI.. Kok malah ngurusin eks ISIS.. Salah milih personil kantor sepertinya, apa malas keliling ?</t>
  </si>
  <si>
    <t>@samhudibae Msh byk kasus anak2 dalam negri yg sgt membutuhkan perhatian dr KPAI.. Kok malah ngurusin eks ISIS.. Salah milih personil kantor sepertinya, apa malas keliling ?</t>
  </si>
  <si>
    <t>Entah bercanda atau tdk,baru saja sy ketemu teman &amp; dia mengucapkan "Salam" Namun bkn "Asssalamualaikum" spt biasanya, tapi "Salam Pancasila" dia bilang, Sy bingung mau jawab apa! Walaaikum Indonesia kah? Waalaikum NKRI kah? Waalaikum Nusantara kah? Atau Waalaikum WNI kah?</t>
  </si>
  <si>
    <t>@SinarOnline Maknanya apa ni. Ltte isis daesh dah jadi ok ke. Cegah sebelum parah kpd negara. Jgn krn nak selamatkan geng pertaruhkan keselamatan negara/rakyat</t>
  </si>
  <si>
    <t>RT @WR_4AG226: Ancaman Pentolan ISIS asal Indonesia -SALIM MUBAROK ATTAMIMI👇🏼 Jika kalian yang tidak mendatangi kami, Kami yang akan mendatangi kalian, 😊Ehh..malah ada wacana mo dibawa pulang Siap2 NKRI ancur 😫😥</t>
  </si>
  <si>
    <t>RT @BiLLRaY2019: Menag berubah pikiran, cari aman...dan akhirnya semua sepakat menolak keras pemulangan WNI eks ISIS. #CegahISISmasukNKRI</t>
  </si>
  <si>
    <t>RT @jr_kw19: Waspada , mantan Kombatan ISIS masuk Indonesia gunakan jalur tak resmi . #TolakAnakISISKembali</t>
  </si>
  <si>
    <t>@syahredzan Klu camtu, gugurkn juga semua pertuduhan ke atas individu muslim yg hanya menyimpan buku/dokumen ttg ISIS dan bantu wang kpd kawan yg meminta tolong! Be consistent or AG will be seen favoring 1 party!</t>
  </si>
  <si>
    <t>Bayar cicilan&amp;bunga Utang LN dgn HGU-kan pulau2 tak betpenghuni kpd PMDN/PMA utk Pariwisata dgn ketentuan 90% Naker hrs WNI. Buat holding BUMN-BUMD-Swasta-Plasma Nelayan di ZEE laut RI, Sarapan Pangan Lokal non Beras 1/3 konsumsi diekspor, PNBP-nya utk bayar Utang.</t>
  </si>
  <si>
    <t>Harus dilakukan mewujudkan tanggung jawab melindungi WNI. RT @fadjroeL: Istana: Setelah Wuhan Pemerintah Segera Evakuasi WNI di Kapal Diamond Princess  #Jubir #BungJubir @JubirPresidenRI @jokowi @Kiyai_MarufAmin #EvakuasiWNIYokohama #EvakuasiWNIWuhan</t>
  </si>
  <si>
    <t>Mas, ini peringatan Assyura.Muslim Ahlu sunnah yg mayoritas, apalagi Syiah anggap ini hari sakral. Tuduhan anda ini sungguh2 fatal.Mereka garda terdepan melawan Wahabi, ISIS + HTI..Inilah kawan anda melawan kaum intoleran, tapi sekarang anda jadikan musuh.. RT @anandasukarlan: Kebayang ga sih, anda numpang tinggal di rumah orang. Abis itu anda menuntut orang itu yang harus beradaptasi dgn kepercayaan dan cara hidup anda. Itu namanya apa ya</t>
  </si>
  <si>
    <t>@detiksport Terus kepincut mojang priangan trs naturalisasi deh jd WNI😁</t>
  </si>
  <si>
    <t>@rinafarzia Ini yg lebih malesin emak emaknya Pake tutup kepala atribut agama, jadi inget emak emak rasis yg triakin suku tionghoa Di depan Plaza Indonesia. Ada masalah apa sih dengan emak2 tipe2 ini. Suaminya pada ga pulang ikut ISIS apa gimana.</t>
  </si>
  <si>
    <t>RT @korantempo: Pemerintah Siapkan Pemulangan WNI dari Jepang</t>
  </si>
  <si>
    <t>@cuanbaksit @donny7etrost @KPAI_official @Kemenag_RI @BNPTRI @KomnasHAM @jokowi Kalau lagi tidur leher toleran isis digorok sih resiko, tapi Kalo dia gorok leher anak lainnya gara gara rebutan maenan sih serem juga!</t>
  </si>
  <si>
    <t>@twitpos @msaid_didu jangan dikomen negatif, nanti kita dituduh radikal radikul, isas isis, jd biarka mo makan apa😆</t>
  </si>
  <si>
    <t>Astaghfirullah. Udah geram bacanya, berusaha bodo amat. Eh gak tahan juga akhirnya. Mau marah deh sama orang2 ISIS ini. Mulutnya kotor!!</t>
  </si>
  <si>
    <t>ISIS BUBAR !!! Sekarang hanya IS yang mencakup seluruh dunia !!! Dan yang harus anda tau, IS bukan faham/manhaj !!! IS adalah sebuah negri dimana sistem dan hukum ALLAH TA'ALA DITERAPKAN SECARA KAFAH !!! RT @JulianiMadinah: @ibnuhan1ff @PardedeTamim @Restichayah @BangNapiMileni2 @Hilmi28 @ustadtengkuzul Masalah bkn pd itu..cara dia bersikap dan berkata pd ulama. Itu yg sy pertanyaan. Dan sy bkn penganut paham ISIS</t>
  </si>
  <si>
    <t>@donny7etrost @KPAI_official Jgn2 ada anggota isis yg berenang di kolam renang.jdlah tuh makhluk</t>
  </si>
  <si>
    <t>@geloraco hukum mati, sita asetnya, usir &amp; cabut kewarganegaraan keluarganya, jgn cm galak ke wni eks isis j, maling" necis jg kudu diperlakukan kejam</t>
  </si>
  <si>
    <t>@iszul_60 @Lukethewiseman @iqbalkhatami21 Berhentilah dibodohi para manipulator agama.BERSAMA PEMERINTAH yg DEKAT DAN CINTA NU. HARUSNYA DIDUKUNG. KECUALI SITU TERORIS antek isis hti fpi</t>
  </si>
  <si>
    <t>@iszul_60 @Lukethewiseman @iqbalkhatami21 Mengangkat isu komunis utk menyembunyikan gerakan teroris isis khilafah yg jelas anti pemerintah. Mereka menyebut pemerintah sbg THOGUT. Paham kau drun?</t>
  </si>
  <si>
    <t>@Linkup_ID @TheArieAir @orangdesadamai @moh_effendie @juventinaElysia @dianafithras @K3V4N2 @Aan__coverBOYkw @juntak_m14 @Hamzah_Baudin @jangkarlaut54 @PurbaHermanto @Finsensiadaeli @Bakoto7 @ISIS_Balik_NO @Sawungg34828116 @guna2aji @Ungkapkan3 Takkkk peeeee 😁</t>
  </si>
  <si>
    <t>@hamka_sutra @TheArieAir @orangdesadamai @moh_effendie @juventinaElysia @dianafithras @K3V4N2 @Aan__coverBOYkw @juntak_m14 @Hamzah_Baudin @jangkarlaut54 @PurbaHermanto @Finsensiadaeli @Bakoto7 @ISIS_Balik_NO @Sawungg34828116 @guna2aji @Ungkapkan3 Selamat pagi Kak &amp; Terima kasih, Maaf telat, Akun Mimin baru bisa (kembali) dibuka 😅</t>
  </si>
  <si>
    <t>RT @Juara_9: @samhudibae Kalau anak2 ISIS pulang dan mereka ada di negri ini...mungkin kita yg akan jadi korban</t>
  </si>
  <si>
    <t>@iszul_60 @Lukethewiseman @iqbalkhatami21 Kita sepakat paham komunis ga boleh ada lagi di bumi indonesia, sdh final. Ga usah mengungkit2 lagi. Faktanya skrg musuh umat adalah para manipulator agama, teroris yg mengatas namakan agama. Beberapa kasus yg ge sebutin itu cth kecil dr pembelokan kaum isis pengusung kilapret</t>
  </si>
  <si>
    <t>@jedi_zaidi @MNithiya @maszlee Bagi pendapat saya cukup bukti dah tu jika terbukti memiliki bendara isis</t>
  </si>
  <si>
    <t>RT @NataliusPigai2:  Debat Sengit antara: Natalius Pigai, Prof Hikmawanto Juwana dan Usman Hamid di TVOne. Pigai: gugur dan tidaknya WNI Anggota ISIS adalah Pengadilan. Pemerintah bukan Penegak Hukum. Pernyataan sy di dukung Prof Dr. Gayus Lumbun.</t>
  </si>
  <si>
    <t>@tunadanmayo @BN4everTN5O @izhamsham @eddydaud @terrencedass LTTE, tak wujud sejak 2009. Kalau LTTE pengganas, maka HAMAS, pergerakjan bawah tanah Rakhine, ISIS, DAISH, semuanya pengganas. Bedanya, LTTE dah takde, terhapus- yg lain masih aktif. Itu je.</t>
  </si>
  <si>
    <t>@isis_vic0 Demora Mn 💪🏽</t>
  </si>
  <si>
    <t>@samhudibae Kalau anak2 ISIS pulang dan mereka ada di negri ini...mungkin kita yg akan jadi korban</t>
  </si>
  <si>
    <t>@iszul_60 @Lukethewiseman @iqbalkhatami21 Fitnah islam? Gw tanya yg di sby ngebom sekeluarga. Paham dia apa? Khilafah isis,.. Situ teroris bangsat penjual ayat.</t>
  </si>
  <si>
    <t>RT @RoroMenduttt: Sudah sering kita ditipu pakai kedok agama, masyarakat sudah semakin cerdas mereka mampu menolak. Tapi para kadrun tidak kalah pintar mereka mencoba menambahi dengan air mata. Eks ISIS adalah Bom waktu!</t>
  </si>
  <si>
    <t>@medisal24jam nanti kalo malah pesertanya disusupi kaum radikalis simpatisan isis gimana..</t>
  </si>
  <si>
    <t>Di Malang anak dibully sampai patah tangan KPAI anteng terus ada lagi di Purworejo anak perempuan dianiaya banyak laki2 karena disabilitas anda anteng alias diem2 bae. Eh Giliran anak ISIS suaranya kenceng belain. Dimulai dari diri sendiri aja Pak..angkat anak ini jadi anakmu.</t>
  </si>
  <si>
    <t>Ini demo muslim uk tolak isis dan terorism 2 tahun lalu tapi dibilangnya demo minta penerapan sharia law. Utamakan cek sebelum share biar gk bikin panik org. RT @Mr_Belutsch: They escaped from Sharia from their own countries and Now living in England they want Sharia.</t>
  </si>
  <si>
    <t>Hi (maaf saya sudah gak respek lagi dengan anda2 dengan menggunakan kata ini) pak @jokowi dan pak @mohmahfudmd anda serius anak2 isis mau dibawa pulang? #nkrihargamati</t>
  </si>
  <si>
    <t>Anda anda itu telah menekanku ntuk memberitahukan dimana ketua ketua isis Jujur aku tak tau seandainya tau pun tak mungkin jga kutak merahasiakannya</t>
  </si>
  <si>
    <t>Tiga WNI asal Toraja yang Pulang dari Natuna Dinyatakan Sehat, Ini Harapan Anggota DPRD Tana Toraja |  - Menghadirkan Berita Yang Jernih, Cepat dan Baru</t>
  </si>
  <si>
    <t>@TofaTofa_id Goreng HTI dan ISIS untuk memudahkan rampok aset Negara.</t>
  </si>
  <si>
    <t>@donny7etrost @Takviri @KPAI_official Anak ISIS ooh menyeramkan</t>
  </si>
  <si>
    <t>@hamka_sutra @TheArieAir @orangdesadamai @moh_effendie @juventinaElysia @dianafithras @Linkup_ID @K3V4N2 @Aan__coverBOYkw @juntak_m14 @jangkarlaut54 @PurbaHermanto @Finsensiadaeli @Bakoto7 @ISIS_Balik_NO @Sawungg34828116 @guna2aji @Ungkapkan3 Done banana's🍌🍌</t>
  </si>
  <si>
    <t>Waspadalah terhadap HTI dan ISIS. 🙂 RT @geloraco: Para Tersangka Larikan Aset Jiwasraya ke Luar Negeri, Asia dan Eropa</t>
  </si>
  <si>
    <t>@detikcom Sikat bro yg ingin menjatuhkan jokowi syah jangan sampai pendukung jalan mereka lupa perbuatan konyol dan bodoh untunglah jokowi gak pulangkan isis bisa dijadikan alat dan mereka pria nyamar jadi wanita bercadar wah didalamnya mematikan gun yg salah tindak pak banyak cinta jokowi</t>
  </si>
  <si>
    <t>@maszlee Penyokong tegar LTTE dibebaskan. Yg setakat ada kertas2 ISIS dipenjarakan 5 tahun ,perempuan laktu🤬</t>
  </si>
  <si>
    <t>Sorga sdh di kapling milik kadrunwati......msh gak puas, commuter mau di kapling juga. Otak ISIS dan SOSIS gak ada bedanya. RT @rinafarzia: Pengalaman naik @CommuterLine ku dan teman2ku hari ini. Semoga ga ada lagi kejadian2 kaya gini Kereta arah bogor, gerbong khusus wanita (22/02/2020 pukul 21.15)</t>
  </si>
  <si>
    <t>Don’t wurr bout it Sweetheart, dis da splah ! Dis da splah rii hea!!</t>
  </si>
  <si>
    <t>RT @baryoism: Keturunan ISIS gak dikasih ampun. Saban ari nuntut negara mulangin dan minta maap sama keturunan PKI di luar negrih 👀 Apakah aku sudah terdengar seperti kadrun yang sedikit masuk akal?</t>
  </si>
  <si>
    <t>@HilalAsyraf Diorang ni kalau ganti LTTE dengan ISIS, baru nak meloncat. Haha geram je follow isu ni.</t>
  </si>
  <si>
    <t>@syahredzan Adakah polis tidak melakukan kerja dgn baik? Bagaimana pula suspect ISIS? Pihak polis buat kerja baik utk itu?</t>
  </si>
  <si>
    <t>@Ayang_Utriza @jokowi @kaesangp @Chilli_Pari Mentri KKP hanya ingin UANG dari hasil jualan LOBSTER,... KORUPSI sdh pasti Kemenag amat sangat dukung ISIS, mkanya dia ingin para kombatan ISIS kembali ke Indonesia.</t>
  </si>
  <si>
    <t>@detikcom Ini mempunyai nawaitu yg salah kasihan semoga sadar rakyat tahu jokowi ahok diridhoi Allah swt utk membangun indonesia kasihan semangkin tdk percaya rukun iman..masyarakat cinta damai makanya mereka diam syukurlah isis stop tdk boleh masuk bisa dibuat alat utk yg tdk cinta damai</t>
  </si>
  <si>
    <t>@FithriaNasda @DumaySyuhada Ketahuan kau buta geopolitik timur tengah, karena kau masih aja percaya ada konflik agama. Assad getol sekali memerangi ISIS yg bersekutu dg pemberontak. Tapi kau belain pemberontak, jangan2 kau adalah #AntekISIS</t>
  </si>
  <si>
    <t>Ada Ribuan WNI di Pusat Virus Corona di Korsel, KBRI Seoul Buka Opsi Evakuasi</t>
  </si>
  <si>
    <t>@tribunnews Ternyata pembinanya anggota klompok radikal teroris isis .</t>
  </si>
  <si>
    <t>@HmfaqihA Lha jelas 2 orator teriak, polisi masihonta bukti aneh bin ajaib negara ini 212 kok kebal hukum ye siapa sih di belakang nya , tangkap dan bui bubarkan 212 paa dab fpi virus2 intoletan sebelum berkembang jadi isis</t>
  </si>
  <si>
    <t>@neynacil Itu orang ngevideoin mobil jazz putih parkir sembarangan Si punya jazz ga terima, kemungkinan ngadu bapak atau bawa temennya sekampung, jadilah video minta maaf itu yang si masnya keliatan terancam kek tahanan ISIS.</t>
  </si>
  <si>
    <t>@dhiniimr kreativitas wni</t>
  </si>
  <si>
    <t>RT @hsnwan: Bayangkanlah kalau: -Penjawat awam non-Malay kena pukul sampai mati sebab rusuhan orang Islam -Pengganas ISIS yang ditahan oleh kerajaan boleh sambut hari raya, kes digugurkan. Mesti orang Melayu Islam akan digelar sebagai pengganas oleh aktivis-aktivis kemanusiaan,.</t>
  </si>
  <si>
    <t>@HusinShihab @aniesbaswedan Nte WNI keturunan arab yg waras Wan Husin ma brader , nah kalo Wan aibon itu arab b4hlul al k1bul 😂😂😂</t>
  </si>
  <si>
    <t>Mari di Vote mana yang lebih rasional? 1. Bisa hamil jika berenang di kolam renang pria? 2. Salam pancasila gantikan Assalamualaikum? 3. Wacana pemulangan Exs Isis? 4. Maen tik tok? Saya bingung isi beritanya kebanyakan itu itu bae, #banjir #hamil #renangbikinhamil #KPAI</t>
  </si>
  <si>
    <t>RT @ozymandias2020X: Makin vokalnya #islamisme #transnasional disini tak lepas dari kekalahan mereka di Timur Tengah. Arab Saudi semakin liberal, Suriah dgn bantuan Rusia berhasil pukul mundur ISIS/Al-Nusra. Di Turki, Presiden Erdogan dapat perlawanan kuat dari oposisi sekuler. Mesir kembali sekuler</t>
  </si>
  <si>
    <t>@yunartowijaya Apa sudah ada kombatan ISIS yg pulang dr syiria?</t>
  </si>
  <si>
    <t>Evakuasi lagi WNI dari KorSel. Wah, Samsung bisa bangkrut ini. 🙈</t>
  </si>
  <si>
    <t>Emang rombongan ISIS udah ada yg dateng duluan ya??? Ohpantesan :)) RT @rinafarzia: Pengalaman naik @CommuterLine ku dan teman2ku hari ini. Semoga ga ada lagi kejadian2 kaya gini Kereta arah bogor, gerbong khusus wanita (22/02/2020 pukul 21.15)</t>
  </si>
  <si>
    <t>Sebenernya tujuan komisi2 ga jelas itu apa sih? Cuma jadi beban negara doang. Ada komisi yg sibuk belain eks wni tentara isis, eh ini ada lagi komisi yg bilang cewe cowo ga boleh renang bareng karena si cewe bisa hamil. Dan semua ketololan ini dibiayai negara?? Gue ga rela!!</t>
  </si>
  <si>
    <t>RT @AfiqShari: One for SAM Bestari alumni 👇</t>
  </si>
  <si>
    <t>RT @SalmaBrecht: Kemungkinan besar anggota @KPAI_official disusupi oleh aliran radikal yg ingin mempropagandakan moral secara ekstrim. Dgn mengeluarkan statement tidak terpelajar, yg terkesan HOAX. Merasa pantas dibayar dan terhormat namun terbelakang secara intelektual.</t>
  </si>
  <si>
    <t>@elkrova @KPAI_official Aku yakin pas smp atau sma .... Gak pernah lulus pelajaran biologi .... KPA kemasukan kadrun betina pembawa virus ISIS .... Goblok yg hakiki</t>
  </si>
  <si>
    <t>@abbarh19 Oga super cup wni cup din arziki ne</t>
  </si>
  <si>
    <t>isis manokkkgkgkgjgkldjdj 🦎🦎</t>
  </si>
  <si>
    <t>@SiahaanRotua1 @APLpangeran1 KPI Masih mau pulangin anak² isis?</t>
  </si>
  <si>
    <t>@APLpangeran1 @Mmahalik2 Syria kan udah merdeka, kota2 yg menjadi kantong ISIS spt Mosul, Aleppo pan udah dibebaskan dan ditangkepin anggota ISISnya, trus sisanya pada lari kemana yak?</t>
  </si>
  <si>
    <t>ALLAHU ACKBAR, ISIS SCUM RT @82ndABNDiv: Soldier: "This should be just like baseball, takes nothing to throw a grenade." By standers: "Yea how about you pull the pin there first buddy! Such a ROOKIE!!!! #CaptionThis</t>
  </si>
  <si>
    <t>@maszlee Ni problems bro, lps ni kita minta penyokong isis dan daesh di bebaskan dah ada duluan kes</t>
  </si>
  <si>
    <t>RT @YaminLawut: @Dandhy_Laksono Perebakan fenomena "lu-gue" tu sampai orang Malaysia sangka semua WNI berbahasa begitu... Wisata keluarga saya ke Bukittinggi (kiranya mendalami suku sendiri - kami dari Negeri Sembilan) banyak buka mata saya tentang keterdekatan loghat kami dan sana...</t>
  </si>
  <si>
    <t>RT @AJudakusumah: @ISIS_Balik_NO @blogdokter @S_Hikmawatty @KPAI_official @RetnoListyarti @KSPgoid Mungkin krn syahwat politiknya yg tinggi selama ini gak pernah spi orgasme, makanya jd berlaku blunder. Mungkin ya 🙏</t>
  </si>
  <si>
    <t>RT @sipenakecil: Saya benar2 penasaran! Emang pernah ada kasus di dunia ini, anak lahir secara tiba2 tanpa ayah! Trus setelah diinvestigasi teryata ibunya hamil dari hubungan dengan kolam renang! Serius nanya ada yg pernah baca beritnya, atau mengalaminya?? Share!</t>
  </si>
  <si>
    <t>Secepatnya akan Dilakukan Evakuasi 74 WNI Kru Kapal Diamond Princess</t>
  </si>
  <si>
    <t>@ISIS_Balik_NO @blogdokter @S_Hikmawatty @KPAI_official @RetnoListyarti @KSPgoid Mungkin krn syahwat politiknya yg tinggi selama ini gak pernah spi orgasme, makanya jd berlaku blunder. Mungkin ya 🙏</t>
  </si>
  <si>
    <t>@imambuu Hahaha pindah domisili aja dek status tetep wni dongg</t>
  </si>
  <si>
    <t>@Natalieanggi112 Cianjur..</t>
  </si>
  <si>
    <t>@haikal_hassan Lalu beri produk Rab gituh ? Pekok!</t>
  </si>
  <si>
    <t>@izhamsham @BN4everTN5O @eddydaud @terrencedass Sejak 2009 bro, LTTE terus terkubur di mana dia bermula. Di tempat2 lain pun, tiada bukti2 yg menunjukkan bahawa ada aktiviti2 keganasan di lakukan oleh pergerakkan ini, sprti mana ISIS, DAISH, dll yg telahpun disenaraihitamkan, tapi masih aktif bom sana sini.</t>
  </si>
  <si>
    <t>Disaat Pemerintah pusat sibuk ngoceh @gorengankruncy , ya radikal, agama musuh pancasila, anak isis yg cuma bala-bala. Koruptor gak di kejar Kebijakan mematikan rakyat . Di Ibu kota @DKIJakarta Bekerja utk semua warga Jakarta Formula E . Siap mendunia Terimakasih @aniesbaswedan RT @aniesbaswedan: Tengoklah foto-foto ini, ada biru di langit Jakarta. Itulah pemandangan rutin di Jakarta pada beberapa pekan belakangan ini. Ajak teman, tetangga, dan saudara.... berjalan, bersepeda menikmati #WajahBaruJakarta. Selamat menikmati akhir pekan, semoga selalu dalam keberkahanNya.</t>
  </si>
  <si>
    <t>RT @abdularey: @mbahCokro77 Ya. Itu dia. Yg ingin menempat kan basis ISIS/TERORIS.di NKRI.</t>
  </si>
  <si>
    <t>@MatthewShanmug4 @RFEzman @nakhoda_ragam19 @biss_wan @501Awani @chedetofficial Perempuan milik buku berkait isis pun di penjara tau. Kami tidak menyokong keganasan. Taktau lah komuniti estet menyokong keganasan</t>
  </si>
  <si>
    <t>RT @KakekHalal: Jejak genital ilmuwan dalam negeri penemu wanita bisa hamil lewat hubungan mandi bareng di kolam renang adalah mantan politisi PAN sekaligus Caleg DPR yg gagal masuk Senayang.</t>
  </si>
  <si>
    <t>@AJudakusumah @blogdokter @S_Hikmawatty @KPAI_official @RetnoListyarti @KSPgoid Kenapa ya...kalau sudah ada kata pan dan pekaes.....pikirannya selaluseputar selangkangan....apa haus sex krn jd korban poligami ?</t>
  </si>
  <si>
    <t>@maszlee Pasal Tu awak kena letak jawatan sebab awak buat kerja Kotor sabotaj umno PAS. Tarik Saman bukan pasal dasar negara tapi takde bukti bodoh. Bukti diadakan oleh umno yg menyogok pdrm Dan pejabat pendakwaraya supaya tangkap bawah sosma. Kenapa tak buat pada Isis melayu? Rasis umno</t>
  </si>
  <si>
    <t>RT @GunRomli: Nies bangun Nies, cek tagar #banjir jangan lupa unggah juga ke akun2 medsosmu @aniesbaswedan #GubernurBodong</t>
  </si>
  <si>
    <t>@anandasukarlan Itu aksi march against isis, mas.</t>
  </si>
  <si>
    <t>RT @ilhamadamy: @VICE_ID Halo VICE, tahu kan kalau UU PSDN/Komcad ini bukan idenya Prabowo dan sudah berjalan sejak jamannya Menhan Ryamizard? Dan merujuk statement @Dahnilanzar, tahu bedanya “bela negara” WNI sesuai UUD 45 pasal 27 dan komcad yang sukarela?? Tau ga? Malu dong kalo ga diralat 😳🙄</t>
  </si>
  <si>
    <t>RT @jedi_zaidi: @MNithiya @maszlee Sokong sampai ambil gmbar dengan bendera LTTE? Kalau ada rakyat malaysia yg sokong ISIS, ambil gmbr dgn bendera ISIS dikira ancaman ke tak?</t>
  </si>
  <si>
    <t>Tiga WNI yang masih di Wuhan China sudah sehat. #VirusCorona</t>
  </si>
  <si>
    <t>smirnoff isis</t>
  </si>
  <si>
    <t>Saat ini rencana pemulangan WNI yang tidak terjangkit #VirusCorona dari kapal pesiar Diamond Princess di Jepang tengah dikaji pemerintah. pun terus berkomunikasi dengan otoritas Jepang upayakan penyelesaian tuntas.</t>
  </si>
  <si>
    <t>@tahupetismanis @mbah_mijan Ga juga tuh.. berita terkini sdh 4 org WNI positif terjangkit virus Corona, Kita berdoa u yg lain nya semoga mereka kuat.</t>
  </si>
  <si>
    <t>@BabahnoA @prabawananda @DivHumas_Polri Mereka spt paham isis...anak2 dipakai utk 'perjuangan'</t>
  </si>
  <si>
    <t>@Anna_MaSue Selama Pribumi mudah di beli... maka Indonesia akan di kuasai Tiongkok.. Kemali ke UUD45.. Presiden haruslah WNI</t>
  </si>
  <si>
    <t>Maka mereka ini hrs segera dimusnahkan dari tanah inggris sblm warga inggris digorok dan dimusnahkan ala isis. RT @Hendfry_Gerard: TIDAK TAU MALU... !!! Mereka ini adalah pelarian asal Suriah yang mengungsi ke Inggris. Dan saat ini mereka ingin menetapkan syariah di Inggris. Apakah Indonesia masih mau menerima ex kombatan ISIS??</t>
  </si>
  <si>
    <t>@mbah_mijan Ada yg kena mbah,. 4 org WNI di kapal diamond princess yg berlabuh di perairan jepang</t>
  </si>
  <si>
    <t>RT @erroyh: @FaGtng @jokowi Krn Dia presiden utk seluruh WNI...</t>
  </si>
  <si>
    <t>RT @effizzzyy: Bomboclaat</t>
  </si>
  <si>
    <t>TIDAK TAU MALU... !!! Mereka ini adalah pelarian asal Suriah yang mengungsi ke Inggris. Dan saat ini mereka ingin menetapkan syariah di Inggris. Apakah Indonesia masih mau menerima ex kombatan ISIS?? RT @Mr_Belutsch: They escaped from Sharia from their own countries and Now living in England they want Sharia.</t>
  </si>
  <si>
    <t>RT @hapeproperti: @RizmaWidiono @Singa_Betawi26 Aksi2 bela Islam yg terjadi di Indonesia saat ini hampir sama spt di Suriah, kelompok (ISIS) yg terus menerus propaganda, fitnah pemerintahan yg sah.</t>
  </si>
  <si>
    <t>@saiawulan @kompascom Islam terpecah 73 Yahudi 72 Nasrani 72 ISIS adalah khawarij kata nabi anjing anjing neraka jadi biarkan mereka sudah disana saja kalau mau pindah silahkan ke negara lain saja</t>
  </si>
  <si>
    <t>@aarikanlotta @Liilahteenmaki Ai niinkuin ISIS, Al-gaeda ja Boko Haram?</t>
  </si>
  <si>
    <t>RT @chikaseptiyana: Biadabnya ISIS !! | ISIS bukan Islam | ISIS Khawarij #ISISGoToHell #valentinebukanbudayakita #ValentinesDay2020 #TolakValentineDay #JumatBerkah @TheArieAir @RizmaWidiono @yusuf_dumdum @CH_chotimah</t>
  </si>
  <si>
    <t>RT @tvOneNews: Keputusan Pemerintah RI menolak pemulangan WNI Eks ISIS menyisakan pertanyaan. Benarkah status kewarganegaraan WNI eks ISIS tersebut otomatis gugur? Lantas bagaimana nasib anak-anak tak berdosa yang hanya mengikuti kehendak orang tua mereka? Dua Sisi malam di tvOne #DuaSisitvOne</t>
  </si>
  <si>
    <t>@anandasukarlan Baca di komen, itu aksi menolak Isis masuk ke England.</t>
  </si>
  <si>
    <t>Ava nya kayak gt sih.apakah ituh isis harga mati😪? Ngeri</t>
  </si>
  <si>
    <t>@DESIBANDA13 @AnandTi08976313 Main keh raha ISIS terrorist hai tu bol k dikha galat ko galat ... Bol Sakta RSS ko galat?</t>
  </si>
  <si>
    <t>@eko_kuntadhi @KPAI_official ISIS eks WNI BUKAN WNI eks ISIS ...narasi KPAI dibenerin dl tuh...jangan2 oknum KPAI sendiri.......?</t>
  </si>
  <si>
    <t>RT @aryacokronegoro: @addamfarizi @BebasVisaID @sandmanindo @oak_math_lee_91 @MikeyAM97 @yovie_myg @IvanRT05 @jokowi @Menlu_RI @MuhammadRezaHil @chuentoi @jameshandaja 😁 baru kali ini kan ada negara tidak berkembang dan berkembang bisa masuk bebas visa ke negara maju Spt Indonesia tapi WNI kesana butuh visa. 😁😁😁😁</t>
  </si>
  <si>
    <t>RT @salahsambungya: @ocvenus @haikal_hassan 😁 Padahal RRC sama WNI beretnis Tionghoa itu kan beda Harusnya dia bisa Bedain</t>
  </si>
  <si>
    <t>Cara hukuman seperti yg ISIS lakukan di Suriah itu arah maksudnya. Bahaya....😢 RT @kangenband123: Mantaff, pelaku chat sex sekalian di usulin potong tangan juga dong bib. Apa karna mau di potong tangannya, makanya doi kabur ke ngarab yakk?</t>
  </si>
  <si>
    <t>@Umar__Rana @pareekgirish78 @idnani_nandini @ANI @ShatruganSinha Achha to ISIS debate krke logo ko convert kr rha hai? Abe ollu ke pathe jara bta Babylon, Mesopotamia me aaj muslim kaha se aaye? Egypt ke culture ko kisne barbaad kiya. Tum momino ne!</t>
  </si>
  <si>
    <t>RT @DogZander: Sadiq Khan, London's 'Liberal Muslim' Mayor, Has Ties To ISIS - News Punch #SadiqKhan #ISIS</t>
  </si>
  <si>
    <t>@maszlee Aktif atau tidak, gerakan ltte termasuk dlm golongan pelampau(extremist). Jika tidak tangani dari mula akan memudaratkan dikemudian hari. Even dlm islam sendiri extremist seumpana isis juga diperangai kerajaan jika ada sesiapa yg terlibat. Be professional. Jgn prejudis.</t>
  </si>
  <si>
    <t>RT @republikaonline: KBRI minta WNI tetap tenang pasca Lebanon mengkonfirmasi kasus pertama virus corona.</t>
  </si>
  <si>
    <t>KBRI Imbau WNI Tak Datang ke Kota Daegu</t>
  </si>
  <si>
    <t>@Ivan94649769 @ustadtengkuzul Jangan DUNGU dong, Isis itu buatan amerika dan israel buat menfitnah islam. Ngak nyambung issu ISIS digorang-goreng PKI untuk menutupi kasus mega korupsi BUMN terbesar sepanjang sejarah NKRI ini.. BASI dan DUNGU percaya issu isis. PKI yg perlu diwaspadai itu fakta sejarah gog😂😂</t>
  </si>
  <si>
    <t>😏 gw semakin yakin kalo 600 ISIS itu sebenernya udah masuk ke NKRI cuma cebong dan brudu2 jokowick emang demen aja dibegoin</t>
  </si>
  <si>
    <t>@Su90M_313 @DevrimciYol6 İranian isis</t>
  </si>
  <si>
    <t>Pendapat @KPAI_official merangkap LONTE ISIS ya begini TOLOLNYA. Harap maklum</t>
  </si>
  <si>
    <t>@Dinda_Dewi_Azaa @Rita__Arsanti Mulus..... Kontolkubgede</t>
  </si>
  <si>
    <t>@mi_isis @suitedesire @DesireMty Pos gpi jejejek saludos @mi_isis</t>
  </si>
  <si>
    <t>@Nessa_As_Zahro @Rita__Arsanti Nesa...... Coba dgn aku... Kontol lebih gede</t>
  </si>
  <si>
    <t>Dikontak Langsung WNI di Hongkong, Taiwan, dan Singapura, Ganjar Kirim Bantuan Masker -  -</t>
  </si>
  <si>
    <t>@Rita__Arsanti @Dinda_Dewi_Azaa Rita memeknya bersih.rambutnya ok d as n lubangnya agak gede boleh lah</t>
  </si>
  <si>
    <t>RT @radar_malang: 'Virus' Cinlok Ternyata Landa 238 WNI yang Dikarantina di Natuna</t>
  </si>
  <si>
    <t>@Dinda_Dewi_Azaa Enak dinda... Boleh dicoba</t>
  </si>
  <si>
    <t>Virus' Cinlok Ternyata Landa 238 WNI yang Dikarantina di Natuna</t>
  </si>
  <si>
    <t>Pemerintah Segera Evakuasi WNI di Yokohama</t>
  </si>
  <si>
    <t>@UWAKsarul777 Berapa harganya</t>
  </si>
  <si>
    <t>@UWAKsarul777 Harga berapa minyak</t>
  </si>
  <si>
    <t>@yellowshining @kompascom Isis....radikal radikul, hti. Ndak ada jualan lain nih bong...😂😂</t>
  </si>
  <si>
    <t>@Amiererhh Bby banso ace inada wni matsala da dn uwanki🤣🤣🤣🤣</t>
  </si>
  <si>
    <t>RT @fadjroeL: Jubir: @jokowi Perintahkan Kemenlu Terus Pantau WNI di Yokohama Jepang  #Jubir #BungJubir @JubirPresidenRI #EvakuasiWNIYokohama</t>
  </si>
  <si>
    <t>@AsmaBako 😒 Sunan wni gari a kano waishi garin malam🤣</t>
  </si>
  <si>
    <t>RT @fadjroeL: Istana Tegaskan Evakuasi WNI di Kapal Diamond Princess Segera Dilakukan  #Jubir #BungJubir @JubirPresidenRI #EvakuasiWNIYokohama</t>
  </si>
  <si>
    <t>RT @fadjroeL: Istana: Setelah Wuhan Pemerintah Segera Evakuasi WNI di Kapal Diamond Princess  #Jubir #BungJubir @JubirPresidenRI @jokowi @Kiyai_MarufAmin #EvakuasiWNIYokohama #EvakuasiWNIWuhan</t>
  </si>
  <si>
    <t>RT @okezonenews: Istana Tegaskan Evakuasi WNI di Kapal Diamond Princess Segera Dilakukan #TauCepatTanpaBatas #BeritaTerkini #Berita #News #BeritaNasional .</t>
  </si>
  <si>
    <t>RT @KemenkesRI: 11. Ada 78 WNI yang menjadi ABK di kapal pesiar Diamond Princess, 4 WNI dilaporkan terkonfirmasi positif. Keempatnya saat ini sudah dirawat di RS di Jepang. #WaspadaCOVID19</t>
  </si>
  <si>
    <t>@rachmanfahadi @edwin_basuki Kalau tak salah dulu khusus WNA, tapi tidak tahu berlaku untuk WNI yang pergi ke daerah &amp; nginap di rumah penduduk</t>
  </si>
  <si>
    <t>RT @KemenkesRI: 4. Kapal pesiar World Dream memiliki total ABK 1104 orang, yg mana sekitar 270 ABK adalah WNI. Seluruh penumpang diturunkan di Hongkong, saat semua penumpang turun maka otoritas Hongkong melakukan pemeriksaan kepada seluruh ABK dengan PCR &amp; hasilnya negatif. #WaspadaCOVID19</t>
  </si>
  <si>
    <t>@fbudisambara tanpo pomade tanpo shampoo... loss isis, silir. 🤣🤣🤣</t>
  </si>
  <si>
    <t>Untuk semua WNI yang pernah/sedang/akan dipersekusi atau dipersulit beribadah dan mati dibom karna aksi terorisme. Ini ada pesan dari presidenmu terkait masalah intoleransi.  RT @BBCIndonesia: [Video] Presiden Jokowi menjawab pertanyaan soal korupsi, HAM, lingkungan, dinasti politik, dan intoleransi dalam wawancara eksklusif bersama Koresponden Bisnis Asia BBC News, Kharisma Vaswani. Untuk membaca lebih lengkap wawancara ini, klik tautan:</t>
  </si>
  <si>
    <t>RT @franshwick: Pprt</t>
  </si>
  <si>
    <t>Nabi kalau ada zaman kita ni isis pun takkan wujud... Kena perang habis habisan semua ni.... Tapi pemuda pemudi skrg banyk fikir pasal cinta,berhibur, lagu weh mampos semua mmg kalah la macam ni wow RT @mboldt__: Genuine question... If Prophet Muhammad SAW was here today, would you refer to him as “isis mentality” because he is strict to Islam? Or conservative? Or too religious? If he was standing infront of you would you bash his wives, call them “isis brides” or curse companions?</t>
  </si>
  <si>
    <t>@Selvi84976443 Jahaha.. Udah jdi wni kagak pulang" 🤣😊</t>
  </si>
  <si>
    <t>RT @SBrengoS22: @haikal_hassan Dan tolong juga si WNI ketirunan ARab ini juga diawasi..disini juga numpang di NKRI..jgn boleh jadi provokator</t>
  </si>
  <si>
    <t>@fullmoonfolks Gblog emang nyari satu orang aja bilangnya susah, pake alesan ganerima orang ex ISIS karena imigrasi, kntl emang</t>
  </si>
  <si>
    <t>Udah paling bener Perlindungan WNI di LN itu jadi Prioritas Nasional emang 👍🏻😃 RT @Rachmat_Fathoni: @dyahwie Dulu pas aku magang di Kenya, karna situasi Pemilu disana tegang, kita WNI dijemput satu-satu sama KBRI Kenya, dan dievakuasi untuk stay di wisma KBRI. Padahal aku tinggal lumayan jauh dr Nairobi kak. Bravo deh Kemenlu.</t>
  </si>
  <si>
    <t>@KPAI_official Apa kabar anak2 yg orang tua nya korban Bom Bunuh Diri nya isis???? @KPAI_official hadir kah?</t>
  </si>
  <si>
    <t>@detikcom @MardaniAliSera apa yg ngirim mereka jd anggota isis itu anda om? Kok sepertinya punya tanggung jawab buat mulangin?</t>
  </si>
  <si>
    <t>WNI KRU DIAMOND PRINCESS TAK MAU DIEVAKUASI VIA LAUT, KSP: DIPERTIMBANGKAN</t>
  </si>
  <si>
    <t>@ngalamfess Kelas guo dan isis adalah kebahagiaan hqq:v</t>
  </si>
  <si>
    <t>RT @dukeofmalang: Perkara mulangin ISIS dirapatin sampe kabinet, perkara tempat ibadah ditutup paksa malah diem-diem bae. Pesona Indonesia ~</t>
  </si>
  <si>
    <t>Suspect Pertama Corona di Lebanon, KBRI Minta WNI Tenang  #beritaterkini</t>
  </si>
  <si>
    <t>RT @bendoganteng: @MaryanaNunung @MukhtarLuthfi12 @evisuryanti10 @RizkiR4madani @Rezhi99 @edward_7011971 @73hermantjoe @MOMDian2 @ArifinNKRI_84 @Jokoumb64504158 @Aprilaza3 @babegalak1 @periani @AtikahZahidah_  Alhamdulillah ya Allah semoga semuanya dapet hukum mati amiin #tolakanakisiskembali #tolakpulangkankombatanisis Semoga dihabisi semua jangan ada yg menyisa satupun amin</t>
  </si>
  <si>
    <t>Isis dem neva bun dung nobody yaad RT @yawdtwitta: Wi have dem head A play wid it a bush just like a volleyball</t>
  </si>
  <si>
    <t>RT @EsterinaKaori: menyinggung bekas warga indonesia profesional ISIS nan "ingin " pula ke Republik Indonesia itu cuma buang-buang waktu. sudahlah biarkan mereka bernapas mujur disana sama dengan " kesediaan " mereka terkoteng-koteng. #TolakEksWNIproISIS</t>
  </si>
  <si>
    <t>RT @DavidLi43346138: Sejak dari dulu NKRI tidak pernah mengakui keberadaan mereka Eks ISIS adalah teroris, jangan mau kita menerima mereka #CegahISISmasukNKRI</t>
  </si>
  <si>
    <t>RT @peter_shearer: KPAI dibawah @SHikmawatty : 1. Audisi badminton (((dieksploitasi))) 2. Perempuan berenang dengan pria bisa jadi hamil. 3. Mendukung kepulangan anak2 WNI ISIS. 4. ....</t>
  </si>
  <si>
    <t>@cafenobully @arturrodrigues Pega... 👉🖕</t>
  </si>
  <si>
    <t>@umnoonline Pengganas militan Islam melayu isis yg dah balik sorang pun tak kena sosma. Rasis gile</t>
  </si>
  <si>
    <t>@FaGtng @jokowi Krn Dia presiden utk seluruh WNI...</t>
  </si>
  <si>
    <t>@ANDINI_MAHARAN1 main cabut WNI se enaknya saja</t>
  </si>
  <si>
    <t>RT @snowpeach23: @tariknafasss @EricSasono Scene di film nya? Emang kejadian nyata itu. Ini ada thread dari salah satu wni yg tinggal di seoul</t>
  </si>
  <si>
    <t>RT @kontarOP: @FareezRosly @KhalidSamad @PDRMsia @TSMusaHassan @CTNurhaliza11 @tunfaisal @AdlyJebat @RajaPetra @PutriSufi3 tak boleh. ikut akhbar dua ada link dgn kepala isis lokal di luar negara. yg perlu selidik &amp; lapor kpd rakyat 12 ekor tu photo lovers. takkan mereka tak buat meeting, pengkaderan, latihan, ada aktiviti betmoif di malaysia. PH @KDNPUTRAJAYA @muhyiddin_my tak da maruah &amp;amp; bodoh?!</t>
  </si>
  <si>
    <t>RT @ManPin: •Ertinya, pakcik, kita boleh simpan foto Ben Ladin, atau ketua-ketua ISIS, Daesh dalam henfon kita lah? •Oi! Hang jangan cari penyakit. Foto pemimpin Tamil Tiger je yang tak salah. •Oh gitu. Habis, Datuk Ayob polis tu kata LTTE teroris... •Datuk Ayob tu, dia bukan tau apa.</t>
  </si>
  <si>
    <t>@basoe_mercon Coba lurah di desaku punya keberanian begini, minimal diperhatikan lah, kaga diem2 bae... Tp kita ga perlu heran, di negeri ini jgnkan pekerja non putra daerah, WNA tiongkok pun ngalah2in WNI sendiri...</t>
  </si>
  <si>
    <t>ISIS stresss fighter itu tukang tagih utang sebenarnya</t>
  </si>
  <si>
    <t>@Shrivastav_IND @ANI Most of Indian ISIS boys r from Kerala. Aur kitna padaoge enge 😂😂</t>
  </si>
  <si>
    <t>RT @Dodo72863288: @GunRomli @KPAI_official Kayak ISIS om, anak kecil di cuci otak</t>
  </si>
  <si>
    <t>RT @syahredzan: Sebab itu keputusan Peguam Negara saya sokong. Dan sebab itu juga saya kata, Peguam Negara harus semak semula juga kes2 lain bawah Seksyen 130JB(1) ini guna prinsip yang sama yang digunapakai dalam kes LTTE.</t>
  </si>
  <si>
    <t>RT @dfrnm: telah mengalami dugaan mal praktek di salah satu Rumah Sakit di Malaysia. Korban yang bernama Ibu Sari Dewi adalah WNI yang ditelantarkan oleh suami yang berkewarganegaraan Malaysia telah memberikanya seorang putri cantik bernama Tania.</t>
  </si>
  <si>
    <t>@hamka_sutra @TheArieAir @orangdesadamai @moh_effendie @juventinaElysia @dianafithras @Linkup_ID @K3V4N2 @Aan__coverBOYkw @juntak_m14 @Hamzah_Baudin @jangkarlaut54 @PurbaHermanto @Finsensiadaeli @Bakoto7 @ISIS_Balik_NO @Sawungg34828116 @guna2aji Tks 🙏 promotor @hamka_sutra &amp; sedulurs #programfolback</t>
  </si>
  <si>
    <t>ISIS yg baik hati .... itu islam syiah islam syiah .... yg jelek jelek itu syariat islam ....</t>
  </si>
  <si>
    <t>@BenjaLRM2099 @jesdd78 @As_TomasRoncero Mis qui nidi pirqui Hizirs hi istidi lisinadi li grin miyiri di isis misis</t>
  </si>
  <si>
    <t>Alhamdulillah.. smg mrk semua bener2 bersih tak terjangkit virus mematikan ini. #coronaviruschina KRI dr. Soeharso Siap Jemput 74 WNI Kru Diamond Princess di Jepang | tvOne  via @YouTube</t>
  </si>
  <si>
    <t>@godwinmbogo @FKaimu @ayubu_madenge @Eric_Bernard94 @LelloMmassy @noor_abdul @noel_isidore @LusakoWaKwanza @Mcraymunnah @chibuga63 @Kingkidy_ @Kamigakikumbise Wapinzani wepi tunamaanisha, FSA au ISIS?</t>
  </si>
  <si>
    <t>Karna kalo su takana PUBG, rasa2 ke ada perang lawan ISIS ko snd ingat waktu. Nanti br ktg yg kas bangun ni yg pusing.</t>
  </si>
  <si>
    <t>RT @jawapos: Menolak Kepulangan Anak ISIS Eks WNI</t>
  </si>
  <si>
    <t>@ISIS_Balik_NO @sipenakecil Otak mereka hanya urusan selangkangan..mau dikasih obat apa aja tetep pkkiran mereka gak jauh dr urusan selangkangan</t>
  </si>
  <si>
    <t>@qzruh_jogja @Vinesulaimanre1 Isis yak,,,</t>
  </si>
  <si>
    <t>@Lenny_diary @windyaaaaaa Aku prnh denger/baca, lupa... WNI lagi makan di restoran jerman, makanannya bnyk yg nyisa, tiba2 disamperin polisi n didenda, orng itu beralasan dia sudah membayar, lalu si polisi itu bilang, uangmu mungkin memang milikmu, tp sumber daya untuk bikin makanan ini milk semua orng😊</t>
  </si>
  <si>
    <t>atunya ISIS hanya main film berita channel teve sedunia</t>
  </si>
  <si>
    <t>ISIS ada 2 itu .... atunya bangsa luar sebenarnya .....</t>
  </si>
  <si>
    <t>@Um_sansfess Udo ae ben isis</t>
  </si>
  <si>
    <t>RT @TurnBackHoax: [SALAH] Foto “Wanita pengikut ISIS ini bangga setelah memenggal kepala sesama umat Allah” Komandan grup milisi di Irak yang memenggal kepala anggota ISIS, BUKAN pengikut ISIS. Selengkapnya di  #LawanHoax</t>
  </si>
  <si>
    <t>@MNithiya @jedi_zaidi @maszlee jangan layan penyokong penganas isis. mereka merapu je banyak 🤣</t>
  </si>
  <si>
    <t>RT @Iceberg2nd1: Yth @mohmahfudmd @Kemenag_RI @BNPTRI @KSPgoid @fadjroeL cc @jokowi 600 eks ISIS masih mau di pulangkan? Tambah penyakit saja di negeri tercinta ini. Penyakit kadrun dan intoleran saja bonus gabener ngga selesai². Mohon tidak ada pemulangan eks ISIS ke tanah air 🙏🏻</t>
  </si>
  <si>
    <t>Disandra ISIS kayaknya ni orang RT @insantuy_____: Apa yg langsung terlintas dipikiranmu ketika dia online, tapi tak membalas pesan darimu?</t>
  </si>
  <si>
    <t>Yth @mohmahfudmd @Kemenag_RI @BNPTRI @KSPgoid @fadjroeL cc @jokowi 600 eks ISIS masih mau di pulangkan? Tambah penyakit saja di negeri tercinta ini. Penyakit kadrun dan intoleran saja bonus gabener ngga selesai². Mohon tidak ada pemulangan eks ISIS ke tanah air 🙏🏻 RT @hemaviton99: UK mau di Shariah kan oleh kaum PENGUNGSI suriah..mereka ditampung dulu karna rasa KEMANUSIAAN oleh kaum mayoritas KRISTEN disana..tapi LIHAT sekarang apa yg terjadi ?</t>
  </si>
  <si>
    <t>@detikcom @detikfinance Sama2 WNI PUNYA HAK YANG SAMA. Ribet bat ah demo2 mulu</t>
  </si>
  <si>
    <t>Pemerintah Segera Evakuasi WNI di Yokohama, Jepang</t>
  </si>
  <si>
    <t>@hamka_sutra @TheArieAir @orangdesadamai @juventinaElysia @dianafithras @Linkup_ID @K3V4N2 @Aan__coverBOYkw @juntak_m14 @Hamzah_Baudin @jangkarlaut54 @PurbaHermanto @Finsensiadaeli @Bakoto7 @ISIS_Balik_NO @Sawungg34828116 @guna2aji @Ungkapkan3 Tq bang 🙏🏻</t>
  </si>
  <si>
    <t>@suketi666 Terserah mrk mau isis,yg penting foto ini buat pemerintah dan bangsa kita waspada ...kita bukan menganut hukum agama,tapi hukum berdasa uud45&amp;PANCASILA.......</t>
  </si>
  <si>
    <t>@troymanipolo22 onis yarn si isis ba yarn?</t>
  </si>
  <si>
    <t>@hemaviton99 Mereka ngaku pengungsi doang ini indikasi penyusup isis kali...</t>
  </si>
  <si>
    <t>RT @MT_Reborn: Jumlah kasus terinfeksi di South Korea melonjak tajam hingga 6 kali lipat 4 hari belakangan ini dgn jumlah 346 orang(kabar terakhir sdh 433 org)yg positip terkena coronavirus,2 meninggal. Semoga WNI yg ada di Korsel aman dan tidak ada yg terkena coronavirus. #WaspadaCoronaVirus</t>
  </si>
  <si>
    <t>RT @IdEmbassy_Seoul: WNI di daerah Daegu dan sekitarnya diharapkan tetap tenang dan jaga kondisi kesehatan. Selalu gunakan masker di tempat umum dan gunakan hand sanitizer ya! Have a nice weekend 🙏</t>
  </si>
  <si>
    <t>@PTarun220 Kejri Isis ka hai.</t>
  </si>
  <si>
    <t>RT @Gerybudiman2: @AlissaWahid @ernestprakasa Tugas KPAI: 1. Ngelarang audisi dengan sponsor djarum 2. Ngelarang perempuan berenang sma laki2 krn takut hamil massal 3. Pulangkan anak eks ISIS Ditunggu lagi tugas lainnya wkwk</t>
  </si>
  <si>
    <t>RT @Mentimoen: Kenapa Indonesia belum ada kasus virus corona? Menkes: Secara MEDIS (karena) DOA.</t>
  </si>
  <si>
    <t>@ravenclawmate @spoilagedcapo @catuaries 3 WNI TERPAPAR VIRUS CORONA, SEKSINYA [insert celebrity here] RT @RnTheAndrian: The one I found on Facebook just recently should represent my pet peeve; a random title, bla bla bla sexy female, on Stan Lee's article, contributing absolutely NOTHING to the tribute. h/t to the page that exposed this</t>
  </si>
  <si>
    <t>Pecah Telor deh..</t>
  </si>
  <si>
    <t>telah mengalami dugaan mal praktek di salah satu Rumah Sakit di Malaysia. Korban yang bernama Ibu Sari Dewi adalah WNI yang ditelantarkan oleh suami yang berkewarganegaraan Malaysia telah memberikanya seorang putri cantik bernama Tania.</t>
  </si>
  <si>
    <t>@rumahbacot lagi sibuk cari ketenaran nggak mau kalah sama lembaga yang ngebela ISIS suruh pulang itu</t>
  </si>
  <si>
    <t>@Toperendusara1 @jokowi Owalah...selama ini baru ngeh klo sy ternyata WNI (Warga Nega India)</t>
  </si>
  <si>
    <t>WNI di Amerika Serikat mulai .... RT @4smara1701: Makin mantul aja nih Pak Rocky 😎 WNI yang di Amerika Serikat mulai mengevaluasi pemilu kemarin untuk menanamkan ulang kepercayaan pada masa depan Indonesia.. Virus akal sehat mulai mendunia 😎</t>
  </si>
  <si>
    <t>Apakabar Turkiyem dan Turkimin ? Turkiyem dan Turkimin ini adalah WNI yang menganggap Erdogan sebagai Pemimpinnya</t>
  </si>
  <si>
    <t>@fullmoonfolks @chrisnayolandaa pengalihan omnibus law? monas? salah ketik? lupa cabut kabel server? corona? isis? apalagi?</t>
  </si>
  <si>
    <t>RT @bacautas: Halo kak @JakartaStar, utas yang kakak minta sudah siap: "01). Maklumat FPI: Mendukung ISIS dan Penegakan Khilafah Islamiyah di Indonesia Dewan Pimpinan Pusat Front Pembela Islam (DPP FPI) telah melakukan kajian komprehensif terhadap ..."</t>
  </si>
  <si>
    <t>@aewin86 Saya ?</t>
  </si>
  <si>
    <t>@AmbarwatiRexy KPAI disusupi ISIS.. 😅🥳</t>
  </si>
  <si>
    <t>@detikcom *IDLIB BERISI ISIS DIHANTAM TERUS OLEH F35 RUSSIA DAN TENTARA ASSAD SYRIA! RATUSAN RIBU PENGUNGSI KE ARAH TURKI HAHAHA</t>
  </si>
  <si>
    <t>@OldJoe771 @DSofdi Kamu teriak save uighur? Kesana bantu mereka napa?disini intoleransi didepan matamu,triak yg jauh disna?kamu masih wni ?</t>
  </si>
  <si>
    <t>@RizmaWidiono @Singa_Betawi26 Aksi2 bela Islam yg terjadi di Indonesia saat ini hampir sama spt di Suriah, kelompok (ISIS) yg terus menerus propaganda, fitnah pemerintahan yg sah.</t>
  </si>
  <si>
    <t>@4smara1701 Manusia berpikir dg akal sehat dimanapun berada di terima dg akal sehat juga oleh para manusia yg berakal sehat juga termasuk WNI yg ada di Amerika memang bung RG motivator berakal sehat.</t>
  </si>
  <si>
    <t>@sofiesyarief Fokus dulu ke evakuasi crew wni di Diamond princess di Yokohama dan Dream world di perairan internasional dekat Bintan.Sudah diputuskan akan evakuasi</t>
  </si>
  <si>
    <t>@LidyaRosmala @fierazor Sdh banyak yg sembuh. WNI yg di singapur jg sdh keluar RS. Di area tropis setahu saya meski positif, kondisinya tdk parah.</t>
  </si>
  <si>
    <t>RT @wow_keren: Virus Corona di Kapal Diamond Princess Diduga Bermutasi, Karantina 74 WNI Bakal Diperpanjang</t>
  </si>
  <si>
    <t>Makin mantul aja nih Pak Rocky 😎 WNI yang di Amerika Serikat mulai mengevaluasi pemilu kemarin untuk menanamkan ulang kepercayaan pada masa depan Indonesia.. Virus akal sehat mulai mendunia 😎</t>
  </si>
  <si>
    <t>RT @ahmadleofaisal: @KPAI_official KPAI tuh yang disabilitas Akut, Anak dibully malah diem kyk patung, Giliran ISIS Eks WNI malah dibela.. KPAI GO TO HELL #ISISGoToHell</t>
  </si>
  <si>
    <t>RT @NomyNozwir: Beza LTTE dengan ISIS atau Al-Qaeda atau Nazi ni ialah tuhan yang dorang sembah. Semua sama je, extremist. Jadi kalau TT kata simpan gambar pemimpin extremist tu macam simpan gambar pop star, jadi lepas ni takpe la kalau simpan gambar Hitler, atau simpan buku ISIS.</t>
  </si>
  <si>
    <t>sebenernya asal orang Indonesia berhak kerja disitu kecuali wna yg kemampuannya sama kayak wni harus diusir RT @basoe_mercon: Lurah Desa Talaga, Kec. Cikupa, Kabupaten Tangerang mengamuk Karena Warga nya Tidak ada satu pun yang Bekerja di PT KMK padahal PT tersebut berada di Desa Talaga, tetapi lebih mengutamakan Pekerja Luar Daerah, sabtu (22/2/2020) semoga jae mengikuti bapak lurah ini..?!!</t>
  </si>
  <si>
    <t>@jr_kw19 wni keturunan yaman, kagak usah bikin onar tong..!!</t>
  </si>
  <si>
    <t>@3_devout @humaira979 @Mr_Belutsch Padahal yg di video itu protes ISIS dan terorisme, kok jadi isu syariah?</t>
  </si>
  <si>
    <t>@hamka_sutra @TheArieAir @orangdesadamai @moh_effendie @dianafithras @Linkup_ID @K3V4N2 @Aan__coverBOYkw @juntak_m14 @Hamzah_Baudin @jangkarlaut54 @PurbaHermanto @Finsensiadaeli @Bakoto7 @ISIS_Balik_NO @Sawungg34828116 @guna2aji @Ungkapkan3 Bisa blender jengkol gak bang 🤔🤔</t>
  </si>
  <si>
    <t>RT @siiudil: ISIS laknat @GagakNeww2 @AhlulQohwah @1504ers @ditepihatimu</t>
  </si>
  <si>
    <t>ISIS laknat @GagakNeww2 @AhlulQohwah @1504ers @ditepihatimu RT @Lerry28: Maaf ada yang tau ini lagi ngapain ??? 👉Kayak lagi main sulap gitu ya🤭🤭 #SabtuRebahan</t>
  </si>
  <si>
    <t>@BittuBhardwaj27 @Zielonyornot @spectatorindex fr 9/11 ka drama kar kay america na afghanistan pr hamla kar diya ab jo russia sa laray wo american sa larna shuru hogae pakistan na america ka sath diya is liye kuch log hamaray khilaaf ho gae... laikin ye Isis TTP or is jaisay na janay kitni organization kaha sa aain</t>
  </si>
  <si>
    <t>@hamka_sutra @TheArieAir @orangdesadamai @moh_effendie @juventinaElysia @dianafithras @Linkup_ID @K3V4N2 @Aan__coverBOYkw @juntak_m14 @Hamzah_Baudin @jangkarlaut54 @PurbaHermanto @Finsensiadaeli @Bakoto7 @ISIS_Balik_NO @Sawungg34828116 @guna2aji @Ungkapkan3 Done semuah</t>
  </si>
  <si>
    <t>RT @ellenrie1: Beberapa hari yg llu @helmifelis nantangin RT 10k utk bongkar soal @jokowi. ekhh..mendadak akunnya ganti nama jd @Badesadaya .dan di protect..ternyta skrg ganti profesi menjual kayu.knp bingung gk tau mo bongkar apa?? Masih percaya cuitannya @Badesadaya .gk mutu banget pecundang.</t>
  </si>
  <si>
    <t>@hamka_sutra @TheArieAir @orangdesadamai @moh_effendie @juventinaElysia @Linkup_ID @K3V4N2 @Aan__coverBOYkw @juntak_m14 @Hamzah_Baudin @jangkarlaut54 @PurbaHermanto @Finsensiadaeli @Bakoto7 @ISIS_Balik_NO @Sawungg34828116 @guna2aji @Ungkapkan3 Pisangnya pd lompat🤣🤣🤣</t>
  </si>
  <si>
    <t>@hamka_sutra @guna2aji @TheArieAir @orangdesadamai @moh_effendie @juventinaElysia @dianafithras @Linkup_ID @K3V4N2 @Aan__coverBOYkw @juntak_m14 @Hamzah_Baudin @jangkarlaut54 @PurbaHermanto @Finsensiadaeli @Bakoto7 @ISIS_Balik_NO @Sawungg34828116 @Ungkapkan3 Itu pisang bisa meronta2 gtu ya.. 🤣🤭</t>
  </si>
  <si>
    <t>@hamka_sutra @TheArieAir @orangdesadamai @moh_effendie @juventinaElysia @dianafithras @Linkup_ID @K3V4N2 @Aan__coverBOYkw @juntak_m14 @Hamzah_Baudin @jangkarlaut54 @Finsensiadaeli @Bakoto7 @ISIS_Balik_NO @Sawungg34828116 @guna2aji @Ungkapkan3 Tengkiu Mas.</t>
  </si>
  <si>
    <t>@imamimamnawawi2 @ustadtengkuzul Si chat mesum lu jadiin imam...guooblok. Dasar DAULAH ISLAM ( ISIS ) mateee aje lu...wkwkwwk</t>
  </si>
  <si>
    <t>RT @ellys_kerhi: Itu kenapa kehadiran ISIS di tolak di negara ini.</t>
  </si>
  <si>
    <t>@hamka_sutra @Sidin79901699 @TheArieAir @orangdesadamai @moh_effendie @juventinaElysia @dianafithras @Linkup_ID @K3V4N2 @Aan__coverBOYkw @juntak_m14 @Hamzah_Baudin @jangkarlaut54 @PurbaHermanto @Finsensiadaeli @Bakoto7 @ISIS_Balik_NO @Sawungg34828116 @guna2aji @Ungkapkan3 Lanjutt</t>
  </si>
  <si>
    <t>@haikal_hassan 🤣🤣🤣 baru lihat ada narasi yg di petak²in 🤣🤣🤣 Jadi China yg di sono sama China yg ada di NKRI apa bedanya??? 🤣🤣🤣 China yg di sono sama China yg ada di NKRI (turis) sama² bukan WNI 🤣🤣🤣. Lain hal klo anda sebut China yg telah menjadi WNI &amp; Produk China macam².... Koplak.</t>
  </si>
  <si>
    <t>RT @samhudibae: @Bangzul__88 @bakarricaicha1 @EngGuntur @IchKutung @BillyZihan @japung1976 @rasaTersisa @ttobing @73hermantjoe Itulah kaum monaslimin wal monaslimat yg terang2an ingin mendirikan negara khilafah secara brutal sebagaimana ISIS lakukan dan kita tau bahw sepak terjang mereka scara brutal serba klaim kpd pemerintah dgn jumlah demonstran yg berjuta2 bahkan bersilit2. #UmatCerdasKadrunAmblas</t>
  </si>
  <si>
    <t>RT @anjarisme: Alhamdulillah! UPDATE kondisi WNI positif #COVID19 Singapura: SUDAH DINYATAKAN SEMBUH dan negatif #Covid-19. Ybs sudah dipulangkan dari rumah sakit. KBRI Singapura terus memantau perkembangan ybs. #viruscorona #coronavirus</t>
  </si>
  <si>
    <t>@fmtoday hantar pengganas isis balik syria</t>
  </si>
  <si>
    <t>RT @shi__wie: Kpai bikin ulah lagi Bukannya didik orang biar pinter, malah makin bodoh. Dulu beasiswa djarum, lalu ank2 isis, skrg hamil bisa katena BERENANG. Bubarin aja ini lembaga. Gak guna!!</t>
  </si>
  <si>
    <t>Boleh di naturalisasi jadi wni ga??? Apakah "slogan" malaikat bisa jadi iblis apabila udah masuk ke sistem kita masih berlaku ???</t>
  </si>
  <si>
    <t>RT @KompasTV: Pemerintah Republik Indonesia akan segera evakuasi WNI yang berada di kapal Diamond Princess. Hingga saat ini WNI yang berada di jepang masih dalam pengawasan penuh pihak pemerintah jepang. Hal ini juga dilakukan kepada 4 WNI yang positif terkena virus corona.</t>
  </si>
  <si>
    <t>@nizariq_ Apa benda la sokong pengganas. Pas yang orang kata ekstrimis pun tak sokong ISIS/daesh. Gila.</t>
  </si>
  <si>
    <t>@berlianidris @afifahafra79 @DonAdam68 @LisaAmartatara3 @dayatia @dr_koko28 @inisifani Makin mahal dah harga otak WNI, makin jarang dipake ori 99 😲</t>
  </si>
  <si>
    <t>@blackha3k @Abang_K_ @SinarOnline aku memang bodo tapi lagi bodo bila ramai xsedar rakyat dah muak di perbodohkan..prk kami dah bagi signalyg kes najib disiputkan.kenapa biar je si najib suka hati je persenda..kes ltte laju jer.. abis kes hukuman konon pnyokong daesh,abu sayyaf,isis diam je?</t>
  </si>
  <si>
    <t>RT @Pandaphiler: Ada buku ISIS, dipenjara. Pergi melawat orang yg direct dgn LTTE siap menyokong LTTE kata bukan organisasi pengganas, di lepaskan. Tak rasa bias ke? Adakah AG kita bias? Jika bias, kredibiliti beliau seharusnya dipersoal.</t>
  </si>
  <si>
    <t>ada nggak yang meneliti mengapa wni di indonesia nggak kena korona. siapa tau wni memiliki darah yang mana merupakan antivirus korona ah apaan si gajelas diriq</t>
  </si>
  <si>
    <t>@GregNorberg Isis karaoke</t>
  </si>
  <si>
    <t>@KPAI_official Kadang aku gk paham sama tgs kpai ini loo, serius. Anak dalam negeri yg jelas status WNI aja msh bnyk bungsu lapar dan tdk mendapatkan pendidikan dan kehidupan yang layak. Kna harus cape2 ngurusin bocah yg scr UU udh sah cabut status WNI nya bpk/ibu KPAI terhormat?</t>
  </si>
  <si>
    <t>@diabolyns @raitardada @hellsbelllls @thenativewolfie Isis beba kkkkkki</t>
  </si>
  <si>
    <t>RT @maderodog: dalam level fanatik yang serupa, kita samasama pernah melihat bagaimana "Bigotry" semacam itu mampu merangsek otak sedemikian banyak orang buat gabung ke ISIS/Daesh; lalu kenapa teralu heran jika hal serupa hanya bergeser dari konteks 'Agama' ke ranah 'Budaya' (skena musik)? 😏</t>
  </si>
  <si>
    <t>Ini asli @KPAI_official SUPER GOBLOK yang membebani APBN. Apakah tidak ada WNI yang cerdas duduk di lembaga resmi negara? @jokowi</t>
  </si>
  <si>
    <t>isis woy</t>
  </si>
  <si>
    <t>Tolak pemulangan WNI Eks ISIS</t>
  </si>
  <si>
    <t>@marinagamba1909 @maszlee banyak banyak reply..yang ni saya sokong..ni baru betoi hamas ka isis ka ltte ka biaq pi kat depa..mampuih pi</t>
  </si>
  <si>
    <t>RT @Namaku_Mei: 74 warga negara Indonesia (WNI) di Kapal Diamond Princess di Jepang, akan segera dievakuasi menggunakan KRI Soeharso-990.⁣ ⁣ Diketahui, KRI Soeharso-990 merupakan satu-satunya Kapal Perang Bantu Rumah Sakit yang dimiliki Indonesia. ⁣ ⁣ "</t>
  </si>
  <si>
    <t>Kalau didengeri bikin kita DUNGU dan Pekok jadilah KITA WNI yg Waras yahh. HRS ajah gak bisa menahan nafsunya jadi Inget CHAT MESUM dng Firza HOSEN 🤣🤣🤣 #UmatCerdas212Amblas RT @nazhdien: Pak @haikal_hassan.. Rijiek sudah berbuat apa buat bangsa Indonesia !! Sudah melawan penjajah kah apa memberantas maksiat ?? Rijiek Melawan nafsu syahwat aja belum bisa 😂😂</t>
  </si>
  <si>
    <t>RT @danrem: @agussari KPAI : komisi perlindungan anak ISIS</t>
  </si>
  <si>
    <t>RT @ObaiIdon: Polisi kog beraninya sama tukang ojek. Itu pendemo intoleran, makar dan anarkis, ustad abal2 radikal dan provokator, koruptor, aparat berideologi hti khilafah isis: tembaaakkk!!!</t>
  </si>
  <si>
    <t>WNI bernama Masriki divonis 4 pekan penjara di Hong Kong</t>
  </si>
  <si>
    <t>@agussari KPAI : komisi perlindungan anak ISIS</t>
  </si>
  <si>
    <t>RT @hasmi_bakhtiar: Yang paling menyedihkan dari penembakan di Jerman ini adalah diamnya dunia termasuk dunia Islam karena pelakunya bukan muslim. Padahal ekstrem kanan melakukan terror sama dg yang dilakukan ISIS.</t>
  </si>
  <si>
    <t>RT @santidewi888: Wabah Virus Corona: WNI di Hong Kong Tertangkap Curi Ribuan Masker  via @idntimes</t>
  </si>
  <si>
    <t>RT @zizak_63: @syahredzan @pklnhulu1989 Wpun dlm bidangkuasa, keselamatan negara masih lagi keutamaan seorang AG..adakah anda lupa kes2 ISIS..gambar panji2 hitam berkuda pun tak boleh..apa lagi nak berarak di jalanraya</t>
  </si>
  <si>
    <t>RT @hendrakolang23: @Anna_MaSue untuk menutupi kegagalan mengurus negara, di ciptakan hoax, isu radikal radikul isis nkri dan pancasila dibentur2kan, mohon maaf kami rakyat jelatah sudah muak!</t>
  </si>
  <si>
    <t>Wabah Virus Corona: WNI di Hong Kong Tertangkap Curi Ribuan Masker  via @idntimes</t>
  </si>
  <si>
    <t>Polisi kog beraninya sama tukang ojek. Itu pendemo intoleran, makar dan anarkis, ustad abal2 radikal dan provokator, koruptor, aparat berideologi hti khilafah isis: tembaaakkk!!! RT @Aryprasetyo85: Tiga Tukang Ojek Ini Ditangkap Setelah Meminta Bayaran 450.000 Anggota satreskrim polsek tanjung duren berhasil menangkap tiga tukang ojek yg diduga memeras penumpangnya. Mereka bertiga ditangkap di Terminal Kalideres pada Jum'at (21/2/2020). Tanpa perlawanan</t>
  </si>
  <si>
    <t>@autumnove @Wizard_Bulu_168 Kalo mexican WNI ?</t>
  </si>
  <si>
    <t>RT @mariobautista_: Paparazzi</t>
  </si>
  <si>
    <t>@ahmaddmunzirr @jedi_zaidi @maszlee Bukan cam tu. Kalau ada rakyat kita yang kena tuduh dan penjara dikaitkan dgn isis dan takde bukti yng kukuh, saya tentang juga.</t>
  </si>
  <si>
    <t>RT @hazpohan: Mereka WNI, berhak atas perlindungan negara, kecuali keputusan pengadilan mengatakan lain:</t>
  </si>
  <si>
    <t>@syahredzan @pklnhulu1989 Wpun dlm bidangkuasa, keselamatan negara masih lagi keutamaan seorang AG..adakah anda lupa kes2 ISIS..gambar panji2 hitam berkuda pun tak boleh..apa lagi nak berarak di jalanraya</t>
  </si>
  <si>
    <t>“Stupid Doesn’t Play = Bodoh Bukan Main” Ada kecenderungan orang-orang fanatik yang mendukung ideologi khilafah dan membela ISIS itu punya otak tidak pernah dipakai atau punya otak tapi tak pernah dapat asupan gizi. Mereka paksakan kehendak dan asal nyablak! (*)</t>
  </si>
  <si>
    <t>Jumlah kasus terinfeksi di South Korea melonjak tajam hingga 6 kali lipat 4 hari belakangan ini dgn jumlah 346 orang(kabar terakhir sdh 433 org)yg positip terkena coronavirus,2 meninggal. Semoga WNI yg ada di Korsel aman dan tidak ada yg terkena coronavirus. #WaspadaCoronaVirus</t>
  </si>
  <si>
    <t>Tolak pemulangan WNI eks ISIS !</t>
  </si>
  <si>
    <t>Itu kenapa kehadiran ISIS di tolak di negara ini. RT @AnakLolina: Mabok agama memang tidak kenal tempat &amp; waktu, kafir yg punya nurani terima kalian saat kondisi terdesak, kenapa skrg malah ngatur ya? if there is no firmness then Britain will be destroyed.</t>
  </si>
  <si>
    <t>KPAI dibawah @SHikmawatty : 1. Audisi badminton (((dieksploitasi))) 2. Perempuan berenang dengan pria bisa jadi hamil. 3. Mendukung kepulangan anak2 WNI ISIS. 4. ....</t>
  </si>
  <si>
    <t>ada2 aja logika buzzer yg ngebandingin tindakan anies masang aspal temporer di cobblestone monas itu sama aja kyk isis ngeledakin situs2 bersejarah</t>
  </si>
  <si>
    <t>@ISIS_Balik_NO @VIVAcoid Pan Bro</t>
  </si>
  <si>
    <t>RT @worknco: 12 tempat menarik di Melaka: •Pirate Adventure •The Shore Sky Tower •Toy Museum •Taman Rama-Rama &amp; Reptilia •Muzium Kapal Selam •Taman Mini Malaysia •Freeport A’Famosa Outlet •Melaka River Cruise •Skytrex Adventure •Melaka Wonderland •Jonker Walk •Masjid Selat</t>
  </si>
  <si>
    <t>Menolak Kepulangan Anak ISIS Eks WNI</t>
  </si>
  <si>
    <t>atunya seragam ISIS stressss</t>
  </si>
  <si>
    <t>Presiden Jokowi Sebut Segera Lakukan Evakuasi Terhadap 74 WNI Kru Kapal Diamond Princess</t>
  </si>
  <si>
    <t>@KPAI_official Tiba2 anak2 ISIS jadi Bom bunuh diri di Gereja. @KPAI_official baru nyesali.kegoblokannya. Atau gag peduli.karena gereja yg di bom dan bukan mesjid</t>
  </si>
  <si>
    <t>@VIVAcoid Pasti si ibu kpai partisan pekaes</t>
  </si>
  <si>
    <t>KBRI minta WNI tetap tenang pasca Lebanon mengkonfirmasi kasus pertama virus corona.</t>
  </si>
  <si>
    <t>RT @IvanaWirsa: Apakah kita hrs seagama baru bisa dibilang sesama? Apakah hrs seiman baru bisa dibilang teman? Apakah hrs sedarah baru bisa dibilang saudara? Apakah hrs sesuku baru bisa duduk sebangku? Bila itu arti bersatu, Untuk apa Tuhan ciptakan perbedaan hai saudaraku? Selamat pagi 🌄</t>
  </si>
  <si>
    <t>@MNithiya @jedi_zaidi @maszlee Saya tak bercakap pasal ideologi skrg ni. Orang ada kebebasan untuk menyanggah atau tidak. Tapi pada hematnya. Dan ikut suka awak lah nak rasa tak atau tidak tentang bab keromantisan. Dan kenapa awak pilih kasih untuk yg kena tuduhan LTTE. Ada rakyat Msia kena sebab tuduhan ISIS</t>
  </si>
  <si>
    <t>@detikcom Dapat dibina jadi komunis. ISIS jadi komunis.</t>
  </si>
  <si>
    <t>Jemput WNI Karantina Virus Corona di Jepang, KRI Dr Soeharso Disiagakan #merahputih #corona #wni</t>
  </si>
  <si>
    <t>Analisis: pemerintah perlu memulangkan keluarga eks ISIS via @ConversationIDN</t>
  </si>
  <si>
    <t>RT @samhudibae: 13). Maklumat tersebut ditandatangani langsung oleh Ketua Umum DPP FPI Al-Habib Muhsin Ahmad Alattas dan Sekretaris Umum KH. Ja’far Shiddiq, serta Imam Besar FPI Al-Habib Muhammad Rizieq Shihab. #UmatCerdasKadrunAmblas</t>
  </si>
  <si>
    <t>RT @Jengkreng12: 26 April 2017 Siti Noor Aishah 30 dijtuhi hkumn penjara 5tahun slps didpti bslah memiliki 12 buah buku berkaitan kump penggns (isis) 21 Feb. 2020 Peguam Negara gugur dkwaan trhdp 12 org yg sblom ini didakwa mmpunyai &amp; mnympn doc² berkaitan sbuah prtubuhn pnggns (LTTE) Ko rasa!?</t>
  </si>
  <si>
    <t>RT @samhudibae: 02). ISIS tersebut, baik yang positif maupun yang negatif, guna mengambil kesimpulan yang objektif, jujur, dan adil. Dan kesimpulannya cukup tegas: mendukung gerakan ISIS dan penegakan khilafah islamiyah di Indonesia. #UmatCerdasKadrunAmblas</t>
  </si>
  <si>
    <t>RT @samhudibae: 02). Hal tersebut dilakukan menyusul polemik tentang ISIS yang telah mendeklarasikan khilafah islamiyah yang kini berujung pada pro-kontra. Dalam “Maklumat FPI tentang ISIS”, DPP FPI berusaha menelaah data-data tentang #UmatCerdasKadrunAmblas</t>
  </si>
  <si>
    <t>Ribuan Pejuang Asing ISIS di Suriah, Termasuk WNI, Akan Diadili Maret 2020</t>
  </si>
  <si>
    <t>Daripada krmbali ke Imdonesia, lbh baik segera kembali ke hadapan Allah SWT. Bukankah itu kemuliaan yg didambakan ex ISIS? 😁 RT @arif_penjor: Kek gini mau balik ke Indonesia?? NOOOOOO!!!!! Skrg main drama deh biar bisa balik,pake air mata biar bersimpati sm penderitaannya. Lah wong kalian aja ga bersimpati sesama manusia kok,maunya kita bersimpati sama dikau!!!Hell Nooooo!!!</t>
  </si>
  <si>
    <t>@maszlee Saya sokong. Jika LTTE di benarkan untuk dalam negara, seharusnya ISIS juga dibenarkan. Kedua2 kumpulan memperjuangkan nasib masyarakat tertentu di negara sendiri dan orang. Kedua-dua pasukan membunuh dengan kejam dan ramai pada manusia tidak bersalah(Orang awam) .</t>
  </si>
  <si>
    <t>@jedi_zaidi @maszlee Saya tak dapat cari kenyataan AG persoalkan hak KDN. Saya hanya baca dia kata kes pdrm lemah. Maybe I missed it? Saudara boleh share? Saya setuju kena tolak fahaman ektremis - Al Qaeda, ltte, Taliban, isis - semuanya.</t>
  </si>
  <si>
    <t>RT @maulanafalqon: @Naizarusama Pantesan tolak angin dikasihkan ke wni yg berhasil dievakuasi</t>
  </si>
  <si>
    <t>RT @Dennysiregar7: Pak Menteri @Kemenag_RI.. Tolong buktikan dulu bahwa intoleransi di negeri ini sudah jauh berkurang, pembangunan rumah ibadah bukan jadi masalah dan tidak ada lagi orang yg sibuk kopar kapir sembarangan.. Baru bawa 600 anggota ISIS itu pulang...</t>
  </si>
  <si>
    <t>RT @P3nj3l4j4h_id: Korban pemerkosaan anggota isis sejak umur 14thn, dan yang memperkosa hanya bisa tertunduk diam. Begini lagak exs isis yng mau pulang, semua nunjukan wajah memelas tapi apakah itu bisa mmbuat mrka nebus perbuatannya? Jawabanny Tidak! Jangan pulangkan sampah! #NegeriIntoleran</t>
  </si>
  <si>
    <t>@kowalskuyy Isis bkn islam fliss.. cuma covernya doang mirip</t>
  </si>
  <si>
    <t>@PnandoA @Toperendusara1 @eko_kuntadhi Jgn tidur dulu, sbg WNI coba kenali siapa diri anda, bgmn negeri anda, bgmn org asing menghargai &amp; kagum dg negeri ini, juga hal2 positif lainnya. Unless mmg anda tidak mjd bagian dr bangsa ini ?</t>
  </si>
  <si>
    <t>Dua Opsi Skenario Pemulangan WNI Kru Kapal #Diamond #Princess di #Jepang</t>
  </si>
  <si>
    <t>Kau, Aku, dan Sekilas Janji Palsu ISIS</t>
  </si>
  <si>
    <t>@Isis_Vcouto RP na sua cara</t>
  </si>
  <si>
    <t>@mboy72 @LisaAmartatara3 Sdh jelas HRS adalah WNI skrg sdg meminta suaka di kerajaan Arab Saudi dan jls keberadaanya ini org yg mengusulkan kurang kerjaan ini sy usulkan agar mereka bekerja menggunakan arah tujuan dg mengusulkan ke Presiden RI agar koruptor di cabut kewarganegaraannya baru itu kerja.</t>
  </si>
  <si>
    <t>RT @naf_zam: Hebat tomy Thomas byk kes yg dia handle menang LGE terowong mng Sapie bedal rasuah mng Bunuh amah mng Kes Ltte yg terang2 mengaku sokong mng.yg klh perempuan Melayu yg ada buku ISIS.polis baik buat Road blok jer la dr buang masa tangkap penjahat msk Court lwn tomy confirm klh.</t>
  </si>
  <si>
    <t>@muhyidinkay @lord_sbt @SalmaBrecht @jokowi Al qaeda saja awalnya mendukung isis ttp berubah memeranginya namanya juga tipuan israel .. tipuan kanjeng dimas dll saja banyak yg jadi korban apalagi korban PHP si jae &amp; puluhan juta rakyat yg nyesel kena tipuan si jae</t>
  </si>
  <si>
    <t>Pagi ini 22 February 2020, sudah 433 orang yg positive terinfeksi &amp; lebih dari 5000 org masih menunggu hasil pemeriksaan. Kami WNI yg tinggal di Korea masih menunggu info dari #kbriseoul ttg lgkh selanjutnya. #covid19korea #wnidikorea #indonesianinkorea #coronaviruskorea</t>
  </si>
  <si>
    <t>Tolak Pemulangan WNI Eks ISIS, Pemerintah utamakan keselamatan Rakyat #lawanterorisme #tolakisis #indonesiadamai</t>
  </si>
  <si>
    <t>@KhalidSamad Kau sembang apa ni, lid.. Bila bnda mcm ni tjadi kau sbgai wakil dlm negara skang ni nmpak bodoh.. Kau nk puak pengganas Isis daesh ltte komunis dan sbgainya bebas dlm negara kita ke? Dh berpuluh tahun kerajaan malaysia bnteras bnda.. Tiba2 dpt dkt ph.. Mcm ni plak.. Adoiii</t>
  </si>
  <si>
    <t>@budisangbasiyo liat bendera yg dibawa..itu video org shia peringatan "ashura day" di london,bukan soal minta syariah,lagian mereka anti isis,check ricek dulu sebelum bacot</t>
  </si>
  <si>
    <t>@alifta_20 @Mellypurwanti_ @MerryFitria10 Is?isis?makanya kalo ngetik gosah disingkat ntar beda makna bisa bahaya</t>
  </si>
  <si>
    <t>@Bocah__koplak @KPAI_official Jangan mikir bang.. Dibyangin aja .. Over and over again in your head..😂😂 Hdeh.. Temanya dari Anak Eks WNI ISIS ke kolam.. Sebuah pencapaian kah buat mereka ?? Shit..bbrp lembaga negara di tangan yg salah😑😑</t>
  </si>
  <si>
    <t>Kita umat yg Cerdas menolak politisasi Agama. Kita WNI hrs menjaga Kebhinakaan Indonesia. Toleransi thd Keyakinan Sesama manusia. #UmatCerdas212Amblas</t>
  </si>
  <si>
    <t>@ahmaddmunzirr @jedi_zaidi @maszlee Kalau saya keliru pasal ideologi isis, tolonglah perkenalkan sumber yang betul. Saya tak romantiskan ltte - saya tak sokong mereka langsung. Tapi kita kena hati2 bila nak penjarakan rkyt Malaysia utk keganasan. Bukti and hujah harus cukup.</t>
  </si>
  <si>
    <t>@ISIS_Balik_NO @MurtadhaOne1 @Chan_Gumilar Sssttttt..... Jgn dipanggil lah, nanti ketularan tolol 🤘😆🤘</t>
  </si>
  <si>
    <t>@MNithiya @jedi_zaidi @maszlee Itu Yang awak baca sebab awak romantiskan LTTE. Same dengan ISIS , kenapa awak Tak ambil jalan tengah untuk mengetahui perjuangan ISIS.</t>
  </si>
  <si>
    <t>@jawafess nggonku dipasangi bendera ISIS</t>
  </si>
  <si>
    <t>@malaymail Indian bangsa sendiri bunuh orang jd terrorist backup. isis kena tangkap kat malaysia takde pun nampak org melayu backup. Tamilan terrorist Modi mentality</t>
  </si>
  <si>
    <t>@KPAI_official Hai @KPAI_official anak isis kau perhatikan anak2 dinegri ini kau abaikan Waras?</t>
  </si>
  <si>
    <t>RT @Amir_Masdi: Cause tonight, Im TALKING TO THE MOON 🌙 Ye la. Takde siapa nak ckp dgn aku :(</t>
  </si>
  <si>
    <t>Mam tu isis</t>
  </si>
  <si>
    <t>Yg di Batam belum ada yg positif terkena virus Corona Mas, sy stay di Batam, kemarin sempat di karantina ternyata hasilnya negatif, kalo WNI di Singapura sudah ada yg terkena tp skrng sudah dinyatakan sembuh total, singapura sudah 86 org yg positif kena C</t>
  </si>
  <si>
    <t>@jedi_zaidi @maszlee Gambar dgn bendera memang tak cukup bukti. Walau bendera isis pun, penyiasatan harus cari bukti yang lebih kuat utk masuk penjara.</t>
  </si>
  <si>
    <t>@Vaishali_216 ISIS aur radical islamic terrorism Ko khatam karne ki Khushi me president Trump karenge road show India me.</t>
  </si>
  <si>
    <t>@jedi_zaidi @maszlee Saya tak sokong cara perjuangan ltte, tapi tak tepat samakan ltte dgn isis. Isis ingin runtuhkan peradaban dunia. Ltte memperjuangkan hak satu komuniti dalam satu negara. Ltte juga pernah terbabit dalam rundingan perdamaian PBBS di Sri Lanka; isis tak mungkin sebegini.</t>
  </si>
  <si>
    <t>@iaca19 Kuharp WNI smuax sht sllu tnpa adx coronavirus @Aamiin 👏👏👏</t>
  </si>
  <si>
    <t>@detikcom Sekalian ga lu aja yg mundur jadi WNI waann</t>
  </si>
  <si>
    <t>@txtbocahindie aku mau nyelametin korban sandera tentara isis aj</t>
  </si>
  <si>
    <t>RT @BruceEmond: @rachmanfahadi @edwin_basuki Please report within 24 hours of arrival; You are required to submit your credentials/identification within 24 hours Ketika Orba, WNA wajib lapor kalau nginap di rumah WNI. Hadapi RT secepatnya ... takut ada antek2 pihak asing masuk rumahan. tau tau orangnya asin aja</t>
  </si>
  <si>
    <t>Virus Corona Mutasi Baru, WNI Terpapar Bakal Jalani Masa Inkubasi Lebih Lama #wni #merahputih #corona</t>
  </si>
  <si>
    <t>@MNithiya @maszlee Sokong sampai ambil gmbar dengan bendera LTTE? Kalau ada rakyat malaysia yg sokong ISIS, ambil gmbr dgn bendera ISIS dikira ancaman ke tak?</t>
  </si>
  <si>
    <t>Pemerintah Siapkan Opsi Evakuasi WNI dari Jepang</t>
  </si>
  <si>
    <t>RT @elHurryKoRn: "PILIH ISIS ATAU NKRI?" KH. Miftahul Ahyar : Memang sebetulnya orang yg sudah kena virus ISIS sulit dia bisa kembali.... Karna disitu tidak main2 Doktrinnya... Cc. @jokowi @Kemenag_RI @Puspen_TNI By.  #TolakPulangkanKombatanISIS #NetizenProNKRI</t>
  </si>
  <si>
    <t>@maderodog wqwq, iyee bang. tapi kan kalo isis emang diset buat jadi fanatis, makanya eug nanya sama yang bersangkutan tadi gimana rasanya 🤣</t>
  </si>
  <si>
    <t>@esshankar1 @maszlee LTTE sudah mati then kenapa sibuk nk sokong? KDN kata ideologi LTTE adalah bahaya dan ideologi tersebut lah yg melahirkan LTTE. Al Qaeda, ISIS, ideologi yang sama. Maka betul lah pendekatan KDN isytihar sebagai pengganas. Kenapa nk sokong pengganas?</t>
  </si>
  <si>
    <t>RT @BaskoroKata: #BudayaNusantara akan hilang jika kita tidak memerangi #ISIS &amp; #OrmasRadikal lainnya!  @Suyat36329324 @khanasluhu @Natharin__ @BahasaHati6 @Luana_LD @SiagaGaruda @Tabitha_3012 @MTuhasan @kadrun77853825</t>
  </si>
  <si>
    <t>@parasmalaikat Bukan, aku tidak memiliki darah Indonesia. Tapi, aku sudah menjadi WNI.</t>
  </si>
  <si>
    <t>@TofaTofa_id @Hary_Tanoe Jauh bedanya satu dari awal sdh wni satu baru daftar</t>
  </si>
  <si>
    <t>@sambeltomatijo @bdgfess lempar batu kabur ke suriah gabung ISIS ajg</t>
  </si>
  <si>
    <t>@baeksrapture Woahh? You can really speak bahasa?? That's very cool! 😮😮 Aku sebagai seorang wni terkejut</t>
  </si>
  <si>
    <t>@adhi_beka @schumss @ustadtengkuzul Itu kan versi situ.tuduh musuh biar org ikut benci..akhirnya image jelek yg anda inginkan tercapai..jk tercapai nt bs galang kekuatan..logikanye..ajaran islam sdh jls amar ma'ruf nahi munkar...jd gmn mungkin isis dan teroris bagian islam.g bs anda generalisir suatu mslh..donk.🤔</t>
  </si>
  <si>
    <t>@hemaviton99 @KristalNeo kembalikan pada Tuhan, azablah mantan ISIS ini, biar dunia menjadi tenteram</t>
  </si>
  <si>
    <t>dalam level fanatik yang serupa, kita samasama pernah melihat bagaimana "Bigotry" semacam itu mampu merangsek otak sedemikian banyak orang buat gabung ke ISIS/Daesh; lalu kenapa teralu heran jika hal serupa hanya bergeser dari konteks 'Agama' ke ranah 'Budaya' (skena musik)? 😏 RT @rappinflat: buset, apa rasanya punya penggemar kayak gini ya?</t>
  </si>
  <si>
    <t>Hong Kong Diserang #Corona , WNI Malah Pancing Emosi #dengan Curi 5500 #Masker , Alasannya: Demi #Ayah</t>
  </si>
  <si>
    <t>@mujeshjay @maszlee @The_Mamu Bodoh.. Kalau mcm tu penyokong isis pun boleh cakap sokong isis atas dasar kemanusian.. Terrorist tetap terrorist la thamby..</t>
  </si>
  <si>
    <t>@maszlee Ok now I understand. Peruntukan jenayah tu tak adil, jadi AG teliti semula kes tu,dan semak semula jugak tahanan2 sosma untuk ISIS or DAESH. Sebab kalau ikut akta ni, asal seseorang simpan gambar pengganas atau bendera,sudah cukup untuk ditangkap under SOSMA</t>
  </si>
  <si>
    <t>@medisal24jam Gile bner nih...sadis...klo melihat video ini, pantaskah pemerintah RI klo mau memulangkan anak2 Ex WNI ISIS k tanah air walau dgn alasan kemanusiaan sekalipun???</t>
  </si>
  <si>
    <t>Istana Tegaskan Evakuasi WNI di Kapal Diamond Princess Segera Dilakukan | Nasional -</t>
  </si>
  <si>
    <t>@ShanePondang @ustadtengkuzul @jokowi @hnurwahid @KSPgoid @fadlizon @mohmahfudmd @Fahrihamzah ISIS buatan Amerika dan Israel ...</t>
  </si>
  <si>
    <t>@diana_tyaz Pngen lindungin anak2 isis, menghapus beasiswa djarum, dan sekarang ngurusin sperma 🤣🤣</t>
  </si>
  <si>
    <t>@Rakha_boumi @motherofstar1 @KPAI_official Waktu issue kepulangan anak2 isis mereka bersuara gak Mas?</t>
  </si>
  <si>
    <t>RT @elHurryKoRn: ISIS Lebih Biadab dari Teoris JI ! 1. Ali imron (JI) : Kami Ahlussunah waj jamaah tak mudah mengkafirkan umat Islam @zoelfick @YRadianto @narkosun @WahabisLokal @TolakBigotRI @WagimanDeep @wahhabicc_jabar @AnakKolong___ @semiaji_w #AwasHTImasihEksis #tolakwnieksisis</t>
  </si>
  <si>
    <t>@nakbaaiik Dari isis ya om?</t>
  </si>
  <si>
    <t>RT @AnakKolong___: SILAHKAN beragama SILAHKAN tidak beragama SILAHKAN meyakini Tuhan SILAHKAN tidak meyakiniNYA . . . Yang penting ; JANGAN ada PKS, propagandis khilafah, kelompok Intoleran, ormas radikal, TENGKU ZULKARNAIN &amp; EKS WNI PRO ISIS diantara KITA. . . .</t>
  </si>
  <si>
    <t>Embuh embuh, haduuhh opo o see iki wong wong ing ngarso . KPAI ini mesti sekalinya nunjukin kalau mereka "kerja" mesti dihujat e, kyok barusan kemaren mau menjemput ex WNI ISIS anak anak, laakok iki polah maneh RT @dondihananto: Menurut ibu ini: 1. Semua laki di kolam renang ngaceng 2. Secara tiba2 mereka mengeluarkan sperma 3. Beberapa sperma itu sangat kuat bisa berenang dan masuk ke vagina perempuan yg berenang 4. Kl ada yg lagi subur, wanita itu lalu hamil RIP Biological Sciences</t>
  </si>
  <si>
    <t>@APLpangeran1 @Brunowicaksono Inilah kelakuan anak2 ISIS.... @Kemenag_RI @Kemdikbud_RI @BIN_Official @PolhukamRI Akankah kita bawa pulang? Anak2 sekolah kita saja yg dididik anti NKRI, tidak diawasi.... @kemenkopmk @Kiyai_MarufAmin</t>
  </si>
  <si>
    <t>@rezfatti @jacktherock5 @MandroSihombing @jansen_jsp Ngemis? ini justru kritikan ke @jokowi agar fokus ngurusin rakyat yg ada di Indonesia drpd mulangin eks combatan ISIS. Cuk, bego lo poll banget deh, mosok ngertiin postingan gw aja ga bisa? 😂</t>
  </si>
  <si>
    <t>RT @MZubir_ID: Safiyya Amira Shaikh, teroris ISIS eks Suriah asal Inggris mau ngebom Katedral St Paul's di London. Masih percaya dengan teroris ISIS eks WNI? Jangan pernah! @jokowi @mohmahfudmd @BNPTRI @KomnasHAM @KPAI_official @Kemenag_RI</t>
  </si>
  <si>
    <t>Safiyya Amira Shaikh, teroris ISIS eks Suriah asal Inggris mau ngebom Katedral St Paul's di London. Masih percaya dengan teroris ISIS eks WNI? Jangan pernah! @jokowi @mohmahfudmd @BNPTRI @KomnasHAM @KPAI_official @Kemenag_RI</t>
  </si>
  <si>
    <t>Beza LTTE dengan ISIS atau Al-Qaeda atau Nazi ni ialah tuhan yang dorang sembah. Semua sama je, extremist. Jadi kalau TT kata simpan gambar pemimpin extremist tu macam simpan gambar pop star, jadi lepas ni takpe la kalau simpan gambar Hitler, atau simpan buku ISIS.</t>
  </si>
  <si>
    <t>Kpai bikin ulah lagi Bukannya didik orang biar pinter, malah makin bodoh. Dulu beasiswa djarum, lalu ank2 isis, skrg hamil bisa katena BERENANG. Bubarin aja ini lembaga. Gak guna!! RT @Sarah_Pndj: Lestarikan aja terooosss pembodohan itu..</t>
  </si>
  <si>
    <t>@mbahCokro77 Ya. Itu dia. Yg ingin menempat kan basis ISIS/TERORIS.di NKRI.</t>
  </si>
  <si>
    <t>@nama_sdh_dpakai @_ChusnulCh_ @permadiaktivis @HmfaqihA @kangdede78 @Dennysiregar7 sama saja seperti isis, membodohi rakyat agar tidak percaya pada pemerintah yg sah, lalu memberontak dan menciptakan chaos, kemudian membuat isu"solusinya Khilafah"</t>
  </si>
  <si>
    <t>@dyahwie Dulu pas aku magang di Kenya, karna situasi Pemilu disana tegang, kita WNI dijemput satu-satu sama KBRI Kenya, dan dievakuasi untuk stay di wisma KBRI. Padahal aku tinggal lumayan jauh dr Nairobi kak. Bravo deh Kemenlu.</t>
  </si>
  <si>
    <t>ISIL (ISIS) ~ Saudi, UAE</t>
  </si>
  <si>
    <t>@KPAI_official Pekok mendunia ya gini ini. Dan kalian membahayakan anak² warga negara yang setia pada NKRI, pembayar pajak buat negeri ini. Apa yang sudah kalian thd anak² korban bom ISIS di Surabaya ? Sungguh otak sesat kalian ini lebih asu daripada asu.</t>
  </si>
  <si>
    <t>Pemerintah Terus Pantau Perawatan Empat WNI Positif Terinfeksi Corona di Kapal Pesiar Diamond Princess. #DiamondPrincess #jepang #kapalpesiar #kapalpesiarDiamondPrincess #PelabuhanYokohama #perairanYokohama #VirusCorona #WargaNegaraIndonesia.</t>
  </si>
  <si>
    <t>RT @haikal_hassan: ISIS emang kurang ajar.kutuk. Membunuh atasnama agama. Gak kalah biadabnya adl: 130 kep.daerah 27 kep.lembaga/ kementrian 9 ket.partai/ sekjen 65 kader partai itu 58 cukong "babi" 255 perkara korupsi jumbo Itu belum termasuk: #Jiwasraya #Asabri #HarunMasiku #BUMNgate #KPU</t>
  </si>
  <si>
    <t>Istana: Setelah Wuhan Pemerintah Segera Evakuasi WNI di Kapal Diamond Princess  #Jubir #BungJubir @JubirPresidenRI @jokowi @Kiyai_MarufAmin #EvakuasiWNIYokohama #EvakuasiWNIWuhan</t>
  </si>
  <si>
    <t>@hemaviton99 Hahahaha amerika mau di syariahkan sok wae... dasar orang orang ga tau trima kasih ya bgitu daah hasilnya.. trussss psk minta pemerintah mau mulangin ex isis?? Hahahaha ngakak</t>
  </si>
  <si>
    <t>@MatNatsir @willytrisna Kenapa risih? Sarung itu serba guna, dan isis.. 😉</t>
  </si>
  <si>
    <t>RT @StradLinDjoyo: Karya Agung dari langit ².. Yg ngga suka, fix ISIS.</t>
  </si>
  <si>
    <t>Karya Agung dari langit ².. Yg ngga suka, fix ISIS. RT @Cangkemaaannn: Music indie idola remaja forever luh.. lagu tu gini bukan gitu ea.. fufufu</t>
  </si>
  <si>
    <t>@todaekun @LusiHQ Ya begitulah... Ini mah Syiah banget keliatan udah bawa² nama Imam Hussain (cucu nabi yg jd martir). Musuh bebuyutannya Wahabbi, ISIS dan sejenisnya. RT @MustafaNajafi: Thousands of Muslims marched through central London yesterday to mark the day of Ashura - the commemoration of Imam Hussain's martyrdom.</t>
  </si>
  <si>
    <t>RT @fadjroeL: Terimakasih @RRIPrograma3 @RRI dan TERIMAKASIH kepada SELURUH RAKYAT INDONESIA yang membantu Evakuasi Kemanusiaan dari Hubei -Natuna dan Gotong Royong Kemanusiaan menerima dgn tulus ikhlas 238 WNI ke daerah masing2 berkumpul bersama keluarga ~ #Jubir #BungJubir @JubirPresidenRI</t>
  </si>
  <si>
    <t>RT @syawiers: Sedar tak sedar ramai yang tak suka berkawan dengan kita. Maka kecilkan circle, carilah kawan yang betul betul nak berkawan dengan kita. Dan bukan hanya untuk menggunakan kita ketika susah</t>
  </si>
  <si>
    <t>74 warga negara Indonesia (WNI) di Kapal Diamond Princess di Jepang, akan segera dievakuasi menggunakan KRI Soeharso-990.⁣ ⁣ Diketahui, KRI Soeharso-990 merupakan satu-satunya Kapal Perang Bantu Rumah Sakit yang dimiliki Indonesia. ⁣ ⁣ "</t>
  </si>
  <si>
    <t>RT @Yusranzulk: @Sir_Azri Jarang sgt mencarut. Ni mmg babi sial. Sokong isis kena penjara. Sokong ltte siap supply duit, takpe. Celaka lah double standard ini mcm.</t>
  </si>
  <si>
    <t>@KatolikG barusan nonton film SOEUR'S D'ARMES. film ttg tentara perempuan memerangi isis. disalah satu adegan anggota isis keliling kampung naik motor sambil teriak2 tdk boleh makan tomat krn ada salibnya. 🤕🤕</t>
  </si>
  <si>
    <t>@mboy72 @alfa1174 Ga da alasan cabut kewarganegaraan seseorang selagi dia masih WNI.</t>
  </si>
  <si>
    <t>RT @danishue: "awak kan aliran agama" ye aliran agama student jugak bukan malaikat</t>
  </si>
  <si>
    <t>@MaryanaNunung @MukhtarLuthfi12 @evisuryanti10 @RizkiR4madani @Rezhi99 @edward_7011971 @73hermantjoe @MOMDian2 @ArifinNKRI_84 @Jokoumb64504158 @Aprilaza3 @babegalak1 @periani @AtikahZahidah_  Alhamdulillah ya Allah semoga semuanya dapet hukum mati amiin #tolakanakisiskembali #tolakpulangkankombatanisis Semoga dihabisi semua jangan ada yg menyisa satupun amin</t>
  </si>
  <si>
    <t>Benci dengan WNI keturunan China, tp memuja orang Indonesia yang ke Arab²an RT @detikcom: "Pak Ahok kita minta dalam waktu satu bulan dari sekarang supaya mundur. Pertamina adalah perusahaan milik negara, milik rakyat, kami tidak rela Ahok menjadi komisaris utama milik rakyat," tuturnya. #Ahok #Aksi212 via @detikfinance</t>
  </si>
  <si>
    <t>@KPAI_official Eks WNI</t>
  </si>
  <si>
    <t>@hemaviton99 Sangat tepat keputusan pemerintah,utk tdk memulangkan exs WNI yg di ISIS</t>
  </si>
  <si>
    <t>@vonbronbiru Nah.....makin banyak WNI naturalisasi</t>
  </si>
  <si>
    <t>Tolak Kepulangan ISIS</t>
  </si>
  <si>
    <t>@todaekun @LusiHQ Emang betul yg pengen sharia bnyk disana, tapi itu videonya beda topik. Itu yg di video kaum syiah pas lagi perayaan hari asyura (hari raya syiah) sambil demo menentang ISIS. Ya masih sodara seiman tp beda genre/aliran dan saling bermusuhan. 😀 RT @ClaudCamp: @Dipmishrad @Mr_Belutsch Yep, totally agree 🤦‍♀️</t>
  </si>
  <si>
    <t>Istana Tegaskan Evakuasi WNI di Kapal Diamond Princess Segera Dilakukan  #Jubir #BungJubir @JubirPresidenRI #EvakuasiWNIYokohama</t>
  </si>
  <si>
    <t>RT @abdularey: @DiantyYasmin3 Itu lah di antara nya orang2 di balik TERORIS/ISIS. Yg selalu merongrong NKRI. tangkap.pasti ada jawapan di situ.</t>
  </si>
  <si>
    <t>dari modelnya kelihatan kayak perempuan-perempuan simpatisan HTI. mereka kalau diberangkatkan ke Suriah bakal direkrut brigade al khansaa nya ISIS #UmatCerdas212Amblas</t>
  </si>
  <si>
    <t>RT @dita_moechtar: Sampe kalah klean nanti malam, kuseret klean semua jadi WNI @ChelseaFC. Mual-mual klean baca RUU salah ketik lah, ngatur BDSM lah, pisah2 kamar lah. Camkan itu!</t>
  </si>
  <si>
    <t>Jubir: @jokowi Perintahkan Kemenlu Terus Pantau WNI di Yokohama Jepang  #Jubir #BungJubir @JubirPresidenRI #EvakuasiWNIYokohama</t>
  </si>
  <si>
    <t>RT @crcsugm: Dalam kasus kembalinya eks-ISIS, ketegangan terjadi antara perlindungan keamanan nasional dan pemenuhan HAM. Tak jarang kedua hal ini sulit dijembatani. Tapi, benarkah tidak ada cara untuk mengakomodasi keduanya secara beriringan?</t>
  </si>
  <si>
    <t>Wooooiii... @KPAI_official Bukannya ngurusin #smpn1turi Malah ngebahas hal yg ga nalar.. Giliran anak ISIS kenceng amat...  RT @tribunnews: KPAI: Kehamilan Dapat Terjadi pada Perempuan yang Sedang Berenang di Kolam Renang, Ini Penjelasannya  via @tribunmedan</t>
  </si>
  <si>
    <t>@KhalidSamad YB mungkin nak kena semak kot, berapa ramai orang Islam dibunuh LTTE, kalau rasa masih kisahkan la sebagai org Islam. Yg mengidolakan LTTE ni, sama tahap macam penyokong ISIS.</t>
  </si>
  <si>
    <t>Apa ke gila ada buku ISIS kena soal siasat berjam2. Yang tak nasib baik terus kedalam dah bertahun kot macam Siti Aishah. Yang kita bawak balik tu yang patut kena tahan SOSMA. Apa bahaya orang yang cuma baca buku dengan ada bendera. Diorang cuma terpengaruh je bukan pengganas</t>
  </si>
  <si>
    <t>Pemerintah Republik Indonesia akan segera evakuasi WNI yang berada di kapal Diamond Princess. Hingga saat ini WNI yang berada di jepang masih dalam pengawasan penuh pihak pemerintah jepang. Hal ini juga dilakukan kepada 4 WNI yang positif terkena virus corona.</t>
  </si>
  <si>
    <t>Tv corong mafia, corong kaum kadrun intoleran radikalis anarkis hti khilafah hingga isis. Fuck u tv setan iblis. RT @QalbuBahasa: Pak @MarwanBatubara Skrg Pertamina lebih Transparan,dan melanglang Dunia dgn G30 nya, bahkan org yg ktanya "kotor" menjadi pembicara di tingkat Internasional 👉Fakta 👍😀 Menurut anda Bencana itu tepat 👍 Bencana bagi para MAFIA MIGAS 💪😂 @spiderr__matrix @Black_lleviant</t>
  </si>
  <si>
    <t>SOSMA ni pada aku tak patut ada. Aku taktau kenapa ramai yang marah. Pada aku ni peluang jugak untuk Peguam Negara semak balik kes berkaitan ISIS. Berapa banyak yang kena tahan tanpa dapat peluang bela diri? Yang pergi Syria Iraq tu baru betul pengganas</t>
  </si>
  <si>
    <t>@Goez_Yoga RUU yg dibuat2 .. Biar kliatan aja kerja .. Inilah wni blm bs berpolitik . Hasilnya duduk anggota dpr macem pengusul RUU ini</t>
  </si>
  <si>
    <t>Org yg marah pasal aisyah isis ni tau kan kenapa dia dibicarakan? 🤔🤔🤔</t>
  </si>
  <si>
    <t>@DiantyYasmin3 Itu lah di antara nya orang2 di balik TERORIS/ISIS. Yg selalu merongrong NKRI. tangkap.pasti ada jawapan di situ.</t>
  </si>
  <si>
    <t>@okkywi Au yo ragu jane om wis ben podo dengan anal isis yg begitu tidak dalam dalam bgt</t>
  </si>
  <si>
    <t>@samhudibae Itu tahun kapan? Coba lebih bijak lagi kalau mau sharing sesuatu</t>
  </si>
  <si>
    <t>#MyArticle Tulisan bersama teman2... Selengkapnya yuk @liputan6dotcom @KemenkesRI #DiamondPrincess #diamondprincesscruise #KapalDiamondPrincess #VirusCorona #COVID19</t>
  </si>
  <si>
    <t>@hemaviton99 Ini yg terjadi jika yg dulu gabung dgn ISIS kembali ke Indonesia</t>
  </si>
  <si>
    <t>Upaya perlindungan WNI di LN dalam situasi darurat oleh Pemerintah Indonesia luar biasa, sangat layak diapresiasi. Bahkan jika dibandingkan dg beberapa negara lain yg dikategorikan sbg “negara maju”. Bersyukur. RT @kumparan: Proses evakuasi WNI dari Wuhan menjadi kisah yang panjang. Dengarkan cerita dari WNI yang berhasil di evakuasi dalam podcast berikut.</t>
  </si>
  <si>
    <t>@KPAI_official Urus dulu tuh anak2 jalanan di perempatan!!! Anak isis ex wni biarin aja ttp disono.. Kalo gak ya,,pecat aja 1 generasi orang2 KPAI..</t>
  </si>
  <si>
    <t>RT @RelawanNusanta1: @hemaviton99 Miara keturunan dajjal yah kaya gini, ntar kalo sudah bersariah trus apa? ISIS? Perang lagi dirikan Negara Islam Iraw Syiria? Dasar manusia ngarab</t>
  </si>
  <si>
    <t>RT @Datuakpanduko2: WNI terinfeksi corona 3 di japan 1 di singapore Ternyata makan plastik tetap bisa corona</t>
  </si>
  <si>
    <t>@aidilmubarock @helmi75 @zarazettirazr Ya sama aja bagi gw mau OPM mau ex ISIS hrs dicabut kewarganegaraannya tp ex ISIS dicabut OPM gak kan brengsek ini internet bro bny kafir ngaku muslim kkkkkkkk</t>
  </si>
  <si>
    <t>@sulaimanselamat @mohdkautharr ini buktinya..kita nilai sendiri..jika ada orang melayu islam buat macamni kata pertahan islam dgn sokong isis mcmner? RT @RimauXI: Tak perlu susah-payah tulis thread. Tengok video ini &amp; jangan ingat rakyat bodoh nak samakan dengan gambar auto download dalam Whatsapp. Ini apa, auto cabar @PDRMsia?</t>
  </si>
  <si>
    <t>Kira kira gini kalo eks-WNI anggita ISIS dibawa ke Indonesia: RT @Mr_Belutsch: They escaped from Sharia from their own countries and Now living in England they want Sharia.</t>
  </si>
  <si>
    <t>@maninblue4 @bernamadotcom Ada dua soalan kerana ada dua tanda soal.. Pertama saya x simpan gmbar isis dan soalan kedua saya bkn penyokong isis.. Lg satu jngan jd pembaris..</t>
  </si>
  <si>
    <t>Jebolan ISIS ya kayak gini, perempuan cuma di anggap budak sex. RT @WR_4AG226: KALO HASRAT SUDAH MAU YAMESTI.... ISTRI TIDUR AJA GA SAKIT KOK...😋😂😜🤭</t>
  </si>
  <si>
    <t>RT @__aiek_esthreem: #3PeriodeNdasmu Gue tega2in posting utk sekedar tahu kejamnya Pembantaian rakyat korban peperangan di Syiria oleh ISIS bentukan Amerika Serikat. Kejadian ini sebelum ISIS di kalahkan pasukan Kurdi. Allah SWT pasti menurunkan azab utk kaum yg dzalim Jgn lihat klo jantung lemah</t>
  </si>
  <si>
    <t>Kalau lilin onion, adakah kita akan nangis? RT @darrenrovell: McDonald’s to sell limited edition six-pack of candles that smell like Quarter Pounder ingredients: Ketchup, Pickle, Cheese, Onion &amp; Beef.</t>
  </si>
  <si>
    <t>@jagmesbon @lord_sbt @SalmaBrecht @jokowi Klo gue ga thu ya gue mngkn dkung ISIS. Krena gue thu mknya gue ga prnh dkung. Bhkan sy menolak dengan tegas.</t>
  </si>
  <si>
    <t>RT @lilobrr: Kawan saya cantik saya nak semua tahu.:)</t>
  </si>
  <si>
    <t>Benda kau tk rasa tk dengar tk nampak boleh la gelak2 takut2 orang. Heh</t>
  </si>
  <si>
    <t>@jagmesbon @lord_sbt @SalmaBrecht @jokowi Kata siapa fpi dan hti ga prnh mndukung ISIS ??. Bnyak jejak digitalnya bro..klo skrang mngkin susah cri buktinya. Tp fkta klo mereka prnh sprti itu.</t>
  </si>
  <si>
    <t>RT @Rudiwaluyo11: ratusan ISIS eks WNI yang ditolak pulang agar tidak menjadi virus baru atau virus yang menyebar di bidang terorisme #StopVirusRadikalisme</t>
  </si>
  <si>
    <t>RT @karinakarinyu: #StopVirusRadikalisme. termasuk dari pengaruh ratusan ISIS eks WNI yang ditolak pulang agar tidak menjadi virus baru atau virus yang menyebar di bidang terorisme</t>
  </si>
  <si>
    <t>@hanahishamm11 Enti 3arfa wni kont nasya asslan😂😂</t>
  </si>
  <si>
    <t>RT @seftirahayuuu: jika diperhatikan secara detail. ratusan WNI tersebut termasuk ke dalam orang yang telah meninggalkan Indonesia #StopVirusRadikalisme</t>
  </si>
  <si>
    <t>@LusiHQ Demo aksi menolak teroris dan anti isis terbesar di London.</t>
  </si>
  <si>
    <t>RT @SwasonoEdi: @jumalikaalajeng @anditoaja @sahaL_AS @budimandjatmiko @teaterutankayu @BilanganFu @inovator4id @penerbitkpg Setiap idiologi ada kegilaannya "pinjam istilah anda". Termasuk juga idiologi agama", (juga Islam). Misalnya kekejaman ISIS tidak bisa digenelarisir sebagai kekejaman Islam. Komunis Kuba, kayaknya baik" sja. Partai" kiri/ komunis/ buruh/sosialis di Eropa sekarang juga baik" saja</t>
  </si>
  <si>
    <t>Ada buku ISIS, dipenjara. Pergi melawat orang yg direct dgn LTTE siap menyokong LTTE kata bukan organisasi pengganas, di lepaskan. Tak rasa bias ke? Adakah AG kita bias? Jika bias, kredibiliti beliau seharusnya dipersoal. RT @syahredzan: Saya baca alasan Peguam Negara dan sambut baik keputusan beliau untuk menghentikan prosiding. Saya juga gesa supaya TS Tommy untuk semak semula pendakwaan-pendakwaan lain yang dibuat di bawah Seksyen 130J(1) dan 130JB(1) Kanun Kesemsaan dengan menggunakan prinsip yang sama.</t>
  </si>
  <si>
    <t>RT @KienAnd_: Timur tengah ini memang gak pernah tenang, setelah saudi vs yaman, saudi vs iran, irak dan suriah vs isis, saudi vs qatar, turki vs mesir, kurdi vs turki, konflik libya, mesir tegang dengan turki, sekarang turki vs suriah yang berperang satu sama lain.</t>
  </si>
  <si>
    <t>RT @SyaHadi_27: @Baladuing1 @felixsiauw Fyi: pelix itu HT, HT itu afiliasi ke jabath nusrah: teroris suriah yang sekaligus juga musuhan sama isis.</t>
  </si>
  <si>
    <t>jika diperhatikan secara detail. ratusan WNI tersebut termasuk ke dalam orang yang telah meninggalkan Indonesia #StopVirusRadikalisme</t>
  </si>
  <si>
    <t>@pndaptakuhakaku @bernamadotcom kalau u ada gambar ISIS? maka u penyokong ISIS ke? sila jawap</t>
  </si>
  <si>
    <t>@detikcom Fpi,hti,isis,212,....kok diam aja katanya pembela islam...kwkwkw</t>
  </si>
  <si>
    <t>#StopVirusRadikalisme. termasuk dari pengaruh ratusan ISIS eks WNI yang ditolak pulang agar tidak menjadi virus baru atau virus yang menyebar di bidang terorisme</t>
  </si>
  <si>
    <t>RT @3_devout: Pengakuan napi terorisme tolak baiat isis di nusakambangan waswas takut dibunuh wkt tidur</t>
  </si>
  <si>
    <t>RT @vitorvenancio_: bomboclaat</t>
  </si>
  <si>
    <t>Eh tapi gua ngomong begini bukan berarti mewakili temen2 WNI yg tinggal di luar ya. Preferensi orang beda2. Mungkin banyak dr mereka yg justru lebih nyaman baca/nonton pake bahasa asing. Tapi sejauh yg gue liat temen2 WNI di luar klo ngepost twitter tu pake bahasa Indonésia lho.</t>
  </si>
  <si>
    <t>RT @KBRITokyo: 🇲🇨 Terima kasih atas perhatian Anda kepada para WNI yg dikarantina di kapal Diamond Princess serta 4 WNI yg telah teridentifikasi terjangkit COVID-19. KBRI Tokyo terus kontak dengan mereka dan mengupayakan penyelesaian yg tuntas dengan semua pihak yg terkait. #NegaraMelindungi</t>
  </si>
  <si>
    <t>Ahirnya nyala setelah 2 tahun.. cek cek untuk putar lagu wills dissolve dari band isis di kawinkan dengan earphone ZSN pro Hifi,, crot di telinga 😄😄😄</t>
  </si>
  <si>
    <t>ratusan ISIS eks WNI yang ditolak pulang agar tidak menjadi virus baru atau virus yang menyebar di bidang terorisme #StopVirusRadikalisme</t>
  </si>
  <si>
    <t>Halo kak @JakartaStar, utas yang kakak minta sudah siap: "01). Maklumat FPI: Mendukung ISIS dan Penegakan Khilafah Islamiyah di Indonesia Dewan Pimpinan Pusat Front Pembela Islam (DPP FPI) telah melakukan kajian komprehensif terhadap ..."</t>
  </si>
  <si>
    <t>74 warga negara Indonesia (WNI) di Kapal Diamond Princess di Jepang, akan segera dievakuasi menggunakan KRI Soeharso-990.⁣ ⁣ Diketahui, KRI Soeharso-990 merupakan satu-satunya Kapal Perang Bantu Rumah Sakit yang…</t>
  </si>
  <si>
    <t>@bharianmy So after this ISIS kes Malaysia perlu reviselah peguam negara yg bijaksana..</t>
  </si>
  <si>
    <t>Owh WNI yg di kapal pesiar dijemput pake kapal laut jg... Semoga aman deh Ampe indo</t>
  </si>
  <si>
    <t>Siapapun harus lawan PERILAKU RADIKALISME. ANARKHISME. RASIS .SARA. yang dilakukan oleh ormas ormas radikal.pengikut HTI.FPI. ISIS. kelompok kecil ini lebih berbahaya dari virus jenis apapun. RT @beritaA1: Milenial Lawan Radikalisme, Senjata Pembasminya Lewat Media Sosial</t>
  </si>
  <si>
    <t>@CNNIndonesia Semua salah jokowi ckck. Ga inget waktu menteri agama berinisiatif untuk mulangin ISIS eks WNI ditolak mentah-mentah sama jokowi? Intinya, apapun yang dibicarakan menteri didepan publik blm tentu semua selaras dengan presiden, jadi statement demokrat ini cuma omong kosong.</t>
  </si>
  <si>
    <t>Bapaknya join isis. RT @weekdies: Mon maaf itu Bpkny kmn y</t>
  </si>
  <si>
    <t>LTTE = DAESH = ISIS = Evangelist Bezanya agama yang ditunggang.</t>
  </si>
  <si>
    <t>@tribunnews Berarti pembinanya dari klompok radikal teroris isis..</t>
  </si>
  <si>
    <t>RT @Nizarnugraha_: KPAI : Beasiswa Djarum dihentikan, mendukung kepulangan anak ex isis, berenang di kolam renang sama cowok bisa hamil Apa lagi selanjutnya?</t>
  </si>
  <si>
    <t>KPAI : Beasiswa Djarum dihentikan, mendukung kepulangan anak ex isis, berenang di kolam renang sama cowok bisa hamil Apa lagi selanjutnya?</t>
  </si>
  <si>
    <t>@AlissaWahid @ernestprakasa Tugas KPAI: 1. Ngelarang audisi dengan sponsor djarum 2. Ngelarang perempuan berenang sma laki2 krn takut hamil massal 3. Pulangkan anak eks ISIS Ditunggu lagi tugas lainnya wkwk</t>
  </si>
  <si>
    <t>Dalam kasus kembalinya eks-ISIS, ketegangan terjadi antara perlindungan keamanan nasional dan pemenuhan HAM. Tak jarang kedua hal ini sulit dijembatani. Tapi, benarkah tidak ada cara untuk mengakomodasi keduanya secara beriringan?</t>
  </si>
  <si>
    <t>@2020Cinta @msaid_didu Pernah bangga jadi wni karena punya pemimpin hebat</t>
  </si>
  <si>
    <t>@Sarah_Pndj Inilah kenapa kpai harus dimusnahkan, institusi begini gak beda sama isis. Tolol</t>
  </si>
  <si>
    <t>Kenapa sih ISIS cuma ngancurin masjid/kuburan doang? Kenapa nggak Ka'bah skalian biar lebih cepet kiamat? Capek hidup 😢</t>
  </si>
  <si>
    <t>@addamfarizi @BebasVisaID @sandmanindo @oak_math_lee_91 @MikeyAM97 @yovie_myg @IvanRT05 @jokowi @Menlu_RI @MuhammadRezaHil @chuentoi @jameshandaja 😁 baru kali ini kan ada negara tidak berkembang dan berkembang bisa masuk bebas visa ke negara maju Spt Indonesia tapi WNI kesana butuh visa. 😁😁😁😁</t>
  </si>
  <si>
    <t>Wabah Corona, Pemerintah RI Segera Evakuasi 78 WNI di Jepang</t>
  </si>
  <si>
    <t>@PJkanojia ISIS ko bhi jindabad bol de tb</t>
  </si>
  <si>
    <t>Pernyataan Menkpolhukam, @mohmahfudmd : Negara wajib melindungi bangsa dan seluruh masyarakat Indonesia dari virus radikalisme, termasuk dari pengaruh ratusan ISIS eks WNI. #StopVirusRadikalisme</t>
  </si>
  <si>
    <t>@ustadtengkuzul Tidak setuju, krn setiap wni yg tidak mengetahui tentang PANCASILA secara utuh, cenderung menjadi radikal atau jutek...krn merasa paling benar, dan org yg tidak satu paham dengannya adalah org yg tidak benar...jd udh tau sendiri cara pikirnya.</t>
  </si>
  <si>
    <t>Sebar Hoaks Virus Corona, Seorang WNI Dipenjara di Malaysia #corona #malaysia #wni #merahputih #hoax</t>
  </si>
  <si>
    <t>RT @Indostransfer: #OnThisDay Menghabiskan 13 tahun karir Sepakbola nya di Indonesia hingga mendapat status WNI. Selamat ulang tahun yang ke-41 untuk Herman 'El Papi' Dzumafo! Pemain tertua di #Liga1🇮🇩 2020? Age is just fvcking numbers for him!</t>
  </si>
  <si>
    <t>Pemerintah akan Segera Evakuasi WNI dari Kapal Diamond Princess</t>
  </si>
  <si>
    <t>KJRI Johor Bahru senantiasa membantu dan memastikan kelancaran pengurusan dokumen WNI sebagai komitmen Pemerintah Indonesia dalam rangka meningkatkan pelayanan dan pelindungan WNI di luar negeri. #IniDiplomasi #NegaraMelindungi</t>
  </si>
  <si>
    <t>Dalam rangka memberikan pelayanan yang menyeluruh kepada WNI, KJRI Johor Bahru membantu proses pembuatan paspor menggunakan mobile unit kepada seorang WNI yang berusia lanjut dan mengalami sakit di Rumah Panti Jompo Kempas Johor Bahru. #IniDiplomasi #NegaraMelindungi</t>
  </si>
  <si>
    <t>@SeruniPuspaAlam Tapi ada jutaan pria bodoh yg menjadi simpatisan ISIS dimana2....</t>
  </si>
  <si>
    <t>Maaf saya tidak menjelekkan ulama, tapi saya heran dengan ulama-ulama yg berbicara seperti itu di aksi 212. Bukannya mengajarkan rasa persatuan tapi mengajarkan rasa untuk membeci. Padahal masih WNI dan sama-sama tinggal di Indonesia.</t>
  </si>
  <si>
    <t>Haruskah WNI Eks ISIS Diterima Kembali di Indonesia? Baca selengkapnya pada website kita  atau bisa klik link yang ada di bio Instagram Suara Ekonomi - #SuaraHati #SuaraJiwa #SuaraSemesta</t>
  </si>
  <si>
    <t>@permadiaktivis @KPAI_official kemarin, sekumpulan kadrun ini belain anak anak ISIS untuk dibawa balik, skrg ngeluarin statement beginian. Gelo sia !</t>
  </si>
  <si>
    <t>RT @kompasiana: Prenuptial Agreement: Pentingnya untuk WNI yang Menikah dengan WNA</t>
  </si>
  <si>
    <t>Prenuptial Agreement: Pentingnya untuk WNI yang Menikah dengan WNA</t>
  </si>
  <si>
    <t>RT @RajaMohdShahrim: Tak boleh ler NGO Melayu.. mereka yang ditahan di Tapah, adalah hardcore DAESH/ISIS, dan yang ditempatkan di penjara Tapah majoritinya mereka yang pergi ke Syria dan berperang bersama ISIS..</t>
  </si>
  <si>
    <t>Pemerintah Segera Evakuasi WNI dari Kapal Diamond Princess</t>
  </si>
  <si>
    <t>RT @cemaragunung: @Bangzul__88 @KPAI_official Kalo di Isis anak megang senjata. Fans mereka cuma megang rokok. Mueheheheh... #UmatCerdas212Amblas blas blas blas blas blas Take a beer</t>
  </si>
  <si>
    <t>RT @NoGagKhan: @samhudibae Kemarin yg teriak ISIS bentukan Ami rika siapa? Semakin jelas #UmatCerdasKadrunAmblas</t>
  </si>
  <si>
    <t>Tak boleh ler NGO Melayu.. mereka yang ditahan di Tapah, adalah hardcore DAESH/ISIS, dan yang ditempatkan di penjara Tapah majoritinya mereka yang pergi ke Syria dan berperang bersama ISIS..</t>
  </si>
  <si>
    <t>Bambu laut atau ”Isis” spp kini berstatus dilindungi penuh. Jenis karang di ekosistem terumbu karang ini memiliki populasi kecil dan pertumbuhan lambat. #AdadiKompas</t>
  </si>
  <si>
    <t>RT @HaziqKhalili: Isu pengganas (termasuk ISIS) ni isu antarabangsa yang membahayakan semua orang tak kira bangsa. Tiberr ko kaitkan dgn Melayu ni apehal.</t>
  </si>
  <si>
    <t>RT @BudiKaryaS: Kami @kemenhub151 memberikan penghargaan kepada 18 kru dari Maskapai Batik Air @BatikAirID yang melakukan penerbangan misi kemanusiaan untuk menjemput Warga Negara Indonesia (WNI) di Wuhan, Tiongkok.</t>
  </si>
  <si>
    <t>#USA iri gutoza ingabo zo muri Sahel guhashya abahezanguni ba #ISIS</t>
  </si>
  <si>
    <t>RT @indahap07067259: Anak-anak ISIS membarakar paspor hijau @fettyjayanti @romadhoniFI @cumaviya @indon_manise @RoyalQueenStore</t>
  </si>
  <si>
    <t>@samhudibae Kemarin yg teriak ISIS bentukan Ami rika siapa? Semakin jelas #UmatCerdasKadrunAmblas</t>
  </si>
  <si>
    <t>@syahredzan LTTE Jena tuduh belum sah bukti dah kena sosma. Pengganas Isis melayu sah sah pengganas tak pulak kena sosma. APA double standard? Mentang bukan melayu kena kau kau. Pengganas Melayu yg sah kena kaunseling je.</t>
  </si>
  <si>
    <t>Sebab itu keputusan Peguam Negara saya sokong. Dan sebab itu juga saya kata, Peguam Negara harus semak semula juga kes2 lain bawah Seksyen 130JB(1) ini guna prinsip yang sama yang digunapakai dalam kes LTTE.</t>
  </si>
  <si>
    <t>@Bangzul__88 @bakarricaicha1 @EngGuntur @IchKutung @BillyZihan @japung1976 @rasaTersisa @ttobing @73hermantjoe Itulah kaum monaslimin wal monaslimat yg terang2an ingin mendirikan negara khilafah secara brutal sebagaimana ISIS lakukan dan kita tau bahw sepak terjang mereka scara brutal serba klaim kpd pemerintah dgn jumlah demonstran yg berjuta2 bahkan bersilit2. #UmatCerdasKadrunAmblas</t>
  </si>
  <si>
    <t>RT @PartaiSocmed: Tolong @WahabisLokal berhenti menjadi provokator SARA ya! Mau keturunan China, Arab, Belanda, atau apapun, apabila sudah menjadi WNI sebaiknya kita akui sebagai Indonesia. Jika orangnya yg salah silakan tunjuk hidungnya saja. Pendukung Jokowi jangan RASIS!</t>
  </si>
  <si>
    <t>RT @kopitehku: WarungIde: Khofifah Minta Masyarakat Tak Khawatirkan WNI dari...</t>
  </si>
  <si>
    <t>RT @geloraco: WNI di Kapal Westerdam Pilih Lanjut Bekerja Usai Negatif Virus Korona</t>
  </si>
  <si>
    <t>tengoklah.....apanya kerja org kpai ne. didalam negeri didepan mata/hidung sendiri, tdk bsa ngurusi (anak2 yg diikutkan demo) tp sok patentengan mo ngurusi anak2 kombatan isis yg di gurun sana...(o amang udah jelas2/terang bnderang, msih banyk pertimbangan lg)</t>
  </si>
  <si>
    <t>BNPB dan KRI DR. Soeharso Siap Jemput WNI Terkait Virus Corona di Jepang</t>
  </si>
  <si>
    <t>RT @radar_malang: Terjebak Korona di Kapal Pesiar, 270 WNI Terkatung-katung di Laut</t>
  </si>
  <si>
    <t>@hemaviton99 @SiNiel1 Militan Isis</t>
  </si>
  <si>
    <t>Terjebak Korona di Kapal Pesiar, 270 WNI Terkatung-katung di Laut</t>
  </si>
  <si>
    <t>semua WNI di world dream negative dari corona virus,. dan kami sudah menjalani temperature ceck 2 kali dalam sehari .. di mohon agar tidak melebih lebihkan berita ., #WNIWorldDream</t>
  </si>
  <si>
    <t>@samhudibae @bwd12 Untuk nenghancurkan pendukung ISIS di Indonesia...kekuatan TNI tentu berwenang bertindak tegas demi menjaga Keutuhan NKRI...</t>
  </si>
  <si>
    <t>Semoga pada melotot matanya biar gak gagal paham nih yg ngotot ISIS balik!! RT @Aldiasman: @Aryprasetyo85 @MardaniAliSera Baiknya video dan berita ini ditonton oleh bbrp politikus busuk dan biadab di DPR dan oleh pemuja/pro ISIS dan pengasong HAM yg ingin mengembalikan teroris ke negeri ini.</t>
  </si>
  <si>
    <t>Dipastikan Bawa Virus Terorisme Alasan Pemerintah Tolak ISIS Eks WNI. #StopVirusRadikalisme</t>
  </si>
  <si>
    <t>Penolakan ISIS Eks WNI Bukti Keseriusan Pemerintah Basmi Virus Radikalisme. #StopVirusRadikalisme</t>
  </si>
  <si>
    <t>@EveReadyItem @atiluvaa Jawabnya harus lengkap 1 Ketuhanan yang maha Esa 2. Kemanusiaan yang adil dan beradab 3. Persatuan Indonesia dst... kalau tidak lengkap bisa dianggap ISIS</t>
  </si>
  <si>
    <t>@DeHoutman7 @LusiHQ @JL_Apatheia Atau jangan2 mereka adalah anggota ISIS yang menyaru sebagai pengungsi? Sebab penduduk Suriah saja enjoy dg kehidupan sblm ISIS datang</t>
  </si>
  <si>
    <t>@cagubnyinyir2 @WardyDjuli @fatwaqul @Ze_sukma @PJayakarsa Seharusnya orang atau kelompok atau ormas radikal yang mau memaksakan kehendak dan bertindak inkonstitusional harus ditangkap dan dijebloskan ke penjara. Indonesia bukan negara teroris khilafah ISIS tapi berdasarkan UU. Apakah kaum Kadroon Monaslimin tidak paham?</t>
  </si>
  <si>
    <t>RT @XSovietNews: @JulianRoepcke Russia = ISIS.</t>
  </si>
  <si>
    <t>•Ertinya, pakcik, kita boleh simpan foto Ben Ladin, atau ketua-ketua ISIS, Daesh dalam henfon kita lah? •Oi! Hang jangan cari penyakit. Foto pemimpin Tamil Tiger je yang tak salah. •Oh gitu. Habis, Datuk Ayob polis tu kata LTTE teroris... •Datuk Ayob tu, dia bukan tau apa.</t>
  </si>
  <si>
    <t>13). Maklumat tersebut ditandatangani langsung oleh Ketua Umum DPP FPI Al-Habib Muhsin Ahmad Alattas dan Sekretaris Umum KH. Ja’far Shiddiq, serta Imam Besar FPI Al-Habib Muhammad Rizieq Shihab. #UmatCerdasKadrunAmblas</t>
  </si>
  <si>
    <t>RT @YouCannotRelate: ╭ ◜◝ ͡ ͡ ◝ ͡ ͡ ◜◝ ╮ (✨me watching) ( isis beheading ) ( videos online ) ╰ ͜ ╯ O o ° 〃∩ ∧＿＿∧ 💕 ⊂⌒（ ´・ω・）💕 ｀ヽ_っ＿/￣￣￣/ ＼/＿＿＿/</t>
  </si>
  <si>
    <t>02). ISIS tersebut, baik yang positif maupun yang negatif, guna mengambil kesimpulan yang objektif, jujur, dan adil. Dan kesimpulannya cukup tegas: mendukung gerakan ISIS dan penegakan khilafah islamiyah di Indonesia. #UmatCerdasKadrunAmblas</t>
  </si>
  <si>
    <t>02). Hal tersebut dilakukan menyusul polemik tentang ISIS yang telah mendeklarasikan khilafah islamiyah yang kini berujung pada pro-kontra. Dalam “Maklumat FPI tentang ISIS”, DPP FPI berusaha menelaah data-data tentang #UmatCerdasKadrunAmblas</t>
  </si>
  <si>
    <t>01). Maklumat FPI: Mendukung ISIS dan Penegakan Khilafah Islamiyah di Indonesia Dewan Pimpinan Pusat Front Pembela Islam (DPP FPI) telah melakukan kajian komprehensif terhadap semua data primer dan sekunder terkait Islamic State of Iraq and Syria (ISIS) #UmatCerdasKadrunAmblas</t>
  </si>
  <si>
    <t>@NadNad191 Kaca muka nya yg cantik mbak....dapet nyicil di sirul BeOl</t>
  </si>
  <si>
    <t>@lostedino gii mii intin kiyiny giikit isis ligi</t>
  </si>
  <si>
    <t>@dio_nga @BgawanKusuma @puspa_riyadi @budiyono97 Cina komunis takut Isis ?, sudah ada proses hukum mereka semua Isis? Menghilangkan kewarganegaraan sepihak, ngaku pancasila ? NKRI negara hukum, keputusan hukum melalui proses hukum bukan keputusan sepihak. Allah memberi mahluknya wilayah, penguasa menghilangkan hak atas wiayah</t>
  </si>
  <si>
    <t>mereka diam diam juga pengen masukin ex isis juga 😶 RT @fullmoonfolks: Nih negara harus diakuin emang ajaib, minggu lalu heroik bener mau nyekal 160 ex ISIS masuk Indonesia terus tau2 ada 120ribu orang masuk luput di sistem. Emang bego apa mau emang niat buka usaha human trafficking?</t>
  </si>
  <si>
    <t>Hong Kong Diserang Corona, WNI Malah Pancing Emosi dengan Curi 5500 Masker, Alasannya: Demi Ayah  via @tribunnews</t>
  </si>
  <si>
    <t>Nama : Amanda Putri Setyawan TTL : Bandung, 20 September 1985 Jenis Kelamin : Perempuan Golongan Darah : O (Rhesus +) RT/RW : 3/16 Kelurahan : Pegangsaan Kecamatan : Menteng Agama : Katholik Status Perkawinan : Belum Kawin Pekerjaan : Pegawai Swasta Kewarganegaraan : WNI</t>
  </si>
  <si>
    <t>RT @AndyR20034: Hingga hari ini, belum ada 1 org pun WNI di dlm negeri yg positif terinveksi virus Corona. Hebat.., saya percaya koq. 😃</t>
  </si>
  <si>
    <t>Hingga hari ini, belum ada 1 org pun WNI di dlm negeri yg positif terinveksi virus Corona. Hebat.., saya percaya koq. 😃</t>
  </si>
  <si>
    <t>Gaya gaya ISIS diterapkan, memupuk sejak dini kebencian dalam diri anak anak.. RT @Noegraha_AB: Dua sisi : Sebelah kiri : Anak2 diajarkan untuk memcitai budayanya Sebelah kanan : Anak2 diajarkan untuk berdemo #BudayaNusantara</t>
  </si>
  <si>
    <t>Bapaknya pejuang isis RT @weekdies: Mon maaf itu Bpkny kmn y</t>
  </si>
  <si>
    <t>Sebetulnya @KPAI_official kerjanya apa ya kalau boleh tau? Begini doang kelasnya? Kemarin minta anak eks ISIS dipulangkan. Serius deh bisa nggak kerja yg bener bener kerja? :) RT @blogdokter: Sekali lagi saya ingatkan, kalau memang tidak paham masalah kesehatan lebih baik diam. Daripada komentar kalian menimbulkan keresahan dan kepanikan. KPAI Ingatkan Wanita Berenang di Kolam Bareng Laki-laki Bisa Hamil, Begini Penjelasannya</t>
  </si>
  <si>
    <t>@yusuf_dumdum Knapa ex PKI bisa hidup di INDONESIA,kanapa ex isis gak boleh... Toh isis gak pernah bunuh jendral2 di indo atau kyai di indo...</t>
  </si>
  <si>
    <t>Makin vokalnya #islamisme #transnasional disini tak lepas dari kekalahan mereka di Timur Tengah. Arab Saudi semakin liberal, Suriah dgn bantuan Rusia berhasil pukul mundur ISIS/Al-Nusra. Di Turki, Presiden Erdogan dapat perlawanan kuat dari oposisi sekuler. Mesir kembali sekuler</t>
  </si>
  <si>
    <t>@VICE_ID Halo VICE, tahu kan kalau UU PSDN/Komcad ini bukan idenya Prabowo dan sudah berjalan sejak jamannya Menhan Ryamizard? Dan merujuk statement @Dahnilanzar, tahu bedanya “bela negara” WNI sesuai UUD 45 pasal 27 dan komcad yang sukarela?? Tau ga? Malu dong kalo ga diralat 😳🙄</t>
  </si>
  <si>
    <t>@TaliUdeng Ojok mbah, nggarai "isis"😅😅✌️</t>
  </si>
  <si>
    <t>#UmatCerdasKadrunAmblas Haiqal adalah corong TOA nya Habib Cabul Beriziq. Triakannya slalu berujung MAKAR. Sjak dulu kan dakwahnya FPI slalu ajak umat mlawan Negara &amp; membela Terorist ISIS. Skarang saatnya negara harus tegas menindak pelaku MAKAR #UmatCerdasKadrunAmblas</t>
  </si>
  <si>
    <t>@JulianRoepcke Russia = ISIS.</t>
  </si>
  <si>
    <t>RT @oak_math_lee_91: @aryacokronegoro @oscarkm @IvanRT05 @budy_marble @BebasVisaID @sandmanindo @chuentoi @yovie_myg @jameshandaja @addamfarizi @KBRI_Beijing @Menlu_RI @Kemlu_RI @jokowi @KSPgoid @ASEAN Belum lama ini juga Mongolia dan Korea Selatan membuka wacana bebas visa dua arah untuk warga mereka. Yang mana kedua negara tersebut belum bebas visa bagi WNI berpaspor biasa. 🙏🏻 🇮🇩 🇲🇳 🇰🇷</t>
  </si>
  <si>
    <t>Kegiatan rutin ini dilaksanakan KJRI Johor Bahru dalam rangka meningkatkan pelayanan kepada WNI yang berdomisili jauh dari KJRI Johor Bahru sehingga memberikan kemudahan dan keringanan dalam mengurus dan mendapatkan dokumen keimigrasian. #NegaraMelindungi #IniDiplomasi</t>
  </si>
  <si>
    <t>Kegiatan layanan yang dilakukan untuk WNI di Pahang dan sekitarnya mencakup layanan keimigrasian, penyerahan paspor yang telah selesai proses kepada 57 WNI, serta pengambilan biometrik bagi 27 orang pemohon yang akan melakukan pergantian paspor. #NegaraMelindungi #IniDiplomasi</t>
  </si>
  <si>
    <t>Ini bukti jelas FPI si rijieq big bos demo yg pro isis yg saat ini isis kalah dlm perang. kadrun radikalis triak kata isis bukan islam? owala drun kadrun otakmu kenapa ya kok bisa bolak balik? kadang didengkul kadang ditungkak. #UmatCerdasKadrunAmblas RT @samhudibae: Rizieq Dukung ISIS Dan Rencana Mereka Adalah Sembelih Polisi dan tentara Naudzubillah, doktrin kadrun. RS ternyata dari dulu sangat idolakan ISIS bahkan tdk tanggung2 siap tuk lawan pemerintah agar bisa melanggengkan ISIS ada di Indonesia. Traktir!! #DukungJokowiBerantasISIS</t>
  </si>
  <si>
    <t>@umar21281 @IAnticommunist ISIS se jyada khatarnak rss hai</t>
  </si>
  <si>
    <t>@LusiHQ Itu demo anti ISIS di inglen Lus... ☻</t>
  </si>
  <si>
    <t>Observasi Jilid 2, Ratusan WNI dari 2 Kapal Pesiar Bakal Dievakuasi terkait Corona, di Natuna Lagi?</t>
  </si>
  <si>
    <t>Kadispar Kepri Buralimar Sebut Belum Ada Pelarangan WNI ke Luar Negeri terkait Corona .</t>
  </si>
  <si>
    <t>@Indostransfer Oren ini mah, klok wni): pemain lokal makin makin deh</t>
  </si>
  <si>
    <t>Imbauan bagi seluruh WNI di Irak untuk selalu menjaga kesehatan diri dan keluarga. Bagaimana caranya? Silakan geser ke gambar kedua untuk melihat infografis. #IniDiplomasi #NegaraMelindungi #Corona #IndonesianWay #IndonesiaUntukDunia #KBRIBaghdad #Indonesia #Irak</t>
  </si>
  <si>
    <t>WNI di Kapal Westerdam Pilih Lanjut Bekerja Usai Negatif Virus Korona -</t>
  </si>
  <si>
    <t>Jubir Presiden: Evakuasi WNI dari Yokohama Jepang Segera Dilaksanakan</t>
  </si>
  <si>
    <t>RT @__Aiek__Channel: #OmnibusLawPesananKomunis #OmnibusLawPesananKomunis Sepak Terjang KRI Dr Soeharso, Kapal Penjemput 74 WNI dari Jepang</t>
  </si>
  <si>
    <t>@AriestaRiico @KPAI_official Ya tak heran ...ISIS ajah rekrut anak kecil toh😀 kan mrk sama dg ISIS ingin merompak negara dg jualan halipah. Halipah dlm realnya serupa PKI menyembelih, memenggal dan memerangi yg tk sefaham.</t>
  </si>
  <si>
    <t>RT @dwiyanaDKM: Gaya lu, sok2an demo anti korupsi. Jiwasraya dibongkar Erick, mereka demo. Ahok yg mengedepankan transparansi anggaran, mereka suruh turun. Lah, itu Anies buang2 uang APBD mereka diem aja. Pinternya kapan? #UmatCerdas212Amblas</t>
  </si>
  <si>
    <t>@Maranatha_Sibrn #UmatCerdasKadrunAmblas #UmatCerdasKadrunAmblas #UmatCerdasKadrunAmblas #UmatCerdasKadrunAmblas #UmatCerdasKadrunAmblas Cara2 sekelompok gerombolan rakyat KADRUN sudah mulai meniru ISIS dgn mengunakan ANAK2...</t>
  </si>
  <si>
    <t>@__ChusnulCh Keren mbak ....kadrun sudah kebiasaan CILEUH mah teu kadeuleu....nu ditingali Conge batur</t>
  </si>
  <si>
    <t>Ex Kombatan ISIS mau pulang, kasih ga? Ft. Prof. Hikmahanto Juwana  via @YouTube</t>
  </si>
  <si>
    <t>RT @__ChusnulCh: Presiden PKS Luthfi Hasan 1,3m dan Nur Mahmudi 10m. Zumi Zola PAN puluhan miliar. Zainuddin Hasan 72m M Sanusi 2m Irwandi Yusuf gub Aceh 1,050m. Kalo hukuman berdasarkan uang yg dikorup, itu yg cuma 1m lbh 50jt apa harus dipotong juga l3hernya?😂 #UmatCerdasKadrunAmblas</t>
  </si>
  <si>
    <t>RT @SCTV: WNI di Kapal Diamond Princess yang segera dijemput, akan menjalani observasi selama 2 kali 14 hari. #Liputan6SCTV</t>
  </si>
  <si>
    <t>@Parapat_Nixon @jokowi @mohmahfudmd Perilaku ini mirip perilaku teroris ISIS di suriah</t>
  </si>
  <si>
    <t>RT @NilaKencana8: #UmatCerdas212Amblas Haiqal adalah corong TOA nya Habib Cabul Beriziq. Tentu ada triakannya slalu berujung MAKAR. Sjak dulu kan dakwahnya FPI slalu ajak umat mlawan Negara &amp; membela Terorist ISIS. Skarang saatnya negara harus tegas menindak pelaku MAKAR #UmatCerdas212Amblas</t>
  </si>
  <si>
    <t>@dhonichyaditya @nana_pratama @KlenikGenk Nod kancani aku nod daftar isis</t>
  </si>
  <si>
    <t>@summa_isme @msaid_didu Yang sok pancasila tapi demo saat rumah ibadah agama laen lo masih ngotot mo dibilang Pancasila ?</t>
  </si>
  <si>
    <t>RT @tvOneNews: KRI rumah sakit Soeharso akan menjemput 74 WNI yang menjadi awak kapal pesiar Diamond Princess di Yokohama, Jepang. 4 dari 74 WNI dipastikan positif terinfeksi virus corona. #tvOneNews #Corona</t>
  </si>
  <si>
    <t>@aniesbaswedan @DKIJakarta Kalo keIndahan Jakarta...sudah sedari jaman gubernur sebelumnya malah jauh lebih Indah lagi mas...hal gampang dan bisa dilakukan oleh semua orang tanpa bawa Mayat Coba tengok reply ini....anda NYADAR? RT @aewin86: @aniesbaswedan @DKIJakarta Yang ini perlu ditengok juga?</t>
  </si>
  <si>
    <t>RT @KompasTV: DPR Minta Evakuasi WNI Positif Corona Lewat Jalur Laut</t>
  </si>
  <si>
    <t>Jubir Presiden memastikan pemerintah akan segera melakukan evakuasi WNI dari Jepang.</t>
  </si>
  <si>
    <t>@asumsico Terkadang WNI pun masih kesulitan menggunakan bahasa Indonesia, min 🤣</t>
  </si>
  <si>
    <t>Jika hasil observasi 74 WNI, awak kapal Diamond Princess di Yokohama, negatif , pemerintah akan segera melakukan langkah penjemputan . POT . #COVID-19 #VirusKorona #CoronaVirus #WNI #SeputariNewsSiang #SeputariNewsRCTI</t>
  </si>
  <si>
    <t>Wakil Ketua DPR Minta Pemulangan 74 WNI dari Diamond Princess Ikuti Protap</t>
  </si>
  <si>
    <t>Beberapa Elemen Masyarakat, Menolak Kombatan ISIS Ke Lamongan via @wartanusacom</t>
  </si>
  <si>
    <t>RT @haro_arnold: Selamat Pagi Indonesia Foto kiri adalah Orang Utan yg tergerak belas kasihan dan mengulurkan tangan mau menolong petugas yg bersihkan saluran Foto kanan adalah ISIS biadab Pilih siapa utk berbagi hidup di Indonesia? Pilih Orang Utan --&gt; RT Pilih ISIS --&amp;gt; Like Aku pilih RT</t>
  </si>
  <si>
    <t>@Restichayah @NdonTwit @conan_idn ini mahluk labil... dari dlu gw perhatiin tweetnya sering blunder, 2014 lalu dia sering dikeroyok akun2 pro isis. babak belur.</t>
  </si>
  <si>
    <t>@EL_Atheos No, u wrong Itu justru protes yg ditujukan ISIS Jangan terpelintir propaganda medsos</t>
  </si>
  <si>
    <t>@Bangzul__88 Isis bukan ini yg kemarin pengen tinggal di Indonesia.. ???? Kasian ya nasibnya..</t>
  </si>
  <si>
    <t>Bisa jd seperti ini gambaran jika ISIS eks WNI kembali ke tanah air RT @Mr_Belutsch: They escaped from Sharia from their own countries and Now living in England they want Sharia.</t>
  </si>
  <si>
    <t>@lofiubi siyi dili jiin isis simi piskib, siri bingitttt</t>
  </si>
  <si>
    <t>RT @ubai_cool: @BBCIndonesia Ayah mu juga manusia, pernah khilaf. Kami juga manusia di Indonesia. Maaf mu kami terima. Namun KAMU DAN KELUARGAMU bukan WNI lagi. Dan kami menolak kehadiran mu dan klg mu di INDONESIA.</t>
  </si>
  <si>
    <t>@publikasu @esstapie @tubirfess Betul mereka hrs mau menerima pendapat org lain, misalnya pendapat genosida Hitler dan ISIS.</t>
  </si>
  <si>
    <t>@geloraco 2juta lu ngmng gtu hut!!! 2juta turis china ngapain kemari? Kerja kan? Andai itu 2juta WNI!!!</t>
  </si>
  <si>
    <t>RT @BauMattawang: Berperan menjadikan markas isis:ikatan separatis iblis setan menyebar hujaran kebencian,merusak dan menumpahkan darah,memecah belah umat islam,menghancurkan persatuan anak bangsa</t>
  </si>
  <si>
    <t>Selama hampir 4 jam penuh, WNI dapat manfaatkan meja pelayanan untuk berbagai keperluan: paspor, lapor diri online, affidavit sampai Kartu Masyarakat Indonesia di Luar Negeri atau dikenal sebagai KeMILeN. #inidiplomasi #pelayananprima @Kemlu_RI</t>
  </si>
  <si>
    <t>Mahfud MD mengatakan bahwa negara wajib melindungi bangsa dan seluruh masyarakat Indonesia dari virus radikalisme, termasuk dari pengaruh ratusan ISIS eks WNI yang ditolak pulang agar tidak menjadi virus baru #LawanRadikalisme</t>
  </si>
  <si>
    <t>Jubir Presiden Sebut Evakuasi WNI dari Yokohama Jepang Dilakukan Dalam Waktu Dekat</t>
  </si>
  <si>
    <t>Berperan menjadikan markas isis:ikatan separatis iblis setan menyebar hujaran kebencian,merusak dan menumpahkan darah,memecah belah umat islam,menghancurkan persatuan anak bangsa  RT @__ChusnulCh: Tokoh yg akan paling berperan dlm menentukan nasib bangsa kedepan, bkn Jokowi, bkn Prabowo tapi Rizieq Shihab. Ngurus nasibnya aja sendiri ga bisa mau sok paling berperan dlm menentukan nasib bangsa. Masih ada yg percaya omongan orang ini? bungul kalo ada.😂 #TangkapHaikalHasan</t>
  </si>
  <si>
    <t>Semoga lancar proses evakuasi WNI di kapal pesiar Diamond Princess..🙏🏼 RT @tempodotco: Presiden Jokowi mengatakan pemerintah menyiapkan sejumlah opsi untuk mengevakuasi (WNI) di Kapal Pesiar Diamond Princess, di Jepang.</t>
  </si>
  <si>
    <t>@Parapat_Nixon Isis mungkin sudah mulai menunjukan dirinyq dgn wajah baru... Jangan diam ketika mereka menyerang pemimpin yg sah di negeri ini.. sudah keterlaluan.. kalian penganut paham radikalis mungkin ya..</t>
  </si>
  <si>
    <t>Kekacauan Narasi Soal ISIS, tolong dipahami mereka bukan joker atau orang yang dizalimi @TolakBigotRI @tolakbigotnkri @WahabisLokal</t>
  </si>
  <si>
    <t>WNI Penumpang Kapal Pesiar Diamond Princess Akan Dievakuasi</t>
  </si>
  <si>
    <t>@detikcom @detikfinance Pindah negara aja dun.. Kayanya ISIS ada lowongan tuh..😀😀</t>
  </si>
  <si>
    <t>Virus Corona di Kapal Diamond Princess Diduga Bermutasi, Karantina 74 WNI Bakal Diperpanjang</t>
  </si>
  <si>
    <t>@parasmalaikat Yola menganggukkan kepala, saat sang lawan bicara mencoba menebak sukunya. "Betul, mudah ditebak ya?" Tersenyum. "Dior? Baiklah. WNI?" tanya Yola penasaran.</t>
  </si>
  <si>
    <t>Dan benar saja. Itu ternyata demonstrasi untuk menentang ISIS/terorisme, bukan tuntutan untk menegakkan sharia. RT @ClaudCamp: @Dipmishrad @Mr_Belutsch Yep, totally agree 🤦‍♀️</t>
  </si>
  <si>
    <t>Pemerintah Segera Evakuasi WNI Kru Diamond Princess</t>
  </si>
  <si>
    <t>@danielht2009 @KomnasHAM @jokowi @mohmahfudmd ISIS dan semua simpatisannya adalah perwujudan iblis di dunia, doktrinnya benar-benar sebuah racun yg merusak anak2 menjadi mesin pembunuh dengan dasar yg bahkan tidak bisa diterima akal sehat</t>
  </si>
  <si>
    <t>@Bangzul__88 @KPAI_official Gaya didik ISIS sdh benar2 mereka terapkan disini , tunggu apa lagi pk machfud ? Cari sapu kawat yg agak besar dan kuat .. sapu bersih mereka .</t>
  </si>
  <si>
    <t>Menko PMK Muhadjir Effendy menyatakan, Pemerintah RI siap mengevakuasi 74 WNI yang dinyatakan negatif Covid-19, dari kapal pesiar yang sandar di Yokohama, Jepang. Disiapkan 2 opsi, yaitu lewat jalur udara atau jalur laut. #SorotanMedia #WaktunyaLokadata</t>
  </si>
  <si>
    <t>Komisi Perlindungan Anak2 ISIS? RT @hariadhi84: Dear @KPAI_official kalian ga malu punya komisioner tolol begini?</t>
  </si>
  <si>
    <t>Pakistani media supporting terrorise Taliban and Al-Qaeda / ISIS via jamati Islami affliated Journalists #Mullahcracy #MMA RT @Kamran_Yousaf: Senior journalist #RahimullahYousafzai thinks the US move to embrace Haqqanis and Taliban has in reality vindicated Pakistan. He says Pakistan's longstanding stance of avoiding action against Haqqanis and Afghan Taliban was correct. @thereviewexp #Afghanistan</t>
  </si>
  <si>
    <t>Isu pengganas (termasuk ISIS) ni isu antarabangsa yang membahayakan semua orang tak kira bangsa. Tiberr ko kaitkan dgn Melayu ni apehal. RT @KhalidSamad: Tahniah atas keputusan yang berani lagi tepat dalam suasana yang sengaja dikelirukan oleh golongan ekstrimis Melayu dan Muslim kumpulan kanan terlajak. Pihak kerajaan mesti bertindak profesional, mementingkan keadilan tanpa tunduk kepada nafsu serakah golongan kanan terlajak ini.</t>
  </si>
  <si>
    <t>Dapet juga info tentang WNI dari Wuhan yang di Natuna, ikut seneng mereka dinyatakan sehat semua. 😊 RT @voaindonesia: “Itu kuasa Tuhan, kenapa kami semua tak kena virus corona.” Fadil, mahasiswa Indonesia asal Aceh turut dievakuasi dari Wuhan. Meski optimistis, dia tersandung ejekan warga di kampung halaman sendiri yang masih khawatir, dia ‘membawa virus corona’. #coronavirus #covid19</t>
  </si>
  <si>
    <t>@rachmanfahadi @edwin_basuki Please report within 24 hours of arrival; You are required to submit your credentials/identification within 24 hours Ketika Orba, WNA wajib lapor kalau nginap di rumah WNI. Hadapi RT secepatnya ... takut ada antek2 pihak asing masuk rumahan. tau tau orangnya asin aja</t>
  </si>
  <si>
    <t>@notandes hah random bgt jadi isis😭😭</t>
  </si>
  <si>
    <t>@fullmoonfolks Itu yg paling ngeri. Ditambah negara g ada data jelas soal anggota2 IsIS. Mampus bener ini negara</t>
  </si>
  <si>
    <t>@kawananraja @jr_kw19 Ini kerjaan isis hti fpi ldi nii..</t>
  </si>
  <si>
    <t>@bluexaphire Wni ktp doang ini mah</t>
  </si>
  <si>
    <t>@AnakKolong___ @mohmahfudmd Apalagi kalaubukan ISIS</t>
  </si>
  <si>
    <t>Baca komen kebawah2 ternyata ini march against ISIS. Sayang banget lumayan banyak twitterfolks Indonesia yg keburu ikut2 nyebarin informasi yg salah. RT @Mr_Belutsch: They escaped from Sharia from their own countries and Now living in England they want Sharia.</t>
  </si>
  <si>
    <t>@AfifFuadS Jangan jangan yang disini kombatannya ISIS</t>
  </si>
  <si>
    <t>Observasi Jilid 2, Ratusan WNI dari 2 Kapal Pesiar Bakal Dievakuasi terkait Corona, di Natuna Lagi? .</t>
  </si>
  <si>
    <t>Cantik lid. Lepasni bwk keluaq pulak geng yg kena penjara sebab isis RT @KhalidSamad: Tahniah atas keputusan yang berani lagi tepat dalam suasana yang sengaja dikelirukan oleh golongan ekstrimis Melayu dan Muslim kumpulan kanan terlajak. Pihak kerajaan mesti bertindak profesional, mementingkan keadilan tanpa tunduk kepada nafsu serakah golongan kanan terlajak ini.</t>
  </si>
  <si>
    <t>RT @the_geotimes: Iklim investasi pun menjadi lesu, karena akan adanya ancaman laten dari mereka. Islamofobia pun menjadi semakin bertambah</t>
  </si>
  <si>
    <t>RT @veraagustian_: @AnakKolong___ @PKSejahtera Iya kaya c anis formula E,kan.goblog meruksak cagar budaya,cuma kelakuan ISIS yg suka meruksak bgtu!pks itu pki masa kini</t>
  </si>
  <si>
    <t>#Magetan DPP #PDIPerjuangan: Pemerintah Siapkan Opsi Evakuasi WNI di kapal pesiar Diamond Princess yang berlabuh di Pelabuhan Yokohama Jepang  #PDIPerjuangan  RT @PDI_Perjuangan: Pemerintah Siapkan Opsi Evakuasi WNI di kapal pesiar Diamond Princess yang berlabuh di Pelabuhan Yokohama Jepang  #PDIPerjuangan</t>
  </si>
  <si>
    <t>Mencari Solusi Eks ISIS</t>
  </si>
  <si>
    <t>Himbauan kepada WNI di Sarawak, Malaysia agar bekerja dengan prosedur yang berlaku, memiliki Paspor yang sah, permit kerja dan ijin tinggal yang berlaku #IniDiplomasi @kemlu #MerintisKemajuan</t>
  </si>
  <si>
    <t>kayak udah mau kiamat aja masker dicuri</t>
  </si>
  <si>
    <t>Mereka pasti gondok, karena pak Jokowi menolak memulangkan eks WNI yg bergabung dengan ISIS. RT @makLambeTurah: kalo gak Jokowi ya Ahok. Udah gitu aja gorengannya tiati....kebanyakan orang cinta itu mulainya dari benci😁</t>
  </si>
  <si>
    <t>@privaici Sangat normal tauukk, kecuali kamu lagi pengen jadi isis 😭</t>
  </si>
  <si>
    <t>Presiden Jokowi mengatakan pemerintah menyiapkan sejumlah opsi untuk mengevakuasi (WNI) di Kapal Pesiar Diamond Princess, di Jepang.</t>
  </si>
  <si>
    <t>@weekdies Bapaknya mati, kan ISIS.</t>
  </si>
  <si>
    <t>Ngikutin youtuber korean family awal bulan katanya masih 4 dan sekarang udah 300an 😭 WNI yg di cruise jg ternyata bisa kena. Trus u mau pada sombong apa sih? 😭😭 Guyon ya guyon tapi jangan kelewatan sampe jadi takabur</t>
  </si>
  <si>
    <t>@DenLutpi @na_dirs katanya banyak wni yang nolak gus nadir kl mau ceramah di mesjid2, temen saya nih kadrun gitu lah</t>
  </si>
  <si>
    <t>Sudah Sehat, 3 WNI di Wuhan Minta Pulang</t>
  </si>
  <si>
    <t>@AnakKolong___ @PKSejahtera Iya kaya c anis formula E,kan.goblog meruksak cagar budaya,cuma kelakuan ISIS yg suka meruksak bgtu!pks itu pki masa kini</t>
  </si>
  <si>
    <t>@hamidiahmad8 @SinarOnline kau sokong penganas isis maksudnya kamu juga penganas. pengganas mcm kamu ni sila berambus dari msia dan pergi mampus kat syria atau iraq.</t>
  </si>
  <si>
    <t>@fsadzam @SinarOnline daesh atau isis akan dilaknat allah. amin.</t>
  </si>
  <si>
    <t>@caqeeep Iya di cuci otak langsung gbung isis</t>
  </si>
  <si>
    <t>RT @BRidhaka: Khilafah memang isu yg sangat sexy utk menggoyahkan Kekuatan Islam itu sendiri.. Terbukti dg semoat Hitsnya ISIS yg berjualan Khilafah utk menarik pengikutnya. Dan Nyatanya skrng mereka teriak2 ingin minta diselamatkan. KHILAFAH hanya Ilusi utk Iman yg lemah #IlusiNegaraKhilafah</t>
  </si>
  <si>
    <t>RT @KecebongGembul: @hemaviton99 Makanya jangan coba2 terima ex ISIS pak @jokowi</t>
  </si>
  <si>
    <t>270 WNI Terkatung-katung di Laut</t>
  </si>
  <si>
    <t>@hemaviton99 Makanya jangan coba2 terima ex ISIS pak @jokowi</t>
  </si>
  <si>
    <t>RT @Yeyen41020695: @wiwikherma @TheArieAir @likmurr @muel_power @PapuaTeh @Gnarales @umkachick_id @d_mourina @jek41167575 @atse_23 @N7H53N74 @ShenRu013 @pero_ndruru @Partodewo9 @SabilaNuraini9 @ADSastrawidjaya @PemiluBagus @tjhinfar21 @Najwa_faisa @eizanfolks Berjuanglah melawan Politik Indentitas dan kita WNI tetap menjaga DEMOKRASI Menuju INDONESIA MAJU. #UmatCerdas212Amblas</t>
  </si>
  <si>
    <t>@wiwikherma @TheArieAir @likmurr @muel_power @PapuaTeh @Gnarales @umkachick_id @d_mourina @jek41167575 @atse_23 @N7H53N74 @ShenRu013 @pero_ndruru @Partodewo9 @SabilaNuraini9 @ADSastrawidjaya @PemiluBagus @tjhinfar21 @Najwa_faisa @eizanfolks Berjuanglah melawan Politik Indentitas dan kita WNI tetap menjaga DEMOKRASI Menuju INDONESIA MAJU. #UmatCerdas212Amblas</t>
  </si>
  <si>
    <t>@todays_qoute @is_pelssy Sarungan mangkanya biar ga ISIS 🤭</t>
  </si>
  <si>
    <t>@WaseemIndia1 @AbhaySi71537445 @PrinceofPers22 @smrat59228 @AMISHDEVGAN Ye humko mat batao ISIS.. lashkar e toyba ..jaisj e mohmmad ko batao...</t>
  </si>
  <si>
    <t>@Julie_Luvita @is_pelssy 🤣🤣 Biar gak dibilang ISIS</t>
  </si>
  <si>
    <t>@KhalidSamad Kepala pantat kau lid Yang tangkap tu pdrm counter terrorism apa kaitan dengan melayu Kulit pun dah macam paria mmg paria la kau sial Melayu - simpan gbr bendera isis lokap Keling - simpan 200 gbr video terrorist LTTE keluar Dasar barua dap 🖕🏻</t>
  </si>
  <si>
    <t>@GunRomli @KPAI_official kan ga mo kalah ma isis...di didik nya dr kcl...</t>
  </si>
  <si>
    <t>@bharianmy Jika dia telus dan kesah pasal kes org melayu/islam sokong daesh/isis yg telah dihukum pasti dia ambil tindakan yg sama utk tarik balik sekali dgn kes ltte yg telah didakwa</t>
  </si>
  <si>
    <t>@ustadtengkuzul ...yg menolak "radikal, isis, teroris" ??? sakarepe udelmuuuu....bong.</t>
  </si>
  <si>
    <t>@bakul_janganan @prsynisa @CNNIndonesia @jokowi Ya ampun ternyata antek pengidam khilafah ternyata 🤣🤣🤣 Lu ngapain di sini. Ini NKRI. Kalo ngidam khilafah sono brkt ke Irak-Suriah. Syukur2 kelamin lu ggk dijual tentara ISIS 100 dollar saja 🤣🤣</t>
  </si>
  <si>
    <t>@Teguh83076862 @ISIS_Balik_NO @msaid_didu Saya kaget...jadi kalian kerja yg semangat ya....🤣.</t>
  </si>
  <si>
    <t>Sehubungan dgn kampanye kesehatan mengenai Corona Virus, dengan ini KBRI Manama mengeluarkan EDARAN bagi seluruh WNI di Bahrain utk menjadi perhatian bersama. Mari kita mulai hidup sehat. @kemlu_ri @safetravelkemlu @bahdiplomatic #IniDiplomasi #IndonesianWay #NegaraMelindungi</t>
  </si>
  <si>
    <t>@catuaries Ini yg belain ISIS itu bukan sih?</t>
  </si>
  <si>
    <t>@TSMusaHassan Peguam Negara harus bebaskan semua DAESH, ISIS, JI yg berada dipenjara seluruh negara. @my_malaysia @KDNPUTRAJAYA</t>
  </si>
  <si>
    <t>@prakosha Turkey &amp; Saudi sdng di adu domba di media internasional. Padahal mrk sejalan. Rusia dan Iran di Suriah musuh dlm selimut ISIS buatn Amrik utk menyebar fobia Islam Pernah kerja sm Assad di suriah utk menghancurkn tentara turkey Jd logikax Rusia &amp;amp; Amrik lagi sandiwara di suriah</t>
  </si>
  <si>
    <t>Hellooo @KPAI_official , giliran yg begini lu diem aja, kemarin anak² ISIS eks ENI lu bela²in RT @seruanhl: Ketika anak-anak diikutkan dalam aksi, tentu itu sudah melanggar aturan. Terus apa lagi yang mau dipertimbangkan? Dari pada sibuk mempertimbangkan, sebaiknya KPAI segera ambil tindakan. Jangan cuma diam dan membiarkan!! #UmatCerdas212Amblas</t>
  </si>
  <si>
    <t>KRI rumah sakit Soeharso akan menjemput 74 WNI yang menjadi awak kapal pesiar Diamond Princess di Yokohama, Jepang. 4 dari 74 WNI dipastikan positif terinfeksi virus corona. #tvOneNews #Corona</t>
  </si>
  <si>
    <t>@GusNurGL Tambah isis gus</t>
  </si>
  <si>
    <t>@hemaviton99 Ayo indonesia pulangken ex isis...biar ngisis...seger</t>
  </si>
  <si>
    <t>@saidiman Ini demo anti ISIS yg di edit ulang oleh pendukung sayap kanan dan white supremacy</t>
  </si>
  <si>
    <t>#UmatCerdas212Amblas Haiqal adalah corong TOA nya Habib Cabul Beriziq. Tentu ada triakannya slalu berujung MAKAR. Sjak dulu kan dakwahnya FPI slalu ajak umat mlawan Negara &amp; membela Terorist ISIS. Skarang saatnya negara harus tegas menindak pelaku MAKAR #UmatCerdas212Amblas RT @samhudibae: Makhluk yang bernama Haiqal hasan ini adalah pendukung utama kelompok RADIKAL radikul pendukung militan ISIS sehingga sampai kapan pun mahluq ini akan tetap menjadi musuh bagi pemerintahan yang sah. Dan ini jelas bahwa dia telah menjadi Pengkhianat bangsa. #UmatCerdas212Amblas</t>
  </si>
  <si>
    <t>wni o wni</t>
  </si>
  <si>
    <t>Dan diatas usia pensiun pemerintah wajib menyokong dan mengambil alih tanggung jawab atas kesejahteraan hidupnya. Sedangkan Pada Usia produktif WNI diharuskan memberikan kontribusi nya pada Negara dalam bentuk apapun. #Harapanindonesia</t>
  </si>
  <si>
    <t>Saya ingatkan YB supaya bertaqwa kepada Allah SWT dan jangan terlalu hanyut sangat dalam politik sampai semua isu mahu dilihat dengan kaca mata politik. Penangkapan LTTE bukan sebab ras atau politik. Mereka ditangkap macam penyokong ISIS ditangkap. Kerana sokong pengganas.</t>
  </si>
  <si>
    <t>parah bgt nih isis:( cucu aku☹️</t>
  </si>
  <si>
    <t>@penyejuk_hati_ @schlzm Woi kpai, ada kerjaan neh jgn ngurusin anak isis mulu</t>
  </si>
  <si>
    <t>Berpandukan kpd kes Siti Noor Aishah, pelajar UM, yg hanya memiliki buku mengenai DAESH, JI, ISIS telah dihukum penjara 5 tahun. Jadi AG harus juga gugurkan kes Siti Noor Aishah @my_malaysia @TSMusaHassan @KDNPUTRAJAYA</t>
  </si>
  <si>
    <t>@yxgskuy_ Wni masih aman apa ws ana sg kena</t>
  </si>
  <si>
    <t>RT @Tanpaagama: Paling ngotot bilang ISIS gak punya agama. Ngotot juga ISIS dipulangkan ke Indonesia. Yg bener mana sih, isis itu beragama apa kagak?</t>
  </si>
  <si>
    <t>125.000 akun di seluruh dunia punya hubungan dengan ISIS....Gileeeeee🤦‍♂️🤦‍♀️ RT @AnakKolong___: REINKARNASI ISIS DI MEDIA SOSIAL | . . . Pada 2016 lalu, Twitter mencatat ada sekitar 125.000 akun yg ditengarai mempunyai hubungan dengan ISIS. . . . | @mohmahfudmd</t>
  </si>
  <si>
    <t>@jr_kw19 Mungkin dia terinspirasi dari ISIS yang memporakporandakan ratusan situs sejarah di Suriah dan Irak..</t>
  </si>
  <si>
    <t>Istana Sebut Evakuasi WNI dari Kapal Diamond Princess Segera Dilakukan</t>
  </si>
  <si>
    <t>Makhluk yang bernama Haiqal hasan ini adalah pendukung utama kelompok RADIKAL radikul pendukung militan ISIS sehingga sampai kapan pun mahluq ini akan tetap menjadi musuh bagi pemerintahan yang sah. Dan ini jelas bahwa dia telah menjadi Pengkhianat bangsa. #UmatCerdas212Amblas</t>
  </si>
  <si>
    <t>@Takviri Demo tuh desak uu koruptor dimiskinkan..persulit hak nya sbg wni dan serangkaian hukum kerja sosial buat rakyat</t>
  </si>
  <si>
    <t>Zamani Toyota ilikuanga tu corolla. Sku izi Kuna hadi isis</t>
  </si>
  <si>
    <t>WNI yang maling masker di Hongkong malu-maluin nusa bangsa dan negara aja sebel😤😤😤😤😤</t>
  </si>
  <si>
    <t>@olencieile @PancasilaY @WagimanDeep__ @kemendagri @Kemenag_RI @PolhukamRI @BNPTRI @mohmahfudmd Wkwkwkwkwkwk... jgn sampe ya mbok... emg mau digilir ISIS?</t>
  </si>
  <si>
    <t>RT @Dee06644722: @hemaviton99 @DSofdi Kemungkinan kadrun ISIS menyusup di antara pengungsi. Eropa berbaik hati menerima pengungsi tp sistem seleksinya kurang. Tdk hny di UK sj.</t>
  </si>
  <si>
    <t>@iszul_60 @haikal_hassan udh lagi njing ga usah gonggong terus, oiya jangan ngaku2 aswaja ya lo njing.. lo itu pecinta HTI ISIS khilafah.. jadi jangan ngaku2 aswaja...!!!</t>
  </si>
  <si>
    <t>RT @jesostro: Kita umat yg Cerdas menolak politisasi Agama. Kita WNI hrs menjaga Kebhinakaan Indonesia. Toleransi thd Keyakinan Sesama manusia. #UmatCerdas212Amblas</t>
  </si>
  <si>
    <t>3/50 yg baru bisa ngecek. Indonesia dan segala jajaran pejabat terhormatnya pede bilang tidak ada yg terjangkit, bahkan WNI yang ada di Diamond Princess. 🥰🇮🇩 RT @ajplus: The U.S. confirmed 34 cases of coronavirus — including 21 people evacuated from Wuhan or the Diamond Princess cruise ship in Japan. Only 3 states are currently capable of testing for the virus (CA, IL, NE), with all other samples being sent to the CDC.</t>
  </si>
  <si>
    <t>@pomegranattte Berikut kami informasikan Bapak/Ibu pelanggan pembukaan rekening efek Individu WNI : 1.FPRE 2.RDN 3.KTP 4.NPWP/jika tidak memiliki NPWP maka perlu menandatangani surat pernyataan tidak memiliki NPWP 5.Surat Kuasa transaksi (jika (1/12) ^Tian</t>
  </si>
  <si>
    <t>@hemaviton99 @DSofdi Kemungkinan kadrun ISIS menyusup di antara pengungsi. Eropa berbaik hati menerima pengungsi tp sistem seleksinya kurang. Tdk hny di UK sj.</t>
  </si>
  <si>
    <t>@dwikifatography @ryoonanda Ambu ambu isis</t>
  </si>
  <si>
    <t>@RelawanNusanta1 @J_Aryoko Jerman sudah parah sekali karna eks isis banyak masuk sana</t>
  </si>
  <si>
    <t>@DhieanaNew @andreawan16 @VIVAcoid kamu itu cocknya jadi budak sex ISIS</t>
  </si>
  <si>
    <t>RT @idntimes: Evakuasi ditempuh lewat jalur laur menggunakan kapal perang</t>
  </si>
  <si>
    <t>#UmatCerdas212Amblas #UmatCerdas212Amblas Pemerintah harus segera basmi kadrun2 212, cabut status WNI mereka dan usir dari wilayah NKRI RT @tjhinfar21: Jumlah peserta reuni 212 Versi. PA 212. Polri 2016 7 jt 200K 2017 7,5 jt 30K 2018 8-11jt 40K 2019 1 jt 10K 😥 2020 100K 1K 😭 Udah kayak diunfoll massal aja 🤣🤭 #UmatCerdas212Amblas</t>
  </si>
  <si>
    <t>@iszul_60 jangan lo bawa2 aswaja.. aswaja itu bukan HTI dan ISIS yg lo puja2,, ulama2 aswaja santun ngayomi dan ga ngafir2in orang kya rombongan lo, ngaku2 aswaja lu njing.. makin tolol aje ya lo ini.. oiya andelan bacotan lo cuma komunis yg udh hilang lama dari dlu.. tolol</t>
  </si>
  <si>
    <t>RT @adam_daniall: kadang kadang penat bukan buat apa pun cuma mental je penat</t>
  </si>
  <si>
    <t>Yusuf wni keturunan yg ingin indonesia kacau,, RT @samhudibae: Inilah Akal bulus nya FPI Negara sebesar NKRI saja masih mau di interfensi plus di intimidasi dengan ormas yg kecuil keluaran 1998. Adalah Yusuf M. Martak yg jadi ustad yg Suruh bayar dulu UTANG pemerintah untuk talangan ganti rugi korban lapindo. Bah..! #UmatCerdas212Amblas</t>
  </si>
  <si>
    <t>RT @CANDAdanBISNIS: @woelannnn @jr_kw19 Hahahaha Wong keturunan ngarab spt wan aibon haikal dll Buat rusuh di Indonesia Usul. Cabut WNI nya balikin ke Arab sj Sesuai Habitatnya pigimane??? Hehehe</t>
  </si>
  <si>
    <t>Curi 5.500 Masker di Hongkong, WNI Dipenjara 4 Minggu  #LINETODAY</t>
  </si>
  <si>
    <t>RT @Yeyen41020695: @ArifinNKRI_84 @SaatTobat @RizkyNafi21 @EdhiLmg @IndiraMayori @davitttts @Ryan_Rossi @fahmi_rmd10 @Oh_Ronald @Ebenops @weddie_s @Herry54300750 @Ysalenussa @rudi07_matt @AQSopo4 Kita umat yg Cerdas menolak politisasi Agama. Kita WNI hrs menjaga Kebhinakaan Indonesia. Toleransi thd Keyakinan Sesama manusia. #UmatCerdas212Amblas</t>
  </si>
  <si>
    <t>RT @kompascom: Sejumlah WNI di Jepang, rencananya akan dievakuasi menggunakan KRI Soeharso dan kembali dalam waktu 14 hari pelayaran.</t>
  </si>
  <si>
    <t>RT @jawapos: 'Virus' Cinlok Ternyata Landa 238 WNI yang Dikarantina di Natuna</t>
  </si>
  <si>
    <t>Mestinya diserahkan saja ke pemerintah Syria. Agar diadili dan dibina. * + sakan.</t>
  </si>
  <si>
    <t>Astagaaaa Curi 5.500 Masker di Hongkong, WNI Dipenjara 4 Minggu  #LINETODAY</t>
  </si>
  <si>
    <t>Kemenkes akan kelompokan 74 WNI sesuai keluhan klinis</t>
  </si>
  <si>
    <t>@ArifinNKRI_84 @SaatTobat @RizkyNafi21 @EdhiLmg @IndiraMayori @davitttts @Ryan_Rossi @fahmi_rmd10 @Oh_Ronald @Ebenops @weddie_s @Herry54300750 @Ysalenussa @rudi07_matt @AQSopo4 Kita umat yg Cerdas menolak politisasi Agama. Kita WNI hrs menjaga Kebhinakaan Indonesia. Toleransi thd Keyakinan Sesama manusia. #UmatCerdas212Amblas</t>
  </si>
  <si>
    <t>@na_dirs allahu akbar.. bahkan temen saya org indonesia yg tinggal di aussi nyuruh saya njauhin tulisan2 gus nadir. katanya gus nadir sendiri di aussi sering ditolak oleh WNI.. emosi saya denger temen ngomong gitu gus.</t>
  </si>
  <si>
    <t>@GunRomli @Uki23 @KPAI_official Ala ala ISIS. Bawa anak kecil buat perang...</t>
  </si>
  <si>
    <t>@siahaan_johan @eko63691 @detikcom Kalau berdoa supaya yg buruk itu runtuh artinya kita bela ISIS? 😁😁😁 duh nyindul langit banget sih... oon nyaa</t>
  </si>
  <si>
    <t>RT @__Aiek__Channel: #OmnibusLawPesananKomunis #OmnibusLawPesananKomunis WNI di Kapal Westerdam Pilih Lanjut Bekerja Usai Negatif Virus Korona</t>
  </si>
  <si>
    <t>@KhalidSamad Ya gugurkan dakwaan pada penyokong ISIS kalau adil..</t>
  </si>
  <si>
    <t>RT @BradPitek: @WahabisLokal Se 7 boskuu.. Arab2 kadrun hrs dimutasi, wni di arab gk macam mereka di nkri. Sy tunggu2 statment dr boss2 nkri. Akibat lemah nya aparat penegak hukum. Mereka buat kehendak hati, mcm di tanah moyang nya sj</t>
  </si>
  <si>
    <t>RT @jawapos: Terjebak Korona di Kapal Pesiar, 270 WNI Terkatung-katung di Laut</t>
  </si>
  <si>
    <t>@pramuktiga @eko63691 @detikcom Elu yg goublok tong, gabung isis saja sono,</t>
  </si>
  <si>
    <t>RT @RudyFarthuack: Hayoooo... Disimak niiihhh... Para WNI keturunan TIMUR TENGAH... Katanya, JANGAN BIKIN GADUH DI NUSANTARA INI...!!! MEMANG, KALAU BIKIN GADUH , PULANG SAJA KESANA KE LELUHUR MU....!!!!!</t>
  </si>
  <si>
    <t>@RD_4WR1212 Mereka ini kalo pegang senjata kelakuannya sama dengan ISIS.. Doyan seks dan suka jihad</t>
  </si>
  <si>
    <t>@merdekadotcom Dikarantina sejak kmrn, pasti lah tidak menyenangkan buat para WNI ini. Tp demi kebaikan mereka dan juga lingkungan, pilihan mengevakuasi mereka via kapal RS adl yg terbaik, krn bisa sekalian karantina tahap kedua, memastikan semuanya ttp terkendali.</t>
  </si>
  <si>
    <t>RT @Ryan43_official: @wahhabicc_jabar Wow, Abu Jibril masih bebas berkeliaran, yang anaknya diakui tewas di Idlib bergabung dgn kelompok Al-Qaeda (JN/HTS)</t>
  </si>
  <si>
    <t>RT @davidridwanbetz: Semua.WNI asli Pribumi punya hak dan peluang untuk maju menjadi Capres di negeri ini</t>
  </si>
  <si>
    <t>Jubir Presiden : Evakuasi WNI dari Yokohama Jepang segera dilaksanakan  @antaranews #ZONAWEEKEND</t>
  </si>
  <si>
    <t>@realPriGim @wiwikherma @PanRumbo @LNdhol @ISIS_Balik_NO @harset2013 @Finsensiadaeli @aguswahyu99 @tjhinfar21 @Aisyah19527681 @Nouna_jessica94 @Yos5Ku @wisanggeni_084 @stevy_mende @seruanhl @Kiaranastiti1 @hamka_sutra @PancasilaQu @ichigotalks Pek en kuabeeeh broh.. Kanggo kowe ki opooo seng orak thooo 🤗☺️</t>
  </si>
  <si>
    <t>@Jkt_Networks @wiwikherma @PanRumbo @LNdhol @ISIS_Balik_NO @harset2013 @Finsensiadaeli @aguswahyu99 @tjhinfar21 @Aisyah19527681 @Nouna_jessica94 @Yos5Ku @wisanggeni_084 @stevy_mende @seruanhl @Kiaranastiti1 @hamka_sutra @PancasilaQu @ichigotalks Aku Kok 🤭</t>
  </si>
  <si>
    <t>@Jkt_Networks @wiwikherma @PanRumbo @LNdhol @ISIS_Balik_NO @harset2013 @Finsensiadaeli @aguswahyu99 @tjhinfar21 @Aisyah19527681 @Nouna_jessica94 @Yos5Ku @wisanggeni_084 @stevy_mende @seruanhl @Kiaranastiti1 @hamka_sutra @PancasilaQu @ichigotalks Hahaha... Aku Kok...🤭🤭🤭</t>
  </si>
  <si>
    <t>@WagimanDeep__ Saya malah curiga itu perbuatan simpatisan ISIS yg ngamuk karena sudah keluar dana buat suarakan kepulangan mereka malah tidak ada hasilnya. 😅</t>
  </si>
  <si>
    <t>@Jkt_Networks @wiwikherma @PanRumbo @LNdhol @ISIS_Balik_NO @harset2013 @Finsensiadaeli @aguswahyu99 @tjhinfar21 @Aisyah19527681 @Nouna_jessica94 @Yos5Ku @wisanggeni_084 @stevy_mende @seruanhl @Kiaranastiti1 @hamka_sutra @PancasilaQu @ichigotalks Laaah... Ente Manggil Om... Laaah Gue Manggil Tante Donk biar Sama 🤭🤭🤭</t>
  </si>
  <si>
    <t>@realPriGim @wiwikherma @PanRumbo @LNdhol @ISIS_Balik_NO @harset2013 @Finsensiadaeli @aguswahyu99 @tjhinfar21 @Aisyah19527681 @Nouna_jessica94 @Yos5Ku @wisanggeni_084 @stevy_mende @seruanhl @Kiaranastiti1 @hamka_sutra @PancasilaQu @ichigotalks Matur nuwon sanget mas brooh 🙏🏻 🤔hmm kpn gw kawin sm om lo ye broh 🤔</t>
  </si>
  <si>
    <t>DPR Minta Evakuasi WNI Positif Corona Lewat Jalur Laut</t>
  </si>
  <si>
    <t>Mereka yang ngotot bilang isis tak beragama, mereka pula yang ngotot isis dipulangkan ke indonesia. Orang gila mah, bebas.</t>
  </si>
  <si>
    <t>Bentar lg jg perang berdarah itu. Teroris ISIS memang pintar bermuka 2 RT @hemaviton99: UK mau di Shariah kan oleh kaum PENGUNGSI suriah..mereka ditampung dulu karna rasa KEMANUSIAAN oleh kaum mayoritas KRISTEN disana..tapi LIHAT sekarang apa yg terjadi ?</t>
  </si>
  <si>
    <t>klo ada yg ngetuk rumah aq dengan mengucapkan Salam Pancasila... gak bakal aq bukain pintu nya!!! Pancasila itu sudah menyatu dalam kalbu setiap WNI... Jadi gk usah Alay laaahhh.... Aq muslim cukup. Dengan kata... Assalamualaikum warohmatullah hiwabarokatu RT @todays_qoute: Salam Pancasila...</t>
  </si>
  <si>
    <t>@WahabisLokal Biar makan tai onta d sana. Ngapain di kasih peluang antek2 isis.</t>
  </si>
  <si>
    <t>@romustritus Gabungan ltte dengan isis siot</t>
  </si>
  <si>
    <t>@LikParjo @republikaonline Kalo di enggres di selidiki dulu dengan bukti2 yg kuat dengan proses yg matang baru hasilnya di beritakan, ga dikit2 gila dikit2 teroris dikit2 isis wkwkw</t>
  </si>
  <si>
    <t>@VICE_ID Bukan wni lagi dong harusnya</t>
  </si>
  <si>
    <t>@hemaviton99 Miara keturunan dajjal yah kaya gini, ntar kalo sudah bersariah trus apa? ISIS? Perang lagi dirikan Negara Islam Iraw Syiria? Dasar manusia ngarab</t>
  </si>
  <si>
    <t>Paling ngotot bilang ISIS gak punya agama. Ngotot juga ISIS dipulangkan ke Indonesia. Yg bener mana sih, isis itu beragama apa kagak?</t>
  </si>
  <si>
    <t>Pemerintah Siapkan Pemulangan WNI dari Jepang</t>
  </si>
  <si>
    <t>RT @idlc_id: Selama ini banyak pembahasan ttg pewarisan harta WNI oleh WNA dalam kawin campur. Nah sekarang gimana kalau sebaliknya? Belajar dari kasus #ashrafsinclair dan #bcl dapatkah keluarganya yang WNI mewarisi harta dari WNA? Cekidot:</t>
  </si>
  <si>
    <t>RT @wiwikherma: @realPriGim @Jkt_Networks @PanRumbo @LNdhol @ISIS_Balik_NO @harset2013 @Finsensiadaeli @aguswahyu99 @tjhinfar21 @Aisyah19527681 @Nouna_jessica94 @Yos5Ku @wisanggeni_084 @stevy_mende @seruanhl @Kiaranastiti1 @hamka_sutra @PancasilaQu @ichigotalks gimana mau abaikan, orangnya nutupin layar 😭😭</t>
  </si>
  <si>
    <t>@wiwikherma @Jkt_Networks @PanRumbo @LNdhol @ISIS_Balik_NO @harset2013 @Finsensiadaeli @aguswahyu99 @tjhinfar21 @Aisyah19527681 @Nouna_jessica94 @Yos5Ku @wisanggeni_084 @stevy_mende @seruanhl @Kiaranastiti1 @hamka_sutra @PancasilaQu @ichigotalks Wkwkwkwk....🤭🤭🤭 Sengaja Kayaknya.... Gak Ikhlas juga Kayaknya 🤭🤭 🤦🏻‍♂️</t>
  </si>
  <si>
    <t>RT @voaindonesia: WNI di Kapal Diamond Princess akan Segera Dievakuasi</t>
  </si>
  <si>
    <t>nonton berita berasa capek menjadi WNI wkwkw</t>
  </si>
  <si>
    <t>‘Virus’ Cinlok Ternyata Landa 238 WNI yang Dikarantina di Natuna</t>
  </si>
  <si>
    <t>@bapathy1 @berdhosa @detikcom Isis itu buatan yahudi..baca coba Islam benar mengajarkan damai</t>
  </si>
  <si>
    <t>@Baladuing1 @felixsiauw Fyi: pelix itu HT, HT itu afiliasi ke jabath nusrah: teroris suriah yang sekaligus juga musuhan sama isis.</t>
  </si>
  <si>
    <t>Pemerintah tak gegabah asal pulangkan WNI #indonesiamaju #indonesiaaman #indonesia</t>
  </si>
  <si>
    <t>@realPriGim @Jkt_Networks @PanRumbo @LNdhol @ISIS_Balik_NO @harset2013 @Finsensiadaeli @aguswahyu99 @tjhinfar21 @Aisyah19527681 @Nouna_jessica94 @Yos5Ku @wisanggeni_084 @stevy_mende @seruanhl @Kiaranastiti1 @hamka_sutra @PancasilaQu @ichigotalks gimana mau abaikan, orangnya nutupin layar 😭😭</t>
  </si>
  <si>
    <t>Cabut status WNI pro ISIS #indonesiamaju #indonesiaaman #indonesia #papuabagiannkri</t>
  </si>
  <si>
    <t>Jgn heran uk basis hti dri sana hti dan kombatan isis dilatih tuk hancurkan suriah nah kta jgn smpe import mereka kemari krna uda akan dbuat kacau itu agenda barat dgn dalih melawan teroris tpi terorisnya dibina di uk dlu. RT @hemaviton99: UK mau di Shariah kan oleh kaum PENGUNGSI suriah..mereka ditampung dulu karna rasa KEMANUSIAAN oleh kaum mayoritas KRISTEN disana..tapi LIHAT sekarang apa yg terjadi ?</t>
  </si>
  <si>
    <t>@ocvenus @haikal_hassan 😁 Padahal RRC sama WNI beretnis Tionghoa itu kan beda Harusnya dia bisa Bedain</t>
  </si>
  <si>
    <t>RT @SantorinisSun: @salahsambungya Sentimen ke China kok keliatannya kaya Mamarika ya? Pdhl kalo dr sisi "perjuangan" agama harusnya mereka anti Mamarika dgn segala bukti keturut-campurannya menghancurkan negara2 Islam. Di sisi lain mereka sering teriak ISIS bentukan Mamarika. Apakah itu artinya mereka juga sama?!</t>
  </si>
  <si>
    <t>@Jkt_Networks @wiwikherma @PanRumbo @LNdhol @ISIS_Balik_NO @harset2013 @Finsensiadaeli @aguswahyu99 @tjhinfar21 @Aisyah19527681 @Nouna_jessica94 @Yos5Ku @wisanggeni_084 @stevy_mende @seruanhl @Kiaranastiti1 @hamka_sutra @PancasilaQu @ichigotalks BUNGKUSSssssss.....🗣️ Ini📢 juga Boleh..., abaikan Orangnya 🤭🤭🤭🤭.... #NetizenProNKRI</t>
  </si>
  <si>
    <t>WNI di Kapal Diamond Princess akan Segera Dievakuasi</t>
  </si>
  <si>
    <t>RT @KompasTV: Pemerintah Siapkan Rencana untuk Evakuasi 74 WNI di Kapal Diamond Princess</t>
  </si>
  <si>
    <t>Evakuasi WNI di Kapal Diamond Princess, Menteri PMK Muhadjir Effendy Buka Opsi Lewat Jalur Udara atau Darat</t>
  </si>
  <si>
    <t>RT @republikaonline: Langkah evakuasi WNI di Kapal Diamond Princess tengah Dibahas.</t>
  </si>
  <si>
    <t>@GunRomli @KPAI_official Makanya ISIS gak dipulangin, ya seperti ini....dari kecil sudah didoktrin menjadi pengacau bersorban</t>
  </si>
  <si>
    <t>Komisi Perlindungan Anak2 Isis apa urusannya dg anak2 Indonesia? RT @seruanhl: Ketika anak-anak diikutkan dalam aksi, tentu itu sudah melanggar aturan. Terus apa lagi yang mau dipertimbangkan? Dari pada sibuk mempertimbangkan, sebaiknya KPAI segera ambil tindakan. Jangan cuma diam dan membiarkan!! #UmatCerdas212Amblas</t>
  </si>
  <si>
    <t>@TSMusaHassan ISIS juga perlu digugurkan ban dimalaysia..</t>
  </si>
  <si>
    <t>so mananih netijen yang kemarin asbun banget ttg alasan kenapa orang indo seolah olah kuat banget daya tahan tubuhnya dan sampai bikin candaan dari bakal gaknya wni terdetect virus corona? buktinya udah ada tuh 4 wni yang terkena. :) penyakit kok dibecandain #coronavirus</t>
  </si>
  <si>
    <t>@hengki123prase1 @lazuardow ISIS mentalnya bagus, bom aja dia ledakin, badan sendiri pemberian Tuhan dia ledakin, apalagi badan orang lain, emang pemberani, mental baja</t>
  </si>
  <si>
    <t>@vanmuhammad2018 @berdhosa @detikcom Tengoklah isis, mayat seorang anak di masak terus di berikan kepada ibunya. Apakah and setuju dhn radikal ujungnya reroris. Krn radikal akan mendukung teroris kata rizik isis adalah saudara, jd harus di dukung. Fpi-isis-hti adaalh saudara kandung yg harus ditupas dunia</t>
  </si>
  <si>
    <t>[Terpopuler] Terpidana mati terorisme di Nusakambangan yang mengatakan ia berusaha menghindari baiat ISIS. "Saya tak boleh lengah dan bisa lewat, yang menghindar dimurtadkan dan darahnya halal untuk dibunuh mereka," cerita Ahmad Hassan.</t>
  </si>
  <si>
    <t>RT @aarisshaaa: " Sekuat apapun kamu menjaga , yang pergi tetap pergi " - dilan 1991</t>
  </si>
  <si>
    <t>@joelsinabalok @Wingkobabat17 @detikcom Teroris bkn ngga di tahan bambang, udah bnyak aksi melarang terorisme. Bhkan israel, USA, ISIS dll. Kamu malah ngedukung tindak kejahatan seksual. Kan goblok bambang</t>
  </si>
  <si>
    <t>Langkah evakuasi WNI di Kapal Diamond Princess tengah Dibahas.</t>
  </si>
  <si>
    <t>@galuholics Beda kayanya..tpi yg kuRT ini mereka longmarch untuk penerapan Shariah Law.. Mereka kabarnya korban isis juga</t>
  </si>
  <si>
    <t>Kok? Belum Dilengkapi Alat Penting Ini KRI dr Soeharso Siap Jemput 74 WNI di Diamond Princess Jepang</t>
  </si>
  <si>
    <t>RT @hiimamera: Dia tidak teriak Dia tidak menangis Dia tidak mencari simpati Dia tidak histeria Dia menyembunyikan semua rasa itu Berusaha tenang dalam peristiwa yang meragut separuh jiwanya.</t>
  </si>
  <si>
    <t>Mantan pendukung ISIS asal Indonesia, Aleeyah Mujahid, bukan nama sebenarnya, mengatakan tak bisa berkomentar ban...</t>
  </si>
  <si>
    <t>RT @matiitupasti5: @kontarOP @SuaraBiasa @PDRMsia Rt @Mxllan USA,UK,ECU dan 32 negara di seluruh dunia telah mengisytiharkan LTTE sebagai pengganas militan. Malahan pihak FBI telah mengesahkan LTTE sebagai kumpulan pengganas militan yang paling ganas di dunia, melampaui keganasan ISIS, mahupun Daesh.</t>
  </si>
  <si>
    <t>Pemerintah Siapkan Rencana untuk Evakuasi 74 WNI di Kapal Diamond Princess</t>
  </si>
  <si>
    <t>@seruanhl KPAI sdh lama mndul..kcuali ngursin ank2 ex ISIS</t>
  </si>
  <si>
    <t>@kompascom Supaya sukses melahirkan dan banyak anak itu mudah gabung saja dgn Group ISIS</t>
  </si>
  <si>
    <t>@Pang22Saudi @Chaterinee_08 @wiwikherma @PanRumbo @LNdhol @ISIS_Balik_NO @harset2013 @Finsensiadaeli @aguswahyu99 @tjhinfar21 @Aisyah19527681 @Nouna_jessica94 @Yos5Ku @wisanggeni_084 @stevy_mende @seruanhl @Kiaranastiti1 @hamka_sutra @PancasilaQu @ichigotalks Tetap SEMANGAT 👍 🙂</t>
  </si>
  <si>
    <t>tipu daya ISIS.. begtu masuk suatu negara mereka akan berudaha menguasai.. sama kaya HTI RT @Mr_Belutsch: They escaped from Sharia from their own countries and Now living in England they want Sharia.</t>
  </si>
  <si>
    <t>RT @wiwikherma: @realPriGim @PanRumbo @LNdhol @ISIS_Balik_NO @harset2013 @Finsensiadaeli @aguswahyu99 @tjhinfar21 @Aisyah19527681 @Nouna_jessica94 @Yos5Ku @wisanggeni_084 @stevy_mende @seruanhl @Kiaranastiti1 @hamka_sutra @PancasilaQu @ichigotalks Tingkyuuuu bang @realPriGim 😍</t>
  </si>
  <si>
    <t>@Izatranggi @shameelsalleh @SyedSaddiq yang ni masih tak sahih, ramai yang mempertikaikan dia sapa, dan ada isu ni saja timbul sebab nak saluran bantuan tu dapat dekat group dia yang menyokong ISIS. aku tk ingat sapa drop link tapi boleh pi cari sendiri, sewajar dengar pada kedua pihak bukan tengok highlight</t>
  </si>
  <si>
    <t>@Pang22Saudi @realPriGim @Chaterinee_08 @wiwikherma @PanRumbo @LNdhol @ISIS_Balik_NO @harset2013 @Finsensiadaeli @aguswahyu99 @tjhinfar21 @Aisyah19527681 @Nouna_jessica94 @Yos5Ku @wisanggeni_084 @stevy_mende @seruanhl @hamka_sutra @PancasilaQu @ichigotalks Aku sdh follback ya....🙏</t>
  </si>
  <si>
    <t>RT @Pang22Saudi: @realPriGim @Chaterinee_08 @wiwikherma @PanRumbo @LNdhol @ISIS_Balik_NO @harset2013 @Finsensiadaeli @aguswahyu99 @tjhinfar21 @Aisyah19527681 @Nouna_jessica94 @Yos5Ku @wisanggeni_084 @stevy_mende @seruanhl @Kiaranastiti1 @hamka_sutra @PancasilaQu @ichigotalks Aaahhhh ternyata mereka cuekin gua... buktinya gua masih BELOM di FOLLBACK ternyata.... 😏🙄🤔😊 @PanRumbo @LNdhol @ISIS_Balik_NO @harset2013 @aguswahyu99 @tjhinfar21 @Yos5Ku @wisanggeni_084 @stevy_mende @Kiaranastiti1 @ichigotalks</t>
  </si>
  <si>
    <t>RT @KatolikG: 700 WNI yang setia pancasila dan uud45, pembayar pajak dan hidup baik2 dimasyarakat sedang berjuang dalam sepi untuk mempertahankan IMB gereja. 600 WNI, membakar pasport, tidak membayar pajak, tidak setia pada pancasila dan UUD45 jadi perbincangan istana dan pemerintah.</t>
  </si>
  <si>
    <t>@realPriGim @PanRumbo @LNdhol @ISIS_Balik_NO @harset2013 @Finsensiadaeli @aguswahyu99 @tjhinfar21 @Aisyah19527681 @Nouna_jessica94 @Yos5Ku @wisanggeni_084 @stevy_mende @seruanhl @Kiaranastiti1 @hamka_sutra @PancasilaQu @ichigotalks Tingkyuuuu bang @realPriGim 😍</t>
  </si>
  <si>
    <t>#OmnibusLawPesananKomunis #OmnibusLawPesananKomunis WNI di Kapal Westerdam Pilih Lanjut Bekerja Usai Negatif Virus Korona</t>
  </si>
  <si>
    <t>@realPriGim @Chaterinee_08 @wiwikherma @PanRumbo @LNdhol @ISIS_Balik_NO @harset2013 @Finsensiadaeli @aguswahyu99 @tjhinfar21 @Aisyah19527681 @Nouna_jessica94 @Yos5Ku @wisanggeni_084 @stevy_mende @seruanhl @Kiaranastiti1 @hamka_sutra @PancasilaQu @ichigotalks Aaahhhh ternyata mereka cuekin gua... buktinya gua masih BELOM di FOLLBACK ternyata.... 😏🙄🤔😊 @PanRumbo @LNdhol @ISIS_Balik_NO @harset2013 @aguswahyu99 @tjhinfar21 @Yos5Ku @wisanggeni_084 @stevy_mende @Kiaranastiti1 @ichigotalks</t>
  </si>
  <si>
    <t>RT @S_ariffudin: Radikalism didepan mata. Mau sok2an mulangin penghianat eks WNI. MIKIR!!!</t>
  </si>
  <si>
    <t>Radikalism didepan mata. Mau sok2an mulangin penghianat eks WNI. MIKIR!!! RT @BadjaNuswantara: Katanya demo anti korupsi. Peserta monaslimin. Orasinya ttg Jokowi &amp; BTP. Bagian teriak2 "takbil" anak2. Demo gak jelas. Panitia udah gak sanggup bayar orang dewasa? Atau yg dewasa udah gak mau digobloki? #UmatCerdas212Amblas</t>
  </si>
  <si>
    <t>@deniatmojoo Masny ikut pramuka noob x ya, coba deh min jd anggota kek panitia kek, ikut lomba2, pasti gakan ngomong gt, ampe skrng w da ga ikut pramuka tp masih sering kumpul ex pramuka bahas baksos,jd relawan,santunan&amp; perubahan dunia😂😂😂 Ini tuh ibarat isis yg disalahin islam</t>
  </si>
  <si>
    <t>RT @bahasnain: @WahabisLokal Jangan hanya karena kelakuan beberapa oknum wni keturunan arab, kita mengecam begitu saja. Sebagian keturunan arab berjasa besar dalam kemerdekaan negeri ini. Banyak di antara pahlawan yg kita puja-puji sebenarnya juga keturunan arab.</t>
  </si>
  <si>
    <t>@Bangzul__88 @KPAI_official Kalo di Isis anak megang senjata. Fans mereka cuma megang rokok. Mueheheheh... #UmatCerdas212Amblas blas blas blas blas blas Take a beer</t>
  </si>
  <si>
    <t>1 WNA DAN 2 WNI DIDUGA TERPAPAR VIRUS KORONA #TauCepatTanpaBatas</t>
  </si>
  <si>
    <t>B.Pendapatan Nasional 1.GDP= C+I+G+(expor-impor) 2.GNP = GDP-produksi wna dlm negeri + produksi wni luar negeri 3.NNP = GNP-penyusutan 4.NNI = NNP- inderect tax + subsidi 5.PI = NNI+transfer-(iuran+retained payment+pajam perusahaan) 6.DI = PI - Direct Tax</t>
  </si>
  <si>
    <t>Alasan mundur : gabung isis RT @tersebat: Nih buat para cewe yg nanya kenapa cowo suka mundur tb² pas pdkt</t>
  </si>
  <si>
    <t>Terlibat TKI Ilegal, WNI asal Asahan Divonis Penjara di Malaysia</t>
  </si>
  <si>
    <t>@huget_awabiw @D4RKhunter_ @ISIS_Balik_NO @SopanSopianD @Fahrihamzah Ciri khas Bani togog dongo</t>
  </si>
  <si>
    <t>@Anna_MaSue untuk menutupi kegagalan mengurus negara, di ciptakan hoax, isu radikal radikul isis nkri dan pancasila dibentur2kan, mohon maaf kami rakyat jelatah sudah muak!</t>
  </si>
  <si>
    <t>@realPriGim @wiwikherma @PanRumbo @LNdhol @ISIS_Balik_NO @harset2013 @Finsensiadaeli @aguswahyu99 @tjhinfar21 @Aisyah19527681 @Nouna_jessica94 @Yos5Ku @wisanggeni_084 @stevy_mende @seruanhl @Kiaranastiti1 @hamka_sutra @PancasilaQu @ichigotalks Kita lestarikan Cagar Budaya dan Cagar Alam peninggalan Nenek Moyang kita utk Pariwisata yg membantu Ekonomi Rakyat Indonesia. #TangkapHaikalHasan</t>
  </si>
  <si>
    <t>Alasan cwok mundur pas pdkt : gabung isis RT @tersebat: Nih buat para cewe yg nanya kenapa cowo suka mundur tb² pas pdkt</t>
  </si>
  <si>
    <t>@ArifinNKRI_84 @andrajoleno Kasih tau mereka, mereka itu cocoknya ikut ISIS di Idlib Suriah.</t>
  </si>
  <si>
    <t>KBRI Kamboja: 362 WNI di Kapal Pesiar Westerdam Negatif Virus Corona</t>
  </si>
  <si>
    <t>@night_mimee egyahasjdkaiuatavwbdnd</t>
  </si>
  <si>
    <t>@MemehRahmawati @ISIS_Balik_NO @msaid_didu Ya biar semangat krj rakyatnya. Kurangi nyinyir biar hidup ga susah.</t>
  </si>
  <si>
    <t>Jubir presiden: WNI di Yokohama Jepang dievakuasi dalam waktu dekat</t>
  </si>
  <si>
    <t>Keputusan itu diambil setelah Pemerintah menggelar rapat teknis antara kementerian/lembaga terkait dan Pemerintah Jepang.</t>
  </si>
  <si>
    <t>RT @muhdnajib103: ye ah aku bodoh babtu asyik beria kat orang je</t>
  </si>
  <si>
    <t>isis semliwir rasane 😳 RT @narakweishin: @weitokki wooshin gapke sempak kalo sama wei</t>
  </si>
  <si>
    <t>#OmnibusLawPesananKomunis #OmnibusLawPesananKomunis Sepak Terjang KRI Dr Soeharso, Kapal Penjemput 74 WNI dari Jepang</t>
  </si>
  <si>
    <t>@detikcom @detikfinance Gila sumpah tu orang yang ngomong. Dia jg org indo, pnya ktp indo, di akui WNI. pada dongok kali ya yg ngomong gt. Mikir pake otak, jgn pake silit ngapa si. Kalo lu yg di omongin gt gimana perasaan lu? Mikir lahhh sblm ngebacot. Heran</t>
  </si>
  <si>
    <t>RT @CNNIDdaily: Pemerintah terus memantau 4 WNI anak buah kapal pesiar Diamond Princess yang positif terinfeksi virus corona. Pemerintah juga sudah menyiapkan kapal KRI Dr. Soeharso jika rencana penjemputan 74 anak buah kapal dari Indonesia jadi dilakukan. #CNNIDAfter10</t>
  </si>
  <si>
    <t>@detikcom Itu tanggung jawab semua, pengin 212 di jadikan spt HTI? atau di jadikan spt laten PKI? atau Anggota ISIS eks WNI?</t>
  </si>
  <si>
    <t>@ISIS_Balik_NO Wkwkwkwkwk....sampean gak tau siapa dia</t>
  </si>
  <si>
    <t>@FareezRosly @KhalidSamad @PDRMsia @TSMusaHassan @CTNurhaliza11 @tunfaisal @AdlyJebat @RajaPetra @PutriSufi3 tak boleh. ikut akhbar dua ada link dgn kepala isis lokal di luar negara. yg perlu selidik &amp; lapor kpd rakyat 12 ekor tu photo lovers. takkan mereka tak buat meeting, pengkaderan, latihan, ada aktiviti betmoif di malaysia. PH @KDNPUTRAJAYA @muhyiddin_my tak da maruah &amp;amp; bodoh?!</t>
  </si>
  <si>
    <t>Jubir Jokowi: Pemerintah Segera Evakuasi WNI dari Yokohama Jepang</t>
  </si>
  <si>
    <t>@Anna_MaSue Yg mustahil dinegeri ini dibuat jungkir balik bisa jadi ga mustahil lagi apalagi "politikus2,intelektual bayaran"akan bersalto dgn argumen2 "sahihnya",contoh UUD 1945 pasal 6 aja bisa diganti kok dgn menghilangkan kata "presiden asli pribumi indonesia diganti WNI saja"</t>
  </si>
  <si>
    <t>Pemerintah Akan Evakuasi 74 WNI di Kapal Pesiar Diamond Princess</t>
  </si>
  <si>
    <t>RT @kompascom: Keputusan itu diambil setelah Pemerintah menggelar rapat teknis antara kementerian/lembaga terkait dan Pemerintah Jepang.</t>
  </si>
  <si>
    <t>@kontarOP @SuaraBiasa @PDRMsia Rt @Mxllan USA,UK,ECU dan 32 negara di seluruh dunia telah mengisytiharkan LTTE sebagai pengganas militan. Malahan pihak FBI telah mengesahkan LTTE sebagai kumpulan pengganas militan yang paling ganas di dunia, melampaui keganasan ISIS, mahupun Daesh. RT @green18776956: Orang yg waras akal je yg boleh faham antara LTTE vs HAMAS</t>
  </si>
  <si>
    <t>Caranya sama persis spt Jihadist2 ISIS... Anak kecil di exploitasi... KPAI mana?? RT @CNNIndonesia: Anak Kecil Teriak dari Atas Mobil Komando Aksi 212: Takbil!</t>
  </si>
  <si>
    <t>RT @VICE_ID: Kepada VICE, otoritas Kurdi berharap Indonesia mau terlibat dalam pengadilan tersebut. Mereka mengaku tak mampu mengurus sendiri anggota jaringan teror berideologi khilafah itu.</t>
  </si>
  <si>
    <t>RT @ConversationIDN: Dendam dapat menjadi faktor pendahulu terjadinya teror di masa depan. Keputusan tidak memulangkan keluarga mantan pendukung ISIS perlu ditimbang ulang.</t>
  </si>
  <si>
    <t>RT @AliseSession: Jika Anda WNI di Victoria dan berencana untuk membuat driver’s license di VicRoa</t>
  </si>
  <si>
    <t>Positive thinking, bokapnya penumpang Ukrainian Airline 👍🏼 Padahal mah ISIS RT @kowalskuyy: Meledak di Iraq.</t>
  </si>
  <si>
    <t>Mahasiswa pekok... apa dasar hukumnya menolak kedatangan sesama WNI, apalagi seorang Presiden</t>
  </si>
  <si>
    <t>Jika Anda WNI di Victoria dan berencana untuk membuat driver’s license di VicRoa</t>
  </si>
  <si>
    <t>Dendam dapat menjadi faktor pendahulu terjadinya teror di masa depan. Keputusan tidak memulangkan keluarga mantan pendukung ISIS perlu ditimbang ulang.</t>
  </si>
  <si>
    <t>Pasukan Marinir Bergeser Ke Natuna Gelombang Ke Dua Pemulangan WNI Kapal Pesiar Dream World – Warta Kepri</t>
  </si>
  <si>
    <t>@ISIS_Balik_NO @msaid_didu Yang saya tanya salah pak SBY apa, dalam kasus ini, ...</t>
  </si>
  <si>
    <t>RT @el_C4ff22: @sumatragoldhunt @mas__piyuuu WNI ABK yg di kapal Diamond Prince bang, Kapal itu adanya di Jepang</t>
  </si>
  <si>
    <t>@spiderr__matrix Itu mantan isis dari NKRI gmn nasibnya???kl sampe bisa masuk LG NKRI gawat</t>
  </si>
  <si>
    <t>RT @tvOneNews: Presiden Jokowi mengatakan, saat ini pemerintah sedang mempertimbangkan opsi pemulangan terhadap 74 WNI yang negatif virus Corona di kapal pesiar Diamond Princess, di Pelabuhan Yokohama Jepang. Baca selengkapnya di  Sumber:  #NewsOne</t>
  </si>
  <si>
    <t>@woelannnn @jr_kw19 Hahahaha Wong keturunan ngarab spt wan aibon haikal dll Buat rusuh di Indonesia Usul. Cabut WNI nya balikin ke Arab sj Sesuai Habitatnya pigimane??? Hehehe</t>
  </si>
  <si>
    <t>Penampakan KRI dr Soeharso yang Siap Ditugaskan Jemput 74 WNI di Kapal Diamond Princess Jepang  via @tribunnews</t>
  </si>
  <si>
    <t>@iszul_60 ngaku aswaja tapi pemuja khilafah HTI n ISIS.. kan tolol namanya.. wkwkk</t>
  </si>
  <si>
    <t>males juga soalnya status wna gabisa beli juga kecuali punya istri/suami wni wkwkwkkwk</t>
  </si>
  <si>
    <t>"SaVE UIGhyur" "SaVe SuriAh" "PuLangKan Eks ISiS" RT @detikcom: Seorang orator menyingung 'jatuhkan Jokowi' dalam orasinya pada aksi 212. PA 212 menilai hal itu sebagai pernyataan pribadi, bukan mewakili suara massa.</t>
  </si>
  <si>
    <t>RT @GagakNeww2: Klo Korona kata Shomad Tentara Allah yg bela Uyghur,bgmn dg Gembel2 ISIS yg bunuh banyak Org dan Memperkosa wanita2 membunuh Ibunya,itu tentara Syetan atau Iblis..? @gadisresidu_b3</t>
  </si>
  <si>
    <t>@Sarip_oyong Nah ini....foto pasang yg agamis....liat bini orang netes tuh pejuh.... Yg perlu kalian Pelajari adalah....mengatur OTAK SELANGKANGAN...baru ke urusan politik</t>
  </si>
  <si>
    <t>@klelur028 Waspada pasca isis kalah</t>
  </si>
  <si>
    <t>@machbeach @BgawanKusuma @puspa_riyadi @budiyono97 600 ekor anggota ISIS itu... Memang seharusnya tidak dipulangkan, mereka cuma jadi wabah &amp; penyakit... Lagian pasport mereka sendiri yg bakar, skrg ngerengek minta pulang... 😂😂😂</t>
  </si>
  <si>
    <t>@Netsantuy ISIS Kali ya</t>
  </si>
  <si>
    <t>@Sarip_oyong @msaid_didu Mas ddudidu berjuang buat siapa kalo bukan buat blio ? Jaman bpk prihatin....mingkem kan ? Pernah anda denger dia Ngeluh ttg semua ucapan sby ?</t>
  </si>
  <si>
    <t>Mungkin, banyak WNI yang lebih fasih bahasa internasional daripada bahasa Ibu. RT @Dandhy_Laksono: Menurut Unesco, bahasa daerah di Indonesia punah setiap 15 hari sekali 1. Tak dipakai di rumah. 2. Tak dipakai di sekolah. 3. Frekuensi TV/radio dikuasai oligarki Jakarta. "Lu-gue" mewabah di daerah. 4. Sampean kakean gaya. Gur ngetwit ning jane ra peduli. Sing penting investor</t>
  </si>
  <si>
    <t>RT @yusuf_dumdum: Pesan buat @Kemenag_RI Fachrur Razi @DivHumas_Polri &amp; @mohmahfudmd Saya dengar menag mendukung 600 kombatan ISIS dipulangkan ke Indonesia dg alasan kemanusiaan? Jka benar, bukankah itu justru mengabaikan kemanusiaan lainnya ? Yg MENOLAK 600 kombatan ISIS dipulangkan RT &amp;amp; like!</t>
  </si>
  <si>
    <t>@haikal_hassan Dan tolong juga si WNI ketirunan ARab ini juga diawasi..disini juga numpang di NKRI..jgn boleh jadi provokator</t>
  </si>
  <si>
    <t>@TaliUdeng Tenan!!!! Lha ngunu Ono sing ngotot ex WNI pro ISIS mau di pulangkan. Hadech...????</t>
  </si>
  <si>
    <t>@tvOneNews Siapapun yg dukung ex.ISIS pulang ke Indo, adalah sebgai bukti mereka kelompok garis keras islam di Indo, krn itu mereka hrs diwaspadai demi keutuhan NKRI.</t>
  </si>
  <si>
    <t>Istana Tegaskan Evakuasi WNI di Kapal Diamond Princess Segera Dilakukan #TauCepatTanpaBatas #BeritaTerkini #Berita #News #BeritaNasional .</t>
  </si>
  <si>
    <t>@PakatDayak Siap...sdh terbukti keganasan Mandau ini...jangan sampai Mandau ini pindah ke tangan ISIS min. Miris</t>
  </si>
  <si>
    <t>RT @KontanNews: 74 WNI di kapal Diamond Princess akan dievakuasi dengan Jepang pakai KRI Soeharso</t>
  </si>
  <si>
    <t>RT @mbakyayukk: Di tebas isis</t>
  </si>
  <si>
    <t>Jepang Izinkan Indonesia Bawa Pulang 74 WNI dari Kapal Pesiar Diamond Princess</t>
  </si>
  <si>
    <t>@TSMusaHassan What about ISIS, DAESH sympathizer? Kalau ikut AG bolehla lepaskan semua ke?</t>
  </si>
  <si>
    <t>@elHurryKoRn Front Pembela ISIS</t>
  </si>
  <si>
    <t>@RahmatTran @detikcom koruptor itu penipu rakyat berarti mereka juga kelompok ISIS</t>
  </si>
  <si>
    <t>@Wenianindyar Jkt wen, wni dimanaa</t>
  </si>
  <si>
    <t>RT @kompascom: Pemerintah Jepang mengumumkan memberi lampu hijau bagi Indonesia untuk membawa pulang 74 WNI di kapal pesiar Diamond Princess | #Internasional</t>
  </si>
  <si>
    <t>@ISIS_Balik_NO @msaid_didu Apa salah pak SBY mas...</t>
  </si>
  <si>
    <t>@Dandhy_Laksono Perebakan fenomena "lu-gue" tu sampai orang Malaysia sangka semua WNI berbahasa begitu... Wisata keluarga saya ke Bukittinggi (kiranya mendalami suku sendiri - kami dari Negeri Sembilan) banyak buka mata saya tentang keterdekatan loghat kami dan sana...</t>
  </si>
  <si>
    <t>@weekdies Jd anggota isis</t>
  </si>
  <si>
    <t>@ISIS_Balik_NO @msaid_didu Wkqkq ente yg ngaku belajar agama aja bisanya cuma muja2. Udah tau agama dibenturkan dg pancasila ? Udah tau assalamualaikum mau diganti? Udah bayar bpjs blm? Udah baca UU naker omnibuslaw? Ud tau perampokan jiwasaraya n asabri?</t>
  </si>
  <si>
    <t>74 WNI di kapal Diamond Princess akan dievakuasi dengan Jepang pakai KRI Soeharso</t>
  </si>
  <si>
    <t>Polemik Malam Syukuran Pelepasan WNI dari Wuhan, Diduga Bawa Atas Nama Masyarakat Bakal Berbuntut Panjang</t>
  </si>
  <si>
    <t>@hussaenerh Dakanshi kamar na wni danake bi bashi😂</t>
  </si>
  <si>
    <t>RT @Baladuing1: Ada ratusan Temen2 @felixsiauw di sono. Eh, kenapa elu gak ikutan ISIS?.</t>
  </si>
  <si>
    <t>Cara2 ISIS dipake oleh Kadrun, klo ISIS menjadikan anak kecil sebagai mesin pembunuh, sedangkan Kadrun menjadikan anak kecil sebagai alat propaganda mereka untuk melawan Jokowi dan untuk mensosialisasikan Khilafah. @AnakKolong___ @narkosun @P3nj3l4j4h_id @7int4Putih @Bangzul__88 RT @GunRomli: Anak Kecil Teriak dari Atas Mobil Komando Aksi 212: Takbil!  Hah takbil? Taqbil kalau dlm bhs Arab artinya ciuman! Kok bisa anak kecil dipake buat demo, gimana nih @KPAI_official</t>
  </si>
  <si>
    <t>RT @HilalAsyraf: @mkhairulazri Itulah. Terkejut saya dengan kenyataan beliau. Lebih mengejutkan, masih ada kelompok yang memuji. Jadi tak salah ke ada gambar pemimpin ISIS dan menunjukkan rasa simpati kepada mereka? Gila.</t>
  </si>
  <si>
    <t>@Takviri Cara2 ISIS emang dipake oleh Kadrun, klo ISIS menjadikan anak kecil sebagai mesin pembunuh, sedangkan Kadrun menjadikan anak kecil sebagai alat propaganda mereka untuk melawan Jokowi dan untuk mensosialisasikan Khilafah</t>
  </si>
  <si>
    <t>@Dennysiregar7 Kadal gurun mah bebas, kelakuan dan tingkah surgawi, antek ISIS...</t>
  </si>
  <si>
    <t>@detikcom kayak gini eks WNI isis mau dipulangkan bisa nambah hancur nanti</t>
  </si>
  <si>
    <t>Pantes aja Klok ngebet ke Jakarta, Meski lewat transfer rahasia.. Ternyata biar cepet jd WNI 😅 RT @Indostransfer: Pergunjingan duniawi pagi ini dimulai dari sektor Jak Welcome 👀😂</t>
  </si>
  <si>
    <t>Curi dan Perdagangkan Masker, WNI di Hongkong Dijatuhi Hukuman Penjara</t>
  </si>
  <si>
    <t>@detikcom @detikfinance Ahok pasti wni. Pernah aggota dpr. Bupati. Dan gubernur. Sekarang komisaris pertamina. Kalo KADRUN Hanya anggota 212 hidup dijalan.</t>
  </si>
  <si>
    <t>@SamuelPHarahap @VIVAcoid @BPIPRI @PDI_Perjuangan @adianna70fans @DPR_RI @DPDRI @mohmahfudmd @jokowi Mas samuel isis juga ya? Kok tau banget agendanya isis. Cie ciee isis pki</t>
  </si>
  <si>
    <t>Haiii keluarga Matrix hari libur ini mau kemana nih ? mimin ada refrensi lokasi wisata, kemarin ramai tentang Kepulauan Natuna dari berita pengambilan ikan dan tempat karantina WNI dari China. Natuna merupakan…</t>
  </si>
  <si>
    <t>takjim (ت ) merah redi takjim dibuat oleh raja santek murid isis .dengan menggunakan genus dan minyak dari tumbuhan yang dikenal dengan Geremet dicampur dengan minyak hewani apabila orang kena takjim ini dia akan mengeluarkan darah terus seperti wasir kanker servik</t>
  </si>
  <si>
    <t>Baik fikir utk bantah keputusan AG tentang LTTE atau beri hak sama kpd ISIS RT @RashidYusoff11: Perjuangan mesti diteruskan! #MenujuMei2020</t>
  </si>
  <si>
    <t>RT @ChrisTetty: 65 WNI asal Jatim dari Wuhan tiba di Juanda disambut Gubernur Khofifah</t>
  </si>
  <si>
    <t>Virus Korona Menyebar di Kapal Pesiar World Dream, Ada 270 WNI di Dalamnya</t>
  </si>
  <si>
    <t>RT @tribunnews: Intip Penampakan KRI Dokter Soeharso yang Bakal Jemput 74 WNI di Kapal Diamond Princess  via @tribun_palu</t>
  </si>
  <si>
    <t>@KangOjeek Kenapa sih WNI takut banget ditilang. Bingung.</t>
  </si>
  <si>
    <t>WNI Pulang Dari Luar Negeri Dikarantina 24 Hari</t>
  </si>
  <si>
    <t>RT @Yeyen41020695: @Ngancel45 @Handi08322267 @caktegoeh @teguhch12 @Chris112255 @NengsihTitik_ @Sant_Tingwe @Bambali_Im @Putri___Nuraini @MuhJaenudin @alpin_aktam18 @klelur028 @Mas_Eko_Hartono @five_venus @NANAJAYA5 @bakuLideran @alpinsi_pandi @BatikRiwa @bhenytarika28 @rasaTersisa @BuNg4_Troto4R Jadilah WNI yg mencintai Kebudayaan kita sediri. No NGARAB. NO BARAT. KITA TETAP MEMPERTAHANKAN BUDAYA INDONESIA.</t>
  </si>
  <si>
    <t>@ISIS_Balik_NO @msaid_didu Dasar durian. Wooii..,jangan banyak khutbah deh loe. Kalau sarjana kehutanan gak tahu bhw serat kayu bisa jadi kain...,wajarlah dipertanyakan. Yg nyinyir sapa coba?! Sampai SBY di bw2. Silakan jilat junjungan mu sampai ledes. Tapi otak jgn ditinggal di rumah dong...😂😂</t>
  </si>
  <si>
    <t>Ngomong yg jelas pak. Gereja st joseph tjbalai karimun dibangun thn 1935, sblm ada peraturan konyol skb2 menteri hti. Jd tdk ada halangan utk renovasi gereja tsb, dan tangkap para pendemo krn mrk hti sipilnya isis. Atau bpk berpihak ke hti isis? RT @republikaonline: Jika sudah sesuai syarat Peraturan Bersama 2 Menteri, tak ada yang boleh menghalangi.</t>
  </si>
  <si>
    <t>@ISIS_Balik_NO @msaid_didu Hanya cm bilang kaget aja udah salah dimatamu. Padahal beliau lbh tinggi dr anda. Fakta.</t>
  </si>
  <si>
    <t>@okyprasetyo3 mending km ke wni aja, disitu kan ada wifinya</t>
  </si>
  <si>
    <t>Terimakasih @RRIPrograma3 @RRI dan TERIMAKASIH kepada SELURUH RAKYAT INDONESIA yang membantu Evakuasi Kemanusiaan dari Hubei -Natuna dan Gotong Royong Kemanusiaan menerima dgn tulus ikhlas 238 WNI ke daerah masing2 berkumpul bersama keluarga ~ #Jubir #BungJubir @JubirPresidenRI RT @RRIPrograma3: #LiveNow telewicara dengan Juru Bicara @jokowi Fadjroel Rachman @fadjroeL terkait persiapan Indonesia bersama ASEAN melawan Covid-19. Simak informasinya di #IndonesiaPagi PRO 3 RRI</t>
  </si>
  <si>
    <t>@ISIS_Balik_NO @msaid_didu Wkwkwk lha emang aneh kok. Bukan nyinyir. Tanya ke junjunganmu kenapa bisa ngga tau masalah perkayuan. Dulu kuliah apa kuli aahah😝</t>
  </si>
  <si>
    <t>WNI di Kapal Diamond Princess yang segera dijemput, akan menjalani observasi selama 2 kali 14 hari. #Liputan6SCTV</t>
  </si>
  <si>
    <t>WNI asal Asahan divonis 10 tahun penjara di Malaysia</t>
  </si>
  <si>
    <t>Teman Yang Menyukai Denny Siregar: TOLAK PEMULANGAN 600 WNI YANG TELAH BERGABUNG DENGAN ISIS - Tandatangani Petisi!  lewat @ChangeOrg_ID</t>
  </si>
  <si>
    <t>@msaid_didu Lalu...apa yg sebenarnya ingin ANDA KATAKAN ? Kekotoran likiran manusia akan sulit dibersihkan kalau anda tidak belajar AGAMA...belajar AHLAK DAN ADAB....Akankah anda selamanya akan NYINYIR sampe keluarga SBY jadj PRESIDEN ?</t>
  </si>
  <si>
    <t>Kombatan ISIS dilarang masuk #tolakekswniproisis</t>
  </si>
  <si>
    <t>Hallo @KPAI_official Ditunggu komentarnya ya...mohon jangan mingkem; jangan hanya berisik saat mantan WNI eks ISIS minta dipulangin!</t>
  </si>
  <si>
    <t>Hindari dampak dan bahaya ISIS eks WNI #tolakekswniproisis</t>
  </si>
  <si>
    <t>LTTE itu sekarang adalah hanya sebuah organisasi kebajikan. Lebihkurang macam "Persatuan Bekas Askar Jalankaki" atau "Pertububan Jahit-Menjahit Wanita Kg. Pisang" saja. Maka LTTE bukanlah seperti ISIS. Paham? RT @SuaraBiasa: Terima kasih pengundi PH, terima kasih AG, terima kasih PDRM, terima kasih Kerajaan Malaysia! Jasamu akan dikenang kami pd PRU15 #TanamPH #BubarParlimen #TipuRakyat</t>
  </si>
  <si>
    <t>ISIS kalah #tolakekswniproisis</t>
  </si>
  <si>
    <t>Pencabutan kewarganegaraan WNI terlibat ISIS tidak melalui pengadilan #tolakekswniproisis</t>
  </si>
  <si>
    <t>Semoga cepat berhenti virus coronanya dan wni di korea pada sehat semua aamiin..</t>
  </si>
  <si>
    <t>@KokoAsies_ ISIS YA ME DI CUENTA</t>
  </si>
  <si>
    <t>Ada ratusan Temen2 @felixsiauw di sono. Eh, kenapa elu gak ikutan ISIS?.</t>
  </si>
  <si>
    <t>Al Azhar : Penembakan Massal di Jerman Sama Brutalnya Dengan ISIS</t>
  </si>
  <si>
    <t>@alipahlevanirad Semoga keadaan semakin baik n terkendali. Khawatir jg apalagi byk WNI di Qom</t>
  </si>
  <si>
    <t>@jr_kw19 kerangkeng WNI keturunan yg hidup numpang di negri ini tapi merusak keutuhan persatuan Bangsa #TangkapHaikalHasan</t>
  </si>
  <si>
    <t>Intip Penampakan KRI Dokter Soeharso yang Bakal Jemput 74 WNI di Kapal Diamond Princess  via @tribun_palu</t>
  </si>
  <si>
    <t>@WahabisLokal Enaknya wni keturunan Arab di Indonesia,, cari uang dengan Jual AGAMA,, melepas syahwat tinggal pergi ke Puncak, Bogor. Asli WNI tinggal nonton kelakuan mereka n gigit jari,,, takut dilaknat WNI keturunan Arab. Ingat,, mereka sama sama manusia kayak ente,,, drunn</t>
  </si>
  <si>
    <t>RT @narkosun: 238 WNI dari Wuhan telah dipulangkan ke Indonesia. Tapi masih ada seorang WNI yg tertinggal di sana. Doakan semoga baik2 saja. Denger2 juga sdh ada anti virus yg bisa menyembuhkan Corona.</t>
  </si>
  <si>
    <t>RT @LanonJohor5: Pendakwaan ke atas penyokong tegar LTTE yg sah pengganas dibatalkan, muslimah yg ada dokumen ISIS yg belum tentu dia seorang ahli ISIS dipenjara 5tahun... ...masih lagi ada melayu yg ada mata tapi buta, ada telinga tapi pekak!!</t>
  </si>
  <si>
    <t>On duty yg gak on on banget sih. Dihubungi baru semalem jam 8, ada kekurangan 1 tenaga medis untuk bantu acara baksos. Sebagai wni yg baik aka menganggur, saya mah gas gas aja 😬🤣</t>
  </si>
  <si>
    <t>@detikcom Hehe..ada cara yg lbh baik dam manusiawi. Yi : hukuman mati tp yg suntik saja jd ga hrs biadap. Lalu berikan stigma sosial ke kelg nya sbg kelg koruptor. Maza harus ptong leher? Di agama kalian hal biadap itu biasa ya? Pantes ISIS kayak gt caranya.</t>
  </si>
  <si>
    <t>@Ivone_RSZ Sepertinya sudah lama koq. Jadi ingat ada jagal kejam isis yg konon berasal dari enggres</t>
  </si>
  <si>
    <t>Pemerintah menyiapkan dua rencana pemulangan 74 WNI dari Diamond Princess dan yang negatif Covid-19 akan melakukan observasi selama 28 hari. FER #Corona #VirusKorona #DiamondPricess #Jepang #Indonesia #LintasiNewsPagi #MNCTVNews</t>
  </si>
  <si>
    <t>@Ngancel45 @Handi08322267 @caktegoeh @teguhch12 @Chris112255 @NengsihTitik_ @Sant_Tingwe @Bambali_Im @Putri___Nuraini @MuhJaenudin @alpin_aktam18 @klelur028 @Mas_Eko_Hartono @five_venus @NANAJAYA5 @bakuLideran @alpinsi_pandi @BatikRiwa @bhenytarika28 @rasaTersisa @BuNg4_Troto4R Jadilah WNI yg mencintai Kebudayaan kita sediri. No NGARAB. NO BARAT. KITA TETAP MEMPERTAHANKAN BUDAYA INDONESIA.</t>
  </si>
  <si>
    <t>@Candraasmara85 @ApriliaLin @APLpangeran1 @BadjaNuswantara Aksi2 bela Islam yg terjadi di Indonesia saat ini hampir sama spt di Suriah, kelompok (ISIS) yg terus menerus propaganda, fitnah pemerintahan yg sah.</t>
  </si>
  <si>
    <t>Diamnya kaum Islam nasionalis membuat kelompok Intoleran berulah seenaknya,. Membuat teroris ISIS kembali mendapat tempat di tanah air. Ujiannya, krn seiman tdk berani bertindak saat pos jadi Masjid, sementara waktu yg bersamaan sebuah gereja di tuntut cabut IMB nya. @jokowi</t>
  </si>
  <si>
    <t>Aksi2 bela Islam yg terjadi di Indonesia saat ini hampir sama spt di Suriah, kelompok (ISIS) yg terus menerus propaganda, fitnah pemerintahan yg sah. RT @detikcom: Seorang orator menyingung 'jatuhkan Jokowi' dalam orasinya pada aksi 212. PA 212 menilai hal itu sebagai pernyataan pribadi, bukan mewakili suara massa.</t>
  </si>
  <si>
    <t>Yth. Presiden @jokowi kapan ada reshuffle lagi ? Kami titip agar @Kemenag_RI dibereskan, cukup sudah gaduh dibuatnya dari wacana merangkul ormas intoleran (penerbitan rekom MenAg tuk SKT Ormas) sampai terkini wacana memulangkan kombatan ISIS yg nyata telah tidak mengakui NKRI.</t>
  </si>
  <si>
    <t>@SinarOnline Kena gugurkan juga kalau cam tu mana2 yg sokong isis? Memililki buku2 perjuangan mereka? Pelik malaysia baru ni ya</t>
  </si>
  <si>
    <t>Sejumlah WNI di Jepang, rencananya akan dievakuasi menggunakan KRI Soeharso dan kembali dalam waktu 14 hari pelayaran.</t>
  </si>
  <si>
    <t>@sahaL_AS Hindari saling mnghujat n menghina..itu bukn budaya kita. Kenapa semakin kesini, kita mudah sekali mengeluarkan cacian n makian terhadap sesama anak negeri. Bukankah Islam mngajarkan bahwa perbedaan itu rahmat. Mari tanamkan kembali tutur kata yg sopan n santun kpd smua WNI.</t>
  </si>
  <si>
    <t>Malaysia tak aman kerana terdapat penyokong pengganas LTTE yg terlepas hukuman. Penyokong ISIS dipenjara tp tidak penyokong LTTE. Bersorak India dgn ngauman kemenangan! RT @KasthuriPatto: AG discontinues criminal proceedings against LTTE 12! Great news!</t>
  </si>
  <si>
    <t>@haikal_hassan Kenapa anda benci banget ma China.. mereka pernah buat negara kita jadi hampir jd komunis? Itu tahun berapa? Nah gw gak pernah denger anda bicarakan kekejaman ISIS padahal yg mereka bunuh juga kaum muslim juga banyak jadi korbannya.. masih jadi ustad kan?? Kenapa skrg spt orator?</t>
  </si>
  <si>
    <t>RT @RahmatTran: @detikcom Khas ISIS, menipu!</t>
  </si>
  <si>
    <t>@salahsambungya Sentimen ke China kok keliatannya kaya Mamarika ya? Pdhl kalo dr sisi "perjuangan" agama harusnya mereka anti Mamarika dgn segala bukti keturut-campurannya menghancurkan negara2 Islam. Di sisi lain mereka sering teriak ISIS bentukan Mamarika. Apakah itu artinya mereka juga sama?!</t>
  </si>
  <si>
    <t>Golden Future: Isu ISIS pengaruhi donasi untuk pengungsi Suriah.</t>
  </si>
  <si>
    <t>@RizmaWidiono @DivHumas_Polri @BareskrimPolri @CCICPolri Sekalian itu @KPAI_official ngurusin anak2 yg ikut demo, jgn asyik mikirin anak2 ISIS penghianat bangsa saja.</t>
  </si>
  <si>
    <t>HEADLINE: Evakuasi 74 WNI di Kapal Diamond Princess, Lewat Laut Lebih Ampuh Cegah Virus Corona?</t>
  </si>
  <si>
    <t>@sylar159 Ape jadi ek kt perempuan yang ade buku ISIS tu? Masih kene penjara ke?</t>
  </si>
  <si>
    <t>[FOTO] – Pemerintah Kirim KRI dr Soeharso Untuk Evakuasi WNI di Jepang</t>
  </si>
  <si>
    <t>Tdk ada dampak positif andaikan ISIS itu ditampung! Masalah intoleran yg tjd selama ini saja Anda @Kemenag_RI blm bisa menyelesaikan dgn baik, malah mendatangkan masalah baru. Jgn menambah polemik, kpn Indonesia ini akan maju jika terus dibuat gaduh. #DukungJokowiBerantasISIS</t>
  </si>
  <si>
    <t>RT @alva_roe_lee_: Pemerintah Siapkan Opsi Evakuasi WNI dari Jepang  lewat @pedoman_id</t>
  </si>
  <si>
    <t>@mehmetk_ksk @JahidRahman @ShehabiFares @RTErdogan Isis sharmoooootah</t>
  </si>
  <si>
    <t>Negara dlm bayang2 ISIS</t>
  </si>
  <si>
    <t>NKRI adalah National State... WNI ditentukan bukan oleh karena agamanya apa... Jadi seharusnya tidak ada istilah kafir dan segala macamnya... sebutan kafir juga bukan monopoli dr kaum muslim, non muslim jg menyebut kafir bagi yg tidak se aliran.. Paham drun?</t>
  </si>
  <si>
    <t>Dimana-mana sudah pada teriak melawan intoleransi. Tapi dimana-mana tetap saja ada prilaku Intoleran. Sementara Menag kerjanya cuma urus Kombatan ISIS. Parah kan...! #NegeriIntoleran</t>
  </si>
  <si>
    <t>@syahredzan Kes2 ISIS dan tuduhan kpd orang Islam perlu dilihat &amp; disemak semula.Dgn menjdi tokoh2 LTTE di dlm profile FB &amp;amp; hp tdk diklasifikasikn trlibat dlm gerakan terorist.Dgn memiliki 12 naskah buku juga tdk boleh mjustifikasi beliau adlh teroris.Kes LTTE wajib jdi rujukan utk kes lain.</t>
  </si>
  <si>
    <t>@republikaonline min.. ndak ada berita tentang pemulangan WNI kita yang di jepang and indonesia sudah berhasil membuat vaksin virus coronanya belum ya..</t>
  </si>
  <si>
    <t>Khilafah memang isu yg sangat sexy utk menggoyahkan Kekuatan Islam itu sendiri.. Terbukti dg semoat Hitsnya ISIS yg berjualan Khilafah utk menarik pengikutnya. Dan Nyatanya skrng mereka teriak2 ingin minta diselamatkan. KHILAFAH hanya Ilusi utk Iman yg lemah #IlusiNegaraKhilafah RT @GusbacheV: Giveaway GA Chapter 11 (Buku ke-89 ~ 98) Dlm NKRI tk ada tempat lg bg sebutan “kafir” thd warganya yg non-Muslim, krn status mrk adl warga negara (citizen), bkn kafir dzimmi, aplg kafir harbi. #IlusiNegaraKhilafah</t>
  </si>
  <si>
    <t>RT @mesintaipburuk: Jangan salah faham... yg sokong LTTE saja bebas, yg sokong ISIS tetap akan ditangkap &amp; didakwa Bukan rasis tp itulah basis yg dipakai AG! #selamatkanmalaysia</t>
  </si>
  <si>
    <t>@detikcom Komisi Perlindungan Anak Isis</t>
  </si>
  <si>
    <t>@wisanggeni_084 @basuki_btp @pertamina Ini pengngugsi suriah ya.. seolah olah atribut Islam itu bisa menunjukkan paling Islam. Ingat Allah melihat orang yg paling Taqwa bukan paling kencang teriak takbirnya, sebab Isis juga takbir tapi untuk bunuh orang.. ayolah sadar kita sedang jadi budak nafsu.. ngaji ngaji..</t>
  </si>
  <si>
    <t>@yusuf_dumdum Paling yg demo kalau bukan ISIS ya gerombolan HTI dan FPI alias kadal gurun 👾</t>
  </si>
  <si>
    <t>Keturunan ISIS gak dikasih ampun. Saban ari nuntut negara mulangin dan minta maap sama keturunan PKI di luar negrih 👀 Apakah aku sudah terdengar seperti kadrun yang sedikit masuk akal?</t>
  </si>
  <si>
    <t>SILAHKAN beragama SILAHKAN tidak beragama SILAHKAN meyakini Tuhan SILAHKAN tidak meyakiniNYA . . . Yang penting ; JANGAN ada PKS, propagandis khilafah, kelompok Intoleran, ormas radikal, TENGKU ZULKARNAIN &amp; EKS WNI PRO ISIS diantara KITA. . . .</t>
  </si>
  <si>
    <t>Seorang WNI Dihukum Karena Curi Dan Perdagangkan Masker Di Hong Kong  #Hukum #masker</t>
  </si>
  <si>
    <t>1. Semu orang kembali terusik atas pemulangan "eks WNI ISIS" bener kan? Kita lupa, terorisme tdk 'ujugujug' jadi begitu saja, tapi ada proses dan tahapan yg dilalui, harusnya kita fokus di ranah 'penyebab' yaitu ideologi d/atau pemahaman yg intoleran.</t>
  </si>
  <si>
    <t>Tidak cukup tutup mata terhadap kejadian Intoleran penutupan gereja, internal gereja pun di rusakinya. Segera reshuffle @Kemenag_RI ini krn bukan cuma menteri satu agama tp menteri ISIS juga. #TolakPulangkanKombatanISIS</t>
  </si>
  <si>
    <t>@cilorseblak Seorang psikologpun g akn mampu meluruskan stiap kadrun yg otaknya keblinger krn sdh d brainwash dgn ayat dan iming2 surga. Klo mereka sdh g d ksh ruang/panggung, ruang geraknya d batasi dn akhirnya mrasa KALAH mcam ISIS, bru mereka sdar, tp msh pura2 sadar.😁😁.</t>
  </si>
  <si>
    <t>Semoga anda bisa konsisten Pak ManAg..🙏 Menghadapi kaum intoleran saja anda sdh nggak sanggup, bagaimana jika ex WNI pro ISIS dibawa pulang? Kalo jalan dan jembatan aspal atau beton rusak masih bisa diperbaiki, tapi jika jalan toleran rusak, jalan peradaban akan terhenti...😔😥</t>
  </si>
  <si>
    <t>@detikcom Khas ISIS, menipu!</t>
  </si>
  <si>
    <t>Masih mau buat tagar #KasihanJokowi??? Pak jokowi itu petarung tangguh, jgn mudah ragu. asah ISIS sengaja dibuat rame, agar ular2 bludak pada keluar sendiri, setelah itu baru digebuk. Langkah 1 tdk akn pulangkan isis. Langkah 2 reshuffle. Ke 3 sikat intoleran.</t>
  </si>
  <si>
    <t>@hamdeeeh Tak adil betul.. yg dulu kes siti aishah buat thesis pasal isis kena tangkap sebb ada buku² berkaitan isis.. kena penjara kot.. adakah sebab die seorang melayu?</t>
  </si>
  <si>
    <t>RT @hendralm: Assalamualaikum buat orang orang yang pro menerima kembali eks ISIS buat di tinggal di Indonesia 😇😇😇😇😇😇😇😇😇😇😇</t>
  </si>
  <si>
    <t>238 WNI dari Wuhan telah dipulangkan ke Indonesia. Tapi masih ada seorang WNI yg tertinggal di sana. Doakan semoga baik2 saja. Denger2 juga sdh ada anti virus yg bisa menyembuhkan Corona.</t>
  </si>
  <si>
    <t>@__isis1 Agml isis f ldonia,bhbbk♥️♥️♥️</t>
  </si>
  <si>
    <t>@kasehsaulmouk @ursweetgrinder @detikcom @detikfinance @basuki_btp Jadi menurut kamu keturunan China itu WNA dan keturunan Arab itu WNI? Belajar yang baik ya...semua pemegang KTP / Paspor Indonesia adalah WNI.</t>
  </si>
  <si>
    <t>Orang orang yang pro ektrimis dan agamis garis mentok itu diekspor saja ke basis ISIS, biar ngerasain kehaluan mereka menjadi nyata. Nanti paling juga minta dijemput pulang.</t>
  </si>
  <si>
    <t>RT @Aryprasetyo85: Pemerintah Siapkan Opsi Evakuasi WNI dari Jepang “Ya ini dalam proses persiapan tapi belum kita putuskan. Rumah sakit juga kita siapkan, tapi urusan yang berkaitan dengan tempat belum diputuskan,” kata Presiden di Kabupaten Pelalawan, Riau, Jumat</t>
  </si>
  <si>
    <t>@sultanorhan11 @DOengkara @CNNIndonesia Bukannya FPI itu Front Pembela Isis??</t>
  </si>
  <si>
    <t>RT @AhlulQohwah: Jangan heran jika arrahmah yg dikelola anak Abu Jibril terkesan menyudutkan ISIS, bukan krn mereka anti terorisme, tapi krn pd dasarnya mereka memang fansboi al Qaeda. Sama2 teroris wahabi takfiri, cuma beda standpoint saja di krisis Suriah.</t>
  </si>
  <si>
    <t>kalau saya pakai dp ketua isis, agak2 kena tahan x?</t>
  </si>
  <si>
    <t>RT @MalayCyberForce: Pendakwaan ke atas penyokong tegar LTTE yg sah pengganas dibatalkan, muslimah yg ada dokumen ISIS yg belum tentu dia seorang ahli ISIS dipenjara 5 tahun... ...masih lagi ada melayu yg ada mata tapi buta, ada telinga tapi pekak!!</t>
  </si>
  <si>
    <t>RT @mediaindonesia: Negatif Korona, 334 warga negara Indonesia (WNI) yang bekerja sebagai kru kapal pesiar MS Westerdam yang sedang berlabuh di Kamboja, memilih melanjutkan pelayaran, Sabtu (22/2).</t>
  </si>
  <si>
    <t>@salahsambungya gue curiga nih si @haikal_hassan sakit hati banget sama WNI keturunan Tionghoa aka Cina yg dia sebut itu, gegara dulu sempat ditolak cinta sama amoy kali ya?</t>
  </si>
  <si>
    <t>@Indostransfer Ke pss gantiin Alfonso atau ke persija setelah klok jadi wni👀</t>
  </si>
  <si>
    <t>Betul Hancur ...yg ketawa China ...si Ahok copot sekalian pulangin ke habitatnya China,walau sudah WNI tetep aja China perusak ,sipenista agama... RT @fachri_kh: Jeng Sri, Yasonna, dan Fachrul pantas diganti Kalo bisa tambah Mahfud MD Gak ada faedahnya Belum lagi Muhajir, Nadiem. Tjahjo Kumolo, semua cuma merusak sistem pengelolaan negara Negeri ini makin ancur-ancuran Contohnya produk revisi UU KPK dan RUU Cilaka</t>
  </si>
  <si>
    <t>RT @SlametMuslim: @AhlulQohwah @WahhabiCC @narkosun @GagakNew @TolakBigotRI @PartaiSocmed @Takviri @elHurryKoRn @WagimanDeep__ @wakilgubernurKW @ImamWM @arrahmah @BadjaNuswantara @wiradisuta @chairulachir Mengingat kebengisan ISIS, wajar apabila ada yg lupa bahwa yang merusak Suriah bukan hanya ISIS saja, melainkan juga Jabhat al Nusrah, yg sudah ganti merk jadi HTS…Simak pendapat Imam Besar Masjidil Al Aqsa dr thn 2015..."mereka hanya bertempur demi kekuasaan"</t>
  </si>
  <si>
    <t>HATI2 TIPU MUSLIHAT ISIS / EX ISIS ......BERBAHAYA BAGI NKRI....TOLAK !!! KEPULANGAN EX ISIS.....AKAN TIMBUL VIRUS BARU. Serahkahkan ke.Mahkamah international</t>
  </si>
  <si>
    <t>Hallo @KPAI_official bs ngurusin yg begini selain eks WNI yg dilatih Isis di sono ..?</t>
  </si>
  <si>
    <t>@abgrara @NgaKorMing Isis tak simpan gambar. Dia Bom Dan Bunuh orang sesuka hati , bunuh orang sendiri sebab keadilan!</t>
  </si>
  <si>
    <t>@joaovmariga KAKDJAKDJAKEJEK iditoa</t>
  </si>
  <si>
    <t>Hahaha lg kemasukan "Ruhul Kudus". Dengarin tuh Habib Qurais Shihab, Najwa Shihab, HRS, Ketua PBNU Aqil Siraij, Wantimpres Habib Lutfie Bin Yahya, Anies Baswedan. Kita WNI keturunan Arab cuma numpang di NKRI. Pencerahan yg menyegarkan 😂 copas dari akun  RT @Hsafardan: Buka lebar mata lo Korek2 telinga lo Woiii.... Kalian warga keturunan Arab. Jangan bikin galau di NKRI. Kalian numpang disini!!! Btw Kita sudah baik2 terima mereka. Ehhh mereka malah Ngelunjak. BajiGur #TangkapHaikalHasan</t>
  </si>
  <si>
    <t>RT @_firhxn: Ape function senam jogging cycling klau smoking ..mati cepat gak</t>
  </si>
  <si>
    <t>@Anna_MaSue @Pandeka_Cyber Syarat calon presiden : WNI sejak kelahirannya... Apa Ahok sejak lahir sudah WNI?...</t>
  </si>
  <si>
    <t>Student yg ada buku pasal isis pun kena penjara. Dorang pakai cable besar Ooo...power2 RT @BernamaTV: 12 orang yang dituduh menyokong kumpulan pengganas LTTE akan dibebaskan selepas Jabatan Peguam Negara memutuskan untuk memberhentikan prosiding terhadap mereka - Peguam Negara</t>
  </si>
  <si>
    <t>@agamzarifin Jenggotnya ky isis</t>
  </si>
  <si>
    <t>@__ChusnulCh mungkin diorg mahu Ahok jd Gub DKI utk atasi banjir. Semoga Ahok terus berkhidmat utk WNI. Aamiin</t>
  </si>
  <si>
    <t>RT @noeruzzaman: Ini serius? Seputar Rekrutmen Komponen Cadangan Pertahanan: Incar Milenial, WNI Eks ISIS Boleh Gabung, hingga Kampanye Lewat Medsos</t>
  </si>
  <si>
    <t>RT @Airin_NZ: Apkh @Kemenag_RI paham dgn gambar in? bbrp wktu lalu ad ank kecil teriak bunuh ahok. Ad juga pawai ank TK pegang snjata. Lalu bbrp hri in ad wacana pmulangn ex WNI pro ISIS. Apkh msi kurang menakutkan it smw? Smpe sampean pulangin ex WNI pro ISIS pak @Kemenag_RI ? #ISISGoToHell</t>
  </si>
  <si>
    <t>RT @ridwan0726: Masih ingat pawai obor Ramadhan 2017, saat anak2 didoktrin ormas ilegal (saat ini) utk "Bunuh Ahok Sekarang Juga"🤔 Menag menghadapi yg seperti ini saja tdk selesai2 hingga saat ini 🙄, apalagi urus yg 600 eks ISIS?!? #TolakEksWNIproISIS #KhilafahTertolakDiNKRI #BubarkanFPI</t>
  </si>
  <si>
    <t>Ketika lg keringetan mulu dan keringet buntet dileher. Lalu memilih kerudung yg agak panjang, tinggal masuk, dan adem. Ada aja yg comment 🙎Lo kya wni yg mnta d pulangin dr suriah 👩 iy dong. Gue bom mau lo? **the end**</t>
  </si>
  <si>
    <t>74 WNI di Jepang Segera Dievakuasi</t>
  </si>
  <si>
    <t>Ya ampun 212 bukannya udh di bulan desember kok ada lagi sih?? Udh itu ngatur2 segalahal. 🙂 hadeh lu semua bilang aja kagak demen ahok. Bawa2 rakyat bawa2 negara. Bukannya lupada ga demen sm negara indonesia. Kan antek2nya ISIS RT @detikcom: "Pak Ahok kita minta dalam waktu satu bulan dari sekarang supaya mundur. Pertamina adalah perusahaan milik negara, milik rakyat, kami tidak rela Ahok menjadi komisaris utama milik rakyat," tuturnya. via @detikfinance</t>
  </si>
  <si>
    <t>@Takviri Mirip kelakuan ISIS</t>
  </si>
  <si>
    <t>Negatif Korona, 334 warga negara Indonesia (WNI) yang bekerja sebagai kru kapal pesiar MS Westerdam yang sedang berlabuh di Kamboja, memilih melanjutkan pelayaran, Sabtu (22/2).</t>
  </si>
  <si>
    <t>@GunRomli @KPAI_official Mirip pasukan "boneka" ISIS sdh kena Brain Washed</t>
  </si>
  <si>
    <t>@aidilmubarock @helmi75 @zarazettirazr Tuh kan elu pasti ngamuk klo dewa Kristen Katolik lw disinggung lw nyadar gak KLO rezim ini dr dulu gak adil? Klo kafir pelakunya kyk OPM respon pemerintah lemot toleran bahkan diundang ke istana giliran muslim kyk ex ISIS ini tegas brutal paham gak lu?</t>
  </si>
  <si>
    <t>Ini dia alasan mengapa Indonesia menolak pemulangan WNI eks ISIS.. Baca selengkapnya..  #MataMataPolitik</t>
  </si>
  <si>
    <t>@TofaTofa_id PNS bisa kaya raya semenjak @jokowi jadi Presiden maksud lo ? Kagak nyadar.....lo sampe bengek terkurap2 dlm tahanab dan yg repot bini lo jual aer mata ?</t>
  </si>
  <si>
    <t>MENOLAK KEBERADAAN ISIS!!!!</t>
  </si>
  <si>
    <t>KRI Soeharso disiapkan di Dermaga Komando Armada II Surabaya sebagai opsi penjemputan 74 WNI yang menjadi kru Kapal Pesiar di Jepang.</t>
  </si>
  <si>
    <t>@ursweetgrinder @detikcom @detikfinance @basuki_btp Memang Yang Berjaung Memerdekan Negeri Ini Siapa? Cina? Lu tahu ahok menjadi wni saat usia berapa, tahun berapa?</t>
  </si>
  <si>
    <t>@dipoalam49 @panca66 @SBYudhoyono Bergerk, bertindak lah pak utk indonesia, sekarang, karena udah oleng, sbagi wni sya prihatin dan tidak bisa berbuat</t>
  </si>
  <si>
    <t>@schumss @ustadtengkuzul Kadrun itu para pemuja ISIS dan pembela teroris...</t>
  </si>
  <si>
    <t>@detikcom Liat tuh yg item2 ky pasukan ISIS</t>
  </si>
  <si>
    <t>RT @Joss_Van_Dick: Waspada lebih baik daripada menyesal. Sebaiknya jangan pernah memberikan tumpangan kepada orang asing siapa pun, dalam perjalanan, apalagi larut malam,... Sebarkan video ini, kirimkan ke semua kerabat Anda. Terima kasih .</t>
  </si>
  <si>
    <t>@haikal_hassan kok ane yakin ya misale suatu saat Indonesia diinvasi China banyak dr WNI malah akan menyambut mereka dgn suka cita</t>
  </si>
  <si>
    <t>@RachlanNashidik @msaid_didu Ini yang gagal paham. Omnibus law telah menjadi salah 1 ketentuan di NKRI. Adalah menjadi kewajiban seluruh WNI untuk mematuhi ketentuan negara. Bukan soal siapa presiden yang mengesahkan. Bahkan jika Prabowo sekalipun yang jadi presiden yang mengesahkan, harus diikuti ketentuan.</t>
  </si>
  <si>
    <t>@kasehsaulmouk @ursweetgrinder @detikcom @detikfinance @basuki_btp Ini pasti ISIS yg ngomong...musuh pancasila Kesel ya temen nya gak boleh balik ke indonesia hehehe</t>
  </si>
  <si>
    <t>RT @sweethellena: Entah apa pertimbangan pemerintah sampai ada opsi evakuasi dgn KRI Dr Soeharso ini. Makan waktu dan biayanya juga pasti nggak sedikit. Kapal laut medis yg njemput kan juga bukan kapal kosong. Saya personally prihatin dgn kru WNI di atas Diamond Princess krn banyak hal.</t>
  </si>
  <si>
    <t>RT @sweethellena: Total perjalanan evakuasi via laut adalah 34 hari pulang-pergi Indonesia - Jepang. Katakanlah durasi pulang dan perginya sama, WNI di Diamond Princess hrs menunggu 17 hari utk dijemput, utk kemudian menghabiskan 17 hari lagi di laut utk sampai di Indonesia.</t>
  </si>
  <si>
    <t>@permadiaktivis @GheaKulisolaya Mau bahas LAPINDO ? Atau Hancurnya Peradaban Jakarta ?</t>
  </si>
  <si>
    <t>RT @msaid_didu: WNI di Ausie sangat serius memikirkan negerinya</t>
  </si>
  <si>
    <t>Evakuasi 74 WNI, Pemerintah Lancarkan Diplomasi ke Jepang</t>
  </si>
  <si>
    <t>Kekacauan Narasi Soal ISIS  lewat @suaraislamco</t>
  </si>
  <si>
    <t>RT @AnakKolong___: PIDATO KAHAR MUZAKKAR | Begundal DI/TII Simak seruannya : 1. Khilafah 2. Mengatasnamakan umat Islam Indonesia 3. Rezim otoriter 4. Anti Pemerintah &amp; Pancasila 5. Rakyat Tertindas &amp;amp; Menderita Seruannya sama dgn anak² Ideologi IM(PKS), FPI &amp;amp; Hizbut Tahrir saat ini.</t>
  </si>
  <si>
    <t>Jangan salah faham... yg sokong LTTE saja bebas, yg sokong ISIS tetap akan ditangkap &amp; didakwa Bukan rasis tp itulah basis yg dipakai AG! #selamatkanmalaysia</t>
  </si>
  <si>
    <t>RT @wahhabicc_jabar: BEGINILAH KWALITAS yg di-ngustad-kan! Membaca Ayat Suci saja SALAH! pake DIPOTONG! Artinya apa? Tidak berhati² sejauhmana dia harus menjaga KALAM ILAHI. Sebelahnya manggut² tok! Pdhal Jika tahu salah, yaa benerin! Entah jika sama² gak paham! #TangkapHaikalHasan</t>
  </si>
  <si>
    <t>Halah alasan aja, padahal dikasihkan ke isis RT @RT_com: PentaGONE! US Department of Defense somehow loses $715mn worth of weaponry... And expects public to buy the ‘we weren’t keeping inventory’ excuse</t>
  </si>
  <si>
    <t>@muhyidinkay @lord_sbt @SalmaBrecht @jokowi Jangan fitnah .. FPI / HTI tidak pernah mndukung isis tapi mendukung gerakan utk menumbangkan basar asad yg antek rusia /syiah iran tapi lagi" amerika israel main sandiwara menipu umat islam sunni..</t>
  </si>
  <si>
    <t>Bagaimana Status Kewarganegaraan WNI yang pernah Bergabung dengan ISIS (Eks ISIS)? Untuk informasi lebih jelas dapat menghubungi kami: W.A: 081284643316 Website:  Email: aplikasipengacaraindonesia@gmail.com @KADIN_Indonesia @BPPHIPMI</t>
  </si>
  <si>
    <t>@__yellows @jishaq1 Wae culture😭😭😭💔💔💔💔, Allah ya isa wlh, dama wni ya kama shi ya masa dan iskan duka🤧</t>
  </si>
  <si>
    <t>@santo5o Salam Pancasila yg lagi tren 😂 kehabisan isu soal isis ga ada yang respon, beralih ke salam Pancasila 😂</t>
  </si>
  <si>
    <t>@muhyidinkay @lord_sbt @SalmaBrecht @jokowi Ape kamu ngk tau ISIS itu hanya sandiwara kepentingan bisnis Amrik &amp; rusia dgn Israel sbg sutradaranya.jadi WNI yg ikut ISIS cuma korban tipuan israel begitu juga wahabi kecuali Salafi moderat garis lurus.</t>
  </si>
  <si>
    <t>@hula4uu @Mus6ey @Google @Waspapping_ Ohh 😂😂wni primary kayi</t>
  </si>
  <si>
    <t>26 April 2017 Siti Noor Aishah 30 dijtuhi hkumn penjara 5tahun slps didpti bslah memiliki 12 buah buku berkaitan kump penggns (isis) 21 Feb. 2020 Peguam Negara gugur dkwaan trhdp 12 org yg sblom ini didakwa mmpunyai &amp; mnympn doc² berkaitan sbuah prtubuhn pnggns (LTTE) Ko rasa!? RT @ZNazim2: Malaysia baru. Kumpulan pengganas akan mendapat pembelaan. Lepas ni jgn terkejut pula, semua bekas pengganas Parti Komunis Malaya (PKM) akan di anggap perajurit dan negarawan.</t>
  </si>
  <si>
    <t>@negativisme Krn pernah di isis, mgkn malah di daulat sama kadrun2 itu utk 'memimpin' dan menjadikan tauladan buat anak2 yg lain utk ikut bergerak/bergabung😵 Yg didemo dia mulu krn kadrun/temen2nya was was ga dpt jatah lagi 😅</t>
  </si>
  <si>
    <t>RT @JinNyinyir: @hera0498 @LusiHQ @JL_Apatheia @EL_Atheos @spektrumku Tuduhan tidak berdasar jika dikatakan phobia, orang takut dengan Islam itu adalah hal yg wajar setelah membaca isi quran dan yg dipertontonkan oleh ISIS.</t>
  </si>
  <si>
    <t>RT @salahsambungya: Kalau tujuannya cintai produk lokal, harusnya tinggal bilang stop gunakan barang impor / setidaknya kurangi penggunaan barang impor. Masalahnya kan niat orang ini memang provokasi, jadi ya gak heran yang dibahas Cina melulu.</t>
  </si>
  <si>
    <t>@Penyuka_ombak @DiantyYasmin3 Terutama biangnya... FPI dan 212 memang ,mereka2 itu yg mencuci otak pengikutnya sdh seperti ISIS ...Bangsaaaat memang mereka</t>
  </si>
  <si>
    <t>Kesehatan 238 WNI dan 5 orang tim aju dari wuhan dijamin kesehatannya</t>
  </si>
  <si>
    <t>RT @KontanNews: Kemenkes: Tiga WNI yang masih di Wuhan China sudah sehat  #VirusCorona</t>
  </si>
  <si>
    <t>@DOengkara @CNNIndonesia Emang FPI &amp; ISIS ada hubungannya ya?</t>
  </si>
  <si>
    <t>@geloraco Persis sinetron Dunia Terbalik...! Korupsi kian menjadi,tapi yg di salahkan HTI,FPI...! Radikalismelah,Terorismelah,ISIS lah... Kok kambing hitamkan orang si..? Bicaranya kok pada Aneh ya...!</t>
  </si>
  <si>
    <t>@adriankusaihir1 @helmi75 @zarazettirazr ??? Tambah ngaco lagi sekarang. Stastus WNI bagi OPM itu nggak ngaruh? Malah bawa agama mental victim, jadi eks ISIS itu nggak muslim radikal? Jadi OPM itu radikal Kristen?? Logika anda dimana? Anda tau nggak pelaku terorisme berawal dari WNI alqaeda yang balik dari Afganistan</t>
  </si>
  <si>
    <t>@mellowdy_D15 @27_dermawan malang yaa?? d lawang isis,ak g bgun2 hbs sholat subuh msh selimutan,,😁😁</t>
  </si>
  <si>
    <t>EVAKUASI HARUS SESUAI WHO . KRI dr Soeharso Siap Ditugaskan Jemput 74 WNI di Kapal Diamond Princess . Selengkapnya Baca Harian Pagi Tribun Jateng Edisi Sabtu, 22 Februari 2020. #diamondprincess #coronavirus #koronavirus #corona #korona #viruskorona #viruscorona</t>
  </si>
  <si>
    <t>RT @narkosun: Siapa kmrn yg haramkan musik?? Dengerin tuh suara pak Somad yg sedang nyanyi. Masih berani haramin? Sebelum haramin, kamu duluan yg diharamin ngomong. Somad dilawan...🤭</t>
  </si>
  <si>
    <t>Politisasi agama dan cerita isis yg merajalela serta para warga bangsa yg rata rata berpenampilan timur tengah tapi malah saling menyalahkan saudaranya sendiri. #PA212SelamatkanBangsa #IntoleransiMerusakNKRI #TangkapHaikalHasan</t>
  </si>
  <si>
    <t>Berita populer nusantara kali ini berisi tentang pengakuan seorang napi menolak dibaiat oleh ISIS dan susur sungai SMPN di Sleman berujung petaka.</t>
  </si>
  <si>
    <t>@isis_artusi KSKSKAKWWKWJSIDIDSIUS</t>
  </si>
  <si>
    <t>@hera0498 @LusiHQ @JL_Apatheia @EL_Atheos @spektrumku Tuduhan tidak berdasar jika dikatakan phobia, orang takut dengan Islam itu adalah hal yg wajar setelah membaca isi quran dan yg dipertontonkan oleh ISIS.</t>
  </si>
  <si>
    <t>Tudingan tanpa ada rincian dan bukti , lagi pula milik rakyat ? Emng yang sekarang bukan WNI ? Lutju RT @detikcom: "Pak Ahok kita minta dalam waktu satu bulan dari sekarang supaya mundur. Pertamina adalah perusahaan milik negara, milik rakyat, kami tidak rela Ahok menjadi komisaris utama milik rakyat," tuturnya. via @detikfinance</t>
  </si>
  <si>
    <t>RT @jawapos: Curi dan Perdagangkan Masker, WNI di Hongkong Dijatuhi Hukuman Penjara</t>
  </si>
  <si>
    <t>@DeadlockHeaven bkn gt .skrg para muslim nuduh isis bkn islam.-,-,krna mmang yg bkn golongan halal dbnuh,smntra 10 printah tur sina dlrang mmbnuh.spa begok?</t>
  </si>
  <si>
    <t>Malu gais kalo kita yg emang WNI tp kurang cinta tanah air:')</t>
  </si>
  <si>
    <t>@AJangJoDo @Ari3Pras @timursuprabana @jokowi Iya.. isis bikin jatuh korban dirumahku Indonesia.. dan memunculkan org2 model kamu..</t>
  </si>
  <si>
    <t>RT @jawapos: Jokowi Bilang Iya, 74 WNI di Kapal Diamond Princess Langsung Dijemput</t>
  </si>
  <si>
    <t>RT @dubie_tina: 😂😂😂😂 Maklumin aza daah Kitaaa krn Kaum Arab BADU RADIKAL ISIS HTI TALIBAN KAYA PKS FPI PA212 GNPFUI Gak Akan Pernah Bisa Menerima Kemajuan Zaman krn Terbiasa Hidup JAHILIYAH ! ! Buat Sy mrk Virus 🦠 Corona yg Sebenar2nya di Bumi NKRI ! 🤟😎🤟</t>
  </si>
  <si>
    <t>😂😂😂😂 Maklumin aza daah Kitaaa krn Kaum Arab BADU RADIKAL ISIS HTI TALIBAN KAYA PKS FPI PA212 GNPFUI Gak Akan Pernah Bisa Menerima Kemajuan Zaman krn Terbiasa Hidup JAHILIYAH ! ! Buat Sy mrk Virus 🦠 Corona yg Sebenar2nya di Bumi NKRI ! 🤟😎🤟 RT @sipenakecil: Ngakak aja lihat tingkah mereka! Ahokkkk aja yg dibahas😊😄 Yg lain dah bahas blackhole dan quantum paradoks, eh ini penista aja dibahas😄 Lucu ga sih?? Jawab jujur😄</t>
  </si>
  <si>
    <t>RT @Elmayora3: Kami tidak butuh pernyataan. Kami butuh Tindakan, Keadilan dan Kedamaian. #TolakkombatanISIS</t>
  </si>
  <si>
    <t>Pemerintah terus komunikasi dengan Jepang untuk evakuasi 74 WNI</t>
  </si>
  <si>
    <t>@tvOneNews @karniilyas Kalau ISIS menang, mungkin males balik ke indonesia 😂</t>
  </si>
  <si>
    <t>RT @MLuqmanhakim__: Lagi satu nak elak plagarism dari Turnitin app , Copy statement tu pastu paste dekat Quillbot , ayat kau akan berpusing 360 darjah tapi membawa maksud yg sama . Automatic zero plagiarism. Melainkan assignment kau tu melibatkan ayat Al-Quran, Hadith or Philosophy</t>
  </si>
  <si>
    <t>RT @radar_malang: Curi dan Perdagangkan Masker, WNI di Hongkong Dijatuhi Hukuman Penjara</t>
  </si>
  <si>
    <t>@FirzaHusain Rijik !! Otak mesum pendukung ISIS &amp; omongannya penuh Fitnah jg kebencian. Jancook 😡</t>
  </si>
  <si>
    <t>RT @sangkumaali: @syahredzan Keluarga Mangsa2 yg dituduh ISIS buat tindakan mahkamah dan minta peguam untuk tuntut pampasan dan kebebasan mereka segera..walau pun anda melayu anda tetap rakyat malaysia.justice for all.</t>
  </si>
  <si>
    <t>Penataran P4 Kalau Jan pada ASN Dan pejabat publik sangat lah Salah. Setiap wni harus tau mengerti tentang nilai nilai, prilaku tindakan sesuai Pancasila, sebagai dasar negara Republik Indonesia.</t>
  </si>
  <si>
    <t>@haikal_hassan Berarti twit ini ditujukan buat para pendukung sampeyan, karena yang selalu provokasi teriak anti dan usir china, bahkan pada WNI keturunan sekalipun itu pendukung sampeyan.</t>
  </si>
  <si>
    <t>RT @ratu_adil: Dampak framing Dungu Pesantren soal ISIS Semua ISIS = Teroris Bagaimana kalau judul berita ini saya balik? "Jangan Sampai Indonesia Dianggap Membiarkan Terorisme WNI terus panaskan Timur Tengah" 🌐</t>
  </si>
  <si>
    <t>@Balistta Dari pade Elu Warga Terorist Isis 😁😁😁</t>
  </si>
  <si>
    <t>RT @Morodi5: Apa sih jasanya HRS bagi rakyat Indonesia? Klo mau berperan bg rakyat, pulang ke Indonesia. Ikut membina Umat bukan malah memprovokasi dari jauh. WNI keturunan sdh diterima baik di bumi Nusantara. Sehrsnya ikut membangun Nusantara bkn spt Haikal Hassan ini. #TangkapHaikalHasan</t>
  </si>
  <si>
    <t>@detikcom Itu kalo anak isis pulang ke indonesia pasti ikut juga g ya...</t>
  </si>
  <si>
    <t>RT @ana_khoz: 200-an juta WNI berhak hidup tanpa teror &lt;&amp;lt;&amp;lt; Ponpes yang Mau Tampung Eks ISIS Kecewa Berat: Pemerintah Gak Waras</t>
  </si>
  <si>
    <t>RT @ReiMichie99: @dhe_enoily Islam 212= ISIS Artinya mrk² smua yg kumpul d monas itu para militan ISIS</t>
  </si>
  <si>
    <t>RT @dominicus_nico: Kirain bakal rehat agak lama nih, ternyata tidak. Senang deh para WNI akhirnya ada kerjaan lagi. Siapa yang berani bilang mereka adalah penganggur?</t>
  </si>
  <si>
    <t>RT @ReiMichie99: @dhe_enoily Mrk itu ga mau krn ahok pandai dan pintar brantas korupsi. Faktanye para pngusung KHILAFAH(ISIS) ingin mnguasai pertamina tuk KKN.</t>
  </si>
  <si>
    <t>Sebagian besar mahasiswa yang hadir merupakan penerima beasiswa otonomi khusus Pemprov Papua dan Papua Barat. Ketua Ikatan Mahasiswa Papua USA-Canada, Manuel Heselo, Ketua PERMIAS OSU, Augelvin Dermaga, serta WNI di Oregon juga turut hadir. @Kemlu_RI @KBRIWashDC #Indonesianway</t>
  </si>
  <si>
    <t>@weekdies ngikut isis</t>
  </si>
  <si>
    <t>RT @evndari: Mari berjuang bersama-sama unt menegakkan Ketuhanan YME, semua WNI bebas beribadah sesuai agama dan keyakinan</t>
  </si>
  <si>
    <t>@kasehsaulmouk @ursweetgrinder @detikcom @detikfinance @basuki_btp Bapak bisa buktikan kalo pak ahok itu org pendatang RRT?! Masuk indonesia tahun berapa, hah?! Kalo emg bener dia bukan WNI mari kita gugat karna dia berani2nya jadi pejabat negara!</t>
  </si>
  <si>
    <t>Aplikasi Safe Travel Kemlu, Fungsi &amp; Keuntungan untuk WNI</t>
  </si>
  <si>
    <t>Presiden Jokowi Secepatnya Akan Ambil Keputusan Evakuasi WNI di Kapal Diamond Princess</t>
  </si>
  <si>
    <t>@Parapat_Nixon @PDI_Perjuangan Sekda DKI pngikut "islam" aliran SESAT (ISIS). Apapun yg negatif bagi dia &amp; mrk adalah "surga". Kluarganye pun slalu &amp;amp; slalu mkan uang HARAM.</t>
  </si>
  <si>
    <t>WNI kru Kapal Dream World akan dijemput menggunakan kapal milik TNI AL.</t>
  </si>
  <si>
    <t>Rojava Information Center melaporkan setelah penyerbuan itu, ada peningkatan jumlah serangan yang diklaim oleh sel tidur ISIS di wilayah tersebut. Tak seperti di Irak, para tahanan ISIS di wilayah Kurdi tidak dijatuhkan hukuman mati.</t>
  </si>
  <si>
    <t>Aksi Turun Jalan Formal 212, Tolak Wacana Pemerintah Pulangkan ISIS</t>
  </si>
  <si>
    <t>RT @radar_malang: Jokowi Bilang Iya, 74 WNI di Kapal Diamond Princess Langsung Dijemput</t>
  </si>
  <si>
    <t>Jokowi Bilang Iya, 74 WNI di Kapal Diamond Princess Langsung Dijemput</t>
  </si>
  <si>
    <t>"Ada kemungkinan ISIS memperbarui diri, menyusun rencana dan kembali menguasai wilayah di Suriah dan Irak," Omar mengutarakan. Pada Oktober 2019, setelah Trump menarik diri dari perbatasan, Presiden Turki Recep Tayyip Erdogan memerintahkan serangan yang membuat SDF terdesak.</t>
  </si>
  <si>
    <t>@isis_ceo Jah Jah Binxxx</t>
  </si>
  <si>
    <t>Onjah?</t>
  </si>
  <si>
    <t>Melihat kondisi serba terbatas ini, ada kekhawatiran ISIS bangkit kembali. Lagi pula, menurut Omar, kelompok teroris ini masih menjadi ancaman lokal dan internasional. Pihak Kurdi takut ISIS menyusun kembali rencana untuk membebaskan para tahanan.</t>
  </si>
  <si>
    <t>Otoritas lokal Suriah melobi agar tahanan ISIS diadili oleh pengadilan internasional, tetapi permohonannya ditolak karena Dewan Keamanan PBB tidak memberi persetujuan. SDF mengatakan mereka kekurangan sumber daya dan kesulitan menjaga keamanan wilayah.</t>
  </si>
  <si>
    <t>Banyak negara yang menolak kepulangan pejuang ISIS, sehingga para tahanan merana di tahanan kotor dan sempit. Pihak Kurdi berharap negara-negara yang warganya pernah menjadi militan ISIS—seperti Prancis, Belgia, AS, Norwegia dan Indonesia—mau bekerja sama dalam mengadili mereka.</t>
  </si>
  <si>
    <t>Saat ini, mantan prajurit Negara Islam Irak dan Syam (ISIS) mendekam di penjara-penjara dan kamp-kamp Rojava, wilayah otonom di Suriah Utara yang dikuasai orang Kurdi. Mayoritas milisi Kurdi dari Pasukan Demokratik Suriah (SDF) berperan penting dalam mengalahkan ISIS di Suriah.</t>
  </si>
  <si>
    <t>RT @kbri_tehran: Yth. Bapak/ibu WNI &amp; Diaspora Indonesia di Iran...Mari kita terus menjaga dan melindungi diri dari ancaman virus Corona, selalu waspada dan lakukan tindakan2 pencegahan. Semoga kita semua diberi kesehatan oleh Tuhan YME... Amin #IndonesianWay #Inidiplomasi @Kemlu_RI @octavino</t>
  </si>
  <si>
    <t>@kasehsaulmouk @ursweetgrinder @detikcom @detikfinance @basuki_btp Cina itu cuma keturunan, warga negara tetap WNI, goblok amat kali</t>
  </si>
  <si>
    <t>Pemerintah akan segera menjemput 74 warga negara Indonesia (WNI) yang saat ini masih di atas kapal pesiar Diamond Princess di Jepang</t>
  </si>
  <si>
    <t>RT @alfa_qry: Ini bkn lg urusan kemanusiaan tapi ini urusan NASIONALISME... Knpa mereka msh saja disebut sebagai WNI..??? mereka itu warga negara ISIS..!!! Semudah itukah kewarganegaraan suatu bangsa dipermainkan..??? #TolakEksWNIproISIS</t>
  </si>
  <si>
    <t>WNI x ISIS x Toxic Masculinity x Mati lampunya Kantek x x x</t>
  </si>
  <si>
    <t>Suku Bangsa Asing yg di WNI kan untuk dijadikan Pejabat Negara Cocoknya jadi Anggota DPRD Kab. Prov. &amp; DPR Pusat karena untuk mewakili rakyatnya di Daerah &amp;amp; di Pusat.</t>
  </si>
  <si>
    <t>RT @EkoSeputro13: Mantul Bapak Presiden @jokowi Menag ke mana ?! kok kagak ngurusin intoleransi ini ?! Lha kok malah sibuk ngurusin para Janda Eks.ISIS ,🤣🙈🤭 #gantimenag</t>
  </si>
  <si>
    <t>Kapal MS Westerdam sempat ditolak oleh 5 negara karena kekhawatiran terhadap corona.</t>
  </si>
  <si>
    <t>@unnesmenfess Mau diajak apapun, ternyata mau diajak masuk isis</t>
  </si>
  <si>
    <t>Rocky Gerung bersama WNI di Amerika.</t>
  </si>
  <si>
    <t>@mkini_bm ISIS x boleh digugurkan......sbb bukan dr kaum sebangsa dgn ketua AG...</t>
  </si>
  <si>
    <t>An bankado shirin ISIS na kai hari wani wajen bauta a Ingila - in ji ɗan kunan bakin wake</t>
  </si>
  <si>
    <t>@SamuelPHarahap @VIVAcoid @BPIPRI @PDI_Perjuangan @adianna70fans @DPR_RI @DPDRI @mohmahfudmd @jokowi Kok bisa jd isis? Jauh bgt kagak nyambungnya.</t>
  </si>
  <si>
    <t>@BeaFonseca21 @xxxxxxxxjuan @Ryan_gomes021 Pp rt Kkkkkkkkkkkkkkk</t>
  </si>
  <si>
    <t>@detikcom @detikfinance Ahok jg rakyat. Dan sebagai WNI, Ahok berhak jadi pejabat di BUMN. Gw jg rakyat dan dukung Ahok jd Komut Pertamina. Dan msh bnyk rakyat kyk gw yg dukung Ahok. Udah deh, buat kaum 212, jngn selalu bawa nama rakyat. Mayoritas rakyat gk dukung 212. RT @detikcom: "Pak Ahok kita minta dalam waktu satu bulan dari sekarang supaya mundur. Pertamina adalah perusahaan milik negara, milik rakyat, kami tidak rela Ahok menjadi komisaris utama milik rakyat," tuturnya. via @detikfinance</t>
  </si>
  <si>
    <t>@Rickster_75 @Julietknows1 Soros? Bloomberg? ISIS?</t>
  </si>
  <si>
    <t>@gunturcoeeggggg anda pacaran sama anggota isis apa gimana?</t>
  </si>
  <si>
    <t>RT @sjamsu_rahardja: Stok Air di Batam Hanya Cukup Sampai Mei, Warga Batam Diimbau Berdoa Halaman. Tidak heran WNI makin relijies</t>
  </si>
  <si>
    <t>@kasehsaulmouk @ursweetgrinder @detikcom @detikfinance @basuki_btp Rasis kau !!. Belum tentu nasionalisme elu lebih besar dr pada ahok. Dan ahok lahir dan besar di indonesia. Berarti dia WNI etnis tionghoa.Dia py hak dan kwjiban yg sm sbg warga negara. Bumi ini milik tuhan. Bkn py moyang lu. Jd siapun dimanapun berhak tggl di manapun di bumi ini</t>
  </si>
  <si>
    <t>@tvOneNews @fadjroeL: Mau mengelak ? ...  Menit 6.50 ...  Mengapa Hizbut Tahrir Membenci Arab Saudi…?!  Soal Bendera Rasulullah, Propaganda Bohong HTI dan ISIS RT @fadjroeL: Mau mengelak? Ini pentolan HTI jelas2 menolak Pancasila, NKRI, UUD1945. #HTIsudahDILARANG #HTIsudahDIBUBARKAN</t>
  </si>
  <si>
    <t>@tvOneNews Daripada perduli terhadap Kombatan ISIS yg telah bermutasi menjadi monster, alangkah lebih bijak memperdulikan korban teroris yang ada di depan mata yaitu balita korban teroris di Samarinda dan korban teroris di Surabaya, jakarta, bali.</t>
  </si>
  <si>
    <t>@MalaysiaGazette Keluarga Mangsa2 yg dituduh ISIS buat tindakan mahkamah dan minta peguam untuk tuntut pampasan dan kebebasan mereka segera..walau pun anda melayu anda tetap rakyat malaysia.justice for all.</t>
  </si>
  <si>
    <t>Politisasi Pemulangan ISIS, Mahasiswa Bandung Raya Kecam Pernyataan Emil.  #ridwankamil #emil #ISIS #MahasiswaBergerakMelawan #Mahasiswa #pelajar #tolakisis #Bandung #MahasiswaBandungRaya</t>
  </si>
  <si>
    <t>@umnoonline Keluarga Mangsa2 dan UMNO yg dituduh ISIS buat tindakan mahkamah dan minta peguam untuk tuntut pampasan dan kebebasan mereka segera..walau pun anda melayu anda tetap rakyat malaysia.justice for all.</t>
  </si>
  <si>
    <t>@suakeris Keluarga Mangsa2 yg dituduh ISIS buat tindakan mahkamah dan minta peguam untuk tuntut pampasan dan kebebasan mereka segera..walau pun anda melayu anda tetap rakyat malaysia.justice for all.</t>
  </si>
  <si>
    <t>@limweijiet Keluarga Mangsa2 yg dituduh ISIS buat tindakan mahkamah dan minta peguam untuk tuntut pampasan dan kebebasan mereka segera..walau pun anda melayu anda tetap rakyat malaysia.justice for all.</t>
  </si>
  <si>
    <t>Kewaspadaan Virus copid-19 ditingkatkan, WNI di Diamond Princess akan diobservasi 28 hari</t>
  </si>
  <si>
    <t>@bharianmy Keluarga Mangsa2 yg dituduh ISIS buat tindakan mahkamah dan minta peguam untuk tuntut pampasan dan kebebasan mereka segera..walau pun anda melayu anda tetap rakyat malaysia.justice for all.</t>
  </si>
  <si>
    <t>@syahredzan Keluarga Mangsa2 yg dituduh ISIS buat tindakan mahkamah dan minta peguam untuk tuntut pampasan dan kebebasan mereka segera..walau pun anda melayu anda tetap rakyat malaysia.justice for all.</t>
  </si>
  <si>
    <t>@MalaysiaGazette Keluarga Mangsa2 yg dituduh ISIS buat tindakan mahkamah dan bayar peguam untuk tuntut pampasan dan kebebasan mereka segera..walau pun anda melayu anda tetap rakyat malaysia.justice for all.</t>
  </si>
  <si>
    <t>@ogysugiyono persiapan menyambut kombatan ISIS.....</t>
  </si>
  <si>
    <t>Bayangkanlah kalau: -Penjawat awam non-Malay kena pukul sampai mati sebab rusuhan orang Islam -Pengganas ISIS yang ditahan oleh kerajaan boleh sambut hari raya, kes digugurkan. Mesti orang Melayu Islam akan digelar sebagai pengganas oleh aktivis-aktivis kemanusiaan,.</t>
  </si>
  <si>
    <t>@GunRomli @KPAI_official Sangat sadis,anak kecil di peralat ISIS banget</t>
  </si>
  <si>
    <t>Tidak apa-apa masuk angin asal jangan masuk ISIS. Nanti pulang-pulang cuma tangannya aja.</t>
  </si>
  <si>
    <t>@tvOneNews Fajroel Rachman: Mau mengelak ? ...  Menit 6.50 ...  Mengapa Hizbut Tahrir Membenci Arab Saudi…?!  Soal Bendera Rasulullah, Propaganda Bohong HTI dan ISIS RT @fadjroeL: Mau mengelak? Ini pentolan HTI jelas2 menolak Pancasila, NKRI, UUD1945. #HTIsudahDILARANG #HTIsudahDIBUBARKAN</t>
  </si>
  <si>
    <t>Gubernur Jateng Kirim 41 Ribu Masker untuk WNI di 3 Negara Selengkapnya:  #rmoljateng #berita #news #beritaterkini #beritaterbaru #beritaviral #viral #politik #pemerintah #partai #parpol #hukum #kriminal #ekonomi #olahraga #jawatengah #KlikRMOL</t>
  </si>
  <si>
    <t>Bukti bahwa Radikal ISIS, HTI lebih berbahaya dari teoris.. Cekidott guys 👇🏻👇🏻</t>
  </si>
  <si>
    <t>RT @DOengkara: @CNNIndonesia Habis potong tangan, potongannya tangannya suruh di makan gerombolan FPI. Mending kalian pergi saja bantu ISIS sana,,karakter kalian cocok di sana</t>
  </si>
  <si>
    <t>@jokowi Mudahan bandung semakin maju, ma'af pak presiden bangunnan didaerah kami kapan ya pk, kmpg ktmb kab palas(padang lawas) sumut, ditmpt km masih ada dua kubu / dua desa blm jlas setatus kami masuk kepemerintahan yg mana kami ingin kejelasan walaupun wni 90kk semoga mendpt klykn.</t>
  </si>
  <si>
    <t>@RiriJreeng Wah, cuantiknyooo...bisa lah kau temani para teroris dan anggota ISIS di syurga, buat mereka menyesal 😂</t>
  </si>
  <si>
    <t>RT @RadioElshinta: Bagi WNI pelajar/pekerja di Tokyo, atau Anda yang sedang berkunjung ke Tokyo: Pemerintah Metropolitan Tokyo mengumumkan beberapa info penting seputar berbagai upaya menahan penyebaran virus COVID-19, yang mungkin mempengaruhi kwalitas pengalaman Anda di Jepang. via @KBRITokyo</t>
  </si>
  <si>
    <t>Secara fasilitas, KRI Dr. Soeharso dinilai telah memadai. Joko menyebut saat ini masih ada yang harus dimodifikasi, terutama pada ruang isolasi.</t>
  </si>
  <si>
    <t>@Dipo_AN @Indostransfer Makannya persija berani beli mahal.. krn calon wni</t>
  </si>
  <si>
    <t>RT @shiitenews110: Kaladam #SipaheSahaba K #Takferi #Hackers Ky Cyber Hamlon Ka Khatra, Hassad Idaron Ma Khalbali Mach Gaye  #BanASWJ #ISIS</t>
  </si>
  <si>
    <t>Cara ngelupain kamu adalah dicuci otak sama isis</t>
  </si>
  <si>
    <t>@uniqnyauni iyaa lu mah pantesnya masuk isis aja</t>
  </si>
  <si>
    <t>@elHurryKoRn Mungkin dia anggota isis mas, orang yang memperlihatkan nasionalisme kok dibilang lebay. Jangan² dia itu bagian dari kelompok yang bilang kalo hormat sama bendera itu haram, bisa jadi kan? Atau waktu sekolah dulu, upacara sering bolos.. 😑</t>
  </si>
  <si>
    <t>@detikcom @detikfinance Ente kan rakyat ISIS. Ahok itu NKRI.</t>
  </si>
  <si>
    <t>@CNNIndonesia Habis potong tangan, potongannya tangannya suruh di makan gerombolan FPI. Mending kalian pergi saja bantu ISIS sana,,karakter kalian cocok di sana</t>
  </si>
  <si>
    <t>@Fahmibisyir @ISIS_Balik_NO @SopanSopianD @Fahrihamzah Emak bapak kau ANJENK</t>
  </si>
  <si>
    <t>@Gaa_Zoo Biadab</t>
  </si>
  <si>
    <t>Kemenkes: Tiga WNI yang masih di Wuhan China sudah sehat  #VirusCorona</t>
  </si>
  <si>
    <t>@wahhabicc_jabar Wow, Abu Jibril masih bebas berkeliaran, yang anaknya diakui tewas di Idlib bergabung dgn kelompok Al-Qaeda (JN/HTS)</t>
  </si>
  <si>
    <t>Kenapa harus dideportasi ya? Apalagi pasti menggunakan penerbangan sipil. Apakah @KemenkesRI memang tidak siap dan tdk punya fasilitas? Ingat ada WNI yg saat ini terjangkit corona di Jepang. Kalau dibalas bagaimana?? RT @SEACoronavirus: Indonesian Immigration Authority deported a Japanese National who was “suspected” of #COVID19, officials said that the person has a close contact with one confirmed case #coronavirus #SARSCoV2 #CoronaOutbreak</t>
  </si>
  <si>
    <t>RT @DhimNov: @berjalanbahagia @sandalista1789 @fullmoonfolks @OscarLolang ada ga alasan selain embel2 komunis, khilafah, isis, memecah belah NKRI..basi bos</t>
  </si>
  <si>
    <t>RT @CNNIDdaily: Pemerintah terus memantau 4 WNI anak buah kapal pesiar Diamond Princess yang positif terinfeksi virus corona. Pemerintah juga sudah menyiapkan kapal KRI Dr Soeharso 909, jika rencana penjemputan 74 anak buah kapal dari Indonesia, jadi dilakukan.</t>
  </si>
  <si>
    <t>Hebat tomy Thomas byk kes yg dia handle menang LGE terowong mng Sapie bedal rasuah mng Bunuh amah mng Kes Ltte yg terang2 mengaku sokong mng.yg klh perempuan Melayu yg ada buku ISIS.polis baik buat Road blok jer la dr buang masa tangkap penjahat msk Court lwn tomy confirm klh.</t>
  </si>
  <si>
    <t>RT @airlanggakusum4: @zarazettirazr Gimana mo laporkan. Menterinya aja gak paham dan gak melihat bagaimana dunia serius dalam menangani wabah virus corona ini. Contohnya, penangangan WNI dari Cina aja cuma disemprot desinfektan spt menyemprot wereng coklat di sawah. Karantina pun spt kemah pramuka.</t>
  </si>
  <si>
    <t>RT @SUNNYNAVODAYAN: @QuoVadi98199025 @rangakush @srivatsayb bhai isis bhi join kr leta tb bhi ab tk koi photo aa jati uski</t>
  </si>
  <si>
    <t>@QuoVadi98199025 @rangakush @srivatsayb bhai isis bhi join kr leta tb bhi ab tk koi photo aa jati uski</t>
  </si>
  <si>
    <t>Seminggu ini kami pulang diatas jam 10, malam ini kami keluar kantor jam 12 lewat. Sabtu-Senin bsk walau libur pasti posisi kami standby. Cuma minta diberikan kesehatan aja biar bisa bantu rekan WNI agar bisa segera kembali ke Indonesia dengan kondisi sehat.</t>
  </si>
  <si>
    <t>RT @radar_malang: DPR Desak Pemerintah Segera Evakuasi WNI di Kapal Diamond Princess</t>
  </si>
  <si>
    <t>RT @radar_malang: Curi 5.500 Masker di Hongkong, WNI Dipenjara 4 Minggu</t>
  </si>
  <si>
    <t>@detikcom @detikfinance Apa salahnya ahok jadi komisaris orang dia juga wni kok jangan rasis lah</t>
  </si>
  <si>
    <t>Rumah sakit apung ini punya sistem mencegah penularan virus</t>
  </si>
  <si>
    <t>@AMISHDEVGAN @News18India @avanishojha @warispathan Abey teri maa ki aankh! 11 navy waale ISIS waalo ko critical info de rhe the India ki uspe debate tera baap Fake Degree Holder krega ya Tadipar krega, madarjaat?🖕🏼😐</t>
  </si>
  <si>
    <t>DPR Desak Pemerintah Segera Evakuasi WNI di Kapal Diamond Princess</t>
  </si>
  <si>
    <t>Curi 5.500 Masker di Hongkong, WNI Dipenjara 4 Minggu</t>
  </si>
  <si>
    <t>@WR_4AG226 yang ikut Demo antek ISIS</t>
  </si>
  <si>
    <t>@bgsdwtm @arwinep Yang jual udah masuk isis</t>
  </si>
  <si>
    <t>@RD_4WR1212 @andy_nomicin @basuki_btp konten demo soal korupsi yg dibawah bendera isis,,212 banyakan makan tai kampret sihhh jdi ngga nyambung</t>
  </si>
  <si>
    <t>@detikcom @detikfinance Pak ahok g usah dengerin kata orang, selesaikan yang disuruh pemimpin.. bapak kan WNI bukan WNA.. jangan2 gw juga bakalan digituin lagi krn muka gw mirip ama pak ahok</t>
  </si>
  <si>
    <t>Setelah Dinyatakan Negatif Corona, 334 WNI Kru Kapal Westerdam Lanjutkan Pelayaran</t>
  </si>
  <si>
    <t>RT @jawapos: Curi 5.500 Masker di Hongkong, WNI Dipenjara 4 Minggu</t>
  </si>
  <si>
    <t>#IndonesiaTolakISIS Tolak ISIS Tolak ISIS eks WNI #ISIS #Indonesia #BTSComeback2020 #Mahashivratri #MAP_OF_THE_SOUL_7 #coronavirus #7COMEBACKSPECIAL #방탄소년단</t>
  </si>
  <si>
    <t>@budiriy06791029 @BKNgoid Sila kelima untuk seluruh indonesia sih, yg ga punya jg WNI juga..</t>
  </si>
  <si>
    <t>@weekdies Jadi isis</t>
  </si>
  <si>
    <t>@tariknafasss @EricSasono Scene di film nya? Emang kejadian nyata itu. Ini ada thread dari salah satu wni yg tinggal di seoul RT @aliralira: Secuplik masalah sosial Korea dan tour #Parasite dari aing, (mantan) penghuni Ahyeondong 1-Guyeok atau sekarang lebih dikenal sebagai area redevelopment Ahyeondong 699. #salamrumahbasement #banjihaispride</t>
  </si>
  <si>
    <t>Pendakwaan ke atas penyokong tegar LTTE yg sah pengganas dibatalkan, muslimah yg ada dokumen ISIS yg belum tentu dia seorang ahli ISIS dipenjara 5tahun... ...masih lagi ada melayu yg ada mata tapi buta, ada telinga tapi pekak!!</t>
  </si>
  <si>
    <t>Bagi WNI pelajar/pekerja di Tokyo, atau Anda yang sedang berkunjung ke Tokyo: Pemerintah Metropolitan Tokyo mengumumkan beberapa info penting seputar berbagai upaya menahan penyebaran virus COVID-19, yang mungkin mempengaruhi kwalitas pengalaman Anda di Jepang. via @KBRITokyo</t>
  </si>
  <si>
    <t>RT @donokip: EKS ISIS BOLEH GABUNG KOMPONEN CADANGAN !!! Ngawur 😭😭😭 #tolakeksisis</t>
  </si>
  <si>
    <t>@tiramaesara Kalau aku mau beli villa di sana, harga paling murah berapa ya. Soalnya aku bukan WNI. Aku WNA☺️</t>
  </si>
  <si>
    <t>An bankado shirin wata mata mai shekaru 36 na kai hari wata babbar coci da ke London. Matar ta bayyana cewa ita 'yar kungiyar ta'addancin nan ce ta ISIS kuma na kama ta da wasu abu masu fashewa har guda biyu.</t>
  </si>
  <si>
    <t>Bagi WNI pelajar/pekerja di Tokyo, atau Anda yang sedang berkunjung ke Tokyo: Pemerintah Metropolitan Tokyo mengumumkan beberapa info penting seputar berbagai upaya menahan penyebaran virus COVID-19, yang mungkin mempengaruhi kwalitas pengalaman Anda di Jepang. #NegaraMelindungi</t>
  </si>
  <si>
    <t>Pemerintah terus memantau 4 WNI anak buah kapal pesiar Diamond Princess yang positif terinfeksi virus corona. Pemerintah juga sudah menyiapkan kapal KRI Dr Soeharso 909, jika rencana penjemputan 74 anak buah kapal dari Indonesia, jadi dilakukan.</t>
  </si>
  <si>
    <t>Pemerintah Siapkan Opsi Evakuasi WNI dari Jepang: Presiden Joko Widodo mengatakan bahwa pemerintah tengah menyiapkan sejumlah opsi untuk mengevakuasi warga negara Indonesia (WNI) di kapal pesiar Diamond Princess yang berlabuh di Pelabuhan Yokohama,…</t>
  </si>
  <si>
    <t>Pemerintah Siapkan Opsi Evakuasi WNI dari Jepang  @PEDOMAN_id @JubirPresidenRI @fadjroeL @SunandarPS</t>
  </si>
  <si>
    <t>Malam semuanya #SIMayat2 √ Pemerintah Siapkan Opsi Evakuasi WNI dari Jepang  @PEDOMAN_id @JubirPresidenRI @fadjroeL @SunandarPS</t>
  </si>
  <si>
    <t>RT @Metro_TV: Pemerintah Indonesia masih belum memutuskan opsi untuk mengevakuasi 74 WNI di kapal pesiar Diamond Princess di Jepang. Pemerintah masih mempertimbangkan evakuasi melalui jalur laut atau udara. #MetroHariIni</t>
  </si>
  <si>
    <t>√ Pemerintah Siapkan Opsi Evakuasi WNI dari Jepang  @fadjroeL @PEDOMAN_id @JubirPresidenRI @SunandarPS</t>
  </si>
  <si>
    <t>@AnakKolong___ Yang kemarin ISIS pake anak kecil bawa Bom Sekarang anak kecil bawa TOA Ketika .. Identitas semakin dinyatakan secara terbuka</t>
  </si>
  <si>
    <t>√ Pemerintah Siapkan Opsi Evakuasi WNI dari Jepang  @PEDOMAN_id @JubirPresidenRI @fadjroeL @SunandarPS</t>
  </si>
  <si>
    <t>RT @Quvvatt: Beginilah Ngabalin Ali, orang yang diangkat untuk melakukan pembenaran dg membelok belokan UU dan dibayar pakai uang negara menyedihkan</t>
  </si>
  <si>
    <t>Harusnya antisipasi wni keturunan jangan2 ingin membuat Indinesia jadi timur tengah tidak perna damai</t>
  </si>
  <si>
    <t>Pendakwaan ke atas penyokong tegar LTTE yg sah pengganas dibatalkan, muslimah yg ada dokumen ISIS yg belum tentu dia seorang ahli ISIS dipenjara 5 tahun... ...masih lagi ada melayu yg ada mata tapi buta, ada telinga tapi pekak!!</t>
  </si>
  <si>
    <t>Apa bezanya LTTE, JI, ISIS &amp; DAESH? Apa bezanya Aishah yg kena penjara 5 tahun sebab ada buku ISIS/DAESH &amp;amp; geng2 LTTE yg ada poster, majalah &amp;amp; banner ketua LTTE? Siap ada perarakan meraikan ulangtahun jeneral dia lagi? Takkan polis tangkap tanpa bukti? Ha Tepukk!</t>
  </si>
  <si>
    <t>Pemerintah Belum Tentukan Lokasi Observasi WNI Kru Kapal Dream World</t>
  </si>
  <si>
    <t>RT @evalez_fr: @oryjone Oh iya konsep pagan suka 3 Dewa : Isis Osiris Horus Cuma di plongo era di modifikasi Dewa nya 🤣</t>
  </si>
  <si>
    <t>Kemendag Bakal Kembangkan FTA Center Pengembangan dilakukan agar para pengusaha lebih mengoptimalkan pemanfaatan perjanjian perdagangan yang telah diberlakukan #ValidNih</t>
  </si>
  <si>
    <t>Apa bezanya LTTE, JI, ISIS &amp; DAESH? Apa bezanya Aishah yg kena penjara 5 tahun sebab ada buku ISIS/DAESH &amp;amp; geng2 LTTE yg ada poster, majalah &amp;amp; banner ketua LTTE? Siap ada perarakan meraikan ulangtahun jeneral dia lagi? Takkan polis tangkap tanpa bukti?</t>
  </si>
  <si>
    <t>@Valeyeduswdf @mi_isis Q wuapa</t>
  </si>
  <si>
    <t>@oryjone Oh iya konsep pagan suka 3 Dewa : Isis Osiris Horus Cuma di plongo era di modifikasi Dewa nya 🤣</t>
  </si>
  <si>
    <t>Pemerintah berencana jemput ABK WNI di kapal pesiar World Dream</t>
  </si>
  <si>
    <t>Pemerintah Indonesia masih belum memutuskan opsi untuk mengevakuasi 74 WNI di kapal pesiar Diamond Princess di Jepang. Pemerintah masih mempertimbangkan evakuasi melalui jalur laut atau udara. #MetroHariIni</t>
  </si>
  <si>
    <t>RT @KATADATAcoid: Mutasi Virus Corona, Karantina WNI di Diamond Princess Diperpanjang</t>
  </si>
  <si>
    <t>DPR Minta Pemerintah Perhatikan Nasib Perempuan dan Anak Eks ISIS Oleh Warta Ekonomi Online</t>
  </si>
  <si>
    <t>@Kevinaria_J @nadyaermidaa @xornflscks Emang nih banyak wni miskin apresiasi karya</t>
  </si>
  <si>
    <t>WNI di Kapal Pesiar Dikhawatirkan Terpapar Corona Mutasi Baru Gejala klinis virus corona mutasi baru lebih ringan, hanya seperti flu biasa #ValidNih</t>
  </si>
  <si>
    <t>@spiderr__matrix @Om_Djawa @vincent_ves Dan Allah sekarang menghukum ISIS dengan caraNya....Sungguh adil ya 😎</t>
  </si>
  <si>
    <t>@weekdies Bapaknya isis jdi badannya ancur kena bom</t>
  </si>
  <si>
    <t>RT @CANDAdanBISNIS: @BHD_8 @felixaaf1 @e_pph @Dewa93716095 @sofiankawar1 @MukhtarLuthfi12 @KailaKiyoko @APLpangeran1 @MaryanaNunung @BanyakHoaks @periani @Ningnon11392644 @SetiaAdy_p @Yul3h4 @MOMDian2 @TukangMu @evisuryanti10 @bhenytarika28 @Dickusnadi1 @2024GanjarRisma @Jokoumb64504158 @lukmanalwahid @JohnIrwan4 @RizkiR4madani @wantahgdn @RazkaFaiz @PLiantini @Zulfika35354359 @73hermantjoe @babegalak1 @HeriSu19 @mamiagarislucu @aguzts_ @SultanAnjar @BayuErrianto @jubrik844 @positive_values @kasrulsani9 @Edward_1smail @LiaIsti1 @Recoignitionwal @eddies_song @wartawankoboi13 @CumiCue @AdigunaAtmaja @Iqbalkuntoro1 @aniesbaswedan @ranodoelkarno @DPRD_DKI @DivHumas_Polri Setuju jgn kash ijin demo 2 212 Ga guna anti pemerintah Anti Pancasila Jgn alasan demokratis dan HaM Jd seenaknya demo2 Hidupkan lg petrus jaman orba Tangkap provokatornya lenyapkan Atau cabut WNI nya kirim ke suriah Hehehe #TangkapHaikalHasan #4niesGabenerBodong</t>
  </si>
  <si>
    <t>Khilafah Hitam Isis Asing Gurun Vs Garuda Pancasila NKRI Merah Putih. Sopo yang menang?? RT @APLpangeran1: hanya 1 kata utk Kadrun "TANGKAP...!!" #JanganManjakanKadrun Di Mobil Komando, Orator Aksi 212 Teriak 'Jatuhkan Jokowi'</t>
  </si>
  <si>
    <t>@Om_Djawa @coffeeandme_ @vincent_ves ISIS itu teriak Allahu Akbar tapi nggorok manusia sesama muslim...asyek yah</t>
  </si>
  <si>
    <t>@manayapriya @rzkyi Biar isis ya mang?</t>
  </si>
  <si>
    <t>@MoN_Nita Ya elaaah... Kagak ada abisnya amat dah. Mpe segitunya. Ribet bgt hidup mrk tuh. Cuma iklan doang aja rempong. Sini lah bunny jd WNI aja.</t>
  </si>
  <si>
    <t>@cakimiNOW waspada adalah utama. Maka kombatan ISIS eks WNI wajib dilarang kembalo ke Nusantara.</t>
  </si>
  <si>
    <t>@Safiansari07 @SushantBSinha Tu kiska gode may Mullow loskor ISIS Al kaida ki congress na Aimim pura keya hai oh janta eak suar ka party musulmini pura hazrat ka asli chela</t>
  </si>
  <si>
    <t>RT @anita81692023: @CalonMertua9 @wisanggeni_084 Coba gitu ditanya "mega korupsi apaan sih dek "..... yakin gada yg bisa jawab. KPAI sibuk sama mega proyek pemulangan anak isis sehingga mengabaikan dan menelantarkan serta tdk perduli anak2 seperti ini. AKU MARAHHHHHH PADA KPAI</t>
  </si>
  <si>
    <t>@BHD_8 @felixaaf1 @e_pph @Dewa93716095 @sofiankawar1 @MukhtarLuthfi12 @KailaKiyoko @APLpangeran1 @MaryanaNunung @BanyakHoaks @periani @Ningnon11392644 @SetiaAdy_p @Yul3h4 @MOMDian2 @TukangMu @evisuryanti10 @bhenytarika28 @Dickusnadi1 @2024GanjarRisma @Jokoumb64504158 @lukmanalwahid @JohnIrwan4 @RizkiR4madani @wantahgdn @RazkaFaiz @PLiantini @Zulfika35354359 @73hermantjoe @babegalak1 @HeriSu19 @mamiagarislucu @aguzts_ @SultanAnjar @BayuErrianto @jubrik844 @positive_values @kasrulsani9 @Edward_1smail @LiaIsti1 @Recoignitionwal @eddies_song @wartawankoboi13 @CumiCue @AdigunaAtmaja @Iqbalkuntoro1 @aniesbaswedan @ranodoelkarno @DPRD_DKI @DivHumas_Polri Setuju jgn kash ijin demo 2 212 Ga guna anti pemerintah Anti Pancasila Jgn alasan demokratis dan HaM Jd seenaknya demo2 Hidupkan lg petrus jaman orba Tangkap provokatornya lenyapkan Atau cabut WNI nya kirim ke suriah Hehehe #TangkapHaikalHasan #4niesGabenerBodong</t>
  </si>
  <si>
    <t>pantesan mau pulangin ISIS....para sell tidur ISIS harusnya di SIKAT... @mohmahfudmd jangan mau kecolongan terus... RT @tempodotco: Orator dalam demonstrasi oleh PA 212 dan FPI bertajuk 212 Berantas Mega Korupsi Selamatkan NKRI di Jalan Medan Merdeka Barat malah mendesak Ahok mundur dari Pertamina.</t>
  </si>
  <si>
    <t>Mutasi Virus Corona, Karantina WNI di Diamond Princess Diperpanjang</t>
  </si>
  <si>
    <t>@cakimiNOW Perkuat NU untuk menangkal teroris dan isis</t>
  </si>
  <si>
    <t>RT @rbhirnawan: kenyataan sekarang sangat jauh berbeda, para teroris dan simpatisan ISIS malah sangat meyakini jalan hidup mereka adl surga. padahal mungkin ilmu mereka pasti belum seujung kuku Abu Hurairah RA. yg dilakukan hanya pembenaran atas nafsu syahwat mereka, Naudzubillah Min Dzalik</t>
  </si>
  <si>
    <t>pantesan mau pulangin ISIS buat bikin kisruh NKRI...kenapa geng 1Z12 tidak DISIKAT aja ...daripada NKRI yg keduluan disikat.... RT @Penyuka_ombak: Memangnya cuma FPI dan bangsat 212 rakyat di negri ini ya?? Dasar Fpi bajingan kalian semua. Sok2an minta Ahok mundur dari Komut Pertamina.  Basuki Tjahaja Purnama alias Ahok sudah lama</t>
  </si>
  <si>
    <t>Sama. Gw lebih takut anak gw jadi anggota ISIS atau sejenisnya. 🤦‍♀️ taruhannya nyawa satu bangsa. RT @DenmarkTriads: @tubirfess Harusnya takut anak lau jadi pembully, kriminal, dan koruptor, bro</t>
  </si>
  <si>
    <t>geng TERRORIs itu tidak akan pernah menyerah...sampek NKRI dibawah kaki mereka....pantesan mau pulangin ISIS... @mohmahfudmd @jokowi @republikaonline RT @detikcom: "Pak Ahok kita minta dalam waktu satu bulan dari sekarang supaya mundur. Pertamina adalah perusahaan milik negara, milik rakyat, kami tidak rela Ahok menjadi komisaris utama milik rakyat," tuturnya. via @detikfinance</t>
  </si>
  <si>
    <t>@sahaL_AS Dengan menolak RUU Ketahanan Keluargs berarti Anda benar2 terpapar radikalisme, berafiliasi dgn isis, intoleran, anti NKRI, anti pancasila, dan konservatif.</t>
  </si>
  <si>
    <t>@CalonMertua9 @wisanggeni_084 Coba gitu ditanya "mega korupsi apaan sih dek "..... yakin gada yg bisa jawab. KPAI sibuk sama mega proyek pemulangan anak isis sehingga mengabaikan dan menelantarkan serta tdk perduli anak2 seperti ini. AKU MARAHHHHHH PADA KPAI</t>
  </si>
  <si>
    <t>RT @miraigadget89: @501Awani hahahahaha.... dah agak dah lol.... yang ISIS sume kene, yg LTTE lepas... hahahahaha... kalo kat europe, bubuh gambar logo nazi je dh kene tindakan, ape cer...... dasar btol.... lagi elok amik waytha jdk idola jugak, xde sape marah</t>
  </si>
  <si>
    <t>RT @CNNIDdaily: Inilah cuitan warganet mengenai pemulangan WNI ABK Diamond Princess. #CNNIDConnected</t>
  </si>
  <si>
    <t>RT @SamuelPHarahap: @VIVAcoid Tetap semangat @BPIPRI , acuhkan pihak-pihak yg ingin mencoba coba membenturkan Pancasila dg agama! Teroris #ISIS sedang berusaha masuk merusak Pancasila! @PDI_Perjuangan @adianna70fans @DPR_RI @DPDRI @mohmahfudmd @jokowi</t>
  </si>
  <si>
    <t>@LusiHQ udah poligami, bini banyak, ga boleg pake KB, jadilah anaknya belasan-puluhan &gt; gaada yg disekolain karena gapunya uang &amp;gt; jadilah sampah masyarakat &amp;gt; di rekrut lah sm isis &amp;gt; radikal&amp;gt; poligami generasi kedua &amp;gt; banyak anak &amp;gt; jadi sampah &amp;gt; dan berulang lagi sampe populasi meledak</t>
  </si>
  <si>
    <t>Ini Fasilitas KRI Dr Soeharso, Kapal Penjemput 74 WNI Diamond Princess</t>
  </si>
  <si>
    <t>RT @mas_piyuuu: Kaum kadrun jangan sampai terpeleset gabung ISIS ya!!! Ini alasan mengapa kita harus menolak kembalinya WNI yang telah bergabung dengan ISIS. Jangan terpengaruh dengan tangisan mereka untuk kembali. Mereka tidak bisa dipercaya. Mereka itu bahaya laten.</t>
  </si>
  <si>
    <t>Pemerintah Siapkan Opsi Evakuasi WNI dari Jepang  lewat @pedoman_id</t>
  </si>
  <si>
    <t>#Nasional Pemerintah Belum Tentukan Lokasi Observasi WNI yang Jadi ABK di Dream World</t>
  </si>
  <si>
    <t>@mochamadarip Sebagian udh pada sadar ISIS sudah kalah. Propagandanya terbukti hoax.</t>
  </si>
  <si>
    <t>Demonya 212 sama demo tolak wni ex isi balik Indonesia. Mo nangis ga lo kalo sampe kejebak demo pdhl niatnya mau nugas🙃🙃🙃🙃🙃🙃</t>
  </si>
  <si>
    <t>RT @AnakKolong___: 6. Kader/ Tokoh PKS juga mendukung ISIS &amp; KHILAFAH serta TOLERAN terhadap TERORIS/ISIS . . .</t>
  </si>
  <si>
    <t>Pemerintah Jepang mengumumkan memberi lampu hijau bagi Indonesia untuk membawa pulang 74 WNI di kapal pesiar Diamond Princess | #Internasional</t>
  </si>
  <si>
    <t>RT @zizak_63: @syahredzan Harap2 tahanan ISIS dibebaskan dan dibayar pampasan kerana tersalah tahan</t>
  </si>
  <si>
    <t>RT @GYatmoko: @JKDaulay @ISIS_Balik_NO @aniesbaswedan Kalo surat resmi sekelas gubernuran, pasti habis diketik, diperiksa, diparaf baru di ttd pejabatnya...lagian tukang ketik gubernuran kan bukan anak sekolah magang...</t>
  </si>
  <si>
    <t>kenyataan sekarang sangat jauh berbeda, para teroris dan simpatisan ISIS malah sangat meyakini jalan hidup mereka adl surga. padahal mungkin ilmu mereka pasti belum seujung kuku Abu Hurairah RA. yg dilakukan hanya pembenaran atas nafsu syahwat mereka, Naudzubillah Min Dzalik</t>
  </si>
  <si>
    <t>Pengakuan napi terorisme tolak baiat isis di nusakambangan waswas takut dibunuh wkt tidur</t>
  </si>
  <si>
    <t>RT @mediaindonesia: Hingga kini, ratusan penumpang kapal pesiar itu diketahui positif terinfeksi virus korona, termasuk 4 WNI.</t>
  </si>
  <si>
    <t>@BundaTiara69 Gk usah pake cd lebih isis..🤣🤣</t>
  </si>
  <si>
    <t>RT @SeputariNews: Pemerintah terus pantau 4 WNI yang positif terpapar Covid-19 dan WNI lainnya di kapal pesiar Diamond Princess. FER #Corona #COVID-19 #VirusKorona #Coronavirus #DiamondPrincess #SeputariNewsRCTI #SeputariNewsPagi</t>
  </si>
  <si>
    <t>@YourMout Gue gak masalah dg China...! Tapi klo China cuman numpang ktp wni sombong gak merasa Indonesia, lebih baik pergi ke Wuhan aja deh...!</t>
  </si>
  <si>
    <t>@Tattyandra @budiyono97 @Aprilaza3 @WagimanDeep__ @MalvaSelena Fans corona garis keras iki 🤣🤣🤭 Ngalah2i militan ISIS 😂</t>
  </si>
  <si>
    <t>@cloudleskies Oh ada hubungan nya ternyata dari sudut pandang anak rohis. Dia gk mau uang nya keluar buat belanja di kfc/mcd, krn itu perusahaan milik yahudi. Yg uang dari hasil kedua perusahaan itu akan di donasikan ke tentara militer israel dan isis. Agak berlebihan si 😁</t>
  </si>
  <si>
    <t>RT @PEDOMAN_id: √ Pemerintah Siapkan Opsi Evakuasi WNI dari Jepang cc @fadjroeL @JubirPresidenRI @PedomanNEWS</t>
  </si>
  <si>
    <t>RT @liputan6dotcom: Wakil Ketua DPR RI Aziz Syamsudin menyebut perlu banyak pertimbangan sebelum memulangkan WNI eks anggota ISIS dari Suriah. Menurut kamu, kepulangan 600 WNI Eks-ISIS ke tanah air Indonesia kita ini</t>
  </si>
  <si>
    <t>RT @Rogerma37137317: Harusnya antisipasi wni keturunan jangan2 ingin membuat Indinesia jadi timur tengah tidak perna damai</t>
  </si>
  <si>
    <t>Seorang WNI Dihukum karena Curi dan Jual Masker di Hong Kong</t>
  </si>
  <si>
    <t>@muktarlim @nanininaninna @hemaviton99 @jokowi Walaupun gk milih Jokowi tp gw tetep WNI dan dituntut buat bayar pajak, gimana dong?</t>
  </si>
  <si>
    <t>@kasehsaulmouk @ursweetgrinder @detikcom @detikfinance @basuki_btp Kadrun dongo ISIS rasis munafik penjilat pantat mafia migas,kolor elo sama nyokap lo aja buatan china!mikir botak wkkwkw</t>
  </si>
  <si>
    <t>@lesyeuxtenini Daripada isis-isisan gituin</t>
  </si>
  <si>
    <t>Pemerintah Siapkan Penjemputan WNI di Diamond Princess</t>
  </si>
  <si>
    <t>RT @arjuno_ireng01: Pengakuan Napi Terorisme Tolak Baiat ISIS di Nusakambangan, Was-was Takut Dibunuh Saat Tidur. Bagaimana ini @PolhukamRI Bpk @mohmahfudmd harus ada pengawasan khusus lapas kalau ini bener adanya berarti ISIS ada di NKRI. #IntoleransiMerusakNKRI</t>
  </si>
  <si>
    <t>WNI di Wuhan Merasa Kesepian dan Pengin Pulang, Tapi...</t>
  </si>
  <si>
    <t>@dhe_enoily Mrk itu ga mau krn ahok pandai dan pintar brantas korupsi. Faktanye para pngusung KHILAFAH(ISIS) ingin mnguasai pertamina tuk KKN.</t>
  </si>
  <si>
    <t>Pemerintah terus lancarkan diplomasi ke Jepang evakuasi 74 WNI</t>
  </si>
  <si>
    <t>@jokowi @mohmahfudmd @KomnasHAM @KPAI_official @Kemenag_RI @OpiniDin @MardaniAliSera @fadlizon Inilah gambaran anak-anak WNI ex ISIS 'ditolak ' untuk DIPULANGKAN! Silahkan berpikir lebih jauh lagi, saya Tidak dalam posisi untuk Menggurui! RT @CNNIndonesia: Anak Kecil Teriak dari Atas Mobil Komando Aksi 212: Takbil!</t>
  </si>
  <si>
    <t>RT @ArgusProvocArt: Merasa malu jadi WNI di tanah NKRI melihat kelakuan para pejabat publik dan politisinya saat ini. Mereka itu kurang waras atau primitif? Apakah politik yang baik dicitrakan seperti ini, agar rakyat jengah? Bagaimana asumsi bung @sandalista1789 ttg kabinet #indonesiaSULITmaju ini?</t>
  </si>
  <si>
    <t>Hingga kini, ratusan penumpang kapal pesiar itu diketahui positif terinfeksi virus korona, termasuk 4 WNI.</t>
  </si>
  <si>
    <t>@Tattyandra @sunankaliblanak Itu isis apa bukan ya ? Perusak kerukunan umat beragama aja</t>
  </si>
  <si>
    <t>lastly, kita udah tau kalo sekarang dia baik-baik saja, and the reason why he's faded. Terselamatkan dari asumsi liar kita yg ngira gabung isis kek, jadi ustad cabul kek, petapa suci kek, ah, good day to remember...</t>
  </si>
  <si>
    <t>#TopNewsMetroTV Pemerintah tengah menyiapkan sejumlah opsi untuk mengevakuasi WNI di kapal pesiar Diamond Princess yang berlabuh di pelabuhan Yokohama, Jepang. Menurut Presiden saat ini pemerintah sedang bernegosiasi dengan otoritas Jepang.</t>
  </si>
  <si>
    <t>@rohmatjoule @azrielariq Kalo bisa yg jangan isis</t>
  </si>
  <si>
    <t>Gawat! Senjata Amerika Serikat Senilai Rp9 Triliun Raib Dicuri Saat Lawan ISIS di Suriah</t>
  </si>
  <si>
    <t>Kalau kita tega mencabut hak hak hidup keluarga dan keturunan PKI, kenapa kita tidak melakukan hal yg sama kepada keluarga eks Kombatan ISIS?</t>
  </si>
  <si>
    <t>RT @Indosiar: Demi jemput 74 WNI di Kapal Pesiar Diamond Princess, yang telah dinyatakan negatif terjangkit virus covid-19, pemerintah siapkan KRI Soeharso. #IndosiarBerita</t>
  </si>
  <si>
    <t>@bharianmy Dah boleh pakai t shirt ISIS..</t>
  </si>
  <si>
    <t>Kenapa yak pemerintah indo baru skrg ngomongin rencana pemulangan 74(8) WNI yang di karantina di Kapal Pesiar Diamond Princess saat udh ada wni yg terjangkit virus covid-2019. Kenapa ga dri kmren2 pas mereka mash blm kenapa2.. perasaan beritanya udh lewat 2 minggu</t>
  </si>
  <si>
    <t>Intip Fasilitas KRI Soeharso, Kapal RS yang Jadi Opsi Jemput WNI di Jepang</t>
  </si>
  <si>
    <t>Saya heran ahok jadi gubernur suruh mundur ahok jadi komut juga suruh mundur, maaf 212 ini sudah kelewatan bukan lg aksi bela negara org ahok WNI ? Ada aturan yg melarang kah? Kalau dia mau rubah pertamina jd lebih baik ya didukung. Ini mah fiks 212 emg tidak suka ahok jadi apa2. RT @detikcom: "Pak Ahok kita minta dalam waktu satu bulan dari sekarang supaya mundur. Pertamina adalah perusahaan milik negara, milik rakyat, kami tidak rela Ahok menjadi komisaris utama milik rakyat," tuturnya. via @detikfinance</t>
  </si>
  <si>
    <t>RT @RadioElshinta: Kapal pesiar Dream World ditolak seluruh negara, Indonesia bakal boyong 270 WNI</t>
  </si>
  <si>
    <t>RT @republikaonline: Masriki didakwa dan terbukti bersalah telah mencuri 5.500 masker di Hong Kong.</t>
  </si>
  <si>
    <t>RT @Beritasatu: Segera Dipulangkan, 74 WNI di Kapal Diamond Princess Akan Dikarantina 28 Hari</t>
  </si>
  <si>
    <t>Segera Dipulangkan, 74 WNI di Kapal Diamond Princess Akan Dikarantina 28 Hari</t>
  </si>
  <si>
    <t>@Krish_kumar22 Aik kitorang sokong ISIS tak boleh pulak dah..</t>
  </si>
  <si>
    <t>@northhkorea Isis garis keras</t>
  </si>
  <si>
    <t>Itu demo karwna Jokowi tolak kembalinya ISIS yg katanya eks WNI RT @WR_4AG226: Demo 100 ribu orangnya dimana neh??? Jangan pada nyasar ke Suriah yaa😜😂 Bundaran HI masih lenggang neh</t>
  </si>
  <si>
    <t>Sebar Hoaks Corona, WNI Dipenjara di Malaysia</t>
  </si>
  <si>
    <t>@RobbySadewa3 anjing jihadis dukungan #Turkey dengan lambang ISIS  RT @EndiZentarmi: #TFSA jihadists in the outskirts of #Nayrab according to rebel sources. Look at the patch...</t>
  </si>
  <si>
    <t>Kapal pesiar Dream World ditolak seluruh negara, Indonesia bakal boyong 270 WNI</t>
  </si>
  <si>
    <t>@RD_4WR1212 Bagi mrk jauh lbh berharga isis drpd jutaan org wni yg siap membela nkri dan Panca sila</t>
  </si>
  <si>
    <t>10. mengerikan dan menjijikkan dihadapan Raja Segala Raja yang sebenarnya. Alasan penempatan ranch di New Mexico adl sbg pos luar guna mendapatkan aset-aset hasil pemerasan dari Laboratorium Nasional Los Alamos, tepatnya para ilmuwan nuklir. Molokh, Isis, Horus, Ra, Saturnus,...</t>
  </si>
  <si>
    <t>RT @DestinAsianID: Cari ide destinasi liburan tahun ini? Berikut daftar negara yang dapat diakses WNI tanpa visa atau hanya perlu visa on arrival:</t>
  </si>
  <si>
    <t>Sebarkan Hoaks soal Corona, WNI di Kualu Lumpur DIpenjara</t>
  </si>
  <si>
    <t>@arjuno_ireng01 @PolhukamRI @mohmahfudmd @kompascom wah, berarti isis ada di NK...lenyapkan isis penghianat dari NKRI...tenggelamkan isis..</t>
  </si>
  <si>
    <t>@SarahPatrecia @jrsyaa @fahri_ft @kekesumaf @rizkithadwirach @ridhofamajra Mohon maaf. Masih mau jadi WNI nih</t>
  </si>
  <si>
    <t>@BincangSyariah Mereka pergi dan bergabung dg ISIS atas kemauan sendiri, lalu membakar Pasport RI. Berperang demi ISIS, mengatakan Indonesia Negara Toghut. Mereka bukan Korban tapi mereka adlah pelaku Terror.</t>
  </si>
  <si>
    <t>Rule of Law zaman PH ada 2 set berlainan undang2 walaupun kes yg sama Siti Aishah yg menyimpan dokumen ISIS dipenjara 5 tahun dgn 12 orang penyokong LTTE yg menyimpan dokumen dan buat program memuja LTTE dibebaskan oleh AG RT @zlk69: LTTE: Imej Jabatan Peguam Negara, polis, kerajaan tercalar  via @msiagazette</t>
  </si>
  <si>
    <t>@RobbySadewa3 4 warga negara Turki yang gabung dengan ISIS melarikan diri dari kamp al Hol Suriah, lalu menuju Turki, diduga dengan bantuan polisi di Jarabulus yang diduduki Turki #Turkey #Syrian #ISISGoToHell RT @TIJournalism: Four ISIS-linked Turkish nationals escaped Syria’s al Hol camp and fled to Turkey, allegedly with the help of police in Turkish-occupied Jarabulus. @lindseysnell’s latest:</t>
  </si>
  <si>
    <t>Si Imam itu jadi supporter Trump alasannya cuma karena dia dendam sama ISIS dan Trump memerangi ISIS 🤦🏻‍♂️</t>
  </si>
  <si>
    <t>Ya, salah satu alasan kenapa Jokowi hrs diturunkan, karena ISIS yg ex WNI ditolak kepulangannya oleh Jokowi. Ahok dsbnya hanya sebagai alasan. RT @4Y4NKZ: Massa Aksi 212 melakukan orasi di Pintu Barat Monas dekat Patung Arjuna Wiwaha, Jakarta. Salah seorang orator menyerukan untuk menjatuhkan Presiden Joko Widodo HA HA HA....... Apapun masalahnya turunkan jokowi 😁 212 Gitu loh 😄😄</t>
  </si>
  <si>
    <t>Virus Korona Menyebar di Kapal World Dream, 270 WNI Bakal Dijemput</t>
  </si>
  <si>
    <t>Dr. Phil. Suratno: Tidak Memulangkan Eks-ISIS Sudah Tepat Secara Politis, Tapi Memikirkan Perspektif Korban Tetap Harus Dipertimbangkan</t>
  </si>
  <si>
    <t>@RobbySadewa3 mau pakai nama al qaeda, HTS, NLF ataupun ISIS , mereka yang mengaku-ngaku sebagai "mujahidin" itu sumbernya tetap dari #Turkey , mereka anjing-anjing peliharaan Erdogan (2) RT @sayed_ridha: HTS aka “formerly al-qaeda but now only a little bit al-qaeda”, fighting alongside TFSA in Turkish-led assault on Syrian Army-controlled Nayrab town</t>
  </si>
  <si>
    <t>RT @KompasTV: BREAKING NEWS - Jelang Kepulangan WNI dari Natuna</t>
  </si>
  <si>
    <t>Harusnya antisipasi wni keturunan jangan2 ingin membuat Indinesia jadi timur tengah tidak perna damai RT @sindoe: Aparat gamang tindak tegas orang2 spt Haikal Hassan maka kejadian provokasi SARA akan terus berulang. Mestinya blajar dr sejarah Indonesia berkali2 konflik SARA hg timbul korban. Jika tjd huru hara, aparat jg yg repot. #TangkapHaikalHasan</t>
  </si>
  <si>
    <t>@kompascom *MASIH BANDEL PEMIMPIN INDONESIA! APA TINDAKAN PEMERINTAH MENGATASI KE 4 WNI POSITIF CORONA ITU</t>
  </si>
  <si>
    <t>Terkhusus WNI berdomisili di Kecamatan Barong Tongkok, Segera daftarkan diri menjadi Calon Anggota PKD, sukseskan Pemilu Bupati dan Wakil Bupati 2020 @ Barong Tongkok, Kutai Barat, Kaltim</t>
  </si>
  <si>
    <t>RT @tempodotco: Selain Diamond Princess, WNI Terjebak di Kapal The World Dream</t>
  </si>
  <si>
    <t>Suka bangga dengan WNI RT @republikaonline: Masriki didakwa dan terbukti bersalah telah mencuri 5.500 masker di Hong Kong.</t>
  </si>
  <si>
    <t>@komodoers @Ari3Pras @timursuprabana @jokowi Memangnya ISIS bikin rusuh rumahmu?</t>
  </si>
  <si>
    <t>RT @syed_azlee: @MalaysiaGazette Perempuan yg simpan buku idealogi isis kena penjara, yang ni terlepas macam tu je? Kelakar gila peguam negara ni haha</t>
  </si>
  <si>
    <t>Klo Korona kata Shomad Tentara Allah yg bela Uyghur,bgmn dg Gembel2 ISIS yg bunuh banyak Org dan Memperkosa wanita2 membunuh Ibunya,itu tentara Syetan atau Iblis..? @gadisresidu_b3</t>
  </si>
  <si>
    <t>Selain Diamond Princess, WNI Terjebak di Kapal The World Dream</t>
  </si>
  <si>
    <t>@O31O96 D kab2 jatim banyk yg rendah d twk, soal twk mirip tkp kaya menyikapi kasus sbg wni yg baik. Tiu banyak gambar berpola sm gambar dicari yg beda. Itungnnya sederhana kyk smp tp yg bikin puyeng yg urutan duduk itu, mayan banyak jg 😂</t>
  </si>
  <si>
    <t>@Chaterinee_08 @__ChusnulCh Rijik udah tidak punya hak WNI</t>
  </si>
  <si>
    <t>RT @MelayuTulin72: Adakah pada @dapmalaysia sokong persatuan pengganas seperti LTTE adalah Di benarkan. Boleh le aku sokong ISIS DAESH?</t>
  </si>
  <si>
    <t>Wacana Pemulangan 74 WNI di Diamond Princess, Diobservasi di Natuna Lagi?</t>
  </si>
  <si>
    <t>RT @radar_malang: Virus Korona Menyebar di Kapal World Dream, 270 WNI Bakal Dijemput</t>
  </si>
  <si>
    <t>Masriki didakwa dan terbukti bersalah telah mencuri 5.500 masker di Hong Kong.</t>
  </si>
  <si>
    <t>@__ChusnulCh Siapa yg berperan memajukan bangsa ini... ?? @haikal_hassan : "Habib Rizieq" Ustad Kadrun kerjaannya memecah belah anak bangsa dan umat, persis aksi ISIS disana yg sukses buat chaos negara, lalu solusinya khilafah ! Tapi yg kita lihat negara porak poranda #TangkapHaikalHasan</t>
  </si>
  <si>
    <t>RT @3_devout: Nda tw kaa..Qta nda peduli syapa dya. Pokonya syapa aza yng ngbelain isis atw hamas Qta anggep sama aza..bodo amat 😘👌</t>
  </si>
  <si>
    <t>WNI ABK kapal pesiar Diamond Princess dinyatakan positif Covid-19. Virus corona Wuhan menginfeksi lebih dari 600 penumpang yang berlabuh di Jepang.</t>
  </si>
  <si>
    <t>Wni kena virus corona paling juga minta dikerokin (taunya flu+masuk angin doang) 🤣 #corona #coronaviruschina</t>
  </si>
  <si>
    <t>RT @CtrlSec: #ISIS high priority target. Please report👇 🎯  🆔  [ALLAHU Maana Hizballah Humu Garibu ⚐] 🚩 🇫🇷 🗓 today #opiceisis #p1targets</t>
  </si>
  <si>
    <t>RT @IcaEndah: @Abindi2 @detikcom @detikTravel Jangan dong tapi mohon di doakan saja buat kami WNI disini semoga tidak banyak lagi pasien amin</t>
  </si>
  <si>
    <t>Gara-gara masker, seorang WNI dihukum di Hong Kong</t>
  </si>
  <si>
    <t>@Singkir_Geni @GunRomli @karnatjahyana @KPAI_official KPAI lagi tidur, kak Seto skarang sdh jd aki Seto ngurus rambut ganti style belah tengah, Komnas HAM ngurus penyambutan ex ISIS.</t>
  </si>
  <si>
    <t>RT @TtdoSilva98: Brahma 🤤</t>
  </si>
  <si>
    <t>Pemerintah telah siapkan opsi terkait evakuasi tersebut</t>
  </si>
  <si>
    <t>@mrezalesmanak "HALLO MAMAH EJA, EJA MASUK ISIS NIH!1!1!1!1!"</t>
  </si>
  <si>
    <t>RT @awnugraha: @Dhewi_rasya @CNNIndonesia @Kemlu_RI Setuju sama ini. Kita sangat bersyukur kalo gak ada WNI yang terpapar corona. Tapi g boleh takabur karena di kapal itu ada 3500 penumpang, dan kru termasuk yg belum diperiksa. Kita terus doain aja.</t>
  </si>
  <si>
    <t>Orang Arab dan WNI keturunan Arab memiliki andil besar dalam kemerdekaan RI tp kok da yg sok ngusir WNI keturunan Arab brarti gk paham sejarah RI lebih baik diam atau sono yg ngusir it yg kabur dr Indonesia. Buat ap bikin tagar gk penting ini #TangkapHaikalHasan</t>
  </si>
  <si>
    <t>@JarrNadjmuddean dissapointed..lepaskan juga isis baru adil dan saksama</t>
  </si>
  <si>
    <t>@IdEmbassy_Seoul mengimbau seluruh WNI untuk tidak berkunjung ke Kota Daegu yang jaraknya 278 km ibu Kota Seoul karena angka infeksi virus corona melonjat pesat di kota tersebut. #MostUpdate1058</t>
  </si>
  <si>
    <t>@nyoonbunaga @Farizaprilianza dahal mek nyobak sekali nyobak dianggep pro trus dipekso unjuk kebolehan wes dicap ngevape Mang lucu para WNI ini</t>
  </si>
  <si>
    <t>RT @OfficialiNewsTV: Menteri Kesehatan, Panglima Tni Dan Kepala Staf Tni Angkatan Laut, meninjau kapal rumah sakit KRI Soeharso di Surabaya, Jawa Timur. POT . #Covid-19 #VirusKorona #CoronaVirus #Menkes #WNI #iNewsSiang #iNews</t>
  </si>
  <si>
    <t>@bharianmy Dah rase mcm x selamat dah msia ni..org yg ada kaitan dgn pengganas pun selamba boleh lepas...org islam yg ada naskah pasal Isis pun x terlepas.hmmm</t>
  </si>
  <si>
    <t>Menguasai tambang yang mengakibatkan kemiskinan &amp; pembodohan apakah Itu tdk termasuk brutalnya melebihi ISIS kita mengambil limbahnya saja salah2 hilang atau mungkin bisa salah sasaran Mari kita sadar bangun negeri MU dng tekad &amp;amp; kemauan agar punya kemampuan</t>
  </si>
  <si>
    <t>RT @HusinShihab: Ogeb bener! Pancasila disamakan dengan agama. Andalannya paham Khilafah, ISIS dkk berfalasi ria alias sesat dalam logika bisa bikin mereka orgasme. Orang awam sih tenggelam dgn logika begini.</t>
  </si>
  <si>
    <t>@detikcom Persis Modusnya ISIS Pake Tameng anak2 dan ntar lg emak2 yg ikut turun</t>
  </si>
  <si>
    <t>Sepak Terjang KRI Dr Soeharso, Kapal Penjemput 74 WNI dari Jepang</t>
  </si>
  <si>
    <t>WNI dari Kapal Diamond Princess Bakal Diobservasi dengan Cara Khusus</t>
  </si>
  <si>
    <t>RT @jawapos: Virus Korona Menyebar di Kapal World Dream, 270 WNI Bakal Dijemput</t>
  </si>
  <si>
    <t>@isis_rfo Lindaa❤</t>
  </si>
  <si>
    <t>JOKOWI PERTIMBANGKAN BEBERAPA OPSI EVAKUASI WNI TERJEBAK DI KAPAL YANG TERJANGKIT KORONA #TauCepatTanpaBatas</t>
  </si>
  <si>
    <t>FPI,HTI&amp;Khilafah itu ISIS Indonesia. Sudah saat nya jika pemerintah tdk bisa atau lmbat membubarkan mereka kita yg Warga negara Waras maju angkat senjata. RT @Penyuka_ombak: Memangnya cuma FPI dan bangsat 212 rakyat di negri ini ya?? Dasar Fpi bajingan kalian semua. Sok2an minta Ahok mundur dari Komut Pertamina.  Basuki Tjahaja Purnama alias Ahok sudah lama</t>
  </si>
  <si>
    <t>Sepertinya buat kalian yang punya rencana dalam waktu dekat ke Korea Selatan perlu dipikirkan lagi baik-baik... Sampe kaget aku bacanya udah makin banyak yang terjangkkt ㅠㅠ cr : insta story salah satu WNI yang sedang bekerja di Korea Selatan yang membaca beberapa artikel</t>
  </si>
  <si>
    <t>DPR Minta Pemerintah Tetap Pantau Kesehatan 4 WNI Positif Virus Korona #BeritaTerkini #Berita #News #BeritaNasional</t>
  </si>
  <si>
    <t>Adakah pada @dapmalaysia sokong persatuan pengganas seperti LTTE adalah Di benarkan. Boleh le aku sokong ISIS DAESH?</t>
  </si>
  <si>
    <t>√ Pemerintah Siapkan Opsi Evakuasi WNI dari Jepang cc @fadjroeL @JubirPresidenRI @PedomanNEWS</t>
  </si>
  <si>
    <t>Kemenkes Khawatir WNI di Kapal Pesiar Terpapar Corona Mutasi Baru  lewat @sayangicom</t>
  </si>
  <si>
    <t>@syahredzan Harap2 tahanan ISIS dibebaskan dan dibayar pampasan kerana tersalah tahan</t>
  </si>
  <si>
    <t>Empat WNI di Kapal Pesiar Diamond Princess positif corona - ANTARA News Aceh</t>
  </si>
  <si>
    <t>RT @ReiMichie99: @dhe_enoily Teriak "jatuhkan" krn pak Jokowi tdk mau memulangkan para kombatan ISIS. Ya mrk ingin ISIS ada d Indonesia &amp; mnghancurkan smua yg mnghalangi, trmasuk kluarga &amp;amp; tmn dkat sndiri.</t>
  </si>
  <si>
    <t>@meydddd @soonsonie cocok ikutan acara dangdut academy indosiar sayank ayo pindah jd WNI saja</t>
  </si>
  <si>
    <t>@jr_kw19 ISIS versi bacot nih</t>
  </si>
  <si>
    <t>RT @kompascom: Ketiga WNI yang sebelumnya tertahan di Kota Wuhan, Provinsi Hubei, China dalam kondisi sehat.</t>
  </si>
  <si>
    <t>@lukmanalwahid @vivanewscom Goblok ni, yen kui bendera isis, wes di ultimatum mbi PBB. Otak dipke dong.</t>
  </si>
  <si>
    <t>DAFTAR JADI WNI AJA DEH LU</t>
  </si>
  <si>
    <t>@detikcom *BREAKING; KELOMPOK SEJENIS MEREKA (DUNIA EMAS) DI BRITISH YAITU ISIS, BARU SAJA MEMBUAT PERNYATAAN BAHWA MEREKA ISIS BERTANGGUNG JAWAB ATAS PEMBOMAN GEREJA KATEDRAL DISANA!</t>
  </si>
  <si>
    <t>@stethoscology 1. WNI 2. Bertakwa kepada Tuhan YME</t>
  </si>
  <si>
    <t>Entah apa pertimbangan pemerintah sampai ada opsi evakuasi dgn KRI Dr Soeharso ini. Makan waktu dan biayanya juga pasti nggak sedikit. Kapal laut medis yg njemput kan juga bukan kapal kosong. Saya personally prihatin dgn kru WNI di atas Diamond Princess krn banyak hal.</t>
  </si>
  <si>
    <t>WNI di Kapal Diamond Princess 'Kecewa' Jika Evakuasi Lewat Jalur Laut</t>
  </si>
  <si>
    <t>@syahbandifadli @GunRomli @aniesbaswedan ISIS juga yg gratis, eks WNI minta bakik pulang ke NKRI. Hidup tak ada yg gratis, kecuali buang angin (kentut).</t>
  </si>
  <si>
    <t>@Dodits21 isis=sejuk</t>
  </si>
  <si>
    <t>WNI Keturunan seharusnya HANYA bisa mengampanyekan Toleransi dan Persatuan, sebagai ucapan syukur pada Tuhan hidup damai di Indonesia. RT @haikal_hassan: Mulai sekarang, stop pesan, beli, konsumsi barang dari china. Upayakan sebisa mungkin hanya produk negeri sendiri. MARI LIHAT SIAPA YANG NYINYIR DENGAN TWEET INI?</t>
  </si>
  <si>
    <t>RT @GibraNiaLuv: @PartaiSocmed @WahabisLokal Sulit sekali y klo dunia politik meniru dunia olahraga. Ketika ad pemain2 WNI keturunan yg mengharumkan bangsa kita di Olimpiade kitapun turut bangga. Serta Hukuman atas tindak rasismenya pun sangat tegas.</t>
  </si>
  <si>
    <t>Baru baca berita kalau hari ini komunitas agama di lamongan pd nolak ex isis buat dipulangin ke lamongan heheheh.. thank god they've learned from the past yaayyy</t>
  </si>
  <si>
    <t>@Fahmibisyir @D4RKhunter_ @ISIS_Balik_NO @SopanSopianD @Fahrihamzah Banyak bangg... Kan si fahri kini udah di dukung sama mereka. Udah di ajak juga stand up comedy. Sejak melawan dgn kawan2 seperjuangan nya dulu dia diangkat2 dulu mah di bully habis...</t>
  </si>
  <si>
    <t>RT @elHurryKoRn: "KAMI RINDU PERANG LAGI" Lutfi A Tamimi (Sekjen LPOI) : Sminggu yg lalu sy ketemu seorang Kombes dia punya video di HP para Orang2 ISIS "Kami Rindu Kami Rindu" di pikir Orang2 ini mreka Rindu Indonesia, Nggak! .... #TolakEksWNIproISIS By.</t>
  </si>
  <si>
    <t>Total perjalanan evakuasi via laut adalah 34 hari pulang-pergi Indonesia - Jepang. Katakanlah durasi pulang dan perginya sama, WNI di Diamond Princess hrs menunggu 17 hari utk dijemput, utk kemudian menghabiskan 17 hari lagi di laut utk sampai di Indonesia.</t>
  </si>
  <si>
    <t>Jokowi Ingin Secepatnya Evakuasi WNI di Kapal Diamond Princess</t>
  </si>
  <si>
    <t>@permadiaktivis @haikal_hassan Dulu Belanda aj bkin jalan dll aja bisa kita usir, biarin aja mereka bangun banyak2 yg penting jangan lupa usir jdi sesama WNI ga usah berantem, n yg WNI juga tw diri jgn JD pengkhianat sok bela2in org luar. Ambil hikmah nya aja dya yg bangun kita yg nikmati</t>
  </si>
  <si>
    <t>@SamuelPHarahap @VIVAcoid @BPIPRI @PDI_Perjuangan @adianna70fans @DPR_RI @DPDRI @mohmahfudmd @jokowi Yg membentur agama dengan Pancasila ya ketuanya @BPIP sendiri yg diangkat sm pak Jokowi, kok bawa2 ISIS.. kalau bodoh ya jgn norak lah 🤭🤭😜😜</t>
  </si>
  <si>
    <t>@GeOfRen Sedih ya ngab yg jadi perbandingan Liverpool ml WKWK, 2 gol per 1 pertandingan mah udh lebih dr cukup, masalahnya kan Persija cmn punya 3 CB, smoga Klok cepet deh WNI nya. Lawan Persela doang keliatan rapih pressing nya, sisa nya kurang.</t>
  </si>
  <si>
    <t>@gunturcoeeggggg itu cewe normal apa ISIS?</t>
  </si>
  <si>
    <t>RT @e100ss: Kemenkes Khawatir WNI di Kapal Pesiar Terpapar Corona Mutasi Baru</t>
  </si>
  <si>
    <t>Kemenkes Khawatir WNI di Kapal Pesiar Terpapar Corona Mutasi Baru</t>
  </si>
  <si>
    <t>beruntung banget kita-kita yang di indo guys, bersyukur belom ada kasus positif di indo walaupun ada wni yang kena tapi dia nggak terinfeksi di indo jadi dah dirawat disana</t>
  </si>
  <si>
    <t>Mau Dijemput Pakai Kapal Perang, WNI di Kapal Pesiar Kecewa</t>
  </si>
  <si>
    <t>RT @radar_malang: Penjelasan Pemerintah Soal Nasib 362 WNI di Kapal Pesiar MS Westerdam</t>
  </si>
  <si>
    <t>1 Lalu, apakah Ledia Hanifa, Netty Prasetiyani, Endang Maria Astuti, Sodik Mujahid, dan Ali Taher mengetahui hal tersebut? Sejak kapan mereka, para pengusul RUU KK tersebut, menjadi WNI atau pun Anggota DPR RI,</t>
  </si>
  <si>
    <t>Ketiga WNI yang sebelumnya tertahan di Kota Wuhan, Provinsi Hubei, China dalam kondisi sehat.</t>
  </si>
  <si>
    <t>RT @NasDem: Fraksi NasDem DPR RI menerima WNI yang dievakuasi dari Wuhan, Cina, "Kita patut syukuri. Tetapi ingat, pemerintah jangan sampai lengah. Tunjukanlah kewaspadaan tersebut sebagai konfirmasi kredibilitas Indonesia terbebas dari virus Corona," kata @farhanpenyiar #KaderNasDem</t>
  </si>
  <si>
    <t>RT @SayaIndonesia07: @detikcom @detikfinance Rakyat khilafah ISIS kok ngaku punya Pertamina, kadrun ini gobloknya unik 😀😀</t>
  </si>
  <si>
    <t>Penjelasan Pemerintah Soal Nasib 362 WNI di Kapal Pesiar MS Westerdam</t>
  </si>
  <si>
    <t>#ISIS high priority target. Please report👇 🎯  🆔  [ALLAHU Maana Hizballah Humu Garibu ⚐] 🚩 🇫🇷 🗓 today #opiceisis #p1targets</t>
  </si>
  <si>
    <t>WNI divonis 10 tahun penjara di Malaysia akibat bawa TKI ilegal</t>
  </si>
  <si>
    <t>@wienretro @othsidme Kur isis.</t>
  </si>
  <si>
    <t>Kirain bakal rehat agak lama nih, ternyata tidak. Senang deh para WNI akhirnya ada kerjaan lagi. Siapa yang berani bilang mereka adalah penganggur?</t>
  </si>
  <si>
    <t>@hatihelokiti Fraksi yg sama yg ngusulin pemulangan isis ga sih?</t>
  </si>
  <si>
    <t>@RamliRizal Solusi seorang menteri sekelas teri, beri pendidikan/pelatihan buka lapangan kerja prioritas WNI</t>
  </si>
  <si>
    <t>@Azafmad @emhaumar Supaya tidak tercium bahwa saya isis aja jan</t>
  </si>
  <si>
    <t>@kantayu @KPAI_official KPAI jgn diganggu bang, mereka lagi sibut siap2 berangkat urus anak eks wni anggota isis🙄🙄</t>
  </si>
  <si>
    <t>@Indostransfer kalo klok udah wni,mending rekrut ini daripada matos</t>
  </si>
  <si>
    <t>@SyafaNurain92 @FerdinandHaean2 @detikcom Terus apa hubungannya saya sama ISIS wkkwkwkw. Maaf baca lagi komentar gua kwkwkwkw banyak orang salah paham. Goblok bener lu,l sontoloyo</t>
  </si>
  <si>
    <t>@dhe_enoily Smua yg ad d kbu 02 ntu para pnganut ISIS. Mrk ngejual agama islam tuk mncari para militan2 kampung tuk mnguasai smua lini d pmerintahan</t>
  </si>
  <si>
    <t>Karantina WNI Kru Diamond Princess 28 Hari, 2 Kali yang Dijalani dari Wuhan, Ini Penjelasannya</t>
  </si>
  <si>
    <t>RT @DhimazAriya: @wisanggeni_084 @KPAI_official Yg noch ☝️kan bkn anak2 isis ex wni,,, jdi biar z..... Krna kpai sdh brubah mjadi Komisi Prlindungan Anak Isis.....</t>
  </si>
  <si>
    <t>Hati hati kalo mau ngeklaim seseorang khawarij, isis, atau kafir. pa lagi gak tau biografi org tsb padahal sesama beragama islam, Nah yg gampang ngeklaim kafir ini yg berat bro pertanggung jawaban nya di Hadapan Allah kelak.</t>
  </si>
  <si>
    <t>Nah gini baru bener sebutan untuk mereka itu “ISIS eks-WNI bukan WNI eks-ISIS !” RT @VICE_ID: Kepada VICE, otoritas Kurdi berharap Indonesia mau terlibat dalam pengadilan tersebut. Mereka mengaku tak mampu mengurus sendiri anggota jaringan teror berideologi khilafah itu.</t>
  </si>
  <si>
    <t>Kemenkes Siapkan Dua Opsi Jemput 74 WNI dari Diamond Princess, Apa Saja?</t>
  </si>
  <si>
    <t>@lukmanalwahid @vivanewscom Mana isis sih? Lu bisa bedain bendera tauhid nggak sih? Goblok dipelihara, ayam dipelihara biar gede</t>
  </si>
  <si>
    <t>@wisanggeni_084 @KPAI_official Yg noch ☝️kan bkn anak2 isis ex wni,,, jdi biar z..... Krna kpai sdh brubah mjadi Komisi Prlindungan Anak Isis.....</t>
  </si>
  <si>
    <t>@vivanewscom udah dibilangin konten demo soal korup yg dibawah bendera isis,,emang otak mrk udah terpapar virus corona yeee?</t>
  </si>
  <si>
    <t>Pemerintah Akan Evakuasi WNI dari Kapal Pesiar Jepang &gt;&amp;gt;&amp;gt;&amp;gt;  #coronaviruschina #CoronavirusOutbreak</t>
  </si>
  <si>
    <t>Kemenkes: Empat WNI di Kapal Pesiar Diamond Princess Positif Corona</t>
  </si>
  <si>
    <t>@dhe_enoily Para menganut ISIS lg demo</t>
  </si>
  <si>
    <t>Siti nor Aisah di penjara 5 tahun kerana memiliki buku berkenaan isis... Peminpin Dap istihar sokong Ltte lepas begitu shj... Adakah zaman Ph ini undang2 hanya akan di kuatkuasa hanya pada org awam? Bila melibatkan Dap semua buang kes.</t>
  </si>
  <si>
    <t>RT @KompasTV: Penjempuan WNI, Pemerintah Siapkan Opsi Penjemputan</t>
  </si>
  <si>
    <t>RT @Muthoha89333120: @SlametMuslim @Hanifah933 @AhlulQohwah @WahhabiCC @narkosun @GagakNew @TolakBigotRI @PartaiSocmed @Takviri @elHurryKoRn @WagimanDeep__ @wakilgubernurKW @ImamWM @arrahmah @BadjaNuswantara @wiradisuta @chairulachir ISIS I ; ideologi S ; senang I ; intoleran S ; selama hidup</t>
  </si>
  <si>
    <t>Peguan Negara bebaskan 12 orang yang ditahan kerana disyaki menyokong pengganas LTTE Jap lagi nak simpan bendera isis la dlm bilik</t>
  </si>
  <si>
    <t>@ISIS_Balik_NO @fuckyourgreed @S_aulia26 @Restichayah Lebih baik, ketimbang mengolok2</t>
  </si>
  <si>
    <t>Penjempuan WNI, Pemerintah Siapkan Opsi Penjemputan</t>
  </si>
  <si>
    <t>Pemerintah belum memutuskan untuk evakuasi WNI dari Jepang</t>
  </si>
  <si>
    <t>Pak @imam_piul cuma mengatakan ada Ustadz yang latah ikut2 memberikan salam teroris karena tidak tahu....bukan berarti Ustadznya gabung ISIS...jangan berlebihan Memang kt harus was2 dgn org yg memberikan salam itu, tapi bukan berarti semuanya otomatis bersalah RT @emang_dasar: @Imam_piul @SlametMuslim kebodohan haqiqi ... menuduh ustad tertentu, lalu mengatakan kelompok isis ...</t>
  </si>
  <si>
    <t>@cingcepirit @nivrastyle apakah mungkin dia dibawa ISIS?</t>
  </si>
  <si>
    <t>@RimauXI tapi point yg sebelum tu berkenaan status LTTE (kalau nak dibandingkan dengan ISIS), kau baca tak?</t>
  </si>
  <si>
    <t>DPR Usul Jemput 74 WNI di Diamond Princess dengan Kapal Laut</t>
  </si>
  <si>
    <t>RT @tribunnews: BREAKING NEWS: Menlu Jepang Beri Izin Indonesia Jemput 74 WNI di Kapal Diamond Princess</t>
  </si>
  <si>
    <t>@nandoosss Kalo WNI ada.. tp bukan di wilayah NKRI. Kalo di sini belum.</t>
  </si>
  <si>
    <t>RT @KadrunHunter99: Lihatlah cara wanita yang terpapar oleh ideologi sesat Teroris ini memperlakukan anak kandung hasil persetubuhan mereka dgn para Kombatan ISIS. Tapi anehnya, ada sebagian orang (HTI FPI) justru ingin membawa Ideologi Gila itu ke Indonesia, Otaknya dimana? #TolakEksWNIproISIS</t>
  </si>
  <si>
    <t>Pengakuan Napi Terorisme Tolak Baiat ISIS di Nusakambangan, Dianggap Kafir dan Darahnya Halal</t>
  </si>
  <si>
    <t>@wahhabicc_jabar @ISIS_Balik_NO Harus @DivHumas_Polri @CCICPolri Kalau sampai nggak, @stik_ptik bakal kena semprot 😆😂🤣</t>
  </si>
  <si>
    <t>RT @syiahgl: Aleppo setelah 8 tahun dalam kekuasaan ISIS dan anasir teroris lainnya bebas. Warga bersuka cita, ucapkan rasa terimakasih kepada Assad yg kalian kecam² itu. Yang kemarin naikin tagar #SaveAleppo masih ada kesempatan tobat karena apa yg kalian tuduhkan sebaliknya.</t>
  </si>
  <si>
    <t>Selengkapnya baca &gt;&amp;gt;&amp;gt;&amp;gt;  #viruskorona #viruscorona #kapalpesiar #wni #china #jepang…</t>
  </si>
  <si>
    <t>WNI di Kapal Pesiar Dikhawatirkan Terpapar Corona Mutasi Baru</t>
  </si>
  <si>
    <t>RT @kompascom: Seorang terpidana mati kasus pengeboman Kedutaan Besar Australia, Ahmad Hassan, bercerita tentang ketakutannya saat menghindar dari baiat kelompok yang menyebut diri Negara Islam atau ISIS di penjara Nusakambangan | #Regional</t>
  </si>
  <si>
    <t>Mereka khawatir eks ISIS akan mengancam keamanan Indonesia</t>
  </si>
  <si>
    <t>nanggung bawa bendera isis sekalian trs triak2 Mia khalifah, eh khilafah RT @detikcom: "Pak Ahok kita minta dalam waktu satu bulan dari sekarang supaya mundur. Pertamina adalah perusahaan milik negara, milik rakyat, kami tidak rela Ahok menjadi komisaris utama milik rakyat," tuturnya. via @detikfinance</t>
  </si>
  <si>
    <t>@Helmi67711233 @fuckyourgreed @S_aulia26 @Restichayah Malu sama bendera item mamang</t>
  </si>
  <si>
    <t>RT @MZubir_ID: @CNNIndonesia Halo @KPAI_official kenapa kalian tidak menegur ormas radikal yang eksplorasi anak untuk kepentingan politik? Bukankah kalian komisi yang peduli anak sampai teroris anak ISIS kalian urus?</t>
  </si>
  <si>
    <t>RT @kopipolitik1: 23) Info rencana 600 WNI eks ISIS muncul usai koordinasi antara Kementerian Agama, BNPT dan juga kementerin hukum dan polkam. Koordinasi tersebut terkait ada sejumlah ekks ISIS dari Indonesia yang masih di Timteng @DivHumas_Polri @Sudastika #Dinamika</t>
  </si>
  <si>
    <t>RT @wahhabicc_jabar: Semoga tagar ini jadi kenyataan #TangkapHaikalHasan</t>
  </si>
  <si>
    <t>RT @MZubir_ID: @detikcom @detikfinance Apakah Ahok bukan WNI sehingga tidak berhak jadi komisaris Pertamina? Si Anies yang gak becus kerja, urusa banjir aja belepotan, Ahok yang kalian suruh mundur. Dasar kadrun gatal.</t>
  </si>
  <si>
    <t>@isis_3003 mais jtj</t>
  </si>
  <si>
    <t>Salah satu opsi yang ditawarkan adalah di karantina di laut.</t>
  </si>
  <si>
    <t>Esok boleh kibar bendera isis ke sebab ltte bukan lagi kategori pengganas. Ke double standard</t>
  </si>
  <si>
    <t>Inilah cuitan warganet mengenai pemulangan WNI ABK Diamond Princess. #CNNIDConnected</t>
  </si>
  <si>
    <t>@RudiHar70817449 @Dennysiregar7 Kaum teroris, anti pancasila, pro isis baik fpi dan hti, jg gerakan radikal lain</t>
  </si>
  <si>
    <t>@CheseeIxxrx Tau arti isis ngga ? Wkwk</t>
  </si>
  <si>
    <t>Belum pasti. Menlu maunya pakai pesawat. Penjemputan ini lebih pelik dan lebih high risk daripada Wuhan kemarin karena mereka pernah se-lingkungan dengan 4 WNI yang sudah positif. RT @detikHealth: KRI Dr Soeharso Siapkan 153 Personel Jemput 74 ABK Diamond Princess</t>
  </si>
  <si>
    <t>@detikcom Komisi perlindungan anak isis Kalau disingkan koperais🤭</t>
  </si>
  <si>
    <t>RT @duarkontil: Wni yg kena Corona memeluk agama apa sih? Bukan rasis, baru dibahas sama guru soalnya</t>
  </si>
  <si>
    <t>@CheseeIxxrx Isis mbaa bukan ishh -_</t>
  </si>
  <si>
    <t>@CheseeIxxrx Isis hihhh</t>
  </si>
  <si>
    <t>Presiden Jokowi mengatakan, saat ini pemerintah sedang mempertimbangkan opsi pemulangan terhadap 74 WNI yang negatif virus Corona di kapal pesiar Diamond Princess, di Pelabuhan Yokohama Jepang. Baca selengkapnya di  Sumber:  #NewsOne</t>
  </si>
  <si>
    <t>RT @TurnBackHoax: [SALAH] Foto “Muslim Palestina di penjara di ruang bawah tanah Israel” Bukan foto Muslim Palestina, foto tahanan yang diklaim sebagai pejuang ISIS dan ditangkap oleh Pasukan Demokratik Suriah (SDF) di kota Baghouz di Suriah ... Selengkapnya di  #LawanHoax</t>
  </si>
  <si>
    <t>@mamiagarislucu @mulanbilqis @AfifFuadS @KPAI_official maaf kpai sedang sibuk ngurusin anak2 isis...</t>
  </si>
  <si>
    <t>@501Awani ISIS/DAESH - Penganas LTTE - Penganas Penyimpan gambar ISIS/DAESH - dipenjara Penyimpan gambar LTTE - dibebaskan tanpa sabit kesalahan</t>
  </si>
  <si>
    <t>Kepada VICE, otoritas Kurdi berharap Indonesia mau terlibat dalam pengadilan tersebut. Mereka mengaku tak mampu mengurus sendiri anggota jaringan teror berideologi khilafah itu.</t>
  </si>
  <si>
    <t>Penjemputan WNI yang Jadi ABK di Kapal Pesiar Akan Libatkan TNI</t>
  </si>
  <si>
    <t>@weekdies udh join isis</t>
  </si>
  <si>
    <t>Menurut Pakar Hukum Internasional UIN Syarif Hidayatullah Jakarta, bakar paspor tak tentukan masih WNI atau eks WNI</t>
  </si>
  <si>
    <t>Jepang memberi izin bagi Indonesia untuk memulangkan 74 WNI dari kapal pesiar Diamond Princess.</t>
  </si>
  <si>
    <t>@kasehsaulmouk @ursweetgrinder @detikcom @detikfinance @basuki_btp Hei sejak kapan undang-undang mengatur masalah pendatang atau pribumi? Indonesia menganut asas ius sanguinis dan ius soli. Jelas ahok merupakan wni. Jadi apa masalahnya? Banyak politisi yg darah campuram tapi bapak diem aja. Hmmmm</t>
  </si>
  <si>
    <t>RT @bangtoyib1818: @wisanggeni_084 @KPAI_official maaf lg ngurusin anak isis 😂</t>
  </si>
  <si>
    <t>@detikcom Yang berafiliasi sama ISIS dan mendukung gerakannya yah pasti teroris. DAN ITU MUSUH NKRI</t>
  </si>
  <si>
    <t>RT @Metro_TV: #MetroHariIni Pemerintah Indonesia masih belum memutuskan opsi untuk mengevakuasi WNI di kapal pesiar Diamond Princess. Pemerintah masih mempertimbangkan apakah evakuasi akan dilakukan lewat jalur laut atau udara. #MetroTV</t>
  </si>
  <si>
    <t>@wisanggeni_084 @KPAI_official maaf lg ngurusin anak isis 😂</t>
  </si>
  <si>
    <t>Empat WNI di Kapal Pesiar Diamond Princess positif corona - ANTARA News Bengkulu</t>
  </si>
  <si>
    <t>@andreanataliarr mandaselo ya!</t>
  </si>
  <si>
    <t>• Nama Lengkap : Chana Grace Parveen • Nama Panggilan : Chaca, kesayangan • DOB : Jakarta, 30 Mei 2003 • Agama : Islam • Tinggi Badan : 163 cm • Berat Badan : 46 kg • Gol. Darah : O • Kewarganegaraan : WNI</t>
  </si>
  <si>
    <t>@hrnmss Gapapa ger yg penting jangan isis 😡</t>
  </si>
  <si>
    <t>Evakuasi terhadap 74 WNI awak kapal pesiar Diamond Princess di Yokohama, Jepang, yang tak terinfeksi virus korona baru sedang disiapkan. Pemerintah Indonesia terus berkomunikasi dengan Pemerintah Jepang. #Humaniora #KawandalamPerubahan</t>
  </si>
  <si>
    <t>@kasehsaulmouk @detikcom @detikfinance @basuki_btp Dasar manusia rasis goblok, kebanyakan minum air kencing. Semua orang yang paspor/ktp/kk Indonesia = WNI = Rakyat Indonesia. Ga pernah belajar PKn si jadi GOBLOK!!!</t>
  </si>
  <si>
    <t>Sembuh dari Infeksi Virus Corona, Bagaimana Nasib WNI di Singapura?</t>
  </si>
  <si>
    <t>RT @republikaonline: Seluruh penumpang termasuk WNI di kapal pesiar Westerdaam di Kamboja bebas corona.</t>
  </si>
  <si>
    <t>Menkopolhukam Diskusikan Pemulangan Kombatan ISIS bersama MUI</t>
  </si>
  <si>
    <t>@detikcom @detikfinance Lha dipikir emang pak Ahok bukan termasuk rakyat? Pak Ahok hidup di Indonesia, WNI pula. Apa salahnya? Heran sama 212 -.-</t>
  </si>
  <si>
    <t>RT @sofiankawar1: @TukangMu @sabar_setiabudi @CANDAdanBISNIS @MukhtarLuthfi12 @KailaKiyoko @APLpangeran1 @MaryanaNunung @felixaaf1 @BHD_8 @BanyakHoaks @periani @Ningnon11392644 @SetiaAdy_p @Yul3h4 @MOMDian2 @evisuryanti10 @bhenytarika28 @Dickusnadi1 @2024GanjarRisma @Jokoumb64504158 @lukmanalwahid @JohnIrwan4 @RizkiR4madani @wantahgdn @RazkaFaiz @PLiantini @Zulfika35354359 @73hermantjoe @babegalak1 @HeriSu19 @mamiagarislucu @aguzts_ @SultanAnjar @BayuErrianto @jubrik844 @positive_values @kasrulsani9 @Edward_1smail @LiaIsti1 @Recoignitionwal @eddies_song @wartawankoboi13 @CumiCue @AdigunaAtmaja @Iqbalkuntoro1 @aniesbaswedan @ranodoelkarno @DPRD_DKI @DPR_RI Tergantung tp berdasarkan uud dan uu warga negara pribumi adalah putra/putri wni yg lahir di bumi pertiwi ini. Kalo berdasarkan darah gak jelas sampai gen kita diperiksa.</t>
  </si>
  <si>
    <t>Pemerintah Berencana Jemput dengan Kapal Perang,WNI di Diamond Princess Kecewa</t>
  </si>
  <si>
    <t>WNI Eks Observasi Aman, Pemantauan Kini Dilakukan terhadap Keluarga</t>
  </si>
  <si>
    <t>@SpicyQwin Saya kira kakak satu ini warga penduduk Lokal'negeri Singapore atau Malaysia'Hehei.... 🤣🤗 Ternyata Bisa'Berbahasa indonesia.Wni</t>
  </si>
  <si>
    <t>11. Ada 78 WNI yang menjadi ABK di kapal pesiar Diamond Princess, 4 WNI dilaporkan terkonfirmasi positif. Keempatnya saat ini sudah dirawat di RS di Jepang. #WaspadaCOVID19</t>
  </si>
  <si>
    <t>Hal itu menyusul ditetapkannya kapal tersebut sebagai episentrum baru virus corona jenis baru atau COVID-19.</t>
  </si>
  <si>
    <t>Pemerintah Pikir-pikir Evakuasi 74 WNI di Kapal Pesiar Jepang</t>
  </si>
  <si>
    <t>RT @knockknock0408: [HQ] 200202-200203 BAEKHYUN cr.Cosmic Pillar   @weareoneEXO</t>
  </si>
  <si>
    <t>@501Awani hahahahaha.... dah agak dah lol.... yang ISIS sume kene, yg LTTE lepas... hahahahaha... kalo kat europe, bubuh gambar logo nazi je dh kene tindakan, ape cer...... dasar btol.... lagi elok amik waytha jdk idola jugak, xde sape marah</t>
  </si>
  <si>
    <t>@GunRomli @KPAI_official Emang berani? Jangan anak2 ISIS disana yg diperhatikan.... Anak2 yg demo juga dong...</t>
  </si>
  <si>
    <t>Kemenkes Siapkan Dua Opsi Jemput 74 WNI dari Kapal Pesiar Diamond Princess  #DariSuara</t>
  </si>
  <si>
    <t>WNI di Diamond Princess Kecewa Pemerintah Berencana Jemput dgn Kapal Perang. Karantina mereka sdh selesai.Skrg,mereka nunggu di Jemput kurang lbh 14 hari lg. Perjalanan pulang kurang lbh 14 hari lagi. Jadinya mereka kena“Karantina”berlipat lipat. Kasihan.</t>
  </si>
  <si>
    <t>@mcQuuueen @KristalNeo @jokowi @mohmahfudmd @AlissaWahid @agama_nusantara Pasti provokatornya para HTI, FPI, Wahaby, ISIS dan sejenisnya...!! Mana Menteri Agama yaa...??? @jokowi @PolhukamRI @Kepolisian_RI @Kemenag_RI @KemensetnegRI @amnestyindo</t>
  </si>
  <si>
    <t>@faridwinart Bilang pro NKRI tp acuanya isis dan al qaeda. Seperti bilang ganja haram tp batangny halal.</t>
  </si>
  <si>
    <t>Menteri Kesehatan, Panglima Tni Dan Kepala Staf Tni Angkatan Laut, meninjau kapal rumah sakit KRI Soeharso di Surabaya, Jawa Timur. POT . #Covid-19 #VirusKorona #CoronaVirus #Menkes #WNI #iNewsSiang #iNews</t>
  </si>
  <si>
    <t>@syahredzan Welp I can't wait to see Siti Aishah dibebaskan Takkan sebab bawa buku je kena tangkap ye dak Belum citer pasal kena tangkap sebab simpan gambar orang ISIS Meanwhile in 'parallel' universe, mahkamah gugurkan kes skandal LGE hiok hiok</t>
  </si>
  <si>
    <t>RT @kompascom: "Tapi kalau yang 4 sudah terpapar, Presiden sudah menginstruksikan kedutaaan besar di Tokyo untuk memantau, mengawasi, sampai sembuh," kata dia.</t>
  </si>
  <si>
    <t>RT @Kah11Hau11: "Mempunyai gambar dan representasi lain yang berkaitan mereka dalam telefon bimbit atau akaun Facebook (FB) seseorang, tidak menukar seseorang menjadi pengganas" Owh ok LLTE boleh simpan gambar Pengganas. Kalau begitu aku simpan bendera &amp; buku ISIS lah. Undang² Malaysia ni pelik.</t>
  </si>
  <si>
    <t>@CNNIndonesia kok ga ada yg koar" tolak Eks ISIS ya? oh ya lupa, mereka kan satu jurusan.😅</t>
  </si>
  <si>
    <t>@CNNIndonesia kok ga ada tulisan tolak Eks ISIS ya? oh ya lupa, mereka kan satu jurusan.😅</t>
  </si>
  <si>
    <t>"Tapi kalau yang 4 sudah terpapar, Presiden sudah menginstruksikan kedutaaan besar di Tokyo untuk memantau, mengawasi, sampai sembuh," kata dia.</t>
  </si>
  <si>
    <t>Presiden @jokowi meminta beberapa hal terkait evakuasi 74 WNI di kapal pesiar Diamond Princess kepada otoritas Jepang.</t>
  </si>
  <si>
    <t>WOOHOOHOOOO</t>
  </si>
  <si>
    <t>4. Kapal pesiar World Dream memiliki total ABK 1104 orang, yg mana sekitar 270 ABK adalah WNI. Seluruh penumpang diturunkan di Hongkong, saat semua penumpang turun maka otoritas Hongkong melakukan pemeriksaan kepada seluruh ABK dengan PCR &amp; hasilnya negatif. #WaspadaCOVID19</t>
  </si>
  <si>
    <t>Nah kalau dia bisa pergi dr ISIS terus kalau seumpamanya Indonesia ngijinin dia balik emg ga takut apa dah? Jangan² dia itu emg di suruh balik sama ISIS terus buat bikin kelompok disana trs ngebomb trs mereka nyebarin hal² yg bikin kita tertarik buat ikut ISIS . Gimana dah?</t>
  </si>
  <si>
    <t>Jadi mikirin hal gila gua, Kok dia bisa pergi dari ISIS sih? Kok pihak ISIS nya bisa ngelepasin dia gitu aja?? Emang nya ISIS ga mata²in mereka trs nangkep lg apa yak? Mana ini di sebarin di berita loh? RT @BBCIndonesia: [Video] Nada Fedulla, seorang WNI, dibawa ayahnya yang menjadi anggota ISIS ke Suriah. Nada terpaksa meninggalkan sekolahnya di Indonesia dan melupakan cita-citanya menjadi dokter. Kini dia tak bisa pulang. Bisakah Nada memaafkan ayahnya?</t>
  </si>
  <si>
    <t>@jailaniMF Siti Noor Aishah dipenjara 5 tahun kerana memiliki 12 buah buku berkaitan kumpulan ISIS. Element yang sama. Cuma beza gambar v buku. Apa boleh buat power to initiate proceeding terletak pada AG.</t>
  </si>
  <si>
    <t>@mkhairulazri Itulah. Terkejut saya dengan kenyataan beliau. Lebih mengejutkan, masih ada kelompok yang memuji. Jadi tak salah ke ada gambar pemimpin ISIS dan menunjukkan rasa simpati kepada mereka? Gila.</t>
  </si>
  <si>
    <t>RT @Frans_Priyo: @SaatTobat @ance_top @AnakKolong___ @haikal_hassan Sekarang terlihat provokator rusuh di NKRI ternyata rata2 WNI KETURUNAN dari sebelah mana.</t>
  </si>
  <si>
    <t>@SaatTobat @ance_top @AnakKolong___ @haikal_hassan Sekarang terlihat provokator rusuh di NKRI ternyata rata2 WNI KETURUNAN dari sebelah mana.</t>
  </si>
  <si>
    <t>RT @muktiadi1: @wisanggeni_084 @Puspen_TNI Bangga. Drpd uang dan effort negara habis utk biayai kombatan ISIS masuk Indonesia, mendingan untuk pembinaan calon prajurit TNI pelindung rakyat, penjaga NKRI dan Pancasila.</t>
  </si>
  <si>
    <t>@WahyudinTasik @PaijoAryanto__ @KompasTV Suharto ? WNI bangs4t dia</t>
  </si>
  <si>
    <t>@mkini_bm Memang takde kes...bukti pun tak kukuh.....ancaman sebenar adalah Dr puak2 taliban dan isis....abu sayaf....dll</t>
  </si>
  <si>
    <t>Presiden Pastikan WNI di Kapal Diamond Princess Peroleh Protokol Kesehatan Standar WHO |</t>
  </si>
  <si>
    <t>#TangkapHaikalHasan untung pemerintahan kita pancasilais, coba junta sudah di dor.... sadis lagi kalau ISIS mulut sudah di sumpal granat di ledakan</t>
  </si>
  <si>
    <t>@geloraco Jangan begitu la pak Mentri merek itu WNI , mereka ikut2an lewat ceramah ustad berkedok agama, kayak yg hisap narkoba, dalangnya pemjual narkoba, lagipun mereka bukan lawan pemerintah RI, jgn lah jadi otoriter la Pak Mentri, stlah kbli bisa dicuci otak mrk</t>
  </si>
  <si>
    <t>WNI Kru Kapal Pesiar Dream Word Akan Dijemput Kapal TNI AL</t>
  </si>
  <si>
    <t>Soal Evakuasi 74 WNI Kru Kapal Diamond Princess, Jokowi: Secepatnya Dilakukan</t>
  </si>
  <si>
    <t>WNI dari Kapal Diamond Princess Bakal Dikarantina 28 Hari</t>
  </si>
  <si>
    <t>RT @syakirasyakir: Jangan Biarkan Kombatan ISIS Eks WNI Jadikan Indonesia sebagai Basis Barunya!  #ISIS #Aksi212 #PA212SelamatkanBangsa</t>
  </si>
  <si>
    <t>@BalqisMysaraa Percuma 2 tau tau 😂😂</t>
  </si>
  <si>
    <t>1.Tetap Semangat!KBRI terus menghimbau kpd segenap masyarakat WNI untuk jaga kebersihan diri dan lingkungan disertai dengan waspada dlm beraktivitas di Tiongkok dlm hadapi wabah virus corona(COVID19).Ikuti peraturan &amp; ketentuan yg telah dikeluarkan oleh pemerintah lokal setempat</t>
  </si>
  <si>
    <t>@hasifhe ISIS kena lahhh. Yang tak kena tu LTTE</t>
  </si>
  <si>
    <t>Tangani WNI yang Terjangkit Corona, Marinir Kirim Satgas lagi ke Natuna  #samudranesia</t>
  </si>
  <si>
    <t>362 kru WNI Kapal Pesiar Westerdaam dipastikan dalam keadaan sehat  #ElshintaEdisiSore</t>
  </si>
  <si>
    <t>RT @abgrara: @MalaysiaGazette ia. mereka semua bakal dibebaskan tahniah. Ag punya kuasa overule the police, ratusan isis pon harus di bebaskan kerana menyimpan gambar, tidak menunjukkan apa apa salah (kata AG)</t>
  </si>
  <si>
    <t>@hutamaningmargo Iyolah cek isis</t>
  </si>
  <si>
    <t>Belum Pulangkan WNI di Diamond Princess, Menkes Terawan: Mereka Kerja</t>
  </si>
  <si>
    <t>Virus Corona, Pemerintah Akan Evakuasi WNI Kru Diamond Princess</t>
  </si>
  <si>
    <t>@mkini_bm Sekarang nie semua dah tak salah. Melayu makan rasuah salah melayu sokong isis salah tapi kalau bangsa2 Kau semua tak salah bunuh org pun tak salah undang2 kartun betul</t>
  </si>
  <si>
    <t>@arcx13 Wow!! Ini kes pengganas!! Kenapa ag bole gugurkan mcm tu je!! Mana kepentingan keselamatan rakyat!! Bila melibatkan ISIS, tak teragak agak menghukum tapi bila LTTE bole pulak digugurkan!! Ini jelas salah guna kuasa!!</t>
  </si>
  <si>
    <t>Bagaimana dengan penahanan orang yang mempunyai buku yang berkaitan dengan ISIS? Wajarkah depa dapat pembelaan juga RT @syahredzan: Saya baca alasan Peguam Negara dan sambut baik keputusan beliau untuk menghentikan prosiding. Saya juga gesa supaya TS Tommy untuk semak semula pendakwaan-pendakwaan lain yang dibuat di bawah Seksyen 130J(1) dan 130JB(1) Kanun Kesemsaan dengan menggunakan prinsip yang sama.</t>
  </si>
  <si>
    <t>RT @KakekHalal: Mengerikan !!!! Kalau Bpk Presiden @jokowi @PolhukamRI @mohmahfudmd @Kemenag_RI @ridwankamil @KomnasHAM &amp; tokoh2 yg lain tetap menjemput Militan ISIS eks WNI berarti secara tdk langsung ingin membuat Negara ini hancur sprti Suriah !!! #ISISGoToHell</t>
  </si>
  <si>
    <t>@treasurebabble Doakan juga wni yang dikorea selatan semoga terhindar dari virus corona🙏</t>
  </si>
  <si>
    <t>@Had1Nasution agak2 letak gambar DP fb general ISIS kena dakwa tak? RT @501Awani: LTTE: Peguam Negara hentikan prosiding terhadap 12 tertuduh serta merta #AWANInews #AWANI745</t>
  </si>
  <si>
    <t>Pemerintah Siapkan Opsi Evakuasi WNI dari Jepang “Ya ini dalam proses persiapan tapi belum kita putuskan. Rumah sakit juga kita siapkan, tapi urusan yang berkaitan dengan tempat belum diputuskan,” kata Presiden di Kabupaten Pelalawan, Riau, Jumat</t>
  </si>
  <si>
    <t>@tempodotco Peserta demo nya golongan manusia geblek pekok kurang kerjaan, berangkat gih ke Suriah jadi anggota ISIS ... !!!</t>
  </si>
  <si>
    <t>Jangan Biarkan Kombatan ISIS Eks WNI Jadikan Indonesia sebagai Basis Barunya!  #ISIS #Aksi212 #PA212SelamatkanBangsa</t>
  </si>
  <si>
    <t>@ISIS_Balik_NO @S_aulia26 @Restichayah Bisa ga mati disantet gog????</t>
  </si>
  <si>
    <t>RT @republikaonline: Kapal itu kini terombang ambing di laut internasional karena ada yang kena Corona.</t>
  </si>
  <si>
    <t>RT @bisnisindgroup: Virus Corona, Garuda Siapkan Boeing-737 untuk Angkut WNI Kru Diamond Princess</t>
  </si>
  <si>
    <t>Virus Corona, Garuda Siapkan Boeing-737 untuk Angkut WNI Kru Diamond Princess</t>
  </si>
  <si>
    <t>RT @republikaonline: Pemerintah Indonesia belum beri kepastian kapan menjemput WNI di Diamond Princess.</t>
  </si>
  <si>
    <t>RT @tempodotco: Pemerintah akan memperlakukan berbeda terhadap 74 WNI awak kapal pesiar Diamond Princess jika mereka dipulangkan dari Jepang dipulangkan.</t>
  </si>
  <si>
    <t>Jepang Izinkan WNI di Kapal Pesiar Diamond Princess Dijemput Pulang ke Indonesia</t>
  </si>
  <si>
    <t>Pemerintah akan memperlakukan berbeda terhadap 74 WNI awak kapal pesiar Diamond Princess jika mereka dipulangkan dari Jepang dipulangkan.</t>
  </si>
  <si>
    <t>RT @yana_udiyatna: Gubernur Jkt merusak Cagar Budaya Monas dan Taman Ismail Marzuki (TIM). . Beberapa tahun lalu ketika ISIS jaya, juga merusak dan menghancurkan Cagar Budaya milik Irak dan Suriah. . Jangan-jangan...hhm....hm.... #4niesGabenerBodong</t>
  </si>
  <si>
    <t>RT @firdaus: @eddydaud Keputusan AG tak selari dgn simpati ISIS yg dah kena tangkap di Malaysia. Ada buku tertentu, ada simpan gambar kalimah dah kena penjara. Yg mengaku ahli/penyokong LTTE lepas begitu je</t>
  </si>
  <si>
    <t>Gubernur Jkt merusak Cagar Budaya Monas dan Taman Ismail Marzuki (TIM). . Beberapa tahun lalu ketika ISIS jaya, juga merusak dan menghancurkan Cagar Budaya milik Irak dan Suriah. . Jangan-jangan...hhm....hm.... #4niesGabenerBodong</t>
  </si>
  <si>
    <t>bukankah pemerintah suriah yg mustiny lbh py kepentingan utk mngadili&amp;mnjatuhkan hukuman/eksekusi kpd para ftf eks isis krn mrk lah yg memberontak thdp pemerintah yg sah&amp;amp;bikin suriah porak poranda? toh ftf2 tsb jg sdh d tolak negara2 asalnya kan? pls kshtau sop hkm intl ya, tq.</t>
  </si>
  <si>
    <t>mau nanya, para ftf eks isis di suriah sana (trmsk eks wni eks isis yg skrg stateless)&amp;skrg ditahan di pengungsian setempat, akankah diadili? oleh otoritas yg mana/siapa? pengadilan int'l kah? ancaman hukumannya apa? knp sejumlah org d indonesia blg spy d adili d indonesia?</t>
  </si>
  <si>
    <t>RT @SeputariNews: Dua penumpang Kapal Diamond Princess di Yokohama, Jepang, meninggal dunia setelah kritis akibat virus Korona. Empat WNI positif Korona menjalani perawatan intensif di rumah sakit. DUL . #SeputariNews #SeputariNewsSiang #Korona #Corona #COVID-19 #DiamondPrincess #Wuhan ⁣</t>
  </si>
  <si>
    <t>KRI dr Soeharso Disiapkan Jadi Opsi Evakuasi WNI di 2 Kapal Pesiar</t>
  </si>
  <si>
    <t>RT @dularips: @TirtoID Jangankan anak eks isis, anak FPI aja kagak bisa diapa2in. Coba admin tirtot aja yang turun lapangan, ajarin dong cara deradikalisasi. Kontol.</t>
  </si>
  <si>
    <t>@LaskarLangit13 @haikal_hassan Yg mau khilafah yg mau pulangin kombatan ISIS itu benalu di NKRI. Pake ayat2 alquran tereak2 takbir tapi sambil WA mesum dgn Firza..... Wuakakakakak 😂🤣😂🤣😂🤣 Eh taek ledik....jilatin noh fantat nyet2</t>
  </si>
  <si>
    <t>Dua penumpang Kapal Diamond Princess di Yokohama, Jepang, meninggal dunia setelah kritis akibat virus Korona. Empat WNI positif Korona menjalani perawatan intensif di rumah sakit. DUL . #SeputariNews #SeputariNewsSiang #Korona #Corona #COVID-19 #DiamondPrincess #Wuhan ⁣</t>
  </si>
  <si>
    <t>RT @kompascom: Pemerintah diminta membuka data jumlah warga negara Indonesia (WNI) yang ada di Wuhan, Provinsi Hubei, China.</t>
  </si>
  <si>
    <t>Presiden Joko Widodo : Pemerintah Siapkan Opsi Evakuasi WNI dari Jepang</t>
  </si>
  <si>
    <t>bukannya kalau klok jadi WNI bakal masih ada sisa 1 slot asing ya.. RT @saripudin_30: @OrenBarat Di tanggal 23 kira kira bakalan nambah pemain baru kah ndan? Atau udah fix segini?</t>
  </si>
  <si>
    <t>Tak hanya WNI, Ini Cara Mengisi Sensus Penduduk Online 2020 untuk WNA yang Tinggal di Indonesia  via @tribunnews</t>
  </si>
  <si>
    <t>"Mempunyai gambar dan representasi lain yang berkaitan mereka dalam telefon bimbit atau akaun Facebook (FB) seseorang, tidak menukar seseorang menjadi pengganas" Owh ok LLTE boleh simpan gambar Pengganas. Kalau begitu aku simpan bendera &amp; buku ISIS lah. Undang² Malaysia ni pelik. RT @hmetromy: #kualalumpur Jabatan Peguam Negara hari ini, membuat keputusan memberhentikan prosiding undang-undang terhadap 12 lelaki warga tempatan yang berdepan tuduhan menyokong kumpulan pengganas, LTTE.</t>
  </si>
  <si>
    <t>Sejumlah Ormas di Lamongan Tolak Rencana Pemulangan Eks ISIS | TIMES Indonesia</t>
  </si>
  <si>
    <t>@haikal_hassan Kepada WNI Keturunan Arab : Kalian disini kami terima dan kami sambut dengan baik. Tapi jika Kelakuan Jahiliyah dari Moyangmu masih kamu lakukan disini... Maka lebih baik : Kalian Minggat Dari Sini!!! 👊 #TangkapHaikalHasan RT @AriestaRiico: Mantan Kepala BIN, AM Hendropriyono meminta WNI keturunan ARAB agar tak memprovokasi masyarakat pasca-pemilu 2019. Kalau tidak ada yang mengingatkan, lalu siapa yang ingatkan, semaunya saja maki2, bahasa kasar &amp; tidak pantas didengar oleh cucu2 kita. #212PanggungSandiwara</t>
  </si>
  <si>
    <t>Melalui #ToThePointkumparan, kami berkesempatan untuk melakukan wawancara secara eksklusif bersama dua orang WNI yang sempat menetap di Wuhan. Seperti apa kisahnya? -A thread-</t>
  </si>
  <si>
    <t>Kami semua menolak kedatangan ISIS di Indonesia #TolakEksWNIproISIS</t>
  </si>
  <si>
    <t>Kaladam #SipaheSahaba K #Takferi #Hackers Ky Cyber Hamlon Ka Khatra, Hassad Idaron Ma Khalbali Mach Gaye  #BanASWJ #ISIS</t>
  </si>
  <si>
    <t>@eddydaud Keputusan AG tak selari dgn simpati ISIS yg dah kena tangkap di Malaysia. Ada buku tertentu, ada simpan gambar kalimah dah kena penjara. Yg mengaku ahli/penyokong LTTE lepas begitu je</t>
  </si>
  <si>
    <t>@VIVAcoid Isis dan sejenisnya yg memicu islamphobia</t>
  </si>
  <si>
    <t>@evndari Perlu dikoreksi/ditambahkan pada narasi: "semua WNI bebas beribadah sesuai agama &amp; keyakinan" menjadi "Semua WNI bebas beribadah sesuai agama &amp;amp; keyakinannya sepanjang tdk bertentangan dgn Pancasila" i.e: Kalau mau meradjam/memotong tangan /qisas tidak bisa dilaksanakan disini!</t>
  </si>
  <si>
    <t>@Naoliviea Sementara di lokasi yg sama, 30an Org dgn Mobil Komando, brorasi Mndukung Omnibus Law,.. sampai saat ini, blom terpancing... Juga tak jauh dari sana(pintu istiqlal), 5 mobil metromini dan sebuah mobil komando mlakukan Demonstrasi menolak pemulangan eks isis #BongkarMegaKorupsi</t>
  </si>
  <si>
    <t>RT @hackerunited: Based on Tommy Thomas punya logik, orang yg simpan gambar berkaitan ISIS pun boleh drop charge. Bodohnya.</t>
  </si>
  <si>
    <t>@D4RKhunter_ @ISIS_Balik_NO @SopanSopianD @Fahrihamzah 🐕🐩ini kamu maksudnya?</t>
  </si>
  <si>
    <t>@Ipong68477012 @Dennysiregar7 Presiden apa nih? Presiden ISIS</t>
  </si>
  <si>
    <t>RT @faizal_sir: Diskriminasi yg begitu ketara yg berlaku dlm negara kita. 1. Sokong ISIS kena penjara. 2. Sokong LTTE dilepaskan. Kedua-duanya (ISIS n LTTE) adalah pengganas. Sepatutnya penyokong kedua-duanya dipenjara. Tp apakan daya, ini Malaysia Baru. Kalian suka? Tepuk sikit.</t>
  </si>
  <si>
    <t>Kemlu KBRI Phnom Penh memastikan kesehatan 362 kru WNI di Kapal Pesiar Westerdaam.</t>
  </si>
  <si>
    <t>RT @kompascom: Mereka yang menolak untuk bergabung dengan kelompok yang didirikan oleh Aman Abdurrahman saat berada di Nusakambangan itu, dianggap "murtad", "dikafirkan" dan darahnya "halal sehingga berhak dibunuh sama mereka," cerita Hassan. &gt; #Reagional</t>
  </si>
  <si>
    <t>RT @setkabgoid: Presiden @jokowi: Secepatnya akan Dilakukan Evakuasi 74 WNI Kru Kapal Diamond Princess</t>
  </si>
  <si>
    <t>Done and dusted! SP 3 ABB Ketidaktegasan thd pentolan HTI Intoleransi GKI Yasmin &amp; HKBP Filadelfia Wacana pemulangan teroris ISIS #CabutSKB2Menteri RT @sahaL_AS: Jokowers hrs bersikap kritis thd Jokowi dan menteri2nya. Kalo bagus dipuji. Tp kalo buruk hrs dikritik terbuka. Jgn fanatik buta: diem2 aja kalo Jkw keliru, atau nyari2 alasan utk membelanya. Kritis thd yg kita dukung adlh cara mendukung yg cerdas dan bertanggung jawab.</t>
  </si>
  <si>
    <t>KBRI (Kedutaan Besar Republik Indonesia) Phnom Penh memastikan kesehatan 362 kru WNI di Kapal Pesiar</t>
  </si>
  <si>
    <t>@bernamadotcom Kalau cam tu bebaskan juga la yg dituduh sokong isis tu, fair n square</t>
  </si>
  <si>
    <t>Jokowi Jelaskan Nasib 74 WNI di Kapal Pessiar Diamond Princess</t>
  </si>
  <si>
    <t>Mereka yang menolak untuk bergabung dengan kelompok yang didirikan oleh Aman Abdurrahman saat berada di Nusakambangan itu, dianggap "murtad", "dikafirkan" dan darahnya "halal sehingga berhak dibunuh sama mereka," cerita Hassan. &gt; #Reagional</t>
  </si>
  <si>
    <t>Ada dua opsi untuk menjemput WNI kru kapal Diamond Princess agar terhindar Covid-19.</t>
  </si>
  <si>
    <t>Jakarta adalah Ibukota Indonesia, maka jkt milik seluruh WNI. Semua cagar budaya adalah milik seluruh WNI. JANGAN OBRAK ABRIK CAGAR BUDAYA SEENAKNYA SENDIRI!!! #SaveTIMSaveMonas</t>
  </si>
  <si>
    <t>@NgaKorMing yer, lepaskan juga ratusan tahanan isis, menyimpan gambar tidak menunjukkan kesalahan, mereka dan semua mereka, boleh menyaman kerajaan jutajuta, atas kesalahan menahan mereka secara salah</t>
  </si>
  <si>
    <t>Tujuan dengan menghilangkan nasionalisme rakyat salah satunya dengan menghancurkan cagar budaya, situs sejarah.... Itulah tujuan HTI, isis dan pengasong khilafah di indonesia. Apakah @aniesbaswedan termasuk ada di dalam gerombolan itu ??</t>
  </si>
  <si>
    <t>KRI Soeharso 990 memiliki kemampuan untuk memulangkan WNI kru Kapal Pesiar Diamond Princess di Jepang sekaligus merawatnya apabila mengalami sakit.</t>
  </si>
  <si>
    <t>@WR_4AG226 Jujur...gw paling benci liat WNI yg gaya.nye sok ke ngarab2an pke ane antum..akhi ukhti... Gw jg muslimah...tp ttp gw lu...saya kamu...krn gw asli Betawi n cinta NKRI 💖💖💖🇮🇩🇮🇩🇮🇩</t>
  </si>
  <si>
    <t>@MalaysiaGazette ia. mereka semua bakal dibebaskan tahniah. Ag punya kuasa overule the police, ratusan isis pon harus di bebaskan kerana menyimpan gambar, tidak menunjukkan apa apa salah (kata AG)</t>
  </si>
  <si>
    <t>RT @tvOneNews: Abdul Chair Ramadhan, Direktur HRS Center: Dalam hal ini tentu lebih arif dan bijak, Pemerintah memulangkan kemudian melakukan proses hukum. Simak dialog lengkapnya Dua Sisi di tvOne connect. #tvOneNews #DuaSisitvOne #WNI</t>
  </si>
  <si>
    <t>Analisa saya : inilah cara2 isis..menghancurkan budaya (TIM) dan sejarah (MONAS) RT @samhudibae: Cubernur Anies mempertanggung jawabkan secara terbuka kepada para Seniman apa maksud dan tujuan membongkar Gedung kesenian tampa bermusyawarah Taman Ismail Marzuki tempat aktivitas seniman yang diberikan secara khusus oleh Gubernur Ali Sadikin. #4niesGabenerBodong</t>
  </si>
  <si>
    <t>Based on Tommy Thomas punya logik, orang yg simpan gambar berkaitan ISIS pun boleh drop charge. Bodohnya.</t>
  </si>
  <si>
    <t>*SUNGGUH MENGERIKAN! Jadi ZHONG WAN XIE alias Ahok itu adalah Warga Negara Cina / RRC / Tiongkok selama 20 tahun, dan baru di usia 20 tahun ia jadi WNI.Jadi: Ahok ORANG CINA ASLI bukan orang Indonesia, namun ia kemudian pindah jadi WNI* #BongkarMegaKorupsi</t>
  </si>
  <si>
    <t>@SelflessSoul_ @vinyasshetty Few more, Al-Qaeda, ISIS, Taliban, Boko haram, etc etc etc.</t>
  </si>
  <si>
    <t>@DiantyYasmin3 Hati-hati dengan ISIS Indonesia</t>
  </si>
  <si>
    <t>Nda tw kaa..Qta nda peduli syapa dya. Pokonya syapa aza yng ngbelain isis atw hamas Qta anggep sama aza..bodo amat 😘👌 RT @SiNiel1: @3_devout @prin_theth Diyanya yang penulis ituka Bebs?</t>
  </si>
  <si>
    <t>@RizmaWidiono @Bangzul__88 ISU BESARNYA TETAP JIWASRAYAGATE. Pengalihan isunya : ISIS, Lucinta Luna, Harun Masiku, Bullying 3 siswa ke siswi disabilitas, Veronica Koman, Revitalisasi Monas, dan Formula E... Jadi Intinya biar lupa pansus DPR untuk Jiwasraya tidak terbentuk.</t>
  </si>
  <si>
    <t>Tangkap ISIS Indonesia RT @cagubnyinyir2: Massa Aksi 212 mulai berdatangan di Pintu Barat Monas, Jakarta, mereka bawa Bendera Merah Putih &amp; bendera tauhid berwarna hitam, bawa poster dengan tulisan 'Tangkap Sindikat KPK Gate'  @77bayoe @Bams_1eng @ichigotalks @Bubut871 @yogo_prst @LukmanHarijanto</t>
  </si>
  <si>
    <t>Biar hak pada bingung. Ini penjelasan kenapa Pemerintah memilih tdk memulangkan eks WNI yang bergabung dengan ISIS. @BNPTRI @DamailahRI @PolhukamRI @DivHumas_Polri @Puspen_TNI</t>
  </si>
  <si>
    <t>ISIS Indonesia makin leluasa berdemo menyalahgunakan kebebasan berpendapat di negara demokrasi @jokowi RT @cagubnyinyir2: DARI Dulu Niatnya Mau Kudeta !! Aksi 212 di Monas, Massa Bawa Spanduk 'Tumbangkan Rezim Korup!'  @Jokoumb64504158 @USutendi @Berty69968038 @PJayakarsa @asepapit @kangdin223</t>
  </si>
  <si>
    <t>RT @harian_riau: Pemulangan ABK WNI Tunggu Keputusan Pemerintah Jepang</t>
  </si>
  <si>
    <t>Pemulangan ABK WNI Tunggu Keputusan Pemerintah Jepang</t>
  </si>
  <si>
    <t>"Berdasarkan komunikasi terakhir termasuk pembicaraan dengan duta besar Jepang diperoleh informasi tiga dari 78 kru WNI dinyatakan confirm (mengidap Covid-19)," tutur Menlu Retno Marsudi kepada wartawan di kantor Kementerian Luar Negeri RI di Jakarta. #ittrenglishcourse #news</t>
  </si>
  <si>
    <t>Presiden @jokowi: Secepatnya akan Dilakukan Evakuasi 74 WNI Kru Kapal Diamond Princess</t>
  </si>
  <si>
    <t>Soal WNI Corona, Kemenkes Sebut Wajar Jepang Tutupi Identitas</t>
  </si>
  <si>
    <t>@sundaruu @afdhal_aja @Fahmibisyir @ISIS_Balik_NO @SopanSopianD @Fahrihamzah Yg muja muji cina kan kalean dan junjungan kalean</t>
  </si>
  <si>
    <t>RT @alex_hunter146: @AnakLolina @hemaviton99 Kerajaan Saudi Lagi Cuci Tangan Padahal Dibalik Gerakan Arab Spring Gulingkan Rezim Yg Dianggap Kompetitor Saudi Dlm Rebutan Pengaruh Di Timur Tengah Memang Tak Sempurna Presiden Assad Gagal Di Gulingkan Saudi Bentuk Teroris Faksi ISIS Bernama Jaysh Al Islam Yg Di Donasi BN</t>
  </si>
  <si>
    <t>@KompasTV Berantas #Taipan9Naga Haramjadah !!! Lawan #KapitalismeGlobalChina beserta anteknya !!! Lawan #Jongos Asing-Aseng, tentunyaaahh... #SoeDADANG ISIS: Imam Besar #IslamSundaIndahSekali @IslamSUNDA</t>
  </si>
  <si>
    <t>@sundaruu @afdhal_aja @Fahmibisyir @ISIS_Balik_NO @SopanSopianD @Fahrihamzah Nah makin keciri togognya,lanjutkan!!!</t>
  </si>
  <si>
    <t>@AnakLolina @hemaviton99 Kerajaan Saudi Lagi Cuci Tangan Padahal Dibalik Gerakan Arab Spring Gulingkan Rezim Yg Dianggap Kompetitor Saudi Dlm Rebutan Pengaruh Di Timur Tengah Memang Tak Sempurna Presiden Assad Gagal Di Gulingkan Saudi Bentuk Teroris Faksi ISIS Bernama Jaysh Al Islam Yg Di Donasi BN</t>
  </si>
  <si>
    <t>362 kru WNI Kapal Pesiar Westerdaam dipastikan dalam keadaan sehat  #ElshintaMedan #ElshintaEdisiSiang</t>
  </si>
  <si>
    <t>Membahayakan dan Dapat Memecah Belah NKRI, Warga Lamongan Tegas Tolak Pemulangan WNI Eks ISIS #Beritacenter #lamongan #ISIS #TolakEksWNIproISIS &gt;&amp;gt;&amp;gt;</t>
  </si>
  <si>
    <t>RT @tvOneNews: Maman Imanul Haq, Politisi PKB: Saya rasa mereka tidak perlu dikembalikan karena mereka telah memilih untuk keluar dari negara ini. Simak dialognya dalam Dua Sisi di tvOne connect. #tvOneNews #DuaSisitvOne #WNI #PKB</t>
  </si>
  <si>
    <t>KBRI Phnom Penh Pastikan 362 Kru WNI di Kapal Pesiar Westerdaam Kondisi Sehat</t>
  </si>
  <si>
    <t>Maman Imanul Haq, Politisi PKB: Saya rasa mereka tidak perlu dikembalikan karena mereka telah memilih untuk keluar dari negara ini. Simak dialognya dalam Dua Sisi di tvOne connect. #tvOneNews #DuaSisitvOne #WNI #PKB</t>
  </si>
  <si>
    <t>19 Feb 2020: total 4 WNI dari kapal Diamond Princess yg terdeteksi virus corona. Dua dirawat di RS di Chiba, 2 di Tokyo. KBRI Tokyo upayakan mereka tetap bisa kontak keluarga &amp; ABK lainnya, dan kami tunggu tes yg menyatakan 74 WNI lainnya selesai dikaranti</t>
  </si>
  <si>
    <t>Pemerintah menyiapkan dua opsi untuk menjemput 74 warga negara Indonesia (WNI) kru Kapal Pesiar Diamond Princess yang sedang berada di wilayah Yokohama, Jepang, agar terhindar dari COVID-19.</t>
  </si>
  <si>
    <t>RT @hariankompas: Pemerintah menyiapkan dua opsi evakuasi WNI yang berada di kapal pesiar Diamond Princess di Yokohama, Jepang. Selain evakuasi lewat udara, dipertimbangkan pula evakuasi dengan Kapal Rumah Sakit TNI Angkatan Laut Soeharso. #Humaniora #KawandalamPerubahan</t>
  </si>
  <si>
    <t>DPR Minta Pemerintah Tetap Pantau Kesehatan 4 WNI Positif Virus Korona #TauCepatTanpaBatas #BeritaTerkini #Berita #News #BeritaNasional .</t>
  </si>
  <si>
    <t>@null DPR Minta Pemerintah Tetap Pantau Kesehatan 4 WNI Positif Virus Korona Saleh mem</t>
  </si>
  <si>
    <t>Soal Rencana Evakuasi WNI di Kapal Pesiar Jepang, Ini Kata Jokowi</t>
  </si>
  <si>
    <t>@WahabisLokal @RizmaWidiono Untungnya gk di cabut tuh ijin tinggal / sebagai WNI keturunan. Harusnya warga keturunan yg suka provokasi, di usir dr NKRI. bisa jd benalu mereka.</t>
  </si>
  <si>
    <t>RT @JakartaIs_Red: Nah cari CB pelapis yang bagusan dikit, mungkin setelah klok resmi jadi WNI sabi tuh</t>
  </si>
  <si>
    <t>Pemerintah Siapkan Opsi Evakuasi 74 WNI Awak Kapal Diamond Princess</t>
  </si>
  <si>
    <t>RT @picoez: Yth. Bapak Presiden RI, Bapak Ir. Joko Widodo @jokowi Saya sebagai warga negara RI tidak setuju dengan wacana pemulangan simpatisan ISIS. Mengapa? Debab kita tidak bisa memfasilitasinya, dikarenakan tujuan mereka sejak awal adalah PULANG KE SURGA. Terima kasih.</t>
  </si>
  <si>
    <t>@baniarrantisi @afdhal_aja @Fahmibisyir @ISIS_Balik_NO @SopanSopianD @Fahrihamzah Bacot kampret korona ,dimana mana nyusahin, ga di indo ga di cina 😂</t>
  </si>
  <si>
    <t>@berjalanbahagia @sandalista1789 @fullmoonfolks @OscarLolang ada ga alasan selain embel2 komunis, khilafah, isis, memecah belah NKRI..basi bos</t>
  </si>
  <si>
    <t>@Dahnilanzar @CNNIndonesia Bang, kenapa pemerintah takut memulangkan mantan ISIS jika yakin program deradikalisasi itu (akan) berhasil?</t>
  </si>
  <si>
    <t>Evakuasi 74 WNI Kru Kapal Pesiar, Pemerintah Pertimbangkan Kapal Laut atau Pesawat</t>
  </si>
  <si>
    <t>@WahabisLokal Jangan hanya karena kelakuan beberapa oknum wni keturunan arab, kita mengecam begitu saja. Sebagian keturunan arab berjasa besar dalam kemerdekaan negeri ini. Banyak di antara pahlawan yg kita puja-puji sebenarnya juga keturunan arab.</t>
  </si>
  <si>
    <t>21 Februari– diperingati sebagai Hari Bahasa Ibu Internasional. Sebagai WNI, sudah seharusnya kita berbangga hati terhadap beragam bahasa yg telah menyatukan kita hingga hari ini. Mulai skrg cintailah bahasa daerah yg kita miliki. ❤️ Happy International Mother Language Day! 🇮🇩</t>
  </si>
  <si>
    <t>Cari ide destinasi liburan tahun ini? Berikut daftar negara yang dapat diakses WNI tanpa visa atau hanya perlu visa on arrival:</t>
  </si>
  <si>
    <t>Kepada WNI Keturunan Arab: Kalian disini kami terima dan kami sambut dengan baik. Tapi jika Kelakuan Jahiliyah dari Moyangmu masih kamu lakukan disini, Maka lebih baik: Kalian Minggat Dari Sini👊 #TangkapHaikalHasan</t>
  </si>
  <si>
    <t>Halo, HI-ers! Saat ini dunia internasional, termasuk juga Indonesia, sedang mengalami permasalahan dan ancaman serupa, ISIS. Terlebih lagi beberapa dari partisipan ISIS banyak yang mengajukan permohonan pemulangan ke negara asal mereka. Bagaimana sikap pemerintah dalam hal ini?</t>
  </si>
  <si>
    <t>RT @KemenkesRI: #RilisSehat Masa Karantina WNI di Kapal Diamond Princess Diperpanjang @KemenkesRI</t>
  </si>
  <si>
    <t>@jokowi Sese x diperhatikan ke pak WNI pinggiran ini.</t>
  </si>
  <si>
    <t>RT @3_devout: Saia sbagei anggota sala satu kluarga korban bom gereja di surabaya..nda bakalan DIAM nyari data dn informasi" dri bnyk sumber..syapa aza yng bermain sm jihadis" isis di negara iniiy.. Qta nda seBEGOK yng kau kira 😘👌</t>
  </si>
  <si>
    <t>RT @kompascom: "Kita harapkan ya segera ada sebuah keputusan sehingga kita bisa langsung menentukan," ujar Jokowi.</t>
  </si>
  <si>
    <t>@AbdulWidodo3 Iysi tp ttp wni 🥺</t>
  </si>
  <si>
    <t>@ErsatKera @sukatanyaj waalaikumussalam... Saya yakin dan Percaya Polisi di London Sangat Profesional.tentunya tersangka nanti klo dapat gak lansung di Vonis STRESS dan GILA...tentunya Jauh dari Radikal Radikul ISIS dan SOSIS</t>
  </si>
  <si>
    <t>@tsunderechan18 dari Rp. 50 juta) - Status Kewarganegaraan WNI berdomisili di Indonesia Informasi Personal Loan dari website BCA, dapat diketahui di link berikut :  :) Tks (4/4) ^Gwen</t>
  </si>
  <si>
    <t>KRI dr. Soeharso, Kapal yang Dipertimbangkan Pemerintah Jemput 74 WNI di Yokohama</t>
  </si>
  <si>
    <t>RT @setkabgoid: Presiden @jokowi Pastikan WNI di Kapal Diamond Princess Peroleh Protokol Kesehatan Standar WHO</t>
  </si>
  <si>
    <t>RT @KBRI_Athena: Pada tanggal 20 Februari 2020, KBRI Athena telah memfasilitasi pemulangan WNI overstayer yang memiliki masalah kesehatan a/n Titin Muksin Dalil ke Indonesia. #inidiplomasi #indonesianway #negaramelindungi</t>
  </si>
  <si>
    <t>— profile. Dorian Gray Dorian or Gray 09 Januari 1994 O WNI • timothee C • 1995 L</t>
  </si>
  <si>
    <t>@AbdulWidodo3 Udh kena btw wni yg d kapal pesiar itu cm 3 org tp</t>
  </si>
  <si>
    <t>362 Kru WNI Kapal Pesiar Westerdaam Dipastikan Dalam Keadaan Sehat</t>
  </si>
  <si>
    <t>WNI yang Jalani Observasi Virus Corona di Jepang dapat Dukungan BNPB dan KRI DR Soeharso</t>
  </si>
  <si>
    <t>@ichslan 2. Melalui kantor cabang Bank Mandiri terdekat dgn mengisi lengkap aplikasi Mandiri kartu kredit dan melampirkan fotokopi KTP (WNI atau paspor dan KITAS/ KITAP (WNA), fotokopi slip gaji dan fotokopi NPWP. (2)</t>
  </si>
  <si>
    <t>Presiden Jokowi : pemerintah masih membuka peluang untuk kepulangan WNI eks ISIS yang masih dalam kategori anak di bawah umur. khususnya mereka yang sudah yatim piatu. #EksISISHilangKewarganegaraan</t>
  </si>
  <si>
    <t>RT @kjrifrankfurt: Himbauan bagi WNI di Wilayah Kerja KJRI Frankfurt.</t>
  </si>
  <si>
    <t>baru kali ini nyesel jadi wni, nyesel pernah ngeluarin duit buat naturalisasi</t>
  </si>
  <si>
    <t>Meski demikian. wacana untuk kepulangan anak anak WNI eks ISIS masih tetap dipertimbangkan. #EksISISHilangKewarganegaraan</t>
  </si>
  <si>
    <t>RT @PDI_Perjuangan: ISIS Eks WNI Nekat Balik ke Indonesia, Kabaharkam Polri: Tindak Tegas  #PDIPerjuangan</t>
  </si>
  <si>
    <t>Kejahatan ISIS dari makar terorisme hingga melanggar HAM #stopisis</t>
  </si>
  <si>
    <t>#EksISISHilangKewarganegaraan Alasan kemanusiaan tidak bisa lagi dibenarkan untuk memulangkan WNI eks ISIS. karena justru alasan tersebut lah yang membuat mereka ditolak.</t>
  </si>
  <si>
    <t>@haikal_hassan Utamakan produk sendiri bukan rasis, tapi membantu sesama WNI, itu wajib. yg nyinyir penghianat bangsat bangsa #BongkarMegaKorupsi</t>
  </si>
  <si>
    <t>@jokoanwar Llah mwlindungi wni</t>
  </si>
  <si>
    <t>@AnakKolong___ Poligami cuma akal2an mereka yg suka menyomot sepenggal arti ayat, dan menutup mata akan arti ayat sesudahnya.... Persis kelakuan ISIS yg membenarkan pembunuhan....</t>
  </si>
  <si>
    <t>Pengajar Ilmu Hubungan Internasional Universitas Indonesia. Edy Prasetyono: Keputusan pemerintah untuk menolak kepulangan eks kombatan ISIS ke Indonesia adalah keputusan yang tepat atas dasar pertimbangan keselamatan dan keamanan negara. #EksISISHilangKewarganegaraan</t>
  </si>
  <si>
    <t>RT @Metro_TV: #NewslineMetroTV Hari ini, pemerintah sedang mematangkan rencana untuk menjemput 74 WNI yang berada di kapal pesiar Diamond Princess di Jepang. Salah satu opsinya adalah menjemput para WNI dengan menggunakan kapal dari DR Soeharso. Live streaming:</t>
  </si>
  <si>
    <t>Atau kaya propaganda "taliban, alqaeda, isis, itu bikinan amerika bro! Untuk hancurin islam!" Begitulah diulang2 kaya kaset rusak. Tapi di rumah punya foto Usama Bin Laden, dipercaya sbg tokoh agama yang mati syahid. Hahahaha.</t>
  </si>
  <si>
    <t>RT @CNNIDdaily: Menkes dan Panglima TNI memantau persiapan KRI dr Soeharso-990 sebagai opsi untuk menjemput WNI di Yokohama, Jepang. WNI tersebut berjumlah 74 orang yang merupakan ABK Diamond Princess. #CNNIDNewsReport</t>
  </si>
  <si>
    <t>RT @BakarSmith: Pemandangan ini mestinya harus menjadi perhatian semua pihak. Sebab ISIS tidak benar-benar mati. Mereka justru sedang berusaha untuk melakukan reinkarnasi melalui media sosial. Pada 2016 lalu, Twitter mencatat ada sekitar 125.000 akun yg ditengarai mempunyai hubungan dengan ISIS.</t>
  </si>
  <si>
    <t>RT @Metro_TV: #MetroSiang KRI Dr. Soeharso-990 dipersiapkan untuk menjemput 74 WNI yang berada di kapal pesiar Diamond Princess di Yokohama, Jepang. Kapal milik TNI AL ini diperuntukan sebagai kapal rumah sakit. Live Streaming:</t>
  </si>
  <si>
    <t>BNPB dan KRI DR. Soeharso Siap Mendukung Penjemputan WNI Terdampak Virus Corona di Jepang</t>
  </si>
  <si>
    <t>RT @Metro_TV: #MetroSiang Presiden Jokowi memastikan pemerintah terus memantau kondisi 4 WNI yang merupakan awak buah kapal Diamond Princess yang terjangkit #VirusCorona. Pemerintah mempertimbangkan untuk menjemput 74 WNI lainnya yang tidak terjangkit. Live Streaming:</t>
  </si>
  <si>
    <t>RT @BakarSmith: Dan sekali lagi, Twitter sendiri tdk mempunyai kemampuan untuk membendung banjirnya propaganda ISIS tersebut. Faktanya, ISIS masih bisa menguasai jagad Twitter dengan propaganda yg menyasar kalangan milenial dan mereka yg tdk mempunyai pemahaman yg komprehensif tentang keislaman.</t>
  </si>
  <si>
    <t>REINKARNASI ISIS DI MEDIA SOSIAL | . . Pada 2016 lalu, Twitter mencatat ada sekitar 125.000 akun yg ditengarai mempunyai hubungan dengan ISIS. . . - sebuah utas | habib @BakarSmith - . . Sumber : Analisis Zuhairi Misrawi Propaganda ISIS di Media Sosial . .  RT @BakarSmith: Satu Islam, [Feb 20, 2020 at 22:34]</t>
  </si>
  <si>
    <t>@rezfatti @trio_raden @ILCtv1 Lu tunjuk siapa komunis!!! Lu tau ngak akibat lu fitnah org komunis bisa2 1 keluarga di bunuh!!! Jangankan komunis dituduh dukun santet pun nyawa melayang. Jadi elu ISIS anjing mau fitnah presiden komunis???</t>
  </si>
  <si>
    <t>RT @BakarSmith: ISIS hendak menyampaikan pesan kepada pengikut dan pencintanya bahwa mereka masih eksis dan sedang mencari momentum yang tepat untuk melakukan reinkarnasi.</t>
  </si>
  <si>
    <t>RT @BakarSmith: Bahkan, propaganda mereka menjadi trending topic. Mereka menampilkan kembali masa-masa kejayaan ISIS, seperti aksi bom bunuh diri, pidato Abu Bakar al-Baghdadi, dan eksekusi brutal dengan memenggal mereka yang dianggap "kafir".</t>
  </si>
  <si>
    <t>RT @BakarSmith: Mereka memilih taktik untuk mengonsolidasikan jaringan internasional yang sudah terbentuk sembari melalukan propaganda ideologis melalui media sosial. Baru-baru ini, jagad Timur-Tengah dikejutkan dengan banjirnya propaganda ISIS di media sosial, khususnya Twitter.</t>
  </si>
  <si>
    <t>RT @BakarSmith: s’telah kematian sang khalifah, ISIS segera menunjuk Abu Ibrahim al-Hashimi al-Quraishi sebagai khalifah teranyar yang akan mengendalikan seluruh kegiatan dan pergerakan organisasi.</t>
  </si>
  <si>
    <t>RT @BakarSmith: ISIS tidak lagi menjadikan Irak dan Suriah sebagai wilayah kekuasaan mereka, melainkan sebuah organisasi yang mendunia melalui media sosial.</t>
  </si>
  <si>
    <t>RT @BakarSmith: s’bagian kutipan dari tulisan Gus @zuhairimisrawi [utk paham s’lengkapnya sila klik link tsb🙏] ISIS jauh-jauh hari sudah mendeklarasikan sebuah transformasi baru, yaitu Islamic State (IS).</t>
  </si>
  <si>
    <t>Evakuasi 74 WNI di kapal pesiar Diamond Princess masih proses diplomasi  #VirusCorona</t>
  </si>
  <si>
    <t>RT @tani_suara: 4 WNI Terinfeksi Virus Corona di Kapal Pesiar Diamond Princess Dirawat di Jepang Jumat, 21 Februari 2020 Kanal Peristiwa</t>
  </si>
  <si>
    <t>4 WNI Terinfeksi Virus Corona di Kapal Pesiar Diamond Princess Dirawat di Jepang Jumat, 21 Februari 2020 Kanal Peristiwa</t>
  </si>
  <si>
    <t>RT @FransAlosius: @permadiaktivis Yg ga guna diurusi Yg intoleran bebas Yg kafir2kan manusia bebas Yg PKI kan orang bebas Yg pro isis bebas dll Gendheng</t>
  </si>
  <si>
    <t>Mahfud MD diskusi dengan MUI soal ISIS eks WNI</t>
  </si>
  <si>
    <t>Gelo, mau soljum khatib nya bilang isis buatan umat yahudi ama USA dan bukan islam. Maksudnya kalo bukan islam yaudah gw terima aja tapi gausa bawa2 iman org lain dong buat topik begini</t>
  </si>
  <si>
    <t>Menkes dan Panglima TNI memantau persiapan KRI dr Soeharso-990 sebagai opsi untuk menjemput WNI di Yokohama, Jepang. WNI tersebut berjumlah 74 orang yang merupakan ABK Diamond Princess. #CNNIDNewsReport</t>
  </si>
  <si>
    <t>Dan sekali lagi, Twitter sendiri tdk mempunyai kemampuan untuk membendung banjirnya propaganda ISIS tersebut. Faktanya, ISIS masih bisa menguasai jagad Twitter dengan propaganda yg menyasar kalangan milenial dan mereka yg tdk mempunyai pemahaman yg komprehensif tentang keislaman.</t>
  </si>
  <si>
    <t>Pemandangan ini mestinya harus menjadi perhatian semua pihak. Sebab ISIS tidak benar-benar mati. Mereka justru sedang berusaha untuk melakukan reinkarnasi melalui media sosial. Pada 2016 lalu, Twitter mencatat ada sekitar 125.000 akun yg ditengarai mempunyai hubungan dengan ISIS.</t>
  </si>
  <si>
    <t>ISIS hendak menyampaikan pesan kepada pengikut dan pencintanya bahwa mereka masih eksis dan sedang mencari momentum yang tepat untuk melakukan reinkarnasi.</t>
  </si>
  <si>
    <t>Bahkan, propaganda mereka menjadi trending topic. Mereka menampilkan kembali masa-masa kejayaan ISIS, seperti aksi bom bunuh diri, pidato Abu Bakar al-Baghdadi, dan eksekusi brutal dengan memenggal mereka yang dianggap "kafir".</t>
  </si>
  <si>
    <t>Mereka memilih taktik untuk mengonsolidasikan jaringan internasional yang sudah terbentuk sembari melalukan propaganda ideologis melalui media sosial. Baru-baru ini, jagad Timur-Tengah dikejutkan dengan banjirnya propaganda ISIS di media sosial, khususnya Twitter.</t>
  </si>
  <si>
    <t>s’telah kematian sang khalifah, ISIS segera menunjuk Abu Ibrahim al-Hashimi al-Quraishi sebagai khalifah teranyar yang akan mengendalikan seluruh kegiatan dan pergerakan organisasi.</t>
  </si>
  <si>
    <t>ISIS tidak lagi menjadikan Irak dan Suriah sebagai wilayah kekuasaan mereka, melainkan sebuah organisasi yang mendunia melalui media sosial.</t>
  </si>
  <si>
    <t>s’bagian kutipan dari tulisan Gus @zuhairimisrawi [utk paham s’lengkapnya sila klik link tsb🙏] ISIS jauh-jauh hari sudah mendeklarasikan sebuah transformasi baru, yaitu Islamic State (IS).</t>
  </si>
  <si>
    <t>@Sarah_Pndj masih mending sih ini, moderat yang dukung mulangin eks ISIS itu loh...</t>
  </si>
  <si>
    <t>@black__valley1 @Komnas HAM @KPAI, @fadlizon @hnurwahid @MardaniAliSera @pks pada kemana emang..? giliran urusan anak2 ISIS eks WNI aja pada repot..!</t>
  </si>
  <si>
    <t>@NATO NATO = ISIS, DESH, ALQAEDA.</t>
  </si>
  <si>
    <t>@isis__27 InchAllah</t>
  </si>
  <si>
    <t>@kompascom Mulai marak lagi nie penculikan.....tega dan kejam.....jangan jangan ISIS yg melakukan</t>
  </si>
  <si>
    <t>RT @Metro_TV: #MetroSiang Terdapat ruang isolasi di bagian Hospital Deck yang ada di kapal KRI Dr. Soeharso-990. Ruang ini nantinya akan diperuntukan jika selama masa observasi ada WNI yang menandakan gejala-gejala positif #VirusCorona. Live Streaming:</t>
  </si>
  <si>
    <t>RT @Avery1776: @BenKTallmadge @CarrollQuigley1 @RevisitedRick @DawsonSField @Knowita47918362 @MonsieurAmerica + 01/19/20 ISIS Oil Emir ABU ALWARD AL-IRAQI in Syria</t>
  </si>
  <si>
    <t>RT @KompasTV: Kapal dr Soeharso Jadi Opsi Pemulangan WNI Kapal Diamond Princess</t>
  </si>
  <si>
    <t>@ybrap @_geraldgerald_ Halo wni</t>
  </si>
  <si>
    <t>WNI di Kapal Diamond Princess Dapat Protokol Kesehatan WHO  #pdiperjuangan</t>
  </si>
  <si>
    <t>Taeyeon skrng WNI guys🤭 RT @KimTaeyeon_ID: @SONE_indonesia @snsd_indo @YoungOne_ID @MORNINGDEER_ID @snsdfess 📣 Freebies buat para donatur, ID Cards atau KTP dan Gantungan kunci plat nomor kendaraan. Kurang SIMnya aja nih biar ga ditilang 😅 Info lebih lengkap  Jika ada pertanyaan bisa DM akun twitter atau Instagram</t>
  </si>
  <si>
    <t>RT @yudhapati88: Pola " ISIS " sgt jelas terbaca.. Curut2 bongkrek butuh berkembangbiak utk perbanyak bayek2 curut2 calon pengantin..</t>
  </si>
  <si>
    <t>#MetroSiang Terdapat ruang isolasi di bagian Hospital Deck yang ada di kapal KRI Dr. Soeharso-990. Ruang ini nantinya akan diperuntukan jika selama masa observasi ada WNI yang menandakan gejala-gejala positif #VirusCorona. Live Streaming:</t>
  </si>
  <si>
    <t>5 matkul to get to know me: 1. Object oriented programming 2. Rekayasa perangkat lunak 3. Desain anal isis dan algoritma 4. Pemrograman berorientasi objek 5. Jaringan komputer RT @angginugraha: 5 matkul to get to know me: 1. Crisis Management 2. Media Relations 3. Event Management 4. Lobby dan Negosiasi Sambil Buka Kancing 5. Public Speaking</t>
  </si>
  <si>
    <t>@oktawulan888 Kayak bocah mbak rasanya wakakakakakakak trus isis~ 🤣🤣🤣</t>
  </si>
  <si>
    <t>@VIVAcoid Tetap semangat @BPIPRI , acuhkan pihak-pihak yg ingin mencoba coba membenturkan Pancasila dg agama! Teroris #ISIS sedang berusaha masuk merusak Pancasila! @PDI_Perjuangan @adianna70fans @DPR_RI @DPDRI @mohmahfudmd @jokowi</t>
  </si>
  <si>
    <t>@tempodotco *REPORTERS KELAS APA NIH, TAK TEGAS MENYATAKAN KEJUJURAN YANG SEUTUHNYA BAHWA DI KAPAL PRINCESS TERDAPAT 78 MANUSIA WARGANEGARA INDONESIA! KENAPA REPORTERS MAU TUNDUK SAJA DIPROGRAM OLEH PEMERINTAH? 4 WNI LAGI MAU DIKEMANAKAN OLEH PRESIDEN INDONESIA?</t>
  </si>
  <si>
    <t>#MetroSiang KRI Dr. Soeharso-990 dipersiapkan untuk menjemput 74 WNI yang berada di kapal pesiar Diamond Princess di Yokohama, Jepang. Kapal milik TNI AL ini diperuntukan sebagai kapal rumah sakit. Live Streaming:</t>
  </si>
  <si>
    <t>@haikal_hassan Kadrun itu bukan hewan.. kadrun itu isis 🤣🤣🤣😘</t>
  </si>
  <si>
    <t>@Takviri @jokowi @Kiyai_MarufAmin Inget ye..... NKRI itu mayoritas islam, jadi semua urusan diurus islam,semua harus ada bau"nya islam. Kalau ISIS,itu bukan islam, Teroris itu tidak beragama. Paham kaga lu pade?. . Kalao paham berarti kafer.</t>
  </si>
  <si>
    <t>#MetroSiang Presiden Jokowi memastikan pemerintah terus memantau kondisi 4 WNI yang merupakan awak buah kapal Diamond Princess yang terjangkit #VirusCorona. Pemerintah mempertimbangkan untuk menjemput 74 WNI lainnya yang tidak terjangkit. Live Streaming:</t>
  </si>
  <si>
    <t>#SahabatTangguh BNPB siap mendukung penjemputan Warga Negara Indonesia (WNI) yang sedang menjalani proses observasi terkait virus Corona (COVID-19/nCov) di kapal pesiar Diamond Princes milik Inggris di Yokohama,…</t>
  </si>
  <si>
    <t>Tolak kepulangan ISIS ke Indonesia #tolakisis</t>
  </si>
  <si>
    <t>Pemerintah telah menyiapkan beberapa opsi untuk Evakuasi 74 WNI yang menjadi kru Kapal Pesiar Diamond Princess di Jepang.</t>
  </si>
  <si>
    <t>@adriankusaihir1 @helmi75 @zarazettirazr Anda pikir OPM peduli mereka WNI atau nggak? Ngaco</t>
  </si>
  <si>
    <t>Stok Air di Batam Hanya Cukup Sampai Mei, Warga Batam Diimbau Berdoa Halaman. Tidak heran WNI makin relijies</t>
  </si>
  <si>
    <t>Pak @prabowo jubirnya yg satu ini bisa di tegur gak? Selalu beri statmen yg jelas2 pemerintah sudah menolak eks ISIS atau teroris. Jubir pertahanan kok malah merusak image ketahanan dg statmen kyak gini</t>
  </si>
  <si>
    <t>overheard ibu ibu muda pas mbenerin kabel internet "Di deket sekolah anakku ada yang jual celana dalam bambu, murah 100ribu dapat 6." "Heh bambu? nggak gatel ta?" "Nggak kok, adem malah isis." "Tapi bambu kan ada gelugut gelugut e lak ya gatel kena kulit." GELUGUT TOLONG 🤣🤣🤣</t>
  </si>
  <si>
    <t>@syulillah @VIVAcoid Harusnya kayak Isis gagah dan berani ya?</t>
  </si>
  <si>
    <t>RT @OlgaLy_DIA: Hm.. ga mau ikut komentar.. karena kalau di Indonesia ada sesuatu berbendera asing sampe menang apa gitu.. wuih yg menyerang ga cuma satu orang.. panitianya bisa diusir.. demo berjilid2.. boro2 bendera asing, udah WNI kadang bisa dibilang asing..</t>
  </si>
  <si>
    <t>Eks ISIS tidak mengaku WNI, teroris tak akan di pulangkan #4niesGabenerBodong</t>
  </si>
  <si>
    <t>ISIS Eks WNI Nekat Balik ke Indonesia, Kabaharkam Polri: Tindak Tegas  #PDIPerjuangan</t>
  </si>
  <si>
    <t>Hm.. ga mau ikut komentar.. karena kalau di Indonesia ada sesuatu berbendera asing sampe menang apa gitu.. wuih yg menyerang ga cuma satu orang.. panitianya bisa diusir.. demo berjilid2.. boro2 bendera asing, udah WNI kadang bisa dibilang asing.. RT @the_moviebob: Trump attacks The Academy Awards for naming PARASITE Best Picture, as "We have enough problems with South Korea, with trade!," suggests GONE WITH THE WIND (from 1939) instead. Audience cheers approval. These are people without minds or value. Can't "save" them, don't need them.</t>
  </si>
  <si>
    <t>RT @republikaonline: Pemerintah akan berhati-hati untuk memulangkan anak WNI eks ISIS.</t>
  </si>
  <si>
    <t>@PantunJ2P @sambegana Hahaha mukanya panjang semester.. Sblum ktmu dan nantang TNI ni org udah modar duluan ..dan nama org ini yg di parodikan oleh Abu Janda.. Pentolan ISIS ini sudah modar dan dia bernama Abu Jandal Al Endonesi</t>
  </si>
  <si>
    <t>RT @tempodotco: Menteri Kesehatan mengatakan bahwa Kapal Republik Indonesia atau KRI Soeharso 990 layak digunakan untuk memulangkan WNI di Jepang.</t>
  </si>
  <si>
    <t>RT @HaluanKita: WNI eks ISIS hilang status kewarganegaraan. #EksISISHilangKewarganegaraan</t>
  </si>
  <si>
    <t>RT @IndonesiaRAW: Atas dasar pertimbangan keselamatan dan keamanan negara, Presiden Jokowi dan Wapres KH Ma'ruf Amin memutuskan untuk tidak memulangkan ratusan ISIS eks WNI ke Tanah Air. #EksISISHilangKewarganegaraan</t>
  </si>
  <si>
    <t>@Ali_Ayyas Itu isis pak wkwk</t>
  </si>
  <si>
    <t>RT @EndjahH: @demoSoCRAZY Megakorupsi Memiskin rakyat! Memperlebar yang kaya dengan yang Miskin, 90% kekayaan NKRI di kuasai hanya oleh 1% WNI Keturunan China.</t>
  </si>
  <si>
    <t>Soal 74 WNI di Kapal Pesiar Jepang, KBRI Upayakan Penyelesaian yang Tuntas</t>
  </si>
  <si>
    <t>@ccdukcapil saya mautanya, istri asing. suami WNI. Punya KK pisah. lalu kmudian diminta KK gabung. Skarang diminta KK pisah karena yg KK gabung dianggap SALAH. Skarang mana yg BENER??</t>
  </si>
  <si>
    <t>4 WNI Positif Covid-19 Dipastikan Dapat Perawatan Kesehatan</t>
  </si>
  <si>
    <t>Ambil daja ISIS tsb! Adili bila perlu eksekusi koit! RT @arjuno_ireng01: Pengakuan Napi Terorisme Tolak Baiat ISIS di Nusakambangan, Was-was Takut Dibunuh Saat Tidur. Bagaimana ini @PolhukamRI Bpk @mohmahfudmd harus ada pengawasan khusus lapas kalau ini bener adanya berarti ISIS ada di NKRI. #IntoleransiMerusakNKRI</t>
  </si>
  <si>
    <t>Pemerintah Siapkan KRI untuk Evakuasi 74 WNI dari Diamond Princess</t>
  </si>
  <si>
    <t>indonesia pas belom kena corona orang-orangnya pada ga percaya terus bilang "pasti ada! coba cek lagi" giliran beneran ada wni di diamond princess kena corona paniknya kebangetan minta orang itu diisolasi padahal kan dirawatnya juga bukan di indonesia hadah</t>
  </si>
  <si>
    <t>@faridwinart Terkuak, pimpinan ISIS itu ternyata antek2 Amerika dan Israel..</t>
  </si>
  <si>
    <t>Akan melakukan evakuasi WNI yg ad di Wuhan. Namun sayangnya rencana tidak berjalan semulus itu, Omed tidak dapat dievakuasi dikarenakan sedang batuk (NEGATIF CORONA) saat proses evakuasi berlangsung. Saya sangat menyayangkan hal tersebut.</t>
  </si>
  <si>
    <t>@faridwinart Jd fpi mendukung gerakan terorosala al qaida dan isis itu suatu bentuk kebenaran...???? 👏👏👏👏</t>
  </si>
  <si>
    <t>362 WNI Kru Kapal Pesiar Westerdaam Bebas dari Virus Corona  #</t>
  </si>
  <si>
    <t>@feetre Next levelnya nanti mereka menyatakan bahwa punya budak seks itu legal kayak di ISIS. Padahal istri udah 4.</t>
  </si>
  <si>
    <t>Menteri Kesehatan mengatakan bahwa Kapal Republik Indonesia atau KRI Soeharso 990 layak digunakan untuk memulangkan WNI di Jepang.</t>
  </si>
  <si>
    <t>Pengakuan Napi Terorisme Tolak Baiat ISIS di Nusakambangan, Was-was Takut Dibunuh Saat Tidur. Bagaimana ini @PolhukamRI Bpk @mohmahfudmd harus ada pengawasan khusus lapas kalau ini bener adanya berarti ISIS ada di NKRI. #IntoleransiMerusakNKRI</t>
  </si>
  <si>
    <t>@DagelaneD @kangdede78 @jokowi @Kemenag_RI Kerja bikin gaduh,bikin kacau tatanan negara,menghambat pembangunan ,&amp; mengakibat kericuhan antar umat beragama ,yg begitu mau di pertahan,dah byk ,kerja kegaduhan save babi,ilegal ganja,plngkan ISIS .gugat IMB,yg terakhir apa tatanan rmh tangga,babar" lama"kolor dlm di urusin.</t>
  </si>
  <si>
    <t>Kemenhan Buka Pendaftaran Komcad, WNI Eks ISIS Boleh Daftar</t>
  </si>
  <si>
    <t>@risrisus @permadiaktivis ISIS ini</t>
  </si>
  <si>
    <t>@tempodotco Teman2 gbr nggak bener udah pd gerah.......ex isis ditolak msk nkri.....</t>
  </si>
  <si>
    <t>RT @faizalassegaf: Pak @hmskaban, seluruh rakyat sdh tau BPIP bkn gorong2, tempat iblis muncul utk hancurin NKRI. Tdk relevan desak #BubarkanBPIP. Sdh tpt digelar debat trbuka, tp harus pastikn semua yg trlibat diskusi tdk punya DNA PKI, tdk terlibat ISIS &amp; terbebas dari virus #Pinoisme. *FA*</t>
  </si>
  <si>
    <t>RT @Sarah_Pndj: Mensos, Juliari Batubara, mengharapkan masyarakat tidak perlu cemas dengan kepulangan WNI dari China. Semoga Mensos tetap berpegang pada prinsip bahwa kepentingan rakyat diatas pamor dan kepentingan pribadi. 🙏🏼 #KemensosHadir</t>
  </si>
  <si>
    <t>362 WNI Kru Kapal Pesiar Westerdaam Tak Ada Terjangkit Virus Corona</t>
  </si>
  <si>
    <t>@RD_4WR1212 Kang... Kalo ada impor isis ngomong iya. Saya mau pesen satu aja.</t>
  </si>
  <si>
    <t>RT @kangdede78: Anda boleh menuding saya tak punya rasa kemanusiaan karena #TolakEksWNIproISIS balik ke Indonesia. Tapi saya punya alasan kuat MENOLAK kepulangan mrk ke Indonesia. Kalian kasih video anak-anak WNI eks kombatan ISIS di Suriah, saya kasih foto korban KEBIADABAN ISIS di Indonesia.</t>
  </si>
  <si>
    <t>Pemerintah akan berhati-hati untuk memulangkan anak WNI eks ISIS.</t>
  </si>
  <si>
    <t>Pea pea mana pernyataan mereka dukung isis dan Al Qaidah atas semua serangan yang terjadi ??? Ayoo jangan fitnah kasi bukti RT @salsabila0307: Di awal saja sok2 bicara NKRI sok anti radikalisme. Akhirny ketahuan kelompok2 mana yg di dukung. Al qaida Isis 🤣🤣🤣</t>
  </si>
  <si>
    <t>Pemerintah terus memantau 4 WNI anak buah kapal pesiar Diamond Princess yang positif terinfeksi virus corona. Pemerintah juga sudah menyiapkan kapal KRI Dr. Soeharso jika rencana penjemputan 74 anak buah kapal dari Indonesia jadi dilakukan. #CNNIDAfter10</t>
  </si>
  <si>
    <t>RT @BadjaNuswantara: @kholiq486 Kok demokrasi yg disalahkan? Sedangkan nabi saja sangat demokratis. Trus menurut anda bgmn? Solusi Khilafah? Khilafah versi siapa? HTI yg komunis berkedok Islam? Atau ISIS? Atau khilafah jaman dulu yg terbukti &amp; teruji bubar?</t>
  </si>
  <si>
    <t>Persamaan Antara #Teroris ISIS, HTI, Negara #Islam #Indonesia (NII) Dan #FPI  #moreshareforum #beritaterkini</t>
  </si>
  <si>
    <t>Cegah virus Corona, Pemerintah bakal karangtina 74 WNI dari kapal Diamond Princess</t>
  </si>
  <si>
    <t>BNPB dan KRI dr. Soeharso Siap Dukung Penjemputan WNI, Terkait Virus Corona di Jepang</t>
  </si>
  <si>
    <t>Kalau eks ISIS boleh, mantan napi boleh juga?... Cc pak @prabowo ,@Dahnilanzar RT @noeruzzaman: Ini serius? Seputar Rekrutmen Komponen Cadangan Pertahanan: Incar Milenial, WNI Eks ISIS Boleh Gabung, hingga Kampanye Lewat Medsos</t>
  </si>
  <si>
    <t>@arisristandi5 @solor_ @msaid_didu Bukan takut tapi JIJIK khilafah ala HTI, ISIS</t>
  </si>
  <si>
    <t>Sikap pemerintah terhadap WNI eks ISIS</t>
  </si>
  <si>
    <t>@nollyartha @weekdies Bapaknya magang di isis</t>
  </si>
  <si>
    <t>RT @jr_kw19: Hati hati Jngn percaya dgn mereka Eks WNI pro ISIS meskipun mereka menyatakan menyesal, tertipu tapi Ideologinya masih ada mereka akan cenderung secara alamiah akan berkumpul lg dgn orang2 yg punya idiologi yg sama #TolakEksWNIproISIS</t>
  </si>
  <si>
    <t>RT @antaranews: Dari evakuasi WNI, aturan cuti melahirkan hingga usulan fatwa "yang kaya menikahi yang miskin", baca berita-berita selengkapnya.</t>
  </si>
  <si>
    <t>@nathcampost Kemozion</t>
  </si>
  <si>
    <t>Dari evakuasi WNI, aturan cuti melahirkan hingga usulan fatwa "yang kaya menikahi yang miskin", baca berita-berita selengkapnya.</t>
  </si>
  <si>
    <t>Dahnil apa loe sdh gila Eks Teroris Boleh bergabung apa sdh tdk ada org lg di negara ini, lbh baik loe Import aja Sekalian ISIS dari Suriah. Jubir Prabowo Sebut Eks Teroris Boleh Bergabung Jadi Komcad</t>
  </si>
  <si>
    <t>WNI eks ISIS hilang status kewarganegaraan. #EksISISHilangKewarganegaraan</t>
  </si>
  <si>
    <t>@Helmi67711233 @ISIS_Balik_NO @Restichayah elu jg awas kena santet</t>
  </si>
  <si>
    <t>Presiden Pastikan WNI di Kapal Diamond Princess Peroleh Protokol Kesehatan Standar WHO</t>
  </si>
  <si>
    <t>Atas dasar pertimbangan keselamatan dan keamanan negara, Presiden Jokowi dan Wapres KH Ma'ruf Amin memutuskan untuk tidak memulangkan ratusan ISIS eks WNI ke Tanah Air. #EksISISHilangKewarganegaraan</t>
  </si>
  <si>
    <t>RT @Mataka81760170: @KakekHalal FIJ = HTI = JAD = PKI = FPI = IS = IM = ISIS.</t>
  </si>
  <si>
    <t>@jokowi Sy Tidak mendukung ISIS,orang indonesia masuk ISIS karena tertipu,Bapak sebagai Presiden mestinya punya solusi yg baik n lebih bijak n katanya Bapak hebat n Kreen bisa menyelesaikan masalah apapun,tapi fakta Hny gitu doank</t>
  </si>
  <si>
    <t>Ini serius? Seputar Rekrutmen Komponen Cadangan Pertahanan: Incar Milenial, WNI Eks ISIS Boleh Gabung, hingga Kampanye Lewat Medsos</t>
  </si>
  <si>
    <t>@2_onta Kalian semua heran kenapa anak perempuan yg diinterview oleh BBC bisa bahasa Inggris, itu karena di sekolah ISIS mereka juga diajarkan bahasa Inggris di sana RT @Raqqa_SL: #Raqqa #ISIS open 2 english school for foreign fighters children #Syria</t>
  </si>
  <si>
    <t>WHO Pastikan 285 WNI Sehat Pasca Observasi di Natuna</t>
  </si>
  <si>
    <t>Gayus Lumbuun: Tolak Masuk WNI Eks ISIS Demi Keamanan Negara</t>
  </si>
  <si>
    <t>Terawan dan Rombongan WNI Observasi Natuna Tiba di Halim</t>
  </si>
  <si>
    <t>Hore! Akhirnya, WNI yang Diobservasi di Natuna Pulang Rumah</t>
  </si>
  <si>
    <t>Pemprov DKI akan Pantau Kesehatan WNI dari Natuna</t>
  </si>
  <si>
    <t>65 WNI Pulang dari Wuhan, Pemprov Jatim: Tak Ada Penjemputan</t>
  </si>
  <si>
    <t>@DamailahRI Isis kacaw</t>
  </si>
  <si>
    <t>Massa Merah Hitam Tolak Menteri Pro ISIS, Stafsus Minahasa</t>
  </si>
  <si>
    <t>@Wumbooh @nzahra_fbrynt @Isma_Armein Gw WNI, bayar pajak juga. Berhak kritik pemerintah... Selama itu gak hoax.</t>
  </si>
  <si>
    <t>@obatcoldeanflu Lah buset cepet amat sembuhnya. Rata2 WNI yang kena di luar indo semua kan, gak ada yang di indo</t>
  </si>
  <si>
    <t>@februariann ena gt mb isis awokwk</t>
  </si>
  <si>
    <t>RT @Johanprawira77: @jokowi Pak ,tolong itu WNI yg suka provokasi, penyebar hoaks dan merusak kebhinekaan dikirim saja ke wuhan. Terimakasih Pak.</t>
  </si>
  <si>
    <t>@isis_soares @olhoureality Fada Sensata Kaliman</t>
  </si>
  <si>
    <t>@S_aulia26 @ISIS_Balik_NO @Restichayah Pantes, kelakuan kembali ke bocah. Lahir jaman jebot. Ati ati dengkul kepentok nek, bisa geger otak.😊</t>
  </si>
  <si>
    <t>Berkibarlah benderaku Merah Putih. Berkibarlah. Terus berkibar...! (Jangan sampai bendara Hitam Putih Khilafah-ISIS yang berkibar.) #BerkibarlahBenderaku #MerahPutih</t>
  </si>
  <si>
    <t>@wni_jp Jigoku</t>
  </si>
  <si>
    <t>Termasuk dibagi jg utk anak² "terlantar" ex.anggota isis...? RT @Fahrihamzah: Meski PKS menolak, Sekarang sedang menunggu hasil dari kewajiban yang harus dibayarkan PKS kepada saya Rp. 30 miliar setelah peristiwa kasasi (inkracht). Dana itu akan saya peruntukan bagi masyarakat khususnya, rakyat yang tidak beruntung, fakir miskin dan anak2 terlantar.</t>
  </si>
  <si>
    <t>RT @BiLLRaY2019: BREAKING NYUSSSS...! Alhamdulillah, akhirnya pemerintah tdk akan memulangkan ISIS eks WNI ke Indonesia. #TolakEksWNIproISIS</t>
  </si>
  <si>
    <t>BNPB dan KRI DR. Soeharso Siap Mendukung Penjemputan WNI Terkait Virus Corona di Jepang</t>
  </si>
  <si>
    <t>@___CIMOL_Q7R @bahrifull @HamdaanLW825Ky @ganjarpranowo @iqbalkhatami21 Katamya MAHASISWA KRITIS.....gembok akun....NGEHE !</t>
  </si>
  <si>
    <t>Kepala BNPB Doni Monardo menerima laporan dari prajurit TNI AL Koarmada II KRI DR. Soeharso. Doni melakukan peninjauan KRI DR. Soeharso untuk memeriksa kesiapan dalam sekenario tugas operasi penyelamatan WNI terkait Virus Corona di Yokohama, Jepang. via @BNPB_Indonesia</t>
  </si>
  <si>
    <t>@SopanSopianD @Fahrihamzah Ada itung2an dong.....duit is duit....hutangg is hutang... Kalo perlu sita gedung kondom</t>
  </si>
  <si>
    <t>Pemerintah Terus Pantau Kondisi WNI di Kapal Pesiar Diamond Princess  via @kabar_tangsel</t>
  </si>
  <si>
    <t>Lah.. Ikatan Dokter Indonesia aja pd gak tau, apalagi recehan kayak kita begini? 😢 Ayo dong @KemenkesRI lebih transparan dan kerja sama dgn IDI. Ini menyangkut jutaan nyawa WNI. RT @SEACoronavirus: Indonesian Doctors Association (IDI) demands that the government release complete information on negative #COVID19 PCR tests from the Indonesian MOH to reassure the public #coronavirus #SARSCoV2 #CoronaOutbreak</t>
  </si>
  <si>
    <t>KRI dr Soeharso (990) tengah melakukan pengisian bahan bakar, logistik, hingga modifikasi untuk keperluan misi operasi kemanusiaan. #KAMUHARUSTAU</t>
  </si>
  <si>
    <t>RT @Fahrihamzah: Meski PKS menolak, Sekarang sedang menunggu hasil dari kewajiban yang harus dibayarkan PKS kepada saya Rp. 30 miliar setelah peristiwa kasasi (inkracht). Dana itu akan saya peruntukan bagi masyarakat khususnya, rakyat yang tidak beruntung, fakir miskin dan anak2 terlantar.</t>
  </si>
  <si>
    <t>Pemberontaknya siapa? Ngga bisa disebut isis aja misalnya? RT @BBCIndonesia: [Video] Pria di Suriah ini mengajak putrinya tertawa setiap mendengar suara bom. Tinggal di daerah perang, dia tak ingin anaknya stres dengan pengeboman yang terjadi di sekelilingnya.</t>
  </si>
  <si>
    <t>RT @RadioElshinta: Kepala BNPB Doni Monardo menerima laporan dari prajurit TNI AL Koarmada II KRI DR. Soeharso. Doni melakukan peninjauan KRI DR. Soeharso untuk memeriksa kesiapan dalam sekenario tugas operasi penyelamatan WNI terkait Virus Corona di Yokohama, Jepang. via @BNPB_Indonesia</t>
  </si>
  <si>
    <t>Sebelumnya, Dahnil Anzar menyebut bahwa WNI eks ISIS juga bisa ikut program Komcad. Dia kemudian mengklarifikasinya.</t>
  </si>
  <si>
    <t>@null Melihat Kesiapan KRI Soeharso Penjemput WNI yang Diobservasi di Diamond Princess</t>
  </si>
  <si>
    <t>RT @Metro_TV: #TopNewsMetroTV Saat in ipemerintah sedang mematangkan rencana untuk menjemput 74 WNI yang berada di kapal pesiar Diamond Princess di Jepang. Salah satu opsinya adalah menjemput para WNI dengan menggunakan kapal KRI Dr. Soeharso #MetroTV</t>
  </si>
  <si>
    <t>Tugas BANI adalah memfasilitasi secara administratif penyelenggaraan, penyelesaian sengketa bisnis melalui arbitrase, yakni dengan myediakan fasilitas sekertariat dan tempat bersidang, peraturan dan prosedur berarbitrase, daftar arbiter BANI WNI maupun asing dengan...</t>
  </si>
  <si>
    <t>Melihat Kesiapan KRI Soeharso Penjemput WNI yang Diobservasi di Diamond Princess #TauCepatTanpaBatas #BeritaTerkini #Berita #News #BeritaNasional .</t>
  </si>
  <si>
    <t>Melihat KRI Dr Soeharso, Satu Pilihan Jemput WNI dari Diamond Princess di Yokohama</t>
  </si>
  <si>
    <t>WNI yang bekerja sebagai ART dan dirawat di rumah sakit Singapura akibat positif terkena Virus Corona akhirnya dinyatakan sembuh.</t>
  </si>
  <si>
    <t>@hamka_sutra @ISIS_Balik_NO @TheArieAir #programfolback PENUH KEBAIKAN</t>
  </si>
  <si>
    <t>@seruanhl @tuwik71 @Dede67244719 @EoBartom @Yoedhie85243087 @bamsaza1 @ParthaSaderi @purba_law @JousairiJ @Samsul737 @Netizen_NKRI @TokUrang @qolbiyuni14 @MrIdiotID @razzmon_ Dari atas sampe bawah......DONE follow 👉👉👉👉Garansi Folbek</t>
  </si>
  <si>
    <t>RT @BNPB_Indonesia: Kepala BNPB Doni Monardo (memakai rompi) didampingi Panglima Koarmada II Laksamana Muda TNI Herru Kusmanto dan jajaran petinggi TNI AL usai meninjau KRI DR. Soeharso. Selengkapnya :</t>
  </si>
  <si>
    <t>@AfifHendriawan @syiahgl  Di sini tertulis jika ISIS berasal dari golongan Sunni, tapi ketika melihat kebiadaban dan kekejamannya di Suriah, apakah ini berarti seluruh orang yg satu golongannya adl sesat??!! Pastinya tidak mungkin!! Karena setiap org bertgg jwb thp dirinya sendiri.</t>
  </si>
  <si>
    <t>@sugiarta_arta @AsepSuwarno77 @elkrova Boleh....ada program trial kok....</t>
  </si>
  <si>
    <t>Top isis, angkat O.</t>
  </si>
  <si>
    <t>Pemda Belum Tahu Rencana Obesrvasi 74 WNI Kru Kapal Pesiar Diamond Princess ke Natuna</t>
  </si>
  <si>
    <t>Keren nih... Jend.Andika Perkasa tercatat WNI ke 2 yang dapatkan penghargaan dari NDU yang berhasil meraih jabatan militer tertinggi di Angkatan Bersenjata sebagai Kepala Staf maupun Panglima, atau jabatan sipil yang setingkat di pemerintahan. #AndikaPErkasa #MilenialArmy</t>
  </si>
  <si>
    <t>Nah cari CB pelapis yang bagusan dikit, mungkin setelah klok resmi jadi WNI sabi tuh RT @FOS_PERSIJA: Bruno Matos lagi otewe Jakarta, semoga jgn Persija buat tempat berlabuh, Karna sebenernya Persija kurang di CB, Maman racing udah tua harusnya pas kemarin out jgn di ambil lagi.</t>
  </si>
  <si>
    <t>RT @hamka_sutra: ✨OPEN PROMOTE✨ Ayuk sini merapat. Mumpung banyak waktu luang, akan ditayangkan besok pagi. Syarat : 🔶Ketik : #programfolback PENUH KEBAIKAN 🔶RT dan LIKE Akun akan saya seleksi seketat mungkin. @TheArieAir 💠KEBAIKAN YANG TULUS TERPANCAR DALAM VIDEO INI 😍</t>
  </si>
  <si>
    <t>@hamka_sutra @aleayumna @TheArieAir #programfolback Penuh Kebaikan</t>
  </si>
  <si>
    <t>Pemerintah Siapkan Sejumlah Opsi Pemulangan WNI di Kapal Pesiar Diamond Princess</t>
  </si>
  <si>
    <t>@wisanggeni_084 @aleayumna Mudah2an segera di sahkan dan para PEREMPUAN PERANCANG UNDANG2nya bisa diam dirumah...nyuci meki tiap hari</t>
  </si>
  <si>
    <t>Mahfud MD Diskusi Dengan MUI Soal ISIS Eks WNI</t>
  </si>
  <si>
    <t>Kapal Perang Milik TNI AL Siap Jemput 74 WNI Dari Jepang</t>
  </si>
  <si>
    <t>@pepesAJ Semoga keberuntungan datang malam ini</t>
  </si>
  <si>
    <t>Kapal Perang Milik TNI AL Siap Jemput 74 WNI Dari Jepang  via @Indopolitika</t>
  </si>
  <si>
    <t>RT @pepesAJ: GA mingguan persembahan kawan" dari genk Bidji. pulsa 100k untuk 4 orang. Cukup RT saja. Diumumkan ntar malam pkl 20:00 Gud luck</t>
  </si>
  <si>
    <t>@sersanqomar @FerdinandHaean2 Warga jakarta gak takut banjir..? Pasti warga gelap dan pengusung ISIS di Indonesia.</t>
  </si>
  <si>
    <t>TNI Siap Dukung Opsi Evakuasi WNI dari Jepang</t>
  </si>
  <si>
    <t>PEMERINTA RI BISA KONSULTASI KE NEGARA LAIN SEBELUM PULANGKAN ANAK WNI EKS ISIS</t>
  </si>
  <si>
    <t>@emonntie Penolakan kedatangan eks isis</t>
  </si>
  <si>
    <t>RT @Iqbal__Kholidi: Balik lagi soal Jays al Fath, seperti halnya ISIS, mereka jg punya fanboy di Indonesia.</t>
  </si>
  <si>
    <t>RT @Iqbal__Kholidi: Mereka bukan ISIS, tapi lahir dari rahim yg sama, tentang kelompok ini pernah saya ulas di sini:</t>
  </si>
  <si>
    <t>RT @SlametMuslim: @AhlulQohwah @WahhabiCC @narkosun @GagakNew @TolakBigotRI @PartaiSocmed @Takviri @elHurryKoRn @WagimanDeep__ @wakilgubernurKW @ImamWM @arrahmah @BadjaNuswantara @wiradisuta @chairulachir @rizieqdivist @rizamsyafiq @Hanifah933 Ini adalah rekam jejak krisis kemanusiaan yg bisa ditelusuri asal usulnya sbg akibat langsung dr keserakahan HTS/JAN dan ISIS selama ini…420k orang berubah status menjadi pengungsi :</t>
  </si>
  <si>
    <t>RT @SlametMuslim: @AhlulQohwah @WahhabiCC @narkosun @GagakNew @TolakBigotRI @PartaiSocmed @Takviri @elHurryKoRn @WagimanDeep__ @wakilgubernurKW @ImamWM @arrahmah @BadjaNuswantara @wiradisuta @chairulachir @rizieqdivist @rizamsyafiq @Hanifah933 Kembali ke permasalahan HTS… Sudah banyak penelitian ttg HTS/JAN ini yang membuktikan bahwa mereka MEMANFAATKAN kericuhan domestik di Suriah shg bereskalasi menjadi konflik transnasional…bahkan ISIS pun lahir dari kericuhan yg sama...</t>
  </si>
  <si>
    <t>RT @KompasTV: KRI DR Soeharso Disiapkan Jemput 74 WNI di Kapal Pesiar Jepang</t>
  </si>
  <si>
    <t>RT @idntimes: 4 WNI terjangkit virus Corona di kapal Diamond Princess</t>
  </si>
  <si>
    <t>Periode 2 ini kok mentri" JKW bikin tambah AMBURADUL bener g sihh... **Smg g ditipu pemerintah ex WNI pro ISIS tiba" sdh dijemput spt yg sudah".</t>
  </si>
  <si>
    <t>@Rindu_MuhR015 Coba dicek dulu isi APC-nya siapa tahu isinya eks ISIS. 😗😗😗 RT @c4burator: @EndiZentarmi Они все сдохнут, Россия и Сирия их всех уничтожит.</t>
  </si>
  <si>
    <t>Sepak Terjang KRI Dr Soeharso, Kapal Penjemput 74 WNI dari Jepang -</t>
  </si>
  <si>
    <t>@AntonPr12594871 Kalo ga aman pasti ada penyusup isis Ada penumpang gelapnya.. Ingat kisah brotho yudho.... Semua ulah kurowo....</t>
  </si>
  <si>
    <t>@bimokresno @kominfodiy @polresjogja @RTMC_Jogja @PoldaJogja Inilah pentingnya yellow box junction. Staff dinas terkait harus mencontoh negara tetangga seperti singapore dan malaysia. Yellow Box Junction sudah ada sejak dulu. Jadi masyarakat sudah paham, beda dengan WNI yang mayoritas belum banyak yang paham tanda YBJ.</t>
  </si>
  <si>
    <t>RT @natalsetio:  seberapa urgensinya komponen cadangan?? Lha @HumasBakamlaRI aja lagi kekurangan personel sampai jungkir balik nyarinya. Terus bagaimana pola rekrutnya?? Apalagi klo smp simpatisan ISIS dan Alqaeda menyusup bgmn??</t>
  </si>
  <si>
    <t>RT @BNPB_Indonesia: Kepala BNPB Doni Monardo (memakai rompi) menerima laporan dari prajurit TNI AL Koarmada II KRI DR. Soeharso. Doni melakukan peninjauan KRI DR.Soeharso untuk memeriksa kesiapan dalam sekenario tugas operasi penyelamatan WNI terkait Virus Corona di Yokohama, Jepang.</t>
  </si>
  <si>
    <t>RT @revolutia: Biasanya kalo Jokowi udah ngomong gini, artinya ya ISIS eks WNI itu bakal dipulangkan. 🤔 Paling nanti cuma bilang "jangan tanya saya, tanpa menteri" kayak biasanya.</t>
  </si>
  <si>
    <t>RT @hermana_t: Setelah hampir tiga bulan virus corona CoVID-2019 menginfeksi ribuan orang di dunia, baru kali ini ada tiga WNI yg terkena corona Dengan adanya kasus tsb, ini utk pertama kali WNI ditemukan positif CoVID-2019</t>
  </si>
  <si>
    <t>ISIS dan HTI lagi memprovokasi para pengikut capres prabowo utk melawan pemerintah, waspadalah...waspadalah... @nahdlatululama @na_dirs @Generasi_MudaNU @GPAnsor_Satu @Banser_CyberNU @yusuf_dumdum @Dennysiregar7 @detikcom @jokowi @Metro_TV @TIME @CNNIndonesia @BBCIndonesia</t>
  </si>
  <si>
    <t>Kepala BNPB: Siap Mendukung Opsi Pemulangan WNI di Diamond Princess</t>
  </si>
  <si>
    <t>@kemuning_raya @coffeeandme_ @Felixsinaga @karniilyas Emang fpi kenapa ..? Isis kenapa..? Kok kamuh sangat paham ya Jangan ..jangan ...hmmm</t>
  </si>
  <si>
    <t>seberapa urgensinya komponen cadangan?? Lha @HumasBakamlaRI aja lagi kekurangan personel sampai jungkir balik nyarinya. Terus bagaimana pola rekrutnya?? Apalagi klo smp simpatisan ISIS dan Alqaeda menyusup bgmn??</t>
  </si>
  <si>
    <t>RT @PDI_Perjuangan: Pemerintah Terus Pantau Kondisi WNI di Kapal Pesiar Diamond Princess  #PDIPerjuangan</t>
  </si>
  <si>
    <t>RT @ani_nyebar: Munawar Kholil, perekrut puluhan kombatan ISIS, masih di Kamp kombatan di Suriah. Mudah2an dihukum mati sebelummempengaruhi lebih banyak. #tolakekskombatan #dampakradikalisme #JanganEkstrim @zlametabidin @wangi_bhumi @CastilloJoshima Lihat</t>
  </si>
  <si>
    <t>27 WNI Terjebak di Kapal Diamond Princess, 4 Orang Terinfeksi Virus Corona, Ini Tanggapan Terawan</t>
  </si>
  <si>
    <t>Keren nih... Jend.Andika Perkasa tercatat WNI ke 2 yang dapatkan penghargaan dari NDU yang berhasil meraih jabatan militer tertinggi di Angkatan Bersenjata sebagai Kepala Staf maupun Panglima, atau jabatan sipil yang setingkat di pemerintahan. #andikaperkasa #andikaperkasa</t>
  </si>
  <si>
    <t>Pemerintah hanya evakuasi WNI yang sehat</t>
  </si>
  <si>
    <t>muhadjir emank mentri klo ngomong congor duluan,kemarin org kaya nikahin org miskin,skrg 4org yg kena virus tdk akan dipulangkan ke ind,untung aja aturan global hrs kan dirawat dulu di negara yg kena,itu bkn isis njing @tvOneNews @KompasTV @mohmahfudmd</t>
  </si>
  <si>
    <t>@RadenSyuhada8 Simpatisan Isis menyelamatkan bangsa?</t>
  </si>
  <si>
    <t>RT @voaislam: [VIDEO] KUII ke-7 Dijadwalkan Bahas Omnibus Law, Kasus WNI Eks ISIS, dll -</t>
  </si>
  <si>
    <t>EKS ISIS BOLEH GABUNG KOMPONEN CADANGAN !!! Ngawur 😭😭😭 #tolakeksisis</t>
  </si>
  <si>
    <t>4 WNI terjangkit virus Corona di kapal Diamond Princess</t>
  </si>
  <si>
    <t>Kepala BNPB Doni Monardo (memakai rompi) didampingi Panglima Koarmada II Laksamana Muda TNI Herru Kusmanto dan jajaran petinggi TNI AL usai meninjau KRI DR. Soeharso. Selengkapnya :</t>
  </si>
  <si>
    <t>RT @HermanMM6: Selamat kembali ke rumah masing WNI yg telah menjalani karantina di pulau Natuna, Sukses utk Kalian semua, semoga kuliahnya nanti tetap lanjut beasiswanya , Alhamdulillah sehat dan kuat semua, lahir dan bathin #Agnation #BestFanArmy #iHeartAwards @agnezmo</t>
  </si>
  <si>
    <t>238 WNI bebas virus corona dan bisa pulang ke rumah #WaspadaCoronaVirus</t>
  </si>
  <si>
    <t>akses Singapura belum ditutup, WNI tingkatkan kewaspadaan #WaspadaCoronaVirus</t>
  </si>
  <si>
    <t>Menkes Terawan: 74 WNI di Kapal Diamond Princess Dalam Kondisi Baik  via @idntimes</t>
  </si>
  <si>
    <t>RT @kemuning_raya: Kalian marah karena nggak suka sama acara ILC. Lalu @karniilyas diserang lewat foto-foto saat minum alkohol ditemani wanita. Apa hubungannya? Jadi kalian ini sebenarnya tak jauh beda dengan FP* dan ISIS yg selalu menjadi polisi moral utk orang lain. Kalian sama-sama sampah!!!</t>
  </si>
  <si>
    <t>saudara WNI dari Wuhan bebas virus corona #WaspadaCoronaVirus</t>
  </si>
  <si>
    <t>Demi jemput 74 WNI di Kapal Pesiar Diamond Princess, yang telah dinyatakan negatif terjangkit virus covid-19, pemerintah siapkan KRI Soeharso. #IndosiarBerita</t>
  </si>
  <si>
    <t>Operasi kemanusiaan penyelamatan WNI #WaspadaCoronaVirus</t>
  </si>
  <si>
    <t>@demoSoCRAZY Megakorupsi Memiskin rakyat! Memperlebar yang kaya dengan yang Miskin, 90% kekayaan NKRI di kuasai hanya oleh 1% WNI Keturunan China.</t>
  </si>
  <si>
    <t>@ren9yu_j isis tenan 😆😆</t>
  </si>
  <si>
    <t>Mari berjuang bersama-sama unt menegakkan Ketuhanan YME, semua WNI bebas beribadah sesuai agama dan keyakinan</t>
  </si>
  <si>
    <t>#MetroSiang Respon penanganan 3 WNI di kapal pesiar Diamond Princess yang positif terpapar #VirusCorona dilakukan pemerintah Jepang. 2 WNI di bawa ke rumah sakit di Kota Chiba, sedangkan 1 masih belum dapat dikonfirmasi. Live Streaming:</t>
  </si>
  <si>
    <t>Kepala BNPB Doni Monardo (memakai rompi) menerima laporan dari prajurit TNI AL Koarmada II KRI DR. Soeharso. Doni melakukan peninjauan KRI DR.Soeharso untuk memeriksa kesiapan dalam sekenario tugas operasi penyelamatan WNI terkait Virus Corona di Yokohama, Jepang.</t>
  </si>
  <si>
    <t>Pancasila sudah menjadi sebuah agama, akan menjadi kafir(tidak dianggap WNI) orang2 yang tidak mau mengikutinyaa 🤣🤣 #SalamPancasila #AssalamuAlaikumWrWb #BubarkanBPIP #NKRI</t>
  </si>
  <si>
    <t>Eks ISIS ditakuti karena ideologinya. Tapi Anak dan turunan PKI di pelihara di Indonesia RT @937153kL_Bg7233: #AssalamuAlaikumWrWb Waspada komunisme !!! HRS : "BUBARKAN Badan Penghianat Idiologi Pancasila" Sangat berbahaya bagi eksistensi Pancasila sebagai dasar negara #BongkarMegaKorupsi UAT : Lalu bagaimana perkembangan tindakan kepada pembakar Al'Quran ?! #BongkarMegaKorupsi</t>
  </si>
  <si>
    <t>PEMERINTA RI BISA KONSULTASI KE NEGARA LAIN SEBELUM PULANGKAN ANAK WNI EKS ISIS #TauCepatTanpaBatas</t>
  </si>
  <si>
    <t>RT @radar_malang: Kapal atau Pesawat Jadi Opsi Evakuasi 74 WNI Kru Kapal Pesiar</t>
  </si>
  <si>
    <t>Ganjar Kirim 41.250 Masker untuk WNI di 3 Negara Rawan Virus Korona</t>
  </si>
  <si>
    <t>@do_ra_dong Koruptor adalah kings isis radikal pki kebijakan..</t>
  </si>
  <si>
    <t>@tata_chimmyuwu Aku juga sehat kak&gt;&lt; Kaka jaga kesehatan yah disana... Saya denger katana WNI di Singapura udah sembuh dari Corona</t>
  </si>
  <si>
    <t>RT @cnbcindonesia: Live! KBRI Jepang Bicara Evakuasi 74 WNI di Diamond Princess</t>
  </si>
  <si>
    <t>Live! KBRI Jepang Bicara Evakuasi 74 WNI di Diamond Princess</t>
  </si>
  <si>
    <t>Kalian marah karena nggak suka sama acara ILC. Lalu @karniilyas diserang lewat foto-foto saat minum alkohol ditemani wanita. Apa hubungannya? Jadi kalian ini sebenarnya tak jauh beda dengan FP* dan ISIS yg selalu menjadi polisi moral utk orang lain. Kalian sama-sama sampah!!!</t>
  </si>
  <si>
    <t>RT @sirajapadoha: HTI adlh ORMAS TERLARANG yg telah mengganti nama dan lambangnya menjadi KARIM,,, maka waspadalah wahaaiii umat ISLAM di Indonesia,,, mereka menggunakan segala macam kelicikan penipuan dgn berkedok jualan AGAMA dan KHILAFAH, mereka satu barisan dgn Kelompok RADIKAL &amp; teroris ISIS</t>
  </si>
  <si>
    <t>#MorningSpirit | Harian Pagi Tribun Jogja: Dua Opsi Evakuasi WNI #SmartFMJogja</t>
  </si>
  <si>
    <t>Pemerintah diminta terus mendampingi warga negara Indonesia (WNI) yang terjangkit virus corona di kapal pesiar Diamond Princess.</t>
  </si>
  <si>
    <t>RT @KeyshaAdinda5: Siapa itu ISIS? Simak penjelasan kh. Aqil Shiraj #AwasAntek2ISIS</t>
  </si>
  <si>
    <t>RT @kompascom: Kementerian Pertahanan (Kemhan) menargetkan, 25.000 milenial bergabung dalam komponen cadangan (komcad) pertahanan negara.</t>
  </si>
  <si>
    <t>RT @NUgarislucu: Followerku isinya Non Warga Eks Muslim NU ISIS 👇🏻 👇🏻 👇🏻</t>
  </si>
  <si>
    <t>RT @Je_Ly: Berharap tindakan mulia sgr dilakukan o/ pemerintah @jokowi 🙏 KRI DR Soeharso ini disiapkan u/ opsi menjemput 74 WNI yg mjd kru kapal Diamon Princess di perairan Jepang. "Contingency mitigasi disiapkan, urusan nanti diputuskan apa, tinggal jalan."kt dr Terawan @KemenkesRI</t>
  </si>
  <si>
    <t>@kompasiana @kompascom Indonesia harus intensif melakukan Karantina dan Observasi.Hati-hati atas kepulangan74 WNI Crew Kapal Diamond Princess, dan 2 juta Touris WNA China yg akan disupport Menko Kemaritiman dan Investasi.</t>
  </si>
  <si>
    <t>@KPAI_official Apa tindakan kalian berkaitan dengan ini? Jangan anak-anak ISIS saja yang kalian urus.</t>
  </si>
  <si>
    <t>@Dahnilanzar Byk yg ikut2an krn kondisi tertentu spt: seorang anak gadis keluarga eks ISIS, dulu WNI yg dipengungsian Suriah saat ini tdk paham knp pindah ke suriah padahal dia bercita-cita ingin jadi dokter. Akhirnya cita2 terkubur dipengungsian sana tdk tau mau kemana, krn RI menolak mrk.</t>
  </si>
  <si>
    <t>Saran saya coba naturalisasi Tej fast and furious jadi WNI pak dia anaknya jago banget IT nya RT @tempodotco: Tim Bentukan Menteri Hukum dan HAM Yasonna Laoly beralasan vendor lupa menyambungkan PC yang ada di server sehingga tak bisa melacak Harun Masiku.</t>
  </si>
  <si>
    <t>#IndonesiaSehatPagi #SRKSemakinSeru #SRKSemakinSehat #2thSRK 3 WNI ABK Diamond Princess Positif Covid-19 Dirawat di RS</t>
  </si>
  <si>
    <t>RT @BruceEmond: Teman2 di Indonesia, ada lowongan menarik buat WNI di University of Kent. Riset tentang penduduk Indonesia &amp; kemiskinan. Deadling 10 Maret; visa bisa disponsori Good luck semua!</t>
  </si>
  <si>
    <t>@jr_kw19 Ingat ! Isis tidak suka dengan yg berhubungan dengan sejarah n budaya</t>
  </si>
  <si>
    <t>RT @Nouna_jessica94: ISIS mahir menggunakan media internet sbg channel propaganda. Jadi simpatisannya bkn hanya di Suriah dan Irak, tapi di seluruh dunia. Byk simpatisannya yg punya kemampuan teknis di berbagai bidang rela hijrah ke wilayah ISIS dan menyumbang kemampuannya untuk ISIS.</t>
  </si>
  <si>
    <t>@taa_gus @Mala_1920 malah isis semriwing Gus ono ventilasine</t>
  </si>
  <si>
    <t>Berharap tindakan mulia sgr dilakukan o/ pemerintah @jokowi 🙏 KRI DR Soeharso ini disiapkan u/ opsi menjemput 74 WNI yg mjd kru kapal Diamon Princess di perairan Jepang. "Contingency mitigasi disiapkan, urusan nanti diputuskan apa, tinggal jalan."kt dr Terawan @KemenkesRI</t>
  </si>
  <si>
    <t>WNI di Ausie sangat serius memikirkan negerinya RT @dipoalam49: Mau sarapan jadi gak selera baca2 berita Jum'at pagi ini 21-2-2020.👇 Semoga Tuhan berikan petunjuk yang terbaik untuk kita. Amiin @tempodotco @berita_rmol @detikcom @CNNIndonesia @kumparan @RamliRizal @msaid_didu @KPK_RI @BEMFFUI</t>
  </si>
  <si>
    <t>Infografik: Nasib WNI di kapal Diamond Princess</t>
  </si>
  <si>
    <t>@WR_4AG226 @Billy_aprianto Poligami programnya ISIS</t>
  </si>
  <si>
    <t>Menkes Sebut KRI Soeharso Layak untuk Pulangkan WNI di Jepang</t>
  </si>
  <si>
    <t>Kekacauan Narasi Soal ISIS  via @wordpressdotcom cc @maulatv @NewsArrahmah @BBCIndonesia @CNNIndonesia</t>
  </si>
  <si>
    <t>RT @ArelyLeon18: dimash singing in spanish dimash singing in spanish dimash singing in spanish dimash singing in spanish dimash singing in spanish dimash singing in spanish dimash singing in spanish dimash singing in spanish dimash singing in spanish dimash</t>
  </si>
  <si>
    <t>Khabar !!! WNI terinfeksi virus korona di kapal pesiar tenang dan stabil</t>
  </si>
  <si>
    <t>Kebenaran selalu mendatangkan kebaikan...kayak isis...eh bener gak yah.</t>
  </si>
  <si>
    <t>Evakuasi 74 ABK Diamond Princess, KRI dr Soeharso Siap Jemput WNI</t>
  </si>
  <si>
    <t>@Budi201932 Oke pak budi.saya concern mikirin kontribusi Islam dlm.pembangunan kemanusiaan.saya tegaskan,saya tidak setuju dg ISIS,dan tafsir serta gerakkan radikal.sbb mereka merusak citra islam yg aslinya damai.dg siapapun.</t>
  </si>
  <si>
    <t>@helpmeimskek jgn dilayan nemesis apa tah nama tu, dia merayau sekeliling twitter bitter dgn semua org kecuali bsamdee guy tu or iblis terlaknat or anyone yg berpotensi jd ISIS fjdjsjssj</t>
  </si>
  <si>
    <t>@IbuNe_neng Ada anak muda .. yang nyanyi lagu barat di daerah konflik surya .. sama ISIS..langsung di penggal kepala nya.. di depan orang banyak.</t>
  </si>
  <si>
    <t>Aka al qaeda and isis</t>
  </si>
  <si>
    <t>Pemerintah terus pantau kondisi 78 WNI di kapal pesiar: Empat positif</t>
  </si>
  <si>
    <t>"Pernyataan-pernyataan mereka yang tidak berbaiat dengan amir Daulah Islamiyah atau ISIS dimurtadkan," papar Hassan. / #Regional</t>
  </si>
  <si>
    <t>Di awal saja sok2 bicara NKRI sok anti radikalisme. Akhirny ketahuan kelompok2 mana yg di dukung. Al qaida Isis 🤣🤣🤣 RT @faridwinart: Busettt bego jangan dipiara bro, kambing dipiara mah.. loncat² mulu bertanda mulai gelagapan 😁😁 dari FPI sekarang ke Saudi, segitunya sama Islam..wkwk. Urusin aja noh pastur cabul..wkwk</t>
  </si>
  <si>
    <t>Virus Corona, Menkes Siapkan KRI Soeharso Angkut dan Rawat WNI Kru Kapal Diamond Princess</t>
  </si>
  <si>
    <t>RT @895jizfm: #InfoTerkini di #SemangatPagi ada: -Pelaku Balapan di Underpass YIA Kena 3 Pasal Pelanggaran -Mahfud Klaim MUI Berpandangan Sama soal WNI Eks ISIS -Pemerintah Pertimbangkan Jemput WNI ABK Diamond Princess  #sempag</t>
  </si>
  <si>
    <t>MAMSIT SUMUK CAK BUD ISIS LEK SORE NDELOK I AREK SMA 10 LIWAT!! RT @ngalamfess: bener ngene a gess? oyi</t>
  </si>
  <si>
    <t>Pemerintah telah menyiapkan beberapa opsi untuk menjemput 74 WNI yang menjadi kru Kapal Pesiar Diamond Princess di Jepang yang salah satunya menggunakan KRI dr Soeharso.</t>
  </si>
  <si>
    <t>#InfoTerkini di #SemangatPagi ada: -Pelaku Balapan di Underpass YIA Kena 3 Pasal Pelanggaran -Mahfud Klaim MUI Berpandangan Sama soal WNI Eks ISIS -Pemerintah Pertimbangkan Jemput WNI ABK Diamond Princess  #sempag</t>
  </si>
  <si>
    <t>Sepertinya negara ini sedang dalam target menurunkan angka populasi penduduknya melalui peningkatan persentase WNI yg depresi dan anxiety. RT @TirtoID: Naskah akademik RUU Ketahanan Keluarga: cacat logika dan menghapuskan perjuangan kesetaraan gender. Ketika semua berlomba untuk bergerak maju, kenapa kita malah diajak mundur?</t>
  </si>
  <si>
    <t>Hai guys,Podcast kita kali ini akan membahas ttg akibat hukum yg terjadi dlm Perkawinan Campuran.Nah terkait dgn perkawinan campuran tsb, yg sering jadi pertanyaan adalah : “gimana kalo seorang WNA tersebut meninggal?Bisa nggak sih WNI mewaris dari WNA?"</t>
  </si>
  <si>
    <t>@ensyclo47 😳 sepertinya prostitusi terbungkus dengan agama. Apa namanya kalo bukan taktik kadrun HTI/ISIS untuk pembodohan dan pemiskinan bangsa dan negara. Sayangnya para pejabat tinggi negara seperti Muhadjirin dan Fachrur hanya bisa kentut lewat mulut. Bangke kan?!</t>
  </si>
  <si>
    <t>RT @deepdeppp: Hari gini masih ngomongin etnis? Indonesia ya Indonesia.. Terdiri dari berbagai suku bangsa! Indonesia bukan hanya Jawa, Tiongkok, Batak, Madura, Sunda, tapi semuanya! Semuanya adalah Indonesia! Jadi, siapapun pemenang #MissIndonesia2020, selama Ia seorang WNI, maka Ia layak!</t>
  </si>
  <si>
    <t>@Boemi_Pertiwi12 Kok orang bukan WNI bisa jadi KOMCAD ?????</t>
  </si>
  <si>
    <t>Empat dari 78 WNI di kapal Diamond Princess masih dirawat di Jepang karena positif tertulari Convid-19. Sementara itu, Presiden Jokowi mengatakan pemerintah akan segera memulangkan sisanya. #WaktunyaLokadata #Infografik</t>
  </si>
  <si>
    <t>B indo lungguh pinggir jendelo ambek singitan nd selambu ben isis RT @ngalamfess: Oyi wdyt? cek lengkap</t>
  </si>
  <si>
    <t>[UPDATE] WNI Terjangkit Virus Corona di Singapura Dinyatakan Sembuh!</t>
  </si>
  <si>
    <t>Penolakan justru kontraproduktif membendung terorisme.</t>
  </si>
  <si>
    <t>Pak @hmskaban, seluruh rakyat sdh tau BPIP bkn gorong2, tempat iblis muncul utk hancurin NKRI. Tdk relevan desak #BubarkanBPIP. Sdh tpt digelar debat trbuka, tp harus pastikn semua yg trlibat diskusi tdk punya DNA PKI, tdk terlibat ISIS &amp; terbebas dari virus #Pinoisme. *FA* RT @hmskaban: usulan BPIP gantikan salam kaum muslimin sudah keterlaluan, satu kalimat bubarkan BPIP anti agama.Sejarah menunjukkan yg suka gugat agama khususnya islam itu jls2 PKI,Komunis anti agama.Tolak kehadiran BPIP.Ayo debat terbuka BPIP.Knpa BPIP bawa Pancasila musuh agama.</t>
  </si>
  <si>
    <t>melatih sense sebelum isis datang</t>
  </si>
  <si>
    <t>RT @salsabila0307: Isis islam Al qaeda islam. Jil islam Jad islam Trus kalo saudi membordir yaman situ dukung siapa..??? 🤣🤣🤣🤣</t>
  </si>
  <si>
    <t>@salsabila0307 Mendukung yg berseberangan dan berhadap2an dengan FPI, ISIS dan wahabi. 😅</t>
  </si>
  <si>
    <t>Isis islam Al qaeda islam. Jil islam Jad islam Trus kalo saudi membordir yaman situ dukung siapa..??? 🤣🤣🤣🤣 RT @faridwinart: Baca dulu pahami baru komen pls jiwa kedunguannya jangan dlu dikeluarin.. masa bersatu sesama muslim kaga boleh didukung ??</t>
  </si>
  <si>
    <t>@Winardhi__ @Hidup_Toleransi SEKALI LAGI TIDAK ADA WNI EX ISIS yang ada cuma EX WNI pro ISIS atau PENGKHIANAT BANGSA</t>
  </si>
  <si>
    <t>Ternyata bisa disimpulkan kalo ternyata gorengan Syiria Turki tujuannya buat melengserkan Basyar al-Assad, ternyata bener bener nenek moyang kadrun mereka tu. Isu isu ISIS selesai, mereka kembangin lagi isu mahdzab. Whoahahahaha, bodohnya yang percaya sama dunia perfilman mereka.</t>
  </si>
  <si>
    <t>@kumparan Seharusnya lu bikin gebrakan moral wni turunan cina wajib menikahi pribumi dan tak boleh pengucilan oleh kaumnya itu lebih pancasila daripada exclusivitas pernikahan yg ada sekarang</t>
  </si>
  <si>
    <t>@masmasfuri @duasisi_tvone @karniilyas @tvOneNews pki, dii tii, permesta, itu dalam negri bos, kl ini sdh keluar negara ikut negara isis yg ternyata negara gagal jd lah cuma segrombolan pemberontak</t>
  </si>
  <si>
    <t>RT @maygeumy: Berasa jadi ex isis, dimusuhi dunia.</t>
  </si>
  <si>
    <t>RT @RadioKesehatan: #IndonesiaSehatPagi #SRKSemakinSeru #SRKSemakinSehat #2thSRK Kapal dr Soeharso Jadi Opsi Pemulangan WNI Kapal Diamond Princess</t>
  </si>
  <si>
    <t>RT @P3nj3l4j4h_id: Yang setuju FZ gabung k isis retwit yess..😂 #ISISGoToHell</t>
  </si>
  <si>
    <t>#IndonesiaSehatPagi #SRKSemakinSeru #SRKSemakinSehat #2thSRK Kapal dr Soeharso Jadi Opsi Pemulangan WNI Kapal Diamond Princess</t>
  </si>
  <si>
    <t>#RilisSehat Masa Karantina WNI di Kapal Diamond Princess Diperpanjang @KemenkesRI</t>
  </si>
  <si>
    <t>RT @kopipolitik1: 24) Tentu pemerintah ingin mendalami lebih jauh keberadaan para eks ISIS dan akan disisir satu persatu, apakah mereka sudah menjadi warga luar dan berbait atau mereka ada yang masih jadi WNI dan ingin pulang @DivHumas_Polri @AwangSancaka #Dinamika</t>
  </si>
  <si>
    <t>Oooo.... Gini toh ajarannya pantesan ada taliban, isis dll. Baru tahu (,") RT @risrisus: @permadiaktivis Pertanyaan gampang: 1. Istri haram keluar rumah 2. Kamar kurang untuk anak, itu tanggung jawab jokowi 3. ML harus mencontoh rosul, banyak2 baca hadits bukhori dan abu hurairah 4. Lgbt bawaan orok, diruqyah ajahhh 5. Syariat Islam memang urusin ruang privat orang, imani saja kang</t>
  </si>
  <si>
    <t>dimash singing in spanish dimash singing in spanish dimash singing in spanish dimash singing in spanish dimash singing in spanish dimash singing in spanish dimash singing in spanish dimash singing in spanish dimash singing in spanish dimash singing in spanish dimash singing in sp</t>
  </si>
  <si>
    <t>Ya Allah berikanlah kami Semua WNI disini kesehatan semuanya Amin</t>
  </si>
  <si>
    <t>@inayahhakeem Bisa jadi benar, foto itu emang banyak beredar saat ramai kasus ahok. Blm pernah jg baca bantahan dari JaN/HTS atas foto yg beredar itu. HTS jg lebih bisa menerima posisi muslim yg terlibat dlm demokrasi/demonstrasi dibanding isis</t>
  </si>
  <si>
    <t>Players, hari ini di Plug N Play Rinni Malik dan Satriyo Prakoso bakalan ngobrol bareng Fadil (Warga Negara Indonesia yang menempuh pendidikan di Wuhan, China) mengenai “Evakuasi WNI dari Wuhan ke Indonesia”. Dengerin ya! Link Streaming:  #975PNP #975PLAYFM</t>
  </si>
  <si>
    <t>RT @Nouna_jessica94: Lompat ke 2012 di mana Suriah mengalami perang saudara sebagai akibat dari Arab Spring, AQI sudah berubah nama menjadi ISIS (Islamic State of Iraq and Syria. Kali ini sudah dipimpin oleh Abu Bakr al-Baghdadi. Abu Mussab al-Zarqawi sudah tewas dibom AS.</t>
  </si>
  <si>
    <t>RT @Nouna_jessica94: Bukannya membantu pemberontak Sunni melawan pemerintah al-Assad, mrk malah melawan laskar² Sunni tsb yg tdk mau bergabung dgn mrk. Belakangan ISIS jg memanfaatkan kelengahan militer Irak dan berhasil menduduki Mosul.</t>
  </si>
  <si>
    <t>RT @Nouna_jessica94: Setelah itu, dengan pede nya , Abu Bakr al-Baghdadi mendeklarasikan Islamic State (al Daulah al Islamiyah / IS) menggantikan ISIS. Jadi cakupannya bukan hanya Irak dan Suriah tapi seluruh dunia. Selain itu, Abu Bakr al-Baghdadi didaulat sebagai KHALIFAH.</t>
  </si>
  <si>
    <t>RT @DanungArifin: Pertama kali masuk ke KRI dr. Soeharso. Rumah Sakit Terapung-nya TNI AL. Peninjauan kesiapan sebagai opsi pemulangan WNI di Kapal Pesiar Diamond Princess di Yokohama, Jepang lewat jalur laut.</t>
  </si>
  <si>
    <t>Pertama kali masuk ke KRI dr. Soeharso. Rumah Sakit Terapung-nya TNI AL. Peninjauan kesiapan sebagai opsi pemulangan WNI di Kapal Pesiar Diamond Princess di Yokohama, Jepang lewat jalur laut.</t>
  </si>
  <si>
    <t>RT @Nouna_jessica94: Legitimasi agama. Banyak muslim yang mendambakan kepemimpinan khalifah. Dengan kemenangan² ISIS di Irak dan Suriah, kekhalifahan terasa menjadi nyata.</t>
  </si>
  <si>
    <t>RT @mediaindonesia: Dua Opsi bagi WNI di Kapal Pesiar</t>
  </si>
  <si>
    <t>Berasa jadi ex isis, dimusuhi dunia.</t>
  </si>
  <si>
    <t>Ecek2nya mengarak ke wamil y pak @prabowo tp gpp sih yg jd masalah eks isis boleh ikut gtu walaupun udah menjalani deradikalisasi Seputar Rekrutmen Komponen Cadangan Pertahanan: Incar Milenial, WNI Eks ISIS Boleh Gabung, hingga Kampanye Lewat Medsos</t>
  </si>
  <si>
    <t>@ani_nyebar @wangi_bhumi @CastilloJoshima kebiadaban isis tdk bisa ditolerir lagi. Hukuman mati sangat layak.</t>
  </si>
  <si>
    <t>RT @KJRIMelbourne: Jika Anda WNI di Victoria dan berencana untuk membuat driver’s license di VicRoads, Anda bisa lampirkan Surat Keterangan dari KJRI Melbourne sebagai salah satu dokumen pendukung ke VicRoads. @Kemlu_RI @Astimpas_Kemlu #kjrimelbourne #pelayananwni #deminkri #konsulerkjrimelbourne</t>
  </si>
  <si>
    <t>@raminrojava @Tayfun2150 @oulosP I prefer PKK over AKP GREY WOLVES, ISIS, ALQAIDA</t>
  </si>
  <si>
    <t>Pemerintah Masih Kaji Pencabutan Kewarganegaraan WNI Eks ISIS</t>
  </si>
  <si>
    <t>KRI Soeharso Siap Jemput WNI di Kapal Pesiar Diamond Princess</t>
  </si>
  <si>
    <t>Kementerian Pertahanan (Kemhan) menargetkan, 25.000 milenial bergabung dalam komponen cadangan (komcad) pertahanan negara.</t>
  </si>
  <si>
    <t>Dua Opsi bagi WNI di Kapal Pesiar</t>
  </si>
  <si>
    <t>NOW Simak #RedaksiKOMPASBicara brsm Mas Tri Agung Kristanto - Wapemred @hariankompas bahas: 1. Perkembangan RUU Cipta Kerja 2. Perkembangan 78 WNI yg berada di kapal pesiar Diamond Princess &amp; langkah yg diambil pemerintah utk mengevakuasi mereka di #SonoraNetwork #SmartFMNetwork</t>
  </si>
  <si>
    <t>@edcfess2 Di hi bisa belajar ttg konflik dunia kek isis dkk krna aku suka perdamaian jd nnti kl masuk hi bisa belajar lg ttg itu wqwq</t>
  </si>
  <si>
    <t>RT @kjrijohorbahru: Dalam rangka meningkatkan upaya pelayanan dan pelindungan bagi WNI di luar negeri, berbagai upaya terus dilakukan KJRI Johor Bahru untuk membantu proses pemulangan WNI/PMI. #IniDiplomasi #NegaraMelindungi</t>
  </si>
  <si>
    <t>RT @kjrijohorbahru: Pada Selasa (18/2) KJRI Johor Bahru berkordinasi dengan Jabatan Imigresen Kemayan, Pahang, Malaysia, membantu dan memastikan kelancaran pemulangan 49 WNI/PMI yang telah menyelesaikan kasus-kasusnya, dengan rincian 32 laki-laki, dan 17 perempuan. #IniDiplomasi #NegaraMelindungi</t>
  </si>
  <si>
    <t>RT @kjrijohorbahru: Pd pertemuan tsb disepakati utk terus tingkatkan kerja sama, koordinasi dan komunikasi antara KJRI dg DIPN terkait dukungan dan bantuan proses pemulangan WNI, dari Johor - Malaysia ke Indonesia, khususnya bagi WNI kelompok rentan dan sakit di DIPN. #IniDiplomasi #NegaraMelindungi</t>
  </si>
  <si>
    <t>RT @kjrijohorbahru: KJRI Johor Bahru senantiasa membantu dan memastikan kelancaran pemulangan WNI/PMI ke Indonesia yang telah menyelesaikan kasusnya di DIPN. Upaya tersebut sebagai komitmen Pemerintah Indonesia dalam rangka meningkatkan pelayanan dan pelindungan WNI di luar negeri. #IniDiplomasi</t>
  </si>
  <si>
    <t>Menkumham Kaji Pencabutan Kewarganegaraan Eks Simpatisan ISIS</t>
  </si>
  <si>
    <t>@hazpohan Mereka WNI yg tidak menghargai Indonesia.</t>
  </si>
  <si>
    <t>Seorang ibu (WNI) yg menikah dg WN Iraq, menitipkan anaknya di "himpunan" dan blg "Tolong anak saya diterima ya di himpunan ini, mungkin agak susah berbaur, dia pendiam sekali krn masa kecil hingga remaja hidup dg suara bom dan tembakan setiap hari. Tolong diajak main." :")</t>
  </si>
  <si>
    <t>RT @Nouna_jessica94: ISIS memikat banyak orang karena apa ?</t>
  </si>
  <si>
    <t>Pernah seketikanya mendadak dtg jumpalitan di hari sabtu/minggu seud gue bikin stts.. Ciri2nya kalo suaranya ud kenceng banget..berarti dia didlm diutus.. 😌hah ga usahlah sissss eks wni dibw plg,..ud dilatih bunuh org.. Lah disini karbitannya dilatih drama aja ribet rempong 😅</t>
  </si>
  <si>
    <t>Next Simak #RedaksiKOMPASBicara bahas: 1. Perkembangan Pembahasan RUU Cipta Kerja 2. Perkembangan 78 WNI yg berada di kapal pesiar Diamond Princess &amp; langkah yg diambil pemerintah utk mengevakuasi para WNI tsb? Pk. 7.10 wib Brsm @hariankompas di #SonoraNetwork #SmartFMNetwork</t>
  </si>
  <si>
    <t>Menilai HAM itu harus dari dua sudut, yaitu perbuatan dan konsekuensi. Ingat, mereka itu eks-WNI yang jadi ISIS, bukan eks-ISIS yang jadi WNI. Melepas status WNI demi ideologi pribadi jelas ini pengkhianatan terhadap NKRI. #TolakISIS #LawanTeroris</t>
  </si>
  <si>
    <t>Presiden pastikan WNI di Kapal Diamond Princess peroleh protokol kesehatan standar WHO #ElshintaEdisiPagi</t>
  </si>
  <si>
    <t>RT @KamiBijakID: 4 WNI Positif Terinfeksi Virus Corona  #KamiBijakID #GenggamDuniaTanpaSuara #KBUpdate</t>
  </si>
  <si>
    <t>RT @rchmdv: bayangkan kamu suruh mikir fourier series fourier transform sampe jam 9 malam di kampus terus besoknya full dari jam 7.15-17.30 di kampus trs besoknya kamu bertemu the deadly laprak isis so you have no choice either than sacrifice your sleep</t>
  </si>
  <si>
    <t>Jika Anda WNI di Victoria dan berencana untuk membuat driver’s license di VicRoads, Anda bisa lampirkan Surat Keterangan dari KJRI Melbourne sebagai salah satu dokumen pendukung ke VicRoads. @Kemlu_RI @Astimpas_Kemlu #kjrimelbourne #pelayananwni #deminkri #konsulerkjrimelbourne</t>
  </si>
  <si>
    <t>RT @kompascom: "Saat ramai-ramainya baiat ISIS, itu saya nggak bisa tidur, saya takut. Takut lengah saat tidur"</t>
  </si>
  <si>
    <t>RT @INDRAARDIAWAN2: 2 Pasien Tewas di Diamond Princess, 4 WNI Terinfeksi Corona Diamond Princess sudah dikarantina sejak awal Februari lalu di perairan Yokohama, Jepang. Meningkat semakin banyak lagi menjadi 621 orang dikonfirmasi terinfeksi corona.</t>
  </si>
  <si>
    <t>@KemenkesRI Sesditjen Pencegahan dan Pengendalian Penyakit dr. Ahmad Yurianto mengatakan dari 3 WNI tersebut seluruhnya sudah dirawat oleh otoritas kesehatan Jepang. Namun Pemerintah Jepang tidak menyebutkan nama rumah sakit yang menjadi tempat mereka dirawat. via @KemenkesRI</t>
  </si>
  <si>
    <t>WNI yang merupakan anak buah kapal Diamond Princess dikarantina karena di dalam kapal tersebut terdapat penumpang yang positif tertular Covid-19. Ada 78 WNI yang 3 orang di antaranya positif Covid-19 dan saat ini tengah dirawat di rumah sakit. via @KemenkesRI</t>
  </si>
  <si>
    <t>#SelamatPagiJogja | Tribun Jogja : Dua Opsi Evakuasi WNI. Karantina Kapal Pesiar Karena Corona.</t>
  </si>
  <si>
    <t>Simak #RedaksiKOMPASBicara bahas ttg: 1. Perkembangan Pembahasan RUU Cipta Kerja 2. Perkembangan 78 WNI yg berada di kapal pesiar Diamond Princess &amp; langkah yg diambil pemerintah utk mengevakuasi para WNI tsb? Brsm @hariankompas Pk. 7.10 wib di #SonoraNetwork &amp;amp; #SmartFMNetwork</t>
  </si>
  <si>
    <t>[VIDEO] KUII ke-7 Dijadwalkan Bahas Omnibus Law, Kasus WNI Eks ISIS, dll -</t>
  </si>
  <si>
    <t>RT @ustadtengkuzul: Pak Menteri Kesehatan baru baru ini mengatakan:"MASKER ITU UNTUK ORANG SAKIT. Harga Masker mahal, salah sendiri, sehat kok beli Masker..." (Foto Menkes saat Evakuasi WNI dari China, beberapa saat lalu). Terimakasih...</t>
  </si>
  <si>
    <t>Sobat Mido, masih banyak nih yang keliru soal Kantor Imigrasi dan Visa. Jadi, Kantor Imigrasi tidak menerbitkan visa yah, baik visa untuk keluar negeri bagi WNI maupun visa untuk ke dalam negeri untuk WNA. Visa diajukan di Kedutaan atau kantor Perwakilan Negara</t>
  </si>
  <si>
    <t>@JaritaKirana @ustadtengkuzul Iye Gue PKI👉🏻Partai Ketawa Indonesia Dan Lu Isis Teroristnye 🤣🤣🤣</t>
  </si>
  <si>
    <t>Menkes Lihat Kesiapan Evakuasi WNI dari Kapal Pesiar Diamond Princess dengan KRI Soeharso  via @portalSURYA</t>
  </si>
  <si>
    <t>@verasyass Gataaa</t>
  </si>
  <si>
    <t>Maka orang Cina di Indonesia pada tahun 1962 disuruh memilih. Ayah Ahok Tjung Kim Nam memilih warganegara RRT. Ahok lahir 1966, maka Ahok otomatis ikut warganegara ayahnya, RRT. Ketika ayah Ahok dinaturalisasi, maka Ahok otomatis menjadi WNI ketika itu dia berusia 20 thn 1986.</t>
  </si>
  <si>
    <t>Sesuai UU No 62/1958 entang Kewarganegaraan RI, status dwi kewarganegaraan harus diakhiri dengan cara memilih salah satu: jadi WNI atau jadi WN RRT. Kesepakatan pengakhiran status dwi kewarganegaraan itu dicapai dan dirumuskan dlm “Persetujuan Soenario-Tjou En Lai”, Menlu2 RI-RRT</t>
  </si>
  <si>
    <t>Mengapa Ahok tidak terlahir sebagai WNI? Jawabannya sederhana karena ayah Ahok, Tjung Kim Nam adalah warganegara Tiongkok. Sebelumnya beliau mempunyai dwi kewarganegaraan.</t>
  </si>
  <si>
    <t>Munawar Kholil, perekrut puluhan kombatan ISIS, masih di Kamp kombatan di Suriah. Mudah2an dihukum mati sebelummempengaruhi lebih banyak. #tolakekskombatan #dampakradikalisme #JanganEkstrim @zlametabidin @wangi_bhumi @CastilloJoshima Lihat</t>
  </si>
  <si>
    <t>RT @republikaonline: KRI dr Soeharso disiapkan sebagai opsi untuk menjemput WNI di Jepang.</t>
  </si>
  <si>
    <t>BENER GAK NICH?👇🏼 SUNGGUH MENGERIKAN! Jadi ZHONG WAN XIE alias Ahok itu adalah Warga Negara China / RRC / Tiongkok selama 20 tahun, dan baru di usia 20 tahun ia jadi WNI.</t>
  </si>
  <si>
    <t>Yang paling menyedihkan dari penembakan di Jerman ini adalah diamnya dunia termasuk dunia Islam karena pelakunya bukan muslim. Padahal ekstrem kanan melakukan terror sama dg yang dilakukan ISIS. RT @hasmi_bakhtiar: Pelakunya adalah ekstremis kanan. Mereka mengincar muslim atau warga keturunan Arab terutama di Eropa dan Amerika. Sialnya donatur terbesar mereka adalah negara Arab sendiri yaitu UEA.</t>
  </si>
  <si>
    <t>@joaovmariga kkkkkkkkjakanakqne mentiroso</t>
  </si>
  <si>
    <t>"Saat ramai-ramainya baiat ISIS, itu saya nggak bisa tidur, saya takut. Takut lengah saat tidur"</t>
  </si>
  <si>
    <t>Lindungi WNI di Kapal Pesiar, Pemerintah Diminta Segera Diplomasi</t>
  </si>
  <si>
    <t>Pemerintah perlu strategi khusus untuk menghadapi #WNI mantan kombatan #ISIS</t>
  </si>
  <si>
    <t>@TofaTofa_id Eks kombatan ISIS banyak yg merasa ditipu dan nyesel, eks PKI ? adakah yg nyesel ?</t>
  </si>
  <si>
    <t>Pola " ISIS " sgt jelas terbaca.. Curut2 bongkrek butuh berkembangbiak utk perbanyak bayek2 curut2 calon pengantin.. RT @me_zhu__Yusra: Bagaikan merangkai Puzzle. Dari Indonesia tanpa pacaran, jadi "ta'aruf" (biro jodoh), dicarikan yg kaya tuk yg miskin (bgtpun sebaliknya), lalu wanita yg bekerja dilarang biar suami yg kerja. Semua itu syareat Islam lho. Dan happy ending deehhh.</t>
  </si>
  <si>
    <t>@DedenBandung3 @detikcom Join ISIS itu bagian dr ajaran agama Islam yah?</t>
  </si>
  <si>
    <t>RT @TofaTofa_id: [Jajak Pendapat 5] Anda lebih takut dengan eks PKI/Komunis atau lebih takut pada eks ISIS?</t>
  </si>
  <si>
    <t>Opsi apapun yang ditetapkan Presiden @jokowi kami @BNPB_Indonesia siap mendukungnya. Salah satu opsi untuk pemulangan WNI awak Kapal Diamond Princess dari Jepang dengan KRI dr. Soeharso yang pernah bertugas pada misi kemanusian di Aceh 2004 #covid19</t>
  </si>
  <si>
    <t>@MentegaMeses @ISIS_Balik_NO @Mom_isback @mardiasih usernya lari sehabis make, nah yang dipake malah menjadi target penggerebekan oleh @andre_rosiade, begimane donk? 🤪</t>
  </si>
  <si>
    <t>Mereka WNI, berhak atas perlindungan negara, kecuali keputusan pengadilan mengatakan lain:</t>
  </si>
  <si>
    <t>Tumben gerombolan pendukung Khilafah ini mengusung tema "menyelamatkan NKRI"..apakah karena ISIS sudah hancur? Atau cuma kedok aja biar dikira nasionalis??...fangkelah... PA 212 dan FPI Ancam Pengacau Aksi 212 Besok</t>
  </si>
  <si>
    <t>Pemerintah gunakan keputusan menteri cabut status WNI eks Daesh</t>
  </si>
  <si>
    <t>RT @ProfetaEh: ┌──❀*̥˚──◌─────❀*̥˚─┐ 𝙀𝙉𝙏𝙍𝙀𝙑𝙄𝙎𝙏𝘼𝙎 └◌───❀*̥˚ ──◌───❀*̥˚┘</t>
  </si>
  <si>
    <t>RT @ProfetaEh: ┌──❀*̥˚──◌─────❀*̥˚─┐ 𝘿𝙄𝘼𝙍𝙄𝙊𝙎 └◌───❀*̥˚ ──◌───❀*̥˚┘</t>
  </si>
  <si>
    <t>RT @ProfetaEh: ┌──❀*̥˚──◌─────❀*̥˚─┐ 𝐁𝐄𝐂𝐀𝐑𝐈𝐎𝐒 └◌───❀*̥˚ ──◌───❀*̥˚┘</t>
  </si>
  <si>
    <t>RT @ProfetaEh: ┌──❀*̥˚──◌─────❀*̥˚─┐ 𝐑𝐄𝐃𝐀𝐂𝐓𝐎𝐑𝐄𝐒 𝐘 𝐄𝐃𝐈𝐓𝐎𝐑𝐄𝐒 └◌───❀*̥˚ ──◌───❀*̥˚┘</t>
  </si>
  <si>
    <t>RT @ProfetaEh: ┌──❀*̥˚──◌─────❀*̥˚─┐ 𝐏𝐄𝐑𝐈𝐎𝐃𝐈𝐒𝐓𝐀𝐒 └◌───❀*̥˚ ──◌───❀*̥˚┘</t>
  </si>
  <si>
    <t>Menko PMK Sebut WNI Positif Korona Tak Boleh Dievakuasi</t>
  </si>
  <si>
    <t>Ahok lahir 1966, maka Ahok otomatis ikut warganegara ayahnya, RRT. Ketika ayah Ahok dinaturalisasi, maka Ahok otomatis menjadi WNI ketika itu dia berusia 20 tahun di tahun 1986. Nama Ahok ada dalam SKBRI Tjung Kim Nam yang telah dinaturalisasi tahun 1986 itu.</t>
  </si>
  <si>
    <t>Jawabannya sederhana karena ayah Ahok, Tjung Kim Nam adalah warganegara Tiongkok. Sebelumnya beliau mempunyai dwi kewarganegaraan. Sesuai UU No 62/1958 entang Kewarganegaraan RI, status dwi kewarganegaraan harus diakhiri dengan cara memilih salah satu: jadi WNI atau jadi WN RRT.</t>
  </si>
  <si>
    <t>bayangkan kamu suruh mikir fourier series fourier transform sampe jam 9 malam di kampus terus besoknya full dari jam 7.15-17.30 di kampus trs besoknya kamu bertemu the deadly laprak isis so you have no choice either than sacrifice your sleep RT @collegemenfess: [cm]</t>
  </si>
  <si>
    <t>RT @bangnadjam: Mendampingi Prof.Mahfud MD (Menteri Koordinator Politik,Hukum dan Keamanan Republik Indonesia) yang menjadi Narasumber dalam Membahas Peta Jalan Penanganan Warga Negara Indonesia Terpapar ISIS di Wilayah Syiria dan Iraq di Kantor MUI Jalan Proklamasi No.51 Menteng Jakarta Pusat.</t>
  </si>
  <si>
    <t>SUNGGUH MENGERIKAN! Jadi ZHONG WAN XIE alias Ahok itu adalah Warga Negara Cina / RRC / Tiongkok selama 20 tahun, dan baru di usia 20 tahun ia jadi WNI. Jadi: Ahok ORANG CINA ASLI bukan orang Indonesia, namun ia kemudian pindah jadi WNI*</t>
  </si>
  <si>
    <t>Bertemu BNPT dan MUI, Mahfud MD Bahas Eks WNI Kombatan ISIS</t>
  </si>
  <si>
    <t>isis love BUTIKK tbbcrk</t>
  </si>
  <si>
    <t>Komisi IX Berharap 3 WNI Positif Virus Corona di Kapal Pesiar Diamond Princess Bisa Sembuh</t>
  </si>
  <si>
    <t>PBB meminta Negara anggota waspada untuk menerima kembali anggota eks ISIS ke Negara asal, Selengkapnya di</t>
  </si>
  <si>
    <t>@amiennoor1 @AtikaFaya Korban propaganda ISIS.</t>
  </si>
  <si>
    <t>@bastianmalau1 Pagi juga bang..... Habis coli kah ?😉</t>
  </si>
  <si>
    <t>RT @kodokpangeran5: Staf Khusus Presiden Bidang Hukum. Dini Shanti Purwono: WNI eks ISIS sudah tidak memiliki kewarganegaraan atau stateless. dan itu adalah konsekuensi dari keputusan mereka ketika meninggalkan Indonesia. #EksISISHilangKewarganegaraan</t>
  </si>
  <si>
    <t>Apa gue bilang, virus kadrun isis itu lebih bahaya dari corona, memang orang gk langsung mati, tapi penyebarannya dasyat juga. Lihat sekda kena virus kadrun, omongannya halu. Sekda DKI: Alasan Formula Tetap di Monas Biar Terkenal Dunia Akhirat</t>
  </si>
  <si>
    <t>RT @minhyunsc: Staf Khusus Presiden Bidang Hukum. Dini Shanti Purwono: WNI eks ISIS sudah tidak memiliki kewarganegaraan atau stateless. dan itu adalah konsekuensi dari keputusan mereka ketika meninggalkan Indonesia. #EksISISHilangKewarganegaraan</t>
  </si>
  <si>
    <t>Menko Polhukam Mahfud MD: pemerintah akan merancang Keputusan Presiden (Keppres) untuk menyikapi penolakan kepulangan WNI eks ISIS dan mencabut status kewarganegaraannya. #EksISISHilangKewarganegaraan</t>
  </si>
  <si>
    <t>RT @LamanKita_: Pemerintah Pertimbangkan Pemulangan Anak-Anak WNI Eks ISIS. #EksISISHilangKewarganegaraan</t>
  </si>
  <si>
    <t>Staf Khusus Presiden Bidang Hukum. Dini Shanti Purwono: WNI eks ISIS sudah tidak memiliki kewarganegaraan atau stateless. dan itu adalah konsekuensi dari keputusan mereka ketika meninggalkan Indonesia. #EksISISHilangKewarganegaraan</t>
  </si>
  <si>
    <t>Status kewarganegaraan WNI eks ISIS sudah otomatis hilang berdasarkan Undang undang. sehingga sebetulnya Presiden Jokowi tidak perlu lagi mengeluarkan Keppres untuk mencabut status kewarganegaraan para eks ISIS tersebut. #EksISISHilangKewarganegaraan</t>
  </si>
  <si>
    <t>Pemerintah Pertimbangkan Pemulangan Anak-Anak WNI Eks ISIS. #EksISISHilangKewarganegaraan</t>
  </si>
  <si>
    <t>RT @P_Eneste: @J_Aryoko @arif_sinulingga @dwi_anggia @duasisi_tvone @kang_maman72 @Hanifah933 Benar, mereka BUKAN WNI lagi. Jadi ngapain juga @tvOneNews ingin bawa2 mereka ke Indonesia??? Mau dipekerjakan??? 🤣🤣🤣</t>
  </si>
  <si>
    <t>@arniazahra Bukan lagi WNI tuh :)</t>
  </si>
  <si>
    <t>Wasekjen MUI Berharap Anak WNI Eks ISIS Bisa Dipulangkan</t>
  </si>
  <si>
    <t>Menkopolhukam Mahfud MD membahas soal WNI Eks ISIS dengan MUI</t>
  </si>
  <si>
    <t>RT @eko_kuntadhi: Pemerintah macam apa ini? 120 WNI di Wuhan dijemput untuk pulang. Disediakan pesawat. Gratis. Sedangkan satu orang di Saudi, malah dicuekin. Terlalu...</t>
  </si>
  <si>
    <t>Jokowi Perintahkan Segera Evakuasi WNI di Provinsi Hubei  #Nusantara #NKRI</t>
  </si>
  <si>
    <t>Indonesia menolak WNI Eks ISIS #Tolak #WNI #Eks #ISIS</t>
  </si>
  <si>
    <t>Tak Terdeteksi : Bisa Teroris @BNPTRI @BIN_Official Bisa #TKA #China :@ditjen_imigrasi @mabespolri_ @menakertrans @KemenkeuRI #Bisa Pembawa virus penyakit @KemenkesRI . Gagah nya ngomong eks #ISIS No way- Geblek- lolos 120.661 Orang, nyelonong masuk. @kemenhub151 Ya. RAZIA</t>
  </si>
  <si>
    <t>Pemerintah menyiapkan dua opsi evakuasi WNI yang berada di kapal pesiar Diamond Princess di Yokohama, Jepang. Selain evakuasi lewat udara, dipertimbangkan pula evakuasi dengan Kapal Rumah Sakit TNI Angkatan Laut Soeharso. #Humaniora #KawandalamPerubahan</t>
  </si>
  <si>
    <t>Barangkali kak seto mau lihat sebelum komen mau memulangkan anak ISIS RT @ramydesign: #ISIS #ISISchan BABY ISIS LEARN HOW TO KIL #داعش</t>
  </si>
  <si>
    <t>RT @RadenKraton: Taj Mahal, India</t>
  </si>
  <si>
    <t>Tidak tercipta untuk wni sepertinya🙂</t>
  </si>
  <si>
    <t>WNI yang dievakuasi dari Wuhan semuanya dalam keadaan sehat #Virus #Corona #WNI #Karantina #Sehat</t>
  </si>
  <si>
    <t>Sudah dipastikan takkan kembali ke Indonesia para WNI Eks ISIS #Tolak #WNI #Eks #ISIS</t>
  </si>
  <si>
    <t>RT @kopipolitik1: 7) WHO menetapkan waktu 2-14 hari masa inkubasi virus untuk memastikan semua WNI steril dan clean dari Virus Corona. Jadi ini langkah yang sesuai protocol standar WHO. Warga mestinya tak perlu khawatir terkait kemungkinan menyebar @DivHumas_Polri #Dinamika</t>
  </si>
  <si>
    <t>di ISIS aq jaga bangsa jg family sebenarnya</t>
  </si>
  <si>
    <t>RT @rmol_id: WNI Di Singapura Sembuh Dari Corona, Komisi IX: Seperti Ada Yang Ditutupi #Corona #SemuaBisaBM #RepublikMerdeka</t>
  </si>
  <si>
    <t>Himbauan bagi WNI di Wilayah Kerja KJRI Frankfurt.</t>
  </si>
  <si>
    <t>@AttiqurSatti Me na isis ka hu na ssp ka Amm muslim hu 😎lhr mai rhta hu me eeal shahdata dna wlo ki qadar krta hu ezzat pyr ki nigha sa dekhta</t>
  </si>
  <si>
    <t>RT @mediaindonesia: PKS: Jika WNI di Wuhan Dipulangkan, Kenapa Eks ISIS Tidak?</t>
  </si>
  <si>
    <t>Selamat Hari Raya Galungan dan Kuningan untuk saudara-saudara kami yang merayakan, terutama para WNI keluarga besar Masyindo di Rumania dan Moldova #IndonesianWay #WonderfulIndonesia #Repost retno_marsudi…</t>
  </si>
  <si>
    <t>@Menlu_RI... negara lain udah pada evakuasi warga nya dari kapal pesiar di jepang... WNI yang ada di kapal kapan di jemput pulang... #IndonesiaDaruratPengangguran RT @RT_com: #COVID-19 #Coronavirus: 2 die aboard #DiamondPrincess cruise ship in #Japan US &amp; Australia evacuated their citizens from ship, while Canada, Britain &amp;amp; Indonesia citizens await evacuations</t>
  </si>
  <si>
    <t>@detikcom sebetulnya tidak ada untung diskusi sama MUI yg banyak diisi simpatisan ISIS</t>
  </si>
  <si>
    <t>Jokowi Segera Ambil Keputusan soal Evakuasi 74 WNI di Kapal Diamond Princess</t>
  </si>
  <si>
    <t>WNI yang Kuliah di China Sudah Mulai Perkuliahan Secara Online</t>
  </si>
  <si>
    <t>RT @Santri_Mujahid: Jihad &amp; Khilafah adl bahasa y dibenci Pemerintah saat ini, bisa2 anda dituduh pengusung radikalisme &amp;amp; brpaham ISIS. Saat Ketua BPIP beralasan demi Jihad Pancasila Radikal kah dia? #RezimAntiPancasila</t>
  </si>
  <si>
    <t>@RosieDuffield1 Al Qaeda Al shabbab ISIS Al nusra Hamas Islamic jihad</t>
  </si>
  <si>
    <t>RT @KurniaSubud: Ceritanya sipengantin wnT ex ISIS yg kembali pulang Lalu menikah kembali .. Yg Lucunya anak bawaan dari suami 1_nya menganCam ayah sambungnya AKAN 👉🏿 PENGGAL KEPALA ayah sambungnya tsb? simak Videonya sobat muda 😳😳🤧😂🤝</t>
  </si>
  <si>
    <t>@capitalist__ Takut banget disuruh ikut isis</t>
  </si>
  <si>
    <t>@apradz Saya barusan cek website Uzbekistan Airways, dan kelihatannya sementara ini adanya cuma restricted weekly flight doang... Lumayan sih, apalagi Kazakshtan kan juga udah bebas visa untuk WNI. Siapa tau bisa nyeberang ke negara tetangganya juga.</t>
  </si>
  <si>
    <t>@2_onta @UNajib4 @duasisi_tvone Mereka pikir disana anak2 yg orang tuanya bergabung ISIS maupun mereka yg berangkat sendiri ga ngapa2in disana, mereka gak kepikiran kalau ada setara madrasa disana, yang ngajarin anak2 cara menembak dan merakit bom</t>
  </si>
  <si>
    <t>@___yusufjacka Mau coba isis dulu?</t>
  </si>
  <si>
    <t>@AsYouNotWish Indian Hindu ISIS agent.....</t>
  </si>
  <si>
    <t>RT @WangXian_Silent: Bazaar X Wang Yibo #WangYibo #WangYibo王一博 #王一博 #YIBO #왕이보</t>
  </si>
  <si>
    <t>Ribuan Militan Asing ISIS Akan Diadili Oleh Otoritas Kurdi di Suriah: QAMISHLI, Suriah…</t>
  </si>
  <si>
    <t>Hari gini masih ngomongin etnis? Indonesia ya Indonesia.. Terdiri dari berbagai suku bangsa! Indonesia bukan hanya Jawa, Tiongkok, Batak, Madura, Sunda, tapi semuanya! Semuanya adalah Indonesia! Jadi, siapapun pemenang #MissIndonesia2020, selama Ia seorang WNI, maka Ia layak!</t>
  </si>
  <si>
    <t>@nonstimur Hehe tp emg kacau sih isis, bagian dr propaganda nya US buat ngancurin pengaruh russia-iran di timur tengah khususnya suriah, makanya mereka mendevelop isis sedemikian rupa, memberontak dgn skill yg baik terlatih kepada pemerintah suriah yg sah, tp syukur skrg isis udh kalah</t>
  </si>
  <si>
    <t>@Imam_piul @SlametMuslim kebodohan haqiqi ... menuduh ustad tertentu, lalu mengatakan kelompok isis ...</t>
  </si>
  <si>
    <t>TV opo iki? Nara sumbernya dr kelompok mereka sendiri ya pasti bela lah, KPI hrs tegur ini TV krn sama saja memprovokator spy ISIS ada di indonesia @KPI_Pusat @PolhukamRI @nahdlatululama @na_dirs @na_dirs @GPAnsor_Satu @saidaqil @gusmusgusmu @kemenkomarves @jokowi @kemkominfo RT @tvOneNews: Keputusan Pemerintah RI menolak pemulangan WNI Eks ISIS menyisakan pertanyaan. Benarkah status kewarganegaraan WNI eks ISIS tersebut otomatis gugur? Lantas bagaimana nasib anak-anak tak berdosa yang hanya mengikuti kehendak orang tua mereka? Dua Sisi malam di tvOne #DuaSisitvOne</t>
  </si>
  <si>
    <t>Terpapar Virus Corona, Jokowi Pastikan Penanganan 4 WNI Peroleh Protokol Kesehatan Standar WHO</t>
  </si>
  <si>
    <t>RT @PFTee: @Hendrasugandi @nahdlatululama @MajelisUlamaID @KomnasHAM Suruh bobok dirumah @KomnasHAM kalo ngotot mau pulangin. #TolakEksWNIproISIS Kita jg patut curiga mengapa @BBCIndonesia gencar propaganda ISIS? 600 KOMBATAN ISIS KILLING MACHINES sudah BUKAN WNI😎</t>
  </si>
  <si>
    <t>Ini kapal rumah sakit yang jadi opsi penjemput WNI di Jepang  via @circleboom</t>
  </si>
  <si>
    <t>#OwaisiKaWaris beta #LawarishPatHan teri ulti ginti shuru. Aur tujhe under indian constitution NSA lga me gand me danda dala jayega tab sari poll khulegi ki Isis aur muzahib ka kya relation hai AIMIM ka aur tera</t>
  </si>
  <si>
    <t>RT @liputan6dotcom: Cairan Desinfektan Rutin Disemprot di Lokasi Observasi WNI dari Wuhan di Natuna</t>
  </si>
  <si>
    <t>Cairan Desinfektan Rutin Disemprot di Lokasi Observasi WNI dari Wuhan di Natuna</t>
  </si>
  <si>
    <t>@wisanggeni_084 @Puspen_TNI Bangga. Drpd uang dan effort negara habis utk biayai kombatan ISIS masuk Indonesia, mendingan untuk pembinaan calon prajurit TNI pelindung rakyat, penjaga NKRI dan Pancasila.</t>
  </si>
  <si>
    <t>RT @AhlulQohwah: Kalau RUU Ketahanan Keluarga jadi disyahkan, semua anggota DPR perempuan sebaiknya langsung mengundurkan diri. Di mulai dari perumusnya.</t>
  </si>
  <si>
    <t>RT @sipenakecil: Sekuat apapun kita membuat tagar #TolakEksWNIproISIS #TolakPulangkanKombatanISIS #TolakISIS Selama para simpatisan ISIS masih dikasih panggung, selama itu ideologi mereka akan tetap tumbuh subur di tanah air.</t>
  </si>
  <si>
    <t>Bersama pemimpin perang isis</t>
  </si>
  <si>
    <t>Pemerintah Didesak Segera Pulangkan 74 ABK WNI</t>
  </si>
  <si>
    <t>AlQaeda vs Isis</t>
  </si>
  <si>
    <t>Kapal dr Soeharso Jadi Opsi Pemulangan WNI Kapal Diamond Princess</t>
  </si>
  <si>
    <t>VIDEO - Komentar Menkes Terawan usai Cek Kesiapan KRI Soeharso untuk Evakuasi 74 WNI dari Yokohama, Jepang</t>
  </si>
  <si>
    <t>@BayuSet26765246 @TofaTofa_id Kok mukanya ditutupin sih, serem tau, jadinya kek isis..😄</t>
  </si>
  <si>
    <t>@hrdbacot Sebagai lulusan uin, gue pernah ditanya "kamu anggota atau pernah jadi anggota isis ga?"</t>
  </si>
  <si>
    <t>Dari film Tiger Zinda Hai itu sendiri pemimpin ISIS tsb mengakui bhw yg mereka lakukan itu sbnrnya bukan atas dasar agama, tak lain adalah demi harta dan kekuasaan, agama hanya sbg bumbu penyedap atau 'penglaris'</t>
  </si>
  <si>
    <t>Yg ad di otak gue skrg itu adalah perihal pantaskah WNI eks ISIS ini dipulangkan ke Indo? Selain gue melihat para pejabat pemerintah yg penuh pro dan kontra mengenai hal ini. Di otak gue jg lagi ad pro dan kontra ini haha I just wanna try to think the best solution in my opinion.</t>
  </si>
  <si>
    <t>Hadiri Syukuran Pelepasan WNI, Andes Putra : Kami Dukung Misi Kemanusiaan  follow @lintas_kepri</t>
  </si>
  <si>
    <t>Ragara abis nonton film Tiger Zinda Hai gue jadi banyak ngepoin perihal ISIS. Kebetulan gue jg sempet ikut seminar tentnag perjalanan menjadi ISIS di UI beberapa minggu lalu. Ditambah lagi perihal pemulangan WNI eks ISIS yg msih jd pro kontra skrg.</t>
  </si>
  <si>
    <t>@Iqbal__Kholidi Tp saya kok heran ya @BareskrimPolri @BIN_Official knp gx bs melacak otak isis/teroris yg sbnrnya dinegara ini ya🤔🙄🙄🙄 Jgn² @DivHumas_Polri ikut berkonspirasi ini,</t>
  </si>
  <si>
    <t>Hadiri Syukuran Pelepasan WNI, Andes Putra : Kami Dukung Misi Kemanusiaan</t>
  </si>
  <si>
    <t>RT @Ryizondeb: Apakah Badai PHK di Indonesia imbas dari Impor PHK dari China? Katanya negara kita kaya, tapi kok masih impor? Dasar rezim aja yang pernah percaya dengan kemampuan WNI soal pengelolaan SDA negara ini #IndonesiaDaruratPengangguran #IndonesiaDaruratPengangguran</t>
  </si>
  <si>
    <t>@Nadyakvrista km diem apa ak usir dari wni !</t>
  </si>
  <si>
    <t>@risrisus aturan Dais (Daulah Islam) ISIS</t>
  </si>
  <si>
    <t>RT @kaskus: Video Balita ISIS Yang Di Ajarkan Menggorok Musuhnya, Colek KAK SETO?</t>
  </si>
  <si>
    <t>RT @kopipolitik1: 31) Pilihan eks ISIS yang kembali ke tanah air bisa jadi bagian dari kesadaran mereka dan ternyata hidup di Indonesia lebih baik dan lebih aman. Seperti ada eks teroris Nasir Abbas dan Ali Imron yang kini setia dengan NKRI @DivHumas_Polri @AwangSancaka #Dinamika</t>
  </si>
  <si>
    <t>@ganjarpranowo Sia2 orang tua ente ngeluarin duit kalo hasilnya begini DOANG @iqbalkhatami21 .....MALU SE KELURAHAN 😂😂😂😂😂</t>
  </si>
  <si>
    <t>RT @AJaydee1210: @EyesOnQ ISIS, Taliban, or Hamas?</t>
  </si>
  <si>
    <t>@YRadianto1 @asnug_id Aku sudah follow ki !🙏🙏🙏</t>
  </si>
  <si>
    <t>Buhari with ISIS??? RT @TheTrentOnline: Trump Names US Envoy Who Linked Buhari With ISIS To Head America’s Intelligence Agencies</t>
  </si>
  <si>
    <t>@iqbalkhatami21 Mahasiswa kok.......GUOB..... Lok Nyari panggung. .serasa keren ? Mungkin emak ente saja yg bangga.....sori !</t>
  </si>
  <si>
    <t>@Mraful15 @FakhruddinSpeak @MirchiSayema Ab tum logo ko har muslim me ISIS dikh rha hai...ha ha ha. Reread my tweet.</t>
  </si>
  <si>
    <t>KRI Soeharso dianggap layak evakuasi WNI di Jepang</t>
  </si>
  <si>
    <t>@PartaiSocmed Apa karena dampak ini Uang Koruptor tidak bisa diambil Parkir di Luar Negeri? Sehingga beban diberatkan kembali ke Masyarakat. CC: @prastow</t>
  </si>
  <si>
    <t>@EyesOnQ ISIS, Taliban, or Hamas?</t>
  </si>
  <si>
    <t>Pemerintah Pantau Kondisi WNI di Kapal Pesiar Diamond Princess #kapalpesiarDiamondPrincess #KemenluRI #presidenjokowi #Viruscorona #wni</t>
  </si>
  <si>
    <t>Isis musuh al qaidah Ini ada video dr hilary clinton. Tolong di simak . Obat ngeyel di apotik enggk ada  RT @faridwinart: @salsabila0307 @rifandibagisa @JOSE28523459 @Megatop99 @mohmahfudmd Semakin anda masuk ke dalam pembahasan, sungguh anda semakin terlihat ketidaktahuannya tapi maksa demi fitnah FPI.. Isis itu Musuh Al Qaidah selain Amerika..wkwk bego bener pake disamain sama ISIS..</t>
  </si>
  <si>
    <t>@ISIS_Balik_NO @Mom_isback @FreeThinkerGL @mardiasih kalo kata guru aku dulu "jangan salahkan sistem nya, salahkan user nya." gitu sih wkwk</t>
  </si>
  <si>
    <t>#DiaInternacionalDelGato mi hija Isis ❤️</t>
  </si>
  <si>
    <t>@DirarKhattab Al Bab. Isis vs TSK</t>
  </si>
  <si>
    <t>@Roroarumi3 @YohanesPatty2 @JohnIrwan4 @MOMDian2 @RizkiR4madani @SetiaAdy_p @Ningnon11392644 @evisuryanti10 @MaryanaNunung @felixaaf1 @BanyakHoaks @CANDAdanBISNIS @ed_tirta @TukangMu @Zulfika35354359 @Serdadoe_Toea @APLpangeran1 @BHD_8 @MukhtarLuthfi12 @periani @Yul3h4 @bhenytarika28 @Dickusnadi1 @2024GanjarRisma @Jokoumb64504158 @sofiankawar1 @lukmanalwahid @wantahgdn @RazkaFaiz @PLiantini @73hermantjoe @babegalak1 @HeriSu19 @mamiagarislucu @aguzts_ @SultanAnjar @BayuErrianto @jubrik844 @positive_values @kasrulsani9 @Edward_1smail @LiaIsti1 @Recoignitionwal @eddies_song @wartawankoboi13 @CumiCue @AdigunaAtmaja @KadrunHunter99 @RD_4WR1212 @budiyono97 Evakuasi 74 WNI di Kapal Diamond Princess Tinggal Menunggu ACC Jokowi</t>
  </si>
  <si>
    <t>@salsabila0307 @rifandibagisa @JOSE28523459 @Megatop99 @mohmahfudmd Anda aja pelajari lagi sejarahnya kenapa mereka berperang dan pelajari juga sejarah ISIS biar tau apa korelasinya dengan penolakan FPI terhadap mereka...</t>
  </si>
  <si>
    <t>@ndtvindia BJP DILLI kya hari... Chehre pr aisi chamak hai ki isis ki khusi agle 5 sal tak manyega ye ravish</t>
  </si>
  <si>
    <t>@republikaonline Ra urus</t>
  </si>
  <si>
    <t>nils sama jim ke bali terooos ya. dahlah jadi wni aja klean</t>
  </si>
  <si>
    <t>@anamkoplak @sipenakecil Yang jd Presidennya..korup demi meki anak sma, yg mentri demen akun toket, jd dewan, nonton porno di sidang, calegnya, make anak kandung....yg dibutuhkan mereka sesungguhnya adalah TABLET PENURUN LIBIDO bukan undang2 ketahanan keluarga</t>
  </si>
  <si>
    <t>Yth. Bapak/ibu WNI &amp; Diaspora Indonesia di Iran...Mari kita terus menjaga dan melindungi diri dari ancaman virus Corona, selalu waspada dan lakukan tindakan2 pencegahan. Semoga kita semua diberi kesehatan oleh Tuhan YME... Amin #IndonesianWay #Inidiplomasi @Kemlu_RI @octavino</t>
  </si>
  <si>
    <t>@tempodotco Ratusan ribu orang ga terdeteksi lewat imigrasi ?. Bukan hanya Harun Masiku. Bisa saja diantara mereka ada pentolan ISIS, Kartel Narkoba, Juragan Cangcut ilegal, dll. Negaraku Udur.</t>
  </si>
  <si>
    <t>@fckinhatemaself isi apaan isis ya hallo lapd</t>
  </si>
  <si>
    <t>RT @amandagempita: Waspadai...!! Ide berbahaya mngumpulkan eks WNI ...berpaham ISIS..!!!☝️☝️</t>
  </si>
  <si>
    <t>@salsabila0307 @rifandibagisa @JOSE28523459 @Megatop99 @mohmahfudmd Semakin anda masuk ke dalam pembahasan, sungguh anda semakin terlihat ketidaktahuannya tapi maksa demi fitnah FPI.. Isis itu Musuh Al Qaidah selain Amerika..wkwk bego bener pake disamain sama ISIS..</t>
  </si>
  <si>
    <t>@ISIS_Balik_NO @sipenakecil PKS = Parte Kepuasan Selangkangan</t>
  </si>
  <si>
    <t>@ISIS_Balik_NO @sipenakecil Wah..🤮🤮🤮🤮🤮🤮 pks pks</t>
  </si>
  <si>
    <t>@Jono_Fortunate @sipenakecil Mungkin memberi jalan buat kader biar lebih LIAR, si abi bisa ninggalin ummi ke kamar anak</t>
  </si>
  <si>
    <t>Allah bakal buktikan siapa pentolan ISIS dinegeri kita tp bia bin intel polisi gak cpt tanggap sama omongan orang alias kurang peka. RT @amandagempita: Waspadai...!! Ide berbahaya mngumpulkan eks WNI ...berpaham ISIS..!!!☝️☝️</t>
  </si>
  <si>
    <t>@Inquilabo Wo. New party bnana chahti h. But ussne mere baremain jhoot bola. Ki mene sikho terrorist bola. Bhai tum khud padlo. Operation blue star ke bare main. Khalisthani terrorist thain jaise Isis wale hote h.</t>
  </si>
  <si>
    <t>@nowthatsbully Mini Isis @yelapablo</t>
  </si>
  <si>
    <t>RT @the_geotimes: Anak-Anak Eks ISIS, Iklim Investasi, Islamophobia Iklim investasi pun menjadi lesu, karena akan adanya ancaman laten dari mereka. Islamofobia semakin bertambah...</t>
  </si>
  <si>
    <t>@Sereena_Anis tak lama dah tu 😘 wni dlu ade jgk sampai termimpi2 🙊</t>
  </si>
  <si>
    <t>@faridwinart @rifandibagisa @JOSE28523459 @Megatop99 @mohmahfudmd 🤣🤣🤣🤣🤣 Trus sampai 2014 saat maklumat itu kluar masih dukung al qaida. Pertanyaanya apa bedanya isis dan al qaida..??? Anda akan belibet sendri. Percayalah</t>
  </si>
  <si>
    <t>@alemanalim @sipenakecil @Aan__coverBOYkw Mungkin kejadian di keluarganya mbak....jadi TRAUMA</t>
  </si>
  <si>
    <t>@tama_hype @UNajib4 @duasisi_tvone bah matek bah urip urusane isis</t>
  </si>
  <si>
    <t>@sipenakecil Namanya saja pekaes....parte kesejahteraan selangkangan.... Apa arti didikan agama kalo masih takut dgn Incest ....makanya kerja jangan cuma dakwahin orang... Dakwah sa diri sendiri dan keluarga jauh lebih oenting dan yg paling penting AGAMA, IMAN DAN TAKWA</t>
  </si>
  <si>
    <t>@salsabila0307 @dpplif @FPI_isback @Laskar_FPI Coba cari versi Full sikap FPI terhadap Isis...jangan mau disuruh ato ngikut² fitnah..dosa bro bahaya..</t>
  </si>
  <si>
    <t>RT @S_aulia26: TIDAK MEROKOK TIDAK MINUM ARAK cuma main Futsal Adjie Massaid 43 thn. Cuma Nge'lawak Olga Syahputra 31 thn. Rajin olah raga Gaya hidup sehat Ashraf Sinclair 40 thn Merokok dan minum arak Mao Ze Dong 82thn ~hidup ini MUTLAK milik Allah SWT~</t>
  </si>
  <si>
    <t>@ISIS_Balik_NO @Helmi67711233 @Restichayah Dari jmn jebot gue paham.makanya gosah di respon dia tuh</t>
  </si>
  <si>
    <t>@S_aulia26 @Helmi67711233 @Restichayah Seperti die mbak.....kulit luarnya iya...islami...paake kaalimat tauhid....kelakuan.....kerak neraka samaa seperti ahlul hoax dan ahlul nyinyir sebencong raya rstucayah</t>
  </si>
  <si>
    <t>RT @KompasTV: Evakuasi 74 WNI di Kapal Diamond Princess Tinggal Menunggu ACC Jokowi</t>
  </si>
  <si>
    <t>@salsabila0307 @dpplif @FPI_isback @Laskar_FPI Sudah baca sangat jelas dikatakan Pro NKRI, dan liat lagi poin No 3&amp;4 masa kaya gitu dukung Isis..wkwk</t>
  </si>
  <si>
    <t>Mendampingi Prof.Mahfud MD (Menteri Koordinator Politik,Hukum dan Keamanan Republik Indonesia) yang menjadi Narasumber dalam Membahas Peta Jalan Penanganan Warga Negara Indonesia Terpapar ISIS di Wilayah Syiria dan Iraq di Kantor MUI Jalan Proklamasi No.51 Menteng Jakarta Pusat.</t>
  </si>
  <si>
    <t>@salsabila0307 @rifandibagisa @JOSE28523459 @Megatop99 @mohmahfudmd Tapi kalo anda cerdas poin 3 &amp; 4 sudah menunjukan kalau mereka tidak sejalan dengan ISIS, itu juga kalau anda bisa baca dan sedikit aga cerdas..</t>
  </si>
  <si>
    <t>Dukun mana dukunn Yang paling ampuh dan tok cerr. Pengen ngemat tvxq biar jadi WNI 😂😂</t>
  </si>
  <si>
    <t>Menlu Pastikan WNI Kru Kapal #Diamond #Princess Positif #Virus #Corona.</t>
  </si>
  <si>
    <t>Pemerintah Terus Pantau Kondisi WNI di Kapal Pesiar Diamond Princess  #PDIPerjuangan</t>
  </si>
  <si>
    <t>RT @Ivone_RSZ: Beneran luar biasa lho negaraku Indonesia 🤣🤣🤣ngakak... makin aneh aneh aja ... masalah cinta pun diatur negara.., stlh kmrn gaya bercinta dll pun diatur negara 😂😂sungguh beruntung jadi WNI... negara sangat memperhatikan warganya...</t>
  </si>
  <si>
    <t>KRI DR Soeharso Disiapkan Jemput 74 WNI di Kapal Pesiar Jepang</t>
  </si>
  <si>
    <t>@kantayu @ISIS_Balik_NO Nanti kalo kamu wafat, dimakamkan sekalian sama mobil FE, biar sampai ke akherat 🤣🤣🤣 Cuma sekedar balap mobil saja mikrin Dunia Akherat Coli saja Bang....</t>
  </si>
  <si>
    <t>@Isis_Turl ahhh gostosaa</t>
  </si>
  <si>
    <t>@LordRio82 Halal darah nya. Karena dia menolak di baiat &amp; malah nyebeli umat. ~M.Rois (ahli fikih jinayah ISIS)</t>
  </si>
  <si>
    <t>Jepang char tapi WNI</t>
  </si>
  <si>
    <t>@azulabintiozai Isis yaa soalee</t>
  </si>
  <si>
    <t>@Avinash50372135 @anjanaomkashyap @chitraaum @Payal_Rohatgi @Swamy39 @ishkarnBHANDARI @BJP4India @ippatel jehadn to tu 3talq ko achha mnti h...tu apne khwatuno se puch gulam to ISIS WALE JO TERE JAISE LOGO KE jija h o bna rahe.. @nadiya murad se is bare m puchh. AAJDI TU APNE MULLO SE MNG PAHLE KHI TERA HALALA O NA KRA DE..</t>
  </si>
  <si>
    <t>@esc0klat Enak isis</t>
  </si>
  <si>
    <t>@TriSuprianto7 @Shda_Agatha @detikcom jadi kalau saya kecopetan dan pasport jadi ilang di luar negeri langsung gak di anggap WNI?... bagai mana dengan jual beli Identitas "Jual beli Pasport"?.... apa dia mutlak jadi WNI?.... kan dia pegang pasport...</t>
  </si>
  <si>
    <t>@PodcastSumbu Mending rumahnya jadi kontrakan ex isis mbu</t>
  </si>
  <si>
    <t>3 WNI di Kapal Diamond Princess Jepang Positif Virus Corona. #coronvirus #CoronaOutbreak #diamondprincesscruise #AtletiLFC #AtletiLiverpool #ATMLIV #DORPSG #Champions #ChampionsLeague #Liverpool #LiverpoolFC #AtleticoMadrid #haland</t>
  </si>
  <si>
    <t>@angyinrybyut @ridwanahong @Rafhz3 @Bola_Jakarta Moga aja kalo klok dah resmi jadi wni, fp ngambil 1 asing lagi buat pos bek tengah</t>
  </si>
  <si>
    <t>@Airin_NZ @jokowi muhajir ini menteri nga jelas wkt menteri pendidikan, uas kacau balau, memberi penghargaan ke tk yg lakukan parade ala isis dll. eh malah menko...byk menteri abal2 di kabinet skrg, kabinet "tanpa beban" yg artinya tdk peduli kah?</t>
  </si>
  <si>
    <t>@ciudad_magazine Mis gatihijas Isis &amp; Hela</t>
  </si>
  <si>
    <t>@tvOneNews @karniilyas Eh lu suruh balik lagi tuh ISIS,besok2 rumah lu tiba2 di bom mampus lu..</t>
  </si>
  <si>
    <t>@sarya_beri_00 Turkey =ISIS-DAIS Akp-Erdogan = El Baghdadi</t>
  </si>
  <si>
    <t>@subaekdo ngerinya kayak yg di kapal apa tu, yg wni tadinya dibilang negatif corona semua taunya kecolongan 4 orang...</t>
  </si>
  <si>
    <t>@salsabila0307 @rifandibagisa @JOSE28523459 @Megatop99 @mohmahfudmd Busett segitunya kaum kolam sama FPI, sekarang gw balik tanya acara baiat itu tgl berapa dan yg pidato itu tgl berapa ?? Kan dah dibilang kalo isis awalnya punya kedok niat yg baik tapi ternyata dilakukan dengan cara yang tidak baik jdi FPI pun menolak mereka.</t>
  </si>
  <si>
    <t>Mau buat screto buat pens gua, tapi gua yakin gada yang isis</t>
  </si>
  <si>
    <t>@Chika_696969 082302513097 om WNI</t>
  </si>
  <si>
    <t>@MTuhasan Cara isis merusak simbol sejarah...</t>
  </si>
  <si>
    <t>Siap jemput WNI dari Diamond Princess, TNI AL siagakan KRI Soeharso  #VirusCorona</t>
  </si>
  <si>
    <t>@KompasTV *GILA BENAR... INDONESIA ADA 78 WNI DI KAPAL ITU TAPI YANG DIAKUI HANYA 74 WNI SAJA! PERS JUGA ASAL BISA MAKAN CUKUP, TAK KRITIS! IDIOTNYA: COBA TANYAKAN PRESIDEN KEMANA 4 MANUSIA LAGI WARGA NEGARA INDONESIA DI KAPAL DIMAKSUD!</t>
  </si>
  <si>
    <t>Usai diobservasi 14 hari di Natuna, 237 orang WNI dan 1 WNA dari Wuhan diterbangkan ke Jakarta. Pemerintah menetapkan anggota rombongan tersebut bebas dari COVID-19. Para WNI dalam keadaan sehat dan dilengkapi sertifikat kesehatan. #WaktunyaLokadata</t>
  </si>
  <si>
    <t>RT @TofaTofa_id: [Jajak Pendapat 4] Jika dibandingkan, lebih berbahaya mana antara kelompok eks komunis/eks PKI dengan kelompok eks ISIS?</t>
  </si>
  <si>
    <t>RT @TofaTofa_id: [Jajak Pendapat 3] Apakah anda percaya dengan pengakuan orang-orang di televisi yang mengaku pernah gabung ISIS?</t>
  </si>
  <si>
    <t>RT @TofaTofa_id: [Jajak Pendapat 2] Apakah anda yakin, proses pembentukan ISIS adalah bagian dari produk kerja intelijen dunia internasional?</t>
  </si>
  <si>
    <t>RT @TofaTofa_id: [Jajak Pendapat 1] Apakah anda yakin, proses terbentuknya ISIS adalah produk asli bentukan para Mujahid?</t>
  </si>
  <si>
    <t>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</si>
  <si>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@J_Aryoko @arif_sinulingga @dwi_anggia @duasisi_tvone @kang_maman72 @Hanifah933 Benar, mereka BUKAN WNI lagi. Jadi ngapain juga @tvOneNews ingin bawa2 mereka ke Indonesia??? Mau dipekerjakan??? 🤣🤣🤣</t>
  </si>
  <si>
    <t>Pemerintah Terus Pantau Kondisi WNI di Kapal Pesiar Diamond Princess</t>
  </si>
  <si>
    <t>Evakuasi 74 WNI di Kapal Diamond Princess Tinggal Menunggu ACC Jokowi</t>
  </si>
  <si>
    <t>@juventbs @fleurboiis Menarik untuk dianal isis</t>
  </si>
  <si>
    <t>RT @realprincetotty: Di Tii-Nii-Fks-fpie-hti-muy-isis.dkk.. sama bae..</t>
  </si>
  <si>
    <t>@Ibro_skataa 🤣🤣🤣🤣 Wlh Kai mugun Dan iska neh Sai wni baki kake</t>
  </si>
  <si>
    <t>Lama lama mau lepas kewarganegaraan WNI aja lah. Capek hidup di negara yang pembuat undang undang nya tolol dan gak punya kapabilitas.</t>
  </si>
  <si>
    <t>Ini gr2 nonton mata najwa menangkal isis anjir kebawa mimpi :"3</t>
  </si>
  <si>
    <t>RT @SeputariNews: Warga Negara Indonesia (WNI) di Singapura yang positif terinfeksi Covid-19 atau Virus Korona dinyatakan sembuh dan negatif dari virus tersebut. Saat ini WNI Singapura sudah dipulangkan dari rumah sakit. KSC⁣⁣⁣ ⁣ #SeputariNews #SeputariNewsSiang #Coronavirus #Korona #Covid-19</t>
  </si>
  <si>
    <t>Menkes RI, Terawan Agus Putranto menegaskan bahwa Kapal Republik Indonesia (KRI) Soeharso 990 memiliki kemampuan untuk memulangkan Warga Negara Indonesia (WNI) kru Kapal Pesiar Diamond Princess di Jepang sekaligus merawatnya apabila mengalami sakit.</t>
  </si>
  <si>
    <t>Pemerintah Kirim Logistik ke WNI Diamond Princess</t>
  </si>
  <si>
    <t>@robbie49100423 @black__valley1 Tabrak saja ....hidup saja madesu....jd beban masyarakat</t>
  </si>
  <si>
    <t>Kapal pesiar MS Westerdam yang berlabuh di Kamboja, dikarantina setelah salah seorang penumpangnya positif terjangkit virus korona. Seluruh penumpang dan kru akan diperiksa ulang, termasuk ratusan warga negara Indonesia (WNI) yang bekerja di kapal itu.</t>
  </si>
  <si>
    <t>@TofaTofa_id HILLARY CLINTON SDH NGAKU.. BAHWA ISIS ITU BUATAN AMERIKA</t>
  </si>
  <si>
    <t>@black__valley1 @g0bell_78 Anak SETAN semua</t>
  </si>
  <si>
    <t>@TofaTofa_id Woooyyyy ngomong yg betul wooyyyyy, isis itu teroris bangsat woyyyy</t>
  </si>
  <si>
    <t>@TofaTofa_id Pentol korek pendukung ISIS</t>
  </si>
  <si>
    <t>RT @Beritasatu: Pemerintah Pastikan Jemput WNI dari Kapal Pesiar Diamond Princess</t>
  </si>
  <si>
    <t>RT @mbahCokro77: Mulaiah dr otak n diri ente sendiri @haikal_hassan Posting hp lu dan jngan gunakan prodak cina,jika lu masih pakek awas tambah bengkak perut ente bentar lg meledak 😅😅👇👇punya i phone gk lu</t>
  </si>
  <si>
    <t>🇲🇨 Terima kasih atas perhatian Anda kepada para WNI yg dikarantina di kapal Diamond Princess serta 4 WNI yg telah teridentifikasi terjangkit COVID-19. KBRI Tokyo terus kontak dengan mereka dan mengupayakan penyelesaian yg tuntas dengan semua pihak yg terkait. #NegaraMelindungi</t>
  </si>
  <si>
    <t>RT @YoGojekYo: Friends, tolong bantu RT ya rekan kita @GrahaRaya_ kehilangan sepeda motor saat belanja GoFood. Kalau ada yg melihat bisa tolong berkabar, thanks 🙏</t>
  </si>
  <si>
    <t>√ Pemerintah Terus Pantau Kondisi WNI di Kapal Pesiar Diamond Princess cc @fadjroeL @JubirPresidenRI @PedomanNEWS</t>
  </si>
  <si>
    <t>Kom Nas HAM jangan mengurusI Mantan pengikut ISIS yg jauh disana urusi hal yg ada didalam negeri misalnya ada Umat Kristen/Khatolik yg sedang beribadah diGereja dibubarkan dg sewenang wenang dan Gereja yg sudah memiliki IMB tidak diijinkan mendirikan Gereja</t>
  </si>
  <si>
    <t>RT @_CHlS_: Enak saja diusir... Koruptor harus dihukum berat Kalau perlu ditembak mati...!! 😠😠😠</t>
  </si>
  <si>
    <t>Virus corona menyebar cepat di Iran, hati hati WNI disana.... #COVID19 RT @AmichaiStein1: #BREAKING: Media outlets in Iran report 9 died from #covid19</t>
  </si>
  <si>
    <t>RT @ratnasuryono: @Detektif_Ngibul @yudhapati88 @WahabisLokal @wahhabicc_jabar @narkosun @AfifFuadS Dia msh malu2 blg bhw sehrsnya negri ini spt ISIS. Jangan lupa blg : - sistem perbudakan dhidupkan lg - wnita keluar rmh hrs dg mahramnya - mata uang hrs pake dinar/emas - kafirun pilihannya : mualap, byr jizyah, atau dibunuh Ayo kampanye yg lebih kaffah dong, jangan dicicil2</t>
  </si>
  <si>
    <t>RT @GadisDesa007: @_bayangan_semar Usul nih buat menteri terhebat didunia, nafas WNI dipajak 5000/minggu, sama kentut berbayar, kalo kentut kedengar tapi gak bau 2000, kalo kedengar dan bau 5000, kalo gak kesengar tapi bau 20.000. Tlg sampaikan kepada menteri keuangan dan presiden</t>
  </si>
  <si>
    <t>Akhirnya Ada Juga WNI Yang Terinfeksi Virus Corona</t>
  </si>
  <si>
    <t>@kompasiana Koq WNI exs ISIs...gak salah itu, bukan exs WNI pengikut isis...mereka sdh bukan wni</t>
  </si>
  <si>
    <t>Yng membela kepulang ISIS berarti dia bahagia dri mereka.. Gitu aja.. @duasisi_tvone @kapitraampera @WagimanDeep__ @Airin_NZ @AnakLolina @WR_4AG226</t>
  </si>
  <si>
    <t>@Imam_piul @SlametMuslim @AhlulQohwah @narkosun @GagakNew @TolakBigotRI @PartaiSocmed @Takviri @elHurryKoRn @WagimanDeep__ @wakilgubernurKW @ImamWM @arrahmah @BadjaNuswantara @wiradisuta @chairulachir @rizieqdivist @rizamsyafiq @Hanifah933 @Iqbal__Kholidi Teroris wahhabi macam Alqaeda sampai dg ISIS hanya musuh retorik rezim AS cs, bukan musuh dlm arti sebenarnya, karena di balik panggung terorisme global, keduanya bersetubuh dlm bisnis hegemoni dunia, rampok minyak, dan penaklukan negara2 yg melawan lagak sok kuasa rezim banci AS</t>
  </si>
  <si>
    <t>@duasisi_tvone @karniilyas @tvOneNews Ga usa moleh woooyyyyy, ex wni kombatan isis, jangan mengada ada mau memulangkan, jangan sok kau</t>
  </si>
  <si>
    <t>RT @cagubnyinyir2: Mantul JOKOWI ! Kapal perang RS Dr Soeharso ditugaskan jemput WNI ke Yokohama Jepang, Yg bekerja Di Kapal Princess Yg terpapar virus Corona @Bnie18 @Salim_Semm @novapermana8 @SoffiAgus @positive_values @Boemi_Pertiwi12</t>
  </si>
  <si>
    <t>@SlametMuslim Sama halnya dg simbol 1 jari. Banyak yg latah, bahkan selevel ustaz populer, kalo difoto sambil ngacungin telunjuknya. Simbol tauhid katanya. Tapi bukankah itu dipopulerkan oleh kelompok2 macam ISIS?</t>
  </si>
  <si>
    <t>RT @mas__piyuuu: 3 WNI Positif Corona dan Gugurnya Mitos Orang Indonesia Kebal Corona</t>
  </si>
  <si>
    <t>RT @_TNIAU: Terkait wabah virus Korona 2019-nCoV di Wuhan, China, hasil rapat @PolhukamRI @Kemlu_RI @KemenkesRI, TNI AU telah menyiagakan 2 unit Boeing B737, 1 unit C130 Hercules, dan Batalyon Kesehatan #TNIAU untuk mengevakuasi WNI. 👤#swabhuwanapaksa #sayaptanahair #jauhdilangitdekatdihati</t>
  </si>
  <si>
    <t>@kantayu @ISIS_Balik_NO Mulai Saipul...pola pikirnya Kadrun di pakai buat ngeles😄😄😄</t>
  </si>
  <si>
    <t>@duasisi_tvone Anak2 belum punya pikiran kedewasaan untuk memutuskan apakah itu akan berakibat baik atau tidak.. mereka tidak tau apa itu isis..</t>
  </si>
  <si>
    <t>Menkes Pantau Persiapan Evakuasi WNI dari Kapal Pesiar Diamond Princess ke KRI Soeharso</t>
  </si>
  <si>
    <t>Waspada ISIS</t>
  </si>
  <si>
    <t>@TofaTofa_id Usir isis woyyyy</t>
  </si>
  <si>
    <t>RT @RantiYanti12: Indonesia tolak ISIS #SaveTIMSaveMonas</t>
  </si>
  <si>
    <t>RT @kantayu: Duh jangan bawa bawa dunia akhirat untuk urusan Formula E ini, deh.... Emang Lu tau dunia akhirat itu bijimana ??</t>
  </si>
  <si>
    <t>Pemerintah tegaskan bahwa WNI eks ISIS hilang status kewarganegaraan nya dan pertimbangankan khusus untuk anak-anaknya #EksISISHilangKewarganegaraan</t>
  </si>
  <si>
    <t>RT @permadiaktivis: RUU Ketahanan Keluarga Istri wajib urus Rumah Kalo istri kerja gimana? Anak wajib tidur pisah Kalo kamar cuma 1 gimana? ML suami istri gak boleh kinky Kalo demen gimana? LGBT menyimpang Kalo bawaan orok gimana? Ruang privat orang diurusin Emang wakil rakyat gak guna vangsat!</t>
  </si>
  <si>
    <t>Analisis Dampak Kebijakan Pemerintah Dalam Proses Karantina 238 WNI Di Natuna</t>
  </si>
  <si>
    <t>RT @yusuf_dumdum: Nih dengerin @aniesbaswedan jangan arogan! Dengarkan keuhan para seniman ini. Kakak pembenar @SuaraAnies tolong sampaikan sama bos Anda. 😁🙏 #SaveTIMSaveMonas</t>
  </si>
  <si>
    <t>Mencoba mencari benang merah antara: Ibukota Baru Draft Omnibus Law Suap KPU Jiwasraya Gate Asabri Gate Agama Musuh Pancasila Nurhadi dan Istri Harun Masiku Hilang Dynasti Politik Eks isis Phinisi terbalik Tidak import tapi import PHK Pemerintah tdk jujur Eksport benih lobster</t>
  </si>
  <si>
    <t>RT @cagubnyinyir2: Mantul JOKOWI ! Kapal perang RS Dr Soeharso ditugaskan jemput 74 org WNI ke Yokohama Jepang, Yg bekerja Di Kapal Princess Yg terpapar virus Corona  @Nandagustiann @LiaIsti1 @SalamBudi1 @amandagempita @LukmanNu12 @budiarto2303 @ellys_kerhi @jonahmunda</t>
  </si>
  <si>
    <t>RT @Erwin_Sahari: @ivan77507 @irzan_wiratama @detikcom @detikhot Ini ni kaum2 munafik yg doyan bilang kopar kapir kelompotannya pki komunis radikalisme teroris isis</t>
  </si>
  <si>
    <t>Video Balita ISIS Yang Di Ajarkan Menggorok Musuhnya, Colek KAK SETO?</t>
  </si>
  <si>
    <t>@arif_sinulingga @dwi_anggia @duasisi_tvone mengapa negara tolak ISIS eks WNI ? Ya gapapa, biarkanlah mereka hidup di sana. Adalah hak mereka: memilih meninggalkan Indonesia, membakar paspor Indonesia, menyangkal kewarganegaraan Indonesia, dan menjadi kombatan ISIS. Cc. @kang_maman72 @P_Eneste @Hanifah933</t>
  </si>
  <si>
    <t>#TopNewsMetroTV Saat in ipemerintah sedang mematangkan rencana untuk menjemput 74 WNI yang berada di kapal pesiar Diamond Princess di Jepang. Salah satu opsinya adalah menjemput para WNI dengan menggunakan kapal KRI Dr. Soeharso #MetroTV</t>
  </si>
  <si>
    <t>@SheikhRafiqUsm8 @UmmEHasSnain @muftitaqiusmani @MuftiKifayatJUI @Mufti_Kakakhail @WifaquLMadarisP Nahi shafiq sahb ap ki behno ki baat kr rha jo jahdu,zina pe byjy hyn na isis or taliban k pass un ki...</t>
  </si>
  <si>
    <t>WNI dimanapun berada tetap diperhatikan</t>
  </si>
  <si>
    <t>@DagDigDex @redhoprayuda Waktu masih praktek di batam ada wni yang sehari2 tinggal di spore. Tiap jadwal HD, dia pulang ke indo minta rujukan BPJS. Ga salah sih, tapi ya begitulah orang 'memanfaatkan' asuransi murah meriah ini. Kalo ga ya ga rugi sampe triliunan lah.</t>
  </si>
  <si>
    <t>@GaneshMankayoga Smsmsksksos smsos Isis</t>
  </si>
  <si>
    <t>@valencia_amara Pengabdi ISIS kan bgtu...seolah wanita itu barang dagangan...hormati wanita seolah menghormati ibu sendiri.</t>
  </si>
  <si>
    <t>@BBCIndonesia Oh gt ya...kl ada anak kcl yg terbangin balon yg isinye bom utk diledakkan di tengah penduduk mah boleh2 aje ye..begitu jg dgn anak kcl anggota isis yg sdh berani membunuh org dewasa.itu mah biasa aje ye..wow sekali donk</t>
  </si>
  <si>
    <t>NOVITA 5 KALI DIPERIKSA, 10 WNI TERTAHAN</t>
  </si>
  <si>
    <t>Sudah yuk kita nonton dua sisi dulu. Mwnurut kalian, wanita dan anak2 yy orang tuanya ikut isis, boleh balik ke tanah air apa tidak ?kenapa?</t>
  </si>
  <si>
    <t>Presiden Joko Widodo segera memutuskan opsi pemulangan 74 Warga Negara Indonesia yang telah dinyatakan negatif virus Corona jenis baru, namun masih berada di kapal pesiar Diamond Princess di Jepang.</t>
  </si>
  <si>
    <t>@aishakinaaa bayangin jadi anggota isis</t>
  </si>
  <si>
    <t>@kthrnedelyn Gw pnya byk persepsi sih ttg ini. 1. Khilafah = byk org missleading ttg khilafah krn media cenderung memberitakannya negatif yg berafiliasi ke ISIS. Gw kontra khilafah tp pro sistem khilafah. Coba deh caritau ttg sejarah Moh.Alfatih (Khilafah islam terkuat yg menguasai 2/3 bumi)</t>
  </si>
  <si>
    <t>@tvOneNews Justru Anak2 ISIS lah yg lebih berbahaya dari pada orang tuanya.Mereka itu sudah dilatih untuk membunuh,dan ditanamkan doktrin2 berperang dan membunuh. Anak2 pun dibuat jadi alat senjata ISIS yg paling ampuh.</t>
  </si>
  <si>
    <t>RT @NasDem: 1. NasDem Usul Cerita Mahasiswa Eks Wuhan Dibukukan Rasa sedih, khawatir, dan takut tidak diterima masyarakat menghantui para Warga Negara Indonesia (WNI) yang tinggal di Cina, sejak wabah virus Corona menyerang negeri tirai bambu tersebut. #NasDemAntiMahar #VirusCorona</t>
  </si>
  <si>
    <t>Nambah lagi isis, buset dah</t>
  </si>
  <si>
    <t>Pencemaran buang sampah sembarangan terhadap kehidupan seluruh WNI penganut 5 besar Agama di seluruh Indonesia,selanjutnya mohon kerelaannya dilaksanakan untuk menyelamatkan seluruh WNI tersebut,atas partisipasinya yang dihargai sepenuh hati oleh seluruh rakyat Indonesia</t>
  </si>
  <si>
    <t>@AhlulQohwah @WahhabiCC @narkosun @GagakNew @TolakBigotRI @PartaiSocmed @Takviri @elHurryKoRn @WagimanDeep__ @wakilgubernurKW @ImamWM @arrahmah @BadjaNuswantara @wiradisuta @chairulachir @rizieqdivist @rizamsyafiq @Hanifah933 Ini adalah rekam jejak krisis kemanusiaan yg bisa ditelusuri asal usulnya sbg akibat langsung dr keserakahan HTS/JAN dan ISIS selama ini…420k orang berubah status menjadi pengungsi :</t>
  </si>
  <si>
    <t>RT @mbah_mijan: Dilansir dari berbagai media, pemerintah telah memutuskan bahwa Indonesia menolak kepulangan Ex ISIS. Terimakasih Pemerintah, sikap tegas ini akan jadi opini positif. Saya berpendapat, kalau sampai ex ISIS diterima, berapa banyak lagi yang akan coba pulang pergi seenak hati!</t>
  </si>
  <si>
    <t>@AhlulQohwah @WahhabiCC @narkosun @GagakNew @TolakBigotRI @PartaiSocmed @Takviri @elHurryKoRn @WagimanDeep__ @wakilgubernurKW @ImamWM @arrahmah @BadjaNuswantara @wiradisuta @chairulachir @rizieqdivist @rizamsyafiq @Hanifah933 Kembali ke permasalahan HTS… Sudah banyak penelitian ttg HTS/JAN ini yang membuktikan bahwa mereka MEMANFAATKAN kericuhan domestik di Suriah shg bereskalasi menjadi konflik transnasional…bahkan ISIS pun lahir dari kericuhan yg sama...</t>
  </si>
  <si>
    <t>@sssong6823 Berasa wni mas?😭</t>
  </si>
  <si>
    <t>@Nouna_jessica94 Isis udah kalah sekarang</t>
  </si>
  <si>
    <t>Waspada Isis</t>
  </si>
  <si>
    <t>Wahhh geblegg! Agak sadiss sehh! Kalo udah bukan WNI masih bisa dipahami, mungkin pernah sakit hati. Dia merasa hidupnya beruntung, tapi kok yg keluar dari mulutnya kepahitan/ menghina sodara2 bangsa-nya. Aneh! Aku kagak tahan baca TL-nya, Mak Arumi! RT @DenaNuryasha: @intanalyze Orang indonesia yang bangga karna bisa tinggal di denmark. Twitt ny itu kok ya nyenggol2 orang mulu gitu ya, katany happy tapi kok nampakny tidak sehappy yg dia bilang</t>
  </si>
  <si>
    <t>RT @cintada17: Islam itu indah Islam itu penuh kasih sayang ISIS bagiku bukan Islam Dalam Islam tak di ajarkan kekejian. Salam buat Sahabat Semua🙏🌺 #TolakEksWNIproISIS Solawat bersama Habib Syekh</t>
  </si>
  <si>
    <t>Keputusan Pemerintah RI menolak pemulangan WNI Eks ISIS menyisakan pertanyaan. Benarkah status kewarganegaraan WNI eks ISIS tersebut otomatis gugur? Lantas bagaimana nasib anak-anak tak berdosa yang hanya mengikuti kehendak orang tua mereka? Dua Sisi malam di tvOne #DuaSisitvOne</t>
  </si>
  <si>
    <t>RT @PopPelangi: 7 Keajaiban Di Zaman Purba. Daripada semua ini, cuma Piramid Giza yang tinggal. Dan yang paling tertua ialah Piramid Giza. Nampaknya cuma piramid yang paling bertahan lama.</t>
  </si>
  <si>
    <t>ISIS mahir menggunakan media internet sbg channel propaganda. Jadi simpatisannya bkn hanya di Suriah dan Irak, tapi di seluruh dunia. Byk simpatisannya yg punya kemampuan teknis di berbagai bidang rela hijrah ke wilayah ISIS dan menyumbang kemampuannya untuk ISIS.</t>
  </si>
  <si>
    <t>Legitimasi agama. Banyak muslim yang mendambakan kepemimpinan khalifah. Dengan kemenangan² ISIS di Irak dan Suriah, kekhalifahan terasa menjadi nyata.</t>
  </si>
  <si>
    <t>ISIS memikat banyak orang karena apa ?</t>
  </si>
  <si>
    <t>@kamto_adi @PakatDayak @_TNIAU @LanudSupadio Menurut saya Ndak masalah... Selama masih WNI dr suku apapun punya hak yg sama kan Ndan untuk berkarier jd anggota TNI. Sepanjang sesuai prosedur dan kualifikasi nya. Sebaiknya Jgn terlalu jauh nurunkan standar kualifikasi jg sih.</t>
  </si>
  <si>
    <t>@Maranatha_Sibrn @MiharjoTulus Disuruh revitalisasi sungai eh malah TIM yang mo di revitalisasi....kadrun memang ga ngerti arti sebuah budaya ...kirain cuma ISIS yg suka menghancurkan budaya ....</t>
  </si>
  <si>
    <t>RT @RealPbum: Bukakke 🤔 #Islam #ISIS #mohamed #ayesha #spermparty #Muslim #Hadith #ExMuslim #Atheism #atheist #Jewish #Christians #Hindu</t>
  </si>
  <si>
    <t>@BahanCoIi Beritanya tentang karantina WNI dnatuna. Gw org natuna haha</t>
  </si>
  <si>
    <t>@MelloWXXI @ehketimpringan Yg di Batam belum ada yg positif terkena virus Corona Mas, sy stay di Batam,kemarin sempat di karantina ternyata hasilnya negatif,kalo WNI di Singapura sudah ada yg terkena tp skrng sudah dinyatakan sembuh total, singapura sudah 86 org yg positif kena COVID 19</t>
  </si>
  <si>
    <t>Setelah itu, dengan pede nya , Abu Bakr al-Baghdadi mendeklarasikan Islamic State (al Daulah al Islamiyah / IS) menggantikan ISIS. Jadi cakupannya bukan hanya Irak dan Suriah tapi seluruh dunia. Selain itu, Abu Bakr al-Baghdadi didaulat sebagai KHALIFAH.</t>
  </si>
  <si>
    <t>@KasthuriPatto Fitnah sudah jadi jobi setengah manusia yg hilang kuasa.Ltte ke hamas ke isis ke ...atau zakir turun ke semua perlu dipantau oleh kerajaan tanpa was was</t>
  </si>
  <si>
    <t>Bukannya membantu pemberontak Sunni melawan pemerintah al-Assad, mrk malah melawan laskar² Sunni tsb yg tdk mau bergabung dgn mrk. Belakangan ISIS jg memanfaatkan kelengahan militer Irak dan berhasil menduduki Mosul.</t>
  </si>
  <si>
    <t>4 WNI Positif Virus Corona Covid-19, Gejala GERD Sebabkan Serangan Jantung?</t>
  </si>
  <si>
    <t>@ThaghutAnti @JaelaniNgopi @Stakof ke suriah aja mz, bantu2 isis ..ngisiss ~</t>
  </si>
  <si>
    <t>Lompat ke 2012 di mana Suriah mengalami perang saudara sebagai akibat dari Arab Spring, AQI sudah berubah nama menjadi ISIS (Islamic State of Iraq and Syria. Kali ini sudah dipimpin oleh Abu Bakr al-Baghdadi. Abu Mussab al-Zarqawi sudah tewas dibom AS.</t>
  </si>
  <si>
    <t>4 WNI Positif Virus Corona Covid-19, Gejala GERD Sebabkan Serangan Jantung?  #DariSuara</t>
  </si>
  <si>
    <t>[VIDEO] WNI Terjangkit Corona di Singapura, Sembuh</t>
  </si>
  <si>
    <t>RT @cagubnyinyir2: Jepang tdk ijinkan TURUN dari Kapal Prinscess, tp dirawat dikapal, 4 WNI terpapar virus corona</t>
  </si>
  <si>
    <t>@prokzip @AREAJULID Golongan isis mh gini bcd santuy</t>
  </si>
  <si>
    <t>@prokzip @AREAJULID Asas isis asas isis kntl, lu aja sono ke isis tolol</t>
  </si>
  <si>
    <t>@Wal_Ashr_ Wkwkwkwk jendral ISIS.....ISIS UDAH TAMAT. BEGITU JUGA KADRUN INFONESIA.</t>
  </si>
  <si>
    <t>Pemerintah bisa lunasi utang LN dgn HGU-kan pulau2 kecil tak berpenghuni kpd PMDN/PMA utk kegiatan pariwisata dgn syarat 90% Naker hrs WNI. Bentuk holding BUMN dgn plasma Nelayan lokal utk Tangkap-Proses-Ekspor Ikan &amp; Hasil Laut, PNBP-nya utk cicil utang LN, dlsb.</t>
  </si>
  <si>
    <t>Jepang tdk ijinkan TURUN dari Kapal Prinscess, tp dirawat dikapal, 4 WNI terpapar virus corona RT @amandagempita: Bukannya lbh baik berobat di jepang drpd disini??🤭🤭</t>
  </si>
  <si>
    <t>Iwh baru liat... Pas evakuasi WNI dr Wuhan.. pilot dr jendela kokpit nulis "let's go home"... "Kita pasti pulang" terharu.. ada yg bbrp nangis.. trus ada yg bikin pantun endingnya "saranghae" bbrp temennya . "Iwh villagers... Aku GK kenal" lah gue ngakak...</t>
  </si>
  <si>
    <t>@dirimu_ini @prokzip @AREAJULID au tuh, positip aja dia nonis mba:) jd klo cadaran = isis. pdhl kalo di jawa isis artinya sejuk loh ngakakakakakaka canda</t>
  </si>
  <si>
    <t>@prokzip @AREAJULID Baru tau kalo yg pake cadar harus masuk isis</t>
  </si>
  <si>
    <t>@prokzip @AREAJULID Tau drimana mereka mau ikut isis? Sok tau banget, astaga marah nii ak marah</t>
  </si>
  <si>
    <t>RT @tr4velcompass: Ternyata WNI gk kebal virus Corona. Meskipun begitu, semoga yg 4 org lekas sembuh dan yg 74 sisanya tetap sehat. @Mom_isback @suzli05 @oneaperture @Marder2000</t>
  </si>
  <si>
    <t>@prokzip @AREAJULID pake niqab + cadaran itu sunnah. bukannya mau masuk isis mbak</t>
  </si>
  <si>
    <t>Ternyata WNI gk kebal virus Corona. Meskipun begitu, semoga yg 4 org lekas sembuh dan yg 74 sisanya tetap sehat. @Mom_isback @suzli05 @oneaperture @Marder2000 RT @jokowi: Empat dari 78 WNI awak kapal pesiar Diamond Princess yang berlabuh di Pelabuhan Yokohama, Jepang, dinyatakan positif terpapar virus korona. Mereka sudah dibawa ke rumah sakit setempat untuk dirawat sesuai protokol kesehatan WHO. Adapun 74 WNI tetap kita pantau.</t>
  </si>
  <si>
    <t>@prokzip @AREAJULID Mlutmu masukin isis aja sana</t>
  </si>
  <si>
    <t>@prokzip @AREAJULID Yg pake cadar bukan semata karna isis doang kali</t>
  </si>
  <si>
    <t>@HSuswan Keberadaan seorang muslim didunia bukanlah sebuah masalah,yang menjadi masalah adalah seorang muslim di stigmaisasi radikal-radikul,anti pancasila,khilafah,terorist-isis 🤭😀</t>
  </si>
  <si>
    <t>@prokzip @AREAJULID Gak semua muslim mau join isis, sis, jangan dipukul rata</t>
  </si>
  <si>
    <t>@AREAJULID bawa saja mereka ke isis kan itu yang mereka mau</t>
  </si>
  <si>
    <t>RT @RadioElshinta: Presiden segera putuskan opsi pemulangan WNI di kapal pesiar Jepang</t>
  </si>
  <si>
    <t>@calonbiniidaman ati ati bahaya isis, boleh juga kamu sis</t>
  </si>
  <si>
    <t>Selama ini banyak pembahasan ttg pewarisan harta WNI oleh WNA dalam kawin campur. Nah sekarang gimana kalau sebaliknya? Belajar dari kasus #ashrafsinclair dan #bcl dapatkah keluarganya yang WNI mewarisi harta dari WNA? Cekidot:</t>
  </si>
  <si>
    <t>@awemany Kalok soal isis usus baru ngegas 😂</t>
  </si>
  <si>
    <t>RT @Metro_TV: #PrimeTalkMetroTV Persiapan tengah dilakukan di kapal KRI dr. Soeharso (990) seperti memasukan logistik barang terkait dengan SOP pemeriksaan medis yang mendukung kesiapan untuk pemulangan 74 WNI di kapal pesiar Diamond Princess. Live Streaming:</t>
  </si>
  <si>
    <t>Semua.WNI asli Pribumi punya hak dan peluang untuk maju menjadi Capres di negeri ini</t>
  </si>
  <si>
    <t>@Metro_TV *JIKA PEMIMPIN BANGSA BERADAB SEHARUSNYA MENYATAKAN ADA 78 WNI DIKAPAL ITU! BUKANNYA DITULIS 74 ORANG! SADIS PEMIMPIN INDONESIA SEOLAH SENGAJA TAK MAU MENGAKUI KE 4 WNI LAINNYA</t>
  </si>
  <si>
    <t>Pemerintah Diminta Buka Data WNI yang Sembuh dari Virus Corona -</t>
  </si>
  <si>
    <t>HTI adlh ORMAS TERLARANG yg telah mengganti nama dan lambangnya menjadi KARIM,,, maka waspadalah wahaaiii umat ISLAM di Indonesia,,, mereka menggunakan segala macam kelicikan penipuan dgn berkedok jualan AGAMA dan KHILAFAH, mereka satu barisan dgn Kelompok RADIKAL &amp; teroris ISIS</t>
  </si>
  <si>
    <t>@lrdggs22 Perdi 😩</t>
  </si>
  <si>
    <t>@AmbarMuslika @yinsodeterjen @MRFOLKATIVE @haqiemullah Sedih wkwk tp ojo meneh2 ngomong indo yok rakeno corona:( bukti ne malah ws ono sg keserang 3 to KRU WNI. Hmm</t>
  </si>
  <si>
    <t>@ISIS_Balik_NO @Sir_Edwin Saya gak pernah diantar, saya gak pernah dijemput. Alhamdulillah kemiskinanku menjadi kehidupan.</t>
  </si>
  <si>
    <t>@WahabisLokal Gavener udah sama kayak ISIS... Hobi hancurkan situs sejarah #SaveTIMSaveMonas</t>
  </si>
  <si>
    <t>Warga Negara Indonesia (WNI) di Singapura yang positif terinfeksi Covid-19 atau Virus Korona dinyatakan sembuh dan negatif dari virus tersebut. Saat ini WNI Singapura sudah dipulangkan dari rumah sakit. KSC⁣⁣⁣ ⁣ #SeputariNews #SeputariNewsSiang #Coronavirus #Korona #Covid-19</t>
  </si>
  <si>
    <t>Observasi tetap dilakukan lantaran kondisi mereka berbeda dengan WNI yang dievakuasi dari Wuhan, China.</t>
  </si>
  <si>
    <t>Tadi berkunjung ke klinik bidan yang udah sepuh, tapi masih bawa motor sendiri kemana-mana. Aku: "Lho, Bu, nitih motor toh?" Si ibu: "Lha iyo, Mbak Grace. Motor iku praktis, irit, dan isis." Lalu beliau berlalu sambil membenahi kacamata hitamnya. Woo lha.... Ancene nyentrik :(</t>
  </si>
  <si>
    <t>Sementara itu, pemerintah juga berencana melakukan evakuasi 74 WNI yang bekerja di Diamond Prince, di mana statusnya negatif. Sedangkan yang terinfeksi masih dalam penanganan otoritas Jepang. Semoga wabah ini cepat berlalu dan mereka yang terinfeksi diberikan kesembuhan.</t>
  </si>
  <si>
    <t>RT @kimyaqee2: Kalau sampai boleh pecah rekod Goblin, aku terpaksa tengok.</t>
  </si>
  <si>
    <t>RT @Metro_TV: #NewslineMetroTV 4 orang WNI yang terinfeksi virus COVID-19 di kapal pesiar Diamond Princess tengah menjalani perawatan intensif di 2 rumah sakit berbeda di kota Chiba dan Tokyo, Jepang dan akan terus dipantau oleh tim KBRI di Jepang.</t>
  </si>
  <si>
    <t>@Ronnie_Rusli Semua sudah dikuasai ,ingin kuasai Syria, sulit karena dekat dengan Rusia. Satu satu nya jalan, serang oleh milisi ISIS ,dengan dalih akan bikin negara khilafah.</t>
  </si>
  <si>
    <t>@wouszhin Jangan, kamu udah masuk isis soalnya</t>
  </si>
  <si>
    <t>RT @susno2g: 2. HEBOH ISUE ISIS : sebagian memyatakan bhw ISIS asal Indonesia kehilangan status sbg WNI , siapa sih yg berwenang menentukan bhw status WNI seseorang telah hilang ?</t>
  </si>
  <si>
    <t>Di balik keputusan Pemerintah Korea Selatan untuk mengevakuasi 14 warga negaranya yang berada di kapal pesiar Diamond Princess yang berlabuh di Yokohama, ternyata ada cerita yang membanggakan Indonesia, di samping keprihatinan atas terinsfeksinya WNI di kapal tersebut.</t>
  </si>
  <si>
    <t>RT @tempodotco: Opini Tempo mengulas mengenai ketegasan pemerintah untuk tidak memulangkan WNI eks kombatan ISIS yang saat ini berada di Suriah. Kebijakan ini pun menerima berbagai kritikan dari berbagai kalangan.</t>
  </si>
  <si>
    <t>Jemput 74 WNI di Jepang, Pemerintah Gunakan KRI dr Soeharso</t>
  </si>
  <si>
    <t>RT @justisiacom: Bagaimana konstitusi yang berlaku di Indonesia memandang wacana pemulangan eks ISIS? Redaksi  melakukan wawancara dengan ahli Hukum Tata Negara FSH UIN Walisongo, Ismail Marzuki, MA., Hk</t>
  </si>
  <si>
    <t>Pemerintah terus memantau kondisi sejumlah WNI yang masih dikarantina di kapal pesiar Diamond Princess. Kapal tersebut bersandar di Pelabuhan Yokohama, Jepang.</t>
  </si>
  <si>
    <t>@Persija_Jkt @Indosiar Hmm🤔 ada pemain asing yg baru lgi ngg nih. Mengingat ane dngr klok udh resmi jdi WNI</t>
  </si>
  <si>
    <t>@lokibabies Serba hitam seperti isis</t>
  </si>
  <si>
    <t>Bagaimana konstitusi yang berlaku di Indonesia memandang wacana pemulangan eks ISIS? Redaksi  melakukan wawancara dengan ahli Hukum Tata Negara FSH UIN Walisongo, Ismail Marzuki, MA., Hk</t>
  </si>
  <si>
    <t>@permadiaktivis Yg ga guna diurusi Yg intoleran bebas Yg kafir2kan manusia bebas Yg PKI kan orang bebas Yg pro isis bebas dll Gendheng</t>
  </si>
  <si>
    <t>4. Nonton mata najwa dengan tema yg menarik (menangkis ISIS) 5. Support dan datang ke teman2 yg ikut lomba 6. Mulai investasi bakal bekel di masa depan 7. Dan melakuin kegiatan sosial lain yang ga bikin rebahan di kasur See ya later holiday...</t>
  </si>
  <si>
    <t>Ini membuktikan bahwa mulai saat ini tidak ada siapapun pejabat yg bisa sesumbar dgn arogan mengatakan bahwa Virus Corona TDK bs masuk ke Indonesia. Semoga 4 WNI tsb bisa tertangani dgn baik dan sembuh segera. Aamiin. RT @jokowi: Empat dari 78 WNI awak kapal pesiar Diamond Princess yang berlabuh di Pelabuhan Yokohama, Jepang, dinyatakan positif terpapar virus korona. Mereka sudah dibawa ke rumah sakit setempat untuk dirawat sesuai protokol kesehatan WHO. Adapun 74 WNI tetap kita pantau.</t>
  </si>
  <si>
    <t>Banyak banget orang yang selalu nge standarin antara benar-salah gimana menurut pandangan doi sendiri, bangun cuy lu kalo mau hidup kaya gitu gausah jadi manusia, ditambah gausah jadi WNI</t>
  </si>
  <si>
    <t>Opini Tempo mengulas mengenai ketegasan pemerintah untuk tidak memulangkan WNI eks kombatan ISIS yang saat ini berada di Suriah. Kebijakan ini pun menerima berbagai kritikan dari berbagai kalangan.</t>
  </si>
  <si>
    <t>Terkait Virus SARS-CoV-2,Pemerintah Terus Pantau Kondisi WNI di Kapal Pesiar Diamond Princess -</t>
  </si>
  <si>
    <t>@tempodotco Parah dan teledor kalau yg masuk Teroris Internasional sekelas ISIS gmna bpk2....tolong kinerja menkumham direvisi pak klo perlu pecat...@jokowi</t>
  </si>
  <si>
    <t>[BERITA] Menyingkap Pengalaman Seorang Eks-ISIS Selengkapnya di  Teks: Syifa Nadia Kontributor: Zuhairah Syarah, Fadila Ardana Foto: Shafa Nabila Editor: Nada Salsabila Pers Suara Mahasiswa UI 2020 Independen, Lugas, dan Berkualitas!</t>
  </si>
  <si>
    <t>Sekitar 70 WNI terpapar virus corona di Jepang. Semoga lekas sembuh dan WNI terhindar dari virus bahaya ini 🙏</t>
  </si>
  <si>
    <t>RT @republikaonline: Dari 78 WNI di kapal pesiar Diamond Princess, empat positif terinfeksi Corona.</t>
  </si>
  <si>
    <t>Dari 78 WNI di kapal pesiar Diamond Princess, empat positif terinfeksi Corona.</t>
  </si>
  <si>
    <t>@sandiuno Bapak tidak penasaran kah sama WNI di dalam sel KL</t>
  </si>
  <si>
    <t>RT @Varadillaaaaa: @xtralonely @fairyypu @sunflowerseu_ @StrawBeeze @ilysmbabybear @SquidwardRajin @spoilagedcapo @ravenclawmate @catuaries 3 WNI terpapar virus corona Nia Ramadhani membeli pabrik masker</t>
  </si>
  <si>
    <t>@jokowi Semoga semua WNI senantiasa sehat dlm lindungan &amp; rahmat-Nya, dan yg sedang sakit semoga lekas sembuh. Aamiin.</t>
  </si>
  <si>
    <t>Satu Lagi WNI Terinfeksi Korona Virus di Kapal Pesiar</t>
  </si>
  <si>
    <t>RT @AdiJatmiko999: WNI Yang Selesai Karantina Di Natuna Boleh Nonton Java Jazz #Natuna #VirusCorona #RepublikMerdeka #bacotsantuy #indonesia #openBO</t>
  </si>
  <si>
    <t>Di sel. mantan napiter. Mukhtar Khairi alias Abu Hafsah sempat terdoktrinisasi ideologi ISIS dan jihad serta diajari cara merakit bom serta senjata #TolakISISdiIndonesia</t>
  </si>
  <si>
    <t>#TolakISISdiIndonesia. Abu Hafsah diceramahi oleh pentolan ISIS</t>
  </si>
  <si>
    <t>RT @D_m3chy: Rakyat kecil dipalak, konglomerat di sayang, Nasib Sebagai WNI harus menanggung Penderitaan punya pemimpin Go block, Merakyat Banget (MERAmpok raKYAT) Minuman Energi Kena Cukai, Jansen: Keuangan Sakit Keras, Rakyat Jadi Korban #RezimGilaCukai @sorotnews</t>
  </si>
  <si>
    <t>RT @KamiBijakID: 4 WNI Positif Terinfeksi Virus Corona Baru Jenis COVID-19  #KamiBijakID #GenggamDuniaTanpaSuara #KBUpdate</t>
  </si>
  <si>
    <t>@diannovie Padahal mereka dah di doktrin untuk menjadi kombatan pelindung isis di masa depan.. #tolakanakisiskembali</t>
  </si>
  <si>
    <t>@Michaelzhaf @yusuf_dumdum Hahaaha...Presiden pun bukan seperti Tuhan yang selalu ada setiap saat.. Statement anda harusnya dicerna terlebih dahulu...Kalau anda membicarakan persoalan ini dengan membawa masalah ke Menteri Pertahanan negara masih masuk akal..Jokowi pun tidak fokus terhadap masalah ISIS saja</t>
  </si>
  <si>
    <t>@btsddiminie @almidara Ohiya? Katanya di kapal itu wni selamat?</t>
  </si>
  <si>
    <t>RT @muk_ridwan: Pemulangan Anak WNI Eks ISIS, Wapres: Masih Dipertimbangkan</t>
  </si>
  <si>
    <t>RT @Ai_Alwii_: SUNGGUH MENGERIKAN! Jadi ZHONG WAN XIE alias Ahok itu adalah Warga Negara china selama 20 thn, baru di usia 20 thn ia jd WNI, jd Ahok ORANG CINA ASLI bukan orang Indonesia, namun ia kemudian pindah jadi WNI  Ahok praktis tdk bisa jadi bakal calon presiden</t>
  </si>
  <si>
    <t>KRI dr Soeharso disiapkan sebagai opsi untuk menjemput WNI di Jepang.</t>
  </si>
  <si>
    <t>Pemulangan Anak WNI Eks ISIS, Wapres: Masih Dipertimbangkan</t>
  </si>
  <si>
    <t>SUNGGUH MENGERIKAN! Jadi ZHONG WAN XIE alias Ahok itu adalah Warga Negara china selama 20 thn, baru di usia 20 thn ia jd WNI, jd Ahok ORANG CINA ASLI bukan orang Indonesia, namun ia kemudian pindah jadi WNI  Ahok praktis tdk bisa jadi bakal calon presiden</t>
  </si>
  <si>
    <t>@faridwinart @rifandibagisa @JOSE28523459 @Megatop99 @mohmahfudmd Lah katanya fpi dan hrs sangat mengutuk isis.trus knp tu jubir fpi kongkow di acara baiat anggota isis..???</t>
  </si>
  <si>
    <t>@faridwinart @rifandibagisa @JOSE28523459 @Megatop99 @mohmahfudmd Gmn carany isis untuk merealisasikan niatny itu...??</t>
  </si>
  <si>
    <t>RT @tribunnews: 4 Warga Indonesia Positif Corona, Pemerintah Bersiap Evakuasi 74 WNI di Kapal Diamond Princess  via @tribunnewswiki</t>
  </si>
  <si>
    <t>#infopresiden Pemerintah Terus Pantau Kondisi WNI di Kapal Pesiar Diamond Princess Pemerintah terus memantau perkembangan kondisi 78 warga negara Indonesia (WNI) yang berada di kapal pesiar Diamond Princess. Dalam…</t>
  </si>
  <si>
    <t>nasib berjanji pada diri sendiri gak kuris brewok sebelum sidang akibatnya galungan, ketemu sodara2 dikira: - surya paloh - osama bin laden - khalid - pejuang isis - anwar usman - childish gambino - bawa headset kemana mana</t>
  </si>
  <si>
    <t>4 Warga Indonesia Positif Corona, Pemerintah Bersiap Evakuasi 74 WNI di Kapal Diamond Princess  via @tribunnewswiki</t>
  </si>
  <si>
    <t>@Komisi_ASN Min,asn minoritas yg berbeda dan tidak setuju kebijakan atasan dibully bhkn diintimidasi dimutasi dan dipecat.sedih min jadi jujur pada level rendah.hidup mjd wni tidak mudah apalagi minoritas mengalami diskriminasi,ketidakadan.betapapun yg dilakukan adalah manjaga integritas.</t>
  </si>
  <si>
    <t>Pernyataan pejabat yg diulang2 di tvone, ada dalam konstruksi pikir 2 dimensi menghilangkan variabel hal sama yg dapat perlakuan beda, itulah penyelesaian WNI di suriah yg ikut isis jika dibanding PKI yg terornya terbukti terdokumentasi sejak orla dan orba</t>
  </si>
  <si>
    <t>@detikcom Drpd ajak pulang anak ISIS mending bagi2 jabatan</t>
  </si>
  <si>
    <t>RT @Metro_TV: Seorang WNI yang terinfeksi virus corona, kini dinyatakan telah sembuh. Kementerian Kesehatan Singapura mengkonfirmasikannya pada 18 Februari 2020. #MetroHariIni</t>
  </si>
  <si>
    <t>@fahiraidris Bener banget, pingin ikut ISIS terus kalok kayak gini pengen gue nuklir otak2 para pejabat yg suka jualan radikal radikul</t>
  </si>
  <si>
    <t>Menko PMK Muhadjir Effendi menggelar rapat untuk menindaklanjuti penanganan WNI dari kapal Diamond Princess Jepang.</t>
  </si>
  <si>
    <t>Kapal yang juga disebut RS Apung dr Soeharso tersebut tengah diisi bahan bakar dan logistik untuk kebutuhan selama perjalanan.</t>
  </si>
  <si>
    <t>[Hoax] Pengikut ISIS yang Membunuh Muslim  via @DetaxId</t>
  </si>
  <si>
    <t>@wtfjelin Ikut isis udah kecuci dengan sendirinya :v</t>
  </si>
  <si>
    <t>@haikal_hassan Di rumah lu ,pakean lu,pasti ada yg made in china ,hape lu ja china,bijimane dong?? Emng ada produk padang pasir selain isis??</t>
  </si>
  <si>
    <t>@jokowi Perlu gerak cepat mengatasi wni yg terpapar virus korona dikapal diamond princess</t>
  </si>
  <si>
    <t>@faisalr40083987 Ke suriah hijra jadi isis</t>
  </si>
  <si>
    <t>Gadis Asal Inggris Hamil 9 Bulan di Camp ISIS, Mengaku Hidupnya Kini Berantakan</t>
  </si>
  <si>
    <t>@jokowi Trimakasih KBRI Tokyo &amp; pihak2 yg mbantu para WNI bs mrasa nyaman,terlindungi dlm menjalani karantina. Pak Jokowi,bs bnt 200jt+WNI ttg menteri2 di Cabinet skrg?Ga niat ganti Menag gitu..Doi kebnykan ngbual drpd ngademin rakyat loh pak,pdhal gajinya dr pajak rakyat yg polos pak😎</t>
  </si>
  <si>
    <t>@ganjarpranowo Keren kaya isis yak ndoro😂😂😂😂</t>
  </si>
  <si>
    <t>@detikcom Kalau ISIS DI TII NII JAD JI Dst.. bgm ?</t>
  </si>
  <si>
    <t>Pemerintah menyiapkan opsi pemulangan 74 WNI yang menjadi awak kapal Diamond Princess yang dikarantina di Yokohama, Jepang karena #VirusCorona atau #COVID19 dengan kapal rumah sakit KRI Soeharso. #MostUpdate1058</t>
  </si>
  <si>
    <t>RT @e100ss: Presiden: KBRI Pantau WNI Positif Corona di Kapal Diamond Princess</t>
  </si>
  <si>
    <t>RT @terindah06: Mungkin itu sebabnya Perpisahan terasa sering begitu menyakitkan, karna kerap datang tanpa peringatan. #BungaCitraLestari</t>
  </si>
  <si>
    <t>@tempodotco Presiden kan sebelum berita ini dirilis sudah declare bahwa mereka itu adalah anggota ISIS ex-WNI (berdasarkan UU Kewarganegaraan) Atas dasar apa skr Tempo menulis mereka warga Indonesia, apa dasar hukumnya ?</t>
  </si>
  <si>
    <t>Mari kita bersatu bangun INDONESIA lebih maju. Kita sebagai wni. Harus bisa mengamati dengan cerdas. Air yang keruh jangan kita tambah memperkeruh nya. Kita harus bersatu menjernihkan kan nya.</t>
  </si>
  <si>
    <t>"Kalau mereka sudah sukses deradikalisasinya kemudian program deradikalisasinya sudah sukses, mereka sudah memenuhi persyaratan, siapa saja berhak,"</t>
  </si>
  <si>
    <t>buat org2 yg ngaku2 pegiat HAM dan yg menuntut pemerintah menerima eks WNI combatan ISIS, nih coba diliat komiknya. apa yg udah dilakukan teroris2 itu terhadap hidup orang lainnya RT @NyneComics: Support di</t>
  </si>
  <si>
    <t>RT @duasisi_tvone: Keputusan Pemerintah RI menolak pemulangan WNI Eks ISIS menyisakan pertanyaan:Benarkah status kewarganegaraan 689 WNI Eks ISIS tersebut otomatis gugur?Lalu bagaimana nasib anak-anak tak berdosa yg terjebak propaganda ISIS?SAKSIKAN MALAM INI PUKUL 21.00 Wib @karniilyas @tvOneNews</t>
  </si>
  <si>
    <t>@faridwinart @rifandibagisa @JOSE28523459 @Megatop99 @mohmahfudmd Ooo jdi niat isis mulia gtu...???</t>
  </si>
  <si>
    <t>RT @hydrotalcite2mg: @ruliharahap "Apakah ibu sebelumnya punya firasat jika suami akan terjangkit corona?" "Berikut penampakan rumah dari WNI yg terjangkit corona" "Ternyata Maiehwjwojdh WNI yg terkena corona juga suka kulineran, berikut foto2nya"</t>
  </si>
  <si>
    <t>@jokowi Pemerintah harus tegas Pak Jokowi dalam mengambil keputusan. Karena kepulangan eks ISIS akan mengganggu ketentraman dan kedamaian NKRI...</t>
  </si>
  <si>
    <t>#MetroHariIni Koordinasi dengan pemerintah Jepang juga dilakukan dalam kesiapan jelang evakuasi 74 WNI disana. Sementara 4 WNI yang terpapar Covic-19 ini masih dirawat di rumah sakit Jepang. #MetroTV</t>
  </si>
  <si>
    <t>Mantan Teroris balk-blakan terkait dengan hampir bergabung dengan ISIS saat di penjara. #TolakISISdiIndonesia</t>
  </si>
  <si>
    <t>Dalam seminar Halaqah Perdamaian di Aula Nuswantara FISIP Universitas Brawijaya (UB) (19/2), Abu Hafsah membongkar perjalanannya di Lapas Cipinang pada 2014 saat dicekoki paham ISIS. #TolakISISdiIndonesia</t>
  </si>
  <si>
    <t>Mukhtar Khairi alias Abu Hafsah mengaku hampir saja direkrut oleh Islamic State Iraq and Syria (ISIS), saat menjadi narapidana teroris (napiter) di Lapas Cipinang pada 2014. #TolakISISdiIndonesia</t>
  </si>
  <si>
    <t>Menjadi mantan napi teroris menjadi pengalaman yang tak akan pernah dilupakan Mukhtar Khairi alias Abu Hafsah. Pria 36 tahun itu bahkan hampir direkrut oleh Islamic State Iraq and Syria (ISIS). #TolakISISdiIndonesia</t>
  </si>
  <si>
    <t>Kisah Eks napi Teroris terbebas dari jetatan ISIS. #TolakISISdiIndonesia</t>
  </si>
  <si>
    <t>@salsabila0307 @rifandibagisa @JOSE28523459 @Megatop99 @mohmahfudmd Lah itu video bener cuman lu potong dan kutip sebagian jadi seolah² video pernyatakan akan keseluruhan ISIS padahal kalo denger kaga gitu, yang dia dukung niatnya membuat negara islam tapi tidak dengan caranya terutama membantai kaum muslimin, menghancurkan makam para ulama..</t>
  </si>
  <si>
    <t>Presiden: KBRI Pantau WNI Positif Corona di Kapal Diamond Princess</t>
  </si>
  <si>
    <t>Yang bikin suriah konflik itu bukan khilafah/syariah/radikalis/isis. Tapi pemerintahan yang tidak adil, sehingga lahir revolusi. Tanda2 nya di Indonesia sudah ada</t>
  </si>
  <si>
    <t>Ga bisa bayangin ex isis kalo balik ke indo lg RT @forzatives: A short sad story. 😭 I'm lucky to live in a country where it's safe and peaceful.</t>
  </si>
  <si>
    <t>RT @KompasTV: 3 WNI di Jepang dan 1 WNI di Singapura yang Terinfeksi Corona, Bagaimana Tanggapan Pemerintah?</t>
  </si>
  <si>
    <t>@nzhier122526 @WR_4AG226 Isis yg bunuh2 itu muslim ? Standar muslimmu kurang tepat. Islam Rahmat Semesta Alam... yg main bunuh bukan muslim.. jgn dikira hny omong muslim lalu muslim.. lihat amal perbuatannya. Klo busuk2 ..mrk merusak citra Islam...bukan umat</t>
  </si>
  <si>
    <t>@salsabila0307 @rifandibagisa @JOSE28523459 @Megatop99 @mohmahfudmd Video itu sama video penolakan duluan mana ?? Kaga jelas kan dan yg duduk disana petingginya siapa apa sudah terkonfirmasi belum ? Kalau blm awas fitnah, yang pasti mah setau saya FPI jelas menolak ISIS karena mereka menghancurkan makam para ulama disana.</t>
  </si>
  <si>
    <t>RT @Aryprasetyo85: Pemerintah Terus Pantau Kondisi WNI di Kapal Pesiar Diamond Princess “Sampai saat ini saya tlh menerima info bahwa ada empat yg terkena dan positif kena virus korona di kapal pesiar Diamond Princess yg ada di Jepang dan itu sdh dibawa juga ke rumah sakit</t>
  </si>
  <si>
    <t>RT @Erwin_Sahari: @irzan_wiratama @ivan77507 @detikcom @detikhot Gk tau tuh orang gk waras ya begitu kaum2 kadrun dikit2 bilang dajjal kopar kapir, biasa itu orang dari komplotan ormas fpi bajingan bangsat kan begitu kelakuannya munafik sok suci preman2 bersorban pki teroris isis cabul mesum ngeres fedofil homo.</t>
  </si>
  <si>
    <t>#MetroHariIni Pemerintah menyiapkan sejumlah opsi dalam upaya evakuasi 74 warga negara Indonesia yang saat ini berada di Kapal Pesiar Diamond Princess di Yokohama, Jepang. Hingga saat ini, 4 WNI yang terinfeksi Covic-19 masih dirawat di 2 rumah sakit Jepang. #MetroTV</t>
  </si>
  <si>
    <t>@irzan_wiratama @ivan77507 @detikcom @detikhot Gk tau tuh orang gk waras ya begitu kaum2 kadrun dikit2 bilang dajjal kopar kapir, biasa itu orang dari komplotan ormas fpi bajingan bangsat kan begitu kelakuannya munafik sok suci preman2 bersorban pki teroris isis cabul mesum ngeres fedofil homo.</t>
  </si>
  <si>
    <t>#RT @jokowi: Empat dari 78 WNI awak kapal pesiar Diamond Princess yang berlabuh di Pelabuhan Yokohama, Jepang, dinyatakan positif terpapar virus korona. Mereka sudah dibawa ke rumah sakit setempat untuk dirawat sesuai protokol kesehatan WHO. Adapun 74…</t>
  </si>
  <si>
    <t>#TolakOmnibusLawRasaKomunis #TolakOmnibusLawRasaKomunis WNI Terinfeksi Corona di Kapal Diamond Princess Tambah Jadi 4 Orang  Tambah dan bertambah terus</t>
  </si>
  <si>
    <t>@Persija_Jkt Mark klok kalo udh jd WNI cari bek tengah asing cuy</t>
  </si>
  <si>
    <t>Kami informasikan kepada seluruh WNI yang ada di Hyderabad agar bisa menghadiri ‘Sosialisasi Kekonsuleran dan Perlindungan WNI’ sekalikus bersilaturahmi dengan KJRI Mumbai kjrimumbai yang akan diadakan pada: Hari :…</t>
  </si>
  <si>
    <t>RT @TirtoID: Muhadjir Effendy mengatakan penjemputan WNI kru Diamond Princess dengan menggunakan kapal rumah sakit KRI Soeharso menjadi salah satu opsi selain melalui udara.</t>
  </si>
  <si>
    <t>KBRI Tokyo , Eko Junior, mengatakan akan terus memantau empat WNI yang terinfeksi Covid-19 atau Virus Korona agar dapat terus menjalin kontak. KSC⁣⁣⁣ ⁣⁣⁣⁣ #SeputariNews #SeputariNewsSiang #KBRITokyo #EkoJunior #Coronavirus #Korona #Covid-19</t>
  </si>
  <si>
    <t>@NengAnyar15 Bu Menteri sudah menyelamatkan ratusan WNI dari daerah tercemar virus corona, membebaskan puluhan TKI yg dihukum scr tidak adil di berbagai negara. Neng udah ngapain aja?</t>
  </si>
  <si>
    <t>65 WNI asal Jatim dari Wuhan tiba di Juanda disambut Gubernur Khofifah</t>
  </si>
  <si>
    <t>4 WNI di Diamond Princess Positif Corona, Jokowi: Kita Masih Bahas Evakuasinya</t>
  </si>
  <si>
    <t>Seorang WNI yang terinfeksi virus corona, kini dinyatakan telah sembuh. Kementerian Kesehatan Singapura mengkonfirmasikannya pada 18 Februari 2020. #MetroHariIni</t>
  </si>
  <si>
    <t>Ada 74 WNI di Kapal Diamond Princess, Jokowi Koordinasi dengan Jepang untuk Siapkan Evakuasi  Berita Betulan</t>
  </si>
  <si>
    <t>Jokowi masih diskusi soal evakuasi 74 WNI di kapal tersebut</t>
  </si>
  <si>
    <t>Pemerintah Terus Pantau Kondisi 78 WNI di Kapal Pesiar</t>
  </si>
  <si>
    <t>RT @OlgaLy_DIA: Tiap inget WNI bakar paspor jd inget susahnya Susi Susanti dpt SKBRI buat nikah.. Sudah kasi medali emas olympiade pertama buat Indonesia.. Yang udah WNI malah bakar paspor trs minta lagi jadi WNI? Ikut proses kyk Susi aja, sana maen bulutangkis, kali aja Olympiade Tokyo dpt emas</t>
  </si>
  <si>
    <t>RT @ammar_abdillah: Sebaiknya jangan disebut eks ISIS ataupun eks WNI. Ganti saja kata "eks" dengan "mantan", agar benar-benar bisa dirasakan bahwa ini masalah yang sangat sangat serius.</t>
  </si>
  <si>
    <t>Jokowi Minta 74 WNI di Kapal Diamond Princess Jepang Segera Dievakuasi</t>
  </si>
  <si>
    <t>WNI akan menjalani karantina setelah dievakuasi</t>
  </si>
  <si>
    <t>RT @humasjateng: Senin (17/2) siang, Gubernur @ganjarpranowo melepas bantuan masker dari Pemprov Jateng untuk WNI yang tinggal di Hongkong, Taiwan dan Singapura di Halaman Kantor Gubernur Jateng. Masker yang dikirim sebanyak 41.250 buah. Semoga berguna dan bisa bermanfaat ya... 🤗</t>
  </si>
  <si>
    <t>RT @antaranews: Menteri Muhadjir sebut evakuasi hanya dilakukan kepada WNI yang masih sehat dan belum terpapar virus corona atau disebut COVID-19.</t>
  </si>
  <si>
    <t>RT @Airin_NZ: "Rumah" seniman dhancurkn &amp; Seniman trkesan gk di anggap oleh Abud Tp lucunya preman dpelihara bahkn dsiapkn tmpt dkantonya. Mungkin dia pikir dgn kkuatan Preman. Kursinya gk akn ad yg berani menggoyang. Jk dGoyang silahkn brhadapan dgn Preman yg dia pelihara #SaveTIMSaveMonas</t>
  </si>
  <si>
    <t>@duniavvi Istri ketiga kombatan isis</t>
  </si>
  <si>
    <t>RT @Sarah_Pndj: @Iqbal__Kholidi SHUT UP !! Klo ISIS menang kalian ga bakalan nangis minta pulang kok !!</t>
  </si>
  <si>
    <t>Menteri Muhadjir sebut evakuasi hanya dilakukan kepada WNI yang masih sehat dan belum terpapar virus corona atau disebut COVID-19.</t>
  </si>
  <si>
    <t>Jokowi Sebut WNI Positif Covid-19 Ada di RS di Jepang</t>
  </si>
  <si>
    <t>@liputan6dotcom Nah razia rutin dan tindak tegas berginilah yg diperlukan buat MENDISIPLINKAN WNI..yg rusak separator harus ditangkap dan didenda sesuai harga biaya perbaikan plus biaya pemeliharaan..cc @DivHumas_Polri salam jempol buat polantas.tolong personil dibanyakin agar tdiak ada yg lolos</t>
  </si>
  <si>
    <t>Pemerintah Akhirnya memutuskan menjemput Para WNI yang menjadi Kru di Kapal Pesiar Diamond Princess di Jepang yang sebagian penumpangnya terpapar Virus Corona. Saksikan pembahasannya dalam #MetroHariIni “Menjemput WNI di Jepang” Kamis (20/2) LIVE pukul 16.05 WIB. #viruscorona</t>
  </si>
  <si>
    <t>RT @cnbcindonesia: Ada yang Tewas, RI Buka Opsi Evakuasi WNI di Diamond Princess</t>
  </si>
  <si>
    <t>4 Positif Corona, Pemerintah Terus Pantau 78 WNI di Kapal Pesiar</t>
  </si>
  <si>
    <t>RT @vivanewscom: Visa Kerja Inggris: WNI Punya Kesempatan Sama dengan Orang Eropa  #vivanews</t>
  </si>
  <si>
    <t>RT @SammyMujahidah: Keknya virus Corona hny terjakit sama org sombong,which is someone with arrogance mind. Sebab org Indonesia sll bersyukur. Udh ketabrak aja msh ngucap alhamdulillah,untung cma pengkor doang?! Ada yang Tewas, RI Buka Opsi Evakuasi WNI di Diamond Princess</t>
  </si>
  <si>
    <t>RT @idntimes: Penularan virus di dalam kapal dinilai bisa lebih masif</t>
  </si>
  <si>
    <t>Ada yang Tewas, RI Buka Opsi Evakuasi WNI di Diamond Princess</t>
  </si>
  <si>
    <t>WNI yang Kuliah di China Sudah Mulai Perkuliahan Secara 'Online' #TauCepatTanpaBatas #BeritaTerkini #BeritaDaerah .</t>
  </si>
  <si>
    <t>Penularan virus di dalam kapal dinilai bisa lebih masif</t>
  </si>
  <si>
    <t>Jokowi Segera Ambil Keputusan soal Evakuasi 74 WNI di Kapal Diamond Princess #TauCepatTanpaBatas #BeritaTerkini #Berita #News #BeritaNasional .</t>
  </si>
  <si>
    <t>Keknya virus Corona hny terjakit sama org sombong,which is someone with arrogance mind. Sebab org Indonesia sll bersyukur. Udh ketabrak aja msh ngucap alhamdulillah,untung cma pengkor doang?! Ada yang Tewas, RI Buka Opsi Evakuasi WNI di Diamond Princess</t>
  </si>
  <si>
    <t>Pemerintah Buka Peluang Pemulangan Anak-Anak WNI Eks ISIS  #EksISISHilangKewarganegaraan</t>
  </si>
  <si>
    <t>Pemerintah akan Rancang Keppres Tolak Kepulangan WNI Eks ISIS  #EksISISHilangKewarganegaraan</t>
  </si>
  <si>
    <t>@null WNI yang Kuliah di China Sudah Mulai Perkuliahan Secara Online Kota Xiamen, Prov</t>
  </si>
  <si>
    <t>RT @hariankompas: Pemerintah menyiapkan dua opsi penjemputan 74 warga negara Indonesia yang selesai menjalankan masa observasi di Kapal Pesiar Diamond Princess yang berlabuh di Yokohama, Jepang. #Humaniora #KawandalamPerubahan</t>
  </si>
  <si>
    <t>Pro kontra pemulangan eks ISIS atas nama HAM. Sebetulnya, doktrin itu sifatnya menular seperti virus. Orang yang terjangkit virus corona berhak hidup merdeka dan bahagia, namun tidak dicampur dengan orang yang sehat.</t>
  </si>
  <si>
    <t>RT @tvOneNews: Keputusan Pemerintah RI menolak pemulangan WNI Eks ISIS menyisakan pertanyaan. Benarkah status kewarganegaraan 689 WNI eks ISIS tersebut otomatis gugur? Saksikan Dua Sisi malam ini jam 21.00 WIB hanya di tvOne. Acara ini dipersembahkan oleh Wadimor. #DuaSisitvOne</t>
  </si>
  <si>
    <t>Pemerintah menyiapkan dua opsi penjemputan 74 warga negara Indonesia yang selesai menjalankan masa observasi di Kapal Pesiar Diamond Princess yang berlabuh di Yokohama, Jepang. #Humaniora #KawandalamPerubahan</t>
  </si>
  <si>
    <t>Keputusan Pemerintah RI menolak pemulangan WNI Eks ISIS menyisakan pertanyaan. Benarkah status kewarganegaraan 689 WNI eks ISIS tersebut otomatis gugur? Saksikan Dua Sisi malam ini jam 21.00 WIB hanya di tvOne. Acara ini dipersembahkan oleh Wadimor. #DuaSisitvOne</t>
  </si>
  <si>
    <t>Pemerintah Kaji Pencabutan Status WNI Eks ISIS &gt;&amp;gt;&amp;gt;&amp;gt;  #wnieksisis #ISIS</t>
  </si>
  <si>
    <t>@Airin_NZ Kalau isis menghancurkan bangunan bersejarah dgn bom, kalau di dki hmmhmh</t>
  </si>
  <si>
    <t>RT @nevesongisnade: Jakarta adalah Ibukota Indonesia, maka jkt milik seluruh WNI. Semua cagar budaya adalah milik seluruh WNI. JANGAN OBRAK ABRIK CAGAR BUDAYA SEENAKNYA SENDIRI!!! #SaveTIMSaveMonas</t>
  </si>
  <si>
    <t>Pemerintah siapkan opsi evakuasi WNI negatif coronavirus di kapal pesiar</t>
  </si>
  <si>
    <t>Pemerintah Akan Observasi 74 WNI Kru Kapal Pesiar Jepang di Natuna?:</t>
  </si>
  <si>
    <t>RT @KemenkesRI: #RilisSehat 3 WNI ABK Diamond Princess Positif Covid-19 Dirawat di RS @KemenkesRI</t>
  </si>
  <si>
    <t>@tvOneNews Anak anak yg di pinggir jalan, dibawah kolong jembatan, di pinggir rel dan di desa2 terpencil aja di fokuskan dulu, kasian khn mereka pasti sedih kl negara lebih memikirkan anak anak yg ortunya ikut ISIS suriah</t>
  </si>
  <si>
    <t>Jokowi: Evakuasi WNI dari Kapal Pesiar Jepang Masih Dibahas</t>
  </si>
  <si>
    <t>RT @tempodotco: Jokowi menegaskan tidak akan memulangkan warga negara Indonesia yang pernah menjadi kombatan ISIS karena lebih mengutamakan keselamatan rakyat. Lantas bagaimana nasib anak-anak dan yatim piatu eks kombatan ISIS? Majalah Tempo edisi terkini.</t>
  </si>
  <si>
    <t>Kenapa WNI Masih Berbudaya China?</t>
  </si>
  <si>
    <t>Visa Kerja Inggris: WNI Punya Kesempatan Sama dengan Orang Eropa  #vivanews</t>
  </si>
  <si>
    <t>Pemerintah masih membahas ragam opsi penjemputan WNI di Diamond Princess Jepang.</t>
  </si>
  <si>
    <t>#RilisSehat 3 WNI ABK Diamond Princess Positif Covid-19 Dirawat di RS @KemenkesRI</t>
  </si>
  <si>
    <t>Ratusan warga negara Indonesia (WNI) kru kapal pesiar MS Westerdam yang berlabuh di Sihanoukville, Kamboja, akan diperiksa ulang oleh otoritas medis setempat. #WNI #Kamboja #Kapal #Pesiar #Westerdam</t>
  </si>
  <si>
    <t>RT @IndonesiaBaikId: Hi sohIB, tahukah kamu bahwa selain Indonesia, ada beberapa negara lain yg juga memberlakukan aturan u/ menolak memulangkan warganya yg terlibat dengan ISIS #IndonesiaBaik #YangMudaSukaData #Infografis #ProgramPemerintah #UUKewarganegaraan #ISIS</t>
  </si>
  <si>
    <t>RT @danrem: @BBCIndonesia Sudahlah, tak usah memancing simpati. Mereka sudah bukan WNI dan ini video saat mereka kalah, kalau menang apa yg akan terjadi...? Dan jika kalian serius bahaslah wanita dan anak-anak yg menjadi korban ISIS.</t>
  </si>
  <si>
    <t>KBRI Pantau WNI di Kapal Pesiar “Diamond Princess”</t>
  </si>
  <si>
    <t>RT @komik_ksiana: "Seeking The Imam", sebuah film dokumenter yang memotret kisah keluarga mapan yang terbujuk oleh propaganda ISIS. Mereka rupanya telah kembali ke Indonesia. Seperti apa kisah mereka? Yuk nobar, sekaligus berdiskusi dengan pemeran dalam film tersebut di Griya Gusdur 19.30. Gratis.</t>
  </si>
  <si>
    <t>Kru WNI Diamond Princess yang terinfeksi COVID-19 bertambah - more at  #Indonesia KBRI Tokyo memberikan konfirmasi bahwa ada satu orang bertambah karena terinfeksi virus corona. Satu orang tersebut adalah kru kapal pesiar Diamond Princess yang berkewarg...</t>
  </si>
  <si>
    <t>Rakyat kecil dipalak, konglomerat di sayang, Nasib Sebagai WNI harus menanggung Penderitaan punya pemimpin Go block, Merakyat Banget (MERAmpok raKYAT) Minuman Energi Kena Cukai, Jansen: Keuangan Sakit Keras, Rakyat Jadi Korban #RezimGilaCukai @sorotnews</t>
  </si>
  <si>
    <t>Pada tanggal 20 Februari 2020, KBRI Athena telah memfasilitasi pemulangan WNI overstayer yang memiliki masalah kesehatan a/n Titin Muksin Dalil ke Indonesia. #inidiplomasi #indonesianway #negaramelindungi</t>
  </si>
  <si>
    <t>RT @calon_ughtea: kita hidup di zaman. umat islam sendiri yang menjatuhkan sesama saudara beriman. aealah, gitu tu kalo islam nya keturunan, ada yg hijrah dibilang khwarij, isis, hti, fanatik sama agama. pdhl mah mereka aja yg terlalu cinta dunia😴 susah jelasin sama orang yg pemikirannya kek gitu</t>
  </si>
  <si>
    <t>RT @republikaonline: WNI itu tidak pernah melakukan penerbangan di China, tapi terinfeksi dari majikannya,</t>
  </si>
  <si>
    <t>Bikin UU yang lebih krusial saja Pak/Buk, UU Hukum Mati Koruptor! Jika negara bersih dari koruptor kesejahteraan rakyat terwujud, fasilitas umum terpenuhi. Yakinlah, ketahanan setiap keluarga WNI bukan sekedar fatamorgana.</t>
  </si>
  <si>
    <t>Pantau Kondisi WNI di Kapal Pesiar Diamond Princess, Pemerintah Indonesia Terus Jalin Komunikasi dengan Jepang</t>
  </si>
  <si>
    <t>Eks Napi Teroris Akui Menyesal Ikut ISIS  #IndonesiaDamai</t>
  </si>
  <si>
    <t>Pemerintah Terus Pantau Kondisi WNI di Kapal Pesiar Diamond Princess “Sampai saat ini saya tlh menerima info bahwa ada empat yg terkena dan positif kena virus korona di kapal pesiar Diamond Princess yg ada di Jepang dan itu sdh dibawa juga ke rumah sakit</t>
  </si>
  <si>
    <t>@AhlulQohwah @miaemilymia Tdk bisa anak2 isis bukan anak Indonesia, mereka tdk mengakui Indonesia sebagai negara mereka. Fokus sama anak2 WNI saja pak</t>
  </si>
  <si>
    <t>RT @tribunnews: TNI AU Ini Harus Bohong ke Keluarga Saat Evakuasi 238 WNI di China: Saya Tidak Bilang Mau ke Wuhan  via @tribunnewswiki</t>
  </si>
  <si>
    <t>@tvOneNews WNI eks. ISIS itu adalah warga negara yang sudah "murtad" secara kewarganegaraan, tujuan mereka dulu bergabung dengan ISIS justru karena "tidak suka" dgn Pemerintah dan NKRI. Kalau sdh benci, kenapa harus pulang ?</t>
  </si>
  <si>
    <t>@AndromedaMcfc @dropposh @RafaellenderG @ed_harrie @DjokoEdhi1 Yang laen sih drun,, DITII,, LDII,, ISIS KOK PKI TRUS,, jangan jangan... Terusin kaga ya.... 👻👻👻👻😝😝😝😝😝</t>
  </si>
  <si>
    <t>RT @DreamersRadioID: [UPDATE] WNI Terjangkit Virus Corona di Singapura Dinyatakan Sembuh!</t>
  </si>
  <si>
    <t>TNI AU Ini Harus Bohong ke Keluarga Saat Evakuasi 238 WNI di China: Saya Tidak Bilang Mau ke Wuhan  via @tribunnewswiki</t>
  </si>
  <si>
    <t>RT @SCTV: WNI terjangkit corona dari kapal pesiar Diamond Princess bertambah, pemerintah siapkan tim penjemput 74 orang lainnya untuk pulang ke tanah air. #Liputan6SCTV</t>
  </si>
  <si>
    <t>RT @kompascom: Pemerintah melalui Kementerian Luar Negeri (Kemenlu) terus berkoordinasi dengan Pemerintah Jepang terkait proses evakuasi WNI di kapal Diamond Princess. &gt; #Nasional</t>
  </si>
  <si>
    <t>@Shaheem_safik 😢😢😢😢😢.. enda ipdi Allah thevadiya paya pera vachikitu imsai pandringa.. ISIS naayea</t>
  </si>
  <si>
    <t>Pemerintah melalui Kementerian Luar Negeri (Kemenlu) terus berkoordinasi dengan Pemerintah Jepang terkait proses evakuasi WNI di kapal Diamond Princess. &gt; #Nasional</t>
  </si>
  <si>
    <t>RT @syifabatrisyiaa: “awak semua kan budak kelas depan” aku pantang dengar ayat ni. cikgu, kami juga manusia yang tidak sempurna. kami duduk kelas depan tidak bermakna all subjects kami score and pandai :)))</t>
  </si>
  <si>
    <t>Kemenkes Ungkap Alasan Pemulangan WNI di Kapal Diamond Princess Lebih Kompleks</t>
  </si>
  <si>
    <t>Ini bahan utk Bang @TofaTofa_id malam nanti di @tvOneNews. ISIS dan OPM sama persis tdk mengakui RI, tp OPM yg menyerang Kodim Wamena dan menewaskan 3 TNI, diadili zaman SBY justru diampuni rezim sekarang dan tdk copot kewarganegaraan mrk. Mengapa standar ganda dgn ISIS?  RT @tvOneNews: Keputusan Pemerintah RI menolak pemulangan WNI Eks ISIS menyisakan pertanyaan. Benarkah status kewarganegaraan WNI eks ISIS tersebut otomatis gugur? Lantas bagaimana nasib anak-anak tak berdosa yang hanya mengikuti kehendak orang tua mereka? Dua Sisi malam di tvOne #DuaSisitvOne</t>
  </si>
  <si>
    <t>Menkum HAM Masih Kaji Pencabutan Status WNI Eks ISIS</t>
  </si>
  <si>
    <t>74 WNI Negatif Corona di Kapal Pesiar Bakal Dievakuasi &gt;&amp;gt;</t>
  </si>
  <si>
    <t>@YouTube Oh iya, dari video ini, SOP buat WNI yg sempet di karantina di Natuna, penanganannya udah sesuai. Krn klo ga ada gejala COVID-19, ga perlu test kit (selain alasan krn biaya mahal)</t>
  </si>
  <si>
    <t>@tvOneNews Kali ini setuju dg pemerintah untuk TIDAK memulangkan eks. ISIS, apa jaminannya coba bahwa mrk benar2 "eks"</t>
  </si>
  <si>
    <t>@TirtoID Cape jd wni aing mah</t>
  </si>
  <si>
    <t>Di blok ama si WNI Kopenhagen, padahal wa cuma kasih 😂 atas postingan orang lain. Padahal kata ybs, ga ngaruh omongan orang di twitter. Kocak emang netijen ini 🤣🤣🤣</t>
  </si>
  <si>
    <t>Kemlu Dalami Opsi Pemulangan WNI Awak Kapal Diamond Princess</t>
  </si>
  <si>
    <t>@ramzipandu_18 @Paraeng @nbask18 @Cristiano @Robpat27 Konon bolanya mendarat di padang pasir dekat persembunyian bos ISIS</t>
  </si>
  <si>
    <t>@AhlulQohwah Mirip Narasai Pemberontak Suriah Dan ISIS Yang Kafirkan Istri Presiden Assad Kafir</t>
  </si>
  <si>
    <t>Presiden: KBRI pantau WNI positif corona di kapal Diamond Princess</t>
  </si>
  <si>
    <t>Tolak WNI eks ISIS masuk ke Indonesia #isisgotohell</t>
  </si>
  <si>
    <t>RT @tempodotco: Seorang WNI di Singapura yang sempat tertular virus Corona atau COVID-19 telah dinyatakan sembuh.</t>
  </si>
  <si>
    <t>RT @Zulkiflilubis71: Debat Soal WNI Eks ISIS, Gayus Lumbuun Sebut Ngabalin Bodoh  Youtube :</t>
  </si>
  <si>
    <t>RT @notifindonesia: Terjangkit Virus Corona Dua Penumpang Diamond Princess Meninggal, Indonesia Segera Evakuasi 74 WNI dari Yokohama  lewat @Notif Indonesia</t>
  </si>
  <si>
    <t>RT @rmol_id: Bakal Evakuasi WNI Awak Kapal Pesiar Diamond Princess, Pemerintah Siapkan 2 Opsi #EvakuasiWNIDiamondPrincess #EvakuasiKorbanVirusCorona #RepublikMerdeka</t>
  </si>
  <si>
    <t>@tvOneNews @karniilyas Ini yg dukung eks isis pulkam ya?</t>
  </si>
  <si>
    <t>Sekretaris Direktorat Jenderal Pencegahan dan Pengendalian Penyakit Kementerian Kesehatan, Achmad Yurianto, mengatakan Kemenkes RI berencana akan memulangkan seluruh warga negara Indonesia (WNI) yang berada di kapal…</t>
  </si>
  <si>
    <t>Bah @gusnurilarifin @gusnuril mohon PBM ; pasukan berani mati-nya diaktifkan kembali.. biar enak ini arek2 basminya curut2 bongkrek fenbois khilafah isis hti.. yo gak Gus @SuryaMajapahi7 @PGNJateng RT @KatolikG: Pak @Kemenag_RI Pak @jokowi ini ada pesan dari Gus Nuril: #CabutSKB2Menteri "Biarkanlah kami hidup sendiri, kami mengatur cara sendiri, beribadah sendiri." "Jangan ada penistaan, jangan ada pengrusakan di mana tempat disebut nama Allah."</t>
  </si>
  <si>
    <t>@raviterb @ANI Yes sahi bola eak Pappu khud ko Hindu bolta jenui dhari ohi bola ki Hindu terror ISIS Laskar Hejbul sey jada khotornat kahey ? Eak sachha Hindu kobi khud ko atonki biologi jabab mango Hindu Italian Aur Pappu (Tubelight ) sey jarur mango vai Bohin har Hindu jo apna ko Hindu bolta</t>
  </si>
  <si>
    <t>Minggu lalu di Mata Najwa, pemerintah ternyata bisa pulangin WNI Eks ISIS eh ISIS eks WNI eh WNI eh apa sih</t>
  </si>
  <si>
    <t>Tolak kepulangan WNI Eks ISIS</t>
  </si>
  <si>
    <t>Tolak WNI eks ISIS</t>
  </si>
  <si>
    <t>RT @IdEmbassy_Seoul: Selalu pantau juga berita di media massa di Korea Selatan dan meningkatkan kekompakan sesama WNI demi memastikan keselamatan kita semua.</t>
  </si>
  <si>
    <t>RT @IdEmbassy_Seoul: Bagi seluruh WNI harap senantiasa menjaga kebersihan tangan dengan hand sanitizer ataupun mencuci tangan dengan sabun secara berkala, menggunakan masker apabila berada di tempat umum, serta menghindari kontak dengan hewan liar dan makan daging mentah/setengah matang.</t>
  </si>
  <si>
    <t>Kemenkes: 3 WNI yang Terinfeksi Covid19 di Kapal Pesiar Diamond Princess Stabil</t>
  </si>
  <si>
    <t>RT @hariankompas: Selamat Pagi Sahabat Kompas, Sebuah kabar dari Jepang empat WNI yang terinfeksi virus korona baru tengah menjalani pemeriksaan di dua rumah sakit negara itu. Mereka adalah kru kapal pesiar Diamond Princess. Ada 74 WNI yang menjadi kru kapal itu. #adadikompas #KawandalamPerubahan</t>
  </si>
  <si>
    <t>Bakal Evakuasi WNI Awak Kapal Pesiar Diamond Princess, Pemerintah Siapkan 2 Opsi #EvakuasiWNIDiamondPrincess #EvakuasiKorbanVirusCorona #RepublikMerdeka</t>
  </si>
  <si>
    <t>Terjangkit Virus Corona Dua Penumpang Diamond Princess Meninggal, Indonesia Segera Evakuasi 74 WNI dari Yokohama  lewat @Notif Indonesia</t>
  </si>
  <si>
    <t>Untuk WNI di 34 Propinsi kalo2 nanti ada survey ttg JKT lagi datanya ini ya. RT @__aiek_esthreem: @Fw_fa_h @zarazettirazr @_garuda501 @utuntauk @DonAdam68 @TrisnaKSasmita @art70831579 @hairUnisah21 @fahiraidris @R_Syuhada8 @ERNA_HAN18 @02diah_soewarno @Armiyadimalik @Hendrick671 @Si_Bee @KingTukijan_01 Data Banjir DKI dari BMKG, Bappenas &amp; BPBD 💥Tahun 2013 era Jokowi 💥Tahun 2015 era Ahok 💥Tahun 2020 era Anies Gue ga komentar banyak, ntar ada yg dipermalukan 🤭 Baca detail disini 👇 Banjir DKI Kok Surveinya Di 34 Provinsi, Pasti Ngawur!</t>
  </si>
  <si>
    <t>3 WNI Terinfeksi COVID-19, Nia Rama**ani tak tahu cara mengenakan masker. Begini selengkapnya... RT @catuaries: 3 WNI positif terinfeksi COVID-19 Siap-siap ntar udah keluar aja siapa namanya, kampungnya di mana, lalu wartawan nanya ke orang tuanya apakah ada firasat akan terkena COVID-19, apa makanan kegemarannya, hobi kulinernya, ukuran sepatunya, komentar artis irrelevant, etc</t>
  </si>
  <si>
    <t>Jokowi akan memutuskan evakuasi terhadap WNI di kapal pesiar dalam 1-2 hari ke depan</t>
  </si>
  <si>
    <t>#Komentar - Basrowi - Anak-Anak Eks ISIS, Iklim Investasi, Islamophobia -</t>
  </si>
  <si>
    <t>RT @Yeyen41020695: @realPriGim @AristonoHerawan @bwd12 @BlackisBlackMSS @YuliEndah3 @Sholahuddinwah3 @waendhut @BatikRiwa @banjar_sqaz @Iwan90 @WiraPra90 @achzam_prabu @MayaHongCha1 @AfifMs98 @MayaLiCha1 @Quntuz @Pawitnursalim Kita jangan putus asa dlam bersikap thd Sesama Manusia. Hrs toleransi thd keyakinan orang lain. Jadilah WNI yg selalu menghargai Budaya Indonesia tercinta. #4niesRusakCagarBudaya</t>
  </si>
  <si>
    <t>RT @Usamahzaid18: Kenapa yakin sangat claim cara ustaz tu kejut subuh is 'asal usul ISIS'...kau mufti eh...better kau check diri kau dulu...takut2 ada ideologi ISIS dlm kepala kau sampai kau meng'ISIS'kan pulak org lain...SO CHILDISHHH</t>
  </si>
  <si>
    <t>Ini Dua Opsi Pemulangan WNI dari Kapal Diamond Princess</t>
  </si>
  <si>
    <t>@buahkalindungan Kadrun Suka Di Bolak-Balik Padahal Pemberontak Assad &amp; ISIS Yang Bantai Orang Suriah</t>
  </si>
  <si>
    <t>RT @CNNIDdaily: Jumlah kru kapal pesiar di Jepang asal Indonesia yang positif virus corona bertambah menjadi 4 orang. Kedubes Indonesia di Tokyo sudah mengirim tim untuk memantau keempat WNI tersebut. #CNNIDAfter10</t>
  </si>
  <si>
    <t>@hussainhaidry @sushant_says ISIS ka ideological guru bharat me</t>
  </si>
  <si>
    <t>RT @senasurya53: @KompasTV #kompaspagi Banyak WNI YG tertular virus Corona satu bukti bahwa wni tidak kebal! HANYA KAUM GOBLOK FANATIK TOLOL KEBANGETAN yg katakan kebal krn makan SELEKTIF ! KEPALA LO PÈYANG! OTAK LO IKUT PÈYANG!</t>
  </si>
  <si>
    <t>@KompasTV #kompaspagi Banyak WNI YG tertular virus Corona satu bukti bahwa wni tidak kebal! HANYA KAUM GOBLOK FANATIK TOLOL KEBANGETAN yg katakan kebal krn makan SELEKTIF ! KEPALA LO PÈYANG! OTAK LO IKUT PÈYANG!</t>
  </si>
  <si>
    <t>@KompasTV #kompaspagi Para kadal fanatik goblok, disimak info dr KOMPAS! Wni terduga terpapar Corona lakukan check di RS Tanggerang dan RS nyatakan gak mampu mendeteksi! Dirujuk ke JKT tp salah diagnosa, shrsnya periksa Tenggorokan, malah check darah?</t>
  </si>
  <si>
    <t>Setibanya di Indonesia, WNI akan jalani masa karantina</t>
  </si>
  <si>
    <t>WNI terjangkit corona dari kapal pesiar Diamond Princess bertambah, pemerintah siapkan tim penjemput 74 orang lainnya untuk pulang ke tanah air. #Liputan6SCTV</t>
  </si>
  <si>
    <t>@tvOneNews @karniilyas Biarkan klompotan isis berbahagia dgn jalannya... gak usah di bahas.. mohon di batalkan saja acara ini</t>
  </si>
  <si>
    <t>RT @kompascom: Pemerintah berencana mengevakuasi WNI yang dikarantina di kapal pesiar Diamond Princess - #BreakingNews #Nasional</t>
  </si>
  <si>
    <t>@TimoSu1 @ISIS_Balik_NO @KatolikG @MUIPusat @ustadtengkuzul @Kiyai_MarufAmin @kemenda lha mau ngaku "mantan-paus" ya nggak bisa, "samudra" nya lg di "bangun" .. bkn gtu mz udzst. Bangun Samudra?</t>
  </si>
  <si>
    <t>China is shutting down internet. Bagaimana @Kemlu_RI @Menlu_RI @KemenkesRI memantau WNI yg masih disana? @tvOneNews @kompascom</t>
  </si>
  <si>
    <t>Awalnya saja yang bagus dan berkata: "saya menteri bukan agama Islam saja, tapi saya menteri semua agama" eh kok tiba-tiba mendukung ISIS, dan FPI, ini yang membuat @Kemenag_RI Jadi merosot dan bertanya: ada apa dengan mereka? RT @permadiaktivis: Alfian Tanjung residivis, Rahmat Baequni kriminal, @ustadtengkuzul penebar hoax, ustad2 bermasalah ini masih rutin diundang ke masjid2. @Kemenag_RI banyak PR, selain intoleransi, harus menertibkan ustad2 bermasalah. Tolong pak @jokowi 🙏 kalo pak menag FR masuk angin reshufle aja</t>
  </si>
  <si>
    <t>@Yanto78537100 @7evenClothes Sekarang Pendukung ISIS Saja Bisa Masuk TNI @mohmahfudmd</t>
  </si>
  <si>
    <t>Pemerintah berencana mengevakuasi WNI yang dikarantina di kapal pesiar Diamond Princess - #BreakingNews #Nasional</t>
  </si>
  <si>
    <t>"Sekali lagi kita masih terus membahasnya dengan otoritas Jepang," ujar Jokowi.</t>
  </si>
  <si>
    <t>WNI di Singapura yang sempat diisolasi akibat positif terjangkit corona kini telah dinyatakan sembuh. WNI tersebut kini telah dipulangkan dari rumah sakit. #ZonaLaguEnak w/ @ankafaza</t>
  </si>
  <si>
    <t>4 WNI di Kapal Diamond Princess Positif Corona, Kondisi saat Ini Stabil</t>
  </si>
  <si>
    <t>Sriram (ISIS) sene! RT @keypadguerilla: New kid on the block: #Sriramsene 's Siddalinga Swamiji: Those who chanted pakistan zindabad slogans (3 #Kashmiri students) if you cut their tongue, Sri Ram Sene will reward them with RS. 1 lakh for each tongue. Hence Rs. 3 lakh for three tongues will be rewarded to them.</t>
  </si>
  <si>
    <t>@realPriGim @AristonoHerawan @bwd12 @BlackisBlackMSS @YuliEndah3 @Sholahuddinwah3 @waendhut @BatikRiwa @banjar_sqaz @Iwan90 @WiraPra90 @achzam_prabu @MayaHongCha1 @AfifMs98 @MayaLiCha1 @Quntuz @Pawitnursalim Kita jangan putus asa dlam bersikap thd Sesama Manusia. Hrs toleransi thd keyakinan orang lain. Jadilah WNI yg selalu menghargai Budaya Indonesia tercinta. #4niesRusakCagarBudaya</t>
  </si>
  <si>
    <t>Bingung mau gabung circle yang mana, seorang pemuda penggiat social media twitter kini bergabung dengan circle bernama Isis Twitterland. [uwow halo densus88]</t>
  </si>
  <si>
    <t>RT @2_devout: @3_devout @sahaL_AS @jokowi Wapres Ma'ruf Amin Diharapkan Jadi Leading Sector Pemulangan Eks ISIS</t>
  </si>
  <si>
    <t>KBRI Pantau WNI Positif Corona di Kapal Diamond Princess</t>
  </si>
  <si>
    <t>3 WNI Kru Kapal Pesiar Jepang Diamond Princess Positif Terinfeksi Virus Corona.</t>
  </si>
  <si>
    <t>Pemerintah Pantau 4 WNI Positif Virus Korona di Kapal Diamond Princess #TauCepatTanpaBatas #BeritaTerkini #Berita #News #BeritaNasional .</t>
  </si>
  <si>
    <t>RT @Indosiar: WNI terjangkit virus corona di kapal pesiar Diamond Princess bertambah! Kini jumlah pasien menjadi empat orang. #IndosiarBerita</t>
  </si>
  <si>
    <t>WNI di Singapura Dinyatakan Sembuh dari Corona</t>
  </si>
  <si>
    <t>@CNNIndonesia Bisa jadi ada yang telah membawa wabah Corona ke Indonesia, seperti beberapa WNI yang kemaren baru kembali dari melaksanakan perjanan ke Jepang, baik Pribadi maupun Dinas.</t>
  </si>
  <si>
    <t>RT @__Aiek__Channel: #TolakOmnibusLawRasaKomunis #TolakOmnibusLawRasaKomunis Bertambah 1 Orang, Total Ada 4 WNI di Kapal Pesiar Jepang Positif Corona</t>
  </si>
  <si>
    <t>@Detektif_Ngibul @wahhabicc_jabar @WahabisLokal @narkosun @AfifFuadS Kadrun pengabdi isis</t>
  </si>
  <si>
    <t>@RizmaWidiono @aniesbaswedan Situs sejarah Islam juga habis dihancurkan ISIS... Mirip ama wan Aibon, yak... sesama cucu Wahabi</t>
  </si>
  <si>
    <t>RT @Metro_TV: Menteri Luar Negeri Retno Marsudi menyebut, tiga WNI kru kapal pesiar Diamond Princess positif terkena virus corona. Ketiganya telah menjalani pemeriksaan lanjutan di rumah sakit di Chiba, Jepang. #HeadlineNewsMetroTV</t>
  </si>
  <si>
    <t>@tvOneNews @karniilyas Paling enak jadi WNI EKS PKI!!!😁😁😅😅Aman Sentausaa..😆😆😆😆</t>
  </si>
  <si>
    <t>#NewslineMetroTV 4 orang WNI yang terinfeksi virus COVID-19 di kapal pesiar Diamond Princess tengah menjalani perawatan intensif di 2 rumah sakit berbeda di kota Chiba dan Tokyo, Jepang dan akan terus dipantau oleh tim KBRI di Jepang.</t>
  </si>
  <si>
    <t>RT @kompascom: Kemenkumham masih mendata identitas mereka secara riil untuk mengambil opsi penerbitan kepmen tersebut.</t>
  </si>
  <si>
    <t>4 WNI Positif Corona di Jepang, Jokowi: Pemerintah Terus Pantau Kondisinya</t>
  </si>
  <si>
    <t>Upaya evakuasi 245 Warga Negara Indonesia (WNI) di Wuhan yg dilakukan pemerintah Indonesia berjalan lancar.⠀ ⠀ Proses evakuasi WNI di Wuhan tersebut dilakukan oleh Kementrian Luar Negeri (Kemenlu) bersama 18 awak…</t>
  </si>
  <si>
    <t>Fraksi NasDem DPR RI menerima WNI yang dievakuasi dari Wuhan, Cina, "Kita patut syukuri. Tetapi ingat, pemerintah jangan sampai lengah. Tunjukanlah kewaspadaan tersebut sebagai konfirmasi kredibilitas Indonesia terbebas dari virus Corona," kata @farhanpenyiar #KaderNasDem</t>
  </si>
  <si>
    <t>WNI gak SNI 💸💸💸</t>
  </si>
  <si>
    <t>Opsi yang telah disimpulkan bersama adalah penjemputan dengan menggunakan Kapal Rumah Sakit dr. Suharso milik TNI AU atau penjemputan melalui udara.</t>
  </si>
  <si>
    <t>RT @vivanewscom: Jokowi Minta Penanganan WNI di Kapal Pesiar Sesuai Standar WHO  #vivanews</t>
  </si>
  <si>
    <t>@DonAdam68 Luar binasa, lama2 Bu Mentri kita ini Macem Motor Yamaha Semakin di depan, Wni Kentut harus pake Cukai Semua.. 🤣💯😂</t>
  </si>
  <si>
    <t>RT @bebasdotid: Berikut artikel opini dari Reynaldi Adi yang membahas mengenai topik tersebut:</t>
  </si>
  <si>
    <t>RT @bebasdotid: Isu mengenai pemulangan Warga Negara Indonesia eks ISIS ke tanah air menimbulkan pro dan kontra. Sebagian pihak menolak dengan alasan keamanan, akan tetapi sebagian yang lain mendukung karena kemanusiaan. Lantas, bagaimana seharusnya kita menanggapi isu tersebut?</t>
  </si>
  <si>
    <t>Jokowi Minta Penanganan WNI di Kapal Pesiar Sesuai Standar WHO  #vivanews</t>
  </si>
  <si>
    <t>Cegah Corona, Pemerintah Bakal Karantina 74 WNI yang Dipulangkan dari Kapal Diamond Princess  via @tribunnews</t>
  </si>
  <si>
    <t>RT @StrawBeeze: @ilysmbabybear @SquidwardRajin @spoilagedcapo @ravenclawmate @catuaries 3 WNI terpapar virus corona, Nia Ramadhani khawatir karena cukup dekat dengan Batman</t>
  </si>
  <si>
    <t>RT @ilysmbabybear: @SquidwardRajin @spoilagedcapo @ravenclawmate @catuaries 3 WNI terpapar virus corona, Nia Ramadhani tidak tau cara mengupas salak</t>
  </si>
  <si>
    <t>Pemerintah bakal evakuasi 74 WNI dari kapal pesiar Diamond Princess  #VirusCorona</t>
  </si>
  <si>
    <t>@dirgarambe @NEJM Klo kemarin WNI yg dikarantina di Natuna tampak sehat semuanya, tapi ga ada yg dites? 😰😰😰</t>
  </si>
  <si>
    <t>@PDI_Perjuangan Silakan bongkar satu per satu secara halus dari publik onta utk negara hancor. beda nya pembongkaran ismail marsuki dgn pembongkaran budaya di suriah irak oleh isis hanya lah antara secara kasar dan halus.</t>
  </si>
  <si>
    <t>RT @KompasTV: Jawa Tengah Ngirim Masker Kanggo WNI ing Telu Negara</t>
  </si>
  <si>
    <t>3 WNI Positif Corona dan Gugurnya Mitos Orang Indonesia Kebal Corona</t>
  </si>
  <si>
    <t>Menteri Luar Negeri Retno Marsudi menyebut, tiga WNI kru kapal pesiar Diamond Princess positif terkena virus corona. Ketiganya telah menjalani pemeriksaan lanjutan di rumah sakit di Chiba, Jepang. #HeadlineNewsMetroTV</t>
  </si>
  <si>
    <t>Ini pandangan mantan kombatan ISIS. Pemerintah harus memerlukan strategi khusus dalam menghadapi ratusan WNI Kombatan ISIS, pemerintah harus membuat instrumen khusus untuk mengukur kadar radikalisme dan memperbaiki program DERADIKALISASI yg dinilai masih kurang #LawanRadikalisme</t>
  </si>
  <si>
    <t>RT @kompascom: Presiden Joko Widodo mengatakan, pemerintah tengah menyiapkan rencana evakuasi 74 WNI di Kapal Diamond Princess.</t>
  </si>
  <si>
    <t>Cc: @KemenkesRI katanya kemarin WNI yg dikarantina tidak ada yg dites. Betulkah? RT @dirgarambe: Pd penelitian lain yg jg dipublikasi @NEJM menunjukkan bahwa terdapat 2 dr 126 WN Jerman yg dievakuasi dr Wuhan, positif #COVID19. Kedua org ini tdk menunjukkan gejala apapun saat karantina. Artinya, symptom-based screening tidak 100% efektif. Bisa kecolongan.</t>
  </si>
  <si>
    <t>RT @kompascom: "Sudah dirawat di darat, di beberapa rumah sakit yang ada di Jepang," ujar Muhadjir.</t>
  </si>
  <si>
    <t>"Sudah dirawat di darat, di beberapa rumah sakit yang ada di Jepang," ujar Muhadjir.</t>
  </si>
  <si>
    <t>Presiden Joko Widodo mengatakan, pemerintah tengah menyiapkan rencana evakuasi 74 WNI di Kapal Diamond Princess.</t>
  </si>
  <si>
    <t>@salsabila0307 @rifandibagisa @JOSE28523459 @Megatop99 @mohmahfudmd Pake kuotanya buat cari video yg bener nya, ada tuh terusannya yang bilang menolak tindakan isis karena menimbulkan perang antar sesama muslim dll... Jiwa fitnahnya kurangin dulu buat nyari kabar yg bener jgn ngikutin yg ga baek.</t>
  </si>
  <si>
    <t>Kemarin EX ISIS sudah ditolak oleh pemerintah akan niatnya pulang ke RI. Eh sekarang muncul lagi, anak dari EX ISIS MINTA PULANG DAN PEMERINTAH SEDANG MEMPERTIMBANGKAN?! Bapak @jokowi saya yakin anda memiliki kekuasaan disini. Hal ini tidak perlu dipertimbangkan lagu pak. Tolak.</t>
  </si>
  <si>
    <t>@kring_pajak hi min. Mau tanya dong untuk saya ada permintaan pengisian form w-8ben oleh salah satu perusahaan asuransi karena saya kelahiran us (tapi tetap wni) Tp saya ga ada income dari us. Apakah itu tetap isi form tsb?</t>
  </si>
  <si>
    <t>@narkosun Namanya juga ISIS</t>
  </si>
  <si>
    <t>RT @KBRITokyo: 🇲🇨 Menurut data resmi, seluruh 78 WNI di kapal tsb adalah ABK. Mari kita doakan dan beri semangat agar mereka semua tuntas diobservasi/dirawat dan dapat segera kembali ke kegiatan semula maupun keluarga masing2.</t>
  </si>
  <si>
    <t>3 WNI positif VIRUS CORONA dirawat di JEPANG #Virus #Corona #Coronavirus #NovelCoronavirus</t>
  </si>
  <si>
    <t>@permadiaktivis @raydhimz @DivHumas_Polri @Kemenag_RI @jokowi Provokasi , WNI pribumi tu terprovokasi sama oknum2 kaya Permadi dan sebagai WNI harus cerdas sama oknum yg bs nya ngompor2 in aja</t>
  </si>
  <si>
    <t>RT @TahtehKw: Tak Terduga, Heboh Isu “Impor” Kombatan ISIS ke Indonesia, Kita jadi Tahu Siapa-siapa Saja Pendukung ISIS di Sini  Kalau sudah tahu trus mau diapain nihh pak-bpk.</t>
  </si>
  <si>
    <t>@zarryhendrik Pres-nya pak ganjar. Wapres-nya pak ridwan. 😌 Anies dipecat dr WNI aja gapapa drpd bawel gajelas.</t>
  </si>
  <si>
    <t>Rusia Cuma Pulangkan Anak Anggota ISIS di Bawah Usia 18 Tahun, Kemanusiaan Jadi Alasan Utama  ternyat KEMANUSIAAN YANG ADIL DAN BERADAB berlaku di #Rusia</t>
  </si>
  <si>
    <t>Tak Terduga, Heboh Isu “Impor” Kombatan ISIS ke Indonesia, Kita jadi Tahu Siapa-siapa Saja Pendukung ISIS di Sini  Kalau sudah tahu trus mau diapain nihh pak-bpk.</t>
  </si>
  <si>
    <t>Jam segitu kalo dateng sekompi isis gmn RT @rafiabiyyu: skrng yg disalahin vendor wkwkwk  @ekbenlicious</t>
  </si>
  <si>
    <t>Lantas kenapa anis tidak dicopot saja? Negara takut hti fpi khilafah isis intoleran kadal gurun pemilih dan pendukungnya? Pemilihnya saja bukan org pancasila, kenapa dibiarkan jd gubernur ibukota? Pemerintah nkri msh ada nggak? Atau menunggu seorang "kanibal", atau sniper nekad? RT @yusuf_dumdum: "Rumah saya TU (Teuku Umar) itu masuk dalan Cagar Budaya DKI, itu saya kalau betulin, mesti minta izin," Kata bu Mega. Memang susah kalau ngomong sama org budek dan merasa paling hebat, sehingga tak peduli dg peraturan. Monas dirusak, TIM juga dirusak! 🤦‍♂️ #4niesRusakCagarBudaya</t>
  </si>
  <si>
    <t>1. NasDem Usul Cerita Mahasiswa Eks Wuhan Dibukukan Rasa sedih, khawatir, dan takut tidak diterima masyarakat menghantui para Warga Negara Indonesia (WNI) yang tinggal di Cina, sejak wabah virus Corona menyerang negeri tirai bambu tersebut. #NasDemAntiMahar #VirusCorona</t>
  </si>
  <si>
    <t>@arikowid @KatolikG Ndak ape,banyak gak alumni isis nantik kuliah divatican</t>
  </si>
  <si>
    <t>@jr_kw19 Kursus online ama ISIS keqnya, apa-apa dihancurin...</t>
  </si>
  <si>
    <t>Yang merasa WNI silakann diisii RT @bps_statistics: Selamat pagi, Indonesia 🇮🇩 Sensus Penduduk Online masih bisa diakses hingga tanggal 31 Maret 2020. Buktikan pada dunia bahwa Indonesia sadar pentingnya arti data untuk masa depan! Oiya, sensus hanya dilakukan di  ya! #MencatatIndonesia #SP2020</t>
  </si>
  <si>
    <t>WNI di Kapal #Diamond #Princess Positif #Corona , #Tak Ingin #Orang #Lain #dan #Keluarga Tertular</t>
  </si>
  <si>
    <t>Jumlah WNI yang positif terjangkit COVID-19 di Kapal Diamond Princess di perairan Yokohama, Jepang, bertambah</t>
  </si>
  <si>
    <t>Hi sohIB, tahukah kamu bahwa selain Indonesia, ada beberapa negara lain yg juga memberlakukan aturan u/ menolak memulangkan warganya yg terlibat dengan ISIS #IndonesiaBaik #YangMudaSukaData #Infografis #ProgramPemerintah #UUKewarganegaraan #ISIS</t>
  </si>
  <si>
    <t>Jokowi: 4 WNI Positif Corona Ada di RS di Jepang</t>
  </si>
  <si>
    <t>@abigailkeisha1 @alywafa_29 @MaurenAdventia Biar isis anjenggg</t>
  </si>
  <si>
    <t>Btw people yang tidak terinfeksi corona dari diamond princess cruise kan boleh pulang. Nah "pulang" ini gimana untuk yang WNI ya? @Menlu_RI</t>
  </si>
  <si>
    <t>Pemerintah Berinisiatif Evakuasi WNI di Kapal Diamond Princess #TauCepatTanpaBatas #BeritaTerkini #Berita #News #BeritaNasional .</t>
  </si>
  <si>
    <t>Omg wni yg kerja d kapal pesiar udh ada 4 org yg terkena virus corona, gilagila lgsg inget video2 yg di cina hrs pelukan jauh ama anak dan calon suaminy ampe nangis2 krna salah satunya terkena virus corona. Jgn sampe:(</t>
  </si>
  <si>
    <t>Terlihat egosentris sih, Nada nangis waktu dia cerita tentang dirinya dan kepentingannya. Kalau bapaknya yaudahlah, isis nya udah melekat. RT @BBCIndonesia: [Video] Nada Fedulla, seorang WNI, dibawa ayahnya yang menjadi anggota ISIS ke Suriah. Nada terpaksa meninggalkan sekolahnya di Indonesia dan melupakan cita-citanya menjadi dokter. Kini dia tak bisa pulang. Bisakah Nada memaafkan ayahnya?</t>
  </si>
  <si>
    <t>RT @okezonenews: Seorang WNI Positif Covid-19 di Singapura Sudah Dinyatakan Sehat #TauCepatTanpaBatas #BeritaTerkini #International #BeritaInternasional .</t>
  </si>
  <si>
    <t>ISIS itu pasti merusak peradaban dan peninggalan tempat suci... Lah sekarang mulai berani merusak peninggalan cagar budaya ,kalau dibiarkan bagaimana nanti kedepannya... #4niesRusakCagarBudaya</t>
  </si>
  <si>
    <t>Pemerintah Indonesia masih melakukan kajian terkait wacana evakuasi terhadap WNI yang menjadi kru di kapal pesiar Diamond Princess, Jepang.</t>
  </si>
  <si>
    <t>@RAndilyan @andxz @musniumar Nipu, maling, galang dana ga jelas juntrungan dan transparansinya, mencaci maci lambang, sombol dan sendi negara, mau mrngganti NKRI dan pancasila, radikal, bergabung dg ISIS itu beda pendapat ya? Hancurlah negara ini kalau yg begitu anda klasifikasi sbg beda pendapat!</t>
  </si>
  <si>
    <t>Jokowi: Pemerintah Terus Pantau 4 WNI Positif Corona di Jepang</t>
  </si>
  <si>
    <t>@siapmuasinkamu Suka skali..... Memek nya dek</t>
  </si>
  <si>
    <t>Keputusan Pemerintah RI menolak pemulangan WNI Eks ISIS menyisakan pertanyaan:Benarkah status kewarganegaraan 689 WNI Eks ISIS tersebut otomatis gugur?Lalu bagaimana nasib anak-anak tak berdosa yg terjebak propaganda ISIS?SAKSIKAN MALAM INI PUKUL 21.00 Wib @karniilyas @tvOneNews</t>
  </si>
  <si>
    <t>RT @ChrisTetty: Gubernur Khofifah minta masyarakat Tak Khawatir WNI asal Jatim yang pulang dari Wuhan</t>
  </si>
  <si>
    <t>@DEQLZ1012 @haikal_hassan Bkn hanya ISIS, teroris di new zealand yg bantai puluhan umat islam saat hendak menjalankn ibadah sholat Jumat di masjid itu gimana? Berperikemanusiaankah? white power Rasis?</t>
  </si>
  <si>
    <t>RT @mediaindonesia: Salah satu opsi itu adalah dijemput menggunakan kapal rumah sakit milik TNI.</t>
  </si>
  <si>
    <t>@Davri_Indra Ndk ISIS, ben digawe markas</t>
  </si>
  <si>
    <t>Gubernur Khofifah minta masyarakat Tak Khawatir WNI asal Jatim yang pulang dari Wuhan</t>
  </si>
  <si>
    <t>@Sorethroat9 lunas) - Tidak sedang menjalani sanksi Surat Peringatan I, II, II/Skorsing - Dokumen yang dibutuhkan seperti: KTP, Slip gaji /Surat Keterangan Perusahaan, Paspor BCA dan NPWP (khusus pengajuan mulai dari Rp. 50 juta) - Status Kewarganegaraan WNI (3/9) ^Leo</t>
  </si>
  <si>
    <t>@Sorethroat9 Wiraswasta/Pengusaha wajib melampirkan SIUP/TDP. - Status Kewarganegaraan WNI berdomisili di Indonesia Pengajuan akan diproses selama 14 – 21 hari kerja. Besarnya plafon pinjaman yaitu minimal Rp. 5.000.000 – Rp. 100.000.000 dengan pilihan tenor 1 (6/9) ^Leo</t>
  </si>
  <si>
    <t>ini mksdnya ada WNI kena Corona?</t>
  </si>
  <si>
    <t>RT @vivanewscom: WNI, Jangan Coba-coba Cari Suaka ke Australia dengan Cara Ini  #vivanews</t>
  </si>
  <si>
    <t>RT @presidentyrex: Ninu ninu ninu... Pasal pornografi dan pornoaksi nih, Komisi Penyiaran ISIS @KPI_Pusat</t>
  </si>
  <si>
    <t>WNI, Jangan Coba-coba Cari Suaka ke Australia dengan Cara Ini  #vivanews</t>
  </si>
  <si>
    <t>Seorang WNI Positif Covid-19 di Singapura Sudah Dinyatakan Sehat #TauCepatTanpaBatas #BeritaTerkini #International #BeritaInternasional .</t>
  </si>
  <si>
    <t>lihat anaknya beri kode tebas leher hasil cuci otak isis" Setelah kami melakukan penelusuran informasi tersebut adalah SALAH. [PENJELASAN] Faktanya video tersebut adalah video pernikahan pasangan pengantin asal Malaysia. Video ini viral setelah diunggah wanita bernama Dhia Nadia</t>
  </si>
  <si>
    <t>ANAK BERI KODE TEBAS LEHER KARENA HASIL CUCI OTAK ISIS [DISINFORMASI] Beredar di media sosial sebuah video dengan narasi "Yang wanita janda ISIS berhasil pulang bawa anaknya.... terus nikah... bapak sambung nya... mau ditebas lhernya oleh anaknya...</t>
  </si>
  <si>
    <t>Jawa Tengah Ngirim Masker Kanggo WNI ing Telu Negara</t>
  </si>
  <si>
    <t>Wow WNI terkena Corona tapi bisa sembuh. Pasti berkat teh anget dan minyak kayu putih tuh hehehe</t>
  </si>
  <si>
    <t>RT @yanahilman2: nich...!! ada anak onta penyuka OVEN BO ngatain teman kita penipu. mau di ajak ngopi bareng... monggo silahkan,</t>
  </si>
  <si>
    <t>@nanaa_najaem @fkjunkyu hey gwe wni kok bkn wna😟</t>
  </si>
  <si>
    <t>Reposted from @PKPU_Aceh 238 WNI BEBAS VIRUS CORONA . Setelah menjalani 2 pekan lebih perjuangan dari Wuhan ke Batam dan akhirnya diobservasi ke Natuna, 238 WNI dinyatakan bebas virus corona. . Kabar yang…</t>
  </si>
  <si>
    <t>RT @Media_linked: RT TRANS7 "RT HitamPutihT7: Cerita proses pemulangan WNI di Wuhan yang ternyata penuh dengan keharuan. #HitamPutih "</t>
  </si>
  <si>
    <t>@TimoSu1 @KatolikG @MUIPusat @ustadtengkuzul @Kiyai_MarufAmin @kemenda Skill jelas ada dong....."MEMBUAL"...spt skilnya @rockygerung</t>
  </si>
  <si>
    <t>Anak-anak NIIS Eks WNI: Ancaman atau Harapan?</t>
  </si>
  <si>
    <t>Keputusan pemerintah sudah tepat untuk menolak eks Kombatan ISIS kembali ke Indonesia, akan tetapi pemerintah mempertimbangkan anak anak eks ISIS untuk kembali..akankah ada yang bisa menjamin keamanan Indonesia di masa akan datang???</t>
  </si>
  <si>
    <t>RT @RinjaniJB: Nonton Video ini, betul-betul membangkitkan emosi dan kejengkelan kpd kedua wanita ISIS itu. Jawaban mereka begitu remeh, seenak perutnya. Berangkat bakar paspor, jadi kombatan ISIS, trus seenaknya mau pulang ke Indonesia. Kalian teroris woooi ! #TolakAnakISISKembali</t>
  </si>
  <si>
    <t>@dewapuci @rockdijey Masalah yang sama teridentifikasi di tweet berikutnya tentang pasien COVID19 WNI di Singapura, dan saya konfirmasi juga RT @chocochic: @SEACoronavirus Again, from the article linked here, my interpretation is not that "Indonesian MFA tried to gain information..." They simply stated they don't have the information when asked by the media. The lack of concept of patient confidentiality could be from the media side, not Indo MFA</t>
  </si>
  <si>
    <t>@faridwinart @rifandibagisa @JOSE28523459 @Megatop99 @mohmahfudmd Jd seruan mendukung niat mulia isis itu fitnah..???? Trus yg lgi ngomong itu siapa..??🤣🤣🤣🤣</t>
  </si>
  <si>
    <t>Menlu RI Retno Marsudi mengatakan 3 dari 78 #WNI crew kapal pesiar #DiamondPrincess yang dikarantina di Jepang, dinyatakan positif #viruscorona Dua orang telah dibawa ke RS di Kota Chiba, Jepang.</t>
  </si>
  <si>
    <t>Alasan Kemenkes Tak Sebutkan Identitas 3 WNI Positif COVID-19 di Kapal Pesiar Princess…</t>
  </si>
  <si>
    <t>RT @insanmedika_id: Sempat Dikabarkan Aman, WNI di Kapal Pesiar Diamond Princess Positif Virus Corona Klik👉 5% Foto #SegoElekChallange Korea Selatan Pak Ganjar #HujanHujanEnaknya Atalanta #JENNIEREDxKT #MataNajwa Pak Bas 5 BTS #DemDebate Emil #UniversalCinta #FaktaSKM</t>
  </si>
  <si>
    <t>Sempat Dikabarkan Aman, WNI di Kapal Pesiar Diamond Princess Positif Virus Corona Klik👉 5% Foto #SegoElekChallange Korea Selatan Pak Ganjar #HujanHujanEnaknya Atalanta #JENNIEREDxKT #MataNajwa Pak Bas 5 BTS #DemDebate Emil #UniversalCinta #FaktaSKM</t>
  </si>
  <si>
    <t>@bung_ronron @ISIS_Balik_NO @Sir_Edwin Enakan naik motor !?,, Karena pas musim hujan ga kepanasan,, dan saat musim panas ga kehujanan 🙏🙏😂</t>
  </si>
  <si>
    <t>@MyLifeBaustian Jalooo #PijamadaBautister</t>
  </si>
  <si>
    <t>"3 WNI positif corona dikenal sahabat sbg pribadi ramah dan suka meminjamkan uang, begini kekayaannya, nomor 4 bkin tercengang, nomor 5 terbelalak, nomor 9 mengoper bola, nomor 10 bersiap2 di kotak penalti, baca selanjutnya..." Gitu mulu template beritanya palingan RT @catuaries: 3 WNI positif terinfeksi COVID-19 Siap-siap ntar udah keluar aja siapa namanya, kampungnya di mana, lalu wartawan nanya ke orang tuanya apakah ada firasat akan terkena COVID-19, apa makanan kegemarannya, hobi kulinernya, ukuran sepatunya, komentar artis irrelevant, etc</t>
  </si>
  <si>
    <t>Memulangkan anak eks ISIS sangat berpotensi menimbulkan masalah radikalisme di kemudian hari</t>
  </si>
  <si>
    <t>RT @axl_andrian: @ernajww @WR_4AG226 betina ini lebih parah dari kombatan isis..!!</t>
  </si>
  <si>
    <t>@KaryaNuryadin8 @mochamadarip Gak berani gw ribut sama elu. Jangan² elu komplotan Reinhard Sinaga. Retweetnya gawat. Sorry ngatain elu ISIS. Ternyata elu bukan ISIS, tapi......hahahaha...takuuuut.!</t>
  </si>
  <si>
    <t>RT @frrsnd: Warga +62 emang punya DNA BAR-BAR</t>
  </si>
  <si>
    <t>RT @harihariono1: @Julia_Zeed Dicarikan betina.....supaya beranak-pinak.....utk mencapai Indonesia basisnya ISIS.</t>
  </si>
  <si>
    <t>Update Virus Corona per 20 Februari 2020: Korban Meninggal Dunia Capai 2.128 Orang, 4 WNI Terinfeksi</t>
  </si>
  <si>
    <t>2 Pasien Tewas di Diamond Princess, 4 WNI Terinfeksi Corona Diamond Princess sudah dikarantina sejak awal Februari lalu di perairan Yokohama, Jepang. Meningkat semakin banyak lagi menjadi 621 orang dikonfirmasi terinfeksi corona.</t>
  </si>
  <si>
    <t>@KaryaNuryadin8 @mochamadarip Gw cuma manusia anti teroris, anti radikalisme, dan anti ISIS. Sdh paham, anggota ISIS?</t>
  </si>
  <si>
    <t>RT @ganjarpranowo: Masker ini kiriman dari warga Jawa Tengah untuk saudara-saudara WNI di Hongkong, Singapura dan Taiwan. Semoga saudara-saudara di sana selalu diberi kesehatan. Tetap kuat dan jaga persaudaraan.</t>
  </si>
  <si>
    <t>@tempodotco Jangan banyakan nonton sinetron mbah @muhadjir_ef tapi bisa juga dimulai dengan membuat fatwa untuk keluarga anda sendiri terlebih dahulu... ekspose dimedia... @Kemenag_RI lagi sibuk urus Ormas bisa keluarkan stempel halal, pemulangan kombatan isis dll yg Islami.</t>
  </si>
  <si>
    <t>RT @dirgarambe: Pemerintah memastikan bahwa 3 WNI yg bertugas sbg kru kapal pesiar Diamond Princess, positif #COVID19. Ini menguatkan bahwa virus ini bisa menginfeksi siapapun. Tidak terkait ras/etnis tertentu.</t>
  </si>
  <si>
    <t>@Julia_Zeed Dicarikan betina.....supaya beranak-pinak.....utk mencapai Indonesia basisnya ISIS.</t>
  </si>
  <si>
    <t>Apa saja yg ada adalah rasa dari semua yg ada semesta dan hubungan ini adalah dari iklim. Yg bisa buat semesta bisa dari merah putih bisa belajar lagi kalau ada warna yg lain. Hub: 0853 6777 0651 A. Cahyono ( iyon ) Ttd ap lampung selatan prov. Lampung wni</t>
  </si>
  <si>
    <t>Kan memang sudah jelas disebut presiden Jokowi Isis ex WNI. Dilarang masuk ke Indonesia dan diperintahkan kepada imigrasi untuk cegah dan tangkal. Maka plt dirjen imigrasi yg bermarga Ginting diserang oleh prabowo subianto dan para herdernya bukan Batak. Tapi karena si pecundang</t>
  </si>
  <si>
    <t>@null Alasan Kemenkes Tak Buru-Buru Pulangkan WNI di Kapal Pesiar Diamond Princess Wab</t>
  </si>
  <si>
    <t>[Jajak Pendapat 5] Anda lebih takut dengan eks PKI/Komunis atau lebih takut pada eks ISIS?</t>
  </si>
  <si>
    <t>Pemerintah Pastikan Jemput WNI dari Kapal Pesiar Diamond Princess</t>
  </si>
  <si>
    <t>RT @CNNIDdaily: Jumlah WNI yang terjagkit virus corona yang berada di kapal pesiar Diamond Princess bertambah jadi 4 orang. #CNNIDHappeningNow</t>
  </si>
  <si>
    <t>Bertambah lagi kru WNI yang positif virus korona di kapal Diamond Princess, seperti dikonfirmasi Kementerian Luar Negeri. Setelah karantina di Yokohama, Jepang kini total WNI yang positif ada 4 orang. #coronaviruschina #VirusCorona #diamondprinces #diamondprincesscruise</t>
  </si>
  <si>
    <t>@KaryaNuryadin8 @crzn95 @mochamadarip Maling teriak maling. Teroris, teriak teroris, ISIS teriak ISIS.</t>
  </si>
  <si>
    <t>#LittiChokha Udhar bihar mein naxali kutton ne collage ko bomb se uda diya hai Ekdam isis Style me Islamic terrorist our naxali terrorist school se nafrat kyu karte hai</t>
  </si>
  <si>
    <t>RT @cnbcindonesia: 2 Pasien Tewas di Diamond Princess, 4 WNI Terinfeksi Corona</t>
  </si>
  <si>
    <t>[Jajak Pendapat 4] Jika dibandingkan, lebih berbahaya mana antara kelompok eks komunis/eks PKI dengan kelompok eks ISIS?</t>
  </si>
  <si>
    <t>Ada yg nyuruh klo ngk suka silakan Kadrun sana ke Arab atau ISIS di jawab udh keluar dri jawa .eh! Ngncam mau dilaporin .ketua BPIP aja ngatakan agama musuh pancasila aman2 aja. pejabat kencing berdiri rkyt kencing berlari benarkan ....</t>
  </si>
  <si>
    <t>@Muhammadsuadim2 @tvOneNews Mmng klo sudah bakar pasport dan seluruh Identitas kewarganegaraan masih WNI ?</t>
  </si>
  <si>
    <t>Pemulangan Anak WNI Eks ISIS, Pemerintah Jangan Sampai Kecolongan</t>
  </si>
  <si>
    <t>Pemulangan WNI eks-ISIS dianggap dapat timbulkan ancaman keamanan bagi Indonesia. Namun, secara prinsip hukum dan keadilan, para WNI tersebut bisa saja tetap menjadi tanggung jawab pemerintah — menimbulkan dilema tersendiri. #ruangpublik</t>
  </si>
  <si>
    <t>Menlu Pastikan 3 WNI di Kapal Diamond Princess Jepang Positif Virus Corona. #LINETODAY</t>
  </si>
  <si>
    <t>RT @geloraco: WNI Terinfeksi Corona di Kapal Diamond Princess Tambah Jadi 4 Orang</t>
  </si>
  <si>
    <t>Setuju @pinotski dengan prinsipnya dan rasanya prinsip seperti itu yg ilang dari jurnalisme Indonesia akhir2 ini. Ingat aja kasus ketika seorang WNI dihukum di UK terkait kesalahannya. Lihat saja bagaimana jurnalis BBC UK menyajikan beritanya vs jurnalis kita? Menyedihkan RT @pinotski: Sebagai seseorang yg punya latar belakang jurnalistik, bokap tidak perlu menjelaskan panjang lebar etika jurnalistik pada situasi berduka. Cukup menjelaskan dari sudut pandang empati. Kaset itu akhirnya ngga pernah gue terusin untuk diedit, pun dipertontonkan.</t>
  </si>
  <si>
    <t>RT @JoeSuisTanjung: Lawan arus, situ salmon?? Lawan LGBT, situ ISIS?? 😂</t>
  </si>
  <si>
    <t>RT @EmHasanuddin: Indonesia itu akan jd rentan ISIS kalo terjadi “Autocracy yg Diliberalkan” nyuplik Mbak @dinnawisnu #RadesaInstitute #IndonesiaDamaiTanpaISIS</t>
  </si>
  <si>
    <t>WNI Terinfeksi Corona di Kapal Diamond Princess Tambah Jadi 4 Orang</t>
  </si>
  <si>
    <t>@FradityaHarry @tvOneNews Berarti anda egois dong tidak memikirkan saudara wni yg sana mereka masih berstatus wni..?</t>
  </si>
  <si>
    <t>@DEQLZ1012 @Juragan_Sambal @rizalyahoo13 @haikal_hassan Umat Islam menyatakan ISIS tu jahat dan teroris jangan di samakan sama virus,,aneh ente masih aja ngebela cina yang jelas2 bawa virus,,klo gk percaya virus Corona ayo ente ke Wuhan lah kali2</t>
  </si>
  <si>
    <t>RT @dimasblack94: @wynorusia20 @ISIS_Balik_NO Minta jatah TGUPP itumah... Mana mau demo Anisnya wong lancar terus</t>
  </si>
  <si>
    <t>@ruliharahap "Apakah ibu sebelumnya punya firasat jika suami akan terjangkit corona?" "Berikut penampakan rumah dari WNI yg terjangkit corona" "Ternyata Maiehwjwojdh WNI yg terkena corona juga suka kulineran, berikut foto2nya"</t>
  </si>
  <si>
    <t>@hwhardana Yg mau buka utk WNI kmrn gue berhasil di Saxo. Tp KYC nya ribet bgt dibanding WN lain yg bisa online. Gue pake KYC ditelpon segala</t>
  </si>
  <si>
    <t>@TofaTofa_id Mereka yang menolak eks isis itu nggk ngerasain kalau keluarga mereka yang mejadi eks isis</t>
  </si>
  <si>
    <t>@Tea_TJEL0EP Biar isis...</t>
  </si>
  <si>
    <t>@BenKTallmadge @CarrollQuigley1 @RevisitedRick @DawsonSField @Knowita47918362 @MonsieurAmerica + 01/19/20 ISIS Oil Emir ABU ALWARD AL-IRAQI in Syria</t>
  </si>
  <si>
    <t>RT @vivanewscom: 4 WNI Kru Kapal Pesiar Positif Corona: 2 Dirawat di Tokyo, 2 di Chiba  #vivanews</t>
  </si>
  <si>
    <t>4 WNI Kru Kapal Pesiar Positif Corona: 2 Dirawat di Tokyo, 2 di Chiba  #vivanews</t>
  </si>
  <si>
    <t>@masmugialba @msaid_didu Yang Ter amat bodoh itu anda ,manusia itu tempatnya salah jika pun penilan mereka kemarin keleru sangat tidak di benarkan ,tapi brobah gak pandang Meraka terhadap isis woy setan balajar memahami setiap kondisi....</t>
  </si>
  <si>
    <t>RT @HumanIn_Aceh: Kabar yang membahagiakan bagi masyarakat tanah air. Mengingat ada 1 WNI di Singapura dan 3 WNI di kapal pesiar Diamond Princess yang positif virus Convid-19, nama resmi virus corona. Semoga krisis virus corona bisa segera berakhir dan ditemukan penangkalnya.</t>
  </si>
  <si>
    <t>@UDINIZAR Lah iya? Si sendi masuk islam apa masuk isis itu?</t>
  </si>
  <si>
    <t>@tvOneNews Wooooiiiii...urusin yg nyata di dalam negeri aja..ngapain ngurusin yg diluar... BPJS, Jakarta yg makin amburadul...dll...ribet ngurusin anggota ISIS...</t>
  </si>
  <si>
    <t>@douyoungssi Adaaa. Wni yang kerja di arab :))</t>
  </si>
  <si>
    <t>RT @indoinsidenews: Jumlah warga Negara Indonesia (WNI) terinfeksi virus corona Wuhan (COVID-19) di kapal Princess Diamond bertambah. #Covid-19 #WNI #PrincessDiamond</t>
  </si>
  <si>
    <t>Wah" rambut udah di tegur pak isis mah bahaya</t>
  </si>
  <si>
    <t>@republikaonline Jangan kita melihat dari satu sudut pandang kalau kita lihat ucapan beliau dar satu sudut pandang pasti konotasinya mengarah pada penilaian yang intoleran namun kalau dilihat dari kaca mata kuda beliau ini tidak bermksud demikian karena ada aliaran tertentu yang sllu onar ISIS</t>
  </si>
  <si>
    <t>RT @suldaycom: Kerja di Kapal Pesiar, 3 WNI Positif Terinfeksi Corona #corona #wnicorona #VirusCorona #diamondprinces</t>
  </si>
  <si>
    <t>@tvOneNews Apakah anggota ISIS sdh terbukti merugikan negara kalau koruptor jelas membawa derita panjang pada rakyatnya</t>
  </si>
  <si>
    <t>WNI yang positif terkena virus corona bertambah sebanyak 4 orang nih, Insan Muda! Jadi buat kamu jangan lupa jaga kesehatan ya! #Newsinsideinternasional</t>
  </si>
  <si>
    <t>shevchenko beheading joanne isis meme RT @bokamotoESPN: Breaking: Valentina Shevchenko’s (@BulletValentina) next title defense will come against Joanne Calderwood (@DRkneevil) at UFC 251 on June 6. Both sides have agreed to the fight, per sources. More details coming to ESPN shortly.</t>
  </si>
  <si>
    <t>INDONESIA TOLAK TERORIS ISIS MASUK KE INDONESIA! #NKRIHargaMati</t>
  </si>
  <si>
    <t>@Detektif_Ngibul @WahabisLokal @wahhabicc_jabar @narkosun @AfifFuadS Bro minta copy KTPnya dong. Ane belikan ente tiket ke Suriah. Di sana ente lgs jd ISIS Idol</t>
  </si>
  <si>
    <t>@ivanazhari @bawaslu_RI @PapuaBawaslu @JayapuraBawaslu @KotaJayapura_US @jayapuraupdate @kominfokotjayap Halo #SahabatBawaslu Lomba ini untuk WNI yg berdomisili di Kota Jayapura. Dan di buktikan dg KTP atau kartu identitas diri</t>
  </si>
  <si>
    <t>@AsikWay @RamliRizal Jgn pnh apatis, tggjwb urus ngr adalah tggjwb slrh WNI.</t>
  </si>
  <si>
    <t>Pemerintah RI mengungkapkan, per 19 Februari empat WNI kru kapal pesiar Diamond Princess, di Perairan Yokohama, Jepang, positif terkena virus corona. #SorotanMedia #WaktunyaLokadata</t>
  </si>
  <si>
    <t>Ma'ruf Amin: Soal Kepulangan Anak WNI Eks ISIS Masih Dipertimbangkan</t>
  </si>
  <si>
    <t>Sang Pilot Batik Air Punya Tiga Bekal Sebelum Berangkat Menjemput 238 WNI Di Wuhan</t>
  </si>
  <si>
    <t>@kolektormeme @Limlim_25 @OH_mes2 Iya ,saya ga bilang kasus nya ada di indo sy cuma ngasih tau wni udah ada yg kena</t>
  </si>
  <si>
    <t>WNI yang Positif Virus Korona di Singapura Dinyatakan Sembuh</t>
  </si>
  <si>
    <t>@NyiGiri Lawan Teroris Lawan Radikalisme Lawan Intoleransi Tolak ISIS</t>
  </si>
  <si>
    <t>RT @KompasTV: WNI dari Kapal Diamond Princess akan Diobservasi Lagi di Indonesia</t>
  </si>
  <si>
    <t>@GisselaRodriguz Jalo🤓</t>
  </si>
  <si>
    <t>RT @k4ng_C1reNG: WNI Penderita Virus Corona di Singapura Dinyatakan Sembuh</t>
  </si>
  <si>
    <t>RT @intanRatuaja12: Confirmed..!! 3 dari 78 WNI kru kapal pesiar Diamond Princess positif terinfeksi virus Corona.... Semoga ditangani dgn baik dsana...</t>
  </si>
  <si>
    <t>@Mummy_Nduty @deathbyluck13th RUU jahiliyah..😁😁 krn klo orang kaya gak mau nikahin orang miskin ujung"nya bisa di pidana. sungguh somplak. apa hrs gitu mereka cari dana buat biayain ISIS dan terroris selain dr yayasan bersempak agama ya..?</t>
  </si>
  <si>
    <t>@mohmahfudmd Tentara asing.?? Mmg nya ISIS sdh jd negara ya pak.?</t>
  </si>
  <si>
    <t>Satu Lagi, WNI Kru Kapal Pesiar Positif Korona</t>
  </si>
  <si>
    <t>RT @chuentoi: @PejuangPaspor @BebasVisaID @aryacokronegoro @oak_math_lee_91 @sandmanindo @MikeyAM97 @IvanRT05 @jokowi Wah,kl seperti ini tktnya ada kendala dlm negosiasi bebas visa WNI,krn negara lain menganggap bisa aja paspor Indo jg ada errornya.</t>
  </si>
  <si>
    <t>@haikal_hassan Oh iya ISIS thd sesama umat muslim nya aja berani menggal kepala nya. Lupa apa buta beh?</t>
  </si>
  <si>
    <t>@ISIS_Balik_NO @Sir_Edwin saya sangat setuju.</t>
  </si>
  <si>
    <t>Parlemen Minta Direktur Keuangan dan Operasional Freeport Dijabat WNI</t>
  </si>
  <si>
    <t>@Tasriansyah1 Tenang mba Tasri .. TL ini 👉🏿 Poinnya sdh Jelas bgmn aliRan ISIS sgt berbahaya utk bangsa ini !Pelajarannya hanya disitu .. kira2 apa yg membuat mba Tasri berfikirran candaan ini sgt merugikan mba Tasri dan sekitarnya yah? hemm 😳😬🤨🧐</t>
  </si>
  <si>
    <t>@KaryaNuryadin8 @mochamadarip Lu pasti anggota HTI/ISIS, soalnya pengen penggal kepala terus, benar, kan, ISIS?</t>
  </si>
  <si>
    <t>RT @lucaxyzz: We are strong ethics WNI Positif Virus Corona di Singapura Dinyatakan Sembuh  #LINETODAY</t>
  </si>
  <si>
    <t>@adoramaid @Limlim_25 @OH_mes2 Wni yang di luar Indonesia yang kena, bukan warga yang ada di Indonesianya. Jadi masuknya bukan kasus di Indonesia.</t>
  </si>
  <si>
    <t>Selamat pagi Kamis Optimis Indonesia Tegas menolak Teroris Katakan TIDAK pada golongan ISIS Indonesia Negeri Agamis, Nasionalis dan Pancasilais.. Berkah bagi saudara-saudari ku semua, Senyum manis bagimu Indonesia Raya..</t>
  </si>
  <si>
    <t>RT @TirtoID: "Dapat dipastikan bahwa saat ini yang bersangkutan dalam kondisi baik."</t>
  </si>
  <si>
    <t>RT @republikaonline: Korban meninggal akibat virus corona lampaui 2.000 orang.</t>
  </si>
  <si>
    <t>RT @vivanewscom: Kabar Baik, WNI Terjangkit Corona di Singapura Dinyatakan Sembuh  #vivanews</t>
  </si>
  <si>
    <t>RT @rmol_id: WNI Di Kapal MS Westerdam Dalam Keadaan Sehat, Kini Jalani Pemeriksaan Ulang Virus Corona #covid-19 #RepublikMerdeka</t>
  </si>
  <si>
    <t>WNI Di Kapal MS Westerdam Dalam Keadaan Sehat, Kini Jalani Pemeriksaan Ulang Virus Corona #covid-19 #RepublikMerdeka</t>
  </si>
  <si>
    <t>Jumlah warga Negara Indonesia (WNI) terinfeksi virus corona Wuhan (COVID-19) di kapal Princess Diamond bertambah. #Covid-19 #WNI #PrincessDiamond</t>
  </si>
  <si>
    <t>@anakdewa @ISIS_Balik_NO @mohmahfudmd Nah itu mungkin lebih baik' biar mrk ketemu dg habitatnya</t>
  </si>
  <si>
    <t>3 Orang WNI Awak Kapal Pesiar Diamond Princess Positif Virus Corona  Dapatkan berita lainnya di tvOne connect #tvOneNews</t>
  </si>
  <si>
    <t>3 WNI Positif Terinfeksi COVID-19, Begini Tanggapan Safe Arnold Poernomo RT @catuaries: 3 WNI positif terinfeksi COVID-19 Siap-siap ntar udah keluar aja siapa namanya, kampungnya di mana, lalu wartawan nanya ke orang tuanya apakah ada firasat akan terkena COVID-19, apa makanan kegemarannya, hobi kulinernya, ukuran sepatunya, komentar artis irrelevant, etc</t>
  </si>
  <si>
    <t>Disuruh nyari berita sama dosen, kebetulan nemunya berita yang bahas pemulangan wni ex isis ke indonesia *dosen* : kamu pro isis? Haduh</t>
  </si>
  <si>
    <t>Kalau hari ini masih saja menggunakan kata PKI untuk memitnah. Perhatikan seksama: mereka umumnya simpatisan teroris-ISIS ( yg ngibulin banyak org dg menjual agama). Amati aja. Pendukung Pancasila-NKRI hrs tegas menghadapinya.</t>
  </si>
  <si>
    <t>@WagimanDeep__ itu org FPI asli Bueb..laskar rusuk bukan laskar berbagi kasih..pendukung isis.</t>
  </si>
  <si>
    <t>@ISIS_Balik_NO @MrsRachelIn @mohmahfudmd Atau kasih mereka ke Afghanistan, Palestina atau Suriah.</t>
  </si>
  <si>
    <t>WNI Kru Kapal Westerdam Akan Diperiksa Ulang Otoritas Kamboja</t>
  </si>
  <si>
    <t>RT @kurawa: Alhamdulillah, pemerintah akhirnya menolak pemulangan ex combatan ISIS. Selama ini gue gak banyak komen karena mau melihat konsistensi pemerintah di periode ke 2 ini. Sebagai pengingat di tahun 2018 kerusuhan Napi Teroris di Mako Brimob yg sebabkan 5 polisi tewas</t>
  </si>
  <si>
    <t>RT @MarbunSulaiman: 686 WNI yang berada di Suriah dengan segala cara dan narasi kalian upayakan untuk tidak dipulangkan, 120rb orang masuk ke Indonesia dan kita ga tau itu siapa saja, kalian masih tenang-tenang saja dan kalian diamkan. Terlalu !!!</t>
  </si>
  <si>
    <t>@YRadianto @NengAnyar15 Congor vagina isis yg bau kadrun ini kurang cerdas ternyata</t>
  </si>
  <si>
    <t>@salsabila0307 @rifandibagisa @JOSE28523459 @Megatop99 @mohmahfudmd Waduh broo please jangan dipotong² videonya dah jelas FPI dan HRS menolak keras ISIS.. jangan ikut sebar fitnah 😁😁 ato dah biasa nyebar fitnah ya ??</t>
  </si>
  <si>
    <t>RT @geloraco: Akhirnya Ada Juga WNI Yang Terinfeksi Virus Corona</t>
  </si>
  <si>
    <t>@Mom_isback @FreeThinkerGL @mardiasih Bagaimana dgn PSK aceh yg sudah syari.....halal ?😂😂😂😂</t>
  </si>
  <si>
    <t>686 WNI yang berada di Suriah dengan segala cara dan narasi kalian upayakan untuk tidak dipulangkan, 120rb orang masuk ke Indonesia dan kita ga tau itu siapa saja, kalian masih tenang-tenang saja dan kalian diamkan. Terlalu !!!</t>
  </si>
  <si>
    <t>@isis_raira Piaa</t>
  </si>
  <si>
    <t>@MrsRachelIn Belum NKRI Kok sudah dibebaskan ? Bukannya malah akan menjadi beban negara ? Berapa biaya yg harus dikeluarkan untuk memantau gerak geriknya di luar ? Penjara akan lebih efisien.....MUDAH DAN MURAH @mohmahfudmd</t>
  </si>
  <si>
    <t>RT @mbvtt: @spoilagedcapo @catuaries MASIH INGAT 3 WNI YANG TERKENA VIRUS CORONA?, BEGINI KEADAANNYA SEKQRANG, SALAH SATUNYA MENJADI BINTANG IKLAN SOSSIS SONICE, YANG SATU DOBLEH, SATU LAGI KABUR.</t>
  </si>
  <si>
    <t>@spoilagedcapo @catuaries MASIH INGAT 3 WNI YANG TERKENA VIRUS CORONA?, BEGINI KEADAANNYA SEKQRANG, SALAH SATUNYA MENJADI BINTANG IKLAN SOSSIS SONICE, YANG SATU DOBLEH, SATU LAGI KABUR.</t>
  </si>
  <si>
    <t>Alhamdulillah! WNI Positif Corona di Singapura Dinyatakan Sembuh Oleh Warta Ekonomi Online</t>
  </si>
  <si>
    <t>RT @permadiaktivis: Alfian Tanjung residivis, Rahmat Baequni kriminal, @ustadtengkuzul penebar hoax, ustad2 bermasalah ini masih rutin diundang ke masjid2. @Kemenag_RI banyak PR, selain intoleransi, harus menertibkan ustad2 bermasalah. Tolong pak @jokowi 🙏 kalo pak menag FR masuk angin reshufle aja</t>
  </si>
  <si>
    <t>@Suharto_BC @BBCIndonesia Asli gw nangis nonton ini :'( tolak pemulangan ex isis!!</t>
  </si>
  <si>
    <t>@detikcom Bagi yang nanya kepulangan anak ISIS, ada baiknya ybs mengasuh keturunan gerombolan ISIS itu semoga bisa mensosialisasikannya jadi manusia yang berguna.</t>
  </si>
  <si>
    <t>RT @AnindyaNafaiz: @TheArieAir @Rimal_Rizky @santoso25179155 @wills_keren @Zainuddinovic @adeteriyanaa @Aisyah19527681 @apriliyanto_adi @Sapto__Nugroho @MbahSemesta @RyukenXc @LahAkuKenapa @Criztx @wardayadi1 konco anyar 2 #programfolback silsal F dan FB yah @sukijoyo @matteo_ardhitio @enjita_poetry @J4lakBali @ISIS_Balik_NO @GaweiPeniel @biankasabila @tugu_ireng @FAIZ_muslich @JaringanIndmuda @srimolek @antonpoet1 @ahmad_subana @LebahGanteng07 @TR_Kabayan</t>
  </si>
  <si>
    <t>RT @LokadataID: Usai diobservasi 14 hari di Natuna, 237 orang WNI dan 1 WNA dari Wuhan diterbangkan ke Jakarta, Sabtu (15/02). Pemerintah menetapkan mereka bebas dari COVID-19. Para WNI dalam keadaan sehat dan dilengkapi sertifikat kesehatan. #Video utuhnya -</t>
  </si>
  <si>
    <t>ABK WNI di Jepang Positif Corona Bertambah Jadi Empat✔️Bgmn kondisi terakhir satu WNI di Singapura yang dikhabarkan terkena virus corona? CC. ⁦@Kemlu_RI⁩ ⁦⁦@Menlu_RI⁩ ⁦@KemenkesRI⁩</t>
  </si>
  <si>
    <t>@bahasrl ISHHH ISHHH SO ASIK BANGET ISIS PASTI NIH</t>
  </si>
  <si>
    <t>#SelamatPagiJogja | Tribun Jogja : Satu WNI di Singapura Dinyatakan Sembuh</t>
  </si>
  <si>
    <t>@DosamuDibalas Jika tidak ingin payah, saya sarankan kamu segera gabung ISIS saja.</t>
  </si>
  <si>
    <t>RT @tempodotco: Kementerian Kesehatan menyarankan kepada Kementerian Luar Negeri agar tak terburu-buru memulangkan tiga WNI positif Corona di Jepang.</t>
  </si>
  <si>
    <t>Beneran luar biasa lho negaraku Indonesia 🤣🤣🤣ngakak... makin aneh aneh aja ... masalah cinta pun diatur negara.., stlh kmrn gaya bercinta dll pun diatur negara 😂😂sungguh beruntung jadi WNI... negara sangat memperhatikan warganya... RT @tempodotco: Menteri Muhadjir Effendy mengusulkan kepada Menteri Agama agar menerbitkan fatwa 'Yang miskin wajib cari yang kaya, yang kaya cari yang miskin'.</t>
  </si>
  <si>
    <t>RT @PKSejahtera: Kunjungi Natuna, Netty Minta KBRI di Negara Sebaran Jemput Bola Mengecek Kondisi WNI</t>
  </si>
  <si>
    <t>RT @erikamelfa: @KakekHalal emg divatikan ada sekolahnya ye kek....astaga,sebagian wni emg kurang otaknya pas dilahirkan 😂😂😂</t>
  </si>
  <si>
    <t>@Irenecutemom Itu bukan orang indonesia,itu kadrun ISIS</t>
  </si>
  <si>
    <t>Kejadian Tak Diduga yang Dialami Para WNI Usai Karantina di Natuna</t>
  </si>
  <si>
    <t>RT @Menlu_RI: Siang ini, saya mengundang anggota Tim Aju dan Tim Evakuasi WNI dari Wuhan di Kementerian Luar Negeri (18/2)</t>
  </si>
  <si>
    <t>RT @Bocah__koplak: Quotes warga +62 Sabarlah Suatu saat kalian akan berhasil Tp Kalau yg lain gagal 🤣🤣🤣🤣🤣🤣🤣 😝😝😝😝😝 Fix kalian bukan WNI Kalian mantan WNI Kalian anggota ISIS NKRI ga butuh kalian #kamisambyar #malamjumat</t>
  </si>
  <si>
    <t>RT @kompascom: Dengan sembuhnya WNI ini, tidak ada lagi WNI yang dilaporkan positif virus corona di Singapura. &gt; #Internasional</t>
  </si>
  <si>
    <t>RT @mediaindonesia: KBRI Singapura menyatakan seorang warga negara Indonesia (WNI) positif virus korona (COVID-19) di Singapura, berhasil sembuh dari serangan virus mematikan.</t>
  </si>
  <si>
    <t>@AnakKolong___ Jd mana yg lebih sadis :PKI yg bunuh para Jendral, ISIS yg bunuh orang biasa n menjdkan wanita sbgi budak sex ato yg tdk doain yg meninggal waktu pemilihan gubernur?</t>
  </si>
  <si>
    <t>RT @dusrimulya: @mohmahfudmd Pertanyaannya simpel: Apa ISIS itu negara sesuai Hukum Internasional (Konvensi Montevideo)? Negara mana yg mengakui ISIS sbg sebuah negara? Apa Indonesia akui ISIS sbg negara? Dimana kedutaan ISIS di Jakarta? Jangan ngawur soal Hukum !!!</t>
  </si>
  <si>
    <t>#SelamatPagiJogja | KOMPAS : RI Cermati Kondisi 4 WNI di Jepang</t>
  </si>
  <si>
    <t>@AndromedaMcfc @BadjaNuswantara @NengAnyar15 Masih Aja Yak, ISIS Teriak Teroris, DASAR CITYKUS.. 🤣🤣🤣</t>
  </si>
  <si>
    <t>@ISIS_Balik_NO @permadiaktivis @karniilyas @haikal_hassan @felixsiauw Cari yg lain kan ada... Emang narsumnya itu doank??</t>
  </si>
  <si>
    <t>Milla, WNI Asal Malangan Tulung Klaten yang Studi di China Dinyatakan Bebas Corona setelah menjalani setelah menjalani masa observasi selama dua pekan di Natuna, Kepulauan Riau</t>
  </si>
  <si>
    <t>WNI yang Terinfeksi Virus Korona di Singapura Sembuh dan Keluar dari RS</t>
  </si>
  <si>
    <t>KBRI Singapura memastikan bahwa seorang warga negara Indonesia ( WNI) yang dirawat di Singapura karena terinfeksi virus corona dinyatakan sembuh.</t>
  </si>
  <si>
    <t>@sitisisterceria Mo tau idolanya siapa saja ? Ngakak syari....</t>
  </si>
  <si>
    <t>RT @Prof_Azyumardi: Eks ISIS, Harian Kompas, 13/2/2020</t>
  </si>
  <si>
    <t>@sitisisterceria Harus disumpelin titit onta mulutnya mbak... Baru diem</t>
  </si>
  <si>
    <t>@Han_nafi Apa anda bisa sedikit KONSISTEN dgn omongan anda ?</t>
  </si>
  <si>
    <t>@adriankusaihir1 @helmi75 @zarazettirazr Memang radikal tapi nuance nya beda mereka native papua, separatis memang tidak peduli dengan status WNI mereka, kita juga harus hati-hati supaya suporter Papua merdeka nggak tambah banyak, lihat saja kerusuhan yang muncul karena hinaan rasis. Jelas beda situasi</t>
  </si>
  <si>
    <t>RT @BGaber62: Setuju Banget tolak Kepulangan ISIS.!! Mereka sudah meninggalkan negara. Mereka sudah membakar paspornya. Membunuh, Membantai, Memperkosa, dan dilatih oleh ISIS. Ngapain diramahin. #STOPacaraILC #tolakwnieksisis</t>
  </si>
  <si>
    <t>@AndromedaMcfc @BadjaNuswantara @NengAnyar15 Laah, Gimana Sih, Lah Koq ISIS TERIAK TERRORIST?! 🤣🤣🤣</t>
  </si>
  <si>
    <t>RT @UtuhWibowo: Terima kasih kepada seluruh crew @BatikAir @_TNIAU dan seluruh pihak terkait yang telah sukses mengemban tugas negara mengevakuasi saudara saudari ± 245 WNI dari titik pusat Corona Virus nCoV-2019 di Wuhan - Hubei, China. Luar biasa! Anda semua pejuang 🇲🇨 📸 by @mediaindonesia</t>
  </si>
  <si>
    <t>Potret Natuna Usai Menjadi Tempat Observasi WNI dari Wuhan</t>
  </si>
  <si>
    <t>@Frediani03 @_giovanasaad Prima gata</t>
  </si>
  <si>
    <t>Kementerian Kesehatan (Kemkes) melaporkan kondisi terbaru warga negara Indonesia (WNI) yang berada dalam kapal pesiar Diamond Princess di Yokohama</t>
  </si>
  <si>
    <t>@detikcom Tai kucing ah, mereka sendiri yg berkhianat, mereka sendiri yg melepaskan diri dari WNI dg membakar paspor mereka itu kan sdh menghina negara ini? Yg tidak manusiawi itu negara ini atau mereka? Berapa nyawa yg sdh mereka bunuh??? Bahkan anak2 pun sdh pada membunuh!!!!</t>
  </si>
  <si>
    <t>Setuju Banget tolak Kepulangan ISIS.!! Mereka sudah meninggalkan negara. Mereka sudah membakar paspornya. Membunuh, Membantai, Memperkosa, dan dilatih oleh ISIS. Ngapain diramahin. #STOPacaraILC #tolakwnieksisis</t>
  </si>
  <si>
    <t>Jumlah WNI Kru Diamond Princess yang Terinfeksi Corona Jadi Empat</t>
  </si>
  <si>
    <t>RT @Metro_TV: #TopNewsMetroTV 1 orang WNI yang terjangkit virus COVID-19 dan dirawat di Singapura dinyatakan telah sembuh. KBRI di Singpura pun kini merilis informasi bahwa tidak ada WNI yang terinfeksi #VirusCorona di Singapura.</t>
  </si>
  <si>
    <t>RT @mochamadarip: Salut buat pemerintah Jepang yg merawat seluruh penumpang kapal pesiar Diamond yg terjangkit Virus Corona (3 diantaranya WNI). Sementara di Natuna, saudara sebangsa yg mau di karantina di tolak, kan ngehek!</t>
  </si>
  <si>
    <t>KBRI Tokyo mengonfirmasi ada satu lagi ABK WNI di Princess Diamond positif Corona</t>
  </si>
  <si>
    <t>RT @medcom_id: WNI di Kapal Westerdam Jalani Pemeriksaan Ulang di Kamboja</t>
  </si>
  <si>
    <t>Selamat Pagi Sahabat Kompas, Sebuah kabar dari Jepang empat WNI yang terinfeksi virus korona baru tengah menjalani pemeriksaan di dua rumah sakit negara itu. Mereka adalah kru kapal pesiar Diamond Princess. Ada 74 WNI yang menjadi kru kapal itu. #adadikompas #KawandalamPerubahan</t>
  </si>
  <si>
    <t>@haikal_hassan Seingatku, di ISIS pejabat korupsi dihukum. Disini di beri hadiah.</t>
  </si>
  <si>
    <t>@batixtamelissa 12- isis melo</t>
  </si>
  <si>
    <t>Kurangi defisit APBN, HGU-kan pulau2 tak berpenghuni kpd PMDN/PMA utk kegiatan Pariwisata dgn syarat 90% Naker hrs WNI, gunakan dananya utk cicilan &amp; bunga Utang LN. Buat holding BUMN-BUMD-Swasta utk tangkap-proses-ekspor Ikan &amp;amp; Hasil Laut lain di ZEE RI, ada PNBP/bln.</t>
  </si>
  <si>
    <t>RT @abilanissa: Good news 👍👍😁 Pak Jokowi Prof Mahfud sampai dgn Pak Ganjar dan terakhir Menag jg menyatakan ikut menolak kepulangan WNI eks ISIS👍👏👏 #CegahISISmasukNKRI</t>
  </si>
  <si>
    <t>@typhainek_ @BvKya_ Skinny vs gechar</t>
  </si>
  <si>
    <t>@HaloAska Ini penting ini, sekirane radikal rasah dadi WNI</t>
  </si>
  <si>
    <t>🧔: Kasihan sekali sobatgurun ini digebukin. Mereka ga salah apa2. 👩: Hah lagi nonton video ISIS apa pegimana dah ... Ternyata lagi main FFXII *sobatlawas</t>
  </si>
  <si>
    <t>@hnurwahid "Ide-ide ekstremisme, radikalisme, dan terorisme...tak ada hubungannya dengan Islam. Dan (pendukung mereka) adalah musuh nomor satu Islam,"</t>
  </si>
  <si>
    <t>RT @radar_malang: Blak-blakan Abu Hafsah, Mantan Teroris yang Hampir Bergabung dengan ISIS Saat di Penjara</t>
  </si>
  <si>
    <t>@Kiyai_MarufAmin @LaingenLisa Salah satunya melalui pulangkan anak anak eks ISIS.?</t>
  </si>
  <si>
    <t>Blak-blakan Abu Hafsah, Mantan Teroris yang Hampir Bergabung dengan ISIS Saat di Penjara</t>
  </si>
  <si>
    <t>QTNA!! RT @LocdWithNessa: Y’all steady asking about who’s eating Arby’s, keeping them in business. Who tf is eating Almond Joys?????????</t>
  </si>
  <si>
    <t>RT @TaufiqulHannan7: Ini orang kok kayak ngebeett bgt eks WNI yang juga eks #ISIS balik Indonesia..katanya 689 orang tsb kasian disana terlantar, lantas kalo emang balik Indonesia apa ngga kasian sama 270jt penduduk Indonesia yang ketar ketir?@fadlizon #MataNajwaMenangkisISIS #MataNajwa</t>
  </si>
  <si>
    <t>Pertimbangkan Pemulangan Anak-anak Eks ISIS, Wapres: Mereka Justru Jadi Ancaman Jika Tak Dipulangkan .</t>
  </si>
  <si>
    <t>Denger dr anak didik dosen jurusanku, katanya media" indo berlebihan bahas corona. Utk smentara ini sbg bukti bhw mereka berlebihan tentu jelas pd fakta hampir tdk ada wni yg kena corona</t>
  </si>
  <si>
    <t>Empati lah sama anak2 korban ISIS RT @Mr_Belutsch: 'He asked me to take my clothes off. He put me in a room with the guards, then they proceeded to commit their crime until I fainted.' Nadia Murad was taken by ISIS &amp; raped, tortured. She survived genocide.</t>
  </si>
  <si>
    <t>75 WNI Masih di Kapal Diamond Princess, Ini 3 Permintaan RI ke Jepang</t>
  </si>
  <si>
    <t>Bertambah, WNI Kru Diamond Princess yang Terinfeksi Corona Jadi 4 Orang Halaman all –</t>
  </si>
  <si>
    <t>RT @zarazettirazr: Nikah aja polemik kek gini wakakakakaka Nyari pasangan aja uda susah 🤣🤣 50 tahun jadi wni sejak jaman soeharto baru kali ini ada yang kayak gini. Alhamdulillah uda nikah jaman pak Harto 🙏🙏🙏🤲🤲😁😁😁</t>
  </si>
  <si>
    <t>RT @jumari_ndangde: @CintaNegeri_ID Biasanya yg berbuat criminal teroris isis</t>
  </si>
  <si>
    <t>@CintaNegeri_ID Biasanya yg berbuat criminal teroris isis</t>
  </si>
  <si>
    <t>@Jean_Aprilia97 Isis itu sangat bahaya,kita tak tau niat mereka apa ,kenapa mereka nak dipulangkan ke negaranya mereka sudah dididik dengan kekerasan dll</t>
  </si>
  <si>
    <t>RT @dizunsingsuwe: @StrawBeeze @ilysmbabybear @SquidwardRajin @spoilagedcapo @ravenclawmate @catuaries 3 WNI terpapar virus corona, sekali putaran mampu bersihkan sel kulit mati dan kotoran</t>
  </si>
  <si>
    <t>@Veroxuk 💰 AlQaida or ISIS 💰</t>
  </si>
  <si>
    <t>RT @jawapos: Soal Anak-anak WNI eks Kombatan ISIS, Ini Kata Wapres Ma'ruf</t>
  </si>
  <si>
    <t>Langkah Taktis Penanganan Eks-ISIS dan Risiko yang Harus Dihadapi  lewat @@islamidotco</t>
  </si>
  <si>
    <t>Ogeb bener! Pancasila disamakan dengan agama. Andalannya paham Khilafah, ISIS dkk berfalasi ria alias sesat dalam logika bisa bikin mereka orgasme. Orang awam sih tenggelam dgn logika begini.</t>
  </si>
  <si>
    <t>Kru Maskapai Penjemput WNI dari Wuhan, Diganjar Adhikarya Dirgantara Adhirajasa</t>
  </si>
  <si>
    <t>Kru Maskapai Penjemput WNI dari Wuhan, Diganjar Adhikarya Dirgantara Adhirajasa  via @Indopolitika</t>
  </si>
  <si>
    <t>Pemerintah Pertimbangkan Pemulangan Anak WNI Eks Kombatan ISIS</t>
  </si>
  <si>
    <t>@komodoers @Ari3Pras @timursuprabana @jokowi Di mana yang menyatakan mereka kehilangan status WNI?</t>
  </si>
  <si>
    <t>HARIAN JOGJA HARI INI: 3 WNI di Diamond Princess Positif Corona - Harian Jogja</t>
  </si>
  <si>
    <t>@abirekso @ISIS_Balik_NO @BareskrimPolri Senang</t>
  </si>
  <si>
    <t>@Indian_bot @rheakatta @ramanibunny @iabhi_sinha @ANI Talking about ISIS, not Kejriwal</t>
  </si>
  <si>
    <t>RT @GustMaN200: @elHurryKoRn @RizmaWidiono Rindu perang di indonesia..TNI siap hncurkan ISIS bersama rakyat Indonesia</t>
  </si>
  <si>
    <t>RT @KompasTV: Karantina akan Berakhir, 4 WNI Kapal Diamond Princess Terpapar Corona</t>
  </si>
  <si>
    <t>RT @jawapos: Kabar Baik, WNI Positif Virus Korona di Singapura Dinyatakan Sembuh</t>
  </si>
  <si>
    <t>RT @w3b3_r3b0rn: Sebuah jejak digital dan fakta sejarah seorang Mayjen (pur) Kivlan Zen, dalam upaya membantu pemerintah Indonesia membebaskan sandera dari pihak abu sayyaf, sekarang sang pahlawan menjadi pesakitan, dimana nurani kalian. #PrayForKivlanZen .</t>
  </si>
  <si>
    <t>RT @MataNajwa: 2. Wajar jika kepulangan mantan ISIS jadi mencemaskan, siapa yang bisa menjamin mereka bukanlah ancaman. #MataNajwaMenangkisISIS</t>
  </si>
  <si>
    <t>RT @MataNajwa: "Justru kepentingan yg lebih besar 270 juta (warga RI) lebih penting daripada kita memikirkan 600 sekian dari eks ISIS tersebut. Konsekuensi dari yg mereka lakukan adalah pilihan ideologis." @acehasan76 #MataNajwaMenangkisISIS</t>
  </si>
  <si>
    <t>RT @Sentjoko: Sama seperti tuhan,malaikat, setan,adam&amp;hawa,ular bicara, surga&amp;amp;neraka, UANG juga FIKSI,namun karena berwujud&amp;amp;bermanfaat langsung,maka umat manusia mengimani lebih daripada agama. ISIS boleh benci amerika tapi tetap suka Dollar. Bahkan tuhan juga perlu uang&amp;amp;minta ke manusia!</t>
  </si>
  <si>
    <t>Lindungi 260 Juta Penduduk Indonesia, Pemerintah Tidak Berencana Pulangkan ISIS Eks-WNI  lewat @BARANEWS INDONESIA</t>
  </si>
  <si>
    <t>Alhamdulilah,WNI Dinyatakan Sembuh Dari #coronaviruses #VirusCorona</t>
  </si>
  <si>
    <t>@Coachmanaaa @advsanjoy Dear Amantullah Khan ke wansaj, humne Ravish Kumar ko dekna tabse band kar diya hai jabse wo ISIS terrorist organization ka supporter nikla. Try next time, fake account.</t>
  </si>
  <si>
    <t>@catuaries 3 WNI yang terinfeksi covid19 dulu nya mempunyai masa lalu yang kelam</t>
  </si>
  <si>
    <t>isis....ngeri</t>
  </si>
  <si>
    <t>@URRLHH ISIS KGKKGKKKK</t>
  </si>
  <si>
    <t>RT @AmaliaDesta2: Kemarin beritanya WNI di kapal jepang negatif, nyatanya 3 terinfeksi, sekarang ada lagi berita seperti ini, Tolong dengan sangat jangan ada yang ditutup2i untuk kasus #coronavirus penyakit #covid19 ini berbahaya.</t>
  </si>
  <si>
    <t>RT @syela_jilboobs3: Name: syellaaa Hobby: berantakin kasur🤭 Aku chubby beb tapi aku ga kalah legit dr lapis legit kok beb 😌🤭 Kulit ciri khas wni bgt lah😅 bb berisi tp masih bisa ngulek di atas perut kok💦😌 Boobs ukur aja sndiri sinii 😊 Fast respon di WA yah krn akun swaktu "bisa ke suspend 🙏</t>
  </si>
  <si>
    <t>@AudreyTruschke An anti India and Hindutwa scholar is more dangerous than Jehadi and ISIS</t>
  </si>
  <si>
    <t>RT @radar_malang: Kabar Baik, WNI Positif Virus Korona di Singapura Dinyatakan Sembuh</t>
  </si>
  <si>
    <t>@andalasiy Kejahatan apa yg dilakukan seorang wartawan hingga bisa dieksekusi dgn pistol ? Di zaman Nabi apakah Qishah pake pistol? Apakah di zaman Nabi tubuh korban dikuburkan dgn layak atau dibuang ke sungai ke ISIS ?</t>
  </si>
  <si>
    <t>Kabar Baik, WNI Positif Virus Korona di Singapura Dinyatakan Sembuh</t>
  </si>
  <si>
    <t>Sudah Sembuh dari Virus Corona, WNI di Singapura Tolak Buka Identitas</t>
  </si>
  <si>
    <t>Daeng Ganda dan Wan Aris Ikut Lepaskan 238 WNI dari Wuhan yang di Observasi di Natuna  follow @lintas_kepri</t>
  </si>
  <si>
    <t>Nikah aja polemik kek gini wakakakakaka Nyari pasangan aja uda susah 🤣🤣 50 tahun jadi wni sejak jaman soeharto baru kali ini ada yang kayak gini. Alhamdulillah uda nikah jaman pak Harto 🙏🙏🙏🤲🤲😁😁😁 RT @zarazettirazr: Injlah CONTOH jika tak punya AGAMA kalian ikut BINGUNG Kalok punya agama ga perlu ikut bingung TETAP IKUT AGAMA Aja bukan IKUT kebingungan PEMERINTAH hahaha Kalian yg mana? Pilih YAKIN atau pilih ikut BINGUNG ga jelas 🤪🤪🤪</t>
  </si>
  <si>
    <t>RT @kbrisingapura: Pada (18/02), Kementerian Kesehatan Singapura menyampaikan bahwa WNI yang dinyatakan sebagai kasus ke-21 positif COVID-19 di Singapura, telah dinyatakan sembuh dan negatif COVID-19 serta telah dipulangkan dari rumah sakit. #IniDiplomasi #NegaraMelindungi</t>
  </si>
  <si>
    <t>RT @MataNajwa: @acehasan76 @fadjroeL "Kita mesti ada tindakan yg pro - aktif memerangi terorisme. ISIS ini fenomena global terorrism. Kita gak bisa diam saja. Ikut dalam global countre terrorism untuk melindungi Indonesia." Ahmad Taufan Damanik #MataNajwaMenangkisISIS</t>
  </si>
  <si>
    <t>Pencabutan kewarganegaraan WNI Eks ISIS</t>
  </si>
  <si>
    <t>Jangan memelihara bom waktu....</t>
  </si>
  <si>
    <t>RT @permadiaktivis: Nama Abu Janda itu plesetan dari nama teroris ISIS Abu Jandal yang bikin video ancaman. Videonya saya parodikan - lawan teror dgn humor, malah saya dituduh menista agama 😃 @Puspen_TNI @DivHumas_Polri yakin yang cita2 mau perangi TNI POLRI mau dikasih pulang? *hati2 bisa ngakak</t>
  </si>
  <si>
    <t>@catuaries 10 potret kehidupan WNI yang mengidap COVID-19</t>
  </si>
  <si>
    <t>@arkuyyy Senyumnya kek ketua isis</t>
  </si>
  <si>
    <t>@andalasiy Kenapa harus dieksekusi? Apakah seperti itu perlakuan tawanan perang dalam Islam? Contohlah SDF yg memperlakukan tawanan perang ISIS secara manusiawi, dikasih tempat penampungan, dikasih makan, air, listrik kurang baik apa lagi coba?</t>
  </si>
  <si>
    <t>Daeng Ganda dan Wan Aris Ikut Lepaskan 238 WNI dari Wuhan yang di Observasi di Natuna</t>
  </si>
  <si>
    <t>@gegesetiawan padakke isis wkwkw</t>
  </si>
  <si>
    <t>@Negev52031680 ya mereka isis yg mengeksekusi, yg ane tanya siapa yg dieksekusi dan mengapa mereka dieksekusi oleh ISIS?</t>
  </si>
  <si>
    <t>Kalo masi ada isis, gue join isis aja dah</t>
  </si>
  <si>
    <t>RT @OfficialiNewsTV: WNI Terjangkit Virus Korona Bertambah, Kemlu Terus Berkoordinasi dengan Jepang</t>
  </si>
  <si>
    <t>@RachlanNashidik Pemerintah hrs bsyukur msh ad yg mau peduli utk mengawal jlnnya pemerintahan tanpa dibayar (itu kewajiban slrh WNI), tujuannya agr apa2 yg dikerjakn Pem ssuai sbgmn mestinya, ngr stabil/ meninggalkan rekam jejak positif bg bangsa dn ngr bl usai jlnkn amanah.</t>
  </si>
  <si>
    <t>Yang harus dibantu justru korban kebiadabannya isis... RT @jenanmoussa: A sinkhole reportedly containing at least 1000 bodies, including around 30 Yezidis, killed by ISIS has been uncovered in northern Iraq’s Tal Afar region of Nineveh. Majority of victims in the pit, thought to be 150 meters deep, are Shiites from Tal Afar.</t>
  </si>
  <si>
    <t>Jumlah WNI Terinfeksi Virus Corona Bertambah</t>
  </si>
  <si>
    <t>@elHurryKoRn @RizmaWidiono Rindu perang di indonesia..TNI siap hncurkan ISIS bersama rakyat Indonesia</t>
  </si>
  <si>
    <t>Delhi, becoming Paradise for Anti Nationals, in AAP ka raj.most Dangerous Terrorist in Delhi is Amanat Ullah Khan, AAP surrender to PFI - ISIS Terrorists. Shame on Anarchist Kejriwal &amp; company. RT @republic: #CantProtectTukdes | Does raising slogans amount to sedition? The law should be abolished, people have the right to protest: Professor PL Vishweshwar Rao, Activist &amp;amp; Academician</t>
  </si>
  <si>
    <t>@yusuf_dumdum @karniilyas @KPI_Pusat ILC adalah acara Radikalisasi. ILC adalah corong ISIS. ILC adalah acara anti NKRI. ILC adalah lembaga dakwah teroris.</t>
  </si>
  <si>
    <t>WNI dari Kapal Diamond Princess akan Diobservasi Lagi di Indonesia</t>
  </si>
  <si>
    <t>@danicajohanna @TRANS7 Ok lah kreatif nya dapat btw kepikiran ga sih 3 tahun lalu fake chat kaya gini yg ga secanggih sekarang, bisa buat WNI difitnah habis²an sampai sementara tinggal di LN entah sampai kapan? Bukti bahwa emang fake chat gini bisa dibuat yg bikin saksi ahli ITB dianiaya?</t>
  </si>
  <si>
    <t>@thetomwilcox @abdullahalsubay @Empress_of_Ren @AP Al-Qaeda &amp; ISIS..</t>
  </si>
  <si>
    <t>Masih adakah tempat di Indonesia untuk eks WNI kombatan ISIS  via @YouTube</t>
  </si>
  <si>
    <t>Masih adakah tempat di Indonesia untuk eks WNI kombatan ISIS  lewat @YouTube</t>
  </si>
  <si>
    <t>penerus ISIS berbahaya untuk Indonesia yang damai</t>
  </si>
  <si>
    <t>@catuaries Haha iya jg ya hbs itu pasti jg di judulnya akan muncul 3 WNI tersebut berasal dari desa X dan terkenal santun serta berpretasi di mata tetangganya 😂</t>
  </si>
  <si>
    <t>@AchmadLokot @Persija_Jkt Hah, serius bang klok udh wni ??</t>
  </si>
  <si>
    <t>RT @bhre_wengker84: Yg perlu kita pukul mundur, upaya de-Pancasilais, de-Indonesianis, yg dilakukan o/ HTI &amp; gerakan politik transnasional. Wong PKI saja kok di takuti. ISIS &amp;amp; HTI lebih nyata dr sekedar isu murahan tentang kebangkitan hantu PKI. #RingkusAlfianTanjung @CH_chotimah @elHurryKoRn</t>
  </si>
  <si>
    <t>Vice itu media haluu... jd teringat ktika mreka meliput isis 😌 RT @jokoanwar: Tolong sebarkan, teman-teman.</t>
  </si>
  <si>
    <t>RT @muqrizaharin: Jangan hasut orang untuk benci orang yang kau benci.</t>
  </si>
  <si>
    <t>@zarryhendrik Ganjar Pranowo fans MU. RK mau terima ISIS yg 'tobat', ogah banget.</t>
  </si>
  <si>
    <t>Menurut informasi yang diperolehnya, WNI tersebut telah sehat dan sudah keluar dari rumah sakit.</t>
  </si>
  <si>
    <t>@TheendTo Diluar isis dibasmi, disini, kadrun ngrengek mnt isis dipulangkan...kan janc*k itu namanya🤯👅</t>
  </si>
  <si>
    <t>RT @lemineraleale: @catuaries 3 WNI POSITIF CORONA! sang ibu menyatakan sang anak tidak doyan micin sedari kecil ini 10 jajanan micin yg wajib kamu tahu! mana favoritmu?</t>
  </si>
  <si>
    <t>@seruthijau @MohIbrahimMIMI @Orbitingtoyeom @matchathetic_ @muhamadunn_ @achmddn @apeach_jj @anak_pak_smith @ameylindamw @spoilagedcapo @messapotter @SitiiNuruull @Mas_dimaas @yoop_pee @xycallwinnn @tukang_ngambis @Xyzen14 @rkalf_ @deyasic @Afdaldh @alamakjanggg @dandiskuyy666 @Alwanifzyh @funfrolic_ @orvalaray @darhmh @eka_and_ika @dedeanaaa @Varadillaaaaa @xtralonely @fairyypu @sunflowerseu_ @StrawBeeze @ilysmbabybear @SquidwardRajin @ravenclawmate @catuaries @corona 3 WNI Terpapar Virus Corona, Nia Ramadhani sembunyikan rumahnya di dalam tanah. Begini kisahnya!</t>
  </si>
  <si>
    <t>RT @mbah_mijan: Bego bet bego deh, dibilangin!!! Ex ISIS adalah orang yang terjangkit radikalisme. Mereka bisa bangkit kapan saja, ini sebuah doktrin bro! ISIS bagi mereka hanya wadah, jangan fokus ke wadah tapi Fokuslah ke doktrin, wadah bisa ganti nama apa saja, tapi faham tetap sama, bahaya!</t>
  </si>
  <si>
    <t>@AhlulQohwah drpd kemaren punya wacana mulangin eks WNI pro isis, mending org2 model begini aja yg dipersilahkan cabut dri indo..</t>
  </si>
  <si>
    <t>RT @BadjaNuswantara: @kompascom Bagi sok aktivis kemanusiaan memikirkan eks WNI Pro ISIS, tidak memikirkan anak2 Suriah yg jadi koeban akibat ulah eks WNI di Suriah menebar bencana, musibah? TAEK LO!</t>
  </si>
  <si>
    <t>Tolak kepulangan WNI eks ISIS</t>
  </si>
  <si>
    <t>Carai doka</t>
  </si>
  <si>
    <t>@wowthiing Awalnya gua kira sanderanya isis ternyata bukan bangke</t>
  </si>
  <si>
    <t>EKS WNI TIDAK DIPULANGKAN!</t>
  </si>
  <si>
    <t>Meskipun kasus positif corona belum ditemukan di Indonesia, pemerintah telah mengonfirmasi ada empat WNI yang menderita COVID-19. Kasus pertama WNI di Singapura yang berprofesi asisten rumah tangga. Tiga orang lainnya merupakan kru dari kapal pesiar mewah Diamond Princess.</t>
  </si>
  <si>
    <t>@Ndrews1162011 @amirsyahoke @Bee24648210 @HardimasHP @wiradisuta @VIVAcoid @dewanpers @kemkominfo Tu kan muter2 lagi bahas masa inkubasi, semua perdebatan ini akan SELESAI kalau semua wni dari wuhan di tes PCR, SELESAI DAN PASTI, buat keselamatan warga dan rakyatnya kok itung2 duit ug sebenernya ga seberapa (misteri kemenkes bilang miliaran padahal di vietnam 15$)</t>
  </si>
  <si>
    <t>TOLAK ISIS!</t>
  </si>
  <si>
    <t>#TopNewsMetroTV 1 orang WNI yang terjangkit virus COVID-19 dan dirawat di Singapura dinyatakan telah sembuh. KBRI di Singpura pun kini merilis informasi bahwa tidak ada WNI yang terinfeksi #VirusCorona di Singapura.</t>
  </si>
  <si>
    <t>19 Feb 2020: total 4 WNI dari kapal Diamond Princess yg terdeteksi virus corona. Dua dirawat di RS di Chiba, 2 di Tokyo. 🇲🇨 KBRI Tokyo upayakan mereka tetap bisa kontak keluarga &amp; ABK lainnya, dan kami tunggu tes yg menyatakan 74 WNI lainnya selesai dikarantina. #NegaraMelindungi</t>
  </si>
  <si>
    <t>Ex Kombatan ISIS mau pulang, kasih ga? Ft. Prof. Hikmahanto Juwana Asumsi Bersuara</t>
  </si>
  <si>
    <t>RT @Katrina__SO9: #CidukNurhadiMasiku @cnbcindonesia 👉 4 WNI Terjangkit Corona, 3 di Jepang &amp; 1 di Singapura ... Hello FERGUSO Nih Ada Yg Terjangkit Corona Rakyat mu..! #CidukNurhadiMasiku</t>
  </si>
  <si>
    <t>@kbenaranHakiki @amirsyahoke @Bee24648210 @HardimasHP @wiradisuta @VIVAcoid @dewanpers @kemkominfo Bgini aja dulu. Masa inkubasi wni yg di karantina uda brapa hari ?</t>
  </si>
  <si>
    <t>"Pelaku demokrasi itu musyrik. Semua orang yang ikut pemilu kita kafirkan. Makanya nggak heran kalau kita melihat mereka ngebom sembarangan dan lebih banyak korban sipil. Jadi kalau orang udah ikut pemilu udah dianggap menyembah Tuhan selain Allah."</t>
  </si>
  <si>
    <t>@AbdulhadiAlkat1 @Megatop99 @mohmahfudmd Ooo...jd isis omong kosong..??? Setelah bicara ngalor ngidul dan merasa kepepet ganti topik dgn alibi isis omong kosong..????🤣🤣🤣🤣🤣 Unfaedah.</t>
  </si>
  <si>
    <t>RT @idntimes: 4 WNI kini dirawat di rumah sakit di Tokyo dan Chiba</t>
  </si>
  <si>
    <t>RT @KemenkesRI: Turut diberikan penghargaan atas peran dan kontribusi dalam rangka pemulangan dan observasi WNI Wuhan diantaranya dari Pusat Kesehatan TNI, Pusat Krisis Kesehatan, BTKL Batam, KKP Tanjung Pinang, dan dari Direktorat P2P. #Rakerkesnas2020</t>
  </si>
  <si>
    <t>WNI yang terinfeksi virus korona wuhan di kapal pesiar Diamond Princess dilaporkan bertambah satu orang. Dengan begitu, kini ada total empat WNI di kapal itu yang dinyatakan positif mengidap virus COVID-19.</t>
  </si>
  <si>
    <t>@salsabila0307 @Megatop99 @mohmahfudmd Iya, udah pengen belok menjauhi omong kosong ISIS, radikal,.intoleran palsu.</t>
  </si>
  <si>
    <t>@nananmd_ "Taurus suka kejutan, coba kasi hal2 yang antimainstream" macem bendera isis gitu</t>
  </si>
  <si>
    <t>74 WNI Kru Diamond Princess Enggan Dievakuasi Pemerintah RI</t>
  </si>
  <si>
    <t>@salsabila0307 @Megatop99 @mohmahfudmd Demen amat ngomongin ISIS, lalma- lama bisa jadi pengagumnya kamu..hati-hati</t>
  </si>
  <si>
    <t>@catuaries Netizeenn komentarnya lucu-lucu banget! Bisa pas gitu menggambarkan media Indonesia membuat headline/berita. Hahahaha Tapi WNI yg positive terjangkit virusnya bukan ada 4 orang ya?? #cmiiw</t>
  </si>
  <si>
    <t>RT @zaenalkase03: @MaryanaNunung @CANDAdanBISNIS @APLpangeran1 @felixaaf1 @BHD_8 @edward7011971 @BanyakHoaks @MukhtarLuthfi12 @periani @Ningnon11392644 @SetiaAdy_p @Yul3h4 @MOMDian2 @TukangMu @evisuryanti10 @bhenytarika28 @Dickusnadi1 @2024GanjarRisma @Jokoumb64504158 @sofiankawar1 @lukmanalwahid @JohnIrwan4 @RizkiR4madani @wantahgdn @RazkaFaiz @PLiantini @Zulfika35354359 @73hermantjoe @babegalak1 @HeriSu19 @mamiagarislucu @aguzts_ @SultanAnjar @BayuErrianto @jubrik844 @positive_values @kasrulsani9 @Edward_1smail @LiaIsti1 @Recoignitionwal @eddies_song @wartawankoboi13 @CumiCue @AdigunaAtmaja @Iqbalkuntoro1 @aniesbaswedan @ranodoelkarno @DPRD_DKI  Waduh makan kacow ini gimana pak @jokowi dan pak @mohmahfudmd kok jadi gini #tolakanakisiskembali #tolakanakisiskembali #tolakpulangkankombatanisis</t>
  </si>
  <si>
    <t>RT @H08Fawaaz: Bilal Philips is hated by MDP heads, MDN heads, ISIS, US, UK, EU, India, and Maktabah Salafiyyaa.. Al hamdhulillah, they have similarities</t>
  </si>
  <si>
    <t>@ISIS_Balik_NO @Winardhi__ @permadiaktivis @haikal_hassan Sama</t>
  </si>
  <si>
    <t>@Johan39023302 Berikut syarat pengajuan KPR Refinancing/Renovasi BCA (dengan agunan sertifikat Rumah/Ruko/Apartemen): - WNI - Status karyawan/pengusaha/profesional - Lama bekerja/usaha minimal 2 tahun - Harga rumah minimal Rp. 278.000.000,- - Minimal pengajuan (1/11) ^Alif</t>
  </si>
  <si>
    <t>[FOTO] – 4 WNI positif corona di Kapal Pesiar Diamond Princess</t>
  </si>
  <si>
    <t>@MaryanaNunung @CANDAdanBISNIS @APLpangeran1 @felixaaf1 @BHD_8 @edward7011971 @BanyakHoaks @MukhtarLuthfi12 @periani @Ningnon11392644 @SetiaAdy_p @Yul3h4 @MOMDian2 @TukangMu @evisuryanti10 @bhenytarika28 @Dickusnadi1 @2024GanjarRisma @Jokoumb64504158 @sofiankawar1 @lukmanalwahid @JohnIrwan4 @RizkiR4madani @wantahgdn @RazkaFaiz @PLiantini @Zulfika35354359 @73hermantjoe @babegalak1 @HeriSu19 @mamiagarislucu @aguzts_ @SultanAnjar @BayuErrianto @jubrik844 @positive_values @kasrulsani9 @Edward_1smail @LiaIsti1 @Recoignitionwal @eddies_song @wartawankoboi13 @CumiCue @AdigunaAtmaja @Iqbalkuntoro1 @aniesbaswedan @ranodoelkarno @DPRD_DKI  Waduh makan kacow ini gimana pak @jokowi dan pak @mohmahfudmd kok jadi gini #tolakanakisiskembali #tolakanakisiskembali #tolakpulangkankombatanisis</t>
  </si>
  <si>
    <t>RT @eko_adhi: @NamakuBony @fadlilukman Saya baca kok miris ya ternyata benar ada nya bahwa gerakan Wahabi ditegakkan dengan menghancurkan adat istiadat ini mirip2 dengan apa yang di lakukan isis.</t>
  </si>
  <si>
    <t>Beneran ini WNI wuhan bakalan ada datang dan di karantina lg?😫</t>
  </si>
  <si>
    <t>Jumlah WNI yang terinfeksi virus corona di kapal pesiar Diamond Princess, Jepang, bertambah menjadi empat orang. #KAMUHARUSTAU</t>
  </si>
  <si>
    <t>Ilmuwan prediksi ada 5 WNI terpapar virus corona di Indonesia</t>
  </si>
  <si>
    <t>Kisah Milla, WNI Asal Klaten yang Terbebas dari Corona  #MencariJodohDiTwitter</t>
  </si>
  <si>
    <t>RT @sweethellena: Ralat. Keterangan Kemenkes harusnya 12 Feb, bukan 15 Feb. Karantina dimulai 4 Februari. Dengan rentang masa inkubasi 14 hari sesuai arahan WHO, Kemenkes sudah menyatakan para WNI awak kapal 'negatif corona' sebelum masa inkubasi selesai. Maaf salah tanggal, emosi soalnya 😔.</t>
  </si>
  <si>
    <t>RT @radarbangsa_com: WNI Yang Terjangkit Virus Corona di Singapura Dinyatakan Sembuh</t>
  </si>
  <si>
    <t>WNI Yang Terjangkit Virus Corona di Singapura Dinyatakan Sembuh</t>
  </si>
  <si>
    <t>NEWS UPDATE MALAM : WNI Terjangkit Virus Korona Bertambah, Kemlu Terus Berkoordinasi dengan Jepang ??? WNI yang terinfeksi virus korona wuhan di kapal pesiar Diamond Princess dilaporkan bertambah satu orang.…</t>
  </si>
  <si>
    <t>RT @muhamadunn_: @messapotter @dandiskuyy666 @Alwanifzyh @funfrolic_ @alamakjanggg @orvalaray @darhmh @eka_and_ika @dedeanaaa @Varadillaaaaa @xtralonely @fairyypu @sunflowerseu_ @StrawBeeze @ilysmbabybear @SquidwardRajin @spoilagedcapo @ravenclawmate @catuaries NIA RAMADHANI TERKENA WNI, 3 VIRUS CORONA CERITAKAN KRONOLOGISNYA..</t>
  </si>
  <si>
    <t>Rencana Pemerintah, Jemput WNI ABK Kapal Diamond Princess Jepang</t>
  </si>
  <si>
    <t>Usai diobservasi 14 hari di Natuna, 237 orang WNI dan 1 WNA dari Wuhan diterbangkan ke Jakarta, Sabtu (15/02). Pemerintah menetapkan mereka bebas dari COVID-19. Para WNI dalam keadaan sehat dan dilengkapi sertifikat kesehatan. #Video utuhnya -</t>
  </si>
  <si>
    <t>@sinbyourbae Tuh berita formula E , Wni pulang dari wuhan make batik air, terus banjir dijakarta, perseteruan fans sepakbola di blitar kemarin. Apa kasus tentang garuda penyeludupan harley. Banyak jar 😁😁</t>
  </si>
  <si>
    <t>3. Klo buat anak2 ex-kombatan ISIS, kita gak bisa lgsung terima mreka aja, siapa tau mrk sdh dpt indoktrinasi, justru kalo pas kecil, makin nyantel tuh doktrin surga dgn kekerasan ttntu. 4. Ngapain kita mikirin mereka wong gak ada desakan dr dunia internasional juga kok</t>
  </si>
  <si>
    <t>@D_m3chy @sorotnews YANG HARUS DURIBUTKAN RADIKAL RADIKUL, INTOLERAN, CINGKRANG, JENGGOT, ISAS ISIS PKI BIARIN AJAH JANGAN DIUSIK... TAHUUUK ????</t>
  </si>
  <si>
    <t>@kompascom mana perkerjaan @BPIPRI 💩 kucing itu,pancasila bicara mengentaskan kemiskinan yg berhub dgn kriminal dll sbg nya,buang anggaran doank,dungu,nah lu kerja wni eks isis lo bina,ini malah blm apa"gak akan memulangkan kerjanye apa bubarin gak guna @mohmahfudmd @KompasTV @tvOneNews</t>
  </si>
  <si>
    <t>@nonnqwinn_ wni emg lg knp?</t>
  </si>
  <si>
    <t>MANTAN ISIS MENGAKU RINDU KEPADA PERANG PADAHAL BELUM PERNAH MERASAKAN PERANG.</t>
  </si>
  <si>
    <t>RT @dennyindrayana: Izin share pandangan sy soal Nasib Anggota ISIS Asal Indonesia, Kompas TV, 12 Februari 2020. Klik  🙏</t>
  </si>
  <si>
    <t>Prof. Hikmahanto Juwana ttg ex kombatan ISIS, intinya : 1. Ngapain diurusin wong mereka eks WNI? Kecuali ada desakan dari internasional 2. Kalo alasan kemanusiaan kenapa kita gak liat apa yg mereka lakuin disana?</t>
  </si>
  <si>
    <t>@warispathan atankbad ba majab hota hai wo hai Muslim... who are ISIS or ISIL ?</t>
  </si>
  <si>
    <t>RT @tjhinfar21: Teman² ku yg baik hati🙏 Yuk follow akun back up Bieb Wagiman 👉 @WagimanDeep__ karena akun utama dia kena strap oleh twitter Terima kasih atas perhatiannya 😁🙏 Cc @TheArieAir @CH_chotimah</t>
  </si>
  <si>
    <t>RT @rmol_id: Satu Lagi WNI Awak Kapal Pesiar Diamond Princess Yang Terinfeksi Virus Corona #COVID-19 #RepublikMerdeka</t>
  </si>
  <si>
    <t>mana nih meme indon kebal ha? w yakin klo masup indo, korban lebi banya drpd di cina WNI yang Tertular Virus Corona di Kapal Pesiar Jadi 4 Orang  #ForumKaskus via @KASKUS</t>
  </si>
  <si>
    <t>@WagimanDeep__ Menjemput Maut....blom tau rasana dililit rante syari</t>
  </si>
  <si>
    <t>@ameylindamw @spoilagedcapo @messapotter @SitiiNuruull @Mas_dimaas @yoop_pee @ajee_enyabanyak @xycallwinnn @tukang_ngambis @seruthijau @Xyzen14 @rkalf_ @Orbitingtoyeom @deyasic @Afdaldh @alamakjanggg @muhamadunn_ @dandiskuyy666 @Alwanifzyh @funfrolic_ @orvalaray @darhmh @eka_and_ika @dedeanaaa @Varadillaaaaa @xtralonely @fairyypu @sunflowerseu_ @StrawBeeze @ilysmbabybear @SquidwardRajin @ravenclawmate @catuaries VIRAL! 3 WNI MENGENAL NIA RAMADHANI, VIRUS CORONA SIAP MEMBORONG PABRIK MASKER</t>
  </si>
  <si>
    <t>Pasca 238 WNI asal Wuhan, Tiongkok, dinyatakan bebas virus COVID-19. Kini tiga WNI yang ikut dalam kapal pesiar di Jepang dinyatakan positif terjangkit virus mematikan tersebut. . #COVID-19 #Korona #CoronaVirus #Wuhan #DiamondPrincess #Jepang #BuletiniNewsSiang #GTVNews</t>
  </si>
  <si>
    <t>WNI di Singapura Sembuh dari Virus Corona! #corona #singapura #merahputih</t>
  </si>
  <si>
    <t>@voucmevouyez Besok makanya kuliah sambil bawa bendera isis</t>
  </si>
  <si>
    <t>@Megatop99 @mohmahfudmd Benar,kita memang terlena &amp; saling menhakimi sendiri.padahal kita semua bkn pelaku sejarah.intinya pki &amp;amp; isis harus lenyap dr bumi pertiwi yg kita cintai.🙏</t>
  </si>
  <si>
    <t>RT @JapaneseStation: Tiga WNI telah positif terkena virus corona (COVID-19). Sementara, para penumpang yang telah selesai dikarantina selama 14 hari dan terbukti negatif dari virus kini sudah diizinkan untuk turun dari kapal.</t>
  </si>
  <si>
    <t>@ustadtengkuzul Dasar provokator.. waspada terhadap ISIS</t>
  </si>
  <si>
    <t>@kumparan Dan seorg Rusia yg bodoh sempat mengolok Indonesia saat WNI dr Wuhan disemprot desinfektan sesaat mereka turun dr batik air. Mirisnya sejumlah netizen Indonesia ikut mengolok metode sterilisasi tsb, tanpa pengetahuan.</t>
  </si>
  <si>
    <t>@__sekar__ Setauku yg di indo sini blm ad yg +, wni yg kena di luar negeri smua kayaknya ya.. semoga ttp bgtu smp badai ini berlalu aamiin..</t>
  </si>
  <si>
    <t>Nama : Tanaya Ayu Kuntjoro TTL : Osaka, 20 Juni 1996 Jenis Kelamin : Perempuan Golongan Darah : O (Rhesus +) RT/RW : - Kelurahan : - Kecamatan : - Status Perkawinan : Belum Kawin Pekerjaan : Mahasiswi Kewarganegaraan : WNI</t>
  </si>
  <si>
    <t>Empat WNI Positif Terjangkit, Menlu Bertolak Ke Laos Bahas Penanganan Virus Corona</t>
  </si>
  <si>
    <t>@Bola_Jakarta wni klok</t>
  </si>
  <si>
    <t>@na_dirs @jokowi @PDI_Perjuangan Padahal Indo dah masuk daftar buku itam harus di Suriah kan, jutaan Onta ISIS siap jihad, tgl tunggu perintah aja, Jkw dan jajaran mrk ms tdk tegas dan membiarkan radikalisme, + lg mrk2 byk dibeking oknum Jendral, ini fakta</t>
  </si>
  <si>
    <t>RT @elHurryKoRn: BOIKOT PKS YG DUKUNG PEMULANGAN ISIS KALAH PERANG KE NKRI !!! #CegahISISmasukNKRI</t>
  </si>
  <si>
    <t>WNI Positif Virus Corona di Kapal Diamond Princess Jadi 4 Orang  #vivanews</t>
  </si>
  <si>
    <t>RT @AnakLolina: Kivlan Zen ini S 3 lulusan apa ya sampe ada tagar #PrayForKivlanZen ? Kadrun memang sukanya yg rusak utk di puja puji. Itilbi twalibi S 3 kesusteran, siapa lagi S 3 Vatikan. #STOPacaraILC</t>
  </si>
  <si>
    <t>@anonapostate @kumparan ISIS, bro. Siapa lagi?</t>
  </si>
  <si>
    <t>RT @ninikwafiroh: Komisi IX Berharap 3 WNI Positif Virus Corona di Kapal Pesiar Diamond Princess Bisa Sembuh -  #SuaraPKB ⁦@DPP_PKB⁩ ⁦@FraksiPKB⁩</t>
  </si>
  <si>
    <t>WNI Positif Corona di Kapal Diamond Princess Bertambah Jadi 4 Orang</t>
  </si>
  <si>
    <t>Dubes Jepang Siap Bantu Pemulangan 78 WNI Kru Kapal Diamond Princess</t>
  </si>
  <si>
    <t>RT @geloraco: Bertambah 1 Orang, Total Ada 4 WNI di Kapal Pesiar Jepang Positif Corona</t>
  </si>
  <si>
    <t>VIVA Top3 : Anies Vs Ahok, Aremania Vs Bonek &amp; WNI Positif Corona  #vlix</t>
  </si>
  <si>
    <t>@salsabila0307 @Megatop99 @mohmahfudmd Partisan ISIS cuma ngomong doang, perangnya jauuuh di Suriah, penghianatan PKI terjadi di negeri ini, trauma dan fahamnya nggak mustahil bangkit lagi.</t>
  </si>
  <si>
    <t>Agama apapun melarang manusia membunuh manusia. Tapi kadrun2 yg biasa demo sering berteriak agar membunuh kafir atau pihak2 yg tidak sejalan dgn pemahaman tololnya. Yg lebih seru lagi, kadrun2 gila itu malah membela para pembunuh eks ISIS, sambil menghina org2 yg menolaknya 😫</t>
  </si>
  <si>
    <t>Bertambah 1 Orang, Total Ada 4 WNI di Kapal Pesiar Jepang Positif Corona</t>
  </si>
  <si>
    <t>@catuaries Acuhkan saran netijen ngombe tolak angin + kuah indomie anget, 4 wni kru pesiar positif corona</t>
  </si>
  <si>
    <t>@AnindyaNafaiz @TheArieAir @Rimal_Rizky @santoso25179155 @wills_keren @Zainuddinovic @adeteriyanaa @Aisyah19527681 @apriliyanto_adi @Sapto__Nugroho @MbahSemesta @RyukenXc @LahAkuKenapa @Criztx @wardayadi1 @sukijoyo @matteo_ardhitio @enjita_poetry @J4lakBali @GaweiPeniel @biankasabila @tugu_ireng @FAIZ_muslich @JaringanIndmuda @srimolek @antonpoet1 @ahmad_subana @LebahGanteng07 @TR_Kabayan Terima kasih promotenya Follow 👉👉👉👉Garansi Folbek</t>
  </si>
  <si>
    <t>@KompasTV @jokowi *SYMBOL ISIS ITU DIAMBIL DARI IDE SI MATA SATU HAHAHA SATANIC VERSES</t>
  </si>
  <si>
    <t>@bebek_inthesky Bahaya granad e isis sih menurutku</t>
  </si>
  <si>
    <t>Menurutnya, keempat WNI yang terinfeksi tengah dirawat di dua rumah sakit yang berbeda.</t>
  </si>
  <si>
    <t>WNI yang merupakan kru kapal pesiar Diamond Princess di perairan Yokohama, Jepang positif terjangkit virus corona COVID-19.</t>
  </si>
  <si>
    <t>Hai SohIB! Sebanyak 238 WNI dari Wuhan yg dikarantina selama 14 hari dinyatakan bebas #VirusCorona. #IndonesiaBaik #YangMudaSukaData #Infografis #ProgramPemerintah #Virus_Corona #NovelCoronavirus #nCoV @KemenkesRI</t>
  </si>
  <si>
    <t>Presiden @jokowi menegaskan kembali pemerintah tidak akan memulangkan anggota ISIS asal Indonesia. Kalau menurut kamu, mereka layak pulang atau tidak? Simak informasi selengkapnya di video berikut ini! - TGSL</t>
  </si>
  <si>
    <t>3 WNI yang terjangkit tidak minum oskadon pancen o ye duar mmmm</t>
  </si>
  <si>
    <t>#TubirIntim Episode 3: Orang – Orang Indonesia Yang Terlibat ISIS  #tubirmultimedia</t>
  </si>
  <si>
    <t>RT @islamidotco: Langkah Taktis Penanganan Eks-ISIS dan Risiko yang Harus Dihadapi</t>
  </si>
  <si>
    <t>3/78 WNI positif korona tuh. Puas lo semua? Nungguin kan dari kapan tau kok gaada ada org indo yg positif virus?</t>
  </si>
  <si>
    <t>@yazid_fadhlan @Gun4w4nAhokers Sepertinya begitu Abis kasus ini, nanti kasus anak2 isis booming lagi</t>
  </si>
  <si>
    <t>@Ngk0ng__R__R @thetimeshaft_ @H4l1mun_D1n61n @jasroel @spiderr__matrix @yusuf_dumdum @LuwitaEmilly878 @Lumbalaut1 @kangenband123 @Adipativan @vincent_ves @YRadianto @ayah_9Garislucu @Ajiesara @DiantyYasmin3 @Diana_GarisImut @viviandeella @Ji3_RebOrn @gelangbesi @papih_f41th @edotssss @snjayajonggrang @johhhnygudhel @IrmaHKds ³ Sebagian besar Masyarakat Dunia terutama yang memang sejak dahulu sudah sangat membenci dan memusuhi Islam dengan mudahnya menerima semua informasi itu, mereka mengakui benar ISIS adalah product Islam dan mereka langsung membuat pernyataan bahwa benar Islam adlh Agama pembunuh.</t>
  </si>
  <si>
    <t>kita hidup di zaman. umat islam sendiri yang menjatuhkan sesama saudara beriman. aealah, gitu tu kalo islam nya keturunan, ada yg hijrah dibilang khwarij, isis, hti, fanatik sama agama. pdhl mah mereka aja yg terlalu cinta dunia😴 susah jelasin sama orang yg pemikirannya kek gitu</t>
  </si>
  <si>
    <t>Menlu Mengucapkan Terima Kasih Pada Tim Pemulangan WNI Di Wuhan -</t>
  </si>
  <si>
    <t>RT @HitamPutihT7: Tim dokter, psikolog, dan Ses Ditjen P2P Kemnkes menceritakan proses karantina WNI di Natuna saat masa observasi. #HitamPutih</t>
  </si>
  <si>
    <t>Otoritas kesehatan Jepang sudah membawa ketiganya ke rumah sakit untuk menjalani perawatan. #coronavirus #jepang</t>
  </si>
  <si>
    <t>Keppres Dapat Perkuat Pencabutan Status WNI eks ISIS</t>
  </si>
  <si>
    <t>Sebuah catatan 100 hari kerja Periode kedua Pak Jokowi dkk.  @partaigeloraid</t>
  </si>
  <si>
    <t>RT @demoSoCRAZY: Masih segar ingatan bangsa ini bgmn beliau bernegosiasi tanpa uang tebusan dgn Abu Sayyaf u/ bebaskan WNI yg di sandera.. #PrayForKivlanZen #PrayForKivlanZen</t>
  </si>
  <si>
    <t>RT @narkosun: Mualaf, S3 Vatikan... Tapi boong 😂</t>
  </si>
  <si>
    <t>RT @eka_and_ika: @dedeanaaa @Varadillaaaaa @xtralonely @fairyypu @sunflowerseu_ @StrawBeeze @ilysmbabybear @SquidwardRajin @spoilagedcapo @ravenclawmate @catuaries 3 WNI terpapar virus korona. Nia Ramadhani ketakutan ketika ceplok telor</t>
  </si>
  <si>
    <t>RT @voaindonesia: ALERT - 3 WNI kru kapal Diamond Princess dinyatakan positif terkena Virus Korona. Total ada 78 WNI yang berada di kapal mewah ini.</t>
  </si>
  <si>
    <t>RT @__Aiek__Channel: #RUUCilakaBikinCelaka #RUUCilakaBikinCelaka 3 WNI Positif Corona dan Gugurnya Mitos Orang Indonesia Kebal Corona  Seperti mitos Presiden klo ke Kediri pasti lengser🤭😂😂🤣</t>
  </si>
  <si>
    <t>Translation buat audiens lokal - GAM (Gerekan Aceh Merdeka) atau ISIS? - GAM, ya senggaknya mereka dari sini juga.</t>
  </si>
  <si>
    <t>RT @__Aiek__Channel: #RUUCilakaBikinCelaka #RUUCilakaBikinCelaka Empat WNI Positif Terjangkit, Menlu Bertolak Ke Laos Bahas Penanganan Virus Corona  Klo kembali ke Indonesia jgn bawa oleh-oleh CoronoVirus yaa</t>
  </si>
  <si>
    <t>RT @kamto_adi: Betul, jadi kalau ada berita "si A, warga Indonesia yang berdinas di US air force" ya sudah bukan WNI lagi. Judulnya harus diubah menjadi "Si A, kelahiran Indonesia yang berdinas di US air force". 😊🙏🏻</t>
  </si>
  <si>
    <t>RT @kamto_adi: Di PP ini juga disebutkan kalau masuk dlm dinas negara asing maka otomatis kehilangan status WNI. FBI &amp; DEA merupakan dinas negara asing yang kalau di Indonesia setaraf BIN &amp;amp; BNN. Jadi kalau ada yg ngaku2 kerja di sana, kemungkinan besar bohong, kec ybs bukan WNI lagi, cmiiw😁</t>
  </si>
  <si>
    <t>RT @xtralonely: @fairyypu @sunflowerseu_ @StrawBeeze @ilysmbabybear @SquidwardRajin @spoilagedcapo @ravenclawmate @catuaries 3 WNI terpapar virus corona, nia ramadhani mengaku tak biasa terpapar sinar matahari</t>
  </si>
  <si>
    <t>RT @kamto_adi: Di PP No.2 tahun 2007 ttg kewarganegaraan sdh dijelaskan bgmn seorang WNI bisa kehilangan kewarganegaraannya. . Bag. 3 tertulis tata cara seseorang dpt mengajukan kembali. . Pasal 44 ayat 2 poin g, menyertakan alasan kehilangan status WNI. Masa iya mau ditulis "sengaja dibakar"?</t>
  </si>
  <si>
    <t>RT @tempodotco: Kementerian Kesehatan (Kemenkes) memberikan penghargaan kepada tim medis yang menangani warga negara Indonesia yang menjemput dari Provinsi Hubei.</t>
  </si>
  <si>
    <t>RT @notamagister: @catuaries Jangan lupa selfie ganteng dan cantik para WNI yang terkena virus corona</t>
  </si>
  <si>
    <t>Kementerian Kesehatan (Kemenkes) memberikan penghargaan kepada tim medis yang menangani warga negara Indonesia yang menjemput dari Provinsi Hubei.</t>
  </si>
  <si>
    <t>TRANS7: RT HitamPutihT7: Cerita proses pemulangan WNI di Wuhan yang ternyata penuh dengan keharuan. #HitamPutih</t>
  </si>
  <si>
    <t>TRANS7: RT HitamPutihT7: Ketakutan dari WNI yang berada di Wuhan dengan apa yang terjadi saat virus Corona menyebar. #HitamPutih</t>
  </si>
  <si>
    <t>RT @akmalsofiandy: [Directions Paper Release Vol.03] Belakangan ini terjadi beberapa isu besar di dunia, mulai dari Corona Virus, ISIS hingga Brexit. Berikut kami sajikan paparan tentang isu-isu tersebut. Simak:</t>
  </si>
  <si>
    <t>Sejak 15 Februari 2020, 238 WNI yang dievakuasi dari Wuhan, Tiongkok sudah kembali ke rumah masing-masing. Hadir</t>
  </si>
  <si>
    <t>SAH, akhirnya pemerintah memutuskan untuk menolak pulangkan WNI eks ISIS, Selengkapnya di</t>
  </si>
  <si>
    <t>RT @TR_Kabayan: @S1MB4H_EN0M @imanhimawan3 @sukijoyo @matteo_ardhitio @enjita_poetry @J4lakBali @ISIS_Balik_NO @GaweiPeniel @biankasabila @tugu_ireng @FAIZ_muslich @JaringanIndmuda @srimolek @antonpoet1 @ahmad_subana @LebahGanteng07 Gpp, trmksh sdh promote akun saya 🙏🙏🙏</t>
  </si>
  <si>
    <t>Tiga WNI Awak Kapal Diamond Princess Terinfeksi Virus Corona</t>
  </si>
  <si>
    <t>@mochpratama7 @andreikhsan4 Info terbaru katanya udah ada 4 wni yg kena ya ?</t>
  </si>
  <si>
    <t>alhamdulillah ya allah, semoga 3 wni yang di jepang bisa segera sembuh jg 🙏😭 RT @BBCIndonesia: Setelah dirawat secara intensif selama dua minggu, seorang warga negara Indonesia (WNI) yang sempat terjangkit virus corona di Singapura telah dinyatakan sembuh dan kini negatif Covid-19.</t>
  </si>
  <si>
    <t>RT @PopPelangi: Saya tak faham betul logik dia ni. Apabila pemandu mabuk dipenjara, kenapa kita kena fikir keluarga dia susah apa semua? Kalau tak nak keluarga susah, jangan mabuk ketika memandu. Kalau fikir macam ni, tak perlu ada penjara lah sebab semua orang pun ada keluarga, kan? 🙄</t>
  </si>
  <si>
    <t>RT @_winnersss: 3 WNI Positif Corona dan Gugurnya Mitos Orang Indonesia Kebal Corona</t>
  </si>
  <si>
    <t>@Ristiaw08951660 @tangguhniti @Widodo_By @IxNdheso @sepanjanghariii @mohmahfudmd Mana kebangkitan PKI yg ada di depan mata? Sekadar pengen tau dong. Radikalisme jelas buktinya. Salahsatu contohnya warga Indonesia yg bergabung dgn ISIS di Suriah.</t>
  </si>
  <si>
    <t>Percaya gak percaya, ada azab atas mereka yang zalim... WNI Korban Virus Corona di Singapura Dinyatakan Sembuh</t>
  </si>
  <si>
    <t>@HusinShihab @elHurryKoRn @jokowi @Kemenag_RI @BPJPH @mohmahfudmd Baru aga reda soal WNI mantan ISIS..sdh bikin gaduh lg.....mbok klo ora sanggup jd menteri nya orang ber agama di Indonesia,serahkan lg mandat ke pengganti/wakil..mundur alon alon itu lbh bijak.</t>
  </si>
  <si>
    <t>Kemenkes Pastikan Kondisi 3 WNI Positif di Kapal Pesiar Jepang Stabil</t>
  </si>
  <si>
    <t>@messapotter @dandiskuyy666 @Alwanifzyh @funfrolic_ @alamakjanggg @orvalaray @darhmh @eka_and_ika @dedeanaaa @Varadillaaaaa @xtralonely @fairyypu @sunflowerseu_ @StrawBeeze @ilysmbabybear @SquidwardRajin @spoilagedcapo @ravenclawmate @catuaries NIA RAMADHANI TERKENA WNI, 3 VIRUS CORONA CERITAKAN KRONOLOGISNYA..</t>
  </si>
  <si>
    <t>@KakekHalal emg divatikan ada sekolahnya ye kek....astaga,sebagian wni emg kurang otaknya pas dilahirkan 😂😂😂</t>
  </si>
  <si>
    <t>RT @septian: @TirtoID Total jumlah WNI yang terpapar virus COVID-19 sampai pada tanggal 18 Februari: 4 orang. - 3 orang kru kapal cruise Diamond Princess (Jepang) - 1 orang di Singapura</t>
  </si>
  <si>
    <t>Istana Ada Pertimbangan Khusus untuk Anak-Anak WNI Eks ISIS</t>
  </si>
  <si>
    <t>Anak-Anak WNI Eks ISIS Perlu Penanganan Khusus Setelah Dipulangkan</t>
  </si>
  <si>
    <t>@nabilarahmi @mikvadi Doa nya sudah menguat lagi sepertinya</t>
  </si>
  <si>
    <t>Kombatan ISIS Tak Dipulangkan, Whats Next? | Diskusi Reboan #ManifestoPolitikPKB  Diskusi Reboan | Bersatu Menghadapi Endemik Virus Corona #ManifestoPolitikPKB</t>
  </si>
  <si>
    <t>Kombatan ISIS Tak Dipulangkan, Whats Next? | Diskusi Reboan #ManifestoPolitikPKB</t>
  </si>
  <si>
    <t>@orvalaray @darhmh @eka_and_ika @dedeanaaa @Varadillaaaaa @xtralonely @fairyypu @sunflowerseu_ @StrawBeeze @ilysmbabybear @SquidwardRajin @spoilagedcapo @ravenclawmate @catuaries 3 wni terdampak virus korona. Nia ramadhani sewa bodyguard penangkal korona</t>
  </si>
  <si>
    <t>Kru kapal pesiar Diamond Princess asal WNI positif COVID-19 - more at  #Indonesia Diberitakan sebelumnya, kapal pesiar dari Jepang, Diamond Princess dengan setidaknya 3.000 penumpang dan awak kapal dikarantina dikarenakan lebih dari 300 penumpang dinyat...</t>
  </si>
  <si>
    <t>Pencegahan Virus Corona dalam Kapal Pesiar di Jepang Kacau Balau, 3 WNI Positif Terinfeksi</t>
  </si>
  <si>
    <t>1 WNI di Singapura Sembuh dari Corona Usai Dirawat 2 Minggu di RS | #news #viral &gt;&amp;gt;&amp;gt; Click</t>
  </si>
  <si>
    <t>@_wni_ Bukan stalker berjaya</t>
  </si>
  <si>
    <t>idan Kanaso kaji zagi iya zagi wanda tunda kake baka taba jin irin saba kaje kauye ka iske yara nawasa irin bakaken yaran nan wanda kow kaya bbu jikinsu wlhy idan kji wni yazagi danuwansa saide karike baki.</t>
  </si>
  <si>
    <t>Klo mau ngutuk penguasa dan cukong disini mah kutuk aja gausah pake bawa2 isis di awalnya, kebencianmu itu loh udah sampe ubun2 Emang isis udah ngapain kamu sih segitunya harus dibawa-bawaaaa mulu dlm urusan kalian ini? Janganlah kebencianmu pd suatu kaum membuatmu tidak adil RT @haikal_hassan: ISIS emang kurang ajar.kutuk. Membunuh atasnama agama. Gak kalah biadabnya adl: 130 kep.daerah 27 kep.lembaga/ kementrian 9 ket.partai/ sekjen 65 kader partai itu 58 cukong "babi" 255 perkara korupsi jumbo Itu belum termasuk: #Jiwasraya #Asabri #HarunMasiku #BUMNgate #KPU</t>
  </si>
  <si>
    <t>RT @kompascom: WNI tersebut telah dinyatakan sembuh dan telah pulang dari rumah sakit.</t>
  </si>
  <si>
    <t>RT @susno2g: 3. HEBOH ISUE ISIS : kewenangan pemerintah atau kewenangan pengadilan atau kewenangan lembaga lain ?</t>
  </si>
  <si>
    <t>RT @susno2g: 1. HEBOH ISUE ISIS : unt istilah yg benar yang mana apakah WNI Eks ISIS atau ISIS Eks WNI ? Karena kedua istilah itu sunggu besar beda nya dan dampak Hukum nya jg sangat berbeda</t>
  </si>
  <si>
    <t>WNI tersebut telah dinyatakan sembuh dan telah pulang dari rumah sakit.</t>
  </si>
  <si>
    <t>RT @NegaraBerdaulat: Evakuasi WNI di Diamond Princess jadi prioritas pemerintah #STOPacaraILC</t>
  </si>
  <si>
    <t>3 WNI udah positif corona oh god</t>
  </si>
  <si>
    <t>3 WNI Kru Kapal Diamon Positif Terjangkit Virus Korona  #kesehatan #news #pojokpitu #beritaterkini #hotnews #beritaterbaru #beritaindonesia #dinkes #kemenkes #jakarta</t>
  </si>
  <si>
    <t>RT @septian: @CNNIndonesia Tidak perlu terkejut dengan berita ini. Lama kelamaan kalau semuanya dibiarkan di kapal pesiar tersebut ya akan terjangkiti jg. Total jumlah WNI yang terpapar virus COVID-19 skrg: 4 orang. 3 dites oleh Jepang, 1 dites oleh Singapura. Belum ada yang dites oleh Indonesia sendiri.</t>
  </si>
  <si>
    <t>Dikarenakan Personal Data Protection Act Singapura, identitas WNI tsb tidak dapat disampaikan ke publik, namun dapat dipastikan bahwa saat ini yang bersangkutan dalam kondisi baik #IniDiplomasi #NegaraMelindungi</t>
  </si>
  <si>
    <t>RT @TirtoID: Tiga dari 78 WNI yang menjadi awak kapal pesiar Diamond Princess yang dikarantina di perairan Yokohama, Jepang, positif terinfeksi virus corona atau Covid-19.</t>
  </si>
  <si>
    <t>RT @kompasiana: Kesombongan yang tercermin dalam ungkapan "orang Indonesia kuat dan kebal corona" hanya akan membawa kita ke dalam situasi pahit. #HLKompasiana</t>
  </si>
  <si>
    <t>Video Balita ISIS Yang Di Ajarkan Menggorok Musuhnya, Colek KAK SETO?  #ForumKaskus via @KASKUS #PrayForKivlanZen #HARUTO #bclsinclair</t>
  </si>
  <si>
    <t>Pada (18/02), Kementerian Kesehatan Singapura menyampaikan bahwa WNI yang dinyatakan sebagai kasus ke-21 positif COVID-19 di Singapura, telah dinyatakan sembuh dan negatif COVID-19 serta telah dipulangkan dari rumah sakit. #IniDiplomasi #NegaraMelindungi</t>
  </si>
  <si>
    <t>BREAKING NEWS: 3 WNI Kru Kapal Pesiar Diamond Princess Positif Virus Corona</t>
  </si>
  <si>
    <t>Kesombongan yang tercermin dalam ungkapan "orang Indonesia kuat dan kebal corona" hanya akan membawa kita ke dalam situasi pahit. #HLKompasiana</t>
  </si>
  <si>
    <t>RT @Metro_TV: #MetroSiang Respon penanganan 3 WNI di kapal pesiar Diamond Princess yang positif terpapar #VirusCorona dilakukan pemerintah Jepang. 2 WNI di bawa ke rumah sakit di Kota Chiba, sedangkan 1 masih belum dapat dikonfirmasi. Live Streaming:</t>
  </si>
  <si>
    <t>@catuaries @miimuumax “3 pemuda WNI Positif COVID-19, begini pendapat tetangga”</t>
  </si>
  <si>
    <t>@eko_is_oke @RomoJostKokoh @BuddhisGL ISIS penghancur dunia!!!</t>
  </si>
  <si>
    <t>RT @KompasTV: WNI Positif Corona di Kapal Pesiar Diamond Princess: Setuju Karantina Agar Tidak Tularkan Orang Lain</t>
  </si>
  <si>
    <t>@tvOneNews @karniilyas Acara tidak meng-EDUKASI dan tidak ber-FAEDAH...yang ada hanya bikin dosa, keributan, kebencian terhadap anak bangsa saja...acara sudah mirip kayak ISIS menciptakan PROPAGANDA #ILCPanggungProvokasi #KarniIlyasTukangAduDomba</t>
  </si>
  <si>
    <t>Masa Karantina WNI di Natuna Berakhir</t>
  </si>
  <si>
    <t>@Alex49777603 @sepanjanghariii @mohmahfudmd Daftar yg mau meroboh NKRI dan Pancasila: 1. Jebolan SI (Sareat Islam) yaitu PKI 2. Jebolan SI (Sareat Islam) dg dasar khilafah yaitu NII/DI/TII (Karto Suwiryo) 3. PRRI 4. RMS 5. HTI. 6. FPI, karenaDPI simpatisan HTI dan ISIS, berarti anti pancasila juga. Tambah GAM dan OPM</t>
  </si>
  <si>
    <t>RT @Resty23189880: Ini lah sosok Mayjen(Purn)Kivlan Zen Drama penyanderaan 10 WNI dari tangan Abu Sayyaf berakhir. Salah satu tokoh kunci yang berperan sebagai negosiator adalah Mayor Jenderal (Purn) Kivlan Zein. #BebaskanKivlanZein #BebaskanKivlanZein</t>
  </si>
  <si>
    <t>Empat WNI Positif Terjangkit Virus Corona</t>
  </si>
  <si>
    <t>FIX 3 WNI Awak Kapal Pesiar Diamond Princess Terpapar Virus Corona, Menlu Ungkap Keadaannya Kini</t>
  </si>
  <si>
    <t>@vivanewscom @VIVAcoid para ba bi ini benar2 menunggangi hukum utk kepentingan golongan tertentu bang sat, dan si joko lembek kpd simpatisan isis ini persis kyk tape</t>
  </si>
  <si>
    <t>@ilysmbabybear @SquidwardRajin @spoilagedcapo @ravenclawmate @catuaries 3 WNI terpapar virus corona, Nia Ramadhani khawatir karena cukup dekat dengan Batman</t>
  </si>
  <si>
    <t>RT @KompasTV: Kisah Petugas di Balik Evakuasi WNI, Berbohong Kepada Keluarga Saat Ikut Evakuasi WNI</t>
  </si>
  <si>
    <t>RT @LamanKita_: WNI dari Wuhan Bebas dari Corona,Masyarakat diminta hilangkan Pikiran negatif. #WNIluluskarantina</t>
  </si>
  <si>
    <t>RT @Cittairlanie: Ketiga WNI ini menambah kasus positif #COVID19 di kapal pesiar Diamond Princess. Hingga Selasa (18/2), ada 456 orang di kapal tsb yang dinyatakan positif mengidap virus corona.</t>
  </si>
  <si>
    <t>sehalu apapun dia, se nyebelin apapun dia, sejiji apapun netizen dan sejijinya saya ke dia, dia masih manusia dia masih WNI. Dia berhak dimanusiakan seperti wni yang lain. Gilasih ini parah bgt huhu RT @spac3spaghetti: fuck u indonesia u r such a weird country i really hate this OH GOD</t>
  </si>
  <si>
    <t>Berikut artikel opini dari Reynaldi Adi yang membahas mengenai topik tersebut:</t>
  </si>
  <si>
    <t>Isu mengenai pemulangan Warga Negara Indonesia eks ISIS ke tanah air menimbulkan pro dan kontra. Sebagian pihak menolak dengan alasan keamanan, akan tetapi sebagian yang lain mendukung karena kemanusiaan. Lantas, bagaimana seharusnya kita menanggapi isu tersebut?</t>
  </si>
  <si>
    <t>WNI dari Wuhan Bebas dari Corona,Masyarakat diminta hilangkan Pikiran negatif. #WNIluluskarantina</t>
  </si>
  <si>
    <t>@catuaries Jangan lupa 3 WNI yang positif terinveksi virus juga sering kulineran, berikut foto2 nya</t>
  </si>
  <si>
    <t>3 WNI kru kapal pesiar Diamond Princess yang positif corona, kini telah mendapat perawatan di sebuah rumah sakit di Kota Chiba. #IndosiarBerita</t>
  </si>
  <si>
    <t>ex warganegara Indon yg gabung ISIS kalo dibalikin jadinya ex warganegara Indon yg gabung SISI</t>
  </si>
  <si>
    <t>RT @Kemenkumham_RI: #SahabatPengayoman, penyebaran virus corona tipe baru (2019-nCoV) terus meluas ke 23 negara secara global. Setelah berhasil melakukan evakuasi terhadap 243 WNI, Presiden @jokowi meminta kepada WNI untuk sementara waktu tidak melakukan perjalanan ke China . #KamiPasti #CoronaVirus</t>
  </si>
  <si>
    <t>@handi11a @notamagister @catuaries Krna nanti pasti ada judul artikel "Inilah beberapa foto cantik/tampan salah satu WNI yg terkena virus corona"</t>
  </si>
  <si>
    <t>@CNNIndonesia Minta Pulang Dan Mengaku Tobat, Simpatisan ISIS Pandai Berbohong Sebab Doktrin Berpura-pura Di Depan Musuh  via @rmol_id</t>
  </si>
  <si>
    <t>RT @kompascom: Sejumlah isu menarik minat pembaca rubrik nasional , di antaranya WNI positif corona di kapal pesiar dan laporan terhadap Edy Rahmayadi.</t>
  </si>
  <si>
    <t>Jepang Belum Tahu Sikap RI Soal Pemulangan WNI di Pesiar</t>
  </si>
  <si>
    <t>RT @GakNyerahBRO___: Sang Negosiator Itu Adalah Mayjen(Purn)Kivlan Zen. Beliau Tokoh Kunci Pembebasan Sandera 10 WNI Dari Tangan Abu Sayyaf #PrayForKivlanZen #PrayForKivlanZen @Sangk4k4l4 @83_nurjamilah @la1laha1llallah @NurmajadM @ZahrilLabung</t>
  </si>
  <si>
    <t>@kamto_adi "Si A keturunan arab kelahiran inggris pernah dulunya WNI berdinas di USAF"</t>
  </si>
  <si>
    <t>RT @OposisiCerdas: WNI Yang Dikarantina di Natuna Mengaku Tak Dites Corona</t>
  </si>
  <si>
    <t>Berita Soloraya Populer: Andai Jokowi Pulangkan eks-ISIS hingga Driver Ojol Gendong Anak saat Narik</t>
  </si>
  <si>
    <t>RT @republikaonline: Sebanyak 11 personel TNI dan lima personel Polri serta 3 WNI sipil bertugas.</t>
  </si>
  <si>
    <t>@tribunnews Kaum Kaum menyimpang seperti dia memang cenderung ga jauh dari dunia madat... itulah kenapa mereka seperti virus lebih bahaya daripada ISIS karena kaum menyimpang menghancurkan masyarakat dari dalam secara perlahan</t>
  </si>
  <si>
    <t>@aprikuma @JeromePolin Mbak...mon maap Om Jerome kan bukan penduduk Indonesia yak. Tp WNI yg jd penduduk Jepang. Nah klo followernya Om Jerome yg penduduk Indonesia kuy lah isi sensus penduduk 🤗</t>
  </si>
  <si>
    <t>RT @roninpribumi: Terungkap, WNI yang Dikarantina di Natuna Tak Dites Corona</t>
  </si>
  <si>
    <t>@sinatryawien @KuntoAjiW dan jg gatau mau bahas apa . G mgkin bahas WNIS ISIS dipulangkan :))</t>
  </si>
  <si>
    <t>@SquidwardRajin @spoilagedcapo @ravenclawmate @catuaries 3 WNI terpapar virus corona, Nia Ramadhani tidak tau cara mengupas salak</t>
  </si>
  <si>
    <t>Catatan: Dalam 24 jam terakhir jumlah korban meninggal telah menembus angka 2.000. Meskipun tidak ada laporan penyebaran COVID-19 di Indonesia, 4 WNI positif mengidap Novel Coronavirus: 1 di Singapura, 3 di Kapal Pesiar Diamond Princess yang saat ini dikarantina di Yokohama.</t>
  </si>
  <si>
    <t>RT @muliawanramzy: Masalah kewarganegaraan anggota ISIS ini makin menarik</t>
  </si>
  <si>
    <t>Masalah kewarganegaraan anggota ISIS ini makin menarik</t>
  </si>
  <si>
    <t>Bukan lagi WNI, kan sudah masuk (organisasi) USAF. Kecuali kalau "cuma" masuk markasnya doang, saya juga pernah. 😅😅😅 RT @gede_dwi: @kamto_adi Klu si A, WNI keturunan Arab, kelahiran Inggris, lalu masuk USAF, judulnya jadi apa ?</t>
  </si>
  <si>
    <t>RT @napiez: Asal-usul ISIS.</t>
  </si>
  <si>
    <t>tolak eks isis kembali ke indonesia....</t>
  </si>
  <si>
    <t>@Heru_Catur @tempodotco Sama Halnya dengan Eks Isis WNI ada 600 orang.Jumlah Penduduk Indonesia ada 260juta orang..Kalau Di Eksekusi 600 orang,, Jumlah Penduduk paling berkurang 600 orang.yang Penting NKRI PANCASILA BENDERA MERAH PUTIH TETAP HIDUP DAN JAYA UNTUK SELAMANYA</t>
  </si>
  <si>
    <t>251 WNI dan Mahasiswa di Wuhan Aman dan Tidak Terpapar Virus Corona -</t>
  </si>
  <si>
    <t>Tiga warga negara Indonesia yang berada di kapal Diamond Princess, Jepang, positif terjangkit virus Corona (COVID-19).</t>
  </si>
  <si>
    <t>RT @ronavioleta: Innalillahi... Confirmed! 3 WNI Terinfeksi Virus Corona di Jepang</t>
  </si>
  <si>
    <t>#Repost from @jawapostv Walau para WNI asal Tiongkok yang diobservasi di natuna telah dinyatakan sehat seratus persen dan sudah pulang ke daerah masing-masing nyatanya penyebaran virus corona atau coronavirus…</t>
  </si>
  <si>
    <t>Sama-Sama WNI, Penghayat Kepercayaan Masih Hidup dalam Diskriminasi di Indonesia</t>
  </si>
  <si>
    <t>Innalillahi... Confirmed! 3 WNI Terinfeksi Virus Corona di Jepang</t>
  </si>
  <si>
    <t>@jannasilalahi1 @OreoSusuKeju @Ndrews1162011 @VIVAcoid Ya ngapain nunggu masa observasi. USA, malaysia, australia, india evakuasi warganya dari wuhan Sampe di negaranya langsung ditest walaupun gak ada gejala. Dan ternyata ada yg positif. Nah WNI kita sampe disini gak ada yg ditest, cuma observasi. Kalo trnyta ad yg postif gmn?</t>
  </si>
  <si>
    <t>RT @jenk_kelinn: Ternyata banyak menterinya pak @jokowi yg mencla mencle yaa.. Mikir nasib beberapa anak yg org tuanya PRO ISIS tapi gak mikir jutaan nasib anak2 Indonesia yg ingin hidup damai. Parrraaahhhhhhhhhh !!!!</t>
  </si>
  <si>
    <t>RT @argumenku: @VIVAcoid Terus katanya pemerintah WNI yg dikarantina dinyatakan negatif. Mereka tes pake apa ko bs dinyatakan negatif? 😂 Oh ya sih dicek rutin ko Tp pake termometer aja?😂</t>
  </si>
  <si>
    <t>RT @cagubnyinyir2: Tiga WNI jadi kru kapal pesiar Diamond Princess, di Perairan Yokohama, positif terkena virus corona. Ada 75 kru WNI dinyatakan confirm BEBAS virus Corona.  @IMulya77 @PurworOjek @m_yanto_baemo @DjanChoek @Jokoumb64504158 @positive_values</t>
  </si>
  <si>
    <t>RT @HitamPutihT7: Terjawab sudah mengapa tim menggunakan pakaian antivirus (Hazmat Suit) saat menjemput WNI dari Wuhan. #HitamPutih</t>
  </si>
  <si>
    <t>Ini org kenapa sih, satu pihak yg salah, semuanya juga kena 😟 pedih bgt baca tweet2 dia yg melebar kmna2. Bawa2 isislah, palestine, nanti d jemput betul sm org isis tu baru tau 😤 semoga Tuhan berikan dia ampunan.</t>
  </si>
  <si>
    <t>@ustadtengkuzul Bukannya bapak yang bikin ribut karena bela isis khilfah yang dulu dulu demo dukung isis yaitu HTI dan FPI...kasihan NKRI...ku</t>
  </si>
  <si>
    <t>RT @Jhonson44870169: @WagimanDeep Hidup @karniilyas tdk akn tenang kl pemerintahan pak @jokowi berhasil,dia akn cari semua cara untk menghasut org2 bodoh supaya membenci &amp; kl bisa negara chaos,liat aja tiap acara @ILCtv1 yg ada hanya menyebar kebencian seperti cara #ISIS versi @karniilyas #ILCpanggungprovokasi</t>
  </si>
  <si>
    <t>Gayus: Pencabutan Kewarganegaraan Eks ISIS Harus Melalui Proses Pengadilan</t>
  </si>
  <si>
    <t>Gayus: Pencabutan Kewarganegaraan Eks ISIS Harus Melalui Proses Pengadilan  via @Indopolitika</t>
  </si>
  <si>
    <t>@hnurwahid @muhammadiyah @PBNU_164 "Ide-ide ekstremisme, radikalisme, dan terorisme...tak ada hubungannya dengan Islam. Dan (pendukung mereka) adalah musuh nomor satu Islam,"</t>
  </si>
  <si>
    <t>RT @TRANS7: Lebih dari seminggu sehat, 3 WNI di Kapal Pesiar Diamond Princess kini positif terinfeksi virus corona. @redaksisore_t7 #Redaksi</t>
  </si>
  <si>
    <t>@KoitaRaya @ULTXJBR1987 bahan sarung wae sam, isis</t>
  </si>
  <si>
    <t>@kamto_adi Kalo yg AU nya negara lain kaya amerika gt jg brarti otomatis hilang wni nya ya</t>
  </si>
  <si>
    <t>@GloomyJanuary Yg julid mah tetep screen shoot sampe ke dalem2 ko. Pernah ada yg gitu, buzzer, orang singapur, ngakunya wni.</t>
  </si>
  <si>
    <t>Mahfud Sebut Status WNI eks ISIS Diatur Keppres dan Kepmen</t>
  </si>
  <si>
    <t>Istana: Ada Pertimbangan Khusus untuk Anak-Anak WNI Eks ISIS</t>
  </si>
  <si>
    <t>Pemerintah Jepang siap membantu proses pemulangan 78 warga negara Indonesia (WNI) yang berada dalam kapal pesiar Diamond Princess di perairan Yokohama apabila Pemerintah Indonesia nantinya memutuskan untuk memulangkan mereka.</t>
  </si>
  <si>
    <t>Jepang Belum Tahu Sikap RI Soal Pemulangan WNI di Pesiar | #news #viral &gt;&amp;gt;&amp;gt; Click</t>
  </si>
  <si>
    <t>Dampak Corona, 78 Kru WNI di Kapal Diamond Princess Dipantau  #pdiperjuangan</t>
  </si>
  <si>
    <t>RT @Warrior764: @BadjaNuswantara @kompascom Makhluk-makhluk sampah pendukung2 khilafah aja udah ribet dan merusak, kok mau ditambahin SAMPAH ISIS.</t>
  </si>
  <si>
    <t>Menlu: 3 dari 78 WNI yang Ada di Kapal Pesiar Jepang Positif Corona</t>
  </si>
  <si>
    <t>Empat WNI Positif Terjangkit, Menlu Bertolak Ke Laos Bahas Penanganan Virus Corona #COVID-19 #RepublikMerdeka</t>
  </si>
  <si>
    <t>RT @kompascom: Sebanyak tiga warga negara Indonesia (WNI) yang menjadi kru Kapal Pesiar Diamond Princess positif terjangkit virus corona.</t>
  </si>
  <si>
    <t>WNI Positif Covid-19 Ditangani Pemerintah Jepang</t>
  </si>
  <si>
    <t>@AdiWahy27117295 @Megatop99 @mohmahfudmd Pki berbasic komunis. Dan pki baru berbasic agama isis lah yg berusaha eksis. Pki gaya baru.</t>
  </si>
  <si>
    <t>Artikel - Natuna usai observasi WNI dari Wuhan - ANTARA News Jawa Barat</t>
  </si>
  <si>
    <t>RT @republikaonline: Jepang siap membantu Indonesia jika ingin memulangkan WNI di Kapal Pesiar.</t>
  </si>
  <si>
    <t>Cerita Tim Lima KBRI Beijing Masuk ke Wuhan untuk Evakuasi WNI</t>
  </si>
  <si>
    <t>@BadjaNuswantara @kompascom Makhluk-makhluk sampah pendukung2 khilafah aja udah ribet dan merusak, kok mau ditambahin SAMPAH ISIS.</t>
  </si>
  <si>
    <t>Bokap gue fanatik bgt kalo ngomong soal agama apalagi islam Boss gue sering bgt ngomentarin EX ISIS yg katanya mo balik ke Indonesia atau tentang agama apapun Pusing 😣</t>
  </si>
  <si>
    <t>Jepang siap membantu Indonesia jika ingin memulangkan WNI di Kapal Pesiar.</t>
  </si>
  <si>
    <t>Pejuang di balik Pemeriksaan Lingkar 1 WNI Wuhan - Batam - Natuna Terima kasih banyak bpk. Ahmad Farchanny dan team Kantor Kesehatan Pelabuhan Kelas I Batam. ❤️👏 #kemenkes #Corona #cegahtangkal #karantinakesehatan</t>
  </si>
  <si>
    <t>Tiga WNI jadi kru kapal pesiar Diamond Princess, di Perairan Yokohama, positif terkena virus corona. Ada 75 kru WNI dinyatakan confirm BEBAS virus Corona.  @IMulya77 @PurworOjek @m_yanto_baemo @DjanChoek @Jokoumb64504158 @positive_values</t>
  </si>
  <si>
    <t>@catuaries "3 WNI terkena virus corona, berikut daftar aset mewah milik mereka"</t>
  </si>
  <si>
    <t>@CNNIndonesia Jika ormas kluarkan fatwa halal, brarti otomatis mereka juga bisa kluarkan fatwa haram. Akhirnya isis bercokol deh di sini. Pikiran e jan juancokkk</t>
  </si>
  <si>
    <t>Rasa aman itu kebutuhan dasar yang harus dipenuhi. Buktinya, eks WNI ISIS yang di sana ingin pulang ke Indonesia setelah rasa aman tak ditemui. Karena itu, kita hrs menjaga rasa aman di NKRI tercinta ini.</t>
  </si>
  <si>
    <t>RT @HitamPutihT7: Cerita proses pemulangan WNI di Wuhan yang ternyata penuh dengan keharuan. #HitamPutih</t>
  </si>
  <si>
    <t>Menlu Sambut Tim Evakuasi WNI dari Wuhan</t>
  </si>
  <si>
    <t>RT @Benidictivity: Gereja yang sudah berdiri puluhan tahun mau direnovasi karena sudah sangat tidak layak dari segi daya tampung dan kualitas bangunan kok bisa-bisanya IMBnya digugat terus didemo juga dan aparatnya cuma ngeliatin. KAYAK GITU KOK MAU MULANGIN MANTAN ANGGOTA ISIS, JEMBOOOTT!!!</t>
  </si>
  <si>
    <t>AKP&amp;Hezbollah : same chant "Takbir" , same founders "Turks" , same "Ahkam" . all proxies terrorist : ISIS FSA Quds Hamas Qaeda Taliban etc . RT @LNA2019M: French President Emmanuel #Macron accuses #Turkey of supporting extremists inside #France and announces the opening of an investigation into centers and projects related to the #MuslimBrotherhood funded by #Ankara on #French soil. #Libya #LNA</t>
  </si>
  <si>
    <t>Omg RT @kompascom: Sebanyak tiga warga negara Indonesia (WNI) yang menjadi kru Kapal Pesiar Diamond Princess positif terjangkit virus corona.</t>
  </si>
  <si>
    <t>RT @archabandung: Contoh yang disampaikan ketua BPIP bukan HTI ataupun ISIS, tapi ijtima ulama pada pilpres kemaren. Jelas bahwa Pancasila hanya dipakai sebagai alat pemukul lawan politik pemerintah. Jubir Presiden: Pernyataan Kepala BPIP untuk Manipulator Agama - VIVAnews</t>
  </si>
  <si>
    <t>RT @Dhinoe2: @tubagussalim @ISIS_Balik_NO Semua milik Alloh...</t>
  </si>
  <si>
    <t>Di PP ini juga disebutkan kalau masuk dlm dinas negara asing maka otomatis kehilangan status WNI. FBI &amp; DEA merupakan dinas negara asing yang kalau di Indonesia setaraf BIN &amp;amp; BNN. Jadi kalau ada yg ngaku2 kerja di sana, kemungkinan besar bohong, kec ybs bukan WNI lagi, cmiiw😁</t>
  </si>
  <si>
    <t>@jenk_kelinn @jokowi JILID II MMG KENYATAAN TDK ADA BEBAN,JADI JELEK,WARISAN NYA NNTI INTOLERAN/BOM WKTU ANAK2 ALUMNI ISIS,SMUA KECEWA BERAT</t>
  </si>
  <si>
    <t>RT @Kamily1808: Calor do krlh</t>
  </si>
  <si>
    <t>RT @kaorinusantara: 3 WNI Kru Kapal Pesiar Jepang Diamond Princess Positif Terinfeksi Virus Corona</t>
  </si>
  <si>
    <t>@rasnugros @irwanmuhammad02 @VIVAcoid Nii ANJINK" isis di suriah Sama kaaannn kek ormas BINATANG diatas ?????? Hahahahahah 🤣🤣🤣🤣🤣🤣</t>
  </si>
  <si>
    <t>RT @KontanNews: 3 WNI positif virus corona, Menlu Retno Marsudi terbang ke Laos  #VirusCorona</t>
  </si>
  <si>
    <t>Jangan Biarkan Kombatan ISIS Eks WNI Jadikan Indonesia sebagai Basis Barunya!  #RabuAmbyar</t>
  </si>
  <si>
    <t>Sebanyak tiga warga negara Indonesia (WNI) yang menjadi kru Kapal Pesiar Diamond Princess positif terjangkit virus corona.</t>
  </si>
  <si>
    <t>RT @rafsa_08: @young_tanjuang @Datuakpanduko2 @NediSetiadi @edimaha233 Cina berlaku asas (ius sanguinis), WNI keturunan Tionghoa bisa pulang ke Cina, diberi visa, boleh bisnis. Lalu pinjam dana utk modal ke bank di Cina sana &amp; dibawa ke Indonesia utk membuka bisnis, hasilnya ditransfer ke bank Cina tsb. Apakah seperti itu?</t>
  </si>
  <si>
    <t>Nungguin berita ini: “3 WNI Positif COVID-19, Menkes: Kurang Doa.” RT @catuaries: 3 WNI positif terinfeksi COVID-19 Siap-siap ntar udah keluar aja siapa namanya, kampungnya di mana, lalu wartawan nanya ke orang tuanya apakah ada firasat akan terkena COVID-19, apa makanan kegemarannya, hobi kulinernya, ukuran sepatunya, komentar artis irrelevant, etc</t>
  </si>
  <si>
    <t>Tiga WNI Kru Kapal Diamond Princess Terinfeksi Virus Corona  #Kesehatan #corona</t>
  </si>
  <si>
    <t>@Ngancel45 Mengadu domba sesama anak bangsa, berimbang, biar WNI saling bermusuhan.</t>
  </si>
  <si>
    <t>RT @jongoskafir: Kalo dulu inget sama kejadian bertagar #savealeppo untuk menurunkan presiden bashar al assad, yg musuhnya ISIS, HT (Hizbur Tahrir), FDS, NATO , PIT (yg lagi nyerang daerah xinjiang tiongkok). Ayo lah melek woy</t>
  </si>
  <si>
    <t>RT @ozymandias2020X: Ucapan RIP saja dipermasalahkan. Asal tahu saja, kalau kita mempermasalahkan hal seperti itu, WNI yang tinggal di Amerika dan Eropa akan mendapatkan masalah yang sama dari White Supremacist atau Neo-Nazi. Semua tindakan kita pasti akan ada balasannya.</t>
  </si>
  <si>
    <t>Eks ISIS Punya HAM, Mahfud MD: Pemerintah Pikirkan HAM Jutaan WNI</t>
  </si>
  <si>
    <t>RT @CanadaSpecialA1: @CanadianArmy HARJIT SAJJAN FRIENDS WITH ISIS TRAITOR 🇨🇦🌪🇨🇦🌪🇨🇦🤜</t>
  </si>
  <si>
    <t>@CanadianArmy HARJIT SAJJAN FRIENDS WITH ISIS TRAITOR 🇨🇦🌪🇨🇦🌪🇨🇦🤜</t>
  </si>
  <si>
    <t>@ignorance_brat @jacktherock5 @RaflyVidhy @lutfimuhamad008 @kaesangp Idup anak2 anggota ISIS susah banget juga ya mas?????....ga bisa balik karena dosa bapanya.....</t>
  </si>
  <si>
    <t>RT @wawat_kurniawan: WNI dr RRC di NATUNA : Kami GA DI TEST Apa2 kok selama disini? Sudah ditest kok dek Dibiarkan selama 2 minggu. Kalo gak ada demam, artinya gak terinfeksi Covid19. Gitu lho jeng... Cara tes adiluhung ala nusantara. Hemat. 🤓🤣</t>
  </si>
  <si>
    <t>RT @RizmaWidiono: Gubernur Jawa Tengah Ganjar Pranowo mengirim 41.250 masker untuk WNI di Hong Kong, Taiwan dan Singapura. Bantuan diberikan lantaran para WNI kesulitan mendapat masker untuk mencegah penyebaran virus corona. Terimakasih Pak @ganjarpranowo 🙏🏻👍🏻</t>
  </si>
  <si>
    <t>@vivanewscom @VIVAcoid Sudahlah..yg mjd musuh Pancasila hy isis dan itu sangat kecil dan sdh teridentifikasi semua. Jangan ingin memberantas tikus dlm gudang beras dg membakar gudang nya. Itu Ngadalin dan Nyebelin namanya.</t>
  </si>
  <si>
    <t>@ibf1311 @hi_salahudin Bukti bahwa sebagian WNI memang bodoh dan mudah dibodohi..</t>
  </si>
  <si>
    <t>@Vampire9001 Hakan yafi level😂 ban qasqantar dashi ba. Kawai dai tagane bulace beda wni aiki aqasa 😂</t>
  </si>
  <si>
    <t>RT @benito_pasaribu: Yg teriak2 anak2 ISIS harus dipulangkan,KONTOL sama kalian semua! Dengar? KONTOL!</t>
  </si>
  <si>
    <t>Paramedis RSUI Dukung Pemerintah Karantina WNI dari Wuhan di Natuna</t>
  </si>
  <si>
    <t>@notyorbaby Portal berita online emang udah ngk jelas sih skrng 😅 judul berita sama isi ngk nyambung, yg penting bikin judul yg "menarik," supya banyak yang baca tnpa memperhatikan rasa empati. Jdi inget kasus judul berita tntng WNI yg jdi ABK di kpl asing trus meninggal dan dilarung -</t>
  </si>
  <si>
    <t>RT @kompasiana: [Terpopuler] 3 WNI Positif Corona, Suami BCL Meninggal Dunia, hingga Doktor Psikolog Kontroversional</t>
  </si>
  <si>
    <t>[Terpopuler] 3 WNI Positif Corona, Suami BCL Meninggal Dunia, hingga Doktor Psikolog Kontroversional</t>
  </si>
  <si>
    <t>Tiga dari 78 WNI di kapal tersebut dinyatakan terjangkit virus corona Covid-19.</t>
  </si>
  <si>
    <t>RT @wahhabicc_jabar: Sunni Merayakan Syiah Merayakan Kristen Merayakan Alawi Merayakan KEMENANGAN atas bebasnya keseluruhan Alepo dr cengkraman ISIS, AlQaeda, Jabhat Nusro &amp; Anggota GENG JAHAT lainnya. 🌹Menyaksikan kegembiraan mereka sangat mengharukan... 🌹 SELAMAT</t>
  </si>
  <si>
    <t>@mohmahfudmd Disini membungungkan kalau isis yg terang2an teroris disuruh balik eh pki dia benci..dua2nya jgn ada kalau bs</t>
  </si>
  <si>
    <t>@ArnoldBelau @rahung ngga masalah sama sekali bila eks isis itu ditembak di kepala satu per satu</t>
  </si>
  <si>
    <t>RT @hariankompas: Pemerintah Indonesia mempersiapkan evakuasi tiga WNI yang menjadi kru kapal pesiar Diamond Princess dan terkonfirmasi positif terinfeksi virus korona baru. #Internasional #KawandalamPerubahan</t>
  </si>
  <si>
    <t>Eh 3 wni di jepang positif Corona.</t>
  </si>
  <si>
    <t>Pemerintah Indonesia mempersiapkan evakuasi tiga WNI yang menjadi kru kapal pesiar Diamond Princess dan terkonfirmasi positif terinfeksi virus korona baru. #Internasional #KawandalamPerubahan</t>
  </si>
  <si>
    <t>RT @TamBrewer1: #Obama AKA Barry Soetoro #ObamaWasBetterAtEverything Lieing, #NeverForgetBenghazi #ISIS #Clinton</t>
  </si>
  <si>
    <t>RT @djplkemenhub151: JELANG AKHIR MASA KARANTINA DI JEPANG, KEMENHUB IMBAU AGEN AWAK KAPAL SIAPKAN PROSES REPATRIASI 78 WNI DI KAPAL DIAMOND PRINCESS - #DJPLKerjaDenganHati #DJPLKemenhub #Kemenhub #PenghubungIndonesia #SMRTHublaPastinya</t>
  </si>
  <si>
    <t>#Obama AKA Barry Soetoro #ObamaWasBetterAtEverything Lieing, #NeverForgetBenghazi #ISIS #Clinton RT @threadreaderapp: @LogosTelesis Guten tag, the unroll you asked for: Thread by @PunishDem1776: Who is Barry Soetoro The origins Part 1 Who is Barry soetoro? U.S. Constitution states… . See you soon. 🤖</t>
  </si>
  <si>
    <t>RT @antarasumbar: Tiga dari 78 WNI awak kapal Diamond Princess positif terinfeksi virus corona</t>
  </si>
  <si>
    <t>Gue mengapresiasi Jokowi pernah punya wacana untuk memberi peluang memulangkan anak-anak dan yatim piatu para kombatan ISIS di bawah 10 tahun.</t>
  </si>
  <si>
    <t>RT @Agamajinasi: Akhirnya jebol juga</t>
  </si>
  <si>
    <t>RT @IndoAviation: Evakuasi WNI di Wuhan, 18 Awak Pesawat Batik Air Dapat Penghargaan dan Bonus</t>
  </si>
  <si>
    <t>KPAI siap mengawasi dan mendampingi saat proses rehabilitasi</t>
  </si>
  <si>
    <t>RT @kompascom: Retno Marsudi mengungkapkan, 3 WNI yang menjadi kru kapal pesiar Diamond Princess, di Perairan Yokohama, positif terkena virus corona - #Nasional</t>
  </si>
  <si>
    <t>@dellisyaa @erempebe @dindabrillianc @asumsico Lu pikir budak dinikahi ? Coba lu baca Quran lagi. Blh menggauli budak. Dan kombatan isis itu juga sbg tawanan perang.</t>
  </si>
  <si>
    <t>RT @K3muning_1: Kalau untuk pemerintah jangan dalih alasan kemanusiaan. Pasti ada otoritas setempat yang akan memberi makan. Orangtuanya Tewas Karena Roket Saat Ikut ISIS, Nasib 3 Bocah Asal Indonesia ini Kini Berada di Balik Jeruji Besi Suriah, Tak Tahu Harus Kemana</t>
  </si>
  <si>
    <t>@isis_souza15 Pprt</t>
  </si>
  <si>
    <t>@spoilagedcapo @catuaries 3 WNI TERPAPAR VIRUS CORONA! BEGINI PENDAPAT NIA RAMADHANI!</t>
  </si>
  <si>
    <t>Kalau untuk pemerintah jangan dalih alasan kemanusiaan. Pasti ada otoritas setempat yang akan memberi makan. Orangtuanya Tewas Karena Roket Saat Ikut ISIS, Nasib 3 Bocah Asal Indonesia ini Kini Berada di Balik Jeruji Besi Suriah, Tak Tahu Harus Kemana</t>
  </si>
  <si>
    <t>Salah satu WNI yg sudah dikarantina di Natuna dan dinyatakan negatif korona sudah pulang, dan ternyata dosen di kampus dekat kontrakan, tiati gengs.. siapa tau kan ya @jualciumurah @yosuapriambodo @YusraFadli2 @Danangkasss @TweetBillyT</t>
  </si>
  <si>
    <t>RT @Ramlan89825796: @cemaragunung @B_walwal_B @DivHumas_Polri @CCICPolri ORANG² yg SELALU Mnggunakan KATA² : THOGUT, KAFIR, dn PKI, srta treriak-kan TAKBIR/JIHAD, mk itu adlah bgian dri ORANG²-NYA ISIS/HTI dn yg PRO ISIS, Karna KATA² itu adlah KEDOK AGAMA bgi MEREKA..untuk MENIPU ORANG² MUSLIM Yg GAGAL PAHAM dn UNTUK Mnutupi KBUSUKAN YG SEBENAR-NYA..!</t>
  </si>
  <si>
    <t>@Isis_Izzy Merci Isis !!!</t>
  </si>
  <si>
    <t>RT @Atissue5: Sadiq Khan, London’s ‘Liberal Muslim’ Mayor, Has Ties To ISIS  via @yournewswire</t>
  </si>
  <si>
    <t>Liat comment section biar dapat insight tentang virus atau keadaan pasien, malah nemunya 3 wni yang terkena kurang terpapar kuman sejak kecil dan perlu dirukiah. Wkwkwk RT @TirtoID: Tiga dari 78 WNI yang menjadi awak kapal pesiar Diamond Princess yang dikarantina di perairan Yokohama, Jepang, positif terinfeksi virus corona atau Covid-19.</t>
  </si>
  <si>
    <t>RT @surya_kan: Al-Qaeda meeting ISIS...</t>
  </si>
  <si>
    <t>Contoh yang disampaikan ketua BPIP bukan HTI ataupun ISIS, tapi ijtima ulama pada pilpres kemaren. Jelas bahwa Pancasila hanya dipakai sebagai alat pemukul lawan politik pemerintah. Jubir Presiden: Pernyataan Kepala BPIP untuk Manipulator Agama - VIVAnews</t>
  </si>
  <si>
    <t>@santriberkat @totokjulianto @nustya88 @DadangRusian @jokowi @fadjroeL @fadlizon @mohmahfudmd Isis dan pki sama, sama sama kejam dan brutal....</t>
  </si>
  <si>
    <t>RT @Dhedhote78: Andaikata eks WNI ISIS itu beragama Kristen apakah @Kemenag_RI Fachrul Razi @KomnasHAM @haris_azhar @mohmahfudmd @BNPTRI tetap berpegang dg HAM nya utk memulangkan para eks WNI tersebut?</t>
  </si>
  <si>
    <t>@andreiians Lindaa ❤️</t>
  </si>
  <si>
    <t>RT @Locrian13: @Herr_Bismarck @WithinSyriaBlog You mean ISIS and alqaida.</t>
  </si>
  <si>
    <t>@junregar30 @zarazettirazr ISIS sama dg OPM, tindakan pun sama</t>
  </si>
  <si>
    <t>@Herr_Bismarck @WithinSyriaBlog You mean ISIS and alqaida.</t>
  </si>
  <si>
    <t>Menhub Beri Penghargaan Kepada Kru #Batik #Air #yang #Evakuasi WNI #Dari #Wuhan</t>
  </si>
  <si>
    <t>Mahfud MD: Pencabutan Kewarganegaraan WNI Terlibat ISIS Tidak Melalui Pengadilan</t>
  </si>
  <si>
    <t>@erickthohir Bongkar Jiwasraya pasti jadi yang terbaik. Pulangkan TKA Cina, Ciptakan lowongan kerja yang banyak untuk WNI. Dah gitu aja kerjanya. Gak usah kebanyakan ngomong. Rakyat butuh bukti.</t>
  </si>
  <si>
    <t>Dubes Masafumi: Kemungkinan WNI Terinfeksi Korona Bertambah</t>
  </si>
  <si>
    <t>@geldzakenadvies @Yossi_Mansharof IOF or ISIS?</t>
  </si>
  <si>
    <t>Ganja 1 ton cipayung mabes hankam , ricuh ojol vs debt collector , penipuan investasi yang katanya residivis , wni terkena virus corona covid 19 jakarta ... 😯😯😯</t>
  </si>
  <si>
    <t>SI SIS ISIS</t>
  </si>
  <si>
    <t>RT @Cobeh09: = Prof. Gayus Lumbuun Sebut Ngabalin Bodoh ! = Terkait Kasus WNI Ex ISIS. -Prof. Gayus : "Harus Lewat Proses Pengadilan !" -Ngabalin Tertawa Ngekek -Prof Gayus : "Kok Ketawa ? Gak Perlu Ketawa, Itu Anda Ketawa Yang Bodoh." .</t>
  </si>
  <si>
    <t>Mahasiswi Bekasi Sebut WNI yang Dikarantina di Natuna Selalu Dibuat Bahagia -  &lt;- Komentar?</t>
  </si>
  <si>
    <t>RT @Antidot_Or_Dote: ISIS sponsored Islamic terrorists trg camp in Kerala</t>
  </si>
  <si>
    <t>RT @softwareaddict: @Bangzul__88 @mamihanafi @willona_007 @Syaiful59743860 @amurwabhumi_mk @miswanto80 @nkripass @nkri_i @klelur028 @ISIS_Balik_NO @ud_cakrawala @mfirdaus340 @pr_januar @jogja_paperbag @veva_nova @Bers4tu @akangilyaas @cxolls_aljawi thanks udah di promote setelah diijinkan twitter folback lagi akan di fb tetap jaga persatuan dan jauhkan segala perpecahan dan kita gaungkan #ILCPanggungProvokasi</t>
  </si>
  <si>
    <t>@AhmadYansyah9 @trisenka @FaisalBasri @msaid_didu Kadrun.salah dibawa ke arab dan buat sumbang isis tuh</t>
  </si>
  <si>
    <t>RT @Aryprasetyo85: Trimakasih ndoro @ganjarpranowo smoga bermanfaat utk saudara2 kita yg sdg di negri orang Masker ini kiriman dari warga Jateng untuk saudara2 WNI di HK,SGP dan Taiwan Semoga saudara2 di sana selalu diberi kesehatan.Tetap kuat dan jaga persaudaraan @podjiutami @Gus_Raharjo @Je_Ly</t>
  </si>
  <si>
    <t>RT @kompasiana: 3 WNI Positif Corona dan Gugurnya Mitos Orang Indonesia Kebal Corona</t>
  </si>
  <si>
    <t>@zarazettirazr Jaman pa SBY gk ada bpip kerukunan berbangsa n bernegara lbh baik dr skrg jd minta ilmunya aja pd pk sby drpd natar WNI seluruh IND dananya drmn ..?</t>
  </si>
  <si>
    <t>Menlu Pastikan WNI Kru Kapal #Diamond #Princess Positif #Virus #Corona</t>
  </si>
  <si>
    <t>@catuaries @kokainaftersad 5 fakta kelam dibalik 3 wni positif covid-19</t>
  </si>
  <si>
    <t>jika isis tidak di pulangkan kenapa manusia koruptor berkepala tikus tidak di pulangkan juga mereka berdua sama sama bahaya loh piye iki pakde @jokowi @fadjroeL @KPK_RI @DPR_RI #indonesia #tidur #RezimKejamHarusTumbang #ILCPanggungProvokasi RT @fadjroeL: Perintah Presiden @jokowi bahwa pemerintah tidak akan memulangkan anggota ISIS asal Indonesia ~ #Jubir #BungJubir @Kiyai_MarufAmin @KemensetnegRI @setkabgoid</t>
  </si>
  <si>
    <t>RT @kompascom: Perwakilan KBRI Jepang sudah memastikan 3 WNI yang positif terjangkit virus corona mendapat penanganan medis - #Nasional</t>
  </si>
  <si>
    <t>RUU Ketahanan keluarga itu yg dibuat orang orang Pro Isis dengan jiwa konservatif yg kuat dan memaksa ranah privat menjadi harus diatur ama negara</t>
  </si>
  <si>
    <t>@detikcom Ikwan dan ahwat ISIS ini dari Indonesia sudah menjadi warga Khilafah dan tidak perlu menjadi WNI lagi. Pemerintah Indonesia hanya takut akan dikuasai ISIS jadi menolak ikhwan dan akhwat ini kembali ke Indonesia.</t>
  </si>
  <si>
    <t>@Ipong68477012 @Tri33milanisti @yuh_ucup @permadiaktivis Gerung kek, Garing kek, wlpun bukan Muslim, pnting pro khilafah, bakalan disanjung oleh kalian. Simpatisan ISIS tetaplah ISIS!!</t>
  </si>
  <si>
    <t>Al-Qaeda meeting ISIS... RT @Aabhas24: But @aamir_khan you too were also one who boycotted seeing @IsraeliPM though Israel is the best friend of India. On the other hand you meet enemy. Fabulous! Did you know it was Gandhi’s support to Khilafat Movement in Turkey which has been a big factor for creation of RSS?</t>
  </si>
  <si>
    <t>@fullmoonfolks o shit, diberita juga yg di kapal pesiar 3 WNI juga positif corona, yg dinatuna bisa jadi</t>
  </si>
  <si>
    <t>Bilal Philips is hated by MDP heads, MDN heads, ISIS, US, UK, EU, India, and Maktabah Salafiyyaa.. Al hamdhulillah, they have similarities</t>
  </si>
  <si>
    <t>Di Isis" padahal sudah Saya Isi. Gimana ini, Min Ya Allah ya Allah</t>
  </si>
  <si>
    <t>@CNNIndonesia btw WNI di wuhan gak dites dulu tapi udh disuruh pulang. btw curiga kemenkes punya alat tes-nya..</t>
  </si>
  <si>
    <t>RT @Julia_Zeed: Pak @karniilyas Kamu di gaji berapa untuk jd tukang Kompor di ILC? Ternyata anda WNI murahan Sepertinya seneng melihat Indonesia semakin Panas, Bukannya cari ide judul yg bs mempersatukan anak bangsa anda malah Jd Kompor Gasnya #ILCPanggungProvokator</t>
  </si>
  <si>
    <t>RT @Zulkifl16605089: @msaid_didu Sepertinya Indonesia sudah menjadi Negara Bangkrut. Bangkrut nya indonesia Sepertinya di sebabkan oleh kepentingan kelompok &amp; pribadi dan juga kelompok yg Mencintai TKA,WNA dan WNI keturunan. Yg sebenarnya indonesia merupakan Negara kaya hasil bumi.</t>
  </si>
  <si>
    <t>@lovinalk Tergantung dari kewarganegaraannya, tapi mayoritas negara di dunia ini bebas visa untuk liburan ke Indonesia. Jadi mereka gak perlu repot mengurus visa sebagaimana WNI kadang repot urus visa. Sampai sekarang, masih banyak yah yang gak tau bahwa Bali itu bagian dari Indonesia...</t>
  </si>
  <si>
    <t>Tiga WNI Kru Kapal Pesiar Diamond Pincess Terjangkit Covid -19</t>
  </si>
  <si>
    <t>RT @tempodotco: Tiga warga negara Indonesia yang berada di kapal Diamond Princess, Jepang, positif terjangkit virus Corona (COVID-19).</t>
  </si>
  <si>
    <t>Pengamat Sepakati Langkah Ganjar Pranowo Tolak Pemulangan Eks ISIS -  -</t>
  </si>
  <si>
    <t>@Bangzul__88 @mamihanafi @willona_007 @Syaiful59743860 @amurwabhumi_mk @miswanto80 @nkripass @nkri_i @klelur028 @ISIS_Balik_NO @ud_cakrawala @mfirdaus340 @pr_januar @jogja_paperbag @veva_nova @Bers4tu @akangilyaas @cxolls_aljawi thanks udah di promote setelah diijinkan twitter folback lagi akan di fb tetap jaga persatuan dan jauhkan segala perpecahan dan kita gaungkan #ILCPanggungProvokasi</t>
  </si>
  <si>
    <t>Bedanya Eks isis dan Ahok penistaan agama apa? Ahok kenapa ga diseleksi pd saat tersangka penistaan Eks isis masuk indo di seleksi , dibawah KKM suru ngulang Bodoamat si... Tambah sks , ngulang 6 bulan , hrs bayar jg</t>
  </si>
  <si>
    <t>RT @KompasTV: Terpapar Virus Corona, 3 WNI Sudah Mendapat Penanganan dari Otoritas Jepang</t>
  </si>
  <si>
    <t>WNI Yang Dikarantina di Natuna Mengaku Tak Dites Corona</t>
  </si>
  <si>
    <t>@dilrajnitj @Real_Anuj Bhai Islamic Terrorism Isis , alqayada aur Taliban k wajh se pda hai .ek criminal k wajh se nhi . Devinder Singh sikh hai aur traitor hai jo Terrorists k sath Mila hua hai but Sikhs Ko koi organisation nhi jo har countries me bomb god rha . difference hai ??? Mai sikh nhi hu</t>
  </si>
  <si>
    <t>Musuh terbesar pacasila itu intoleransi agama #ILCBPIP jd ada sekelompok orang yg ingin mengantikan #pancasila komunis .hti/isis/nii dii organisasi anti demokrasi tapi tiap hri ngebacot. Terus. Dia g sadar sedang berDemokrasi. Jatohnya kya orang bego</t>
  </si>
  <si>
    <t>RT @HitamPutihT7: Ketakutan dari WNI yang berada di Wuhan dengan apa yang terjadi saat virus Corona menyebar. #HitamPutih</t>
  </si>
  <si>
    <t>3 orang WNI positif .... RT @intanRatuaja12: Confirmed..!! 3 dari 78 WNI kru kapal pesiar Diamond Princess positif terinfeksi virus Corona.... Semoga ditangani dgn baik dsana...</t>
  </si>
  <si>
    <t>Menlu Konfirmasi 3 WNI Positif Corona di Jepang: Kementerian Luar Negeri akhirnya…</t>
  </si>
  <si>
    <t>RT @Harsh_V22: @besharam_clown "Muslims peaceful hee hain." JeM - 😂 ISIS - 😂😂 Boko Haram - 😂😂😂 Al-Qaeda - 😂😂😂😂 PFI - 😂😂😂😂😂 Sharjeel Imam - 😂😂😂😂😂😂</t>
  </si>
  <si>
    <t>Terpapar Virus Corona, 3 WNI Sudah Mendapat Penanganan dari Otoritas Jepang</t>
  </si>
  <si>
    <t>@fyaipi Insyaallah keluarga para WNI yg selesai karantina tak seperti yg dipikirkan</t>
  </si>
  <si>
    <t>@zarazettirazr Itu Krn mba bukan eks ISIS. Mereka mah pengen pulang jaman Jokowi... Kami jgn pulang ya mb, ntar jualan pulak di negara ku😁😁😁</t>
  </si>
  <si>
    <t>@fyaipi Bilangnya si sesuai protokol WHO, dan disitu tertera mendeteksi. Lucu kan</t>
  </si>
  <si>
    <t>Dari berapa hari lalu statement menlu 72 wni sehat... terus doktrin itu. Tp 72 nya ttp disana katanya.. I wonder banget... Bener kan.... Selalu mencoba...menutupi.. Kalo kita gak keep on sharp.</t>
  </si>
  <si>
    <t>Positif Corona yah 3 kru wni kapal diamond pincess..</t>
  </si>
  <si>
    <t>@VIVAcoid baca komentar orang2 yg gak tau itu lumayan menghibur ya, gak paham istilah karantina, dan ga tau knp WNI ini dijemput. yang terkena 2019-nCoV ga dibawa balik GOBLOK ! yg dijemput dan dikarantina itu yg bersih ! dah gitu aja</t>
  </si>
  <si>
    <t>Menlu Minta Pemerintah Jepang Perhatikan Nasib Seluruh WNI di Kapal Pesiar Diamond Princess</t>
  </si>
  <si>
    <t>RT @Amirmasoom131: @Raskeqmr Sekh tu lo jahnmi durga Al qeada isis ka smj leta arabic sa😜</t>
  </si>
  <si>
    <t>@Raskeqmr Sekh tu lo jahnmi durga Al qeada isis ka smj leta arabic sa😜</t>
  </si>
  <si>
    <t>RT @Chandra_F3rd14n: Guru besar wing cun wi man siap menghajar intoleransi,anti pancasila dan yg terpapar radikalisme ISIS. Cc @jokowi @WagimanDeep @Aryprasetyo85 @P3nj3l4j4h_id @Parapat_Nixon @CH_chotimah @kantayu @majisyafii</t>
  </si>
  <si>
    <t>@BBCIndonesia Keluarga korban seperti ini yang pantas difasilitasi pemerintah, bukan isis eks WNI</t>
  </si>
  <si>
    <t>RT @Metro_TV: #TopNewsMetroTV 3 dari 78 WNI yang merupakan kru dari kapal pesiar Diamond Princess positif terjangkit virus corona. Perkembangan kondisi WNI telah disampaikan Menlu RI, Retno Marsudi. Terdapat 446 orang di kapal tersbut positif terpapar corona.</t>
  </si>
  <si>
    <t>RT @swamedium: Terungkap, WNI yang Dikarantina di Natuna Tak Dites Corona -  #faktaberitafakta</t>
  </si>
  <si>
    <t>4 orang wni kena virus corona walaupun di luar negeri, siapa yang bilang orang Indonesia kebal</t>
  </si>
  <si>
    <t>@XIII_kamp @zarazettirazr Menurut anda ISIS itu islam..??dan apa yg dilakukannya sesuai dgan ajarn islam..??cuba anda jawab....???!!!!</t>
  </si>
  <si>
    <t>@XIII_kamp @zarazettirazr Saya gak bela OPM bro,,ibarat negara ini punya 2 orang anak,yg satu jahat dan yg satu durhaka,yg jahat masih bisa unk di bawa bertobat,,lah yg durhaka...???malin kundang aja di kutuk jadi batu karna durhaka,,atau anda memang pendukung isis..???</t>
  </si>
  <si>
    <t>RT @KompasTV: 3 Permintaan Menlu Kepada Jepang Terkait WNI Yang Terinfeksi Corona di Kapal Pesiar Diamond Princess</t>
  </si>
  <si>
    <t>RT @kompascom: Warga negara asing ( WNA) hanya memiliki hak atas tanah berupa hak pakai dan hak sewa untuk bangunan. Kedua hak ini juga berlaku untuk WNI | #Properti</t>
  </si>
  <si>
    <t>RT @shakeer__02: Pahlawan Pembebasan NYAWA 14 WNI yang disandera #BebaskanKivlanZen</t>
  </si>
  <si>
    <t>@Parapat_Nixon @jokowi @KSPgoid @mohmahfudmd BOKO HARAM = ISIS</t>
  </si>
  <si>
    <t>#sea Kasian banget 3 WNI kru kapal pesiar Diamond Princess yang positif virus corona.</t>
  </si>
  <si>
    <t>@andreanfirmans8 @dika71029655 Wweeeh jadi gini ya kelakuan supporternya bangga dah bikin keributan ? Mirip kaya isis ya bangga ngebunuhin orang. Supporter radikal !</t>
  </si>
  <si>
    <t>@Windi98069294 @detikcom Jangan tanya Pak menteri soal anak2 itu. Tny dulu sama Orang tua gendeng ISIS itu... Knp anak2 itu hrus merasakan kelamnya otak bahlul ortunya.</t>
  </si>
  <si>
    <t>Tiga WNI positif virus corona telah dibawa ke rumah sakit di Chiba, Jepang.</t>
  </si>
  <si>
    <t>WNI dr RRC di NATUNA : Kami GA DI TEST Apa2 kok selama disini? Sudah ditest kok dek Dibiarkan selama 2 minggu. Kalo gak ada demam, artinya gak terinfeksi Covid19. Gitu lho jeng... Cara tes adiluhung ala nusantara. Hemat. 🤓🤣</t>
  </si>
  <si>
    <t>RT @setkabgoid: Masa Karantina Berakhir 19 Februari, Pemerintah Pantau 78 Kru WNI di Kapal Diamond Princess</t>
  </si>
  <si>
    <t>RT @kompascom: Tiga warga negara Indonesia ( WNI) yang menjadi kru kapal pesiar Diamond Princess, di perairan Yokohama, positif terkena virus corona | #Nasional</t>
  </si>
  <si>
    <t>RT @vincent_ves: @BlackRednBlue @mbahCokro77 @Jelantik5 @Sorasachi__ @Jowo_Jawi @Tattyandra @DewiEM13 @dias6969 @__MV_llestari__ @FireBirdFeniks @RedWineMalbec Agama selalu menerima siapa saja, org baik maupun org jahat Org benar dan org salah Org pandai dan org bodoh.. Lihat lah di kenyataan mereka, kebodohan beragama telah menyengsarakan hidup nya sendiri, jadi org aneh yg bahkan jadi sangat kejam ISIS @spiderr__matrix @4ntoniusC</t>
  </si>
  <si>
    <t>Fraksi @NasDem @DPR_RI terima WNI EKS Wuhan Sebuah kolaborasi yg baik antara Fraksi NasDem dgn Pemerintah sbg bentuk kerja sama membangun kinerja menjadi Negara &amp; Bangsa Indonesia dr virus corona.</t>
  </si>
  <si>
    <t>Terungkap, WNI yang Dikarantina di Natuna Tak Dites Corona -  #faktaberitafakta</t>
  </si>
  <si>
    <t>RT @ivanchristi3: Buat pembelajaran.. #ISIS kalah karena salah satu bank supporting pergerakkannya hancur, maka hal ini pun di lakukan oleh pak @jokowi menugaskan pak @erickthohir utk bersihkan KORUPTOR di BUMN mematikan aliran darah radikalisme maka itu mereka menyerang #ILCPanggungProvokasi</t>
  </si>
  <si>
    <t>Kebangun, TV ternyata masih nyala. Pas banget berita tentang 3 WNI di pesiar Diamond Princess positive Corona 💔😭 sedih akutu</t>
  </si>
  <si>
    <t>RT @deelamuhammad: Some 1 dm me regarding dis post saying”kyi hkr d comment dna Wlh b hr zuci bne.frnds dna har 3duk sna  cream n shafa .ina g akwai wni sirri gma d gemun nn.kyi hkr k mun addua n smu .ko Dan mnfkin gemun nn ma ni bbu.guys with beard pls hlp ur bro in deen!😂</t>
  </si>
  <si>
    <t>ngl this professor is kinda hot</t>
  </si>
  <si>
    <t>wni maksutnya</t>
  </si>
  <si>
    <t>RT @kompascom: Namun, pada praktiknya muncul fenomena perjanjian pinjam nama (nominee agreement) dalam kepemilikan tanah antara WNA sebagai Beneficiery terhadap WNI.</t>
  </si>
  <si>
    <t>Buat pembelajaran.. #ISIS kalah karena salah satu bank supporting pergerakkannya hancur, maka hal ini pun di lakukan oleh pak @jokowi menugaskan pak @erickthohir utk bersihkan KORUPTOR di BUMN mematikan aliran darah radikalisme maka itu mereka menyerang #ILCPanggungProvokasi RT @OnFrequency: #US airstrikes on #ISIS #banks in Iraq and Syria destroy more the $500 million in cash. VIDEO:</t>
  </si>
  <si>
    <t>Kepala BKKBN RI dr Hasto Wardoyo didampingi Konjen RI Kuching menyampaikan pesan kpd seluruh WNI di Sarawak utk menjalankan program KB agar menjadi keluarga sejahtera dan anak-anak yang unggul untuk Indonesia yang maju melalui Radio Sarawak FM. #IniDiplomasi @Kemlu_RI</t>
  </si>
  <si>
    <t>RT @militannkri01: Waspada,orang ini selalu sebar ideologi Isis/khilafah,Pak polisi berani tangkap tdk?</t>
  </si>
  <si>
    <t>Terkait Warga Negara Indonesia (WNI) yang berada di Kapal Pesiar Diamond Princess, Menteri Luar Negeri RI Retno Marsudi telah menjalin komunikasi dengan Duta Besar Jepang untuk memastikan kondisi 78 WNI kru kapal. #KAMUHARUSTAU</t>
  </si>
  <si>
    <t>@detikcom Berita update terbaru ternyata ada WNI yang kena tuh... Semoga cepat sembuh</t>
  </si>
  <si>
    <t>RT @embah72: Loh..... Ko jadi inkonsisten seperti ini pak @mohmahfudmd , ada apa dan apa sdh berani tanggung resiko jangka panjang?</t>
  </si>
  <si>
    <t>inilah +- Program BPJS, disatu sisi Negara ingin menjamin kesehatan WNI, tapi tidak diiringi dengan pola hidup sehat, dan seluruh WNI diwajibkan harus membayar iuran walau ada yg terpaksakan, karena sebelumnya mereka ada asuransi pihak lain, klu Gratis tidak usah dibahas.</t>
  </si>
  <si>
    <t>Menlu Retno Akui 3 WNI di Kapal Diamond Princess Positif Virus Korona</t>
  </si>
  <si>
    <t>Some 1 dm me regarding dis post saying”kyi hkr d comment dna Wlh b hr zuci bne.frnds dna har 3duk sna  cream n shafa .ina g akwai wni sirri gma d gemun nn.kyi hkr k mun addua n smu .ko Dan mnfkin gemun nn ma ni bbu.guys with beard pls hlp ur bro in deen!😂 RT @deelamuhammad: Those guys without beard,hw do u feel wen u washing ur face?like u washing mango ryt😂🏃🏻‍♀️</t>
  </si>
  <si>
    <t>RT @septian: @TirtoID WNI pertama yang terpapar virus COVID-19 (Pasien #21 di Singapura) telah dinyatakan pulih sepenuhnya dan pulang dari rumah sakit Singapore General Hospital di Singapura pada hari ini, Selasa 18 Februari.</t>
  </si>
  <si>
    <t>Bagi AS, Garda Revolusi Iran Tak Ada Bedanya dengan al-Qaidah dan ISIS #beritahariini</t>
  </si>
  <si>
    <t>@Ahmad__Gentle 🤣wlhi sae kayi tunanin wni abun arxiki ne</t>
  </si>
  <si>
    <t>[Directions Paper Release Vol.03] Belakangan ini terjadi beberapa isu besar di dunia, mulai dari Corona Virus, ISIS hingga Brexit. Berikut kami sajikan paparan tentang isu-isu tersebut. Simak:</t>
  </si>
  <si>
    <t>RT @KompasTV: [FULL] 3 WNI Positif Corona di Kapal Pesiar, Ini Langkah Pemerintah Indonesia ke Depan</t>
  </si>
  <si>
    <t>@picoez @iBayem @apri_adi08 ...numpak mobil.., tp kathokan ora sempakan...😊😀aku banget iki pakdhe.. Mendhing sarungan ora sempakan ,luwih isis..</t>
  </si>
  <si>
    <t>RT @ibnupurna: ⁦@Kemlu_RI⁩ mengungkapkan bahwa tiga warga negara Indonesia yang berada di kapal Diamond Princess, Jepang, positif terjangkit virus Corona (COVID-19). Ketiganya adalah kru yang bertugas di kapal tersebut. ⁦@KemenkesRI⁩ ⁦@kemenkopmk⁩</t>
  </si>
  <si>
    <t>3 WNI di Jepang Positif COVID-19, Kemenkes Serahkan ke Otoritas Lokal</t>
  </si>
  <si>
    <t>@RomoJostKokoh Mereka kan mudah dibohongi...sedikit pake bumbu Hijrah.....mualaf....euh...demen !</t>
  </si>
  <si>
    <t>Yth. Pa @jokowi @KemenkesRI Bu @KemenkeuRI masalah Tarif BPJS yang Naik, jika memang harus, kita dukung TAPI Cobalah pemerintah HARUS MENGGALAKKAN SOSIALISASI 'POLA HIDUP SEHAT' ke seluruh pelosok NKRI. Supaya beban pembiayaan BPJS bisa mengecil, karena WNI menganggap Negara...</t>
  </si>
  <si>
    <t>3 WNI Kru Kapal Pesiar Diamond Princess Positif Corona</t>
  </si>
  <si>
    <t>RT @LokadataID: ISIS kalah tapi sebarannya masih dikhawatirkan. #WaktunyaLokadata</t>
  </si>
  <si>
    <t>@FerdinandHaean2 😂 Ambisi mengalahkan LOGIKA</t>
  </si>
  <si>
    <t>@IwanWan94149215 @saifuddeen89 @ustadtengkuzul @afriadi14 @AntoniusDante Sip, mari kita berbaik sangka pada ISIS, Al-Qaeda, HTI, FPI, dll. 😇👌</t>
  </si>
  <si>
    <t>Namun, pada praktiknya muncul fenomena perjanjian pinjam nama (nominee agreement) dalam kepemilikan tanah antara WNA sebagai Beneficiery terhadap WNI.</t>
  </si>
  <si>
    <t>Ratusan WNI di Kapal Pesiar Westerdam Bebas Virus Korona | #news #viral &gt;&amp;gt;&amp;gt; Click</t>
  </si>
  <si>
    <t>@Edwinsatriaa @soepeno321 @Mom_isback @BadjaNuswantara Memang betul....targetnya adalah orang2 polos dan berduit</t>
  </si>
  <si>
    <t>@catuaries Ketiga WNI yang terkena COVID-19 sesuai dengan ramalan zodiaknya, kesehatan: tidak baik.</t>
  </si>
  <si>
    <t>RT @shakeer__02: Hj Fahira Idris: Ayo Kawal Sidang Lanjutan Kivlan Zen Di PN Jakpus, Rabu (19/2/2020) #BebaskanKivlanZen #BebaskanKivlanZen Pahlawan pembebasan nyawa WNI</t>
  </si>
  <si>
    <t>Dari Kemenkumham , Kemenpora &amp; Imigrasi sudah dapat surat tembusan dll nya , proses sempat tersendat karena pencopotan Dirjen imigrasi karena kasur lain beberapa waktu silam . Proses “ orang awam” untuk menjadi WNI itu sangatlah lama bisa -+ 5-6 Tahun . Jadi dengan fakta</t>
  </si>
  <si>
    <t>Jepang Upayakan Perawatan Maksimal untuk WNI Terinfeksi Korona</t>
  </si>
  <si>
    <t>Indonesia Minta Jepang Perhatikan WNI di Kapal Diamond Princess</t>
  </si>
  <si>
    <t>Tiga warga negara Indonesia ( WNI) yang menjadi kru kapal pesiar Diamond Princess, di perairan Yokohama, positif terkena virus corona | #Nasional</t>
  </si>
  <si>
    <t>@taufiqhdrs Wis podo koyo anggota isis mas. Ra merasa bersalah ngacak2 wilayah wong, lan ngantemi wong2 sing ra bersalah. Radikal tenan iki wong2 goblok. Mending di gawe aturan, pengangguran dilarang nonton nnag stadion, men mengurangi wong goblok sing teko. Jancuk tenan ancene</t>
  </si>
  <si>
    <t>RT @hermana_t: Menlu Retno mengatakan 3 WNI dari 78 WNI di Kapal Diamond Princess dinyatakan positif corona "Saya menyampaikan update terkait kru kita di kapal tsb. Berdasarkan informasi, 3 dari 78 WNI dinyatakan confirmed," ujar Retno Ternyata WNI tdk kebal corona</t>
  </si>
  <si>
    <t>Jadi dari 78 wni yang kerja di kapal pesiar jepang yang kemaren viral itu, 3 diantara udah terconfirm terjangkit corona. Semoga lekas sembuh kakak2 🙏</t>
  </si>
  <si>
    <t>Observasi WNI segera rampung tanggal 15 Febuari, WNI di Natuna akan segera dipulangkan ke keluarga, Selengkapnya di</t>
  </si>
  <si>
    <t>RT @nalar2019: Tembak kepalanya ini bintik2 ISIS</t>
  </si>
  <si>
    <t>Knp nCov hny menerang WNI yg di LN? Hr ini aku ngajar kls XI pas materi Respiratory Disease, aku buka diskusi terbuka ttg isu Corona ini. Jawaban kelas XI ICSP putra dalem bgt. "Kata Abah, insyaAllah Corona TIDAK AKAN masuk Indonesia. Krn Allah tdk ridho kalo santri kena" RT @TirtoID: Tiga dari 78 WNI yang menjadi awak kapal pesiar Diamond Princess yang dikarantina di perairan Yokohama, Jepang, positif terinfeksi virus corona atau Covid-19.</t>
  </si>
  <si>
    <t>Tembak kepalanya ini bintik2 ISIS RT @FAndini92: #AwasHTImasihEksis nih buktinya mereka mencoba untuk ke parlemen, dengan menggunakan berbagai cara bahkan mengancam akan menyebarkan virus Khilafah @pergusoID @adji1984 @IndiraKyra @RizmaWidiono @AnakLolina @CH_chotimah @WagimanDeep @Bangzul__88</t>
  </si>
  <si>
    <t>RT @ahmadzulfian83: Tiga WNI Positif Mengidap Virus Corona di Kapal Pesiar</t>
  </si>
  <si>
    <t>Pemerintah Tolak Pulangkan Teroris Lintas Batas, Eks Presiden ISIS Indonesia: Saya Siap Tampung</t>
  </si>
  <si>
    <t>Tiga WNI Kru Kapal Pesiar Jepang Positif Terinfeksi Virus Corona</t>
  </si>
  <si>
    <t>Menteri Luar Negeri (Menlu) Retno Marsudi mengonfirmasi ada tiga dari 78 warga Negara Indonesia (WNI) awak kapal pesiar Diamond Princess yang menjalani karantina di Perairan Yokohama, Jepang. Ketiganya positif terinfeksi virus korona.</t>
  </si>
  <si>
    <t>RT @demokrasicoid: WNI Yang Dikarantina di Natuna Mengaku Tak Dites Corona</t>
  </si>
  <si>
    <t>Pemerintah tetap membuka opsi memulangkan anak-anak dari WNI teroris pelintas batas (FTF) dan terduga eks ISIS ke Indonesia.</t>
  </si>
  <si>
    <t>Utk eks ISIS gak dipake tuh dalil2nya. 💩 RT @ILCtv1: #ILCBPIP | NARASUMBER ILC : ALI MOCHTAR NGABALIN (Tenaga Ahli Utama KSP)</t>
  </si>
  <si>
    <t>RT @CANDAdanBISNIS: @aguzts_ @SetiaAdy_p @kasrulsani9 @APLpangeran1 @BanyakHoaks @BHD_8 @MaryanaNunung @zaenalkase03 @MOMDian2 @TukangMu @Yul3h4 @evisuryanti10 @bhenytarika28 @Dickusnadi1 @edward7011971 @MukhtarLuthfi12 @2024GanjarRisma @Jokoumb64504158 @sofiankawar1 @lukmanalwahid @JohnIrwan4 @RizkiR4madani @wantahgdn @RazkaFaiz @PLiantini @Zulfika35354359 @73hermantjoe @babegalak1 @HeriSu19 @mamiagarislucu @periani @SultanAnjar @BayuErrianto @jubrik844 @positive_values @felixaaf1 @Edward_1smail @LiaIsti1 @Recoignitionwal @eddies_song @wartawankoboi13 @CumiCue @AdigunaAtmaja @Iqbalkuntoro1 @Maranatha_Sibrn @dian_ibunda @GendengHrs @demartinnie @gimbal_keren @AnakKolong___ Hehehe aja melasi Di cabut bae WNI ne Kirim ke suriah Hehehe</t>
  </si>
  <si>
    <t>@ykiwwd Ya menurut gue sih gaharus manggung di indo untuk disebut artist local, cukup dia masih beridentitas wni ya berarti dia dari local (indo)</t>
  </si>
  <si>
    <t>@Namaku_Mei @PKSejahtera Waspada parte ini melinter2 dalil agama demi nafsu strategi isis</t>
  </si>
  <si>
    <t>aku emg wni, cmn berkarir di korea😌 RT @revestrangers: @hepigurles Nayeon? Member fav ku di twice dengan gigi kelinci Itukan kamu, udh jadi wni, Aiih pacaran lah yuk</t>
  </si>
  <si>
    <t>@babyabdulkadeer @Sir__md Hhhh Bbu Wni batun kashe mishi ksuwa d yyi</t>
  </si>
  <si>
    <t>Tiga WNI Positif Mengidap Virus Corona di Kapal Pesiar</t>
  </si>
  <si>
    <t>@yusuf_dumdum @ISIS_Balik_NO @karniilyas Dr bawain acaranya ILC udah kelihatan @karniilyas orangnya gk mau dikritik apalagi disalahin ( cara pemikiran orba )</t>
  </si>
  <si>
    <t>@hepigurles Nayeon? Member fav ku di twice dengan gigi kelinci Itukan kamu, udh jadi wni, Aiih pacaran lah yuk</t>
  </si>
  <si>
    <t>Kini, perbincangan hangat mencuat tentang rencana pemulangan 600-an warga negara Indonesia eks ISIS.</t>
  </si>
  <si>
    <t>Kalau hanya bersikap "open-minded" agar "circle-nya" berpikir Ia mengadopsi pola pikir yang unik, terbarukan dan moderat tanpa dasar pemikiran, apa bedanya dengan eks-WNI simpatisan ISIS? Mereka juga terdorong oleh "circle" dan tidak mampu mempertahankan argumennya dengan lugas.</t>
  </si>
  <si>
    <t>RT @Demokrat_TV: Bantuan Kemanusiaan, masker untuk TKI/PMI di Hongkong dari Ibu Hj.Melani Leimena Suharli (@FPD_DPR). Bantuan yang sangat berharga di tengah kesulitan Warga Hongkong, termasuk 170.000 PMI dan WNI, utk mendapatkan masker, mencegah penularan Virus Corona. #VirusCorona #Demokrat</t>
  </si>
  <si>
    <t>Mahfud: Pencabutan kewarganegaraan terlibat ISIS tak lewat pengadilan</t>
  </si>
  <si>
    <t>Ratusan WNI di Kapal Pesiar Westerdam Bebas Virus Korona</t>
  </si>
  <si>
    <t>@aguzts_ @SetiaAdy_p @kasrulsani9 @APLpangeran1 @BanyakHoaks @BHD_8 @MaryanaNunung @zaenalkase03 @MOMDian2 @TukangMu @Yul3h4 @evisuryanti10 @bhenytarika28 @Dickusnadi1 @edward7011971 @MukhtarLuthfi12 @2024GanjarRisma @Jokoumb64504158 @sofiankawar1 @lukmanalwahid @JohnIrwan4 @RizkiR4madani @wantahgdn @RazkaFaiz @PLiantini @Zulfika35354359 @73hermantjoe @babegalak1 @HeriSu19 @mamiagarislucu @periani @SultanAnjar @BayuErrianto @jubrik844 @positive_values @felixaaf1 @Edward_1smail @LiaIsti1 @Recoignitionwal @eddies_song @wartawankoboi13 @CumiCue @AdigunaAtmaja @Iqbalkuntoro1 @Maranatha_Sibrn @dian_ibunda @GendengHrs @demartinnie @gimbal_keren @AnakKolong___ Hehehe aja melasi Di cabut bae WNI ne Kirim ke suriah Hehehe</t>
  </si>
  <si>
    <t>Hanya di Indonesia, Menteri Luar Negeri urus pandemi, Menteri Kesehatan nyuruh berdoa, sementara Menteri Agama urus Izin Mendirikan Bangunan #sabdabahagia</t>
  </si>
  <si>
    <t>@Naizarusama @fithnazzahh Tapi ada 4 WNI yg dinyatakan positif terkena virus Corona. Mungkin karena mereka ga minum temulawak¿</t>
  </si>
  <si>
    <t>RT @marcharitahere: di Inggris gitu.. semoga di Indonesia jg gitu. Kewarganegaraan Dicabut, Pengantin ISIS Inggris: Dunia Saya Hancur</t>
  </si>
  <si>
    <t>@alywafa_29 Biar ISIS 😭</t>
  </si>
  <si>
    <t>RT @yusuf_dumdum: Wah ini siapa lagi ? Ngerih ceramahnya. 🤦‍♂️ Gak usah sibuk mau deradikalisasi ratusan eks ISIS WNI. Coba @BNPTRI benerin dulu jalan pikiran ngustadz ini. Mampu gak ? Cc @DivHumas_Polri Kalau ini saja gak bisa diberesin maka jangan sok gaya mau deradikalisasi 660 eks ISIS.</t>
  </si>
  <si>
    <t>RT @septian: WNI pertama yang terpapar virus COVID-19 (Pasien #21 di Singapura) telah pulang dari rumah sakit di Singapura pada hari ini, Selasa 18 Februari.</t>
  </si>
  <si>
    <t>Akibat wabah virus korona, Pemerintah Indonesia pulangkan 21 WNI lagi dari China, Selengkapnya di</t>
  </si>
  <si>
    <t>RT @wanrosadi: @VIVAcoid Dimulai jd Komut Pertamina, nurunin harga BBM, dipuja puji. Trus penangan banjir Jkrt lbh bagus Ahok drpd Anies. Trus WNI non Muslim bisa jadi Presiden klo rakyat menghendaki. Skrg blng Ahok sngt religius. Tukang poles mulai beraksi, tp Ahok ttp Nyungsep :))</t>
  </si>
  <si>
    <t>RT @rio_grandeh2000: @Bibib_Baik @detikcom @detikhot habib &lt;&amp;lt;&amp;lt; cikal bakal isis !! manusia laknat, loe jgn bawak2 muslim.. muslim itu cinta damai. paham loe. #Agnation #BestFanArmy #iHeartAwards</t>
  </si>
  <si>
    <t>@teilmoon @urlucasw @wayv_ten Isis gua bacanya</t>
  </si>
  <si>
    <t>RT @demokrasicoid: Gawat! 3 WNI di Kapal Pesiar Diamond Princess Positif Corona, Kemungkinan Dipulangkan ke Indonesia</t>
  </si>
  <si>
    <t>@ILCtv1 Romo Magnis, biarawan asing yg telah mjadi WNI &amp; sangat mcintai NKRI : "Musuh Pancasila bukan agama, tapi psedo-agama, extrimist-agama at radikalis agama 👍😊 Tpi jangan tlalu berlebihan kalau sampai disebut menuju Marxisme-Leninisme " 😊 Ada naraum yg tersindir nih 😁 #ILCBPIP</t>
  </si>
  <si>
    <t>Welcome nCoronaV. Virus corona datang untuk memusnahkan kaum radikal intoleran hti khilafah isis di seluruh dunia. Hanya corona yg dpt membasmi kaum kadrun yg tak bisa dilaporkan sbg penista agama. RT @Parapat_Nixon: abd somad: "Ada bala tentara gaib dr Allah, namanya CORONA,utk lindungi umat Islam Uighur Cina. Mreka terlindungi krn miliki gaya hidup slaras dgn ajaran agama” Habib Ali Al-Jufri: "Wabah vrs Corona di China TDK ADA HUBUNGAN dgn ajaran &amp;agama apapun" 👍🙏</t>
  </si>
  <si>
    <t>@sikowek @AfifFuadS wajarlah si babi hti fpi yg bikin negeri ini susah corongnya ya si partai sapi dan simpatisan isis kyk lu🤮</t>
  </si>
  <si>
    <t>@GgalehJati Huhu aku nanti pasti potong gitu lagi soalnya isis 😙</t>
  </si>
  <si>
    <t>Ketika otak si buntal @fadlizon tidak berfungsi 😂😂😂😂</t>
  </si>
  <si>
    <t>@Fido_id_ @4Y4NKZ @anti_togog Wkwk si kadrun anak teroris ISIS. Tenyata die.folower.gue.. Xixi.. nguntiton gue. Awas kena tai dibelakang. 🤣</t>
  </si>
  <si>
    <t>@BBCIndonesia Ada yg masih keras sekali, tapi alhamdulillah ada yg sudah menyadari kesalahannya. Gini mau mulangin anggota ISIS, Iya kalo berhasil deradikalisasi, kalau engga? nyari penyakit namanya! Mana nambah kerjaan lagi.</t>
  </si>
  <si>
    <t>3 WNI Kru Kapal Pesiar Diamond Princess Positif Corona -</t>
  </si>
  <si>
    <t>Sssttt! Awas kadrun hti khilafah isis masuk. Jgn sekalikali jual tanah kpd kadal gurun. Mereka panas atas penolakan wisata halal krn ajaran agamanya hrs mensyariahkan batak/toba. Jaga dan kawal toba dari kadrun sampai titik darah penghabisan. RT @danautoba_ind: Swisnya Indonesia Lok.Desa Bonan Dolok, Sianjur mula-mula. Yuk ke Danau Toba.</t>
  </si>
  <si>
    <t>RT @Mxllan: Amerika Syarikat, United Kingdom, Kesatuan Eropah dan 32 negara di seluruh dunia telah mengisytiharkan LTTE sebagai pengganas militan. Malahan pihak FBI telah mengesahkan LTTE sebagai kumpulan pengganas militan yang paling ganas di dunia, melampaui keganasan ISIS, mahupun Daesh.</t>
  </si>
  <si>
    <t>RT @antaranews: "Mereka adalah anak-anak, tentu kami memulangkan mereka. Ancaman pasti ada tetapi mereka anak-anak. Mereka dapat diberikan edukasi oleh keluarga dan pemerintah." #Rusia #EksISIS</t>
  </si>
  <si>
    <t>Setibanya di kos, sambil rebahan, kunyalakan gawaiku yang selama perkuliahan berlangsung dalam kondisi off.</t>
  </si>
  <si>
    <t>RT @Alli25968848: @MARTINUSSANDY @BBCIndonesia Hanya pengingat pemerintah saja.agar tiidak memulangkan teroris ISIS !!! @jokowi @Kemenkumham_RI @KomnasHAM @Kemendagri_RI @mohmahfudmd</t>
  </si>
  <si>
    <t>Mengingat sudah sangat keterlaluan dan meresahkan menimbulkan ketidaknyamanan antar warga di seluruh Indonesia dalam berbangsa dan bernegara selaku seluruh WNI penganut 5 besar Agama,maka mau tidak mau harus dilakukan guna tercapai kerukunan bersama,hasilnya pasti memuaskan NKRI</t>
  </si>
  <si>
    <t>@tubirfess nggak ah nder, penanaman ideologi yg seperti apa dulu? kalo pancasila ya sah-sah aja🤷 ideologi tuh penting loh ditanamkan biar gak banyak kasus-kasus intoleran dan penyimpangan kayak isis dan teroris kemarenan😕</t>
  </si>
  <si>
    <t>Jangan sampai mereka kembali k Indonesia dan Malaysia karena mereka tlh menghina negara mereka sendiri. ISIS tetaplah ISIS dan cara berpikir mereka jg sdh sangat rusak. Mereka kembalu bukan karena sdh sadar, tetapi karena mereka sdh hancur.</t>
  </si>
  <si>
    <t>Bashar Al Assad menilai kemenangan terbaru militer Suriah di Provinsi Idlib dan Aleppo, sebagai awal dari kekalahan total teroris di negara ini. #syria #suriah #damaskus #idlib #aleppo #teroris #turki #daesh #isis #alqaeda</t>
  </si>
  <si>
    <t>@jek___ @BankBCA Dari kecil akhlak lu udah mencerminkan ISIS bang</t>
  </si>
  <si>
    <t>@NengAnyar15 Mbak ngaji dimana sih? Pemikirannya gitu amat. Isis ya?</t>
  </si>
  <si>
    <t>Seloroh Mahfud MD Terkait Cara Pemulangan Anak-Anak WNI Eks ISIS #BeritaTerkini #Berita #News #BeritaNasional</t>
  </si>
  <si>
    <t>WNI yang sudah dikarantina dipulangkan dan tidak ada yang terinfeksi corona.</t>
  </si>
  <si>
    <t>@AliR32a @CNNIndonesia ISIS JAD HTI JI DI TII NII TALIBAN ALQAEDA dst beserta simpatisannya tdk pernah ada yg mengakui kalau dirinya radikal</t>
  </si>
  <si>
    <t>GUYS BAD NEWS 2 WNI KENA VIRUSNYA 😔 RT @mbahkita:</t>
  </si>
  <si>
    <t>RT @Balistta: @sweethellena "Untuk WNI 78 di Diamond sudah dinyatakan sehat dan hasilnya negatif. Tentunya mereka sudah selesai masa observasi, sehingga harusnya tak ada lagi perlakuan khusus buat merekanya," kata Vensya di Kantor Staf Presiden, Rabu (12/02).</t>
  </si>
  <si>
    <t>Sungjae keluar dari Jibsabu, Kwangsoo kecelakaan jadi vakum dulu dari Running Man, 3 WNI terkonfirmasi kena virus corona, Noah-BCL ditinggal pergi... Udahan atuuu😭</t>
  </si>
  <si>
    <t>Tak Perlu Pengadilan untuk Cabut Kewarganegaraan yang Terlibat ISIS</t>
  </si>
  <si>
    <t>RT @cnbcindonesia: Ini Cerita Menlu Retno Soal Evakuasi WNI dari Wuhan</t>
  </si>
  <si>
    <t>RT @denyspam: @Nusanta124 ya, gak tahu apa yang terjadi di pemerintahan sekarang. sudah membakar paspor nkri, masih dianggap wni. sudah menolak pancasila, masih bisa dibebaskan. hebat!! @jokowi</t>
  </si>
  <si>
    <t>@JeromePolin beneran 3 dari 78 WNI yang di Jepang positif Corona?</t>
  </si>
  <si>
    <t>RT @suurgadaddy: "Inilah foto-foto 3 WNI positif terinfeksi COVID-19 semasa kecilnya. Nomor 3 bikin geleng-geleng!" my ass</t>
  </si>
  <si>
    <t>Pasti 3 orang ini bukan orang Islam, makanya bisa positif</t>
  </si>
  <si>
    <t>KJRI Johor Bahru senantiasa membantu dan memastikan kelancaran pemulangan WNI/PMI ke Indonesia yang telah menyelesaikan kasusnya di DIPN. Upaya tersebut sebagai komitmen Pemerintah Indonesia dalam rangka meningkatkan pelayanan dan pelindungan WNI di luar negeri. #IniDiplomasi</t>
  </si>
  <si>
    <t>Pd pertemuan tsb disepakati utk terus tingkatkan kerja sama, koordinasi dan komunikasi antara KJRI dg DIPN terkait dukungan dan bantuan proses pemulangan WNI, dari Johor - Malaysia ke Indonesia, khususnya bagi WNI kelompok rentan dan sakit di DIPN. #IniDiplomasi #NegaraMelindungi</t>
  </si>
  <si>
    <t>Lagi pake super volcanic masknya innisfree dapet sample gratis kemaren, KENAPA BEDA SAMA YANG GUE BELI?!?!?! Jadi ragu😭 yg ini enak bgt lembut bikin isis, yg dulu kerasss kaga ada isis2nya.....</t>
  </si>
  <si>
    <t>@PemkotMalang Assalamualaikum PakBosku. Mohon ditertibkan silup tidur sepanjang jl. Saksofon pd khususnya&amp; MALKOT pd umumnya. Terlalu banyak juga ORA NYAMAN kan? Jalan raya manapun adalah milik semua WNI bukan cuma warga sekitar jalan itu saja dulur. Mari berbagi kebaikan dan kesabaran dulur..</t>
  </si>
  <si>
    <t>@agungriensya Tahu lah... Cerita sederhana saja kok. Itu orang2 ISIS masuknya juga dari turki kan</t>
  </si>
  <si>
    <t>Ini Kisah Pilot Senior Lulusan STPI yang Terbangkan Airbus 330 Angkut WNI dari Wuhan  @stpicurug @BatikAir</t>
  </si>
  <si>
    <t>RT @katatodaycom: 2 WNI Kru Kapal Pesiar Positif Corona Dirawat di RS Chiba</t>
  </si>
  <si>
    <t>2 WNI Kru Kapal Pesiar Positif Corona Dirawat di RS Chiba</t>
  </si>
  <si>
    <t>@Nusanta124 ya, gak tahu apa yang terjadi di pemerintahan sekarang. sudah membakar paspor nkri, masih dianggap wni. sudah menolak pancasila, masih bisa dibebaskan. hebat!! @jokowi</t>
  </si>
  <si>
    <t>@tripleattention Yoh gpp sih kan maksudnya biar doanya lebih tertuju buat para wni di kapal pesiar (?) 😅😅</t>
  </si>
  <si>
    <t>RT @Frans_Priyo: @AnakLolina @fadlizon @MardaniAliSera @hnurwahid sangat mendukung kelompok ini makanya ngotot minta Kombatan Isis dikembalikan ke negri ini.</t>
  </si>
  <si>
    <t>[FULL] 3 WNI Positif Corona di Kapal Pesiar, Ini Langkah Pemerintah Indonesia ke Depan</t>
  </si>
  <si>
    <t>Atas dasar inilah, sambung dr Fathiyah, mereka yang dikarantina di Natuna tidak dites, karena seluruh WNI tidak menunjukkan gejala yang masuk ke kategori pasien dalam pengawasan. Padahal ada info pasien Corona Virus meninggal tanpa gejala</t>
  </si>
  <si>
    <t>Menanggapi hal tersebut, Kementerian Kesehatan menyatakan respon penanganan ketiga WNI tersebut dilakukan oleh pemerintah Jepang.</t>
  </si>
  <si>
    <t>RT @abcaustralia_id: Kementerian Luar Negeri RI @Kemlu_RI telah mengkonfirmasikan ada tiga warga Indonesia (WNI) yang bekerja sebagai kru kapal pesiar Diamond Princess, di perairan Yokohama, positif terkena virus corona.</t>
  </si>
  <si>
    <t>Update terbaru 3 WNI kru kapal positif terkena virus korona RT @SalmaBrecht: Guru Besar Biokimia &amp; Biologi Molekuler Univ. Airlangga Prof.Dr.C.A Nidom drh. MS. Mengatakan Krn orang Indonesia sering mengkomsumsi Curcumin yg terkandung di Temulawak, Jahe, Kunyit, Sereh, baik u/ kekebalan tubuh dan bisa u/ menangkal Virus Corona.</t>
  </si>
  <si>
    <t>Pasca Pemulangan WNI dari Natuna, Pemerintah Terus Waspadai Corona Virus</t>
  </si>
  <si>
    <t>Hooo 3 WNI awak kapal pesiar virus Corona di Jepang.</t>
  </si>
  <si>
    <t>@maharanisans Kok isis to😂</t>
  </si>
  <si>
    <t>[ TOP 3 NEWS] Ashraf Sinclair Meninggal I 3 WNI Terinfeksi Corona I TIM Dibongkar</t>
  </si>
  <si>
    <t>RT @beritaKBR: Apa kata Menkopolhukam @mohmahfudmd soal soal WNI eks ISIS, radikalisme, sampai kasus pelanggaran HAM masa lalu? Ini dia obrolan eksklusif KBR bersama Jurnalis KBR Agus Luqman. #Wawancara #MahfudMD #ISIS #Radikalisme</t>
  </si>
  <si>
    <t>RT @afnfahmi: Asteire dance jadi satu hal yang sulit saya lupakan. Pas mandi saja, lagunya kerap terngiang... Tell me quando-quando-guando~ via @skorindonesia , photo by @ylchaniago</t>
  </si>
  <si>
    <t>wni yg kena corona biaya berobatnya ditanggung sendiri apa gimana ya?</t>
  </si>
  <si>
    <t>RT @rmol_id: Tiga WNI Di Kapal Pesiar Diamond Princess Positif Corona #coronavirus #viruscorona #RepublikMerdeka</t>
  </si>
  <si>
    <t>Masih ada yg pura2 ngga ingat ttg betapa jahatnya isis ngga?? #MenolakLupaKejahatanIsis</t>
  </si>
  <si>
    <t>gua wni tulen woey jan dipersulit napa sih😭 ))</t>
  </si>
  <si>
    <t>Menteri Luar Negeri Retno Marsudi bersama Koordinator Fungsi Penerangan Sosial Budaya KBRI Beijing Arianto Surojo dan Pilot Batik Air Kapten Destyo Usodo memberikan paparan saat acara penyambutan tim aju dan tim evakuasi WNI dari Wuhan di Jakarta.</t>
  </si>
  <si>
    <t>Sudah empat kasus WNI terkena virus korona terbaru dan semuanya berposisi di luar tanah air ....</t>
  </si>
  <si>
    <t>Ada yang membela, ada yang memberi syarat, namun artikel ini memberikan gagasan yang tegas: tolak kombatan ISIS</t>
  </si>
  <si>
    <t>@2020Didid @HomeMarshel @BBCIndonesia Jgn berasumsi memframing seperti itu video ini mengingatkankan kita ttg bahaya eks ISIS bkn menggenalisir "islam"</t>
  </si>
  <si>
    <t>@yan_tja Sy faham bali..sy faham org Bali bkn spt anda yg pemahaman agama yg cetek bisa menjudge agama org. DM aja alamat nya... Nanti bnyk yg kirim sungkem ksna...yakinlah... Anda sdh melebar ke mana. Mana.. Sdh bawa2 ISIS.khilafah...sdgkan sy bkn bagian dr itu... Hati2 anda...</t>
  </si>
  <si>
    <t>3 WNI Kru Kapal Diamond Princess Positif Virus Korona</t>
  </si>
  <si>
    <t>RT @bonihargens_: Menlu Retno Ungkap 3 WNI Kru Kapal Diamond Princess Terinfeksi Virus Corona</t>
  </si>
  <si>
    <t>WNI terinfeksi corona 3 di japan 1 di singapore Ternyata makan plastik tetap bisa corona</t>
  </si>
  <si>
    <t>@mbahkita Yang di kapal pesiar kena coey, 3 orang WNI</t>
  </si>
  <si>
    <t>@cigaretteez sana gabung sama isis biar ribut trus</t>
  </si>
  <si>
    <t>@twitpos Moga aja wni yg jujur gini, ga dimasukkan lagi ke karantina besi. Dan dicarikan deliknya</t>
  </si>
  <si>
    <t>@Agusta_515 @ISIS_Balik_NO Oh iya maksudnya mantan asisten menteri... mentang2 lagi trend "SALAH KETIK" jadi ikut2an aja...🤭😁</t>
  </si>
  <si>
    <t>Setelah sebelumnya dikarantina, 3 WNI yang menjadi kru kapal Diamond Princess dinyatakan positif terjangkit novel coronavirus. Ketiganya sekarang dirawat di rumah sakit di Jepang, tempat kapal Diamond Princess berlayar. #SmarterHealth #CoronavirusOutbreak #coronavirus #COVID2019</t>
  </si>
  <si>
    <t>Menlu Retno Ungkap 3 WNI Kru Kapal Diamond Princess Terinfeksi Virus Corona</t>
  </si>
  <si>
    <t>@hasmi_bakhtiar Assad salah isis yg bener..</t>
  </si>
  <si>
    <t>@SangKelana_70 @ISIS_Balik_NO Mentri?, bukan.., asisten mentri, asistennya Sudirman Said.</t>
  </si>
  <si>
    <t>@RinjaniJB @ISIS_Balik_NO bisa2 ngga makan nanti mereka kalo smpe bahas lapindo...</t>
  </si>
  <si>
    <t>RT @TurnBackHoax: Benarkah @FadliZon akan menyusul ISIS eks WNI jika tak dipulangkan? Apa iya sih mi goreng Indonesia masuk daftar makanan penyebar virus Corona? Kami kupas di #CekFakta bersama @beritaKBR. Bisa Anda dengarkan di  #KBRPrime #Podcast #PodcastIndonesia</t>
  </si>
  <si>
    <t>Punya adek kelas jaman smk, kerja di dream cruises, liat berita klo ada wni yg positif corona, auto ku chat dia..</t>
  </si>
  <si>
    <t>@KBRITokyo Semoga lekas sembuh🙏🙏🙏</t>
  </si>
  <si>
    <t>ternyata tolak angin dan popmie kurang ampuh mencegah virus corona</t>
  </si>
  <si>
    <t>Kisah Menlu Retno, Sulit Tidur Saat Evakuasi 237 WNI dari Hubei</t>
  </si>
  <si>
    <t>Satu Penumpang Kapal Westerdam Positif Corona, 27 Kru WNI Telah Pulang ke Indonesia</t>
  </si>
  <si>
    <t>RT @riizkyaji: Setelah Tiga dari 78 WNI yang menjadi awak kapal pesiar Diamond Princess yang dikarantina di perairan Yokohama, Jepang, positif terinfeksi virus corona, Munculah blast sms 😭😭😭..</t>
  </si>
  <si>
    <t>Ternyata ada juga WNI yang positif virus korona. Semoga ketiganya bisa sembuh.. #corona</t>
  </si>
  <si>
    <t>@nandamariva_ Iyo mbak isis jare</t>
  </si>
  <si>
    <t>RT @Michirva: 3 WNI Kru Kapal Pesiar Jepang Positif Terinfeksi Virus Corona  #LINETODAY</t>
  </si>
  <si>
    <t>RT @pdipbandingan: Ganjar Kirim 41.250 Masker Untuk WNI di Hongkong, Taiwan dan Singapura  #PDIPerjuangan</t>
  </si>
  <si>
    <t>@Agamajinasi bakal kena ajab gak yah saya?, ah bodo amat dah. servernya gak ada diantara 5 yang dianut oleh wni ini 🙄</t>
  </si>
  <si>
    <t>RT @validnewsco: Tiga WNI awak kapal pesiar Diamond Princess dinyatakan positif virus corona.</t>
  </si>
  <si>
    <t>Tadi siang dapet sms dari Kemenkes soal waspada corona virus. Pikirku tumben kan, kenapa juga baru sekarang dapet sms gituan? Terus ga lama baca berita soal WNI yang kerja di kapal pesiar positif corona. 2 orang sudah dirawat di RS Chiba dan 1 orang lainnya dalam proses ke RS. RT @CNNIndonesia: 2 WNI Kru Kapal Pesiar Positif Corona Dirawat di RS Chiba</t>
  </si>
  <si>
    <t>“Sehingga pengalaman yang jarang ini bisa dibagikan ke masyarakat luas agar lebih mewaspadai dampak virus COVID-19 ini,” kata Lestari.</t>
  </si>
  <si>
    <t>RT @arifz_tempo: Dalam hirakki ISIS orang Indonesia berada pada tingkat paling bawah. “Seperti kambing ternak yang digiring ke penjagalan,” kata Ubaid. Warga negara lain mendapat pekerjaan di bidang perminyakan atau keuangan #laporandarisuriah #pengejarmimpiisis #tempoterbaru</t>
  </si>
  <si>
    <t>Masa Karantina Berakhir 19 Februari, Pemerintah Pantau 78 Kru WNI di Kapal Diamond Princess</t>
  </si>
  <si>
    <t>Mahfud MD Pastikan Anak-anak WNI Eks ISIS Dipulangkan Pemerintah, Yenny Wahid: Sudah Siap Menampung?  via @tribunnews</t>
  </si>
  <si>
    <t>@Telkomsel Ya wis Ta biyarin wae mbak Aurora Soale diyatu bkan WNI og Pantesan gk kenal Bang Rhoma Judi kan dilarang blio</t>
  </si>
  <si>
    <t>RT @Aryprasetyo85: Kepala Dinas Kesehatan Provinsi Jateng Yulianto Prabowo menerangkan, pengiriman masker dilakukan karena WNI di negara-negara itu mengaku kesulitan mendapatkan masker. Apabila ada, harga masker di beberapa negara itu sangat mahal.</t>
  </si>
  <si>
    <t>RT @Aryprasetyo85: "Mudah2an mereka bisa membantu mendistribusikan kepada masyarakat di sana. Kami prioritaskan WNI. Kalau memang sisa,bisa diberikan ke masyarakat krn ini sebenarnya misi kemanusiaan. Intinya kami merespon permintaan masyarakat yang ada di beberapa negara itu yg kesulitan masker.</t>
  </si>
  <si>
    <t>RT @Aryprasetyo85: Secara simbolis, @ganjarpranowo melepas satu truk berisi masker menuju negara2 rawan penyebaran virus corona itu. "Saya beberapa kali dikontak WNI yang ada di HK,Taiwan dan SGP. Mrk butuh bantuan masker. Beberapa Kab/Kota sebelumnya sdh mengirim bantuan masker, namun masih kurang</t>
  </si>
  <si>
    <t>RT @Aryprasetyo85: Bantuan masker dikirimkan untuk membantu WNI di tiga negara itu yang kesulitan mendapatkan masker untuk melindungi diri dari penyebaran virus corona. Pengiriman masker itu dilakukan langsung oleh Ganjar di halaman kantor gubernuran, Senin (17/2/2020).</t>
  </si>
  <si>
    <t>RT @Aryprasetyo85: @ganjarpranowo Kirim 41.250 Masker Untuk WNI di Hongkong, Taiwan dan Singapura Gubernur Jawa Tengah Ganjar Pranowo mengirimkan 41.250 lembar masker untuk Warga Negara Indonesia di Hongkong, Taiwan dan Singapura @budiyono97 @WagimanDeep @narkosun @b4yuw @JatengOpini @jatengpedia</t>
  </si>
  <si>
    <t>@yan_tja @dodsky_23 @Citraanp @TanYoana @NengAnyar15 @Billboard_INA @bclsinclair yaa kasihan banget ini orang keseringan baca ajaran Wahabi Takfiri/Khawarij alias teroris (ISIS, Al-Qaeda, Abu Sayyaf, etc) pantes bodoh, belajar Sufi bang hehehe.</t>
  </si>
  <si>
    <t>@TirtoID Penulisan "tiga dari 78 WNI" adalah benar, yang salah itu "3 dari 78 WNI" begitu menurut pembimbing skripsi pada saat kuliah wkwkkw tirto emang panutanque</t>
  </si>
  <si>
    <t>Sang Pilot Batik Air Punya Tiga Bekal Sebelum Berangkat Menjemput 238 WNI Di Wuhan, Apa Saja? #natuna #RepublikMerdeka</t>
  </si>
  <si>
    <t>3 dari 78 WNI yang Ada di Kapal Pesiar Jepang Positif Corona</t>
  </si>
  <si>
    <t>Komisi IX DPR Minta Kemenlu Terus Lakukan Pendampingan 3 WNI Positif Virus Corona  via @tribunnews</t>
  </si>
  <si>
    <t>RT @Aryprasetyo85: @danielgintingm @jokowi @nnyzhuxin @Namaku_Mei @makLambeTurah @TheArieAir @APLpangeran1 @Luana_LD @MilitanGL @rinawaki @V_Stone_Kardol @Candraasmara85 @jelataNKRI_ndai @Revandaditya4 @TheKakek @evndari @KemenkesRI @ANDRE_OCTA_ 3 WNI di Kapal Pesiar Diamond Princess Positif Virus Corona Kementerian Luar Negeri Indonesia menyatakan tiga dari 78 warga negara Indonesia (WNI) di kapal pesiar Diamond Princess positif terinfeksi Virus Corona COVID-19.</t>
  </si>
  <si>
    <t>@selphieusagi Dan KPAI lebih sibuk mengurus untuk memulangkan anak isis eks wni, beasiswa djarum, (ada yg bisa nyebutin lagi?)</t>
  </si>
  <si>
    <t>wayoloh wni kena corona</t>
  </si>
  <si>
    <t>jangan2 thread thread media tentang mantan tukang bom bali yg 'berubah' itu campaign dan ada hubungannya sama wacana pemulangan eks anggota isis?</t>
  </si>
  <si>
    <t>RT @KompasTV: 3 dari 78 WNI Kru Kapal Pesiar Jepang Positif Virus Corona</t>
  </si>
  <si>
    <t>RT @hariankompas: Pemerintah RI saat ini berkomunikasi dan berkoordinasi intensif dengan Pemerintah Jepang dan perusahaan kapal pesiar untuk mengevakuasi 78 WNI dari kapal pesiar Diamond Princess di Yokohama, Jepang. #Internasional #KawandalamPerubahan</t>
  </si>
  <si>
    <t>RT @Baracuda077: @4smara1701 Mulai beraksi dia, tiati.. kode keras jubir istana, WNI keturunan bisa jd Presiden, apalagi Wapres..</t>
  </si>
  <si>
    <t>@Mom_isback @Penyuka_ombak Ahhh tak ada itu. Tak WNI, tak turis India, sama aja. Gitu ketahuan, langsung mewek. Uwak uwak makan salak. Palak awak.</t>
  </si>
  <si>
    <t>Barusan diskusi dengan mantan pendukung #ISIS dan juga membaca sekilas bukunya. Kisah surga yang dijanjikan yang sebenarnya tidak pernah ada. Kini Febri Ramdani sudah sangat terbuka untuk diajak diskusi tentang #ISIS 🙋🌈</t>
  </si>
  <si>
    <t>Update Terbaru Pemulangan Anak WNI eks ISIS, Ini Cara Mahfud MD Antisipasi yang Terpapar Radikalisme  via @tribunkaltim</t>
  </si>
  <si>
    <t>@twitpos @Makitam43965850 Itu staf negara siapa kok berbohong soal wni yang di diamond princess , sudah 3 orang positif sekarang...</t>
  </si>
  <si>
    <t>RT @mostradio1058fm: Menlu, Retno Marsudi mengungkapkan 3 dari 78 WNI yang merupakan kru kapal Diamon Princess yang dikarantina Jepang, positif corona. #MostUpdate1058</t>
  </si>
  <si>
    <t>Menlu Retno Ungkap 3 WNI di Kapal Diamond Princess Positif Virus Korona</t>
  </si>
  <si>
    <t>RT @AderadianDian: kehadiran ISIS eks WNI di tengah-tengah masyarakat ditolak sebgaian besar warga Indonesia #TolakISISdiIndonesia</t>
  </si>
  <si>
    <t>@kanim_soeta Semoga Ibu @Menlu_RI @Kemlu_RI, Bapak @jokowi @KSPgoid dapat senantiasa berjuang memperkuat paspor biasa WNI. Selain urusan pariwisata, paspor yang kuat dapat memudahkan pebisnis, orang yang butuh pengobatan medis di LN, kebutuhan transit, hingga temu kangen keluarga dan sahabat.</t>
  </si>
  <si>
    <t>Tiga dari 78 WNI kru kapal pesiar Diamond Princess yang dikarantina di perairan Yokohama, Jepang, positif terinfeksi virus korona. #WaktunyaLokadata</t>
  </si>
  <si>
    <t>RT @HafizRayyan: Abam bocey &amp; Asyraf Sinclair antara contoh orang ikhlas yang tidak perwatakan agama tapi kebaikan disebut-sebut setelah meninggal dunia. May both of you rest in peace and may God bless your family. Terima kasih 🙏🏼❤️</t>
  </si>
  <si>
    <t>Om, anak jalanan yg terlantar segitu byk,kenapa mesti perhatikan itu anak ISIS EKS WNI, LOGIKA ANDA DIMANA ?? RT @kaskus: Kak Seto dukung anak-anak eks ISIS dipulangkan</t>
  </si>
  <si>
    <t>RT @pandapudlian: Mahfud tak menafikan para WNI itu tetap memiliki kesamaan Hak Asasi Manusia (HAM). #TolakISISdiIndonesia</t>
  </si>
  <si>
    <t>RT @WinarsihParis: #TolakISISdiIndonesia. Pemerintah Indonesia memastikan tidak akan memulangkan WNI eks kombatan kelompok terorisme ISIS</t>
  </si>
  <si>
    <t>RT @kodokpangeran5: "Mereka punya HAM iya. tapi pemerintah harus pikirkan juga HAM jutaan WNI lainnya." Mahfud MD #TolakISISdiIndonesia</t>
  </si>
  <si>
    <t>RT @KompasTV: 3 WNI yang Positif Virus Corona Dirawat di Rumah Sakit Jepang</t>
  </si>
  <si>
    <t>RT @Rudiwaluyo11: kesimpulannya jika WNI Eks ISIS dipulangkan Akan membahayakan negara #TolakISISdiIndonesia</t>
  </si>
  <si>
    <t>Rindu nak main Garry's Mod , roleplay jadi ISIS 😂</t>
  </si>
  <si>
    <t>3 WNI yang Positif Virus Corona Dirawat di Rumah Sakit Jepang</t>
  </si>
  <si>
    <t>Mahfu MD: WNI Eks ISIS berbahaya bagi Indonesia jika dipulangkan #TolakISISdiIndonesia</t>
  </si>
  <si>
    <t>RT @CNNIDdaily: Menteri Luar Negeri, Retno Marsudi, menyampaikan terima kasih kepada 42 tim Aju penjemput dan 5 orang pihak KBRI Beijing atas evakuasi 238 WNI di Wuhan, Provinsi Hubei, Tiongkok. #CNNIDNewsroom</t>
  </si>
  <si>
    <t>RT @trans7club: WNI sebanyak 238 orang yang berasal dari Wuhan telah menjalani serangkaian proses karantina guna mencegah Virus Corona. Karantina ini berlokasi di Kabupaten Natuna dan dilakukan selama 2 pekan terhitung sejak awal Februari lalu. Selengkapnya</t>
  </si>
  <si>
    <t>kesimpulannya jika WNI Eks ISIS dipulangkan Akan membahayakan negara #TolakISISdiIndonesia</t>
  </si>
  <si>
    <t>@exelrockstar @DameriatiZ @MahaD3w4 Khilafah musuh Pancasila Benalu yg mencoba menjalar di bumi indonesia. Contohnya sudah ada : EKS WNI Kombatan Isis Dan HTI dan sejenis nya.</t>
  </si>
  <si>
    <t>RT @Tribun_Solo: Begini yang Akan Diterima Pemerintahan Jokowi dari Dunia Internasional Jika Pulangkan WNI Eks ISIS</t>
  </si>
  <si>
    <t>@tripleattention Iya yok sy juga maksudnya siapa aja wni yg kena sih 😝😅😝😅</t>
  </si>
  <si>
    <t>@WagimanDeep Pancasila iku ideologi blok goblok😡 Kalau mau semua serba gratis ikut isis sana blok😡 Org kyk gini kok dikasi panggung ILC geblek</t>
  </si>
  <si>
    <t>Tadi OSIS Besok ISIS</t>
  </si>
  <si>
    <t>@Five5starA @thatsTamil @RTErdogan @EmineErdogan ISIS x Iran x Saudi</t>
  </si>
  <si>
    <t>RT @hermana_t: masih ada orang yg bilang kalau orang indonesia kebal virus corona sekalipun ada wni prt di singapura yg positif terpapar corona, tetap narasinya sama...wn indonesia kebal corona sebuah narasi yg sangat jumawa cc. @KemenkesRI @DahlanIskanBlog</t>
  </si>
  <si>
    <t>Menlu Ungkap Tiga WNI di Kapal Pesiar Diamond Princess Positif Terjangkit Virus Corona</t>
  </si>
  <si>
    <t>RT @ratu_adil: Khayangan sedang bahas ini, ringkasnya begini : Jika banyak negara hanya pulangkan Perempuan dan Anak, maka tersisa FTF (Kombatan). Dengan demikian Neo ISIS akan serupa ISIS Jika tak ada yang dipulangkan, maka Neo ISIS bisa berupa Palestina Baru 🌐</t>
  </si>
  <si>
    <t>RT @ratu_adil: Kak Seto Mau Anak WNI ISIS Dipulangkan Saja 🌐</t>
  </si>
  <si>
    <t>Menlu Retno Apresiasi Tim Evakuasi WNI dari Wuhan</t>
  </si>
  <si>
    <t>WNI sebanyak 238 orang yang berasal dari Wuhan telah menjalani serangkaian proses karantina guna mencegah Virus Corona. Karantina ini berlokasi di Kabupaten Natuna dan dilakukan selama 2 pekan terhitung sejak awal Februari lalu. Selengkapnya</t>
  </si>
  <si>
    <t>RT @jentikhati: Buat dosa nak public tapi bila tegur nak private. Weak!</t>
  </si>
  <si>
    <t>"Mereka punya HAM iya. tapi pemerintah harus pikirkan juga HAM jutaan WNI lainnya." Mahfud MD #TolakISISdiIndonesia</t>
  </si>
  <si>
    <t>#TolakISISdiIndonesia. pemulangan eks WNI itu dikhawatirkan berbahaya</t>
  </si>
  <si>
    <t>#TolakISISdiIndonesia. Pemerintah Indonesia memastikan tidak akan memulangkan WNI eks kombatan kelompok terorisme ISIS</t>
  </si>
  <si>
    <t>3 WNI di Kapal Diamond Princess Positif Corona Dilarikan ke Rumah Sakit, di konfirmasi Menteri Luar Negeri RI</t>
  </si>
  <si>
    <t>@YusufSo90734482 @Hilmi28 Ngapain ke Syam? Jd WNI ada aturan coy..</t>
  </si>
  <si>
    <t>RT @hindustanni: @RAHUL9262514 @Dr_Uditraj 1.Hamas,boko haram, ISIS, taliban, al-queda, armed Islamic group, ansar ul islam, al-Jama'a al-Islamiyya,Al-Shabaab, Hezb-e-Islami Gulbuddin, Dzhokhar Tsarnaev, Hizb ut-Tahrir, Islamic Jihad Union, Jamaat-ul-Mujahideen Bangladesh, Ansarullah Bangla Team, Harkat-ul-Jihad-al-Islami</t>
  </si>
  <si>
    <t>Mahfud tak menafikan para WNI itu tetap memiliki kesamaan Hak Asasi Manusia (HAM). #TolakISISdiIndonesia</t>
  </si>
  <si>
    <t>RT @ShiningSadaf: Why PTM, TTP, ISIS, BLA, BRA, JSQM, JKLF etc? 😳</t>
  </si>
  <si>
    <t>@hacylon @luftppi @monicarajalele mending jadi WNI aja ga usah NS entar kerja di bumn, beli rumah di villa panbil sama makan permen karet sepuasnya</t>
  </si>
  <si>
    <t>Menlu, Retno Marsudi mengungkapkan 3 dari 78 WNI yang merupakan kru kapal Diamon Princess yang dikarantina Jepang, positif corona. #MostUpdate1058</t>
  </si>
  <si>
    <t>@eggggsie @draw_w @jakpost @jokowi @Kemlu_RI @kemenkes @Menlu_RI Menurut majalah Tempo, WNI belum pernah dites corona, tetapi mereka harus tetap bekerja. Yg dites hanyalah mereka yg sudah memperlihatkan gejala. Bila gejala sudah timbul, baru dites.</t>
  </si>
  <si>
    <t>Kenapa WNI belum ada yg terjangkit corona ? Karena corona bukan budaya kita.</t>
  </si>
  <si>
    <t>@tempodotco Bukan tekanan massa. Tapi tekanan teroris. Dibelakang aksi demo, sdh ada teroris ISIS yg sdh siap melancarkan aksi. Sejak awal, ISIS ingin menguasai Indo, krn Indo adalah surga kelompok radikal dan teroris.</t>
  </si>
  <si>
    <t>RT @tvOneNews: Tiga WNI kru kapal pesiar positif Corona. Saksikan Kabar Petang jam 16.30 WIB Andromeda &amp; Tysa hanya di tvOne &amp;amp; streaming tvOne connect, android  &amp;amp; ios  #KabarPetangtvOne</t>
  </si>
  <si>
    <t>RT @KompasTV: Menlu Retno Marsudi Pastikan 3 WNI Positif Virus Corona</t>
  </si>
  <si>
    <t>Tiga WNI kru kapal pesiar positif Corona. Saksikan Kabar Petang jam 16.30 WIB Andromeda &amp; Tysa hanya di tvOne &amp;amp; streaming tvOne connect, android  &amp;amp; ios  #KabarPetangtvOne</t>
  </si>
  <si>
    <t>237 WNI dari Natuna bebas virus Corona #VirusCorona #coronavirus #KarantinaNatuna #Natuna</t>
  </si>
  <si>
    <t>@awkward_penyu @syahredzan Anyone saying 'darah halal' is ISIS/AlQaeda ready</t>
  </si>
  <si>
    <t>RT @MCAOps: Mantan pimpinan ISIS: "Isu pemulangan eks-simpatisan ISIS dibuat untuk engalihan isu. Awalnya siapa yang mengisukan mereka ingin pulang, dan siapa yang meramaikan. Bisa kita nilai sendiri. Faktanya mereka tidak ingin pulang ke Indonesia."</t>
  </si>
  <si>
    <t>@karniilyas agama yang mana tu pak? kan agama banyak. kalo ISIS atau khawarij itu agama kah pak?</t>
  </si>
  <si>
    <t>@intanRatuaja12 Sebenarnya ada berapa sih WNI yg terpapar CORONA di Indonesia ???</t>
  </si>
  <si>
    <t>RT @harryanggie: Artikel menarik dari @vidyvii tentang penanganan anak simpatisan ISIS.</t>
  </si>
  <si>
    <t>RT @kompascom: 3 warga negara Indonesia (WNI) yang menjadi kru kapal pesiar Diamond Princess, di Perairan Yokohama, positif terkena virus corona.</t>
  </si>
  <si>
    <t>@dxnim_ @Naizarusama wni nya :(</t>
  </si>
  <si>
    <t>RT @MISSARAP: 3 WNI di Kapal Pesiar Diamond Princess Positif Virus Corona - Global</t>
  </si>
  <si>
    <t>Udah ada yg positif. Semoga kondisinya segera pulih dan WNI yg lain tidak tertular. Tetap waspada teman2 dan jgn menyepelekan kebersihan. RT @detikcom: Menteri Luar Negeri (Menlu) Retno Marsudi mengatakan 3 WNI dari 78 WNI yang berada di Kapal Diamond Princess di Jepang dinyatakan positif virus corona. #VirusCorona via @detikHealth</t>
  </si>
  <si>
    <t>Menteri Luar Negeri Retno Marsudi mengeluhkan masih terbatasnya informasi soal kondisi WNI yang berada di Kapal Diamond Princess.</t>
  </si>
  <si>
    <t>@Shehla_Rashid Dear ISIS Bhakt. Don't spread Gyaan.</t>
  </si>
  <si>
    <t>Menlu Retno mengatakan 3 WNI dari 78 WNI di Kapal Diamond Princess dinyatakan positif corona "Saya menyampaikan update terkait kru kita di kapal tsb. Berdasarkan informasi, 3 dari 78 WNI dinyatakan confirmed," ujar Retno Ternyata WNI tdk kebal corona</t>
  </si>
  <si>
    <t>@mbanonengineer @catuaries Udah, 3 WNI kru kapal pesiar Jepang cmiiw</t>
  </si>
  <si>
    <t>"Diperoleh informasi tiga dari 78 kru WNI dinyatakan confirm [mengidap Covid-19]," tutur Menlu Retno Marsudi. RT @BBCIndonesia: Tiga WNI positif mengidap penyakit akibat virus corona di kapal pesiar Diamond Princess, kata Menlu Retno Marsudi.</t>
  </si>
  <si>
    <t>Wabah Corona, RI-Jepang Bahas Nasib WNI 'Terkurung' di Diamond Princess</t>
  </si>
  <si>
    <t>@intanRatuaja12 Yg sy baca di media Jepang, yg positif pasangan suami istri cina kmdn 300 terkintaminasi &amp; 7 WNI.</t>
  </si>
  <si>
    <t>Dinas Kesehatan kota Balikpapan meminta masyarakat tidak mengucilkan mereka yang baru dikarantina. #CoronaVirus #VirusCorona #LagiViral #BeritaViral</t>
  </si>
  <si>
    <t>BREAKING NEWS: 3 WNI Kru Kapal Pesiar Diamond Princess Positif Virus Corona  via @tribunnews</t>
  </si>
  <si>
    <t>Tiga warga negara Indonesia yang merupakan kru yang bertugas di kapal Diamond Princess, Jepang, positif terjangkit virus Corona (COVID-19).</t>
  </si>
  <si>
    <t>@lantip Bedanya gen WNI dg gen orang malaysia, singapura atau Thailand itu sebetulnya apa? Apa virus ini bisa bedakan mana paspor ijo atau bukan?</t>
  </si>
  <si>
    <t>RT @FPD_DPR: Anggota Komisi 3 ⁦@DPR_RI⁩ RI, ⁦@DidikMukrianto⁩, bicara soal anak2 eks ISIS “Jgn sampai sprt kebijakan yg diambil oleh Trump, ketika banyak pengungsi Meksiko orangtuanya gak boleh masuk tapi anak2nya diambil. Ini bakal menimbulkan persoalan baru terhadap anak2.”</t>
  </si>
  <si>
    <t>@1_devout @irwanmuhammad02 @VIVAcoid ISIS itu teroris buatan Amerika...belajar lg biar pintar. Data Dan fakta sdh banyak. Klw FPI itu beda dng ISIS</t>
  </si>
  <si>
    <t>@minobeach Cruise ship, banyak wni kerja disana, 3 kena :") skrg kapalnya lagi berenti di JP jadi high chance dikarantina disana sampe sembuh</t>
  </si>
  <si>
    <t>@Restichayah Untung jenk bilang di pulau jawa,klo bilang org jawa gwe geprek juga lu jeng😅😅🙏,karna pulau jawa isis nya macem".</t>
  </si>
  <si>
    <t>RT @kehabisanide: @beardtism @jakpost WNI di Singapore udah lama ada yg kena Corona. Yang belum ada kasus bukan WNI nya, tapi kejadian Corona di Indonesia</t>
  </si>
  <si>
    <t>RT @cnbcindonesia: Confirmed! 3 WNI Terinfeksi Virus Corona di Jepang</t>
  </si>
  <si>
    <t>@kompascom Blm ad yg kena aja, harga masker kesehatan ud selangit, apa lg ini ud 3 WNI yg kena..</t>
  </si>
  <si>
    <t>Brava listeners, tiga WNI yang menjadi kru di kapal pesiar Diamond Princess di Jepang dinyatakan positif terinfeksi virus Covid-19, menurut Menlu Retno Marsudi, pada Selasa (18/2). Ketiganya merupakan bagian dari total 78 WNI yang merupakan awak kapal tersebut.</t>
  </si>
  <si>
    <t>RT @RiQ_Susanto: @Acepayahdimitry @BBCIndonesia @agama_nusantara Dan ada yg berencana mengimpor isis ex WNI... Apa ada agama yg mengajarkan utk berbuat kejam ke sesama manusia?</t>
  </si>
  <si>
    <t>Confirmed! 3 WNI Terinfeksi Virus Corona di Jepang</t>
  </si>
  <si>
    <t>@rezzapahlevic @kompascom Baca dan cermati pak mentri bilang apa. Bukannya sombong beliau blng memang belum ada kasus corona d indonesia.bukan wni yg terkena dluar.ingatx Di bukan luar</t>
  </si>
  <si>
    <t>Ya Allah😑🙏</t>
  </si>
  <si>
    <t>3 WNI Positif Terinfeksi Virus Corona</t>
  </si>
  <si>
    <t>Tiga WNI awak Kapal Diamond Princess positif terinfeksi virus corona - ANTARA Jateng</t>
  </si>
  <si>
    <t>Menlu RI : 3 Orang Dari 78 WNI Terkena Virus Corona Jalani Perawatan di RS Jepang</t>
  </si>
  <si>
    <t>RT @cnbcindonesia: Alert! 3 WNI Positif Corona di Kapal Pesiar Diamond Princess</t>
  </si>
  <si>
    <t>[BREAKING] 3 WNI di Kapal Diamond Princess Positif Kena Virus Corona  lewat @idntimes</t>
  </si>
  <si>
    <t>Tiga dari 78 WNI awak kapal Diamond Princess positif terinfeksi virus corona</t>
  </si>
  <si>
    <t>@xubundi @BebasVisaID @KBRI_Pretoria Kita percayakan kepada Bapak @salmanaf2013 semoga negara2 di bawah cakupan @KBRI_Pretoria mulai dari Afrika Selatan, Botswana, Eswatini dan Lesotho agar negosiasi bebas visa bagi WNI berpaspor biasa dapat terus berjalan. 🙏🏻 🇮🇩 🇿🇦 🇧🇼 🇸🇿 🇱🇸</t>
  </si>
  <si>
    <t>@VIVAcoid Terus katanya pemerintah WNI yg dikarantina dinyatakan negatif. Mereka tes pake apa ko bs dinyatakan negatif? 😂 Oh ya sih dicek rutin ko Tp pake termometer aja?😂</t>
  </si>
  <si>
    <t>@TirtoID amerika sudah jemput duluan lalu karantina ulang. mengurangi resiko tertular di kapal,segera jemput sisa 75 WNI di kapal itu</t>
  </si>
  <si>
    <t>RT @EnjoyJateng: Gubernur Jateng @ganjarpranowo mengirimkan 41.250 masker untuk Warga Negara Indonesia di Hongkong, Taiwan dan Singapura. Bantuan dikirimkan karena keluhan WNI di negara tersebut yang sulit mendapatkan masker untuk melindungi diri dari penyebaran virus corona.</t>
  </si>
  <si>
    <t>Tiga dari 78 warga Negara Indonesia (WNI) awak kapal pesiar Diamond Princess yang dikarantina di perairan Yokohama, Jepang, positif terinfeksi virus korona. #WNI #Jepang #DiamondPrincess</t>
  </si>
  <si>
    <t>RT @Anie_TT99: #UsutTerusJiwasraya BKPM Khawatir Kepulangan WNI Eks ISIS Ganggu Investasi #UsutTerusJiwasraya @merdekadotcom 👇</t>
  </si>
  <si>
    <t>Maam wni ada yg kena Corona juga</t>
  </si>
  <si>
    <t>@dityamahendra Ini cuma nanggepin yg viral soal wni gak ada yg kena di cruiseship.</t>
  </si>
  <si>
    <t>@NaabbaHawwah @MFaarees_ @Muttaqa18 @banney___ @EngrAyusuf 🤣🤣🤣🤣 kiji wni dan iska</t>
  </si>
  <si>
    <t>@beardtism @jakpost WNI di Singapore udah lama ada yg kena Corona. Yang belum ada kasus bukan WNI nya, tapi kejadian Corona di Indonesia</t>
  </si>
  <si>
    <t>RT @cnbcindonesia: 3 WNI Positif Corona di Jepang, Ini Pernyataan Lengkap Menlu</t>
  </si>
  <si>
    <t>WNI yg terkena Virus Corona 4 orang ya? 1 di Singapura, 3 di Jepang... Tp kl WNI atau bahkan WNA yg ada di Indonesia Alhamdulillah masih 0..</t>
  </si>
  <si>
    <t>Pak @karniilyas Kamu di gaji berapa untuk jd tukang Kompor di ILC? Ternyata anda WNI murahan Sepertinya seneng melihat Indonesia semakin Panas, Bukannya cari ide judul yg bs mempersatukan anak bangsa anda malah Jd Kompor Gasnya #ILCPanggungProvokator RT @karniilyas: Dear Pencinta ILC: diskusi kita Selasa Pkl 20.00 WIB besok berjudul, "Agama Musuh Besar Pancasila?" Selamat menyaksikan. #ILCBPIP</t>
  </si>
  <si>
    <t>Kenapa Indonesia belum ada kasus virus corona? Menkes: Secara MEDIS (karena) DOA.</t>
  </si>
  <si>
    <t>Tiga WNI Kru Kapal Diamond Princess Positif Virus Corona</t>
  </si>
  <si>
    <t>3 WNI Kru Kapal Diamond Princess Positif Virus Korona #TauCepatTanpaBatas #BeritaTerkini #International #BeritaInternasional .</t>
  </si>
  <si>
    <t>@Takviri @DivHumas_Polri Bener kata pak @basuki_btp, negara KALAH dgn tekanan massa.. Sangat memalukan !! Mau dibawa kemana lagi nasib negara ini, setelah ramai kasus intoleransi &amp; rencana pemulangan ISIS kemarin...?? Cc: @jokowi @fadjroeL @mohmahfudmd @PolhukamRI</t>
  </si>
  <si>
    <t>RT @Metro_TV: Ini tangis bahagia WNI yang lulus bbservasi di Natuna. Selengkapnya simak di metrotvnews/com. #TopNewsMetroTV</t>
  </si>
  <si>
    <t>Bukakke 🤔 #Islam #ISIS #mohamed #ayesha #spermparty #Muslim #Hadith #ExMuslim #Atheism #atheist #Jewish #Christians #Hindu</t>
  </si>
  <si>
    <t>RT @SuburBur: Kita boleh -kritisi soal intoleransi yang terjadi.. -kritisi soal Formula E dan Monas.. -kritisi soal eks ISIS yang sempat mau dipulangkan.. -kritisi soal Omnibus Law.. Tapi kita #JanganLupaKasusHarusMasiku</t>
  </si>
  <si>
    <t>Bagaimana nasib WNI yang tertahan di Wuhan? Selengkapnya di #TopNewsMetroTV berikut ini. Dapatkan informasi terupdate lainnya di</t>
  </si>
  <si>
    <t>Dikuatirkan Jadi Virus Baru, ADVOKAT SOLIHIN HD SH MH Setuju Pemerintah Tolak Kepulangan WNI Eks ISIS  lewat @posberitakota</t>
  </si>
  <si>
    <t>@CNNIndonesia Tidak perlu terkejut dengan berita ini. Lama kelamaan kalau semuanya dibiarkan di kapal pesiar tersebut ya akan terjangkiti jg. Total jumlah WNI yang terpapar virus COVID-19 skrg: 4 orang. 3 dites oleh Jepang, 1 dites oleh Singapura. Belum ada yang dites oleh Indonesia sendiri.</t>
  </si>
  <si>
    <t>Waduh 3 WNI di Jepang positif Corono</t>
  </si>
  <si>
    <t>Ini tangis bahagia WNI yang lulus bbservasi di Natuna. Selengkapnya simak di metrotvnews/com. #TopNewsMetroTV</t>
  </si>
  <si>
    <t>RT @amaliasafitrias: Terima kasih Bpk Presiden, Joko Widodo saya Sangat setuju, mereka pergi2 sendiri, paspor dibakar, nggak mengakui NKRI, ngapain dijemput. Mereka bukan lagi WNI, meskipun pernah lahir dan tinggal di Indonesia #ILCPanggungProvokasi</t>
  </si>
  <si>
    <t>#UsutTerusJiwasraya BKPM Khawatir Kepulangan WNI Eks ISIS Ganggu Investasi #UsutTerusJiwasraya @merdekadotcom 👇</t>
  </si>
  <si>
    <t>Alert! 3 WNI Positif Corona di Kapal Pesiar Diamond Princess</t>
  </si>
  <si>
    <t>Terima kasih Bpk Presiden, Joko Widodo saya Sangat setuju, mereka pergi2 sendiri, paspor dibakar, nggak mengakui NKRI, ngapain dijemput. Mereka bukan lagi WNI, meskipun pernah lahir dan tinggal di Indonesia #ILCPanggungProvokasi</t>
  </si>
  <si>
    <t>RT @vanchange: @na_dirs @jokowi dari pada ngomongin kaum ISIS, akan lebih elok menangani dampak mega proyek pembangunan rel ganda Jkt - Sby lintas Pkl - Smg yg hampir lima thn belum ditangani ya Pak @jokowi ? Cc. @BudiKaryaS @kemenhub151 @perkeretaapian</t>
  </si>
  <si>
    <t>"Ini adalh salah satu bentuk solidaritas dan juga sinergi antara pemerintah pusat dan daerah dalam melakukan upaya perlindungan WNI dan Pekerja Migran Indonesia, khususnya dalam mencegah penyebaran virus Covid-19", katanya. #IniDiplomasi #NegaraMelindungi #IndonesianWay #kjrihkg</t>
  </si>
  <si>
    <t>RT @vanchange: @MetroTVNewsRoom @jokowi apa pentingnya kaum ISIS jikalau dibandingkan dgn penanganan dampak pembangunan mega proyek rel ganda yg sdh berlarut hampir lima tahun Pak @jokowi &amp; Pak @mohmahfudmd ? Cc. @BudiKaryaS @kemenhub151 @perkeretaapian</t>
  </si>
  <si>
    <t>RT @defr4g: Bukan karena orang Indo kebal kan? Alert! 3 WNI Positif Corona di Kapal Pesiar Diamond Princess</t>
  </si>
  <si>
    <t>@Suleimanmnm @fadeelatuuu indeen kodae akwae wni charabu 😢</t>
  </si>
  <si>
    <t>Di dlm negeri aja dah banyak teroris yg blm atau engga ketahuan. Ga usah ditambah lagi ama yg dah jelas2 dia teroris ISIS.. #ILCPanggungProvokasi</t>
  </si>
  <si>
    <t>Bukan karena orang Indo kebal kan? Alert! 3 WNI Positif Corona di Kapal Pesiar Diamond Princess</t>
  </si>
  <si>
    <t>@2024GanjarRisma @AnsorKecRakit Lebih tepatnya eks WNI pro ISIS</t>
  </si>
  <si>
    <t>RT @vanchange: @korantempo dari pada mulangin kaum ISIS eks WNI, mungkin lebih pas jikalau anggarannya diperuntukan menangani dampak pembangunan yg belum ditangani, Cc. @jokowi @BudiKaryaS @perkeretaapian @kemenhub151</t>
  </si>
  <si>
    <t>@Sandalgunung_ WNI tp dah ada nih Sist RT @CNNIndonesia: 3 WNI Kru Kapal Pesiar Jepang Positif Terinfeksi Virus Corona</t>
  </si>
  <si>
    <t>RT @evagustavini: Jangan pernah pulang kan ex kombatan ISIS! Sudah 17 tahun kejadian Bom Bali 1 tp luka itu ga akan pernah sembuh. Doa terbaik untuk Garil sekeluarga dan keluarga korban Bom Bali lainnya 🙏🏻 @jokowi @Kemenag_RI @mohmahfudmd</t>
  </si>
  <si>
    <t>@rullyjoo27 @Ulama_Sangean @AremaNita__ @salima252 @daunsirih5 @Ani97174706 @onsrgst @Jelantik5 @su7loo @SeruniPuspaAlam @dpplif buset tinggal buktiin aja tuduhan saya pro isis aje muter2 trus bro, makanya kalo cangkem mau ngomong dibarengin data pea.. biar ga asal jeplak kaya dukun aje..wkwk</t>
  </si>
  <si>
    <t>Loh bukannya tujuanmu dan kaummu emang mo menghancurkan dunia???? [Kewarganegaraan Dicabut, Pengantin ISIS Inggris: Dunia Saya Hancur]</t>
  </si>
  <si>
    <t>Jangan pernah pulang kan ex kombatan ISIS! Sudah 17 tahun kejadian Bom Bali 1 tp luka itu ga akan pernah sembuh. Doa terbaik untuk Garil sekeluarga dan keluarga korban Bom Bali lainnya 🙏🏻 @jokowi @Kemenag_RI @mohmahfudmd</t>
  </si>
  <si>
    <t>Anggota Komisi 3 ⁦@DPR_RI⁩ RI, ⁦@DidikMukrianto⁩, bicara soal anak2 eks ISIS “Jgn sampai sprt kebijakan yg diambil oleh Trump, ketika banyak pengungsi Meksiko orangtuanya gak boleh masuk tapi anak2nya diambil. Ini bakal menimbulkan persoalan baru terhadap anak2.”</t>
  </si>
  <si>
    <t>@dsblf Ayo mz dimulai bom bunuh dirinya, jgn mw kalah ma isis</t>
  </si>
  <si>
    <t>@KienAnd_ Yang memulai pasti ISIS dan Saudi</t>
  </si>
  <si>
    <t>Kita boleh -kritisi soal intoleransi yang terjadi.. -kritisi soal Formula E dan Monas.. -kritisi soal eks ISIS yang sempat mau dipulangkan.. -kritisi soal Omnibus Law.. Tapi kita #JanganLupaKasusHarusMasiku</t>
  </si>
  <si>
    <t>@hasyimmah @mohmahfudmd Dukung semua muslim yang rahmatan lil alamin bergerak serentak tunjukkan keberpihakan dalam basmi kezaliman spiritual, namun yang terlihat di media sosial, isu ini hanya mendapat pembelaan dari tokoh liberal a.l. @GunRomli ,yang lain tiarap seperti saat ISIS berkuasa. WEDHUS!🐐</t>
  </si>
  <si>
    <t>@WeningAA @Dandhy_Laksono Habis ini hati2...akan ada satgas ngintip. Tugasnya ngintip WNI yg lagi ngeseks....memenuhi norma atau tidak</t>
  </si>
  <si>
    <t>@KeyshaAdinda5 @karniilyas Kalo kagak seperti ini....si bengek mo hidup drmana lagi..lihat saja nanti, narsumnya siapa saja....kalo kafak si roki...pasti ada ayah naen...ada haikal hasan..bahkan ada lieus</t>
  </si>
  <si>
    <t>yang menjadi kru kapal pesiar Diamond Princess. Ketiga WNI menambah kasus positif virus corona di kapal pesiar tersebut. Hingga Selasa (18/2) sebanyak 456 orang di kapal pesiar itu dinyatakan positif mengidap virus corona.</t>
  </si>
  <si>
    <t>Negatif Corona, 78 WNI di Kapal Diamond Princes Enggan Pulang ke Indonesia</t>
  </si>
  <si>
    <t>@thriologi @kokokdirgantoro Mungkin OOT, sy hanya gk ngerti Sekarang memang jamannya pengklaim Ahli Kopi sotoy..yg banyak komentar ttg kopi.over roasted lah biji mentah, kurang ferentasi.....persis spt yg konon dibilang para ahli Wine dj wine testing.....terlalu berlebihan krn hanya ingin dibilang ekspert</t>
  </si>
  <si>
    <t>Ini berita tahun 2015 tentang hasil survei negara² yang mendukung ISIS. Memang GILA, Indonesia mendapatkan ranking terbanyak dengan jumlah pendukung 4% dengan kisaran 10juta pendukung. Makanya gua bilang hati² dengan pendukungnya 😌</t>
  </si>
  <si>
    <t>@kangdede78 @4Y4NKZ @heniunique @kondekturbus_ @Vivittts @V_Stone_Kardol @Candraasmara85 @Najwa_faisa @Hanifah933 @DjanChoek @shinichikudo991 Hidup @karniilyas tdk akn tenang kl pemerintahan pak @jokowi berhasil,dia akn cari semua cara untk menghasut org2 bodoh supaya membenci &amp; kl bisa negara chaos,liat aja tiap acara @ILCtv1 yg ada hanya menyebar kebencian seperti cara #ISIS versi @karniilyas #ILCpanggungprovokasi</t>
  </si>
  <si>
    <t>RT @ianowt: dear diary, #iamnotokaywiththis. feb 26.</t>
  </si>
  <si>
    <t>@AriestaRiico @BiLLRaY2019 @KPI_Pusat @BPIPRI @Kemenag_RI @kemkominfo @Kemendagri_RI Hidup @karniilyas tdk akn tenang kl pemerintahan pak @jokowi berhasil,dia akn cari semua cara untk menghasut org2 bodoh supaya membenci &amp; kl bisa negara chaos,liat aja tiap acara @ILCtv1 yg ada hanya menyebar kebencian seperti cara #ISIS versi @karniilyas #ILCpanggungprovokasi</t>
  </si>
  <si>
    <t>@HomeMarshel @BBCIndonesia saya merasa ada tujuan lain pembuatan film ini, JANGAN TERIMA ISIS KEMBALI KE INDONESIA... Karena itu bisa jadi bahan bakar baru mengesankan Islam Adalah Teroris...</t>
  </si>
  <si>
    <t>RT @Gilang_Mahesa: Beberapa saat lalu saat Kang Emil @ridwankamil post langkah2 persiapan Pemprov Jabar mengahadapi COVID19 , ada WNI yg sdg di Hongkong meminta tolong Kang Emil utk bisa bantu ketersediaan masker Alhamdulillah 10 ribu masker siap dikirimkan besok hari ke Hongkong untuk membantu</t>
  </si>
  <si>
    <t>@BBCIndonesia Bbc mau ngegiring opini biar isis eks wni dipulangkan yach?</t>
  </si>
  <si>
    <t>WNI Di Hongkong Nekat Curi Masker, Dipenjara Sebulan Hingga Denda Puluhan Juta</t>
  </si>
  <si>
    <t>Masa Karantina Berakhir 19 Februari, Pemerintah Pantau 78 Kru WNI Kapal Diamond Princess</t>
  </si>
  <si>
    <t>@WagimanDeep Hidup @karniilyas tdk akn tenang kl pemerintahan pak @jokowi berhasil,dia akn cari semua cara untk menghasut org2 bodoh supaya membenci &amp; kl bisa negara chaos,liat aja tiap acara @ILCtv1 yg ada hanya menyebar kebencian seperti cara #ISIS versi @karniilyas #ILCpanggungprovokasi</t>
  </si>
  <si>
    <t>@ILCtv1 Kontroversi ? Yg dmen ngangkat MASALAH adalah anda...kutu bengek</t>
  </si>
  <si>
    <t>@Takviri @KPI_Pusat @ILCtvone @kemkominfo Hidup @karniilyas tdk akn tenang kl pemerintahan pak @jokowi berhasil,dia akn cari semua cara untk menghasut org2 bodoh supaya membenci &amp; kl bisa negara chaos,liat aja tiap acara @ILCtv1 yg ada hanya menyebar kebencian seperti cara #ISIS versi @karniilyas #ILCpanggungprovokasi</t>
  </si>
  <si>
    <t>RT @Hanifah933: Presiden @Jokowi menegaskn tdk akn memulangkn WN #Indonesia yg prnh menjadi KOMBATAN ISIS karena lebih mengutamakan keselamatan rakyat. Hanya membuka peluang bagi kembalinya anak-anak dan yatim-piatu para kombatan ISIS ... #ISISGoToHell</t>
  </si>
  <si>
    <t>RT @ichigotalks: @cagubnyinyir2 @NGOBUSH3 @BHD_8 @muhamma87797215 @BossToukeeIsa @tandanVradio @Berty69968038 @SitompulYunus tidak ada manfaatnya mengundang parte yg mengaku parte Allah ini, hanya membuat gaduh dan nir manfaat atau unfaedah</t>
  </si>
  <si>
    <t>RT @cagubnyinyir2: GEERRR NGAPAIN?! PAN Berminat Gabung Koalisi Jokowi Asal Diundang Lebih Dulu  @BHD_8 @muhamma87797215 @NGOBUSH3 @BossToukeeIsa @tandanVradio @Berty69968038 @SitompulYunus</t>
  </si>
  <si>
    <t>Apa kata Menkopolhukam @mohmahfudmd soal soal WNI eks ISIS, radikalisme, sampai kasus pelanggaran HAM masa lalu? Ini dia obrolan eksklusif KBR bersama Jurnalis KBR Agus Luqman. #Wawancara #MahfudMD #ISIS #Radikalisme</t>
  </si>
  <si>
    <t>Yang diributin ternyata manusia yg ngaku TOLERAN...dengan ngusung kampret ini jadi Kadrun Lintas Agama</t>
  </si>
  <si>
    <t>Timur tengah ini memang gak pernah tenang, setelah saudi vs yaman, saudi vs iran, irak dan suriah vs isis, saudi vs qatar, turki vs mesir, kurdi vs turki, konflik libya, mesir tegang dengan turki, sekarang turki vs suriah yang berperang satu sama lain.</t>
  </si>
  <si>
    <t>Personil unit Sabhara Polsek TT Barat Melaksanakan Sosialisasi menolak Paham RADIKALISME, TERORISME, ISIS, dan ANTI PANCASILA dan mengajak masyarakat agar lebih mencintai indonesia dalam Bingkai NKRI.</t>
  </si>
  <si>
    <t>Menlu: Observasi 78 WNI di Kapal Diamond Princess Berakhir 19 Februari</t>
  </si>
  <si>
    <t>RT @sweethellena: Kemenkes menyatakan 78 WNI di atas Diamond Princess sehat dan negatif corona (15/02). Tapi sampai kemarin (17/02) kru Indonesia di atas kapal mengaku belum diperiksa kesehatannya.</t>
  </si>
  <si>
    <t>Lalu pada tanggal 16 Maret 2014, sekelompok orang berbaju hitam membawa bendera hitam dan membentangkan spanduk dukungan terhadap ISIS di Bundaran HI. Tak lama acara ini dilanjut dengan orasi dan deklarasi sumpah setia pada Khalifah Abu Bakar Al Baghdadi.</t>
  </si>
  <si>
    <t>Akun twitter a/n Neng Anyar alias @NengAnyar15 kena sumpah serapah dan di bully orang se'Indonesia Raya Gara-gara #RIP Ojok mabok agama mbak.. Ojok fanatik pitcek bhleg Gak apik selagi jadi WNI Agamaku - Agamaku Agamamu - Agamaksa #RIPAshrafSinclair #BCL #bungacitralestari</t>
  </si>
  <si>
    <t>RT @03__nakula: Cegah Corona, Pemprov Jateng kirim ribuan masker untuk warga Indonesia yang berada diluar negeri. Keren banget pak @ganjarpranowo. Terima kasih @PemprovJateng @PemprovJatengID</t>
  </si>
  <si>
    <t>Mahfud: Anggota ISIS Susah Sembuh, Mudah Kumat Salah satu alasan pemerintah menolak kepulangan eks WNI yg telah bergabung dg kelompok ISIS adalah karena meragukan itikad baik mereka untuk tidak melakukan aksi terorisme di dalam negeri. #TolakWNIEksISIS</t>
  </si>
  <si>
    <t>@Hanifah933 @jokowi Pergi bawa perawan pulang bawa janda anak banyak, Selerabudak ISIS.</t>
  </si>
  <si>
    <t>RT @kemenhub151: Menhub @budikaryas mengapresiasi keberanian seluruh kru dan pihak-pihak yang membantu mengemban tugas untuk menjemput pemulangan 238 WNI di Wuhan dengan memberikan penghargaan kepada 18 kru maskapai Batik Air kemarin malam (17/2) di kantor Kementerian Perhubungan.</t>
  </si>
  <si>
    <t>RT @MrsRachelIn: Pemaksaan khendak diawali dari Intolerant' lalu genocide' Kejam &amp; Biadab' tdk ada HAM dlm kamus ISIS. Pindah Agama ' Bayar Uang ato Mati? Itulah "PILIHAN" ISIS pd warga Kristen diMosul Musnahnya Umat Kristen di Timur Tengah</t>
  </si>
  <si>
    <t>Dimesjid ini sekelompok orang berteriak teriak takbir. Sedang ada acara tapi rupanya bukan pengajian, tapi disana sedang ada acara ba'iat atau sumpah setia pada Abu Bakar Al-Baghdadi. Al-Baghdadi mengklaim dirinya adalah khalifah sebuah kekhilafahan terbaru bernama ISIS di Suriah</t>
  </si>
  <si>
    <t>@shevanj12 @subtanyarl enak ko isis, berasa ada kipas anginnya</t>
  </si>
  <si>
    <t>RT @Hanifah933: Tanpa kedua upaya itu, rencana MENGEMBALIKAN KELUARGA Eks Kombatan ISIS HENDAKNYA DILUPAKAN saja ! Semoga bermanfaat 🙏 #TolakEksWNIproISIS #NegeriIntoleran</t>
  </si>
  <si>
    <t>RT @Hanifah933: KEDUANYA SIMPATISAN ISIS yg dideportasi dari Turki ketika akan masuk ke Suriah pada 2017. Anggota Jamaah Ansharud Daulah #Makassar itu SEMPAT MENGIKUTI PROGRAM REHABILITASI sekembali ke Indonesia sebelum menyusup ke Filipina.</t>
  </si>
  <si>
    <t>@4smara1701 Mulai beraksi dia, tiati.. kode keras jubir istana, WNI keturunan bisa jd Presiden, apalagi Wapres..</t>
  </si>
  <si>
    <t>RT @Hanifah933: KECEMASAN PUBLIK bahwa Simpatisan ISIS yg pulang akan kembali MENEBAR TEROR sangat layak dipikirkan. Apalagi tak sedikit TEROR 💣 dilakukan MANTAN KOMBATAN.</t>
  </si>
  <si>
    <t>RT @Hanifah933: Pemerintah Indonesia mesti bersikap ekstra-hati-hati sebelum membuka pintu bagi kembalinya EKS KELUARGA SIMPATISAN Negara Islam Irak dan Suriah (ISIS).</t>
  </si>
  <si>
    <t>Kenapa sih bisa sebanyak itu yang terdoktrin bergabung ISIS? Apakah setokcer itu brainwashing ISIS? Atau sekecolongan itukah pemerintah kita? Ya keduanya adalah faktor kuat kenapa banyak WNI join ISIS. Mari kita flashback ke tahun 2014, ke Mesjid Al Fataa di Menteng</t>
  </si>
  <si>
    <t>zinahnya sambil depat pro kontra balik ex WNI ISIS RT @Nyai131: Ini gua mau tanya, ini mah serius ini yg fetish nya sama org org pinter apa ngewe nya sambil dibisikin rumus matematika dan rumus fisika atau kaya gimana sih? Gua penasaran asli. Please no salty.</t>
  </si>
  <si>
    <t>Ternyata tinggal di negeri thogut kafir laknatullah lebih asyik dibanding dibom Amerika. Menurut kepala BNPT Suhardi Alius, terdapat sekitar 600 WNI yang terkotang katung diberbagai kamp pengungsian di Suriah. Itupun belum pasti, masih perlu ada verifikasi lanjutan. Pertanyaannya</t>
  </si>
  <si>
    <t>RT @ArjunaFreddy: @Setyaku8 @Sorasachi__ @sembilanbumi @AnakKolong___ Knp anda @Setyaku8 tdk brn mengkritik FPI,HTI,ISIS,Felix,Maher,zul,alfian dan pks saat mrk dgn topeng islam menebar fitnah biar tdk dislhkan islamnya🙄🙄</t>
  </si>
  <si>
    <t>@Jokoumb64504158 Yang harus dicek orang yg mempopulerkan Agama Musuh Besar Bangsa, gak perlu takut meng-anal-isis materi sebuah acara.</t>
  </si>
  <si>
    <t>@Setyaku8 @Sorasachi__ @sembilanbumi @AnakKolong___ Knp anda @Setyaku8 tdk brn mengkritik FPI,HTI,ISIS,Felix,Maher,zul,alfian dan pks saat mrk dgn topeng islam menebar fitnah biar tdk dislhkan islamnya🙄🙄</t>
  </si>
  <si>
    <t>Negara kita adalah salah satu negara yang rajin cuci tangan. Contoh kasus dimana pemerintah cuci tangan adlh pada masalah ISIS. Tentu belakangan kamu sering baca soal polemik pemulangan simpatisan/milisi ISIS asal Indonesia. Pemerintah kita menolak membawa pulang para eks teroris</t>
  </si>
  <si>
    <t>Beberapa saat lalu saat Kang Emil @ridwankamil post langkah2 persiapan Pemprov Jabar mengahadapi COVID19 , ada WNI yg sdg di Hongkong meminta tolong Kang Emil utk bisa bantu ketersediaan masker Alhamdulillah 10 ribu masker siap dikirimkan besok hari ke Hongkong untuk membantu</t>
  </si>
  <si>
    <t>Bibit ILHAM dan PEMIKIRAN serta KONSEP ISIS jika datang kembali di tanam di lahan NKRI ... maka semua Rancangan Pembangunan dan Damai Sejahtera di tanah NKRI akan SIRNA.... NKRI bukan tiada di 2030, tapi hancur cerai berai...jika eks ISIS kembali.</t>
  </si>
  <si>
    <t>@Puteriswift_ @_wni_ Degil sangat, nama depan terus keluar hahhhahaha</t>
  </si>
  <si>
    <t>Awak pesawat Batik Air yang menjalankan misi kemanusiaan dengan mengangkut 238 WNI dari Wuhan pada 1 Februari 2020 lalu mendapat sambutan dan apresiasi. Para awak kabin pun memiliki cerita dalam mengemban misi kemanusiaan tersebut. #CNNIDNewsReport</t>
  </si>
  <si>
    <t>kemenhub151 : Menhub budikaryas mengapresiasi keberanian seluruh kru dan pihak-pihak yang membantu mengemban tugas untuk menjemput pemulangan 238 WNI di Wuhan dengan memberikan penghargaan kepada 18 kru maskapai Batik Air kemarin malam (17/2) di kantor K… RT @kemenhub151: Menhub @budikaryas mengapresiasi keberanian seluruh kru dan pihak-pihak yang membantu mengemban tugas untuk menjemput pemulangan 238 WNI di Wuhan dengan memberikan penghargaan kepada 18 kru maskapai Batik Air kemarin malam (17/2) di kantor Kementerian Perhubungan.</t>
  </si>
  <si>
    <t>kemenhub151 : #KawulaModa masih ingatkah dengan misi kemanusiaan penjemputan WNI yang berada di Wuhan pasca merebaknya wabah virus corona? RT @kemenhub151: #KawulaModa masih ingatkah dengan misi kemanusiaan penjemputan WNI yang berada di Wuhan pasca merebaknya wabah virus corona?</t>
  </si>
  <si>
    <t>Nugraha tempuh S3 di Wuhan saat corona merebak</t>
  </si>
  <si>
    <t>WNI Eks ISIS Masuk Ke Indonesia Langsung Ditindak #TegasMenolakEksISIS</t>
  </si>
  <si>
    <t>Pengamat : Tidak Pulangkan WNI Eks ISIS Berdampak Baik #TegasMenolakEksISIS</t>
  </si>
  <si>
    <t>Tujuan teror ISIS/Al-Qaeda bukan agar manusia jadi Islam. Sebab mustahil orang mau masuk Islam dengan selebrasi penggal kepala, rusak tempat ibadah, perbudak minoritas, anti nalar. ISIS ingin kita muak dengan Islam, agama, &amp; kemanusiaan. Tujuan ISIS: agar kita Ateis &amp;amp; anti agama.</t>
  </si>
  <si>
    <t>@ShihabAlwi Bagaimana strain isis berbeda dengan strain2 radikal lainnya pak? Sepertinya orang Islam mesti pintar mengklasigikasikan genre dan strain in islam nih.. biar ga jumud.</t>
  </si>
  <si>
    <t>@ConnorSouthard @isis_ceo utah says no</t>
  </si>
  <si>
    <t>Pemerintah Provinsi Jawa Tengah mengirimkan 41.250 masker untuk Warga Negara Indonesia di Hongkong, Taiwan dan Singapura, guna menanggapi keluhan WNI di sana yang sulit mendapatkan masker untuk melindungi diri dari penyebaran virus Corona.</t>
  </si>
  <si>
    <t>Kemenkes menyatakan 78 WNI di atas Diamond Princess sehat dan negatif corona (15/02). Tapi sampai kemarin (17/02) kru Indonesia di atas kapal mengaku belum diperiksa kesehatannya. RT @abcaustralia_id: 78 warga Indonesia yang bekerja di atas kapal pesiar Diamond Princess masih terus bekerja melayani penumpang. Lebih dari 450 penumpangnya dinyatakan tertular virus corona.</t>
  </si>
  <si>
    <t>RT @ceknricekcom_id: Ketua Umum LPAI mendukung penuh langkah pemerintah yang akan memulangkan anak-anak WNI kombatan ISIS untuk kembali ke Indonesia.</t>
  </si>
  <si>
    <t>Selayaknya, kita ambil kekuatan dan menyatukan mereka yang kemarin tertindas dan terdzolimi, termasuk Habib Rizq dan pengikutnya, Eks ISIS, kelompok ust abu Bakar baasyir dan Para politisi islam yang tersakiti hatinya. Sebelum membesar dan mengamuk ratakaan Nusantara ini.</t>
  </si>
  <si>
    <t>Menhub @budikaryas mengapresiasi keberanian seluruh kru dan pihak-pihak yang membantu mengemban tugas untuk menjemput pemulangan 238 WNI di Wuhan dengan memberikan penghargaan kepada 18 kru maskapai Batik Air kemarin malam (17/2) di kantor Kementerian Perhubungan.</t>
  </si>
  <si>
    <t>RT @IndonesiaDhaka: Dalam pertemuannya dengan Menteri AK Abdul Momen, Dubes Rina menyampaikan permohonan dukungan terkait pemberian bebas visa kunjungan singkat bagi WNI, pencalonan Indonesia di OI, dan proyek investasi Indonesia pada bidang energi di Bangladesh. #IniDiplomasi #RintisKemajuan</t>
  </si>
  <si>
    <t>@BacolTweety @mas__piyuuu Dalam hadits rosul, khilafah ke 2 ini prosesnya sama persis dengan metode rosul Dakwah tanpa kekerasan, pergolakan politik dan pemikiran,tentu beda dengan model ISIS yang merampas sebagian wilayah lalu didirikan sebuah negara. Khilafah adalah negara independen</t>
  </si>
  <si>
    <t>#KawulaModa masih ingatkah dengan misi kemanusiaan penjemputan WNI yang berada di Wuhan pasca merebaknya wabah virus corona?</t>
  </si>
  <si>
    <t>RT @nandamariva_: isis a mbak😭</t>
  </si>
  <si>
    <t>@budiyono97 knp ya ini wong tuwo 'menyalip di tikungan' thd pemerintah saat ini? ada yg tau sebabnya? oposisi kah? sakit hati kah? pendukung isis kah? atau apa...?? 🤔</t>
  </si>
  <si>
    <t>RT @LamanKita_: Rembesan Kombatan ISIS Masuk Indonesia Harus Terus Diwaspadai #TegasMenolakEksISIS</t>
  </si>
  <si>
    <t>RT @LamanKita_: Agus berpandangan, para kombatan ISIS itu sudah bukan lagi WNI. Hal itu terkait aksi membakar paspor yang dilakukan WNI eks ISIS saat bergabung dengan kelompok teroris internasional itu. #TegasMenolakEksISIS</t>
  </si>
  <si>
    <t>RT @LamanKita_: Kabaharkam : Tindak tegas WNI Eks ISIS yang Memaksa Masuk Indonesia #TegasMenolakEksISIS</t>
  </si>
  <si>
    <t>Kemenhub Minta Agen Kapal Siapkan Proses Repartriasi 78 WNI</t>
  </si>
  <si>
    <t>RT @LamanKita_: Khofifah : Warga Jatim Jangan Takut Sama WNI dari Wuhan #WNINatunaSehat</t>
  </si>
  <si>
    <t>Betul eks ISIS berpotensi menaruh ancaman pada kehidupan bangsa #tolakisis</t>
  </si>
  <si>
    <t>@ganjarpranowo @yusuf_dumdum Khusus utk WNI? Virus corona ini seperti bencana tsunami, menyerang ga kenal kewarganegaraan. Ketika di Indonesia ada tsunami, dunia internasional membantu tanpa melihat WNI atau bukan.</t>
  </si>
  <si>
    <t>RT @IndonesiaRAW: Polri Siap Tindak Tegas Kombatan ISIS yang Masuk Indonesia #TegasMenolakEksISIS</t>
  </si>
  <si>
    <t>RT @IndonesiaRAW: Gubernur Jatim Pastikan WNI asal Wuhan Bebas Virus Corona #WNINatunaSehat</t>
  </si>
  <si>
    <t>RT @DEWO76077336: @Parapat_Nixon @KSPgoid @DivHumas_Polri @Kemenkumham_RI @mohmahfudmd Semua WNI sama kedudukan di depan hukum, masa polisi kalah thd tekanan massa ?</t>
  </si>
  <si>
    <t>RT @Puspen_TNI: TNI memberikan yang terbaik dalam pemulangan observasi WNI😎💂 #TNIPeduli #Natuna #Puspen_TNI</t>
  </si>
  <si>
    <t>RT @vionacantika5: Pembakaran paspor yang dilakukan anak-anak ISIS, apakah yakin akan memulangkan ke negara kita? @balqisptr @faridafarichah @EsyEisyah @ThykarYati @mbiir</t>
  </si>
  <si>
    <t>RT @IndonesiaRAW: Khofifah : Warga Jatim Jangan Takut Berinteraksi Dengan WNI dari Wuhan #WNINatunaSehat</t>
  </si>
  <si>
    <t>Khofifah : Warga Jatim Jangan Takut Berinteraksi Dengan WNI dari Wuhan #WNINatunaSehat</t>
  </si>
  <si>
    <t>Cegah Pemulangan ISIS Asal Indonesia, Jokowi Demi Keamanan 260 Juta Warga</t>
  </si>
  <si>
    <t>@LerenSajadah @KochengLucuw @BBCIndonesia berbeda , lihat cara isis menegakkan kilafah ,setelah mereka berkuasa di kantong kantong lawan politik nya berapa banyak yg di bunuh , anda bisa bilang tidak akan tapi siapa yg menjamin pergolakan tidak akan menumpahkan darah</t>
  </si>
  <si>
    <t>@karniilyas Mending bahas kombatan ISIS yg datang ke Indonesia atau Formula E untung apa buntung?. Gk bakalan gue tonton ILC x ini.</t>
  </si>
  <si>
    <t>@dukeofmalang Padahal statusnya kan sama sama WNI, kalo udah masalah rasis suka kesel :(</t>
  </si>
  <si>
    <t>@rilorfm Kami informasikan apabila Bpk Rilo ingin membuka rekening Deposito, berikut ketentuannya: Jenis nasabah yang dapat mengajukan pembukaan rekening Deposito Berjangka adalah: - Perorangan dewasa WNI - Perorangan dewasa WNA - Badan/perusahaan - Joint account (1/3) ^Leo</t>
  </si>
  <si>
    <t>@iiikh4niii @OmNamahShivay__ @RanaAyyub Bhai mere, RSS k khilaaf Pakistan me misconception hai tum logo ko, use dur kar lo, aur thoda fact check kar lena. RSS Hinduo k culture security aur integrity k lie ek organisation hai bass. ISIS jaisi soch b nahi hai unki , karna toh dur ki baat.</t>
  </si>
  <si>
    <t>RT @oak_math_lee_91: @IndonesiaDhaka @BebasVisaID Terima kasih Ibu Rina P. Soemarno telah menyuarakan aspirasi pembebasan visa bagi WNI berpaspor biasa ke Bangladesh. Semoga tanggapannya positif &amp; implementasinya segera terwujud. WN Bangladesh dapat berkunjung ke Indonesia tanpa visa, sudah sewajarnya ada resiprositas. 🙏🏻 🇮🇩 🇧🇩</t>
  </si>
  <si>
    <t>@sudjiwotedjo @purpalart keadilan untuk reynhard sinaga Mahasiswa wuhan di evakuasi. Wni isis yg tertahan di wacanakan untuk dipulangkan, sedangkan rs di hukum di negeri org seumur hidup. Apakah reynhard ketika nyodimi harus bkr paspor, berkelompok n takbir jg agr dpt keadilan?</t>
  </si>
  <si>
    <t>Hilangnya Status Kewarganegaraan WNI Eks Isis, Harus di Putuskan Menkumham</t>
  </si>
  <si>
    <t>@kredivo Alamat Cirebon (pernah pake alamat domisili jakarta) ✔ 18+ ✔ Gaji diatas 3jt ✔ WNI ✔ Masa kerja udah 4th+ ✔ Ga punya masalah di OJK ✔ Apalagi yg kurang min? Selama saya daftar aplikasi gapernah sesusah ini, cuma kredivo doang</t>
  </si>
  <si>
    <t>@IndonesiaDhaka @BebasVisaID Terima kasih Ibu Rina P. Soemarno telah menyuarakan aspirasi pembebasan visa bagi WNI berpaspor biasa ke Bangladesh. Semoga tanggapannya positif &amp; implementasinya segera terwujud. WN Bangladesh dapat berkunjung ke Indonesia tanpa visa, sudah sewajarnya ada resiprositas. 🙏🏻 🇮🇩 🇧🇩</t>
  </si>
  <si>
    <t>RT @liBAIry: Kesempatan bagi WNI untuk bekerja penuh waktu di Jerman, Swiss, dan Austria 🥰 BAI siap membantu anda memenuhi setiap persyaratan agar dapat bekerja disana. Hubungi konsultan kami di 087885523545 (WA Only) untuk mendapat info lebih lanjut 🙂 #Berufsausbildung #AuPair #Loker</t>
  </si>
  <si>
    <t>Menyambut imbauan Presiden Jokowi agar masyarakat Indonesia tidak takut menerima WNI dari Wuhan #WNINatunaSehat</t>
  </si>
  <si>
    <t>Khofifah : Warga Jatim Jangan Takut Sama WNI dari Wuhan #WNINatunaSehat</t>
  </si>
  <si>
    <t>RT @Naoliviea: @mbah_nDoel @elbanan2001 @Profeson6 Sarungan ae isis 😂😂😂 #JKWjawaraNgibul #JKWjawaraNgibul</t>
  </si>
  <si>
    <t>Cegah Corona, Pemprov Jateng kirim ribuan masker untuk warga Indonesia yang berada diluar negeri. Keren banget pak @ganjarpranowo. Terima kasih @PemprovJateng @PemprovJatengID</t>
  </si>
  <si>
    <t>Aturan Tegas bagi WNI Eks ISIS yang Memaksa Masuk Indonesia #TegasMenolakEksISIS</t>
  </si>
  <si>
    <t>@profrotigulung Sepupu sy gabung ke kelompik hijrah, kerjaan ya di tinggalin padahal sdh manager di perusahaan ritel besar...moga2 ga tambah hijrah jd ISIS..😅</t>
  </si>
  <si>
    <t>isis eks wni masuk ke indonesia kabaharkam : ditindak tegas #TegasMenolakEksISIS</t>
  </si>
  <si>
    <t>kabaharkam polri akan tindak wni eks isis yang masuk ke indonesia #TegasMenolakEksISIS</t>
  </si>
  <si>
    <t>RT @rmol_id: Menlu: Karantina 78 WNI Di Kapal Pesiar Jepang Berakhir Besok #VirusCorona #WNITerjangkitCorona #RepublikMerdeka</t>
  </si>
  <si>
    <t>#WNINatunaSehat masyarakat diimbau untuk tidak khawatir jika berinteraksi dengan para WNI tersebut</t>
  </si>
  <si>
    <t>@abdulmalikrhp Dijak motoran ragelem, kan enak isis</t>
  </si>
  <si>
    <t>Gubernur Khofifah Imbau Warga Tak Takut Interaksi dengan WNI dari Wuhan #WNINatunaSehat</t>
  </si>
  <si>
    <t>Kabaharkam : Tindak tegas WNI Eks ISIS yang Memaksa Masuk Indonesia #TegasMenolakEksISIS</t>
  </si>
  <si>
    <t>Agus berpandangan, para kombatan ISIS itu sudah bukan lagi WNI. Hal itu terkait aksi membakar paspor yang dilakukan WNI eks ISIS saat bergabung dengan kelompok teroris internasional itu. #TegasMenolakEksISIS</t>
  </si>
  <si>
    <t>Kepala Badan Pemelihara Keamanan (Kabaharkam) Polri Komisaris Jenderal (Komjen) Polisi Agus Andrianto memastikan akan menindak tegas WNI eks ISIS yang pulang ke Indonesia. #TegasMenolakEksISIS</t>
  </si>
  <si>
    <t>Pemerintah terus meningkatkan kewaspadaan dan antisipasi setelah sebelumnya secara resmi memutuskan tak akan memulangkan WNI eks ISIS. #TegasMenolakEksISIS</t>
  </si>
  <si>
    <t>Rembesan Kombatan ISIS Masuk Indonesia Harus Terus Diwaspadai #TegasMenolakEksISIS</t>
  </si>
  <si>
    <t>polri akan tindak tegas wni eks isis yang memaksa masuk indonesia #TegasMenolakEksISIS</t>
  </si>
  <si>
    <t>RT @young_tanjuang: Jangan2 para Muj4hidin yg ada skrg di D4ulah Islam adlh at thaifah al manshura Setiap saat kalian menggonggong menuduh mrk teroris, ISIS khawarij dan sebutan buruk lainnya Sebaiknya tahan mulut2 kalian dari mencela Kecuali klw kalian prnh bersama dan paham kesesatan mrk</t>
  </si>
  <si>
    <t>@memefess so pada dasarnya hs sama domba itu boleh di isis? astaga gua pengen ketawa tapi takut dibantai.</t>
  </si>
  <si>
    <t>imbau warga tak takut interaksi dengan wni dari wuhan khofifah: mereka sehat #WNINatunaSehat</t>
  </si>
  <si>
    <t>WNI dari Wuhan. China. telah selesai menjalani masa inkubasi di Natuna #WNINatunaSehat</t>
  </si>
  <si>
    <t>Kesempatan bagi WNI untuk bekerja penuh waktu di Jerman, Swiss, dan Austria 🥰 BAI siap membantu anda memenuhi setiap persyaratan agar dapat bekerja disana. Hubungi konsultan kami di 087885523545 (WA Only) untuk mendapat info lebih lanjut 🙂 #Berufsausbildung #AuPair #Loker</t>
  </si>
  <si>
    <t>#TegasMenolakEksISIS keputusan pemerintah menolak kepulangan WNI eks ISIS ialah demi memberikan rasa aman kepada rakyat Indonesia dari ancaman terorisme</t>
  </si>
  <si>
    <t>@TirtoID Nggk lah goblok kalau lu ada otak w lau di ajak ama siapa pun mah nolak kalau tau dia nak jd isis malah lbh baik lapor ke polisi Plisss logic fuck...</t>
  </si>
  <si>
    <t>@ILCtv1 Bukankah ratusan juta rakyat(trmasuk abdi negara) itu ber-Agama? Kasian pancasila slma ni dimusuhi wni, selamatkan pancasila dgn cara ber-ateis dong?</t>
  </si>
  <si>
    <t>@Arina57006521 @jokowi Ih takut kasar sekali persis kek isis pemikirannya wkwk</t>
  </si>
  <si>
    <t>Pemulangan Anak WNI Eks ISIS, DPR Minta Pemerintah Persiapkan Konsep Matang #BeritaTerkini #Berita #News #BeritaNasional</t>
  </si>
  <si>
    <t>Pemerintah Indonesia seharusnya tegas seperti Inggris mencabut hak kewargan setiap rakyat yg ikut berjuang dengan ISIS</t>
  </si>
  <si>
    <t>@MrsRachelIn @LNababan2 ISIS adalah perwujudan iblis dibumi dan disini di agung2kan oleh kaum kadrun</t>
  </si>
  <si>
    <t>WNI di Kapal Diamond Princess Siap Dijemput</t>
  </si>
  <si>
    <t>Virus corona: Ratusan WNI yang dikarantina tinggalkan Natuna, seluruhnya dinyatakan sehat</t>
  </si>
  <si>
    <t>@Naoliviea @elbanan2001 @Profeson6 Sssssssttttttt jangan bilang ISIS ntar ditanggkep si mahmud Hiks . TRETEKDUNGJES... #JKWjawaraNgibul #JKWjawaraNgibul</t>
  </si>
  <si>
    <t>RT @TirtoID: Menag Fachrul Razi tercatat memiliki kinerja buruk selama 100 hari pertama pemerintahan Jokowi-Ma'ruf. Layak diganti?</t>
  </si>
  <si>
    <t>KPAI dinilai biadab karena mereka mendukung Teroris ISIS. Kemungkinan bakal di gerebek @polreskarrawang . #BubarkanKPAI #FUCKYOUISIS #ISISGoToHell</t>
  </si>
  <si>
    <t>Ada yang mau isis ga? RT @ziggystardawn: Anyone?</t>
  </si>
  <si>
    <t>@mbah_nDoel @elbanan2001 @Profeson6 Sarungan ae isis 😂😂😂 #JKWjawaraNgibul #JKWjawaraNgibul</t>
  </si>
  <si>
    <t>RT @idntimes: Ganjar ngaku dikontak WNI di negara tersebut</t>
  </si>
  <si>
    <t>Ganjar ngaku dikontak WNI di negara tersebut</t>
  </si>
  <si>
    <t>RT @TirtoID: Pemerintah menolak pemulangan ratusan warga Indonesia eks ISIS yang terlantar di kamp-kamp pengungsian untuk melindungi 267 juta warga Indonesia di tanah air. Bagaimana menurutmu? Setuju atau tidak?</t>
  </si>
  <si>
    <t>@willona_007 @karniilyas tv kadrun onta Khilafah HTI ISIS hadir si HH buzzer HTI #ILCPanggungProvokasi #ILCPanggungProvokasi #ILCPanggungProvokasi</t>
  </si>
  <si>
    <t>RT @KartelEgo: Berakhirlah sudah drama para pencari donasi atas nama Aleppo tp yg menerima pemberontak ISIS 😀😀😀</t>
  </si>
  <si>
    <t>RT @alif__id: Pulang Setelah Perang: Pro-Kontra Pemulangan Eks-Anggota ISIS</t>
  </si>
  <si>
    <t>Nak, byk yg ngeyel bilang CIA lah yg memfitnah PKI atas G30S, bersama suharto blok barat berusaha menguasai indonesia. terjadilah pembantaian besar2an Nak, juga org yg ngeyel bilang, gak mungkin CIA merekayasa ISIS dan Al qaeda, untuk apa? wkwkwkwk...adaa.. org yg sama🤣</t>
  </si>
  <si>
    <t>Sedikit demi sedikit terungkap</t>
  </si>
  <si>
    <t>RT @ynms79797979: Al-qaida,Isis,TFSA</t>
  </si>
  <si>
    <t>Pemerintah Indonesia mesti bersikap ekstra-hati-hati sebelum membuka pintu bagi kembalinya EKS KELUARGA SIMPATISAN Negara Islam Irak dan Suriah (ISIS).</t>
  </si>
  <si>
    <t>@TirtoID Jangankan anak eks isis, anak FPI aja kagak bisa diapa2in. Coba admin tirtot aja yang turun lapangan, ajarin dong cara deradikalisasi. Kontol.</t>
  </si>
  <si>
    <t>Salah satu penumpang Kapal MS Westerdam positif terkena Virus Corona, yang dimana sebanyak 362 WNI menjadi awak kapal yang kini berlabuh di Kamboja tersebut.</t>
  </si>
  <si>
    <t>Peneliti ICJR Ari Pramuditya merujuk pada Kovensi Hak Anak yang telah diratifikasi Indonesia 1996, pemerintah seharusnya memulangkan seluruh anak-anak dari WNI eks ISIS.</t>
  </si>
  <si>
    <t>RT @kompascom: Meski negara tegas menolak eks kombatan ISIS, namun diminta mempertimbangkan nasib anak-anak yang dianggap jadi korban karena dibawa orangtuanya.</t>
  </si>
  <si>
    <t>Presiden @Jokowi menegaskn tdk akn memulangkn WN #Indonesia yg prnh menjadi KOMBATAN ISIS karena lebih mengutamakan keselamatan rakyat. Hanya membuka peluang bagi kembalinya anak-anak dan yatim-piatu para kombatan ISIS ... #ISISGoToHell</t>
  </si>
  <si>
    <t>Misteri Jumlah Eks-WNI ISIS dan Campur Tangan Erdogan Mengadu Dua Teroris</t>
  </si>
  <si>
    <t>@Namaku_Mei @Aryprasetyo85 @jokowi @nnyzhuxin @makLambeTurah @TheArieAir @APLpangeran1 @Luana_LD @MilitanGL @rinawaki @V_Stone_Kardol @Candraasmara85 @jelataNKRI_ndai @Revandaditya4 @TheKakek @evndari @KemenkesRI @ANDRE_OCTA_ Hanya WNI yang tidak terinfeksi mba</t>
  </si>
  <si>
    <t>Bisa disimak, pandangan mengenai pemulangan WNI eks-ISIS... monggo..</t>
  </si>
  <si>
    <t>@MCAOps Catat, ya. Lalu, koq mantan Presiden ISIS masih tinggal di Indonesia? Aneh.</t>
  </si>
  <si>
    <t>@Heru_Catur @tempodotco loh hak orang loh utk bersuara apalagi depan media,kok lu nyuruh2 diam,sabar om jangan emosi dulu,bentar lg ada job demo lagi kok,minimal buat demo pemerintah biar pulangin saudara seimin ngana di isis sana</t>
  </si>
  <si>
    <t>Selepas pulangkan WNI dari Wuhan pemerintah terus waspadai virus Corona</t>
  </si>
  <si>
    <t>@adiaqa @AnakLolina Arab mana dulu , ISIS itu bukan Islam . mereka Orang gak Beragama.</t>
  </si>
  <si>
    <t>Kisah WNI Klaten Usai Dikarantina di natuna : Ingin Selesaikan Disertasi, Milla Tertahan di Cina BETAPA bahagia hati Hilyatu Millati Rusdiyah (33), bisa berkumpul kembali dengan suaminya Ahmad Syaifuddin Zuhri (35)…</t>
  </si>
  <si>
    <t>@kring_pajak min kalau OP wni pegawai perusahaan luar negeri tp kerja di indo. Di indo lebih dari 183 hari. Apakah harus punya npwp? Atau bs menjadi wajib pajak asing dan dipotong disana?</t>
  </si>
  <si>
    <t>@Aryprasetyo85 @danielgintingm @jokowi @nnyzhuxin @makLambeTurah @TheArieAir @APLpangeran1 @Luana_LD @MilitanGL @rinawaki @V_Stone_Kardol @Candraasmara85 @jelataNKRI_ndai @Revandaditya4 @TheKakek @evndari @KemenkesRI @ANDRE_OCTA_ Nasib 78 WNI nya gimana 🤔</t>
  </si>
  <si>
    <t>Manajemen Batik Air memberikan cuti tambahan kepada krunya yang terlibat menjemput WNI di Wuhan, selama 14 hari.</t>
  </si>
  <si>
    <t>@D_o_d_Ronin @afiatsyamsul tapi bung di facebook saya perhatikan tidak menunjukkan sikap terkait pemulangan isis.</t>
  </si>
  <si>
    <t>@K_505Sho @afiatsyamsul Dia sudah jadi Iblis seperti perkataannya tempo lalu. Terkait pemulangan ISIS, yah kalo dideportasi dari sono yah harus diterima di Indonesia. Kalo masih takut suruh bubarin BNPT.</t>
  </si>
  <si>
    <t>@D__oddhy @afiatsyamsul bagaiana pendapat bung tentang mahpud? dan rencana pemulangan isis?</t>
  </si>
  <si>
    <t>Kepulangan WNI dari Wuhan, China ke kampung halamannya akibat wabah virus corona menjadi rasa lega tersendiri.</t>
  </si>
  <si>
    <t>@BBCIndonesia Sy lebih percaya terorisme=ISIS=aliran sesat=dll adalah proyek intelejen demi menghancurkan Islam secara keseluruhan. Isu ini diulang2,dipertajam,dst. Sedang penjajahan di Palestina,Irak,Suriah, Afgan,Uyghur,dizip bener2 sama media, padahal TERORIAME PENJAJAH TIAP DETIK DISANA!</t>
  </si>
  <si>
    <t>@CommonSense___ @Jitendra8919 @aajtak अब तो Isis Taliban SE jayada dar khan gressi SE लगता है</t>
  </si>
  <si>
    <t>WNI di Kapal Pesiar Negatif Covid-19 Jakarta, 17 Februari 2020 78 warga negara Indonesia (WNI) di kapal pesiar Diamond Princess masih dikarantina di Jepang. Mereka dalam kondisi baik dan tidak tertular Covid-19. Kapal pesiar sekarang sudah diperkenank…</t>
  </si>
  <si>
    <t>Kayak gini masih ada yg pro evakuasi eks ISIS ke Indonesia. Let's be honest, Indonesia belum siap. RT @tunggalp: Kok malah merasa paling menderita saat bertemu korban? 🤬 Rois responds, "I have a child, too. I haven't seen my wife or child for years. I really miss them. I am even worse off than you. You're still with your children. My child doesn't even know me."</t>
  </si>
  <si>
    <t>Masa Karantina WNI di Kapal Diamond Princess Berakhir 19 Februari 2020  via @vibizmediacom</t>
  </si>
  <si>
    <t>Proses Karantina 78 WNI di Kapal Pesiar Diamond Princess Berakhir Besok</t>
  </si>
  <si>
    <t>Hidup itu memilih dan selalu ada konsekuensi di dalamnya... Inggris mencabut kewarganegaraan perempuan ISIS</t>
  </si>
  <si>
    <t>Kak Seto Mau Anak WNI ISIS Dipulangkan Saja 🌐</t>
  </si>
  <si>
    <t>@wahhabicc_jabar "telah kehilangan kekuasaan.. kehilangan khalifah..." Apakah yg dimaksd UAS adalah Abu Bakar AlBaghdadi?? Panglima ISIS yg mati? Kok aku menangkap blio mendukung gerakan tsb yah... CMIW.. 🤔🤔🤔🤔🤔 piye iki bieb?</t>
  </si>
  <si>
    <t>Pulang Setelah Perang: Pro-Kontra Pemulangan Eks-Anggota ISIS</t>
  </si>
  <si>
    <t>@faridwinart @AremaNita__ @salima252 @rullyjoo27 @daunsirih5 @Ani97174706 @onsrgst @Jelantik5 @su7loo @SeruniPuspaAlam Nah... terbuka 1 lagi : ISIS tidak diakui Budaya nusantara tidak diakui Ditanya apakah anda setuju Indonesia akan lebih aman &amp; damai tanpa kadrun? Taraaa, jawabannya melipir ke ulama2. Fixed ANDA KADRUNISTA. Kita tunggu lagi penolakannya... koplak 🤒🤒🤒</t>
  </si>
  <si>
    <t>RT @Dani86113065: @EL_Atheos @BBCIndonesia @jokowi Aleppo sudah kembali damai nih pak. Ayo dhe @jokowi yang Tegas, jangan anggap remeh kaum Intoleransi!! Sebentar lagi virus ISIS bisa menyerang NKRI. Sing Tegas Pak! ojo Mencla mencle!!!</t>
  </si>
  <si>
    <t>@MudasirRomini @AnakLolina Yg suka tereak2 menghujat china &amp; jokowi adalah mrk yg seiman dg arab.... krn uighur yg d tertibkan china adalah uighur yg berafiliasi dg isis yg seiman dg arab... uighur yg aswaja g d apa2in kok... tp informasinya d generalisir spy rakyat ikut2an menghujat jokowi &amp;amp; china...</t>
  </si>
  <si>
    <t>RT @Ulama_Sangean: @rullyjoo27 @faridwinart @AremaNita__ @salima252 @daunsirih5 @Ani97174706 @onsrgst @Jelantik5 @su7loo @SeruniPuspaAlam Haha... ISIS ini budaya impor yg dipuja2 golongan kadrun... disaat orang bilang : 1. Intoleransi - dicap ISLAMOPHOBIA 2. Radikal - dicap ISLAMOPHOBIA 3. Teroris - dicap ISLAMOPHOBIA 4. Budaya Nusantara - dicap ISLAMOPHOBIA Apakah otak orang yg memberi cap itu otaknya mmg sempit?</t>
  </si>
  <si>
    <t>@faridwinart @Ulama_Sangean @AremaNita__ @salima252 @daunsirih5 @Ani97174706 @onsrgst @Jelantik5 @su7loo @SeruniPuspaAlam @dpplif krna lu botol makanya tdk sadar mau di botolin ISIS, pdhl garis perjuanganya sama, memusuhi bangsanya sendiri menggunakan topeng agama,,botol lu ah😂</t>
  </si>
  <si>
    <t>RT @nu_online: Kejahatan ISIS dari Makar, Terorisme, hingga Pelanggaran HAM</t>
  </si>
  <si>
    <t>RT @woelannnn: Mungkin air mata ibu ini blm kering smp detik ini krn anak2nya yg tak berdosa ini meninggal di BOM sm teroris ISIS. Ingat tdk ada jaminan anak2 ISIS itu tdk akan jd teroris ! #TolakAnakISISKembali</t>
  </si>
  <si>
    <t>@Ulama_Sangean @rullyjoo27 @AremaNita__ @salima252 @daunsirih5 @Ani97174706 @onsrgst @Jelantik5 @su7loo @SeruniPuspaAlam Lu yg koplak maksa banget harus akuin ISIS..wkwk. Budaya Nusantara kga ada masalah bro gw mah kan gw cuman ngasih tau silsilah budaya itu yang lu bilang budaya asli mba @salima252 ternyata malah asli india..cem mana si kalo ngomong tuh pakai data..wkwk</t>
  </si>
  <si>
    <t>@Ulama_Sangean @faridwinart @AremaNita__ @salima252 @daunsirih5 @Ani97174706 @onsrgst @Jelantik5 @su7loo @SeruniPuspaAlam kadrun emang gtu,,di kira kita bakalan iba sama tangisan anak isis,,ora sudi😂😂😂</t>
  </si>
  <si>
    <t>@rullyjoo27 @Ulama_Sangean @AremaNita__ @salima252 @daunsirih5 @Ani97174706 @onsrgst @Jelantik5 @su7loo @SeruniPuspaAlam @dpplif Monggo kalo ada yang saya dukung isis tampilkan saja, akun saya ga digembok kok, nama dan foto nya juga asli bukan avatar cemen..</t>
  </si>
  <si>
    <t>@okezonenews *ISLAMIC STATE DI DALAM ISTILAH: ISIS ITU BERARTI NEGARA! HAHAHA PARA ANGGOTANYA TETAP DIAKUI OLEH ISIS! LIHAT KASUS PENUSUKKAN DUAKALI TERJADI DI LONDON, WAKTU BELAKANGAN INI, DAN ISIS MENYATAKAN: BERTANGGUNG JAWAB! INGAT: SETIAP ANGGOTA ISIS DISUMPAH SETIA, SUMPAH: DUNIA IBLIS!</t>
  </si>
  <si>
    <t>@faridwinart @rullyjoo27 @AremaNita__ @salima252 @daunsirih5 @Ani97174706 @onsrgst @Jelantik5 @su7loo @SeruniPuspaAlam Berarti ISIS itu bukan kelompok kalian ya? ISIS kaga diakuin, budaya nusantara kaga diakuin. Lah terus yg anda akuin ini apa? Koplaaak... 🤒</t>
  </si>
  <si>
    <t>Pemerintah mengeluarkan keputusan untuk memulangkan warga negara Indonesia anak simpatisan ISIS yang berusia di bawah 10 tahun dengan ketentuan khusus.</t>
  </si>
  <si>
    <t>Gayus Lumbuun Ungkap Cara Pencabutan Kewarganegaraan Eks WNI ISIS</t>
  </si>
  <si>
    <t>@korantempo Mereka bukan WNI, tp warga negara isis/daesh... mereka sendiri yg merobek dan membuang passport dan ktp... alternatif terbaik adalah mengirim para simpatisan isis d Indonesia ke suriah untuk bergabung dgn org” yg sepemahaman dgn mereka disana.</t>
  </si>
  <si>
    <t>@faridwinart @Ulama_Sangean @AremaNita__ @salima252 @daunsirih5 @Ani97174706 @onsrgst @Jelantik5 @su7loo @SeruniPuspaAlam @dpplif sdh kudugem jawabanya,,pdhl banyak jejak digital yg mnyatakan mndukung isis,,kamu botol😂😂</t>
  </si>
  <si>
    <t>@b4nganto @BNODesk Mungkin immune-nya lebih bagus yah, sepanjang yg sa baca baru 1 WNI yg di Singapura yg kena kan bang?</t>
  </si>
  <si>
    <t>Karantina Selesai, Pemerintah Kini Awasi WNI di Kapal Pesiar</t>
  </si>
  <si>
    <t>Berjasa saat Penjemputan WNI di Wuhan, Menhub Beri Penghargaan Pemko Batam #Kemenhub #Pemko_Batam</t>
  </si>
  <si>
    <t>Sempat Diobservarsi di Natuna, WNI Asal Klaten Dinyatakan Sehat dan Bebas dari Virus Corona</t>
  </si>
  <si>
    <t>@tempodotco Emang wni????</t>
  </si>
  <si>
    <t>RT @RaoItsLena: NEVEKDGDKDBDIXVDB</t>
  </si>
  <si>
    <t>Istana: Hilangnya Kewarganegaraan WNI Eks ISIS Harus Ditetapkan Lewat Putusan Menkumham #TauCepatTanpaBatas #BeritaTerkini #Berita #News #BeritaNasional .</t>
  </si>
  <si>
    <t>@okyonline @BNODesk gak paham gw.. kita liat aja 77 wni yang di kapal pesiar itu, gimana nasibnya. harus di tes bbrp kali, katanya mau di tes lagi itu.</t>
  </si>
  <si>
    <t>@Ulama_Sangean @rullyjoo27 @AremaNita__ @salima252 @daunsirih5 @Ani97174706 @onsrgst @Jelantik5 @su7loo @SeruniPuspaAlam Isis juga islamophobia kali.. mereka juga bunuh muslim.. mana ada orang mau mendirikan negara Islam tapi umat islam nya malah dibunuhin..pea.</t>
  </si>
  <si>
    <t>Terus lu ngarep masyarakat bakal nerima manusia2 yang udah gabung ISIS dengan pikiran dan tangan terbuka?</t>
  </si>
  <si>
    <t>@rullyjoo27 @faridwinart @AremaNita__ @salima252 @daunsirih5 @Ani97174706 @onsrgst @Jelantik5 @su7loo @SeruniPuspaAlam Haha... ISIS ini budaya impor yg dipuja2 golongan kadrun... disaat orang bilang : 1. Intoleransi - dicap ISLAMOPHOBIA 2. Radikal - dicap ISLAMOPHOBIA 3. Teroris - dicap ISLAMOPHOBIA 4. Budaya Nusantara - dicap ISLAMOPHOBIA Apakah otak orang yg memberi cap itu otaknya mmg sempit?</t>
  </si>
  <si>
    <t>RT @jojo_botak: Teroris itu selalu pake propaganda kemanusiaan saat kepepet Maka nya heran sama aktivis yg dukung pemulangan eks wni anggota isis</t>
  </si>
  <si>
    <t>@korantempo *RUSSIA MENGHANCURKAN ISIS! ISIS MENGEMIS MINTA PULANG! HAHAHA CENGENG!</t>
  </si>
  <si>
    <t>RT @lensaRTV: Jokowi dengan tegas menyampaikan bahwa pemerintah Indonesia tidak ada rencana untuk memulangkan WNI eks ISIS. Bagaimana menurut Sahabat Lensa? . . #jokowi #presiden #isis #wnieksisis #eksisis #wni #lensaindonesia #rtv</t>
  </si>
  <si>
    <t>RT @elHurryKoRn: ISIS MINTA PULANG KARNA TKO! Pukul Mundur Pemberontak, Militer Suriah Kuasai Aleppo #TolakWNIEksISIS</t>
  </si>
  <si>
    <t>RT @beritaKBR: Pemerintah memutuskan tidak akan memulangkan ISIS eks WNI, Namun menurut Noor Huda Ismail, Pendiri Yayasan Prasasti Perdamaian, persoalannya tidak sekadar memulangkan mereka atau tidak. Seperti apa penjelasannya? Kami sajikan di #AudiogramKBR #ISIS</t>
  </si>
  <si>
    <t>Observasi Kru dan Penumpang Kapal Diamond Princess Selesai Besok, 78 Orang WNI Selasa, 18 Februari 2020 Kanal Nasional</t>
  </si>
  <si>
    <t>Ini Kisah Pilot Senior Lulusan STPI yang Terbangkan Airbus 330 Angkut WNI dari Wuhan - Berita Trans  lewat @beritatrans @kemenhub151 @djpu151 @TheBatikAir @BatikAirID</t>
  </si>
  <si>
    <t>@tempodotco Setelah berminggu2 isis yg ga jelas Skr ke putra mahkota ... up terus tempo yesss</t>
  </si>
  <si>
    <t>Nak, byk yg ngotot dg analisa bahwa CIA menumbangkan sukarno dg cara fitnah PKI atas G30S. mengakibatkan pembantaian dmn2. Nak, orang yg sama juga menolak teori bahwa CIA lah yg merekayasa ISIS dan Al qaeda untuk menguasai timur tengah. wkwkwkwk... org yg sama🤣</t>
  </si>
  <si>
    <t>Keluarga menyambut WNI yang telah menjalani masa karantina selama 14 hari di Natuna, Kepulauan Riau, di ruang kedatangan gedung VIP Terminal 1 Bandara Internasional Juanda, Surabaya, Jawa Timur. Sebanyak 65 Warga Negara Indonesia (WNI) asal Jatim yang dievakuasi dari Wuhan.</t>
  </si>
  <si>
    <t>@rullyjoo27 @Ulama_Sangean @AremaNita__ @salima252 @daunsirih5 @Ani97174706 @onsrgst @Jelantik5 @su7loo @SeruniPuspaAlam Apa hubungannya HRS dengan ISIS yang buatan Amerika ??? Alhamdulillah kalau ISIS bubar bahkan ditangkepi sekalipun saya bersyukur.. tapi mhon maaf ni apa hubungannya HRS Sama Isis ?? @dpplif</t>
  </si>
  <si>
    <t>Ada beberapa orang Indonesia yg warganegara Kanada sudah positif terinfeksi corona dan di evakuasi ke darat.</t>
  </si>
  <si>
    <t>RT @republikaonline: Belum ada laporan WNI tertular virus corona di kapal Diamond Princess.</t>
  </si>
  <si>
    <t>Skenario Alternatif untuk Bekas ISIS</t>
  </si>
  <si>
    <t>@faridwinart @Ulama_Sangean @AremaNita__ @salima252 @daunsirih5 @Ani97174706 @onsrgst @Jelantik5 @su7loo @SeruniPuspaAlam udh lah gosah bela berlebihan junjunganmu,toh ISIS sdh kalah,,selamat berduka kawan,,😂 jgn bilang kalian tdk ada hubunganya dgn kelompok isis lho ya? kecuali kalian botol😂RT @HadiNasrallah: It is past midnight in the city of Aleppo and the streets are still crowded with celebrating people. For the first time in 8 years Aleppeans won’t have to worry about Jihadist terrorist attacks targeting their neighborhoods, schools and hospitals. Not a word from CNN or BBC.</t>
  </si>
  <si>
    <t>Pemerintah Jajaki Evakuasi WNI di Kapal Pesiar Diamond Princess</t>
  </si>
  <si>
    <t>@ravibansal19 @imcrazybird123 @Asli_Arunima @Mk444451 Hm krte h isis Ka virodh meri puri family krti h r listen abhi holi aa ri h n to pic tweet kr denge dekh lena hmare campus me holi khelne ka arrangement hmi krte h mandir me tika lga k jane ki bat krte ho navratra me knaya khate h r kuch khna h ya bht h duniya dekho phle fir bolo</t>
  </si>
  <si>
    <t>@Ulama_Sangean @AremaNita__ @salima252 @rullyjoo27 @daunsirih5 @Ani97174706 @onsrgst @Jelantik5 @su7loo @SeruniPuspaAlam Lu yang biasakan membaca kasus ariel aja sampe sekarang yg upload blm ketangkep tapi ariel dah dipenjara bro kalau memang terbukti... Apelo apelo. HRS itu WNI bisa dipulangkan secara paksa oleh pemerintah RI kerjasama dengan Saudi..Apelo Apelo.</t>
  </si>
  <si>
    <t>RT @KontanNews: Masa karantina berakhir besok, pemerintah pantau 78 kru WNI di Kapal Diamond Princess  #VirusCorona</t>
  </si>
  <si>
    <t>Dalam pertemuannya dengan Menteri AK Abdul Momen, Dubes Rina menyampaikan permohonan dukungan terkait pemberian bebas visa kunjungan singkat bagi WNI, pencalonan Indonesia di OI, dan proyek investasi Indonesia pada bidang energi di Bangladesh. #IniDiplomasi #RintisKemajuan</t>
  </si>
  <si>
    <t>Masa karantina berakhir besok, pemerintah pantau 78 kru WNI di Kapal Diamond Princess  #VirusCorona</t>
  </si>
  <si>
    <t>RT @tubirfess: 2beer! Semprot-semprot dulu gaes. Only indon yg lakuin ini. Semoga WNI yg baru datang baik2 aja setelah disemprot.</t>
  </si>
  <si>
    <t>@Julie_Luvita Seturut UU Pasal 10 PKPU 22/201, s.s.o yg pernah jadi WNA takbisa &amp; tak boleh nyapres di Indonesia. Apalagi ayahnya milih jadi WNA ktimbang WNI di 1962. Bgitu pula yg pernah mlakukan perbuatan tercela, juga dak bisa. Ngomong nyapres ajasih dak masalah. Ini praturan KPUnya lho ya</t>
  </si>
  <si>
    <t>RT @FerdinandHaean2: @wahhabicc_jabar Dinegeri +62 ada yang sedih ISIS kalah 😂</t>
  </si>
  <si>
    <t>RT @DreamGirlsOnly: Draya</t>
  </si>
  <si>
    <t>RT @himawannk: @Kenzu_KPTB @Jokoumb64504158 xixixi ISIS kalik 🤭</t>
  </si>
  <si>
    <t>@Kenzu_KPTB @Jokoumb64504158 xixixi ISIS kalik 🤭</t>
  </si>
  <si>
    <t>Penanganan Anak Simpatisan ISIS</t>
  </si>
  <si>
    <t>RT @tvOneNews: Salah satu WNI dari Wuhan menceritakan pengalamannya selama observasi selama 14 hari di Natuna. Para WNI dirawat dengan sangat baik dan semua WNI pun dalam keadaan sehat. Dapatkan berita terkini lainnya di tvOne connect. #tvOneNews #KabarPagitvOne #Natuna #WNI #Wuhan</t>
  </si>
  <si>
    <t>Menlu: Karantina 78 WNI Di Kapal Pesiar Jepang Berakhir Besok</t>
  </si>
  <si>
    <t>ISIS MINTA PULANG KARNA TKO! Pukul Mundur Pemberontak, Militer Suriah Kuasai Aleppo #TolakWNIEksISIS RT @CNNIndonesia: Pukul Mundur Pemberontak, Militer Suriah Kuasai Aleppo</t>
  </si>
  <si>
    <t>RT @banjar_sqaz: @elHurryKoRn @TolakBigotRI Paham WAHABi itulah cikal bakal ISIS, mereka merasa paling Islam,ciri2nya : 1.Mereka Percaya ALLAH itu ada di Atas Langit 2.Mereka mengkafirkan kedua Ortu nya Rasulullah SAW 3.Mereka selalu membid'ahkan pelaksanaan ibadah yg menurut mereka tidak ada tuntunannya diQuran dan Hadist</t>
  </si>
  <si>
    <t>@Namaku_Mei Ini contoh kecil gimana kelicikan KADRUN...percaya deh nanti akan diulang lagi...nah orang2x WNI proISIS yg minta pulang juga akan seperti ini juga. Waspaaaaadaaaa....!!!</t>
  </si>
  <si>
    <t>RT @Namaku_Mei: Di sini sudah sangat amat jelas bahwa mereka - Tidak mengakui NKRI - Tidak mengakui Pancasila - Tidak mengakui Presiden &amp; Wapres RI ( siapapun presidennya ) HTI = ISIS kayak gini polisi @DivHumas_Polri TNI @Puspen_TNI masih Diem aja Jangan Pernah Berharap INTOLERANSI hilang</t>
  </si>
  <si>
    <t>Kerna WNI rajin minum jahe kunyit sereh dll 😋😋 RT @republikaonline: Belum ada laporan WNI tertular virus corona di kapal Diamond Princess.</t>
  </si>
  <si>
    <t>RT @republikaonline: Kak Seto menilai anak-anak WNI eks ISIS hanyalah korban dan bukan pelaku.</t>
  </si>
  <si>
    <t>@eko_kuntadhi yg keluar masuk penjara saja kambuh, apalagi yg minta pulang ISIS kalah...</t>
  </si>
  <si>
    <t>@tempodotco Kalao Pemerintah ga mau ulangkan eks ISIS ,sebaiknya Orang Pemerintah Indonesia angkat kaki dr Bumi Milik Tuhan ini, Tuhan tak pernah mlarang siapapun trmasuk pelaku dosa besar untuk menempati dunia manapun, tapi Pemerintah Indonesia berlagak seolah merela penguasa bumi Indonesia</t>
  </si>
  <si>
    <t>Berakhirlah sudah drama para pencari donasi atas nama Aleppo tp yg menerima pemberontak ISIS 😀😀😀 RT @HadiNasrallah: It is past midnight in the city of Aleppo and the streets are still crowded with celebrating people. For the first time in 8 years Aleppeans won’t have to worry about Jihadist terrorist attacks targeting their neighborhoods, schools and hospitals. Not a word from CNN or BBC.</t>
  </si>
  <si>
    <t>@hayolooooooooo Lagi demen banget digantung kaya tahanan isis</t>
  </si>
  <si>
    <t>Wkwkwkwk bebas visa buat WNI nya lagi dicabut gegara corona~ Next year maybe~ atau skalian ke Jepang yakk ?</t>
  </si>
  <si>
    <t>@your2rl ISIS KALO UJAN KEUJAN ENAKKKKKKKKK</t>
  </si>
  <si>
    <t>RT @and1deRis: Woi @KPAI_official #TolakAnakISISKembali Anak-anak di dalam negeri masih banyak korban bulying, yatim piatu, tawuran, nakal dll. Ngapain perhatian sama anak2 ISIS eks WNI. Nih video anak2 dibawah umur yg menjadi kombatan ISIS 👇</t>
  </si>
  <si>
    <t>Kak Seto Dukung Rencana Pemerintah Pulangkan Anak-Anak WNI Eks ISIS</t>
  </si>
  <si>
    <t>Menlu: Karantina 78 WNI Di Kapal Pesiar Jepang Berakhir Besok #VirusCorona #WNITerjangkitCorona #RepublikMerdeka</t>
  </si>
  <si>
    <t>RT @dewakarbinawa: Ap ini yg akn kita hrpkan stlah mrk plg,apa ini yg dibela bg yg membela↓#Waraskah? →Krn ISIS jg pny doktrin taqiyah_jk blik lg ke NKRI akn mjd petaka bg kt semua! Ap yg bs kt hrpkan dr Kpulangan ISIS slain Khncuran NkRI&amp;Drita *Isis tdk ad kata mantan !! #TolakAnakISISKembali</t>
  </si>
  <si>
    <t>Observasi WNI Dari China Sukses, Masyarakat Tak Perlu Cemas -</t>
  </si>
  <si>
    <t>RT @INDYEAH_: @ThePlacardGuy "Muslims peaceful hee hain." JeM - 😂 ISIS - 😂😂 Boko Haram - 😂😂😂 Al-Qaeda - 😂😂😂😂 PFI - 😂😂😂😂😂 Sharjeel Imam - 😂😂😂😂😂😂</t>
  </si>
  <si>
    <t>@ri2atanjung dasar memang si wanita nya juga yg kegatelan...si wanita berasumsi negara khilafah sesuai dgn syariah islam, dapatkan suami ngarab ternyata hanya tipu-tipu dapat selangkangan gretong samalah dengan cara pikir kaum bani kadrunista laknatullah</t>
  </si>
  <si>
    <t>Dan lucunya ada yang teriak oramg ex isis untuk dijemput dan dibawa masuk ke Indonesia. Ga puas lu Jakarta kena bom terus? RT @BBCIndonesia: [Video] Garil dan Sarah, yang orangtuanya menjadi korban Bom Bali 1 dan Bom Kuningan, bertemu dengan pelaku pengeboman. BBC mendapatkan izin dari BNPT dan Ditjen Pemasyarakatan untuk menyaksikan pertemuan ini. Video selengkapnya di YouTube BBC Indonesia, besok, Selasa (18/02).</t>
  </si>
  <si>
    <t>RT @dinkesjateng: Siang ini (17 Februari 2020), dikirimkan bantuan masker Oleh Gubernur Jateng melalui Dinas Kesehatan Provinsi Jawa Tengah yang bekerja sama dgn Disnakertrans Prov Jateng untuk WNI yg berada di Taiwan, Hongkong &amp; Singapura. Semoga bermanfaat untuk Saudara2 kita yang ada disana...</t>
  </si>
  <si>
    <t>RT @tempodotco: Pemerintah harus mempersiapkan langkah-langkah multilateral sebagai opsi untuk memulangkan bekas ISIS.</t>
  </si>
  <si>
    <t>@kapiyonih E kalau wni, ktp aja</t>
  </si>
  <si>
    <t>Pemerintah harus mempersiapkan langkah-langkah multilateral sebagai opsi untuk memulangkan bekas ISIS.</t>
  </si>
  <si>
    <t>@collegemenfess Kebanyakan "perang" yang terjadi di dunia biasanya adalah perang atas nama pembasmian terrorisme (Kelompok2 seperti ISIS, Alqaeda, dll.) Atau perang proxy di timur tengah yang kadang menyangkut interest berbagai negara.</t>
  </si>
  <si>
    <t>Buat yg pada pingin mulangin isis liat nih RT @BBCIndonesia: [Video] Garil dan Sarah, yang orangtuanya menjadi korban Bom Bali 1 dan Bom Kuningan, bertemu dengan pelaku pengeboman. BBC mendapatkan izin dari BNPT dan Ditjen Pemasyarakatan untuk menyaksikan pertemuan ini. Video selengkapnya di YouTube BBC Indonesia, besok, Selasa (18/02).</t>
  </si>
  <si>
    <t>@deniirawan Berarti WNI yg di pulangkan dr natuna blm sepenuhnya aman?</t>
  </si>
  <si>
    <t>@PromildRed @jokowi @Je_Ly @PolhukamRI @BNPTRI @Kemenag_RI @ppmuhammadiyah @kantayu mana tuh para pemuja ISIS kadrunista...belain tuh ISIS yang tau nya wanita hanya sebagai pemuas nafsu jahanam nya</t>
  </si>
  <si>
    <t>Belum ada laporan WNI tertular virus corona di kapal Diamond Princess.</t>
  </si>
  <si>
    <t>RT @agama_nusantara: Sama-Sama WNI, Penghayat Kepercayaan Masih Hidup dalam Diskriminasi di Indonesia |</t>
  </si>
  <si>
    <t>Kejahatan ISIS dari Makar, Terorisme, hingga Pelanggaran HAM</t>
  </si>
  <si>
    <t>Keluarga Bahagia karena WNI Sehat Setelah Diobservasi di Natuna</t>
  </si>
  <si>
    <t>Kembali ke Daerah Asal, Kesehatan 238 WNI dari Natuna Terus Dipantau</t>
  </si>
  <si>
    <t>RT @faizalassegaf: Keresahan kaum minoritas soal hak &amp; kebebasan beragama di negeri dijawab Jokowi. Soal IMB rumah ibadah yg belum direspon, tp terkait pemulangan WNI eks ISIS, Jokowi sdh tegas menolak.</t>
  </si>
  <si>
    <t>#FreeportPunyaDireksiPapua top bgt.syukur sahamnya semua di beli oleh wni asal papua</t>
  </si>
  <si>
    <t>Pemprov Jateng Kirim Bantuan Masker untuk WNI di Hongkong, Taiwan dan Singapura</t>
  </si>
  <si>
    <t>Pulang Setelah Perang: Pro-Kontra Pemulangan Eks-Anggota ISIS - Oleh: Adrian Perkasa via @alif__id</t>
  </si>
  <si>
    <t>kemarin bikin twit nge mention pak @ganjarpranowo tapi ga di respon sama do'i.. Eeh hari ini ada notif pak Ganjar kirim masker buat WNI di luar negeri 🥰.. suwun pak Gubernur ☺️🙏  RT @Musyafaah_94: pak @ganjarpranowo ngga mahu kirim masker buat warganya yang ada di Hongkong gitu pak? 😌</t>
  </si>
  <si>
    <t>Turki yang sebelumnya tegas akan mendeportasi ISIS yang ditahan di negaranya, termasuk yang berasal dari Indonesia, mendadak melunak setelah mengetahui Indonesia menolak pemulangan warganya yang terlibat dalam ISIS. #HLKompasiana</t>
  </si>
  <si>
    <t>@eko_kuntadhi Udah 2 taon nggak tobat2 ternyata...gimana Teroris eks ISIS yakk...gak yakin deh bisa tobat kalo bukan Tuhan sendiri yg bekerja..🤔🤔</t>
  </si>
  <si>
    <t>Sama-Sama WNI, Penghayat Kepercayaan Masih Hidup dalam Diskriminasi di Indonesia |</t>
  </si>
  <si>
    <t>@kumparan Kapan tindakan nyata klompok radikal intoleran cikal bakal isis, di binasakan dari bumi pancasila, itu yg sangat di tunggu2 oleh masyarakat..bagaimana cara nya tidak masalah .yg penting mereka binasa.</t>
  </si>
  <si>
    <t>@detikcom @kemkominfo @merdekadotcom Situs berita Orient News pada Jum’at (08/08) juga menegaskan bahwa berita Hillary Clinton yang mengklaim bahwa ISIS adalah buatan Amerika adalah laporan palsu. Situs Orient News Juga Bantah Klaim ISIS Buatan Barat</t>
  </si>
  <si>
    <t>@AnakKolong___ @felixsiauw @ArieKuntung @sahouraxo Ada yg punya akun Twitter Basar As'ad.... Tolong bilangin ke presiden Syiria kalo ISIS eks WNI yg tidak punya paspor di hukum mati saja...</t>
  </si>
  <si>
    <t>@ZIzreel @ThoriqAndalusia @Dennysiregar7 Maksudnya si Denny itu kan bukan muslim alias Syiah tapi sok tahu tentang ajaran Islam jadi wajar orang Islam merasa terusik. Dia bahkan gak bisa bedain Wahabi mana, Khawarij mana, Sufi mana dll, apalagi dia sotoy tentang ISIS yang jelas2 buatan kafirun Barat n Israel.</t>
  </si>
  <si>
    <t>RT @msaid_didu: Diskusi ttg kondisi bangsa dg profesional muda WNI yg bekerja di Sydney dlm klpk pengajian Cahaya Islam. Mereka selalu memikirkan kemajuan negeri dan keluarganya dg landasan agama yg kuat. Tidak sibuk mengejar kekuasaan</t>
  </si>
  <si>
    <t>RT @triana1003: @BadmintonTalk Ayo min bahas tentang profil semua coach. Jadi berita simpang siur dan tidak benar bisa terbantahkan. Kasian kan malah dibilang warga negara lain padahal jelas jelas wni 😅</t>
  </si>
  <si>
    <t>@OmGadunz @tempodotco lah yang ngomongkan yusril ihza mahendra, ahok baru jadi wni tahun 80an. gak usah goblok2 in orang kalo kurang data.</t>
  </si>
  <si>
    <t>RT @TanDjiedin: Wabup Natuna tolak karantina WNI dari china, khawatir virus corona menyebar di wilayahnya. Sbg warga Kepri saya sarankan mrk dikarantina di istana kepresidenan saja, lbh gampang dikontrol, pakde selfinya juga enak ga jauh² ke Natuna.😊</t>
  </si>
  <si>
    <t>@EL_Atheos @BBCIndonesia @jokowi Aleppo sudah kembali damai nih pak. Ayo dhe @jokowi yang Tegas, jangan anggap remeh kaum Intoleransi!! Sebentar lagi virus ISIS bisa menyerang NKRI. Sing Tegas Pak! ojo Mencla mencle!!!</t>
  </si>
  <si>
    <t>#IndonesiaSehatPagi Menkes Terawan Siap Jemput 87 WNI yang Dikarantina Jepang</t>
  </si>
  <si>
    <t>@eMbahNyutz @Dian_Supolo @CCICPolri @iingwen @MOFA_Taiwan Mbo ya mentionin dese utk masalah kelangkaan masker ini, aku mau misuhin dia, males krn aku WNI.</t>
  </si>
  <si>
    <t>@detikcom @kemkominfo Benarkah ISIS ciptaan Amerika?  via @merdekadotcom</t>
  </si>
  <si>
    <t>@MichelAdamXM @elan_ghusma rrc mau tumbang, terpaksa nagih utang ke ri. ri gak bisa bayar. tka rrc bakal makin banyak menyerbu ri. segala cara digunakan utk menyelamatkan rakyat rrc. wni semakin dikorbankan, ditekan &amp; hidup susah.</t>
  </si>
  <si>
    <t>Jangan Biarkan Kombatan ISIS Eks WNI Jadikan Indonesia sebagai Basis Barunya!  #ISIS #Densus88 #Bnpt</t>
  </si>
  <si>
    <t>Isis fada da TV</t>
  </si>
  <si>
    <t>RT @syakirasyakir: Jangan Biarkan Kombatan ISIS Eks WNI Jadikan Indonesia sebagai Basis Barunya!  #Iraq #Iran #Syria #American #Malaysia #malaysiagazette #makassarBO</t>
  </si>
  <si>
    <t>Sejak 15 Februari 2020, 238 WNI yang dievakuasi dari Wuhan, Tiongkok sudah kembali ke rumah masing-masing. Hadir bersama CNN Indonesia mahasiswi pertukaran pelajar di Wuhan University of Technology dari Universitas Mercu Buana Jakarta #CNNIDGoodMorning</t>
  </si>
  <si>
    <t>@detikcom [HOAKS] ISIS Buatan Amerika dan Israel untuk Fitnah Islam  via @kemkominfo</t>
  </si>
  <si>
    <t>#Repost @djplkemenhub151 JELANG AKHIR MASA KARANTINA DI JEPANG, KEMENHUB IMBAU AGEN AWAK KAPAL SIAPKAN PROSES REPATRIASI 78 WNI DI KAPAL DIAMOND PRINCESS - #DJPLKerjaDenganHati #DJPLKemenhub #Kemenhub #PenghubungIndonesia #SMRTHublaPastinya</t>
  </si>
  <si>
    <t>tolak ISIS, karena mereka bikin resah.. selalu mengatasnamakan agama untuk ambisi..</t>
  </si>
  <si>
    <t>RT @BgawanKusuma: @MrsRachelIn Pemikiran ISIS gk beda dg kadrun</t>
  </si>
  <si>
    <t>RT @SINDOnews: RI jajaki evakuasi WNI di Kapal Pesiar. virus Corona hingga kini masih terus menjadi hantu bagi kesehatan manusia #KoranSindo</t>
  </si>
  <si>
    <t>JELANG AKHIR MASA KARANTINA DI JEPANG, KEMENHUB IMBAU AGEN AWAK KAPAL SIAPKAN PROSES REPATRIASI 78 WNI DI KAPAL DIAMOND PRINCESS - #DJPLKerjaDenganHati #DJPLKemenhub #Kemenhub #PenghubungIndonesia #SMRTHublaPastinya</t>
  </si>
  <si>
    <t>RT @KBRITokyo: 5. KBRI Tokyo menghimbau kepada WNI yg berada di Jepang dan akan berkunjung ke Jepang untuk menjaga kesehatan. WNI yang berada di area publik agar lakukan langkah pencegahan penyakit menular. Utk kondisi darurat, hub. Hotline KBRI 080-9644-7018, atau Email: consular@kbritokyo.jp</t>
  </si>
  <si>
    <t>RT @FPI_SAYAP_KIRI: FPI SAYAP KIRI Siyap berkomplikasi dengan MENAG dalam meñderikalisasi wni combatan isis.. Yg menolak mereka itu pasti ebong yg tidak berani bersaing dlm dunia usaha kuliner..</t>
  </si>
  <si>
    <t>RT @PijakID: Simak tulisan kawan kita @agri_satrio tentang pengalamannya sebagai WNI pengendara motor yang ditilang pak polisi  #Transportation #tilang #polisi #klaten #solo #jogja</t>
  </si>
  <si>
    <t>@ArielFatR @Dedien5 @ustadtengkuzul Isis itu apa ?</t>
  </si>
  <si>
    <t>238 WNI di Natuna dipastikan sehat dan siap kembali ke keluarga</t>
  </si>
  <si>
    <t>RT @the_geotimes: Sudah dipastikan, pemerintahan Presiden Joko Widodo tidak akan bertanggung jawab dalam mengurus nasib mereka. Persoalan mendasar ialah ketakutan negara jika kedatangan eks ISIS</t>
  </si>
  <si>
    <t>@CNNIndonesia Ya jelas Amerika menerima kepulangan isis orang isis itu hasil buatan mereka buat meng uji coba senjatanya</t>
  </si>
  <si>
    <t>238 WNI di Natuna Dipastikan Sehat dan Siap Kembali ke Keluarga</t>
  </si>
  <si>
    <t>@TirtoID @agama_nusantara EX ISIS NOH DIREHABILITASI GILIRAN EX ISIS LU DUKUNG MASUK INDO GILIRAN LGBT LU RIBET MULU URUS AJA HIDUP DAN OTAK SELANGKANGAN LU ITU WAHAI KADRUN</t>
  </si>
  <si>
    <t>ISIS adalah oraganisasi radikal, jangan mudah terpengaruh dan mari bersama-sama kita perangi demi Keutuhan NKRI... #saveNKRI</t>
  </si>
  <si>
    <t>RT @tempodotco: Karantina Selesai, Pemerintah Kini Awasi WNI di Kapal Pesiar</t>
  </si>
  <si>
    <t>@YUUU_0910 Shaykh Hassan al-Yabani (real name: Hassan Ko Nakata – a former diplomat in KSA and Ozaki’s mentor), Abu Khalid al-Bengali (real name: Siful Haque Sujan – architect of ISIS’ cyber warfare operations), and Abu Saad (real name:</t>
  </si>
  <si>
    <t>RT @TukangMu: @Apriil68 @ISIS_Balik_NO Ini baru Ustadz bro</t>
  </si>
  <si>
    <t>@CNNIndonesia Sudah tau isis ya ditolak</t>
  </si>
  <si>
    <t>Evakuasi WNI di Wuhan, Awak Kabin Batik Air Dapat Penghargaan</t>
  </si>
  <si>
    <t>RT @AlberaD5: @KPAI_official daripada ngurus anak2 isis, mending urus pada bajingan cilik ini aja.</t>
  </si>
  <si>
    <t>@WahabisLokal Min @CNNIndonesia mana narasi yg benar WNI eks ISIS atau eks WNI di ISIS? Menggiring opini seolah2 mereka WNI?</t>
  </si>
  <si>
    <t>Ternyata dua tahun tidak cukup waktu makan gratis di Prodeo. Alpian Tanjung Provokator. Bagai mana dgn rencana Negara ingin mengembalikan eks WNI ISIS..?? Yang ada di NKRI tdk berjalan redikalisasinya, bagai mana memelihara anak harimau ISIS...</t>
  </si>
  <si>
    <t>@haikal_hassan Aneh juga... duluhnya mendukung ISIS sebagai Khilafa moderen... ko sekarang membencinya... setan apa uang merasukimu...</t>
  </si>
  <si>
    <t>Penumpang Kapal Pesiar MV Westerdam Terindikasi Corona, 362 WNI Sehat | #news #viral &gt;&amp;gt;&amp;gt; Click</t>
  </si>
  <si>
    <t>RT @WahabisLokal: Fik Yak......! Pemerintah tidak ada rencana pemulangan Kombatan ISIS. Itu pengalihan Isu!!! Note: Wan Abud kesayangan JK. Skrg lagi obrak-abrik Jakarta. Menag orang JK. Skrg lagi lempar isu aneh2. Ada korelasi nggak menuruk kalian? #CegahISISmasukNKRI</t>
  </si>
  <si>
    <t>@Airlangga_yuda @CANDAdanBISNIS Ex WNI ISIS membunuh banyak orang untuk selamatkan diri sendiri 😂😂😂</t>
  </si>
  <si>
    <t>@_wni_ @dheathebear Sedih siot :’)</t>
  </si>
  <si>
    <t>@truk_ce @Gustoro14 @dalamarzan @CintaNKRI08 @jokowi Endingnya isis exWNI tidak dipulangkan...puass.</t>
  </si>
  <si>
    <t>@pricvasi @awkatip Emang isis dia</t>
  </si>
  <si>
    <t>@narkosun @chandra_6813 Ngerubah org ngablu ky gini aja ga bisa, aplg mo ubah yg udah magang di medan perang ky ISIS ex-WNI</t>
  </si>
  <si>
    <t>Sebanyak 78 WNI terjebak di kapal pesiar Diamond Princess. Saat ini kapal tersebut sedang dikarantina di Pelabuhan Yokohama, Jepang.. Mudah2an semuanya sehat dan bisa berkumpul kembali dengan keluarga di tanah air..</t>
  </si>
  <si>
    <t>Teroris itu selalu pake propaganda kemanusiaan saat kepepet Maka nya heran sama aktivis yg dukung pemulangan eks wni anggota isis RT @tunggalp: Kok malah merasa paling menderita saat bertemu korban? 🤬 Rois responds, "I have a child, too. I haven't seen my wife or child for years. I really miss them. I am even worse off than you. You're still with your children. My child doesn't even know me."</t>
  </si>
  <si>
    <t>#InfoTerkini di #SemangatPagi ada: -Ashraf Sinclair, Suami Bunga Citra Lestari Meninggal Dunia -Kemenkes Klaim Semua WNI Karantina Corona Diterima Warga -Banjir di Dayeuh Kolot, Bandung dengerin selengkapnya abis ini!  #sempag</t>
  </si>
  <si>
    <t>@WagimanDeep Luar biasa, Kasih syg yg ckp Aneh, baru kali ini ada org Nuduh org lain mncuri tanpa bukti &amp; diapun tunjukkan belas kasih dgn MENAMPAR org yg dituduh mncuri itu, jadi ingat KEKASARAN wanita2 ISIS, beda Jauh dgn Sultan Hadiwijaya Raja Pajang belio kasih uang &amp;amp; baju para pncurinya</t>
  </si>
  <si>
    <t>Sst, kombatan isis tak akan mengakui, juga simpatisan-nya yg ingin mereka balik ke tanah air.</t>
  </si>
  <si>
    <t>Pulangkan Eks-ISIS  @IBTimesID #ISIS #WNI</t>
  </si>
  <si>
    <t>Kemlu Kirim Masker untuk WNI di Hong Kong dan Taiwan.</t>
  </si>
  <si>
    <t>@Totokalhaqq3 @permadiaktivis @VIVAcoid @felixsiauw Mukjijat Wudhu tak bisa nembus muka si felix....hatinya BUZUK soale</t>
  </si>
  <si>
    <t>PR yg bagus buat BNPT. Pertanyaannya apakah hal ini mau juga dilakukan kepada ex ISIS?? Saya kira ini hal yg berbeda karena sudah berbeda pula generasi terorisnya. Dan perlu diingat ISIS dan Alqaeda sering tidak sepaham. Terjadi di Syria ,sering terjadi clash IS vs Al Nusra RT @BBCIndonesia: Saat usia 10 tahun, Garil Arnandha melihat jenazah ayahnya jadi korban Bom Bali 1. Apa yang ia tanyakan kepada pelaku pengeboman Ali Imron? Inilah bagian pertama laporan khusus BBC Crossing Divides, Melintasi Perbedaan.</t>
  </si>
  <si>
    <t>@null Ketika BKPM Khawatir WNI Eks ISIS Ganggu Iklim Investasi Kepala Badan Koordinasi</t>
  </si>
  <si>
    <t>RT @muannas_alaidid: Hari ini sy resmi laporkan AT Ke Bareskrim Polri dg 2 laporan terkait dugaan pidana menyebarkan berita bohong &amp; kebencian serta penghinaan thd kekuasaan, takada pilihan selain menyerahkan ke proses hukum, krn masalah terbesar kt hr ini mimbar msh dikobarkan untuk memecah belah.</t>
  </si>
  <si>
    <t>Cukong2 di Riau Kepulauan sudah lebih dulu ekspor. Entah modal sini atau modal asing pake nyamar WNI. Ekspor budidaya ikan hidup2 LRFFT itu dibawa pake "kapal tangki ikan". Kapal tangki asing itu bukan hi-tech. Datang Susi, bilang bikinlah &amp; pake kapal sendiri. Cukong2 protes... RT @Datuakpanduko2: Cina maling ikan ke indonesia.. Trus indonesia impor ikan dari cina 🤣🤣 Bandingkan dg Sumbar . Jadinya bingung . Indonesia tu provinsi nya cina atau apa ? Ikan Kerapu di Sumbar Diekspor ke Hongkong dan Singapura</t>
  </si>
  <si>
    <t>@Datuakpanduko2 @GiskaHanima Cukong2 di Riau Kepulauan sudah lebih dulu ekspor. Entah modal sini atau modal asing pake nyamar WNI. Ekspor budidaya ikan hidup2 LRFFT itu dibawa pake "kapal tangki ikan". Kapal tangki asing itu bukan hi-tech. Datang Susi, bilang bikinlah &amp; pake kapal sendiri. Cukong2 protes...</t>
  </si>
  <si>
    <t>isis pfta</t>
  </si>
  <si>
    <t>@TheArieAir Buat gw... HTI, ISIS, PKI dkk... apapun namanya kl gampang bunuh org krn beda pandangan ya sama aja.</t>
  </si>
  <si>
    <t>Menteri Kesehatan PAKAI MASKER saat Evakuasi WNI dari China. "Masker itu utk Orang Sakit", kata beliau baru2 ini... #coronaviruschina</t>
  </si>
  <si>
    <t>100 Hari Idham Aziz, Dukung Visi Jokowi, Polri Tangkap Teroris Eks-ISIS Bongkar Mafia Minyak -  #pewartasatu #isis #teroris</t>
  </si>
  <si>
    <t>@Kunto_Drummer Mas, our brother yg satu ini @PardedeTamim apa betul kena hack? Kenapa twitnya akhir2 ini malah memusuhi UAS &amp; seolah2 pro ISIS? apakah layak di unfol juga?</t>
  </si>
  <si>
    <t>Mengapa WNI kebal virus Corona ? Terbukti selama 5 tahun hampir tiap hari tiap jam diserang hama KAMPRET dan tetep tangguh. Dalam tubuh WNI sudah ada antivirus yang kuat, yaitu COROWI . . . 👍</t>
  </si>
  <si>
    <t>Kami berikan yang terbaik untuk pemulangan observasi WNI . #tni #tniuntukrakyat #wni</t>
  </si>
  <si>
    <t>Kadinkes : Dua WNI Asal Depok dinyatakan Sehat</t>
  </si>
  <si>
    <t>RT @Daisyyy_112: @Hansoljang7 Bener banget, para WNI yg baru aj dievakuasi dari Wuhan ditolak habis"an sama warga Natuna, seolah yakin mereka" ini positif pembawa virus. Hmm... Ini pr sih buat semua: pemerintah pusat, daerah utk sosialisasikan ke masyarakat gmn.. jadi meminimalisir stigma &amp; prasangka negatif</t>
  </si>
  <si>
    <t>RI jajaki evakuasi WNI di kapal pesiar. Baca selengkapnya di #KoranSINDO hari ini.</t>
  </si>
  <si>
    <t>@doelkemplang @FaGtng @rintomaulana191 @rienkusayang @snjayajonggrang @Dickusnadi @LiaIsti1 @WR_4AG226 @YRadianto @permadiaktivis @hokialways40 @anto_winarno @Natalieanggi112 @OdangKasidi Ya Allah aq memohon kpdmu.. Segera angkat penyakitnya.. Sembuhkanlah.. Terutama "penyakit hati" yg tak jarang menimbulkan ke gaduhan WNI dalam merawat NKRI menjadi rumah besar yg damai dn maju..</t>
  </si>
  <si>
    <t>berita ini tiba2 muncul, ada hubungannya dengan mau dipulangkan eks isis kah? mau digenjot lagi jualan terorisnya? 🙄🔨 RT @BBCIndonesia: [Video] Garil dan Sarah, yang orangtuanya menjadi korban Bom Bali 1 dan Bom Kuningan, bertemu dengan pelaku pengeboman. BBC mendapatkan izin dari BNPT dan Ditjen Pemasyarakatan untuk menyaksikan pertemuan ini. Video selengkapnya di YouTube BBC Indonesia, besok, Selasa (18/02).</t>
  </si>
  <si>
    <t>Pemprov Jateng Kirim Masker Untuk WNI di 3 Negara</t>
  </si>
  <si>
    <t>Tangkal 109 WNA, Wiranto Sarankan Evakuasi 78 WNI Bebas Corona di Kapal Jepang</t>
  </si>
  <si>
    <t>@danythesenju @infomalang @dishub_mlgkota @sutiaji1964 @PemkotMalang Emang HTI khilafah siapa? ISIS? ehhh tapi masih yakin Pancasila, dan UUD Negara RI Th 1945 sebagai Dasar Negara Indonesia dan hukum tertinggi Negara kan?</t>
  </si>
  <si>
    <t>Jateng Kirim 41.250 Masker untuk WNI di Tiga Negara -  #AsatuSekarang #JatengGayeng</t>
  </si>
  <si>
    <t>@null Pemulangan Anak WNI Eks ISIS, DPR Minta Pemerintah Persiapkan Konsep Matang Seti</t>
  </si>
  <si>
    <t>@Takviri Malah hancur 10 thn lagi seperti yg dibilang Prabowo.... Jd sprt suriah, dijadikan sarang isis kemudian dihancurkan rata dengan tanah.... Mungkin saja, krn sprt itu yg kadrun mau....</t>
  </si>
  <si>
    <t>tapi dipost di sosmed? itu konten. ditutupin ato gak identitasnya. coba liat KKN desa penari, udah disamarkan aja ketemu kan desanya. terus pernah denger ga, tentang markas ISIS yang ditemuin oleh orang² di internet menggunakan hanya satu foto yang diunggah suatu badan</t>
  </si>
  <si>
    <t>Pemulangan Anak WNI Eks ISIS, DPR Minta Pemerintah Persiapkan Konsep Matang #TauCepatTanpaBatas #BeritaTerkini #Berita #News #BeritaNasional .</t>
  </si>
  <si>
    <t>RT @tempodotco: Manajemen Batik Air memberikan cuti tambahan kepada krunya yang turut terlibat dalam penerbangan penjemputan WNI di Wuhan, Cina, pada 2 Februari lalu.</t>
  </si>
  <si>
    <t>Manajemen Batik Air memberikan cuti tambahan kepada krunya yang turut terlibat dalam penerbangan penjemputan WNI di Wuhan, Cina, pada 2 Februari lalu.</t>
  </si>
  <si>
    <t>RT @JanganMerusak: Kadal gurun itu : 1. Sok ngarab padahal WNI 2. Sok suci padahal hancur (ga ada manusia yg suci). 3. Sok pintar padahal sejatinya terbalik 4. Sok dan suka menghina 5. Sok dan sombong 7. Sok paling tau agama 8. Sok jagoan 9. Sok dan songong 10. Tidak punya malu 11. DLL Met pagi😊</t>
  </si>
  <si>
    <t>@WR_4AG226 @Lucky_HS Yg menentang itu antek antek isis atau gak pki ya???</t>
  </si>
  <si>
    <t>Kadal gurun itu : 1. Sok ngarab padahal WNI 2. Sok suci padahal hancur (ga ada manusia yg suci). 3. Sok pintar padahal sejatinya terbalik 4. Sok dan suka menghina 5. Sok dan sombong 7. Sok paling tau agama 8. Sok jagoan 9. Sok dan songong 10. Tidak punya malu 11. DLL Met pagi😊</t>
  </si>
  <si>
    <t>@aluzliga @amandaramalhos Diana isis</t>
  </si>
  <si>
    <t>@MrsRachelIn Pemikiran ISIS gk beda dg kadrun</t>
  </si>
  <si>
    <t>#SelamatPagiJogja | Tribun Jogja : Terawan Tunggu Hasil Pemeriksaan. Sebanyak 78 WNI Dikarantina di Kapal Pesiar Jepang Terkait Corona.</t>
  </si>
  <si>
    <t>anak dan wanita ISIS sama bahayanya utk indonesia. @mohmahfudmd @jokowi RT @kompascom: Meski negara tegas menolak eks kombatan ISIS, namun diminta mempertimbangkan nasib anak-anak yang dianggap jadi korban karena dibawa orangtuanya.</t>
  </si>
  <si>
    <t>RT @tokopedia: Udah ngucapin ulang tahun buat j-hope belum nih? Bisa pakai kartu ucapan ini lho! 💜💚 Yuk, tulis ucapan kamu dan share dengan gunakan hashtag #Tokopediaxhbdjhope #TokopediaxBTS #JhopeBirthday</t>
  </si>
  <si>
    <t>Mungkin perlu penawaran solusi khilafah model HTI atau ISIS... gmn ko singkek @felixsiauw khilafah kah buat macetnya Malang. RT @danythesenju: Butuh solusi nich @infomalang @dishub_mlgkota @sutiaji1964 @PemkotMalang</t>
  </si>
  <si>
    <t>WNI dari Natuna kembali Beraktivitas</t>
  </si>
  <si>
    <t>@tubagussalim @ISIS_Balik_NO Semua milik Alloh...</t>
  </si>
  <si>
    <t>@elHurryKoRn @TolakBigotRI Paham WAHABi itulah cikal bakal ISIS, mereka merasa paling Islam,ciri2nya : 1.Mereka Percaya ALLAH itu ada di Atas Langit 2.Mereka mengkafirkan kedua Ortu nya Rasulullah SAW 3.Mereka selalu membid'ahkan pelaksanaan ibadah yg menurut mereka tidak ada tuntunannya diQuran dan Hadist</t>
  </si>
  <si>
    <t>Meski negara tegas menolak eks kombatan ISIS, namun diminta mempertimbangkan nasib anak-anak yang dianggap jadi korban karena dibawa orangtuanya.</t>
  </si>
  <si>
    <t>#NewsRoom Kementrian Kesehatan menyatakan tidak ada penolakan atas kepulangan ratusan WNI setelah dikarantina di Natuna Source CNNIndonesiaCom #GMHR with @wulwulan @MelyMunial</t>
  </si>
  <si>
    <t>@CyprianMusiba4 @MankindUwezo Yaan musiba hii Tanzania haiwez endelea kwa kuwa na watanzania vilaza kama hawa Wa Twitter hahaa yaan hawajiwezi kabsaa me nilienda Filipino US iliktaka ipeleke ISIS adi uko yaan wanataka wacontrol dunia nzimaa</t>
  </si>
  <si>
    <t>@hera0498 @siapacobahihi @cilorconnoistre Dan yang lebih miris bagaimana mereka membantai Umm Qirfa seorang wanita tua dan sudah dipraktekan kembali oleh ISIS di dunia modern ckckckck</t>
  </si>
  <si>
    <t>RT @FerdinandHaean2: Yg begini lbh layak diurus drpd Pemerintah mikirin dan buang2 uang ngurusin ISIS EKS WNI. @KemensosRI @kemendagri @Kemenag_RI @BNPTRI @PolhukamRI</t>
  </si>
  <si>
    <t>@CintaNKRI08 Ngomong apa sih si jenggot wahabi cingkrang ni gak jelas banget.. Dulu wkt isis dirikan khalifah berbondong2 baiat, eee setelah kalah pd buang badan hahaha bego..</t>
  </si>
  <si>
    <t>RI jajaki evakuasi WNI di Kapal Pesiar. virus Corona hingga kini masih terus menjadi hantu bagi kesehatan manusia #KoranSindo</t>
  </si>
  <si>
    <t>@CarikeadilanDi @NanaSut79405866 @DyahIrawatiNug1 @Anaksemut4 @RamliRizal @AXA_Mandiri @nadrpalupi yg intoleransi itu kaum kaum kek kalian... dlu join isis biaya sendiri, bakar pasport, ee skrng udh mulai oleng ngemis2 minta balik ke indonesia... haha situ waras... sudahlah kedok kalian bsa kebaca,</t>
  </si>
  <si>
    <t>@musniumar Hanya demi Rp. Apapun terjadi, ilmu dan karakter,ahlak,adab tak berguna n tak bermanfaat. Ini lah serba serbi n menu menu di 10 tahun yang sedang berjalan di negara indonesia. Sebagai wni saya prihatin sekali, serta para negarawan,ilmu mawan2, seakan akan terpesona dan diam.</t>
  </si>
  <si>
    <t>@OrenBarat Termasuk surprise pemain asing ya ndan kalo Klok udh resmi jadi WNI🙊😅</t>
  </si>
  <si>
    <t>Yenny Wahid : Anak-Anak Mantan Kombatan ISIS Belum Bisa Diserahkan Ke Panti Asuhan</t>
  </si>
  <si>
    <t>#News: Yenny Wahid : Anak-Anak Mantan Kombatan ISIS Belum Bisa Diserahkan Ke Panti Asuhan  | Depok News</t>
  </si>
  <si>
    <t>Pemaksaan khendak diawali dari Intolerant' lalu genocide' Kejam &amp; Biadab' tdk ada HAM dlm kamus ISIS. Pindah Agama ' Bayar Uang ato Mati? Itulah "PILIHAN" ISIS pd warga Kristen diMosul Musnahnya Umat Kristen di Timur Tengah</t>
  </si>
  <si>
    <t>@P3nj3l4j4h_id Bubarin MUI .. jadi sarang pendukung ISIS</t>
  </si>
  <si>
    <t>Baca ini deh ... Pelakunya dah sakit2an, kena stroke saja masih berpikir dulu melakukan pengeboman itu masih benar dan tidak merasa bersalah. Cek bahasa korban,"Dia masih merasa tidak bersalah, saya takut dia akan melakukan itu kelak" Halo ISIS!!!! Mau Deradikalisasi? RT @rebeccahenschke: Sarah’s mum died on her 5th birthday. We went with her into Indonesia’s highest security prison to meet two men on death row for their role in the bombing that killed her mum. This is her story</t>
  </si>
  <si>
    <t>@hera0498 @siapacobahihi @cilorconnoistre ISIS membantai Yazidi dan menjadikan wanitanya sebagai budak sex katanya itu tidak ada diajaran mereka, masah lupa bagaimana saffiyah diculik🤭</t>
  </si>
  <si>
    <t>@msaid_didu Tentang pilwalkot solo. Yg di survey 1200 orang. (Di anggap mewakili ratusan ribu penduduk??) Ga jelas surveynya dimana. Yang penting WNI usia di atas 17 tahun. Masih percaya survey?? @abal_abal</t>
  </si>
  <si>
    <t>Capt Suyono, Beda Jemput WNI Dari Wuhan Dengan Vietnam</t>
  </si>
  <si>
    <t>ISIS? apa itu ISIS? Di Indo kami punya banyak yang jiwanya lebih "sakit" dan lebih "sakti" RT @tempodotco: Mahfud Md mengatakan telah menerima data milik Veronica Koman yang dititipkan lewat BEM UI. Ia mengatakan hanya kumpulan nama tak jelas.</t>
  </si>
  <si>
    <t>RT @Sir__md: @ZayyadAb1 😂kace wni abu, qilan da matar ka shysa baka son auren</t>
  </si>
  <si>
    <t>RT @disnaker_jateng: Gubernur Jawa Tengah Bpk @ganjarpranowo siang tadi, Senin (17/02/2020) menyerahkan bantuan masker sebanyak 41.250 buah yang di peruntukan kepada WNI yang berada di Hongkong, Taiwan dan Singapura melalui @disnaker_jateng yang bekerja sama dengan @dinkesjateng</t>
  </si>
  <si>
    <t>RT @Kanseulir: Debat Soal WNI Eks ISIS, Gayus Lumbuun Sebut Ngabalin Bodoh. OHH BODOH TOH.. KENAPA MIRIP DENGAN GILA? 🤔😁</t>
  </si>
  <si>
    <t>RT @rjohnson32405: Sadiq Khan, London's 'Liberal Muslim' Mayor, Has Ties To ISIS - News Punch</t>
  </si>
  <si>
    <t>RT @BadjaNuswantara: 1 preman sgt mengganggu lingkungan. Pdhl orientasinya jelas materi. Ksh duit/ kerjaan beres. Anak2 yg dididik ISIS membunuh utk pahala. Apa yg bisa ditawarkan pd mrk agar tdk membahayakan org lain? Yg lbh baik dr pahala itu surga. Ya udh kirim aja kesana #TolakAnakISISKembali</t>
  </si>
  <si>
    <t>@hera0498 @siapacobahihi @cilorconnoistre Salahkan ISIS tapi jangan salahkan apa yang mereka pelajari, padahal ISIS hanya implimentasikan ajarannya pada masa abad 7.</t>
  </si>
  <si>
    <t>Debat Soal WNI Eks ISIS, Gayus Lumbuun Sebut Ngabalin Bodoh. OHH BODOH TOH.. KENAPA MIRIP DENGAN GILA? 🤔😁</t>
  </si>
  <si>
    <t>Menlu: 78 WNI di Kapal Pesiar Tak Perlu Diobservasi Ulang</t>
  </si>
  <si>
    <t>Pemerintah Belum Berencana Evakuasi 78 WNI di Kapal Pesiar</t>
  </si>
  <si>
    <t>@donttrustanybdy @JinNyinyir @cilorconnoistre * Ada ilmuwan muslim yg buat penemuan: "Subhanallah, ilmuwan muslim..." / "Bapak kedokteran &amp; matematika itu muslim". * Ada muslim mendirikan khilafah &amp;amp; menegakkan syariah (ISIS, Taliban, dll), didukung ribuan muslim dr berbagai negara: "Jangan dikaitkan dgn agamanya, bego!"</t>
  </si>
  <si>
    <t>KBRI di Negara Terinfeksi Corona Diminta Cek Kesehatan WNI -</t>
  </si>
  <si>
    <t>RT @WR_4AG226: Lho siapa yg anggap enteng virus Corona? Pak Jokowi sdh berbuat dan bertindak nyata dgn mengevakuasi WNI di Wuhan, Tapi neh yg wajib tau , jokowi emang lebih fokus sama virus K-Drone GO212, virus ini lebih gahar dari virus corona 😫🙄</t>
  </si>
  <si>
    <t>RT @ixi_iman: @tempodotco Katanya Yusril: Ahok tidak bisa menjadi presiden karena tidak memenuhi syarat, sebab tidak terlahir sebagai warga negara Indonesia. “Mengapa Ahok tidak terlahir sebagai WNI? Jawabannya sederhana karena ayah Ahok, Tjung Kim Nam adalah warganegara Tiongkok.</t>
  </si>
  <si>
    <t>RT @dondihananto: Really powerful, MUST watch Kalo dibanding sama Imam Samudra yg dieksekusi mati tp malah dipuja2, dlm kasus ini mmg mending kayak Ali Imron ini jd menderita batin seumur hidup ketemu keluarga korban Nah yg kasus eks-kombatan ISIS gue gak komen lah, gue gak ngerti</t>
  </si>
  <si>
    <t>Pandangan Muhammadiyah Terkait Kepulangan Mantan Kombatan ISIS ke Indonesia -</t>
  </si>
  <si>
    <t>RT @Ireneviena_: Kegagalan Genk Jend Merah merekayasa aksi terorisme utk melemakan kekuatan politik Islam disebabkan sikap TB 1 yg di luar prediksi TB 1 sekarang beda dgn seniornya dulu Genk Jend merah terpaksa gunakan isu ISIS sbg ganti rekayasa aksi teroris</t>
  </si>
  <si>
    <t>Mantan pimpinan ISIS: "Isu pemulangan eks-simpatisan ISIS dibuat untuk engalihan isu. Awalnya siapa yang mengisukan mereka ingin pulang, dan siapa yang meramaikan. Bisa kita nilai sendiri. Faktanya mereka tidak ingin pulang ke Indonesia."</t>
  </si>
  <si>
    <t>@TirtoID Kan bisa tuh, mereka dipulangin terus disatuin disuatu tempat. Mereka di rehab otaknya, diawasin sama pemerintah. Kemudian masalah kewarganegaraan, katanya mereka sendiri yg milih buat jadi ex wni. Mas, mbaa. Mereka yg mau pulang itu Ibu2 sama anak2.</t>
  </si>
  <si>
    <t>Kek Seto Dukung Pemulangan Anak-anak WNI Eks-ISIS</t>
  </si>
  <si>
    <t>RT @CengkehNastar: @WahabiLucu @felixsiauw Buat permerintah bisa ijinin Ex ISIS balik ke indonesia tapi dengan satu syarat . . . wajib babtis</t>
  </si>
  <si>
    <t>RT @novian_sp: @mas__piyuuu Penampilan nya seperti intelek dan alim. pake peci,kacamata,jidat hitam dan berjenggot. org awam pasti akan tertipu kl dilihat dr penampilannya. Taukah org ini?? Dia adlh alfian tanjung,TERPIDANA kasus penyebaran fitnah ttg PKI. ulama yg jadi panutan bnyk KADRUN.</t>
  </si>
  <si>
    <t>@IwongPury @wazacky @syafrinkar @JacksQuevara Alhamdulillah Sdh ada Yg melaporkan ngustad ngulama isis ulang AT, biar kena 2 thn lg spt 2017. Palingan nanti kadrun spt lo demo ber-silit2 : pemerintah zolim kriminalisasi ulama. Semoga sukses spt 2017 biar kena 2 thn si AT</t>
  </si>
  <si>
    <t>@TirtoID Ratusan warga Indonesia eks ISIS minta pulang? Ngapain pulang? mati aja di sana.</t>
  </si>
  <si>
    <t>Kak Seto dukung anak-anak eks ISIS dipulangkan ke Indonesia</t>
  </si>
  <si>
    <t>@RizmaWidiono @ISIS_Balik_NO @DivHumas_Polri @BareskrimPolri @CCICPolri Segera ringkus deh</t>
  </si>
  <si>
    <t>@Negev52031680 🙄Ada apa? Kenapa dgn khariji satu ini? Mending kamu selesaiin masalah yg lalu, baru kemudian ikut ke masalah yg lain, deh. Pendapat khariji tersebut boleh2 saja buat dia sendiri. Tapi tidak merepresentasikan seluruh eks-ISIS/simpatisan ISIS.</t>
  </si>
  <si>
    <t>RT @Boemi_Pertiwi12: HOAX. .... HOAX. .... HOAX. .... ORANG KURANG KERJAAN INI ... DICARI. ....!!!!!!! ☹️☹️☹️☹️☹️</t>
  </si>
  <si>
    <t>RT @HusinShihab: Brp kali Alfian Tanjung melakukan ujaran Hate Speech lolos, berharap kali ini dia tdk akan lolos dari "Penyebaran Berita Bohong". Hari ini sbg terlapor di @BareskrimPolri Jaksel. Semoga ini bisa menjawab keresahan warga netizen. Cc: @muannas_alaidid @makLambeTurah</t>
  </si>
  <si>
    <t>@lidah_tornado @OldJoe771 @soeripsarap @AnakKolong___ Kesian ya....sudah jadi kebiasaan kampret dan kadal...kalo LAPER......rese !</t>
  </si>
  <si>
    <t>@VIVAcoid Dikit lagi pasti ada yg teriak " WNI yg dikapal pesiar"pemerintah lelet, pemerintah bla bla bla... Mana suara nya netizen yg budiman Dan selalu benar...</t>
  </si>
  <si>
    <t>@DTanjung15 Mending dibikin GA nyai......sayang banget</t>
  </si>
  <si>
    <t>RT @DTanjung15: Andre Rosiade... Neeeh gua bayarin deeh kekurangan pembayaran transaksi PSK yg masih ada Utang Rp 50000.. Lain kali kalo mau bikin skenario penjebakan yg Cerdas yaa... Jangan Kacangan dan Amatiran. Pesan Gua Dewi Tanjung Cari PSK yg berkelas dan Mahal donk...</t>
  </si>
  <si>
    <t>RT @RizmaWidiono: Ini fitnah/hoax yg sangat membahayakan NKRI Memanfaatkan SKB 2 menteri utk pembenaran ceramahnya &amp; menjadikan pihak lain sebagi target intoleransi @DivHumas_Polri @BareskrimPolri @CCICPolri #RingkusAlfianTanjung</t>
  </si>
  <si>
    <t>Bawa Pulang WNI dari China, Pilot dan Kru Batik Air Dapat Penghargaan dari Budi Karya</t>
  </si>
  <si>
    <t>@niccolefranco @Hearth_Moon kkkll sai dae</t>
  </si>
  <si>
    <t>RT @TheArieAir: OPEN PROMO 18/02/2020 Sudah 3 hari saya tidak open promo ya.... saya bagi 2 BILIK 1. BILIK utk akun berfollower kurang dari 1000 2. akun berfollower lebih besar dari 1000 silakan daftar dengan reply #programfolback</t>
  </si>
  <si>
    <t>RT @TheArieAir: 2. BILIK utk akun berfollower lebih dari 1000, daftarkan dengan reply #programfolback disini</t>
  </si>
  <si>
    <t>Tell ISIS Bangkok</t>
  </si>
  <si>
    <t>Al-qaida,Isis,TFSA</t>
  </si>
  <si>
    <t>Silahkan kak Seto berangkat ke Suriah n bertugas selama setahun utk memantau anak2 eks zwNI ISIS sebelum membawa ke Tanah Air. . Cc. @jokowi n @mohmahfudmd RT @republikaonline: Kak Seto menilai anak-anak WNI eks ISIS hanyalah korban dan bukan pelaku.</t>
  </si>
  <si>
    <t>Sudah 355 Penumpang Terinfeksi Virus Corona, 78 WNI Tetap Bekerja dalam Kapal Diamond Princess</t>
  </si>
  <si>
    <t>RT @Dandhy_Laksono: Eksil 65: Tak bisa pulang. Terancam persekusi. Paspor dicabut. Dipaksa meninggalkan kewarganegaraan. Eks ISIS: Dengan sadar meninggalkan negara lama dan memilih negara baru. Pencari suaka OPM, GAM, Timor Leste, dll: Mencari perlindungan (dari kekerasan politik) ke negara lain.</t>
  </si>
  <si>
    <t>RT @Ireneviena_: Gara2 Kapolri tegas larang rekayasa aksi terorisme, sekarang muncul isu ISIS. Modal basi untuk memfitnah umat Islam RI</t>
  </si>
  <si>
    <t>RT @handokotjung: Walaupun ISIS sudah jadi masa lalu, sebaiknya anggotanya tidak usah diterima kembali ke Indonesia. Harap diingat bentuk past tense dari ISIS tetap akan membuat WASWAS.</t>
  </si>
  <si>
    <t>238 WNI dari Natuna Bebas Corona Covid-19, Disebut karena Doa Bangsa | #news #viral &gt;&amp;gt;&amp;gt; Click</t>
  </si>
  <si>
    <t>Komnas Anak: Pemulangan anak eks ISIS butuh asesmen</t>
  </si>
  <si>
    <t>@0mar_Z0 Arewalla awa bka awa wni nakaeit :)</t>
  </si>
  <si>
    <t>ISIS and Al-Qaeda in 2001 - 2014...</t>
  </si>
  <si>
    <t>Terkini Dr. Najeh Ibrahim pendiri organisasi Islam di Mesir untuk Saudi 24 : Al-Qaeda adalah salah satu organisasi yang memberlakukan globalisasi terorisme dan pembunuhan, dan ISIS datang untuk meningkatkan tingkat takfir dan tingkat ledakkan #Saudi</t>
  </si>
  <si>
    <t>@0mar_Z0 Day supas bo xwa away bayani awa charasart krdwa :) hiwadarm bedozetawa wa jareki tr wryatr bet wni nakaeit , mn qat wnm nakrdwa chunka be haenakakam am jihana hamuy talxa labarchawm 😁</t>
  </si>
  <si>
    <t>1_2 ISIS menyembelih perempuan, kaum muda dan warga sipil dan meledakkan masjid...dan lingkungan Yemen tidak menoleransi hal ini dan menolaknya oleh suku Yaman kerana mereka mempunyai adat istiadat</t>
  </si>
  <si>
    <t>Menhub Tunggu Arahan Kemenkes dan Kemenlu untuk Pulangkan Sisa WNI di Wuhan | #news #viral &gt;&amp;gt;&amp;gt; Click</t>
  </si>
  <si>
    <t>TNI memberikan yang terbaik dalam pemulangan observasi WNI😎💂 #TNIPeduli #Natuna #Puspen_TNI</t>
  </si>
  <si>
    <t>@BiLLRaY2019 @Bangzul__88 @DivHumas_Polri apa anda akan membiarkan orang2 macam ini, dibiarkan dengan merusak bangsa ini, ini bagian dri pendukung Isis. Tolong segera Tangkap</t>
  </si>
  <si>
    <t>@AnakKolong___ Murid buronan yg minum pipis onta dan pendukung isis, kelihatan ternyata bodoh, coba gk jadi artis mana bisa kaya raya</t>
  </si>
  <si>
    <t>@babyythanos @aurtwt Otw mualaf dan jd wni bpk siwon alias agung🤣</t>
  </si>
  <si>
    <t>@IndianExpress Komal sharma ISIS join kr li kya???</t>
  </si>
  <si>
    <t>Menhub Tunggu Arahan Kemenkes dan Kemenlu untuk Pulangkan Sisa WNI di Wuhan  #DariSuara</t>
  </si>
  <si>
    <t>Sepertinya Kek seto blm tau isis RT @republikaonline: Kak Seto menilai anak-anak WNI eks ISIS hanyalah korban dan bukan pelaku.</t>
  </si>
  <si>
    <t>@ibeleno Isis Beleno RT @ibeleno: Ya #AidaMerlano habló con Vicky, no demora en salir en pelota en @RevistaSoHo porque aquí pasamos con una rapidez del drama a la frivolidad. Y todo queda en declaraciones sueltas y portadas de revista.</t>
  </si>
  <si>
    <t>Menteri Luar Negeri Retno Marsudi mengatakan masa observasi 78 WNI di Kapal Diamond Princess akan berakhir 19 Februari 2020</t>
  </si>
  <si>
    <t>RT @andrewirams: Maaf, tapi saya lebih tersentuh melihat video anak-anak yang orang tuanya menjadi korban teroris dibandingkan video anak ex-WNI yang gabung ISIS terus nangis-nangis minta pulang Buang2 waktu aja urusin pengkhianat negara</t>
  </si>
  <si>
    <t>RT @KeyshaAdinda5: Timur Tengah sedang bersih2 robot pembunuh buata AS... @felixsiauw meradang kayaknya CSnya di sana pada ditangkap. 🤣</t>
  </si>
  <si>
    <t>WNI Sehat dan Negatif Virus Corona.</t>
  </si>
  <si>
    <t>@KSPgoid Corona virus 100x lebih bahaya dr ex isis; jika mewabah dkhawatirkan demo gulingkan ri1</t>
  </si>
  <si>
    <t>Move u isis taliban hth RT @MikeLUHGv3: If I was a footballer, I'd definitely want this man as my agent The best in the world at what he does Hope this helps</t>
  </si>
  <si>
    <t>RT @Mataya16641870: @OposisiCerdas Maaf, karena terlahir WNI asli Kalau tdk udah dimaafkan dan bisa selfi dgn mentri</t>
  </si>
  <si>
    <t>HAHAHAHHAHAHA. 1. Indonesia..yang salah lebih bacot, yang salah gk ngerasa salah. Kadang lebih galak, beda versi aja yg ini, lebih ngerasa radikal 2. Udahlah, mantan pelaku terorisme atas nama agama, yg mabok agama (kayak kombatan ISIS) mau gmn pun ya gak pantes idup RT @tunggalp: Kok malah merasa paling menderita saat bertemu korban? 🤬 Rois responds, "I have a child, too. I haven't seen my wife or child for years. I really miss them. I am even worse off than you. You're still with your children. My child doesn't even know me."</t>
  </si>
  <si>
    <t>@NetflixLAT Panda/Isis</t>
  </si>
  <si>
    <t>RT @LaporGub_: 😍😍 Bantuan masker untuk WNI di Taiwan, Hongkong, dan Singapura sudah dikirim ya sedulur. Semoga bermanfaat..</t>
  </si>
  <si>
    <t>Pantes aja wni yang berhasil di evakuasi kemarin dikasih tolak angin.</t>
  </si>
  <si>
    <t>BKPM Khawatirkan Kepulangan WNI Eks ISIS Ganggu Investasi</t>
  </si>
  <si>
    <t>78 WNI Awak Kapal Diamond Princess Negatif COVID19, Langsung Dipulangkan?</t>
  </si>
  <si>
    <t>Jangan Biarkan Kombatan ISIS Eks WNI Jadikan Indonesia sebagai Basis Barunya!  #Iraq #Iran #Syria #American #Malaysia #malaysiagazette #makassarBO</t>
  </si>
  <si>
    <t>@fadlizon @DPR_RI @bksapdpr Langsung aja tempat ISIS jgn pulang</t>
  </si>
  <si>
    <t>@HarniHapsari @RadioElshinta hahaha..coba kl berani buka wig..anak-anak isis pun takut liat kak Soto..</t>
  </si>
  <si>
    <t>RT @kjrifrankfurt: KJRI Frankfurt &amp; PCIM Jerman Raya, adakan diskusi bertemakan Harmonisasi Antar Umat Beragama dgn narasumber Imam Shamsi Ali. Konjen RI sampaikan agar WNI selalu meningkatkan kebersamaan &amp;amp; menghargai perbedaan sehingga hidup harmonis antar sesama WN Indonesia &amp;amp; juga dgn WN Jerman</t>
  </si>
  <si>
    <t>@ashokshrivasta6 aisa kuch quran me nhi likha hai.. agar kisi ko lagta h k aisa hai kindly tell me surah no... Isis is anti islam.. that's why our genral qasim sulemani demolished isis and they ran away from battle field in burqa.. aur haan kisi v dharam pe ungli uthane se pehle sach jaan le</t>
  </si>
  <si>
    <t>2000 WNI di China mau dijemput mau ditaroh di mana yah?</t>
  </si>
  <si>
    <t>@indiaspeek @VikashPreetam @RahulGandhi Isis or Jem branch ni same rss company ki trh h</t>
  </si>
  <si>
    <t>@Ri_Grey @BlackRednBlue @mbahCokro77 @Jelantik5 @Sorasachi__ @Jowo_Jawi @Tattyandra @DewiEM13 @dias6969 @__MV_llestari__ @FireBirdFeniks @RedWineMalbec Oke ...tanyakan pada dia yg mengaku muslim...kalau isis yg kejam dan sah membunuh itu agama nya apa ..? Blm tentu bisa jawab dia.. Walau kau dan aku sdh tahu tentu saja hal hal nyata demikian kan</t>
  </si>
  <si>
    <t>@FerdinandHaean2 Di desa saya, masjid tepat berada di depan Gereja &amp; damai. Jarak bbrp ratus meter masih satu desa ada Pura juga. Saya harap di tempat2 lain pun begitu, toleran trhdp sesama WNI :)</t>
  </si>
  <si>
    <t>@detikcom @detikfinance menteri yg bilang pemulangan eks wni eks isis boleh2 aja itu? yg paling byk jalan2 ke LN sampe dibelain jkw itu? yg waktu kampanye terkenal galak n tegas demi nkri tp pas natuna malah melempem ga ada gigi? yg disurvei isinya penggemar buta ini sih..</t>
  </si>
  <si>
    <t>Wiranto Ingin 78 WNI Bebas Corona di Kapal Jepang Dievakuasi</t>
  </si>
  <si>
    <t>Wiranto Ingin 78 WNI Bebas Corona di Kapal Jepang Dievakuasi  via @Indopolitika</t>
  </si>
  <si>
    <t>RT @siochoy: Maap ya @ShawnMendes gak sengaja ijk.. 😫</t>
  </si>
  <si>
    <t>@JEStwitttz @budiyono97 @fahiraidris @DKIJakarta Gak usah heran. Tengok aja noh kadrun2 yg gabung jd mujahid+mujahidah isis di suriah kek gmn mental aslinya? Brgkt ninggalin negara thogut mau jihad. Eeh pas ngadepin air strike Rezim Bashar+Rusia pd klepek2. Skrg lg ngemis2 supaya ditolong negara thogut ini 😂😂</t>
  </si>
  <si>
    <t>Sbb ni la kau takut nak rapat dengan org. Haihh</t>
  </si>
  <si>
    <t>RT @Aliahahahaa: "Kalau Jihyo tak reject Gary dulu mesti dia dah masuk Return of Superman" - Jongkook 😂😂😂</t>
  </si>
  <si>
    <t>@Puteriswift_ Dah muhammad pulak</t>
  </si>
  <si>
    <t>RT @caramelcarbs: Komentar-komentarnya norak. Wong kru-nya belum diperiksa tapi harus tetap bekerja. Tambahan: a) 218 dari 3700 itu 5.8%. Wajar bahwa belum ada dari 78 WNI yang menunjukkan simtom parah b) terinfeksi tapi asimtomatik (nggak ada tanda) udah terbukti ada dari kasus2 sblmnya</t>
  </si>
  <si>
    <t>@Ri_Grey @BlackRednBlue @mbahCokro77 @Jelantik5 @Sorasachi__ @Jowo_Jawi @Tattyandra @DewiEM13 @dias6969 @__MV_llestari__ @FireBirdFeniks @RedWineMalbec Enak aja ... Kenapa dituduh tdk bertuhan ? Aturan sempit org beragama ya..? Hehe .. Ketika aku bersama Dia pemilik semua agama, keleluasaan universal Nya membuat ku "isis" (tertiup angin sepoi2)...bagaikan manusia tdk memakai jubah boleh mengucapkan salam pada siapa saja...😂😂</t>
  </si>
  <si>
    <t>Kemenkes Klaim Semua WNI Karantina Corona Disambut dengan Baik  #beritaterkini</t>
  </si>
  <si>
    <t>@OposisiCerdas Maaf, karena terlahir WNI asli Kalau tdk udah dimaafkan dan bisa selfi dgn mentri</t>
  </si>
  <si>
    <t>Cerita Pilot dan Pramugari Penjemput Ratusan WNI di Wuhan  via @medcom_id</t>
  </si>
  <si>
    <t>@NetflixLAT Isis, Salem y Dali.</t>
  </si>
  <si>
    <t>Masih ada yang mau dukung ISIS??? 😭😭😭 #ISISGoToHell RT @Mr_Belutsch: ISIS commander: I killed and slaughtered about 900 people. I raped about 50 girls (15-16 year old) I raped over 200 woman.</t>
  </si>
  <si>
    <t>@BlackRednBlue @mbahCokro77 @Jelantik5 @Sorasachi__ @Jowo_Jawi @Tattyandra @DewiEM13 @dias6969 @__MV_llestari__ @FireBirdFeniks @RedWineMalbec Agama selalu menerima siapa saja, org baik maupun org jahat Org benar dan org salah Org pandai dan org bodoh.. Lihat lah di kenyataan mereka, kebodohan beragama telah menyengsarakan hidup nya sendiri, jadi org aneh yg bahkan jadi sangat kejam ISIS @spiderr__matrix @4ntoniusC</t>
  </si>
  <si>
    <t>RT @RadioElshinta: Kak Seto dukung anak-anak eks ISIS dipulangkan</t>
  </si>
  <si>
    <t>RT @Beritasatu: Menolak Kembalinya “Virus” ISIS</t>
  </si>
  <si>
    <t>Menolak Kembalinya “Virus” ISIS</t>
  </si>
  <si>
    <t>@prinsezzBlck @tribunnews Bukan WNI ex ISIS. Tapi anggota/simpatisan ISIS ex WNI. Jelas kan bedanya.</t>
  </si>
  <si>
    <t>@newagestein @tribunnews Bukan WNI ex ISIS. Tapi anggota/simpatisan ISIS ex WNI. Jelas kan bedanya.</t>
  </si>
  <si>
    <t>RT @GoNewsdotco: Sudah 355 Penumpang Terinfeksi Virus Corona, 78 WNI Tetap Bekerja dalam Kapal Diamond Princess</t>
  </si>
  <si>
    <t>@suhendrii1 Makasi calon wni yg sukses di thailand</t>
  </si>
  <si>
    <t>RT @dubie_tina: YANG NGASIH PANGGUNG BUAT ALFIAN TANJUNG SAMA BANGSAT NYA DGN PENGHIANAT NEGARA DAN ORANG2 YG NGASIH TEMPAT ADALAH ORANG2 KAUM HTI ISIS TALIBAN KADRUN SONTOLOYO DAN HARUS RINGKUS JG DGN HUKUM NEGARA INDONESIA ⚖️☝️😇 NKRI HRS BERSIH2 DARI BANGSAT2 HTI ! 🇮🇩🦅🇮🇩</t>
  </si>
  <si>
    <t>RT @bbysiahaan: kl kek gini @Kemenag_RI mingkem , sok2 congean tp kemaren2 niatnya mw pulangin eks wni isis.. kok msh ada orang kek ginih d kasih tuk tausiyah yah ? @paulakaramoy @arieflipp @ulinyusron @DivHumas_Polri #TangkapAlfianTanjung</t>
  </si>
  <si>
    <t>@ANJUMALIYA007 @Real_Anuj Or agar teri maa ne apne baap se halala na kraya hota toh ye tweet reply dekhne ko nhi milta:... ye dangai hai or tere baap kasab laden osama al quida isis sb k sb to shanti doot hain</t>
  </si>
  <si>
    <t>kl kek gini @Kemenag_RI mingkem , sok2 congean tp kemaren2 niatnya mw pulangin eks wni isis.. kok msh ada orang kek ginih d kasih tuk tausiyah yah ? @paulakaramoy @arieflipp @ulinyusron @DivHumas_Polri #TangkapAlfianTanjung RT @BiLLRaY2019: Bangsat Alfian Tanjung sebut ibukota baru adalah program PKI? Jangan dibiarkan orang ini bebas ngomong seenak udelnya, tangkap provokator tukang bikin gaduh. #RingkusAlfianTanjung</t>
  </si>
  <si>
    <t>RT @KompasTV: [Top3News] Ahok Dinilai Lebih Baik Atasi Banjir, WHO Puji Penyelamatan WNI, Jenderal Andika Menangis</t>
  </si>
  <si>
    <t>@liputan6dotcom RT @liputan6dotcom: WNI di Singapura Terjangkit Virus Corona, Kemenkes: Dia Langsung Diisolasi</t>
  </si>
  <si>
    <t>YANG NGASIH PANGGUNG BUAT ALFIAN TANJUNG SAMA BANGSAT NYA DGN PENGHIANAT NEGARA DAN ORANG2 YG NGASIH TEMPAT ADALAH ORANG2 KAUM HTI ISIS TALIBAN KADRUN SONTOLOYO DAN HARUS RINGKUS JG DGN HUKUM NEGARA INDONESIA ⚖️☝️😇 NKRI HRS BERSIH2 DARI BANGSAT2 HTI ! 🇮🇩🦅🇮🇩 RT @RizmaWidiono: Ini fitnah/hoax yg sangat membahayakan NKRI Memanfaatkan SKB 2 menteri utk pembenaran ceramahnya &amp; menjadikan pihak lain sebagi target intoleransi @DivHumas_Polri @BareskrimPolri @CCICPolri #RingkusAlfianTanjung</t>
  </si>
  <si>
    <t>Alhamdulillah bisa cosplay tentara ISIS</t>
  </si>
  <si>
    <t>@jwgerritsenvand @beek38 @NOS AL QEADA, ISIS strijders.</t>
  </si>
  <si>
    <t>RT @jawapos: Ganjar Kirim 41.250 Masker untuk WNI di 3 Negara Rawan Virus Korona</t>
  </si>
  <si>
    <t>@xhgdvit @collegemenfess hoax mbak e. warga indonesia yg tinggal di indonesia belum ada sama sekali yg kena corona. ada 1 wni yang kena tapi dia tinggal di singapore kalo ga salah</t>
  </si>
  <si>
    <t>GILA YA JALAN PIKIRAN ALFIAN TANJUNG BANGSAT PARAH BANGET ! ! 😡😡 FUCK HELL ALFIAN TANJUNG 🖕🖕❗️❗️ cc : @DivHumas_Polri @BareskrimPolri @CCICPolri BPK POLISI TIDAK PAKE LAMA YA CIDUK NIH BANGSAT HTI TALIBAN ISIS ! ! Thanks 🙏🙏🇮🇩🦅🇮🇩☝️😇 RT @RizmaWidiono: Ini fitnah/hoax yg sangat membahayakan NKRI Memanfaatkan SKB 2 menteri utk pembenaran ceramahnya &amp; menjadikan pihak lain sebagi target intoleransi @DivHumas_Polri @BareskrimPolri @CCICPolri #RingkusAlfianTanjung</t>
  </si>
  <si>
    <t>RT @liputan6dotcom: WNI di Singapura Terjangkit Virus Corona, Kemenkes: Dia Langsung Diisolasi</t>
  </si>
  <si>
    <t>Sadiq Khan, London's 'Liberal Muslim' Mayor, Has Ties To ISIS - News Punch</t>
  </si>
  <si>
    <t>WNI di Singapura Terjangkit Virus Corona, Kemenkes: Dia Langsung Diisolasi</t>
  </si>
  <si>
    <t>RT @MENAanalyst: #ISIS mourns Tunisian militant Abu Dujanah al-Manastiri (Wilayat Tunis). #Tunisia</t>
  </si>
  <si>
    <t>Kak Seto menilai anak-anak WNI eks ISIS hanyalah korban dan bukan pelaku.</t>
  </si>
  <si>
    <t>RT @Harian_Jogja: Sama-Sama WNI, Penghayat Kepercayaan Masih Hidup dalam Diskriminasi di Indonesia</t>
  </si>
  <si>
    <t>RT @Boemi_Pertiwi12: PENYESALAN YANG TIDAK BERGUNA. ... KEWARGANEGARAAN DICABUT, PENGANTIN ISIS INGGRIS MENGATAKAN. .... "DUNIA SAYA HANCUR". ... TERLAMBAT SUDAH. .... 🙂🙂🙂 Kewarganegaraan Dicabut, Pengantin ISIS Inggris: Dunia Saya Hancur</t>
  </si>
  <si>
    <t>@mchmmdalfian @dendirmd10 @nana_pratama @KlenikGenk @NgatmoMbilung Wegah neng ngatmo aku masalahnya terlalu besar tak melu isis wae ben sisan seng darsik modar gasik</t>
  </si>
  <si>
    <t>Birmingham fun by isis snm</t>
  </si>
  <si>
    <t>@OldJoe771 @AnakKolong___ @fajar_istan @felixsiauw @ArieKuntung @sahouraxo Teriak2 ISIS buatan amerika, israel lah dll. Tapi spesies macam loe ngapa byk yg ngotot mnta supaya Negara Thogut ini nolong Eks WNI ISIS yg mau dicincang sm rezim Bashar 😂 sgala bawa2 kemanusiaan. Taeek ledik lah</t>
  </si>
  <si>
    <t>@manolitosalazar Isis bernal y julian Salazar</t>
  </si>
  <si>
    <t>Pprt RT @frasesdebebada: carnaval devia ter 2 vezes por ano</t>
  </si>
  <si>
    <t>@jasroel @spiderr__matrix @H4l1mun_D1n61n @yusuf_dumdum @LuwitaEmilly878 @Lumbalaut1 @kangenband123 @Adipativan @vincent_ves @YRadianto @ayah_9Garislucu @Ajiesara @DiantyYasmin3 @Diana_GarisImut @viviandeella @Ji3_RebOrn @gelangbesi @papih_f41th @edotssss @snjayajonggrang @johhhnygudhel @IrmaHKds @jasroel eeh kadal kebon. Terserah loe mau blg isis buatan mana kek. Tapi gua yakin loe tau mereka di foto yg gabung isis bkn atheis/komunis. Oh ya tujuan Isis mau bkin Daulah Islamiyah ,cita2nya (NGIMPI) menegakkan Khilafah di atas bumi. Klo blo'on gak usah ngegas ye</t>
  </si>
  <si>
    <t>RT @Namaku_Mei: @Aryprasetyo85 @ganjarpranowo @AlvinoLulu @NannyAlexendry @b4yuw @EnjoyJateng Semoga dengan adanya bantuan kiriman masker² ini bisa membantu saudara² kita WNI serta para pahlawan devisa</t>
  </si>
  <si>
    <t>bisnis pabrik Gold Coin ... itu di alam ghaib sungguhan .... merk ISIS jg ada tuuu ...</t>
  </si>
  <si>
    <t>Btw sekedar info. Beasiswa KGSP Graduate (S2&amp;S3) sudah buka pendaftaran dengan kuota WNI untuk jalur kedutaan sebesar 29 orang dan jalur universitas 36 orang.</t>
  </si>
  <si>
    <t>RT @KemensetnegRI: Selamat pagi #SobatKemensetneg Berikut ini kutipan pernyataan Presiden Joko Widodo berkaitan dengan isu pemulangan anggota ISIS eks WNI ke Indonesia dan kasus intoleransi yang terjadi di Tanjung Balai Karimun dan Minahasa Utara.</t>
  </si>
  <si>
    <t>Why PTM, TTP, ISIS, BLA, BRA, JSQM, JKLF etc? 😳</t>
  </si>
  <si>
    <t>RT @mbah_nDoel: Akibat Corona, ijin tinggal tuk WNI China DIGRATISKAN.. Segitunya amat : * BPJS nunggak tetap ditagih * Ngurus KTP. 1 tahun gak kelar Hhhhhh #RezimKalengKaleng</t>
  </si>
  <si>
    <t>@ubayWP @Frylimay @shireenwisnu17 Militan ISIS ketakutan nunggu proses hukuman mati 😂</t>
  </si>
  <si>
    <t>RT @Galihzainur1: Inilah Kebebasan Dan Inilah Negaraku #Suriah sebelum #ISIS Biadab Merenggut Kebersamaanku, kini Aku Bisa Kembali Seperti Dulu. Moment Saat Bersama Teriak Yel,..!yel,..! Kebebasan Dari Rasa Ketakutan. #SelamatSaudaraku. @AnakKolong_ @AryPrasetyo_85 @P3nj3l4j4h_id @jr_kw19 @4Y4NKZ</t>
  </si>
  <si>
    <t>@1_devout @irwanmuhammad02 @VIVAcoid Itu video tidak Full...jgn Fitnah ! Klw anda mendengarkan secarah full awal Dan akhir anda penjelasannya ! Perumpamaan ISIS klw rakyat kecil d perlakukan tidak adil. Fitnah !!!</t>
  </si>
  <si>
    <t>RT @earthvisuals: Bora Bora, French Polynesia</t>
  </si>
  <si>
    <t>Kepala Dinas Kesehatan Provinsi Jateng Yulianto Prabowo menerangkan, pengiriman masker dilakukan karena WNI di negara-negara itu mengaku kesulitan mendapatkan masker. Apabila ada, harga masker di beberapa negara itu sangat mahal.</t>
  </si>
  <si>
    <t>"Mudah2an mereka bisa membantu mendistribusikan kepada masyarakat di sana. Kami prioritaskan WNI. Kalau memang sisa,bisa diberikan ke masyarakat krn ini sebenarnya misi kemanusiaan. Intinya kami merespon permintaan masyarakat yang ada di beberapa negara itu yg kesulitan masker.</t>
  </si>
  <si>
    <t>@permadiaktivis @ustadtengkuzul Mereka disingkirkan dari Indonesia, maka ISLAM tetap Jaya tambah Jaya. Mrk Cuma boneka Amerika utk mengacau kedamaian Islam di Indonesia. Sama ISIS juga boneka. Cirinya sama seolah pembela Islam, padahal caranya menghasut</t>
  </si>
  <si>
    <t>RT @R_Buitenzorg: ADA APA FADLI ZON DENGAN ISIS Ternyata Fadli Zon salah satu donatur untuk Pemberontakan ISIS di Suriah.... Pada bulan Mei 2015, Fadli Zon (semasa jadi Wakil Ketua DPR RI) telah menyumbang utk Pergerakan di Suriah sebesar 20.000 USD (setara 270 juta rupiah) ke HASI.</t>
  </si>
  <si>
    <t>Jangan Lupakan Natuna Pasca Observasi WNI dari Wuhan</t>
  </si>
  <si>
    <t>Secara simbolis, @ganjarpranowo melepas satu truk berisi masker menuju negara2 rawan penyebaran virus corona itu. "Saya beberapa kali dikontak WNI yang ada di HK,Taiwan dan SGP. Mrk butuh bantuan masker. Beberapa Kab/Kota sebelumnya sdh mengirim bantuan masker, namun masih kurang</t>
  </si>
  <si>
    <t>@xyabil sabil, itu isis lagi nyari kader</t>
  </si>
  <si>
    <t>Bantuan masker dikirimkan untuk membantu WNI di tiga negara itu yang kesulitan mendapatkan masker untuk melindungi diri dari penyebaran virus corona. Pengiriman masker itu dilakukan langsung oleh Ganjar di halaman kantor gubernuran, Senin (17/2/2020).</t>
  </si>
  <si>
    <t>Haram hukumnya pulangkan eks WNI pro ISIS #RingkusAlfianTanjung</t>
  </si>
  <si>
    <t>Penolakan kepulangan eks ISIS diapresiasi #RingkusAlfianTanjung</t>
  </si>
  <si>
    <t>@ganjarpranowo Kirim 41.250 Masker Untuk WNI di Hongkong, Taiwan dan Singapura Gubernur Jawa Tengah Ganjar Pranowo mengirimkan 41.250 lembar masker untuk Warga Negara Indonesia di Hongkong, Taiwan dan Singapura @budiyono97 @WagimanDeep @narkosun @b4yuw @JatengOpini @jatengpedia</t>
  </si>
  <si>
    <t>RT @Kars104: Romesko Purba adalah kita. Siapakah kita? Kita adalah sekumpulan manusia lintas agama yg menentang keras intoleransi beragama dgn alasan apapun. Karena hak beribadah bagi WNI sdh diatur dan dijamin oleh UUD 1945 pasal 29 ayat 2 dan pasal 28e ayat 1. #SaveRomesko #CabutSKB2Menteri</t>
  </si>
  <si>
    <t>@liafebriana Dibilas air dingin kak biar isis. Atau ditempelin ke tembok hehe</t>
  </si>
  <si>
    <t>@JeromePolin bingung kan je? aku juga bingung. apalagi kalo tau itu sesama WNI. malu iya, kecewa iya, kesel iya, kesian iya. nano nano</t>
  </si>
  <si>
    <t>Maria isis RT @GabrielBruno: mano, eu sou a primeira pessoa a falar "bora" e também sou a primeira a falar "não vou mais" kkkk</t>
  </si>
  <si>
    <t>@Aryprasetyo85 @ganjarpranowo @AlvinoLulu @NannyAlexendry @b4yuw @EnjoyJateng Semoga dengan adanya bantuan kiriman masker² ini bisa membantu saudara² kita WNI serta para pahlawan devisa</t>
  </si>
  <si>
    <t>It was at Maritius / Ghana. Ghan Sam. Sam is Singi ( Mary/ Gia/ Gaea as ISIS and Ur vasi , Ki ) . Ghana Sam or Gana Sam</t>
  </si>
  <si>
    <t>JINSI MAGAIDI WA ISIS WANAVYOTENGENEZA PESA  via @YouTube</t>
  </si>
  <si>
    <t>@Ndrews1162011 @Brondongjagun12 @muthijairoi @onthesbrew @Tiara_jkt @mukidioon @Abidzar83049594 @aniesbaswedan @basuki_btp minoritas di takut2in oleh tim ahok supaya tdk pilih anies. karena kalau pilih anies, maka akan ada jakarta bersyariah. Ingat video kampanye ahok yg ditarik itu. Sama juga wiwi menakut2i minoritas kalau tdk pilih dia maka HTI bisa bangkit lg, Isis akan merajarela dlsbnya</t>
  </si>
  <si>
    <t>Trimakasih ndoro @ganjarpranowo smoga bermanfaat utk saudara2 kita yg sdg di negri orang Masker ini kiriman dari warga Jateng untuk saudara2 WNI di HK,SGP dan Taiwan Semoga saudara2 di sana selalu diberi kesehatan.Tetap kuat dan jaga persaudaraan @podjiutami @Gus_Raharjo @Je_Ly</t>
  </si>
  <si>
    <t>Gubernur Jawa Tengah Bpk @ganjarpranowo siang tadi, Senin (17/02/2020) menyerahkan bantuan masker sebanyak 41.250 buah yang di peruntukan kepada WNI yang berada di Hongkong, Taiwan dan Singapura melalui @disnaker_jateng yang bekerja sama dengan @dinkesjateng</t>
  </si>
  <si>
    <t>@machbeach @Dedien5 @ustadtengkuzul Isu PKI itu siklus 5 tahunan....wkwkwkwk.. Dimunculkan kalo ada pihak2 yg takut kalah,,,,lebaaaayyy.....🤣🤣🤣🤣🤣 Kalo isis disini mah banyak antek2nya, sampai berbai'at segala....🤭</t>
  </si>
  <si>
    <t>KJRI Frankfurt &amp; PCIM Jerman Raya, adakan diskusi bertemakan Harmonisasi Antar Umat Beragama dgn narasumber Imam Shamsi Ali. Konjen RI sampaikan agar WNI selalu meningkatkan kebersamaan &amp;amp; menghargai perbedaan sehingga hidup harmonis antar sesama WN Indonesia &amp;amp; juga dgn WN Jerman</t>
  </si>
  <si>
    <t>Tolak WNI eks ISIS untuk pulang ke Indonesia karena sudah membakar Paspornya</t>
  </si>
  <si>
    <t>@palllatt jaldi hi kisi ISIS millitants k saath dekno ko milegi.... new suicide bomber</t>
  </si>
  <si>
    <t>@Ari_LennonStarr @oohakupergi @__karokekarokoe pantes jarang ketemu. dah gabung isis.</t>
  </si>
  <si>
    <t>@MonyongPutih @Brondongjagun12 @muthijairoi @onthesbrew @Tiara_jkt @mukidioon @Abidzar83049594 @aniesbaswedan @basuki_btp Perasaan jaman ahok gk ada soal HTI Dan ISIS. Yg ada adalah FPI yg mendukung anies. Blm lagi menggunakan ayat kitab suci untuk memilih pemimpin non kafir. Minoritas akan lebih memilih orang yg tdk melakukan hal tsb.</t>
  </si>
  <si>
    <t>Indonesia tolak pemulangan WNI eks ISIS</t>
  </si>
  <si>
    <t>@Danny278 Isis ni cirizin tiinin😒💔</t>
  </si>
  <si>
    <t>Maaf, tapi saya lebih tersentuh melihat video anak-anak yang orang tuanya menjadi korban teroris dibandingkan video anak ex-WNI yang gabung ISIS terus nangis-nangis minta pulang Buang2 waktu aja urusin pengkhianat negara RT @BBCIndonesia: [Video] Garil dan Sarah, yang orangtuanya menjadi korban Bom Bali 1 dan Bom Kuningan, bertemu dengan pelaku pengeboman. BBC mendapatkan izin dari BNPT dan Ditjen Pemasyarakatan untuk menyaksikan pertemuan ini. Video selengkapnya di YouTube BBC Indonesia, besok, Selasa (18/02).</t>
  </si>
  <si>
    <t>Kebijakan Pemerintah untuk tidak memulangkan Eks Wni telah melalui berbagai pertimbangan dan juga perhitungan</t>
  </si>
  <si>
    <t>@ArielFatR @Dedien5 @ustadtengkuzul Yang banyak PKI apa Isis ? Isis itu angin anginan ya?</t>
  </si>
  <si>
    <t>Anda memiliki ke takut tan yg berlebihan, ter hadap Anak" lucu kedengaran nya, anda memiliki pandang ngan yg picik, nga rasional,isis hanya Akan menjadi sejarah kelam dunia,jgn pesimis.</t>
  </si>
  <si>
    <t>@Ndrews1162011 @Brondongjagun12 @muthijairoi @onthesbrew @Tiara_jkt @mukidioon @Abidzar83049594 @aniesbaswedan @basuki_btp kampanye Ahok adalah fear mongering dgn fitnah. Menakut2i minoritas dgn mengatakan bahwa kalau bukan Ahok maka hidup mereka akan makin susah. In many ways cara kampanye ini digunakan wiwi jg dgn issue HTI dan isas isis itu. Bahkan sampai skrg</t>
  </si>
  <si>
    <t>RT @hasmi_bakhtiar: Kasus terbaru ketika Belanda ingin mencabut kewarganegaraan eks ISIS. Pemerintah Belanda jungkir balik tetap ga bisa sampai akhirnya hanya mencabut kewarganegaraan 4 eks ISIS yang juga punya kewarganegaraan Maroko. Sisanya ga bisa dicabut kecuali Belanda mau berurusan dg hukum.</t>
  </si>
  <si>
    <t>@Akhlak_ahmed @SAQUIBK17934861 @ashokepandit Ha ha ye kaun bol rha hai...Jo poori duniya mai bdnaam hai vo community. 9/11 , 26/11 , ISIS etc etc.</t>
  </si>
  <si>
    <t>RT @dw_indonesia: Sabtu (15/02), 238 orang WNI yang selama dua pekan terakhir menjalani karantina di #Natuna, Riau akhirnya diizinkan kembali. Kedatangan mereka di Lanud Halim Perdanakusuma disambut hangat keluarga. #CoronaVirus © BNPB @BNPB_Indonesia</t>
  </si>
  <si>
    <t>@detikcom Sudah Pak, biarkan mereka disana saja. Teori deradikalisasi belum tentu menjamin doktrin ISIS yang sudah tertanam dlm otak mereka bisa terhapus seketika. Atau mungkin njenengan memang punya tujuan lain? @MardaniAliSera</t>
  </si>
  <si>
    <t>RT @mediaindonesia: Setibanya di Bandara Tianhe Wuhan, dia bersama awak kabin lainnya harus menunggu 8 jam sebelum WNI masuk ke pesawat.</t>
  </si>
  <si>
    <t>RT @vctrkmng: Tapi euG juga nda setuju sama netyjen yang pesimis: “nanti sampe di Indonesia itu ex ISIS mau kerja apaan??”. Masi banyak peluang koq. Contoh jadi vlogger/yucuber dengan konten: geruduk rumah artis w/ex ISIS, unboxing w/ex ISIS, Carpool Karaoke w/ex ISIS, kulineran w/ex ISIS, dll</t>
  </si>
  <si>
    <t>Setibanya di Bandara Tianhe Wuhan, dia bersama awak kabin lainnya harus menunggu 8 jam sebelum WNI masuk ke pesawat.</t>
  </si>
  <si>
    <t>Blum smp 1/2 taon Idlib dibebasin dr isis oleh alliansi amerika dkk,sekrg pasukan bashir yg gempur idlib,dlm suhu dibwh 0°,900rb smp 1jt org mengungsi dr suriah utara,beberp anak meninggal krn kedinginan,CNN: Horror humanity...</t>
  </si>
  <si>
    <t>Kemlu Kirim 80 Ribu Masker untuk WNI di Hong Kong dan Taiwan</t>
  </si>
  <si>
    <t>WNI Gabung ISIS Otomatis Hilang Kewarganegaraan  lewat @Aswaja Muda</t>
  </si>
  <si>
    <t>Indonesia pantau kondisi WNI kru kapal Diamond Princess &amp; Westerdam yang dikarantina  #VirusCorona</t>
  </si>
  <si>
    <t>@KakekHalal @basuki_btp @erickthohir Ngejagoin @ridwankamil ntar malah masukin ex ISIS dan mulailah bledug sini bledug sana...😁</t>
  </si>
  <si>
    <t>@gnuman1979 ISIS Season or Al-Qeda Season ? Huh..</t>
  </si>
  <si>
    <t>@_reyhanee pen jadi anggota isis</t>
  </si>
  <si>
    <t>@kangdede78 @shireenwisnu17 @4Y4NKZ @heniunique @myozhyme @baby_alien28 @SalmaBrecht @DiajengLrst @Najwa_faisa @Widyarenee @MrsRachelIn @sandra_le90 Waktu mgkn bkn wni mas 😑</t>
  </si>
  <si>
    <t>RT @HuergaIsis: Alexia 2017/ Isis 2020</t>
  </si>
  <si>
    <t>RT @utopia212219: 💞Kisah Cinta Tertinggal di Hanggar Pesawat..Bukan lantaran Cinta Datang Tak Pernah Tepat Waktu Namun Karantina Menyatukan Hati Mereka Di Tepian Natuna Dari Discover di Google</t>
  </si>
  <si>
    <t>@kamentrader banyak gue lihat tentang nih berita bang, biar apa ya @BBCIndonesia ? ada orderan up nih berita ? klo sampe pemerintah pulangin ex isis fix nih pemerintah gk pantas didukung sedikitpun.</t>
  </si>
  <si>
    <t>@ajay_xl @SureshChavhanke 😂😂😂😂😂😂😂😂 ISIS Mental Indian Tu Nhi Hai Wo.</t>
  </si>
  <si>
    <t>@BudiRahadian5 @Apriil68 @ISIS_Balik_NO Emang kadrun itu manusia bro? Kayaknya sih bukan, Minggu kemarin kerja bakti kita bersih bersih kampung nemu kadrun bercampur tai kucing lantas kita buang saja ketempat sampah</t>
  </si>
  <si>
    <t>Negatif Virus Korona, 78 WNI di Kapal Diamond Princess Enggan Pulang</t>
  </si>
  <si>
    <t>@TukangMu @Apriil68 @ISIS_Balik_NO Urusan sama kadrun memang ribet semua dimusuhi, mereka dipenuhi amarah</t>
  </si>
  <si>
    <t>@CNNIndonesia halah tukang baiat ISIS, ikutan komentar dinegara thogut 🤪🤪🤪🤪</t>
  </si>
  <si>
    <t>@YohanesMariono @OldJoe771 @AnakKolong___ @fajar_istan @felixsiauw @ArieKuntung @sahouraxo #RingkusAlfianTanjung Kadrun berarti made in Kafir. Kafir triak kafir.. Huuu... Imam Besar Kadrun bela ISIS berarti bela Kafir. Karma tlah menimpa Kadrun. Azab ALLOH menimpamu Drun. #RingkusAlfianTanjung #RingkusAlfianTanjung</t>
  </si>
  <si>
    <t>Kemenhub Apresiasi Pihak yang Terlibat Evakuasi WNI di Wuhan</t>
  </si>
  <si>
    <t>Gobe munada wni daurin aure wannan ayyiriri dinnan nakeso🔥🔥 RT @Anche_ahmad: #NewProfilePic</t>
  </si>
  <si>
    <t>RT @hasyimmah: Masih pada ingat nggak sih bahwa Habib Riziq dulu juga pernah berorasi membela ISIS, membenarkan ISIS? Atau sudah pada berlagak lupa?</t>
  </si>
  <si>
    <t>@Kamrank34761950 @sambits90086777 @snatht @MeAliza18 @asadowaisi @PMOIndia Arrey tum bhi toh ISIS se linked ho, bagdadi ke foofaji</t>
  </si>
  <si>
    <t>@k4ng_C1reNG @dhe_enoily kirim ke Iraq Mosul... biar bersatu sma Isis khilafah system yg menjadi impiannya si Keledai ini</t>
  </si>
  <si>
    <t>Cegah Corona, Pemprov Jateng Kirim ribuan masker Ke WNI Luar Negeri</t>
  </si>
  <si>
    <t>Setelah karantina selesai, ada masa observasi selama 4 hari</t>
  </si>
  <si>
    <t>[Top3News] Ahok Dinilai Lebih Baik Atasi Banjir, WHO Puji Penyelamatan WNI, Jenderal Andika Menangis</t>
  </si>
  <si>
    <t>Jalani Observasi Terkait Virus Corona, Suhu Tubuh WNI di Natuna Diperiksa Dua Kali Sehari</t>
  </si>
  <si>
    <t>Kim jongin. Oh sehun. Jessicahinf. Isis luhan doktubgsoo zhsozfan Wang tivo สุดความสามารถของน้องแล้ว</t>
  </si>
  <si>
    <t>Inget banget diskusi soal wabah corona tadi. "Temenku bilang, satu kapal kena, WNI sehat-sehat saja." Dan sumpah aku terheran-heran ngakak karena resepnya adalah: Tolak Angin.</t>
  </si>
  <si>
    <t>“DILEMA REPATRIASI WNI EKS-ISIS” by Kastrat BEM FISIP 2020</t>
  </si>
  <si>
    <t>@KompasTV Simple saja isu pemulanagan anak isis indonesia di gunakan segelintir orang yg ingin menggoyang pemerintahan saat ini...</t>
  </si>
  <si>
    <t>Jateng Kirim Lebih dari 41 Ribu Masker untuk WNI di 3 Negara | Republika Online Mobile -</t>
  </si>
  <si>
    <t>Para WNI pengagum ISIS, jika ingin kembali, kembalilah pda Tuhan. Kembalilah pada kasih sayang Tuhan. Kendati engkau pernah jauh dari kasih, tetapi cinta Tuhan menantimu.Untuk kembali ke Indonesia masih banyak rakyat yg belum bisa menerima.Luka dan air mata belumlah kering benar.</t>
  </si>
  <si>
    <t>@TirtoID Giliran mau di eksekusi,teriak2 pengen pulang, Coba mereka menang,pasti mereka dg bangganya,besar kepalanya bilang klo kita negara Toghut. Eks Warga indonesia pro ISIS = Kotoran,sampah,tai lah halusnya,</t>
  </si>
  <si>
    <t>Kan mereka udah memilih secara sadar dan berakal dan paham akan konsekuensi yang akan diterima jadi ngapain dipermasalahkan lagi yaudah tinggal lah disana di "surga" mu eks anggota ISIS #WakBoy</t>
  </si>
  <si>
    <t>RT @vivanewscom: Ratusan WNI di Kapal Pesiar Westerdam Negatif Corona  #vivanews</t>
  </si>
  <si>
    <t>@DimasyFermana @Candraasmara85 Gak akan bisa.....Surganya beda.....mereka cari yg murahan...surga reject diskonan</t>
  </si>
  <si>
    <t>RT @XpetzD: jadi mulai sekarang STOP!!! ISAS-ISIS pak @mohmahfudmd @Kemenag_RI @wiranto1947 @ryamizard_r @prabowo @jokowi mulai fokus dgn negara ini jgn pengalihan isu. Udh gag mempan. kami ini cerdas2. Apa yg kalian rencanakan?Hancurkan negara ini utk diberikan ke cina?Kami memperhatikan!!</t>
  </si>
  <si>
    <t>RT @Mata_Har1: @Menlu_RI Jangan cuma ngasih tau "sudah minta informasi ke Govt. of Japan", share informasinya ke publik! U.S. sudah jemput warganya di Diamond Princess, ada rencana jemput WNI? @KBRITokyo @jokowi @KemenkesRI @KompasTV @CNNIndonesia @cnbcindonesia #CoronavirusOutbreak #coronavirus</t>
  </si>
  <si>
    <t>@tubagussalim @ISIS_Balik_NO Lah nulis statusnya di mana Kyai...apa depan rumah pake papan tulis..pastinya kan di medsos...lah HP yg dipake apa bikinan sendiri.🤔🤔🤣</t>
  </si>
  <si>
    <t>@ZeeshanWasim3 @asadowaisi @007AliSohrab @anuragkashyap72 @zeba_yasmeen @aimim_national @KashifNeta4 RSS or bajrang dal dono ko tum mullo k elava koi terrorist organization nhi kehta lekin al kaida jaish e Muhammad Isis etc jaisi organizations global Islamic terrorist organizations hai UN bhi inhe terrorist organization kehta hai koi esi Hindu terrorist organization bta bhai😂😂</t>
  </si>
  <si>
    <t>Alexia 2017/ Isis 2020  RT @_annsthetic: Ann 2015 / Ann 2020</t>
  </si>
  <si>
    <t>@qc_wang1688 @YRadianto Brrti msh kuat anak2 isis ya... Pegang senjata berat, nmbak nya jg mantep.</t>
  </si>
  <si>
    <t>Tindak tegas ISIS eks WNI yg memaksa masuk NKRI #TegasMenolakEksISIS</t>
  </si>
  <si>
    <t>💞Kisah Cinta Tertinggal di Hanggar Pesawat..Bukan lantaran Cinta Datang Tak Pernah Tepat Waktu Namun Karantina Menyatukan Hati Mereka Di Tepian Natuna Dari Discover di Google</t>
  </si>
  <si>
    <t>@k4ng_C1reNG @ISIS_Balik_NO Yang najis itu wajib d samak.</t>
  </si>
  <si>
    <t>@isis_artusi KAKAAKALQAKAKAAKAAKASKAKAKWAM ;-;</t>
  </si>
  <si>
    <t>@Aryprasetyo85 @basuki_btp Bisa dan boleh kan wni</t>
  </si>
  <si>
    <t>Ganjar Kirim 41.250 Masker Untuk WNI di Hongkong, Taiwan dan Singapura  #PDIPerjuangan</t>
  </si>
  <si>
    <t>@Apriil68 @ISIS_Balik_NO Ini baru Ustadz bro</t>
  </si>
  <si>
    <t>Siapa sih ini perwakilan dr partai warna biru ini.. malah mendukung pemulangan anggota isis .. Jangan sampe dipilih ini partai.. Apapun alasannya say no to pemulangan anggita isis.. mau bocah kek..mau bayi kek..</t>
  </si>
  <si>
    <t>@KompasTV Dari pada meributkan anak2 ex isis. Lebih bijak pemerintah memperhatikan warga korban bom teroris. Saat ini mereka masih menderita dan diabaikan oleh pemerintah.</t>
  </si>
  <si>
    <t>Ada beberapa yg follow gw, akunnya ke islamic2 gt. W parno isis;(</t>
  </si>
  <si>
    <t>Ambigu kaum anti pancasila disatu sisi menghujat dan mendemo tka dan turis China yg masuk Indonesia disisi lain mendukung pemulangan eks isis dari suriah..Maksudnya apa ya..</t>
  </si>
  <si>
    <t>@Zahrah40291660 @aniesbaswedan Itulah kenapa kemarin si Panjul bilang WNI keturunan China boleh jadi presiden.</t>
  </si>
  <si>
    <t>Menteri Perhubungan Budi Karya Sumadi memberikan penghargaan Adikarya Dirgantara Adhirajasa kepada 18 pilot dan kru pesawat Batik Air. Penghargaan itu diberikan karena bertugas membawa pulang 238 warga negara Indonesia (WNI) dari Provinsi Hubei, China.</t>
  </si>
  <si>
    <t>@KompasTV Penipuan,pengiriman wni, banyak yg terjebak, penyelundupan Atas Ajakan TKI.</t>
  </si>
  <si>
    <t>@YohanesMariono @BBCIndonesia yups, sel2 baru emg sulit bhkan kata Ali Imron jg kurang dr 5 menit bs dgn mudah dcuci otak tuk jd teroris.. apalagi ISIS ini lbh dahsyat terornya, beda dgn Al Qaeda.. td sy hny menambahkan info aja karna spertinya bnyk yg blm tau.. mkasih Mas 🙏</t>
  </si>
  <si>
    <t>@KompasTV Apakah program radikalisasi dinegeri ini sudah efektif ? Kok berani berspekulasi mau menerima anak2 ex isis ? Biaya yg selama ini telah dikeluarkan belum jelas hasilnya. Jangan2 ini hanya akal2 an oknum yg ingin meningkatkan anggaran untuk bancakan mereka2</t>
  </si>
  <si>
    <t>RT @iwufyou_: Kalo join ISIS = Ex WNI (automatically) Ex ISIS = ? Mau balik jadi WNI, walaupun udah keluar dari ISIS, emang bisa jamin kalo pahamnya gak akan nyebar? Tapi, mereka di pengungsian juga jadi beban buat negara sana. Pusing pusing dah.</t>
  </si>
  <si>
    <t>RT @mediaindonesia: “Mana ada hidup sebagai penerbang sipil tidur di barak. Ini pengalaman berharga dalam misi kemanusiaan,” kata Destyo</t>
  </si>
  <si>
    <t>Para simpatisan yg ingin kombatan ISIS balik ke tanah air. Nih, lihat! Pasukan Suriah Temukan Gudang ISIS Penuh Senjata Buatan Israel</t>
  </si>
  <si>
    <t>Setujukah kamu jika anak-anak eks ISIS dipulangkan ke Indonesia? Yuk, berikan alasan dan komentarmu dengan tagar #DuaArah dan ikuti pembahasannya sesaat lagi. live streaming:</t>
  </si>
  <si>
    <t>@WR_4AG226 Saya minta @PKSejahtera tidak menganggap enteng presiden yang sudah bekerja bersama jajaran eksekutif dan segenap yg terlibat mengevakuasi WNI dari wilayah outbreak Corona-2019</t>
  </si>
  <si>
    <t>@joaovmariga milagre!!! KKKAKQJWKWKAKAKAKAKEJ TO BRINCANDO</t>
  </si>
  <si>
    <t>RT @Beritasatu: Observasi Virus Korona Segera Berakhir, WNI di Diamond Princess Akan Dipulangkan</t>
  </si>
  <si>
    <t>@SururiWahyudi @mink_5 Cah isis ke?</t>
  </si>
  <si>
    <t>RT @Habib_NKRI: @Sabrina13579_ @afdal_officiale @zuhairimisrawi Dimana kamu @afdal_officiale BERDIRI? Ikut gembira? Atau sedih? ISIS LHO INI YG TELAH MEMBANTAI RATUSAN RIBU GAK SUNNI GAK SYIAH GAK KRISTEN, siapapun oleh isis dibantai! JAWAB DLM HATIMU! Masih saja nyesatin mazhab! Penyesatanmu tak merubah apapun,kecuali ilmu mu yg sok!</t>
  </si>
  <si>
    <t>@Sabrina13579_ @afdal_officiale @zuhairimisrawi Dimana kamu @afdal_officiale BERDIRI? Ikut gembira? Atau sedih? ISIS LHO INI YG TELAH MEMBANTAI RATUSAN RIBU GAK SUNNI GAK SYIAH GAK KRISTEN, siapapun oleh isis dibantai! JAWAB DLM HATIMU! Masih saja nyesatin mazhab! Penyesatanmu tak merubah apapun,kecuali ilmu mu yg sok!</t>
  </si>
  <si>
    <t>Menhub Beri Penghargaan 18 Kru Batik Air pada Misi Penjemputan WNI  @BatikAir</t>
  </si>
  <si>
    <t>Soal keWNan yang hilang, dia jelasin kalau u dalam dinas tentara asing (note it doesn't mention negara here) itu auto hilang status WNnya. Plus lagi dia berargumen bahwa ISIS itu merupakan bagian dari negara asing. Kalau kita mengambil sumpah = auto hilang status WN.</t>
  </si>
  <si>
    <t>WNI eks ISIS dilarang kembali ke tanah air, ok saya setuju. Begitupun dengan para penjahat, koruptor dan konco-konco lainnya tidak boleh tinggal di Indonesia. Teroris membunuh secara langsung. Koruptor membunuh perlahan-lahan dengan jumlah banyak. #NegaraDijajahKoruptor</t>
  </si>
  <si>
    <t>Podcast @asumsico soal ISIS terbaru bagus brow, ngundang Prof. Hikmahanto Juwana - jujur perspektif w soal ini mayan kebuka sih, dia pinter ngajuin gagasan soalnya.</t>
  </si>
  <si>
    <t>@KompasTV eks ISIS yg jmlnya &lt;700 adalah org2 yg telah tertanam budaya Indonesia. jutaan TKA illegal yg komunis aja diterima, dan dibiarkan.</t>
  </si>
  <si>
    <t>@Dinda_Dewi_Azaa @Rita__Arsanti Dina kamu mau ya seperti itu</t>
  </si>
  <si>
    <t>RT @MurtadhaOne1: Apalagi klo jamannya khilafah ISIS/HTI berani menghasut utk melawan khilafah langsung dihalakan darahnya😝</t>
  </si>
  <si>
    <t>Kak Seto dukung anak-anak eks ISIS dipulangkan</t>
  </si>
  <si>
    <t>RT @MurtadhaOne1: Makanya bersukurlah skrg ini masih rejim jokowi Klo dah rejim khilafah ISIS/HTI, yg berani menghasut dan provokasi utk lawan pemerintah bakal dihalalkan darahnya😝</t>
  </si>
  <si>
    <t>RT @kompascom: Penghargaan ini diberikan kepada 18 awak kabin Batik Air, Kementerian Luar Negeri, Kementerian Kesehatan, BNPB dan TNi Angkatan Udara.</t>
  </si>
  <si>
    <t>Menlu Retno Marsudi Pastikan 362 WNI Kru Kapal Pesiar MS Westerdam, Sehat</t>
  </si>
  <si>
    <t>RT @Habib_NKRI: @Sabrina13579_ @afdal_officiale @zuhairimisrawi Biar si mas @afdal_officiale jalan² sedikit ke Alepo sana! Lihat bagaimana kegembiraan mrk disana atas terbebasnya dr teroris isis! Sunni, syiah, kristen, alawi, bahkan yg lainnya lg bergabung masy merayakan mamposnya isis dr alepo! Lha kamu? Dimana?</t>
  </si>
  <si>
    <t>@Sabrina13579_ @afdal_officiale @zuhairimisrawi Biar si mas @afdal_officiale jalan² sedikit ke Alepo sana! Lihat bagaimana kegembiraan mrk disana atas terbebasnya dr teroris isis! Sunni, syiah, kristen, alawi, bahkan yg lainnya lg bergabung masy merayakan mamposnya isis dr alepo! Lha kamu? Dimana? RT @sahouraxo: Beautiful news out of #Syria! Syrians are out in the streets tonight to celebrate the Syrian Army liberating the entirety of #Aleppo, freeing the last remaining pockets of the city that were still occupied by Al-Qaeda. Something that we won’t see on the likes of CNN or the BBC.</t>
  </si>
  <si>
    <t>#ommax share info WNI suspect kena virus corona. . . . Semoga Dugaan Meleset. @ Jakarta, Indonesia</t>
  </si>
  <si>
    <t>Penghargaan ini diberikan kepada 18 awak kabin Batik Air, Kementerian Luar Negeri, Kementerian Kesehatan, BNPB dan TNi Angkatan Udara.</t>
  </si>
  <si>
    <t>RT @kompasiana: Jangan Biarkan Kombatan ISIS Eks WNI Jadikan Indonesia sebagai Basis Barunya!</t>
  </si>
  <si>
    <t>@muttle9 @LusiHQ @ArisKarisma @spektrumku @Ndrews1162011 Emang yg bs keblinger itu cuma ateis doang? noohh... liat tuh ISIS, Boko Haram, FPI dan sejenisnya... umat loe yg katanya beragama juga banyak yg keblinger.</t>
  </si>
  <si>
    <t>@dikakush @kaesangp Saya merasa sangat terbantu dgn twit @kaesangp , sy tdk melamar di kantor dia di kantor lain. Beruntung sy baca twit dia sblm kirim email. Jd jgn trll berpikiran sempit dgn mendiskriminasikn dia anak presiden. Enak bgitu bgitu, anda kn g tau hidpny gmn. Bgi sy dia manusia &amp; wni.</t>
  </si>
  <si>
    <t>@jokowi Amin....semoga para penjemput diberikan kesehatan dan perlindungan semua, dan para wni semua juga diberikan sehat terhindar dri virus ...Amin</t>
  </si>
  <si>
    <t>RT @ayudewi07162054: Keputusan pemerintah utk tdk memulangkan eks isis sudah sangat tepat #indonesiasatu #AwasAntek2ISIS #IndoPromoter</t>
  </si>
  <si>
    <t>bbc lg gencar ngangkat berita soal terorisme ... ini lanjutan dr konten yg interview soal isis mau balik.. sedih ya ngeliat korban. RT @BBCIndonesia: [Video] Garil dan Sarah, yang orangtuanya menjadi korban Bom Bali 1 dan Bom Kuningan, bertemu dengan pelaku pengeboman. BBC mendapatkan izin dari BNPT dan Ditjen Pemasyarakatan untuk menyaksikan pertemuan ini. Video selengkapnya di YouTube BBC Indonesia, besok, Selasa (18/02).</t>
  </si>
  <si>
    <t>@bramness Baru sadar klau aku WNI Makasih teh😭😭😂</t>
  </si>
  <si>
    <t>BudiKaryaS:Kami kemenhub151 memberikan penghargaan kepada 18 kru dari Maskapai Batik Air BatikAirID yang melakukan penerbangan misi kemanusiaan untuk menjemput Warga Negara Indonesia (WNI) di Wuhan, Tiongkok.  RT @BudiKaryaS: Kami @kemenhub151 memberikan penghargaan kepada 18 kru dari Maskapai Batik Air @BatikAirID yang melakukan penerbangan misi kemanusiaan untuk menjemput Warga Negara Indonesia (WNI) di Wuhan, Tiongkok.</t>
  </si>
  <si>
    <t>Pemerintah Beri Penghargaan ke Awak Kabin yang Bantu Evakuasi WNI Dari Wuhan</t>
  </si>
  <si>
    <t>RT @kompascom: Menteri Luar Negeri Retno Marsudi menyatakan, 27 WNI yang jadi anak buah kapal (ABK) di Kapal Pesiar Holland America MS Westerdam dinyatakan sehat.</t>
  </si>
  <si>
    <t>@yudampradana @NanaSut79405866 @DyahIrawatiNug1 @Anaksemut4 @RamliRizal @AXA_Mandiri @nadrpalupi Iya saya tahu ada hal yg lebih penting dikerjakan oleh cebong togog dan para junjungan kalian seperti jualan radikal radikul,jualan ISIS HTI,jualan intoleransi,teriak2 NKRI Harga Mati ternyata Korupsi,teriak2 Pancasilais ternyata membolehkan faham Komunis 😝😁😄😆</t>
  </si>
  <si>
    <t>VIDEO - Inilah Data 233 WNI Asal Provinsi yang Dievakuasi Akibat Virus Corona Wuhan</t>
  </si>
  <si>
    <t>RT @dw_indonesia: Rasa lega mewarnai pertemuan tiga WNI dengan keluarga mereka pasca mengikuti karantina selama 14 hari di Natuna, Kep. Riau. Ketiganya adalah mahasiswa kedokteran di Universitas Hubei yang dievakuasi pemerintah akibat epidemi #viruscorona di Cina.</t>
  </si>
  <si>
    <t>RT @Ireneviena_: Isu ISIS adalah ciptaan genk jenderal merah utk memfitnah umat Islam RI agar elit politisi militer tetap jadi penguasa RI di balik rezim proksi Banyak pihak berkepentingan dgn rekayasa isu ISIS baik terkait anggaran atau kepentingan politik Basi !</t>
  </si>
  <si>
    <t>RT @Ireneviena_: Isu WNI jadi anggota ISIS pertama kali mencuat lewat pemberitaan hoax di media massa akhir 2014 Disebutkan 6 anggota ISIS ditangkap saat mau berangkat ke Suriah Eh ternyata mereka calon TKI Di persidangan terbukti mereka bukan ISIS dan hanya dikenakan dakwaan pemalsuan paspor</t>
  </si>
  <si>
    <t>Polri akan tindak tegas wni eks isi yg mencoba kembali</t>
  </si>
  <si>
    <t>RT @Ireneviena_: Isu ISIS digoreng lagi Padahal semua lembaga peneliti internasional sudah lama menegaskan bahwa tidak ada WNi jadi milisi ISIS. Disebutkan bahwa paling banyak 15 WNI terlibat ISIS namun keterlibatan mereka tidak diketahui apakah mendukung ISIS atau memerangi ISIS</t>
  </si>
  <si>
    <t>RT @Jean_Aprilia97: Alasan Jokowi menolak memulangkan Eks Isis karena ingin melindungi 260 juta rakyat indonesia. Lebih dari 500 org meninggal disaat pemilu dan puluhan org meninggal saat demo ..anda kemana pak? Puluhan org dibantai di papua..anda kemana??</t>
  </si>
  <si>
    <t>@XIII_kamp @zarazettirazr Lain halnya ketika ISIS masih berkuasa,mereka minta pulang karna alasan tidak sejalan dgan ISIS,karna perbuatan ISIS kejam,dan mereka merasa terjebak,itu masih bisa kita perjuangkan,,</t>
  </si>
  <si>
    <t>RT @Jean_Aprilia97: ▫31 Januari 2020. Corona jadi darurat Global..jokowi minta Cabut Visa Bebas Warga China. ▫14 Februari 2020 Akibat Corona Pengurusan Izin Tinggal untuk WN China Di gratis kan. Ngk ngerti lagi dah...🙄 🗣Demi China saya rela warga sya kena Corona,tapi tdk untuk WNI eks Isis</t>
  </si>
  <si>
    <t>RT @thetimeshaft_: @bestlegendman1 @aji__x__saka @jasroel @spiderr__matrix @H4l1mun_D1n61n @yusuf_dumdum @LuwitaEmilly878 @Lumbalaut1 @kangenband123 @Adipativan @vincent_ves @YRadianto @ayah_9Garislucu @Ajiesara @DiantyYasmin3 @Diana_GarisImut @viviandeella @Ji3_RebOrn @gelangbesi @papih_f41th @edotssss @snjayajonggrang @johhhnygudhel @IrmaHKds Lah udah dijelasin sama dia kan...? Ini saya kasih satu sumber berita....kalo blm puas, saya kasih lagi yg lain nya...bukan web abal2...</t>
  </si>
  <si>
    <t>RT @Jean_Aprilia97: UU Nomor 12 tahun 2006. Poin d.WNI yg kehilangan status kewarganegaraan Indonesia dan Ingin memperoleh kembali Ke warga Negara an Republik Indonesia. Artinya jika mereka ingin kembali jd WNI masih ada kesempatan. Trgantung pemerintah mau atau tidak.</t>
  </si>
  <si>
    <t>Infografis ISIS dan Artefak yang Diluluhlantakan.</t>
  </si>
  <si>
    <t>Wakakakak.. survey konyol. Tentang pilwakot solo, mungkin yg di survey rakyat jkt sama papua. (Tak di jelaskan dimana survey tersebut di lakukan). Yg penting WNI. 😆😆 kek gini mau percaya survey? Cc: @msaid_didu</t>
  </si>
  <si>
    <t>RT @cnbcindonesia: Bagaimana Nasib 87 WNI di Kapal Pesiar Diamond Princess?</t>
  </si>
  <si>
    <t>RT @H4l1mun_D1n61n: @bestlegendman1 @thetimeshaft_ @aji__x__saka @jasroel @spiderr__matrix @yusuf_dumdum @LuwitaEmilly878 @Lumbalaut1 @kangenband123 @Adipativan @vincent_ves @YRadianto @ayah_9Garislucu @Ajiesara @DiantyYasmin3 @Diana_GarisImut @viviandeella @Ji3_RebOrn @gelangbesi @papih_f41th @edotssss @snjayajonggrang @johhhnygudhel @IrmaHKds Tolong anda jawab saja dng sederhana pertanyaan anda sendiri "apakah ISIS adalah Agama Islam atau bukan???</t>
  </si>
  <si>
    <t>RT @ahmadbepe1: Kalau WNI yg ini patut untuk dirangkul. Bukan WNI yg membakar paspornya.</t>
  </si>
  <si>
    <t>RT @cnbcindonesia: Menkes Terawan Siap Jemput 87 WNI yang Dikarantina Jepang</t>
  </si>
  <si>
    <t>Menhub Beri Penghargaan 18 Kru Batik Air pada Misi Penjemputan WNI - Berita Trans  lewat @beritatrans</t>
  </si>
  <si>
    <t>Warga Negara Indonesia (WNI) dari Wuhan, China yang diobservasi di Natuna, Kepulauan Riau telah selesai dikarantina selama 14 hari dan dinyatakan sehat serta terbebas dari virus corona.</t>
  </si>
  <si>
    <t>@thetimeshaft_ @H4l1mun_D1n61n @jasroel @spiderr__matrix @yusuf_dumdum @LuwitaEmilly878 @Lumbalaut1 @kangenband123 @Adipativan @vincent_ves @YRadianto @ayah_9Garislucu @Ajiesara @DiantyYasmin3 @Diana_GarisImut @viviandeella @Ji3_RebOrn @gelangbesi @papih_f41th @edotssss @snjayajonggrang @johhhnygudhel @IrmaHKds Tapi anda hingga saat ini tetap bungkam ditanyakan apakah ISIS adalah Agama Islam atau bukan??? anda hny tunjukin hal² yg lain.</t>
  </si>
  <si>
    <t>@TirtoID Warga ISIS EKS WNI harusnya. Kan secara sadar membakar paspor hehe</t>
  </si>
  <si>
    <t>RT @tyo_Nugr0z: @KadrunHunter99 @Bambali_Im @DivHumas_Polri sebaiknya mmg @jokowi hrs terapkan deradikalisasi bkn hny utk napi teroris tp pd ulama radikal...jk mmg membahayakan keutuhan NKRI maka selayaknya status WNI mrk dicabut dan dikirim ke suriah/palestina sesuai paham yg mrk yakini</t>
  </si>
  <si>
    <t>@jacklowokwaru @kompascom Terus 14 Kapal lainnya dan 5000 Crew WNI lainnya pa kabar?</t>
  </si>
  <si>
    <t>Nak, banyak yg menggebu2 berteori ttg bgmn CIA memfitnah PKI atas peristiwa G30SPKI, melalui suharto akhirnya blok barat menguasai indonesia. Nak, orang yg sama juga menolak teori bahwa CIA merekayasa ISIS dan Al qaeda untuk menguasai timur tengah. wkwkwkwk... org yg sama🤣</t>
  </si>
  <si>
    <t>@thetimeshaft_ @H4l1mun_D1n61n @jasroel @spiderr__matrix @yusuf_dumdum @LuwitaEmilly878 @Lumbalaut1 @kangenband123 @Adipativan @vincent_ves @YRadianto @ayah_9Garislucu @Ajiesara @DiantyYasmin3 @Diana_GarisImut @viviandeella @Ji3_RebOrn @gelangbesi @papih_f41th @edotssss @snjayajonggrang @johhhnygudhel @IrmaHKds Aku salut sama orang ini dia mengakui bahwa ISIS bukan Agama Islam👇 RT @Ngk0ng__R__R: @bestlegendman1 @H4l1mun_D1n61n @jasroel @spiderr__matrix @yusuf_dumdum @LuwitaEmilly878 @Lumbalaut1 @kangenband123 @Adipativan @vincent_ves @YRadianto @ayah_9Garislucu @Ajiesara @DiantyYasmin3 @Diana_GarisImut @viviandeella @Ji3_RebOrn @gelangbesi @papih_f41th @edotssss @snjayajonggrang @johhhnygudhel @IrmaHKds Bukan. Tapi mengatasnamakan Islam. Pertanyaan gue, kenapa banyak saudara kita ikut mereka?</t>
  </si>
  <si>
    <t>@reganfarma @hasmi_bakhtiar @mohmahfudmd @jokowi Plus juga isis ... , Dan yang terakhir anjing khawarij Muslim brotherhood yang dibacking Qatar Dan turki boncengi arab spring di negara2 Arab Demi tujuan jahat mereka ...</t>
  </si>
  <si>
    <t>WNI Yang Selesai Karantina Di Natuna Boleh Nonton Java Jazz #Natuna #VirusCorona #RepublikMerdeka #bacotsantuy #indonesia #openBO</t>
  </si>
  <si>
    <t>@pricvasi Jgn jgn dia sendiri yg isis</t>
  </si>
  <si>
    <t>@bestlegendman1 @thetimeshaft_ @aji__x__saka @jasroel @spiderr__matrix @yusuf_dumdum @LuwitaEmilly878 @Lumbalaut1 @kangenband123 @Adipativan @vincent_ves @YRadianto @ayah_9Garislucu @Ajiesara @DiantyYasmin3 @Diana_GarisImut @viviandeella @Ji3_RebOrn @gelangbesi @papih_f41th @edotssss @snjayajonggrang @johhhnygudhel @IrmaHKds Tolong anda jawab saja dng sederhana pertanyaan anda sendiri "apakah ISIS adalah Agama Islam atau bukan???</t>
  </si>
  <si>
    <t>@BiLLRaY2019 @kamto_adi Saya termasuk yg kemarin2 meragukan upaya pemulangan WNI Wuhan. Ternyata pelaksanaannua jauh lebih baik dari ekspektasi. Semoga bisa begini terus kerjasama antar kementrian di Indonesia!</t>
  </si>
  <si>
    <t>RT @tempodotco: Menteri Perhubungan Budi Karya Sumadi memberikan penghargaan Adikarya Dirgantara Adhirajasa kepada 18 kru penerbangan Batik Air</t>
  </si>
  <si>
    <t>@RadioSmartFM @CNNIndonesia ya 🤔prediksi saya salah berarti saya nebaknya 4.4% yang perlu ditebak itu alasannya apa ? perang dagang, krisis global, Venezuela, ISIS ,, Korona 😂🤣🤣🤣</t>
  </si>
  <si>
    <t>Ada 78 WNI di Kapal Pesiar Jepang, Tetap Was-was Meski Negatif Virus Corona</t>
  </si>
  <si>
    <t>RT @luahansemua: Jauhkan diri daripada orang yg -Pernah pergunakan kau -Penipu -Jatuhkan kau -Tak hormati kau</t>
  </si>
  <si>
    <t>@thetimeshaft_ @aji__x__saka @jasroel @spiderr__matrix @H4l1mun_D1n61n @yusuf_dumdum @LuwitaEmilly878 @Lumbalaut1 @kangenband123 @Adipativan @vincent_ves @YRadianto @ayah_9Garislucu @Ajiesara @DiantyYasmin3 @Diana_GarisImut @viviandeella @Ji3_RebOrn @gelangbesi @papih_f41th @edotssss @snjayajonggrang @johhhnygudhel @IrmaHKds Maksudnya??? Tiada istilah Islam garis keras? Yang ada dalam kitab suci Agama Islam hanya satu Agama yang di Ridhai ALLAH Ta'ala adalah "ISLAM" jawab saja dng sederhana "apakah ISIS adalah Agama Islam atau bukan???</t>
  </si>
  <si>
    <t>Teroris walaupun anak, kalau sudah tercemari pikiran teroris / isis, tetap saja namanya teroris, siapa pun pelakunya, tidak mungkin, tidak tercemari pikirannya dari orangtua khususnya #ISIS #janganpulangkanisis</t>
  </si>
  <si>
    <t>Menlu, Retno Marsudi menyebut 78 kru WNI di kapal pesiar Diamond Princess yang masih dikarantina di Pelabuhan Yokohama, Jepang dalam keadaan sehat dari virus corona. Nantinya WNI tersebut tidak perlu diobservasi di Indonesia usai diizinkan kembali ke Tanah Air. #MostUpdate1058</t>
  </si>
  <si>
    <t>RT @KompasTV: Pemerintah membuka opsi memulangkan anak-anak ISIS asal Indonesia. Langkah ini akan ditempuh scr kasus per kasus thd anak-anak yatim piatu yg berusia di bawah 10 tahun. Lantas, kriteria apa yg harus dipertimbangkan pemerintah utk memulangkan mereka? Nonton #DuaArah pkl 22.00 WIB</t>
  </si>
  <si>
    <t>RT @DsSupriyady: @muktarlim Kalau ada pemimpin yg melakukan sebaliknya...patut dipertimbangkan untuk dikirim ke ISIS!</t>
  </si>
  <si>
    <t>RT @tribunnews: Bos Lion Air Beri Rp 300 Juta Untuk Kru Pesawat yang Evakuasi WNI dari Wuhan China  via @tribunnews</t>
  </si>
  <si>
    <t>Pemerintah membuka opsi memulangkan anak-anak ISIS asal Indonesia. Langkah ini akan ditempuh scr kasus per kasus thd anak-anak yatim piatu yg berusia di bawah 10 tahun. Lantas, kriteria apa yg harus dipertimbangkan pemerintah utk memulangkan mereka? Nonton #DuaArah pkl 22.00 WIB</t>
  </si>
  <si>
    <t>Bos Lion Air Beri Rp 300 Juta Untuk Kru Pesawat yang Evakuasi WNI dari Wuhan China  via @tribunnews</t>
  </si>
  <si>
    <t>RT @JL_Apatheia: Pada koar-koar soal HAM anak ex ISIS, nawarin kerja di BUMN, gak ada yang nanyain gimana kabar anak korban bom? Oh iya mereka kafir Kafir bukan WNI, right? Teroris yang penting bukan kafir dianggap pahlawan, right?</t>
  </si>
  <si>
    <t>RT @cholis82: @elHurryKoRn Ini katanya sudah dideradikalisasi....lah mau bawa Kombatan ISIS ke Indonesia hayahhh...urus ustad ini aja gk bs</t>
  </si>
  <si>
    <t>@JASadique @TirtoID Iya, makanya gw bertanya. Gw sih sangsi, lah wong hukum buat melindungi korban WNI di Indo aja lemah apalagi ini kan korbannya WNA di LN lagi. Tp tetep kasian sih dengan anak2 yg under 12 gt. Biar bagaimanapun mereka gak bs menolak ortunya.</t>
  </si>
  <si>
    <t>RT @DiantyYasmin3: ISIS eks WNI nekat balik ke Indonesia Kabaharkam Polri tindak tegas Pokoknya kalau dia ada di Indonesia maka akan dilakukan tindakan." Setuju Indonesia hrs aman dr ISIS</t>
  </si>
  <si>
    <t>RT @thetimeshaft_: @bestlegendman1 @aji__x__saka @jasroel @spiderr__matrix @H4l1mun_D1n61n @yusuf_dumdum @LuwitaEmilly878 @Lumbalaut1 @kangenband123 @Adipativan @vincent_ves @YRadianto @ayah_9Garislucu @Ajiesara @DiantyYasmin3 @Diana_GarisImut @viviandeella @Ji3_RebOrn @gelangbesi @papih_f41th @edotssss @snjayajonggrang @johhhnygudhel @IrmaHKds Td nyuruh cari tau kan...? Sebelum anda nyuruh cari tau asal ISIS, ybs udah bilang duluan 👇👇</t>
  </si>
  <si>
    <t>RT @republikaonline: WNI eks Wuhan dalam kondisi sehat dan memiliki sertifikat sehat dari Kemenkes.</t>
  </si>
  <si>
    <t>RT @zandrianipisces: @AnakKolong___ @felixsiauw @ArieKuntung @sahouraxo Kadroon khilafuvk ISIS, Al Qawdahh udah gak lakuuhh di Suriah. Yg udah bakar pasport Indonesia pada ketakutan kena hukuman mati en pada mintak pulang.</t>
  </si>
  <si>
    <t>isis adalah orang yang pertama kali menerima ajaran sihir dari jim dialah yang mengajarkan ilmu sihir di babilonia dia dapat menyihir tali jadi ular karena jasanya kepada fir aun dia diambil istrinya</t>
  </si>
  <si>
    <t>Mengapa Pemerintah memutuskan untuk tidak memulangkan WNI Eks ISIS? Saksikan pembahasannya bersama Dalton, Sandiaga dan Sandrina di Hot Indonesia hanya di Youtube channel Talk Show tvOne klik . #HotIndonesiaOne</t>
  </si>
  <si>
    <t>@jasroel @bestlegendman1 @aji__x__saka @spiderr__matrix @H4l1mun_D1n61n @yusuf_dumdum @LuwitaEmilly878 @Lumbalaut1 @kangenband123 @Adipativan @vincent_ves @YRadianto @ayah_9Garislucu @Ajiesara @DiantyYasmin3 @Diana_GarisImut @viviandeella @Ji3_RebOrn @gelangbesi @papih_f41th @edotssss @snjayajonggrang @johhhnygudhel @IrmaHKds Lah tong....dia nanya karena menganggap kita keluarin statement bahwa ISIS adalah agama... Btw kalian sebenar nya ini mau adu argumen atau mempertontonkan goblogh nya kalian dah...??</t>
  </si>
  <si>
    <t>Karantina WNI di Kapal Pesiar Hampir Rampung, Tim Kemenkes Dikirim ke Tokyo</t>
  </si>
  <si>
    <t>@H4l1mun_D1n61n @thetimeshaft_ @jasroel @spiderr__matrix @yusuf_dumdum @LuwitaEmilly878 @Lumbalaut1 @kangenband123 @Adipativan @vincent_ves @YRadianto @ayah_9Garislucu @Ajiesara @DiantyYasmin3 @Diana_GarisImut @viviandeella @Ji3_RebOrn @gelangbesi @papih_f41th @edotssss @snjayajonggrang @johhhnygudhel @IrmaHKds Anda takut dng ISIS atau dng pertanyaanku??!!! Sebab hanya Agama lain yang mengatakan bahwa ISIS adalah Agama Islam. Dan aku mengatakan bhw ISIS, teroris serta penjahat Kemanusiaan adalah iblis berwujud Manusia. Aku tidak pernah takut dng ISIS, teroris dan penjahat Kemanusiaan</t>
  </si>
  <si>
    <t>Tindakan kyk gini menginspirasi ternyata dan ga kalah berbahaya sama ISIS, dkk; mulai dari Dylan Roof yg nembak Africa-American di gereja pake Glock, menginspirasi penembakan di Christchurch, skrg menginspirasi lg buat melakukan penembakan di Jerman.</t>
  </si>
  <si>
    <t>@TirtoID Lebih baik menolak dengan tegas daripada menerima dengan ragu2. Agak sulit menetralisir pandangan2 ISIS yang sudah mencuci otak mereka.</t>
  </si>
  <si>
    <t>@bestlegendman1 @aji__x__saka @jasroel @spiderr__matrix @H4l1mun_D1n61n @yusuf_dumdum @LuwitaEmilly878 @Lumbalaut1 @kangenband123 @Adipativan @vincent_ves @YRadianto @ayah_9Garislucu @Ajiesara @DiantyYasmin3 @Diana_GarisImut @viviandeella @Ji3_RebOrn @gelangbesi @papih_f41th @edotssss @snjayajonggrang @johhhnygudhel @IrmaHKds Td nyuruh cari tau kan...? Sebelum anda nyuruh cari tau asal ISIS, ybs udah bilang duluan 👇👇 RT @aji__x__saka: @jasroel @spiderr__matrix @H4l1mun_D1n61n @yusuf_dumdum @LuwitaEmilly878 @Lumbalaut1 @kangenband123 @Adipativan @vincent_ves @YRadianto @ayah_9Garislucu @Ajiesara @DiantyYasmin3 @Diana_GarisImut @viviandeella @Ji3_RebOrn @gelangbesi @papih_f41th @edotssss @snjayajonggrang @johhhnygudhel @IrmaHKds ISIS ini kelanjutan al - qaeda..islam garis keras/teroris. Kalu kamu bilang bikinan amerika,kenapa para ngarab itu mau,..? Artinya mereka itu buduh..</t>
  </si>
  <si>
    <t>RT @erikamelfa: Terimakasih utk semua penemu micin,penjual es &amp; makanan by abg2 gerobak,smw pemilik warteg dipinggir selokan,krn jasa anda2 slma inilah para WNI sdh dipersiapkan utk kebal dgn virus Corona😊</t>
  </si>
  <si>
    <t>Terimakasih utk semua penemu micin,penjual es &amp; makanan by abg2 gerobak,smw pemilik warteg dipinggir selokan,krn jasa anda2 slma inilah para WNI sdh dipersiapkan utk kebal dgn virus Corona😊 RT @kumparan: Total ada 362 WNI yang menjadi anak buah kapal yang disebut membawa seorang pasien virus corona itu.</t>
  </si>
  <si>
    <t>Evakuasi WNI di Wuhan, 18 Awak Pesawat Batik Air Dapat Penghargaan dan Bonus</t>
  </si>
  <si>
    <t>@P3nj3l4j4h_id Mungkin Majelis Ulama Isis</t>
  </si>
  <si>
    <t>Pemerintah bakal pulangkan anak-anak di bawah 10 tahun</t>
  </si>
  <si>
    <t>@RizmaWidiono @HendarwatiH @DivHumas_Polri @BareskrimPolri @CCICPolri Ini ANJING ISIS udah masuk Pak BUNGKUS aja #RingkusAlfianTanjung</t>
  </si>
  <si>
    <t>@BBCIndonesia Cobaaaaa cobaaa diliaat ini yg isisnya masih ada di Indonesia aja tatapannya tajem banget ga tau deh hati nya udah taubat atau belum, gimaaana nnti isis yg katanya minta di pulangin ke indonesia itu 😭😭 serem akutuh</t>
  </si>
  <si>
    <t>@AtikaFaya Instansi ini kyknya sdh trpapar radikal..coba yg di dlm negri dulu bnrin pak...itu bnyk anak yg dibuly bnyk anak trlntar ini kok mlh urusin anak exs isis coba deh bpk tonton itu video anak2 isis yg umur 10th sdh mahir pgang senpi pistol dan laras panjang. Apa mau nkri ini hancur</t>
  </si>
  <si>
    <t>@Naizarusama Dan jawabannya yg paling tepat adalah . "Tolak angin , antangin , bintang toejoe mengandung bahan tersebut. Maka dr itu kenapa para WNI di kapal pesiar bnyk yg aman :")</t>
  </si>
  <si>
    <t>RT @JatengOpini: Pemprov Jateng Mengirim bantuan masker Oleh Gubernur Jateng @ganjarpranowo melalui Dinas Kesehatan Provinsi Jawa Tengah yang bekerja sama dgn Disnakertrans Prov Jateng untuk WNI yg berada di Taiwan, Hongkong &amp; Singapura. Semoga bermanfaat ya . 😊</t>
  </si>
  <si>
    <t>@jokowi Saya juga Pak @jokowi. Saya mau mengucapkan terima kasih banyak kepada Bapak/Ibu Saudara/i warga Natuna, beserta Bapak Bupati Natuna dan jajaran atas kebesaran hatinya telah memperbolehkan dan menerima para WNI dari Wuhan untuk diobservasi di daerah Bapak/Ibu.</t>
  </si>
  <si>
    <t>Menko Polhukam Mahfud MD menyatakan bahwa tidak akan ada pemulangan 689 WNI pendukung ISIS (12/2/2020). Namun pemerintah memberi pengecualian bagi anak di bawah usia 10 tahun, dengan catatan telah dilakukan profiling yang ketat. #Video #WaktunyaLokadata</t>
  </si>
  <si>
    <t>@kumparan @mohmahfudmd lu kapan mau ngomong Indonesia bebas korupsi tahun depan, Indonesia bebas dari kemiskinan pengangguran tahun depan, Indonesia sejajar dengan negara negara maju tahun depan.. Hadeh...duit pajak gw cuma ngempanin Narasi Radikal radikul, isas isis..ampun ini mah</t>
  </si>
  <si>
    <t>@KadrunHunter99 @Bambali_Im @DivHumas_Polri sebaiknya mmg @jokowi hrs terapkan deradikalisasi bkn hny utk napi teroris tp pd ulama radikal...jk mmg membahayakan keutuhan NKRI maka selayaknya status WNI mrk dicabut dan dikirim ke suriah/palestina sesuai paham yg mrk yakini</t>
  </si>
  <si>
    <t>Tak Hanya Indonesia, 88 Negara Tak Urus Warga Negara Eks ISIS  #teropongsenayan #TeropongTV #enakdibaca #perlu #tidakdusta</t>
  </si>
  <si>
    <t>RT @okezonenews: Menlu Sebut 362 WNI di Kapal Westerdam Tidak Terinfeksi Virus Korona #TauCepatTanpaBatas #BeritaTerkini #Berita #News #BeritaNasional .</t>
  </si>
  <si>
    <t>RT @yudhapati88: @Iqbal__Kholidi @GagakNeww2 @AnakKolong___ Curut2 bongkrek ISIS , HTS memang dibackup Turkey ⬇️</t>
  </si>
  <si>
    <t>@Iqbal__Kholidi @GagakNeww2 @AnakKolong___ Curut2 bongkrek ISIS , HTS memang dibackup Turkey ⬇️ RT @DPRKJones: Militants used a #Turkey supplied M-113 in their counterattack today in #Aleppo. Notice the ISIS patch on one of the on one militants. These are now NATO's allies.</t>
  </si>
  <si>
    <t>@jasroel @spiderr__matrix @H4l1mun_D1n61n @yusuf_dumdum @LuwitaEmilly878 @Lumbalaut1 @kangenband123 @Adipativan @vincent_ves @YRadianto @ayah_9Garislucu @Ajiesara @DiantyYasmin3 @Diana_GarisImut @viviandeella @Ji3_RebOrn @gelangbesi @papih_f41th @edotssss @snjayajonggrang @johhhnygudhel @IrmaHKds Loe blm pernah denger Rizieq ceramah mendukung ISIS,drun? Tanya sama Rizieq kenapa dia mendukung ISIS</t>
  </si>
  <si>
    <t>@H4l1mun_D1n61n @jasroel @spiderr__matrix @yusuf_dumdum @LuwitaEmilly878 @Lumbalaut1 @kangenband123 @Adipativan @vincent_ves @YRadianto @ayah_9Garislucu @Ajiesara @DiantyYasmin3 @Diana_GarisImut @viviandeella @Ji3_RebOrn @gelangbesi @papih_f41th @edotssss @snjayajonggrang @johhhnygudhel @IrmaHKds ¹ Seberapa banyak yang ikut ISIS? ² Seberapa banyak Muslim di Indonesia? ³ Seberapa banyak Muslim di Dunia? ⁴ Pertanyaan terakhir seberapa banyak pengikut ISIS dibandingkan Ummat Islam di Dunia?</t>
  </si>
  <si>
    <t>78 WNI Awak Diamond Princess Bebas Osbervasi Virus Corona</t>
  </si>
  <si>
    <t>RT @yudhapati88: @GagakNeww2 @AnakKolong___ @wahhabicc_jabar @AhlulQohwah kelakuan curut2 bongkrek Daesh ISIS beserta genk pemberontak lainnya 7th yg lalu ⬇️</t>
  </si>
  <si>
    <t>@GagakNeww2 @AnakKolong___ @wahhabicc_jabar @AhlulQohwah kelakuan curut2 bongkrek Daesh ISIS beserta genk pemberontak lainnya 7th yg lalu ⬇️ RT @BBassem7: Today we avenge the heroes of Al Kindi Hospital, the soldiers that were slaughtered by our "rebels" Old video of what they did to our men</t>
  </si>
  <si>
    <t>Tolak Gabung, Anak Eks ISIS: mereka Potong Tangan dan Kaki Saya</t>
  </si>
  <si>
    <t>@AdjieSanPutro mau tau rasanya terbang seperti burung elang, menyusuri pantai selatan pulau dewata? Harga khusus untuk WNI, text me atau cek  atau IG baliparagliding. Di site kita, kalian bisa rasakan surga dunia, Site uluwatu atau Nusa dua.</t>
  </si>
  <si>
    <t>@VIVAcoid Dimulai jd Komut Pertamina, nurunin harga BBM, dipuja puji. Trus penangan banjir Jkrt lbh bagus Ahok drpd Anies. Trus WNI non Muslim bisa jadi Presiden klo rakyat menghendaki. Skrg blng Ahok sngt religius. Tukang poles mulai beraksi, tp Ahok ttp Nyungsep :))</t>
  </si>
  <si>
    <t>Menlu Sebut Masa Karantina 78 WNI di Kapal Diamond Princess Tersisa 2 Hari Lagi #TauCepatTanpaBatas #BeritaTerkini #Berita #News #BeritaNasional .</t>
  </si>
  <si>
    <t>@CNNIndonesia Cnn ga bosen2 deh bahas soal pulangin eks wni yg gabung isis.. mau nampung di kantor cnn?</t>
  </si>
  <si>
    <t>Jangan Biarkan Kombatan ISIS Eks WNI Jadikan Indonesia sebagai Basis Barunya!</t>
  </si>
  <si>
    <t>RT @dubie_tina: AWAS EKS ISIS NEKAT BALIK INDONESIA ! AYO KITA JAGA BERSAMA2 POLRI/TNI DAN INDONESIA 🇮🇩 HARUS BERSIH DARI KAUM ISIS TERORIS , AYO KITA WASPADA LAUTAN HUTAN PERBATASAN INDONESIA 🇮🇩 JGN SAMPAI MRK MASUK MELALUI OKNUM2 PENGHIANAT NKRI ! 👊👊✊✊💪💪🤟♥️🇮🇩🦅🇮🇩♥️</t>
  </si>
  <si>
    <t>Mungkin tidak cukup karena permintaan lebih banyak. Setidaknya bs sedikit membantu saudara2 kita di Hongkong, Taiwan, dan Singapura</t>
  </si>
  <si>
    <t>RT @alea7101: Dear Pak Presiden @jokowi saya sbgai WNI menolak pernyataan bpk tentang "Masyarakat Indonesia penuh dengan toleransi" di media BBC News. krn kenyataannya telah terjadi penolakan pembangunan Gereja Katolik Santo Yosep di Karimun. saya sangat kecewa..</t>
  </si>
  <si>
    <t>Jangan Biarkan Kombatan ISIS Eks WNI Jadikan Indonesia sebagai Basis Barunya!  #Kombatan #4niesJawaraNgibul</t>
  </si>
  <si>
    <t>@tuliippiiaa Penak njir isis</t>
  </si>
  <si>
    <t>@tempodotco Klo masalah eks anggota ISIS ini saya setuju mereka tdk di pulangkan, karena sejatinya mereka telah memilih bergabung menjadi warga negara Islam ISIS dan dgn sengaja memisahkan diri dari Indonesia. beda dengan yg niatnya jihad membantu Palestina. mereka tetap memilih menjadi WNI.</t>
  </si>
  <si>
    <t>Seandainya Orang2 ISIS dipulangkan pasti akan berbuat yang sama, mengulang perbuatannya, bukan cuma mencaci maki tapi membom, menteror dan menghancurkan NKRI RT @CH_chotimah: Sdh pernah minta maaf karna asal tuduh orang PKI. Sdh pernah dipenjara Krn fitnah Jkw Ahok PKI. Skrng dia melakukan lagi. Ini contoh orang yg merugi, yg ga bisa ambil pelajaran dr keburukan yg dia lakukan. @DivHumas_Polri @CCICPolri @BareskrimPolri Tolong #RingkusAlfianTanjung.🙏</t>
  </si>
  <si>
    <t>#PrimeTalkMetroTV "Saya mengucapkan terima kasih kepada dr. Budi karena sudah berjuang untuk mengevakuasi kami para WNI yang berada di Kota Wuhan dengan sepenuh hati, peduli, dan menjaga kita." Brandy Juan, Peserta Observasi di Natuna. Live Streaming:</t>
  </si>
  <si>
    <t>RT @KompasTV: Setujukah kamu jika anak-anak eks ISIS dipulangkan ke Indonesia? Yuk, berikan alasan dan komentarmu dengan tagar #DuaArah dan ikuti pembahasannya malam ini pkl 22.00 WIB.</t>
  </si>
  <si>
    <t>@kumparan Jemput dah Ex- WNI di Suriah kalau berani. Katanya tidak takut? Jangan gede di mulut doang</t>
  </si>
  <si>
    <t>Hiszbut tahrir. Isis dan fpi blm ada pesanan. Maka mereka tdk kesana. Takut mati bung</t>
  </si>
  <si>
    <t>Jateng Kirim Lebih dari 41 Ribu Masker untuk WNI di 3 Negara | Republika Online Mobile</t>
  </si>
  <si>
    <t>@Bentalakelam @OldJoe771 @AnakKolong___ @fajar_istan @felixsiauw @ArieKuntung @sahouraxo Wkwkwkw.....ISIS buat USA tp bnyak Kadrun yg ikut gabung ISIS dan muji2 ISIS...🤣🤣🤣 otak kadrun gobloknya murni</t>
  </si>
  <si>
    <t>@axelsusanto_ @gombo_yaiper @VeronicaKoman @jokowi @mohmahfudmd Anda orang medan lalu hijrah ke bandung , Bandung minta merdeka lalu usir semua warga pendatang dari medan , apakah bisa ? Negara wajib jamin keamanan setiap wni tanpa pandang bulu , ini pointnya ....</t>
  </si>
  <si>
    <t>Menlu Sebut 362 WNI di Kapal Westerdam Tidak Terinfeksi Virus Korona #TauCepatTanpaBatas #BeritaTerkini #Berita #News #BeritaNasional .</t>
  </si>
  <si>
    <t>@BBCIndonesia sementara gerombolan fadli zon laknat mau bikin pulang isis ex-wni</t>
  </si>
  <si>
    <t>@geraldineventi @FaGtng @Aryprasetyo85 @P3nj3l4j4h_id @Adipativan @ApriliaLin @NannyAlexendry Kalo bisa, sesama akun NKRI jangan saling ribut terus sih, tetap kawal pemerintahan. Jgan sampai nanti kita sibuk ribut sendiri, tau2 ISIS nya udh smpe ke indonesia. Waspada. Mereka selalu mencari kesempatan 👌 Salam damai 1 negri 🤟</t>
  </si>
  <si>
    <t>Unpopular opinion : Gw percaya Indonesia memang belum kena corona. Bahkan dari ratusan penumpang dan crew yg udah terjangkit dan dikarantina di kapal pesiar di Jepang, belum ada satupun WNI yang kena. Otoritas Jepang lho ini..</t>
  </si>
  <si>
    <t>RT @kompascom: "Tim kami dari KBRI Tokyo terus melakukan komunikasi dengan 78 kru WNI tersebut, bahkan kita sempat mengirim beberapa keperluan logistik mereka,"</t>
  </si>
  <si>
    <t>RT @Metro_TV: #PrimeTalkMetroTV Juan dan 285 WNI lainnya harus menjalani observasi kesehatan di Kabupaten Natuna, Kep. Riau. 14 hari observasi sesuai standar WHO, Juan bersama peserta lainnya harus menjalani berbagai kegiatan yang diatur oleh Kemenkes. Live Streaming:</t>
  </si>
  <si>
    <t>RT @kompascom: Kemen PPPA meminta pemerintah melakukan asesmen secara detail sebelum memulangkan anak-anak dari WNI terduga teroris.</t>
  </si>
  <si>
    <t>Setujukah kamu jika anak-anak eks ISIS dipulangkan ke Indonesia? Yuk, berikan alasan dan komentarmu dengan tagar #DuaArah dan ikuti pembahasannya malam ini pkl 22.00 WIB.</t>
  </si>
  <si>
    <t>#PrimeTalkMetroTV Juan dan 285 WNI lainnya harus menjalani observasi kesehatan di Kabupaten Natuna, Kep. Riau. 14 hari observasi sesuai standar WHO, Juan bersama peserta lainnya harus menjalani berbagai kegiatan yang diatur oleh Kemenkes. Live Streaming:</t>
  </si>
  <si>
    <t>@_garuda501 Omnibus Law sederhananya penyederhanaan UU mbah, jadi ada bbrp UU dijadikan satu. Ini salah satu RUU yg gw gak setuju, "Perlindungan thd Ulama" Maksudnya apa? kepastian hukum itu milik setiap WNI (bukan golongan) kalo ada indikasi kriminalisasi kenapa gak pake UU yg umum saja?</t>
  </si>
  <si>
    <t>RT @Metro_TV: #PrimeTalkMetroTV KBRI &amp; Persatuan Pelajar Indonesia di Tiongkok terus memberikan pemantauan dan sosialisasi mengenai wabah #VirusCorona. Tak berselang lama, pada 1 Februari pemerintah Indonesia menjemput para WNI di Wuhan. Live Streaming:</t>
  </si>
  <si>
    <t>Kalau memang kalian mencintai NKRI stop ngutangnya stop TKA beri kesempatan kepada WNI unt berprestasi,bekerja di negaranya sendiri,,,bukan di beri gaji...</t>
  </si>
  <si>
    <t>kebahagiaan terbebas dari isis isis yg gak mungkin diinfokan oleh para pendukung isis di sini RT @sahouraxo: Beautiful news out of #Syria! Syrians are out in the streets tonight to celebrate the Syrian Army liberating the entirety of #Aleppo, freeing the last remaining pockets of the city that were still occupied by Al-Qaeda. Something that we won’t see on the likes of CNN or the BBC.</t>
  </si>
  <si>
    <t>[VIDEO] Tangis Bahagia WNI Lulus Observasi di Natuna</t>
  </si>
  <si>
    <t>#ommax share info . . Jakarta - Pemerintah Indonesia mengonfirmasi ada 362 WNI yang bekerja sebagai kru kapal pesiar MS Westerdam yang berlabuh di Kamboja. Pemerintah memastikan mereka dalam keadaan sehat dan tidak…</t>
  </si>
  <si>
    <t>@hnurwahid Mesin ketiknya kadrun, radikal, ISIS, intoleran dan bla bla RT @hnurwahid: “Mahfud: Mungkin Salah Ketik, UU tak Bisa Diganti dengan PP”. Unt hal sepenting ini, bila benar salah ketik, maka itu kesalahan fatal. Penting diusut siapa pelaku salah ketik itu, unt kemudian diberikan sanksi, agar tak pd sembrono, dan tak terulang lagi.</t>
  </si>
  <si>
    <t>@jasroel @spiderr__matrix @H4l1mun_D1n61n @yusuf_dumdum @LuwitaEmilly878 @Lumbalaut1 @kangenband123 @Adipativan @vincent_ves @YRadianto @ayah_9Garislucu @Ajiesara @DiantyYasmin3 @Diana_GarisImut @viviandeella @Ji3_RebOrn @gelangbesi @papih_f41th @edotssss @snjayajonggrang @johhhnygudhel @IrmaHKds ISIS ini kelanjutan al - qaeda..islam garis keras/teroris. Kalu kamu bilang bikinan amerika,kenapa para ngarab itu mau,..? Artinya mereka itu buduh..</t>
  </si>
  <si>
    <t>RT @HmfaqihA: Apa pendapatmu tentang pemulangan WNI eks ISIS oleh Pemerintah.? pendapatku "SANGAT TIDAK SETUJU" dengan alasan mereka sudah membakar passport dan keluar dari kewarganegaraan Indonesia(bukan WNI lagi) Silahkan pilih.. Dan argumentasinya</t>
  </si>
  <si>
    <t>Masker dari Jateng akan dikirim ke Hong Kong, Taiwan, dan Singapura.</t>
  </si>
  <si>
    <t>gereja ditolak imb mushola dibuat. banjir dki akibat gubernur yang ujub, takabur dan merasa telah berbuat banyak. catur haram harley halal. Jangankan surga, sekedar kasur empuk dan canda tawa saja tidak ada di negara isis. RT @jokoanwar: Pagi, teman-teman. Tahun ini bikin film apa enaknya kita?</t>
  </si>
  <si>
    <t>RT @ApriliaLin: Fadli Zon ini ngaco.. Kemarin mendukung pemulangan anggota ISIS. Sekarang mempertanyakan program deradikalisasi? Sudah tahu program deradikalisasi itu gagal malah mendukung pemulangan anggota ISIS. Bukankah itu namanya diaanncuk tenan..!! #TolakAnakISISKembali</t>
  </si>
  <si>
    <t>Salah satu alasan pemerintah menolak kepulangan eks warga negara Indonesia yang telah bergabung dengan kelompok Islamic State in Iraq and Syria (ISIS) adalah karena meragukan itikad baik mereka untuk tidak melakukan…</t>
  </si>
  <si>
    <t>@LisaAmartatara3 Survei Indo Barometer dilakukan pd 9-15 Jan 2020. Survei melibatkan 1.200 responden yg berasal dr 34 provinsi d Indonesia. Responden survei adlh WNI yg sdh mempunyai hak pilih berdasarkan peraturan yg berlaku. Metode penarikan sampel yg digunakan adlh multistage random sampling.</t>
  </si>
  <si>
    <t>@KompasTV Perlu lah , mumpung mereka belum terinfeksi 100% virus ISIS, mereka harus mendapatkan kelurusannya kembali</t>
  </si>
  <si>
    <t>@itimaliasof Isis posuda</t>
  </si>
  <si>
    <t>Usai Tugas Evakuasi WNI Wuhan di Natuna, 25 Crew TNIAU Balik Ke Base Camp</t>
  </si>
  <si>
    <t>RT @spiderr__matrix: @jasroel @H4l1mun_D1n61n @yusuf_dumdum @LuwitaEmilly878 @Lumbalaut1 @kangenband123 @Adipativan @vincent_ves @YRadianto @ayah_9Garislucu @Ajiesara @DiantyYasmin3 @Diana_GarisImut @viviandeella @Ji3_RebOrn @gelangbesi @papih_f41th @edotssss @snjayajonggrang @johhhnygudhel @IrmaHKds Peak loe drun..nyata ISIS mau bangun daulah islam drun...</t>
  </si>
  <si>
    <t>@SeruniPuspaAlam @mblusuk_mblusuk Dlm kontek WNI etnis China, kan mengacu pd hukum kenegaraan kita. Selesai! Tapi dlm kontek negara China, justru semakin lengket. Bukti yg medasari itu bukan kata" ogah dg china, tapi fakta, kita makin konsumtif dan membutuhkan China.'Mulai dari invest sd produk brng'impor dr sana</t>
  </si>
  <si>
    <t>DITEMUKAN RUMAH ISIS Telah ditemukan rumah Isis. Rumah ini mudah diterobos dari berbagai arah oleh angin. Sehingga penghuni ruma ini terasa ISIS. #ISISGoToHell</t>
  </si>
  <si>
    <t>@jasroel @spiderr__matrix @yusuf_dumdum @LuwitaEmilly878 @Lumbalaut1 @kangenband123 @Adipativan @vincent_ves @YRadianto @ayah_9Garislucu @Ajiesara @DiantyYasmin3 @Diana_GarisImut @viviandeella @Ji3_RebOrn @gelangbesi @papih_f41th @edotssss @snjayajonggrang @johhhnygudhel @IrmaHKds Sekarang sudah kalah bilang buatan Amerika, kemaren-kemaren malah banyak yang ikut ISIS ke suriah. Promotor dan presiden nya ada di Indonesia cheap apa itu yang orang Cianjur. 🤣🤣🤣🤣</t>
  </si>
  <si>
    <t>@wahhabicc_jabar Ada jutaan kadal gurun di negeri +62 yg bersedih dg kalahnya ISIS,skg mereka sibuk kampanye di medsos ttg pemulangan bangsat2 sodara mereka,didukung din jamudin mantan ketua muhammadiyah</t>
  </si>
  <si>
    <t>@jasroel @H4l1mun_D1n61n @yusuf_dumdum @LuwitaEmilly878 @Lumbalaut1 @kangenband123 @Adipativan @vincent_ves @YRadianto @ayah_9Garislucu @Ajiesara @DiantyYasmin3 @Diana_GarisImut @viviandeella @Ji3_RebOrn @gelangbesi @papih_f41th @edotssss @snjayajonggrang @johhhnygudhel @IrmaHKds Peak loe drun..nyata ISIS mau bangun daulah islam drun...</t>
  </si>
  <si>
    <t>Ibu Menlu @Menlu_RI Also requested the Government of Japan to give attention to the crew members, including the Indonesian crew. Terimakasih ibu Menlu yg memantau WNI di manca negara RT @Menlu_RI: Spoke to Ambassador Masafumi Ishii of Japan regarding the 78 Indonesian crew members of the Diamond Princess Cruise in Japan (17/02). Requested the Government of Japan to continue providing information on developments on the conditions of the crew members.</t>
  </si>
  <si>
    <t>Siapa suruh gabung teroris ISIS</t>
  </si>
  <si>
    <t>RT @ferisaragi1: Tindakan tgas pemerintah Inggris ptut diapresiasi. Scara kmanusiaan trsa sngt mnykitkan, nmun hrus jg dprtimbangkan mnusia lainnya. Aplagi wanita tsb tlh nikah dgn militan ISIS n mmji ISIS. Kewarganegaraan Dicabut, Pengantin ISIS Inggris: Dunia Saya Hancur</t>
  </si>
  <si>
    <t>@sabaicoin @umaleao Sy bukan ahli islam tapi yg beginian bisa digoogling aja kok. Surat Al-mu'minuun ayat 5-6. Tafsirannya juga sy tak paham tapi intinya boleh menyetubuhi budak. Itulah yg dilakukan ISIS.</t>
  </si>
  <si>
    <t>RT @gadisresidu_b3: 1.Mengungkap motif kampanye Poligami dan #indonesiatanpa pacaran dalam kacamata radikalisme di Indonesia Shamima begum adalah perempuan warga negara Inggris yang bergabung dengan ISIS di Syria. S</t>
  </si>
  <si>
    <t>RT @Airin_NZ: "Anggota ISIS mantan warga negara, bukan kewajiban kita"- Hikmahanto Juwana Guru Besar Hukum Internasional UI #TolakAnakISISKembali</t>
  </si>
  <si>
    <t>WNI Ingin Kembali ke Tiongkok Jika Wabah Korona Berakhir  @mediaindonesia #BERANDSASORE</t>
  </si>
  <si>
    <t>Pemerintah Atur Kepulangan WNI di Kapal Diamond Princess</t>
  </si>
  <si>
    <t>Isu-isu hangat selama sepekan dikupas tuntas dalam segmen Editorial Pekan Ini bersama Karni Ilyas. Mulai dari isu tentang Ketua BPIP soal pancasila hingga isu ISIS eks WNI banyak menyedot perhatian masyarakat. #tvOneNews #EditorialSepekantvOne #KarniIlyas</t>
  </si>
  <si>
    <t>Ributin yg 600an padahal di Indo yg Pro ISIS ada 10 Juta, 2 Juta siap perang dan menjadikan negeri ini Suriah ke 2, Ane tdk bis mikir kok mrk bs dicuci otak ampe bgt, Kejahatan yg Sempurna Atas nama Agama</t>
  </si>
  <si>
    <t>Sejumlah WNI ingin kembali ke Tiongkok begitu wabah virus korona berakhir, khususnya mahasiswa yang tengah menimba ilmu di Negeri Tirai Bambu.</t>
  </si>
  <si>
    <t>Sadar atau tidak kenapa banyak orang Indonesia ikut ISIS ya karena banyaknya pengajian exstrim yg tidak ramah tpi ngaku Sunnah seperti contoh Alfian tanjung, riziek sihab, Maher, Sugik dkk mereka adalah provokator pemecah persatuan bangsa berkedok agama #TangkapProvokatorWahabi</t>
  </si>
  <si>
    <t>Pemerintah seharusnya melakukan asesmen mendalam termasuk pendataan lengkap terhadap anak-anak eks ISIS sebelum memulangkan mereka</t>
  </si>
  <si>
    <t>RT @MrsRachelIn: @wahhabicc_jabar Ya mrk semua bersuka cita ' yg berduka hanya Pendukung Teroris isis!</t>
  </si>
  <si>
    <t>Musuh Nasionalis Indo : 1. Neo PKI , Komunisme , Sosialisme CS 2. Kapitalis 3. Liberalis 4. Fasisme 5. Sekulerisme 6. Ahmmadiyah 7. Radikal Kristen/Katolik 8. Syiah 9. Wahabi 10. ISIS CS Dan teroris² lainya 11. Kaum LGBT/Gay</t>
  </si>
  <si>
    <t>RT @Hanifah933: Dlm byk 🎥 ISIS menyiarkan serangkaian video yg menunjukkan anak2 MENGAMBIL BAGIAN dalam PELAKSANAAN HUKUMAN MATI terhadap tahanan, termasuk penggunaan senjata. #TolakAnakISISKembali Semoga bermanfaat 🙏</t>
  </si>
  <si>
    <t>RT @Hanifah933: Anak2 yg tinggal di daerah jajahan ISIS harus menjalani prosesi RADIKALISASI setelah diajarkan tentang TERORISME. Anak2 dapat MEMILIH SASARAN untk DISERANG sebagai IMBALAN jika mereka MENGUASAI ILMU yg diajarkn melalui aplikasi tsb. #TolakAnakISISKembali</t>
  </si>
  <si>
    <t>RT @Hanifah933: Huroof dirilis belum lama ini o/ divisi propaganda ISIS atau yg disebut Library of Zeal. Aplikasi itu diperbarui dgn fitur2 tambahan, sehingga penggunany dpt menghancurkan Big Ben di London, Patung Liberty di AS, dan Menara Eiffel di Prancis secara virtual. #TolakAnakISISKembali</t>
  </si>
  <si>
    <t>RT @Hanifah933: ISIS MEMBUAT APLIKASI ANDROID KHUSUS UNTUK MENGAJAR ANAK-ANAK yg tinggal di Suriah dan Irak dan mendoktrin bocah-bocah polos untuk mengeja kata seperti granat dan roket. #TolakAnakISISKembali</t>
  </si>
  <si>
    <t>RT @kisbet_: Mau berantas teroris sembari memelihara bibit bibit teroris itu bijimana ceritanya segala mau dipulangkan ke Indonesia, mereka bukan WNI juga, dan itu heyy mereka lamgsung sekolah ke suriah. Intoleran di sini aja tingkahnya udah kek teroris konon yg import dari suriah 🙄🙄🙄</t>
  </si>
  <si>
    <t>RT @FerdinandHaean2: @jokowi Nahh..!! Ini saya dukung 100% pak Presiden. Ini tepat dan benar. Jangan dengar orang2 yg sok bicara atas mama HAM atas 600 an org Terorist ISIS itu tp mengabaikan HAM ratusan juta rakyat bangsa ini yg ingin hidup damai bebas dr ancaman kekerasan. JANGAN BERUBAH LG PAK..!!</t>
  </si>
  <si>
    <t>RT @cinnamongirldr: daripada ngeluarin anggaran untuk bina anak anak ISIS eks WNI, lebih baik anggarannya untuk pendidikan anak anak didaerah Indonesia timur sana Pak, atau dipedalaman lainnya atau bamuat para guru honorer yang berdedikasi untuk para muridnya pak.</t>
  </si>
  <si>
    <t>@jawapos Org doi setuju eks WNI yg jadi anggota ISIS kembali ke NKRI, apa maksud nya ya ... !!! Kenapa ga' klop dengan pimpinan ... !!!</t>
  </si>
  <si>
    <t>RT @Penyuka_ombak: Andai saja kita bisa upload di twitter spt apa kekejaman dan kebengisan ISIS mungkin masyarakat akan lebih paham dan akan dgn serentak menolak ISIS beserta anak2nya kembali. ISIS sangat2 BIADAB. #TolakAnakISISKembali @Mom_isback @Ivone_RSZ @linkarika @Airin_NZ @mulanbilqis</t>
  </si>
  <si>
    <t>Kekejaman ISIS sdh tak diragukan lg..mereka bukan lg manusia melainkan Iblis yg menyerupai manusia.. Herannya, ada Politikus Busuk &amp; Pegiat HAM yg mengatakan bahwa mereka adalah bagian dari kita yg hrs dibina..Otaknya dimana ya? #DukungJokowiBerantasISIS</t>
  </si>
  <si>
    <t>@Widya___S Iyo pancene... soale ngowos dadine ISIS...</t>
  </si>
  <si>
    <t>RT @N1ngW4ng1: Salah 1 strategi gila teroris adalah memanfaatkan rasa belas kasihan &amp; rasa bingung kita Krn itu mrk gunakan anak2 sbg martir - supaya kita mengasihani anak2 ISIS ini utk kmdn mrk mudah lakukan serangan. ISIS mendoktrin 'jihad yg jahat' sjak anak2 #TolakAnakISISKembali</t>
  </si>
  <si>
    <t>@Jubilate_7 @kapamedega @jokowi Terus apa peran NEGARA dlm melindungi WNI ddlm negaranya sendiri?! Utk kasus FT shrsnya negara menjadi penengah ant korban dg putusan pengadilan. Ntar kl aset FT djual masuk kas negara gitu?! Enak betul!</t>
  </si>
  <si>
    <t>@yusuf_dumdum Tentara Allah ga berlaku buat ISIS yaaa...</t>
  </si>
  <si>
    <t>Anak eks ISIS menurut pandangan Kak Seto - ANTARA News Bengkulu</t>
  </si>
  <si>
    <t>"Menurut informasi dari otoritas Jepang, masa observasi kru dan penumpang kapal Diamond Princess akan berakhir pada tanggal 19 Februari mendatang, 78 WNI yang menjadi kru kapal tersebut hingga kini dalam kondisi Sehat", ungkap Menlu Retno Marsudi, Senin (17/2) sore. (Mus)</t>
  </si>
  <si>
    <t>@tempodotco Aku sudah paham knapa WNI keballll</t>
  </si>
  <si>
    <t>Sebanyak 78 WNI masih berada di kapal pesiar di Jepang untuk karantina virus corona.</t>
  </si>
  <si>
    <t>Ia mengungkapkan, Berbagai upaya telah dilakukan, mulai dari membangun komunikasi dengan WNI yang saat ini sedang menuntut ilmu di Wuhan, hingga upaya pencegahan yang dilakukan di bandara-bandara.</t>
  </si>
  <si>
    <t>@ISIS_Balik_NO @BadjaNuswantara Sama 72 bidadari</t>
  </si>
  <si>
    <t>RT @antaranews: "Saya mendukung itu. Artinya usia 10 tahun ke bawah memang sangat sensitif terhadap berbagai pengaruh," #WNIeksISIS</t>
  </si>
  <si>
    <t>@syahirularif @Frylimay Surga Neraka.....untung datang pelik siau.....penyelamat kadrun sesat 😂</t>
  </si>
  <si>
    <t>Fitriani, warga Makassar, mengaku senang bisa kembali ke kampung halaman seusai menjalani karantina selama 14 hari di Natuna. Dia pun sudah beraktivitas normal dan menjalani kuliah daring.</t>
  </si>
  <si>
    <t>@Hanungbramantyo @ISIS_Balik_NO Coba kalo anak pejabat sekolah anaknya digituin.. Yakin deh ngamuk 😑</t>
  </si>
  <si>
    <t>@subtanyarl Bahkan sebagian warga +62 gak mau mengakui mereka sebagai WNI 😂</t>
  </si>
  <si>
    <t>@Frylimay @BadjaNuswantara Mimpi yg tertunda.....ntar naek kapal pesiarnya.....di surga 😂😂😂😂</t>
  </si>
  <si>
    <t>@artsnick @wolwol @amasna lah yg dr wuhan juga blm mnunjukkan gejala tp dikuarantina di natuna. wni di dalam kapal pesiar tsb kurang lebih situasi mirip dg mrk di wuhan idealnya sih di karantina kembali untuk meminimalisir. semua negara maju mlakukan prosedur yg sama</t>
  </si>
  <si>
    <t>Jokowi menegaskan tidak akan memulangkan warga negara Indonesia yang pernah menjadi kombatan ISIS karena lebih mengutamakan keselamatan rakyat. Lantas bagaimana nasib anak-anak dan yatim piatu eks kombatan ISIS? Majalah Tempo edisi terkini.</t>
  </si>
  <si>
    <t>RT @Frylimay: Jadi gini mas, Anda tau zemvut???</t>
  </si>
  <si>
    <t>RT @kangmirdja: Orang kalau kerjaannya bikin salah melulu, dikantor gue sudah dipecat! Bikin rugi perusahaan. Nah kalau gubernur bikin salah melulu yg rugi rakyat pembayar pajak. Masa gak bisa dipecat?</t>
  </si>
  <si>
    <t>RT @id_amd: Yg gemar pgn balikin ISIS tuh</t>
  </si>
  <si>
    <t>@RockyBurung @jelataNKRI_ndai @RomeskoP @AntoniusMade @KakekHalal Yg begini kedemenan kadrun.....tar razia biar dapet gratisan spt depeer</t>
  </si>
  <si>
    <t>Sok sok rasa kemanusiaan, giliran ada teror isis lagi baru nyesel.</t>
  </si>
  <si>
    <t>RT @__AnonymA07: cebong yg gak ngerti bakal bilang WOY ISIS,HTI,FPI halahhh dasar aja bong dungu !! isu PKI di adu dgn RADIKALISME ISIS !! ambyar ! yg buat siapa ? yang di salahin siapa ? yang kena akhir nya siapa ? kelakuan empang mudah kebaca !</t>
  </si>
  <si>
    <t>RT @RockyBurung: @jelataNKRI_ndai @RomeskoP @AntoniusMade @KakekHalal Yang pengen main sama gadis2 SMP &amp; SMU yok kita ke Tanjung Balai Karimun</t>
  </si>
  <si>
    <t>RT @RockyBurung: @jelataNKRI_ndai @RomeskoP @AntoniusMade @KakekHalal Buka Tempet Ewekan Di Karimun Lebih Mudah; Deket pelabuhan ada banyak hotel esek2 giliran orang ibadah dilarang; Bangsa Biadab</t>
  </si>
  <si>
    <t>"Saya mendukung itu. Artinya usia 10 tahun ke bawah memang sangat sensitif terhadap berbagai pengaruh," #WNIeksISIS</t>
  </si>
  <si>
    <t>@KompasTV Pokoknya bagi saya jangan di pulangkan karena biar merska anak2 mereka uda di latih isis menembak sepertih yg di lihat dan dengar di tv bagai mana anak2 bisa menembak orang mereka uda di cuci otaknya jadi janganlah berbaik hati mau pulangkan mereka ke Imdonesia</t>
  </si>
  <si>
    <t>@KadrunHunter99 @DivHumas_Polri yang suka fitnah begini saja susah ditanggulangi, malah terkesan dibiarkan. lalu mau balikin eks WNI warga ISIS.</t>
  </si>
  <si>
    <t>RT @RamirezAmar: 78 WNI di Kapal Pesiar Negatif Virus Corona Tapi Positif Masuk Angin!!!</t>
  </si>
  <si>
    <t>78 WNI di Kapal Pesiar Negatif Virus Corona Tapi Positif Masuk Angin!!!</t>
  </si>
  <si>
    <t>RT @duniaunik1: Mempertahankan Gereja, Romesko Purba Dilaporkan atas Dugaan Menista Agama, Negara Macam Apa Ini Pak @jokowi Koq dikit2 merasa dilecehkan. yg bikin leceh tu ya kelakuanmu itu lah drun, resek! @KadrunHunter99 @AnakKolong___ via @melekpolitikcom</t>
  </si>
  <si>
    <t>RT @Hanungbramantyo: Pembully itu PENGECUT. Mereka akan mati berkali-kali sebelum mati sesungguhnya. Pejabat sekolah yg anggap bullying tindakan iseng, plis, tanggalkan gelar ‘Pahlawan Tanpa Tanda Jasa’ mu deh. Gak pantes!!!</t>
  </si>
  <si>
    <t>RT @wisanggeni_084: Pak menteri semua Agama (Fachur Razi) @Kemenag_RI, Sis @MardaniAliSera, Pak Din Syamsudin yg begitu ngebet pingin pulangkan eks WNI kombatan ISIS. Ini loh sdh pada siap pulang ! Jgn lupa kerjaan.. Cc: @mohmahfudmd @jokowi #TolakPulangkanKombatanISIS #SayaMenteriSemuaAgama</t>
  </si>
  <si>
    <t>@ISIS_Balik_NO @AnakKolong___ @abell_jr @shireenwisnu17 emberrr kadrun otaknya pindah ke kaki.. keinjek2 sendiri 🤣😂😂😂</t>
  </si>
  <si>
    <t>@Oji4712 Keburu terserang VIRUS KADRUN 😂😂😂😂😂 (tapi sapa tau....dibalik layar lebih merayakan valentine dari valentine....belj paketnya plus karet bergerigi 😂)</t>
  </si>
  <si>
    <t>@Nehr_who 1. BJP 2. RSS 3. Bajrang Dal 4. VHP 5. Ram Sena 6. Abhinav Bharat 7. Hindu Maha Sabha 8. LeT 9. ISIS Keep adding</t>
  </si>
  <si>
    <t>@arjuno_ireng01 @mochamadarip Ind bkn antek isis. Bkn bagian dari isis… jgn terima sisa isis… kalo Amerika 🇺🇸 serang ind gara gara dituduh pendukung isis… gimana??</t>
  </si>
  <si>
    <t>@gvccifboi Anjirr kak,, Isis = menyegarkan kek relaxa tolak angin</t>
  </si>
  <si>
    <t>@gitosibarani Yg namanya ensiklopedi katolik ya itu dari katolik masa dari ISIS</t>
  </si>
  <si>
    <t>Pengin ngumpulin kadrun², codot²,pentolan² ISIS HTI,FPI,&amp; pengikut²nya,trus di isolasi di suatu tempat,trus kasih virus Corona,atau virus babi sama babi²nya, ga usah di kasih penawarnya,seru kali yaa ,Pastinya dunia nyaman dan damai Santosa,colek @haikal_hassan @ustadtengkuzul</t>
  </si>
  <si>
    <t>Dari ISIS sampai Plt Katolik Beragama Islam, Menag Layak Diganti?</t>
  </si>
  <si>
    <t>Kalau WNI yg ini patut untuk dirangkul. Bukan WNI yg membakar paspornya.</t>
  </si>
  <si>
    <t>Status : ㅤ Menikah Kewarganegaraan : ㅤㅤWNI ㅤㅤ Riwayat Pendidikan : ○ Global Jaya International School ○ SMP Bina Nusantara Serpong ○ SMAN Unggulan MH Thamrin ○ (belum tamat) Universitas Indonesia — Ilmu Kesehatan Anak</t>
  </si>
  <si>
    <t>@jamshedahmad17 @timesofindia Far better than your ISIS,PFI,ISI back ground. Better be a Sanghi Bhakt, than an Anti-India Kambakkht.</t>
  </si>
  <si>
    <t>@ThePlacardGuy "Muslims peaceful hee hain." JeM - 😂 ISIS - 😂😂 Boko Haram - 😂😂😂 Al-Qaeda - 😂😂😂😂 PFI - 😂😂😂😂😂 Sharjeel Imam - 😂😂😂😂😂😂</t>
  </si>
  <si>
    <t>RT @bogalbogel: TWITTER PLEASE DO YOU MAGIC Saya mohon belas kasih pemerintah, dinas atau lembaga yg bertanggung jawab atas tragedi malam itu yg telah merusak mimpi keluarga kecil saya. Sampai saat ini saya blm ada pendampingan untuk tragedi saya ini Saya tdk tau siapa yg akan bertanggung jawab</t>
  </si>
  <si>
    <t>@triefince @AnakKolong___ @abell_jr @shireenwisnu17 Kan ngelesnya HIJRAH....😂😂😂😂😂 sudah suci krn sudah oegang KUNCI SURGA 😂😂😂😂😂 Kadrun !</t>
  </si>
  <si>
    <t>4 Cerita WNI Bertahan di Wuhan Sebelum Dievakuasi ke Natuna -</t>
  </si>
  <si>
    <t>@Je_Ly @mochamadarip Ind tidak melindungi eks isis /teroris… ind bukan antek isis.. Nanti kalau amerika 🇺🇸 serbu ind gara gara di tudah negara pendukung isis… gimana ???</t>
  </si>
  <si>
    <t>Salah satu sempalan ISIS #RingkusAlfianTanjung</t>
  </si>
  <si>
    <t>Dua pria warga negara Indonesia (WNI) ditangkap aparat Kepolisian Tawau, Negeri Sabah, Malaysia. Keduanya kedapatan menyelundupkan produk Malaysia ke Kabupaten Nunukan, Kalimantan Utara (Kaltara).</t>
  </si>
  <si>
    <t>RT @ustadtengkuzul: @AntoniusDante O, berarti beliau pakai Masker supaya ludahnya nggak muncrat ke WNI asal China saat dievakuasi, ya... O... O... O...</t>
  </si>
  <si>
    <t>@ojiabd Hi, mohon maaf atas hal ini. Untuk Upgrade GoPay dipastikan 1 ID untuk 1 akun saja dimana saat ini hanya bisa menggunakan eKTP khusus WNI dan Paspor bagi WNA. Detail dicek melalui . Terima kasih -RV</t>
  </si>
  <si>
    <t>RT @Namaku_Mei: Ratusan massa tolak wacana pemulangan Eks WNI pro ISIS didepan Istana #TolakEksWNIproISIS #TolakPulangkanKombatanISIS</t>
  </si>
  <si>
    <t>@AnakKolong___ @felixsiauw @ArieKuntung @sahouraxo si ari suporter isis?? ckckckckck...</t>
  </si>
  <si>
    <t>Daripada mulangin ex WNI ISIS lebih baik ngirim orang2 seperti ini ke daerah2 konflik. Supaya mereka bisa lebih berdoa bersyukur dng Indonesia yg damai. RT @PakarLogika: Buat ciwi-ciwi, kalo mau cari suami itu kaya Alfian Tanjung. Komunis aja diperhatiin, apalagi kamu. ☺️</t>
  </si>
  <si>
    <t>cebong yg gak ngerti bakal bilang WOY ISIS,HTI,FPI halahhh dasar aja bong dungu !! isu PKI di adu dgn RADIKALISME ISIS !! ambyar ! yg buat siapa ? yang di salahin siapa ? yang kena akhir nya siapa ? kelakuan empang mudah kebaca ! RT @srikandicyber__: Ayo bong🐷🐸 lawan mereka TERORIS,RADIKALISME,ANTI PANCASILA,ANTI BHINNEKA. Ini bendera perangnya sudah mereka kibarkan. Bahaya ni 😱</t>
  </si>
  <si>
    <t>RT @EkoSeputro13: Cuplikan video situasi di kamp. penahanan di Hassakah Suriah, yang menampung ribuan anggota ISIS,,, langsung aja dikasih tiket Super VIP ke kuburan biar di dunia ini aman dari terorisme !!! #tolakwnieksisis #TolakAnakISISKembali</t>
  </si>
  <si>
    <t>Rakyat Syria bergembira Krn wilayah mereka terbebas dr cengkraman teroris.sementara kadrun sibuk berteriak ingin memulangkan eks WNI yg bergabung ke ISIS. RT @sahouraxo: Beautiful news out of #Syria! Syrians are out in the streets tonight to celebrate the Syrian Army liberating the entirety of #Aleppo, freeing the last remaining pockets of the city that were still occupied by Al-Qaeda. Something that we won’t see on the likes of CNN or the BBC.</t>
  </si>
  <si>
    <t>Pemprov Jateng Mengirim bantuan masker Oleh Gubernur Jateng @ganjarpranowo melalui Dinas Kesehatan Provinsi Jawa Tengah yang bekerja sama dgn Disnakertrans Prov Jateng untuk WNI yg berada di Taiwan, Hongkong &amp; Singapura. Semoga bermanfaat ya . 😊</t>
  </si>
  <si>
    <t>@WR_4AG226 Partai Kadrun Sapi... Temenin tuh eks wni wni. Di sini juga gang guna loe..</t>
  </si>
  <si>
    <t>lahhh itu WNI yang positif di Singapore.. beda gitu sama orang Indonesia kebanyakan? 🤔🤔 RT @aw3126: Prof Nidom Unair bilang ada spike khusus di struktur virus #covid19 yang mungkin hanya cocok bisa menginfeksi etnik tertentu #BiologicalWeapon  via @TelegraphSci</t>
  </si>
  <si>
    <t>@greypunch @hasmi_bakhtiar Kan gue ikut gaji mereka dgn pajak dan uda tugas mereka ngedata wni :)</t>
  </si>
  <si>
    <t>RT @bogalbogel: Hampir setiap dia tidur selalu terbangun dan kaget karena masih terbayang pohon jatuh karena pohon itu sangat besar pak ibu saya yang tidak mengandung anak 8 bulan aja merasakan pedih saat saya ditanya kronologi dan harus menceritakannya kembali Apalagi istri saya</t>
  </si>
  <si>
    <t>@muttle9 @ArisKarisma @spektrumku @LusiHQ Org mau jd baik/jahat itu semua tergantung niat dari dirinya sendiri, bukan agama. Kl org tsb memang berniat jd org baik, dgn atau tanpa agama org tsb tetap aja jd baik, demikian jg sebaliknya. Contoh nyatanya liat aja tuh ISIS udah beragama aja kelakuannya tetap aja kayak setan.</t>
  </si>
  <si>
    <t>Mahfud MD: WNI Eks ISIS Berbahaya bagi Indonesia Jika Dipulangkan #TauCepatTanpaBatas #BeritaTerkini #Berita #News #BeritaNasional .</t>
  </si>
  <si>
    <t>Masa karantina kapal pesiar Diamond Princess akan berakhir pada 19 Februari 2020.</t>
  </si>
  <si>
    <t>RT @zarazettirazr: Saat Gayus menjelaskan argumentasinya, Ngabalin meresponnya dengan tertawa. "Kok tertawa, nggak perlu ketawa. Itu anda ketawanya bodoh. Ini saya kasih tahu anda. Sekarang anda bilang undang-undang lex spesialis, semua juga lex spesialis," kata Gayus.</t>
  </si>
  <si>
    <t>Jangan2 para Muj4hidin yg ada skrg di D4ulah Islam adlh at thaifah al manshura Setiap saat kalian menggonggong menuduh mrk teroris, ISIS khawarij dan sebutan buruk lainnya Sebaiknya tahan mulut2 kalian dari mencela Kecuali klw kalian prnh bersama dan paham kesesatan mrk</t>
  </si>
  <si>
    <t>@machbeach @Dedien5 @ustadtengkuzul Antek isis disini banyak, cuci muka sana biar sadar.</t>
  </si>
  <si>
    <t>@JKDaulay @ISIS_Balik_NO @aniesbaswedan Kalo surat resmi sekelas gubernuran, pasti habis diketik, diperiksa, diparaf baru di ttd pejabatnya...lagian tukang ketik gubernuran kan bukan anak sekolah magang...</t>
  </si>
  <si>
    <t>@thefuture122 Masih sempet kan ? MAUH</t>
  </si>
  <si>
    <t>RT @thefuture122: Aku mau give away nih 50k gopay/ovo/pulsa buat 2 org 20k gopay/ovo/pulsa buat 1 org Rules : - Rt tweet ini - Komen apa aja bebas Besok malem / sore diundi Good luck❤️</t>
  </si>
  <si>
    <t>@Cangkemaaannn Yanti slebor, jadi kombatan isis ndood</t>
  </si>
  <si>
    <t>RT @JKDaulay: kenapa hobi urusan salah ketik sih @aniesbaswedan ? makanya sebelum mulai ketik biasakan berdoa. kalo ternyata masih salah ketik juga terus bagaimana ? itu modus level kadrun namanya 😅</t>
  </si>
  <si>
    <t>ngajak jadi anggota isis RT @__PIJE: Eh gimana, guys?</t>
  </si>
  <si>
    <t>@soepeno321 @Mom_isback @BadjaNuswantara Mungkin saja sama, suaranya mirip dengan penipu yg saya kerjai juga....gak kapok2 ya</t>
  </si>
  <si>
    <t>RT @IndonesiaRAW: Benny Wenda bukan lagi WNI, jangan campuri Papua yang ingin maju. #PapuaAdalahNKRI</t>
  </si>
  <si>
    <t>Kelakuan Kombatan ISIS eks WNI: NKRI Toghut Pergi sendiri Bakar Paspor Sendiri Begitu kalah merengek minta dijemput negara yang katanya Toghut. Alasannya ketipu, khilaf, dll</t>
  </si>
  <si>
    <t>WNI Eks ISIS Tak Dipulangkan, Begini Tanggapan Dosen Hukum UIN Walisongo</t>
  </si>
  <si>
    <t>Eks Presiden ISIS Indonesia Bantah WNI Kombatan Ngebet Pulang</t>
  </si>
  <si>
    <t>@farisdzaki_ jadi, terkait urusan ISIS ini kenapa warga/media (yg turut memframing berita) yg nolak kepulangan eks wni yg jadi ISIS ini dianggap mengindap nasionalis yg primordial? btw, nasionalisme dan primordialisme itu kan dua konsep yg berbeda, ini seperti melakukan labeling...</t>
  </si>
  <si>
    <t>😍😍 Bantuan masker untuk WNI di Taiwan, Hongkong, dan Singapura sudah dikirim ya sedulur. Semoga bermanfaat.. RT @dinkesjateng: Siang ini (17 Februari 2020), dikirimkan bantuan masker Oleh Gubernur Jateng melalui Dinas Kesehatan Provinsi Jawa Tengah yang bekerja sama dgn Disnakertrans Prov Jateng untuk WNI yg berada di Taiwan, Hongkong &amp; Singapura. Semoga bermanfaat untuk Saudara2 kita yang ada disana...</t>
  </si>
  <si>
    <t>RT @mediaindonesia: Menteri Kesehatan, Terawan Agus Putranto, menyatakan pemerintah siap mengevakuasi 78 WNI, yang merupakan awak kapal pesiar Diamond Princess. Tepatnya setelah masa karantina selesai.</t>
  </si>
  <si>
    <t>Hak demokrasi WNI ,tp UU 5/14 &amp; uu10/16 larangan PNS/ASN politik praktis 7 ketentuannya Pilkada langsung 2020 apalagi atribut seragam disalahgunakan</t>
  </si>
  <si>
    <t>RT @dr_tompi: HATI2 pake produk pemutih kulit yg dijual ONLINE, KORBAN NYA SUDAH BANYAK KULIT AMPE PECAH2 jd STRETCH MARK . DINAS KESEHATAN HARUS LEBIH AKTIF MNERTIBKAN ONLINE SHOPPING IG ini</t>
  </si>
  <si>
    <t>Benny Wenda bukan lagi WNI, jangan campuri Papua yang ingin maju. #PapuaAdalahNKRI</t>
  </si>
  <si>
    <t>@gvccifboi Permen apa aja boleh kak, yg penting manis bukan yg isis ato pait:v</t>
  </si>
  <si>
    <t>RT @kompascom: Pemerintah mesti teliti dan tak bisa menggeneralisasi langkah pemulangan anak-anak eks kombatan ISIS</t>
  </si>
  <si>
    <t>RT @kompascom: Secara khusus, Yenny bicara soal dilema yang dialami pelbagai negara di dunia soal pemulangan warga mereka yang notabene eks ISIS.</t>
  </si>
  <si>
    <t>Siang ini (17 Februari 2020), dikirimkan bantuan masker Oleh Gubernur Jateng melalui Dinas Kesehatan Provinsi Jawa Tengah yang bekerja sama dgn Disnakertrans Prov Jateng untuk WNI yg berada di Taiwan, Hongkong &amp; Singapura. Semoga bermanfaat untuk Saudara2 kita yang ada disana...</t>
  </si>
  <si>
    <t>Udah dipenjara bukannya nyadar, insyaf...tambah menjadi-jadi. Bukti salah satu program deradikalisasi gagal. Apalagi terhadap 660 mantan Kombatan ISIS. #RingkusAlfianTanjung RT @dwiyanaDKM: Kalau ceramah hate-speech, SARA, provokatif, meresahkan masyarakat, adu domba, seperti ini masih didiemin sama @DivHumas_Polri @CCICPolri KELEWATAN lah! #RingkusAlfianTanjung</t>
  </si>
  <si>
    <t>@febrofirdaus Seriusan OPM pake anak-anak jadi tentara? tega bgt, perangainya udah kayak teroris, kayak ISIS, maksa anak2 jadi tentara.</t>
  </si>
  <si>
    <t>RT @BaraFaba: @zarazettirazr Samma... jangan2 tak ada WNI yg disurvey🥺 ??? Sebaiknya lembaga survey menjelaskan populasi dan sampel dari surveynya termasuk metode garansi objektivitasnya.</t>
  </si>
  <si>
    <t>RT @hasmi_bakhtiar: @zarazettirazr Gw udah 28 tahun jadi WNI juga ga pernah kena survey</t>
  </si>
  <si>
    <t>— profile. Dorian Gray Dorian or Gray 09 Januari 1994 O WNI • KIM SUHO EXO • 1992 L</t>
  </si>
  <si>
    <t>@ratu_adil Apakah Neo ISIS akan sama dengan ISIS? Berita gembira jika ternyata berbeda.</t>
  </si>
  <si>
    <t>@MARTINUSSANDY @BBCIndonesia Hanya pengingat pemerintah saja.agar tiidak memulangkan teroris ISIS !!! @jokowi @Kemenkumham_RI @KomnasHAM @Kemendagri_RI @mohmahfudmd</t>
  </si>
  <si>
    <t>Pemerintah ingin lindungi WNI, tetapi juga menjunjung hubungan baik dengan Jepang. #WNI #Jepang #Republika</t>
  </si>
  <si>
    <t>Menteri Kesehatan, Terawan Agus Putranto, menyatakan pemerintah siap mengevakuasi 78 WNI, yang merupakan awak kapal pesiar Diamond Princess. Tepatnya setelah masa karantina selesai.</t>
  </si>
  <si>
    <t>Ternyata WNI dari Wuhan Masih Banyak yang Jomblo hingga Terjadi Cinta Lokasi saat Observasi  via @tribunmedan</t>
  </si>
  <si>
    <t>Update di wilker KJRI GZ (16/02) per pukul 14.30, di Guangdong 1322 sakit, 4 meninggal, 485 sembuh. Di Guangxi (238,2,51), Fujian (290,0,84), Hainan (163,4,52). Tdk ada WNI jadi korban. Rasio pasien sembuh/sakit 33,4%. Maaf, rasio kemarin belum dikalikan 100. 🙏 #negaramelindungi</t>
  </si>
  <si>
    <t>Bagaimana jika guru2 intoleran itu dikrim ke kamp eks ISIS, ngajar aja disana...</t>
  </si>
  <si>
    <t>Sebanyak 238 warga negara Indonesia (WNI) dari Wuhan yang menjalani observasi selama 14 hari di Natuna, Kepulauan Riau akan dipulangkan hari ini, Sabtu (15/02/2020). Warga Natuna ikut melepas kepulangan para WNI peserta observasi. #BreakingNewsMetroTV</t>
  </si>
  <si>
    <t>Saksikan malam ini, live di @KompasTV ttg 'Anak ISIS asal Indonesia, perlukah dipulangkan?'</t>
  </si>
  <si>
    <t>RT @Waniieyyy1: Bagi perempuan dekat luar sana. watson,guardian dan sebagainya. Diorang cakap susah nak keluar tapi bagi aku pulak tempat susah untuk aku keluar adalah Ni!!! POPULAR!! letaklah aku berjam ii pon aku okay 😂 kalau boleh semua buku aku nak tengok 😂 siapa mcm aku? 🥺</t>
  </si>
  <si>
    <t>Menkes berharap pemerintah Jepang selaku penanggung jawab karantina memberikan sertifikat yang menyatakan 78 ABK tersebut sehat.</t>
  </si>
  <si>
    <t>Pemerintah mesti teliti dan tak bisa menggeneralisasi langkah pemulangan anak-anak eks kombatan ISIS</t>
  </si>
  <si>
    <t>@BakarSmith Bukannya ISIS itu syi'ah ya bib?</t>
  </si>
  <si>
    <t>Pemerintah tak akan pulangkan 600-an ISIS eks-WNI di Suriah. Apakah dengan penolakan ini urusan ISIS ex WNI ini akan selesai? Apa sebenarnya yang perlu jadi sorotan pemerintah? Kami bahas di #RuangPublikKBR  #KBRPrime #PodcastIndonesia #ISIS</t>
  </si>
  <si>
    <t>Perwakilan WHO di Indonesia mengapresiasi pemerintah yang menyelesaikan semua tahap observasi terhadap 238 WNI yang dipulangkan dari Hubei, Tiongkok, untuk menangkal virus corona. #BreakingNewsMetroTV</t>
  </si>
  <si>
    <t>Pemerintah Putuskan Tak Pulangkan WNI Eks ISIS</t>
  </si>
  <si>
    <t>RT @HairilAmri7: Artikel ini saya susun dengan pendekatan yuridis. Hal itu penting, setidak-tidaknya mengarahkan diskursus ini secara akademik. #ISISGoToHell #ISISIndonesia #EksISISyangPergiPerlukahKembali</t>
  </si>
  <si>
    <t>@DarulMustakim3 @pooling_indo Haha iya benar,masa tukang boong yg selalu ngeles salahin anak buah n gak bisa kerja jadi presiden,trus yg katanya macan tapi takut ama aseng masa jadi presiden apalagi yg dukung isis balik ke indonesia masa jadi presiden kan bisa hancur ya,hahaha</t>
  </si>
  <si>
    <t>RT @Metro_TV: Pemulangan WNI yang dievakuasi dari Hubei, Tiongkok, setelah menjalani masa observasi di Natuna, disambut gembira. Salah satu keluarga WNI peserta observasi mengucapkan terima kasih atas semua memastikan keselamatan dan kesehatan anggota keluarganya. #BreakingNewsMetroTV</t>
  </si>
  <si>
    <t>@zarazettirazr Samma... jangan2 tak ada WNI yg disurvey🥺 ??? Sebaiknya lembaga survey menjelaskan populasi dan sampel dari surveynya termasuk metode garansi objektivitasnya.</t>
  </si>
  <si>
    <t>@DapunthaH @NatBening @ReoSR484 @_2Bang_Has2 @SokangDwinta @Cinta20728749 @Natalia_Rini94 @N_Widi94 @RhsSyam @Nat_Adelia94 @ThamyaL1 @annaendrie @Rina21069065 @YayatHi14468613 @Meycanmecaca @nat_wd26 @O_____Niel @Abdul60788062 @mahawanilham yes, jadi fix siapa dibalik isis 🐸🔨😈sesungguhnya. #Tolak_RUU_Ciptaker #Tolak_RUU_Ciptaker</t>
  </si>
  <si>
    <t>Pemulangan WNI yang dievakuasi dari Hubei, Tiongkok, setelah menjalani masa observasi di Natuna, disambut gembira. Salah satu keluarga WNI peserta observasi mengucapkan terima kasih atas semua memastikan keselamatan dan kesehatan anggota keluarganya. #BreakingNewsMetroTV</t>
  </si>
  <si>
    <t>@felixsiauw TONTON NIH PASUKAN ISIS ASAL INDONESIA YANG LAGI DI TAHAN TENTARA SURIAH!! MAMPUS!!</t>
  </si>
  <si>
    <t>RT @Galihzainur1: #Aleppo Berakhir Sudah Penantian Panjang Itu Akhirnya Terbayar dg Kebahagiyan dan Kebebasan dari Rasa Takut Mencekam. 8 Tahun Allepo Dalam Cengkraman #ISIS Biadab Kini #ALEPPO Resmi Kembali dalam Pangkuan Bumi Pertiwi #Suriah Pecah Suasana Bahagia Bercampur Haru. @AryPrasetyo_85</t>
  </si>
  <si>
    <t>@rnarlboro Kukira ada eksekusi umum ISIS</t>
  </si>
  <si>
    <t>WNI Eks ISIS Ingin Pulang ke Indonesia, Kepala BKPM: Akan Ganggu Investasi #Keuangan #Ekonomi #Ekonomi #EkonomiIndonesia</t>
  </si>
  <si>
    <t>Dosa Besar Teroris ISIS</t>
  </si>
  <si>
    <t>Jangan tanyakan @YLBHI @KomnasHAM Krn mrk lg sibuk mengurusi kepulangan Kombatan ISIS RT @TaliUdeng: Kasus gereja di Karimun itu kasus yg kesekian kalinya negara abai terhadap rakyat yg pnya hak untuk beribadah.. LBH, Komnas HAM ato organisasi kemanusiaan pada kmana? Parahnya lagi, kita anggap ini sdah biasa trjadi di negara ini..</t>
  </si>
  <si>
    <t>RT @KompasTV: Setujukah kamu jika anak-anak eks ISIS dipulangkan ke Indonesia? Yuk, berikan alasan dan komentarmu dengan tagar #DuaArah atau reply twit ini.</t>
  </si>
  <si>
    <t>Netty Minta Negara Sebaran Jemput Bola Mengecek Kondisi WNI -  #News #Berita #Jabar #BeritaJabar #Fokusjabar #jawabarat #viral #info</t>
  </si>
  <si>
    <t>RT @SINDOnews: Kewarganegaraan Dicabut, Pengantin ISIS Inggris: Dunia Saya Hancur</t>
  </si>
  <si>
    <t>@digeeembok @aniesbaswedan @BangJapar_id @firmanyursak @KemensetnegRI @DKIJakarta @SuaraAnies @detikcom @kompascom @kumparan @liputan6dotcom @tempodotco @Metro_TV @BudiSetyarso @aagym @awemany TONTON NIH PASUKAN ISIS ASAL INDONESIA YANG LAGI DI TAHAN TENTARA SURIAH!! MAMPUS!!</t>
  </si>
  <si>
    <t>Pemulangan eks ISIS ke Indonesia</t>
  </si>
  <si>
    <t>@jeni_marlan Byk WNI menggunakan Visa Belajar di Australia dan bisa bekerja meskipun hy terbatas 20 jam atau Working Holiday Visa dgn batas umur 30 tahun saja! Jadi ga ada agen resmi buat bekerja di Australia. Silahkan cari tahu di website resminya:</t>
  </si>
  <si>
    <t>@BakarSmith Menurutku menghargai pandangan beragama sekelompok orang yg tidak sefaham adalah penting. Kalau mau mengutuk ISIS ya disebut ISISnya saja dan bukan pemahaman agamanya yang kebetulan juga banyak di lingkungan kita.</t>
  </si>
  <si>
    <t>RT @budigaban: Orang ini bukti kalo otak udah miring kena doktrin radikal susah buat lempeng lagi. Jadi keputusan pemerintah menolak ISIS ex WNI benar banget. #TangkapAlfianTanjung #ISISGoToHell</t>
  </si>
  <si>
    <t>@subtanyarl @BelaAini Emang seluruh rakyat NKRI minum jamu? Emang WNI yg di wuhan kmaren minum jam slama di cina?</t>
  </si>
  <si>
    <t>Kewarganegaraan Dicabut, Pengantin ISIS Inggris: Dunia Saya Hancur</t>
  </si>
  <si>
    <t>Gubernur Jateng @ganjarpranowo mengirimkan 41.250 masker untuk Warga Negara Indonesia di Hongkong, Taiwan dan Singapura. Bantuan dikirimkan karena keluhan WNI di negara tersebut yang sulit mendapatkan masker untuk melindungi diri dari penyebaran virus corona.</t>
  </si>
  <si>
    <t>Benarkah @fadlizon akan susul ISIS eks WNI jika tak dipulangkan? Apa iya mi goreng Indonesia msk daftar makanan penyebar virus Corona? Kami kupas di #CekFakta bersama @turnbachoax  Bisa juga didengar di radio jaringan KBR, sesaat lagi #PodcastIndonesia</t>
  </si>
  <si>
    <t>@KompasTV Tidak setuju ! Dari usia muda sudah diajarkan ideologi seperti itu. Tak ada yang bisa menjamin mereka akan menjadi orang baik saat mereka dewasa. Kenangan masa lalu saat kecil selalu akan diingat saat dewasa. Tolak semua keturunan pemilih ideologi ISIS. #DuaArah</t>
  </si>
  <si>
    <t>#Magetan DPP #PDIPerjuangan: Haru Dan Sumringah Sambut WNI Pasca Jalani Karantina Di Natuna  #PDIPerjuangan RT @PDI_Perjuangan: Haru Dan Sumringah Sambut WNI Pasca Jalani Karantina Di Natuna  #PDIPerjuangan</t>
  </si>
  <si>
    <t>@Jenitaadeliia TONTON NIH PASUKAN ISIS ASAL INDONESIA YANG LAGI DI TAHAN TENTARA SURIAH!! MAMPUS!!</t>
  </si>
  <si>
    <t>@VIVAcoid TONTON NIH PASUKAN ISIS ASAL INDONESIA YANG LAGI DI TAHAN TENTARA SURIAH!! MAMPUS!!</t>
  </si>
  <si>
    <t>Senin (17/2) siang, Gubernur @ganjarpranowo melepas bantuan masker dari Pemprov Jateng untuk WNI yang tinggal di Hongkong, Taiwan dan Singapura di Halaman Kantor Gubernur Jateng. Masker yang dikirim sebanyak 41.250 buah. Semoga berguna dan bisa bermanfaat ya... 🤗</t>
  </si>
  <si>
    <t>Kememkes pastikan WNI di Natuna dalam kondisi sehat #RingkusAlfianTanjung</t>
  </si>
  <si>
    <t>@basuki_btp TONTON NIH PASUKAN ISIS ASAL INDONESIA YANG LAGI DI TAHAN TENTARA SURIAH!! MAMPUS!!</t>
  </si>
  <si>
    <t>Setujukah kamu jika anak-anak eks ISIS dipulangkan ke Indonesia? Yuk, berikan alasan dan komentarmu dengan tagar #DuaArah atau reply twit ini.</t>
  </si>
  <si>
    <t>RT @jojoeles77: @wisanggeni_084 @jokowi @mohmahfudmd @Kemendagri_RI @PolhukamRI Kalau tidak suka dengan kaum minoritas, jangan menjelek jelekkan, bahas lah tu kilapah bin isis yg bunuh orang tak bersalah kau tutup mata, pki yang sudah ghoib dan dihapus malah kau bahas,banyak ayat2 Al Quran yg dapat diambil kebaikannya, jangan cari makan dengan cara fitnah.</t>
  </si>
  <si>
    <t>Mohon maaf @KemenkesRI @Menlu_RI @jokowi Saya kurang tau harus bertanya ke siapa soal evakuasi WNI yang tertinggal di wuhan (3org yg kabarnya tidak lolos screening). Mohon bapak/ibu sekalian mencoba untuk memantau dan memulangkan 3 orang tsb. Walau 3org mereka juga manusia.</t>
  </si>
  <si>
    <t>Inilah Kebebasan Dan Inilah Negaraku #Suriah sebelum #ISIS Biadab Merenggut Kebersamaanku, kini Aku Bisa Kembali Seperti Dulu. Moment Saat Bersama Teriak Yel,..!yel,..! Kebebasan Dari Rasa Ketakutan. #SelamatSaudaraku. @AnakKolong_ @AryPrasetyo_85 @P3nj3l4j4h_id @jr_kw19 @4Y4NKZ  RT @Galihzainur1: #Aleppo Berakhir Sudah Penantian Panjang Itu Akhirnya Terbayar dg Kebahagiyan dan Kebebasan dari Rasa Takut Mencekam. 8 Tahun Allepo Dalam Cengkraman #ISIS Biadab Kini #ALEPPO Resmi Kembali dalam Pangkuan Bumi Pertiwi #Suriah Pecah Suasana Bahagia Bercampur Haru. @AryPrasetyo_85</t>
  </si>
  <si>
    <t>@permadiaktivis TONTON NIH PASUKAN ISIS ASAL INDONESIA YANG LAGI DI TAHAN TENTARA SURIAH!! MAMPUS!!</t>
  </si>
  <si>
    <t>@YudiAbdulRohim @WagimanDeep @permadiaktivis @mohmahfudmd @DivHumas_Polri TONTON NIH PASUKAN ISIS ASAL INDONESIA YANG LAGI DI TAHAN TENTARA SURIAH!! MAMPUS!!</t>
  </si>
  <si>
    <t>Menurut UU No. 12 Thn 2006 dan PP No. 2 Thn 207 WNI yg ikut perang bersama tentara asing bisa hilang status kewarganegaraanya "dgn sendirinya", tanpa melalui pengadilan.</t>
  </si>
  <si>
    <t>@permadiaktivis @aniesbaswedan TONTON NIH PASUKAN ISIS ASAL INDONESIA YANG LAGI DI TAHAN TENTARA SURIAH!! MAMPUS!!</t>
  </si>
  <si>
    <t>@permadiaktivis @VIVAcoid @felixsiauw TONTON NIH PASUKAN ISIS ASAL INDONESIA YANG LAGI DI TAHAN TENTARA SURIAH!! MAMPUS!!</t>
  </si>
  <si>
    <t>@wisanggeni_084 @jokowi @mohmahfudmd @Kemendagri_RI @PolhukamRI Kalau tidak suka dengan kaum minoritas, jangan menjelek jelekkan, bahas lah tu kilapah bin isis yg bunuh orang tak bersalah kau tutup mata, pki yang sudah ghoib dan dihapus malah kau bahas,banyak ayat2 Al Quran yg dapat diambil kebaikannya, jangan cari makan dengan cara fitnah.</t>
  </si>
  <si>
    <t>@helmifelis TONTON NIH PASUKAN ISIS ASAL INDONESIA YANG LAGI DI TAHAN TENTARA SURIAH!! MAMPUS!!</t>
  </si>
  <si>
    <t>@jokowi TONTON NIH PASUKAN ISIS ASAL INDONESIA YANG LAGI DI TAHAN TENTARA SURIAH!! MAMPUS!!</t>
  </si>
  <si>
    <t>@KomnasHAM kalian itu lembaga buatan USA ya ? Sdh paham ttg kemanusiaan !!! Apakah ISIS itu punya rasa Kemanusiaan ??? Kalau kamu pegawai2 Komnas HAM ada yg disuriah dan punya ajaran islam ahlussunnah sdh pasti dipenggal kepala kalian sama isis !!! @jokowi</t>
  </si>
  <si>
    <t>@ArielFatR @Dedien5 @ustadtengkuzul Katanya isis sekarang PKI kok plinplan bong?</t>
  </si>
  <si>
    <t>@4smara1701 TONTON NIH PASUKAN ISIS ASAL INDONESIA YANG LAGI DI TAHAN TENTARA SURIAH!! MAMPUS!!</t>
  </si>
  <si>
    <t>@Luthfi_nasrul @Luana0119411577 @CetakBalikpapan @Anginma50751347 @YCH7168 @Cebongmilitan1 @Puanita9 @cadarmerah @carina_niken @Namaku_Mei @ulamakardus @FDerKanzler @APLpangeran1 @novapermana8 @TjahjadiJudono @paquitacumadebu @AbelGunawan2 @gunady_678 @Suka_kopi @majisyafii @Muslihu70192548 @LambangDC5 @Anak_Perantau_ @JhrPujianto @TaufiqR7471 @juventini_3rwin @swarnadiva6 @SuryoUdoro @LebahBorneo @s1_tapir @FloDeQueen @habib_gai @Rohadi38619586 @tirta_helena @212ThePowerOff1 @nissaLoveAllah @Cobra0312 @vintenas @0d5e359a58f4437 @KPakdhe @enny_fadjri @gunwbisono @al_nghothot @INTAN37866162 @feradiana_a @fahiraidris @basuki_btp Ali Al Jufry ini habib impor.. Anjing impor dari Yaman ini jgn Di bangga2kan... Sdh byk imigran Yaman Di Indo yg bikin rusuh. Si Habib Sepong ini jilat Yahudi dan Mamarika. Habib2 spesies penjilat. si Bieb Sepong difatwa mati sama ISIS☝️🤣</t>
  </si>
  <si>
    <t>@bintangku206 TONTON NIH PASUKAN ISIS ASAL INDONESIA YANG LAGI DI TAHAN TENTARA SURIAH!! MAMPUS!!</t>
  </si>
  <si>
    <t>2 WNI Diamankan Polisi Malaysia karena Selundupkan Barang ke Nunukan Kaltara</t>
  </si>
  <si>
    <t>RT @salehdaulay: DPR Minta Masyarakat Tak Berikan Stigma Negatif kepada WNI yang Diobservasi | Nasional -</t>
  </si>
  <si>
    <t>@AriestaRiico @KadrunHunter99 @pujangga1123 @Candraasmara85 Generasi hendaklah berhikmah pd jln lurus pikiran harmonisasi para pejuang pendahulu yg telah wafat, Drpd aktor2 kini nikmati hidupnya sejahtera dr berjualan intoleransi, jln sesat berliku terjal penuh lubang berular. &gt;eks WNI pro ISIS, Fakta kesesatan!!</t>
  </si>
  <si>
    <t>RT @RizmaWidiono: Provokator berkedok ceramah Perilaku Alfian Tanjung yg tdk ada kapoknya berurusan dgn Kepolisian. Kini Alfian Tanjung Kembali Tuduh Pemerintah &amp; Institusi Kepolisian Sebagai Antek Komunis Segeralah diborgol Yth @DivHumas_Polri @CCICPolri #RingkusAlfianTanjung</t>
  </si>
  <si>
    <t>Soal WNI eks-ISIS ini, mereka mungkin telah melanggar, tapi kewarganegaraan mereka belum dicabut. Mereka masih bisa kembali ke Indonesia. Hayo, jadi gimana?  #ISIS #MataMataPolitik</t>
  </si>
  <si>
    <t>@jiwajiny Bilang aja Isis juga sholat kok</t>
  </si>
  <si>
    <t>Waktu ISIS menguasai kota mosul Irak, sebagian penduduk desa ini mengungsi ke erbil kurdistan, diperkirakan peninggalan sejarah di desa akan hancur, tapi ternyata desa ini selamat.</t>
  </si>
  <si>
    <t>Kepala BKPM Sebut Pemulangan WNI Eks ISIS Bikin Investasi Terganggu, Kenapa?</t>
  </si>
  <si>
    <t>RT @samhudibae: 08). bukan malah nambah masalah baru dengan ngebet mau pulangkan 660 eks WNI ISIS. Saya menduga, AT sengaja ingin benturkan antara kepolisian dengan TNI. Na'udzubillahi min dzalik. Semoga itu tidak sampai terjadi. Aamiin. (Yusuf Muhammad) #RingkusAlfianTanjung</t>
  </si>
  <si>
    <t>RT @samhudibae: 07). Lha yang model seperti AT saja negara belum bisa bereskan, kok malah BNPT dan Kemenag sok gaya mau ngurusin 660 eks WNI ISIS. Harusnya, urusin aja dulu orang-orang model seperti AT yang terus menularkan paham sesatnya kepada umat, #RingkusAlfianTanjung</t>
  </si>
  <si>
    <t>RT @samhudibae: 06). Nah, jika sudah jelas seperti ini, apakah akan terus dibiarkan ? Saya makin gedek lagi saat mendengar berota bahwa BNPT dan Kemenag sibuk ngurusin rencana pemulangan 660 eks WNI ISIS ke Indonesia. Bahkan jika pulang, mereka akan diperkerjakan. Edyan! #RingkusAlfianTanjung</t>
  </si>
  <si>
    <t>RT @Vernandogmailc1: Menag.bnpt mau ngurusin kepulangan 600 lbh kombatan isis.ngurus manusia satu ini aja gak bisa...#cyber crime.kasih efek jera biar tdk menjamur manusia seperti ini di negri ini</t>
  </si>
  <si>
    <t>Ada 78 WNI yang bekerja di atas kapal pesiar itu</t>
  </si>
  <si>
    <t>@RizmaWidiono @DivHumas_Polri @BareskrimPolri @CCICPolri Bukti nyata virus radikal susah diberantas, penjara blm cukup. Jadi yg sok ngomong issue HAM masalah 600 org ex WNI pro ISIS mending diem aja deh.</t>
  </si>
  <si>
    <t>Utk bayar cicilan utang LN &amp; bunganya, Pemerintah bisa HGU-kan pulau2 tak berpenghuni kpd PMA utk kegiatan Pariwisata dgn syarat 90% tenaga kerja WNI setempat. HGU 30 Th bisa diperpanjang 1X kemudian di BOT-kan kpd Negara. Ini juga bisa diterapkan utk ZEE laut terluar.</t>
  </si>
  <si>
    <t>@AntoniusDante O, berarti beliau pakai Masker supaya ludahnya nggak muncrat ke WNI asal China saat dievakuasi, ya... O... O... O...</t>
  </si>
  <si>
    <t>#PesanUntukMantan hijrah yang bener jgn sampe jadi isis</t>
  </si>
  <si>
    <t>@lecyious @realDonaldTrump Oh ak kira km orei, hae wni salam kenal 😊</t>
  </si>
  <si>
    <t>RT @Metro_TV: #NewslineMetroTV Para WNI yang tiba di daerah masing-masing setelah menjalani masa observasi selama 2 pekan disambut haru dan gembira oleh keluarga maupun Pemerintah Daerah.</t>
  </si>
  <si>
    <t>@_TNIAU Apakah helikopter dapat mendarat di kapal pesiar tersebut dan mengevakuasi WNI? RT @detikcom: Lebih dari 300 warga AS dievakuasi dari kapal pesiar Diamond Princess yang dikarantina di Jepang akibat wabah virus corona. Evakuasi ini memicu kemarahan. #VirusCorona</t>
  </si>
  <si>
    <t>@Aresnota_ @realDonaldTrump aku wni!</t>
  </si>
  <si>
    <t>@vivanewscom @VIVAcoid ISIS jadi kambing hitam baru dari ketidak mampuan memajukan kesejahteraan rakyat....masih mau ditipu tiap hari...???</t>
  </si>
  <si>
    <t>Pemerintah memutuskan tidak akan memulangkan ISIS eks WNI, Namun menurut Noor Huda Ismail, Pendiri Yayasan Prasasti Perdamaian, persoalannya tidak sekadar memulangkan mereka atau tidak. Seperti apa penjelasannya? Kami sajikan di #AudiogramKBR #ISIS</t>
  </si>
  <si>
    <t>@XIII_kamp @zarazettirazr Bukan kah bagian dari isis..?</t>
  </si>
  <si>
    <t>RT @wiratmadinata98: Berita Channel News Asia; Mengakui keberhasilan RI dlm mengevakuasi WNI dari Cina akibat penyebaran virus corona. Di Indonesia @jokowi justru mengakui Aceh sbg propinsi yg dapat jadi contoh penanganan warganya dibawah arahan dari Plt., Gubernur Aceh @niriansyah. “Very well”.</t>
  </si>
  <si>
    <t>Dinyatakan Sehat, Ratusan WNI yang Dikarantina Tinggalkan Natuna</t>
  </si>
  <si>
    <t>Orang ini bukti kalo otak udah miring kena doktrin radikal susah buat lempeng lagi. Jadi keputusan pemerintah menolak ISIS ex WNI benar banget. #TangkapAlfianTanjung #ISISGoToHell RT @kantayu: Ah yg bener, Tad..? Gereja YKI Yasmin Bogor smp skrng ga beres Penolakan Gereja di Karimun gak ada penyelesaiannya, malah tokoh gereja dipolisikan Eh..penyerangan mushola di Minahasa, berakhir dgn dibuatkan masjid baru Keren,kan ? #TangkapAlfianTanjung</t>
  </si>
  <si>
    <t>@Tiffanyoktav @arianarosaline Ini lah sikon indonesia saat ini....,ya intoleransi,ya mau pulangkan ISIS...ya HTI,,ya mayat ditolak dikuburkan .... kaum penolak gereja bebas melenggang,malah romo yg dilaporkan ke polisi?yg di dharmasraya juga yg ungkap kasus intoleransi terancam penjara gimana pak @jokowi ?</t>
  </si>
  <si>
    <t>RT @rakyatgarislucu: Media di indonesia bekerja untuk menjadi provokator, sering kali judul sengaja dibuat untuk menarik perhatian dan kegaduhan.... Dan selalu berlindung dibalik kebebasan pers, padahal media yang menjadi corong "provokator" sama bahayanya dengan ISIS dan teroris.</t>
  </si>
  <si>
    <t>RT @ratu_adil: Bagaimana jika Ada skenario mendorong 53 Negara Uni Afrika beri De Jure pada : Negara Baru di Eks Wilayah ISIS dengan 100.000 Stateless Citizen Eks ISIS? Penelantaran WNI ISIS bagian dari Rekayasa Neo ISIS? Untuk gagalkan Kemerdekaan Palestina? 🌐</t>
  </si>
  <si>
    <t>RT @ratu_adil: Komisi I DPR : Pemulangan Anak WNI ISIS Tak Perlu Tergesa-Gesa Pemerintah perlu mengkaji Regulasi RI dan Regulasi Internasional soal ini 🌐</t>
  </si>
  <si>
    <t>Pak Menteri Kesehatan baru baru ini mengatakan:"MASKER ITU UNTUK ORANG SAKIT. Harga Masker mahal, salah sendiri, sehat kok beli Masker..." (Foto Menkes saat Evakuasi WNI dari China, beberapa saat lalu). Terimakasih...</t>
  </si>
  <si>
    <t>RT @ratu_adil: Pemulangan Anak WNI ISIS Perlu Kebijakan Khusus 🌐</t>
  </si>
  <si>
    <t>RT @ratu_adil: Wakil Ketua MPR Minta Pemerintah Pertimbangkan Pemulangan Anak dan Istri WNI ISIS 🌐</t>
  </si>
  <si>
    <t>RT @ratu_adil: Pengamat Terorisme Ridlwan Habib : Anak WNI ISIS Di Bawah 10 Tahun Aman Dipulangkan Meski saya lebih sepakat hingga 12 tahun sebagaimana usia perlindungan anak Namun saya berterima kasih pada mereka yang memikirkan secara rasional persoalan ini 🌐</t>
  </si>
  <si>
    <t>RT @ratu_adil: Nasib Anak WNI ISIS Hidup Tanpa Arah, Orangtua 'Lenyap' Dihantam Roket 🌐</t>
  </si>
  <si>
    <t>RT @ratu_adil: Anak WNI ISIS : Menolak Gabung, Mereka Potong Tangan dan Kaki Saya 🌐</t>
  </si>
  <si>
    <t>RT @ratu_adil: Jangan lupa Anak WNI ISIS di Suriah, bukanlah Anak dari Teroris yang menjadi Musuh Indonesia Mereka Anak-Anak dari WNI yang menjadi Musuh di Timteng Jika Anak WNI Musuh Timteng harus dicabut WNI-nya Maka Dukung Cabut Status WNI Anak Buronan BLBI 🌐</t>
  </si>
  <si>
    <t>RT @ratu_adil: Sebab Jika Kemanusiaan Indonesia pada Anak WNI ISIS diperlakukan sama seperti Teroris lainnya Maka Indonesia telah kehilangan Kemanusiaannya Dan oleh karenanya, Mari Dukung Cabut Status Anak WNI Eks : PKI NII GAM PRRI OPM dsb 🌐</t>
  </si>
  <si>
    <t>WNI Asal Tasikmalaya tak Sabar Kembali Kerja di Wuhan</t>
  </si>
  <si>
    <t>RT @jawapos: Bahlil soal Eks ISIS: Kalau Datang Hanya Bikin Kacau, Jangan Pulang</t>
  </si>
  <si>
    <t>Karantina Berakhir, Nur Yasin Ajak Masyarakat Terima WNI dari Wuhan #SetorFoto</t>
  </si>
  <si>
    <t>Udah legal jadi WNI.</t>
  </si>
  <si>
    <t>Cerita WNI tentang Kengerian Virus Corona di Wuhan, China.</t>
  </si>
  <si>
    <t>Karantina Berakhir, Nur Yasin Ajak Masyarakat Terima WNI dari Wuhan #PesanUntukMantan</t>
  </si>
  <si>
    <t>@collegemenfess Gabung ama isis</t>
  </si>
  <si>
    <t>@GYatmoko @mochamadarip @Eddy23472391 @yazid_fadhlan Percuma om, orang itu juga pernah adu argumen sama saya. Tapi tak tinggal karena tak rasa kok saya jadi ikutan bodoh. Kalau gak salah bahas masalah pemulangan eks WNI yg gabung ISIS.</t>
  </si>
  <si>
    <t>Jangan Biarkan Kombatan ISIS Eks WNI Jadikan Indonesia sebagai Basis Barunya!  Cc @savicali @GunRomli @sudjiwotedjo @Takviri #ISIS</t>
  </si>
  <si>
    <t>RT @kafiradikal: ...Korban ISIS di indonesia yg mana? Mentok di afiliasi aja. Delegasi Taliban aja bisa diterima wapres. Korban Taliban kurang jelas apalagi? (``,)</t>
  </si>
  <si>
    <t>RT @archnaverma: Sadiq Khan, London’s ‘Liberal Muslim’ Mayor, Has Ties To ISIS  via @yournewswire</t>
  </si>
  <si>
    <t>RT keras. Hijab cuma bungkus. Isi kepala hnya benci. Dia bukan WNI. _cetak tebal_ @DivHumas_Polri lgsg ciduk, meterai nt aja. @Kemenag_RI buktikan statement 'Menteri Semua Agama'. --from rest area KM10. RT @PensiunanRambo: @DlVHUMASPOLRI @Kemenag_RI @depkominfo</t>
  </si>
  <si>
    <t>238 WNI Tak Perlu Khawatir dengan Aktivitas Perkuliahan di Wuhan #BeritaTerkini #Berita #News #BeritaNasional</t>
  </si>
  <si>
    <t>RT @NephiLaxmus: Berapa rupiah biaya utk menjadikan WNA menjadi WNI?</t>
  </si>
  <si>
    <t>isis culia</t>
  </si>
  <si>
    <t>RT @wandazrin: Bila mata bertemu mata, akan temui cinta manusia. Bila dahi bertemu sajadah, akan temui cinta Allah. (Imam Al-Ghazali rah)</t>
  </si>
  <si>
    <t>@RizmaWidiono @DivHumas_Polri @BareskrimPolri @CCICPolri Laporkan ! @DivHumas_Polri Pendukung Isis Pendukung Hti Pemecah Belah Umat Mendiskreditkan Pemerintah NKRI Harus ditangkap #RingkusAlfianTanjung</t>
  </si>
  <si>
    <t>@hobisunmi pronto lo hara isis tu tranka palanca</t>
  </si>
  <si>
    <t>ICMI cabut paspor mantan WNI Eks ISIS, sesuai dengan Kaidah UUD. #cabutstatuswniproisis</t>
  </si>
  <si>
    <t>RT @MukhtarLuthfi12: @JohnIrwan4 @BanyakHoaks @aguzts_ @Yul3h4 @Zulfika35354359 @SetiaAdy_p @PLiantini @evisuryanti10 @73hermantjoe @BHD_8 @sofiankawar1 @TukangMu @babegalak1 @HeriSu19 @edward7011971 @CANDAdanBISNIS @mamiagarislucu @periani @Jokoumb64504158 @APLpangeran1 @Dickusnadi1 @zaenalkase03 @SultanAnjar @2024GanjarRisma @MaryanaNunung @BayuErrianto @MOMDian2 @RizkiR4madani @jubrik844 @positive_values @kasrulsani9 @wantahgdn @felixaaf1 @Edward_1smail @LiaIsti1 @Recoignitionwal @eddies_song @wartawankoboi13 @CumiCue @AdigunaAtmaja @Iqbalkuntoro1 @RazkaFaiz @Maranatha_Sibrn @dian_ibunda @GendengHrs @demartinnie @gimbal_keren @aniesbaswedan @arifsamsul_ma @RD_4WR1212 HTI dan ISIS itu setali tiga uang</t>
  </si>
  <si>
    <t>RT @Bentalakelam: @OldJoe771 @AnakKolong___ @fajar_istan @felixsiauw @ArieKuntung @sahouraxo ISIS buatan AS tp byk yg ikut Berduyun duyun orang IND gabung,bahkan ada maklumat mengakui saudara dgn ISIS.Dan hanya Syiah yg tdk jd boneka AS,setia bela Palestina 😉😁🤣</t>
  </si>
  <si>
    <t>@OldJoe771 @AnakKolong___ @fajar_istan @felixsiauw @ArieKuntung @sahouraxo ISIS buatan AS tp byk yg ikut Berduyun duyun orang IND gabung,bahkan ada maklumat mengakui saudara dgn ISIS.Dan hanya Syiah yg tdk jd boneka AS,setia bela Palestina 😉😁🤣</t>
  </si>
  <si>
    <t>#NewslineMetroTV Para WNI yang tiba di daerah masing-masing setelah menjalani masa observasi selama 2 pekan disambut haru dan gembira oleh keluarga maupun Pemerintah Daerah.</t>
  </si>
  <si>
    <t>@mbah_mijan Jawapos hari ini..dari 3.711 diantara nya 78 WNI kru kapal. Semua nya sehat..Kebal Corona..</t>
  </si>
  <si>
    <t>RT @PTGASI: Bagaimana perhitungan PPh Pasal 21 bagi WNI yang bekerja di luar negeri? Hubungi kami di  atau +62 21 750 2345. #ptgasi #payroll_Indonesia #penggajian #pajak #PPh21 #PPh26 #BPJS</t>
  </si>
  <si>
    <t>@Apriil68 Orang ini terus tebar kebencian pd Pemrintah &amp; Kepolisian ' tp ga pernah Mengingatkan Bahayanya Teroris Isis &amp;amp; Intolerant yg bs memecah belah bangsa &amp;amp; menghancurkan Negara</t>
  </si>
  <si>
    <t>RT @tribunnews: WHO Puji Langkah Indonesia Evakuasi WNI dari Wuhan: Selamat Telah Membuat Keputusan Cerdas!</t>
  </si>
  <si>
    <t>Hari ini magang di SMA. Kaget dikatain "Ibu ISIS ya?", pas aku tanya artinya apa ehh ternyata "Istri Sholeha Idaman Suami" 😭</t>
  </si>
  <si>
    <t>Menkopolhukam Tegaskan Langkah Screaning WNI Eks ISIS</t>
  </si>
  <si>
    <t>@ISIS_Balik_NO @andre_rosiade Iya kah?</t>
  </si>
  <si>
    <t>@budimandjatmiko Andai ada bukti sains bahwa WNI lebih kecil kemungkinan tertular karena kebiasaan makanan, apalagi karena sering jajan makanan yg tidak sehat sejak kecil. Sepertinya komunitas sains akan gempar 😅</t>
  </si>
  <si>
    <t>@detikcom @detikfinance Jng kasi msk ke RI pak extrimis ISIS yg #bakar paspor RI jls investor takut klo mrk #exist disini.Btw,kabarnya ada anggt DPR nm blkngnya zon yg #biayai mrk wkt ke Suriah n skrng ngotot minta mrk dipulangkan ke RI.Tlng BIN n @Humas_Polri usut tuntas.ketetlibatannya.</t>
  </si>
  <si>
    <t>Pembakaran paspor yang dilakukan anak-anak ISIS, apakah yakin akan memulangkan ke negara kita? @astrintin @YustianaDewi @itswulan_riska @candrayani28 @hariangr</t>
  </si>
  <si>
    <t>@tempodotco Tahu diri aja hok... Mantan napi, cina kafir harby, kasus2 korupsi sb.waras, tanah cenkareng, dll. Kata p. Yusril, babihok tdk bs jd pres krn kasus kewarganegaraan ortunya yg lbh milih jd WNA RRC drpd WNI.</t>
  </si>
  <si>
    <t>@Jean_Aprilia97 Mau kolab kek mau saingan kek.. yg penting eks WNI isis jgn dipulangkan.</t>
  </si>
  <si>
    <t>Apakah status WNI bagi meraka masih sah? @elisaekaf @lestarypermana @JunkUlan25 @blackstuck @Tabun_Riot</t>
  </si>
  <si>
    <t>RT @gadisresidu_b3: Tolong bantu saya menemukan orang tua kandung saya di Indonesia Terima kasih telah berbagi</t>
  </si>
  <si>
    <t>btw mengenai eks isis kan banyak yg anak-anaknya, tahukah kamu camp mereka ketika musim dingin salju sangat tebal yg parahnya mereka tidak memiliki jaket tebal dan selimut tebal pada akhirnya anak-anak itu menjadi korban dan meninggal dunia 😢</t>
  </si>
  <si>
    <t>Rasa syukur tak terhingga bagi keluarga WNI dari WUHAN yang menjalani observasi di Natuna kini telah di pulangkan kembali ke daerahnya masing-masing... "Admin" #PdiPerjuanganKaltim #pdiperjuangankukar #Pdiperjuangan #IndonesiaMaju #KaltimMerahTotal2030</t>
  </si>
  <si>
    <t>Pembakaran paspor yang dilakukan anak-anak ISIS, apakah yakin akan memulangkan ke negara kita? @NovieZoey_ @JunkUlan25 @saids38 @putubc @agungayumulia</t>
  </si>
  <si>
    <t>Mantap TNI, Polri, Menteri Kesehatan, Menteri PMK, BNPB Pusat dan Daerah, Presiden, Wapres, Gubernur, Bupati/Walikota, Batik Air/Lion Grup dan semua tim observasi, tim penjemputan dan pemulangan WNI. Semoga keberkahan bagi kita semua dalam mengemban tugas misi kemanusiaan. RT @Puspen_TNI: Suatu kehormatan dan kebanggaaan bagi kami mendpt kepercayaan utk melayani selama 14 hari di kamp observasi Natuna. . Bagi kami tugas itu kepercayaan, tugas itu kehormatan . Slmt Bertemu Keluarga, Sampaikan slm hormat kami kpd keluarga dirmh😎💂 #TNIPeduli</t>
  </si>
  <si>
    <t>Apakah status WNI bagi meraka masih sah? @clothingcostore @Soerya_Ms @AI_LOVE_cinta @Nuryaghi @Faira_Qua</t>
  </si>
  <si>
    <t>Pulang dari Observasi di Natuna, WNI Asal Pekanbaru: Istirahat Seharian di Rumah #TauCepatTanpaBatas #BeritaTerkini #BeritaDaerah .</t>
  </si>
  <si>
    <t>Apakah status WNI bagi meraka masih sah? @gayakuji @lisyulisafitri @dikikurnia @HanyfahRazan @paytaceria</t>
  </si>
  <si>
    <t>@MastKarela @mahussain92 @KapilMishra_IND ISIS ho ya jaish, ya koi aor terrorist organisation ho koi bhi apne apko terrorist nahi manta aisi halat tumhari hai.</t>
  </si>
  <si>
    <t>Indonesia diapresiasi WHO terkait penanganan &amp; evakuasi WNI dari Wuhan, China. Dikatakan sudah sesuai dengan standar internasional. 👏👏👏 Ampuh nek soal virus Corona, tapi tetep wae ora iso nangani virus TokTik, padahal podo seko Chinane. Hmm</t>
  </si>
  <si>
    <t>Bukan karena kekuatan doa semata loh ya. Lagian nggak semuanya WNI yang terjangkit itu virus rajin berdoa juga. RT @Naizarusama: Akhirnya ada pernyataan yg logis dari ahlinya.. Terima kasih Prof.</t>
  </si>
  <si>
    <t>Apakah status WNI bagi meraka masih sah? @w_empy85 @rifkilive @CollectionVera @MGKKemayoran @Rifky_LT</t>
  </si>
  <si>
    <t>Peristiwa pembakaran paspor Indonesia menjadi argumen penolakan terhadap pulangnya eks ISIS ke Tanah Air @balqisptr @faridafarichah @EsyEisyah @ThykarYati @mbiir</t>
  </si>
  <si>
    <t>Anak-anak ISIS membarakar paspor hijau @xynwenn @dedy_firmansyah @xiaojie_shena @modescashoes @Shellaphoxz</t>
  </si>
  <si>
    <t>Berapa rupiah biaya utk menjadikan WNA menjadi WNI? RT @kumparan: Tersangka memalsukan berbagai dokumen kependudukan dari e-KTP, kartu keluarga, surat domisili, hingga akta kelahiran.</t>
  </si>
  <si>
    <t>#BerantasMegaKorupsi #TerimaKasihFPI #Spirit212 Sekularisme Lebih Berbahaya dari WNI Eks ISIS</t>
  </si>
  <si>
    <t>RT @CintaNKRI08: Aneh Rezim @jokowi kenapa Kalian takut dengan Habibana Rizieq Shihab ? Apa alasan nya?? Habibana WNI , tdk pernah korupsi,&amp; tdk pernah melanggar Aturan ! JANTAN dong kalian jgn Ky BANCIii , kl mau Hadap 2 an muka dgn HRS , berani g Rezim🤭🤭 Jgn keroyokan 🙄🙄</t>
  </si>
  <si>
    <t>Apakah status WNI bagi meraka masih sah? @ShellyLidwina @illuminacil @NasyaMarbun @hari2anwar @Indahmuly</t>
  </si>
  <si>
    <t>@zarazettirazr Setelah si panjul mengatakan WNI keturunan boleh jd president,kemudian dii sambut survey indobarometer,the last si mulut jamban Komen,,,dah bubar aja negri ku</t>
  </si>
  <si>
    <t>Apakah status WNI bagi meraka masih sah? @FikiAsti @savira_rara @ibunAyou @mochsamsulrizal @Dj_Caroline92</t>
  </si>
  <si>
    <t>RT @salahsambungya: Menag memang tidak memuaskan hasil kerjanya. Jadi sudah pasti layak diganti.</t>
  </si>
  <si>
    <t>@Budi27110718 @Jean_Aprilia97 Byk sekali warga negara yg haknya jelas kepemilikannya itupun kagak dapat keadilan, baik secara hukum maupun ekonomi Jadi saya tetap berpendapat, jangankan ISIS yg kehilangan dokumen jauh lagi Sementara yg dinegerinya sendiri saja yg dokumennya lengkap tak mendaparkn keadilan</t>
  </si>
  <si>
    <t>RT @Metro_TV: Wakil Presiden Ma'ruf Amin mengimbau masyarakat agar tidak cemas dengan kepulangan WNI asal Wuhan yang selesai observasi di Natuna. Setelah menjalani observasi WNI tersebut sudah sesuai standar WHO. #MetroHariIni</t>
  </si>
  <si>
    <t>RT @gadisresidu_b3: 2.Saat itu dia baru berusia 15 tahun. 10 hari setelah dia tiba di Raqqa, dia dikawinkan dengan satu kombatan ISIS yang berasal dari Belanda.</t>
  </si>
  <si>
    <t>RT @gadisresidu_b3: 3.Hal serupa terjadi dengan banyak sekali perempuan-perempuan muda yang, karena alasan ideologi, bergabung dengan ISIS dan, tanpa proses pacaran, mereka dikawinkan dengan para kombatan ISIS.</t>
  </si>
  <si>
    <t>RT @gadisresidu_b3: 5.Ini adalah fondasi awal yang dibentuk oleh ISIS, untuk membuat perempuan-perempuan dan anak-anak gadis merasa bahwa mereka adalah bagian dari perjuangan yang sedang dilakukan oleh ISIS.</t>
  </si>
  <si>
    <t>RT @gadisresidu_b3: 6 .Bagi ISIS, perempuan dan anak-anak gadis adalah bagian dari mekanisme perjuangan yang sedang dilakukan oleh ISIS.</t>
  </si>
  <si>
    <t>RT @gadisresidu_b3: 7.Nah, penyerahan diri atau submission itulah yang dilakukan oleh ISIS secara terus menerus sehingga perempuan-perempuan ini kehilangan daya nalar mereka untuk bertanya, bahkan bersuara.</t>
  </si>
  <si>
    <t>lah, kalo ga ada identitas, dari mana kita tau mereka "eks wni".k RT @tempodotco: Kemenkumham yang mengirim tim ke Suriah, menemukan 1.200 orang Indonesia. Tapi gak ada identitas apapun, kata mahfud MD mengenai ISIS eks WNI.</t>
  </si>
  <si>
    <t>Anak-anak ISIS membarakar paspor hijau @harysetyawan_01 @Vanessa_Anggita @pratamaedwar02 @Bayu42Sri @dwiajengandini</t>
  </si>
  <si>
    <t>@AnakKolong___ @fajar_istan @felixsiauw @ArieKuntung @sahouraxo Tambah lagi SYIAH TOLOL 🤣 Jelas-jelas USA sudah mengakui ISIS buatan nya.</t>
  </si>
  <si>
    <t>RT @gadisresidu_b3: 17.Ini juga bukan soal seks, karena seperti yang sudah dipraktekan oleh ISIS dengan menjadikan kaum minoritas sebagai budak seks, kepuasan seksual itu (akan) diperoleh dari perempuan-perempuan hasil pampasan perang</t>
  </si>
  <si>
    <t>Pembakaran paspor yang dilakukan anak-anak ISIS, apakah yakin akan memulangkan ke negara kita? @nenenkawa @IndraOdd @ceceng_poek @cis_collection @RubyUdien</t>
  </si>
  <si>
    <t>RT @gadisresidu_b3: 10.Ini adalah perjuangan mereka. Sama dengan pemahaman ISIS, kelompok pendukung Daulah Islamiyah di Indonesia ini menganggap mereka sedang "under attack", oleh karena itu maka laki-laki diharapkan untuk berjuang dan mati demi menegakkan kekhilafahan</t>
  </si>
  <si>
    <t>@detikcom @detikfinance *BELAJAR DARI BRITISH, MEREKA MELAKUKAN SERING MELAKUKAN PENUSUKKAN MANUSIA DI LONDON! DAN ISIS MENYATAKAN BERTANGGUNG JAWAB! KALAU PENGHILANGAN: HARUN MASIKU? PARTAI BERBUAT, PARTAI JUGA BERBOHONG! HAHAHA</t>
  </si>
  <si>
    <t>78 WNI di Diamond Princess Belum Mau Dievakuasi</t>
  </si>
  <si>
    <t>Apakah status WNI bagi meraka masih sah? @daganganoi @GASVIBESHOP @DianPrmstn_19 @tonistyawan @TheBricks_Store</t>
  </si>
  <si>
    <t>RT @robert868686: @yusuf_dumdum @DivHumas_Polri Up to @DivHumas_Polri @CCICPolri @PolhukamRI @Puspen_TNI apakah mau di biarkan org sprt ini? Cb periksa yg bnr, jgn2 ada hub dgn ISIS dan HTI #TangkapAlfianTanjung</t>
  </si>
  <si>
    <t>Wakil Presiden Ma'ruf Amin mengimbau masyarakat agar tidak cemas dengan kepulangan WNI asal Wuhan yang selesai observasi di Natuna. Setelah menjalani observasi WNI tersebut sudah sesuai standar WHO. #MetroHariIni</t>
  </si>
  <si>
    <t>Peristiwa pembakaran paspor Indonesia menjadi argumen penolakan terhadap pulangnya eks ISIS ke Tanah Air @Poncoaji_p @Moms_Travel @adisusa40681375 @Ardhitmorris @Almarhum13</t>
  </si>
  <si>
    <t>RT @IMulya77: @Aan__coverBOYkw @Mataka81760170 @DivHumas_Polri @BareskrimPolri @Kemenag_RI @permadiaktivis @HmfaqihA @narkosun @kangdede78 @AnakKolong___ @and_reavie Yg model begini tdk pantas dipanggil ustadz! 1ayat-pun tdk ada yg dibaca selain menjelekan pemerintah &amp; aparat Ustadz itu selalu berbicara santu bkn memprofokasi! @DivHumas_Polri @Kemenag_RI ngatasi 1org sja tak bisa,bermimpi pla mau bawa plg ISIS eks WNI #TangkapAlfianTanjung</t>
  </si>
  <si>
    <t>Anak-anak ISIS membarakar paspor hijau @liyauzi @srtinah @jun_achmad92 @riscasoi @ionacesium</t>
  </si>
  <si>
    <t>Pembakaran paspor yang dilakukan anak-anak ISIS, apakah yakin akan memulangkan ke negara kita? @zakinah23 @ShellyLidwina @NasyaMarbun @hari2anwar @Indahmuly</t>
  </si>
  <si>
    <t>Mau bilang kl teknologi indonesia tdk mampu mendeteksi virus corona, nyatanya 74 WNI negative corona di kapal pesiar ini. Yg cek org org luar yg punya teknologi canggih. RT @TIME: Watch: American passengers have been evacuated from Diamond Princess cruise ship, where at least 44 Americans have tested positive for the coronavirus. The ship has been stuck in Yokohama since Feb. 3</t>
  </si>
  <si>
    <t>Apakah status WNI bagi meraka masih sah? @acrylicband_ @witokangelina @ResmiyatiDewi @rumahsepatu_bdg @SarbeiShoes</t>
  </si>
  <si>
    <t>Salah satu WNI dari Wuhan menceritakan pengalamannya selama observasi selama 14 hari di Natuna. Para WNI dirawat dengan sangat baik dan semua WNI pun dalam keadaan sehat. Dapatkan berita terkini lainnya di tvOne connect. #tvOneNews #KabarPagitvOne #Natuna #WNI #Wuhan</t>
  </si>
  <si>
    <t>Peristiwa pembakaran paspor Indonesia menjadi argumen penolakan terhadap pulangnya eks ISIS ke Tanah Air @ners_devi @finchel105 @oktaviuswilliam @bigtunikcotton @elmoerif</t>
  </si>
  <si>
    <t>Sofyan Trauri : pemerintah memerlukan strategi khusus dalam menghadapi ratusan WNI mantan kombatan ISIS. #MantanKombatanISIS</t>
  </si>
  <si>
    <t>Pembakaran paspor yang dilakukan anak-anak ISIS, apakah yakin akan memulangkan ke negara kita? @tara_noviana @iqbalmetronome @bdoetomo @may13blues @ArthaEstuary</t>
  </si>
  <si>
    <t>#TerimakasihNatuna menjamin semua WNI tersebut dalam keadaan sehat wal afiat.</t>
  </si>
  <si>
    <t>Usai Dipulangkan, Pemerintah Terus Pantau Kondisi Kesehatan 238 WNI dari Natuna</t>
  </si>
  <si>
    <t>Anak-anak ISIS membarakar paspor hijau @Lizzsetia @merry_mariyam @dhaniedewanta @MarinaFebrianiz @retta_rasya</t>
  </si>
  <si>
    <t>Kemenkumham yang mengirim tim ke Suriah, menemukan 1.200 orang Indonesia. Tapi gak ada identitas apapun, kata mahfud MD mengenai ISIS eks WNI.</t>
  </si>
  <si>
    <t>#TerimakasihNatuna Kepada masyarakat yang akan menerima WNI tersebut harus menerima dengan tulus. ikhlas. dan meyakini bahwa semuanya sudah menjalani program transit observasi sesuai protokol WHO yang menjamin mereka semua sehat wal afiat.</t>
  </si>
  <si>
    <t>● 362 warga negara Indonesia (WNI) bekerja di kpl pesiar MS Westerdam. ●Kpl smpt ditolak b'labuh o/ 5 pelbhn akibat kekhawatiran virus #covid19ID akhirnya merapat k dermaga Shihanoukville, Kamboja ● PLT Jubir KemLu, Teuku Faizasyah: semua WNI di Westerdam dlm kondisi sehat. RT @medcom_id: 362 WNI di Kapal Westerdam Negatif Virus Korona</t>
  </si>
  <si>
    <t>Juru bicara Presiden Fadjroel Rachman: Pemerintah mengucapkan terima kasih kepada masyarakat Natuna yang telah menjadi tuan rumah bagi WNI dari Wuhan untuk menjalani transit observasi. #TerimakasihNatuna</t>
  </si>
  <si>
    <t>Peristiwa pembakaran paspor Indonesia menjadi argumen penolakan terhadap pulangnya eks ISIS ke Tanah Air @AsbakOutlet @w_empy85 @eMorensIndra902 @carsskin @azmiifarkhan</t>
  </si>
  <si>
    <t>RT @Yeyen41020695: @Zainuddinovic @wiwikherma @yatsupriatnadwi @yayansandra12 @yohisoyoh @youdie_r16 @Yudisaghassa @yurikoimut @YUSRIbaikhati @zammysixx @ztw868992 @silentreadeer @sabarriyadi @habithebats @agungm0204 @mantan_pacar_ @Takirosopo @NLendri Karakter WNI RAMAH. Sikap Manis thd siapapun. Kita tetap menjaga Kebudayaan dan Toleransi thd sesama umat Tuhan.</t>
  </si>
  <si>
    <t>RT @medcom_id: 362 WNI di Kapal Westerdam Negatif Virus Korona</t>
  </si>
  <si>
    <t>17.Ini juga bukan soal seks, karena seperti yang sudah dipraktekan oleh ISIS dengan menjadikan kaum minoritas sebagai budak seks, kepuasan seksual itu (akan) diperoleh dari perempuan-perempuan hasil pampasan perang</t>
  </si>
  <si>
    <t>Menolak Kepulangan ISIS Eks WNI Sudah Tepat</t>
  </si>
  <si>
    <t>Peristiwa pembakaran paspor Indonesia menjadi argumen penolakan terhadap pulangnya eks ISIS ke Tanah Air @NdhaAndini @syzwz @bungky @khifuiester @Kiky_Ayyas</t>
  </si>
  <si>
    <t>Apakah status WNI bagi meraka masih sah? @andri_sudiro @lianurliani11 @lalurusdi93 @Dstephannidanir @justulmi</t>
  </si>
  <si>
    <t>@WahabisLokal Dikerubutin anak ISIS eks WNI aja deh ...biar bikin jera buat lain</t>
  </si>
  <si>
    <t>@Zainuddinovic @wiwikherma @yatsupriatnadwi @yayansandra12 @yohisoyoh @youdie_r16 @Yudisaghassa @yurikoimut @YUSRIbaikhati @zammysixx @ztw868992 @silentreadeer @sabarriyadi @habithebats @agungm0204 @mantan_pacar_ @Takirosopo @NLendri Karakter WNI RAMAH. Sikap Manis thd siapapun. Kita tetap menjaga Kebudayaan dan Toleransi thd sesama umat Tuhan.</t>
  </si>
  <si>
    <t>Pemerintah RI melalui Menteri Kesehatan beserta seluruh Kementerian koordinator. Kementerian dan Lembaga terkait sesuai Inpres Nomor 4 2019 menjamin semua WNI tersebut dalam keadaan sehat wal afiat. #TerimakasihNatuna</t>
  </si>
  <si>
    <t>Apakah status WNI bagi meraka masih sah? @NdhaAndini @syzwz @bungky @khifuiester @Kiky_Ayyas</t>
  </si>
  <si>
    <t>@VishalRC007 Everything is temporary but MONEY is permanent. Jiske liye Sally bhai Lallu bhai ho gya tha 😁😁😁😁 300 cr ki movie dene k baad b kuch paiso k liye juthe bartan dhoya 😆😆😆😆😆 BC filmo me akela hi pure ISIS ko khatam krne wala, paiso k liye ghar ki Naukrani ban tha 😂😂😂</t>
  </si>
  <si>
    <t>@houschen @Imamasysyafi @tiraimissu @CH_chotimah Kalo khilafah perwujudan at taubah Brarti agama yg sekarang kau anut itu bukan islam Tapi agama khilafah 🤣🤣🤣🤣 TOLOL Modal mu cuma cocoklogi y Pantes muslim bnyk x yg gabung isis sama mudah kali di provokasi Kadang aku malu jadi muslim Kok sebodoh ini kaum ku</t>
  </si>
  <si>
    <t>RT @SupriantoFerdi: 237 WNI dari Natuna bebas dari virus corona, Masa Observasi dilakukan selama 14 hari.#TangkapProvokatorAlfianTanjung</t>
  </si>
  <si>
    <t>Peristiwa pembakaran paspor Indonesia menjadi argumen penolakan terhadap pulangnya eks ISIS ke Tanah Air @Vhieedaa @sesyaayur @fazrina_fasha @tantritrot @dwiyanada</t>
  </si>
  <si>
    <t>@PensiunanRambo @DlVHUMASPOLRI @Kemenag_RI @depkominfo Islam itu indah islam itu jujur islam itu baik, habis itu ngajak bunuh orang gorok leher! Bukan islam itu tapi ISIS!</t>
  </si>
  <si>
    <t>Apakah status WNI bagi meraka masih sah? @goezzsally_47 @bujang3roet @YSuharyani @febridhans @ariefseek</t>
  </si>
  <si>
    <t>RT @Dy4hPutry: Perintah Presiden @jokowi Kalau pemerintah tak kan memulangkan anggota ISIS yang berasal dari Indonesia</t>
  </si>
  <si>
    <t>10.Ini adalah perjuangan mereka. Sama dengan pemahaman ISIS, kelompok pendukung Daulah Islamiyah di Indonesia ini menganggap mereka sedang "under attack", oleh karena itu maka laki-laki diharapkan untuk berjuang dan mati demi menegakkan kekhilafahan</t>
  </si>
  <si>
    <t>Pemerintah memerlukan strategi khusus dalam menghadapi ratusan WNI mantan kombatan ISIS #MantanKombatanISIS</t>
  </si>
  <si>
    <t>Kepulangan ratusan WNI mantan kombatan ISIS hanya akan menjadi momok bagi ratusan juta rakyat Indonesia dan tidak ada jaminan aksi serupa tidak akan terulang #MantanKombatanISIS</t>
  </si>
  <si>
    <t>Pengadilan Singapura Hukum Dua WNI yang Jadi Donatur ISIS: Singapura memberikan hukuman kepada dua orang wanita…</t>
  </si>
  <si>
    <t>Anak-anak ISIS membarakar paspor hijau @Nuy_Maulid @Luluelhasbu @CindytaSeptiana @mirnamultanty @dewianitasarii</t>
  </si>
  <si>
    <t>Hati-Hati, Kombatan ISIS Pulang Malah Jadi Ancaman Bagi Bangsa  #MantanKombatanISIS</t>
  </si>
  <si>
    <t>Apakah status WNI bagi meraka masih sah? @noviliaacullen @Fiskasarii @NafisahBerlian1 @eziolies @samanda_online</t>
  </si>
  <si>
    <t>Pemerintah mengucapkan terima kasih kepada masyarakat Natuna yang telah menjadi tuan rumah bagi WNI dari Wuhan. #TerimakasihNatuna</t>
  </si>
  <si>
    <t>Jokowi Perintahkan Kesehatan 238 WNI dari Natuna Dipantau  #pdiperjuangan</t>
  </si>
  <si>
    <t>Pemerintah tak akan pulangkan WNI Eks ISIS ke Indonesia 🇮🇩 #AwasHTImasihEksis #TolakAnakISISKembali #TindakTegasIntoleran</t>
  </si>
  <si>
    <t>Eks ISIS Minta Pemerintah Miliki Strategi Khusus untuk Kombatan ISIS  #MantanKombatanISIS</t>
  </si>
  <si>
    <t>Bagaimana perhitungan PPh Pasal 21 bagi WNI yang bekerja di luar negeri? Hubungi kami di  atau +62 21 750 2345. #ptgasi #payroll_Indonesia #penggajian #pajak #PPh21 #PPh26 #BPJS</t>
  </si>
  <si>
    <t>RT @Rakha_boumi: @Julia_Zeed @Gun4w4nAhokers @DPR_RI Periode kemarin yang akrobat DPR duo F Sekarang para menteri sering kali membuat pernyataan aneh..dari mulai pencabutan subsidi gas.pemulangan Kombatan isis.apakah untuk menutupi kasus #harunmasiku dan #cabutskb2menteri</t>
  </si>
  <si>
    <t>#CegahISISmasukRI Ancaman yang perlu diwaspadai setelah pemerintah memutuskan menolak pulangkan WNI eks ISIS ialah adanya kemungkinan mereka dideportasi atau menyusup masuk ke Indonesia.</t>
  </si>
  <si>
    <t>RT @KemenkesRI: Setelah melaksanakan observasi selama 14 hari di Natuna, kemarin tepat pukul 12.00 WIB, masa observasi 238 WNI dari Wuhan dinyatakan telah selesai. #WaspadaCOVID19</t>
  </si>
  <si>
    <t>Anak-anak ISIS membarakar paspor hijau @ratusweetwanda @Jaja_fujiwara @novisr11 @aryamilitiamen @Adeliajess_08</t>
  </si>
  <si>
    <t>Ketimbang WNI Eks ISIS, Politisi Demokrat Minta Pemerintah Urusi Anak Terlantar</t>
  </si>
  <si>
    <t>Peristiwa pembakaran paspor Indonesia menjadi argumen penolakan terhadap pulangnya eks ISIS ke Tanah Air @nana_amaliaFZ @wafabaridwan @ika_aryani @rika_ah @atika_nurina</t>
  </si>
  <si>
    <t>@KomnasHAM malah lebih bela COMBATAN ISIS ex WNI. LBH ? Masuk angin. Wong menteri aja cuma KOMEN : HANYA RAMAI DI MEDSOS ! WTF RT @TaliUdeng: Kasus gereja di Karimun itu kasus yg kesekian kalinya negara abai terhadap rakyat yg pnya hak untuk beribadah.. LBH, Komnas HAM ato organisasi kemanusiaan pada kmana? Parahnya lagi, kita anggap ini sdah biasa trjadi di negara ini..</t>
  </si>
  <si>
    <t>RT @SetiaAdy_p: @BanyakHoaks @aguzts_ @JohnIrwan4 @Yul3h4 @Zulfika35354359 @PLiantini @evisuryanti10 @73hermantjoe @BHD_8 @sofiankawar1 @TukangMu @babegalak1 @HeriSu19 @edward7011971 @CANDAdanBISNIS @mamiagarislucu @periani @Jokoumb64504158 @APLpangeran1 @Dickusnadi1 @zaenalkase03 @SultanAnjar @2024GanjarRisma @MaryanaNunung @MukhtarLuthfi12 @BayuErrianto @MOMDian2 @RizkiR4madani @jubrik844 @positive_values @kasrulsani9 @wantahgdn @felixaaf1 @Edward_1smail @LiaIsti1 @Recoignitionwal @eddies_song @wartawankoboi13 @CumiCue @AdigunaAtmaja @Iqbalkuntoro1 @RazkaFaiz @Maranatha_Sibrn @dian_ibunda @GendengHrs @demartinnie @gimbal_keren @aniesbaswedan @arifsamsul_ma @RD_4WR1212 Khilapah, hti, isis itu sodara kandung, kembar siam mlh.👍😀</t>
  </si>
  <si>
    <t>Pembakaran paspor yang dilakukan anak-anak ISIS, apakah yakin akan memulangkan ke negara kita? @brilikempinski @4deSyu @utherosadit @aldomauri @web_designer_id</t>
  </si>
  <si>
    <t>Mengalahkan ISIS itu gampang. Tinggal suruh Amrik pergi dari Suriah. RT @HadiNasrallah: It is past midnight in the city of Aleppo and the streets are still crowded with celebrating people. For the first time in 8 years Aleppeans won’t have to worry about Jihadist terrorist attacks targeting their neighborhoods, schools and hospitals. Not a word from CNN or BBC.</t>
  </si>
  <si>
    <t>Peristiwa pembakaran paspor Indonesia menjadi argumen penolakan terhadap pulangnya eks ISIS ke Tanah Air @kevinkennedykie @hilmankus @uwiananda @indahbi @Jannneet</t>
  </si>
  <si>
    <t>Apakah status WNI bagi meraka masih sah? @dolce_shop @wawazahra @INDAAY @baronangs @adecreatzsshop</t>
  </si>
  <si>
    <t>Anak-anak ISIS membarakar paspor hijau @imasnikolasari @JunizarHR @capcusnek @Faira_Qua @andyhardy_oss</t>
  </si>
  <si>
    <t>RT @kodokpangeran5: #TerimakasihNatuna menjamin semua WNI tersebut dalam keadaan sehat wal afiat.</t>
  </si>
  <si>
    <t>RT @minhyunsc: Juru bicara Presiden Fadjroel Rachman: Pemerintah mengucapkan terima kasih kepada masyarakat Natuna yang telah menjadi tuan rumah bagi WNI dari Wuhan untuk menjalani transit observasi. #TerimakasihNatuna</t>
  </si>
  <si>
    <t>Usai Evakuasi WNI, Kedatangan Kru TNI AU di Lanud Hasanuddin Disambut Bahagia</t>
  </si>
  <si>
    <t>Pemulangan WNI simpatisan ISIS Sudah tidak perlu dipertimbangan kembali, Tolak Keras Pemulangan EKS-ISIS. #TangkapProvokatorAlfianTanjung</t>
  </si>
  <si>
    <t>Tanah Air indonesia bukan lagi Tanah Air ISIS. #TangkapProvokatorAlfianTanjung</t>
  </si>
  <si>
    <t>Peristiwa pembakaran paspor Indonesia menjadi argumen penolakan terhadap pulangnya eks ISIS ke Tanah Air @gitaagiit @BPotjal @_Sanajaya @aulia_bo @aep_aink</t>
  </si>
  <si>
    <t>@ohmybeautybank Di aku dingin nder, tapi dinginnya cuman bentar wkwk, enak isis semriwing gitu wkwkkw tapi kalo pake charm suka iritasi merah</t>
  </si>
  <si>
    <t>@KakekHalal @jelataNKRI_ndai ISIS berjubah NKRI</t>
  </si>
  <si>
    <t>Apakah status WNI bagi meraka masih sah? @rerevii @qryamalia @erwinrachim @D_Isk48 @saifulghani8</t>
  </si>
  <si>
    <t>@BanyakHoaks @aguzts_ @JohnIrwan4 @Yul3h4 @Zulfika35354359 @PLiantini @evisuryanti10 @73hermantjoe @BHD_8 @sofiankawar1 @TukangMu @babegalak1 @HeriSu19 @edward7011971 @CANDAdanBISNIS @mamiagarislucu @periani @Jokoumb64504158 @APLpangeran1 @Dickusnadi1 @zaenalkase03 @SultanAnjar @2024GanjarRisma @MaryanaNunung @MukhtarLuthfi12 @BayuErrianto @MOMDian2 @RizkiR4madani @jubrik844 @positive_values @kasrulsani9 @wantahgdn @felixaaf1 @Edward_1smail @LiaIsti1 @Recoignitionwal @eddies_song @wartawankoboi13 @CumiCue @AdigunaAtmaja @Iqbalkuntoro1 @RazkaFaiz @Maranatha_Sibrn @dian_ibunda @GendengHrs @demartinnie @gimbal_keren @aniesbaswedan @arifsamsul_ma @RD_4WR1212 Khilapah, hti, isis itu sodara kandung, kembar siam mlh.👍😀</t>
  </si>
  <si>
    <t>#TerimakasihNatuna jadi tempat observasi wni istana sampaikan terimakasih ke masyarakat natuna.</t>
  </si>
  <si>
    <t>RT @apaini1111: Togog terlalu solid untuk semua isu, bersatu ngatain lawan kadrun atau kampret. Sebaliknya, rakyat oposisi pikiran dan individunya terlalu merdeka. Ga ada kesatuan, ada isu FE gelud, ada isu ISIS baku hantam, isu bongkar-bongkar saling cakar. Bukti kita bukan robot &amp; ga dibayar.</t>
  </si>
  <si>
    <t>@Mbobz17 Masyarakat, rakyat, wni, buahaha</t>
  </si>
  <si>
    <t>RT @rmol_id: Usai Masa Observasi 238 WNI, Ini Kisah 18 Awak Maskapai Yang Mengevakuasi Dari Wuhan Sampai Ikut Karantina #natuna #RepublikMerdeka</t>
  </si>
  <si>
    <t>RT @spiderr__matrix: @H4l1mun_D1n61n @yusuf_dumdum @LuwitaEmilly878 @Lumbalaut1 @kangenband123 @Adipativan @vincent_ves @YRadianto @ayah_9Garislucu @Ajiesara @DiantyYasmin3 @Diana_GarisImut @viviandeella @Ji3_RebOrn @gelangbesi @papih_f41th @edotssss @snjayajonggrang @johhhnygudhel @IrmaHKds Pertanyaanya.."kenapa tentara Allah Tidak lindungi ISIS,yang akan membentuk Dais(daualah islamiyah)</t>
  </si>
  <si>
    <t>RT @Cebongmilitan1: @AlfaAlfarizy1 @FaGtng @Adipativan @mochamadarip @Aryprasetyo85 @P3nj3l4j4h_id @cak_agoest @ApriliaLin @NannyAlexendry Aq twiteran dgn pndapatku sendiri..bukan ngikutin arus.Walaupun mndukung Pk @jokowi..aq kritik Beliau soal penanganan intoleran yg sprti dibiarkan. Utk @FaGtng ..ada baiknya jka Mbk mnjelaskan hastg "dukung jokowi pulangkan isis" tst agar jelas masalahnya. 🙏</t>
  </si>
  <si>
    <t>@hamba_6045 Konon exodus china daratan itu sejak tahun 70an, masuk dr kalimantan, lapor sbg tamu di RT &amp; RW urus di pengadilan , jadi WNI. Kebanyakan tinggal di Jakbar &amp;amp; Jakut. Ngga tau deh daerah lainnya..</t>
  </si>
  <si>
    <t>RT @MrsRachelIn: @GunRomli Se7 banget ' bawa sekalian para pendukung kombatan isis' biar negri ini ga gaduh lg</t>
  </si>
  <si>
    <t>Berasa kuat kemana2 karena WNI kebal Corona 🤨🧐😂</t>
  </si>
  <si>
    <t>@msaid_didu Bisa menang lho. Cara yang sama persis. Intoleran, radikalisme, hti, fpi, hrs, isis. Gandeng NU tradisional. Pegang banyak survey. Buat jatim sbg pengontrol hasil pilpres sesuai survey. Gunakan senjata!!!</t>
  </si>
  <si>
    <t>RT @Takviri: Tiba-tiba Ahok dibenturkan lagi dgn Anies &amp; Bima Arya. Biar rame lagi setelah berita ISIS tenggelam.</t>
  </si>
  <si>
    <t>Kepulangan WNI Dari Natuna Di Sejumlah Daerah  via @YouTube</t>
  </si>
  <si>
    <t>Togog terlalu solid untuk semua isu, bersatu ngatain lawan kadrun atau kampret. Sebaliknya, rakyat oposisi pikiran dan individunya terlalu merdeka. Ga ada kesatuan, ada isu FE gelud, ada isu ISIS baku hantam, isu bongkar-bongkar saling cakar. Bukti kita bukan robot &amp; ga dibayar.</t>
  </si>
  <si>
    <t>Tunggu ber"jaya"kembali..?.. dgn ber puluh² ribu TKA China masuk Indonesia,bisa di bayangkan kecepatan Rakyat akan ter papar paham Komunis...?pemerintah sadar gak siihh...? @DPR_RI tak perhatian...?ex.isis di politisasi...? RT @winarto_sarsidi: PKI ʙᴇʀʜᴀsɪʟ ᴍᴇɴᴅᴜᴅᴜᴋɪ Mᴀᴅɪᴜɴ sᴇʟᴀᴍᴀ 13 ʜᴀʀɪ, ᴛᴇʀʜɪᴛᴜɴɢ sᴇᴊᴀᴋ ᴛᴀɴɢɢᴀʟ 18-30 Sᴇᴘᴛᴇᴍʙᴇʀ 1948. ᴍᴇsᴋɪ ʙᴇɢɪᴛᴜ, ᴋᴏʀʙᴀɴ ᴘᴇᴍʙᴀɴᴛᴀɪᴀɴ PKI ᴋᴀʟᴀ ɪᴛᴜ ᴍᴇɴᴄᴀᴘᴀɪ 1.920 ᴏʀᴀɴɢ. 😥</t>
  </si>
  <si>
    <t>RT @MuntahaSamson: Indonesia Negara Kesepakatan Semua Agama. Klau ada yg masih ngeyel tk kasih tau sdr2 pergi saja ke Suriyah, Irak, Palestin, Yaman... Tlg dibangun dulu negara2 tsb, kan tujuan ISIS #khilafah itu saja blm dibangun, masak #NKRI jg mau dihancurkan. Gk aah #KhilafahTertolakdiNKRI</t>
  </si>
  <si>
    <t>@cagubnyinyir2 @novapermana8 @JohnIrwan4 @Bnie18 @sirajapadoha Sudahlah Pak Mahfud MD, gak usah singgung masalah ISIS, biarkanlah berlalu.</t>
  </si>
  <si>
    <t>@AgustianVernan1 Tdinya mau ke irak daftar isis</t>
  </si>
  <si>
    <t>@CNNIndonesia Kadrun ISIS, mana suara mu?</t>
  </si>
  <si>
    <t>@korantempo *LIBYA DIJADIKAN BASIS MIGRANTS ISIS !</t>
  </si>
  <si>
    <t>@FerdinandHaean2 @detikcom Bagusnya Eks Isis pergi ke China dikasih virus Corona biar Cepat berlalu dr muka bumi ini.</t>
  </si>
  <si>
    <t>RT @SeputariNews: Lion Air Group memberikan apresiasi kepada 18 kru pahlawan kemanusiaan yang telah mengevakuasi WNI yang berada di Wuhan, China. KSC⁣ #SeputariNewsSiang #SeputariNewsRCTI #Coronavirus #Wuhan #China #BatikAir #Observasi</t>
  </si>
  <si>
    <t>@Reiza_Patters Setelah jubir istana ngomong WNI keturunan bs jd Presiden, langsung segala penjuru ngegas dukung doi, termasuk tukang survey. #TSM</t>
  </si>
  <si>
    <t>waspada jalur tikus ISIS asal Indonesia #TolakISISEksWNI</t>
  </si>
  <si>
    <t>didata dengan baik, ISIS eks WNI tak akan lolos #TolakISISEksWNI</t>
  </si>
  <si>
    <t>- Salah satu alasan pemerintah menolak kepulangan eks warga negara Indonesia yang telah bergabung dengan kelompokIslamic State in Iraq and Syria (ISIS) adalah karena meragukan itikad baik mereka</t>
  </si>
  <si>
    <t>@CNNIndonesia Trs gue kudu kena gelaja tantrum mumpung Pangeran Arab stalk twitter gue?! Boam! Mentang2 Ka'bah ada di sana trs jd segalanya gitu?! Di gerbang msk kompleks gue jg ada Ka'bah! Urusan pemerintah sm Arab Saudi cm melindungi WNI yg kerja di sana spy gk diperlakukan spt budak.</t>
  </si>
  <si>
    <t>RT @jawapos: Virus Korona di Kapal Pesiar: 356 Orang Terinfeksi, 78 WNI Tetap Sehat</t>
  </si>
  <si>
    <t>Kebahagiaan keluarga sambut WNI dari Natuna</t>
  </si>
  <si>
    <t>Pelayanan Prima @poldajogja so Warga Yogjakarta dan Seluruh WNI jgn Ragu , Minder ,Takut, Malu untuk datang baik dlm Pelayanan Informasi, Pelayanan SKCK , Pengaduan Tindak Pidana Umum, Korupsi, Narkoba dll…</t>
  </si>
  <si>
    <t>Dr Khor Swee Kheng bringing up Sihat Bersama 2030 @ISIS_MY</t>
  </si>
  <si>
    <t>@wahhabicc_jabar yg tinggal di Indonesia tapi ngedukung ISIS pasti malu nih..</t>
  </si>
  <si>
    <t>Masalah Hukum Pemulangan Bekas ISIS</t>
  </si>
  <si>
    <t>@DJBourned @toasan @JimlyAs @mohmahfudmd @fadlizon @jokowi Lagian kalo saya pendukung komunis kenapa si, anda mau mendukung ISIS saja saya bakal bela kok</t>
  </si>
  <si>
    <t>RT @radar_malang: Virus Korona di Kapal Pesiar: 356 Orang Terinfeksi, 78 WNI Tetap Sehat</t>
  </si>
  <si>
    <t>RT @BiLLRaY2019: ISIS inginkan Deklarasi Negara Khilafah..! Waspada...waspadalah antek-antek ISIS ada disekitar kita. #AwasAntek2ISIS</t>
  </si>
  <si>
    <t>Virus Korona di Kapal Pesiar: 356 Orang Terinfeksi, 78 WNI Tetap Sehat</t>
  </si>
  <si>
    <t>@GunRomli Se7 banget ' bawa sekalian para pendukung kombatan isis' biar negri ini ga gaduh lg</t>
  </si>
  <si>
    <t>Coba yg hangus si ikan buntal. Jgn pulangkan isis ex-wni. @kemendagri @Kemenag_RI @Kemhan_RI @fadlizon @musniumar @felixsiauw @felixsiauwfans @felixsiauw1 @FelixSiauw_ID @FelixSiauwLover @aagym @PKSejahtera @MardaniAliSera</t>
  </si>
  <si>
    <t>@sirajapadoha Teroris ISIS dan seluruh pendukungnya adalah 😈 terkutuk. Mereka merekrut orang-orang bodoh untuk melakukan kejahatan paling biadab dan brutal di muka bumi. Mereka memperkosa, membunuh, merampok, jual-beli budak sex, sambil menyebut nama Tuhan. Sungguh biadab!</t>
  </si>
  <si>
    <t>RT @indonesianest45: Masa observasi 237 warga negara Indonesia (WNI) plus 1 WNA yang sempat terjebak di Wuhan, Cina, karena isu virus Corona akan selesai pada Sabtu, 15 Februari 2020. Setelah menjalani 14 hari masa karantina di Natuna, Batam, sejak 2 Februari lalu, mereka akhirnya siap dipulangkan.</t>
  </si>
  <si>
    <t>Masa observasi 237 warga negara Indonesia (WNI) plus 1 WNA yang sempat terjebak di Wuhan, Cina, karena isu virus Corona akan selesai pada Sabtu, 15 Februari 2020. Setelah menjalani 14 hari masa karantina di Natuna, Batam, sejak 2 Februari lalu, mereka akhirnya siap dipulangkan.</t>
  </si>
  <si>
    <t>Direktur Perlindungan WNI dan Badan Hukum Indonesia Kemlu RI, Judha Nugraha, melalui pesan singkatnya mengatakan "Terkonfirmasi tidak ada WNI yang terinfeksi. 78 WNI sampai saat ini dalam keadaan sehat," #ittrenglishcourse #news #coronavirus #VIRUS_CORONA</t>
  </si>
  <si>
    <t>RT @tvOneNews: Mengapa Pemerintah memutuskan untuk tidak memulangkan WNI Eks ISIS? Bagaimana nasib ondel-ondel dan kebudayaan yang di exploitasi di jalanan? Saksikan pembahasannya bersama Dalton, Sandiaga dan Sandrina di Hot Indonesia hanya di Youtube channel Talk Show tvOne. #HotIndonesiaOne</t>
  </si>
  <si>
    <t>RT @soeripsarap: @AnakKolong___ Dan pada akhirnya kadrun yang "burning heaven" .... Sesuai dengan "keinginan" anda ketika ditanya @Eureeka__ tentang hal mustahil??? 😂😂😂 Thanks to isis.</t>
  </si>
  <si>
    <t>@sloppypoppy @fariqhsb aku paling pusing bulan ini liat twittr bahas masalah isis mau dipulangin berikut foto2 korban, bahas psikolog predator, istri hrs dgaji suami. lelah. emang twitter cocoknya utk receh2 aja deh.*unfol yg bikin mumet*</t>
  </si>
  <si>
    <t>@bramantyajk Tapi gimana bang kalau ada orang pemerintahan yg ngotot/ setuju pemulangan eks ISIS?? Apakah mereka juga termasuk kedalam golongannya??</t>
  </si>
  <si>
    <t>@CebongCardouz 😅😅🔴🔵🔴 kalo KomNasHam...sebuk ngurusin dan peduli dgn ISIS ex WNI-nya ..sambil NgeLaHap 👉 HamBurgerrr di Burger Kingggg😅😅😅</t>
  </si>
  <si>
    <t>Untuk wajib pajak pribadi WNI yang nggak menjalankan usaha, kamu hanya perlu menyiapkan fotokopi atau scan KTP aja. Namun, jika kamu menjalankan usaha, siapkan juga surat keterangan dari pejabat pemerintah setempat, sekurang-kurangnya Lurah atau Kepala Desa. Nah, jika kamu sudah</t>
  </si>
  <si>
    <t>RT @PakarLogika: Ada wacana dari negara untuk memulangkan anak2 eks ISIS. Menurut saya sblm negara berpikir kesana, negara hrs hadir dulu bagaimana memulihkan trauma, kondisi anak2 korban kebiadaban teroris ISIS. Mereka lbh butuh perhatian negara daripada anak2 eks ISIS. #TolakAnakISISKembali</t>
  </si>
  <si>
    <t>RT @faizalassegaf: Pantas tdk tegas soal manuver kapal2 Cina di Natuna &amp; ngotot meminta WNI eks ISIS dipulangkan, beda sikap dgn Jokowi. Ngaca pak, surveinya cuma akal2an aje tuh. Begini Respons Gerindra Soal Prabowo Jadi Menteri Paling Terpopuler</t>
  </si>
  <si>
    <t>@PensiunanRambo @DlVHUMASPOLRI @Kemenag_RI @depkominfo Ehmmm...yg blum ke ISIS aj begini gaimana yg sdh warga negara ISIS yg mau clbk ama Negeri ini. Seperti ini sih gak pakai lama langsung ciduk😎</t>
  </si>
  <si>
    <t>RT @mediaindonesia: Harus Cermat soal Anak IS Eks WNI</t>
  </si>
  <si>
    <t>NASIB MAHASISWA WNI YANG BERKULIAH DI WUHAN.....??? #Corona #VirusCorona #Wuhan #China #coronavirus #CoronavirusOutbreak #coronavirusec #coronaviruses #virus #virusCoronaChina #VirusKorona</t>
  </si>
  <si>
    <t>@WR_4AG226 Seharusnya pemerintah menahan orang ini, karena jelas2 Geng ISIS yg mau makar dan menghancurkan indonesia....</t>
  </si>
  <si>
    <t>Harus Cermat soal Anak IS Eks WNI</t>
  </si>
  <si>
    <t>@GUSDURians @jokowi @mohmahfudmd Negara takut sama ISIS</t>
  </si>
  <si>
    <t>RT @RA_drtjiptaning: Ribka jg meminta seluruh pihak terkait spt TNI-Polri, Kemenkes, serta media utk meluruskan hal tsb ke arah yg lbh positif. Ia mendorong dilakukannya sosialisasi scr menyeluruh trhdp masy bhw Indonesia mampu memerangi #VirusCorona . #pdiperjuangan @GesuriID</t>
  </si>
  <si>
    <t>RT @RA_drtjiptaning: Menkes terawan berfoto bersama @dr_tjiptaning &amp; anggota @KomisiIX @DPR_RI saat mendarat di Bandara Lanud Raden Sajad, Ranai, Natuna, Kepulauan Riau, Kamis (13/2/2020) dlm kunker di Natuna terkait observasi WNI yg dipulangkan akibat wabah virus korona dari Wuhan China. #RTP</t>
  </si>
  <si>
    <t>Mengapa Pemerintah memutuskan untuk tidak memulangkan WNI Eks ISIS? Bagaimana nasib ondel-ondel dan kebudayaan yang di exploitasi di jalanan? Saksikan pembahasannya bersama Dalton, Sandiaga dan Sandrina di Hot Indonesia hanya di Youtube channel Talk Show tvOne. #HotIndonesiaOne</t>
  </si>
  <si>
    <t>RT @Indosiar: Begini suasana haru campur bahagia saat WNI dari Wuhan yang selesai diobservasi di Natuna berjumpa dengan keluarga. #IndosiarBerita Ah, kangen sekangen-kangennyaaaaa tuh pasti :')</t>
  </si>
  <si>
    <t>@BBCIndonesia Jangan dipulangin, kalo dipulangin nanti tiket terusan surga mereka jadi ga berlaku lagi. Yang kedua, mantan pemimpin ISIS indonesia kemaren bilang mereka bahagia disana, kalo udah bahagia disana ya gak perlu disusahkan dengan pemulangan. Ketiga, pulang? Emang masih warga Indo?</t>
  </si>
  <si>
    <t>RT @YohanesPatty2: Kpd Yth Bpk Presiden @jokowi @Puspen_TNI @DivHumas_Polri @Puspenkum @DPR_RI @MPR @DPDRI @Menkumham @mohmahfudmd kami WNI tinggal di Perbatasan Malindo, tapi Hati dan Jiwa raga kami NKRI. Negara terlalu sibuk dgn org2 yg tdk setia dgn NKRI mengabaikan anak Negeri.🇮🇩🇮🇩🇮🇩</t>
  </si>
  <si>
    <t>Pemerintah #Indonesia telah mengobservasi 238 WNI dari Wuhan di Natuna sejak 2 Februari 2020 Bagaimana masa observasi, fasilitas observasi di Natuna, dan proses observasinya seperti apa, yuk simak infografis berikut #Infografis #ProgramPemerintah #VirusCorona #Virus_Corona</t>
  </si>
  <si>
    <t>RT @republikaonline: Masyarakat untuk tak memberikan pandangan negatif kepada 243 WNI tersebut.</t>
  </si>
  <si>
    <t>RT @gaffarmuaqaffi: Mereka yg mengatakan dirinya pembela HAM, tapi menolak kedatangan anak-anak yg tak bersalah ex ISIS perlu dipertanyakan kembali pendiriannya. Anak-anak kecil itu dianggap mewarisi "dosa-dosa" orang tuanya. Lalu apa bedanya dirimu dgn Orba yg membenci semua keturunan PKI?</t>
  </si>
  <si>
    <t>RT @ariel_heryanto: Berpikir jernih, adil dan terbuka itu langka. Massa cenderung beramai2 mengeroyok kelompok sosial yang sedang menderita dan rentan. Contohnya banyak dari berbagai masa dan tempat: dari kelompok politik, ideologi, etnis, hingga orientasi seksual tertentu.</t>
  </si>
  <si>
    <t>Pantas tdk tegas soal manuver kapal2 Cina di Natuna &amp; ngotot meminta WNI eks ISIS dipulangkan, beda sikap dgn Jokowi. Ngaca pak, surveinya cuma akal2an aje tuh. Begini Respons Gerindra Soal Prabowo Jadi Menteri Paling Terpopuler</t>
  </si>
  <si>
    <t>Bagaimana jika Ada skenario mendorong 53 Negara Uni Afrika beri De Jure pada : Negara Baru di Eks Wilayah ISIS dengan 100.000 Stateless Citizen Eks ISIS? Penelantaran WNI ISIS bagian dari Rekayasa Neo ISIS? Untuk gagalkan Kemerdekaan Palestina? 🌐</t>
  </si>
  <si>
    <t>RT @ariel_heryanto: '“Kalau mau, yang radikal kayak ISIS itu juga kita ajak. Dengan demikian kita bersatu,” ungkap Ryamizard.' "Menhan Izinkan FPI dan ISIS Ikut Latihan Bela Negara", Jawa Pos 13 Januari 2017, 05:02:40 WIB,</t>
  </si>
  <si>
    <t>@kayu_bondol @ance_top @MarchelBerry @AnakLolina Wkwk knp harus isis di bahas woyy ,emng khilafah solusi ???coba baca sejarah tentang khilafah ,terus yang di fahami jangan aja , perluasan wilayah , hukumnya ,coba cari tragedi2 lain ,yg mana muslim tidak berdosa ikut di binasakan</t>
  </si>
  <si>
    <t>@allanjschmidt MKKKKKKKKKK to viva</t>
  </si>
  <si>
    <t>Mengapresiasi Sikap Tegas Pemerintah Menolak Kepulangan ISIS Eks WNI -</t>
  </si>
  <si>
    <t>Iseng2 mampir di akunnya cebong.. Isinya hatei, ISIS, radikal, khilafah, kritik pak Anies.. Ga ada yg nyolek korupsi, Jiwasraya.. Pantes aja rezim merasa tenang, lha pemuja nya ga pernah kritik..</t>
  </si>
  <si>
    <t>RT @setkabgoid: Usai Dipulangkan, Pemerintah Terus Pantau Kondisi Kesehatan 238 WNI dari Natuna</t>
  </si>
  <si>
    <t>RT @MZubir_ID: @sirajapadoha Kebiadaban teroris ISIS dan anak-anak ISIS tidak dibayangkan, kecuali oleh pendukung teroris itu sendiri. Teroris ISIS mencatut Islam dan khilafah sebagai lambang kejahatan mereka. Sedangkan mereka bukanlah Islam, hanya orang yang paling bodoh yang menganggap ISIS itu Islam.</t>
  </si>
  <si>
    <t>RT @pengundi_sedar: LTTE atau Liberation Tigers Tamil Eelam yang diasaskan oleh Vellupilai Prabhakaran adalah sebuah gerakan ketenteraan yang dicatatkan sebagai kumpulan paling radikal dibandingkan dengan kumpulan seperti Al-Qaeda, ISIS dan sebagainya.</t>
  </si>
  <si>
    <t>[Kartun] Eks ISIS Pulang? -</t>
  </si>
  <si>
    <t>@ance_top @MarchelBerry @Anam4613 @AnakLolina ISIS justru lbh byk tau ttg Islam drpd anda. Mgp anda menolak ISIS? Anda hipokrit dlm hal ini.</t>
  </si>
  <si>
    <t>Bahagia di Indonesia, Sengsara di Suriah |   via @merdekadotcom</t>
  </si>
  <si>
    <t>Berikut ini 5 artikel terpopuler dan menarik di Kompasiana dalam sepekan kemarin: dari penetapan status WNI eks-ISIS, pernyataan kontroversial Kepala BPIP, hingga bahaya sexting dalam pacaran. #HLkompasiana</t>
  </si>
  <si>
    <t>@wahhabicc_jabar @RizmaWidiono Yang lain bergembira, yang sedih ISIS, HTI, PKS dengan Ikhwanul Musliminnya.</t>
  </si>
  <si>
    <t>RT @budimandjatmiko: Untuk bisa menjaga hidup bersama dgn konsiaten, kita tak cukup punya sifat baik yg dipelajari dr buku2 yg mengajarkan kebaikan. Ia jg harus mengalami hal2 buruk spy tahu harga kebaikan. Dan itu tak murah. Kita tahu bedanya sekarang dlm melihat persoalan ISIS</t>
  </si>
  <si>
    <t>@ance_top @MarchelBerry @Anam4613 @AnakLolina Tp ISIS jg ingin tegakkan khilafah. Dan bbrp ustad dan jemaah di Ind mendukung niat ISIS itu. Fakta ini berbeda dgn cuitan anda.</t>
  </si>
  <si>
    <t>@KakekHalal @DivHumas_Polri Apa mgkin ke 18 anggota ISIS yg sdh bercokol di NKRI sdg melakukan teror mental krn sdr2nya tdk di pulangkan? Jgn lengah tetap waspada!😎</t>
  </si>
  <si>
    <t>@Boemi_Pertiwi12 Hahaha...trus yg mati dipenggal sama anakmu/isis gimana???</t>
  </si>
  <si>
    <t>RT @KompasTV: Jadi Sorotan: Gimana Nasib Pendidikan WNI di Wuhan?</t>
  </si>
  <si>
    <t>RT @eddy_wees: Waaa ini baru OK, jadi jelas ya....yang ngomong Eks Presiden ISIS Reg. Indonesia : mereka sudah senang, dapat penghasilan besar disana. Gak usah diributin lagi ttg upaya pemulangan mereka, mubazir dan menghabiskan enerji saja...</t>
  </si>
  <si>
    <t>@YudiAbdulRohim @WagimanDeep @permadiaktivis @mohmahfudmd @DivHumas_Polri PKI udh lewat jaman nya. Sekarang yg jd mslh adalah ISIS. Tapi kalo nyangkut ISIS ngomongnya jadi beda ya. Tiba² jadi orang yg sangat peduli HAM.</t>
  </si>
  <si>
    <t>@liem_id Malah ribut osas isis,formula E formula Z, Pohon hilang kebakaran jenggot Triliunan ilang santuy Kasian negaraku</t>
  </si>
  <si>
    <t>@WR_4AG226 Adooh. simantan isis.cepetan mati dong bikin ribet mbak cebong aja</t>
  </si>
  <si>
    <t>RT @the_geotimes: #Opini - imannul98 - Bom Waktu Eks Kombatan ISIS? -</t>
  </si>
  <si>
    <t>@PideksoRoyo1 @WidAdji @TofaTofa_id Jelas ISIS itu kau, nulis tahu bulat aja pake tulisan Arab. Bikin orang esmosi. Coba pake huruf Jawa, pasti dipuja-puji ANUS... 😝</t>
  </si>
  <si>
    <t>Warga suriah bergembira atas terbebasnya wilayah aleppo dari cengkraman ISIS setelah 8 tahun... Semoga Allah SWT selalu melaknat semua tipu daya ISIS dan antek² mereka.... RT @sahouraxo: Such beautiful scenes tonight from #Syria, with Syrians celebrating the full liberation of #Aleppo from Al-Qaeda and ISIS for the first time in 8 years. Western media should be celebrating this monumental defeat of terrorism, but it’s nowhere to be found.</t>
  </si>
  <si>
    <t>Lah kita, yang suka ISIS malah banyak... ckckck RT @wahhabicc_jabar: Sunni Merayakan Syiah Merayakan Kristen Merayakan Alawi Merayakan KEMENANGAN atas bebasnya keseluruhan Alepo dr cengkraman ISIS, AlQaeda, Jabhat Nusro &amp; Anggota GENG JAHAT lainnya. 🌹Menyaksikan kegembiraan mereka sangat mengharukan... 🌹 SELAMAT</t>
  </si>
  <si>
    <t>@KakekHalal @DivHumas_Polri Eks isis nih.... PENJARAKAN.</t>
  </si>
  <si>
    <t>Agar semua tau dan mengerti. #isis #wni #tolakisis #nkri #jagankri</t>
  </si>
  <si>
    <t>Jangan berpikir bahwa wanita dan anak-anak ISIS yang ingin pulang itu "harmless". RT @JamesAALongman: When Baghdadi died, Begum says, some women celebrated because for them, he wasn't radical enough. Polman: "I've seen a child chop the head off a doll." The issue of children being radicalised is a real one in the camps. 16/23</t>
  </si>
  <si>
    <t>@subtanyarl Masuk, isi, kirim udh gitu ajaa, atogk isis aj secreto akuu wkwkwk</t>
  </si>
  <si>
    <t>@greypunch @WidAdji @TofaTofa_id Sama kaya propic yg gw pake ini, bro....yg tuna aksara arab pasti langsung nyenggol2x isas isis khilafaj khilafeh hatea hatei ustadz kamu nganu2x...🤣</t>
  </si>
  <si>
    <t>Sex. Duh. #ThingsThatGetBetterWithAge</t>
  </si>
  <si>
    <t>78 WNI di Kapal Pesiar Negatif Virus Corona, Tapi Positif Masuk Angin</t>
  </si>
  <si>
    <t>@detikcom Kalau memang benar berita itu...kok didiamkan? Jelas dia benggolannya. Jelas pro dan lindungi ISIS? Carikan pasal dan aturannya, kemudian ditangkap.</t>
  </si>
  <si>
    <t>Ratusan WNI yang menjalani observasi di natuna telah kembali ke rumah masing2, bagaimana Anda menanggapi kedatangan para WNI ini?</t>
  </si>
  <si>
    <t>Terima WNI dari Natuna tanpa Stigma</t>
  </si>
  <si>
    <t>RT @SAWUNGLANANG: @__MV_llestari__ Melihat sponsor yg terlibat, saya pesimis pengadilan internasional diadakan. Ndak mungkin negara2 itu kau dipermalukan di mata dunia. Yg paling mungkin ya peradilan di Syiria n Iran kepada mereka, selain melepas tanggungjawab juga memutus rantai cerita asal muasal ISIS ini ada.</t>
  </si>
  <si>
    <t>Jangan Biarkan Kombatan ISIS Eks WNI Jadikan Indonesia sebagai Basis Barunya!  #CintaSehatTanpaMaksiat</t>
  </si>
  <si>
    <t>@detikcom Eks presiden ISIS Indonesia?? Lah kok bisa. Organisasi Kriminal Dunia kok punya Presiden dan itu tingal di NKRI, apa kata dunia??</t>
  </si>
  <si>
    <t>@__MV_llestari__ Melihat sponsor yg terlibat, saya pesimis pengadilan internasional diadakan. Ndak mungkin negara2 itu kau dipermalukan di mata dunia. Yg paling mungkin ya peradilan di Syiria n Iran kepada mereka, selain melepas tanggungjawab juga memutus rantai cerita asal muasal ISIS ini ada.</t>
  </si>
  <si>
    <t>@wahhabicc_jabar Ya mrk semua bersuka cita ' yg berduka hanya Pendukung Teroris isis!</t>
  </si>
  <si>
    <t>RT @denyspam: @Takviri @oneaperture 🤣🤣🤣 terjebak, kan?!! bilang lawan radikalisme, tapi ormas intoleran dibiarkan!! bilang menolak eks isis, tapi masih berupaya memasukkan anak" (dan tentunya bersama ibu dan bapaknya, bukan?!!). bilang karimun akan diselesaikan, eh panitianya mau dipolisikan. 🤣🤣🤣 @jokowi</t>
  </si>
  <si>
    <t>RT @johns00000: Sadiq Khan, London’s ‘Liberal Muslim’ Mayor, Has Ties To ISIS  via @yournewswire</t>
  </si>
  <si>
    <t>RT @zandrianipisces: Kadroon khilafuvk ISIS, Al Qawdahh udah gak lakuuhh di Suriah. Yg udah bakar pasport Indonesia pada ketakutan kena hukuman mati en pada mintak pulang.</t>
  </si>
  <si>
    <t>Menag Fachrul Razi tercatat memiliki kinerja buruk selama 100 hari pertama pemerintahan Jokowi-Ma'ruf. Layak diganti?</t>
  </si>
  <si>
    <t>RT @republikaonline: Bupati Bogor menawarkan Yusuf, WNI yang baru jalani observasi, berwisata.</t>
  </si>
  <si>
    <t>@dhewiratnasarii 6. anggota isis</t>
  </si>
  <si>
    <t>Sunni Merayakan Syiah Merayakan Kristen Merayakan Alawi Merayakan KEMENANGAN atas bebasnya keseluruhan Alepo dr cengkraman ISIS, AlQaeda, Jabhat Nusro &amp; Anggota GENG JAHAT lainnya. 🌹Menyaksikan kegembiraan mereka sangat mengharukan... 🌹 SELAMAT</t>
  </si>
  <si>
    <t>@kompascom Memulangkan ex WNI ISIS itu termasuk penegakan HAM??? Bangshat.</t>
  </si>
  <si>
    <t>Kepada masyarakat yang akan menerima WNI tersebut harus menerima dengan tulus. Ikhlas. #TerimakasihNatuna</t>
  </si>
  <si>
    <t>Staf Khusus Presiden. Diaz Hendropriyono.:.Ancaman yang perlu diwaspadai setelah pemerintah memutuskan menolak pulangkan WNI eks ISIS ialah adanya kemungkinan mereka dideportasi atau menyusup masuk ke Indonesia. #CegahISISmasukRI</t>
  </si>
  <si>
    <t>Menko Polhukam. Mahfud MD. bahwa pemerintah akan mengantisipasi kemungkinan para WNI eks ISIS kembali ke Tanah Air menggunakan jalur tikus atau bahkan melalui negara yang bebas visa dengan Indonesia. #CegahISISmasukRI</t>
  </si>
  <si>
    <t>Thank God it’s monday! Alhamdulillah masih dikasih kesempatan di dunia. Bisa bangun pagi dengan sehat. Punya pekerjaan. Ada ongkosnya juga buat berangkat kerja. Alhamdulillah 78 WNI di…</t>
  </si>
  <si>
    <t>RT @helmifelis: Yang disampaikan Prof. Gayus sudah saya tweet sebelum Eks ISIS dilarang pulang Hukum memang sudah parah, negara ini seperti dipimpin diktator Lihat bagaimana hukum berjalan sekarang. Disana dilindungi, disini yang tidak salah pun dibui .</t>
  </si>
  <si>
    <t>@CiaVallen @J_Aryoko @Anakmanggarai2 @KakekHalal @AnakLolina @KatolikG @jokowi @RomeskoP @YRadianto @8294diyah_ro @valencia_amara @adevj1969 @Kemdikbud_RI @Kemenag_RI Itu tidak pantas jadi Kepala Sekolah..... Cocoknya jd Kepala Partai yg ingin memulangkan serdadu ISIS Eks WNI..... 🤣🤣🤣🤣🤣</t>
  </si>
  <si>
    <t>Simak obrolan eksklusif IDN Times dengan Direktur PWNI Kemlu</t>
  </si>
  <si>
    <t>Terima kasih kepada masyarakat Natuna yang telah menjadi tuan rumah bagi WNI dari Wuhan untuk menjalani transit observasi. #TerimakasihNatuna</t>
  </si>
  <si>
    <t>RT @dawiguna: Ketika ajaran radikal mewujud organisasi, kita menemukan bentuk seperti ISIS. Di Indonesia, banyak yg mem-baiat diri ke ISIS dan meneruskan ajaran "islam" nya Padahal, Mufti Besar Arab Saudi menyatakan ISIS BUKAN ISLAM</t>
  </si>
  <si>
    <t>pemerintah indonesia waspada isis eks wni yang akan menyusup. #CegahISISmasukRI</t>
  </si>
  <si>
    <t>@dawiguna Cuma di Indonesia saja ISIS di puja puja.... FPI...HTI... Ada mereka merevisi ucapannya....selama tidak ada ... mereka adalah pendukung ISIS yg sebenarnya..</t>
  </si>
  <si>
    <t>Terungkap identitas WNI yang gagal dievakuasi dari Wuhan</t>
  </si>
  <si>
    <t>Cegah Eks ISIS Masuk ke Indonesia secara Ilegal. #CegahISISmasukRI</t>
  </si>
  <si>
    <t>stafsus jokowi minta aparat tak lengah antisipasi wni eks isis menyusup. #CegahISISmasukRI</t>
  </si>
  <si>
    <t>cegat wni eks isis nyusup ke RI semua jalur diblokir. #CegahISISmasukRI</t>
  </si>
  <si>
    <t>Seharusnyalah negara2 trsebut yg wajib bertanggung jawab atas nasib para ex teroris ISIS.... bukan Indonesia. RT @__MV_llestari__: Didatangkan dari seluruh penjuru dunia dan dilatih di Yordania oleh kapitalis barat. Dibiayai Arab Saudi dan Qatar, dan dimasukkan melalui pintu perbatasan di Turki. Merekalah negara-negara sponsor itu. Tidak adil membiarkan mereka cuci tangan. Harus ada tanggung jawab.</t>
  </si>
  <si>
    <t>RT @hermana_t: Gayus menegaskan, pelanggaran WNI eks ISIS muaranya adalah pengadilan "Bukan pemerintah," tegas Gayus Saat Gayus menjelaskan, Ngabalin meresponnya dgn tertawa "Kok tertawa. Itu ketawa bodoh," kata Gayus ke Ngabalin Ngabal sok ngerti hukum Parah</t>
  </si>
  <si>
    <t>@JatimPemprov: Khofifah mengapresiasi pengambilan keputusan pemerintah untuk evakuasi WNI kembali ke tanah air dilakukan sangat cepat.… RT @JatimPemprov: Khofifah mengapresiasi pengambilan keputusan pemerintah untuk evakuasi WNI kembali ke tanah air dilakukan sangat cepat. Koordinasi antara seluruh elemen strategis di pemerintah pusat hingga diputuskan dilakukan observasi di Natuna juga berlangsung dg cepat dan sangat baik.</t>
  </si>
  <si>
    <t>#IndonesiaSehaPagi Menkes Terawan Minta Masyarakat Hilangkan Pikiran Negatif pada WNI Eks-Karantina</t>
  </si>
  <si>
    <t>@AnakKolong___ Dan pada akhirnya kadrun yang "burning heaven" .... Sesuai dengan "keinginan" anda ketika ditanya @Eureeka__ tentang hal mustahil??? 😂😂😂 Thanks to isis.</t>
  </si>
  <si>
    <t>@_wni_ Aku sedih teruk baca kisah tu 😭</t>
  </si>
  <si>
    <t>Kucing jantan tu yg bawak penyakit. Jantan taguna 😭💔 RT @muazz_t: 8 April 2018: Aku bertemu dgn seekor kitten yang lapar. Aku pun campaklah seketul ayam bagi dia makan. Habis je makan ayam tu, dia panjat kaki aku duduk atas riba aku. Lama jugak dia duduk, sampai aku dah habis lepak dia duduk. Aku pun rasa attached dgn dia lalu bawak balik rumah</t>
  </si>
  <si>
    <t>@isis_scheid lindona</t>
  </si>
  <si>
    <t>Pertumbuhan EKONOMI Indonesia anjlok hanya capai 5% PADAHAL om @jokowi sudah KERJA-KERJA-KERJA dan KERJA GILA SEMUA ITU KARENA : BANGKAI BABI VIRUS CORONA DOA RAKYAT KEDIRI KUTUKAN SEKJEN EMPIRE ULAH ISIS dan HTI HABIB RIZIEQ ROCKY GERUNG Cc @pramonoanung @mohmahfudmd</t>
  </si>
  <si>
    <t>@EkaWidy77591967 @ind0day Ada beberapa lagi VIDEO terkait ISIS ini di TL saya ... Silahkan bila ingin melihat dan mengunduhnya juga ... 😊</t>
  </si>
  <si>
    <t>RT @cagubnyinyir2: Mahfud MD: Eks WNI ISIS Itu untuk sembuh agak susah ya kalau sudah bergabung ke ISIS, karena ISIS itu soal ideologi, dia anggap negara yang sah itu adalah khilafah. Kalau dia pulang Pasti Kumat ngeBom lagi.  @novapermana8 @JohnIrwan4 @Bnie18 @sirajapadoha</t>
  </si>
  <si>
    <t>Usai Masa Observasi 238 WNI, Ini Kisah 18 Awak Maskapai Yang Mengevakuasi Dari Wuhan Sampai Ikut Karantina</t>
  </si>
  <si>
    <t>#Opini - imannul98 - Bom Waktu Eks Kombatan ISIS? -</t>
  </si>
  <si>
    <t>RT @yusuf_dumdum: Waspada, kelompok ISIS ini punya doktrin "taqiyah" (berpura-pura) di depan musuh. Dengan kata lain, eks ISIS ini mudah berbohong! #AwasAntek2ISIS</t>
  </si>
  <si>
    <t>@ance_top @MarchelBerry @Anam4613 @AnakLolina Tp ISIS ingin menegakkn Islam yg murni. Menegakkan Khilafah. Dan byk ustad2 di Indonesia yg dukung hal itu. Aku rasa anda sdh menentang para ustad2 tsbt. Bertobatlah segera.</t>
  </si>
  <si>
    <t>@detikcom Pak tua kalau enak ko presidennya engga gabung disana? Betul2 pernyataan profokativ dan menyesatkan ... kira2 orang ini bagian broker pengiriman orang2 simpatisan isis indonesia ke suriah ?</t>
  </si>
  <si>
    <t>@kayu_bondol @MarchelBerry @Anam4613 @AnakLolina ISIS bkn Islam... Buatan amerika....!</t>
  </si>
  <si>
    <t>⠀ ⠀ 𝑮𝒐𝒍𝒐𝒏𝒈𝒂𝒏 𝑫𝒂𝒓𝒂𝒉: ⠀ O. ⠀ 𝑱𝒆𝒏𝒊𝒔 𝑲𝒆𝒍𝒂𝒎𝒊𝒏: ⠀ Perempuan. ⠀ 𝒁𝒐𝒅𝒊𝒂𝒌: ⠀ Cancer. ⠀ 𝑲𝒆𝒃𝒂𝒏𝒈𝒔𝒂𝒂𝒏: ⠀ WNI. ⠀</t>
  </si>
  <si>
    <t>RT @MARSUDI__: @AhlulQohwah cocok nih di terapin di indonesia buat,koruptor2,pnjahat,maling,rampok,pro isis,yg radikal2.di jamin negara aman</t>
  </si>
  <si>
    <t>@ance_top @MarchelBerry @Anam4613 @AnakLolina Btw, jk mbebaskn budak lbh mulia, mgp bkn hal itu yg dilakukn (sbg cth) olah ISIS? Tp malah perkosa budak tsbt.</t>
  </si>
  <si>
    <t>RT @JatimPemprov: Khofifah mengapresiasi pengambilan keputusan pemerintah untuk evakuasi WNI kembali ke tanah air dilakukan sangat cepat. Koordinasi antara seluruh elemen strategis di pemerintah pusat hingga diputuskan dilakukan observasi di Natuna juga berlangsung dg cepat dan sangat baik.</t>
  </si>
  <si>
    <t>RT @adendidi58: ISIS KADRUN KONYOL KAN ASU KUWI MUAU PULANGIN ISIS YAAA ATAU MINTA BANTUAN NAMBAH KELOIMPOK BIAR RAME QYTU.</t>
  </si>
  <si>
    <t>@Fahrihamzah Kurang 1 bang.. Daulat rakyat vs daulat parpol vs daulah islamiah ISIS..</t>
  </si>
  <si>
    <t>RT @DiantyYasmin3: @dubie_tina Setuju kita jaga NKRI dr ISIS ✊👊💪👍❤️🇮🇩</t>
  </si>
  <si>
    <t>RT @antaranews: Foto: Menengok isi kamp Al-Hol, tempat pengungsian keluarga eks simpatisan ISIS</t>
  </si>
  <si>
    <t>@dubie_tina Setuju kita jaga NKRI dr ISIS ✊👊💪👍❤️🇮🇩</t>
  </si>
  <si>
    <t>RT @DadangRusian: @DonAdam68 Disini WN China dipermudah Disana WNI sendiri dilarang pulang Hukum kebalik,, semoga negara ini tdk ikut dibalikan ! Aamiin</t>
  </si>
  <si>
    <t>Foto: Menengok isi kamp Al-Hol, tempat pengungsian keluarga eks simpatisan ISIS</t>
  </si>
  <si>
    <t>Reposted from @tvrinasional Polemik pemulangan WNI eks Isis, selengkapnya di Indonesia Siang bersama sophia.fanumbi dan dewinta_kailola mulai pukul 12.00 WIB di TVRI media pemersatu bangsa. #indonesiasiangditvri…</t>
  </si>
  <si>
    <t>@WR_4AG226 Jelas2 ngaku Pres ISIS dan mau mengayomi eks ISIS kok ngga diciduk ya @Kepolisian_RI @CCICPolri @DivHumas_Polri pak @mohmahfudmd pak @jokowi</t>
  </si>
  <si>
    <t>Ayo ayo yg masih cinta ISIS atao masih sok ngadrun... silahkan nyungsep secara jantan... #tolakpulangkankombatanisis RT @AnakKolong___: BERITA SUKA CITA DARI #SYIRIA | (Yang mungkin tak disukai @felixsiauw , @ArieKuntung dkk ) . . Warga Suriah turun ke jalan² malam ini, merayakan kemenangan tentara Suriah membebaskan kantong terakhir Al Qaeda. BERITA YANG TAK AKAN ANDA LIHAT di CNN &amp; BBC. . . 🎥@sahouraxo</t>
  </si>
  <si>
    <t>@DJBourned @toasan @JimlyAs @mohmahfudmd @fadlizon @jokowi Anda bicara keadilan demi ISIS? Tak perlu mutar-mutar juga Anda. Well, tidak begini mikirnya kalau adil. Tapi saya ikuti permainan Anda.</t>
  </si>
  <si>
    <t>@WahabisLokal Org ini perasaan sudah pernah mendekam di penjara karena fitnah partai tertentu, ini bukti bahwa provokator itu gk akan pernah jera. Jadi masih sok2an mo mulangin ISIS ex WNI? 😀🙏</t>
  </si>
  <si>
    <t>@detikcom Apakah Anggun pake hijab hitam dan cadar hitam seperti perempuan ISIS????</t>
  </si>
  <si>
    <t>RT @republikaonline: Semua mahasiswa asing yang satu asrama dalam kondisi sehat bebas dari corona.</t>
  </si>
  <si>
    <t>[Tribun Jogja] Cerita Warga Sleman yang Diobservasi di Natuna: Timbul Ikatan yang Erat antar WNI</t>
  </si>
  <si>
    <t>RT @Sandi_alfarizie: @AhlulQohwah Saya setuju, tapi anak anak eks wni yg ISIS itu diadopsi sama seluruh komisioner KPAI. Tinggal jumlahin berapa bagi berapa orang komisioner KPAI. Jika singkatan itu bermakna perlindungan anak bukankah sebaiknya memberi teladan dahulu?</t>
  </si>
  <si>
    <t>AWAS EKS ISIS NEKAT BALIK INDONESIA ! AYO KITA JAGA BERSAMA2 POLRI/TNI DAN INDONESIA 🇮🇩 HARUS BERSIH DARI KAUM ISIS TERORIS , AYO KITA WASPADA LAUTAN HUTAN PERBATASAN INDONESIA 🇮🇩 JGN SAMPAI MRK MASUK MELALUI OKNUM2 PENGHIANAT NKRI ! 👊👊✊✊💪💪🤟♥️🇮🇩🦅🇮🇩♥️ RT @DiantyYasmin3: ISIS eks WNI nekat balik ke Indonesia Kabaharkam Polri tindak tegas Pokoknya kalau dia ada di Indonesia maka akan dilakukan tindakan." Setuju Indonesia hrs aman dr ISIS</t>
  </si>
  <si>
    <t>Mereka adalah koban, mereka hanya kena akibat ataupun mereka justru bagian tak terpisahkan dari ISIS, sebaiknya keluar dari sebuah proses pengadilan yang jujur dan independen. Mereka akan ditampung dimana, dipenjara dimana, biarkan pengadilan berbicara.</t>
  </si>
  <si>
    <t>Usai Masa Observasi 238 WNI, Ini Kisah 18 Awak Maskapai Yang Mengevakuasi Dari Wuhan Sampai Ikut Karantina #natuna #RepublikMerdeka</t>
  </si>
  <si>
    <t>RT @budhartono: Ini pak @jokowi @mohmahfudmd sudah benar. Jangan pulangkan ex-WNI yg sudah jadi anggota ISIS! Cc @permadiaktivis @Ivone_RSZ @tandanVradio @Takviri @wahhabicc_jabar @noeruzzaman</t>
  </si>
  <si>
    <t>@null Pemerintah Diminta Tetap Pantau 238 WNI yang Selesai Jalani Observasi Pemerintah</t>
  </si>
  <si>
    <t>@detikcom @detikHealth Antara bangga dan ngakak... Kyk remeh temeh banget Corona ini jadinya kalau diomongin WNI.</t>
  </si>
  <si>
    <t>ISIS Islamic State of Iraq and Suriah, kelompok pengejar mimpi khilafah. Mereka adalah kelompok masyarakat militan yang sengaja disuntikkan pada negara dimana kekacauan diciptakan demi sebuah keadaan seperti yang diinginkan negara sponsor.</t>
  </si>
  <si>
    <t>Waaa ini baru OK, jadi jelas ya....yang ngomong Eks Presiden ISIS Reg. Indonesia : mereka sudah senang, dapat penghasilan besar disana. Gak usah diributin lagi ttg upaya pemulangan mereka, mubazir dan menghabiskan enerji saja... RT @andy_nomicin: Eks Presiden ISIS Regional Indonesia Chep Hermawan mnyatakan WNI eks ISIS tdk ingin kmbali pulang ke Indoensia. Chep jg mngklaim para WNI eks pngikut ISIS itu hdup snang &amp; mmiliki pnghasilan yg bsar slama di Suriah. Baca tuh yg sok2an mau memulangkannya.!</t>
  </si>
  <si>
    <t>@FauziWiralangga @shanandalie @nek_unak @haniiws @gnwn_d @andreasasm @rndy11 WNI tiba di Wuhan emang mau ngapain? Terus disemprot pake pestisida biar apa? Biar bebas hama?</t>
  </si>
  <si>
    <t>Sudah dipastikan, pemerintahan Presiden Joko Widodo tidak akan bertanggung jawab dalam mengurus nasib mereka. Persoalan mendasar ialah ketakutan negara jika kedatangan eks ISIS</t>
  </si>
  <si>
    <t>@mohmahfudmd Oleh karena itu jelas kita harus tolak ISIS ini, karena bisa2 mereka kambuh lagi, karena ini masalah keyakinan ke Surga, contoh, saya meyakini mengikuti Tuhan YESUS saya adalah jalan satu2nya kesurga, maka meskipun saya mati saya akan mempertahankan keyakinan saya itu.</t>
  </si>
  <si>
    <t>Polri #Akan Menindak Tegas #ISIS eks WNI #yang Berusaha Pulang ke #Indonesia</t>
  </si>
  <si>
    <t>@aee_san @Jean_Aprilia97 ISIS cabang semarang melu ambil suara lek?</t>
  </si>
  <si>
    <t>RT @republikaonline: Mayoritas Warga Negara Indonesia (WNI) dari China berstatus pelajar.</t>
  </si>
  <si>
    <t>@DonAdam68 Tak lama jg WNI.... haduuuuuuhhh obral negeri ini</t>
  </si>
  <si>
    <t>Asyik, WNI yang pulang pasca dikarantina di Natuna dapat uang saku dari pemerintah  #VirusCorona</t>
  </si>
  <si>
    <t>RT @JakartaStar: Terimakasih pakde @jokowi habis ini jgn lupa ada pengungsi WNI kita sendiri di Jatim dan Umat Kristen yg di usir paksa dr Gerejanya di Karimun.</t>
  </si>
  <si>
    <t>Terbukti Danai Simpatisan ISIS, 2 TKW Indonesia Dipidana di Singapura</t>
  </si>
  <si>
    <t>@toasan @mohmahfudmd @JimlyAs @fadlizon @jokowi Setiap pribadi orang tua berhak memberikan warisan kepada keturunanya ...termasuk mewariskan perilaku ; kebaikan, kejahatan, harta, termasuk kewarga Negaraan. Bagi YG sudah masuk ke ISIS ..itu adalah bagian dari pilihan kalian , Negara tidak perlu repot mengurusi kalian.</t>
  </si>
  <si>
    <t>@AndaTahu @WOWFAKTA Jangankan virus, setan aja d makan bang, Bakso mercon, Bakso Geranat, Mie setan, betapa kuatnya org Indonesia. 😁😁. semoga semua WNI d jaga oleh Allah SWT. Aamiin</t>
  </si>
  <si>
    <t>ISIS KADRUN KONYOL KAN ASU KUWI MUAU PULANGIN ISIS YAAA ATAU MINTA BANTUAN NAMBAH KELOIMPOK BIAR RAME QYTU. RT @yusuf_dumdum: Wah ini siapa lagi ? Ngerih ceramahnya. 🤦‍♂️ Gak usah sibuk mau deradikalisasi ratusan eks ISIS WNI. Coba @BNPTRI benerin dulu jalan pikiran ngustadz ini. Mampu gak ? Cc @DivHumas_Polri Kalau ini saja gak bisa diberesin maka jangan sok gaya mau deradikalisasi 660 eks ISIS.</t>
  </si>
  <si>
    <t>Warga ISIS asal Indonesia tidak akan lolos masuk Indonesia #saveindonesia #lawanradikalisme #SetorFoto</t>
  </si>
  <si>
    <t>RT @Puspen_TNI: Observasi 238 WNI di Natuna dinyatakan sehat😎💂 #P5TNI #Natuna #Wuhan #VIRUS_CORONA</t>
  </si>
  <si>
    <t>@sudjiwotedjo Reynhard sinaga berkasus di inggris, diadili di inggris di hukum si inggris hanya diberi pendampingan tidk ada yg teriak minta negara dipulangkn. Isis, dah bakar masjid, paspor, merkosa, memperbudak, berksus di negara org banyak yg bela mnta dipulangkn</t>
  </si>
  <si>
    <t>@collegemenfess Jadi anggota isis</t>
  </si>
  <si>
    <t>Tidak ada Ruang untuk Teroris ISIS #lawanradikalisme #IndonesiaSatu #SetorFoto</t>
  </si>
  <si>
    <t>Rakyat Indonesia Tolak Eks WNI Pro ISIS #lawanradikalisme #IndonesiaSatu #SetorFoto</t>
  </si>
  <si>
    <t>@varauuu Aaaaah ya</t>
  </si>
  <si>
    <t>Apakah Eks WNI Bisa Mendapatkan Kembali Statusnya? | #Skola</t>
  </si>
  <si>
    <t>@JimlyAs Yang dimaksud beda sikap politik itu siapa prof? Antara pro isis dan yang menolak isis? Antara pro kezoliman dan menolak kezoliman?</t>
  </si>
  <si>
    <t>Suasana Haru Bahagia Kepulangan WNI Pasca Observasi di Natuna</t>
  </si>
  <si>
    <t>BERITA DUKA | . . Surga di bom ISIS, 72 bidadari kabur, menolak di poligami . . . . . . Selamat pagi saudara² sebangsa &amp; setanah air, yg beragama maupun tidak, selamat beraktivitas. Jangan ada kadrun diantara kalian, PUN jangan pernah jd kadrun, jadi kadrun berat, biar mereka</t>
  </si>
  <si>
    <t>RT @Jean_Aprilia97: Negara ini ada karena para pejuang tdk sanggup lgi melihat penindasan n kekejaman penjajah. dpembukaan uu tertulis penjajahan diatas dunia hrus dihapuskn. Skrg klian bicara UU utk nasib mereka. Apa mreka hrs d bilang stress ato gila bru bsa dimaafkan?</t>
  </si>
  <si>
    <t>@DadangRusian @MataReat @jokowi @fadjroeL @fadlizon @mohmahfudmd Lah kalo mereka rakyat Indonesia knp mau pergi ikut ISIS ?? Mereka bakar Paspor dan menyatakan bukan lagi rakyat indonesia.. mereka memang Rakyat, tapi Bukan Rakyat Indonesia..</t>
  </si>
  <si>
    <t>Seperti Ini Skenario Kepulangan WNI dari Natuna Yang Telah Selesai Dikarantina</t>
  </si>
  <si>
    <t>RT @ANDRE_OCTA_: Mohon @KBRITokyo @Menlu_RI @Kemlu_RI mengevakuasi semua WNI di wilayah terdampak, termasuk awal kapal pesiar Diamond Princess</t>
  </si>
  <si>
    <t>Makanya jangan emodi dulu ttg ISIS yang lokadinya jauh tapi adili rizik sahab bsgian krinalisasi umst</t>
  </si>
  <si>
    <t>Mohon @KBRITokyo @Menlu_RI @Kemlu_RI mengevakuasi semua WNI di wilayah terdampak, termasuk awal kapal pesiar Diamond Princess RT @CNNIndonesia: AS, Kanada, Italia, Bakal Jemput Warga di Kapal Pesiar Jepang</t>
  </si>
  <si>
    <t>Isis diharapkan dapat dijadikan momentum sebagai bagian terorist tapi ternyata politik pragmatis hanya bagian "dipermalukan" bangsa besar lain spt amerika unisovyet...belanda</t>
  </si>
  <si>
    <t>FOTO WNI yang Telah Jalani Observasi Corona Dari Natuna Tiba di Jakarta</t>
  </si>
  <si>
    <t>jangan anggap ente pendukung ISIS RT @WR_4AG226: Lho siapa yg anggap enteng virus Corona? Pak Jokowi sdh berbuat dan bertindak nyata dgn mengevakuasi WNI di Wuhan, Tapi neh yg wajib tau , jokowi emang lebih fokus sama virus K-Drone GO212, virus ini lebih gahar dari virus corona 😫🙄</t>
  </si>
  <si>
    <t>RT @jawapos: Menolak Kepulangan ISIS eks WNI sudah Tepat</t>
  </si>
  <si>
    <t>jihadi khan  RT @LesleyMillercyp: If this is true, this man wants sacking immediately! @BorisJohnson</t>
  </si>
  <si>
    <t>RT @makLambeTurah: Fakta Kepulangan WNI yang Dikarantina di Natuna, Cek Kesehatan Terakhir, Terbanyak dari Jawa Timur</t>
  </si>
  <si>
    <t>Tapi ya udahlah. Yang penting bukan anal isis. :(</t>
  </si>
  <si>
    <t>RT @RadioElshinta: Isak tangis dan senyuman hiasi wajah WNI yang pulang dari Natuna  #20thElshintaNewsAndTalk</t>
  </si>
  <si>
    <t>Isak tangis dan senyuman hiasi wajah WNI yang pulang dari Natuna  #20thElshintaNewsAndTalk</t>
  </si>
  <si>
    <t>RT @pimamanggala: Hampir setahun yang lalu tapi masih bikin begidik, Jerman saja 'kecolongan' sama janda ISIS returnee Syria. 5 Bulan setelah laporan oleh jurnalis ini baru orangnya ditangkap. Waktu di turki lolos2 aja saat fase interview di embassy</t>
  </si>
  <si>
    <t>RT @Ari3Pras: Kalian Perlu Tahu Inilah Bukti Kebiadaban ISIS. Maka sudah sepantasnya menolak Ex-WNI yg bergabung berperang demi misi &amp; kepentingan ISIS, utk kembali ke Indonesia Menolak bukan krn memusuhi mereka. Krn mrk telah memilih jalan hidupnya &amp;amp; dg sengaja melepas kewarganegaraannya.</t>
  </si>
  <si>
    <t>@revolutia Dan kita bangga kalau ada wni yg kerja di WB 😅</t>
  </si>
  <si>
    <t>@detikcom Iya stad ISIS itu made in the United State of America masa ngg tau seehh......</t>
  </si>
  <si>
    <t>Bupati Bogor menawarkan Yusuf, WNI yang baru jalani observasi, berwisata.</t>
  </si>
  <si>
    <t>RT @DadangRusian: Jubir presiden : Pemerintah tak berencana pulangkan WNI Eks ISIS Rakyat : Jika demikian maka Negara (pemerintah) telah gagal menjadi Bapak bagi anak-anaknya ! Sesuai dg pembukaan UUD alenia ke 4 Negara (pemerintah) wajib melindungi segenap bangsa dan tumpah darah Indonesia -</t>
  </si>
  <si>
    <t>RT @CNNIDdaily: #BreakingNews Produser Lapangan Aditya Aksani melaporkan, kloter pertama WNI pasca-observasi di Natuna telah diberangkatkan menggunakan Pesawat Hercules TNI AU menuju Jakarta dan saat ini menyusul kloter kedua dengan Pesawat Boeing TNI.</t>
  </si>
  <si>
    <t>Baca di TL soal karimun itu nyesek di dada... ternyata ada lagi yg sok manusiawi mulangin isis ke indo. Tolong lah yg ngaku sjw jgn asal anti kebijakan pemerintah sehingga asal serang biar anda keliatan milenial gitu ta cok??? Oalah rek2..</t>
  </si>
  <si>
    <t>RT @medcom_id: Highlight Primetime News Metro TV - Kisah Pemulangan WNI Dari Wuhan</t>
  </si>
  <si>
    <t>RT @Namaku_Mei: Suasana Haru Kegembiraan WNI Eks Wuhan Pulang dari Natuna Sebanyak 238 WNI)l dari Natuna, Kepri telah dipulangkan pada Sabtu (15/2/2020), setelah menjalani observasi selama dua pekan. Para keluarga pun mulai berdatangan di Bandara Halim P Jaktim Credits @Aryprasetyo85</t>
  </si>
  <si>
    <t>[WANSUS] Cerita di Balik Layar Evakuasi WNI dari Kota Terisolasi</t>
  </si>
  <si>
    <t>Kadroon khilafuvk ISIS, Al Qawdahh udah gak lakuuhh di Suriah. Yg udah bakar pasport Indonesia pada ketakutan kena hukuman mati en pada mintak pulang. RT @AnakKolong___: BERITA SUKA CITA DARI #SYIRIA | (Yang mungkin tak disukai @felixsiauw , @ArieKuntung dkk ) . . Warga Suriah turun ke jalan² malam ini, merayakan kemenangan tentara Suriah membebaskan kantong terakhir Al Qaeda. BERITA YANG TAK AKAN ANDA LIHAT di CNN &amp; BBC. . . 🎥@sahouraxo</t>
  </si>
  <si>
    <t>@AnakKolong___ @felixsiauw @ArieKuntung @sahouraxo Kadroon khilafuvk ISIS, Al Qawdahh udah gak lakuuhh di Suriah. Yg udah bakar pasport Indonesia pada ketakutan kena hukuman mati en pada mintak pulang.</t>
  </si>
  <si>
    <t>@Jean_Aprilia97 Anda lupa pake kacamata liat korban bom gereja, penusukan, suriah yg lulu lantak, korban pemerkosaan mereka diisana.. tindakan melanggar hukum kok dibela atas nama kemanusiaan. Lu aja jadi relawan disana utk mrk. Ga usah pake jilbab, nongkrong aja sama istri isis.. pgn tau saya</t>
  </si>
  <si>
    <t>@Dr_Moeldoko Mohon pertimbangankan dg masak" &amp; jgn tergesa-gesa mengambil keputusan thd WNI eks ISIS yg ingin kembali ke tanah air Pak..🙏 Cc : Pak @jokowi @Menkopolhukam @setnegri_ @DPR_RI</t>
  </si>
  <si>
    <t>Hampir setahun yang lalu tapi masih bikin begidik, Jerman saja 'kecolongan' sama janda ISIS returnee Syria. 5 Bulan setelah laporan oleh jurnalis ini baru orangnya ditangkap. Waktu di turki lolos2 aja saat fase interview di embassy RT @jenanmoussa: 1/ Here with English subs. I got the phone content of top German #ISIS widow Omaima Abdi. 1000s of pics show she carries gun, arms her child &amp;marries jihadist Deso Dogg. She returned to Hamburg &amp;amp;now lives as if nothing happened. Our EXCLUSIVE @akhbar:</t>
  </si>
  <si>
    <t>RT @KurniaSubud: Pengalaman Wanita ISIS .. Merasa Bersalah .. ke suriah usia 15th .. dlm kondisi sadar &amp; keputusan sendiri .. dlm wkt 5th ini sdh melahirkan 3x &amp;amp; 2 anaknya Mati di kamp pengungsian kena bom dll .. ini Pelajaran utk yg masih BUTA AKAL FIKIRNYA &amp;amp; masih IntoLeran kpd sesamanya! 😊🤗</t>
  </si>
  <si>
    <t>Bupati Kukar Edi Damansyah, menerima langsung 4 Warga Negara Indonesia (WNI) asal Kukar, yang baru saja usai melewati masa observasi di Natuna, Kepulauan Riau. Setelah dipulangkan dari kota Wuhan, Tiongkok (China).</t>
  </si>
  <si>
    <t>bendera ISIS ... tetangga yg buat itu .... mau ngadu domba ....</t>
  </si>
  <si>
    <t>RT @hnurwahid: Mari sambut dg syukur&amp;gembira saudara/i kita WNI yg dievakuasi dari Wuhan China. Mrk telah terbukti sehat wal afiat bebas dari virus corona. Sekalipun pemerintah tetap harus peduli&amp;amp;waspada. Agar sehat kuat wal afiatlah warga Indonesia&amp;amp;warga Dunia. Terimakasih unt semuanya.</t>
  </si>
  <si>
    <t>@Jean_Aprilia97 Hehehe… aneh.. Apa hubungannya keamanan dgan keuangan… yg nyolong uang negara emang presiden ? Hati2… tolak ex wni isis ke RI !!!</t>
  </si>
  <si>
    <t>@Jean_Aprilia97 Beda dgan rakyat kita sendiri ini, yg tidak mengakui RI , suatu hal yg mustahil kalau anak segede ini tidak mengerti sama sekali soal isis, bhs inggris lancar, aneh kalau tidak tau sama sekali soal isis, karena kalah perang saja mengaku terjebak… saya setuju tidak dipulangkan</t>
  </si>
  <si>
    <t>WNI di Kapal Pesiar Diamond Princess Selesaikan Karantina | #indonesia #besoksenin &gt;&amp;gt;&amp;gt; Click</t>
  </si>
  <si>
    <t>@mni_J @Waspapping_ @usman_mashii @Fauzannn_jr @KhalidDiggi @AyubaHarande_Y Yadda nake gani akwai wni abu a kasa</t>
  </si>
  <si>
    <t>RT @shakuyaa: @panaxdol Titinya masuk isis</t>
  </si>
  <si>
    <t>@AniesSubianto @narkosun Ini bisa lebih parah dari pada mulangin eks ISIS</t>
  </si>
  <si>
    <t>@WR_4AG226 Kok eks presiden, emang kapan isis punya negara di wilayah indonesia.</t>
  </si>
  <si>
    <t>@narkosun otak sudah miring... eh ada ide mw membuat sadar ex isis ?</t>
  </si>
  <si>
    <t>Pemerintah secara resmi memutuskan tak akan memulangkan WNI eks ISIS. Pemerintah beralasan ingin memberi rasa aman</t>
  </si>
  <si>
    <t>Terimakasih pakde @jokowi habis ini jgn lupa ada pengungsi WNI kita sendiri di Jatim dan Umat Kristen yg di usir paksa dr Gerejanya di Karimun. RT @arieflipp: 😍 Keren!!! Wajah baru Stadion Manahan Solo, Jawa Tengah Cc. Yth Pak Presiden @jokowi, Pak Gubernur Jawa Tengah @ganjarpranowo</t>
  </si>
  <si>
    <t>Seorang WNI akan bertemu Bima Arya setelah masa observasi</t>
  </si>
  <si>
    <t>Semua mahasiswa asing yang satu asrama dalam kondisi sehat bebas dari corona.</t>
  </si>
  <si>
    <t>@DadangRusian Menurut mu mreka di paksa atau datang dg sukarela ? Klu saya melihatnya mreka datang dg sukarela dg inisiatif ayahnya mas. O y mas saya hnya menyampaikan pndpt. Jika ada klimat yg menyinggung maafkan saya mas. Setidaknya sya dapat pandngan yg berbeda2 terkait kpulngan eks isis</t>
  </si>
  <si>
    <t>@Luzrov_ @katyusha_strike @susetyopr Utk masalah komunis sama dg PKI yaitu orang yang makar spt isis.</t>
  </si>
  <si>
    <t>Isis sungguh biadab RT @AnakLolina: Kelakuan mengerikan begini yang mau di perjuangkan di negeri ini? "Allahu Akbar" begitu teriakan mereka saat merajam wanita itu. Kelompok ini yang tidak suka pluralisme, sesuatu yg berseberangan pemikiran selalu di anggap merusak akidah. Lihat ini 👇😡</t>
  </si>
  <si>
    <t>Pakar Pidana: Eks ISIS Bisa Jadi Batu Uji Deradikalisasi</t>
  </si>
  <si>
    <t>Usai Karantina 2 Minggu, 285 WNI dari Wuhan Boleh Pulang</t>
  </si>
  <si>
    <t>Istana Minta WNI Pulang dari Natuna Tetap Dipantau, Ada Apa?</t>
  </si>
  <si>
    <t>WNI di Kapal Pesiar Diamond Princess Selesaikan Karantina</t>
  </si>
  <si>
    <t>RT @FauziWiralangga: @shanandalie @nek_unak @haniiws @gnwn_d @andreasasm @rndy11 Kemarin waktu WNI tiba di Wuhan juga kan yang nyambut pakai masker dan juga disemprotkan pestisida, lucunya negeri ini selalu punya standar ganda wkwkwkwkland Bangsaaaatttt</t>
  </si>
  <si>
    <t>RT @muktiadi1: @SanAscLaw @BBCIndonesia jawaban Bapaknya tidak menunjukkan kecintaan pada Indonesia, masih menyalahkan Indonesia. Tidak ada penyesalan dr lisan maupun gesture. Bahkan tidak ada kemarahan/kebencian pada ISIS. Ini hanyalah mengejar fasilitas saja mrk</t>
  </si>
  <si>
    <t>Jangan Biarkan Kombatan ISIS Eks WNI Jadikan Indonesia sebagai Basis Barunya!  #TolakEksWNIproISIS #ISIS #AwasHTImasihEksis</t>
  </si>
  <si>
    <t>RT @deapypy: @kh_notodiputro @yusuf_dumdum “Dek kok belum pulang udh sore” “Iya mah, ada rapat ISIS dulu di sekolah”</t>
  </si>
  <si>
    <t>@jenk_kelinn @octania_ Beda ISIS dan AQ : Isis ini ibarat pasukan perang krn berpatok pada daerah kekuasaan (separatis). AQ ingin berkuasa melalui konstitusi. Ambil contoh : PKS Di satu negara ada keduanay, yg bisa gerakin dana ? Waspada aja ama MUI. Fatwanya udh kyk UU.</t>
  </si>
  <si>
    <t>@Junnyslife047 Yem gai ISIS fan boys. .....Yeman kai wanakh</t>
  </si>
  <si>
    <t>RT @AmbarwatiRexy: @BBCIndonesia Kontol!! Karena ISIS kalah aja klean nangis2 minta balik ke RI. Coba kalo menang, bakal ketawa congkak keseluruh dunia, klean. Ye kan??!!</t>
  </si>
  <si>
    <t>WNI di Kapal Pesiar Sehat dan Terus Bekerja, Sementara AS Evakuasi Warganya</t>
  </si>
  <si>
    <t>@pahrirreza @toasan @JimlyAs @mohmahfudmd @fadlizon @jokowi Anda yg standard ganda. Mendukung perlakuan thd keluarga terduga ISIS tanpa proses hukum. Thd PKI berlaku sebaliknya, yg sdh ada dasar hukumnya masih dibela dan berkata tdk adil.</t>
  </si>
  <si>
    <t>@Cobeh09 @Mataya16641870 Yg sebenarnya mereka (ISIS) tetap bangsa Indonesia juga walau dalam keadaan apapun. Cuma seandainya mereka di bawa pulang ke Indonesia , mereka harus di bina sesuai dg hukum yg berlaku dan sesuai dg kesalahan di per Berbuat</t>
  </si>
  <si>
    <t>RT @liputan6dotcom: VIDEO: Suhu Tubuh WNI dari Wuhan Stabil</t>
  </si>
  <si>
    <t>RT @pu3nurliza: Tak payah nk sign ., Siti Noor Aishah hanya ada pegang 12 buku ISIS kena penjara 5 thn . Ini LTTE memang sah sah pengganas biar je dlm lokap</t>
  </si>
  <si>
    <t>WNI di Kapal Pesiar Sehat dan Terus Bekerja, Sementara AS Evakuasi Warganya  via @Indopolitika</t>
  </si>
  <si>
    <t>Cinta Datang Tak Pernah Tepat Waktu…Cerita WNI yang Dikarantina di Natuna</t>
  </si>
  <si>
    <t>@starjoonyoung @azitbz @disneytbz ISIS DKKDNDNS</t>
  </si>
  <si>
    <t>suku uyghur itu native china, yg paling gampang kena propaganda wahabist dari luar. Radical ISIS itu xenophobic notok jedok. Mereka gak tau malu dengan teknologi yang diberikan orang asing pada mereka via globalisasi.</t>
  </si>
  <si>
    <t>@RamliRizal Dalam Islam, reksadana itu haram. Maka kelak jika #Khilafah 'ala manhaj nubuwwah tegak -bukan ala isis- akan dihapus. Nggak pake lagi. Semua transaksi muamalah akan syar'i dan memberi manfaat serta berkah dunia akhirat. #KhilafahWillBeBack #KhilafahAjaranIslam</t>
  </si>
  <si>
    <t>@AhmadYansyah9 @YWidati @aniesbaswedan @DKIJakarta @tamanhutandki Lah dikira prabowo kalah nya ga legal ?? Piye toh ?? Gugatan udh disidang. Bngung ama kelas rakyat macam kalian ini. Ga nerima tapi ga mau minggat dr indonesia Ikutan ISIS aja sanaa.. Keren. Mw bikin negara mereka tuh</t>
  </si>
  <si>
    <t>RT @03__nakula: Foto A: Din Syamsuddin dukung pemerintah pulangkan ISIS. Timbul pertanyaan di otak gua, Apa alasan Din Syamsuddin dukung pemerintah pulangkan ISIS. Dan akhirnya terjawab setelah gua lihat foto B. 😪 Akhirnya gua cuman bilang: Oh....,, Seperti itu 😉 #ISISGoToHell</t>
  </si>
  <si>
    <t>VIDEO: Suhu Tubuh WNI dari Wuhan Stabil</t>
  </si>
  <si>
    <t>Lion Air Sambut 18 Awak Kabin Pesawat Pengevakuasi WNI dari Wuhan -</t>
  </si>
  <si>
    <t>WNI Gabung ISIS Otomatis Hilang Kewarganegaraan</t>
  </si>
  <si>
    <t>@AndrianW2001 @Uki23 @dildaar80 @jokowi Tempat ngerekrut bocah2 ISIS buat dikirim ke Timur Tengah deh, kayaknya klo gitu gk bakal dipersulit. 😉✊✊✊</t>
  </si>
  <si>
    <t>RT @nu_online: Memilah antara Kombatan, Perempuan, dan Anak Eks ISIS</t>
  </si>
  <si>
    <t>WNI di kapal pesiar Diamond Princess dalam kondisi sehat.</t>
  </si>
  <si>
    <t>@detikcom Trus eks presiden Isis gajinya berapa ya. Ko ' pulang kampung.?! hahahaha.</t>
  </si>
  <si>
    <t>@jenk_kelinn Versi tmn gw knp DI/TII akhirnya kalah. Krn mrk gak bunuh orang yg masih bersyahadat. Klo ISIS = diluar golongan mrk adlh kaper. Jd inget seseorang yg dl otak Al Qaeda. Sik, klo inget saya up.</t>
  </si>
  <si>
    <t>8 Maret besok , hari Perempuan internasional. Segala bentuk penindasan atas kemanusiaan adalah nista. Termasuk eks ISIS, mereka harus dirangkul , jangan didera kebebasannya.</t>
  </si>
  <si>
    <t>@KPAI_official Anak ISIS lu belain, anak difabel digebukin lu diem? Kenapa? GA ADA DUIT NYA .....?????</t>
  </si>
  <si>
    <t>@elucuu bsa ga si Gen Halilintar join isis aja</t>
  </si>
  <si>
    <t>Cerita Warga Sleman yang Diobservasi di Natuna: Timbul Ikatan yang Erat antar WNI</t>
  </si>
  <si>
    <t>@prabowo81500786 @WanoDeserter @arfibambani @Dandhy_Laksono Isis" palalo bau Menyan pki GBLK</t>
  </si>
  <si>
    <t>@Bhedoel97 ti ati jgn disebar lg video ini, ditakutkan klo grup ISIS ngliat video ini, nanti kakek itu dikasih kontrak kerja</t>
  </si>
  <si>
    <t>@AndromedaMcfc @WanoDeserter @arfibambani @Dandhy_Laksono Gerakan mujahidin indonesia timur santoso yg berafliasi dengan isis di tahun 2014 !! Bertahun tahun setelah kerusuhan poso mereda dan mereka yg bertanggung jawab ( seperti tibo dkk nya dihukum mati ) !! Loe mau bela santoso njing yg berpotensi membangkitkan kembali konflik ?</t>
  </si>
  <si>
    <t>@AndromedaMcfc @WanoDeserter @arfibambani @Dandhy_Laksono Jadi tindakan santoso kuontol yang bersumpah untuk berbaiat dengan isis di poso itu benar atau salah njing ? Berani jawab gak loe !b</t>
  </si>
  <si>
    <t>RT @alex_aal: WNI Eks ISIS Harusnya Bisa Pulang, Jika..</t>
  </si>
  <si>
    <t>@JombloBerbagi @mahmudyasir867 Itulah yg luput dari orang², wanita bisa lnh sadis dari laki². Bisa lbh militan. So ? Mo nyelametin kombatan ISIS yg wanita ?? Yakin lo ? Wanita yg terlihat lemah, tapi senjata mematikan.</t>
  </si>
  <si>
    <t>@AndromedaMcfc @WanoDeserter @arfibambani @Dandhy_Laksono Jadi tindakan santoso yang berafliasi dengan isis itu benar yak ? Wow jadi anda simpatisan isis juga ?</t>
  </si>
  <si>
    <t>Coba bayangkan, setahun harus bayar 10 juta lebih padahal nggak pake layanannya. Diancam pula. Gile nggak tu? Beda kalau ada #Khilafah. Kita nggak akan pusing urusan kesehatan. Karena memang jadi tanggungan dan kewajiban negara #Khilafah 'ala manhaj nubuwwah, bukan ala isis. 😉 RT @ahmadsusena: @zarazettirazr Kawan saya .. karena pelayanan jelek', tutup bpjs sekeluarga selama setahun . Eehh, pas Ibadah Haji kemarin - ditagih bpjs (10.350.000 Rp) untuk sekeluarga - kalau nggak dibayar, pemberangkatan Ibadah Haji nya - terancam akan dipending .. Akhirnya bayar juga</t>
  </si>
  <si>
    <t>@jokowi Tidak benar istilah "ISIS eks WNI". ISIS &amp; Indonesia tidak setara. ISIS bukan dan tdk diakui Internasional sbg negara. Sehingga anggota ISIS tidak memiliki kewarganegaraan. Karena itu, mereka masih WNI. Adili saja! Biar pengadilan yg memutuskan hukuman mati/apapun itu.</t>
  </si>
  <si>
    <t>RT @shitlicious: Arah tiang balkon. Dia memeluk tiang itu, &amp; menatap nanar ke arah langit malam yg disiram terangnya cahaya bulan. Baju renda2nya terlihat menerawang. “Dulu suami Tante jg sering nyanyi di sini. Kami suka nyanyi berdua, sblm dia pergi &amp;amp; bergabung dgn ISIS”. Aku pun meletakkan....</t>
  </si>
  <si>
    <t>silahkan. bahagia karena 1. virus corona alhamdulillah belum masuk indonesia, seluruh wni alhamdulillah negatif. bersyukur. pemerintah biarin aja.</t>
  </si>
  <si>
    <t>@Isis_Guedes3 Penah negah</t>
  </si>
  <si>
    <t>RT @tijabar: Prosesi Pemulangan WNI dari Karantina Natuna Pesawat akan diberangkatkan pukul 13:15 WIB dari bandara Lanud Raden Sajad, Natuna menuju Bandara Halim Perdanakusumah. 238 WNI Bersih dari Corona usai Observasi 14 hari di Natuna.</t>
  </si>
  <si>
    <t>Kowalksi, anal isis</t>
  </si>
  <si>
    <t>RT @StellaKarunia: Daripada sibuk urusin Eks ISIS yg jelas2 risikonya besar jika dipulangkan, lebih baik @Kemenag_RI urus dulu masalah gereja yg didemo kaum intoleran ini. #NegeriIntoleran</t>
  </si>
  <si>
    <t>@dandyyys2 WNI yang berusia min17 Tahun, KTP yang terdaftar pada Dukcapil,Mengisi Formulir Registrasi AirAsia Debit Card/Credit Card pada website/infrastruktur milik AirAsia, 1 Nsbah hanya boleh memiliki 1 Rekening PermataTabungan AirAsia saja, Tdk berlaku untuk Rek Join (OR &amp; AND ).~arie</t>
  </si>
  <si>
    <t>@cakryoxo isis uy</t>
  </si>
  <si>
    <t>RT @XpetzD: @JacksQuevara @mohmahfudmd @Kemenag_RI @wiranto1947 @ryamizard_r @prabowo @jokowi Aq tau mereka paham (mustahil gag paham)tapi seolah berusaha memperdaya. Maksa bgt ISAS-ISIS terus dibahas, klo gag ttg itu cadar, hijab, radikal-radikul itu2 mulu, tak perduli bahwa org bisa mengakses Youtube jelas2 amerika sendiri mengakuinya,</t>
  </si>
  <si>
    <t>@Rasyeed3 @hasmi_bakhtiar @jokowi @mohmahfudmd Jepang dahulu kala seperti isis nekadnya , belanda ratusan tahun bercokol dalam 1 tahun bisa didongkel , nekad berani mati Bushido ( jihad jepang ) , berani keluar sarang serbu usa di pearl harbor ( bom bunuh diri )</t>
  </si>
  <si>
    <t>Pro dan kontra pemulangan eks ISIS di Suriah masih menjadi pembahasan di berbagai lini masa media sosial. Salah satu video yang sedang viral saat ini adalah video tentang seorang perempuan asal Indonesia bernama Nada…</t>
  </si>
  <si>
    <t>@JacksQuevara @mohmahfudmd @Kemenag_RI @wiranto1947 @ryamizard_r @prabowo @jokowi Aq tau mereka paham (mustahil gag paham)tapi seolah berusaha memperdaya. Maksa bgt ISAS-ISIS terus dibahas, klo gag ttg itu cadar, hijab, radikal-radikul itu2 mulu, tak perduli bahwa org bisa mengakses Youtube jelas2 amerika sendiri mengakuinya,</t>
  </si>
  <si>
    <t>RT @republikaonline: Pemerintah memutuskan untuk tak memulangkan WNI eks ISIS dengan alasan keamanan.</t>
  </si>
  <si>
    <t>Komnasham bangun ketika pemerintah sepakat tidak akan memulangkan 600 lebih eks WNI pro ISIS. Nah.... Kok? Optimis sajalah, selamanya NKRI tetap ada. #TNIPolri dan #nu selalu setia. RT @sulistiawan_rd: Aneh tapi benar terjadi. Ada polisi ditantang duel pengemudi yang ditilang. Ada polisi di lempari pendemo Komnasham asik ngopi. Untung polisi Indonesia sakti-sakti. Walau polisi berdarah-darah yang masuk ambulan batu-batuannya.</t>
  </si>
  <si>
    <t>Pemerintah memutuskan untuk tak memulangkan WNI eks ISIS dengan alasan keamanan.</t>
  </si>
  <si>
    <t>ISIS Lebih Biadab dari Teoris JI ! 1. Ali imron (JI) : Kami Ahlussunah waj jamaah tak mudah mengkafirkan umat Islam @zoelfick @YRadianto @narkosun @WahabisLokal @TolakBigotRI @WagimanDeep @wahhabicc_jabar @AnakKolong___ @semiaji_w #AwasHTImasihEksis #tolakwnieksisis</t>
  </si>
  <si>
    <t>@AnakLolina Hukum Syariah islam dari Gurun pasir.. Seperti ini lah model awal hukum Syariah di zaman Rasul.. Isis dgn segala kekuatan nya Mencoba menghidupkan kembali Suasana hidup spt pada zaman jahiliyah..</t>
  </si>
  <si>
    <t>[WANSUS] Cerita di Balik Layar Evakuasi WNI dari Kota Terisolasi  via @idntimes</t>
  </si>
  <si>
    <t>@Iqbal__Kholidi Bro... kenapa mengambil diksi daesh dibanding isis?</t>
  </si>
  <si>
    <t>@SajatiSunda #Sunda itu dimana air mengalir, buah dan tanaman disekelilingnya, itulah penggambaran Syurga dalam Quran dan semua kitab suci, tentunyaaahh.. #SalamMerdesa #SoeDADANG Imam Besar ISIS: #IslamSundaIndahSekali @IslamSUNDA</t>
  </si>
  <si>
    <t>#Cerita WNI Jalani Proses Observasi #Virus #Corona , Diberi Gitar #hingga #Karaoke</t>
  </si>
  <si>
    <t>@Raissa_S16 porra pprt 😤</t>
  </si>
  <si>
    <t>@XpetzD @mohmahfudmd @Kemenag_RI @wiranto1947 @ryamizard_r @prabowo @jokowi mrk pastinya juga udh faham, toh udh bnyak brita pngakuan sapa creator ISIS itu sblmnya.</t>
  </si>
  <si>
    <t>Penolakan Pemulangan WNI Eks ISIS dari Sudut Pandang Syariat Islam</t>
  </si>
  <si>
    <t>WNI Turun Ke jalan Bagikan Ribuan Masker Kepada Warga Hongkong</t>
  </si>
  <si>
    <t>Sorry Al Qaeda, ISIS, USA, EU. RT @aldin_ww: Celebrations across the Aleppo city as last remaining rebel held areas are secured, thus ending the year's long battle for Aleppo.</t>
  </si>
  <si>
    <t>@TOGERD Kak, mau nanya, semenjak kasus virus yg dikapal itu. apakah untuk wni yang mau kejepang akan dipersulit? Makasih ka</t>
  </si>
  <si>
    <t>@antonsumaryanto 👍👍......kita lagi memperjuangkan hak sosial politik kita sebagai WNI yg termaktub dlm UUD '45 Psl. 29, negara menjamin setiap WN utk beragama dan beribadah sesuai dgn agama dan kepercayaan masing².</t>
  </si>
  <si>
    <t>@toasan @mohmahfudmd @JimlyAs @fadlizon @jokowi Ini serius yg gabung dg isis, atau cuma hoax ya? Kok kemarin ada berita orang-orang Indonesia yg hidup disana merasa senang dan bahagia.</t>
  </si>
  <si>
    <t>RT @professordeka: @echoPiR @TirtoID Kalau gak suka kerja pergi aja sana jadi isis jangan menodai pancasila negara ini, dasar penyebar hoax pergi aja ke arab! Dah mirip cebong belom?</t>
  </si>
  <si>
    <t>RT @HusinShihab: Ini Satpol PP rasa FPI, HTI &amp; ISIS yg berusaha mengambil tugas Tuhannya.</t>
  </si>
  <si>
    <t>@AZainurrochim @Jean_Aprilia97 WNI eks ISIS lbh terhormat,daripada rampok duit rakyat..WNI eks ISIS punya jiwa patriot dgn niat ingin meraih syuhada demi membela agama..perampok duit rakyat,sdh jdi pejabat,gaji besar,dpt fasilitas masih jadi rampok,lbh terhormat siapa di mata Allah SWT..</t>
  </si>
  <si>
    <t>jadi mulai sekarang STOP!!! ISAS-ISIS pak @mohmahfudmd @Kemenag_RI @wiranto1947 @ryamizard_r @prabowo @jokowi mulai fokus dgn negara ini jgn pengalihan isu. Udh gag mempan. kami ini cerdas2. Apa yg kalian rencanakan?Hancurkan negara ini utk diberikan ke cina?Kami memperhatikan!!</t>
  </si>
  <si>
    <t>RT @rockygerung_rg: Presiden tak bersedia memulangkan WNI di Wuhan. Presiden melanggar konstitusi. Presiden gagal melindungi segenap bangsa Indonesia &amp; seluruh tumpah darah Indonesia.</t>
  </si>
  <si>
    <t>Pantesan kru wni yg di kapal diamond minumnya tolak angin RT @Naizarusama: Akhirnya ada pernyataan yg logis dari ahlinya.. Terima kasih Prof.</t>
  </si>
  <si>
    <t>Ini Satpol PP rasa FPI, HTI &amp; ISIS yg berusaha mengambil tugas Tuhannya. RT @satpolppsby: Tok.. tok... tok.... 🙈 Happy valentine's day and happy weekend untuk yang merayakan 😍 Semoga tidak bertemu kami didepan pintu yaah 🤭🤫</t>
  </si>
  <si>
    <t>@WR_4AG226 Kata si chep sendiri yang ngakunya sering komunikasi dengan mereka... *ISIS TAK NIAT PULANG, DISANA SEJAHTERA* Lalu ngapain ngoceh siap tampung? Otak kadrun memang sulit dipahami 🤔</t>
  </si>
  <si>
    <t>RT @Rakha_boumi: @hirn_rb @adi_iswantoro @OmbudsmanRI137 #Harunmasikudimana ?dari PERPPU KPK-BPJS- Tiket pesawat-pencabutan subsidi gas-intoleransi -harun masiku- eks Kombatan isis sekarang Omnibus Law.#Tanpabeban</t>
  </si>
  <si>
    <t>Tapi kemungkinannya kecil org mau nglepas status US citizen dan milih jd WNI aja, apalagi masih bolak-balik ke US. Selain itu, bbrp kali saya ketemu kasus org yg lahir di US, lama balik ke Indonesia, ada urusan ke US, nglamar visa US, sama kedutaan malah dikasih paspor US.</t>
  </si>
  <si>
    <t>RT @khalidismath: Polis wajib menahan mana2 individu yang bertindak ganas atas alasan agama. Tak kisahlah dia mempertahan Islam ke, Hindu ke Buddha ke, kita ada undang2. Org Melayu yg tunjuk simbol ISIS masa pukul OKU India Muslim (yang menghina Islam) beberapa hari lalu wajar ditahan &amp; didakwa</t>
  </si>
  <si>
    <t>Jadi Sorotan: Gimana Nasib Pendidikan WNI di Wuhan?</t>
  </si>
  <si>
    <t>Teguh Santosa: Lembaga Yang Mendeteksi ISIS Eks WNI Tidak Fokus: Satu pekan ini media massa ramai memberitakan polemik eks anggota ISIS asal Indonesia yang ingin pulang ke tanah air. Harapan</t>
  </si>
  <si>
    <t>Knp saya bilang gitu? Krn org yg lahir di US, otomatis US citizen (atau dual citizen). Gak perlu greencard. Krn greencard itu buat permanent-resident (non-US citizen). Dual citizen sama Indonesia bisa aja pas umur 18 thn milih jd WNI aja, lepas status US citizen... Tapi...</t>
  </si>
  <si>
    <t>Ada yang tukang bohong. Ada yang khusus hoaks. Ada ISIS tapi HTI. Ada yang toleran soal agama tapi cuma agamanya thok. Ada yang cinta NKRI padahal pura-pura. Ada yang dungu ala Rocky Gerung. Ada yang bilang banjir itu air yang sengaja dibiarkan tergenang.</t>
  </si>
  <si>
    <t>Dinas Kesehatan Jemput 2 WNI dari Wuhan di Bandara Tjilik Riwut</t>
  </si>
  <si>
    <t>Ini pak @jokowi @mohmahfudmd sudah benar. Jangan pulangkan ex-WNI yg sudah jadi anggota ISIS! Cc @permadiaktivis @Ivone_RSZ @tandanVradio @Takviri @wahhabicc_jabar @noeruzzaman RT @Mr_Belutsch: ISIS commander: I killed and slaughtered about 900 people. I raped about 50 girls (15-16 year old) I raped over 200 woman.</t>
  </si>
  <si>
    <t>ilija spasojevic udah wni gak niat ganti nama apa? jadi ilija santoso mungkin :)</t>
  </si>
  <si>
    <t>Warga Natuna Dipuji Mau Terima Ratusan WNI Korban Evakuasi Corona #natuna #corona #merahputih</t>
  </si>
  <si>
    <t>@absimor @ustadtengkuzul Buahaaaa....hatei lagi isis lagi,emng isis produk mana?</t>
  </si>
  <si>
    <t>@tempikasarii Searching apa itu isis wkwkwk</t>
  </si>
  <si>
    <t>@bctbgtih2 Isis apaan anjir</t>
  </si>
  <si>
    <t>PMII Jepara Dukung Pemerintah dan PBNU Tolak Pemulangan Eks ISIS</t>
  </si>
  <si>
    <t>kenapa 78 wni bisa negatif korona?? respon pertamaku ya ALHAMDULILLAH tpii... kok bisa ya?? apakah slah info w nya apa kelebihan di body orang indonesia?</t>
  </si>
  <si>
    <t>RT @AnakLolina: @KakekHalal @KatolikG @jokowi @RomeskoP Doakan biar hancur sekalian, datangkan sampah2 isis itu kesini agar meluluh lantakkan mereka juga, jangan hanya minoritas korban kebiadaban.</t>
  </si>
  <si>
    <t>ketika pada ngomongin isis mulu dan w yg kmrn ngomongin itu be like hahahahaha why ppl act this way</t>
  </si>
  <si>
    <t>RT @KGD_Gorontalo: Di Gorontalo, Putri Gus Dur Bicara soal Wacana Kepulangan WNI Eks Kombatan ISIS</t>
  </si>
  <si>
    <t>Sy Pernah merasakan tanggapnya pihak @KBRITokyo dalam memberikan perhatian kpd WNI yg tengah mendapat musibah. Ketika itu, thn 2016, sy dan puluhan WNI harus menghadapi gempa hebat di Kumamoto 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</si>
  <si>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RT @LuwitaEmilly878: Otak2 anggota ISIS udah di doktrin utk mmbunuh dgn kedok agama tak kn ada istilah eks ISIS krn mrk mngemban misi teroris 😡😡 Mo di pulangin ya kyk gene ke indonesia?????</t>
  </si>
  <si>
    <t>2 WNI dari Wuhan Tiba Palangka Raya</t>
  </si>
  <si>
    <t>@sipitung009 @tempodotco @BimaAryaS @detikcom @KompasTV @tvOneNews seorang imigran bisa jadi presiden hebat banget. imigran dari cina diterima jadi WNI kalau imigran dari rohingya dan timur tengah ditolak dan disuruh balik kenegaranya. gak ada keadilan apa karena mereka muslim?</t>
  </si>
  <si>
    <t>WNI Asal Kotim Selesai Jalani Karantina Bersama 2 Warga Palangka Raya di Natuna</t>
  </si>
  <si>
    <t>RT @Moch_herianto: LUR... WHAT DO YOU THINk ? KALAU DI KAMPUNGNYA ISIS, ORG PEMBOHONG MACAM INI SDH DI HUKUM RAJAM !</t>
  </si>
  <si>
    <t>lagi bingung ni pemerintah setelah isu isis mereda, mai cari apalagi lau bos</t>
  </si>
  <si>
    <t>@belindch Tak jak gabung isis bu dok.. 😎</t>
  </si>
  <si>
    <t>Tolak wni eks Isis demi keamanan negara</t>
  </si>
  <si>
    <t>RT @geloraco: Soal Kekhawatiran Pemulangan WNI Dari Wuhan, Pemprov DKI: Mereka Taunya Cuma Toyota Corona.</t>
  </si>
  <si>
    <t>Tiba-tiba Ahok dibenturkan lagi dgn Anies &amp; Bima Arya. Biar rame lagi setelah berita ISIS tenggelam.</t>
  </si>
  <si>
    <t>RT @Anna_MaSue: Sadar atau tidak, sebagian orang Indonesia sudah menjadi ISIS dalam beberapa tahun terakhir.. Ini Susah Itu Susah</t>
  </si>
  <si>
    <t>RT @vctrkmng: Dahulu Isis kini Waswas.</t>
  </si>
  <si>
    <t>237 WNI Dari Natuna Bebas Virus Corona. #4niesJawaraNgibul</t>
  </si>
  <si>
    <t>@johhanstrauss @apan_wae @kompascom Ya bayar pajak bro....nanya kok kaya baru jadi WNI.</t>
  </si>
  <si>
    <t>Cegah bersama ISIS eks WNI masuk ke Indonesia secara ilegal #CegahISISMasukRI</t>
  </si>
  <si>
    <t>@ashoswai Boko haram 🤣 Al-Qaeda 🤣🤣 Isis 🤣🤣🤣 Etc 🤣🤣🤣🤣🤣🤣🤣🤣🤣🤣🤣🤣</t>
  </si>
  <si>
    <t>RT @Nazarjuli16gma1: @WR_4AG226 Hallo @PKSejahtera apa kalian sudah baca berita ini ALHAMDULILLAH' 243 WNI yg pulang dr Wuhan dan diobservasi 14 hr di Natuna dinyatakan brsh dr Corona. Dlm kelakarnya, Menko Perekonomian Airlangga bilang "Krn perizinan di Indonesia ber-belit2 maka virus corona tak bs masuk.</t>
  </si>
  <si>
    <t>Evakuasi 78 WNI di kapal pesiar Diamond Princess kewenangan Kemenlu. #WNI #Kapal</t>
  </si>
  <si>
    <t>Cegah eks ISIS masuk ke Indonesia Secara Ilegal #CegahISISMasukRI</t>
  </si>
  <si>
    <t>@AJangJoDo @Ari3Pras @timursuprabana @jokowi Opm pemberontak n msh dlm wilayah NKRI dan masih diakui warga NKRI, penanganannya lain. Jd selama negara masih mengakui mrk trmasuk WNI, penangannya bkn sperti Org dgn sadar melepas kewarganegaraan RI utk brgabung dgn teroris yg ingin mendirikan negara khilafah.</t>
  </si>
  <si>
    <t>@iyem_gayem Isu rencana pemulangan anak2 ex wni yg org tuanya bergabung dg isis</t>
  </si>
  <si>
    <t>@suararaa @zarazettirazr Gini, Mbak. Gabisa di Nonaktifkan itu karena Sifatnya yang Wajib. Akibat dr Kepesertaan ini Wajib dan mengikat bagi WNI, maka setiap WNI wajib ikut selama ia masih hidup. Jk wafat, maka Otomatis ditutup</t>
  </si>
  <si>
    <t>@mohmahfudmd ini twit juli 2014. mantan murid. mencari informasi ttg ISIS, dan minta pendapat saya. Saya bilang: itu tipuan. jebakan. Syukur dia tidak pergi. apa bapak tidak melihat bahwa mereka itu sebagai korban penipuan? sekali lagi: kemana negara saat itu?</t>
  </si>
  <si>
    <t>@eko_kuntadhi Itu propaganda kadrun yg selama ini ngebet minta mulangin ISIS WNI ke indonesia</t>
  </si>
  <si>
    <t>RT @sudjiwotedjo: Usulku, militan eks ISIS asal Indonesia harus diterima kepulangannya, tapi diadili. Kalau kita langsung menolak saudara2 kita itu, ok.. tapi usir juga para koruptor dari negeri ini. Koruptor bahkan lebih sadis drpd teroris. Teroris membunuh seketika. Koruptor membunuh pelan2.</t>
  </si>
  <si>
    <t>Memilah antara Kombatan, Perempuan, dan Anak Eks ISIS</t>
  </si>
  <si>
    <t>@WR_4AG226 Hallo @PKSejahtera apa kalian sudah baca berita ini ALHAMDULILLAH' 243 WNI yg pulang dr Wuhan dan diobservasi 14 hr di Natuna dinyatakan brsh dr Corona. Dlm kelakarnya, Menko Perekonomian Airlangga bilang "Krn perizinan di Indonesia ber-belit2 maka virus corona tak bs masuk.</t>
  </si>
  <si>
    <t>Pemboman beruntun gereja koptik mesir di kairo, tanta &amp; alexandria memaksa ribuan masyarakat koptik mesir turun ke jalan, ditambah kelompok oposisi ikhwanul muslimin, menguatnya jaringan ISIS di sinai, islamisasi mesir diera ikhwanul muslim dianggap membahayakan mesir yg majemuk.</t>
  </si>
  <si>
    <t>RT @juombloiyaiya: Tuhan mana yg mereka percaya untuk melakukan ini:" Yg kyk gini masih ada aja yg pengen eks ISIS dipulangkan ke Indonesia?! Ga waras lu cuk😭</t>
  </si>
  <si>
    <t>Ada yang mau isi?  Pasti engga kan? Ayo dong diisi,mau nanyain tentang Isis pun bole</t>
  </si>
  <si>
    <t>@WR_4AG226 Dan lucunya pemerintah msh membiarkan manusia mcm ini tinggal di indonesia padahal udah jelas2 warga ISIS.</t>
  </si>
  <si>
    <t>Tolak WNI Eks Isis demi keamanan negara</t>
  </si>
  <si>
    <t>@__aiek_esthreem @cinnamon_irish @Fw_fa_h @HafisSapardi @mahabaratha2019 @parewa_minang01 @MichelAdamSS @freedomland3202 @4Oishi @SisiLusipara @AnitaPaud57 Tapi pekerjaan jelas toh, ada apa2 langsung cepat tanggap, seperti kasus Corona Jokowi langsung menugaskan stafnya untuk menjemput WNI di Wuhan, memanggil menteri ini pejabat ini untuk menyiapkan semua, kamu ada berfikiran seperti itu tak???</t>
  </si>
  <si>
    <t>Setelah 14 Hari Observasi di Natuna, Dua WNI Asal Kalteng Tiba di Palangka Raya, Ini Keadaannya</t>
  </si>
  <si>
    <t>RT @GusNadjib: Tidak usah ngomongin dosa, jika tak pnya acuan dgn Hadits Nabi. Jelas para eks kombatan Isis itu sudah TIDAK pny hak menginjak di bumi NKRI, sebab mereka sudah mencopot title Kewarganegaraan sendiri atas dasar "Jihad" Ber"jihadlah sampai ktemu Rabb - Nya dgn sebutan "Syuhada"</t>
  </si>
  <si>
    <t>@panaxdol masuk ISIS?</t>
  </si>
  <si>
    <t>@IndyRin Akhirnya WNI yg di kapal itu kena juga ta? Aku kudet nih</t>
  </si>
  <si>
    <t>Show stand up com Netflix yg sgt relate. Nyindir ortu asia yg suka pakai kekerasan ke anak, bahas isu rasial &amp; how org kulit hitam pakai kata nigga jd branding, NYINGGUNG US &amp;amp; ISIS (w0w), serta ngasih tau kalau gong xi fa cai artinya hope you get fucking rich!! 🤣🤣🤣 8,5/10</t>
  </si>
  <si>
    <t>MAHASISWA WNI ASAL WUHAN BOLEH KEMBALI BELAJAR SETELAH STATUS DARURAT DICABUT &gt;&amp;gt;&amp;gt; https://</t>
  </si>
  <si>
    <t>WNI Eks ISIS Paksa Masuk Indonesia, Polisi akan Tindak Tegas</t>
  </si>
  <si>
    <t>Para kombatan ISIS sudah tidak lagi dianggap sebagai WNI sejak mereka membakar paspornya. #KAMUHARUSTAU #wnieksisis #ISIS #polisi</t>
  </si>
  <si>
    <t>@mikhaogung PASTI SIMPATISAN ISIS</t>
  </si>
  <si>
    <t>RT @RinjaniJB: Bagi kami sbg umat Tuhan, tubuh dan jiwa kami adalah gereja. Keimanan kami teruji, bukan hanya karena gedung gereja. Bagi kami sbg WNI, NYATA dan tak terbantahkan bhw kami terus mengalami penindasan oleh segolongan orang tertentu, dan NEGARA tidak berkutik. Cc yth bpk @jokowi</t>
  </si>
  <si>
    <t>Wakil Ketua I DPRD Natuna Ikut Prosesi Pelepasan WNI Setelah Bebas Dari Corona</t>
  </si>
  <si>
    <t>Itu tugas level presiden sih. Dan mungkin harus telat jg kayak sg, tunggu panik massal dulu. Terawan levelnya baru harus fasih ngomong "insyaallah" aja dulu biar gak dimaki senegara. Dan lumayan kapan itu dia coba ngomong "Insyaallah 238 wni di natuna pulang", hasilnya adem. RT @uradn: @VeritasArdentur Janji pemutakhiran informasi itu dilakukan dalam kapasitas sebagai pejabat publik, untuk ketenangan masyarakat. Jiran melakukannya dengan apik. Apakah susah bicara seperti ini sebagai orang Kristen &amp; pejabat publik? Berikut contoh dari jiran.</t>
  </si>
  <si>
    <t>@namsiamob gw pikir udh gabung isis lo bom wkwk</t>
  </si>
  <si>
    <t>@cocachele Ikut isis</t>
  </si>
  <si>
    <t>RT @renegad19207887: @Vendra_Deje Meng-anal-isis al qaeda</t>
  </si>
  <si>
    <t>@suararaa @zarazettirazr UU itu Sifatnya Wajib dan Mengikat, Mbak. Karena itu akun Hanya bsa ditutup selama masih Hidup pesertanya atau WNI. atau WNA yg masih bekerja disini</t>
  </si>
  <si>
    <t>RT @sanataniameric1: Sadiq Khan, London’s ‘Liberal Muslim’ Mayor, Has Ties To ISIS  via @yournewswire</t>
  </si>
  <si>
    <t>Italy dan Amerika udh.... Kasian WNI di dlm kapal, di cuekin pemerintah kayakny.... hiks RT @Reuters: Italy to evacuate 35 nationals from cruise ship quarantined at Japan port</t>
  </si>
  <si>
    <t>@rasidsidiek WNI itu tahan bantiingg.. Karena kerendemmm banjeerrr berhari2 ajah.. Ttp survive &amp; kuat! Otot kawat.. Balung badja!! 💪</t>
  </si>
  <si>
    <t>RT @Lintas_MNCTV: Sebanyak 238 WNI telah tiba dipulangkan usai menjalani observasi. Kepulangan mereka disambut bahagia oleh keluarga. IBL ⁣⁣⁣ ⁣⁣⁣ #WNISehat #Wuhan #Observasi #CoronaVirus #Covid-19 #Natuna #MNCTVNews</t>
  </si>
  <si>
    <t>Eks ISIS dan Politik Gebyah-uyah. Opini Dimas Huda</t>
  </si>
  <si>
    <t>@pahrirreza @toasan @JimlyAs @mohmahfudmd @fadlizon @jokowi Fakta hukum ya seperti itu, keluarga &amp; keturunan PKI dilarang. Berbeda dengan keluarga yg suami/ayahnya terlibat ISIS, proses hukumnya saja belum dijalankan. Mau bantah?</t>
  </si>
  <si>
    <t>@hirn_rb @adi_iswantoro @OmbudsmanRI137 #Harunmasikudimana ?dari PERPPU KPK-BPJS- Tiket pesawat-pencabutan subsidi gas-intoleransi -harun masiku- eks Kombatan isis sekarang Omnibus Law.#Tanpabeban</t>
  </si>
  <si>
    <t>@Vendra_Deje Meng-anal-isis al qaeda</t>
  </si>
  <si>
    <t>Usai Kawal Karantina WNI di Natuna, 229 Anggota Polda Kepri Cek Kesehatan | #indonesia #besoksenin &gt;&amp;gt;&amp;gt; Click</t>
  </si>
  <si>
    <t>Tuhan mana yg mereka percaya untuk melakukan ini:" Yg kyk gini masih ada aja yg pengen eks ISIS dipulangkan ke Indonesia?! Ga waras lu cuk😭 RT @AnakLolina: Kelakuan mengerikan begini yang mau di perjuangkan di negeri ini? "Allahu Akbar" begitu teriakan mereka saat merajam wanita itu. Kelompok ini yang tidak suka pluralisme, sesuatu yg berseberangan pemikiran selalu di anggap merusak akidah. Lihat ini 👇😡</t>
  </si>
  <si>
    <t>Menkes Terawan Minta Masyarakat Hilangkan Pikiran Negatif pada WNI Eks-Karantina</t>
  </si>
  <si>
    <t>RT @EricssenWen: Liputan wawancara saya dengan Warga Negara Indonesia (WNI) dari berbagai profesi seperti Asisten Rumah Tangga (ART) dan Pelaut mengenai wabah virus corona di Singapura.  #Wuhancoronavirus</t>
  </si>
  <si>
    <t>RT @jonedimanalu: Kalau mau test sekalian aja Pres ajukan Perppu UU WNI. Yg mempertegas kewengan Presiden, jg mekanisme pencabutan kewarganegaraan baik lewat pengadilan maupun lewat keputusan presiden. Dlm kasus macam apa lewat pengadilan, dan dalam kasus apa dapat langsung oleh Presiden.</t>
  </si>
  <si>
    <t>RT @agung_eSDe: @detikcom Oke sip. Berarti yg koar koar meminta isis dipulangkan itu hanya cari sensasi ya pak. Mereka sudah kaya raya disana. Jd ga usah pulang</t>
  </si>
  <si>
    <t>RT @Vendra_Deje: Sebab sentimen beragama mu tidak dalm kendali bijaksana, maka mudahlah kamu terpancing amarah yg disulut api fitnah. Terperangkap dlm racikan culas perang proxy mainan musuh. Dari pintu itulah mereka menyeret mu dalam imaji jihad palsu, seperti halnya lakon ISIS dan Al Qaeda.</t>
  </si>
  <si>
    <t>@WR_4AG226 Kayanya ikut di pulangkan deh nyrlip di salh satu koper wni yg lain</t>
  </si>
  <si>
    <t>@01Hariyan @NyiGiri @jokowi ngrumpi banjir dki, hti, fpi, corona, isis, awakmu iso nyambung, tur ora bingung, &amp; marem. 😁😁</t>
  </si>
  <si>
    <t>Sebab sentimen beragama mu tidak dalm kendali bijaksana, maka mudahlah kamu terpancing amarah yg disulut api fitnah. Terperangkap dlm racikan culas perang proxy mainan musuh. Dari pintu itulah mereka menyeret mu dalam imaji jihad palsu, seperti halnya lakon ISIS dan Al Qaeda.</t>
  </si>
  <si>
    <t>RT @Penangkalnegat1: @anak_anakafir @mohmahfudmd @DivHumas_Polri @Kemenkumham_RI @OmbudsmanRI137 Mau nerani gimana...org ex isis aja mau di pulangin...takut gak lebagian surga...</t>
  </si>
  <si>
    <t>@anak_anakafir @mohmahfudmd @DivHumas_Polri @Kemenkumham_RI @OmbudsmanRI137 Mau nerani gimana...org ex isis aja mau di pulangin...takut gak lebagian surga...</t>
  </si>
  <si>
    <t>RT @VeritasArdentur: Biasanya kalau publik diam, keputusan teratas jadi acuan. Dlm kasus kemarin ada tafsir, kalau otomatis tercabut apakah berarti indo akui isis secara resmi. Ada jg kesempatan intelijen, ada chance merekrut teroris itu jd agen susupan. Presidennya sendiri gak ngerti dan gak mau.</t>
  </si>
  <si>
    <t>Teguh Santosa: Lembaga Yang Mendeteksi ISIS Eks WNI Tidak Fokus  via @YouTube</t>
  </si>
  <si>
    <t>Kalau mau test sekalian aja Pres ajukan Perppu UU WNI. Yg mempertegas kewengan Presiden, jg mekanisme pencabutan kewarganegaraan baik lewat pengadilan maupun lewat keputusan presiden. Dlm kasus macam apa lewat pengadilan, dan dalam kasus apa dapat langsung oleh Presiden. RT @VeritasArdentur: Iya tulang. Solusi tulang kemarin alternatif ketiga: Kalau memang tidak jelas status hukumnya, ya presiden bisa menegaskan, mencabut manual kewarganegaraan mereka. Cuma nanti khan penggiat HAM teriak2 soal status stateless anak2 teroris.</t>
  </si>
  <si>
    <t>Liputan wawancara saya dengan Warga Negara Indonesia (WNI) dari berbagai profesi seperti Asisten Rumah Tangga (ART) dan Pelaut mengenai wabah virus corona di Singapura.  #Wuhancoronavirus</t>
  </si>
  <si>
    <t>WNI eks-Wuhan Pulang, Janji Pemerintah untuk Natuna Pun Datang</t>
  </si>
  <si>
    <t>Usai Evakuasi WNI, Kedatangan Kru TNI AU di Lanud Hasanuddin Disambut Bahagia #TauCepatTanpaBatas .</t>
  </si>
  <si>
    <t>RT @voidotid: Tidak konsistennya pernyataan pemerintah seperti ini justru malah akan menimbulkan kekhawatiran dari banyak masyarakat Indonesia.</t>
  </si>
  <si>
    <t>RT @PDI_Perjuangan: Haru Dan Sumringah Sambut WNI Pasca Jalani Karantina Di Natuna  #PDIPerjuangan</t>
  </si>
  <si>
    <t>@null Usai Evakuasi WNI, Kedatangan Kru TNI AU di Lanud Hasanuddin Disambut Bahagia Su</t>
  </si>
  <si>
    <t>Mengapresiasi Sikap Tegas Pemerintah Menolak Kepulangan ISIS Eks WNI</t>
  </si>
  <si>
    <t>@detikcom Detikcom.. tolong dikoreksi bukan "WNI eks ISIS" ya.. tapi "ISIS eks WNI" karena salah kata bisa salah arti dan persepsi.. mereka sudah tidak memgakui sebagai WNI jadi pemerintah sudah tidak punya kewajiban memulangkan mereka.</t>
  </si>
  <si>
    <t>@cnni Sadiq Khan, London’s ‘Liberal Muslim’ Mayor, Has Ties To ISIS  via @yournewswire</t>
  </si>
  <si>
    <t>@dew_nanana Tp yen iso koyo Malang sejuk 😬 ,, ISIS sdh jd kacung dsna .. cm tunggu perintah, menolak perintah psti d karungi.</t>
  </si>
  <si>
    <t>RT @Chris17147695: Kmrn komen wawancara intoleran saya agak lega krn ada instruksi presiden utk kasus di karimun.. ternyata justru pastor yg dilaporin. Skrg kok saya pesimis dgn pemerintahan ini,... lobster, isis, intoleransi, harun masiku, gibran,...</t>
  </si>
  <si>
    <t>ada yg nolak pemulangan anak² ISIS ke Indonesia mati-matian, krn dianggap akan begitu lagi nanti sikapnya kalau sdh dipulangkan. Apa kalau ada yg pernah nikahin bini orang, trus ditinggalin begitu saja, seumur hidupnya dia akan begitu terus kl lolos dr hukuman? renungan aja ..</t>
  </si>
  <si>
    <t>Daritadi nonton dokumenter rojava vs isis seru bangattt</t>
  </si>
  <si>
    <t>@hanifhanif8 Org melayu di penjara kerana ada beberapa dokumen isis x sibuk2pun utk buat rayuan atau menandatangan sokong moral. Relak lah</t>
  </si>
  <si>
    <t>RT @zaenalkase03: @evisuryanti10 @RizkiR4madani @73hermantjoe @sofiankawar1 @TukangMu @babegalak1 @HeriSu19 @edward7011971 @BHD_8 @CANDAdanBISNIS @mamiagarislucu @periani @Jokoumb64504158 @aguzts_ @APLpangeran1 @Dickusnadi1 @SultanAnjar @2024GanjarRisma @MaryanaNunung @MukhtarLuthfi12 @BayuErrianto @JohnIrwan4 @SetiaAdy_p @MOMDian2 @jubrik844 @positive_values @kasrulsani9 @wantahgdn @felixaaf1 @Edward_1smail @LiaIsti1 @Recoignitionwal @eddies_song @wartawankoboi13 @CumiCue @AdigunaAtmaja @Iqbalkuntoro1 @RazkaFaiz @Maranatha_Sibrn @Zulfika35354359 @dian_ibunda @GendengHrs @demartinnie @gimbal_keren @aniesbaswedan @arifsamsul_ma @RD_4WR1212 @AtikahZahidah_ @LalaaLalaa10 @Mikha_57  Kenapa si ibu gak nyusul aj ke Suriah sekalian #TolakAnakISISKembali #tolakpulangkankombatanisis</t>
  </si>
  <si>
    <t>RT @dew_nanana: @kak_wew enak di endonesyah,, panas ga debu2 banget,, dingin ga perlu sampe nol derajat... makanya gerombolan isis mengincar sebagai sarang mereka</t>
  </si>
  <si>
    <t>Alhamdulillah,, kembalilah kepangkuan keluargamu, walaupun saudara sebangsa ada yang gak punya otak menolak kalian pulang.</t>
  </si>
  <si>
    <t>@Pa121_Gl @permadiaktivis @aniesbaswedan Tuh yang Hoax di Ubar terus !!! Bilang wni exs isis tidak diterima di NKRI.... Tp giliran kadrun demo ,benderanya bisa berkibar bebas di NKRI.... Ini yg HOAK si Kadrun atau Aparat yg letoi? 😁😁</t>
  </si>
  <si>
    <t>RT @Embrio54: @Drosopilla2 Kepada Orang timur kalau dapat pelaku rasis nya, tolong pijak2 pelaku nya sampai mulutnya gak bisa makan. Saya sebagai WNI wilayah barat sangat Mendukung.</t>
  </si>
  <si>
    <t>@garismeniskus @ayanuristi @muhammad_sazili @ptrauliasalsa @BadmintonTalk Ini loh Hendri Kurniawan Saputra dan Hendra Wijaya. Kakak beradik yang dr wni jd wn singapura. Hendri saputra yg ini kelahiran 81. HENDRI SAPUTRA HO ga pernah pindah wn.</t>
  </si>
  <si>
    <t>@AlfaAlfarizy1 @FaGtng @Adipativan @mochamadarip @Aryprasetyo85 @P3nj3l4j4h_id @cak_agoest @ApriliaLin @NannyAlexendry Aq twiteran dgn pndapatku sendiri..bukan ngikutin arus.Walaupun mndukung Pk @jokowi..aq kritik Beliau soal penanganan intoleran yg sprti dibiarkan. Utk @FaGtng ..ada baiknya jka Mbk mnjelaskan hastg "dukung jokowi pulangkan isis" tst agar jelas masalahnya. 🙏</t>
  </si>
  <si>
    <t>RT @tvOneNews: Ratusan WNI yang telah diobservasi di Natuna Kep Riau. telah kembali pulang ke daerah masing-masing. Kepulangan mereka disambut penuh suka cita dan penuh rasa syukur oleh keluarga. Download tvOne connect untuk update berita Anda. #tvOneNews #KabarSiangtvOne #WNI #Natuna #Wuhan</t>
  </si>
  <si>
    <t>@RochmadDjunaedi @hasmi_bakhtiar Nah itu ... Dia di negara sekuler + WNI .. Jika ada kemampuan tuntutan hukum ..pakai hukum RI atau France ..anggap saja ini sebuah kasus .. Hal ini bisa terjadi di kasus lain .. Jadi Pakai hukum RI atau France .?</t>
  </si>
  <si>
    <t>@tribunnews Tindakan pemerintah Indonesia menyikapi wabah virus CORONA sebelumnya ketat dengan pertimbangan keselamatan 265 jt WNI. Tapi kini pemerintah sudah mengimpor BAWANG PUTIH.</t>
  </si>
  <si>
    <t>RT @TeddyGusnaidi: Kenapa Hizbut Tahrir, ISIS dan kelompok khilafah lainnya tidak ada yang berani berjuang di Korea utara ya?</t>
  </si>
  <si>
    <t>@really_groot @tempodotco isis talibam Alqaeda JI NII Di TII JAD semua diangkut kesini semua shg orang teriak2 dan demo bersilit3 mulutnya kena bom.. supaya hancur sekalian.</t>
  </si>
  <si>
    <t>@WR_4AG226 Koq eks presiden isis berada di cianjur? Bukankah disana lebih enak, berpengasilan besar, bertabur bidadari?</t>
  </si>
  <si>
    <t>@01Hariyan @NyiGiri @jokowi Di woco ora di woco ora patek-en 😁😁😁.. Ngomong HTI, FPI, ISIS, ANIES, awakmu iso nyambung, kkkkkk Aku ngomong ono pertanggung jawabane, ora ngawor, tapi yen ngudari nganti njlimet wegah 😁😁</t>
  </si>
  <si>
    <t>Bersyukurlah kau kau kau WNI punya Pak Menkes Terawan... Santai.. Disuruh berdoa... Tapi tetep menginstruksikan SOP. Ba?cot lah yg cuma kemakan headline news tapi gak nyimak statement lengkapnya. Ai gemaaaaasssss. RT @ArishaRozaidee: Okay you know what, let me give it to you straight. A few UM students have DM-ed me about how the university is chucking 550 students from China in a residential college due fears surrounding the coronavirus outbreak. All I wanna say is it’s a HUGE sinophobic mess.</t>
  </si>
  <si>
    <t>RT @KienAnd_: Eksekusi mati ini dilakukan oleh ISIS terhadap warga kristen coptic ethiophia, sebagian dari mereka ditawarkan hidup asal mau meninggalkan keyakinannya, namun mereka menolak dan di eksekusi mati oleh ISIS dan jasadnuq dibuang ke laut, air laut memerah krn darah mereka.</t>
  </si>
  <si>
    <t>@MikeyAM97 @IvanRT05 @bocahkakung22 @aryacokronegoro @BebasVisaID @oak_math_lee_91 @addamfarizi @yovie_myg @sandmanindo Kmrn saya di grup org Twn yg tinggal di Indo prnh menyebutkan bebaskanlah visa utk WNI,krna mereka protes Filipina dan Thailand blm nembebaskan visa kpd WN Twn,sdgkn mereka ke Twn bbs visa,saya blg Indo bbrp thn lalu uda membbskan visa kpd WN Twn,knpa Twn tdk reciprocity?</t>
  </si>
  <si>
    <t>@VeritasArdentur Baiklah... dalam kasus ini, justeru pers and publik yang mengajarin pemerintah soal hukum ttg WNI yg "melepas" paspornya.. keliatan stupid nya.</t>
  </si>
  <si>
    <t>@kak_wew enak di endonesyah,, panas ga debu2 banget,, dingin ga perlu sampe nol derajat... makanya gerombolan isis mengincar sebagai sarang mereka</t>
  </si>
  <si>
    <t>@Moh_Jupri @EtheimJ @AremaNita__ @AlissaWahid Dia liat Islam dari isis dll, masa iya gw simpulkan agama Kristen dan mendekripsikan agama kristen dari KKK atau Lord Resistance Army.. kan konyol..</t>
  </si>
  <si>
    <t>@Inu_Yasha13 @KakekHalal @Baktinegeri01 @jelataNKRI_ndai @RomeskoP @Inu_Yasha13 mungkin maksud anda menenangkan agar tdk terjadi konflik horizontal thdp sesama anak negeri. Namun tak perlu anda meragukan kedewasaan iman kami sebagai pengikut Kristus, skaligus sbg WNI cakap hukum dlm tatanan kehidupan berbangsa &amp; bernegara.</t>
  </si>
  <si>
    <t>Cinta Datang Tak Pernah Tepat Waktu...Cerita WNI yang Dikarantina di Natuna  #DariSuara</t>
  </si>
  <si>
    <t>Haru Dan Sumringah Sambut WNI Pasca Jalani Karantina Di Natuna #PDIPerjuangan</t>
  </si>
  <si>
    <t>RT @vivanewscom: Ribuan WNI Antusias Hadiri Acara Muslim Milioner di Jepang  #vivanews</t>
  </si>
  <si>
    <t>RT @kompasiana: [Populer dalam Sepekan] Bagaimana Status WNI Eks-ISIS? | Parasite, The Rise of Asia | Bahaya Sexting!</t>
  </si>
  <si>
    <t>[Populer dalam Sepekan] Bagaimana Status WNI Eks-ISIS? | Parasite, The Rise of Asia | Bahaya Sexting!</t>
  </si>
  <si>
    <t>RT @EAGLE_0775: kita dukung pemerintah dengan keputusan yang tepat telahmenolak kepulangan wni EKS ISIS,, #IndonesiaSatu</t>
  </si>
  <si>
    <t>@ciprutciprut6 @ustadtengkuzul Bukan cuma komunis,koruptor musuh pancasila.teroris juga musuh pancasila,apalagi ajaran hti,isis,bukan cuma musuh pancasila tapi juga musuh peradababan dan kemanusiaan</t>
  </si>
  <si>
    <t>@KakekHalal @MbiringD @Kemenag_RI Menag khilafah aliran isis</t>
  </si>
  <si>
    <t>@abi_andara Cuk, mending gabung combatan ISIS buat basmi hama wereng</t>
  </si>
  <si>
    <t>Forum malam kali ini kita membahas kepulangan WNI selepas karantina Natuna</t>
  </si>
  <si>
    <t>@evisuryanti10 @RizkiR4madani @73hermantjoe @sofiankawar1 @TukangMu @babegalak1 @HeriSu19 @edward7011971 @BHD_8 @CANDAdanBISNIS @mamiagarislucu @periani @Jokoumb64504158 @aguzts_ @APLpangeran1 @Dickusnadi1 @SultanAnjar @2024GanjarRisma @MaryanaNunung @MukhtarLuthfi12 @BayuErrianto @JohnIrwan4 @SetiaAdy_p @MOMDian2 @jubrik844 @positive_values @kasrulsani9 @wantahgdn @felixaaf1 @Edward_1smail @LiaIsti1 @Recoignitionwal @eddies_song @wartawankoboi13 @CumiCue @AdigunaAtmaja @Iqbalkuntoro1 @RazkaFaiz @Maranatha_Sibrn @Zulfika35354359 @dian_ibunda @GendengHrs @demartinnie @gimbal_keren @aniesbaswedan @arifsamsul_ma @RD_4WR1212 @AtikahZahidah_ @LalaaLalaa10 @Mikha_57  Kenapa si ibu gak nyusul aj ke Suriah sekalian #TolakAnakISISKembali #tolakpulangkankombatanisis</t>
  </si>
  <si>
    <t>Cuplikan video situasi di kamp. penahanan di Hassakah Suriah, yang menampung ribuan anggota ISIS,,, langsung aja dikasih tiket Super VIP ke kuburan biar di dunia ini aman dari terorisme !!! #tolakwnieksisis #TolakAnakISISKembali</t>
  </si>
  <si>
    <t>RT @MbiringD: @KakekHalal @DivHumas_Polri Buat sdrku muslim NKRI, ap' keindahan Islam spt di foto FB. Kok nada2 mirip ISIS nih... Hati2 banyak benar Faham Radikal kebencian tumbuh di masyarakat. Saudaraku muslim kerja kalian amat berat mencitrakan Islam sesungguhnya. @jokowi Inilah gambaran masyarakat Indonesia kekinian.</t>
  </si>
  <si>
    <t>Plot twist: 78 WNI tersebut keturunan limbad</t>
  </si>
  <si>
    <t>WNI di negeri sebrang. 📸 : alimsyahnabil @ Kem Herba Sungai Congkak</t>
  </si>
  <si>
    <t>RT @SoffiAgus: @bahdirdja @enny_endah @NGOBUSH3 @semiaji_w @dkarhita @Ze_sukma @YCH7168 @AWChuz @cagubnyinyir2 @sirajapadoha WNI eks ISIS itu jika mau dipulangkan lebih baik dikarantina dulu di Gurun Sahara atau gurun Gobi supaya cepat kejang2</t>
  </si>
  <si>
    <t>@Omnugii @Rifairaharjo Udah kyk isis</t>
  </si>
  <si>
    <t>@ sejarah GW WNI BUKAN WARGA NEGARA JEPANG KNP SOALNYA JEPANG SEMUA</t>
  </si>
  <si>
    <t>Dinkes Diminta Tetap Pantau WNI Dari Natuna Menkes enggan berdebat dengan pihak yang meragukan sistem deteksi yang dilakukan Indonesia #ValidNih</t>
  </si>
  <si>
    <t>RT @zoelfick: KPAI semakin aneh-aneh saja. Giliran ada anak dididik jadi atlet, mereka bilang eksploitasi anak. Giliran ada anak-anak kombatan ISIS, mereka minta negara turun tangan untuk turut menjaga. Kalian yang lebih pinteran dikit, apa nggak ada niat ganti posisi mereka di KPAI?</t>
  </si>
  <si>
    <t>@detikcom Presiden ISIS silahkan segera out dr NKRI krn presiden yg sah memerintah pemerintahan yg sah bukan khayalan doank</t>
  </si>
  <si>
    <t>RT @jawapos: Mengapresiasi Sikap Tegas Pemerintah Menolak Kepulangan ISIS Eks WNI</t>
  </si>
  <si>
    <t>@jokowi Usul pak,dalam dunia perang orang yang sudah kalah perang otomatis jadi budak, sebaiknya ex ISIS tersebut diambil aja pak tp bukan menjadi warga seperti yg lain tp jadi budak. Kan lumayan pak suruh kerja rodi tanpa digaji.</t>
  </si>
  <si>
    <t>@detikcom Ngaco ini orang. Gak mungkin yg bersama ISIS sekarang sejahtera. Sejahtera dari hongkong, negerinya udah hancur lebur gitu. Banyak yg mengungsi pula.</t>
  </si>
  <si>
    <t>RT @sukron_ab: @YRadianto Maksudnya gmn tu ki...??? Ditampung dmn sama eks presiden ISIN eh ISIS itu ki..??? Maaf salah ketik...🤔🤔🤔</t>
  </si>
  <si>
    <t>RT @sunankaliblanak: @YRadianto hem..sikap menantang spt ini perlu di awasi apa kiprah dan peranya terkait dg ISIS. sy berharap tanah di alam Nusantara masih menerimanya jika kelak dia mati..dah itu saja.!</t>
  </si>
  <si>
    <t>Highlight Primetime News Metro TV - Kisah Pemulangan WNI Dari Wuhan</t>
  </si>
  <si>
    <t>Didukung Ibunda, Pramugari Batik Air ini Tuntaskan Misi Penyelamatan WNI dari China  @BatikAirINA</t>
  </si>
  <si>
    <t>Masa observasi sejumlah WNI dari Wuhan, China terkait virus corona akan berakhir. Rencananya ratusan WNI itu akan dipulangkan ke daerah masing-masing, Sabtu besok. #WNI #Natuna</t>
  </si>
  <si>
    <t>@hazeInvt waalaikumsalam isis</t>
  </si>
  <si>
    <t>Pemerintah Indonesia menyatakan belum ada rencana untuk mengevakuasi 78 WNI dari kapal Diamond Princess. Para WNI di kapal tersebut dinyatakan negatif dari paparan virus SARS-Cov-2. #WaktunyaLokadata</t>
  </si>
  <si>
    <t>Usai Dipulangkan, Pemerintah Bakal Terus Pantau Kondisi Kesehatan 238 WNI dari Natuna  #Nusantara #NKRI #Nasional #nusantara</t>
  </si>
  <si>
    <t>Ribuan WNI Antusias Hadiri Acara Muslim Milioner di Jepang  #vivanews</t>
  </si>
  <si>
    <t>Sebanyak 78 WNI di kapal pesiar masih jalani karantina terkait Corona.</t>
  </si>
  <si>
    <t>Selama ini, ada setikma / anggapan, di mana, WNI yang di jemput pulang dari Wuhan, adalah WNI yang terjangkit virus Corona, hingga harus di observasi dan tampung sementara di Pulau Natuna . padahal mereka ini semuanya sehat dan tidak terjangkiti virus yang katanya mematikan itu</t>
  </si>
  <si>
    <t>sis n bro utk WNI NKRI .. khusus n special .. bukan yg lain ..</t>
  </si>
  <si>
    <t>@detikcom Lagian dia jg udah gk WNI, jd ya terserah dialah ngapa netizen yg sibuk</t>
  </si>
  <si>
    <t>Mendagri Apresiasi Pemda Kompak Sambut WNI yang Selesai Observasi di Natuna</t>
  </si>
  <si>
    <t>RT @mas__piyuuu: Dubes Rusia: Pemerintah Rusia Pulangkan lebih dari 200 anak2 (dibwh 18 th) eks ISIS Saat ditanya apakah ada kekhawatiran jk terpapar radikalisme/mjd ancaman keamanan, dia meyakini mrk bisa diedukasi, dan hal tsb menjadi tanggungjawab pemerintah Rusia</t>
  </si>
  <si>
    <t>RT @geloraco: Eks ISIS Dan Koruptor, Bahaya Mana?</t>
  </si>
  <si>
    <t>@AnakLolina Astagfirullah ISIS... Jangan sampai mereka kembali k NKRI. Jangan sampai..</t>
  </si>
  <si>
    <t>#Ikhwani #Baathi #Sunni #ISIS #Saudi US #Zio media targeting #Sistani in #Najaf #Iraq #weakness</t>
  </si>
  <si>
    <t>@AdiMawa22441862 @LaskarLangit13 @ustadtengkuzul ya itu krna kaya bajai...pinter ngeles, padahal intinya kaum jijik pingin ngeganti pancasila da sytem demokrasi..ala2 ISIS gt ..</t>
  </si>
  <si>
    <t>RT @KRMTRoySuryo2: Tweeps, Alhamdulillah, Selamat ya Bu. InsyaaAllah Putrinya (+ 284 WNI ex Wuhan) semua Sehat, Selamat &amp; Baik2 saja. Soalnya disisi lain ada yg lagi mempersiapkan "Selametan" 40-hari Hilangnya Buronan @KPK_RI Caleg @PDI_Perjuangan si Harun Masiku lho. Nasi apa enaknya ya? Ada usul?</t>
  </si>
  <si>
    <t>@haikal_hassan Harusnya status terdakwa nya nanti diatas nya eks anggota isis Indonesia, selain kena hukuman penjara dan sita harta kekayaaanya kemudian cabut hak kewarganegaraannya USIR DARI BUMI NKRI!</t>
  </si>
  <si>
    <t>RT @okezonenews: KISAH WNI DIKARANTINA DI KAPAL PESIAR KASUS KORONA #TauCepatTanpaBatas</t>
  </si>
  <si>
    <t>Ini cara WNI bertahan dari wabah Corona di Wuhan</t>
  </si>
  <si>
    <t>Beli kopi, rokok sama wafer nabati Dengerin full album nya Kunto Aji; Mantra-mantra, sama beberapa lagu nya Hindia kaya; Evakuasi dan Evaluasi Ngucek baju Jemurin Masak nasi Beli lauk Makan sambil ngeyoutube lagi nonton mata najwa 'menangkal isis'</t>
  </si>
  <si>
    <t>RT @Shebby___: TAK NAK NANGIS SENSORANG 😭 btw congratulation @EyraHazali21 semoga sihat selalu ❤️</t>
  </si>
  <si>
    <t>@milkcheesy Berikut kami infomasikan syarat pembukaan rekening Tahapan Xpresi BCA : Perorangan dewasa (WNI) - Kartu identitas (KTP/Paspor) - NPWP - Resi perpanjangan dari instansi terkait (bila kartu identitas dalam proses perpanjangan) - Menyerahkan identitas (1/6) ^Kaka</t>
  </si>
  <si>
    <t>Haru Dan Sumringah Sambut WNI Pasca Jalani Karantina Di Natuna  #PDIPerjuangan</t>
  </si>
  <si>
    <t>@SamanPb @msaid_didu Negara mana yg g pnya utang dan tak pernah utang..?? 🤣🤣🤣🤣 Negara ISIS sana.</t>
  </si>
  <si>
    <t>@4taeby isis kan 🤩</t>
  </si>
  <si>
    <t>Akibat Corona, ijin tinggal tuk WNI China DIGRATISKAN.. Segitunya amat : * BPJS nunggak tetap ditagih * Ngurus KTP. 1 tahun gak kelar Hhhhhh #RezimKalengKaleng</t>
  </si>
  <si>
    <t>@InnaWaAna Mungkin maksudnya dia eks RSJ ISIS...</t>
  </si>
  <si>
    <t>@nitarose38 @Ameeramantikah @idtodayco Media sampah, skrg artikelnya hilang. Yg percaya media kyk gini cuma antek2 ISIS atau HTI</t>
  </si>
  <si>
    <t>SEANDAINYA pak jokowi bisa setegas orang ini. Mungkin intoleran di indonesia g akan menjadi jadi. NARKOBA,KORUPTOR,ISIS ... benar" berusaha di musnahkan dengan TEMBAK DI TEMPAT. Mungkin belum sempurna,setidaknya sdah bikin jera.</t>
  </si>
  <si>
    <t>@duwww_ @sudjiwotedjo Ga goblok ga wni mba, soalnya saya juga ngerasa kadang saya gitu</t>
  </si>
  <si>
    <t>KISAH WNI DIKARANTINA DI KAPAL PESIAR KASUS KORONA #TauCepatTanpaBatas</t>
  </si>
  <si>
    <t>@DadangRusian @jokowi @fadjroeL @fadlizon @mohmahfudmd Yg bikin kita heran, yg mencabik cabik merah putih, yg kibarkan bendera kejora, yg membunuh WNI ( OPM ),,, malah dg seremoni dan upacara segala diterima Penolakan.umumnya datang dr penganut islam liberal dan non muslim</t>
  </si>
  <si>
    <t>@AnakLolina biadab bangat y ISIS ini ud gitu pkai teriak nama nama Tuhan nya</t>
  </si>
  <si>
    <t>@zarazettirazr @Febyval22 PKI dan antek lebih ngeri dari Isis</t>
  </si>
  <si>
    <t>Presiden Minta Masyarakat Terima WNI yang Sudah Selesai Dikarantina</t>
  </si>
  <si>
    <t>Reply nya menghibur sekali 😂😂 Semoga sehat selalu WNI yang ada di sana. Aamiin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</si>
  <si>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RT @kangdede78: Setiap orng tua yg mempunyai anak seperti saya, akan trenyuh apabila mendengar, melihat, anak -anak menjadi korban kebiadaban orng dewasa. Nangis saya baca berita ini, apalagi pemerintah masih mempertimbangkan untuk memulangkan anak-anak itu.</t>
  </si>
  <si>
    <t>@PensiunanRambo @DlVHUMASPOLRI @Kemenag_RI @depkominfo Pelacur isis ini lsg tutup akun</t>
  </si>
  <si>
    <t>@zarazettirazr @Febyval22 Lebih jauh dan ngeri dari mantan Isis</t>
  </si>
  <si>
    <t>@WR_4AG226 Ditampung,dibrainwash ,kemudian dijual lg ke isis..dpt deh fulusss</t>
  </si>
  <si>
    <t>RT @voaislam: Tolak Kepulangan ISIS Eks WNI ke Indonesia, Pengamat: Presiden Jokowi Terkesan Tergesa-gesa -</t>
  </si>
  <si>
    <t>@DadangRusian @jokowi @fadjroeL @fadlizon @mohmahfudmd Ndelok en iki ndah, bekne tertarik melu isis @endahretnw</t>
  </si>
  <si>
    <t>@elucuu Yg gini gini gausah dipulangin gpp. Suruh jadi sumber dananya isis</t>
  </si>
  <si>
    <t>@jaehyunlovelies MAKASIH AOL TELOR!! serem juga ye lu dah macem isis owowow /mrasa takut/</t>
  </si>
  <si>
    <t>RT @alexandro_wr: @samuelpanda_ LAH KAN EMANG UDH TUGASNYA MELINDUNGI ANAK TSB, KAN KPAI ITU KOMISI PERLINDUNGAN ANAK ISIS</t>
  </si>
  <si>
    <t>RT @Roma13054710: 237 WNI dari Natuna bebas virus corona #4niesJawaraNgibul</t>
  </si>
  <si>
    <t>237 WNI dari Natuna bebas virus corona #4niesJawaraNgibul</t>
  </si>
  <si>
    <t>RT @tata_chimmyuwu: Di singapore udah ada 1 WNI yg positive virus corona. Lindungi kami ya allah, jauhkan dari penyakit &amp; marabahaya. Aamin</t>
  </si>
  <si>
    <t>RT @kompascom: Berikut cerita salah satu WNI yang dikarantina di Natuna sepulang dari Wuhan, China.</t>
  </si>
  <si>
    <t>@chocofittt Sungguh WNI sejati</t>
  </si>
  <si>
    <t>@ImranKhanPTI niyazi or us k toley par bhi, DG ISIs or baqi k Generals par bhi, Ex CJoP saqib nisar par bhi, in sab par bhi lagao article 6. Sab tangey jaen ge phir to. Or in sab se pehle to Musharraf par lagao Article 6 or tango us ko. Article 6 ka mama chacha. Laga na baqi sab pe bhi. Harami</t>
  </si>
  <si>
    <t>"mereka (WNI) dapat penghasilan besar dan sejahtera di Suriah" - eks presiden ISIS Savage abis wkwkwwk</t>
  </si>
  <si>
    <t>RT @tvOneNews: Salah satu WNI menceritakan kegiatan selama berada di Natuna untuk menjalani observasi. Dapatkan berita lain di tvOne connect #tvOneNews #Observasi #Natuna</t>
  </si>
  <si>
    <t>Didukung Ibunda, Pramugari Batik Air ini Tuntaskan Misi Penyelamatan WNI dari China - Berita Trans  lewat @beritatrans</t>
  </si>
  <si>
    <t>@detikcom Mereka bukan lg WNI karena mereka sudah memusnahkan Identitas kewarganegarannya,jadi kalau pemerintah menolak mereka kembali ke tanah air itu tidak salah</t>
  </si>
  <si>
    <t>Pemerintah Indonesia Kawal Pemulangan 285 WNI dari Natuna</t>
  </si>
  <si>
    <t>Anjir kemarin ribut2 soal WNI ISIS mau balik ditolak. Lah sananya aja ga mau balik hahahah Lucu si. Yg disini ribut, yg disana bingung kenapa disini ribut. Indo emang suka bgt disuapin isu gorengan macem gini ya wkwkwk</t>
  </si>
  <si>
    <t>RT @Sarah_Pndj: Rizieq dg FPI-nya sama dg ISIS, setuju dg pembantain orang2 yg tidak sepaham dg mereka. Mereka ada di Indonesia, dan skrg masih mau ditambah dg ISIS ex WNI. Indonesia mau dibawa menjadi Indonistan ?? Cc.: Bapak Presiden @jokowi</t>
  </si>
  <si>
    <t>RT @revofebri: ISIS dan Kadrun malah sedekah bom, buang buang roket, meledakkan diri, emangnysbbisa bikin sejahtera? Bukankan itu melestarikan kebodohan juga? Dan lebih tradisi musyrik dari ajaran bapaknya syaiton?</t>
  </si>
  <si>
    <t>@wni_sni nampak la x tahan duk asrama tu hahahaahahaha</t>
  </si>
  <si>
    <t>@KakekHalal @DivHumas_Polri Buat sdrku muslim NKRI, ap' keindahan Islam spt di foto FB. Kok nada2 mirip ISIS nih... Hati2 banyak benar Faham Radikal kebencian tumbuh di masyarakat. Saudaraku muslim kerja kalian amat berat mencitrakan Islam sesungguhnya. @jokowi Inilah gambaran masyarakat Indonesia kekinian.</t>
  </si>
  <si>
    <t>@SantiLim14 @shinichi8889 @SKaspani_ong @helmifelis @SedotWc_ yg ku mksd bendera hitam itu bendera Isis bendera HT bendar Alqaeda</t>
  </si>
  <si>
    <t>RT @AlfaOmega0110: @WR_4AG226 Ikhwanul Muslimin bkin gaduh lagi. Tempo hari blg Eks WNI mau plg. Padahal kata eks Panglima ISIS disini dibantah. Mereka Eks Wni gak mau plg</t>
  </si>
  <si>
    <t>RT @nicohenryp: @WR_4AG226 Corona .. akhir bulan ini lenyap.. . Tapi ISIS.. abadi niat nya tetap bom bunuh diri..</t>
  </si>
  <si>
    <t>RT @republikaonline: Evakuasi 78 WNI di kapal pesiar Diamond Princess kewenangan Kemenlu.</t>
  </si>
  <si>
    <t>@kompascom Saya dukung anda tapi saya ga puas blabarblas Terlalu banyak indikator yg bikin ga puas (intoleransi, menteri ngawur, no susi no party, isis ex wni dll)</t>
  </si>
  <si>
    <t>@Evikartikasr paham isis.</t>
  </si>
  <si>
    <t>Pulangkan Anak-anak Eks Kombatan ISIS, RI Perlu Tunggu Permintaan PBB</t>
  </si>
  <si>
    <t>@Takviri @oneaperture 🤣🤣🤣 terjebak, kan?!! bilang lawan radikalisme, tapi ormas intoleran dibiarkan!! bilang menolak eks isis, tapi masih berupaya memasukkan anak" (dan tentunya bersama ibu dan bapaknya, bukan?!!). bilang karimun akan diselesaikan, eh panitianya mau dipolisikan. 🤣🤣🤣 @jokowi</t>
  </si>
  <si>
    <t>@AlterBase18Plus What kind of foreign policy you want to talk? Repatriasi ISIS? West Papua? Trump yg harus konsul ke senat kalo mau serang Iran? Atau soal negara2 arab yg juga ikut biayain NSA?</t>
  </si>
  <si>
    <t>@AbyAlan_ @shinichi8889 @SKaspani_ong @helmifelis @SedotWc_ Iya, apalagi yg dibawa2 Isis itu bikin takut aja...</t>
  </si>
  <si>
    <t>@AriestaRiico @ISIS_Balik_NO Yg salah itu polisi nya, knp mau dikadali sm si andre</t>
  </si>
  <si>
    <t>@Jean_Aprilia97 Kalau Saya tentang ex Isis. No Komen lah</t>
  </si>
  <si>
    <t>@DJBourned @JimlyAs @mohmahfudmd @fadlizon @jokowi Disini maksud diadili adalah masalah kewarganegaraanya mereka. Tidak bisa langsung dianggap secara otomastis kewarganegaraan mereka hilang. Mereka punya hak untuk membuktikan di pengadilan apakah mereka masih WNI atau tidak.</t>
  </si>
  <si>
    <t>@DadangRusian "Melindungi segenap bangsa dan tumpah darah indonesia." ini masih sangat general mas.. kalo mau lebih detail.. monggo lihat UU ttg kewarganegaraan.. Eks WNI terlibat ISIS bisa di cabut status WNI nya karena beberapa hal..</t>
  </si>
  <si>
    <t>RT @kompascom: WHO memuji kinerja cepat dari Pemerintah Indonesia dalam rangka menyelamatkan warganya dari ancaman wabah virus corona</t>
  </si>
  <si>
    <t>@DadangRusian @jokowi @fadjroeL @fadlizon @mohmahfudmd Tolak ISIS masuk Indonesia, mereka bukan WNI mereka sdh.</t>
  </si>
  <si>
    <t>@KailPancing @eko_kuntadhi Isis lebih dari kena virus corona.</t>
  </si>
  <si>
    <t>Evakuasi 78 WNI di kapal pesiar Diamond Princess kewenangan Kemenlu.</t>
  </si>
  <si>
    <t>LUR... WHAT DO YOU THINk ? KALAU DI KAMPUNGNYA ISIS, ORG PEMBOHONG MACAM INI SDH DI HUKUM RAJAM !</t>
  </si>
  <si>
    <t>@wongwongmalek @En_White_Bird @pakatanharapan_ @dapmalaysia Betul bro. Penganas ISIS DAESH LTTE etc has no place in Malaysia</t>
  </si>
  <si>
    <t>RT @MeyKarunia: ISIS yg mau pulang harus ditolak mereka yg mendukung ISIS dan ikut mengkampanyekannya dulu dengan seminar2 dan aktifitas di medsos juga layak untuk diusir rekam jejak masih tersimpan rapih</t>
  </si>
  <si>
    <t>@hypeblossom @aaddiinnii Nanti kalo jadi wni langsung di gaet jadi calon gubernur jakarta :(</t>
  </si>
  <si>
    <t>@mscendani Astaghfirullah.. WNI dong ya ini...</t>
  </si>
  <si>
    <t>RT @hapeproperti: @KadalGu @CH_chotimah @AhlulQohwah @narkosun @Bangzul__88 @Sentilin @WR_4AG226 @RizmaWidiono @P3nj3l4j4h_id @ayah_9Garislucu @kangenband123 @03__nakula @HusinShihab @triwul82 @budi1439h @k4ng_C1reNG @arjuno_ireng01 @AnakLolina HTI sama dg ISIS. Dulu sblm namanya ISIS masih usia spt anak2 paud tidak dianggap penting, tapi semakin hari ISIS besar tumbuh dewasa bisa meruntuhkan satu negara, barubpada sadar bahayanya ISIS. Sebelum besar untung dibubarkan.</t>
  </si>
  <si>
    <t>@bdgfess Anal isis pengaruh chat dari dia saat melawan lord atep</t>
  </si>
  <si>
    <t>RT @catuaries: Komedi apaan? Tirto ngerti ga sih BPJS Kesehatan dan sistem jaminan sosial nasional itu apa? Menurut wa bukan masalah kalau karyawan BPJS Kesehatan memakai asuransi swasta as long as karyawannya juga bayar iuran BPJS Kesehatan karena sifatnya wajib bagi seluruh WNI</t>
  </si>
  <si>
    <t>RT @jumianto_RK: Selain menolak memulangkan 660 ISIS Eks WNI, yg ada di negri ini juga perlu perhatian dan harus di basmi yg ingin mencoba radikalisasasi.. Pak @mohmahfudmd tolong orang yg ceramah ini di ajak ngopi.. Cc @DivHumas_Polri @BNPTRI @kemendagri</t>
  </si>
  <si>
    <t>@Aryprasetyo85 @jokowi @My_LoveNebe @cintada17 @NannyAlexendry Disatu sisi aku bangga punya Presiden dicintai rakyat bahkan ank kecil.dilain sisi ada kekhawatiran jika ank" isis ex WNI yg umur kurang dr 10 th akan dipulangkan.kalau lari menghampiri Presiden Jokowi bawa bom ditubuhnya njuk piye?</t>
  </si>
  <si>
    <t>78 WNI di Kapal Pesiar Negatif Virus Corona, Tapi Positif Masuk Angin  #DariSuara</t>
  </si>
  <si>
    <t>@fitri_kurnia5 @kofilattemagnum Ywes ayo ndk jobo ae isis</t>
  </si>
  <si>
    <t>RT @abdularey: @DiantyYasmin3 Soal nya di indonesia memang sdah lama ada isis/teroris cuma mereka sudah sempit ruang gerak. Namun tidak tertutup kemungkinan besar harapan mereka agar isis/teroris dari timur tengah,pulang ke indonesia. TNI/POLRI harus bertindak cegah itu.</t>
  </si>
  <si>
    <t>@P3nj3l4j4h_id Disini ada yg pernah bilang isis saudara mrk tdk? Ada yg pernah baiat ke isis tdk? Kl ada berarti mrk manusia iblis.</t>
  </si>
  <si>
    <t>@atjehsultanate Itu lah perang....pihak manapun yang dominan tend to do such brutal things...name it : us di vietnam, konflik balkan serbian to bosnian , afrika konflik antar etnis...ISIS di irak dan suriah....masih banyak lagi....bukan nya tdk punya emphaty...tapi itu konsekuensi peperangan</t>
  </si>
  <si>
    <t>@AriestaRiico @ISIS_Balik_NO itu uda pasti, coba saja klo andre bukan pejabat, pejabat itu kebal hukum, gk berlaku hukum buat pejabat</t>
  </si>
  <si>
    <t>Romesko Purba adalah kita. Siapakah kita? Kita adalah sekumpulan manusia lintas agama yg menentang keras intoleransi beragama dgn alasan apapun. Karena hak beribadah bagi WNI sdh diatur dan dijamin oleh UUD 1945 pasal 29 ayat 2 dan pasal 28e ayat 1. #SaveRomesko #CabutSKB2Menteri</t>
  </si>
  <si>
    <t>Hmmm aja ah.... #SafeSuriah</t>
  </si>
  <si>
    <t>Erdogan: Tak Akan Ada Anggota ISIS yang Bakal Keluar dari Suriah</t>
  </si>
  <si>
    <t>Oleh karena itu, KJRI HK sll terbuka akan bantuan masker utk disalurkan kpd WNI di HK”. tegas Konjen Ricky Suhendar. Hingga 16/2, KJRI HK tlh membagikan 129.530 masker kpd seluruh WNI dan ormas Indonesia di HK. #IniDiplomasi #NegaraMelindungi #IndonesianWay #kemlu_ri #kjrihkg</t>
  </si>
  <si>
    <t>Sensus penduduk 2020 di seluruh Indonesia,harus mencatat jumlah penduduk miskin dan total penduduk seluruh Indonesia dengan benar dan dapat dipertanggungjawabkan hasilnya,sehingga dapat mengetahui data-data seluruh WNI dan WNA di seluruh Indonesia,sebagai patokan untuk mengatasi</t>
  </si>
  <si>
    <t>Jokowi Tak Setuju Pulangkan 660 WNI Eks ISIS ke Indonesia</t>
  </si>
  <si>
    <t>@DadunAzis @santuuykupi Mudah saja dan sudah banyak contohnya yg paling jelas adalah ISIS walaumah banyak yg lain Untuk mendapatkan kekuasaan, keuntungan ekonomi, sumber daya alam, maupun sumber2 lainnya, cara yang paling mudah adalah dg memakai kemasan issue2 penegakan agama</t>
  </si>
  <si>
    <t>@kompascom Kenapa memulangkan ex-WNI ISIS ya? Isu apa lagi yang hendak dialihkan sih?</t>
  </si>
  <si>
    <t>@DadangRusian @jokowi @fadjroeL @fadlizon @mohmahfudmd Saya sepakat WNI ex ISIS tak boleh kembali ke Indonesia, asal Rezin @jokowi tegas menolak masuknya WNA China Komunis... kalau tak mampu tegas, biarkan mereka pulang dengan syarat-syarat tertentu</t>
  </si>
  <si>
    <t>Sebanyak 229 personel Satgas Kemanusiaan Natuna 2020 dari jajaran Polda Kepulauan Riau (Kepri) mengakhiri tugas usai seluruh WNI dari Wuhan selesai menjalani masa observasi di Pulau Natuna, Sabtu (15/2/2020).</t>
  </si>
  <si>
    <t>@ptrauliasalsa @BadmintonTalk coach henry bukannya udah WN singapore ya? apa uda balik WNI lagi?</t>
  </si>
  <si>
    <t>RT @77bayoe: @wahhabicc_jabar Saat ISIS berkuasa ribuan prempuan suku Yazidi mnjdi budak nafsu, ribuan org mnjdi pengungsi di negrinya sndiri, ribuan org di bantai tnpa ada pengadilan, mayat2 stiap hri bergelimpangan di jlanan, apa HAM ISIS pikirkan, Siapkah kita utk hal ini bla mrk plg?</t>
  </si>
  <si>
    <t>RT @baru_kaya: Untuk yang bilang akan mempertimbangkan anak2 ISIS eks WNI akan dipulangkan, mungkin vidio ini bisa jadi pertimbangan Jangan sepelekan anak2, mereka sdh dicuci otaknya dan terlatih</t>
  </si>
  <si>
    <t>Smntr itu, di gd KJRI sendiri hr ini tlh membagikn 16000 masker kpd slrh WNI yg dtg mengambil. "Perlindungan WNI melalui pemberian masker merupakn bntuk kehadiran neg. KJRI menyadari bhw kebutuhan akn masker msh tinggi. #IniDiplomasi #NegaraMelindungi #IndonesianWay #kemlu_ri</t>
  </si>
  <si>
    <t>RT @SAWUNGLANANG: @wahhabicc_jabar @asnug_id 1. Pergi dengan penuh kesadaran 2. Bakar passport dengan penuh kesadaran 3. Berbaiat kepada ISIS dengan penuh kesadaran 4. Liat kekejaman ISIS diam aja dengan penuh kesadaran ISIS hancur minta balik, enak bener Pacar selingkuh aja minta balikan kita tolak 🤣😂</t>
  </si>
  <si>
    <t>@MTuhasan @Ilhamalfrizal_a @helmifelis @jokowi sampe disini baru paham saya, ternyata anda nasrani dan kita beda agama, saya muslim dan saya bukan ISIS pantesan anda tak mengerti sejarah firaun sudah yahh...</t>
  </si>
  <si>
    <t>RT @OpsiMetroTV: Ketua Komnas HAM: ISIS itu bukan negara, ISIS adalah organisasi teroris. Tonton lagi #OPSIMetroTV episode Eks ISIS: yang Pergi, Perlukah Kembali? di youtube channel kami. Jangan lupa subscribe! #eksisisyangpergiperlukahkembali</t>
  </si>
  <si>
    <t>Salah satu WNI menceritakan kegiatan selama berada di Natuna untuk menjalani observasi. Dapatkan berita lain di tvOne connect #tvOneNews #Observasi #Natuna</t>
  </si>
  <si>
    <t>@panaxdol Titinya masuk isis</t>
  </si>
  <si>
    <t>@LaskarLangit13 @AdiMawa22441862 @ustadtengkuzul ribet amat, intinya USA pingin menguasai kilang2 minyak d arab boss..biar pegang kendali di pasar dunia. mengadu domba d dalam 1 negara itu tugas mereka biar perang sesama bangsa..ya seperti kalian ini sama kaya ISIS...</t>
  </si>
  <si>
    <t>Bagi kami sbg umat Tuhan, tubuh dan jiwa kami adalah gereja. Keimanan kami teruji, bukan hanya karena gedung gereja. Bagi kami sbg WNI, NYATA dan tak terbantahkan bhw kami terus mengalami penindasan oleh segolongan orang tertentu, dan NEGARA tidak berkutik. Cc yth bpk @jokowi</t>
  </si>
  <si>
    <t>RT @Metro_TV: #BreakingNews | Jelang kepulangan 238 WNI dari Natuna. Menteri kesehatan meninjau langsung proses kepulangan 238 WNI yang di observasi.</t>
  </si>
  <si>
    <t>Heran ketika anak2 indonesia berlatih bulutangkis dg pb jarum d8hentikan karena melanggar aturan ..sedangkan anak anak eks wni anggota isis dibela mati2an u pulang ke indonesia bagaimana kpai?</t>
  </si>
  <si>
    <t>RT @Metro_TV: #BreakingNewsMetroTV | Menteri Kesehatan RI memastikan WNI yang di observasi dalam keadaan sehat dan siap untuk di kembalikan ke keluarga. #coronavirus</t>
  </si>
  <si>
    <t>RT @Metro_TV: #BreakingNewsMetroTV | Yusrin Zata melaporkan bahwa WNI yang usai menjalani observasi belum bisa ditemui awak media. #viruscorona</t>
  </si>
  <si>
    <t>RT @Metro_TV: #BreakingNewsMetroTV | Situasi terkini jelang pemulangan WNI yang selesai di observasi. Nampak Menteri Kesehatan, Menko PMK dan Kepala BNPB sedang melakukan koordinasi terakhir jelang pemulangan. Live streaming:</t>
  </si>
  <si>
    <t>RT @Metro_TV: #BreakingNewsMetroTV - Rombongan Menko PMK, Menkes dan Kepala BNPB Tiba di Natuna. Dapatkan informasi selengkapnya terkait pemulangan WNI yang sudah diobservasi selama 14 hari di Natuna dalam</t>
  </si>
  <si>
    <t>RT @Metro_TV: Ikuti #BreakingNewsMetroTV proses kepulangan WNI dari Wuhan yang diobservasi di Natuna selama 14 hari melalui link berikut ini: Website:  Youtube:  FB:</t>
  </si>
  <si>
    <t>RT @Metro_TV: #BreakingNewsMetroTV laporan Yusrin Zata dari lanud Raden Sadjad Natuna, ada tiga pesawat yang disiapkan untuk membawa WNI peserta observasi dari Natuna ke Jakarta yaitu dua pesawat Boeing 737 dan Hercules. #viruscorona Live streaming:</t>
  </si>
  <si>
    <t>RT @Metro_TV: #BreakingNewsMetroTV - Selesai Diobservasi, WNI dari Wuhan Dibekali Surat Keterangan Sehat. Live streaming di</t>
  </si>
  <si>
    <t>RT @Metro_TV: #BreakingNewsMetroTV pesawat Hercules yang membawa rombongan pertama WNI dari Natuna menuju bandara Halim Perdanakusuma sudah lepas landas dari Lanud Raden Sadjad Natuna. #viruscorona Live streaming:</t>
  </si>
  <si>
    <t>RT @Metro_TV: #BreakingNewsMetroTV laporan Cicilia Sinabariba dari lanud Raden Sadjad Natuna, rombongan kedua WNI peserta observasi di Natuna bersiap untuk naik ke pesawat untuk diberangkatkan ke Jakarta. #viruscorona Live streaming:</t>
  </si>
  <si>
    <t>RT @Metro_TV: #BreakingNewsMetroTV Budi Zilvana (dokter observasi di Natuna): semua WNI dalam keadaan sehat. Setiap hari kita pantau suhu peserta observasi dan tidak ada satu pun peserta yang mengalami kenaikan suhu yang signifikan. #viruscorona Live streaming:</t>
  </si>
  <si>
    <t>RT @03__nakula: KPAI: KOMISI PERLINDUNGAN ANAK ISIS.</t>
  </si>
  <si>
    <t>RT @Metro_TV: #BreakingNewsMetroTV "Sudah ada komunikasi dengan anak saya, allhamdulilah tadi anak saya baru kirim WA. Katanya 'baru turun dari pesawat, sekarang kami sedang menuju keluar'." Bu Eneh, Keluarga dari WNI di Natuna. #VirusCorona Live streaming:</t>
  </si>
  <si>
    <t>Pemda Natuna Lepas WNI yang Selesai Diobservasi di Lanud Raden Sadjad</t>
  </si>
  <si>
    <t>RT @Metro_TV: #BreakingNewsMetroTV "Saya belum tahu datang dari pintu mananya, karena dari pihak penyelenggara tidak memberitahu, jadi kita langsung siap saja gitu." Bu Eneh, Keluarga dari WNI di Natuna. #VirusCorona Live streaming:</t>
  </si>
  <si>
    <t>RT @Metro_TV: #BreakingNewsMetroTV "Kita sebagai orangtua senang mengetahui anak-anak kita sehat, berarti virus yang digembar-gemborkan selama ini tidak menginfeksi mereka." Bu Eneh, Keluarga dari WNI di Natuna. #VirusCorona Live streaming:</t>
  </si>
  <si>
    <t>RT @Metro_TV: #BreakingNewsMetroTV Menkes Terawan Agus Putranto menegaskan dari 237 WNI yang sudah kembali dari Natuna dinyatakan sehat dan tidak ada hal yang harus dikhawatirkan masyarakat. #VirusCorona Live streaming:</t>
  </si>
  <si>
    <t>@Jean_Aprilia97 Gw cm mw bilang, smoga aja kelak salah satu keluarga bpk nasibnya sama spt 689 WNI eks ISIS Amin.. 🤲</t>
  </si>
  <si>
    <t>RT @Metro_TV: #BreakingNewsMetroTV 238 WNI yang diobservasi akan dikembalikan ke keluarga mereka di daerah masing-masing melalui pangkalan udara Halim Perdana Kusuma. Dipastikan seluruhnya dalam keadaan sehat. #VirusCorona Live streaming:</t>
  </si>
  <si>
    <t>RT @Metro_TV: #BreakingNewsMetroTV Menko PMK, Muhadjir Effendy mengatakan Pemda berkewajiban mengkomunikasikan ke masyarakat bahwa WNI yang diobservasi telah dinyatakan sehat &amp; tidak perlu khawatir untuk berinteraksi seperti biasa. #VirusCorona Live streaming:</t>
  </si>
  <si>
    <t>RT @Metro_TV: #BreakingNewsMetroTV Dari 238 WNI yang diobservasi terdiri dari 158 perempuan &amp; 80 laki-laki. Dengan usia termuda 5 tahun dan usia tertua 64 tahun. #VirusCorona Live streaming:</t>
  </si>
  <si>
    <t>Mereka yang demo2 mantan isis di pulangin, dan demo kaga terima kalo gereja mau di bangun di daerahnya itu pikirannya sama, sama2 nggak bisa mikir buat Indonesia</t>
  </si>
  <si>
    <t>@LubisMadina2 @eko_kuntadhi Adalagi ISIS gak Ada yg kena virus Corona.</t>
  </si>
  <si>
    <t>RT @lurino: WNI eks-ISIS itu misleading. Yang lebih tepat itu Anggota ISIS dari Indonesia, alias ex-WNI...</t>
  </si>
  <si>
    <t>@id_andyy13 @denmas_ajah @DivHumas_Polri @WagimanDeep @narkosun @WR_4AG226 @tempemendoanGL @Natalieanggi112 @AtikaFaya @kantayu @jr_kw19 @kangenband123 @DyasviantiRatna @sattariamar Itu hanya sebagai pengalihannya... Tapi targetnya tetap bhw NKRI adalah negara Komunis musuh Khilafah Itu doktrin ISIS</t>
  </si>
  <si>
    <t>RT @BadjaNuswantara: "Knp jaman Ahok, KPK rajin nyadap?🙄" "Mungkin ngarep bisa OTT AHOK. Kan prestasi, tuh.😔" "Kenapa jaman Anies, byk keanehan dr reklamasi, Monas, Aibon, dll KPK diem bae?🙄" "Mungkin, kalau nyadap ada yg khawatir Anies kena OTT. Kan heboh, tuh😔" "Hhhh😒" #4niesJawaraNgibul</t>
  </si>
  <si>
    <t>RT @AnakLolina: Kalau setiap aksi Intoleransi selalu berakhir dengan proses hukum seperti ini, maka Gereja di Karimun akan bernasib sama dengan ratusan gereja lainnya tanpa penyelesaian. Pak @mohmahfudmd @kemendagri knp kelakuan SAMPAH atas nama agama selalu di benarkan?</t>
  </si>
  <si>
    <t>RT @KakekHalal: @jokowi Bpk Presiden Perintahkan @PolhukamRI @mohmahfudmd &amp; Kapolri @DivHumas_Polri Tindak tegas Pelaku intoleransi Penolak Pembangunan Gereja Katolik Karimun, tapi yg terjadi malah Panitia Pembangunan Gereja yg diproses hukum oleh @polres__karimun Hukum &amp;amp; Keadilan di NKRI sdh mati 🥺😢</t>
  </si>
  <si>
    <t>@tempemendoanGL @sattariamar @DivHumas_Polri @WagimanDeep @narkosun @WR_4AG226 @Natalieanggi112 @AtikaFaya @kantayu @denmas_ajah @jr_kw19 @kangenband123 @DyasviantiRatna 3 Dapat diasumsikan bhw, gerakan mereka adalah gerakan rencana makar, sebab, sekarang mrk butuh basis untuk menghimpun kembali kekuatan ISIS yg sudah terusir dr Suriah. Indonesialah yg tepat akan dijadikan Basis ISIS.</t>
  </si>
  <si>
    <t>RT @KadrunHunter99: Sebagai Pemerintah sdh seharusnya lebih mengutamakan keselamatan 270 juta jiwa Rakyat Indonesia. Jgn krn segelintir manusia sesat &amp; pengkhianat ditampung dgn alasan Kemanusiaan, akhirnya Rakyat &amp;amp; Negara yg mjd korban. Cc: @mohmahfudmd #CegahISISmasukNKRI</t>
  </si>
  <si>
    <t>@WR_4AG226 Buang combatan isis</t>
  </si>
  <si>
    <t>RT @KadrunHunter99: ISIS is Unhuman..Perilaku ISIS mirip seperti Iblis..Penggal kepala &amp; membunuh org yg tak seiman dengannya..Mereka adalah Pelanggar HAM yg sebenarnya..@KomnasHAM @Imparsial atau siapapun itu seharusnya Malu membela mereka, tp apa mau dikata, otaknya sdh terbalik.. #AwasAntek2ISIS</t>
  </si>
  <si>
    <t>RT @pakehelem: buat ktp wni yuk mas</t>
  </si>
  <si>
    <t>buat ktp wni yuk mas</t>
  </si>
  <si>
    <t>Silakan disimak jurnal perjalanan jurnalis @skorindonesia yang merupakan bagian dr WNI yg dipulangkan dari Provinsi Hubei karena dampak Virus Corona. RT @skorindonesia: Pulang karena Corona : Evakuasi Sekaligus Nobar Debut Bruno Fernandes</t>
  </si>
  <si>
    <t>RT @salahsambungya: Anak cewek di ISIS juga bisa diberdayakan bok. Menurut pengakuan gurunya mereka semua dijanjikan mati sebagai martir dan pasti masuk surga. Anak cewek terkecil yang dijadikan fighter usianya 10 tahun. Deradikalisasi butuh waktu yang sangat lama dan intensif.</t>
  </si>
  <si>
    <t>@haikal_hassan Beh klu perkembangan mashab Ahlul bait/shyah,,, bgmn, apakah akan seperti ISIS, atau patut dikembangkan di sini,, gmn menurut babe...</t>
  </si>
  <si>
    <t>@detikcom Aduh pak.. jangan ngomong asal gitu dong.. nanti kalo mereka balik trs mereka merusak negara dengan paham isis bagaimana? Atau bapak aja yg tampung mereka di rmh bapak.. jadi kalo ada apa2 sama negara ini bapak yg jadi jaminannya.. gimana pak?</t>
  </si>
  <si>
    <t>RT @azumi_tsuyoshie: Debat Soal WNI Eks ISIS, Gayus Lumbuun Sebut NGABALIN BODOH... Saat Gayus menjelaskan argumentasinya itu, Ngabalin meresponnya dengan tertawa. "Kok tertawa, nggak perlu ketawa. Itu anda ketawanya BODOH udh BODOH,PENJILAT Lgi pak</t>
  </si>
  <si>
    <t>Udah gak ada jalan bagi Ex-WNI simpatisan ISIS ke Indonesia dan mereka dianggap stateless. Pilihan mereka cuma jadi refugee di suatu negara, hidup disana, kemudian ngajuin kewarganegaraan disana. Mungkin masih bisa jadi WNI dgn menikahi WNI, kalau nama mereka belum di blacklist.</t>
  </si>
  <si>
    <t>Dua WNI Asal Kepri yang Jalani Observasi di Natuna Dipulangkan ke Keluarga</t>
  </si>
  <si>
    <t>Hal yang pasti sebagai WNI - Mati - Pajak - BPJS</t>
  </si>
  <si>
    <t>@eddisimamora @jokbuss @wkodry5 @CindyBexter @Dennysiregar7 @PDI_Perjuangan @jokowi pak @jokowi presiden kebanggaanku.Beliau sgt cerdas. Terkenal diseluruh dunia krn kepemimpinan beliau.Smuanya dikibas abis, HTI, ISIS, apalg kaum kadrun jelmaan ISIS dan HTI. Hebat kan! Ngaku aja. Kaum kadrun menderita sampai thn 2024, dan insyaAllah diperpanjang ya. Aamiin.</t>
  </si>
  <si>
    <t>@ISIS_Balik_NO @yusuf_dumdum @DivHumas_Polri Pembiaran oleh pemimpin bangsa ini, yg cuma tegaz saat kampanye...</t>
  </si>
  <si>
    <t>@yusuf_dumdum @2Harjo @DivHumas_Polri Saya gak habis pikir, kenapa masih bisa berkeliaran......kutu busuk seharusnya dibasmi</t>
  </si>
  <si>
    <t>RT @yusuf_dumdum: Jika yang menyebut rezim ini nyata komunis, dan jika yang menyebut polisi ini komunis. Apakah masih akan terus dibiarkan bebas ? Cc @DivHumas_Polri Saya melihat ada dugaan AT ingin benturkan aparat kepolisian dengan TNI. #TangkapAlfianTanjung</t>
  </si>
  <si>
    <t>Ini lama-lama konyol. Suruh dia jawab dulu, 'negatif corona' di 78 WNI di Diamond Princess itu parameternya apa? Sudah dites dan hasilnya negatif, atau 'dianggap negatif' karena tidak menunjukkan gejala? Kalau dia bilang sudah dites, tanyakan kapan. Kru kapal bilang belum loh. RT @maxwalden_: Indonesia’s health minister says that the fact the country has not reported a single case of coronavirus COVID-19 is “all because of prayer”</t>
  </si>
  <si>
    <t>@EL_Atheos @Sarah_Pndj @jokowi Hehe kemarin gereja mau di ambrukin para kadrun, itu jokowi udah beresin kok, isis yang mau di pulangin pak jokowi nggak setuju kok, hehe kayanya harus banyak2 nonton sama baca berita deh</t>
  </si>
  <si>
    <t>@JimlyAs itulah alasan isis rekrut anak2, mudah didoktrin dan mudah diterima di negara yg bahkan gak diakuinya. Negara mending ngurusin anak2 yg ada dijalanan yg biasanya dimanfaatin "orang tuanya"</t>
  </si>
  <si>
    <t>RT @RinjaniJB: Bagi kami sbg umat Tuhan, tubuh dan jiwa kami adalah gereja. Keimanan kami teruji, bukan hanya karena gedung gereja. Bagi kami sbg WNI, NYATA bhw kami terus ditindas oleh segolongan orang tertentu, dan NEGARA tidak berkutik.  Jemaat gereja di Aceh Singkil.</t>
  </si>
  <si>
    <t>@rotimelon_ @jepriensitii Mari kita ikut isis saja biar personilnya tambah banyak</t>
  </si>
  <si>
    <t>Mengapa WNI kebal Covid19.. Genetik? Iklim?</t>
  </si>
  <si>
    <t>@SahlanAmin4 @tembangjiwa @saidaqil ISIS adalah oknum dalam Islam yg disesatkan oleh para pembeli agama..</t>
  </si>
  <si>
    <t>WNI Dikarantina Segera Pulang, Dinkes: Tidak Ada Stigma Negatif</t>
  </si>
  <si>
    <t>RT @Julia_Zeed: Siapapun yg pernh mendengar Ustad/Kelmpok Ormas Teriak Thogat ThOghut di Negara ini, Hati2 Mereka adalah komplotan JAD berbendera ISIS yg punya Tujuan Jahat trhdp Indonesia 👇</t>
  </si>
  <si>
    <t>@PutriFransisc20 @jokowi Yg baik dong minta itu, ga perlu ada narasi "stadion mulu yg diurusin". Seluruh rakyat Indonesia termasuk yg fitnah dan nyinyir pun tetap mjadi kewajiban seorang presiden utk diperhatikan kesejahteraannya, apalagi anak bangsa dlm hal pendidikan. Semua punya hak yg sama slama WNI.</t>
  </si>
  <si>
    <t>RT @sirajapadoha: @cagubnyinyir2 @novapermana8 @JohnIrwan4 @Bnie18 Salah besar kalo negara memulangkan eks WNI ISIS itu,,, sama aja memelihara bibit teroris dinegeri ini</t>
  </si>
  <si>
    <t>@ngalamfess ambek raine isis kenek angin AC</t>
  </si>
  <si>
    <t>RT @putri_lior4: Jenderal Qassem Soleimani adalah orang yang paling berperan atas kekalahan ISIS. Penyensoran atas semua unggahan tentang Soleimani memunculkan pertanyaan penting kepada miliarder Zionis dan agen “CIA Mockingbird” [operasi propaganda media CIA]</t>
  </si>
  <si>
    <t>238 WNI di Natuna yang Dikarantina Dinyatakan Sehat dan Dipulangkan, Menkes Terawan: Aman Lakukan Ini</t>
  </si>
  <si>
    <t>RT @Dhealestri: 237 WNI dari Natuna bebas virus Corona #4niesJawaraNgibul</t>
  </si>
  <si>
    <t>RT @pinginsakti: Pernyataan yg ambigu.... Disatu sisi dia bilang eks WNI sdh bahagia hidupnya di sana dan tdk ingin pulang ke Indonesia... Tapi dia sendiri pulang Indonesia... Apa dia sendiri gak bahagia ya... Mohon pencerahannya... #TolakISISEksWNI</t>
  </si>
  <si>
    <t>Jenderal Qassem Soleimani adalah orang yang paling berperan atas kekalahan ISIS. Penyensoran atas semua unggahan tentang Soleimani memunculkan pertanyaan penting kepada miliarder Zionis dan agen “CIA Mockingbird” [operasi propaganda media CIA]</t>
  </si>
  <si>
    <t>@Jongos_eSJe @NuKultural @GusNadjib @SuksmaM @kutakpunyahati @Lieinghua2 @mas_arie89 @and1deRis Eks presiden ISIS Indonesia pun berkata, bahwa mereka tidak pernah sekali pun bilang ingin kembali ke Indonesia.</t>
  </si>
  <si>
    <t>@Metro_TV Indonesia itu begini, hidup dalam toleransi dan integrasi bersama. Bukannya sok eksis bawa nama pelindung agama trus jd teroris spt ISIS. krn sejatinya semua agama mengajarkan cinta kasih dan kedamaian.</t>
  </si>
  <si>
    <t>@Jongos_eSJe @NuKultural @GusNadjib @SuksmaM @kutakpunyahati @Lieinghua2 @mas_arie89 @and1deRis Jadi tolong ditanyakan kpd ortunya ya @NuKultural . Btw pemerintah sdh memberi perhatian thd yatim piatu eks WNI anggota ISIS. (Silakan baca pernyataan pemerintah)</t>
  </si>
  <si>
    <t>RT @matteo_ardhitio: Dulu saat anak bangsa mau berprestasi lewat jalur bulutangkis, malah dihalangi KPAI. Eh skrg yg jelas anak kombatan ISIS ex WNI, KPAI minta utk mereka dilindungi. Shame on you, KPAI! Dulu: Sekarang:</t>
  </si>
  <si>
    <t>@elucuu Selain ex ISIS, keluarga ini juga gabole pulang lagi ke Indo !!!!!!</t>
  </si>
  <si>
    <t>Ketua DPN Repdem Sebut Bom Waktu Jika Indonesia Pulangkan Eks ISIS #WNIeksISIS</t>
  </si>
  <si>
    <t>WNI Observasi Virus Corona di Natuna Tiba di Tegal</t>
  </si>
  <si>
    <t>Ketua DPN Repdem Sebut Bom Waktu Jika Indonesia Pulangkan Eks ISIS  #WNIeksISIS</t>
  </si>
  <si>
    <t>Dear Pak @jokowi , saya sbg WNI dan pemilih Bpk saat pilpres. Mungkin sense of humor saya kurang bagus ya. Tapi kenapa ya, pak. Semakin banyak hal-hal yg tidak lucu terjadi di negeri ini? Please, Pak. Jangan kecewakan saya/kami WNI apalagi yg memilih Bpk. Terima kasih, Pak.</t>
  </si>
  <si>
    <t>@SirotalMustaqi1 @TofaTofa_id Ga ngaruh sm skl cok 🤣🤣🤣 Yg korupsi bkn presiden, isis itu Sdh lama dan terbongkar jaman skrg karena mentri BUMN nya Erick thohir Cok gada ngaruh sm skl cok 🤣🤣🤣</t>
  </si>
  <si>
    <t>Ketua DPN Repdem: Bukan Urusan Indonesia soal Anggota ISIS Eks WNI  #WNIeksISIS</t>
  </si>
  <si>
    <t>@daybpp @tembangjiwa @saidaqil Bagus Jangan kait kan isis dengan umat islam lagi Kalau hatei saya tidak mengerti apa itu</t>
  </si>
  <si>
    <t>@cagubnyinyir2 @novapermana8 @JohnIrwan4 @Bnie18 Salah besar kalo negara memulangkan eks WNI ISIS itu,,, sama aja memelihara bibit teroris dinegeri ini</t>
  </si>
  <si>
    <t>@Seksama1 @4Y4NKZ @jokowi Fakta nya pelaku pengeboman gereja yg terinfikasi isis pake baju seksi atau pake baju yg agamis ? Yg bunuh diri bersama anak2 nya. Bsa bantah ?</t>
  </si>
  <si>
    <t>Observasi WNI Selesai, Istana : Terima Kasih Warga Natuna</t>
  </si>
  <si>
    <t>@JimlyAs Kira-kira, klo mereka menang tetap minta pulang atau memperluas wilayah kekejian mereka termasuk Indonesia? Mereka ini kan minta plg karena kalah dan di sana menderita aja. Yakin blm terpapar radikalisme &amp; kekejian ISIS yang mereka lihat sehari-hari, bertahun-tahun di Suriah?</t>
  </si>
  <si>
    <t>@curcolsuju @ryndakarunia bisa jadi wni aja ga sih</t>
  </si>
  <si>
    <t>Zarif, Barzani concerned about ISIL revival in region TEHRAN (Iran News) – Iranian Foreign Minister Javad Zarif and Iraqi Kurdistan Prime Minister Masr #barzani #ISIL #ISIS #MunichSecurityConference2020 #Zarif</t>
  </si>
  <si>
    <t>@tempodotco Ham.ham ham yg mau bawa balik isis manaa wkwkwkwmwk</t>
  </si>
  <si>
    <t>@Negev52031680 @_Amatullah18 @qs_kahfi @KurniasihSafira ISIS setau saya gak pernah damai. Seharusnya contoh Taliban. Taliban bisa diajak berunding. Dan mereka tidak mempromosikan fitnah dengan eksekusi tanpa alasan yang jelas.</t>
  </si>
  <si>
    <t>@detikcom Itu embahnya isis ko masih hidup yah</t>
  </si>
  <si>
    <t>@AnakLolina Disatu sisi saya kurang suka dgn video2 seperti ini, tapi saya juga setuju suapay semua orang lihat apa saja yg sanggup dilakukan ISIS.</t>
  </si>
  <si>
    <t>RT @PojokNU: Sejarah ISIS: Ideologi dan Mazhab Harakahnya (Bagian II)</t>
  </si>
  <si>
    <t>@AhlulQohwah Ex isis yg masuk indonesia cocok lgsg tembak mati 🙂</t>
  </si>
  <si>
    <t>WNI Wuhan Dipulangkan, Keluarga Sambut Dengan Kehangatan</t>
  </si>
  <si>
    <t>@DadangRusian @jokowi @fadjroeL @fadlizon @mohmahfudmd Isis bukan islam, ia adalah alat propaganda amerika untuk menghantam ummat islam agar anti dan takut dengan khilafah islamiyyah. Muslim yang bergabung isis tertipu.</t>
  </si>
  <si>
    <t>Setelah melaksanakan observasi selama 14 hari di Natuna, kemarin tepat pukul 12.00 WIB, masa observasi 238 WNI dari Wuhan dinyatakan telah selesai. #WaspadaCOVID19</t>
  </si>
  <si>
    <t>@ciprutciprut6 @ustadtengkuzul Klo menurut saya,kamu besar kemungkinan simpatisan isis atau ormas2 radikal yg lain.karena gerombolan itulah yg selalu mengatasnamakan/mewakilkan agama islam secara sepihak.gak terbayang seandainya negara ini tidak punya ormas keagamaan seperti nu,sudah lama tinggal nama</t>
  </si>
  <si>
    <t>RT @santriberkat: @totokjulianto @nustya88 @DadangRusian @jokowi @fadjroeL @fadlizon @mohmahfudmd Sudah berapa banyak saudara muslim kita yg telah diledakkan kepalanya oleh peluru ISIS? Biarkan mereka bahagia dan bangga atas pilihannya menjadi anggota ISIS.</t>
  </si>
  <si>
    <t>#NoMercy4ISIS. generasi penerus ISIS itu tetap ada dan hidup</t>
  </si>
  <si>
    <t>@totokjulianto @DadangRusian @jokowi @fadjroeL @mohmahfudmd anak PKI gak pernah MURTAD dari NKRI. gerombolan yang sudah bakar paspor RI dan berbaiat ke teroris ISIS jelas itu MURTAD dari NKRI KELIATAN banget tolol-nya @totokjulianto</t>
  </si>
  <si>
    <t>RT @yoojungmu: Eks presiden ISIS Indonesia: kalua ditolak pulang. WNI Eks ISIS saya tampung. Tangkap nih orangnya! #TangkapPresidenISIS</t>
  </si>
  <si>
    <t>#NoMercy4ISIS. mereka bisa lebih mengancam dari ISIS</t>
  </si>
  <si>
    <t>RT @RidwanRoti: #TangkapPresidenISIS. Densus 88 Antiteror harus segera bertindak karena Ybs bicara seenaknya Chep Hernawan adalah bagian dari ISIS #TangkapPresidenISIS</t>
  </si>
  <si>
    <t>Mereka ini bisa lebih mengancam dari ISIS #NoMercy4ISIS</t>
  </si>
  <si>
    <t>VIDEO - WHO Puji Indonesia dalam Penanganan Observasi 238 WNI Asal Wuhan di Natuna .</t>
  </si>
  <si>
    <t>Pernyataan yg ambigu.... Disatu sisi dia bilang eks WNI sdh bahagia hidupnya di sana dan tdk ingin pulang ke Indonesia... Tapi dia sendiri pulang Indonesia... Apa dia sendiri gak bahagia ya... Mohon pencerahannya... #TolakISISEksWNI RT @detikcom: Eks Presiden Islamic State of Iraq and Suriah (ISIS) Regional Indonesia Chep Hermawan membuat berbagai pernyataan terkait polemik pemulangan Warga Negara Indonesia (WNI) eks ISIS. Begini pernyataannya!</t>
  </si>
  <si>
    <t>RT @Jokowi_FClub: [biar jelas SIMAK VIDEOnya] Melalui Protokol Kesehatan Dari WHO Di Natuna, Presiden @jokowi Minta Masyarakat Menerima WNI Dari Wuhan @KemenkesRI #BersamaIndonesiaMaju #SDMUnggulIndonesiaMaju</t>
  </si>
  <si>
    <t>237 WNI dari Natuna bebas virus Corona #4niesJawaraNgibul</t>
  </si>
  <si>
    <t>#TangkapPresidenISIS. Densus 88 Antiteror harus segera bertindak karena Ybs bicara seenaknya Chep Hernawan adalah bagian dari ISIS #TangkapPresidenISIS</t>
  </si>
  <si>
    <t>Bedakan antara wni eks isis dan isis eks wni. #TangkapPresidenISIS</t>
  </si>
  <si>
    <t>MENKES TERAWAN MINTA MASYARAKAT HILANGKAN PIKIRAN NEGATIF PADA WNI EKS-KARANTINA #TauCepatTanpaBatas</t>
  </si>
  <si>
    <t>Apakah anda bertanggungjawab bagi penciptaan lapangan kerja bagi WNI karena berhentinya investasi baru domestik dan Foreign Direct Investment?</t>
  </si>
  <si>
    <t>@endoe21 @baby_alien28 Naaatu dyaa om..nda gampang looch kek gt..plgi yng dilawan teroris isis internesyenel bnyk antek"nya di indo Bs nyawa sm klwrg jdi taruan yes?! 😣😣</t>
  </si>
  <si>
    <t>@metajuniatik @alindatania kyknya aku bukan WNI yg patuh pada pemerintah :(</t>
  </si>
  <si>
    <t>@Julia_Zeed KPAI @KPAI_official kemana nih??jgn ngurusin anak2 isis yg jauh deh,nih dlm negeri yg deket nih.</t>
  </si>
  <si>
    <t>@txehyunx di bom ak bkn isis</t>
  </si>
  <si>
    <t>@DadangRusian @jokowi @fadjroeL @fadlizon @mohmahfudmd Mantap ISIS sedang memanfaatkan tangisan anak anak Sepintas siapin akan berpikir kasihan Tetapi jika kita lihat kekejaman ISIS yg begitu kejam dan tidak berprikemanusiaan...</t>
  </si>
  <si>
    <t>RT @Airin_NZ: Tntu kita masi ingat Bom Bunuh diri disurabaya Pelakunya siapa? 1 keluarga, Ayah, Ibu beserta 4 anknya yg msi dbawah Umur Lalu skrng mrk teriak ank2 ISIS dpulangkn? Mrk bkn ank kecil biasa. Mrk sudah mnjelma mnjdi monster yg mematikn demi surga yg djanjikn #TolakAnakISISKembali</t>
  </si>
  <si>
    <t>Tolak WNI Eks ISIS</t>
  </si>
  <si>
    <t>@cagubnyinyir2 @novapermana8 @Bnie18 @sirajapadoha Penyakitnya dah akut...sembuh, kumat lagi. Enyahkan aja eks WNI ISIS</t>
  </si>
  <si>
    <t>Eks presiden ISIS Indonesia: kalua ditolak pulang. WNI Eks ISIS saya tampung. Tangkap nih orangnya! #TangkapPresidenISIS</t>
  </si>
  <si>
    <t>Apparat harus tangkap Eks Presiden ISIS Indonesia #TangkapPresidenISIS</t>
  </si>
  <si>
    <t>Baguslah kalo mmg para kombatan isis itu sdh hidup enak di sana dan tak akan pulang ke Indonesia #TangkapPresidenISIS</t>
  </si>
  <si>
    <t>@dedesrafli Berarti masalahnya bukan pada beragama atau tidak, tapi pada ketaatan akan pancasila. Sama bahayanya dengan HTI, ISIS, dan terorisme lainnya.</t>
  </si>
  <si>
    <t>RT @karmatiranda: @DadangRusian @jokowi @fadjroeL @fadlizon @mohmahfudmd Ada sempat beredar foto seperti dia waktu msh memegang senjata. Sy sering membayangkan jika ISIS menang perang, apakah mereka akan minta pulang?</t>
  </si>
  <si>
    <t>Eks Presiden ISIS Indonesia harus segera ditangkap! #TangkapPresidenISIS</t>
  </si>
  <si>
    <t>Penolakan WNI Eks ISIS dan Ujung Jalan Program Deradikalisasi  @CNNIndonesia</t>
  </si>
  <si>
    <t>@DadangRusian @JimlyAs @jokowi @fadjroeL @fadlizon @mohmahfudmd Menurut saya tidak apa2 mereka "pulang", tp harus ada syarat2 dan kewajiban yg dipenuhi. Begitu juga berlaku untuk eksil2 masa lalu. Tapi yg saya juga ingin tanyakan, apa kalau ISIS menang mereka akan minta pulang?</t>
  </si>
  <si>
    <t>Mahfud MD: Eks WNI ISIS Itu untuk sembuh agak susah ya kalau sudah bergabung ke ISIS, karena ISIS itu soal ideologi, dia anggap negara yang sah itu adalah khilafah. Kalau dia pulang Pasti Kumat ngeBom lagi.  @novapermana8 @JohnIrwan4 @Bnie18 @sirajapadoha</t>
  </si>
  <si>
    <t>@dedesrafli Menurut anda komunis disebut beragama adalah sesuatu yang membahayakan, karena bs membunuh di dalam masjid. Dari sini saja logika anda sudah salah. Terus saya kasih contoh, kalau di tempat ibadah yang lain tidak bahaya (read:ISIS/terorisme)?</t>
  </si>
  <si>
    <t>RT @Asipashop1: @ruhutsitompul Pak @PresidenRI @jokowi , jangan pulangkan Eks ISIS ke Tanah Air....akan menjadi KUDATROYA bangsa ini. Tindak tegas ormas yang menghalangi Rehab Gereja St.Joseph di Karimun yg sdh keluar ijinnya.</t>
  </si>
  <si>
    <t>@_Amatullah18 @qs_kahfi @Negev52031680 @KurniasihSafira Lalu vidio anggota ISIS mengeksekusi orang yang menyerah itu kenapa ya? Musuh menyerah kok dieksekusi?</t>
  </si>
  <si>
    <t>@detikcom Mbah.....kta siapa dsna mereka hidup enak??? Si Mbah blm pernah ksna lagi sihh.... skg ISIS sdh kalah dan tergusur mbah, pada lari dan bnyk ditangkapi</t>
  </si>
  <si>
    <t>@AlvaroDeBazan2 @DadangRusian @jokowi @fadjroeL @fadlizon @mohmahfudmd  Bahkan dia menduga isu pemulangan tersebut dibuat untuk pengalihan isu. “Awalnya siapa yang mengisukan mereka ingin pulang, dan siapa yang meramaikan. Bisa kita nilai sendiri,” ucap Chep menegaskan.</t>
  </si>
  <si>
    <t>WNI dr Wuhan mau dibawa pulang ke indonesia tapi mau dikarantina dulu selama 14 hari di karimun. Warga: demo. Ada yg buang limbah radioaktif di tengah permukiman warga di bekasi. Proses ±20 hari. Warga: sans..tetep buka kios, mungkin ada juga buka parkiran buat pengunjung.</t>
  </si>
  <si>
    <t>@martabaya @FerdinandHaean2 @detikcom Isis adalah negara irak suriah, saya juga mengakui</t>
  </si>
  <si>
    <t>@DadangRusian @jokowi @fadjroeL @fadlizon @mohmahfudmd Semoga mereka mampu juga menyadarkan yg lain. Kita serahkan misi menyadarkan ISIS kepada mereka di sana sebelum diizinkan pulang.</t>
  </si>
  <si>
    <t>@jansen_jsp @SBYudhoyono Membanggakan sy sbg WNI...bisa berbicara dikancah International...</t>
  </si>
  <si>
    <t>@DadangRusian @jokowi @fadjroeL @fadlizon @mohmahfudmd ISIS kalah mereka minta pulang,,sebaliknya kalau ISIS menang apa yg terjadi. Biarkan sj mereka mati disana.</t>
  </si>
  <si>
    <t>RT @pranatahumas: #RekanHumas...Alhamdulilah akhir masa karantina 243 WNI yang diobservasi selama 14 hari di Kepulauan Natuna , semua dalam kondisi sehat dan terbebas dari virus Corona, semua berkat kerja keras dari pemerintah Indonesia yang sigap dan tanggap</t>
  </si>
  <si>
    <t>RT @KemenkesRI: Menkes bersama Menko PMK, Kepala BNPB, perwakilan KSP, perwakilan Kominfo dan perwakilan WHO di Indonesia telah tiba di Lanud Raden Sadjad untuk menjemput para WNI Wuhan yang sudah menyelesaikan masa observasi selama 14 hari di Natuna (15/2). #WaspadaCOVID19</t>
  </si>
  <si>
    <t>@Fnoer5 @DadangRusian @jokowi @fadjroeL @fadlizon @mohmahfudmd  🙂 Kirim bantuan kemanusiaan, biarkan mereka diadili oleh otoritas yang menahan mereka 🙏 #Indonesia 🇮🇩</t>
  </si>
  <si>
    <t>RT @PRFMnews: Kemenkes juga telah mengeluarkan Surat Keterangan tidak Terjangkit Virus Corona kepada pemerintah daerah. Itu dilakukan langsung setelah para WNI selesai menjalani masa observasi 14 hari sesuai dengan yang telah ditetapkan WHO.</t>
  </si>
  <si>
    <t>RT @EAGLE_0775: semua element menolakkeras kepulangan kombatan isis ,,,nah yang ngotot itu jelas mereka YYANG MAU merubah sistemnegara ccuy,, #IndonesiaSatu</t>
  </si>
  <si>
    <t>@maulanaarifqiii @DadangRusian @jokowi @fadjroeL @fadlizon @mohmahfudmd  🙂 Kirim bantuan kemanusiaan, biarkan mereka diadili oleh otoritas yang menahan mereka 🙏 #Indonesia 🇮🇩</t>
  </si>
  <si>
    <t>Akhirnya Dipulangkan, WNI yang Dikarantina di Natuna Dinyatakan Bebas Virus Corona. Syukurlah~</t>
  </si>
  <si>
    <t>Syukur Alhamdulillah Indonesia blm terpapar Virus Corona. Suhu rata2 wilayah pantai &amp; dataran rendah di Indonesia lbh dr 23 derajat Celsius bunuh Virus Corona. Udara pantai berkadar garam tinggi redam Virus. WNI banyak konsumsi rempah2 Kunyit-Jahe-Sereh-Kencur-Temulawak utk Imun.</t>
  </si>
  <si>
    <t>Penolakan WNI Eks ISIS dan Ujung Jalan Program Deradikalisasi  #deradikalisasi #wni #eks #isis</t>
  </si>
  <si>
    <t>@Tano_Maske @DadangRusian @jokowi @fadjroeL @fadlizon @mohmahfudmd  🙂 Kirim bantuan kemanusiaan, biarkan mereka diadili oleh otoritas yang menahan mereka 🙏 #Indonesia 🇮🇩</t>
  </si>
  <si>
    <t>Mabes Polri : WNI Eks ISIS Bukan Lagi WNI, Pulang Ke Indonesia Akan Ditindak Tegas #KlikRMOL</t>
  </si>
  <si>
    <t>@didihusadi @DadangRusian @jokowi @fadjroeL @fadlizon @mohmahfudmd  🙂 Kirim bantuan kemanusiaan, biarkan mereka diadili oleh otoritas yang menahan mereka 🙏 #Indonesia 🇮🇩</t>
  </si>
  <si>
    <t>@Benzichydi positif thinking mungkin gabung isis</t>
  </si>
  <si>
    <t>@totokjulianto @DadangRusian @jokowi @fadjroeL @fadlizon @mohmahfudmd  🙂 Kirim bantuan kemanusiaan, biarkan mereka diadili oleh otoritas yang menahan mereka 🙏 #Indonesia 🇮🇩</t>
  </si>
  <si>
    <t>@NowowoNowiwi @AlissaWahid Lu simpatisan ISIS kan, gak salah ngomong lu @NowowoNowiwi</t>
  </si>
  <si>
    <t>@Jean_Aprilia97 Itu teori siapa kemanusiaan jgn dikaitkan dg agama? Coba @AZainurrochim jelaskan. Moral &amp; akhlak bkn baik dr kemanusiaan? Siapa yg ajarkan manusia moral, akhlak utk berperikemanusiaan? Oyaa jwb dulu tuh, ttg pasal bakar passpor bkn WNI, coba sbg org pinter terangkan.</t>
  </si>
  <si>
    <t>@Syaripu46047127 @DadangRusian @jokowi @fadjroeL @fadlizon @mohmahfudmd  🙂 Kirim bantuan kemanusiaan, biarkan mereka diadili oleh otoritas yang menahan mereka 🙏 #Indonesia 🇮🇩</t>
  </si>
  <si>
    <t>@JimlyAs Jangan mengorbankan masyarakat luas demi orang eks WNI yg sudah mendeklarasikan diri bukan WNI lagi..</t>
  </si>
  <si>
    <t>@do_ra_dong WNA Dan TKA China tanpa karantina, lha yg menjadi pemilik negara itu WNI Asli atu TKA China</t>
  </si>
  <si>
    <t>@Fadly32091740 @DadangRusian @jokowi @fadjroeL @fadlizon @mohmahfudmd  🙂 Kirim bantuan kemanusiaan, biarkan mereka diadili oleh otoritas yang menahan mereka 🙏 #Indonesia 🇮🇩</t>
  </si>
  <si>
    <t>@ishak_tini @DadangRusian @jokowi @fadjroeL @fadlizon @mohmahfudmd  🙂 Kirim bantuan kemanusiaan, biarkan mereka diadili oleh otoritas yang menahan mereka 🙏 #Indonesia 🇮🇩</t>
  </si>
  <si>
    <t>@DeFhito @DadangRusian @jokowi @fadjroeL @fadlizon @mohmahfudmd  🙂 Kirim bantuan kemanusiaan, biarkan mereka diadili oleh otoritas yang menahan mereka 🙏 #Indonesia 🇮🇩</t>
  </si>
  <si>
    <t>RT @AZainurrochim: @Jean_Aprilia97 Ketiga negara yg kamu ungkap spt cina, myanmar, palestina sangat berbeda dg kasus ISIS yg dri WNI... Jgn kamu generalisir masalah dan jgn kau tabrakkan hal tsb Kamu musti belajar lagi utk memahami konteksnya, biar tdk kelihatan bodohnya</t>
  </si>
  <si>
    <t>@nwramle @wni_sni Student tu aku laa 😭😭 sian aku kena paksa ambik syiling 50 sen dalam mangkuk tandas</t>
  </si>
  <si>
    <t>Pilot Pesawat Pengangkut WNI dari Wuhan Terkejut Harus Ikut Karantina di Natuna</t>
  </si>
  <si>
    <t>Mempropaganda negatif : ISIS eks WNI tidak boleh pulang ke Indonesia dan aparat keamanan akan siap mengadili mereka jika ada yang kembali ke Indonesia termasuk pihak yang turut membantu ISIS eks WNI. #TangkapPresidenISIS</t>
  </si>
  <si>
    <t>RT @fajaralam9: @harihariono1 @jokowi NII, ISIS, Ormas Radikal, kadrun, dkk, mulai ketawa-ketiwi</t>
  </si>
  <si>
    <t>Kelakuan2 manusia alay kayak gini nih yg bikin kita WNI jadi susah dapet VISA mau ke luar negeri! Sampah 🥵 RT @elucuu: Maaf bgt harus bilang ini, tapi.... Semoga gaada yg ngeh kalo mereka dari indo:')</t>
  </si>
  <si>
    <t>RT @DeniFaisal20: #njeleded Rejim ini kompromis pd rakyatnya yg TERSESAT KOMUNIS PKI (diberi ruang) &amp; anak keturunannya msih BANGGA sbg Anak PKI Rejim ini MEMUSUHI rkytnya yg tersesat ISIS padahal mau bertobat • PKI ITU MASIH DI CATAT BAHAYA LATEN, musuh PANCASILA !</t>
  </si>
  <si>
    <t>RT @Menirenn: Ustadz Chep Hernawan: Tidak Benar WNI Eks ISIS Ingin Pulang, Awas Pengalihan Isu</t>
  </si>
  <si>
    <t>Anak-Anak Simpatisan ISIS Bisa Lebih Ganas dan Biadab Dari Orang Tua Mereka. #NoMercy4ISIS</t>
  </si>
  <si>
    <t>Suka Cita WNI dari Natuna Pulang ke Kampung Halaman</t>
  </si>
  <si>
    <t>Tanah Air Indonesia Bukan Lagi Tanah Air ISIS. #NoMercy4ISIS</t>
  </si>
  <si>
    <t>Relawan Perjuangan Demokrasi Tolak Seluruh WNI Eks ISIS. #NoMercy4ISIS</t>
  </si>
  <si>
    <t>Waduh apalgi nih Jemput wni aja lemot #corona #congorna #samabahayanya RT @KompasTV: WHO Akui Aksi Indonesia Lawan Penyebaran Virus Corona Bikin Takjub</t>
  </si>
  <si>
    <t>@harihariono1 @jokowi NII, ISIS, Ormas Radikal, kadrun, dkk, mulai ketawa-ketiwi</t>
  </si>
  <si>
    <t>Mendagri Apresiasi Kekompakan Pemda Layanani WNI di Natuna -</t>
  </si>
  <si>
    <t>Wacana Pemulangan Anak ISIS Ancaman Kebangsaan. #NoMercy4ISIS</t>
  </si>
  <si>
    <t>@sabunman_di @telordadar atache embassy asing manapun ga bs dijabat wni mas wkwk</t>
  </si>
  <si>
    <t>WHO Puji Evakuasi WNI Dari Tiongkok Cara Cerdas Pemerintah RI Cegah Virus Corona. #BebasVirusCovid19</t>
  </si>
  <si>
    <t>RT @fadjroeL: Penolakan ISIS Eks WNI, Pembelajaran dari Presiden RI  lewat @pedoman_id</t>
  </si>
  <si>
    <t>WHO Puji Evakuasi dan Observasi WNI dari Tiongkok. #BebasVirusCovid19</t>
  </si>
  <si>
    <t>@Luma_isis Kelaaa</t>
  </si>
  <si>
    <t>Evakuasi WNI dari Cina Cara Cerdas dan Tangkas Pemerintah. #BebasVirusCovid19</t>
  </si>
  <si>
    <t>Ustadz Chep Hernawan: Tidak Benar WNI Eks ISIS Ingin Pulang, Awas Pengalihan Isu</t>
  </si>
  <si>
    <t>Penanganan Evakuasi WNI dari Tiongkok Berkelas Dunia. #BebasVirusCovid19</t>
  </si>
  <si>
    <t>Khofifah mengapresiasi pengambilan keputusan pemerintah untuk evakuasi WNI kembali ke tanah air dilakukan sangat cepat. Koordinasi antara seluruh elemen strategis di pemerintah pusat hingga diputuskan dilakukan observasi di Natuna juga berlangsung dg cepat dan sangat baik.</t>
  </si>
  <si>
    <t>RT @PasundaNews2: Mantap Hutang Jokowi Dan BUMN 2020 Sudah Tembus 10600 Triliun 👍 Tapi Isi Berita @tvOneNews @KompasTV dll Masih Sekitar Isis dan Raja Raja Bodong 👏 @RamliRizal @msaid_didu @sudjiwotedjo @karniilyas</t>
  </si>
  <si>
    <t>@DadangRusian @jokowi @fadjroeL @fadlizon @mohmahfudmd Ente anggota isis mau memasukkan agen ente agar bisa mengobok obok bangsa inj,hayo ngaku om</t>
  </si>
  <si>
    <t>RT @Airin_NZ: Yang sepakat dengan Presiden @jokowi menolak kepulangan ex WNI pro ISIS.. Ayooo RT.. #AwasAntek2ISIS</t>
  </si>
  <si>
    <t>RT @Donihendarto: ISIS itu bukan negara, tapi organisasi, jadi nanti kalau ada WNI yg bertobat dan pulang ke Indonesia, maka warga negara tak hilang. Itu yg dilakukan Rusia dan negara lain yg mau menerima mantan ISIS berkewarganegaraan masing2</t>
  </si>
  <si>
    <t>RT @Hanifah933: Foto Erdogan, Presiden Kaum Sebelah menghiasi Jalanan di Benghazi, Libya ... Bapakny ISIS 😂😂😂 #FightingTerrorism © 📸 Brother Constantin Greco 🙏</t>
  </si>
  <si>
    <t>@Ari3Pras @komodoers @timursuprabana @jokowi Terus yang mengakui ISIS itu negara, negara mana saja? Mau OPM kita anggap sebagai negara juga?</t>
  </si>
  <si>
    <t>Gubernur Khofifah Indar Parawansa menyambut kedatangan puluhan Warga Negara Indonesia (WNI) dari Wuhan, China, asal Provinsi Jawa Timur, di Bandara Juanda Sidoarjo, Jawa Timur, pada Sabtu malam, 15 Februari.</t>
  </si>
  <si>
    <t>Badan Nasional Penanggulangan Bencana mengapresiasi awak media dan pihak yang terkait lainnya, yang telah membantu menyukseskan kegiatan observasi WNI dari Wuhan di Kabupaten Natuna, Kepulauan Riau."Kami memberikan ... #Papua</t>
  </si>
  <si>
    <t>RT @negativisme: penanganan Virus Corona di korea utara gini amat ya? kira-kira penanganan kombatan ISIS kalo ada yg dari Korut gimana, Lord @KimJongUnNuking ?</t>
  </si>
  <si>
    <t>Sambutan untuk 18 Awak Batik Air yang Selesaikan Misi Jemput WNI dari Wuhan</t>
  </si>
  <si>
    <t>@vierda Pekerja Migran Indonesia di Hong Kong hingga saat ini kurang lebih ada 340rb. Blm WNI yg kerja di sektor bisnis. Iseng2 nyari bantuan masker. Tak ada yg respon 😅</t>
  </si>
  <si>
    <t>Biadab ! Presiden ISIS Indonesia Ingin Tampung Teroris Kelas Dunia. #TangkapPresidenISIS</t>
  </si>
  <si>
    <t>Presiden ISIS Indonesia Bukan Presiden Indonesia. #TangkapPresidenISIS</t>
  </si>
  <si>
    <t>Kontak Jaringan Teroris ISIS, Presiden ISIS Harus Diperiksa. #TangkapPresidenISIS</t>
  </si>
  <si>
    <t>ISIS Eks WNI, Jokowi : Mereka tak lagi jadi tanggung jawab negara 👍 #IndonesiaMaju #TolakAnakISISKembali</t>
  </si>
  <si>
    <t>ISIS WNI Eks Ditolak, Tangkap Presiden ISIS. #TangkapPresidenISIS</t>
  </si>
  <si>
    <t>@bepejeel Komunis ISIS pengkonsumsi pipis onta ya?</t>
  </si>
  <si>
    <t>@dikalamin "kuliah dimana mas ?" "Di uin bu" "Ih yg banyak isis itu ya?" "Hmmmm"</t>
  </si>
  <si>
    <t>Repdem Tolak Seluruh Simpatisan ISIS Kembali Ke Tanah Air. #NoMercy4ISIS</t>
  </si>
  <si>
    <t>Ia mengingatkan, HAM atas nama kemanusiaan yang tidak pada tempatnya itulah yang membuat generasi penerus ISIS itu tetap ada dan hidup. #NoMercy4ISIS</t>
  </si>
  <si>
    <t>Walaupun telah menolak para kombatan ISIS asal Indonesia namun rencana pemerintah untuk memulangkan anak-anak simpatisan ISIS asal Indonesia yang saat ini ada di kamp pengungsian di Timur Tengah, adalah ‘bom waktu’. #NoMercy4ISIS</t>
  </si>
  <si>
    <t>Penempatan Isu HAM atas Anggota ISIS Tidak Pada Tempatnya. #NoMercy4ISIS</t>
  </si>
  <si>
    <t>@rizki_rezap Dan isis beragama kalau yg merobek kan pahamnya beda.... Wkwkwkwkkw</t>
  </si>
  <si>
    <t>@ustadtengkuzul Kawin Kontrak termaksud Zina apa Halal zul ? Kawin Kontrak sudah membudaya di daerah Puncak sebelum disertasi itu diloloskan. Apakah Sekjen MUI lantang membahas Kawin Kontrak itu HALAL atau HARAM ? PANCASILA sedang dibenturkan dgn KHILAFAH WASPADA EKS WNI KOMBATAN ISIS</t>
  </si>
  <si>
    <t>Tidak konsistennya pernyataan pemerintah seperti ini justru malah akan menimbulkan kekhawatiran dari banyak masyarakat Indonesia.</t>
  </si>
  <si>
    <t>RT @conan_idn: Bagaimana dengan Imam Mahdi kelak Pak Kiayi @Kiyai_MarufAmin ? Kalau HTI atau ISIS bisa jadi karena cara manusia yg tdk pas utk diterima Ummat Manusia. Kalau Imam Mahdi, kelak juga akan menegakkan Khilafah lho.</t>
  </si>
  <si>
    <t>@republikaonline kepulangan para WNI Wuhan, bagusnya jemput sm Elo langsung Mil, preet dah #RezimJKWBiangKorupsi #RezimJKWBiangKorupsi</t>
  </si>
  <si>
    <t>@rizki_rezap Beda lahh isi ga merobek, ga menginjak injak mesjid isis ga membantai pesantren....</t>
  </si>
  <si>
    <t>RT @republikaonline: Gubernur Jabar Ridwan Kamil mengatakan, pihaknya telah menyiapkan kendaraan untuk mengantar sembilan warga Jabar tersebut.</t>
  </si>
  <si>
    <t>WHO Pastikan Evakuasi dan Observasi WNI dari Wuhan Sesuai Protokol Kesehatan. #BebasVirusCovid19</t>
  </si>
  <si>
    <t>Paranietharan mengatakan penanganan pemerintah Indonesia kepada warganya sudah melalui proses yang tepat sesuai rekomendasi protokoler WHO, yang mana hal itu dilakukan guna memastikan para WNI dalam keadaan sehat sebelum dipulangkan ke rumahnya masing-masing. #BebasVirusCovid19</t>
  </si>
  <si>
    <t>Penanganan Pemerintah Evakuasi WNI dari Cina Berkelas dan Sesuai Standar Dunia. #BebasVirusCovid19</t>
  </si>
  <si>
    <t>RT @Puspen_TNI: 238 WNI dari Wuhan dalam kondisi sehat😎💂 #P5TNI #Kapolri #TNIPeduli #Wuhan #Natuna</t>
  </si>
  <si>
    <t>RT @Megatop99: Warga baru,anak2 yg terlantar...bukan anak2 eks ISIS..! @YRadianto @mochamadarip @elHurryKoRn @FirzaHusain @kantayu @MoelyonovDjalil @PantunJ2P @Ngk0ngR0s3s__ @snjayajonggrang</t>
  </si>
  <si>
    <t>@Cobeh09 Iya salah sebagian wni jg ama kpu, knp pilih @jokowi jd RI1, kyk gak ada yg lain aja yg jauh lbh ok</t>
  </si>
  <si>
    <t>@anonapostate @nemosyus @tekarok007 @BuddhisGL @ganjarpranowo Buat aku pribadi memaafkan itu auto buat aku agar hatiku damai😁. Tp untuk pulangkan ex wni ex isis itu BIG NO krn di sini masih banyak yg harus di benahin terutama korupsi duit nyangkut ke org yg tdk layak terima, kzl!</t>
  </si>
  <si>
    <t>@torantula tbtb welcome to isis wkwkkw</t>
  </si>
  <si>
    <t>Tolak WNI eks ISIS #TolakAnakISISKembali</t>
  </si>
  <si>
    <t>@HoofdbureauID @siiemak Pd intinya tweet ini @HoofdbureauID masih peduli dengan eks ISIS ya... hahaha</t>
  </si>
  <si>
    <t>Sebanyak 238 WNI telah tiba dipulangkan usai menjalani observasi. Kepulangan mereka disambut bahagia oleh keluarga. IBL ⁣⁣⁣ ⁣⁣⁣ #WNISehat #Wuhan #Observasi #CoronaVirus #Covid-19 #Natuna #MNCTVNews</t>
  </si>
  <si>
    <t>Polri Akan Tindak WNI Eks ISIS yang Berusaha Kembali ke Indonesia</t>
  </si>
  <si>
    <t>Ketika ajaran radikal mewujud organisasi, kita menemukan bentuk seperti ISIS. Di Indonesia, banyak yg mem-baiat diri ke ISIS dan meneruskan ajaran "islam" nya Padahal, Mufti Besar Arab Saudi menyatakan ISIS BUKAN ISLAM</t>
  </si>
  <si>
    <t>RT @irfanrhtg: OBROLAN CIPUTAT | Terbaru. Begini Kehidupan Karantina WNI Asal Tingkok di Natuna  via @YouTube</t>
  </si>
  <si>
    <t>RT @ElshintaTegal_: BNPB apresiasi media terkait pemberitaan observasi WNI Wuhan  #20thElshintaNewsAndTalk</t>
  </si>
  <si>
    <t>@nemosyus @annasantoz318 @tekarok007 @BuddhisGL @ganjarpranowo Ga ada salahnya memaafkan ex ISIS. Tp memulangkan ex ISIS adalah kebodohan dan kedunguan yg paripurna.</t>
  </si>
  <si>
    <t>@mas__piyuuu Yg cinta rusia yaa sono ikut neg rusia ...yg nggk setuju pemerintah nolak pemulangan isis ...apa kalian kira anak2 nggk d ajari berperang ..membunuh ...</t>
  </si>
  <si>
    <t>RT @OfficialiNewsTV: Pemerintah memastikan WNI yang menjalani observasi di Natuna, Kepulauan Riau, dalam kondisi sehat. IBL⁣⁣ ⁣⁣ #WNISehat #Wuhan #Observasi #CoronaVirus #Covid-19 #Natuna #Kepri #iNews</t>
  </si>
  <si>
    <t>@kompascom Sekali lagi ya....bukan WNI EX ISIS tapi ISIS EX WNI...camkan itu...😠</t>
  </si>
  <si>
    <t>[biar jelas SIMAK VIDEOnya] Melalui Protokol Kesehatan Dari WHO Di Natuna, Presiden @jokowi Minta Masyarakat Menerima WNI Dari Wuhan @KemenkesRI #BersamaIndonesiaMaju #SDMUnggulIndonesiaMaju</t>
  </si>
  <si>
    <t>Gubernur Jabar Ridwan Kamil mengatakan, pihaknya telah menyiapkan kendaraan untuk mengantar sembilan warga Jabar tersebut.</t>
  </si>
  <si>
    <t>RT @MSApunya: 238 WNI Pulang dari Natuna Hari Ini: Diterbangkan ke Jakarta dan Dijemput Perwakilan 30 Provinsi *seharusnya diundang makan siang dulu ke Istana sebelum pulang ke daerahnya masing²🤔</t>
  </si>
  <si>
    <t>@RizmaWidiono @ganjarpranowo Tapi klo ex isis gaboleh ya</t>
  </si>
  <si>
    <t>@kumparan Ndak perlu p hidayat ..buat apa mrk kesana klo bukan jd isis ...knp sih bpk ngenkel banget maksa pemerintah jmput mereka ..apa sih untungnya ..</t>
  </si>
  <si>
    <t>3. WHO menjamin 285 WNI di Natuna benar-benar sehat.</t>
  </si>
  <si>
    <t>Pingin umroh ditipu, pingin perumahan syariah ditipu, pilih gubernur ditipu, pingin hidup berkhilafah ditipu isis Sabar..ini ujian 😆😆😆😆😆</t>
  </si>
  <si>
    <t>Wakil Ketua MPR Angkat Bicara Soal Pemulangan WNI Eks ISIS</t>
  </si>
  <si>
    <t>Gadis isis kek apa bntukanny ndood,, syukak menyayat hati para fuluwes ea jajaja RT @Cangkemaaannn: Rangorang pada teriak jan rasis jan rasis.. lalu rangorang mencoba nda rasis lagi.. kemudian media pewarta eang sebetulnya rasis alias kontol jaran diemut gadis isis.. jingan ea fufufu</t>
  </si>
  <si>
    <t>@baby_alien28 @alolily_ problem banget..! temen neng si kombatan ISIS @alolily cuma nyisa-in gua pete doang, tambahin udang dikit ya neng..</t>
  </si>
  <si>
    <t>RT @KompasTV: WNI yang Diobservasi di Natuna Dilengkapi Sertifikat Sehat</t>
  </si>
  <si>
    <t>RT @SusilawatiSisi2: Pesan keras terhadap para orgtua di slrh Indonesia, tolong utk sll ingatkan anak2 kita tdk berbicara dg orang asing, selain lingk jg hrs peduli. Stdknya kita perangi kejahatan ini yg sebisa mgkn dilakukan. Slain upaya Pemerintah utamanya utk melindungi WNI.</t>
  </si>
  <si>
    <t>7 WNI dari Wuhan asal KALSEL tiba di bandara Syamsuddin Noor, usai observasi di natuna. (16/2) Source: soekarnoboy #Wargabanua Follow @Kalseltoday ! @ Bandara Internasional Syamsudin Noor Banjarmasin Kalimantan…</t>
  </si>
  <si>
    <t>isis bgt disini aaaaaaa enk</t>
  </si>
  <si>
    <t>RT @elHurryKoRn: Komnas HAM: Kasus Paniai Berdarah Masuk Pelanggaran Berat &gt; yaa..urus aja itu, jangan urusi ISIS!!</t>
  </si>
  <si>
    <t>@intan_sari @havialifa @LeksonoTrie Ku ke Klotok krn ajak tamu aja sih, aku maunya sih di tempat yg isis ora sumuk.</t>
  </si>
  <si>
    <t>RT @erwanice: Prov ini pernah dipenjara... saat sidang, saat dipenjara menunjukan penyesalan dan minta maaf, setelah bebas mengulangi lagi... Terus kita disuruh percaya klo ada ex wni ISIS kembali ke Indonesia karena sdh tobat?</t>
  </si>
  <si>
    <t>Seluruh WNI yang Dikarantina di Natuna Dinyatakan Sehat dan Negatif Covid-19  via @IDWS</t>
  </si>
  <si>
    <t>RT @JubirPresidenRI: Untuk diketahui, 285 orang yang akan pulang tersebut terdiri atas 238 WNI yang tinggal di Provinsi Hubei, 1 WNA (suami dari WNI), 5 anggota tim pendahulu KBRI Beijing, dan 42 orang dari tim penjemput termasuk kru pesawat dan petugas kesehatan.</t>
  </si>
  <si>
    <t>RT @JubirPresidenRI: Pemerintah RI melalui Menteri Kesehatan beserta seluruh Kemenko, Kementerian dan Lembaga terkait sesuai Inpres No.4/2019 menjamin bahwa semua WNI tersebut dalam keadaan sehat dan menjalani program transit observasi di Natuna sesuai dengan protokol Organisasi Kesehatan Dunia (WHO)</t>
  </si>
  <si>
    <t>RT @MrsRachelIn: @ArdianZA_099 @jokowi @BNPTRI @PolhukamRI @mohmahfudmd Mabok kecubung ' mending si aki aja yg di eksport ke suryah ongkirnya lebih murah dari pd 687 kombatan isis yg di import ke Indonesia.</t>
  </si>
  <si>
    <t>RT @mufidayati_id: Alhamdulillaah...</t>
  </si>
  <si>
    <t>@KBRITokyo Terima kasih sudah menjadikan Antangin sebagai salah satu produk pilihan untuk penjaga kesehatan para WNI yang di karantina di kapal pesiar, di Jepang. Kami ingin mengirimkan bantuan, kemana kami harus kirimkan, mohon info, terima kasih Semoga para WNI dan seluruhnya sehat selalu</t>
  </si>
  <si>
    <t>*WNI “Kebal” Virus Korona? Ini Kata Menkes Terawan. =Seperti di daerah Sulawesi Utara ada Manado sebagai Kota Doa,- #Menkes #VirusCorona #ManadoKotaDoa #Rafans  via @Beritasatu app</t>
  </si>
  <si>
    <t>@denira_wiraguna Ga follback ISIS😂</t>
  </si>
  <si>
    <t>RT @gadisresidu_b3: Mahfud: Anggota ISIS Susah Sembuh, Mudah Kumat Salah satu alasan pemerintah menolak kepulangan eks warga negara Indonesia yang telah bergabung dengan kelompok ISIS adalah karena meragukan itikad baik mereka untuk tidak melakukan aksi terorisme di dalam negeri</t>
  </si>
  <si>
    <t>Kmrn komen wawancara intoleran saya agak lega krn ada instruksi presiden utk kasus di karimun.. ternyata justru pastor yg dilaporin. Skrg kok saya pesimis dgn pemerintahan ini,... lobster, isis, intoleransi, harun masiku, gibran,... RT @BBCIndonesia: [Video] Presiden Jokowi menjawab pertanyaan soal korupsi, HAM, lingkungan, dinasti politik, dan intoleransi dalam wawancara eksklusif bersama Koresponden Bisnis Asia BBC News, Kharisma Vaswani. Untuk membaca lebih lengkap wawancara ini, klik tautan:</t>
  </si>
  <si>
    <t>WNI yg gabung ISIS dan ikut berperang bela negara lain dah bukan WNI lagi. pa lagi sdh buang faspor.</t>
  </si>
  <si>
    <t>RT @Muthia911: *Kasus Pemerkosaan di luar negeri dengan pelaku WNI* no one: literally not even a single soul: Grup Whatsapp keluarga:</t>
  </si>
  <si>
    <t>WNI yang Diobservasi di Natuna Dilengkapi Sertifikat Sehat</t>
  </si>
  <si>
    <t>@ApriliaLin @m_yu5uf Nah... udah ditake down &amp; dilurusin, si KNTL ISIS ini @m_yu5uf masih ngegas... kan bungul 🔨</t>
  </si>
  <si>
    <t>@dokterapin @berlianidris Itu nyang jemput wni di wuhan kok pd pake pakaian lengkap termasuk masker? Apan nyang jemput sehat kan?</t>
  </si>
  <si>
    <t>Kesan yang ditangkap netizen, istrinya ke Irak jadi teroris ISIS akibat ikut pengajian. Padahal mah si istri bisa ada di Irak gara-gara jadi TKW ilegal dan gak bisa pulang karena identitasnya dipalsukan. RT @torantula: That escalated quickly</t>
  </si>
  <si>
    <t>RT @arviansutrisna: Pengennya sih puitis kritis optimis isis eeeeh teroris, halah mas mas klimis. Wagu</t>
  </si>
  <si>
    <t>@dedesrafli Yang beragama tapi membunuh tidak hanya komunis, ISIS dan teroris lainnya juga beragama. Apakah masih gk masuk akal juga?</t>
  </si>
  <si>
    <t>OBROLAN CIPUTAT | Terbaru. Begini Kehidupan Karantina WNI Asal Tingkok di Natuna  via @YouTube</t>
  </si>
  <si>
    <t>Pulang dari Natuna, WNI asal Sulsel dijemput langsung keluarga</t>
  </si>
  <si>
    <t>BNPT Berikan Apresiasi Kepada Media Terkait Pemberitaan Observasi WNI Dari Wuhan di Natuna</t>
  </si>
  <si>
    <t>@dhewiratnasarii Remaja isis berjihad ketika usia muda</t>
  </si>
  <si>
    <t>RT @IngNa70: Buat pendukung fanatik Sang Maha Mulia Nan Tak Berdosa si presiden: Jangan tanya sy WNI/bukan krn speaking up soal ini. Tanya ke diri kalian: Minoritas itu WNI bukan sampe bhkn UUD 45 psl 29 kayak ga berlaku?! Buat yg msh pake alasan “main catur”: *Middle finger to you all*</t>
  </si>
  <si>
    <t>Observasi WNI Selesai, Pemerintah Beri Penghargaan untuk Masyarakat Natuna #TauCepatTanpaBatas #BeritaTerkini #Berita #News #BeritaNasional .</t>
  </si>
  <si>
    <t>RT @CH_chotimah: Pemerintah jgn percy omongn orang ini. Katanya mereka ga ingin pulang, disana sdh sejahtera tp ujung2nya jk mereka mau pulang paling ingin ketemu keluarga. Ga benar mau meneror &amp; sebarkn paham radikal. Pdhl jelas bom Surabaya mereka pelakunya. @mohmahfudmd</t>
  </si>
  <si>
    <t>@BBCIndonesia Mohon maaf tapi saya pribadi tidak mau menerima ISIS eks WNI.. kan bukan WNI LAGI.. ngapain Indonesia ngurusin org seperti ini. Wkt ikut ISIS kan itu pilihan sendiri. Ya skrg jalanin aja pilihan nya</t>
  </si>
  <si>
    <t>5 WNI asal Riau pulaung dari karantina Natuna disambut Gubernur Riau, terdiri dari empat mahasiswa dan satu anak usia lima tahun.</t>
  </si>
  <si>
    <t>@na_dirs Mana Yang Lebih Membahayakan Kesetabilan Negara Antara KORUPTOR vs HTI ? Wajah Para Koruptor Pengkhiatat Bangsa, Kok Tak Ada Satupun Anggota HTI, FPI, ISIS ?  RT @na_dirs: Dulu alumni perang afghanistan balik ke tanah air, bikin masalah dan meledaklah bom bali. Gimana dg ratusan alumni ISIS yg skr mau balik ke tanah air? Kalau pemerintah gak punya program yg jelas utk membina mereka, maka bisa jadi mereka akan gabung dg alumni HTI nantinya.</t>
  </si>
  <si>
    <t>Kasus Infeksi Covid-19 di Kapal Pesiar di Yokohama Melonjak Jadi 355, Sebanyak 78 WNI Tidak Terinfeksi  via @IDWS</t>
  </si>
  <si>
    <t>@SenSchumer Trump =ISIS Erdogan =ISIS</t>
  </si>
  <si>
    <t>@Frend81739521 @bepejeel Hahahaha... ISIS udah bubar, pendonornya udah kehabisan dana...</t>
  </si>
  <si>
    <t>@SalmaBrecht @KPAI_official @KomnasHAM Berarti ga salah Video eks WNI kemarin cuma acting</t>
  </si>
  <si>
    <t>@WR_4AG226 Kl kagak bego mana bisa diterima jadi ISIS ?</t>
  </si>
  <si>
    <t>@55Annur Follower nggak penting. Emang apa gunanya pengikut. ISIS yg banyak pengikut juga ancur .</t>
  </si>
  <si>
    <t>Pak @jokowi isis memang berbahaya terimakasih sdh menolak mereka dan isis di dalam negri yg menolak pembangunan dan ibadah umat di sini juga perlu bapak basmi... TUMPAH DARAH DAN JIWA KAMI BERSAMA PANCASILA DAN UUD45!!! GABUNGLAH BERSAMA KAMI PAK!!! LAWAN ISIS INTOLERANSI</t>
  </si>
  <si>
    <t>@dhewiratnasarii berjihad ketika usia muda eks isis mau?</t>
  </si>
  <si>
    <t>@mohmahfudmd Bicara wni(warga negara indonesia)sy mau brtnya pd prof @mohmahfudmd lbh tinggi mana antara lembaga catatan sipil daerah dibandingkan pengadilan tinggi negeri? Lntas apkh status wna pd saat nikah lbh kuat ketimbang putusan(inkrach)jd wni oleh pengadilan tinggi,sy tnggu jwbnnya🙏</t>
  </si>
  <si>
    <t>RT @bmatana1: @detikcom Dear @detikcom Mereka bukan WNI eks ISIS tap mereka adalah PEMBERONTAK ISIS eks WNI. Apabila status mereka masih WNI maka Republik Indonesia akan dikecam Suriah, Irak dan PBB karena membiarkan/mengirim warganya untuk memberontak di negara lain. 🙏🙏🙏</t>
  </si>
  <si>
    <t>Gangguan Psikologis Rentan Terjadi Pada Orang yang Dikarantina: Sejumlah WNI yang menjalani karantina di pulau Natuna dipulangkan pada hari Sabtu, 15 Februari 2020. Meski para WNI dilaporkan dalam keadaan sehat, penelitian menyebutkan ada kemungkinan…</t>
  </si>
  <si>
    <t>Gangguan Psikologis Rentan Terjadi Pada Orang yang Dikarantina: Sejumlah WNI yang menjalani karantina di pulau Natuna dipulangkan pada hari Sabtu, 15 Februari 2020. Meski para WNI dilaporkan dalam keadaan sehat, penelitian menyebutkan…  via @kabar_tangsel</t>
  </si>
  <si>
    <t>RT @sweethellena: NEGATIF CORONA Linimasa jadi ramai setelah Kemenkes mengumumkan bahwa 78 WNI di Kapal Pesiar Diamond Princess 'negatif corona'. Ditambah twit KBRI Tokyo soal kiriman cairan penangkal dan pereda masuk angin dan mie instan untuk mereka, cerita pun jadi lebih menarik.</t>
  </si>
  <si>
    <t>katanya fans agnezmo gak mikiri artis lain gak mau julidi artis lain eh stephanie poetri gak milih agnation ngamuk lol ada gila gilanya ya masa iya harus maksa orang utk milih yang harus sejalan ama lo pada,kenapa lo gak atur wni yang pada milih bts dibanding artis lo 😌</t>
  </si>
  <si>
    <t>Disana semua simpatisan ISIS ditangkap. Disini bahkan Presiden ISIS dibiarkan berbicara. Negara apa ini? @jokowi "saya siap menampung kalau memang banyak yang menolak. Tapi kan itu jikalau ada yg pulang, tapi saya tidak yakin ada yang ingin. Karena mereka di sana hidup enak," RT @detikcom: Eks Presiden ISIS Regional Indonesia Chep Hernawan siap menampung Warga Negara Indonesia (WNI) eks ISIS yang benar-benar ingin pulang ke Tanah Air.</t>
  </si>
  <si>
    <t>RT @salsabilaayu131: WNI di Natuna dalam keadaan sehat .. #4niesJawaraNgibul</t>
  </si>
  <si>
    <t>Alhamdulillah wni di natuna bebas corona, terimakasih semua yang terlibat dalam pemulangannya 🙏</t>
  </si>
  <si>
    <t>Anggota DPR: Pemulangan Anak Eks ISIS tak Perlu Tergesa-gesa | #indonesia #minggupagi &gt;&amp;gt;&amp;gt; Click</t>
  </si>
  <si>
    <t>RT @elHurryKoRn: WNI OBSERVASI CORONA DI NATUNA PULANG HARIINI Rasa bahagia Peserta Observasi hingga terharu Menangis saat Menyanyikan Indonesia Raya di acara pelepasan Perasaan lega dari para peserta observasi serta ucapan terimakasih pada pemerintah #TrimakasihPakJokowi</t>
  </si>
  <si>
    <t>@Ae_Ri_Hyun Jauh sih Dan jlimet Antara; DKI hr ini-pkb-tim teng-kudeta. Islam grs keras yg dmksud pkb akn pngruhi kbijkan anies itu isis &amp; alqaeda??🤣 Bnyk org mlah brpndpat jk gaung Islam nusantara bkn visi original dr org2 Islam(trselubung) Jgn lupa siapa yg runcingkan Arab spring di indo?</t>
  </si>
  <si>
    <t>Ayah WNI peserta observasi Natuna sempat kuatkan anaknya soal mati syahid - ANTARA News Jawa Barat</t>
  </si>
  <si>
    <t>RT @MMargani5: Bukti Bahwa sebenarnya Pemerintah tak punya Kemampuan untuk "DERADIKALISASI" spt yg digembar-gemborkan sblmnya?🤔 Waspada kpd org2 Korban Penipuan Propaganda ISIS itu wajar tp hrsnya Lbh Waspada lg pd Para Penipu Uang Negara yg faktanya tlh Memiskinkan Bangsa ini #BeningJugaWarna</t>
  </si>
  <si>
    <t>@WR_4AG226 Keknya hrs bikin petisi "Ekspor Eks Pesiden ISIS ke markas ISIS".</t>
  </si>
  <si>
    <t>RT @RD_4WR1212: @WR_4AG226 Tolak Kombatan ISIS 😘</t>
  </si>
  <si>
    <t>WNI di Natuna dalam keadaan sehat .. #4niesJawaraNgibul</t>
  </si>
  <si>
    <t>@ganjarpranowo kalau bapak ngundang eks isis kesitu gimana</t>
  </si>
  <si>
    <t>@WR_4AG226 Mungkin rumahnya cukup besar untuk nampung, yah silahkan aja. Dengan syarat tuh ISIS jangan sampai keluar rumah, kalau berani keluar....DOR!!!</t>
  </si>
  <si>
    <t>Sering bgt ditanyain, "kamu kerjanya apa?" "Chemist" - bikin bom? - mau daftar ISIS? - nuklir? "Kimia" - oh tekim? "RnD" - apa tuh? - oh yg suka bikin inovasi baru itu ya? - kerjanya seharian di lab ya? Makanya suka bingung jawabnya hrs gmn ya biar orang ga bingung 😂 RT @dandrezner: “I’m a political scientist” - boring - academic - not a real science “I look at power” - mysterious - ominous - maybe you have a sword</t>
  </si>
  <si>
    <t>@WR_4AG226 Tolak Kombatan ISIS 😘</t>
  </si>
  <si>
    <t>@unclebear69 @bepejeel HTI masih ada... bahaya!!! HTI dukung khilafah ISIS.</t>
  </si>
  <si>
    <t>Ini bisa ga se yg pro mau pulangin ex wni yg gabung sm isis di bawa aja ke korut biar ditembak mati juga sm om kim HEHE RT @AhlulQohwah: Rekor tercepat penanganan virus Corona</t>
  </si>
  <si>
    <t>@Soleh64268085 @D_m3chy Lu pengikut ISIS...</t>
  </si>
  <si>
    <t>@tralala_trililu @anssftrn @novalauliady Tapi anehnya, anda tak suka dengan fundamentalis dan andapun tak suka dengan liberal. Padahal hanya kaum liberal lah, yang bertengkar dengan kaum fundamentalis (pro isis)</t>
  </si>
  <si>
    <t>RT @Bangzul__88: 🇮🇩Tagar Rakyat hari ini🇮🇩 #AwasHTImasihEksis Meski ISIS hancur, ideologi khilafah &amp; kekerasan yang selama ini diusung harus diwaspadai. Apalagi, ideologi itu sudah banyak menyebar di berbagai negara. Di Indonesia, HTI juga menyebar paham radikalnya di Medsos. @kemkominfo 👇</t>
  </si>
  <si>
    <t>Gak perlu ada eks ISIS pun di dalem udah begini kok. Dari dulu malah.</t>
  </si>
  <si>
    <t>@detikcom WNI di kapal, "masak indomie ahhh".</t>
  </si>
  <si>
    <t>RT @karmatiranda: @eko_kuntadhi Lebih heboh lagi kalo mereka tau bahwa anggota ISIS ngga ada yg kena korona.😅</t>
  </si>
  <si>
    <t>@Beritasatu Jangankan anggota ISIS, kampret &amp; Kadrun aja ga sembuh2🤣</t>
  </si>
  <si>
    <t>@WR_4AG226 SI JURIK..KITA IKLASKAN SAMPE MAMPUS DISANA KAN DIA DUKUNG ISIS DULU CUMA NYALI DIA BANCI GURUN SIH AMPE SKRNG GA BERANI TREAK ISIS DI ARAF.. GA JIHAD2X JUGA..GA BERANI DEMO VALENTIN RAJA SALMAN.. BANCI GURUN JAGO KANDANG KAMBING</t>
  </si>
  <si>
    <t>Update di wilker KJRI GZ (16/02) per pukul 14.30, di Guangdong 1316 sakit, 2 meninggal, 444 sembuh. Di Guangxi (237,2,46), Fujian (287,0,77), Hainan (162,4,39). Tdk ada WNI jadi korban. Rasio pasien sembuh/sakit 0,302%. Lanjut naik 📈👍🏻. #negaramelindungi #deminkri #inidiplomasi</t>
  </si>
  <si>
    <t>Bukti Bahwa sebenarnya Pemerintah tak punya Kemampuan untuk "DERADIKALISASI" spt yg digembar-gemborkan sblmnya?🤔 Waspada kpd org2 Korban Penipuan Propaganda ISIS itu wajar tp hrsnya Lbh Waspada lg pd Para Penipu Uang Negara yg faktanya tlh Memiskinkan Bangsa ini #BeningJugaWarna RT @Jean_Aprilia97: Kita marah disaat Rohingya di usir oleh pemerintah Myanmar. Kita marah disaat Uighyur Dikurung oleh China. Kita marah rakyat Palestina dijajah oleh Israel. Tp kita diam disaat saudara kita dicekal oleh pemerintah kita sendiri. Mereka juga manusia..</t>
  </si>
  <si>
    <t>RT @KompasTV: Penyambutan Kru Batik Air, Usai Penjemputan WNI dari Natuna</t>
  </si>
  <si>
    <t>ISIS ke ni? Patutlah benak semacam. RT @SSSMsian: This video is swirling around socmed. He appears to be burning a Malaysian passport. Should we send MAS and bring him home?</t>
  </si>
  <si>
    <t>@wni_sni Mesti kat sekolah rendah dulu banyak buat kes. Tu asyik kena buang sekolah je</t>
  </si>
  <si>
    <t>RT @Jean_Aprilia97: @ahmadadrongi @RyoFahri Mgkin mereka sdh khilaf krn tertipu drama ISIS. Tp apa bedanya mereka dgn yg dulunya memberontak tdk mengakui NKRI dan mereka sadar dan bergabung kembali dgn NKRI. Paspor hanya kertas..bisa diperbaharui lagi..trgantung niat pemerintah memaafkan mereka atau tdk.</t>
  </si>
  <si>
    <t>RT @republikaonline: Kebijakan pemerintah harus berdasar keselamatan rakyat adalah hukum tertinggi.</t>
  </si>
  <si>
    <t>Kebijakan pemerintah harus berdasar keselamatan rakyat adalah hukum tertinggi.</t>
  </si>
  <si>
    <t>@RizmaWidiono Kompas ini ngapain kok datangin hti sudah biarkan saja sarang iblis sarang teroris.sarang isis hzncurkän saja kantor işis ini0</t>
  </si>
  <si>
    <t>RT @KemenkesRI: #RilisSehat Menkes: WNI Sehat di Natuna Bersiap Kembali ke Pelukan Keluarga @KemenkesRI</t>
  </si>
  <si>
    <t>RT @ceknricekcom_id: Tentang penolakan masuknya 600an ex ISIS, Prof Gayus Lumbuun mengatakan, berbicara tentang hak kewarganegaraan, harus merujuk kepada mekanisme UU yang mengatur secara tersendiri hal tersebut.</t>
  </si>
  <si>
    <t>Kewarganegaraan seseorang gak langsung hilang cuma karena dia bakar paspor. Artikel menarik tentang para tahanan ISIS di Rojava.</t>
  </si>
  <si>
    <t>RT @UAlla02: @Bangzul__88 Analisa ngawur bin ngaco... Apa hubungan HTI dan GAM? Menghubungkan HTI dan ISIS ga ketemy, skr maksa bgt Menghubungkan HTI dan GAM... Sekalian aja pak, bikin analisa menghubungkan HTI dan PKI atau HTI itu adalah PKI... Biar makin keliatan ngawurnya... 😂😂😂</t>
  </si>
  <si>
    <t>@detikcom Nda ada eks isis.....isis yah isis. Harusnya si tua ini di pancung sudah.</t>
  </si>
  <si>
    <t>Rangorang pada teriak jan rasis jan rasis.. lalu rangorang mencoba nda rasis lagi.. kemudian media pewarta eang sebetulnya rasis alias kontol jaran diemut gadis isis.. jingan ea fufufu RT @detikcom: Saat film pertamanya dirilis, 'To All The Boys I've Loved Before' menjadi perhatian karena pemeran utamanya berdarah Asia.</t>
  </si>
  <si>
    <t>Mahfud gunakan hukum administrasi sikapi cabut kewarganegaraan hanya lewat hukum.</t>
  </si>
  <si>
    <t>RT @almascatie: Sama halnya dgn negara yg tak hadir pada pelarangan pendirian rumah ibadah. Kasus2 intoleransi dll. Negara entah dimana.</t>
  </si>
  <si>
    <t>WNI Keturunan Tionghoa di Australia Bangga Jadi Orang Indonesia</t>
  </si>
  <si>
    <t>WNI eks Wuhan Kantongi Uang Saku Rp 1 Juta</t>
  </si>
  <si>
    <t>Mantan narapidana teroris, Sofyan Sauri, tak setuju apabila pemerintah berniat memulangkan WNI mantan ISIS ke tanah air. #MantanISIS #MantanTeroris #ISIS #BeritaHariIni</t>
  </si>
  <si>
    <t>Menteri Terawan siang td tiba di bandara Halim setelah sekian lama menemani para WNI yg diobservasi di Natuna. Tentunya para pewarta berbondong-bondong menyodorkan mic dan ragam pertanyaan kepadanya.</t>
  </si>
  <si>
    <t>Alhamdulillah, sampai skrg ratusan WNI yg telah diobservasi di Natuna pasca dipulangkan dari negeri Tiongkok telah dinyatakan sehat.</t>
  </si>
  <si>
    <t>Terbayang bagi gue, ini merupakan cobaan dan masalah bagi kita semua sebagai warga negara, akan tetapi Kemenkes RI rasanya menjadi garda terdepan yg dianggap bertanggung jawab utk memastikan seluruh WNI terpantau kondisi kesehatannya dari virus COVID-19.</t>
  </si>
  <si>
    <t>A thread How to Handle the Media? Cara &amp; gaya Menkes RI Terawan Agus Putranto ketika hadapi keriuhan puluhan pewarta yg menanti kedatangan Menkes di bandara Halim (15/2) pasca keputusan pemulangan WNI yg diobservasi di Natuna sungguh menarik dr kacamata public relations/humas.</t>
  </si>
  <si>
    <t>@jenk_kelinn @TeddyGusnaidi Disinih lah dunguhnya si Teddy, ISIS ndak nyerang Korea karena ISIS emang buatan amrik</t>
  </si>
  <si>
    <t>RT @Iqbalalfiyan96: Akan terus ngingetin anak anak gw: 1. Sebelum tidur cuci kaki, cuci tangan, cuci muka, ganti baju 2. Kalau mau makan, inget sama yang lain 3. Jangan gabung isis 4. Kalau lagi punya lebih kasih ke yang kurang 5. Kalau lagi ga punya jangan ngemis 6. Lupain semua, be yourself</t>
  </si>
  <si>
    <t>RT @tempodotco: Captain Destyo Usodo salah satu dari 18 awak kabin Batik Air yang menjemput WNI di Wuhan, Cina akibat wabah virus corona.</t>
  </si>
  <si>
    <t>RT @ArdianZA_099: Tolak kepulangan mantan WNI yg pernah bergabung dg ISIS. Menampung mantan Teroris lbh berbahaya drpd memelihara singa. @jokowi @BNPTRI @PolhukamRI @mohmahfudmd Lbh perduli pelihara teroris atau kenyamanan 260 juta lbh rakyat Indonesia?</t>
  </si>
  <si>
    <t>@cagubnyinyir2 @Jcapaldi59 @LiaIsti1 @Bnie18 Wah jangan2 ISIS jgk ada yg legal dan ilegal ya..?? Yg legal hidup bahagia Yg ilegal merana pengen plg Yaaaach semacem TKW lah..... Ada yg legal dan ilegal</t>
  </si>
  <si>
    <t>Wakil Ketua Majelis Permusyawaratan Rakyat (MPR) Ahmad Muzani meminta pemerintah untuk mempertimbangkan pemulangan WNI eks ISIS.</t>
  </si>
  <si>
    <t>RT @LamanKita_: YLBHI Khawatir Anak-anak Eks ISIS Lahirkan Sel Terorisme Baru #WaspadaAnakEksISIS</t>
  </si>
  <si>
    <t>Pemerintah Kabupaten (Pemkab) Natuna Kepulauan Riau berharap pemerintah pusat meningkatkan fasilitas kesehatan setempat. #KAMUHARUSTAU</t>
  </si>
  <si>
    <t>RT @LamanKita_: YLBHI Minta Pemerintah Mendata Anak-anak dari Eks ISIS #WaspadaAnakEksISIS</t>
  </si>
  <si>
    <t>RT @P_Eneste: Tidak ada anggota @DPR_RI kawan2nya @hnurwahid @MardaniAliSera @fadlizon yang memberi apresiasi kpd Pemerintah Indonesia, suksesnya pemulangan WNI dari Wuhan. Hanya harapan utk eks WNI yg adalah mesin pembunuh ala ISIS dipulangkan🤣🤣 @AJudakusumah @Luthfie999 @jenk_kelinn</t>
  </si>
  <si>
    <t>RT @LamanKita_: Ada UU dan PP, Kewarganegaraan Negara Anggota ISIS Eks WNI Gugur Dengan Keppres #WNIeksISISstateless</t>
  </si>
  <si>
    <t>WNI Eks ISIS Boleh Pulang ke Indonesia, Tapi Harus. . . . Oleh Warta Ekonomi Online</t>
  </si>
  <si>
    <t>RT @LamanKita_: Kombatan Lintas Negara Eks ISIS Dapat Dicabut Kewarganegaraannya Dengan Proses Ini #WNIeksISISstateles</t>
  </si>
  <si>
    <t>RT @LamanKita_: Status WNI Eks ISIS Bisa Hilang Melalui Keppres #WNIeksISISstateless</t>
  </si>
  <si>
    <t>RT @babegalak1: @HeriSu19 @SetiaAdy_p @CANDAdanBISNIS @mamiagarislucu @edward7011971 @periani @Jokoumb64504158 @aguzts_ @BHD_8 @APLpangeran1 @evisuryanti10 @Dickusnadi1 @zaenalkase03 @SultanAnjar @2024GanjarRisma @MaryanaNunung @TukangMu @MukhtarLuthfi12 @BayuErrianto @JohnIrwan4 @MOMDian2 @RizkiR4madani @jubrik844 @positive_values @kasrulsani9 @wantahgdn @felixaaf1 @Edward_1smail @LiaIsti1 @Recoignitionwal @eddies_song @wartawankoboi13 @CumiCue @AdigunaAtmaja @Iqbalkuntoro1 @RazkaFaiz @Maranatha_Sibrn @Zulfika35354359 @73hermantjoe @dian_ibunda @GendengHrs @demartinnie @gimbal_keren @aniesbaswedan @arifsamsul_ma @RD_4WR1212 @AtikahZahidah_ @LalaaLalaa10 @Mikha_57 @Mulia07094480 kenapa cina di bawa bawa sih .. rasis ah ... kita bahas kerja anies atau mau bandingin arab dan cina ? anda bukan bag dari arab dan kami bukan bag dari cina ... kita semua Indonesia ... yg ngak ngakuin WNI ya sebaiknya ngak tinggal di Indonesia..</t>
  </si>
  <si>
    <t>RT @LamanKita_: Tidak Pulangkan Teroris WNI Eks ISIS, Semua Pintu Masuk Harus Ditutup #WaspadaISISmenyusup</t>
  </si>
  <si>
    <t>RT @LamanKita_: Istana Sebut adanya potensi WNI Teroris Lintas Batas Menyusup ke Indonesia #WaspadaISISmenyusup</t>
  </si>
  <si>
    <t>RT @LamanKita_: WNI yang Diobservasi Pulang Kampung, Presiden Jokowi Minta Warga Tidak Takut #WNINatunaSehat</t>
  </si>
  <si>
    <t>RT @hazpohan: Padahal UUD 1945 menjamin perlindungan bagi seluruh anak bangsa:</t>
  </si>
  <si>
    <t>RT @LamanKita_: Observasi Kesehatan di Natuna Usai, 238 WNI dari Wuhan Mulai Berkemas #WNINatunaSehat</t>
  </si>
  <si>
    <t>@DonAdam68 Eks ISIS, muslim suriah, muslim rohingya ngungsi ditolak dipersulit Giliran cina seenaknya mempermudah Asuuuwi</t>
  </si>
  <si>
    <t>Di pikir-pikir, warga ISIS eks sebuah negara dan virus Corona, bener juga sebagai pengalihan issue.... Issue untuk negeri Paman Sam yang malu karna ga brani ditantang Iran.... ealaaaa</t>
  </si>
  <si>
    <t>RT @IndonesiaRAW: KPAI dan YLBHI Khawatirkan Anak Eks ISIS Dendam Kepada Pemerintah #WaspadaAnakEksISIS</t>
  </si>
  <si>
    <t>RT @IndonesiaRAW: Beberapa LSM Mengemukakan Dampak Negatif Pemulangan Anak Eks ISIS #WaspadaAnakEksISIS</t>
  </si>
  <si>
    <t>RT @IndonesiaRAW: Presiden Jokowi Teken Keppres, Kewarganegaraan ISIS Eks WNI Gugur Seketika #WNIeksISISstateless</t>
  </si>
  <si>
    <t>RT @ariel_heryanto: Kata Sukarno perjuangan bangsa kini lebih susah ketimbang dulu. Dulu lawannya cuma Belanda. Sekarang banyak banget. Selain banjir dan perubahan iklim, ada mantan kombatan ISIS. Tuntutan Papua. Ada gugatan Veronica Koman. Tugu kayak palu arit! Hari Valentin! 🙈🙈🙈 #SemogaTabah</t>
  </si>
  <si>
    <t>RT @IndonesiaRAW: Ini Landasan Hukum Cabut Kewarganegaraan ISIS Eks WNI Tanpa Proses Pengadilan #WNIeksISISstateless</t>
  </si>
  <si>
    <t>RT @IndonesiaRAW: Kemungkinan Penyusupan ISIS Asal Indonesia Harus Diantisipasi #WaspadaISISmenyusup</t>
  </si>
  <si>
    <t>RT @IndonesiaRAW: Pasca Penolakan ISIS Eks WNI Pintu Penyusupan Harus Diblokir #WaspadaISISmenyusup</t>
  </si>
  <si>
    <t>RT @IndonesiaRAW: Presiden Jokowi Jamin WNI yang Diobservasi Bebas Infeksi Virus Covid-19 #WNINatunaSehat</t>
  </si>
  <si>
    <t>RT @IndonesiaRAW: Pemerintah Jamin WNI yang Diobservasi Tidak Lagi Dilarang Berbaur Dengan Warga #WNINatunaSehat</t>
  </si>
  <si>
    <t>RT @nustya88: @DadangRusian @jokowi @fadjroeL @fadlizon @mohmahfudmd JADILAH PETARUNG SEJATI, JANGAN JADI PECUNDANG HIDUP DAN MATI, SUKA DAN DUKA, MENANG ATAU KALAH PERANG PETARUNG SEJATI TETAP BERSAMA ISIS BIARKAN MEREKA MIMPI INDAH BERSAMA ISIS MEREKA BUKAN WNRI GAK USAH DIURUS, GAK USAH DIURUS, GAK USAH DIURUS</t>
  </si>
  <si>
    <t>RT @PojokNU: Inggris Larang Anak-anak Warganya Pengikut ISIS Pulang ke Negaranya: Pemerintah Inggris memutuskan melarang anak…</t>
  </si>
  <si>
    <t>@AndromedaMcfc @ustadtengkuzul Berita basi yg ga terbukti sampe skrg. Makanya otak di pake bukan hanya telan mentah2 yg di berita kan. Ada penangkapan brapa orang komunis sih? Klo terrorist yg afiliasi ke ISIS mah stiap tahun ditangkap, dibunuh Dan dihukum mati. Gue ktawa trusss. Lu mau ikut ke Syurga??</t>
  </si>
  <si>
    <t>Sejarah ISIS: Ideologi dan Mazhab Harakahnya (Bagian II)</t>
  </si>
  <si>
    <t>@DonAdam68 @GuccianoRie WNI yg eks isis ditolak, kuli penyakitan diimport n dilindungi. Plis inpes in mai kantri</t>
  </si>
  <si>
    <t>Kemarin, dari sistem TOSKA hingga WNI peserta observasi Corona pulang</t>
  </si>
  <si>
    <t>RT @FireBirdFeniks: Kepada Yth Presiden RI Bapak @jokowi Saya adalah seorang WNI yg beragama Islam.Akan tetapi,beberapa kejadian intoleransi yg terjadi di beberapa daerah sangat mengusik nurani saya &amp; banyak rakyat anda.Di periode 2 anda,tolonglah beri ketegasan &amp;amp; kebijakan</t>
  </si>
  <si>
    <t>@Bangzul__88 Analisa ngawur bin ngaco... Apa hubungan HTI dan GAM? Menghubungkan HTI dan ISIS ga ketemy, skr maksa bgt Menghubungkan HTI dan GAM... Sekalian aja pak, bikin analisa menghubungkan HTI dan PKI atau HTI itu adalah PKI... Biar makin keliatan ngawurnya... 😂😂😂</t>
  </si>
  <si>
    <t>RT @C41_5R: WNI tinggal dirusun disuruh Bayar , WNA CHINA dikasih Gratis, sebenarnya Ini Rezim Bekerja untuk Rakyat Indonesia atau untuk Rakyat China? ? #BPIP_AlihkanSkandalBUMN</t>
  </si>
  <si>
    <t>Bagaimana dengan Imam Mahdi kelak Pak Kiayi @Kiyai_MarufAmin ? Kalau HTI atau ISIS bisa jadi karena cara manusia yg tdk pas utk diterima Ummat Manusia. Kalau Imam Mahdi, kelak juga akan menegakkan Khilafah lho.</t>
  </si>
  <si>
    <t>RT @kasman_vandi: @LusiHQ @CiyusBukanAku @herlambang_tan @donarevi @nemosyus Very clear, ini dr sumber yg sama kan Lus? Sama dgn yg mereka pegang selama ini. Pada dasar nya saya tidak ingin menjudge masa lalu. Sangat disayangkan menjadikan masa lalu yg kejam untuk ditiru dan menjadikannya pembenaran atas kekejaman masa kini. Perbudakan oleh ISIS cthnya</t>
  </si>
  <si>
    <t>Menkes: WNI Selesai Observasi Virus Corona tidak Dilarang Berkerumun</t>
  </si>
  <si>
    <t>Pemerintah Jamin WNI yang Diobservasi Tidak Lagi Dilarang Berbaur Dengan Warga #WNINatunaSehat</t>
  </si>
  <si>
    <t>RT @rasjawa: Sekitar 238 WNI yang dikarantina di Natuna 100% sehat. Sebanyak 78 pekerja kapal WNI di kapal Pesiar mewah yang dikarantina di Jepang juga gak ada satu pun yg terkena virus Corona. Luar biasa.</t>
  </si>
  <si>
    <t>@AnakLolina Mereka kaum ISIS lbh kejam dr PKI, Provokator d indonesia harus dsingkirkan</t>
  </si>
  <si>
    <t>Presiden Jokowi Jamin WNI yang Diobservasi Bebas Infeksi Virus Covid-19 #WNINatunaSehat</t>
  </si>
  <si>
    <t>pacaran aja sama anggota isis mbak RT @dhewiratnasarii: Lelaki yang sulit dicari : 1. takut akan zina 2. Cinta masjid 3. menangis karna allah 4. berjihad ketika usia muda 5. berakhlak mulia Untuk para lelaki kalian di kategori yang mana?</t>
  </si>
  <si>
    <t>RT @Samuja9: @masagengari @spiderr__matrix @elbynz Jangankan di Indonesia, di belahan duniapun tak di akui, ISIS aja terkatung2 orangnya noh mau di bawa kmana, mgkin skrg lagi cari massa lagi</t>
  </si>
  <si>
    <t>RT @Alphaville69: Apakah Anda PRO ISIS dan PRO KHILAFAH ?</t>
  </si>
  <si>
    <t>Pasca Penolakan ISIS Eks WNI Pintu Penyusupan Harus Diblokir #WaspadaISISmenyusup</t>
  </si>
  <si>
    <t>@aribgspanuntun Disuruh apa lagi ..apa pulangon wni ex isis aja</t>
  </si>
  <si>
    <t>Inggris Larang Anak-anak Warganya Pengikut ISIS Pulang ke Negaranya: Pemerintah Inggris memutuskan melarang anak…</t>
  </si>
  <si>
    <t>wni yg karantina di natuna apa tidak ada yg cinlok</t>
  </si>
  <si>
    <t>#TerimakasihNatuna Terima kasih buat masyarakat dan Pemda Natuna Kepri atas kesediaannya menerima WNI dari Wuhan untuk dikarantina terkait virus Corona.</t>
  </si>
  <si>
    <t>@SuperLensPants al qaida isis #1</t>
  </si>
  <si>
    <t>@eko_kuntadhi Lebih heboh lagi kalo mereka tau bahwa anggota ISIS ngga ada yg kena korona.😅</t>
  </si>
  <si>
    <t>RT @kemenkopmk: Pd ksmptn ini, Kepala BNPB jg memberikan 10 penghargaan kpd tokoh masyarakat &amp; jajaran pemerintah atas kontribusi mereka di berbagai bidang. Dlm sambutannya, Menko PMK Muhadjir Effendy mewakili Pemerintah mengapresiasi warga Natuna atas penerimaan mereka thd WNI yg diobservasi.</t>
  </si>
  <si>
    <t>RT @kemenkopmk: Seusai mendampingi pelepasan WNI yang sudah selesai diobservasi di Natuna, Menko PMK Muhadjir Effendy dan Kepala BNPB Doni Monardo hadir dalam acara malam syukuran dan apresiasi tim kemanusiaan pelepasan WNI dari Wuhan dgn masyarakat Natuna di Gedung Sri Srindit.</t>
  </si>
  <si>
    <t>RT @Si_Bee: Ditolak Pemerintah, Ternyata WNI Eks ISIS Sejahtera dan Tak Mau Pulang Bahkan dia (Cep Hermawan) menduga isu pemulangan tersebut dibuat untuk pengalihan isu. --- Kata Presiden ISIS cabang Indonesia, Cep Hermawan, begitu tuh.. 🙄 Jadi??</t>
  </si>
  <si>
    <t>Masyarakat Natuna Bersyukur Observasi WNI Berjalan Lancar</t>
  </si>
  <si>
    <t>@RizmaWidiono HTI/ISIS tiada bedanya.. Kuburkan!! #AwasHTImasihEksis.</t>
  </si>
  <si>
    <t>RT @KedaiPenaCom: Demokrat Dukung Pemerintah Tak Pulangkan WNI Eks ISIS -</t>
  </si>
  <si>
    <t>Mahasiswa WNI yang Satu Ini Sempat Tidak Mau Pulang dan Tidak Panik Saat di China</t>
  </si>
  <si>
    <t>@KoboiBengek Mohon dibaca dgn baik Mas.. Yg dipulangkan adl WNI YG BEKERJA.. Yg ke Arab tapi gak kerja ya gak dipulangin. Yg pergi krn Umroh ya tdk dipulangin. Begitu juga yg ke Arab krn undangan Raja Arab, ya tidak dipulangin.</t>
  </si>
  <si>
    <t>@AHSANFURQANIBR5 Kek HTI gitu bukan? Atau ISIS?</t>
  </si>
  <si>
    <t>RT @kjrijohorbahru: KJRI Johor Bahru pada Jumat (14/2) memulangkan 6 (enam) WNI/PMI dari Rumah Pelindungan (shelter) KJRI Johor Bahru yang telah dibantu penanganan kasusnya, penyelesaian hak haknya dan proses dokumen pemulangannya.</t>
  </si>
  <si>
    <t>RT @kjrijohorbahru: Keenam WNI/PMI tersebut berangkat dari pelabuhan ferry Stulang Laut, Johor, menuju Pelabuhan Batam dan selanjutnya dipulangkan ke daerah asal di Semarang, Yogyakarta, Medan dan Padang. #IniDiplomasi #NegaraMelindungi</t>
  </si>
  <si>
    <t>RT @jawapos: Observasi 238 WNI dari Wuhan Selesai, Kemendagri Puji Masyarat Natuna</t>
  </si>
  <si>
    <t>Mendagri Apresiasi Kekompakan Pemda Dan Masyarakat Layanani WNI Observasi di Natuna</t>
  </si>
  <si>
    <t>Memberi catatan atas sebuah "keputusan sementara", sudut pandang HAU via;</t>
  </si>
  <si>
    <t>Komnas HAM: Kasus Paniai Berdarah Masuk Pelanggaran Berat &gt; yaa..urus aja itu, jangan urusi ISIS!! RT @CNNIndonesia: Komnas HAM: Kasus Paniai Berdarah Masuk Pelanggaran Berat</t>
  </si>
  <si>
    <t>@55Annur @DonAdam68 Sekarang para simpatisan ISIS sudah percaya sama ketololan klenik. Memang dari awal sudah goblok.</t>
  </si>
  <si>
    <t>Observasi 238 WNI dari Wuhan Selesai, Kemendagri Puji Masyarat Natuna</t>
  </si>
  <si>
    <t>@Sentjoko @AlaricLuthfy @kuaci_215 Lah? Yakin mas? Moderat mana sih yang mendukung isis? Siapa yang tutup mata?</t>
  </si>
  <si>
    <t>RT @unrealstranger: @AhlulQohwah Tolong hal serupa di terapkan di Indonesia untuk para anggota isis yg balik ke Indo</t>
  </si>
  <si>
    <t>Kebahagiaan Keluarga Sambut WNI dari Natuna</t>
  </si>
  <si>
    <t>Istana : Masyarakat Punya Empati Tinggi Soal 238 WNI Lolos Observasi di Natuna &gt;&amp;gt;&amp;gt;&amp;gt;&amp;gt;</t>
  </si>
  <si>
    <t>@taksukabegitu @AlaricLuthfy @kuaci_215 Islam moderat selalu tutup mata, misalkan atas praktek pancung yang dilakukan ISIS, dengan berkata ISIS bukan islam, tapi pas 600an ex WNI terlunta2 di Suriah, dibela dengan berkata mereka sesama muslim, khan wedhus kalian😂</t>
  </si>
  <si>
    <t>RT @4Y4NKZ: @jokowi SAYA SIH sebagai warga yg peduli dg keamanan negara NO ! Sampah kok di pungut pulang apakah tdk membahayakan negara. Dr segi pakaian mereka yg menakutkan akan menular pada yg lainya. Hidup itu pilihan bahkan saat mereka gabung isis itupun sebuah pilihan.</t>
  </si>
  <si>
    <t>Kayak terharu gt liat wni yg lg diobservasi di Natuna akhirnya bisa pulang dan kumpul brg keluarga lg:’)</t>
  </si>
  <si>
    <t>WNI yang telah melakukan observasi di Natuna, Kepulauan Riau saat ini sudah kembali ke keluarga mereka masing2. [SIMAK] Saat ini kami berbncang dgn Salah seorang WNI yang merupakan mahasiswa di Wuhan, Hubei, Tiongkok, Nugraha Kristianta. Streaming &gt;&amp;gt;</t>
  </si>
  <si>
    <t>@OpsiMetroTV Cari panggung dg prestasi bukan menggunakan isiu yg mempertaruhkan keamanan nasional.. 600 org lebih isis klo balik ke Indonesia mau jadi apa negara ini??</t>
  </si>
  <si>
    <t>@DadangRusian @jokowi @fadjroeL @fadlizon @mohmahfudmd kalo sama korban isis situ mau bilang apa ??</t>
  </si>
  <si>
    <t>Demokrat Dukung Pemerintah Tak Pulangkan WNI Eks ISIS -</t>
  </si>
  <si>
    <t>Tentang penolakan masuknya 600an ex ISIS, Prof Gayus Lumbuun mengatakan, berbicara tentang hak kewarganegaraan, harus merujuk kepada mekanisme UU yang mengatur secara tersendiri hal tersebut.</t>
  </si>
  <si>
    <t>RT @okezonenews: Cerita Pilot Pengangkut WNI dari Wuhan yang Harus Ikut Observasi di Natuna #TauCepatTanpaBatas #BeritaTerkini #Berita #News #BeritaNasional .</t>
  </si>
  <si>
    <t>@cancellllllllll @AHSANFURQANIBR5 @mahmud_neo @SetyawanAryf @jokowi sok2an ngebela toh cuk , ex isis sudahlah ga usah pulang, disana aja stateless kek kumpul sm organisasi garong baru kek whatever</t>
  </si>
  <si>
    <t>RT @MZubir_ID: @wahhabicc_jabar @veraagustian_ Keamanan negara lebih utama daripada memulangkan teroris ISIS eks WNI. AS, Inggris &amp; negara² Eropa tegas menolak teroris ISIS kembali. Kenapa Indonesia begitu perhatian kepada teroris? Padahal teroris telah membunuh ratusan orang di Indonesia. #ISISGoToHell @jokowi @mohmahfudmd</t>
  </si>
  <si>
    <t>@AndiArief__ Yg pasti Jokowi dan warga NKRI nggak peduli dan ogah ngurusin ISIS.</t>
  </si>
  <si>
    <t>Cerita Pilot Pengangkut WNI dari Wuhan yang Harus Ikut Observasi di Natuna #TauCepatTanpaBatas #BeritaTerkini #Berita #News #BeritaNasional .</t>
  </si>
  <si>
    <t>@Ganta271 @siiemak Di negeri +62 ini warganya lebih jijik melihat orang yg terjangkit virus HIV, daripada melihat orang yg terjangkit virus radikalisme. Begitu juga Corona, mereka lebih kawatir akan terjangkiti daripada melihat tangis HALU para eks kombatan ISIS</t>
  </si>
  <si>
    <t>@Raj4Purwa Yg pasti Jokowi dan warga NKRI ora urus ISIS. 😂😂😂😂</t>
  </si>
  <si>
    <t>RT @riauaktual: Pilunya Kisah Budak Seks ISIS, Ditahan Berhari-hari di Ruang Bawah Tanah Hingga Memakan Bayinya</t>
  </si>
  <si>
    <t>Human Initiative Salurkan Masker Virus Korona untuk WNI di Taiwan</t>
  </si>
  <si>
    <t>@DonAdam68 @jokowi Kenapa ngak sekalian dijadikan WNI aja ??? Kalau mau njilat ngak usah tangung tanggung pak</t>
  </si>
  <si>
    <t>Agak aneh kalo ada yang berpendapat bahwa warga ISIS eks WNI kembali ke tanah air sebagai pengalihan issue... Kalo pengalihan issue, masalah mana yang harus dialihkan? Mengapa masalah warga ISIS ini jadi masalah dunia? Au ahh elap....</t>
  </si>
  <si>
    <t>RT @Parew4_Minang: Para WNI dari Wuhan yg setelah selesai karantina melakukan foto bersama sebelum di terbangkan ke Bandara Halim perdanakusuma Dari Hangar terlihat Komandan Lanud Raden Sadjad (Danlanud RSA) Kolonel Pnb Fairlyanto Selamat datang...!! Selamat berkumpul lagi bersama keluarga..!</t>
  </si>
  <si>
    <t>Pilunya Kisah Budak Seks ISIS, Ditahan Berhari-hari di Ruang Bawah Tanah Hingga Memakan Bayinya</t>
  </si>
  <si>
    <t>@RestoeB63576970 Yg dikasih data utk wni dihongkong 😅😂,itukan memang wajib pemerintah harus melindungi warganya diluar negeri.. yg dibhas diindonesia malah lari kehongkong wkkwkw..ngakak gw liat lo bgi artikel😂</t>
  </si>
  <si>
    <t>WHO Puji Cara Indonesia Tangani WNI yang Dievakuasi dari Wuhan</t>
  </si>
  <si>
    <t>Indonesia bakal ada evakuasi 70an kru kapal yang WNI itu gak ya? Kalo iya bisa langsung pulang apa mesti observasi di Natuna lagi? 🤔 @KBRITokyo</t>
  </si>
  <si>
    <t>ㅤ ㅤ Nama lengkap: Sasmitapadhi Cumbanarasa. Tempat, tanggal lahir: Bandung, 23 Mei 1994. Alamat: Apartemen Casa Grande Residence Phase 2. Chianti tower, Lt. 18. Jl. Casablanca Raya Kav. 88. Menteng Dalam, Tebet. Jakarta Selatan. Agama: - Kewarganegaraan: WNI. ㅤ</t>
  </si>
  <si>
    <t>@DonAdam68 Warga negara yg bw penyakit disrh tingal dibk lbr neg ini..pdhl neg2 menutup akses...lah itu anak2 WNI yg gk tau apa2 dibw ortunya yg jd anggota isis ditolak plng....gambleh tenan nih rezim</t>
  </si>
  <si>
    <t>@fxckurbadvibes @riorzkypratama Sorry nder tadi aku nerimanya ambigu. Kukira td anak anak di syria sana yg gak tau bakal di bom sama anggota isis, bukan anak anggota isis yg keseret bapaknya</t>
  </si>
  <si>
    <t>@xorazuma Anech kan. .... Orang ISIS memang serba anech. .... 🤔🤔🤔🤔🤔</t>
  </si>
  <si>
    <t>@Jean_Aprilia97 Yang jelas seorang dg profil "pencari keadilan" tidak sedang mencari keadilan utk eks ISIS. Saran sy abaikan...</t>
  </si>
  <si>
    <t>RT @the_geotimes: Mengapa Banyak Perempuan Terpikat ISIS?</t>
  </si>
  <si>
    <t>RT @kompascom: Selain uang saku, pemerintah juga menanggung akomodasi dan transportasi para peserta observasi.</t>
  </si>
  <si>
    <t>RT @MrsRachelIn: @SantorinisSun @NannyAlexendry Ya' yg kita liat sisi kemanusiaannya . Klo ada yg bs bela2in Kombatan ISIS' bela Palestina ' bela Uighur tp ga peduli dg sdra sebangsanya' itukan aneh ?!</t>
  </si>
  <si>
    <t>RT @Jean_Aprilia97: Mari kita lihat secara kacamata Manusia. Apa yg terjadi pada mereka? Apabila status WNI mereka dicabut hak hukum,hak kesehatan dn perlindungan mereka hilang. Merka bsa aja diperjual belikan,korban penjualan organ,dll Krna mreka tdk ada perlindungan Hukum. Mreka terlantar.</t>
  </si>
  <si>
    <t>@yusuf_dumdum @DivHumas_Polri Up to @DivHumas_Polri @CCICPolri @PolhukamRI @Puspen_TNI apakah mau di biarkan org sprt ini? Cb periksa yg bnr, jgn2 ada hub dgn ISIS dan HTI #TangkapAlfianTanjung</t>
  </si>
  <si>
    <t>Mendagri Apresiasi Kekompakan Pemda Layanani WNI Peserta Observasi di Natuna</t>
  </si>
  <si>
    <t>CIREBON-Nelayan dari Kampung Samadikun yang melabuhkan perahu perahu mereka di Sungai Kedung Pane, di Kelurahan Kesenden, seringkali kesulitan keluar masuk muara. Mereka meminta pemerintah untuk melakukan normalisasi. Salah satu Nelayan,...</t>
  </si>
  <si>
    <t>WNI yang diobservasi di Natuna telah dinyatakan sehat.</t>
  </si>
  <si>
    <t>RT @KompasTV: Tangis Haru WNI dari Natuna Bertemu Dengan Keluarga</t>
  </si>
  <si>
    <t>@DadangRusian @Anne_mardiah @jokowi @fadjroeL @fadlizon @mohmahfudmd Yang menolak kehadiran WARGA ISIS bukannya hanya pemerintahan saja tapi coba sekali disimak dimana spanduk2 dilingkungan warga yang bertemakan jelas MENOLAK KEBERADAAN ISIS dilingkungan mereka. Nasi susah menjadi bubur dan tidak akan bisa kembali menjadi nasi yang bagus</t>
  </si>
  <si>
    <t>@buguluunyu tapi wenak lo jum temenan isis smriwing piyee ngnu brasa ngurangi beban urip</t>
  </si>
  <si>
    <t>Tangis Haru WNI dari Natuna Bertemu Dengan Keluarga</t>
  </si>
  <si>
    <t>@Rido_Lizze @Jean_Aprilia97 Jika memang dibakar dokumen kewarganegaraannya tentu ybs sdh gak.mau lagi jadi wni Beda sekali.jika wni yg dokumennya hilang, maka pemerintah wajib menyelamatkannya</t>
  </si>
  <si>
    <t>@AZainurrochim Bearti anda yg melihat secara Agama..knp anda bilang saya terlihat bodoh. Saya bicara kemanusiaan. Jika status WNI mereka hilang..jika mereka meminta untuk kembali status mereka bisa dikembalikan. Apa pemerintah mau atau tdk.?</t>
  </si>
  <si>
    <t>@funniest_valen @memefess @SHIIIIIZAAAAAA Gaya ngancemnya udh mirip militan ISIS kok</t>
  </si>
  <si>
    <t>RT @ind0day: 260 Juta lebih penting drpd 600 orang, Dukung Jokowi Berantas ISIS yang setuju retweet 👇 #DukungJokowiBerantasISIS</t>
  </si>
  <si>
    <t>@detikcom Kenapa malah eks presiden isis tinggal di NKRI kalo di suriah lebih nyaman... Pergilah dari NKRI #TolakEksWNIproISIS</t>
  </si>
  <si>
    <t>Tolak angin dan mie instan mmg andalan ngerantau😂 Minta Tolak Angin dan Mie Instan': Kisah WNI di Kapal Pesiar Diamond Princess | Republika Online Mobile</t>
  </si>
  <si>
    <t>@WenePapua1 Ada yg tidak lucu. Mau tahu? Pekerja pembangunan jalan transpapua dibantai oleh milisi papua merdeka persis seperti ISIS membantai org2 tak berdosa. Pekerja2 ini tewas diparang, dikampak, ditombak oleh milisi papua merdeka. Milisi papua merdeka bukan manusia. Mereka monster.</t>
  </si>
  <si>
    <t>RT @KompasTV: WNI dari Natuna Tiba Di Jakarta</t>
  </si>
  <si>
    <t>@SantorinisSun @NannyAlexendry Ya' yg kita liat sisi kemanusiaannya . Klo ada yg bs bela2in Kombatan ISIS' bela Palestina ' bela Uighur tp ga peduli dg sdra sebangsanya' itukan aneh ?!</t>
  </si>
  <si>
    <t>@hobisunmi buta isis wn todo mal wkbwlwj</t>
  </si>
  <si>
    <t>@Jean_Aprilia97 Memang tdk secara lgsg mengkaitkan agama Namun tersirat jelas ada 1. Cina dan miyanmar warga muslim musuhinya 2. Utk wni yg ikut ISIS mengeluarkan diri dari negaranya sendiri Jadi lgkh2 pemerintah sdh tepat... Apalagi konon paspornya sdh dibakar artinya bukti dokumen hukumnya hlg</t>
  </si>
  <si>
    <t>Kalo aku kok lebih cocok klo wni ex-osis dipulangin ya. Tapi mereka wajib ditempatin di area khusus, full pengamanan macam nusa kambangan (cuman ini yg ane tau) 😜</t>
  </si>
  <si>
    <t>“Kami memberikan apresiasi kepada rekan-rekan yang bekerja keras, saling membantu, TNI Polri dan kawan-kawan di sini, terutama media," kata Kepala BNPB Letnan Jenderal TNI Doni Monardo. #CoronavirusOutbreak</t>
  </si>
  <si>
    <t>WNI dari Natuna Tiba Di Jakarta</t>
  </si>
  <si>
    <t>@kompasiana Jangan mengada-ada pengertian yang salah dimengerti masyarakat luas. Istilah pemerintah ada dalam kajian formal dan universal. Harus tercatat pada headline : ** Pengikut ISIS Eks WNI **</t>
  </si>
  <si>
    <t>@cringemeow penyambutan plgnya laskar isis kah?</t>
  </si>
  <si>
    <t>RT @SCTV: Akhirnya... WNI dari Wuhan, yang menjalani observasi di Natuna, sudah dipulangkan. Yuk dengarkan kisah Sinta dan Santi di tempat observasi. #Liputan6SCTV</t>
  </si>
  <si>
    <t>@Rido_Lizze @Jean_Aprilia97 Justru saya memahaminya Mohon baca dg serius antar paragraf dg paragrap yg menyinggung indonesia Bagaimana kasus yg terjadi dicina, palestina, dan miyanmar.... Sementara wni yg ikut ISIS kemudian paspornya dibakar artinya identitasnya hilang (dokumen hukimnya hilang)</t>
  </si>
  <si>
    <t>@dhewiratnasarii ini mah ciri spesifik anggota isis</t>
  </si>
  <si>
    <t>Dmn @KomnasHAM Ham ?? Knp sibuk belain kombatan Isis eks wni tp abai pd masalah dlm negri ??</t>
  </si>
  <si>
    <t>Begini suasana haru campur bahagia saat WNI dari Wuhan yang selesai diobservasi di Natuna berjumpa dengan keluarga. #IndosiarBerita Ah, kangen sekangen-kangennyaaaaa tuh pasti :')</t>
  </si>
  <si>
    <t>Penolakan ISIS Eks WNI, Pembelajaran dari Presiden RI  lewat @pedoman_id</t>
  </si>
  <si>
    <t>RT @tiraimissu: @AhlulQohwah @KPAI_official @TyasZain @WagimanDeep @narkosun @JoniSukaPaha @KPAI_official mah diem diem bae kalo gini, gak ada duitnya. Beda kalo anak2 isis eks wni, ngebet banget, krn ada duitnya.</t>
  </si>
  <si>
    <t>@detikcom Ralat, ISIS EKS WNI! Baguslah klo hidup senang disana, gak usah pulang mati aja disana.</t>
  </si>
  <si>
    <t>RT @hagemaruru4: Menangis aku gelak tengok acey bagi salam macam tu. Lepas tu borak arab 😂 😂</t>
  </si>
  <si>
    <t>RT @1Obefiend: Sampai contusion kepala brader tu. Good luck in jail ISIS wannabes</t>
  </si>
  <si>
    <t>@bagusharyobint3 daftarin ke isis</t>
  </si>
  <si>
    <t>@Black_lleviant @DimasyFermana @AnakLolina Org/kelompok/golongan yg gigih memperjuangkan pemulangan ex WNI ISIS k tanah air itu org yg d bodohi oleh mereka..hnya org bodoh yg meng-iya-kan pulangnya ex WNI ISIS dgn alasan sdh sadar..ex WNI ISIS FPI HTI bsa d setarakan dgn bahaya laten komunis..</t>
  </si>
  <si>
    <t>WNI yang diobservasi di Natuna dikembalikan ke rumah masing - masing. Bagaimana masyarakat harus membuka diri terhadap WNI pasca diobservasi dari penyakit corona? #20thElshintaNewsAndTalk [SIMAK] Sosiolog Universitas Gadjah Mada - Sunyoto Usman</t>
  </si>
  <si>
    <t>☢ Iya... Sebagai WNI yang tinggal di Tangerang Selatan mendengar berita ini sangat mengejutkan 🧐 antara percaya dan tidak percaya... Antara ada dan tiada... Dan "Antara Aku, Kau, Dan Bekas PacarMu" @iwanfals 🎸 Jreeeeeeeeng..... 😺 RT @humasbatan: Tetap tenang ya.. BATAN bersama @bapetenRI lanjutkan tindakan clean up area terpapar #Radiasi di BATAN Indah 🌐</t>
  </si>
  <si>
    <t>@DadangRusian @jokowi @fadjroeL @fadlizon @mohmahfudmd NU menolak ISIS dipulangkan</t>
  </si>
  <si>
    <t>RT @wandazrin: Saya suka dgn Quote ini yg dikongsikan rakan Twitter saya: ‘Meski ujian sebesar kapal tapi hikmahnya seluas lautan’ Ia benar2 ‘Magic’ sbb bila baca shj terasa menusup masuk ke dlm kalbu. ☺️❤️</t>
  </si>
  <si>
    <t>Inget cerita temen kerja di maskapai dubai, ngebet pengen izin pulang dulu sedangkan bosnya ga ngizinin. Akhirnya dia dikeromin temennya yg sesama WNI dan diliatin lah hasil kerokan ke bosnya. Langsung Auto di izinin balik dulu karena dia nyangkanya temen kena virus aneh. 😂😂😂 RT @vibebyst: ketika corona mencoba masuk ke indonesia</t>
  </si>
  <si>
    <t>RT @megatshzz: Bila pasangan kau nak bercerita atau luah sesuatu bagi la perhatian sepenuhnya, sebab luahan seseorang tu akan dapat meringankan beban dalam diri</t>
  </si>
  <si>
    <t>RT @Beritasatu: WNI “Kebal” Virus Korona? Ini Kata Menkes Terawan</t>
  </si>
  <si>
    <t>You're our hero. 18 Awak Batik Air yang Jemput WNI di Wuhan Tiba di Jakarta</t>
  </si>
  <si>
    <t>Para WNI dari Wuhan yg setelah selesai karantina melakukan foto bersama sebelum di terbangkan ke Bandara Halim perdanakusuma Dari Hangar terlihat Komandan Lanud Raden Sadjad (Danlanud RSA) Kolonel Pnb Fairlyanto Selamat datang...!! Selamat berkumpul lagi bersama keluarga..!</t>
  </si>
  <si>
    <t>@SuksmaM Ya' ada yg bangga klo bs mengintimidasi &amp; mlakukan kekerasan atas nama agama ' liat klompok Teroris isis .</t>
  </si>
  <si>
    <t>Keberhasilan proses observasi terhadap 238 WNI tersebut tak luput dari kerja sama Pemerintah Kabupaten Natuna dan masyarakatnya.</t>
  </si>
  <si>
    <t>Undangan Terbuka 40 Hari Syahadah Qasem Soleimani, Minggu 16 Februari 2020, pukul 16 di ICC @ICCJakarta, Jl. Warung Jati Barat 35, Pejaten, Jaksel (sebelah Republika). Sosok penghancur ISIS dan pejuang Palestina.</t>
  </si>
  <si>
    <t>RT @saefudin_zuhrii: @Pramudt @mohmahfudmd Eh isis dah jadi negara ya ? 🤔</t>
  </si>
  <si>
    <t>RT @hariankompas: Semua WNI yang diobservasi di Natuna, Kepulauan Riau, telah diterbangkan ke Pangkalan Udara Halim Perdanakusuma, Jakarta. Pemerintah menyatakan, mereka semuanya sehat dan bisa segera kembali kepada keluarga masing-masing. #Nusantara #KawandalamPerubahan</t>
  </si>
  <si>
    <t>@B_AG11 @negativisme @KimJongUnNuking Udah buat fans base kayaknya isis wkwk</t>
  </si>
  <si>
    <t>RT @ganjarpranowo: WNI Dipulangkan dari Natuna, Ini Pesan Ridwan Kamil hingga Ganjar</t>
  </si>
  <si>
    <t>600 org eks ISIS itu apa punya HAM? Punya... Tapi 250juta penduduk Indonesia yg msh setia dgn NKRI dan Pancasila juga punya HAM. Catat! RT @kisbet_: Bajer teroris ini pande kali memang bermain kata2. Cuma krna liat video tentang seorang perempuan yg sudah dewasa yg bercita2 pen jadi dokter tp nda kesampaian krna berangkat ke suriah sambil nangis udah kasian dan sok bijak2 bestari Hati kelen gak menangis liat ini?</t>
  </si>
  <si>
    <t>PBB menyatakan isis adalah ancaman dan membuat resolusi melawan terorisme, maka isis bukan anggota PBB. Jadi isis BUKAN sebuah NEGARA</t>
  </si>
  <si>
    <t>RT @toasan: @mohmahfudmd Masuk Dinas tentata asing dan masuk dinas dalam negara asing. Kata Dinas atau Negara makananya adanya “entitas negara”. Apakah Bapak menganggap ISIS suatu negara? Kalau ISIS bukan negara maka proses pengadilan tetap diperlukan. Ujian bagi para Pancasilais!</t>
  </si>
  <si>
    <t>RT @WijoyoHdi: Jokowi : ISIS eks WNI !! 👍👍👍👍</t>
  </si>
  <si>
    <t>Sejumlah kepala daerah angkat bicara usai masa karantinta WNI di Natuna selesai. Ganjar sebut jangan dikucilkan hingga Risma siapkan alat kesehatan.</t>
  </si>
  <si>
    <t>Beresin yg dalam negeri dulu toh, masak ngurusin yg eks WNI pro ISIS, ada apa dgn semua ini ...CC @DivHumas_Polri @Kepolisian_RI @BareskrimPolri RT @yusuf_dumdum: Wah ini siapa lagi ? Ngerih ceramahnya. 🤦‍♂️ Gak usah sibuk mau deradikalisasi ratusan eks ISIS WNI. Coba @BNPTRI benerin dulu jalan pikiran ngustadz ini. Mampu gak ? Cc @DivHumas_Polri Kalau ini saja gak bisa diberesin maka jangan sok gaya mau deradikalisasi 660 eks ISIS.</t>
  </si>
  <si>
    <t>Masyarakat Natuna Bersyukur Observasi WNI Berjalan Lancar #TauCepatTanpaBatas #BeritaTerkini #Berita #News #BeritaNasional .</t>
  </si>
  <si>
    <t>RT @republikaonline: Pemulangan WNI eks ISIS harus ditindaklanjuti dengan langkah pembinaan.</t>
  </si>
  <si>
    <t>@DonAdam68 WNA China dia gratiskan padahal itu bisa buat nambah2 bayar utang negara.... WNI dari ingin bertaubat dari penyimpanan ISIS ditolak #PemimpinGakMutu</t>
  </si>
  <si>
    <t>RT @the_geotimes: Senjakala ISIS di Libya</t>
  </si>
  <si>
    <t>@isis_macedo10 "lamber?" KKKKKKKKKKK</t>
  </si>
  <si>
    <t>Prof Gayus Beberkan Cara Pencabutan Kewarganegaraan Eks WNI ISIS | #indonesia #minggupagi &gt;&amp;gt;&amp;gt; Click</t>
  </si>
  <si>
    <t>RT @RadioElshinta: Pemerintah Kabupaten Natuna Kepulauan Riau berharap pemerintah pusat meningkatkan fasilitas kesehatan setempat, setelah selesai menjadi lokasi observasi WNI dari Wuhan, Tiongkok.</t>
  </si>
  <si>
    <t>@KyaiMblebes Gw sih gak ngurusin hal bgt. Gak kepi juga. Urusan tolak ISIS lbh penting.</t>
  </si>
  <si>
    <t>Gayus: Pemerintah Sudah Tepat Tolak WNI Eks ISIS</t>
  </si>
  <si>
    <t>@Isis_Turl Q Itu</t>
  </si>
  <si>
    <t>Sampai contusion kepala brader tu. Good luck in jail ISIS wannabes</t>
  </si>
  <si>
    <t>@yusuf_dumdum @BNPTRI @DivHumas_Polri Da'i provokator . Ini lebih berbahaya dari ISIS. Kalau ISIS jelas melawan dengan senjata. Kalau ini dengan lisan dan lisan itu lebih tajam dari peluru. Wallahu'alam</t>
  </si>
  <si>
    <t>@ugisugiharto Yg punya Cianjur ini bro... pengaruhnya sampe Jabar keseluruhan... ngga heran kan Gubernurnya mempersilahkan ISIS eks WNI kembali ke Jabar 💣💣💣</t>
  </si>
  <si>
    <t>@TeddyGusnaidi Jangan2 hizbuttahrir dan isis bikinan kim jong un.😅😅</t>
  </si>
  <si>
    <t>@NuKultural @GusNadjib @SuksmaM @kutakpunyahati @Lieinghua2 @mas_arie89 @and1deRis merampas..??? mereka dgn sukarela mencerabut status WNI dgn kesadaran penuh, terus sekarang pemandu sorak merengek mereka dirampas hak2 nya.. weleh2</t>
  </si>
  <si>
    <t>@YudiAbdulRohim @BadjaNuswantara @WagimanDeep @permadiaktivis @mohmahfudmd @DivHumas_Polri Coba terapkan hukum baru... Yg protes sama pemerintahan NKRI, kirim segera ke suriah. Dan berikan dgn sukarela ke isis. Biar lbh afdol jihad islam nya.</t>
  </si>
  <si>
    <t>#njeleded Rejim ini kompromis pd rakyatnya yg TERSESAT KOMUNIS PKI (diberi ruang) &amp; anak keturunannya msih BANGGA sbg Anak PKI Rejim ini MEMUSUHI rkytnya yg tersesat ISIS padahal mau bertobat • PKI ITU MASIH DI CATAT BAHAYA LATEN, musuh PANCASILA !</t>
  </si>
  <si>
    <t>RT @WahabisLokal: Astagfirullah Bener2 anak Biadab. Ibu kandung sendiri ditembak mati didepan umum. Buka mata lo lebar2 yg mau pulangin anak2 Ex WNI ISIS. Jangan sok bicara HAM, emang kalian mau Ngebunuh 170 jt rakyat Indonesia yak. #TolakAnakISISKembali</t>
  </si>
  <si>
    <t>@detikcom OOO baru tau sudah ada presidennya to isis</t>
  </si>
  <si>
    <t>@Silfanus_Wen @detikcom @agama_nusantara @DivHumas_Polri @mohmahfudmd @jokowi Masih komunikasi lagi dengan ISIS.. bingung dulu kenapa diterima pas dia pulang</t>
  </si>
  <si>
    <t>Prov ini pernah dipenjara... saat sidang, saat dipenjara menunjukan penyesalan dan minta maaf, setelah bebas mengulangi lagi... Terus kita disuruh percaya klo ada ex wni ISIS kembali ke Indonesia karena sdh tobat? RT @YudiAbdulRohim: 👇Ijin Mohon diViralkan, agar segera cepat diproses, oknum pelaku provokator ini, Ustad Provokator itu namanya DR Alfian Tandjung, sudah pernah dipenjara, msh blm kapok2x jg atau kurang lama mendekam di penjaranya. @WagimanDeep @permadiaktivis @mohmahfudmd @DivHumas_Polri</t>
  </si>
  <si>
    <t>RT @PaidPromoAlter: orang Indonesia kebal ya.. jangankan virus yg dibawa ke Indonesia.. itu mahasiswa/WNI yg sempat tinggal di Wuhan dan akhirnya dikembalikan ke Indonesia aja negative corona semua.. sehat pula.. 🤣</t>
  </si>
  <si>
    <t>Mahasiswa WNI dari China telah dipulangkan kembali ke Jatim setelah karantina.</t>
  </si>
  <si>
    <t>WNI Dipulangkan dari Natuna, Ini Pesan Ridwan Kamil hingga Ganjar</t>
  </si>
  <si>
    <t>RT @Harian_Jogja: Suasana Pelepasan WNI di Natuna, Isak Tangis Pecah tapi Terselip Rasa bahagia</t>
  </si>
  <si>
    <t>@DadangRusian Jadi langkah pemerintah ga mulangin mantan isis bukan buat ngelindungi NKRI ya? Aku lebih milih pemerintah untuk tidak mengambil resiko sekecil apapun. Demi keamanan ORANG BANYAK</t>
  </si>
  <si>
    <t>RT @kamto_adi: Selamat kembali ke keluarga, tetap sehat dan semangat, terima kasih juga untuk masyarakat Natuna. Tak lupa @_TNIAU, @KemenkesRI, @BNPB_Indonesia dan semua unsur yg terlibat. Misi pemulangan WNI ini tdk akan berhasil tanpa kerjasama yg baik dari kita semua.😇</t>
  </si>
  <si>
    <t>@detikcom Ini yang ribut pertama kali klo ex isis mau pulang siapa sih? Apa ex isisnya sendiri? Atau pemerintah?</t>
  </si>
  <si>
    <t>Pengakuan WNI yang Pulang setelah Diobservasi di Natuna: Tidak Ada Kata Tidak Boleh Keluar  lewat @tribunnews</t>
  </si>
  <si>
    <t>Pemulangan WNI eks ISIS harus ditindaklanjuti dengan langkah pembinaan.</t>
  </si>
  <si>
    <t>@detikcom trus knpa presidenya isis ga bimbing mereka disana</t>
  </si>
  <si>
    <t>Video Detik-detik Warga Lempar Asbak saat Demo Sempat Tolak WNI dari Wuhan di Kantor DPRD Natuna  lewat @tribunnews</t>
  </si>
  <si>
    <t>RT @ulinyusron: Begini ISIS eks WNI</t>
  </si>
  <si>
    <t>RT @SalmaBrecht: Mrk tidak mau pulang, knp @KPAI_official, @KomnasHAM ingin memulangkan? Chep Hernawan (ex Pres.ISIS Indonesia) mengungkapkan sekitar 700 orang WNI yg masih di Suriah. Diantaranya sering berkomunikasi. Dari pengakuan mrk tidak berniat pulang ke Indonesia.</t>
  </si>
  <si>
    <t>Cerita Kru Pesawat Penjemputan WNI, Dari Wuhan Hingga Natuna</t>
  </si>
  <si>
    <t>Kementerian Kesehatan menyatakan, dari proses observasi selama 14 hari terhadap 238 WNI di Natuna, semuanya sehat.</t>
  </si>
  <si>
    <t>Bangke nih mutar mutar mulu orang ini. Katanya eks WNI tidak mau pulang krn hidup mewah, Tapi dia pulang entah kapan dan kenapa. Trus bilang lagi mau nampung eks ISIS itu di Indonesia... Besok apa lagi ? RT @detikcom: Eks Presiden Islamic State of Iraq and Suriah (ISIS) Regional Indonesia Chep Hermawan membuat berbagai pernyataan terkait polemik pemulangan WNI) eks ISIS.</t>
  </si>
  <si>
    <t>Agen BO Terpercaya Games Online: ✅Bola ✅Slot ✅Live Casino ✅Laga Ayam ✅Bola Tangkas ✅Tembak ikan Cashback Up To 8% Promo Menarik Proses Cepat 🔛7️⃣ x 2️⃣4️⃣JAM 📶DEPO PULSA T-SEL &amp; XL ☎️WA+6282180020955 DAFTAR➡ "ISIS memotong Tangan &amp;amp; Kaki Saya"</t>
  </si>
  <si>
    <t>Gabung sama isis</t>
  </si>
  <si>
    <t>Ia mengatakan, tidak menutup kemungkinan mereka akan kembali ke Wuhan setelah wabah virus corona berakhir.</t>
  </si>
  <si>
    <t>@desta_geboy lepas saja biar isis</t>
  </si>
  <si>
    <t>Karantina Berakhir, @nuryasin164 Ajak Masyarakat Terima WNI dari Wuhan.</t>
  </si>
  <si>
    <t>@riorzkypratama Pas sudah sampai sana baru dikasih tau si bapak kalau mereka bakal join isis. Tau tau semua gak sesuai rencana tuh ternyata isis gak seperti yg si bapak bayangin dan si bapak (misalkan) mati. Masa tetap gaboleh balik nyot disana kesian jadi budak sex terus loh</t>
  </si>
  <si>
    <t>RT @takauno4u: @detikcom Ini detik pro ISIS apa gimana sih?? Jokowi udah ketok palu nolak mulangin, dia ungkit-ungkit lagi ini topik. Segala wawancara "presiden" ISIS...</t>
  </si>
  <si>
    <t>@detikcom Aq kira dia lbh tau karna dia ISIS, klo.ada yg Nyuruh blk Politikus busuk, mo cari Receh, y g ada prestasi</t>
  </si>
  <si>
    <t>Mendagri Ingin Masyarakat Terima WNI Eks Wuhan  #Nasional</t>
  </si>
  <si>
    <t>@LusiHQ Lah, emang. Buktinya para peju-ang ISIS pengen punya istri baru setiap minggu. Para pendamba surga pun diiming-imingi 72 perawan</t>
  </si>
  <si>
    <t>@detikcom Ralat tuh : ISIS EKS WNI. Kalau hidup senang, terus ngapain ribut ingin pulang?</t>
  </si>
  <si>
    <t>@haluanghabang @3_devout @LucuYahudi @KatolikG @ProtestanGL @ProtestanLucu @WahabiLucu @FPIgarislucu @NUgarislucu @KaumBumiLucu @BuddhisGL Iya, pada dasarnya terorisme itu suatu serangan atau tindakan meteriil terorganisir yang bertujuan untuk meneror sekelompok masyarakat atau golongan. Buktinya beberapa teroris memang anakannya ISIS. Intinya dengan perbuatan beberapa orang jangan membuat seluruh golongan terlibat</t>
  </si>
  <si>
    <t>@detikcom ex Presiden Isis kok CHEP... gak keren ah... harus nya itu pake ABU ABU gitu.. Bahasa Arab lah.. masa nama Presiden kok Chep 🤣🤣🤣🤣🙈🙈🙈🙈</t>
  </si>
  <si>
    <t>@riorzkypratama Tapi kaya apa nyot kalo ada satu keluarga, si anak gatau apa apa lagi asik belajar buat jadi dokter ibunya lagi asik nyapu nyapu teras rumah terus nene kai nya lagi nikmatin hari tua tapi dipaksa harus ikut ke syria sama si bapak buat jadi isis tp awalnya mrk gatau kl bkal ksana</t>
  </si>
  <si>
    <t>Pro dan Kontra terhadap pemulangan anggota ISIS sekitar 600 san orang yang ada di Surya mjd sengit dan rame di perbincangkan olh pemerintah, tokoh agama dan mayarakat di media televisi maupun media sosial lainya tapi blm ada keputusan final dari pemerintah</t>
  </si>
  <si>
    <t>@Arepsalah Knpe perangai mcm isis?</t>
  </si>
  <si>
    <t>@Miptul @rororokatt @AlfaOmega0110 @adeehh_ Cieee... ada yg kesindir budak seks ISIS... yakin lu hormatin? Lakuin dulu apa yg dia bilang “Tuhan tidak perlu dibela, Dia sudah Maha segalanya. Bela lah mereka yg diperlakukan tidak adil” Anda bisa mulai dengan menyuarakan orang2 yg tidak bisa ibadah di Karimun. Sanggup? Kaga!</t>
  </si>
  <si>
    <t>@PartaiSocmed @jokowi Ya sebenernya mau jokowi ato bukan , didalem itu Ada fraksi Tak terlihat yg lebih kuat dari siapapun president kita Makanya jkw pernah bikin statement bertolak belakang, seperti mentri ato ISIS. Memed pun gak punya akses buat mengulas kesitu. Atau gak berani</t>
  </si>
  <si>
    <t>@CH_chotimah @mohmahfudmd Dalam hal beginian, cara menangani ala eyang harto lebih baik daripada pemerintah sekarang. Sekarang, sampah model begini dibiarkan bebas ngoceh seenak udelnya. HAM? NKRI nilainya lebih tinggi daripada hak asasi monyet isis.</t>
  </si>
  <si>
    <t>UPDATE WNI DARI NATUNA TINGGALKAN BANDARA HALIM PERDANAKUSUMA TANPA BICARA &gt;&amp;gt;&amp;gt;  #minggupagi #FotoSMA #MingguRebahan #UsirOPMDariPapua #RezimSumberGaduh @WartaKotaTribun</t>
  </si>
  <si>
    <t>6. Punya menteri kesehatan tapi biaya pengobatan sangat mahal dan terkesan pembiaran kepada rumah sakit yang menolak pasien padahal WNI hingga harus terlantar, sibuk administrasi dan akreditasi tapi peningkatan sarana dan infrastruktur yang lebih pantas agar layak belum dirasakan</t>
  </si>
  <si>
    <t>RT @republikaonline: Verifikasi akan dilakukan oleh tim gabungan dari BNPT, BIN, dan juga kepolisian.</t>
  </si>
  <si>
    <t>Waspada Jalan Tikus Anggota ISIS Asal Indonesia #saveindonesia #IndonesiaSatu #lawanradikalisme #OpenBO</t>
  </si>
  <si>
    <t>Bosen mahdi ngomongin bapaknya terus bapak gw simpatisan ISIS kesel doang klo deket dia</t>
  </si>
  <si>
    <t>Kombatan ISIS dilarang masuk #TolakISISEksWNI</t>
  </si>
  <si>
    <t>RT @BuruhSiluman: Buat mrk yg berpikir bhw terorisme hny sebatas menolak/menerima kepulangan WNI ex-ISIS.</t>
  </si>
  <si>
    <t>Cegah masuknya eks WNI pro ISIS #TolakISISEksWNI</t>
  </si>
  <si>
    <t>@DonAdam68 Baik x bapak nih 😂😂😂😂. Sama anak2nya ex ISIS garang nya minta ampun</t>
  </si>
  <si>
    <t>Tolak eks WNI pro ISIS #TolakISISEksWNI</t>
  </si>
  <si>
    <t>Tidak ada ruang untuk teroris ISIS #TolakISISEksWNI</t>
  </si>
  <si>
    <t>Tolak kepulangan eks WNI pro ISIS #TolakISISEksWNI</t>
  </si>
  <si>
    <t>RT @voaindonesia: Usai Karantina 2 Minggu, 285 WNI dari Wuhan Boleh Pulang</t>
  </si>
  <si>
    <t>Dari Tiga WNI Sumut Asal Wuhan, Hanya Satu Yang Pulang ke Medan</t>
  </si>
  <si>
    <t>RT @IAkurat: WNI Sehat dan Negatif Virus Corona.</t>
  </si>
  <si>
    <t>Tidak ada ruang untuk teroris ISIS #lawanradikalisme #IndonesiaSatu #AniesBaswedanJuaraBOHONG</t>
  </si>
  <si>
    <t>@Samier_Inferno @hasmi_bakhtiar @mas__piyuuu ISIS bknlah negara tapi kelompok teror, bgmana kalo merujuk pd TNI yg dikirim sbg 'pasukan GARUDA' mereka kan juga bergabung dgn tentara lain di negara lain ?, mskpun tugas dan misinya kemanusian tpi 'statusnya' hampir sama, Jadi sbaiknya biarlah pengadilan yg memutuskan !,</t>
  </si>
  <si>
    <t>RT @kesatu_co: Salah satu diantaranya seorang mahasiswi yang sedang menunggu jadwal sidang ujian. #CoronavirusOutbreak #Corona @jabarprovgoid @InfoBekasi @KicauSubang</t>
  </si>
  <si>
    <t>Begini ISIS eks WNI</t>
  </si>
  <si>
    <t>@Ulama_Sangean @rororokatt @AlfaOmega0110 @adeehh_ Budak ISIS? Bangga sekali wkwkwk gausah pake ava gusdur dan username Ulama sangean, orang alim lu pake bercandaan, astaghfirullah, itu kyai ku!!! Ke singgung guwa, paham artinya Ulama gak sih? Hormati beliau, guru bangsa itu</t>
  </si>
  <si>
    <t>RT @PakarLogika: Seorang anggota parlemen Irak menuturkan penderitaan yg dialami warga etnis Yazidi di bawah kekuasaan ISIS. Vian Dakhil, satu2nya anggota parlemen dari etnis Yazidi, menceritakan kisah yg ia dengar dari seorang perempuan Yazidi yg dijadikan budak seks oleh ISIS. #ISISGoToHell</t>
  </si>
  <si>
    <t>@kamal_style92 @TSMusaHassan Ya.. blh la tahanan ISIS di lepaskan semua bila org petisyen nanti.. tkt ada yg mengelupur..</t>
  </si>
  <si>
    <t>Bila ada sekelompok wni yg pergi, bakar paspor, dan berperang bela Israel lalu kalah dan ingin balik RI lagi, apakah pks akan bela juga dgn alasan kemanusiaan? Buat RI, Israel juga tidak diakui sebagai negara.</t>
  </si>
  <si>
    <t>Sejarah ISIS: Motif dan Aktornya (Bagian I)</t>
  </si>
  <si>
    <t>RT @2_devout: @Julia_Zeed @3_devout @1_devout @4_devout Aku wis obok" tor browser ndak ada artikel miltan isis "masak" uwong. Tapine mung rujuk data sing valid kebrutalan isis bunuh ibu kandunge dewe , mbakar tawanan hidup" , anake dewe dijadiken bomber , "masak uwong" dadi masuk akal walo kejadiane ndak byk 👇</t>
  </si>
  <si>
    <t>Usai Karantina 2 Minggu, 285 WNI dari Wuhan Boleh Pulang | #indonesia #malamminggu &gt;&amp;gt;&amp;gt; Click</t>
  </si>
  <si>
    <t>RT @koecing_pasar: CONTOH SATU KELUARGA ISIS SURABAYA Kejadian pengeboman di Surabaya msh begitu hangat dan segar dlm ingatan bukan ? Bagaimana dgn gambar ini, masih ingat kan ?!??? Mereka sekeluarga baru pulang dari Suriah, kemudian mereka melakukan amaliyah mengebom gereja-gereja di Surabaya.</t>
  </si>
  <si>
    <t>Masih ingat gadis kecil anak syahid Iran yg gugur membela makam Sayyidah Zainab as di Suriah dari ISIS. Menemui Rahbar seraya meminta imamah / sorban Rahbar.</t>
  </si>
  <si>
    <t>RT @Jovanka_vanke: @Sarah_Pndj @herlambang_tan @3_devout @1_devout @2_devout @Julia_Zeed @4_devout @LusiHQ @aya_ddt @DianVeei @oneaperture @ephraym8 @jokowi @mohmahfudmd @prabowo @Menlu_RI @PolhukamRI @kemendagri @kaesangp @Chilli_Pari Iya kak ISIS udah membuktikan bahwa kelakuan mereka lebih mengerikan dari binatang 😫😫😫😫</t>
  </si>
  <si>
    <t>Segarnya dipagi hari. Bangun pagi, cuci muka, bersih bersih. Padahal baru tidur subuh, berasa jadi tawanan isis yg disuruh kerja ditodong pake pistol pala puyeng bangat anjing hehahew</t>
  </si>
  <si>
    <t>@merdekadotcom Mafia Narkoba lbih brbahaya drpd mantan korban tipudaya isis.</t>
  </si>
  <si>
    <t>presiden udah jelas-jelas bilang ISIS eks WNI lho BBC. kenapa kalian selalu bilang WNI eks ISIS? hellya?? mereka udah bukan WNI gausah balik ke WNI mati aja disono. tai kuchink kalau mau balik indonesia jalan kaki aja dari suriah. RT @BBCIndonesia: [Terpopuler] Warga Indonesia eks ISIS berharap pulang. "Jika pemerintah Indonesia bisa melakukannya, saya ingin mereka membawa pulang kami dan membawa ayah dan saudara saya. Kami semua,” katanya. Baca wawancara panjang dengan Nada Fedulla di sini:</t>
  </si>
  <si>
    <t>RT @AstyHaneyFanany: @detikcom Tolong dikoreksi, Min. ISIS eks WNI. Bukan WNI eks ISIS. Karena mereka sudah bukan WNI lagi. Paham, kan?</t>
  </si>
  <si>
    <t>RT @dimas_skeptis: @detikcom Dasar mental ISIS Kombatan ISIS dan keluarganya nggak diterima masuk NEGARA INDONESIA, bukannya nggak ada tempat tinggal disini Inget ya kek, Indonesia ini negara berdaulat, nggal bisa seenaknya nampung teroris. ISIS pula 😡</t>
  </si>
  <si>
    <t>@dyah_penny @TheArieAir Huusss...ga ah..masak sih mau disamakan dgn eks ISIS yg frustasi..!</t>
  </si>
  <si>
    <t>Kalo Kombatan ISIS tetap tolak dong. #AniesBaswedanJuaraBohong RT @apr_doang: MAHASISWA WNI ASAL WUHAN BOLEH KEMBALI BELAJAR SETELAH STATUS DARURAT DICABUT &gt;&amp;gt;&amp;gt;  @WartaKotaTribun #KerjaKeceBRI #aniesbaswedanjuarabohong #Kediri #minggupagi #FotoSMA</t>
  </si>
  <si>
    <t>@Jean_Aprilia97 Proses Deradikalisasi tidak semudah yg dibayangkan orang apalagi kalau ideologi ISIS sdh tertanam sejak mereka masih muda</t>
  </si>
  <si>
    <t>@RonnyYulianto7 @Cak_Hariy Pemerintah tentunya tidak serta merta memulangkan WNI bermasalah, kecuali mereka telah terlebih dahulu melapor &amp; minta bantuan KBRI. Kalau yang ono....nggak tahu dah....</t>
  </si>
  <si>
    <t>@_qil___ 1. Pasti Ilmi 2. SRII Ilmi 3. SMA (A) Ilmi 4. SAM Tengku Ampuan Jemaah 5. SAM Bestari 6. Seminda 😂</t>
  </si>
  <si>
    <t>@BersihMakassar Padahal budak narkoba lbih brbahaya drpd mantan pengagum isis.</t>
  </si>
  <si>
    <t>@DonAdam68 WNA China Komunis,,,bawa Corona,, Semua negara menolak, ditawari oleh Jae akan diterima bahkan fasilitas khusus. WNI eks ISIS..muslim,,korban dari ISIS,, menyesal,, minta pulang ke Ina,, ditolak tanpa Proses Pengadilan. Membuat rakyat curiga apa jae sama ideologinya dgn China ya</t>
  </si>
  <si>
    <t>@RizmaWidiono Semua sudah sepakat bahwa HTI Dan eks ISIS berbahaya utk kelangsungan demokrasi Kita</t>
  </si>
  <si>
    <t>@Jean_Aprilia97 Kata Cebong lebih bahaya Eks ISIS yg belum terbukti drpd Ekonomi Nyungsep... 😪🐸</t>
  </si>
  <si>
    <t>@SofuanGusti Ko malah ngurusin partai kirain siap2 mau ke Suria kadi bapak angkat nya anak2 yatim ISIS dari negaranya.</t>
  </si>
  <si>
    <t>RT @pedas_lambe: BIN dukung kebijakan pemerintah terkait kepulangan eks isis #indonesiasatu #AwasAntek2ISIS #IndoPromoter</t>
  </si>
  <si>
    <t>@DonAdam68 Di tunggu xi jiping jd wni biar nanti bs jd presiden Indonesia.</t>
  </si>
  <si>
    <t>ISIS Eks WNI Akan Ditindak, Jika Masuk Indonesia</t>
  </si>
  <si>
    <t>RT @kompasiana: Ketika ISIS Eks-WNI Berlindung di Balik Dalih Kemanusiaan</t>
  </si>
  <si>
    <t>Pemerintah memutuskan tidak akan memulangkan ratusan warga negara Indonesia (WNI) mantan anggota ISIS. Sementara utk anak-anak WNI eks ISIS yg usianya di bawah 10 tahun, pemerintah masih mempertimbangkan. Setuju ga nih? LIVE! Ketua Komnas Perlindungan Anak Arist Merdeka Sirait</t>
  </si>
  <si>
    <t>@detikcom Pemuja ISIS ini sebaiknya jangan tinggal di indonesia</t>
  </si>
  <si>
    <t>@ISIS_Balik_NO @PFTee Tetap tidak mendukung Anoes maju kemana aja..tp menghargai aja ngga salah kan ? Saya ngga tau apa itu Kadrun yg sering kaloan dengungkan.. Cebomg dan kampret.. saya juga ngga sukanikit ikutan yg seperri itu..</t>
  </si>
  <si>
    <t>@akangilyaas Dia 👉 @NuKultural sedang promosi iklan khilafah yg berlandaskan "jihadis"dan hak para eks isis Tapi dia lupa korban bom atas ulah para gerombolan itu, Hak hidup di rampas (para korban)</t>
  </si>
  <si>
    <t>@bepejeel Jadi elu mau bilang Jokowi komunis? Teriak2 komunis HTI yg paling keras... pendukung ISIS</t>
  </si>
  <si>
    <t>@AhlulQohwah Rekomendasikan buat penanganan eks WNI yg jadi ISIS</t>
  </si>
  <si>
    <t>ini 200+ wni yang habis diisolasi gada yg punya Twitter trus bikin thread? tp jgn panjang2 males mocone</t>
  </si>
  <si>
    <t>@DadangRusian @jokowi @fadjroeL @fadlizon @mohmahfudmd KATA PRESIDEN:MEREKA ISIS EKS WNI....... So ..udah dianggap bukan WNI lagi melainkan isis</t>
  </si>
  <si>
    <t>Negara ini ada karena para pejuang tdk sanggup lgi melihat penindasan n kekejaman penjajah. dpembukaan uu tertulis penjajahan diatas dunia hrus dihapuskn. Skrg klian bicara UU utk nasib mereka. Apa mreka hrs d bilang stress ato gila bru bsa dimaafkan?</t>
  </si>
  <si>
    <t>RT @Aryprasetyo85: Suasana Haru Kegembiraan WNI Eks Wuhan Pulang dari Natuna Sebanyak 238 WNI)l dari Natuna, Kepri telah dipulangkan pada Sabtu (15/2/2020), setelah menjalani observasi selama dua pekan. Para keluarga pun mulai berdatangan di Bandara Halim Perdanakusuma, Jakarta Timur</t>
  </si>
  <si>
    <t>@TheArieAir Bang, ini mah kasusnya kayak ex WNI pemdukung isis yg mau balik maning ke sini hahahaha</t>
  </si>
  <si>
    <t>@YudiAbdulRohim @rizieqdivist @WagimanDeep @permadiaktivis @mohmahfudmd @DivHumas_Polri Orang ini asli bukan ustadz hanya provokator aja yang busuk ingin ISIS eksis di Indonesia .... biasa satu gank beda tugas</t>
  </si>
  <si>
    <t>RT @Fsilolongan: Nah ini yg tepat ISIS eks WNI mereka itu adalah warga isis bukan WNI lg kalo eks WNI itu di pulangkan maka hrs siap mau ga mau Indonesia pasti akan di suriahkan sblm itu trjdi jgn beri mereka jalan mantap pakde @jokowi @YRadianto @MahesaTiwi #UdahPutusinAja #DoktorHCPuanMaharani</t>
  </si>
  <si>
    <t>@moeslim_roni @Ronnie_Rusli @HeddyADS Jelas ada, khilafah berkaitan dengan ISIS yang pengen ngediriin negara Islam, masih ngeyel gamau dibilang radikal?? sadar diri bro ga cocok klo anda di Indonesia dengan Pancasila, ke suriah aja mending wkwk</t>
  </si>
  <si>
    <t>RT @TeddyGusnaidi: TKI yang kena masalah wajib kita bantu kepulangannya. Mereka adalah WNI yang mencari nafkah. Itu urgent.. Nah, kalau Ex-WNI yang sukarela menjadi teroris ISIS diluar negeri, apa urgensinya dibantu pulang? Menteri agama ini sebenarnya siapa sih??</t>
  </si>
  <si>
    <t>RT @JUANMANUEL709: Goku &amp; Vegeta: 1992 // 2017.</t>
  </si>
  <si>
    <t>@TSMusaHassan Giler k ape..pernah tengok oran muslim minta tandatangan untuk lepaskan tahanan mcam isis tu</t>
  </si>
  <si>
    <t>@rmol_id Selama kasus karupsi dan kegagalan pertumbuhan ekonomi mereka akan selalu jualan radikal radikul, agama musuh Pancasila, ISIS dan sejenisnya...</t>
  </si>
  <si>
    <t>@DonAdam68 WNI ngurus KTP dipersulit</t>
  </si>
  <si>
    <t>@kenhans03 @NuKultural Dia 👉 @NuKultural bicara hak pribadi para kombatan isis tapi dia lupa hak para korban bom atas dasar "jihad" Apakah "jihad" identik dan mengajarkan membunuh?</t>
  </si>
  <si>
    <t>@BBCIndonesia ISIS Bangsad, ISIS anjing</t>
  </si>
  <si>
    <t>@SuramaduJingga @WidaLoveKidz @AlissaWahid Virus hatei.. Paling berbahaya karena sudah mencuci anak muda dinusantara.. Apalagi dengan isis ini salah itu salah</t>
  </si>
  <si>
    <t>Gubernur Kaltim Isran Noor menemui langsung 14 warga negara Indonesia (WNI) asal Kaltim yang baru saja usai melewati masa observasi di Natuna, setelah dipulangkan dari Kota Wuhan, Tiongkok. . Saat tiba di Jakarta,…</t>
  </si>
  <si>
    <t>RT @GunawanTHENEXT: Gw kagak akan pernah setuju mereka kembali!!! pertama: mereka bukan WNI kedua: eks WNI iya. ketiga: ISIS iya. keempat: TERORIS iya. kelima: PENGHIANAT iya. keenam: GOBLOK iya. ketujuh: MABOK AGAMA iya. kedelapan: DUNGU iya. kesembilan: GO TO HELL. kesepuluh: #TolakEksWNIproISIS</t>
  </si>
  <si>
    <t>@detikcom Yg bikin hoax mereka ingin pulang adalah klompok isis dalam negeri</t>
  </si>
  <si>
    <t>RT @Ayah3orgAnak: Lebih berbahaya mana WNI ex ISIS atau Corona.</t>
  </si>
  <si>
    <t>WNI “Kebal” Virus Korona? Ini Kata Menkes Terawan</t>
  </si>
  <si>
    <t>Dinas KesehatanTetap Pantau 10 WNI Asal Jateng yang Telah Jalani Observasi di Natuna</t>
  </si>
  <si>
    <t>WNI Sumsel dari Wuhan Dipastikan tidak Terinfeksi Virus Corona</t>
  </si>
  <si>
    <t>Ada yang banyak gagal paham dan tidak sedikit yang sotoy. Kepulangan WNI Eks-ISIS: Seberapa Jauh Media Membantu Publik Memahaminya?</t>
  </si>
  <si>
    <t>RT @mrsnurulhotimah: WNI Sumsel dari Wuhan Dipastikan tidak Terinfeksi Virus Corona</t>
  </si>
  <si>
    <t>@helmifelis Yg mendukung ISIS adalah teroris harus di basmi...</t>
  </si>
  <si>
    <t>RT @cadarmerah: @MZubir_ID @PJustitia7 @veraagustian_ @relawanperak2 @Namaku_Mei @WagimanDeep @WR_4AG226 @wahhabicc_jabar @bangzul___88 @FirzaHusain Tentu demikian, trik pemerintah memulangkan Rizieq dg kamuflase pemulangan gratis wni lainnya ... masa gitu aja gak paham</t>
  </si>
  <si>
    <t>RT @OnoZiliwu: @RinjaniJB Jangan minta bantuan KPAI,Krn mereka lagi sibuk ngurus Anak2 ISIS....</t>
  </si>
  <si>
    <t>ISIS Eks WNI Nekat Balik ke Indonesia, Kabaharkam Polri: Tindak Tegas!  #LINETODAY</t>
  </si>
  <si>
    <t>Diskusi ttg kondisi bangsa dg profesional muda WNI yg bekerja di Sydney dlm klpk pengajian Cahaya Islam. Mereka selalu memikirkan kemajuan negeri dan keluarganya dg landasan agama yg kuat. Tidak sibuk mengejar kekuasaan</t>
  </si>
  <si>
    <t>RT @BNPB_Indonesia: Kepala BNPB Doni Monardo mencicipi hasil masakan masyarakat khas Kabupaten Natuna. Pada acara malam syukuran dan apresiasi tim kemanusiaan pelepasan WNI dari Wuhan dgn masyarakat Natuna. #DariNatunaSelamatkanIndonesia #DariNatunaSehatkanIndonesia #NatunaUntukIndonesia</t>
  </si>
  <si>
    <t>@CNNIndonesia Kecuali WNI tentunya</t>
  </si>
  <si>
    <t>MAHASISWA WNI ASAL WUHAN BOLEH KEMBALI BELAJAR SETELAH STATUS DARURAT DICABUT &gt;&amp;gt;&amp;gt;  @WartaKotaTribun #KerjaKeceBRI #aniesbaswedanjuarabohong #Kediri #minggupagi #FotoSMA</t>
  </si>
  <si>
    <t>RT @republikaonline: Sebanyak 78 WNI yang berada dalam kapal pesiar Diamond Princess negatif virus Corona.</t>
  </si>
  <si>
    <t>@msaid_didu Saya yaqin dan haqqul yaqin Bendera Merah Tetap Berkibar di NKRI bukan Bendera Komunis, yg Berpendapat Negara akan diganti Komunis atau Khilafah adalah Mereka Di Barisan Sakit Hati , Antek2 HTI dan ISIS .....</t>
  </si>
  <si>
    <t>NACH LHO. .... INI ADA LGI YG NGOMONG BEGINI. MANA YG BENER. .... MANTAN PENTOLAN ISIS SEBUT WNI EKS ISIS YG INGIN PULANG ADALAH HOAKS. MEREKA SEJAHTERA DI SURIAH.🤔 Mntan Pntolan ISIS Sbut WNI Eks ISIS yg Ingin Plang adalh Hoaks: Mrka Sjahtera di Suriah</t>
  </si>
  <si>
    <t>Sebanyak 78 WNI yang berada dalam kapal pesiar Diamond Princess negatif virus Corona.</t>
  </si>
  <si>
    <t>Ngono kate ngerumat mulehno ISIS ex WNI.... ngurusi kenekan ae sampe saiki sek panggah koplak.... RT @YudiAbdulRohim: 👇Ijin Mohon diViralkan, agar segera cepat diproses, oknum pelaku provokator ini, Ustad Provokator itu namanya DR Alfian Tandjung, sudah pernah dipenjara, msh blm kapok2x jg atau kurang lama mendekam di penjaranya. @WagimanDeep @permadiaktivis @mohmahfudmd @DivHumas_Polri</t>
  </si>
  <si>
    <t>@Nouna_jessica94 Yg piara.. ISIS lah.. dan simpatisan jd kt rakyat banyak.. tidak tau.. Cuma ini sy.. membayangkan begitu.. Anak2 sudah di latih.. lilitin bom di Badan... dan pegang senjata.. AK 47</t>
  </si>
  <si>
    <t>@_Amatullah18 ISIS tidak akan pernah ada tempat di Indonesia....silahkan anda bertaubat dan perbanyak ISTIGHFAR!!!! kami barisan muslimat tidak akan segan utk sll mengingatkan atas KEBENARAN PANJI RASULLULAH TANPA HARUS MERUSAK ATAUPUN MENGKHIANATI ajarannya</t>
  </si>
  <si>
    <t>RT @kompascom: WHO mengucapkan terima kasih kepada Pemerintah Indonesia atas langkah yang dilakukan terlebih dalam menjamin keselamatan dan kesehatan para warganya. &gt; #Nasional</t>
  </si>
  <si>
    <t>RT @wantahgdn: Kami kan yang dibubarkan hanya status hukumnya saja. Tapi, aktivitas kami masih berjalan," tutur Rohandi. #AwasHTImasihEksis HTI menolak mati: Bermutasi, menyebar, dan bergerak di bawah tanah</t>
  </si>
  <si>
    <t>@Uki23 Harapan kita semua.. kecuali teroris radikalis isis..</t>
  </si>
  <si>
    <t>18 Kru Batik Air Penjemput WNI di Wuhan Ikut Dipulangkan dari Natuna</t>
  </si>
  <si>
    <t>UMAT TUHAN ,ASUHAN SETAN : ISIS HTI FPI FUI FELI</t>
  </si>
  <si>
    <t>@MrsRachelIn @J_Aryoko @dewi_darmawati @jokowi Tempat pengungsian mrk dekat dgn perbatasan kota sby walau scr administrasi masuk sidoarjo. Andai mrk ditempatkan di porong mungkin lbh susah lg hidup mrk. Ada lumpur lapindo di porong sampai saat ini. @PolhukamRI @mohmahfudmd @juliaribatubara mohon dikunjungi wni ini.</t>
  </si>
  <si>
    <t>RT @AnnisaXiaoFeng: WNI Sumsel dari Wuhan Dipastikan tidak Terinfeksi Virus Corona</t>
  </si>
  <si>
    <t>RT @Lukman_HARP: @AhlulQohwah KPAI itu mungkin Komisi Perlindungan Anak ISIS</t>
  </si>
  <si>
    <t>RT @SonOfLoke: @anwarcoki bro tobat o po'o? suwi2 sampean direkrut dadi guru spiritual e kombatan isis ngko.</t>
  </si>
  <si>
    <t>@Nouna_jessica94 Justru anak2 kecil bakal di pake.. agar jauh dr perhatian.. ISIS.. sdh terdesak .. jd hati2 anak2 sudah di cuci otaknya.</t>
  </si>
  <si>
    <t>#TolakAnakISISKembali Chep Hernawan: Kalau Ditolak Pulang, WNI Eks ISIS Saya Tampung</t>
  </si>
  <si>
    <t>Pangkogasgabpad Mengecek Kesiapan Pemulangan 238 WNI -</t>
  </si>
  <si>
    <t>Yuk Baca #detiknewsid</t>
  </si>
  <si>
    <t>Polisi Bakal Tindak WNI Kombatan ISIS yang Berupaya Pulang ke Tanah Air</t>
  </si>
  <si>
    <t>@SuarjoWilly @_Amatullah18 @hairUnisah21 Dan anda tahu atau sok tahu yg pertama posting ini menggunakan bendera ISIS atau simbol ISIS...? Coba lihat...sama tdk dgn gambar yg saya upload...kesimpulannya: ISIS tidak ada tempat di INDONESIA...done.</t>
  </si>
  <si>
    <t>@bahdirdja @angelmaximilan @Ze_sukma @enny_endah @dkarhita @SoffiAgus @sirajapadoha @asepapit @YgGregorius @BHD_8 @YCH7168 @jokowi @Kemendagri_RI Jangan mempertaruhkan keselamatan Bangsa dan Negara ini demi kepentingan politik dengan membiarkan JAHANAM ISIS tua-bangka hidup bebas dinegeri ini!</t>
  </si>
  <si>
    <t>@UmarTanjung1 Khilafah itu apa sich.. HTI,ISIS,DI,atau sejenisnya</t>
  </si>
  <si>
    <t>RT @tribunnews: Dinas KesehatanTetap Pantau 10 WNI Asal Jateng yang Telah Jalani Observasi di Natuna  via @tribunnews</t>
  </si>
  <si>
    <t>Fakta Kepulangan WNI yang Dikarantina di Natuna, Cek Kesehatan Terakhir, Terbanyak dari Jawa Timur</t>
  </si>
  <si>
    <t>ISIS Eks WNI Nekat Balik ke Indonesia, Kabaharkam Polri: Tindak Tegas!</t>
  </si>
  <si>
    <t>@samhudibae @CNNIndonesia makanya ex isis/anak2nya/kaum radikal teroris, tidak pantas berada di wilayah NKRI yg berdasarkan Pancasila...</t>
  </si>
  <si>
    <t>@budimandjatmiko @MohMaliki Maklum bang......baru kenal somat dan felix kwetiau</t>
  </si>
  <si>
    <t>RT @jonach27:  sikap pemerintahan yg benar 🇬🇧</t>
  </si>
  <si>
    <t>@nicohenryp Jgn sampai piara tuh anak ISIS</t>
  </si>
  <si>
    <t>@detikcom Koq bisa manusia ini dibiarkan bebas. Padahal udah jelas klo dia eks presiden ISIS. Harusnya pemerintah tegas,jgn ada ruang bg pengkhianat negara.</t>
  </si>
  <si>
    <t>Kata Pengamat Terorisme Ridlwan Habib Alasan Anak WNI Eks ISIS di Bawah 10 Tahun Aman Dipulangkan  lewat @tribunnews</t>
  </si>
  <si>
    <t>@ahmadadrongi @Jean_Aprilia97 @RyoFahri Apa bedanya sama papua, toh mereka terang benderang juga sebagian ingin merdeka ??? Hrsnya pemerintah lakukan diplomasi,dtngi mereka,discuss, buat apa menlu,bpip,toh bnyk ex teroris disini jg,yg sdh bebas,knp merka tdk bisa ? Justru mrk bisa bka tabir sebnernya isis itu apa.</t>
  </si>
  <si>
    <t>RT @antaranews: "Mereka silahkan mau berkerumun, mau lihat konser Java Jazz misalnya, juga boleh ya. Kan mau ada Java Jazz tuh, silahkan," kata Menkes Terawan. #COVID19 #coronavirus</t>
  </si>
  <si>
    <t>RT @ellstormy: @Sofy_Beeeeee @helmifelis @DiniHrdianti @MalvaSelena @ritafauzh Congornya kek bantalan KRL. Sok bikin tweet jenius padahal ntar isinya palingan juga samvah versi kadrun. Mirip banget kek mujahidin ISIS sama duo lendir.</t>
  </si>
  <si>
    <t>RT @Namaku_Mei: Blak~blakan mantan pengikut ISIS tertipu kapling Surga Kadrun gimana nih tanggapan lu apa harus membunuh, teriak" ?</t>
  </si>
  <si>
    <t>@DadangRusian @jokowi @fadjroeL @fadlizon @mohmahfudmd Para anggota ISIS sudah didoktrin dngn sumpah atas nama Allah. "Demi Allah" jika kalian tdk mau mendatangiku maka kami yg akan mendatangimu. Dan dngn menerima mereka kembali itu sama artinya menempatkan 260 jt penduduk dinegri ini ditepi jurang.</t>
  </si>
  <si>
    <t>World : Virus Corona Indonesia : Virus Korupsi World : Isis Teroris Indonesia : Koruptor Teroris Cc: @jokowi #negaraboneka #negarabukanmilikpartai #negarapdip</t>
  </si>
  <si>
    <t>RT @SahabatRG: Yang berbahaya itu ketidakadilan dan dendam, ketidakadilan memunculkan tirani sedangkan dendam memunculkan permusuhan. Tapi koruptor merenggut kisi kehidupan bangsa. Eks ISIS Dan Koruptor, Bahaya Mana?</t>
  </si>
  <si>
    <t>@budimandjatmiko Selain ISIS, jangan lupa LDII juga gitu</t>
  </si>
  <si>
    <t>😱😱😱 Pantesan pengen banget kombatan ISIS dipulangkan...! RT @UKI_djayengrono: Benerkah ini @fadlizon ? Tolong klarifikasi anda Mei 2015 menyumbang utk Pergerakan di Suriah sebesar 20.000 USD ke HASI (Hilal Ahmar Society Indonesia) yg menyalurkan Dana ke Suriah.Dana tersebut diterima oleh ANGGA DIMAS yg ternyata ANGGA DIMAS adalah Anggota Al Qaeda</t>
  </si>
  <si>
    <t>238 WNI di Natuna Akhirnya Pulang, Begini Respon Stafsus Milennial Jokowi</t>
  </si>
  <si>
    <t>RT @WSetyorini2: @Otoy_theB @Lukman_HARP Presiden kayaknya lebih sayang sama anak2 ISIS..</t>
  </si>
  <si>
    <t>Keluarga WNI pascaobservasi virus corona berdatangan ke Bandara Halim</t>
  </si>
  <si>
    <t>@eko_kuntadhi Kan cm WNI. "Dia" kan bkn WNI. 😬</t>
  </si>
  <si>
    <t>RT @KBRIMexicoCity: KBRI Mexico City Fasilitasi Misa Arwah ABK WNI asal Flores</t>
  </si>
  <si>
    <t>Ngurusi gini aja nga beres2 kok mau mulangin anggota isis RT @RizmaWidiono: Waspada HTI gaya baru. Ideologi Hizbut Tahrir Berkedok Komunitas Bubarnya HTI terbitlah KARIM (Komunitas Royatul Islam), benih HTI, komunitas muda Islam yg menyebarkan propaganda &amp; doktrin kpd anak2 SMU/ komunitas pemuda. Indonesia bersatu tolak Khilafah.! #AwasHTImasihEksis</t>
  </si>
  <si>
    <t>@BBCIndonesia Hai @BBCIndonesia kenapa berita ini diangkat terus??? Bosen loh. Lagian pemerintah RI dengan tegas menolak eks wni yg bergabung Isis untuk pulang ke Indonesia. Apakah tidak punya topik berita lain?</t>
  </si>
  <si>
    <t>RT @hermana_t: Jokowi berpendapat setiap WNI berhak mjd pemimpin negara, tak terkecuali warga non-muslim "Knp tdk? Saya dulu wakil walikota di Solo Katolik. Di Jakarta sama, wakil gubernur saya Kristen, tdk ada masalah," kata Jokowi Kalau sekedar 'wakil' tdk masalah</t>
  </si>
  <si>
    <t>Ini si tua bangka psikopat lempar aja ke suriah suruh gabung isis RT @detikcom: Eks Presiden ISIS Indonesia Chep Hernawan mengungkapkan sejumlah alasan WNI eks ISIS tidak akan pulang ke Tanah Air.</t>
  </si>
  <si>
    <t>Pilot Pengangkut WNI yang Ikut Dikarantina: Ngeri-ngeri Sedap</t>
  </si>
  <si>
    <t>Jelang berakhirnya masa Observasi, 238 WNI di Natuna sampai kini masih dalam keadaan sehat dan aman, Selengkapnya di</t>
  </si>
  <si>
    <t>Protokol Kesehatan WHO Telah Dilalui, Presiden Minta Masyarakat Terima WNI dari Wuhan</t>
  </si>
  <si>
    <t>@detikcom Jd hati2 penyelundupan eks isis</t>
  </si>
  <si>
    <t>RT @Syarman59: *Nikmat Tuhan mana lagi yang akan kau dustakan* #IndonesiaKebalCorona "Mereka akan diberikan bingkisan beserta uang saku. Seluruh akomodasi juga sudah ditanggung sampai ke rumah," kata Kepala BNBP</t>
  </si>
  <si>
    <t>WNI dari Wuhan di Natuna resmi dipulangkan</t>
  </si>
  <si>
    <t>KBRI Mexico City Fasilitasi Misa Arwah ABK WNI asal Flores</t>
  </si>
  <si>
    <t>RT @QiraniAyara: Eks ISIS Dan Koruptor, Bahaya Mana? *Yang lbh berbahaya, bila hukum tdk bisa ditegakkan dg adil Kalo mnrt netizen?</t>
  </si>
  <si>
    <t>@Maulinaantika3 @914263kL_Bg7133 Termasuk simpatisan ISIS, yg mau pulang</t>
  </si>
  <si>
    <t>RT @vvsimon: @phieaja @yonatankarya @penggemarsemar @harunomizuhime @CNNIndonesia @Kemlu_RI Semoga ke-78 WNI tetap sehat dan selamat hingga kembali berkumpul dgn keluarga di tanah air</t>
  </si>
  <si>
    <t>RT @Herrreza: Syukurlah.. Hampir semua WNI yg sempat ada di epicentrum epedemi Corona sehat-sehat</t>
  </si>
  <si>
    <t>@Otoy_theB @Lukman_HARP Presiden kayaknya lebih sayang sama anak2 ISIS..</t>
  </si>
  <si>
    <t>@FAndini92 @wahhabicc_jabar @pergusoID @adji1984 @IndiraKyra @RizmaWidiono @AnakLolina @CH_chotimah @WagimanDeep @Bangzul__88 PANCASILA harus diperkuat....!!!! harus dijiwai oleh setiap WNI yg ada di NKRI....</t>
  </si>
  <si>
    <t>@feeIfooIish isis cimis</t>
  </si>
  <si>
    <t>Ini EKS PRESIDEN ISIS??🤔 Hati masih ISIS tah si bpk Chep ini ya?? Bingung saya mah, emg gpp nih org ya??😞 Cc @DivHumas_Polri RT @detikcom: Eks Presiden ISIS Regional Indonesia Chep Hernawan siap menampung Warga Negara Indonesia (WNI) eks ISIS yang benar-benar ingin pulang ke Tanah Air.</t>
  </si>
  <si>
    <t>@uhb_isis Banga</t>
  </si>
  <si>
    <t>Mereka adalah Teroris ISIS. #FUCKYOUISIS #ISISGoToHell RT @Boemi_Pertiwi12: INI KURANG KERJAAN. .... ATAU KURANG APANYA YAAA. .... ADA2 AJA .... SESUATU YANG ANECH. .... 🤔🤔🤔</t>
  </si>
  <si>
    <t>Belum fix. Juni baru keputusan definitif "@Airin_NZ: Pemerintahan @jokowi ud mmperlihatkan ketegasan kpd para penghianat NKRI dan PANCASILA dgn tegas MENOLAK KEPULANGAN ex WNI pro ISIS. Gw sih berharap semoga kaum intoleran..... #AwasAntek2ISIS "</t>
  </si>
  <si>
    <t>Cerita WNI di Wuhan yang Bosan Pakai Masker Setiap Hari</t>
  </si>
  <si>
    <t>RT @DTDjani: Bangga hadiri official bell ringing IPO Indonesia Energy Corporation/IEC di @NYSE dan lihat 🇮🇩 berkibar di #WallStreet IEC jd perusahaan swasta milik WNI pertama yg masuk primary listing. Maju terus diplomasi ekonomi Indonesia 🇮🇩 #IniDiplomasi #IndonesianWay #RintisKemajuan</t>
  </si>
  <si>
    <t>@TeddyGusnaidi Kau belajar lagilah sejarah ISIS itu bentukan siapa trus HTI itu apa adakah sejarah HTI memberontak seperti PKI sy kura anda seorang ngr wan yg cerdas.....ternyata...!!.</t>
  </si>
  <si>
    <t>@isizgz perdon isis</t>
  </si>
  <si>
    <t>3 WNI Asal Yogyakarta Dinyatakan Bebas dari Virus Corona</t>
  </si>
  <si>
    <t>@SahabatSaber Yg masih percaya pd propaganda isis pst bodo ga ketulungan deh</t>
  </si>
  <si>
    <t>RT @LNA2019M: Dubai street #Benghazi #Cyrenaica #Libya. #Erdogam #ISIS #GNA #Turkey #LNA #HoR</t>
  </si>
  <si>
    <t>Presiden Pastikan WNI di Natuna Sehat dan Siap Kembali ke Keluarga  via @kabar_tangsel</t>
  </si>
  <si>
    <t>Entah sudah berapa banyak pembahasan kenapa belum ada WNI yang terinfeksi virus corona. Kalau emang kebal, apa kalian nggak takut penculikan? Kalian diculik, dijadikan bahan eksperimen, dieksploitasi apa yang ada dalam tubuh kalian.</t>
  </si>
  <si>
    <t>@HarunaGaladeema @Waspapping_ @Didat_ @OfficialSahibG Kutttttt.... Kasab baqin mutum da shegen Burga... Burgat iska ne fa.. Amma de yaban mamaki yadda har shima yayi haka... Har wni shege kafasa😂😂</t>
  </si>
  <si>
    <t>Akan terus ngingetin anak anak gw: 1. Sebelum tidur cuci kaki, cuci tangan, cuci muka, ganti baju 2. Kalau mau makan, inget sama yang lain 3. Jangan gabung isis 4. Kalau lagi punya lebih kasih ke yang kurang 5. Kalau lagi ga punya jangan ngemis 6. Lupain semua, be yourself RT @newsplatter: Akan terus ngingetin anak cowok gw: 1. Selalu menghormati semua perempuan. 2. Perempuan setara dng laki2. 3. Penyandang disabilitas setara dng yang lain. 4. Tidak boleh membully anak lain. Apalagi ikut2an. Before men, they are boys. So parents can help raise better men.</t>
  </si>
  <si>
    <t>WNI di Klaster Penularan Covid-19 Singapura Diminta Proaktif | #indonesia #malamminggu &gt;&amp;gt;&amp;gt; Click</t>
  </si>
  <si>
    <t>@detikcom ada oknum tertentu yg angkat soal ISIS INGIN PULANG, utk menghindar dari JIWASRAYA DAN ASABRI.</t>
  </si>
  <si>
    <t>@detikcom Mari kita hidup damai tanpa ISIS</t>
  </si>
  <si>
    <t>@DadangRusian @jokowi @fadjroeL @fadlizon @mohmahfudmd Semoga masih ada yg melihat dan mendengar isi hati dari anak ISIS yg ingin pulang, mereka juga punya mimpi. Pada intinya mereka tdk mengetahui dibawa kesana, sampai mereka dewasa baru sadar akan semua ini. @fadlizon @fahiraidris @Fahrihamzah unt Three F, mohon bantu mereka👍</t>
  </si>
  <si>
    <t>RT @_therma_: Keduanya berbahaya Tapi kenapa perlakuannya berbeda? Eks ISIS dinista, koruptor dibela Negara ini bagai milik moyang mereka Bangsat keparat!</t>
  </si>
  <si>
    <t>Menyoal WNI yang Terbebas dari Corona setelah Diobservasi Penuh di Natuna</t>
  </si>
  <si>
    <t>ISIS Eks WNI Berusaha Masuk ke Indonesia, Langsung Ditindak</t>
  </si>
  <si>
    <t>@detikcom Tidak ada tempat di NKRI ini bagi ISIS mantan WNI</t>
  </si>
  <si>
    <t>@Drnoorinsaba @babaharamdev108 @IndiaMeToo Tum hara koi relative ha kya isis me😂</t>
  </si>
  <si>
    <t>RT @Galihzainur1: Sebelum Nasi Mjd Bubur Dan Semua Tinggal Derita Simak Tragedi Berdarah ini untuk Penghianat NKRI. CC: @fadlizon @KPAI_official @KomnasHAM @hnurwahid @Kemenag_RI @felixsiauw @Fahrihamzah #BasmiRadikalisme Apa Yg Bisa Kita Harapkan Dari Kepulangan #ISIS Selain Kehancuran dan Derita</t>
  </si>
  <si>
    <t>@beeqoala Ga, biar isis</t>
  </si>
  <si>
    <t>Woy...@Bangzul__88 TDK perlu berdalih tuding HTI , GAM, ISIS untuk memfitnah Islam . Jgn coba membuat marah org Aceh yg dg Darah , nyawa &amp; harta memerdekakan INDONESIA sbg MODAL SATU2NYA PENGAKUAN KEMERDEKAAN RI, UNT MEMBENTUK NKRI. Ngaku saja lu PKI CHINA KOMUNIS, Penghianat ! RT @Bangzul__88: #AwasHTImasihEksis Di Aceh, Gerakan Aceh Merdeka (GAM) sangat aktif mengadakan "ceramah agama", disana mereka memberikan informasi2 sesat untuk meracuni pikiran masyarakat agar membenci pemerintah RI saat itu. Tujuan utamanya, supaya masyarakat mendukung GAM utk kemerdekaan Aceh</t>
  </si>
  <si>
    <t>3 WNI Asal Yogyakarta Dinyatakan Bebas dari Virus Corona  #DariSuara</t>
  </si>
  <si>
    <t>Mereka bukan WNI lagi, Mereka ISIS Eks WNI #Tolak #WNI #ISIS</t>
  </si>
  <si>
    <t>Tolak keras WNI Eks ISIS masuk Indonesia!!! #Tolak #WNI #ISIS</t>
  </si>
  <si>
    <t>Tidak ada ruang untuk WNI Eks ISIS #Tolak #WNI #ISIS</t>
  </si>
  <si>
    <t>ISIS eks WNI masuk ke Indonesia, Kabaharkam: Ditindak tegas</t>
  </si>
  <si>
    <t>Pemerintah Segera Bahas Nasib Kelanjutan Pendidikan WNI di Cina</t>
  </si>
  <si>
    <t>Jangan Sampai mereka kembali masuk ke Indonesia #Tolak #WNI #ISIS</t>
  </si>
  <si>
    <t>RT @AngkieYudistia: Salam hangat kepada seluruh WNI kita yang per-hari ini kembali kerumah masing-masing dan berkumpul bersama keluarga #StafKhususPresiden #JubirPresidenbidSosial</t>
  </si>
  <si>
    <t>Tak Hanya Fisik, WHO Sebut Mental WNI Eks-Karantina Natuna Sehat</t>
  </si>
  <si>
    <t>Udah paling bener wni eks isis gausa dipulangin ke indo, mereka harus nerima konsekwensi dari apa yg mereka lakukan sendiri. Tanggung jawab dong.</t>
  </si>
  <si>
    <t>WNI dari Wuhan yang diobservasi dapatkan sertifikat kesehatan</t>
  </si>
  <si>
    <t>Sebentar Lagi Raih Gelar Sarjana, Sejumlah WNI Kuliah di Hubei Resah, Lanjut atau Tidak Kuliah di China?</t>
  </si>
  <si>
    <t>Cerita WNI di Wuhan yang Bosan Pakai Masker Setiap Hari | #indonesia #malamminggu &gt;&amp;gt;&amp;gt; Click</t>
  </si>
  <si>
    <t>@AndromedaMcfc @rockafela_ @IMulya77 @yusuf_dumdum @aniesbaswedan @ganjarpranowo Pengalihan topik utk menyudutkan. Biar aq terlihat bodoh... 😂😂agar tidak didengar.. 😂😂. Padahal yg diributkan itu omong kosong. Lah amerika ngaku mereka yg buat isis. Kita aja yg goblok dikit2 ISAS-ISIS. Stupid tau..</t>
  </si>
  <si>
    <t>RT @jr_kw19: Sangat disayangkan knp fadli zon begitu ngototnya menginginkan Anak2 eks WNI pro ISIS dipulangkan Wooiii ... ngapain buang waktu Biaya,tenaga, ngurus bibit teroris apa gak ada kerjaan apah .. #TolakAnakISISKembali</t>
  </si>
  <si>
    <t>@Jean_Aprilia97 @AtmanagaraZ Untuk apa BPIP dibentuk pemerintah, Apa sekedar untuk makan gaji buta???? Eks isis itu warga negara indonesia yg mentimpang dari ideologi pancasila. Jadi tugas dan tanggung jawab mutlak dari BPIP untuk membimbing mereka kembali ke ideologi pancasila!!! #GituAjaKokRepot?</t>
  </si>
  <si>
    <t>Cerita Pengalaman di Wuhan, WNI Gak Boleh Keluar Lebih Dari 500 Meter Oleh Warta Ekonomi Online</t>
  </si>
  <si>
    <t>@DadangRusian @jokowi @fadjroeL @fadlizon @mohmahfudmd Jikalau teroris ISIS menang mungkin beda lgi ceritanya, mungkin giliran Antum, anak Antum, istri Antum, atau keluarga Antum yg dibunuh disembelih ditembak jadi budak sex diperjual belikan sebagaimana selama ini mereka lakukan. Kecuali Antum pro ISIS atau bagian dari mereka.</t>
  </si>
  <si>
    <t>RT @hasmi_bakhtiar: Begini sikap pemerintah yang ga mau pusing dg problem rakyatnya. 1. Nama Indo akan tercoreng karena warganya menjadi sampah di LN. 2. Negara seperti Turkey bisa memaksa Indo menerima eks ISIS yang ada di Turkey, tapi lagi2 ini akan memperburuk citra Indo di mata dunia.</t>
  </si>
  <si>
    <t>RT @boedjazhard: Euforia pmulangan WNI yg dr Wuhan. Menteri2, Pejabat2, ikut jmpt di Natuna, warga m'antar dgn bdr merah putih seolah mrk Pahlawan, Gub dan Pjbt2 Mltr sibuk jput. Yg diobsrvsi dpt uang saku sgl, spt ajang promosi. Coba dibndngkn Prajurit yg gugur di papua, Media diam.....</t>
  </si>
  <si>
    <t>RT @hasmi_bakhtiar: Jadi semua pengamat yang bilang status WNI mereka hilang “automatically” itu bullshit semua yah. Termasuk orang istana yang ikut bilang itu.</t>
  </si>
  <si>
    <t>@kvksenthil @seigaithodarum @pkcomrade Vanthutan ISIS nu thookikittu... Dei apdila oru visayam nadanthuruntha first ey amithshah and modi ah potu thallirupanga da... Ivanuga Muslims ku ethira ivlo panniyum ipdi porattam panni police ta adi vaanganumnu ISIS theevivathiku ennada thazlai ezluthu?!</t>
  </si>
  <si>
    <t>Penolakan WNI eks ISIS untuk menjamin keamanan rakyat Indonesia</t>
  </si>
  <si>
    <t>@kantayu Ohmaigot kasihan mereka sdh terpapar virus isis</t>
  </si>
  <si>
    <t>RT @khoirinaannisa: @KBRITokyo Tolak angin to the rescue! #NegaraMelindungi Salut sama KBRI yang perduli sama WNI di Diamond Princess, semoga WNI disana tetap terjaga kesehatannya :)</t>
  </si>
  <si>
    <t>Lima Komandan ISIS Tertangkap di Mosul</t>
  </si>
  <si>
    <t>Cerita WNI di Wuhan yang Bosan Pakai Masker Setiap Hari  #DariSuara</t>
  </si>
  <si>
    <t>@detikcom Dear kepala Dirut PINDAD Mohon terima ISIS eks WNI di pabrik PINDAD agar dijadikan eksperimen senjata baru PINDAD</t>
  </si>
  <si>
    <t>RT @rmol_id: Eks ISIS Dan Koruptor, Bahaya Mana? #ISIS #Korupsi #Terorisme #RepublikMerdeka</t>
  </si>
  <si>
    <t>Masa observasi sejumlah WNI dari Wuhan, China terkait virus corona akan berakhir. Rencananya ratusan WNI itu akan dipulangkan ke daerah masing-masing, Sabtu besok. Berdasarkan informasi yang didapat</t>
  </si>
  <si>
    <t>Haru biru upacara pelepasan WNI dari Wuhan</t>
  </si>
  <si>
    <t>@motherofstar1 @Mahasiswa__13 @jokowi @Kepolisian_RI @PolhukamRI @mohmahfudmd Mudah2an wacana memulangkan ISIS eks WNI bukan Skenario. Jika itu skenario Negara kita bakal menghadapi masalah besar.</t>
  </si>
  <si>
    <t>Mantap jinggo dengan kekebalan tubuh WNI,,semoga warga dunia meniru cara dan aturan2 nyleneh hidup kita,,harvard makin heran pasti,,</t>
  </si>
  <si>
    <t>Gerindra Minta Pemerintah Pertimbangkan Pulangkan Anak-Perempuan Eks ISIS | #indonesia #malamminggu &gt;&amp;gt;&amp;gt; Click</t>
  </si>
  <si>
    <t>RT @helmifelis: Indonesia hampir pecah mereka sudah berani menekan umat Islam -'yang tidak minum bir'- sampai titik jenuh Jika tidak dapat melihat ini ya jadi ni barang Terlalu lambat berfikir, masa soal eks ISIS aja harus sampai bulan MEI-JUNI 😀 Sebuntu itukah otakmu wahai kisanak? .</t>
  </si>
  <si>
    <t>@tubirfess Klo ada yang bilang gk bisa di pulangin, maaf ya,Pemerinatah dulu tahun 2016, 2017 pernah pulangin eks isis sekitar 80 orang pernah di pulangin. Dan sekitar 200 lebih di deportasi balik ke Indonesia.</t>
  </si>
  <si>
    <t>@manusia_menjadi @helmifelis Lewat sayanjuga boleh. Mereka ex WNI. Lo mau ape?</t>
  </si>
  <si>
    <t>Paspor dibakar, Kabaharkam Polri tindak tegas bila ISIS eks WNI masuk ke Indonesia</t>
  </si>
  <si>
    <t>RT @helmifelis: Diputuskan tidak boleh pulang Ya udah sekarang jadi bahasan organisasi Internasional Mau diapakan eks WNI Inggris lebih dulu putuskan siapa ikut ISIS bukan bagain dari Inggris lagi Bedanya Inggris umumkan jauh hari, Indonesia punya sikap itu setelah eks ISIS mau pulang 😀 .</t>
  </si>
  <si>
    <t>@rizieqdivist Tolong fasilitasi kakek Hermawan....biar berangkat ke sarangnya ISIS di suriah...... mungkin pingin berangkat ke surga....</t>
  </si>
  <si>
    <t>@alware_zibran @brumbyoz Jab Tum "Hindu" bol ke gariyaoge , to tum khud unki jamat mein ghus rahe ho Jo "Muslim" bol ke gariyate Hain. ISIS ko ISIS and RSS ko RSS bolo Haan , ISIS wale Muslim Hain and RSS wale Hindu, but na to sab Muslim ISIS Hain aur na saare Hindu RSS Know the difference</t>
  </si>
  <si>
    <t>RT @KompasTV: Seperti inilah gaya unik khas Menteri Kesehatan Terawan Agus Putranto saat meyakinkan masyarakat Indonesia jika WNI yang dievakuasi dari Wuhan dalam kondisi sehat.</t>
  </si>
  <si>
    <t>@kompasiana @kompascom Aneh.. katanya isis cuma pemberontak.. kok ada istilah isis ex wni? logika nya, klo gitu brarti mengakui isis sbg negara/state doong?</t>
  </si>
  <si>
    <t>@kompasiana ENGGAK!! waktu mereka beralih jadi Isis, hal kaya gini nggak pernah lu bahas cuk? Fak them</t>
  </si>
  <si>
    <t>Lion Air Sambut 18 Awak Kabin Pesawat Pengevakuasi WNI dari Wuhan</t>
  </si>
  <si>
    <t>Sedangkan dari sisi organisasi ISIS teranggap sebagai bentuk pengembangan dari al-Qaeda. ISIS layaknya kegiatan politik yang tujuannya bukan untuk mendirikan khilafah, tetapi justru berseberangan dengannya. Tujuannya adalah untuk memecah belah negeri-negeri kaum muslimin agar</t>
  </si>
  <si>
    <t>"ISIS dari sisi pemikiran dikelompokkan ke dalam pemikiran Khawarij yang suka memberontak jama’ah kaum muslimin, mengkafirkan, membunuh, dan melakukan peledakan atau pengeboman.</t>
  </si>
  <si>
    <t>RT @TeukuDjouhan: Kelompok² Para Bangsa Bangsat Ini Sedang Memainkan Peran Nya Masing² Memainkan Isu ISIS Memainkan Isu Radikal Memainkan Isu Intoleran Memainkan Isu Agama Mereka Sedang Bekerja Untuk Menutupi Kelemahan Junjungan Nya Dalam Mengelola Negara Yang Semakin Hancur Total.</t>
  </si>
  <si>
    <t>RT @Generasi_MudaNU: “NU Tidak Setuju pemulangan Anggota eks ISIS Ke Indonesia” Saya tolak, saya tidak setuju. Mereka sudah meninggalkan negara, sudah membakar paspor nya, sudah mengatakan kita Ini thogut, terutama NU, anshorut togut, pendukung togut. Prof. Dr. Kh. Said Aqil Siradj Ketua Umum PBNU</t>
  </si>
  <si>
    <t>RT @HafidEnglish: Generasi Muda NU menolak dengan tegas Eks ISIS di pulangkan ke Tanah Air. Bukankankah katanya KHILAFAH Solusi Mengatasi Semua Masalah..? Kenapa Kalian Tidak Meminta Solusi Kepada Kokoh Felix Siauw..? #GMNU_MenolakEksIsis #GenerasiMudaNU</t>
  </si>
  <si>
    <t>Isak tangis dan senyuman hiasi wajah WNI yang pulang dari Natuna</t>
  </si>
  <si>
    <t>RT @__aiek_esthreem: #PresidenGakMutu Ttg RUU Omnibus Cilaka 👇 Cuti Menikah, Haid &amp; Ibadah Dihapus  Tak Hanya Investasi, Pers jg di Urusi  Pekerja Bisa Cuma Libur Sehari/Minggu  Tanpa sosialisasi &amp;amp; transparansi WNI yg dirugikan</t>
  </si>
  <si>
    <t>Masa Karantina Selesai, WNI Pulang Bawa Sertipikat Sehat dan Dibekali Duit</t>
  </si>
  <si>
    <t>Masa Karantina Selesai, WNI Pulang Bawa Sertipikat Sehat dan Dibekali Duit  via @Indopolitika</t>
  </si>
  <si>
    <t>@AhlulQohwah @KPAI_official @TyasZain @WagimanDeep @narkosun @JoniSukaPaha KPAI lg sibuk mau mulangin anak2 ISIS gk ada waktu ngurusin yg beginian</t>
  </si>
  <si>
    <t>@Alfuzz96 @sahid____ Ngga fath, ini nunjukin klo sistem kesehatan kita masih jauuuuuuuuuh bgt di belakang negara2 lain baik dari teknologi dan mental. Buktinya wni yg di singapura udh ada yg dinyatakan kena corona. Ni virus udh sampe mesir ga mungkin di sini ga ada yg kena.</t>
  </si>
  <si>
    <t>Kemenkes berikan sertifikat kepada WNI peserta observasi Corona</t>
  </si>
  <si>
    <t>Yg nyoblos mah tenang2 aja... langsung putarbalik ngetwit soal ISIS hahahah RT @TirtoID: Ada penambahan luas wilayah izin usaha eksporlasi penambangan batu bara dari maksimal 25 ribu Ha menjadi 50 ribu Ha. Perizinan setelah UU Cilaka (kini Cipta Kerja) juga akan bisa diperpanjang tanpa melalui lelang.</t>
  </si>
  <si>
    <t>Lagu Indonesia Raya Mengantar Keberangkatan WNI dari Natuna</t>
  </si>
  <si>
    <t>@detikcom Hehehe salah dong wni x isis...yg ada isis lg nyebar kekuatannya stlh latihan bertahun2, buat turun gunung...bs aja nih</t>
  </si>
  <si>
    <t>Tak Perlu Khawatirkan WNI dari Natuna</t>
  </si>
  <si>
    <t>Ni kan pasti orang jepun yang periksa WNI nya dan tetep negatif, berarti bener sistem imun orang indo hebaatttt wkwkw. Okay akan ku lanjutan konsumi bala bala, per-aci-an, micin dan gorengan renyah lainnya guna membangun sistem imun ku :) RT @amandrug: idk this is so funny like the way them 218 japanese people got corona but these 78 indonesians stay mad healthy😭😭</t>
  </si>
  <si>
    <t>RT @dubie_tina: FUCK EVERYTHING USTADZ BANGSAT INI 🖕🖕😡😡❗️❗️CIDUK USTADZ BANGSAT INI DAN JGN KASIH RUANG APAPUN BUAT KAUM ANTEK2 HTI ISIS RADIKAL KAUM FPI PA212 GNPFUI RADIKAL DI BUMI NKRI ! ! LAWAN AYO SUDAH MUAK DAN CAPE KITA SAMA SETAN2 INI ! ! DEMI NKRI 🇮🇩🦅🇮🇩✌️🤟♥️</t>
  </si>
  <si>
    <t>Yusuf Azhar (21), merasa lega setelah dua pekan menjalani karantina di Natuna, Kepri, akhirnya dinyatakan sehat dari virus corona.</t>
  </si>
  <si>
    <t>RT @liputan6dotcom: Suka Cita WNI dari Natuna Pulang ke Kampung Halaman</t>
  </si>
  <si>
    <t>FUCK EVERYTHING USTADZ BANGSAT INI 🖕🖕😡😡❗️❗️CIDUK USTADZ BANGSAT INI DAN JGN KASIH RUANG APAPUN BUAT KAUM ANTEK2 HTI ISIS RADIKAL KAUM FPI PA212 GNPFUI RADIKAL DI BUMI NKRI ! ! LAWAN AYO SUDAH MUAK DAN CAPE KITA SAMA SETAN2 INI ! ! DEMI NKRI 🇮🇩🦅🇮🇩✌️🤟♥️ RT @yusuf_dumdum: Wah ini siapa lagi ? Ngerih ceramahnya. 🤦‍♂️ Gak usah sibuk mau deradikalisasi ratusan eks ISIS WNI. Coba @BNPTRI benerin dulu jalan pikiran ngustadz ini. Mampu gak ? Cc @DivHumas_Polri Kalau ini saja gak bisa diberesin maka jangan sok gaya mau deradikalisasi 660 eks ISIS.</t>
  </si>
  <si>
    <t>Generasi Muda NU menolak dengan tegas Eks ISIS di pulangkan ke Tanah Air. Bukankankah katanya KHILAFAH Solusi Mengatasi Semua Masalah..? Kenapa Kalian Tidak Meminta Solusi Kepada Kokoh Felix Siauw..? #GMNU_MenolakEksIsis #GenerasiMudaNU</t>
  </si>
  <si>
    <t>RT @KRMTRoySuryo2: Tweeps, Diluar apa2 yg saling sengkarut di Republik +62 ini, Saya secara Obyektif Mengapresiasi kinerja @Menlu_RI Menkes @BNPB_Indonesia @_TNIAU @Puspen_TNI @lionairgroup dibawah koordinasi MenkoPMK &amp; @mohmahfudmd yg bagus melakukan Penanganan 238+47 WNI #COVID19 Terimakasih 👍.</t>
  </si>
  <si>
    <t>Mendagri Apresiasi Pemda Layani WNI yang Baru Diobservasi di Natuna</t>
  </si>
  <si>
    <t>Seperti inilah gaya unik khas Menteri Kesehatan Terawan Agus Putranto saat meyakinkan masyarakat Indonesia jika WNI yang dievakuasi dari Wuhan dalam kondisi sehat.</t>
  </si>
  <si>
    <t>@geloraco Pertanyaannya apakah saat nanti Indonesia masih dikuasai bangsa sendiri atau bangsa lain yg berstatus WNI..</t>
  </si>
  <si>
    <t>Pulang Setelah Diobservasi di Natuna, Kesehatan 10 WNI Asal Jateng Terus Dipantau</t>
  </si>
  <si>
    <t>Di Jordania saya bertemu dengan WNI (Mimin) berasal dari Garut (Jabar) sudah 11 tahun bekerja di Boutique yang menjual hasil dari laut mati tanpa bahan pengawet, bagi Mimin bertemu sesama WNI dinegeri orang sangat menyenangkan, buat Mimin jangan lupakan negeri kita</t>
  </si>
  <si>
    <t>ISIS PINGIN PULANG Eks Presiden ISIS Indonesia: Kalau Ditolak Pulang, WNI Eks ISIS Saya Tampung!</t>
  </si>
  <si>
    <t>@98Garibi Te amuuu😍</t>
  </si>
  <si>
    <t>@aribgspanuntun @fullmoonfolks @yellohelle Jogja lagi sibuk ngurusin isis 😂 ,perjuangan TEMPE Satu koalisi kalian ada di pemerintahan Satu lagi turun ke jalan Y ga nyambung paling ditunda terus tau-tau di sahkan selamat menikmati hidangan kalian untuk 5 tahun ke depan</t>
  </si>
  <si>
    <t>WHO Puji Cara Indonesia Tangani WNI Di Natuna</t>
  </si>
  <si>
    <t>@sendysuwanto @detikcom Kan isis cabang Indonesia</t>
  </si>
  <si>
    <t>RT @AmbarwatiRexy: ISIS, kombatan ISIS, lonte ISIS, anak2 ISIS, PERSETAN KLEAN!! Klean nangis2 ngemis2 minta pulang ke RI karena ISIS kalah. Coba kalo menang, gak bakal ada drama minta dikasihani. Klean bakal jumawa ngetawain dunia sambil ngebom &amp; nyembelih manusia sana sini. Yekan???</t>
  </si>
  <si>
    <t>Menkes Terawan Minta Dinkes Tetap Pantau 238 WNI yang Dipulangkan dari Natuna</t>
  </si>
  <si>
    <t>Keluarga Sambut Kedatangan WNI dari Natuna di Bandara Halim Perdanakusuma</t>
  </si>
  <si>
    <t>RT @KompasTV: Resmi Dipulangkan, WNI di Natuna Kini Sudah Bertemu dengan Keluarga</t>
  </si>
  <si>
    <t>RT @akuikibutoijo: @BBCIndonesia pastinya @BBCIndonesia kan sdh tau bhw pemerintah Indonesia tdk akan memulangkan mereka. so, mereka stateless skrg. Tolong drpd ulang2 berita ini terus, tak guna, mending beritakan penolakan final pemerintah kpd eks wni eks isis itu ya. mksh.</t>
  </si>
  <si>
    <t>RT @kompasiana: Bila Ada WNI yang Perlu Dikarantina Lagi, Masyarakat Natuna Siap Menerima</t>
  </si>
  <si>
    <t>RT @Anggunesia: Alhamdulillah. Sebanyak 238 WNI yg kembali dari Wuhan China telah selesai menjalani observasi selama 2 minggu di Natuna, Kepri Indonesia dan dinyatakan sehat. Selamat jalan saudaraku. Semoga tetap sehat selalu. Amin. #Natuna #Indonesia #COVID2019 #WuhanVirus</t>
  </si>
  <si>
    <t>Dapet berita kayak gini jujur muncul rasa takut, selain takut keamanan WNI di kapal, juga takut kemunculan berita hoaks dan konspirasi pemerintah nutup nutupin fakta, yang bikin rusuh jagat Internet. Percaya, langkah yang diambil pemerintah pasti demi keamanan rakyat dan negara. RT @CNNIndonesia: Pemerintah Jepang menyatakan sebanyak 218 penumpang kapal pesiar Diamond Princess terinfeksi virus corona. @Kemlu_RI pun menuturkan bahwa 78 orang WNI yang merupakan kru dari kapal pesiar tersebut dalam kondisi sehat dan negatif virus corona.  #CNNIndonesia</t>
  </si>
  <si>
    <t>@mandanggg Wow sulit kali cari nya, mbak bisa dikasih pencerahan tentang awak kapal pesiar yg WNI</t>
  </si>
  <si>
    <t>RT @kurawa: Ayo pak @jokowi @mohmahfudmd buat lagi program seperti penataran P4, gak usah takut dikritik.. inilah bentuk investasi kalian utk NKRI 15-20 tahun kedepan mengembalikan WNI menjadi WNI Nusantara yang seutuhnya. Negara sdh darurat pendidikan ideologi</t>
  </si>
  <si>
    <t>@APLpangeran1 @hotmanParis Harusnya kombatan ISIS dan koruptor hukumannya keq gini. Dimana organ mrk tuk membantu yg membutuhkan. Lebih manusiawi dgn legalitas standing.</t>
  </si>
  <si>
    <t>2 TKW Asal Lampung dan Cilacap Dipenjara di Singapura Terlibat Pendaan ISIS</t>
  </si>
  <si>
    <t>Resmi Dipulangkan, WNI di Natuna Kini Sudah Bertemu dengan Keluarga</t>
  </si>
  <si>
    <t>Kepada Yth Presiden RI Bapak @jokowi Saya adalah seorang WNI yg beragama Islam.Akan tetapi,beberapa kejadian intoleransi yg terjadi di beberapa daerah sangat mengusik nurani saya &amp; banyak rakyat anda.Di periode 2 anda,tolonglah beri ketegasan &amp;amp; kebijakan RT @KatolikG: Hanya dua hari setelah pak @jokowi Memerintahkan aparat terkait menyelesaikan masalah penolakan IMB gereja St Yoseph karimun, Pak polisi langsung Gercep. Tepat dihari valentine, humas Pembangun gereja @RomeskoP diperiksa atas laporan dari kelompok intoleran.! #saveromesko</t>
  </si>
  <si>
    <t>Haru biru upacara pelepasan WNI dari Wuhan  via @circleboom</t>
  </si>
  <si>
    <t>Lg nonton mata najwa seputar ISIS, banyak insight baru sih, terutama dari strategi komunikasi isis itu sendiri</t>
  </si>
  <si>
    <t>Kabaharkam Nyatakan Polri akan Bertindak Tegas Bila ISIS eks WNI Masuk ke Indonesia</t>
  </si>
  <si>
    <t>Ketika ISIS Eks-WNI Berlindung di Balik Dalih Kemanusiaan</t>
  </si>
  <si>
    <t>RT @ZulfikarZ4karia: @Jean_Aprilia97 @ahmadadrongi @RyoFahri Kalo menurut saya isis gak ada menang kalah.. kalo toh pun ada itu drama.. tidak semua anggota isis tu dibiayai oleh pihak2 tdk bertanggung jawab.. yg terperdaya muslihat pun banyak.. harusnya negara hadir disitu sebagai pengayom</t>
  </si>
  <si>
    <t>@yourgirlcruzh awokwowkwok seru kalo bukan WNI</t>
  </si>
  <si>
    <t>@Leel310 @detikcom Aki cecep ini ketum nya (GARIS)/hisbut tahrir yg dibubarkan pemerintah.kebetulan yg kemarin mobil nya dipake pawai sama yg punya boby the cat.aki2 ini mau exsis lagi sepertinya dengan ada nya berita ISIS ini.🙃</t>
  </si>
  <si>
    <t>RT @zarazettirazr: WNI eks ISIS ga bole balik Tapi WNI eks PKI di rekonsiliasi :) Apa teorinya eks Isis ga bisa di rehab dan rekonsiliasi? Ati2 loh oneday anak2 eks ISIS itu akan nuntut pemerintah Indonesia yg pernah NOLAK mereka lewat pintu HAM :)</t>
  </si>
  <si>
    <t>RT @KompasTV: WNI Resmi Dipulangkan Pasca Jalani Observasi, Pihak Keluarga Bersiap Menyambut Kedatangan</t>
  </si>
  <si>
    <t>RT @KompasTV: WHO Memuji Kinerja Pemerintah Indonesia dalam Menangani WNI dari Wuhan</t>
  </si>
  <si>
    <t>Lebih baik membantu korban kekejaman isis...</t>
  </si>
  <si>
    <t>RT @KompasTV: Pasca Dipulangkan, WNI Asal Jawa Timur Dinanti Oleh Keluarga</t>
  </si>
  <si>
    <t>ISIS yg mau pulang harus ditolak mereka yg mendukung ISIS dan ikut mengkampanyekannya dulu dengan seminar2 dan aktifitas di medsos juga layak untuk diusir rekam jejak masih tersimpan rapih</t>
  </si>
  <si>
    <t>Dinkes Bogor Dampingi WNI yang Dipulangkan dari Natuna</t>
  </si>
  <si>
    <t>@Restichayah Diskresi. aturan hukum berlaku utk semua WNI kecuali ompol itu.</t>
  </si>
  <si>
    <t>RT @iNewsID: Presiden Direktur (Presdir) Lion Air Group, Edward Sirait menyatakan pesawat Batik Air dengan jenis A330 yang mengevakuasi 238 Warga Negara Indonesia (WNI) dari Kota Wuhan, Provinsi Hubei, China, langsung dibersihkan.</t>
  </si>
  <si>
    <t>@DadangRusian @jokowi @fadjroeL @fadlizon @mohmahfudmd Iya kasihan, kalo isis menang mereka apa bakal balik?😃 Segalanya udah ada Allah yg ngatur, negara tidak mau menerima itu juga udah kehendak Allah.. Mana tau kalo gak balik ke Indo malah nasib mrk bagus disana? Serahkan semua sama Allah ya mas..</t>
  </si>
  <si>
    <t>@DonAdam68 Disini WN China dipermudah Disana WNI sendiri dilarang pulang Hukum kebalik,, semoga negara ini tdk ikut dibalikan ! Aamiin</t>
  </si>
  <si>
    <t>@hendri92189000 @Ngk0ngR0s3s__ @Mr_gaplexs @MakNyus_xx @777juniblack @serdadu_is_back @waj_pon Yen isis wedog d kon ngemot spe klomoh .. men koyo nang pilem-2 😬</t>
  </si>
  <si>
    <t>Negatif Corona, WNI di Karantina Kapal Pesiar Jepang ' Positif ' Masuk Angin</t>
  </si>
  <si>
    <t>RT @Barna_byo: #TolakAnakISISKembali Lebih baik memastikan masa depan yang lebih baik bagi Anak Indonesia, daripada sibuk mengawasi dan mengurusi "Anak ISIS Eks WNI" yang dididik untuk men-Taghut-kan Pemerintah dan Negara ini 🙏🙏🙏 #MenujuIndonesiaMaju</t>
  </si>
  <si>
    <t>@isis_janelle Iyaq</t>
  </si>
  <si>
    <t>RT @merdekadotcom: Cerita WNI Selama Dikarantina di Natuna: Happy Banget, Berat Badan Kami Naik</t>
  </si>
  <si>
    <t>Targetnya bukan cuma anak-anak ISIS (kalau anak-anak ini dipulangkan), tapi semua anak di Indonesia ini. Karena, survei PPIM UIN Jakarta (2017) menemukan bahwa lebih dari 50% pelajar dan mahasiswa Indonesia punya opini radikal. @YRadianto @tempemendoanGL</t>
  </si>
  <si>
    <t>@fadlizon antek HTI dan antek ISIS . waspada !!! RT @and_reavie: FADLIZONK sesalkan HTI DIBUBARKAN 😊 Heran sama manusia satu ini.. Dia sebenernya pintar tapi 🧠 nya ga dipake hanya krn INGIN memojokkan dan menyalahkan pemerintah dia rela jd manusia dgn 🧠 keterbelakang Persis kaya ikan buntal 🐡 😂 #AwasHTImasihEksis #AwasHTImasihEksis</t>
  </si>
  <si>
    <t>Perdebatan soal pemulangan ISIS (meski pemerintah sudah memutuskan, tidak ada pemulangan) masih terus bergulir. Ada yang mempertanyakan kepada saya, bagaimana dengan anak-anak mereka? Kan kasian, kan mereka itu korban? @AminSiregar75 @DahliaPesona</t>
  </si>
  <si>
    <t>(Vlog) Nyanyian Jiwa Anak Suriah Ya walopun begitu masih teguh saya g mau mulangin eks isis pokoknya @CH_chotimah @triwul82</t>
  </si>
  <si>
    <t>@DjokoEdhi1 Kesempatan menjadikan WN China sebagai WNI</t>
  </si>
  <si>
    <t>Banyak kegaduhan diluar sana, tentang intoleransi, ttg eks wni isis, ttg salah ketik, ttg bulliying,, Aku terlalu takut dengan dunia luar, makanya malam minggu aku dirumah saja😐</t>
  </si>
  <si>
    <t>@HusinShihab @jokowi Whatttt???? Bukan WNI eks ISIS tapi ISIS eks WNI.. itu baru bnar pa Menag yg terhormat... jgn dibolak balik pa..😂😂😂 #AwasAntek2ISIS #TolakAnakISISKembali #RessufleMenteriAgama</t>
  </si>
  <si>
    <t>@zhibung @UmarTanjung1 KHILAFAH itu yang menjadi Ideologinya ISIS yaa ... 😊</t>
  </si>
  <si>
    <t>Jadi inget cerita kombatan ISIS, yg dibolehkan berbohong demi keuntungan pribadi dan kelompoknya, jangan2 nih .... heuheuheu #aniesbaswedanjuarabohong</t>
  </si>
  <si>
    <t>@detikcom Bergabung saja disana jadi ISIS lagi kek, ngapain kotori negara kami.</t>
  </si>
  <si>
    <t>RT @maldhaddad: @mohmahfudmd Kalo bisa 9 org dari 243 wni tsb bapak Siapkan Jamuan makan bersama keluarga besar Bpk Dan menginap di rumah Bpk</t>
  </si>
  <si>
    <t>@detikcom Ex WNI boss</t>
  </si>
  <si>
    <t>Gubernur Riau Sambut WNI yang Lolos Observasi di Natuna | #indonesia #malamminggu &gt;&amp;gt;&amp;gt; Click</t>
  </si>
  <si>
    <t>RT @sayHazra: @MahiraSayed0 @ANI And ISIS JeM Lashkar Taliban Al-Qaeda PFI SIMI Indian Mujahedeen..... are ?</t>
  </si>
  <si>
    <t>@woypundan @kompascom @ridwankamil tanpa pengadilan langsung terima keputusan, jadi warga negara sama di depan hukum ada pengecualian: 1, isis eks wni 2, guru di keluarkan pukul murid 3, rektor atau dosen penghina jokowi di non aktifkan @fadlizon @RamliRizal @KejaksaanRI @MahkamahAgung @Humas_MKRI @ustadtengkuzul</t>
  </si>
  <si>
    <t>RT @Je_Ly: Bersyukur bersyukur bersyukur Puji Tuhan Alhamdulillah...🙏🙏 Observasi WNI di Natuna dr Wuhan sdh selesai.🤩 "243.. Sehat.. sehat semua.. sehat." Ucap dr Terawan @KemenkesRI Memang yg diobservasi orang yg sehat 😉👍 Selamat pulang kembali bertemu dg keluarga yaaakk.. 🙏</t>
  </si>
  <si>
    <t>@tribunnews tanpa pengadilan langsung terima keputusan, jadi warga negara sama di depan hukum ada pengecualian: 1, isis eks wni 2, guru di keluarkan pukul murid 3, rektor atau dosen penghina jokowi di non aktifkan @fadlizon @RamliRizal @KejaksaanRI @MahkamahAgung @Humas_MKRI @ustadtengkuzul</t>
  </si>
  <si>
    <t>Secara impulsif beli ini di alfa eh lha kok enak wkwk isis rasane RT @luluhusnaa: Penemuan aneh tapi aku suka????</t>
  </si>
  <si>
    <t>@DadangRusian Gagal paham yaaa, belajar UU yg bnyk gih, syarat yg msh dianggap sbg WNI</t>
  </si>
  <si>
    <t>@totokjulianto @nustya88 @DadangRusian @jokowi @fadjroeL @fadlizon @mohmahfudmd Sudah berapa banyak saudara muslim kita yg telah diledakkan kepalanya oleh peluru ISIS? Biarkan mereka bahagia dan bangga atas pilihannya menjadi anggota ISIS.</t>
  </si>
  <si>
    <t>Salam hangat kepada seluruh WNI kita yang per-hari ini kembali kerumah masing-masing dan berkumpul bersama keluarga #StafKhususPresiden #JubirPresidenbidSosial</t>
  </si>
  <si>
    <t>@detikcom Bos .kok repot ngurusin isis..urus bawang putih nih..kok mahal..kita pelaku usaha kuliner pusingg...🤣🤣</t>
  </si>
  <si>
    <t>@DadangRusian @jokowi @fadjroeL @fadlizon @mohmahfudmd Waktu mrka gabung sama isis apakah ada izin dari pemerintah??????</t>
  </si>
  <si>
    <t>RT @vivanewscom: WHO Puji Cara Pemerintah RI Karantina WNI dari Wuhan  #vivanews</t>
  </si>
  <si>
    <t>WHO Puji Cara Pemerintah RI Karantina WNI dari Wuhan  #vivanews</t>
  </si>
  <si>
    <t>@QiraniAyara Lebih Bahaya Ideologi KORUPSI dibandingkan ISIS , Idiologi Korupsi Telah Membunuh Jutaan Rakyat Indonesia untuk menjadi sejahtera, Rakyat indonesia Banyak Yg Miskin, Pejabatnya hanya Mikirin Kuwalisi.</t>
  </si>
  <si>
    <t>RT @SiswadiMargo: @RadioElshinta Pemerintah dlm hal ini meminta dinas kesehatan di daerah asal dari WNI yang telah selesai di karantina bisa memberikan sosialisasi kemasyarakat bahwa mereka sehat dan memonitor agar mereka tetap sehat warga di minta terus waspada akan bahaya dan cara pencegahan korona</t>
  </si>
  <si>
    <t>Presiden Direktur (Presdir) Lion Air Group, Edward Sirait menyatakan pesawat Batik Air dengan jenis A330 yang mengevakuasi 238 Warga Negara Indonesia (WNI) dari Kota Wuhan, Provinsi Hubei, China, langsung dibersihkan.</t>
  </si>
  <si>
    <t>Pemerintah secara resmi memutuskan tak akan memulangkan WNI eks ISIS. Pemerintah beralasan ingin memberi rasa aman kepada 267 juta rakyat dari ancaman tindak terorisme.</t>
  </si>
  <si>
    <t>Warga baru,anak2 yg terlantar...bukan anak2 eks ISIS..! @YRadianto @mochamadarip @elHurryKoRn @FirzaHusain @kantayu @MoelyonovDjalil @PantunJ2P @Ngk0ngR0s3s__ @snjayajonggrang</t>
  </si>
  <si>
    <t>@mohmahfudmd GAK USAH PAMER BISA MULANGIN WNI DARI WUHAN,SEMENTARA WNI DI SINI SAJA MAU IBADAH SAJA KESULITAN KARENA. TAPI MALAH TUTUP MATA. SAMAPAI KPN KAUM INTOLERAN ANDA KIRIM KE SURIAH.</t>
  </si>
  <si>
    <t>@BBCIndonesia Yang tidak terhormat dan tidak mulia @BBCIndonesia , apa tidak ada berita lain haaaaa dibayar berapa si anda sama isis</t>
  </si>
  <si>
    <t>RT @Ndrews1162011: @dualahami @JakartaStar @DonAdam68 Loh kok balik lagi suporter teroris ? Ini anak2 isis. Masih mw bilang polos2 ya ?</t>
  </si>
  <si>
    <t>@mohmahfudmd anda nggak salaman dengan salah satu dari wni itu?</t>
  </si>
  <si>
    <t>@virgoach Ipi mitivisi kimi minjidi isis.HILIH KINTIL</t>
  </si>
  <si>
    <t>@elucuu Seketika malu jadi wni</t>
  </si>
  <si>
    <t>WNI dari Wuhan Bebas Corona</t>
  </si>
  <si>
    <t>@detikcom Negara Islam Irak Suriah itu kira kira singkatan isis dalam bahasa indonesia nah anggotanya berarti warga negara itu kan jd jng sebut WNI lg ini kadang2 pers memang asal kalo bikin berita</t>
  </si>
  <si>
    <t>@panpanics Ada yang tersiksa tapi bukan WNI</t>
  </si>
  <si>
    <t>@rockafela_ @XpetzD @IMulya77 @yusuf_dumdum @aniesbaswedan @ganjarpranowo Woii penggemar bokep....bahas gabener lo aja dulu jgn alih topik ke isas isis</t>
  </si>
  <si>
    <t>RT @Katolik_GK: Umat TL sejagat.... Hatiku menangis ketika menyaksikan tanah airku Indonesia dijadikan tempat pemuas nafsu seks WNA. Malu gak sih? So siapa pun germo dan PSK-nya yg WNI, sadarlah. Darah tumpah loh utk tanah air ini. Bukan darahmu, tp darah para pahlawan.</t>
  </si>
  <si>
    <t>WHO Memuji Kinerja Pemerintah Indonesia dalam Menangani WNI dari Wuhan</t>
  </si>
  <si>
    <t>WNI Resmi Dipulangkan Pasca Jalani Observasi, Pihak Keluarga Bersiap Menyambut Kedatangan</t>
  </si>
  <si>
    <t>@KPAI_official Anak2 normal dalam negeri saja urusi pak.... ngapain urusi eks WNI ???</t>
  </si>
  <si>
    <t>@Dennysiregar7 @jokowi Intoleransi makin marak, kaum radikal penyebar hoaks semakin menjadi-jadi. Hukum di Indonesia terlalu lemah sampai penyandang dana Isis pun bisa lenggang kangkung. Aman</t>
  </si>
  <si>
    <t>RT @abu_waras: Parah! Warga negara lain sdh pada dievakuasi, ini masih retorika terus. Katanya negara sahabat. Sudah ga punya martabat kita dimata Cayna..</t>
  </si>
  <si>
    <t>RT @emilsalim2010: Saya ikut lega bersama keluarga dari 237 WNI yg bermukim di Wunan, RRT, menyambut kedatangan mereka lolos observasi kesehatan di Natuna dgn rasa terima-kasih pada masyarakat Natuna. Semoga mereka yg pulang, segera bisa berkarya kembali seperti sediakala.</t>
  </si>
  <si>
    <t>@TolakBigotRI @KakekHalal @AhlulQohwah @BadjaNuswantara @DjanChoek @03__nakula @shinichikudo991 @triwul82 @amrudinnejad_ @4Y4NKZ @AfifFuadS @Alitingting2 Awas antek isis dan kilapah....</t>
  </si>
  <si>
    <t>@dualahami @JakartaStar @DonAdam68 Loh kok balik lagi suporter teroris ? Ini anak2 isis. Masih mw bilang polos2 ya ?</t>
  </si>
  <si>
    <t>RT @KadalGu: Perlu di ingat !!! Ini perintah ISIS utk berjuang di Negara masing-masing.Termasuk Indonesia. Jadi saya simpulkan bahwa Kepulangan ISIS ini hanyalah MODUS !!! Cc @TolakBigotRI @AnakLolina @arjuno_ireng01 @ayah_9Garislucu @narkosun @k4ng_C1reNG @CH_chotimah</t>
  </si>
  <si>
    <t>WNI Dibebaskan Usai Observasi, Menkes: Mau Lihat Konser Juga Boleh</t>
  </si>
  <si>
    <t>@tempodotco Kitab suci suatu agama, wajib dijunjung tinggi o/masing" penganutnya. Namun... konstitusi, wajib dijunjung tinggi o/seluruh WNI, apapun agamanya. Konstitusi lemah, bangsa jd rapuh, negara bs runtuh, alias NKRI bs bubar. Aku setuju dg Ka BPIP, cuma bhsnya sj yg tajam</t>
  </si>
  <si>
    <t>RT @republikaonline: Menkes menyebut WNI tidak bisa kembali ke Wuhan untuk saat ini</t>
  </si>
  <si>
    <t>@BNPTRI @mohmahfudmd @kemendagri @BNPTRI jika masih juga berwacana ingin untuk memulangkan pangikut iblis ISIS terkutuk, beresin dulu yang ini 👇 Jika tak mampu, berhentilah berwacana untuk mengembalikan pengikut iblis ISIS terkutuk! RT @yusuf_dumdum: Wah ini siapa lagi ? Ngerih ceramahnya. 🤦‍♂️ Gak usah sibuk mau deradikalisasi ratusan eks ISIS WNI. Coba @BNPTRI benerin dulu jalan pikiran ngustadz ini. Mampu gak ? Cc @DivHumas_Polri Kalau ini saja gak bisa diberesin maka jangan sok gaya mau deradikalisasi 660 eks ISIS.</t>
  </si>
  <si>
    <t>Penasaran, Apakah ada yg mengetahui jumlah uang yg dikeluarkan oleh Negara tuk WNI dari Wuhan di Natuna hingga ke tempat tinggalnya masing2x?.</t>
  </si>
  <si>
    <t>RT @Julia_Zeed: @KakekHalal @jokowi @RomeskoP @permadiaktivis @AlissaWahid @KatolikG @FerdinandHaean2 @negativisme @Takviri Yang nglaporin itu orang Indonesia atau Bukan? Binatang kek ISIS kelakuannya</t>
  </si>
  <si>
    <t>Menkes menyebut WNI tidak bisa kembali ke Wuhan untuk saat ini</t>
  </si>
  <si>
    <t>Umat TL sejagat.... Hatiku menangis ketika menyaksikan tanah airku Indonesia dijadikan tempat pemuas nafsu seks WNA. Malu gak sih? So siapa pun germo dan PSK-nya yg WNI, sadarlah. Darah tumpah loh utk tanah air ini. Bukan darahmu, tp darah para pahlawan.</t>
  </si>
  <si>
    <t>@ho_jend @WR_4AG226 Elu x yg isis hti....dr mana lo tahu tuhan gak suka org munafik..nah lo sendiri bilang " klo memang bener ada tuhan" berarti lo emang manusia munafik....lo terlahir dr ciptaan tuhan tp gak mengakui adanya tuhan..dasar isis hti lo</t>
  </si>
  <si>
    <t>RT @inge_august: Gak perlu ada eks ISIS pun di dalem udah begini kok. Dari dulu malah.</t>
  </si>
  <si>
    <t>RT @mitra_sendiri: @Jean_Aprilia97 mudahkah mereka yaa robb...sebagian mereka khilaf tertipu ISIS..sebagian lagi tak tau apa-apa..</t>
  </si>
  <si>
    <t>Inggris Larang Warganya Masuk ISIS</t>
  </si>
  <si>
    <t>RT @ahmadadrongi: @Jean_Aprilia97 @RyoFahri Beda cerita misal ISIS menang di Irak &amp; Suriah, apakah mereka mau kembali ke Indonesia??? Masih mau bilang khilaf?</t>
  </si>
  <si>
    <t>RT @ahmadadrongi: @Jean_Aprilia97 @RyoFahri Anggota ISIS Eks WNI lebih tepatnya, karena passport sudah dibakar sendiri, kata mereka Indonesia negara Toghut Semoga lebih baik dalam hubungan sesama manusia dan hubungan dengan Alloh, Aamiin 🙏</t>
  </si>
  <si>
    <t>@aryacokronegoro @BebasVisaID @oak_math_lee_91 @addamfarizi @yovie_myg @sandmanindo @MikeyAM97 @IvanRT05 Jika Indonesia ditawarin bebas visa,berarti negara lain percaya dgn Indonesia,tdk ada kerugian bagi Indonesia,jd tdk perlu dikaji.Bagi WNI yg terbukti menyalahgunakan bebas visa,lgsg aja dicekal 5 thn tdk blh bepergian ke luar negeri,kecuali utk situasi mendadak</t>
  </si>
  <si>
    <t>@hakaemel Mungkin dia lagi kena ISIS (itu susah, Ini susah) lagi butuh uang kali om.. 😂🤣</t>
  </si>
  <si>
    <t>Mlaku neng sopa ngerti2 disenggol uwong seko mburi, niat e arep ra trimo jebul kuwi paspampres e Jokowi auto ngalah aku wedi dicoret seko WNI wkwk</t>
  </si>
  <si>
    <t>RT @Hanifah933: Anggota Komisi I Dewan Perwakilan Rakyat Fadli Zon MENDUKUNG rencana MEMULANGKAN Anggota ISIS Eks WNI ke Tanah Air. Mengapa ? Mungkin 🎥 di menit ke 01.35 dpt menjadi benang merahny 🙏 #TolakAnakISISKembali</t>
  </si>
  <si>
    <t>@tempermonkeys @pocongjepri1 @tubirfess apakah bagian dari sejarah Indonesia harus dipajang? Kalo gitu ga sekalian taro bendera belanda di pengadilan? soalnya kuhp itu turunan dari belanda. kenapa gue bilang dualisme? kalau ada yang bikin buku berjudul “saya bangga menjadi anak isis” apakah respon anda akan sama?</t>
  </si>
  <si>
    <t>Masa Observasi Berakhir, Terawan dan Doni Monardo Jemput 238 WNI di Natuna</t>
  </si>
  <si>
    <t>@AHSANFURQANIBR5 @AnakKolong___ #AwasHTImasihEksis Meski ISIS hancur, ideologi khilafah &amp; kekerasan yang selama ini diusung harus diwaspadai. Apalagi, ideologi itu sudah banyak menyebar di berbagai negara. Di Indonesia, HTI juga menyebar paham radikalnya di Medsos.</t>
  </si>
  <si>
    <t>yang bener tuh WNI eks ISIS atau ISIS eks WNI ya.. 😅</t>
  </si>
  <si>
    <t>@Suhaemi23960097 @jr_kw19 Semua manusia bisa salah.. Mirip jawaban bapak dan anak ISIS setelah kalah perang</t>
  </si>
  <si>
    <t>@alva_roe_lee_ @Bubut871 Beliau sdh diperintahkan mingkem soal teroris ISIS ex WNI. Mudah2an nanti diperintahkan mingkem soal semua hal.</t>
  </si>
  <si>
    <t>@DadangRusian @jokowi @fadjroeL @fadlizon @mohmahfudmd Doktrin ga akan pernah ilang, udah disana aja gosah minta balik. Kalian tdk mendapatkan apa yg kalian mau di sana, beda cerita jika kalian mendapatkannya disana, pasti kalian masih berbuat keji seperti yg isis lakukan terhadap manusia. Bentar lagi kan mau ke surga.</t>
  </si>
  <si>
    <t>WHO Jamin Kesehatan 238 WNI Yang Pulang dari Natuna</t>
  </si>
  <si>
    <t>[Top3News] WNI di Natuna Selesai Diobservasi, Radioaktif di Tangsel, Korban Heli Jatuh Dievakuasi</t>
  </si>
  <si>
    <t>RT @AdvokatlK: @Qiran14yara Lebih bahaya koruptor, termasuk perampok BUMN. Eks ISIS masih bisa dibina tetapi koruptor hrs dibinasakan.</t>
  </si>
  <si>
    <t>RT @tribunnews: Polri Akan Menindak Tegas ISIS eks WNI yang Berusaha Pulang ke Indonesia  via @tribunnews</t>
  </si>
  <si>
    <t>Menteri Kesehatan (Menkes) Terawan Agus Putranto mengatakan, tidak memberikan batasan kepada mereka saat berinteraksi di masyarakat. Apalagi, menurut dia, Badan Kesehatan Dunia (WHO) telah memastikan dan menjamin mereka dalam kondisi sehat.</t>
  </si>
  <si>
    <t>RT @aryacokronegoro: @yovie_myg @BebasVisaID @oak_math_lee_91 @addamfarizi @sandmanindo @chuentoi @MikeyAM97 @IvanRT05 Jangan2 banyak negara nawarin WNI bebas visa tapi dubes nya banyak yang pinternya mengkaji doang. Kemarin @budy_marble share Algeria mau buat evisa mudah-mudahan KL nanti Indonesia ditawarin dubes di Algeria ga mengkaji lagi</t>
  </si>
  <si>
    <t>Gua tadi mikir kalau rantai ISIS ya harus diputus. . . gak bisa dibawa pulang ke Indonesia anak-anaknya</t>
  </si>
  <si>
    <t>@imyoouurrrs Km anggota isis iyh</t>
  </si>
  <si>
    <t>Polri Akan Menindak Tegas ISIS eks WNI yang Berusaha Pulang ke Indonesia  via @tribunnews</t>
  </si>
  <si>
    <t>@LeleRheiz @tokosenterled @DadangRusian @jokowi @fadjroeL @fadlizon @mohmahfudmd taukah kalian berapa saudara muslim kita yang disembelih oleh ISIS??? FAKLAH! sekarang merengek2....</t>
  </si>
  <si>
    <t>@michinsaekki langsung pindah wni</t>
  </si>
  <si>
    <t>@totokjulianto @nustya88 @DadangRusian @jokowi @fadjroeL @fadlizon @mohmahfudmd taukah kalian berapa saudara muslim kita yang disembelih oleh ISIS??? FAKLAH! sekarang merengek2....</t>
  </si>
  <si>
    <t>@kompasiana Tidak... HAM untuk masalah ex WNI yang melanggar HAM... Negara kita punya UU tentang kewarganegaraan seseorang... Kalau HAM banyak campur tangan serta Perpanjangan Tangan Asing</t>
  </si>
  <si>
    <t>Ibu ini namanya Warjinem...Dia menangis meminta sama Bpk Jokowi supaya memulangkan anaknya yg ikut suami ke Suriah bergabung dgn isis.... Bliau bilang:kita sama warga solo Pak.tolong pulangkan anak saya..... menurut anda gimana ini 🤔 #TolakAnakISISKembali #TolakAnakISISKembali</t>
  </si>
  <si>
    <t>@NdoeUmi @kantayu Yoi...cari sensasi..minta dijadiin pemuas nafsu para combatan isis... Ngebayang di bazoka in... Maklum gatelan gitu.. Kalo ngelonte kan dosa..makanya, milih jadi kadrunwati..biar ngerasaain di gilir para combatan...eh combatrin deh...</t>
  </si>
  <si>
    <t>RT @KompasTV: WNI di Natuna Resmi Dipulangkan ke Daerah Asal, Jawa Timur Paling Banyak?</t>
  </si>
  <si>
    <t>WHO Puji Penanganan Indonesia Terhadap 238 WNI yang Diobservasi: Tindakan yang Cerdas dan Tangkas  via @tribunnews</t>
  </si>
  <si>
    <t>@tubirfess buat yg nanya siapa yang dari relawan jadi isis</t>
  </si>
  <si>
    <t>@tubirfess eks pki, eks isis, relawan kemanusiaan, hilih.</t>
  </si>
  <si>
    <t>RT @KompasTV: WNI yang Selesai Observasi di Natuna Langsung Pulang ke Keluarga dan Kampung Halaman</t>
  </si>
  <si>
    <t>RT @GunRomli: 'saya menteri semua agama, bukan cuma Islam' eh ternyata ngotot perpanjang izin FPI, mulangin eks ISIS, cuma koar2 klau musola diserang, tp mingkem klau rumah2 ibadah di luar Islam diserang, eh bimas Katolik pun dr orang Islam. Gombal Mukiyo!</t>
  </si>
  <si>
    <t>RT @tempodotco: Cerita WNI Naik Berat Badan Usai Dikarantina di Natuna</t>
  </si>
  <si>
    <t>@DadangRusian @jokowi @fadjroeL @fadlizon @mohmahfudmd taukah kalian berapa saudara muslim kita yang disembelih oleh ISIS??? FAKLAH! sekarang merengek2....</t>
  </si>
  <si>
    <t>RT @RSeed13: @muratsarisac @AzadAza13562563 Erdogan's JOH-POH-ISIS criminals</t>
  </si>
  <si>
    <t>RT @vivanewscom: Ditugaskan Jemput WNI dari Wuhan, Bos Lion Group: Ini Berkah  #vivanews</t>
  </si>
  <si>
    <t>@PrasterPeter @kantayu Calon pemuas nafsu mujahid di suriah atau isis..</t>
  </si>
  <si>
    <t>Ditugaskan Jemput WNI dari Wuhan, Bos Lion Group: Ini Berkah  #vivanews</t>
  </si>
  <si>
    <t>ORANGTUA WNI BERHARAP ANAKNYA BISA KEMBALI KULIAH DI WUHAN CHINA #TauCepatTanpaBatas</t>
  </si>
  <si>
    <t>@helmifelis Ya sdh benar statementmu ini dihukumnya dgn dihilangkan haknya kembali menjadi WNI👌</t>
  </si>
  <si>
    <t>@tubirfess Katakan... Anggota keluarga mu yang mana kini kejebak di isis dan gk bisa pulang?</t>
  </si>
  <si>
    <t>Istana Berterima Kasih ke Warga Natuna, 238 WNI Bebas Corona</t>
  </si>
  <si>
    <t>238 WNI Selesai di Karantina, Bagaimana Nasib Mahasiswa yang Studi di Wuhan?</t>
  </si>
  <si>
    <t>@tubirfess Itu yang dibilang "PKI" belom tentu pki. Tau gak, pki cuma dijadikan senjata fitnah aja? Tau gak, berapa anak kecil jadi yatim atau piatu karna ortunya dituduh pki, dibunuh. Mereka ga ngapa2in dituduh pki. Itu baru tuduhan. kalo gamau dituduh isis, ya ngapain lo ke suriah. Tolol.</t>
  </si>
  <si>
    <t>@DPP_PKB basmi ISIS sampe ke akar2nya</t>
  </si>
  <si>
    <t>KPAI ini buta nasib anak di negeri sndri apa ya mmpeng bgt pgn mulangin anak2 eks ISIS, lo pikirrrrr itu anak2 korban teroris yg cacat seumur hidup, pkirrr brp bnyk anak Indonesia yg masih kursng pndidikan, sandang, pangan dll hah sebel bgt gw!</t>
  </si>
  <si>
    <t>@Beritasatu Betul Pak... Terus dan harus selalu diwarta beritakan tentang tentara isis ex WNI... Biar kan mereka nomaden u kewarganegaraan nya</t>
  </si>
  <si>
    <t>@DPP_PKB pelaku teror hrs dihukum bkn dipulangkan.. hak2 mrk sbg WNI telah hilang krn mrk telah minggat dr negara asal</t>
  </si>
  <si>
    <t>Sejumlah keluarga dari Warga Negara Indonesia (WNI) yang dievakuasi dari Wuhan, Provinsi Hubei, China mengangkat tulisan 'Welcome Home' di Bandara Halim Perdanakusuma, Jakarta, Sabtu (15/2/2020).</t>
  </si>
  <si>
    <t>RT @infoppkk: Salam sehat #sobatkriskes di hari terakhir masa observasi pemulangan WNI dari Wuhan peserta senang dan bersiap untuk kembali pulang. . . . #salamsehatdarinatuna #darinatunaselamatkanindonesia #kemenkesri #pusatkrisiskesehatan</t>
  </si>
  <si>
    <t>@tubirfess Eks isis bla bla bla, eks pelanggar ham berat di negri sendiri masih nyaman bersantai2 di tmpat tidurnya.</t>
  </si>
  <si>
    <t>RT @babyJW94: @hvmzvhmvtt Pemerintah Jepang menyatakan sebanyak 218 penumpang kapal pesiar Diamond Princess terinfeksi virus corona. @Kemlu_RI pun menuturkan bahwa 78 orang WNI yang merupakan kru dari kapal pesiar tersebut dalam kondisi sehat dan negatif virus corona.</t>
  </si>
  <si>
    <t>@tubirfess Ya tapi ga menjamin semua org eks isis yg balik ke indo itu tidak menyebarkan paham paham radikal yg bahaya gitu kan😔 kalau ngambil resiko juga terlalu besar. Sulit emang, kalau sampai menyebar luas juga berbahaya.</t>
  </si>
  <si>
    <t>Kemudian dia masuk isis ngga? walaupun dipaksa dia angkat senjata engga? berada di pergerakan isis kan? RT @tubirfess: 2beer! Orang yg ga pengen eks isis pulang berasumsi semuanya ke syria bertujuan masuk isis, sedangkan ada yg kesana dibilangnya sebagai sukarelawan kemanusiaan, pas sampe sana dipaksa untuk masuk isis atau nyawa. Sedangkan mereka yg eks pki nyaman duduk sebagai dpr. Dualisme</t>
  </si>
  <si>
    <t>ISIS eks WNI Masuk ke Indonesia Akan Ditindak Tegas</t>
  </si>
  <si>
    <t>@ARNAFF37 @addiems Setujuuuu !..tolak juga anak ISIS ke Indonesia ,karena otak mereka sudah dicuci untuk menjadi teroris .</t>
  </si>
  <si>
    <t>@tubirfess Orang dalemnya isis nihh pasti</t>
  </si>
  <si>
    <t>@nabilatuffaa Gk heran sih knp wni sampe skrg alhamdulillah bebas corona :")</t>
  </si>
  <si>
    <t>Pertanyaan yg sama : "kenapa mereka gak berani menyerang israel?" "kenapa para pengusung khilafah gak berani komentari tentang keinginan anggota teroris ISIS untuk pulang?" RT @TeddyGusnaidi: Kenapa Hizbut Tahrir, ISIS dan kelompok khilafah lainnya tidak ada yang berani berjuang di Korea utara ya?</t>
  </si>
  <si>
    <t>Isak tangis dan senyuman mewarnai pelepasan WNI di Natuna.</t>
  </si>
  <si>
    <t>DPR minta pemerintah tetap publikasikan pencegahan corona</t>
  </si>
  <si>
    <t>Mereka tak terbukti terjangkit virus corona</t>
  </si>
  <si>
    <t>RT @republikaonline: Sertifikat kesehatan sebagai bukti hasil selama masa observasi di Natuna.</t>
  </si>
  <si>
    <t>@umarpialangbaru @V4nn @kangnawan @hendri92189000 @dusrimulya @mohmahfudmd Data base memang masih ada..banyak point yang cukup untuk menghilangkan kewarganegaraan mereka.. Point d, e ,f dan i blm cukup? Daripada muter2 mbulet.skrng saya tanya kepada kalian..isis itu apa?organisasi,tentara ,negara atau apa? Dibilang negara bkn, tentara ga mau, jd?</t>
  </si>
  <si>
    <t>RT @vivanewscom: Jemput WNI dari Wuhan, Pilot Batik Air: Kami Siap Situasi Terburuk  #vivanews</t>
  </si>
  <si>
    <t>RT @J1lb00b5Kampu5: Apapun keputusannya, yg jelas ISIS bukan ISLAM !! #ISISGoToHell #malamminggu #sabtuambyar #Jokowi @TheArieAir @RizmaWidiono @CH_chotimah @yusuf_dumdum</t>
  </si>
  <si>
    <t>RT @rafiqi_28: @DonAdam68 WN china izin tinggal gratis WNI eks ISIS dicekal pulang Waaaawwwwe</t>
  </si>
  <si>
    <t>@yesika_poppy @shitlicious Ora isis po mbak 😭😭😭</t>
  </si>
  <si>
    <t>dosa apa kita (WNI) sampai-sampai dapet pejabat kaya gini. RT @kumparan: Menkes Terawan meminta masyarakat tak perlu khawatir dan berbondong-bondong membeli masker.</t>
  </si>
  <si>
    <t>RT @Aldiasman: @salahsambungya Sangat disayangkan, wisata seks halal aja dibongkar polisi. Seharusnya anak² lonte halal ini dilindungi oleh @KPAI_official utk makan &amp; pendidikannya. Begitu jg hendaknya dgn anak² lonte haram. Krn "perlindungan itu utk semua anak" Jangan hanya melindungi anak² ex WNI ex ISIS.</t>
  </si>
  <si>
    <t>Waspada anak2 ISIS melahirkan sel2 terorisme baru #WaspadaAnakEksISIS</t>
  </si>
  <si>
    <t>RT @FaisalF17525613: @TeukuDjouhan hayak aja bro, kayaknya salah 1 antek komunis tu @BANGZUL_88 Zul, baca yg betul, baca dari banyak sumber, banyakin referensi, literatur baru bicara, ISIS tu siapa pendirinya, latar belakangnya, GAM tu baca sejarahnya, jangan asal ngomong.</t>
  </si>
  <si>
    <t>@DonAdam68 WN china izin tinggal gratis WNI eks ISIS dicekal pulang Waaaawwwwe</t>
  </si>
  <si>
    <t>@TeddyGusnaidi Yang pasti, ajaran wahabi tidak boleh berkembang disana, sebab akar ideologi ISIS, HTI dan kelompok pengusung khilafah lainnya adalah ajaran tanduk setan wahabi</t>
  </si>
  <si>
    <t>@akeminha031 Modos dona Isis</t>
  </si>
  <si>
    <t>Selain menolak memulangkan 660 ISIS Eks WNI, yg ada di negri ini juga perlu perhatian dan harus di basmi yg ingin mencoba radikalisasasi.. Pak @mohmahfudmd tolong orang yg ceramah ini di ajak ngopi.. Cc @DivHumas_Polri @BNPTRI @kemendagri</t>
  </si>
  <si>
    <t>Ninu ninu ninu... Pasal pornografi dan pornoaksi nih, Komisi Penyiaran ISIS @KPI_Pusat RT @presidentyrex:</t>
  </si>
  <si>
    <t>RT @antaranews: Gayus menilai keputusan hukum atas kewarganegaraan mereka merupakan wilayah pengadilan, melalui pemeriksaan, dalam proses persidangan yang independen dan merdeka untuk memberikan keadilan yang seutuhnya. #ISIS #WNI</t>
  </si>
  <si>
    <t>@detikcom Trus eks presiden Isis gajinya berapa ya.. Ko' pulang kampung..???!!!, hahahaha...</t>
  </si>
  <si>
    <t>@Sefnat21884359 @WagimanDeep @Iwa_Kusuma @jr_kw19 @P3nj3l4j4h_id @Aryprasetyo85 @majisyafii @kantayu @Parapat_Nixon @citraoriental Intinya perbedaan tuh hrs jd pemersatu bkn pemecah. Contoh nyata kan udah ada sprt ISIS,krn perbedaan mereka malah membuat kekacauan dinegri mereka sendiri dan malah korbannya rakyat mereka sendiri.</t>
  </si>
  <si>
    <t>@DadangRusian @jokowi @fadjroeL @fadlizon @mohmahfudmd Tidak usah, mereka merengek itu hanya krn ISIS kalah, andai ISIS menang maka semua negara akan mereka teror! Mereka ANAK DURHAKA!</t>
  </si>
  <si>
    <t>RT @Aryprasetyo85: WHO Puji Indonesia Soal Penanganan WNI yang Diobservasi di Natuna "Pemerintah Indonesia sangat baik dalam menangani warganya yang dievakuasi dari China karena virus COVID-19," kata Paranietharan di Bandara Halim Perdanakusumah, Jakarta</t>
  </si>
  <si>
    <t>RT @Aryprasetyo85: Terawan Pastikan Seluruh WNI Dari Natuna Sehat Menkes Terawan Agus Putranto menyatakan seluruh WNI yg sudah jalani observasi di Natuna dinyatakan sehat dan negatif virus corona. Seluruh WNI juga sdh dilengkapi dgn sertifikat kesehatan dan selanjutnya mereka akan dipantau</t>
  </si>
  <si>
    <t>RT @Aryprasetyo85: Terawan: Observasi WNI di Natuna Sesuai Standar WHO Menkes Terawan Agus Putranto menegaskan observasi terhadap warga WNI) di Natuna sudah sesuai dgn standar internasional dari WHO. Untuk itu, Terawan memastikan seluruh WNI dalam keadaan sehat dan tdk terinfeksi virus corona.</t>
  </si>
  <si>
    <t>RT @Aryprasetyo85: Tiba di Halim Jemput WNI Eks Wuhan, Menkes: Lunas Saya Jemput-Antar Para keluarga pun mulai berdatangan di Bandara Halim Perdanakusuma, Jakarta Timur untuk menjemput ratusan WNI yang sempat berada di China saat merebaknya virus corona.</t>
  </si>
  <si>
    <t>RT @Aryprasetyo85: Tiba di Halim, WNI Dari Natuna Lanjutkan Perjalanan ke Daerahnya Sebanyak 238 warga negara Indonesia (WNI) melanjutkan perjalanan ke daerahnya masing-masing usai tiba di Bandara Halim Perdanakusuma, Jakarta Timur, Sabtu (15/2/2020) @My_LoveNebe @cintada17 @NannyAlexendry @Je_Ly</t>
  </si>
  <si>
    <t>RT @wahyuut64969196: @helmifelis @BadjaNuswantara Sebenernya kita sdh dikerjai sama si PELIS. coba kalo ndak ada yg tanggepin sama sekali dia bisa apa. Kerja pasukan ISIS emang punya bagian masing". satu isu dilempar, belum selesai lempar isu yg lain. mereka kerja team. Kita sdh dibuat sibuk..!!</t>
  </si>
  <si>
    <t>RT @BNPB_Indonesia: Malam syukuran dan Apresiasi tim kemanusiaan pelepasan WNI dari Wuhan dgn masyarakat Natuna. #PBUrusanBersama #Covid19 #SiapUntukSelamat #CoronaVirus #NatunaUntukIndonesia #NatunaSelamatkanIndonesia #NatunaSehatkanIndonesia @kemenkopmk</t>
  </si>
  <si>
    <t>@faizalassegaf Gubernur saya bagus susunan kata, Anis Baswedan. Kalau menteri ini memang bukan sarjana komunikasi, tapi nyembuhkan orang banyak, dan berhasil memulangkan WNI sehat. Upaya hebat, digoblokin hanya karena masker. Luar biasa,</t>
  </si>
  <si>
    <t>RT @ReeyPasaribu: Yang jual masker sensi harga mahal otaknya pada dimana sih? harga normal 30k sekarang bisa smpek 200k, gak ngotak kalian ya monopoli harganya alasan virus corona, corona bapak kaulah, bilang aja mau dugem diatas penderitaan orang, sampe saat ini belum ada wni yg terjangkit corona</t>
  </si>
  <si>
    <t>tapi harga masker kalian buat sebegitunya lihatlah perayaan valentine, ada berapa banyak wni yang ngeue, tapi kondom tidak menaikkan harganya sampai sebegitunya....</t>
  </si>
  <si>
    <t>Yang jual masker sensi harga mahal otaknya pada dimana sih? harga normal 30k sekarang bisa smpek 200k, gak ngotak kalian ya monopoli harganya alasan virus corona, corona bapak kaulah, bilang aja mau dugem diatas penderitaan orang, sampe saat ini belum ada wni yg terjangkit corona</t>
  </si>
  <si>
    <t>@detikcom yg punya duit bukan eks ISIS. tapi memang anggota ISIS aktif. mungkin combatan. yg terlantar itu mungkin hanya suporter lini belakang. urus logistik doang</t>
  </si>
  <si>
    <t>@detikcom mungkin betul itu bikinan amrik. bs jadi ISIS itu singkatan dari: Inited States If Imerica 🤣 @TotoRahardjo @Parapat_Nixon @RiuUtomoRizki @KompasTV @AtikaFaya @Metro_TV @tan_markonah</t>
  </si>
  <si>
    <t>WHO Puji Penanganan WNI Asal Wuhan di Natuna</t>
  </si>
  <si>
    <t>RT @Gus_Raharjo: #TolakAnakISISKembali Dalam kunjungan Di RS Moewardi tiba2 Langkahnya Terhenti, Ekspresi Gubernur Jateng Mas @ganjarpranowo saat melihat siaran di televisi soal ISIS. Ia geleng-geleng kepala ketika melihat layar tv Dirumah sakit itu. 👨‍🦳: Cah Cilik Cilik Yo . 🙁</t>
  </si>
  <si>
    <t>Kronologi Pemulangan WNI yang Lolos Observasi Corona di Natuna</t>
  </si>
  <si>
    <t>Well... Menkes: 238 WNI Sudah Bisa Berkerumun, Boleh Nonton Java Jazz  #LINETODAY</t>
  </si>
  <si>
    <t>Tingkatkan Pelayanan Bagi WNI, KJRI Johor Bahru Bekerja Sama dengan Pos Malaysia</t>
  </si>
  <si>
    <t>RT @Puspen_TNI: Panglima TNI : Observasi 238 WNI di Natuna Dinyatakan Sehat . Hal ini di sampaikan Panglima TNI saat memberikan sambutan dihadapan ratusan personel TNI-Polri dan unsur terkait yg tergabung dlm Satgas Kogasgabpad Operasi Bantuan Kemanusiaan Natuna😎💂 #P5TNI #Kapolri #TNIPeduli</t>
  </si>
  <si>
    <t>@DadangRusian @jokowi @fadjroeL @fadlizon @mohmahfudmd JADILAH PETARUNG SEJATI, JANGAN JADI PECUNDANG HIDUP DAN MATI, SUKA DAN DUKA, MENANG ATAU KALAH PERANG PETARUNG SEJATI TETAP BERSAMA ISIS BIARKAN MEREKA MIMPI INDAH BERSAMA ISIS MEREKA BUKAN WNRI GAK USAH DIURUS, GAK USAH DIURUS, GAK USAH DIURUS</t>
  </si>
  <si>
    <t>Fadli Zon, jangan cuma ngomong, buktikan dgn tindakan. Susul mereka para eks ISIS tsb.</t>
  </si>
  <si>
    <t>RT @zulhendribasri2: SELESAI OBSERVASI, WNI ASAL WUHAN, DIPULANGKAN DARI NATUNA..🇮🇩 🇮🇩🌏🔍🌡🔬🚑✈ @LisaAmartatara3 @zarazettirazr @dpplif @D4tuk_T4mburin @OllaButterfly_ @AntonPr12594871 @fahiraidris @KucingHitamReal @satuyangtakbisa @Rindu_MuhR015 @HacktivisMca @_b34n___ @UFit24</t>
  </si>
  <si>
    <t>*Nikmat Tuhan mana lagi yang akan kau dustakan* #IndonesiaKebalCorona "Mereka akan diberikan bingkisan beserta uang saku. Seluruh akomodasi juga sudah ditanggung sampai ke rumah," kata Kepala BNBP</t>
  </si>
  <si>
    <t>SELESAI OBSERVASI, WNI ASAL WUHAN, DIPULANGKAN DARI NATUNA..🇮🇩 🇮🇩🌏🔍🌡🔬🚑✈ @LisaAmartatara3 @zarazettirazr @dpplif @D4tuk_T4mburin @OllaButterfly_ @AntonPr12594871 @fahiraidris @KucingHitamReal @satuyangtakbisa @Rindu_MuhR015 @HacktivisMca @_b34n___ @UFit24</t>
  </si>
  <si>
    <t>@bimofndrk @anjarisme Nitip wajah bahagia pak Menkes pasca melepas WNI dari Natuna yaaaa✨</t>
  </si>
  <si>
    <t>@kh_notodiputro @yusuf_dumdum “Dek kok belum pulang udh sore” “Iya mah, ada rapat ISIS dulu di sekolah”</t>
  </si>
  <si>
    <t>Negara lindungi 78 WNI ABK DiamondPrincess di Yokohama dgn mengirimi mereka ; @Tolak_Angin @NutriSariID @MieSedaapCup @kecapbango dll. Padahal ke 78 WNI itu di Karantina di Kapal Pesiar krn Covid-19. Syukurlah, ternyata ada cara menangkal Covid-19. Semoga mrk sehat2 saja. 🤔🙁🙁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</si>
  <si>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Dikarantina di Natuna, WNI dari Wuhan Ngaku Berat Badannya Naik</t>
  </si>
  <si>
    <t>@howroute Bukan mas bro, itu WNI habis dijemput dari China, dievakuasi dan akan dikarantina 14 hari di pulau Natuna. Dan sekarang semuanya sudah dipulangkan ke rumahnya karena semuanya negatif</t>
  </si>
  <si>
    <t>RT @BBCIndonesia: [Video] Setelah kekhalifahan ISIS hancur, banyak petempurnya hijrah ke Asia. Di Filipina, mereka bergabung dengan kelompok Abu Sayyaf. Sementara di Suriah, ISIS meninggalkan 'warisan unik' di kamp-kamp detensi: istri dan anak-anak petempur yang kini nasibnya terkatung-katung.</t>
  </si>
  <si>
    <t>RT @Qiran14yara: Eks ISIS Dan Koruptor, Bahaya Mana? *Yang lbh berbahaya, bila hukum tdk bisa ditegakkan dg adil Kalo mnrt netizen?</t>
  </si>
  <si>
    <t>Kombatan ISIS Tidak Dipulangkan, What’s Next?</t>
  </si>
  <si>
    <t>RT @kompasiana: Pasca-Konflik Bersenjata di Irak dan Suriah, Mantan Kombatan ISIS Lalu ke Mana?</t>
  </si>
  <si>
    <t>Kepala BNPB Doni Monardo mencicipi hasil masakan masyarakat khas Kabupaten Natuna. Pada acara malam syukuran dan apresiasi tim kemanusiaan pelepasan WNI dari Wuhan dgn masyarakat Natuna. #DariNatunaSelamatkanIndonesia #DariNatunaSehatkanIndonesia #NatunaUntukIndonesia</t>
  </si>
  <si>
    <t>@UmmuAzz00254501 @CH_chotimah Nabi muhammad bukan WNI ! Bungul...bungul !</t>
  </si>
  <si>
    <t>WNI dari Wuhan yg menjalani masa observasi pasti bahagia banget hari ini! Mereka bisa keluar dari daerah yang diisolasi dan paling dihindari saat ini, harus diobservasi dulu di garis depan negara selama 2 minggu, akhirnya bisa bertemu keluarga lagi dalam keadaan sehat. Selamat!</t>
  </si>
  <si>
    <t>Selain mencuri situs sejarah dari 1st world sesungguhnya untuk dipamerkan dalam museum yang kosong tentang sejarah western sendiri western sama dengan ISIS. Kirim ISIS ke Eropa dan Amerika!</t>
  </si>
  <si>
    <t>Pasca-Konflik Bersenjata di Irak dan Suriah, Mantan Kombatan ISIS Lalu ke Mana?</t>
  </si>
  <si>
    <t>Aku paling tk suka lipat baju. Aduh. Cepat la balik sis</t>
  </si>
  <si>
    <t>Tyrion lannister malah jadi isis setelah bapaknya dibunuh dia sendiri 😥 RT @Iqbal__Kholidi:</t>
  </si>
  <si>
    <t>@AdibJR2 Depa yang pi join ISIS</t>
  </si>
  <si>
    <t>Ribut mslh WNI pengikut ISIS mau pulang, Eeeeh taunya Omnisbus law tanpa peduli mslh lingkungan, tenaga kerja dll akan dihilangkan dlm pasal. Spertinya benar, aturan sll mengutamakan perut dan dompet oknum penguasa dan pengusaha. Apakah sperti itu Pancasilais?</t>
  </si>
  <si>
    <t>WHO Puji Indonesia Soal Penanganan WNI yang Diobservasi di Natuna "Pemerintah Indonesia sangat baik dalam menangani warganya yang dievakuasi dari China karena virus COVID-19," kata Paranietharan di Bandara Halim Perdanakusumah, Jakarta</t>
  </si>
  <si>
    <t>Tolak WNI eks ISIS di Indonesia #ISIS #Viral</t>
  </si>
  <si>
    <t>RT @dirgarambe: Alhamdulillah, pd hari ini, 285 WNI (termasuk tim penjemput Wuhan) telah kembali ke daerah masing2. Semua dlm kedaan sehat usai menjalani karantina #COVID19 selama 14 hari. Sebaiknya, kondisi kesehatan mereka tetap dipantau selama 2-4 minggu ke depan.</t>
  </si>
  <si>
    <t>Pernyataan pak ketua ini memukul mundur ruang dan waktu tentang kabar ratusan 'mujahid' ISIS yg ingin pulang ke Indonesia. Propaganda kah? Atau strategi apa yg sedang diusung tentang kabar duka tersebut? Jika ia, pemerintah yg tertipu atau 'oposisi' yg dituju🤔 #Persepsi RT @detikcom: Eks Presiden ISIS Regional Indonesia Chep Hernawan siap menampung Warga Negara Indonesia (WNI) eks ISIS yang benar-benar ingin pulang ke Tanah Air.</t>
  </si>
  <si>
    <t>RT @kompascom: Dr Paranietharan juga mengingatkan agar tidak perlu khawatir terhadap kehadiran mereka yang kembali pulang ke kampung halamannya ~ #Nasional</t>
  </si>
  <si>
    <t>RT @geloraco: Pastikan Sehat, Menkes Terawan: WNI Dari Wuhan Jadi Duta Kesehatan</t>
  </si>
  <si>
    <t>@777juniblack @hendri92189000 @Ngk0ngR0s3s__ @Mr_gaplexs @MakNyus_xx @serdadu_is_back @kak_wew @waj_pon Siap 👍 broku masih ada Kui sing jarene setan,ora doya,demit ora ndulit Klu liat ISIS menggal kepala manusia seolah tak ada rasa dosa di hatinya menyakitkan.</t>
  </si>
  <si>
    <t>Tak Hanya Fisik, WHO Sebut Mental WNI Eks-Karantina Natuna Sehat #TauCepatTanpaBatas #GayaHidup #lifestyle #Kesehatan #TipsSehat #GayaHidup .</t>
  </si>
  <si>
    <t>@brimob_jateng @ganjarpranowo @hendrarprihadi @poldajateng_ @TNI_AL @Humas_korbrimob @brimob_id Sekedar mengingatkan Pak semoga selalu dalam lindunganNya #TolakAnakISISKembali</t>
  </si>
  <si>
    <t>@null Tak Hanya Fisik, WHO Sebut Mental WNI Eks-Karantina Natuna Sehat Pemerintah Indo</t>
  </si>
  <si>
    <t>RT @vivanewscom: Tak Menolak Diminta Jemput WNI di Wuhan, 18 Kru Batik Air Diapresiasi  #vivanews</t>
  </si>
  <si>
    <t>@jokowi @SBYudhoyono @RamliRizal @mohmahfudmd @Kemenag_RI @kementan @sudjiwotedjo @fadlizon @MardaniAliSera @DPR_RI sekarang presiden bawa PALU sendiri tanpa masuk ruangan pengadilan. hakim dan jaksa pun ikut menyetujui. lalu apa guna ruang pengadilan bagi warga isis eks wni ?</t>
  </si>
  <si>
    <t>Haru dan Bahagia, Keluarga Sambut WNI dari Wuhan di Bandara Halim</t>
  </si>
  <si>
    <t>@detikcom ISIS eks WNI 😷</t>
  </si>
  <si>
    <t>RT @ryanariandi: Laporan corona blm masuk Indonesia + seluruh WNI di kapal Diamond Princess di Jepang sehat. Rakyat maya Indonesia terlihat sangat santai + pede, malah terkesan menyepelekan corona. Awas aje sih kalo nanti ada kasus masuk trus paniknya malah lebih panik dari rakyat negara lain.</t>
  </si>
  <si>
    <t>@ellenrie1 @ari_wirajaya Anak hasil isis coba jangan dikenalkan sama agamanya lagi deh.....kemungkinan pulih lebih besar</t>
  </si>
  <si>
    <t>Pastikan Sehat, Menkes Terawan: WNI Dari Wuhan Jadi Duta Kesehatan</t>
  </si>
  <si>
    <t>@piemuffinn Sumpah isis ge mikir mau terima apa ngga?</t>
  </si>
  <si>
    <t>Membiarkan HTI eksis disini, sama saja membiarkan ISIS menghancurkan NKRI.. RT @Namaku_Mei: Di sini sudah sangat amat jelas bahwa mereka - Tidak mengakui NKRI - Tidak mengakui Pancasila - Tidak mengakui Presiden &amp; Wapres RI ( siapapun presidennya ) HTI = ISIS kayak gini polisi @DivHumas_Polri TNI @Puspen_TNI masih Diem aja Jangan Pernah Berharap INTOLERANSI hilang</t>
  </si>
  <si>
    <t>@detikcom Presiden ISIS kok begok ya, gimana mau nampung kalo udah di larang balik kesini? Mendingan si Encep aja yg suruh ke sana nyusul gerombolannya</t>
  </si>
  <si>
    <t>@OpiniDin ISIS bikinan Amerika. Harusnya njenengan kasih tahu kepada yg tak tahu. Harusnya kasih tahu ketika mereka mau gabung ISIS. Selama ini anda kemana saja. Kok mereka yg berbuat pemerintah yg tanggung jawab. Skali lgi. Akan elegan, klo anda nawarin diri membina mreka.</t>
  </si>
  <si>
    <t>RT @KompasTV: WNI yang Diobservas di Natuna Tiba di Halim, Menkes: Mereka Sehat Tidak Perlu Khawatir</t>
  </si>
  <si>
    <t>RT @KompasTV: Gaya Menkes Yakinkan Seluruh WNI Yang Dievakuasi "SEHAT"</t>
  </si>
  <si>
    <t>RT @KompasTV: Aman dari Corona, Kata Menkes Terawan WNI yang Selesai Diobservasi Bisa Nonton Java Jazz</t>
  </si>
  <si>
    <t>RT @kompascom: Salah satu WNI yang sempat dievakuasi di China akan tetap melanjutkan pendidikan di sana.</t>
  </si>
  <si>
    <t>Paranietharan menyampaikan hal tersebut saat ikut melepas 238 WNI yang telah mengikuti proses observasi selama 14 hari di Natuna. Dia mengatakan penanganan terhadap para WNI tersebut sudah melalui proses yang tepat sesuai rekomendasi protokoler WHO.</t>
  </si>
  <si>
    <t>@Jean_Aprilia97 Rezim pe-a, gak Punya ILMU u/ tanggulangi wrganya yg sdh trpapar. Makanya rezim odong2 ini, gak mw pulangkan mantan militan. Yg ada skrg diBui aja gak bs diedukasi.</t>
  </si>
  <si>
    <t>Menkes minta dinkes tetap pantau WNI dari Natuna  #ElshintaAja #20thElshintaNewsAndTalk</t>
  </si>
  <si>
    <t>seperti nya Anda ISIS, walaupun Akun sy di Blokir oleh Anda, sy bisa melalui @mohmahfudmd @jokowi @aniesbaswedan @Fahrihamzah @prabowo mgkn akun di atas bisa Anda Intip, apa jaminanmu dgn Kombatan ISIS eks WNI, sampai ada ISIS msuk ke Indonesia Ku Pecahkan</t>
  </si>
  <si>
    <t>Badan Kesehatan Dunia (WHO) memuji kinerja cepat pemerintah Indonesia dalam upaya menyelamatkan warganya dari ancaman wabah virus Corona (2019-nCov) yg merebak di wilayah China. WHO melihat pada kasus evakuasi &amp; observasi WNI dari Wuhan, China, ke Natuna, Kepulauan Riau (Kepri).</t>
  </si>
  <si>
    <t>@kompasiana @kompascom *ANAK-ANAK TIDAK BISA BERTANGGUNG JAWAB ATAS KEJADIAN TERAKHIR DI LONDON/ BULAN LALU! DIMANA 2 ORANG DITUSUK OLEH SATU ANAK BUAH ISIS, KORBANNYA HIDUP..., PELAKUNYA MATI DITEMBAK HAHAHA</t>
  </si>
  <si>
    <t>RT @jawapos: Sehat dan Aman, Tak Boleh Ada Diskriminasi WNI dari Wuhan</t>
  </si>
  <si>
    <t>RT @KompasTV: WNI yang dievakuasi dari Wuhan, telah selesai diobservasi terhitung Sabtu, (15/02) di Natuna. Raut bahagia terpancar dari muka mereka, karena mengetahui diri mereka akan segera dapat berkumpul dengan keluarga dan sanak saudara.</t>
  </si>
  <si>
    <t>@subtanyarl What the fuck is this, KPAI? Damn you! Kemarin jg bela anak2 WNI eks ISIS yg bawa senjata. KPAI selalu membela yg salah. 😓</t>
  </si>
  <si>
    <t>Curhatan WNI di Natuna: Susah Air Bersih hingga Belajar Bahasa Mandarin  #DariSuara</t>
  </si>
  <si>
    <t>Sehat dan Aman, Tak Boleh Ada Diskriminasi WNI dari Wuhan</t>
  </si>
  <si>
    <t>@ellenrie1 Kesimpulan: jangan anggap remeh anak kecil hasil cuci otak teroris ISIS, anda mungkin tidak akan sempat menyadari kebodohan anda.</t>
  </si>
  <si>
    <t>@Dwiyana_DKM @erickthohir @KemenBUMN Mereka bukan HTI dan juga bukan pendukung ISIS, Pak.. Bu..!</t>
  </si>
  <si>
    <t>Salah satu WNI yang sempat dievakuasi di China akan tetap melanjutkan pendidikan di sana.</t>
  </si>
  <si>
    <t>Selain uang saku, pemerintah juga menanggung akomodasi dan transportasi para peserta observasi.</t>
  </si>
  <si>
    <t>@TeddyGusnaidi ISIS itu bentukan Zionis dan amerika masih aja lu goreng habis...anti Islam boleh saja tapi jgn Goblog...!!!!</t>
  </si>
  <si>
    <t>RT @Tandaseru_id: WHO Puji Kinerja Cepat Indonesia Selamatkan WNI dari Ancaman Virus Corona</t>
  </si>
  <si>
    <t>Lho?!, ISIS memang banyak berjasa untuk tuk negeri ini, khususnya kepada pemerintah, ISIS bnyk jasa dalm bidang pengalihan issue² besar di negeri ini, yekan bang @conan_idn ? RT @FerdinandHaean2: @conan_idn Lama2 ISIS pun kau klaim berjasa utk Indonesia 😂</t>
  </si>
  <si>
    <t>Menkes Terawan dan Kepala BNPB Jemput WNI yang Dikarantina di Natuna</t>
  </si>
  <si>
    <t>Menkes minta dinkes tetap pantau WNI dari Natuna  #20thElshintaNewsAndTalk</t>
  </si>
  <si>
    <t>@Metro_TV @tvOneNews @VIVAcoid Permasalahanya, yg namanya niat dan dalamnya hati seseorang tidak ada yg tahu........Orang yg punya pengalaman gabung ISIS itu masih terhubung dg jaringan yg lain secara terselubung............</t>
  </si>
  <si>
    <t>Menkes: WNI Sehat di Natuna Bersiap Kembali ke Pelukan Keluarga Jakarta, 15 Februari 202 Pagi ini (15/2) Menteri Kesehatan bersama dengan Menko PMK, Kepala BNPB, WHO Representatif Indonesia, Perwakilan dari Kominfo bersiap untuk menuju tempat observasi…</t>
  </si>
  <si>
    <t>Dan pas mulai belajar gue baru sadar kalo selama ini gue lupa lupa inget sama pancasila + uud 45 astagfirullah wni macam apa aku🙃 RT @everlastinct: Mau belajar buat cpns mager bgt padahal h-3 dan belum belajar samsek😥</t>
  </si>
  <si>
    <t>Aman dari Corona, Jokowi Minta Masyarakat Terima WNI dari Wuhan</t>
  </si>
  <si>
    <t>@AREAJULID lah orang yg periksa WNI dari pemerintahan jepangnya langsung kok, masa iya kerja sama buat nutupin untungnya jepang apa?</t>
  </si>
  <si>
    <t>Liat berita kebanyakan isinya wni yang baru saja kelar diobservasi. Itu kira2 ada yang cinlok gak ya?🤔😂</t>
  </si>
  <si>
    <t>@Metro_TV @tvOneNews @VIVAcoid Jawabanya adalah demi keamanan dan kemaslahatan maka tidak etis memulangkan orang Indonesia bekas ISIS kembali ke Indonesia..........</t>
  </si>
  <si>
    <t>Wni setelah observasi di Natuna</t>
  </si>
  <si>
    <t>@UmmuAzz00254501 @CH_chotimah @jokowi @mohmahfudmd Emang ada di dunia ini yg make khilapah?? Isis dah modarrrrr!!!!</t>
  </si>
  <si>
    <t>@Metro_TV @tvOneNews @VIVAcoid Perlukah Orang Indonesia yg pernah bergabung ISIS kembali ke Indonesia.........???</t>
  </si>
  <si>
    <t>@GiaPratamaMD dok dok, ini sebenernya ada penjelasannya ga sih soal ratusan orang yg kena virus corona di kapal terus WNI yang ada di dalam kapal itu juga negatif corona? Karna kan masih menghirup udara yang sama. Bisa menyebar karna ac juga ga sih?</t>
  </si>
  <si>
    <t>@AHSANFURQANIBR5 @AnakKolong___ Otaknya PKI terus sementara HTI perongrong Pancasila didepan mata, mana suaranya ?! Gak kejauhan mundurnya sekalian ke jaman Majapahit. Kelakuan membabi buta sudah seperti ISIS aja.</t>
  </si>
  <si>
    <t>RT @narkosun: Alhamdulillah WNI yang diobservasi di NATUNA terkait virus Corona bisa pulang hari ini. 😊👍🏻👍🏻</t>
  </si>
  <si>
    <t>BONGKAR !!! SEJARAH ISIS PART 1</t>
  </si>
  <si>
    <t>WNI yang Telah Diobservasi Dipulangkan dengan Tiga Pesawat: Menkes Terawan Agus Putranto mengungkapkan, 238 WNI yang telah menjalani observasi, diantar ke Halim Perdanakusuma menggunakan tiga unit pesawat.</t>
  </si>
  <si>
    <t>Buat pendukung fanatik Sang Maha Mulia Nan Tak Berdosa si presiden: Jangan tanya sy WNI/bukan krn speaking up soal ini. Tanya ke diri kalian: Minoritas itu WNI bukan sampe bhkn UUD 45 psl 29 kayak ga berlaku?! Buat yg msh pake alasan “main catur”: *Middle finger to you all*</t>
  </si>
  <si>
    <t>@AnakLolina @KakekHalal @KatolikG @jokowi @RomeskoP Betul kalau perlu semua ISIS Alqqeda taliban JAD JI dst disuruh kesini semua supaya yg teriak2 dan demo bersilit2 mulutnya kena Bom sekalian. Percumah kalau Pemerintah tdk tunduk amanta konstitusi.</t>
  </si>
  <si>
    <t>@wayansuyantika @Hanifah933 Suryah dulu aman &amp; makmur ' tp bgt isis msk hancur lebur</t>
  </si>
  <si>
    <t>Wkwk, lek disiram rasane isis banget. RT @andikamalreza: Jangankan masih kecil, udah gede aja masih. Anda semua kalo sikat gigi, ntu busa odol apa ga pernah jatoh ke Imron?</t>
  </si>
  <si>
    <t>Suasana Haru Kegembiraan WNI Eks Wuhan Pulang dari Natuna  #DariSuara</t>
  </si>
  <si>
    <t>WNI dari China di Natuna akhiri masa karantina</t>
  </si>
  <si>
    <t>@CH_chotimah @mohmahfudmd Sejahtera ko nangis nangis pengen pulang? Isis sampag berbahaya</t>
  </si>
  <si>
    <t>@em_fdhl @ISIS_Balik_NO @heniunique @LusiHQ Uhhh jadi takut klo lu nangis gara gara kalah debat ama akun fake 🤣</t>
  </si>
  <si>
    <t>238 Mawar dari Alumni Universitas Wuhan Buat WNI Tiba dari Natuna</t>
  </si>
  <si>
    <t>@em_fdhl @heniunique @LusiHQ @ISIS_Balik_NO Woiya lah jelas gw sombong. Ngapain gw nerima adopsian lu emang orang gapunya otak tuh gak tau diri. Udah dekil miskin sok mau ngadopsi aowkaowkaowl🤣</t>
  </si>
  <si>
    <t>RT @tribunnews: Cerita WNI Jalani Proses Observasi Virus Corona, Minta Apapun Diberikan, dari Gitar hingga Karaoke  via @tribunnews</t>
  </si>
  <si>
    <t>RT @SiNiel1: Negeri ini dibilang Negara kafir, Demokrasi dibilang Thogut, Passport mereka bakar&amp;berkeyakinan Bahwa ISIS sbg salah Satu jalan Jihad. ... Isteri &amp;amp; Putri2 mrk jadi pemuas nafsu para petinggi ISIS sampai Putra2 mrk jd umpan peluru Tentara Amrik. Biarkan mrk disana, sdh jalannya.</t>
  </si>
  <si>
    <t>@Rivaille_27 @ISIS_Balik_NO @heniunique @LusiHQ Ih ngegas, akun fake kok ngengas, jadi takut ih sumbu pendek 🥺</t>
  </si>
  <si>
    <t>@CNNIndonesia WNI eks Korona? 😀</t>
  </si>
  <si>
    <t>@masfufah_02 @hoetjin @spectatorindex gue jg awalnya mikir kek gitu, ga ketahuan tp pas liat yg 78 wni yg negatif dr corona di jepang padahal 200-an lebih kena corona lgsg “wew”</t>
  </si>
  <si>
    <t>RT @PatDanang: @2_devout @3_devout @Jovanka_vanke @herlambang_tan @1_devout @Julia_Zeed @4_devout @Sarah_Pndj @LusiHQ @aya_ddt @DianVeei @oneaperture @ephraym8 @jokowi @mohmahfudmd @prabowo @Menlu_RI @PolhukamRI @kemendagri @kaesangp @Chilli_Pari jangan sampai lebih Isis dari ...</t>
  </si>
  <si>
    <t>RT @evisuryanti10: @SetiaAdy_p @ArifinNkri17 @CANDAdanBISNIS @MOMDian2 @felixaaf1 @APLpangeran1 @positive_values @kasrulsani9 @RD_4WR1212 @TukangMu @73hermantjoe @MaryanaNunung @Recoignitionwal @mrbarens @MukhtarLuthfi12 @AdigunaAtmaja @Dickusnadi1 @zaenalkase03 @SultanAnjar @2024GanjarRisma @periani @edward7011971 @BayuErrianto @JohnIrwan4 @RizkiR4madani @jubrik844 @wantahgdn @Edward_1smail @LiaIsti1 @eddies_song @wartawankoboi13 @CumiCue @Iqbalkuntoro1 @RazkaFaiz @Maranatha_Sibrn @Zulfika35354359 @babegalak1 @Jokoumb64504158 @dian_ibunda @GendengHrs @demartinnie @gimbal_keren Sepulang dari suriah, wanita simpatisan ISIS Ini mengaku tertipu, perempuan dijadikan... @Kurniaw53369919 @AditiaP_07 @AdigunaAtmaja @mrbarens @Ningnon11392644 @AgustineEmy @ferdynanias @felixaaf1 #AwasHTImasihEksis #AwasHTImasihEksis</t>
  </si>
  <si>
    <t>RT @evisuryanti10: @SetiaAdy_p @ArifinNkri17 @CANDAdanBISNIS @MOMDian2 @felixaaf1 @APLpangeran1 @positive_values @kasrulsani9 @RD_4WR1212 @TukangMu @73hermantjoe @MaryanaNunung @Recoignitionwal @mrbarens @MukhtarLuthfi12 @AdigunaAtmaja @Dickusnadi1 @zaenalkase03 @SultanAnjar @2024GanjarRisma @periani @edward7011971 @BayuErrianto @JohnIrwan4 @RizkiR4madani @jubrik844 @wantahgdn @Edward_1smail @LiaIsti1 @eddies_song @wartawankoboi13 @CumiCue @Iqbalkuntoro1 @RazkaFaiz @Maranatha_Sibrn @Zulfika35354359 @babegalak1 @Jokoumb64504158 @dian_ibunda @GendengHrs @demartinnie @gimbal_keren @Kurniaw53369919 @AditiaP_07 @Ningnon11392644 @AgustineEmy @ferdynanias Viral - kelakuan keji ISIS dibongkar WNI Eks simpatisan, wanita dijadikan pabrik anak 😵😵😳 #AwasHTImasihEksis #AwasHTImasihEksis @fadlizon @hnurwahid @ustadtengkuzul</t>
  </si>
  <si>
    <t>RT @republikaonline: Menkes menyatakan proses observasi Corona para WNI dilakukan secara terbuka</t>
  </si>
  <si>
    <t>Semua WNI dari Natuna dipastikan sehat 100 persen</t>
  </si>
  <si>
    <t>@SyedAkramin Tapi yang menguji 78 WNI itu adalah pihak jepang kan ya? Menurutku ini(🤔🤔🤔) tidak relevan karena setahuku malaysia meragukan kemampuan indonesia 'mendeteksi korona', bukan meragukan kemampuan jepang kan?</t>
  </si>
  <si>
    <t>@sirajapadoha @Dwiyana_DKM @RizmaWidiono @erickthohir @KemenBUMN Hawa nafsu jngn nutupin otak mas,klo koar2 jg jngn asal mangap mas,dari mana anda tau mereka mendukung ISIS dan mana buktinya,klo g punya mending segera hapus twit anda!!</t>
  </si>
  <si>
    <t>Ada 112 tim pendukung yang masih di Natuna</t>
  </si>
  <si>
    <t>Jumlah WNI yang dievakuasi dari Wuhan, China, sebanyak 238 orang. Usia rata-rata mereka 24 tahun, usia termuda lima tahun, usia tertua 64 tahun. #Natuna #Observasi #COVID19</t>
  </si>
  <si>
    <t>Menkes Terawan mengatakan bahwa semua WNI yang telah dikarantina dalam kondisi sehat. #KAMUHARUSTAU #Natuna #VirusCorona #virusCoronaChina</t>
  </si>
  <si>
    <t>Terpopuler sepekan, tanggapan Turki atas penolakan pemulangan WNI bekas ISIS hingga pembelaan Wakil Bupati Pesisir Selatan di persidangan</t>
  </si>
  <si>
    <t>Menkes menyatakan proses observasi Corona para WNI dilakukan secara terbuka</t>
  </si>
  <si>
    <t>Bisa gaji besar duitnya dari mana tuan gubernur ISIS RT @SalmaBrecht: Mrk tidak mau pulang, knp @KPAI_official, @KomnasHAM ingin memulangkan? Chep Hernawan (ex Pres.ISIS Indonesia) mengungkapkan sekitar 700 orang WNI yg masih di Suriah. Diantaranya sering berkomunikasi. Dari pengakuan mrk tidak berniat pulang ke Indonesia.</t>
  </si>
  <si>
    <t>RT @Pr1y4_Utomo: Terduga bukan eks ISIS menyusup masuk +62 lewat jalur underpass pasar minggu tembus ke depok 😅😖🥴😆😁 berburu sate kambing 🤤🤤</t>
  </si>
  <si>
    <t>RT @GardaIndonews: Ratusan WNI Peserta Observasi Corona Tiba di Halim</t>
  </si>
  <si>
    <t>@null Karantina WNI Natuna Usai, Menkes Terawan: Tugas Saya Lunas! Menteri Kesehatan T</t>
  </si>
  <si>
    <t>Pemerintah Kawal Kepulangan 238 WNI Peserta Observasi dari Natuna</t>
  </si>
  <si>
    <t>Pemerintah Kawal Kepulangan 238 WNI Peserta Observasi dari Natuna  via @Indopolitika</t>
  </si>
  <si>
    <t>Tolak ISIS</t>
  </si>
  <si>
    <t>Mantan Presiden ISIS: WNI Eks ISIS Tak Mau Pulang, Sejahtera di Suriah</t>
  </si>
  <si>
    <t>Kebahagiaan WNI Pasca-Observasi di Natuna, Bisa Pulang</t>
  </si>
  <si>
    <t>238 WNI dari Wuhan Sehat Semua</t>
  </si>
  <si>
    <t>Salut buat Indonesia... 👍👍 Pesawat TNI AU yg membawa WNI dari Natuna, mendarat di Lanud Halim PK, Jakarta. Menkes Terawan ikut menumpangi salah satu pesawat tersebut, menyatakan 243 WNI yg telah menjalani observasi ini dipastikan dalam kondisi sehat dan negatif virus corona.</t>
  </si>
  <si>
    <t>238 WNI peserta observasi di Natuna tiba di Bandara Halim Jakarta. Seluruhnya dalam keadaan sehat.</t>
  </si>
  <si>
    <t>WNI yang Dikarantina Pulang, Istana: Terima Kasih Warga Natuna</t>
  </si>
  <si>
    <t>RT @anina_faris: Penjelasan ni kurang tepat. Mula² sekali kena fahami, ada banyak jenis lendiran keluar di KAWASAN faraj. Malah lendiran dari rahim berbeza dengan lendiran dari salur kencing.</t>
  </si>
  <si>
    <t>Terduga bukan eks ISIS menyusup masuk +62 lewat jalur underpass pasar minggu tembus ke depok 😅😖🥴😆😁 berburu sate kambing 🤤🤤</t>
  </si>
  <si>
    <t>Menkes Terawan Imbau Masyarakat Tak Takut dengan 238 WNI dari Wuhan</t>
  </si>
  <si>
    <t>@kantayu sangat bodoh kadang saya bilang,org yg di wuhan di sama kn org pengikut isis,sangat jeblok pola pikirnya</t>
  </si>
  <si>
    <t>@Rivaille_27 @heniunique @LusiHQ @ISIS_Balik_NO Udah anak haram, sombong ga mau diadopsi, ckckckck sedih kehidupan mu nak 🤣</t>
  </si>
  <si>
    <t>@SammyMujahidah @ATOCKs @MadiHeriyadi @PhedalsSastroe @ArifinNaftalia @deeSign1207 @DayangMilenial @Fw_fa_h @pati35209192 @Sammy_mujahidah @Pejuang__ @eviristyo @Jeirumingkang3 @latif08881725 @tomby_La @Toyeb43686631 awalnya kan yg ikut isis disebut WNI eks ISIS lalu disebut ISIS Eks WNI Sekarang istilahnya diganti jadi Foreign Terrorist Fighter (FTF) kan penguasa mah gitu, semau2nya ngejulukin orang... yg penting gak nyusahin mereka.</t>
  </si>
  <si>
    <t>@em_fdhl @ISIS_Balik_NO @heniunique @LusiHQ Lah dari sekian komen yang lu tulis apaan goblooog. Lu maksud lacur disitu apa?! Kontaks konteks pala kau tuh kempes. Goblog tuh jangan dipelihara, kambing noh pelihara biar bermanfaat dikit gak kayak lu. Lu udah lahir aja kaga bermanfaat, kalah lu ama kambing</t>
  </si>
  <si>
    <t>@MZubir_ID @PJustitia7 @veraagustian_ @relawanperak2 @Namaku_Mei @WagimanDeep @WR_4AG226 @wahhabicc_jabar @bangzul___88 @FirzaHusain Tentu demikian, trik pemerintah memulangkan Rizieq dg kamuflase pemulangan gratis wni lainnya ... masa gitu aja gak paham</t>
  </si>
  <si>
    <t>Level ISIS - rejam dengan batu, kemudiannya dipancung. Selagi diaorang tak buat level ISIS, selagi itula diaorang ini bukannya pejuang-pejuang Islam. So I give it level 0 sebab scene tiada gore, blood spilling and beheading. RT @haikalclassic: On a scale of 1 to ISIS how pressed you gotta be to tag me in a video where a mentally disabled person is beaten up for ‘insulting’ your religion</t>
  </si>
  <si>
    <t>RT @liputan6dotcom: Minta Mi Instan-Cairan Pereda Masuk Angin, Kisah WNI di Kapal Penumpang Virus Corona</t>
  </si>
  <si>
    <t>@HeyFarahhhh Apapun agamanya ato alirannya ' selama WNI negara hrs melindungi hak2 mrk</t>
  </si>
  <si>
    <t>RT @ardhawm: @BBCIndonesia Kemaren presiden sudah tegas pakai "ISIS eks WNI" tapi media-media lebih banyak yang pakai "WNI eks ISIS". Sekarang kita sedikit tahu kemana media berpihak.</t>
  </si>
  <si>
    <t>@SrikandiTeam Mas novan sdh tahu sejak lama.. Wktu Tuan Adiputro sblm meninggal.. Sahabat bisnis bpk itu Minta sang bungsu #AdindaRatu di jodohkan dgn anak nya Usia sang bungsu msh belia 12 thn. Mas kuliah di UI.. Mas drr.. msh di kantor update WNI Natuna. #PrimeTimeNews #KabarpetangtvOne</t>
  </si>
  <si>
    <t>@Rivaille_27 @heniunique @LusiHQ @ISIS_Balik_NO Dih ngamuk, pfffttrrr buzzer kok ngamuk 🤣 Kasian bro kalau komen ngak punya style, bisanya cuman jiplak komen orang 🤣 eh w serius nanya nih, lu sehari digaji nasi bungkus pake lauk paan?</t>
  </si>
  <si>
    <t>Tiba di Halim dari Natuna, Menkes Terawan: 238 WNI dari Wuhan Sehat Semua  #DariSuara</t>
  </si>
  <si>
    <t>Menurut Terawan, para WNI itu juga sudah diperbolehkan untuk menonton konser musik, tempat orang banyak berkerumun.</t>
  </si>
  <si>
    <t>RT @rmol_id: WHO: 285 WNI Dari China Bebas Virus Corona, Masyarakat Tak Perlu Khawatir #WHO #VirusCorona #RepublikMerdeka</t>
  </si>
  <si>
    <t>@kompasiana @jokowi @mohmahfudmd mereka(ISIS) dg sesukanya membunuh orang” lantas mereka(ISIS) apakah tidak melanggar HUKUM?</t>
  </si>
  <si>
    <t>@IngNa70 @AgusSul55741094 @jokowi Kamu yg nulis apakah WNI? KENAPA KAMU MENJUAL PRESIDENMU?</t>
  </si>
  <si>
    <t>RT @semiaji_w: @SoffiAgus @bahdirdja @enny_endah @NGOBUSH3 @dkarhita @Ze_sukma @YCH7168 @AWChuz @cagubnyinyir2 @sirajapadoha Punten Gus...ISIS eks WNI🙏.</t>
  </si>
  <si>
    <t>Kondisi Hangar Raden Sajad Pasca Pemulangan WNI</t>
  </si>
  <si>
    <t>Minta Mi Instan-Cairan Pereda Masuk Angin, Kisah WNI di Kapal Penumpang Virus Corona</t>
  </si>
  <si>
    <t>Pemulangan WNI yang Diobservasi Didampingi Langsung Oleh WHO</t>
  </si>
  <si>
    <t>@umarpialangbaru @V4nn @hendri92189000 @dusrimulya @mohmahfudmd Om @V4nn, saya coba bantu. Ini ihwal kehilangan kewarganegaraan WNI yang berperang utk NEGARA LAIN. Pertanyaanp3 nya, apakah ISIS itu negara. Mari belajar membaca dengan seksama sebelum ngegas. Kita semua benci ISIS..</t>
  </si>
  <si>
    <t>Aman dari Corona, Kata Menkes Terawan WNI yang Selesai Diobservasi Bisa Nonton Java Jazz</t>
  </si>
  <si>
    <t>RT @Aryprasetyo85: WNI Yang Diobservasi Ucapkan Terima Kasih Warga negara Indonesia yg diobservasi di Natuna,menyampaikan ucapan terima kasih utk berbagai pihak yg telah mendukung mereka melewati masa inkubasi selama 14 hari. Video ucapan terima kasih jg menunjukkan kegiatan rutinitas pagi mereka</t>
  </si>
  <si>
    <t>WHO: 285 WNI Dari China Bebas Virus Corona, Masyarakat Tak Perlu Khawatir #WHO #VirusCorona #RepublikMerdeka</t>
  </si>
  <si>
    <t>Setelah menolak pulangkan ISIS , saatnya pemerintah menjemput isis dan mantan isis yg ada di NKRI ... Segera adili mereka secara hukum karena mereka sdh melakukan kudeta terhadap dunia !!!</t>
  </si>
  <si>
    <t>@msaid_didu Sepertinya Indonesia sudah menjadi Negara Bangkrut. Bangkrut nya indonesia Sepertinya di sebabkan oleh kepentingan kelompok &amp; pribadi dan juga kelompok yg Mencintai TKA,WNA dan WNI keturunan. Yg sebenarnya indonesia merupakan Negara kaya hasil bumi.</t>
  </si>
  <si>
    <t>RT @Aryprasetyo85: @ganjarpranowo Minta Masyarakat Terima Kepulangan WNI dari Natuna Gubernur Jawa Tengah Ganjar Pranowo meminta masyarakat tidak perlu khawatir dan mau menerima para WNI asal Jawa Tengah yang telah selesai menjalani masa observasi di Natuna. @narkosun @My_LoveNebe @cintada17</t>
  </si>
  <si>
    <t>RT @voaislam: Persis Sarankan Pemerintah RI Beri Kesempatan bagi Eks ISIS yang Insyaf -</t>
  </si>
  <si>
    <t>@OpsiMetroTV Mereka itu eks WNI jadi bukan kewajiban untuk memulangkan, kalau negara ada dana pun kok lebih baik untuk ngurusin WNI aja</t>
  </si>
  <si>
    <t>RT @medcom_id: Negatif Virus Korona, 238 WNI Di Natuna Dipulangkan</t>
  </si>
  <si>
    <t>wni dikarantina, turis china? cuman nanya doaang... RT @mohmahfudmd: ALHAMDULILLAH' 243 WNI yg pulang dr Wuhan dan diobservasi 14 hr di Natuna dinyatakan brsh dr Corona. Dlm kelakarnya, Menko Perekonomian Airlangga bilang "Krn perizinan di Indonesia ber-belit2 maka virus corona tak bs masuk. Tp omnibus law ttg perizinan lapangan kerja jalan trs"🤣</t>
  </si>
  <si>
    <t>@em_fdhl @heniunique @LusiHQ @ISIS_Balik_NO Idih sotau buzar bazer buzar bazer pala kau kejer. Kasihan bgt mamaknya lacur balesin omongan yg gaguna kek gw emg lu gak kerja apa gimana lu atau cmn mamak lu yg kerja jdi "itu"</t>
  </si>
  <si>
    <t>Kakan Kemenag Kabgor Tanggapi Polemik Pemulangan Kombatan ISIS</t>
  </si>
  <si>
    <t>RT @suketi666: @RinjaniJB @BNPTRI ..... gak ada istilah exs isis ... isis ya isis ..mereka membunuh gak pernah ada kata ex pembunuh... segera di adili !!!</t>
  </si>
  <si>
    <t>RT @dusrimulya: Ngawur.. 1. Keppres itu dibawah UU 2. Keppres hanya bersifat mengikat kedalam institusi Pemerintahan, bkn untuk umum 3. UU Kewarganegaraan hanya syaratkan "masuk tentara negara asing"..ISIS bukan negara Ini Profesor sudah lupa ilmu2 hukum kyanya semenjak masuk kekuasaan</t>
  </si>
  <si>
    <t>RT @dusrimulya: @smallmelville @mohmahfudmd Beh tolol..klo disebut "Tentara" itu mka itu merujuk pada pasukan Resmi suatu negara resmi.. Apa ISIS negara? Pasukan non resmi suata negara itu gak disebut "Tentara", tpi "Milisi" Milisi scra hukum beda hak dan kewajibannya dgn Tentara Mahfud paham ini..cma skrg lg ngelantur</t>
  </si>
  <si>
    <t>238 WNI selesai menjalani observasi selama 14 hari</t>
  </si>
  <si>
    <t>@detikcom Nah, udahlah percaya aja sama eks presiden isis regional indonesia. Mereka hidup enak disana. Jadi udh benar kalo gausah dipulangin, meski mereka pada minta pulang. Main main sendiri kok balik minta dijemput tuman :")</t>
  </si>
  <si>
    <t>RT @Abu_Maop: @mediaindonesia Alhamdulillah...semua WNI yg kembali dri neg China tak ada terkena virus Corona &amp; dinyatakan sehat. Harus ada dlm ingatan manusia bhw bencana virus Corona yg trjdi di China adlh peringatan dr Tuhan YMK, agar manusia makan makanan Halal &amp;amp; dimasak harus matang! #JagaKenyamananWNI..</t>
  </si>
  <si>
    <t>RT @okezonenews: Menkes Tetapkan 238 WNI yang Pulang dari China sebagai Duta Kesehatan #TauCepatTanpaBatas #BeritaTerkini #Berita #News #BeritaNasional .</t>
  </si>
  <si>
    <t>@null Menkes Tetapkan 238 WNI yang Pulang dari China sebagai Duta Kesehatan 238 WNI di</t>
  </si>
  <si>
    <t>RT @Katolik_GK: Syukur kepada Allah! WNI yg diobservasi di Natuna, yg sebelumnya dipulangkan dari Wuhan, sekarang sudah pulang dalam keadaan sehat walafiat. Terima kasih kepada pemerintah dan jajarannya yang sudah bekerja keras menjamin kesehatan dan keselamatan mereka. Tuhan memberkati.</t>
  </si>
  <si>
    <t>RT @DanungArifin: Gembira juga haru, apalagi ketika warga Natuna turut serta mengantar kepulangan para WNI ini setelah menjalani observasi selama 2 pekan. “Selamat jalan saudaraku!,” teriak para warga Natuna &amp; dibalas “Terima kasih saudaraku,” oleh WNI. Mereka saling menguatkan satu sama lain :’)</t>
  </si>
  <si>
    <t>@Citos_bekicot @rnhakiki Jempol WNI yang baik</t>
  </si>
  <si>
    <t>@detikcom Sayangnya ini bukan persoalan pribadi, tp persoalan bangsa dn ngr Indonesia..taat/patuh konstitusi sejatinya setiap WNI 😊</t>
  </si>
  <si>
    <t>RT @fredy291264: @mediaindonesia Redaksi, walaupun 238 wni dr Wuhan itu sehat tetap saja harus di karantina sebagaimana proses di natuna karena sehat bukan berarti bebas dr virus kemungkinan menjadi carrier juga membahayakan. Itulah perlu karantina selama masa inkubasi 14 hari.</t>
  </si>
  <si>
    <t>RT @MB_Albanjary: 238 WNI di Natuna Keluar Karantina, Jokowi: Nggak Usah Takut. Lapor pak @jokowi kami tidak takut virus Corona, tapi apakah lab medis kita sdh standard? Ohya, yg ditakutkan bukan virus Corona sih, tp Wabah korupsi yg sdh merusak mental pejabat 😕😕😕</t>
  </si>
  <si>
    <t>@Rivaille_27 @heniunique @LusiHQ @ISIS_Balik_NO Ihhhh masa sih, perasaan mak lu deh yg lacur, suka balik"in fakta nih, duhhh kamu cocok jadi buzzer yg digaji pake nasi bungkus 🤣</t>
  </si>
  <si>
    <t>@LusiHQ @AlaricLuthfy @ichavolks @anonapostate ISIS Penjahat Kemanusiaan !!! Mereka yang membela ISIS juga disebut mededader, Penjahat Kemanusiaan juga !!! Tindakan Intoleransi adalah Kejahatan kemanusiaan !!! Pembiaran atas tindakan Intoleransi disebut mededader, Penjahat Kemanusiaan juga !!! Dan Tindakan melawan hukum !!</t>
  </si>
  <si>
    <t>RT @kompascom: "Tidak ada yang sakit, semuanya sehat," kata Terawan sebelum terbang ke Halim Perdana Kusuma mendampingi WNI dan 47 tim penjemput.</t>
  </si>
  <si>
    <t>Tak Ada Persiapan Khusus di Halim dalam Pemulangan WNI</t>
  </si>
  <si>
    <t>Keluar dari Karantina Natuna, WNI Eks-Wuhan Mulai Tiba di Halim  #Nasional</t>
  </si>
  <si>
    <t>Dedengkotnya ISIS. RT @Hanifah933: Foto Erdogan, Presiden Kaum Sebelah menghiasi Jalanan di Benghazi, Libya ... Bapakny ISIS 😂😂😂 #FightingTerrorism © 📸 Brother Constantin Greco 🙏</t>
  </si>
  <si>
    <t>RT @mawmarah: @AREAJULID Gatau nder cuman kemaren kajian bareng dosen-dosen+dokter univ sebelah ngebahas tuh hasilnya; kayaknya ada beberapa faktor yg bikin kita kebal dari paparan. Mungkin ada kasus WNI terpapar tapi ga terinfeksi, kenapa? - gaya hidup orang indonesia yg gaada di negara lain</t>
  </si>
  <si>
    <t>@Apriil68 Waspadai antek" ISIS !!</t>
  </si>
  <si>
    <t>Ratusan WNI dari Natuna Diterbangkan ke Jakarta dengan Tiga Pesawat #TauCepatTanpaBatas #BeritaTerkini #Berita #News #BeritaNasional .</t>
  </si>
  <si>
    <t>Harusnya @detikcom ga menayangkan berita spt ini. Krn khawatirnya akan ada yg percaya omongan dia dan berminat utk gabung ke ISIS. RT @detikcom: Eks Presiden ISIS Regional Indonesia Chep Hernawan siap menampung Warga Negara Indonesia (WNI) eks ISIS yang benar-benar ingin pulang ke Tanah Air.</t>
  </si>
  <si>
    <t>Memilah antara Kombatan, Perempuan, dan Anak Eks #ISIS  via @ArrahmahID #news #arrahmah</t>
  </si>
  <si>
    <t>RT @WahhabiCC: Ini mahluk sepele, kenapa kamu muat gonggongannya? Pantesan kami pernah baca artikel, terorisme wahhabi, khususnya anjing2 ISIS, ternyata sudah menjadi bagian integral dari bisnis media massa dan penguasa; khalayak luas diteror drama berupa komedi dan tragedi demi klik dan intrik</t>
  </si>
  <si>
    <t>WNI requestnya tolak angin gais mantap bgy 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</si>
  <si>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@Bangzul__88 @TeWeL7 Dulu jaman pak harto gampang bang Bebas bantai PKI sampai ke akar2nya. Kalo ISIS N HTI dan paham2 yg radikal itu susah soalnya berbenturan dgn agama. Ngelawan mereka dibilang ngelawan Islam, Pdlh sbenarnya mereka cuma haus kekuasaan.</t>
  </si>
  <si>
    <t>Tiba di Jakarta, WNI dari Natuna diberi sertifikat sehat</t>
  </si>
  <si>
    <t>RT @sunankaliblanak: @evisuryanti10 @RizkiR4madani @SetiaAdy_p @ArifinNkri17 @CANDAdanBISNIS @MOMDian2 @felixaaf1 @APLpangeran1 @positive_values @kasrulsani9 @RD_4WR1212 @TukangMu @73hermantjoe @MaryanaNunung @Recoignitionwal @mrbarens @MukhtarLuthfi12 @AdigunaAtmaja @Dickusnadi1 @zaenalkase03 @SultanAnjar @2024GanjarRisma @periani @edward7011971 @BayuErrianto @JohnIrwan4 @jubrik844 @wantahgdn @Edward_1smail @LiaIsti1 @eddies_song @wartawankoboi13 @CumiCue @Iqbalkuntoro1 @RazkaFaiz @Maranatha_Sibrn @Zulfika35354359 @babegalak1 @Jokoumb64504158 @dian_ibunda @GendengHrs @demartinnie @gimbal_keren @Kurniaw53369919 @AditiaP_07 @Ningnon11392644 @AgustineEmy @ferdynanias @fadlizon @hnurwahid lah koq baru sekarang kaget, indonesia adalah tempat ideal bg kaum kadrun dan teroris untuk pijakan eksodus jangka panjang kaum timteng untuk mencari daerah baru bg anak cucu mreka, di puncak adalah contoh kongkritnya. siapa yg bs jamin para wisman timteng semua bebas dr ISIS.</t>
  </si>
  <si>
    <t>Kasus terbaru ketika Belanda ingin mencabut kewarganegaraan eks ISIS. Pemerintah Belanda jungkir balik tetap ga bisa sampai akhirnya hanya mencabut kewarganegaraan 4 eks ISIS yang juga punya kewarganegaraan Maroko. Sisanya ga bisa dicabut kecuali Belanda mau berurusan dg hukum.</t>
  </si>
  <si>
    <t>RT @CNNIDdaily: #BreakingNews Koresponden Iwan Hermawan melaporkan, tiga pesawat yang membawa rombongan WNI sudah mendarat di Bandara Halim Perdanakusuma.</t>
  </si>
  <si>
    <t>@donopradana Baghdad bang, kasian orang-orangnya lama ga ketawa gara-gara isis</t>
  </si>
  <si>
    <t>100 WNI Yang Dikarantina Di Natuna Sudah Sampai Bandara Halim</t>
  </si>
  <si>
    <t>WNI yang Dikarantina di Natuna Dipastikan Negatif Virus Corona</t>
  </si>
  <si>
    <t>@cintada17 @Julia_Zeed Produk isis,,jadi sebaiknya,jauhi</t>
  </si>
  <si>
    <t>@Hanifah933 Libya yg makmur jd luluhlantak sejak ISIS msk</t>
  </si>
  <si>
    <t>Keputusan Pemerintah tak pulangkan WNI Eks ISIS. diapresiasi oleh MUI Jabar. #NoMercy4ISIS</t>
  </si>
  <si>
    <t>Upaya Pemerintah yang tidak memulangkan WNI Eks ISIS diapresiasi MUI Jawa Barat. #NoMercy4ISIS</t>
  </si>
  <si>
    <t>Di Bandara Halim Perdanakusuma pihak keluarga bahkan pemerintah daerah datang menyaksikan sekaligus menjemput WNI yang akan langsung kembali ke daerahnya.</t>
  </si>
  <si>
    <t>Pemerintah memulangkan 238 WNI ke daerah masing-masing karena telah dinyatakan sehat.</t>
  </si>
  <si>
    <t>#NoMercy4ISIS jika ISIS masih kuat. maka mereka dipastikan tidak akan mau pulang.</t>
  </si>
  <si>
    <t>RT @radarbangsa_com: Karantina Berakhir Nur Yasin Ajak Masyarakat Terima WNI dari Wuhan</t>
  </si>
  <si>
    <t>RT @ivooxid: WNI dari Natuna Terbang ke Halim Perdanakusuma</t>
  </si>
  <si>
    <t>“Mereka akan diberikan bingkisan beserta uang saku. Seluruh akomodasi juga sudah ditanggung sampai ke rumah,” ujar Kepala BNPB Doni Monardo</t>
  </si>
  <si>
    <t>keinginan mereka kembali ke Indonesia dilatarbelakangi ISIS dinyatakan kalah di wilayah Suriah yang membuat mereka terlantar. Hal itu akan berbeda jika ISIS masih berjaya. MUI Jabar. #NoMercy4ISIS</t>
  </si>
  <si>
    <t>RT @DrKyairey: @0j0093 Ni pun teguran juga @naurashares @sitikasim @SistersinIslam @Isa_Isarb @IDEASMalaysia @ISIS_MY @lawyers4liberty @DrAmalinaBakri @NiniNell @sharifahsofia #SepahtuReunionLive2020 #DansaDanSing2020 #HeroRemaja2020 #AME2020 #AJL34 #BelaBaitulMaqdis_AlQuds #ValentineBukanBudayaKita</t>
  </si>
  <si>
    <t>@setyaanggac @jawafess Gawe sarung enak, isis</t>
  </si>
  <si>
    <t>RT @TuTTeO: @Boemi_Pertiwi12 Bukan WNI eks ISIS, tapi ISIS eks WNI! Jangan di balik!</t>
  </si>
  <si>
    <t>@0j0093 Ni pun teguran juga @naurashares @sitikasim @SistersinIslam @Isa_Isarb @IDEASMalaysia @ISIS_MY @lawyers4liberty @DrAmalinaBakri @NiniNell @sharifahsofia #SepahtuReunionLive2020 #DansaDanSing2020 #HeroRemaja2020 #AME2020 #AJL34 #BelaBaitulMaqdis_AlQuds #ValentineBukanBudayaKita</t>
  </si>
  <si>
    <t>KBRI Tokyo terus memantau kondisi 78 WNI di Kapal Pesiar Diamond Princess yang dikarantina karena wabah</t>
  </si>
  <si>
    <t>@AhlulQohwah cocok nih di terapin di indonesia buat,koruptor2,pnjahat,maling,rampok,pro isis,yg radikal2.di jamin negara aman</t>
  </si>
  <si>
    <t>RT @okezonenews: Tiba di Jakarta, Ratusan WNI dari Natuna Didampingi Tim WHO #TauCepatTanpaBatas #BeritaTerkini #Berita #News #BeritaNasional .</t>
  </si>
  <si>
    <t>RT @WahabisLokal: Jangan Pernah Lengah...! HTI Masih Gentayangan disekitar kita. Pentolan2 HTI masih bebas sebarkan ideologi di masjid2 dan mimbar ceramah. Bom masih menyalak Densus 88 masih sibuk buru teroris. Mereka msh berusaha pulangin Ex WNI ISIS #AwasHTImasihEksis</t>
  </si>
  <si>
    <t>RT @vivanewscom: Tiba di Halim, Pemulangan 238 WNI dari Natuna Pakai 3 Pesawat  #vivanews</t>
  </si>
  <si>
    <t>@pandusatria_32 @Dhinoe2 @AtikaFaya @bulanrudrigo Melu LELANGAN petinggi ISIS neng Firdaus Bro</t>
  </si>
  <si>
    <t>RT @KadrunJ: Peraturan baru ISIS tentang hewan betina🤭🤭🤭 #WaspadaiAntekISIS</t>
  </si>
  <si>
    <t>Ikut senang lihat berita WNI dari Wuhan akhirnya bisa berkumpul lagi dengan keluarga.. WELCOME HOME!</t>
  </si>
  <si>
    <t>Tiba di Halim, Pemulangan 238 WNI dari Natuna Pakai 3 Pesawat  #vivanews</t>
  </si>
  <si>
    <t>ISIS eks WNI ingin kembali ke Indonesia ? NO! #NoMercy4ISIS</t>
  </si>
  <si>
    <t>RT @CNNIDdaily: #BreakingNews Produser Lapangan Rizki Renardi melaporkan, ketiga pesawat yang membawa WNI ini akan mendarat di Bandara Halim Perdanakusuma Jakarta.</t>
  </si>
  <si>
    <t>*SOC Tanpa menyematkan rupa, saya datang kemari untuk mencari kawan, bila ada tawaran relasi pun diperbolehkan untuk jatuhkan. Jadi, apa ada yang berkenan? - WNI yang bekerja untuk British Council dan media lokal</t>
  </si>
  <si>
    <t>RT @1_devout: @3_devout @2_devout @Julia_Zeed @4_devout Lopada nyari data pke tor browser ga nemu ???? Wakakakakaak 🤣🤣🤣 Nii apaan wooii 👇👇</t>
  </si>
  <si>
    <t>ISIS sudah hancur dan kalah. #NoMercy4ISIS</t>
  </si>
  <si>
    <t>#NoMercy4ISIS hal itu akan berbeda jika ISIS masih Berjaya.</t>
  </si>
  <si>
    <t>@BiLLRaY2019 Waspada Waspada antek ISIS !!</t>
  </si>
  <si>
    <t>RT @marsudi_syuhud: Soal ISIS ex WNI, Putusan pemerintah sudah sejalan dg NU. Tugas kita memPertahankan dan melestarikan warisan para pendiri NKRI, termasuk dari benih2 penghianatan akibat cacat memahami agama</t>
  </si>
  <si>
    <t>Karantina di Natuna, Jokowi: WNI Bebas Virus Corona</t>
  </si>
  <si>
    <t>@bdgfess Loba keneh teh nu bisa dilakukeun. Hidup teu selalu tentang bobogohan. Naek gunung, nonton film, nertawain meme. Masih loba nu bisa dilakukeun ku sorangan nu nyieun bagja. Mun masih gabut coba gabung isis atau sunda empire.</t>
  </si>
  <si>
    <t>@detikcom mau bikin isis di indo kek ?</t>
  </si>
  <si>
    <t>Muantab MUI Jabar! MUI Jabar Apresiasi Keputusan Pemerintah Tak Pulangkan WNI Eks ISIS. #NoMercy4ISIS</t>
  </si>
  <si>
    <t>@AdityaWisnu @BadjaNuswantara @DivHumas_Polri Terkadang inilah yang terjadi fi lapangan.... minoritas byk sabar dan ibadah tertutup dalam kamar aja agar situasi kondusif? Kami WNI juga loh....cinta NKRI</t>
  </si>
  <si>
    <t>RT @PCIMTaiwan: Kader PCIM Taiwan Bagikan Ribuan Masker ke WNI   Muhammadiyah Taiwan Bagikan Ribuan Masker Ke WNI Di 7 Kota  Serentak di 7 Kota, PCIM Taiwan Bagikan Ribuan Masker Cegah Corona</t>
  </si>
  <si>
    <t>Air Mata Pecah Saat WNI Asal Wuhan Tinggalkan Natuna</t>
  </si>
  <si>
    <t>RT @vivanewscom: 238 WNI yang Diobservasi di Natuna dan Bebas Corona Tiba di Jakarta  #vivanews</t>
  </si>
  <si>
    <t>RT @heffheven: Selamat kembali ke rumah masing WNI yg telah menjalani karantina di pulau Natuna, Sukses utk Kalian semua, semoga kuliahnya nanti tetap lanjut beasiswanya , Alhamdulillah sehat dan kuat semua, lahir dan bathin #Agnation #BestFanArmy #iHeartAwards @agnezmo</t>
  </si>
  <si>
    <t>238 WNI yang Diobservasi di Natuna dan Bebas Corona Tiba di Jakarta  #vivanews</t>
  </si>
  <si>
    <t>Kok elu ngga sekalian ikut ke Suriah kalo emnag mereka enak dan betah di san Chep? Kok polisi dan BNPT diem aja udah jelas nih orang pendukung ISIS! RT @detikcom: Eks Presiden ISIS Regional Indonesia Chep Hernawan siap menampung Warga Negara Indonesia (WNI) eks ISIS yang benar-benar ingin pulang ke Tanah Air.</t>
  </si>
  <si>
    <t>@null WNI dari Natuna Tiba di Jakarta, Menkes Terawan: Semua Sehat dan Bahagia Terawan</t>
  </si>
  <si>
    <t>WNI dari Natuna Tiba di Jakarta, Menkes Terawan: Semua Sehat dan Bahagia #TauCepatTanpaBatas #BeritaTerkini #Berita #News #BeritaNasional .</t>
  </si>
  <si>
    <t>Keluarga WNI dari Wuhan Mulai Berdatangan ke Bandara Halim</t>
  </si>
  <si>
    <t>Keluarga WNI yang di observasi di Natuna mulai datang di Halim</t>
  </si>
  <si>
    <t>RT @antaranews: "Ada peribahasa, kejarlah ilmu sampai ke negeri China. Saya dan keluarga sudah bilang ke Yusuf, kalau pendidikan di luar negeri harus sudah siap dengan segala risikonya," #karantina #Natuna</t>
  </si>
  <si>
    <t>Sebelum Dievakuasi, WNI Sempat Keluhkan Stok Makanan Menipis di Wuhan</t>
  </si>
  <si>
    <t>238 WNI Aman dari COVID-19, WHO Kembali Beri Wejangan</t>
  </si>
  <si>
    <t>WNI yg di kapal pesiar Diamond Princess bukan didiagnosa COVID-19 tapi malah pada masuk angin, kebayang warga jepang ngeliat punggung WNI disangkanya mereka ngelakuin ritual kekebalan padahal mereka cuman saling kerokan</t>
  </si>
  <si>
    <t>@equelty @detikcom Mereka bukan WNI EKS ISIS, yg benar itu meteka EKS WNI anggota ISIS, mereka bukan WNI lagi. Ingin pulang bukan rindu negara ini tapi takut mampus digantung pemerintah Suriah, dalam jiwa nya tetap saja manusia biadab. Silahkan baca Undang²nya biar ngerti.</t>
  </si>
  <si>
    <t>Kalau tiba2 kita jadi negara berbasis agama tertentu, aku mau berhenti aja jadi WNI</t>
  </si>
  <si>
    <t>RT muhammadiyah "Pandangan Muhammadiyah Terkait Kepulangan Mantan Kombatan ISIS  #Muhammadiyah #radikalisme #ISIS "</t>
  </si>
  <si>
    <t>WNI asal Wuhan di Natuna selama 14 hari sudah sesuai prosedur yang berlaku. Setelah 14 hari masa observasi maka bisa dipastikan para WNI dalam kondisi sehat dan siap kembali ke tengah-tengah masyarakat jangan diskriminatif. #CoronavirusWho #malamminggu #AwasHTImasihEksis</t>
  </si>
  <si>
    <t>Keluarga menjemput WNI yang selesai menjalani masa observasi corona di Bandara Halim.</t>
  </si>
  <si>
    <t>RT @InvestorID: Keluarga WNI Pascaobservasi Korona di Natuna Berdatangan ke Halim</t>
  </si>
  <si>
    <t>RT @Parapat_Nixon: "Hoaks, tdk benar ISIS Eks WNI ingin pulang. Mreka NYAMAN &amp; BETAH tinggal disana serta dpt PENGHASILAN BESAR &amp;amp; SEJAHTERA. Mreka hanya ingin mati syahid di Suriah" ujar eks Presiden ISIS +62, chep hernawan -- Orang ini BAHAYA Yth. @KSPgoid @setkabgoid @mohmahfudmd @DivHumas_Polri</t>
  </si>
  <si>
    <t>@Hanifah933 @AhlulQohwah @WagimanDeep @TyasZain @narkosun @arifbsantoso @amrudinnejad_ @rizieqdivist @1504ers @DjanChoek @JoniSukaPaha Bener, klo memang mreka masih WNI, mreka harusnya menjungjung tinggi nilai2 Pancasila bagaimana pengamalan butir2 Pancasila itu sudah dpt menentramkan bangsa..</t>
  </si>
  <si>
    <t>RT @MACDTrader: @_rendezvous26 @DagonagaMelky @MardaniAliSera @fadlizon @KomnasHAM @KPAI_official @RizmaWidiono @CH_chotimah @elHurryKoRn @AhlulQohwah @03__nakula @bhre_wengker84 Eks ISIS tapi masih bersuara mewakili ISIS dapat bebas menyuarakan pendapat nya di Indonesia, seakan ISIS itu legal di Indonesia @Mun4fikunn @Parapat_Nixon @eko_kuntadhi @WR_4AG226 @WagimanDeep</t>
  </si>
  <si>
    <t>Kondisi mereka semua fit</t>
  </si>
  <si>
    <t>RT @kompascom: Pesawat pertama Boeing 737 yang membawa para WNI tiba di Halim Perdanakusuma, Jakarta, Sabtu (15/2/2020) sore.</t>
  </si>
  <si>
    <t>Gaya Menkes Yakinkan Seluruh WNI Yang Dievakuasi "SEHAT"</t>
  </si>
  <si>
    <t>Keluarga WNI yang Dikarantina di Natuna Mulai Datangi Halim Perdanakusuma</t>
  </si>
  <si>
    <t>Apakabar kasus Jiwasraya? @KPK_RI sempat teralihkan isu ISIS, Kemen BUMN, BPIP dan Cintaluna</t>
  </si>
  <si>
    <t>@AhlulQohwah Komisi Palkon Anak Isis -_-</t>
  </si>
  <si>
    <t>Tangis Bahagia Hiasi Wajah WNI yang Pulang dari Natuna</t>
  </si>
  <si>
    <t>Keluarga WNI pascaobservasi corona berdatangan ke Bandara Halim</t>
  </si>
  <si>
    <t>@dusrimulya @mohmahfudmd Tolong jawab.. Kenapa exs isis ingin pulang?</t>
  </si>
  <si>
    <t>Yang pada kangen Habib... mohon maap ya, Habibana belum bisa balik ke Indonesia..... 😂 Tak Termasuk Rizieq, KBRI Riyadh Sukses Pulangkan 42 WNI Overstay Tanpa Denda Sepeserpun</t>
  </si>
  <si>
    <t>Rombongan Pertama WNI dari Natuna Mendarat di Halim Perdanakusuma #TauCepatTanpaBatas #BeritaTerkini #Berita #News #BeritaNasional .</t>
  </si>
  <si>
    <t>FOTO: Senyum Bahagia Iringi Pemulangan 238 WNI dari Natuna</t>
  </si>
  <si>
    <t>RT @delkusuk: @ariel_heryanto @freddyths Bukan WNI? Buktikan. Terlibat terorisme? Buktikan. Berpotensi berbuat terorisme? Buktikan. Bersalah secara hukum? Buktikan. Begitu seharusnya negara hukum. Masalahnya, penyelenggara negeri ini sepertinya... cuma sepertinya... nggak mampu dan nggak mau.</t>
  </si>
  <si>
    <t>RT @ariel_heryanto: @freddyths Artinya ada yang salah pada asumsi ""Kalau status sudah bukan WNI . . . ."</t>
  </si>
  <si>
    <t>RT @AnakKolong___: BAJINGAN KHILAFAH &amp; "AGEN" ISIS seperti kau ini, mestinya ada diantara 600 EKS WNI PRO ISIS. Kapan kau berangkat ke Ghouta, Allepo &amp;amp; wilayah² Syiria lainnya sebagai bentuk dukunganmu kepada TERORIS ISIS &amp;amp; perlawananmu thd Assad ? | @BNPTRI</t>
  </si>
  <si>
    <t>Update di wilker KJRI GZ (15/02) per pukul 16.30, di Guangdong 1294 sakit, 2 meninggal, 397 sembuh. Di Guangxi (235,2,44), Fujian (285,0,68), Hainan (162,4,38). Tdk ada WNI jadi korban. Rasio pasien sembuh/sakit 0,270%. Terus optimis👍 #negaramelindungi #deminkri #inidiplomasi</t>
  </si>
  <si>
    <t>RT @ariel_heryanto: @freddyths "Kalau status sudah bukan WNI dan domisilinya pun di Suriah . . . ." dan tidak berniat pulang, buat apa dibahas beramai2 sampai berhari2, dan dibikin keputusan melarang mereka kembali?</t>
  </si>
  <si>
    <t>WHO pastikan WNI yang sudah dikarantina di Natuna bebas corona</t>
  </si>
  <si>
    <t>RT @Namaku_Mei: Mantap WHO puji penanganan Indonesia terhadap 238 WNI yg diobservasi</t>
  </si>
  <si>
    <t>"Ada peribahasa, kejarlah ilmu sampai ke negeri China. Saya dan keluarga sudah bilang ke Yusuf, kalau pendidikan di luar negeri harus sudah siap dengan segala risikonya," #karantina #Natuna</t>
  </si>
  <si>
    <t>@Qiran14yara Koruptor bahaya. Eks ISIS diperlukan saat invasi China.</t>
  </si>
  <si>
    <t>RT @tp_2101: Sepenggal kisah dari Wuhan dan Natuna, operasi senyap!  penggalan kisah akan corona virus wuhan dr kami WNI, pelajar Indonesia di kota Wuhan.</t>
  </si>
  <si>
    <t>Corona virus be like: "Masuk wni ribet ngurus izin nya bro.." RT @CNNIndonesia: WHO soal WNI Usai Karantina Natuna: 'They are Perfectly Fine'</t>
  </si>
  <si>
    <t>Mantap WHO puji penanganan Indonesia terhadap 238 WNI yg diobservasi</t>
  </si>
  <si>
    <t>RT @KompasTV: Detik-detik WNI Peserta Observasi Kembali Ke Jakarta</t>
  </si>
  <si>
    <t>238 Warga Negara Indonesia (WNI) yang Dievakuasi dari Wuhan Meninggalkan Natuna, Pulang</t>
  </si>
  <si>
    <t>Ratusan Warga Natuna Iringi Kepulangan WNI yang Selesai Diobservasi</t>
  </si>
  <si>
    <t>RT @okezonenews: Terima WNI Jalani Observasi, Menko PMK Berikan Penghargaan ke Tokoh dan Masyarakat Natuna #TauCepatTanpaBatas #BeritaTerkini #Berita #News #BeritaNasional .</t>
  </si>
  <si>
    <t>@CNNIndonesia Mungkin WNI yg dimaksud disini itu warga negara isis 🙃</t>
  </si>
  <si>
    <t>Ketegasan terhadap kelompok2 radikal yang sudah jelas dilarang tidak ada, ditambah lagi berwacana memulangkan eks WNI pro ISIS. 🤦‍♂️ Untung akhirnya pemerintah #TolakEksWNIproISIS</t>
  </si>
  <si>
    <t>RT @cnbcindonesia: 238 WNI Bebas Corona, Jokowi: Mari Terima dengan Ikhlas</t>
  </si>
  <si>
    <t>RT @the_magdalene: Perempuan dan anak bisa jadi terlibat dalam jaringan teroris karena ikut-ikutan sehingga posisi mereka di sana sangat rentan. Belum lagi adanya kemungkinan terjadi perdagangan manusia oleh ISIS.  - Patresia Kirnandita #terkini #ISIS</t>
  </si>
  <si>
    <t>Sejumlah warga di desa Penagi, Kabupaten Natuna, akan turut melepas kepulangan 238 WNI yang segera lepas masa karantina tersebut. #WaktunyaLokadata</t>
  </si>
  <si>
    <t>[CLEAR DAN JELAS] Menteri @KemenkesRI 1Terawan: Semua WNI Dari Wuhan Dalam Keadaan Sehat  #BersmaIndonesiaMaju #SDMUnggulIndonesiaMaju</t>
  </si>
  <si>
    <t>RT @OpsiMetroTV: Kepala BNPT: tidak ada istilah pemulangan, orang berangkat sendiri kok mesti dipulangkan. Tonton lagi #OPSIMetroTV episode Eks ISIS: yang Pergi, Perlukah Kembali? di youtube channel kami. Jangan lupa subscribe! #eksisisyangpergiperlukahkembali</t>
  </si>
  <si>
    <t>Ratusan warga Natuna melepas kepulangan 238 WNI dari Wuhan diobservasi dengan suasana haru. Padahal sebelumnya mereka menolaknya.</t>
  </si>
  <si>
    <t>Perempuan dan anak bisa jadi terlibat dalam jaringan teroris karena ikut-ikutan sehingga posisi mereka di sana sangat rentan. Belum lagi adanya kemungkinan terjadi perdagangan manusia oleh ISIS.  - Patresia Kirnandita #terkini #ISIS</t>
  </si>
  <si>
    <t>238 WNI Asal Wuhan akan Dilepas dari Natuna dengan Adat Tolak Bala</t>
  </si>
  <si>
    <t>Karantina di Natuna Berakhir, Seluruh WNI dari China Diterbangkan ke Jakarta</t>
  </si>
  <si>
    <t>RT @medcom_id: Kebahagiaan Dr. Terawaan Kepulangan WNI dari Natuna</t>
  </si>
  <si>
    <t>@BBCIndonesia Gak usah pulang cukup disana sj, itu udah resiko plihan hidup kalian. Kalo ISIS masih berjaya apakah kalian jg ada niat pulang ke Indo ? Untungnya pemerintah lebih memikirkan kenyamanan &amp; keamanan 260 Juta penduduk dibanding kalian.</t>
  </si>
  <si>
    <t>RT @KemenkesRI: #RilisSehat Observasi Berakhir Sabtu, WNI Langsung Dibawa ke Jakarta @KemenkesRI</t>
  </si>
  <si>
    <t>@BNPTRI Ini Release resmi ya Pak Kepala BNPT? 'Belum ada Keputusan Sama Sekali' Karena Statement Sebelumnya yg banyak direlease media terutama media online, Bapak selalu melontarkan pemulangan eks WNI ISIS, Mohon hati2 mengeluarkan Statement yg justru Kontraproduktif.</t>
  </si>
  <si>
    <t>@RizmaWidiono Ya karena ideologi susah untuk dirubah. Maka dari itu eks isis gak usah deh di jemput2 pulang segala. Kek gak ada kerjaan aja.</t>
  </si>
  <si>
    <t>RT @surisuriMAX: 78 WNI negatif? Rahasianya ada di tolak angin dan our magic coin duet dengan minyak gosok cap tawon balsem geliga</t>
  </si>
  <si>
    <t>@kompascom Anak WNI ??? Oi... Tuh anak teroris . Lagian kalian mau urus ?? Jangan bisanya cuman koar2 doang 🤣😁🤣</t>
  </si>
  <si>
    <t>RT @e100ss: Isak Tangis dan Senyuman Hiasi Wajah WNI yang Pulang dari Natuna</t>
  </si>
  <si>
    <t>Nasib 234 Warga Negara Indonesia (WNI) yang menjalani masa karantina, sejak kedatangannya dari kota Wuhan, Cina dua pekan silam akhirnya mendapat putusan pulang ke kampung halaman, setelah dinyatakan bersih dari…</t>
  </si>
  <si>
    <t>Pulang dari Natuna, Menkes Jadikan 238 WNI Eks-Karantina Duta Kesehatan</t>
  </si>
  <si>
    <t>@sirajapadoha @Dwiyana_DKM @RizmaWidiono @erickthohir @KemenBUMN Bukan teroris ISIS. Mereka Wahabi. Yang ngga mengatakan bahwa orang tua Rasulullah itu di neraka.</t>
  </si>
  <si>
    <t>Pasti malemnya pada minta kerok ni wni 😂 RT @CNNIndonesia: Pemerintah Jepang menyatakan sebanyak 218 penumpang kapal pesiar Diamond Princess terinfeksi virus corona. @Kemlu_RI pun menuturkan bahwa 78 orang WNI yang merupakan kru dari kapal pesiar tersebut dalam kondisi sehat dan negatif virus corona.  #CNNIndonesia</t>
  </si>
  <si>
    <t>Masyarakat Tak Perlu Mengkhawatirkan Pemulangan 285 WNI</t>
  </si>
  <si>
    <t>kadrun penipu merusak kedamaian nkri, kadrun representasi dari isis dan hti#PresidenGakMutu</t>
  </si>
  <si>
    <t>Dipulangkan, WNI di Karantina Natuna Nyanyi 'Gelang Si Paku Gelang'</t>
  </si>
  <si>
    <t>@iamS_Priya Are par didi issae fact change thodi hoe jayega ki rss bhi isis ki tarah bomb fodti hai hah ?</t>
  </si>
  <si>
    <t>RT @katamereka7: mantap ini kebijakan pemerintah tidak memulangkan eks ISIS #saveindonesia #IndonesiaSatu #TanteMirna</t>
  </si>
  <si>
    <t>@kurawa Wahai dewa kucing, semoga coco cepat diberikan jodoh, berikanlah coco kucing betina, soleha (bukan ex isis), sexy&amp;ranum yang siap dibuahi agar dapat menghasilkan keturunan kucing kucing unggul yang selalu merepotkan hoomannya. Amin #Coco #bbs</t>
  </si>
  <si>
    <t>Trus ini ditulis pake bahasa apa? Penulisnya bukan WNI? Badut.  RT @the_magdalene: Our society doesn’t seem to value the Indonesian language much. They think science, math, and foreign languages are far more important than their own.</t>
  </si>
  <si>
    <t>RT @Bisniscom: Virus Corona, Isak Tangis Warnai Pelepasan WNI dari Wuhan di Natuna</t>
  </si>
  <si>
    <t>Siapa yang berhak cabut kewarganegaraan WNI eks ISIS? Ini kata ahli hukum #EksISISyangPergiPerlukahKembali #WNIEksISIS</t>
  </si>
  <si>
    <t>Siap Tampung ISIS, Eks Presiden ISIS: HOAKS Tidak Benar Mereka Ingin Pulang</t>
  </si>
  <si>
    <t>@detikcom Orang ini patut diduga ada kerja sama dg anggota ISIS</t>
  </si>
  <si>
    <t>Sesama WNI harus menerima WNI RT @KontanNews: Presiden Jokowi meminta masyarakat dapat menerima WNI dari Wuhan  #VirusCorona</t>
  </si>
  <si>
    <t>RT @Robert__Moses: #AwasHTImasihEksis Jika aparat ASN di duga terlibat atau bagian dari HTI apalagi ISIS Tdk perlu lagi nego sana sini Pecat dgn tidak hormat !!! Jgn menjadi duri dlm daging kerja di pemerintahan tp di hati nya bertentangan dgn pemerintah... Bahkan membanggakan HTI 😠😠😠 Hajar !!</t>
  </si>
  <si>
    <t>Eks isis misal kabur satu atau dua hari dah ketakep Koruptor mah hilang gak bakal ketemu RT @Qiran14yara: Eks ISIS Dan Koruptor, Bahaya Mana? *Yang lbh berbahaya, bila hukum tdk bisa ditegakkan dg adil Kalo mnrt netizen?</t>
  </si>
  <si>
    <t>RT @salahsambungya: Ngeyel ya pemerintah. Mau mulangin anak EKS WNI Pro ISIS yang dibawah 10 tahun. Trus emaknya ikut gitu?</t>
  </si>
  <si>
    <t>@detikcom Headline yang salah bisa jadi provokator. Yang benar ISIS eks Warga Nrgara Indonesia (WNI) Jangan dibolak balik ya</t>
  </si>
  <si>
    <t>@ijasikka Ben isis. Tapi kok yo cocok loh dipake pil 😭</t>
  </si>
  <si>
    <t>Terharu liat berita WNI selesai karantina di Natuna hasilnya negatif dan akhirnya mereka bisa balik ke rumah masing2😭</t>
  </si>
  <si>
    <t>Menkes bersama Menko PMK, Kepala BNPB, perwakilan KSP, perwakilan Kominfo &amp; perwakilan WHO tiba di Lanud Raden Sadjad utk menjemput 238 WNI dari Wuhan, Tiongkok yg sdh menyelesaikan masa observasi slm 14 hari di Natuna, Sabtu (15/2). #20thElshintaNewsAndTalk #MudahinAja</t>
  </si>
  <si>
    <t>Isak Tangis dan Senyuman Hiasi Wajah WNI yang Pulang dari Natuna</t>
  </si>
  <si>
    <t>@AhlulQohwah @WagimanDeep @TyasZain @narkosun @arifbsantoso @amrudinnejad_ @rizieqdivist @1504ers @DjanChoek @Hanifah933 @JoniSukaPaha forum isis itu mah</t>
  </si>
  <si>
    <t>300 Hari di Bumi Syam - Perjalanan Seorang mantan Pengikut ISIS Penulis: Febri Ramdani Penerbit: Milenia Ukuran: 16 x 23 cm Tebal: 392 hlm ISBN: 9786239164836 Harga: 100.000 Goods id: HAY200607 To be honest,saya…</t>
  </si>
  <si>
    <t>@tsanirozak Kemaren presiden sudah tegas pakai "ISIS eks WNI" tapi media-media lebih banyak yang pakai "WNI eks ISIS". Sekarang kita sedikit tahu kemana media berpihak.</t>
  </si>
  <si>
    <t>DPR Imbau Masyarakat Terima WNI yang Telah Diobservasi</t>
  </si>
  <si>
    <t>Terharu sih nonton pemulangan wni dari natuna</t>
  </si>
  <si>
    <t>RT @OfficialiNewsTV: Ratusan Warga Natuna Iringi Kepulangan WNI yang Selesai Diobservasi</t>
  </si>
  <si>
    <t>RT @HoofdbureauID: Hal yg harus dihindari dan jangan sampai terjadi adalah : jangan bully mereka para WNI yg telah dinyatakan sehat dari virus Corona oleh pemerintah RI Kita tidak pernah tau perasaan mereka saat di Wuhan dan Natura kemarin. Mboh maneh lek cocot’e tonggo luwih ndobos biasane 😏</t>
  </si>
  <si>
    <t>Hal yg harus dihindari dan jangan sampai terjadi adalah : jangan bully mereka para WNI yg telah dinyatakan sehat dari virus Corona oleh pemerintah RI Kita tidak pernah tau perasaan mereka saat di Wuhan dan Natura kemarin. Mboh maneh lek cocot’e tonggo luwih ndobos biasane 😏</t>
  </si>
  <si>
    <t>@BBCIndonesia Kalau ISIS menang, gk mungkin ada video dan berita ini</t>
  </si>
  <si>
    <t>@detikcom jangan sampai ISIS tumbuh di indonesia</t>
  </si>
  <si>
    <t>susis suami sindikat isis</t>
  </si>
  <si>
    <t>RT @sirajapadoha: @Dwiyana_DKM @RizmaWidiono @erickthohir @KemenBUMN Penceramahnya ustdz2 pendukung teroris ISIS #AwasHTImasihEksis #AwasHTImasihEksis</t>
  </si>
  <si>
    <t>@Apriil68 Setuju faham mereka mirip dengan ISIS #AwasHTImasihEksis #AwasHTImasihEksis</t>
  </si>
  <si>
    <t>Eks ISIS Dan Koruptor, Bahaya Mana?</t>
  </si>
  <si>
    <t>Heh, sudah dibilang terbalik. Itu anggota isis eks WNI. RT @BBCIndonesia: [Terpopuler] Warga Indonesia eks ISIS berharap pulang. "Jika pemerintah Indonesia bisa melakukannya, saya ingin mereka membawa pulang kami dan membawa ayah dan saudara saya. Kami semua,” katanya. Baca wawancara panjang dengan Nada Fedulla di sini:</t>
  </si>
  <si>
    <t>Sebanyak 238 Warga Negara Indonesia yang telah diobservasi selama 14 hari di Natuna, Kepulauan Riau, karena virus wabah korona akan kembali ke kampung halamannya masing-masing. Nantinya, mereka akan dilepas dengan upacara adat Melayu yaitu tepung mawar.</t>
  </si>
  <si>
    <t>@detikcom @makLambeTurah Wait, ini orang isis kok bebas hidup di indo?</t>
  </si>
  <si>
    <t>RT @mediaindonesia: Kepulangan WNI di Natuna Diwarnai Tangis Kebahagiaan</t>
  </si>
  <si>
    <t>@CNNIndonesia Ralat -ISIS EX WNI..</t>
  </si>
  <si>
    <t>Hamid mengajak WNI dari Wuhan untuk kembali ke Natuna dalam kesempatan lain, menikmati Natuna yang sebenarnya. "Nanti datang lagi melihat objek pariwisata yang ada di Natuna," kata dia. Baca di  #CoronavirusOutbreak #Natuna #sabtuambyar</t>
  </si>
  <si>
    <t>@detikcom Bayangpun..jika 600++ ISIS eks WNI jadi dtampung di Indonesia. 1 orang berani nampung 600. 600 orang bakal nampung berapa?</t>
  </si>
  <si>
    <t>RT @_aLLhibah: @Bangzul__88 @kemkominfo Bersihkan Indonesia dari ideologi ISIS. #AwasHTImasihEksis</t>
  </si>
  <si>
    <t>Presiden Jokowi Himbau Kepada Masyarakat Agar Terima WNI dari Natuna</t>
  </si>
  <si>
    <t>#Nasional WNI yang Diobservasi di Natuna Diterbangkan ke Halim Perdanakusuma</t>
  </si>
  <si>
    <t>RT @kesatu_co: “Dlm kelakarnya, Menko Perekonomian Airlangga bilang, Krn perizinan di Indonesia ber-belit2 maka virus corona tak bs masuk. Tp omnibus law ttg perizinan lapangan kerja jalan trs,” tulis Mahfud MD. #CoronavirusOutbreak @mohmahfudmd @airlangga_hrt</t>
  </si>
  <si>
    <t>Yang berbahaya itu ketidakadilan dan dendam, ketidakadilan memunculkan tirani sedangkan dendam memunculkan permusuhan. Tapi koruptor merenggut kisi kehidupan bangsa. Eks ISIS Dan Koruptor, Bahaya Mana?</t>
  </si>
  <si>
    <t>Beberapa rekan media sudah jemput bola liputan ke pihak keluarga. Semoga bisa meredakan kekhawatiran di masyarakat atas dampak sebaran Corona tsb dan WNI yg pulang bisa diterima kembali di tengah masyarakat</t>
  </si>
  <si>
    <t>RT @Metro_TV: #BreakingNewsMetroTV - WNI yang Diobservasi Di Natuna Berkemas Jelang Kepulangan Ke Daerah Asal. Live streaming di</t>
  </si>
  <si>
    <t>RT @antaranews: "Jadi jaga kesehatan kalian semua, terus olahraganya, yang ringan-ringan saja yang penting bisa tetap bergerak. Makan yang gizi cukup supaya tetap sehat. Jangan lupa minum jamu," kata Menkes di Natuna</t>
  </si>
  <si>
    <t>RT @Adot1998: ISIS faktanya Buatan USS dan YAHUDI Disini Masih Aja Bisnis ISIS KAPAN MAJUNYA NEGARA INI</t>
  </si>
  <si>
    <t>Ribka Minta WNI Asal Wuhan Tidak Didiskriminasi  #pdiperjuangan</t>
  </si>
  <si>
    <t>Kepulangan WNI dari Natuna di saksikan perwakilan pihak WHO dan pihak WHO sangat mengapresiasi pemerintah Indonesia dalam menangani WNI dari menjemput, mensterilisasi, observasi, dan pemulangan WNI ♥️ Thank you so much buat semua pihak ♥️ have fun with your family guys ♥️</t>
  </si>
  <si>
    <t>@black__valley1 Awas bahaya tangkap aja yg pake jilbab hitam engga sopan gaya ISIS</t>
  </si>
  <si>
    <t>Ya kalo organisasi harusnya IOIS bukan ISIS RT @OpsiMetroTV: Ketua Komnas HAM: ISIS itu bukan negara, ISIS adalah organisasi teroris. Tonton lagi #OPSIMetroTV episode Eks ISIS: yang Pergi, Perlukah Kembali? di youtube channel kami. Jangan lupa subscribe! #eksisisyangpergiperlukahkembali</t>
  </si>
  <si>
    <t>@susno2g WNI terduga ISIS</t>
  </si>
  <si>
    <t>Warganet Merinding Lihat Pemulangan WNI dari Natuna #TauCepatTanpaBatas #Techno #Tekno #BeritaTekno #Tech .</t>
  </si>
  <si>
    <t>Setelah menjalankan proses observasi selama 2 minggu, akhirnya sebanyak 243 WNI yang pulang dari Wuhan, China bisa meninggalkan Natuna.</t>
  </si>
  <si>
    <t>Kebahagiaan Dr. Terawaan Kepulangan WNI dari Natuna</t>
  </si>
  <si>
    <t>RT @HoofdbureauID: Beberapa WNI asal Jawa Timur yg akan dipulangkan dari Natuna merupakan mahasiswa/i yg sedang belajar di Wuhan, sebagian besar program bea siswa dari kampusnya Adakah dari mereka itu temanmu ?</t>
  </si>
  <si>
    <t>RT @HoofdbureauID: Menteri Kesehatan terlihat sangat bahagia setelah WNI yg diobservasi di Natuna dinyatakan sehat dan bebas dari Virus Corona Kebahagiaan itu tentunya juga dirasakan WNI yg akan dipulangkan hari ini ke kampung halamannya. Terimalah mereka di tengah keluarganya, jangan dikucilkan</t>
  </si>
  <si>
    <t>238 WNI Bersih dari Corona Usai Observasi 14 Hari di Natuna</t>
  </si>
  <si>
    <t>Presiden Tegaskan Pemerintah Tidak Berencana Pulangkan ISIS Eks-WNI</t>
  </si>
  <si>
    <t>@Dwiyana_DKM @erickthohir @KemenBUMN Setahu saya, beliau2 ini bukan HTI apalagi pendukung ISIS.</t>
  </si>
  <si>
    <t>RT @geloraco: Debat Soal WNI Eks ISIS, Gayus Lumbuun Sebut Ngabalin Bodoh</t>
  </si>
  <si>
    <t>RT @kompasiana: Pulang dari Natuna,WNI Observasi Corona Siap-Siap Hadapi Ini</t>
  </si>
  <si>
    <t>Anggota DPR dukung pemerintah identifikasi anak WNI eks ISIS</t>
  </si>
  <si>
    <t>@ainkuy Open minded open minded teuing mah jadi ISIS siah</t>
  </si>
  <si>
    <t>@ovick2000 @SahabatSaber Presiden isis itu pemilunya gimana yak? Apa cap cip cup gitu milihnya? Suweeekkkk</t>
  </si>
  <si>
    <t>RT @prisma93246654: Bhw ISIS adlh Produk Amerika Benar Ada nya Bhw Pemimpin ISIS adalah Agen Mosad Israel, jg Benar Org Malaysia : Dah lame dah, kite tau...., Pemerintah Indon aje yg Sebuk dgn ISAS..ISIS... #AgamaMusuhPKI #AgamaMusuhPKI</t>
  </si>
  <si>
    <t>Pulang dari Natuna,WNI Observasi Corona Siap-Siap Hadapi Ini</t>
  </si>
  <si>
    <t>WNI di Natuna Selesai Observasi Sabtu, Akan Dibawa Pesawat TNI AU ke Jakarta -</t>
  </si>
  <si>
    <t>@fadjarzcrackerz @YudhaRacana @el_kaezzar @Chris17147695 @frsfauzan @Uki23 @MsyTownsend @jisauya @sandalista1789 Situ Baru jadi WNI</t>
  </si>
  <si>
    <t>DPR Minta Masyarakat Tak Berikan Stigma Negatif kepada WNI yang Diobservasi | Nasional -</t>
  </si>
  <si>
    <t>@detikcom Orang ini sudah jelas isis kog bisa bebas ???</t>
  </si>
  <si>
    <t>Nonton di TV pemulangan WNI yang diobservasi di Natuna kok aku jadi ikutan sedih ya, kebersamaan selama 2 minggu + jauh dari keluarga + terisolasi dan skg mereka pulang ke daerah masing-masing.. jadi ikutan bahagia 🥺😭☺️🥳</t>
  </si>
  <si>
    <t>@AhlulQohwah @KPAI_official @TyasZain @WagimanDeep @narkosun @JoniSukaPaha @KPAI_official mah diem diem bae kalo gini, gak ada duitnya. Beda kalo anak2 isis eks wni, ngebet banget, krn ada duitnya.</t>
  </si>
  <si>
    <t>14 Hari Observasi Korona di Natuna Selesai, WNI Dilepas Doa Tepung Tawar</t>
  </si>
  <si>
    <t>@Ja2nd @yusuf_dumdum @UllbimaNtb @aniesbaswedan @ganjarpranowo Lebih sesat pengaruh Isis</t>
  </si>
  <si>
    <t>Mereka menerima apa Yang mereka buat! Tolak ISIS #AwasAntek2ISIS #TolakEksWNIproISIS #tolakisis</t>
  </si>
  <si>
    <t>@detikcom Lahh ni si kakek masih berkomunikasi dengan ISIS ? Harus di tindak nihh sama kepolisian. Iyo mbah di sana hidup mewah, uang melimpah tapi dari hasil kebiadapan. Sholat ibadahmu rak kanggo nek ceritane ngono !</t>
  </si>
  <si>
    <t>RT @l07_te: Khilafah No, NKRI Yes!!! Yukk bantu pulihkan toleransi NKRI kita ini dengan waspadai propaganda mereka yg ngaku WNI tp alumni HTI.... 🤗 #AwasHTImasihEksis #AwasHTImasihEksis</t>
  </si>
  <si>
    <t>Kalau WNA nya Darah Pribumi ya tangung jawab kita harus urus kalau WNI tidal berdarah Bumi pulang kan kenegara asal mereka . @DivHumas_Polri @Puspen_TNI</t>
  </si>
  <si>
    <t>RT @MarikaRahman_: Persiapan pulang kampung bertemu keluarga tercinta... Karantina Kesehatan WNI dari Epicentrum #COVID19 hubei wuhan hari ini berakhir... Terimakasih Warga Natuna Apakah itu karantina kesehatan? Silahkan baca UU Karantina Medis UU No.6 tajun 2018.</t>
  </si>
  <si>
    <t>WNI di Natuna Aman dan Tak Terpapar Virus Korona</t>
  </si>
  <si>
    <t>Selamat jalan WNI yg diobservasi di Natuna selama 14 hari menuju HALIM Perdanakusuma</t>
  </si>
  <si>
    <t>Selamat ya adek2. Kalian masih muda, tapi tahu berterima kasih dan bersyukur. Budaya Indonesia yang asli tuh gini kok Beda ya sama yg ikutan ISIS sana, udah bakar paspor, ngatain pemerintahan thogut, eh merasa negara mengabaikan mereka ngga pernah ditengok. ke laut aja sana</t>
  </si>
  <si>
    <t>RT @kompascom: 237 WNI dan satu WNA yang diobservasi di Kabupaten Natuna, usai dievakuasi dari lokasi terdampak virus corona akan dipulangkan ke Jakarta, hari ini, Sabtu (15/2/2020) - #BreakingNews #Nasional</t>
  </si>
  <si>
    <t>Di Awal Sempat Menolak, Warga Natuna Antusias Menyemarakkan Pelepasan WNI dari Wuhan ke Daerah Asal</t>
  </si>
  <si>
    <t>Sebanyak 238 WNI di Natuna akan dipulangkan, Perindo : Tak ada yang perlu ditakutkan.  | Ketum Partai Perindo @Hary_Tanoe</t>
  </si>
  <si>
    <t>Cirambay.. terharu liat pemulangan WNI yg selesai observasi &amp; karantina di Natuna. Kebayang gak sih jd mereka terharunya dan leganya kaya apa. Alhamdulillah semuanya sehat &amp;amp; bisa segera pulang ketemu keluarganya masing2. Ikut seneng💜</t>
  </si>
  <si>
    <t>@detikcom WNI eks ISIS lho yg ditampung.. Bukan eks WNI eks ISIS.🤣</t>
  </si>
  <si>
    <t>Alasan Jokowi menolak memulangkan Eks Isis karena ingin melindungi 260 juta rakyat indonesia. Lebih dari 500 org meninggal disaat pemilu dan puluhan org meninggal saat demo ..anda kemana pak? Puluhan org dibantai di papua..anda kemana??</t>
  </si>
  <si>
    <t>@arre13arie @mohmahfudmd yg di karimun itu WNI, tp kelas 2</t>
  </si>
  <si>
    <t>RT @kafiradikal: ...Delegasi Taliban diterima oleh Wapresnya Jokowi, Yog. Ideologi ISIS ya saudara sekandung dengan Taliban? (``,)</t>
  </si>
  <si>
    <t>Nontonin pelepasan WNI di Natuna, eh w malah mewek</t>
  </si>
  <si>
    <t>RT @IMulya77: @AnakKolong___ @mohmahfudmd @Kemdikbud_RI Ini keahlian mrk membenturkan segala sesuatu dgn Agama.. Ini Indonesia bkn Negara konflik,Jgn diobok-obok lg tatanan di Negeri ini,kalau mau jihad silahkan gabung ISIS &amp; tinggalkan Indonesia Kita yg di Indonesia pgn hidup damai tanpa bacot2 provokator..</t>
  </si>
  <si>
    <t>@detikcom Demi keamanan dn kedaulatan negara Indonesia sudahkah orang ini diintrogasi oleh aparat penegak hukum? Kalau lihat gayanya masih CENDERUNG BANGGA BANGET SAMA ISIS..? Coba colek @Puspen_TNI @DivHumas_Polri @BIN_Official @jokowi Tak lupa colek juga pak Kyai Prof @mohmahfudmd</t>
  </si>
  <si>
    <t>#BreakingNewsMetroTV laporan Yusrin Zata dari lanud Raden Sadjad Natuna, ada tiga pesawat yang disiapkan untuk membawa WNI peserta observasi dari Natuna ke Jakarta yaitu dua pesawat Boeing 737 dan Hercules. #viruscorona Live streaming:</t>
  </si>
  <si>
    <t>RT @DuniaSekejap: Ya Allah pak 🤔 Jangan takabur gitu 😥 Jabatan ngga di bawa mati 😢 Alhamdulillah jika 243 wni bersih dari corona. Bukan berarti NKRI sudah bebas corona.</t>
  </si>
  <si>
    <t>RT @RadioElshinta: Menkes bersama Menko PMK, Kepala BNPB, perwakilan KSP, perwakilan Kominfo &amp; perwakilan WHO di Indonesia tiba di Lanud Raden Sadjad untuk menjemput para WNI Wuhan yg sudah menyelesaikan masa observasi selama 14 hari di Natuna (15/2). via @KemenkesRI</t>
  </si>
  <si>
    <t>Pimpinan MPR: Anak-anak Eks Anggota ISIS Patut Dipertimbangkan untuk Dipulangkan</t>
  </si>
  <si>
    <t>Lulus Protokol Kesehatan, WNI dari Wuhan Harus Diterima  #pdiperjuangan</t>
  </si>
  <si>
    <t>TV Kadrun gak mau menayangkan prosesi pemulangan WNI dr Wuhan yg selesai observasi di Natuna</t>
  </si>
  <si>
    <t>RT @CNNIDdaily: #BreakingNews Perwakilan WHO di Indonesia, Dr N. Paranietharan menyatakan, semua WNI dalam kondisi sehat dan aman untuk kembali ke daerahnya masing-masing. Ia juga meyakinkan untuk seluruh masyarakat bahwa harus menerima karena kondisi mereka sehat.</t>
  </si>
  <si>
    <t>@MichelAdamSS @DayatPondok @PutiLenggoGenni @4smara1701 @satuyangtakbisa @jaramanee @minang_parewa @mahabaratha2019 @AriePrabu6 @hairunisah20 @DeffiMasrizal_1 @zidanedjunior @NongNayara @SisiLusipara @Anak_Garundang7 @cinnamon_irish "Ide-ide ekstremisme, radikalisme, dan terorisme...tak ada hubungannya dengan Islam. Dan (pendukung mereka) adalah musuh nomor satu Islam,"</t>
  </si>
  <si>
    <t>Menkes Minta Dinkes Tetap Pantau WNI dari Natuna | #indonesia #viral &gt;&amp;gt;&amp;gt; Click</t>
  </si>
  <si>
    <t>@ekosaktia @DayatPondok @CCICPolri "Ide-ide ekstremisme, radikalisme, dan terorisme...tak ada hubungannya dengan Islam. Dan (pendukung mereka) adalah musuh nomor satu Islam,"</t>
  </si>
  <si>
    <t>#BreakingNewsMetroTV - Rombongan Menko PMK, Menkes dan Kepala BNPB Tiba di Natuna. Dapatkan informasi selengkapnya terkait pemulangan WNI yang sudah diobservasi selama 14 hari di Natuna dalam</t>
  </si>
  <si>
    <t>@dusrimulya @mohmahfudmd "Ide-ide ekstremisme, radikalisme, dan terorisme...tak ada hubungannya dengan Islam. Dan (pendukung mereka) adalah musuh nomor satu Islam,"</t>
  </si>
  <si>
    <t>@detikcom Wis tuwek( geus kolot), maklumi aja klu otaknya gk normal. Klu mantan isis gk pulang ya alhamdulillah,pemerintah gk perlu repot dan dipersalahkan. Kolot ka poek otaknya perlu direnovasi</t>
  </si>
  <si>
    <t>ISIS itu Rekaan untuk mengumpulkan para Radikal dengan teori "Sarang Lebah". Harusnya semua sadar bahwa semua itu Palsu dan kembali beragama dengan bener. RT @detikcom: Eks Presiden ISIS Regional Indonesia Chep Hernawan siap menampung Warga Negara Indonesia (WNI) eks ISIS yang benar-benar ingin pulang ke Tanah Air.</t>
  </si>
  <si>
    <t>@mohmahfudmd "Ide-ide ekstremisme, radikalisme, dan terorisme...tak ada hubungannya dengan Islam. Dan (pendukung mereka) adalah musuh nomor satu Islam,"</t>
  </si>
  <si>
    <t>RT @0j0093: Tegur in public: kenapa buka aib?!! Tegur in DMs: *screenshot* tengoklah si bodoh ni!! Tegur politely &amp; ajak berjumpa: kau siapa setan nak tegur aku. tak payah acah lah dai wan!!! babi!! Tegur kasar: tegur kasar and sindir doesn't work for me. sorry. In conclusion, butoh.</t>
  </si>
  <si>
    <t>RT @zarazettirazr: Jadi gimana apa @BPIPRI bisa menjelaskan mana yg benar WNI eks ISIS atau... ISIS eks WNI? Agar diseragamkan istilahnya sehingga berita2 komentar2 tidak membingungkan. EDUKASI lah RAKYAT sesuai fungsimu sebagai Badan Pembinaan Ideologi Pancasila</t>
  </si>
  <si>
    <t>2011 Toyota Isis For Sale in #Jamaica #usedcar #carforsale</t>
  </si>
  <si>
    <t>RT @Boemi_Pertiwi12: BENER ATAU NGGAK YAA. ... DITOLAK PEMERINTAH, TERNYATA WNI EKS ISIS SEJAHTERA &amp; TAK MAU PULANG. KEBENERAN NICH. .. 😁😁😁 Ditolak Pemerintah, Ternyata WNI Eks ISIS Sejahtera dan Tak Mau Pulang</t>
  </si>
  <si>
    <t>Penolakan Anggota ISIS adalah Bukti Indonesia Serius Perangi Teroris. #IndonesiaTolakISIS</t>
  </si>
  <si>
    <t>@geloraco Wah penghasilan besar. Lumayan lah, tapi mudahan2 bisa berubah dengan lebih baik lagi jangan mau jadi Isis. Akan adaa saatnya berperang sama dajjal kok</t>
  </si>
  <si>
    <t>@wahhabicc_jabar @KPAI_official Cari panggung kok yg dibahas anak2 ISIS @KPAI_official salah kaprah.... Pikirin juga keselamatan jutaan anak yg cinta negeri ini....</t>
  </si>
  <si>
    <t>@detikcom makin goks aje nih isis pake eks presiden segala 😬</t>
  </si>
  <si>
    <t>RT @kurawa: Pemerintah sibuk urusin pemulangan ex WNI combatan ISIS ke wilayah NKRI yang kondisi warganya sangat memprihatinkan dengan kekosongan Ideologi. Pendidikan ideologi anak2 lebih populer dengan cerita guru atau murid yang digebukin dan viral.</t>
  </si>
  <si>
    <t>#IndonesiaTolakISIS Pelarangan warga negara Indonesia eks ISIS untuk kembali ke Indonesia lebih pada pendekatan keamanan (security approach).</t>
  </si>
  <si>
    <t>Ngeliat berita WNI yang lagi diobservasi alhamdulillah sehat semua dan siap dipulangin. Terharu banget liat beritanya.</t>
  </si>
  <si>
    <t>Juru Bicara Presiden Joko Widodo (Jokowi), Fadjroel Rachman mengatakan, pemerintah menyampaikan terima kasih kepada masyarakat Natuna yang telah menjadi tuan rumah bagi WNI dari China untuk menjalani transit observasi.</t>
  </si>
  <si>
    <t>Pemerintah Indonesia hari ini Memulangkan 238 WNI yang Sempat diobservasi di Natuna, Kepulauan Riau. Perwakilan World Health Organizastion (WHO) di Indonesia N Paranietharan Memastikan Ratusan Warga dalam Keadaan Sehat dan tidak ditemukan indikasi Virus Corona.</t>
  </si>
  <si>
    <t>Alhamdulillah WNI dari wuhan yang karantina di natuna semua negatif.. Semoga negara kita dijauhin dari virus2. Amiin</t>
  </si>
  <si>
    <t>Kepulangan 238 WNI yang diobservasi di Natuna menunggu rapat antar pihak terkait #AwasHTImasihEksis</t>
  </si>
  <si>
    <t>makin susah cari kerja buat wni, udah dpt kerja gaji terancam lebih kecil, cuti ibadah hilang, dan lembur tak berbayar..... bingung ama hidup RT @hrdbacot: Draft omnibus law udah ada yah katanya? Coba sini diskusi di reply, pasal yg menurut kalian mengancam hak pekerja, Bahas yang terkait revisi UU Ketenagakerjaan dan Peraturan turunannya ajah ya. Kalo trid ini sepi berati banyak pekerja yang g peduli nasibnya sendiri, wkwk.</t>
  </si>
  <si>
    <t>@Jean_Aprilia97 mudahkah mereka yaa robb...sebagian mereka khilaf tertipu ISIS..sebagian lagi tak tau apa-apa..</t>
  </si>
  <si>
    <t>RT @vivanewscom: Cerita WNI Selama Obeservasi di Natuna karena Virus Corona  #vivanews</t>
  </si>
  <si>
    <t>@KBRITokyo Ada yg minta tolak angin selain WNI?</t>
  </si>
  <si>
    <t>Presiden Regional Indonesia Isis. Bukannya Isis ngga punya negara? Tapi punya Regional… 660 orang masuk Indonesia dan darahnya pembunuh. Hahahahaha RT @detikcom: Chep Hernawan buka suara soal perdebatan kepulangan WNI eks ISIS. Eks Presiden Regional Indonesia ISIS ini membuat pernyataan kontroversial.</t>
  </si>
  <si>
    <t>Cerita WNI Selama Obeservasi di Natuna karena Virus Corona  #vivanews</t>
  </si>
  <si>
    <t>EH EH... gini ya. Jumlah WNI kan 260 Juta lebih.. Nah, kalo misal. Per kepala Nyumbangin Uangnya Rp. 1,. Rupiah PER KEPALA buat gw. Pasti bakal terkumpul uang 260 juta rupiah buat gw... iya kan... :(</t>
  </si>
  <si>
    <t>238 WNI Dipulangkan dari Natuna, Kemenkes Pastikan Negatif Virus Korona</t>
  </si>
  <si>
    <t>@Being_Wendigo1 Ek ne Isis ko khatam kya jiski us me bnya or dusra on camera Isis ko dhamki deta h bro or leader me dam h to btao proof kro k me galat hu</t>
  </si>
  <si>
    <t>@berlianidris @jokowi Dok, gw nanya seriusan soal covid-19. Apa mungkin darah WNI bisa jadi anti Virus 🤔</t>
  </si>
  <si>
    <t>RT @ichsandika: Gw ga ngerti jalan otaknya org yg ngasi WN ISIS pulang. Ama PKI benci bener, ampe nuduh2 ga jelas. Giliran sm yg jelas2 inisiatif sendiri, gembar gembor pas brgkt, skrg nangis bombay minta ditampung. Najis</t>
  </si>
  <si>
    <t>tolak eks isis. akademisi: pemerintah serius perangi teroris. #IndonesiaTolakISIS</t>
  </si>
  <si>
    <t>Akademisi dari Universitas Muhammadiyah Kupang. Ahmad Atang menilai Keputusan pemerintah untuk menolak kembalinya mantan anggota ISIS menunjukkan bahwa Indonesia sangat serius memerangi terorisme. #IndonesiaTolakISIS</t>
  </si>
  <si>
    <t>@KakekHalal @KatolikG @jokowi @RomeskoP Doakan biar hancur sekalian, datangkan sampah2 isis itu kesini agar meluluh lantakkan mereka juga, jangan hanya minoritas korban kebiadaban.</t>
  </si>
  <si>
    <t>@detikcom pak....pergi dri Indonesia aj gabung sma isis ex wni ...jgan Indonesia djadikan rusuh</t>
  </si>
  <si>
    <t>WNI di Natuna Pulang Besok, Jokowi Minta Warga Tak Takut</t>
  </si>
  <si>
    <t>@tempodotco @ulil Membahas Warga Isis bahasan sampah, manusia sampah seperti itu ga ada gunanya untuk indonesia, klopun mau dipulangkan nanti jadi teroris juga, tapi klo Ulil mau di bom sama warga isis sulahkan dibela.</t>
  </si>
  <si>
    <t>lagi nonton liputan yg wni diobservasi di tempat tni jadi inget pas pendikar... tinggal di barak terus ngapa2in harus tepat waktu, makan harus abis, gaboleh takut kotor👍</t>
  </si>
  <si>
    <t>Menteri Kesehatan (Menkes) Terawan Agus Putranto dan Kepala Badan Nasional Penanggulangan Bencana (BNPB) Doni Monardo berangkat dari Jakarta menuju Kepulauan Natuna, Provinsi Riau, Sabtu (15/2/2020) pagi.</t>
  </si>
  <si>
    <t>Denger berita ratusan WNI dinyatakan selesai masa observasinya atau dinyatakan bersih tuh seneng bgt dengernya. Emang daebak orang indonesia.</t>
  </si>
  <si>
    <t>akademisi : menolak anggota isis bukti indonesia serius perangi teroris. #IndonesiaTolakISIS</t>
  </si>
  <si>
    <t>WNI eks Wuhan Pulang dari Karantina Corona di Natuna Naik Pesawat TNI</t>
  </si>
  <si>
    <t>RT @and_reavie: Mohon 1000 RT gaes.. 🙏 Mari DUKUNG Jokowi yg TIDAK SETUJU Pulangkan WNI Eks ISIS ke Indonesia Jokowi: "Kalau bertanya kepada saya (sekarang), SAYA AKAN BILANG TIDAK!!! Mari #TolakEksWNIproISIS #TolakEksWNIproISIS cc @jokowi @PolhukamRI @mohmahfudmd @kemendagri @Kemenag_RI</t>
  </si>
  <si>
    <t>Sebelum dibawa ke Jakarta, akan ada serangkaian kegiatan yang akan dilakukan para peserta observasi dan kru kesehatan.</t>
  </si>
  <si>
    <t>list anggota isis yg minta dipulangkan RT @raisyaardn: kalian pilih yg mana?😂 *cakep semuaa euyy😭😭</t>
  </si>
  <si>
    <t>RT @Jean_Aprilia97: Tidak sesuai Realita. Fokus kerja tapi ekonomi nyungsep dan mentok di 5%.korupsi meroket Tdk ada pelanggaran HAM tp eks isis ditolak,puluhan org meninggal saat demonstrasi. Islam sejalan dgn demokrasi tp dtduh radikal. Tdk ada politik dinasty..tapi ikut menikmatinya.</t>
  </si>
  <si>
    <t>RT @BNPB_Indonesia: Pukul 08.00 WIB, rombongan Take Off dari Bandar Udara Halim Perdanakusuma, dgn Pesawat Pelita Air ATR42-500, PK-PAX ke Natuna. Rombongan akan melepas pemulangan WNI yang akan diawali dengan pemberian arahan dari Menko PMK, Menkes &amp; Kepala BNPB. #PBUrusanBersama #CoronaVirus</t>
  </si>
  <si>
    <t>Jangan Pernah Lengah...! HTI Masih Gentayangan disekitar kita. Pentolan2 HTI masih bebas sebarkan ideologi di masjid2 dan mimbar ceramah. Bom masih menyalak Densus 88 masih sibuk buru teroris. Mereka msh berusaha pulangin Ex WNI ISIS #AwasHTImasihEksis</t>
  </si>
  <si>
    <t>RT @anthohar: @syiahgl @BakarSmith Koq Komnas HAM ngga ngurusin yang ini aja, ngga usah ISIS</t>
  </si>
  <si>
    <t>RT @ThePowerOfindo1: #IndonesiaTolakISIS Pelarangan warga negara Indonesia eks ISIS untuk kembali ke Indonesia lebih pada pendekatan keamanan (security approach).</t>
  </si>
  <si>
    <t>RT @danielht2009: Anak2 ISIS eks-WNI seperti ini yg sedang diperjuangkan @KomnasHAM, Din Syamsuddin cs untuk dipulangkan kembali ke Indonesia?!</t>
  </si>
  <si>
    <t>@YuliEndah3 Tolak ISIS DAN HTI #AwasHTImasihEksis #AwasHTImasihEksis</t>
  </si>
  <si>
    <t>@tetrahedralxx @sayangkuuwu mau perang ke isis</t>
  </si>
  <si>
    <t>RT @IdamanNegri: pulangkan wni pro isis. indonesia serius perangi terorisme. #IndonesiaTolakISIS</t>
  </si>
  <si>
    <t>🇮🇩Tagar Rakyat hari ini🇮🇩 #AwasHTImasihEksis Meski ISIS hancur, ideologi khilafah &amp; kekerasan yang selama ini diusung harus diwaspadai. Apalagi, ideologi itu sudah banyak menyebar di berbagai negara. Di Indonesia, HTI juga menyebar paham radikalnya di Medsos. @kemkominfo 👇</t>
  </si>
  <si>
    <t>RT @sweethellena: Di artikel yang ditulis @idntimes ini bahkan disebutkan bahwa "seluruh WNI itu telah menjalani masa observasi dengan menggunakan alat berstandar internasional, sehingga dapat dipastikan hasilnya sangat akurat". Alat apa maksudnya? Termometer?</t>
  </si>
  <si>
    <t>@null WNI yang Dievakuasi Dari Tiongkok 'Lulus' Observasi di Natuna dan Bakal Pulang H</t>
  </si>
  <si>
    <t>RT @IndonesiaRAW: ISIS sebagai sebuah organisasi dengan gerakan radikalisme dan terorismenya, telah menjadi musuh bersama masyarakat dunia. Jika WNI eks ISIS diterima kembali, maka Indonesia akan dicap sebagai negara yang melindungi warganya yang terlibat dalam organisasi ISIS #IndonesiaTolakISIS</t>
  </si>
  <si>
    <t>RT @tr4velcompass: @OnlyOnesia @oneaperture @suzli05 @Mom_isback @Marder2000 Ooo kirain kmu mau ngeruqyah mrk di kapal pesiarnya langsung. Iya. Apapun itu bagus utk ngobati. Semoga memang benar WNI kebal.</t>
  </si>
  <si>
    <t>Melalui Protokol Kesehatan Dari WHO Di Natuna, Presiden @jokowi Minta Masyarakat Menerima WNI Dari Wuhan @KemenkesRI  #BersamaIndonesiaMaju #SDMUnggulIndonesiaMaju</t>
  </si>
  <si>
    <t>Bukannya kmrn ngamuk2 minta dipindah dan ga mau trima. Omongan bolak balik jd trend ya, ga jakardah ga daerah lain🤦‍♀️</t>
  </si>
  <si>
    <t>WNI yang Dikarantina Pulang Hari Ini, Istana Ucapkan Terimakasih</t>
  </si>
  <si>
    <t>RT @iamrhidayat: @KBRITokyo Dalam kapal dikabarkan sdh 218 terkena covid-19. Luar biasanya 78 WNI yg jadi kru kapal tetep sehat💪, apa gara2 tolak angin + Vit C + mie instan 😁</t>
  </si>
  <si>
    <t>Kita harus bersatu padu dalam mempertahankan NKRI #AwasHTImasihEksis</t>
  </si>
  <si>
    <t>pulangkan wni pro isis. indonesia serius perangi terorisme. #IndonesiaTolakISIS</t>
  </si>
  <si>
    <t>Astajim... Pemulangan (mshsw)WNI di natuna gituam dong, pake ceremoni, pake terop,pake sound,dll Abis abisin duit aja. Kasian Tuh WNI TKI yg masih Di cina. Mereka masih kerja, Cari Masker aja sampe nangis² karna Muahalnya masker .... WNI TKI &amp; WNI mhssw beda perlakuan</t>
  </si>
  <si>
    <t>Rombongan dari Jakarta telah tiba di Lanud Raden Sadjad Natuna utk melepas kepulangan WNI yg akan dijadwalkan siang ini dari Natuna ke Halim Perdanakusuma dan lanjut ke daerahnya masing-masing. #PBUrusanBersama #Covid19 #SiapUntukSelamat #CoronaVirus @KemenkesRI @kemenkopmk @WHO</t>
  </si>
  <si>
    <t>RT @OpsiMetroTV: Ngabalin mengatakan bahwa mereka para kombatan ISIS adalah manusia pembohong dan tidak boleh lagi menginjak republik ini. Setujukah Anda? Tonton lagi #OPSIMetroTV eps Eks ISIS: yang Pergi, Perlukah Kembali? di youtube OPSI. Jgn lupa subscribe! #eksisisyangpergiperlukahkembali</t>
  </si>
  <si>
    <t>RT @SoundOfYogi: Rejim yg mana yg Yut? ISIS jelas udah ada korbannya Sekarang rejim yang mana?</t>
  </si>
  <si>
    <t>Dilepas dengan Upacara Adat, WNI Eks Wuhan di Natuna Dipulangkan Siang Ini</t>
  </si>
  <si>
    <t>@TPuteri01 Oke 👌 Siaap.. Team akan agendakan Stlh boss besar #DR_AdiliaPutri Kembali dr Swiss. Agenda Silaturahmi selnjut nya.. 37 Tkh parpol 17 tkh Profesional 2 Jurnalis. Siapkan dana Apresiasi nya..👌 Mas msh di kantor Update WNI Natuna #MetroSiang #KompasSiang #KabarSiangtvOne</t>
  </si>
  <si>
    <t>Menkes dan Kepala BNPB ke Natuna, Jemput WNI Yang Usai Dikarantina</t>
  </si>
  <si>
    <t>Usai Diobservasi di Natuna, BNPB Pastikan 238 WNI Dipulangkan Hari Ini</t>
  </si>
  <si>
    <t>@jokowi Jadi kenapa MUI ngotot mau pulangin isis? Fahri zonk juga ngotot padahal mereka sejahtera gaji besar. Jadi ada apa dengan MUI dkk?</t>
  </si>
  <si>
    <t>@SanjayAzadSln Modi bhakt Or Atangwadi RSS bajrangdal desh ke lea sb se bara Atangwadi yai jaise Isis Pakistan usi trah yeh bhi hai</t>
  </si>
  <si>
    <t>@enny_endah @bahdirdja @SoffiAgus @NGOBUSH3 @semiaji_w @dkarhita @Ze_sukma @YCH7168 @AWChuz @cagubnyinyir2 Dasar pengkhianat negara kalo gak disumpal mulutnya si Chep Hernawan itu pasti memanfaatkan situasi spt ini memprovokasi rakyat kadrun,,, baru kmrn katanya hidup para gerombolan teroris ISIS eks WNI penghasilannya berlimpah di Suriah nahhh skrng ocehannya mau nampung di Indonesia</t>
  </si>
  <si>
    <t>78 WNI dikarantina di kapal pesiar di Jepang minta tolak angin dan mie instan. Indonesia banget ya.</t>
  </si>
  <si>
    <t>@fendikafirza @IxNdheso bukan hoax, tapi emang pernah kejadian. tahun 2012-2014 di saudi arabia. kalo ndak salah ada WNI yg jadi korban.</t>
  </si>
  <si>
    <t>@bstnptr Ya karena melihat 78 WNI yg merupakan kru kapal itu negatif corona pdhl 218 penumpang terinfeksi Corona. Pasti ada sesuatu yg unik dengan cara ibu2 dari 78 WNI tersebut saat dulu mengandung mereka. Bisa jadi sihh :))</t>
  </si>
  <si>
    <t>@WagimanDeep Wanita iblis ini yg nampar orgtua. Bangsat benar. Ini kalau diajak jadi budak isis pasti mau. Karena otaknya kan kecil.</t>
  </si>
  <si>
    <t>689 Anggota ISIS Eks WNI Berstatus Stateless. #ISISeksWNIstateless</t>
  </si>
  <si>
    <t>@k4ng_C1reNG Yg benar adalah ISIS EX WNI.... jgn dibalik...!! Ex presiden ISIS Indonesia...??? Berarti dia perwakilan isis di Indonesia...??? Hrsnya ditangkap tuh, kan terlarang....???</t>
  </si>
  <si>
    <t>@jonach27 @SahabatSaber wes tuwek presiden isis ra nyebut</t>
  </si>
  <si>
    <t>@AhlulQohwah @miaemilymia Komisi Perlindungan Anak ISIS</t>
  </si>
  <si>
    <t>moeldoko sebut 689 eks isis dari indonesia berstatus stateless. #ISISeksWNIstateless</t>
  </si>
  <si>
    <t>Istana tegaskan terdapat 689 wni eks isis berstatus stateless. #ISISeksWNIstateless</t>
  </si>
  <si>
    <t>@Baceotan DASAR ISIS!!! KPI!!!!</t>
  </si>
  <si>
    <t>@eko_kuntadhi Waduhhhh WNI masalah di LN, kok diurusin terus yahhh, biaya tinggi lagi..... Dalam negeri masih banyak yg susah lho...</t>
  </si>
  <si>
    <t>Karantina Berakhir, WNI Asal Wuhan di Natuna Akan Dilepas Dengan Adat Melayu</t>
  </si>
  <si>
    <t>@CH_chotimah @mohmahfudmd Mantan Presiden ISIS kok bebas, bisa menikmati hidup di luar penjara.. sangat aneh itu! Seharusnya dia bertanggung jawab atas kejahatannya krn telah memberangkatkan ratusan anak2 ke Suriah.. sy sebut anak2 saja, krn bapak ibu nya sdh bisa berpikir..</t>
  </si>
  <si>
    <t>Warga Jambi Diimbau Terima WNI yang Selesai Diobservasi di Natuna #TauCepatTanpaBatas #BeritaTerkini #BeritaDaerah .</t>
  </si>
  <si>
    <t>RT @eddies_song: Setuju 👍 Tangkap ustdz2 PROVOKATOR @jokowi @mohmahfudmd @Kiyai_MarufAmin @DivHumas_Polri @BareskrimPolri @BNPTRI @KomnasHAM @Kemenkumham_RI @Kemenag_RI ===&gt;&amp;gt; ISIS BUKAN LAGI WNI | NEGARA JANGAN JADI PENGECUT, TANGKAP USTADZ PROVOKATOR  lewat @YouTube</t>
  </si>
  <si>
    <t>@KompasTV Kirain meliput kepulangan WNI mantan ISIS ....</t>
  </si>
  <si>
    <t>Di artikel yang ditulis @idntimes ini bahkan disebutkan bahwa "seluruh WNI itu telah menjalani masa observasi dengan menggunakan alat berstandar internasional, sehingga dapat dipastikan hasilnya sangat akurat". Alat apa maksudnya? Termometer?</t>
  </si>
  <si>
    <t>@detikcom Mungkin eks presiden isis regional indo blm pernah berangkat atau ga merobek passpor. Lagipula status mereka jg udah stateless, menurut saya.</t>
  </si>
  <si>
    <t>CONTOH lain : Hidayat yang terpapar sementara febri dan keluarganya hanya tertipu oleh buaian isis</t>
  </si>
  <si>
    <t>@vanyaviranda Bahaya kenapa? Aku bukan eks ISIS atau suspect positif corona.</t>
  </si>
  <si>
    <t>RT @ngeTweetAja: Dalam video dijelaskan selama 3tahun, pasangan ini keluar masuk hutan, "Iman" ISIS mereka tidak goyah. Butuh waktu bertahun tahun sampai mereka bisa melakukan aksi bom bunuh diri di Gereja Katedral. Memakan korban 23 orang tewas Bayangin 600 orang?</t>
  </si>
  <si>
    <t>@ISIS_Balik_NO @CH_chotimah @mohmahfudmd Sudah ada presiden ISIS ya di Indonesia. Tinggal tentara dan menterinya.</t>
  </si>
  <si>
    <t>@k4ng_C1reNG Jika tidak benar ada niat kepulangan gerombolan ISIS ke tanah air berarti si FADLI ZON, MARDANI ALISERA dan DIN S yang punya RENCANA JAHAT. Mereka ingin NKRI kacau balau seperti SURIAH bahkan ingin menyusupkan ANAK-ANAK BINAAN TERORIS agar nantinya tanggung jawab pemerintah.</t>
  </si>
  <si>
    <t>RT @mrfotografer_: Duduk di masjid antara Maghrib dan Isyak, meninggalkan hiruk pikuk kehidupan, dan melupakan seketika pelbagai masalah dunia adalah sesuatu yang amat mendamaikan jiwa.</t>
  </si>
  <si>
    <t>@Qiran14yara Lebih bahaya koruptor, termasuk perampok BUMN. Eks ISIS masih bisa dibina tetapi koruptor hrs dibinasakan.</t>
  </si>
  <si>
    <t>RT @SeputariNews: 238 Warga yang diobservasi di Natuna, Kepulauan Riau, akan dipulangkan Sabtu, (15/2) sejumlah persiapan dilakukan di Lanud Raden Sadjad. POT . #VirusKorona #CoronaVirus #Observasi #WNI #Natuna #SeputariNewsPagi #SeputariNewsRCTI</t>
  </si>
  <si>
    <t>Keputusan pemerintah untuk menolak kembalinya mantan anggota ISIS menunjukkan bahwa Indonesia sangat serius memerangi terorisme. #IndonesiaTolakISIS</t>
  </si>
  <si>
    <t>Pagii.. Bantu like retweet nya yaa. Semua WNI dalam Keadaan Sehat dan Menjalani Program Transit Observasi di Natuna Sesuai Protokol WHO  @JubirPresidenRI @fadjroeL @PEDOMAN_id @PedomanNEWS @SunandarPS #SabtuRebahan #malamminggu</t>
  </si>
  <si>
    <t>RT @hanifjamals: RT utk sepak anep Like utk sayaaaaang anep</t>
  </si>
  <si>
    <t>@ErpelaHeri Mirip ISIS ya.. jgn2 satu komando</t>
  </si>
  <si>
    <t>238 Warga yang diobservasi di Natuna, Kepulauan Riau, akan dipulangkan Sabtu, (15/2) sejumlah persiapan dilakukan di Lanud Raden Sadjad. POT . #VirusKorona #CoronaVirus #Observasi #WNI #Natuna #SeputariNewsPagi #SeputariNewsRCTI</t>
  </si>
  <si>
    <t>Selamat pagii #SabtuRebahan √ Semua WNI dalam Keadaan Sehat dan Menjalani Program Transit Observasi di Natuna Sesuai Protokol WHO  @JubirPresidenRI @fadjroeL @PEDOMAN_id @PedomanNEWS @SunandarPS #malamminggu #Natuna</t>
  </si>
  <si>
    <t>238 WNI dari Tiongkok yang Telah Diobservasi di Natuna Dipastikan Bebas Virus Corona</t>
  </si>
  <si>
    <t>Selamat pagii √ Semua WNI dalam Keadaan Sehat dan Menjalani Program Transit Observasi di Natuna Sesuai Protokol WHO  @JubirPresidenRI @fadjroeL @PEDOMAN_id @PedomanNEWS @SunandarPS #SabtuRebahan #malamminggu</t>
  </si>
  <si>
    <t>Dalam video dijelaskan selama 3tahun, pasangan ini keluar masuk hutan, "Iman" ISIS mereka tidak goyah. Butuh waktu bertahun tahun sampai mereka bisa melakukan aksi bom bunuh diri di Gereja Katedral. Memakan korban 23 orang tewas Bayangin 600 orang?</t>
  </si>
  <si>
    <t>ISIS eks WNI, bukan WNI eks ISIS ! RT @detikcom: Eks Presiden ISIS Regional Indonesia Chep Hernawan siap menampung Warga Negara Indonesia (WNI) eks ISIS yang benar-benar ingin pulang ke Tanah Air.</t>
  </si>
  <si>
    <t>@mohmahfudmd Sudah ketok palu pak. Isis biarkan sj,biar diadili otoritas Suriah.Low ada ormas,lembaga yg protes pemerintah, gak usah digubris, biarpun usia anak2, ISIS ttp ISIS idelogi sdh beda dgn Pancasila. Radikalis dlm negri sj susah ditangani. Abaikan kemanusian eks wni, save 265jt nywa</t>
  </si>
  <si>
    <t>Balikin ISIS ke tanah air seperti ngundang turis dari wuhan</t>
  </si>
  <si>
    <t>RT @KKhawarij: @BPIPRI "Ide-ide ekstremisme, radikalisme, dan terorisme...tak ada hubungannya dengan Islam. Dan (pendukung mereka) adalah musuh nomor satu Islam,"</t>
  </si>
  <si>
    <t>Perjuangan 238 WNI dari China, Sempat Ditolak hingga Tiba Waktu Kepulangan</t>
  </si>
  <si>
    <t>Teroris dan koruptor sama bahayanya ndoro @jokowi @Kiyai_MarufAmin @wiranto1947 @mohmahfudmd</t>
  </si>
  <si>
    <t>@detikcom ISIS ex WNI woii</t>
  </si>
  <si>
    <t>RT @voaislam: Pandangan Muhammadiyah Terkait Kepulangan Mantan Kombatan ISIS ke Indonesia -</t>
  </si>
  <si>
    <t>√ Semua WNI dalam Keadaan Sehat dan Menjalani Program Transit Observasi di Natuna Sesuai Protokol WHO cc @fadjroeL @JubirPresidenRI @PedomanNEWS</t>
  </si>
  <si>
    <t>@johbois @ainty0urcrush gua coret lu dari daftar wni ajig</t>
  </si>
  <si>
    <t>RT @Beritabaruco: Presiden Meminta Masyarakat Menerima WNI dari Wuhan</t>
  </si>
  <si>
    <t>@_rendezvous26 @MardaniAliSera @fadlizon @KomnasHAM @KPAI_official @RizmaWidiono @CH_chotimah @elHurryKoRn @AhlulQohwah @03__nakula @bhre_wengker84 Fan berat ISIS ini si bapak ya.... Hebat lah di Indonesia itu bebasssss 😂😂😂😂😂</t>
  </si>
  <si>
    <t>#PresidenGakMutu ada WNI/TKI yg dimatiin rezekinya oleh company asing dzolim Arab Saudi tanpa tau salahnya apa, walaupun sudah kirim 4 surat ngemis2 ke Jokowi via KSP tahun 2017-2018 tapi gak digubris sama sekali oleh Jokowi. Buat apa ada presiden klo gak mau lindungi rakyatnya.</t>
  </si>
  <si>
    <t>“Ketika Jokowi menyebut ‘ISIS eks WNI’, itu berarti dia menganggap dengan bergabungnya seseorang kepada ISIS seperti bergabung ke sebuah negara. Jokowi seperti mengaminkan klaim ISIS sebagai daulah (negara) Islam,”</t>
  </si>
  <si>
    <t>@detikcom Orang ini hatinya masih sangat isis ? Mengatakan msh berkomunikasi dgn eks WNI isis. Mengatakan kl hidup dgn isis itu enak. Mohon aparat ttp mewaspadai orang ini yg berpotensi sll melakukan propaganda isis di Indonesia ? @BNPTRI @DivHumas_Polri @PolhukamRI @Kemendagri_RI</t>
  </si>
  <si>
    <t>RT @the_magdalene: Studi menunjukan bahwa sebagian besar istri tidak tahu bahwa bantuan yang mereka berikan ke suami merupakan dukungan untuk kelompok teroris. Hubungan dengan teroris akhirnya membuat mereka dikucilkan masyarakat.  - Patresia Kirnandita #terkini #ISIS</t>
  </si>
  <si>
    <t>@detikcom Ini eks WNI atau eks ISIS?</t>
  </si>
  <si>
    <t>@jaedesix6 Tp yg di kapal itu kak.. yg 218 penumpang dinyatakan terinfeksi sedangkan WNI gada satupun yg kena.. dan ini dites sama orang jepangnya sendiri.. gila jg tbh</t>
  </si>
  <si>
    <t>@CNNIndonesia @Kemlu_RI 😱😱😱😱😱😱 Pas di cek, para wni cuma sakit pilek aja karna angin laut....</t>
  </si>
  <si>
    <t>Presiden Meminta Masyarakat Menerima WNI dari Wuhan</t>
  </si>
  <si>
    <t>Gita manda sari lonte isis RT @black__valley1: mnuduh tanpa bukti itu fitnah, dan mnampar juga, jlas kna pasal berlapis itu, pencemaran nama baik dan kekerasan, Akun fb si penampar dan menuduh ibu itu penculik</t>
  </si>
  <si>
    <t>RT @DagelaneD: Jadi sudah fix ya, mereka sudah hidup enak di sana. Ndak perlu lagi gembar-gembor soal HAM ya @KomnasHAM ndak perlu lagi melempar narasi soal anak-anak eks ISIS ya @KPAI_official . Mending kalian konsen buat benahin di dalam negeri.</t>
  </si>
  <si>
    <t>@amandrug Di media media lokal diberitakan KBRI Tokyo mengirimkan vitamin kepada para WNI, yang dimaksud ternyata nutrisari dong😭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</si>
  <si>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@doelkemplang @WR_4AG226 @rienkusayang @rintomaulana191 @Dickusnadi1 @FaGtng @angedespoir5 @Natalieanggi112 @snjayajonggrang @CCICPolri @poldametrojaya Apa sih yg membuat anda begitu membenci Jkw?. Sy yakin si bidan mulut comberan ini skrg sdh susah makan susah tidur, ringkus, pak Polisi!!, percuma kabur bu, kecuali nyusul combatan ISIS ke Suriah sana, mgkn aman, gk usah plg lagi ke Indonesia.</t>
  </si>
  <si>
    <t>Dinkes Jatim Nyatakan 65 WNI Asal Jatim Aman</t>
  </si>
  <si>
    <t>Apakah ada rencana isis untuk buka cabang di korut (?) RT @kompascom: Korea Utara telah mengeksekusi seorang pasien yang terinfeksi virus corona karena keluar ke tempat umum saat masih dikarantina. Berikut infonya.</t>
  </si>
  <si>
    <t>@Q1ran14y4ra ISIS ada karena KORUPTOR iya gak sih???? Baik KORUPTOR Lokal Atau KORUPTOT internasional (penjajahan modern)</t>
  </si>
  <si>
    <t>RT @CNNIDdaily: Sabtu, 15 Februari mendatang, genap 14 hari masa observasi WNI yang dievakuasi dari Wuhan, Tiongkok. Pemerintah pun telah menyusun skenario penjemputan dari Natuna.</t>
  </si>
  <si>
    <t>Kepala Pusat Riset Ilmu Kepolisian dan Kajian Terorisme Universitas Indonesia Inspektur Jenderal Polisi (Purn) Benny Josua Mamoto : langkah pemerintah menolak pemulangan anggota ISIS bisa menghentikan perdebatan yang terjadi. #IndonesiaTolakISIS</t>
  </si>
  <si>
    <t>RT @rmol_id: Menkes dan BNPB Menuju Natuna Menjemput WNI Yang Telah Usai Masa Karantina #RepublikMerdeka</t>
  </si>
  <si>
    <t>@CH_chotimah @mohmahfudmd Sejahtera apaan. Org isis disana dibombardir sm pasukan bashar Al Assad. And 2000 lbh yg mau dihukum mati.</t>
  </si>
  <si>
    <t>RT @Beritasatu: Terima WNI dari Wuhan, Istana: Terima Kasih Warga Natuna</t>
  </si>
  <si>
    <t>@AlaricLuthfy @LusiHQ @anonapostate Yang logikanya kacau itu elu. Kalau ISIS memang buatan Yahudi, kenapa anggota ISIS semuanya muslim? Dan kenapa landasan Organisasinya harus Khilafah? RT @AlaricLuthfy: @LusiHQ ISIS Bentukan Yahudi yang didanai Barat</t>
  </si>
  <si>
    <t>Observasi Berakhir Sabtu, 15 Februari 2020, WNI Dari Wuhan Langsung Dibawa Dari Natuna Ke Jakarta @KemenkesRI  #BersamaIndonesiaMaju #SDMUnggulIndonesiaMaju</t>
  </si>
  <si>
    <t>Menkes dan BNPB Menuju Natuna Menjemput WNI Yang Telah Usai Masa Karantina #RepublikMerdeka</t>
  </si>
  <si>
    <t>Studi menunjukan bahwa sebagian besar istri tidak tahu bahwa bantuan yang mereka berikan ke suami merupakan dukungan untuk kelompok teroris. Hubungan dengan teroris akhirnya membuat mereka dikucilkan masyarakat.  - Patresia Kirnandita #terkini #ISIS</t>
  </si>
  <si>
    <t>@detikcom bila nilai kemanusiaan ditukar dengan iming2 harta, jadilah pengikut isis.</t>
  </si>
  <si>
    <t>@utakutik Ini knp? Ada wni yg d karantina d jepang ta?</t>
  </si>
  <si>
    <t>RT @Dentova: selamat pagi pak @kominfotikjp @DukcapilJakpus cc @dukcapiljakarta @aniesbaswedan mohon petunjuk bgmn tata cara prosedur urus ektp bagi wni yg baru pulang dari luar negri, dgn passport dari kbri (masih berlaku) dan ktp jaman dulu warna kuning (sdh kedaluwarsa). Terima kasih pak</t>
  </si>
  <si>
    <t>@AhlulQohwah @WagimanDeep @TyasZain @narkosun @arifbsantoso @amrudinnejad_ @rizieqdivist @1504ers @DjanChoek @Hanifah933 @JoniSukaPaha Tinggal tunggu waktu mereka hanya menolong yang se akidah. ISIS sudah lama di Indonesia, ideologinya menguat sejak pilkada DKI</t>
  </si>
  <si>
    <t>@BKNgoid @KeitaNumber8 Ruarrrrrrbiyasaaaaa sekelas pemain EPL ikut tes CPNS, min dia bukan WNI wey</t>
  </si>
  <si>
    <t>Media sosial itu lucu.. bikin narasi yg bela eks ISIS di tuduh kader ISIS, narasi bela HTI di tuduh kader HTI, narasi bela agama di tuduh intoleran, bahkan bikin narasi bela kemanusiaan pun di tuduh radikal, tp yg bikin narasi bela PKI kaga mau di bilang PKI kan tai...</t>
  </si>
  <si>
    <t>Omnibus,intoleransi, eks-isis wni, veronica koman dan banyak lagi. Sospolnya pada kemana ya</t>
  </si>
  <si>
    <t>@icoly_ isis bang</t>
  </si>
  <si>
    <t>@Franc_Ldy Ex pimpinan ISIS, mau tampung ISIS ex WNI. Apa ga mungkin gerakannya dilanjutkan lagi?</t>
  </si>
  <si>
    <t>RT @arjuno_ireng01: Buat Pemerintah RI khususnya @BareskrimPolri @DivHumas_Polri setelah pemerintah memutuskan tdk menerima ISIS eks WNI kembali ke tanah air mari focus untuk jg wilayah kesatuan RI jgn sampai kasus begal seperti di Bintara td pagi terulang kembali. #TolakAnakISISKembali</t>
  </si>
  <si>
    <t>ISIS Eks WNI, Jokowi: Mereka Tak Lagi Jadi Tanggung Jawab Negara</t>
  </si>
  <si>
    <t>@mohmahfudmd Lahh sehat kek?. Peradilan itu kan saat2 pembuktian, darimana lu tau mereka itu termasuk yg ikut "berperang".. pembuktiannya dari peradilan, ngeri juga nih hukum tanpa peradilan, bisa2 gue juga hilang tiba2 status WNI karna memang tanpa peradilan.. hadeeh percuma jd menko lu..</t>
  </si>
  <si>
    <t>Jokowi Pakai Istilah ISIS Eks WNI</t>
  </si>
  <si>
    <t>@detikcom gpp kalau bapak mantan presiden isis regional inondesia mau nampung, hak bapak tapi ditampunya diluar Indonesia ya, bukan bapak doang yang tinggal di negara ini ih gemes deh pengen nyubit ginjalnya</t>
  </si>
  <si>
    <t>@deeAdiwijaya999 @Ngk0ngR0s3s__ @KPAI_official @DivHumas_Polri @Itjen_Kemdikbud @NadimMakarim @pemkotbekasi Kpai mana... Ngurus isis ya...</t>
  </si>
  <si>
    <t>@detikcom Pak @jokowi @mohmahfudmd hati2 dg org ini, dikasihani malah ga tau diri! Bdn renta tp jiwa ISIS, saat ini mrk hny pura2 pingsan utk galang kekuatan, ketika mrk bersatu mrk akan ambil alih NKRI, berantas mrk semua! #TolakAnakISISKembali #TolakEksWNIproISIS</t>
  </si>
  <si>
    <t>@elHurryKoRn Mungkin Allah memberinya kesempatan utk melihat kehancuran ISIS...bukan utk bertobat.😀</t>
  </si>
  <si>
    <t>Pemerintah jgn percy omongn orang ini. Katanya mereka ga ingin pulang, disana sdh sejahtera tp ujung2nya jk mereka mau pulang paling ingin ketemu keluarga. Ga benar mau meneror &amp; sebarkn paham radikal. Pdhl jelas bom Surabaya mereka pelakunya. @mohmahfudmd</t>
  </si>
  <si>
    <t>@detikcom Si Chep ini yakin udah bukan anggota ISIS? Dari bahasa nya gak seperti eks ISIS. Kenapa dia dikasih tinggal di Indonesia ya?</t>
  </si>
  <si>
    <t>Lagi lagi ORBA Lagi lagi ISIS Lagi lagi katanya katanya 😁 Kalo begitu sih ya lebih hebat pak Harto dong : ekstrim kanan dan kiri gak berkutik. Sekarang Mana tokoh2 reformasi dan orang2 kroninya yg sok ngaktivis kok malah khawatir pd kombatan ISIS 😂 kan ada BPIP</t>
  </si>
  <si>
    <t>Eks Presiden ISIS Indonesia: Tidak Benar WNI Eks ISIS Ingin Pulang</t>
  </si>
  <si>
    <t>@zarazettirazr ISIS senjata dari China..China cs sama presiden..dah gitu aja clue nya ...</t>
  </si>
  <si>
    <t>ISIS = Ikatan Istri Idaman Suami</t>
  </si>
  <si>
    <t>@CNNIndonesia @Kemlu_RI Alhamdulillah, semua WNI dan warga Indonesia selamat dari virus corona.. Semoga tetap sehat selalu ya guys~</t>
  </si>
  <si>
    <t>RT @BNPB_Indonesia: Presiden Joko Widodo memberikan keterangan mengenai pemulangan WNI dari Natuna terkait Virus Corona, di sela kunjungan kerja di Taman Nasional Gunung Merapi, Jurang Jero, Magelang, Jawa Tengah, Jumat (14/2).</t>
  </si>
  <si>
    <t>@ariel_heryanto @ayurishdiajeng @NuKultural @faatihadiy @freddyths Bisa yah adili orang yg bukan wni lagi?</t>
  </si>
  <si>
    <t>RT @Jatosint: "Hasilnya, 78 WNI yang menjadi kru kapal tersebut dinyatakan negatif terinfeksi virus corona", Ini Jepang loh yang meriksa dan kejadiannya di kapal pesiar = tempat tertutup Fix kalau begini terus orang Indo badannya emang dari lahir langsung dapet full DLC + expansion pack</t>
  </si>
  <si>
    <t>DPR Turut Menjemput 238 WNI yang Selesai Diobservasi di Natuna #TauCepatTanpaBatas #BeritaTerkini #Berita #News #BeritaNasional .</t>
  </si>
  <si>
    <t>NEGATIF CORONA Linimasa jadi ramai setelah Kemenkes mengumumkan bahwa 78 WNI di Kapal Pesiar Diamond Princess 'negatif corona'. Ditambah twit KBRI Tokyo soal kiriman cairan penangkal dan pereda masuk angin dan mie instan untuk mereka, cerita pun jadi lebih menarik.</t>
  </si>
  <si>
    <t>@detikcom Hm.mmm kebayang donk yah Gaji, Fasilitas dan pensiunan dari seorang Eks Presiden ISIS Regional Indonesia? Jangan2 lebih besar dr yang didapatkan @jokowi nih. 🤪</t>
  </si>
  <si>
    <t>RT @BiLLRaY2019: "ANAK INDONESIA DIREKRUT ISIS" Menggunakan senjata, anak-anak ini latihan Militer ISIS...bibit-bibit RADIKALIS dan TERORIS akan dipulangkan? #DukungJokowiBerantasISIS</t>
  </si>
  <si>
    <t>@detikcom Presiden ISIS ? cep hernawan. Kenapa di biarkan bernafas di Indonesia. Berarti selama ini ada pembiaran.</t>
  </si>
  <si>
    <t>@AHasanif @Hasyim33317161 @MNursal87580381 @jansen_jsp @aniesbaswedan Hebat, sdh terinfeksi virus ISIS. Boleh di traktir ngopi ni.</t>
  </si>
  <si>
    <t>RT @NewsmakerMedcom: Pemerintah memastikan tidak akan membawa pulang eks WNI kombatan ISIS. Keputusan pemerintah ini diambil dalam rapat yg dipimpin Presiden @jokowi di Istana Kepresidenan Bogor, Jawa Barat. Selengkapnya simak wawancaranya di</t>
  </si>
  <si>
    <t>Kenapa Tua bangka ini di biarkan idup?! Eks Presiden ISIS Regional Indonesia Chep Hernawan siap menampung Warga Negara Indonesia (WNI) eks ISIS yg benar-benar ingin pulang ke Tanah Air. #AwasAntek2ISIS RT @detikcom: Eks Presiden ISIS Regional Indonesia Chep Hernawan siap menampung Warga Negara Indonesia (WNI) eks ISIS yang benar-benar ingin pulang ke Tanah Air.</t>
  </si>
  <si>
    <t>RT @Thedemytz: @k4ng_C1reNG ISIS ex WNi</t>
  </si>
  <si>
    <t>@buluslg Bisa juga sebaliknya. Sepanjang WNI yg memiliki kewajiban pajak di Indonesia dan terdaftar sebagai Wajib Pajak Indonesia yg memperoleh penghasilan dari LN, maka penghasilan dari LN tsb harus dilaporkan di SPT di Indonesia, krn UU PPh Indonesia menganut prinsip world wide income</t>
  </si>
  <si>
    <t>Hari Ini WNI Observasi hingga Kru Batik Air Dipulangkan dari Natuna – Ini Data Asal Daerahnya</t>
  </si>
  <si>
    <t>RT @GesuriID: Gus Mis: AS Tekan Indonesia Untuk Pulangkan Anggota ISIS  #pdiperjuangan</t>
  </si>
  <si>
    <t>Terus doktor² itu maunya apa?? Kalau mau masuk ISIS, nggak usah malu²...terus terang ajalah.., supaya jangan ada dusta di antara kita...😂😂😂 Malu tauuuu..kalau hidup dan masih cari makan di NKRI yg berdasarkan Pancasila... RT @AhlulQohwah: Katanya sih Forum Doktor, tapi kok logikanya gini ya? @WagimanDeep @TyasZain @narkosun</t>
  </si>
  <si>
    <t>DPR Turut Menjemput 238 WNI yang Selesai Diobservasi di Natuna : Okezone Nasional | #indonesia #viral &gt;&amp;gt;&amp;gt; Click</t>
  </si>
  <si>
    <t>RT @aulia_mumtaza: @sefkelik @tey_saja @lantip Ini rahasianya : KBRI Tokyo (12Feb) mengantar cairan Pereda Masuk Angin yang diminta WNI yg sedang di atas kapal Diamond Princess yang sedang dikarantina utk observasi di Yokohama, sekaligus Mie Instan dan Vitamin C. Foto: barang diantar #NegaraMelindungi.</t>
  </si>
  <si>
    <t>@k4ng_C1reNG @dewi_darmawati Kalau begitu simpatisan, pemuja yang akan memulangkan ISIS. #TolakISIS. 🇮🇩</t>
  </si>
  <si>
    <t>RT @makLambeTurah: Ini salah satu CONTOH dimana sekian Eks WNI ISIS kl pulang ke Indonesia pasti masuk dari tv program satu ke tv program lain. curcol panjang lbr kmudian nangis2 dan kita sedih mendengarnya..😪</t>
  </si>
  <si>
    <t>@Kabar24 Amin isis ngak ada di indonesia</t>
  </si>
  <si>
    <t>RT @Metro_TV: Kepala BNPT, Suhardi Alius, mengatakan bahwa sulit memulangkan anak teroris, apalagi yang sudah dewasa. Tonton lagi #SpecialReportMetroTV "Tolak Kombatan ISIS" di .</t>
  </si>
  <si>
    <t>RT @YunusTakandewa: Mari kita doakan 250 WNI dari Wuhan Tiongkok yang akan menjalani masa observasi di Natuna guna pencegahan virus Corona</t>
  </si>
  <si>
    <t>@Boemi_Pertiwi12 @TuTTeO Mesti diluruskan , bukan mantan WN ISIS tapi Mantan WNI</t>
  </si>
  <si>
    <t>RT @geloraco: Eks Presiden ISIS Indonesia: Kalau Ditolak Pulang, WNI Eks ISIS Saya Tampung!</t>
  </si>
  <si>
    <t>RT @k4ng_C1reNG: Karantina WNI Asal Wuhan di Natuna Berakhir Hari Ini, Jokowi: Kita Harapkan Masyarakat Menerima  via @tribunnews</t>
  </si>
  <si>
    <t>@kompascom @KPAI_official halu banget. Mrk itu udah keluar dr NKRI dan mengatakan pemerintah Indonesia itu thogut. Anda hrs tau itu.. Makanya mrk bakar passport utk jd khilafah ISIS. Jgnlah mrk dibiarkan menyebarkan faham tsb disini. Bahaya itu namanya..</t>
  </si>
  <si>
    <t>Karantina WNI Asal Wuhan di Natuna Berakhir Hari Ini, Jokowi: Kita Harapkan Masyarakat Menerima  via @tribunnews</t>
  </si>
  <si>
    <t>@detikcom Eh kok elo Di Indonesia sih? Elo kn bukn wni sat bangsat</t>
  </si>
  <si>
    <t>@detikcom ISIS eks WNI atau WNI eks ISIS?</t>
  </si>
  <si>
    <t>Gila gak tu, Pemerintah Jepang lho yang meriksa &amp; sampe sekarang 78 WNI negatif virus corona 😂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</si>
  <si>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@ZoelFawzie: Namanya Hatf Saiful Rasul,11 Tahun dia meninggalkan sekolah bersama bbrpa gurunya utk bergabung ke ISIS di suriah.. Apakah pemerintah @jokowi masih ingin memulangkan anak² ISIS seperti Saipul Rasul..?? Apakah @KPAI_official masih memperjuangkan anak² teroris utk pulang ke NKRI..?</t>
  </si>
  <si>
    <t>@mediaindonesia Alhamdulillah...semua WNI yg kembali dri neg China tak ada terkena virus Corona &amp; dinyatakan sehat. Harus ada dlm ingatan manusia bhw bencana virus Corona yg trjdi di China adlh peringatan dr Tuhan YMK, agar manusia makan makanan Halal &amp;amp; dimasak harus matang! #JagaKenyamananWNI..</t>
  </si>
  <si>
    <t>@EAGLE_0775 @WR_4AG226 Udah Selesai SoAl Isis.</t>
  </si>
  <si>
    <t>@salahsambungya Mereka sdh bukan WNI ngapain diurus.. Ga usah peduli HAM yg begini... Bubarkan Komnas HAM</t>
  </si>
  <si>
    <t>RT @Puspen_TNI: 238 WNI dari Wuhan bebas virus Korona😎💂 #P5TNI #Wuhan #VIRUS_CORONA</t>
  </si>
  <si>
    <t>RT @sudjiwotedjo: Apa sih mustahilnya mengadili WNI eks ISIS (ISIS eks WNI) yg pulang sendiri? Mustahil mengadili orang yg sudah bukan WNI? Hadeuuuh .. Harun Masiku yg mustahil lenyap aja akhirnya tidak mustahil lenyap... Gak ada yg mustahil di negeri ini, Cuuuuuk!</t>
  </si>
  <si>
    <t>Hari Ini Pemerintah Pulangkan WNI yang Dikarantina, Jokowi: Sesuai Protokol WHO</t>
  </si>
  <si>
    <t>RT @StellaSuwardi: Apapun topiknya ISIS itu identik dgn kekerasan. Lihat deh TL2 yg lg ngomongin ISIS, ada nggak yg peaceful? None of them! Itu baru TL, gmn kalau mrk tiba2 dtg ke dunia nyata kita? Dukung pak @jokowi menolak eks WNI pro ISIS ini kembali!</t>
  </si>
  <si>
    <t>RT @__Aiek__Channel: #PresidenGakMutu #PresidenGakMutu Eks Presiden ISIS Indonesia: Tidak Benar WNI Eks ISIS Ingin Pulang</t>
  </si>
  <si>
    <t>@HmfaqihA Jangan di bolak balikkan mereka itu ISIS eks-WNI bukan WNI eks-ISIS</t>
  </si>
  <si>
    <t>78 WNI di Kapal Pesiar Negatif Virus Corona, Netizen: Gara-gara Pakai Borax</t>
  </si>
  <si>
    <t>Udah lah berarti WNI emang sehat. Kalo ga ya masuk angin doang. Dikerokin terus minum teh anget sembuh deh. RT @CNNIndonesia: Pemerintah Jepang menyatakan sebanyak 218 penumpang kapal pesiar Diamond Princess terinfeksi virus corona. @Kemlu_RI pun menuturkan bahwa 78 orang WNI yang merupakan kru dari kapal pesiar tersebut dalam kondisi sehat dan negatif virus corona.  #CNNIndonesia</t>
  </si>
  <si>
    <t>Jadwal observasi WNI dari Wuhan di Natuna berakhir hari ini, Sabtu, 15 Februari 2020 pukul 12.00 WIB. Sebelum kembali ke daerahnya masing-masing, berlangsung perpisahan di lokasi observasi, Jum'at (14/2) malam. ( via : @KemenkesRI ) #ElshintaAja</t>
  </si>
  <si>
    <t>@OpsiMetroTV Tampung isis dirumah pendukungnya @KomnasHAM @YLBHI</t>
  </si>
  <si>
    <t>@__BangJuna02___ @HaqueMarissa ISIS bkn komunis dan beragama.</t>
  </si>
  <si>
    <t>Aku dr yg awalnya kesel sama pemerintah karena org indo ngga ada yg terdeteksi satupun sama virus corona sampe yg mulai dikit dikit percaya kalo kita sakti mandra guna setelah liat testimoni wni wni yg ada di Diamond Princess</t>
  </si>
  <si>
    <t>@detikcom Bahas isis terus. Apa kabar jiwasraya?</t>
  </si>
  <si>
    <t>"Hoaks, tidak benar mereka ingin pulang. Mereka nyaman dan betah tinggal di sana. Mereka dapat penghasilan besar dan sejahtera di Suriah," ujar Chep Mantan Presiden ISIS Indonesia Cc : @mohmahfudmd @jokowi @fadlizon @PKSejahtera @KomnasHAM @hnurwahid</t>
  </si>
  <si>
    <t>@kompascom Kpai cuma omong, suruh dan menonton. Dirubah saja setiap anggota kpai yg asuh dan bertanggung jawab. Kalau jadi isis sdh dewasa akan lebih mudah di recovery tapi jika yg sejak anak2 akan sangat sulit. Tidak percaya? Ajukan diri jadi ortu asuh !</t>
  </si>
  <si>
    <t>Pemulangan Anak-anak Simpatisan ISIS Adalah Bom Waktu #RepublikMerdeka</t>
  </si>
  <si>
    <t>@Agamajinasi Kok eks isis bebas sihhh tolong densus 88 di karantina aja dia</t>
  </si>
  <si>
    <t>Usia agama sudah ribuan th, Pancasila 74 th. Usia @BPIPRI yang baru beberapa th membenturkan keduanya. Bubar saja kalian jika PKI atau WNI eks ISIS tak mampu kalian bina.</t>
  </si>
  <si>
    <t>@WahabiLucu @felixsiauw Memangnya msih WNI??? Dungu</t>
  </si>
  <si>
    <t>@detikcom Indonesia memelihara Presiden isis….??? Keren 😎</t>
  </si>
  <si>
    <t>RT @__Aiek__Channel: #PresidenGakMutu #PresidenGakMutu Eks Presiden ISIS Indonesia: Kalau Ditolak Pulang, WNI Eks ISIS Saya Tampung!</t>
  </si>
  <si>
    <t>@detikcom Dia yg omemberangkatkan orang2 ke sana juga.</t>
  </si>
  <si>
    <t>@OpsiMetroTV Isis itu dajjal mbak!!! Gw nolak isis masuk NKRI LO MAU APA KOMNAS HAM!!!!! DIMANA LO SAAT RUMAH RUMAH IBADAH DI BOM??? SIBUK KAH???</t>
  </si>
  <si>
    <t>Legalitas Menolak Pemulangan WNI Eks ISIS bagi Pemerintah  #dukungkonstitusi-dukungperppuormas-#lawanormasradikal</t>
  </si>
  <si>
    <t>Bangga hadiri official bell ringing IPO Indonesia Energy Corporation/IEC di @NYSE dan lihat 🇮🇩 berkibar di #WallStreet IEC jd perusahaan swasta milik WNI pertama yg masuk primary listing. Maju terus diplomasi ekonomi Indonesia 🇮🇩 #IniDiplomasi #IndonesianWay #RintisKemajuan</t>
  </si>
  <si>
    <t>@Isis_boo310 Wowww tfti chepa</t>
  </si>
  <si>
    <t>Gus Mis: AS Tekan Indonesia Untuk Pulangkan Anggota ISIS  #pdiperjuangan</t>
  </si>
  <si>
    <t>RT @RhoseBlack: @MT_Reborn @BPIPRI Pulangin WNI eks ISIS min @BPIPRI . Biar kalian ada pekerjaan. Bina deh tuh ideologi mereka. Jika tidak bubar ajalah. Pancasila usia 74 th baik2 saja selama ini dg bangsa yg beragama. Bukannya minta maaf malah nambah gaduh aja.</t>
  </si>
  <si>
    <t>Bagaimana dg kepres menggugurkan WNI ex ISIS. Colek. @mohmahfudmd Pak @jokowi RT @geloraco: Debat Soal WNI Eks ISIS, Gayus Lumbuun Sebut Ngabalin Bodoh</t>
  </si>
  <si>
    <t>@Aryprasetyo85 @jokowi @AlvinoLulu @cintada17 Wni otot kawat, walung besi... Yg dikapal pesiar dijepang juga sehat ...pdhl lingkungannya banyak yg kena corona..</t>
  </si>
  <si>
    <t>RT @eJawicaksono: @CNNIndonesia @Kemlu_RI Itu kru kapal yang WNI pasti sangunya sebelum berlayar jimat CPNS</t>
  </si>
  <si>
    <t>@jokowi Eks WNI? Berarti presiden yg menentukan ke warganegara seseorang.. tunjukkan kpd kami, di UU dan pasal mana, presiden yg bisa memutuskan status kewarganegaraan WNI?</t>
  </si>
  <si>
    <t>Akademisi: WNI Terinfeksi Corona Miliki Struktur Reseptor Mirip Warga Wu...  via @YouTube</t>
  </si>
  <si>
    <t>Alhamdulillah.. semoga semua WNI tetap sehat dan kuat. ✊✊. Dan penumpang yg sakit segera sehat kembali. RT @CNNIndonesia: Pemerintah Jepang menyatakan sebanyak 218 penumpang kapal pesiar Diamond Princess terinfeksi virus corona. @Kemlu_RI pun menuturkan bahwa 78 orang WNI yang merupakan kru dari kapal pesiar tersebut dalam kondisi sehat dan negatif virus corona.  #CNNIndonesia</t>
  </si>
  <si>
    <t>Presiden @jokowi : Setelah Observasi 14 Hari, Pastikan WNI Di Natuna Sehat Dan Siap Kembali ke Keluarga  #BersamaIndonesiaMaju #SDMUnggulIndonesiaMaju</t>
  </si>
  <si>
    <t>RT @FaGtng: Dia bangga selfi depan makam Dedongkot Komunis China.. Dia n'fans berat Trump.. Dia ngotot maksa Pemerintah pulangkan COMBATAN ISIS plus anak ISIS .. Pantesan....pantesan...ternyata... cekacekacekaceka🧐🤬 #TolakAnakISISKembali</t>
  </si>
  <si>
    <t>@HmfaqihA MenAg, karena niat perpanjang ijin fpi, niat pulangin isis, intoleransi makin merajalela..</t>
  </si>
  <si>
    <t>@mohmahfudmd kalo pas gini banyak yang sebenarnya pendukung isis gak bersuara karena takut dicap,kalo saya mending di pulangkan pak kasian mereka salah belajarnya bpip suruh didik lagi sampe dirasa bener.kemarin juga paspor yg bikinin jg kita kewajiban bapak utk mulangin mereka.</t>
  </si>
  <si>
    <t>Kenapa disebut eks WNI, atas dasar apa?? Bukankah pengadilan yg bisa memutuskan seseorang kehilangan kewarganegaraan...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</si>
  <si>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Tolak Pemulangan Mantan ISIS Eks WNI #ekswni</t>
  </si>
  <si>
    <t>@NataliusPigai2 Lebih gila lagi pak @mohmahfudmd kasih saran KE PRESIDEN u menggugurkan Ke wargnegaraan RI DENGAN KEPRES hanya mereka yang karena ekonomi kurang Dan Teroris isis.</t>
  </si>
  <si>
    <t>Heran!! Kenapa WNI yg datang dari China harus di Karantina, sementara Warga China yg yg masuk ke Indonesia Tidak di KARANTINA?????????. @jokowi @mohmahfudmd @msaid_didu @rockygerung</t>
  </si>
  <si>
    <t>@mohmahfudmd Prof ente makin kaco saja pola pikirnya.. Bukan berarti saya setuju dengan tindakan mereka yang pro ISIS tdk sama sekali tapi apa iya mereka perang membela negara lain, negara mana prof??</t>
  </si>
  <si>
    <t>@meaftersyoun Berikut kami infomasikan syarat pembukaan rekening Tahapan Xpresi BCA : Perorangan dewasa (WNI) -Kartu identitas (KTP/Paspor) -NPWP -Resi perpanjangan dari instansi terkait (bila kartu identitas dalam proses perpanjangan) -Menyerahkan identitas (1/3) ^sabo</t>
  </si>
  <si>
    <t>Legalitas Menolak Pemulangan WNI Eks ISIS bagi Pemerintah</t>
  </si>
  <si>
    <t>Menolak memulangkan isis eks wni, Indonesia tidak melanggar HAM. #HAM</t>
  </si>
  <si>
    <t>@isis_macedo10 @minhavidabbb Jaeh 👇</t>
  </si>
  <si>
    <t>@detikcom Nah ini! Kenapa isu pemulangan WNI terlibat ISIS tiba2 naik? Pertanyaannya, emang mereka pngen balik? Wkwk. Pihak otoritas ini ya, bisa aja bikin berita ngga jelas di tengah polemik2 yg harusnya dijelaskan. Haiiihh!</t>
  </si>
  <si>
    <t>@wadinug @smallmelville @mohmahfudmd Lu baca Pasal 13 Konvensi Jenewa..lalu lu liat Pasal 23 huruf i UU Kewarganegaraan Klo lu pinter pasti lu gak sependapat dgn pendapat status WNI Eks ISIS dicabut</t>
  </si>
  <si>
    <t>Ini Besarnya Biaya untuk Pulangkan WNI dari Wuhan China</t>
  </si>
  <si>
    <t>@narkosun Ga suka pancasila suruh ikut isis bang Kalo bner2 pngen jihad jgn cman omdo</t>
  </si>
  <si>
    <t>Dinkes Jatim: Tenang, 65 WNI yang Akan Datang dari Natuna Sehat, Budiono: Masyarakat Gak Usah Menyikapi Berlebihan  lewat @Kanalindonesia.com</t>
  </si>
  <si>
    <t>@ResnaBuleleng Iya. Nggak menunjukkan gejala karena suhu tubuh normal dll itu nggak serta-merta berarti negatif. Apalagi ada kasus positif corona tanpa menunjukkan gejala. Kemenkes baru boleh bilang 'negatif corona' kalau memang 78 WNI itu sudah dites.</t>
  </si>
  <si>
    <t>anak anak WNI eks ISIS akan dibina kontra Radikalisme #lawanradikalisme #IndonesiaSatu #IM3Ooredoo</t>
  </si>
  <si>
    <t>Selamat kembali ke keluarga, tetap sehat dan semangat, terima kasih juga untuk masyarakat Natuna. Tak lupa @_TNIAU, @KemenkesRI, @BNPB_Indonesia dan semua unsur yg terlibat. Misi pemulangan WNI ini tdk akan berhasil tanpa kerjasama yg baik dari kita semua.😇 RT @kompasiana: Bersatu di Wuhan, Berpisah di Tenda Pleton, Terimakasih Natuna!</t>
  </si>
  <si>
    <t>RT @kafiradikal: ...Padahal jumlah WN yg dibunuh oleh rezim jauuuuuhh melebihi ekstremis Islam. Bahkan baru2 ini seorang menko anggap sampah korban2 pembunuhan di Papua. Bisa nyaman menerima teror rezim tapi nggak bisa menerima ex anggota2 ISIS yg notabene ciptaan Mossad-CIA. (``,)</t>
  </si>
  <si>
    <t>Mantan Isas isis lah, ratusan orang mati waktu pemilu aja ga ada perhatian kok apalagi segelintir label radikal..</t>
  </si>
  <si>
    <t>Cara WNI di Wuhan Tiongkok Menjaga Kesehatan dari Coronavirus  via @kabar_tangsel</t>
  </si>
  <si>
    <t>Yg benar ISIS ex WNI ? RT @k4ng_C1reNG: Eks Presiden ISIS Indonesia: Tidak Benar WNI Eks ISIS Ingin Pulang</t>
  </si>
  <si>
    <t>mantap ini kebijakan pemerintah tidak memulangkan eks ISIS #saveindonesia #IndonesiaSatu #TanteMirna</t>
  </si>
  <si>
    <t>RT @ikhwan_nasai: Saling Follow, Pro NKRI, Anti Isis, Anti Corona #GarudaNusantara Inisiator #ProgramFollback @TheArieAir Follow Promotor @ahmad_subana @moh_effendie @Pr0_NKRI @Mahrus30127858 @puteriwiryono @adjibaya @LebahGanteng07 @AbdoelDhany @Vania_Ciprut @blendung @QaisRafif @Criztx</t>
  </si>
  <si>
    <t>@HatuweSoleiman @KPAI_official nya sibuk urus anak ex ISIS mau pulang😅</t>
  </si>
  <si>
    <t>@Official_oseey @UsmanTafeedah @khalipha_umar @BilalmlJ Bansan kowaye kai ba amma tunda naganka a dakin almajirai da alama kai almajirine.try me and u will knw who am i kunga wni kolo 😂😂@BilalmlJ @UsmanTafeedah @khalipha_umar</t>
  </si>
  <si>
    <t>@KakekHalal @Kemenag_RI Adl sorga yg 0enuh dengan bidadari jika mereka mengekang minoritas dan mengenyampingkannya. Kwkwkw makanya mereka berlomba mempersulit kaum minoritas.. Klo teroris isis membunuh pakai senjata, mereka membunuh pakai diskriminasi dan kekuasaan mereka!</t>
  </si>
  <si>
    <t>@AnakKolong___ @Bentir16 @KPAI_official Ada" aja KPAI ini. Banyak penindasan HAM di dalam negeri mereka hanya diam aja. Kenapa mereka lebih memperhatikan anak"ISIS sedangkan anak" didalam negeri masih banyak mendapat penindasan HAM. Virus ISIS sudah menjangkiti mereka.</t>
  </si>
  <si>
    <t>@zarazettirazr eks isis memang tak dipulangkan, sangat berbahaya</t>
  </si>
  <si>
    <t>Observasi 238 WNI di Natuna dinyatakan sehat😎💂 #P5TNI #Natuna #Wuhan #VIRUS_CORONA</t>
  </si>
  <si>
    <t>@jokowi @AntonPr12594871 Tanggungjawab bpk yg lebih utama mensejahterakan 260 juta rakyat indonesia. Percuma dgn tidak memulangkan 689 org eks ISIS tapi kesejakteraan dan keadilan hanya omong kosong.</t>
  </si>
  <si>
    <t>WNI eks isis atau eks WNI eks isis? Kan udah bakar paspor segala macem, harusnya udah eks WNI dong ya.</t>
  </si>
  <si>
    <t>RT @AzisSulton: @CNNIndonesia @Kemlu_RI Sy percaya 78 WNI itu adalah generasi Jamu Buyung Upik</t>
  </si>
  <si>
    <t>Jujur gue seneng banget kalo denger corona virus wni negative semua 🥺🥺 tp ngakak juga kenapa kebal banget</t>
  </si>
  <si>
    <t>@mohmahfudmd Mungkin Cina boleh masuk Eks ISIS ...ga boleh masuk.... Jd kalo WNI yg tertipu ikut ISIS..ga boleh masuk Kalo Cina penipu Bangsa boleh masuk</t>
  </si>
  <si>
    <t>Kisah Bocah Indonesia yang Dipenjara di Suriah Lantaran Orang Tuanya Ikut ISIS Hingga Tewas Akibat Roket, Yusuf: Saya Tak Tahu Mau ke Mana</t>
  </si>
  <si>
    <t>RT @sirajapadoha: @bahdirdja @Ze_sukma @enny_endah @dkarhita @SoffiAgus @asepapit @angelmaximilan @YgGregorius @BHD_8 @YCH7168 Teroris ISIS eks WNI hidup ter-lunta2 di camp pengungsian di Suriah sana dibilang berpenghasilan besar,,, hanya manusia Oon yg mau percaya sm mantan presiden iblis itu</t>
  </si>
  <si>
    <t>Sakti mandraguna WNI yaa, hmmm RT @CNNIndonesia: Pemerintah Jepang menyatakan sebanyak 218 penumpang kapal pesiar Diamond Princess terinfeksi virus corona. @Kemlu_RI pun menuturkan bahwa 78 orang WNI yang merupakan kru dari kapal pesiar tersebut dalam kondisi sehat dan negatif virus corona.  #CNNIndonesia</t>
  </si>
  <si>
    <t>@WR_4AG226 Makenye eks wni anggota isis tolak pulang bahaya virus k-drone bisa menular</t>
  </si>
  <si>
    <t>RT @misake89847474: @HafitSetyabudi @mohmahfudmd Uu 12 thn 2006 pasal 23, huruf d. Hilang status wni jika: d. masuk dalam dinas tentara asing tanpa izin terlebih dahulu dari Presiden; Jelas isis bukan negara tapi mrk adalah tentara asing. Dan mrk sdh bergabung dg tentara asing. Jd mrk bukan wni lagi. Tdk ada kt negara asing</t>
  </si>
  <si>
    <t>RT @sarapan1_3malam: Pemerintah masih setengah setengah dalam antisipasi virus Corona. Belum ada tindakan pengecekan pada WNA dan WNI dari Wuhan yang ada di Indonesia (terutama bali) ... #CoronaDiantaraKita #CoronaAlert</t>
  </si>
  <si>
    <t>@M_agussalehsays @AlissaWahid Kalo gitu pindah aja ke Arab sono... atau ke Suriah gabung ISIS aja... dijamin disana gak bakalan ada ritual sedekah laut/jaipongan yg katanya gak sesuai dgn syariat agama loe.</t>
  </si>
  <si>
    <t>BNPB: Biaya Pemulangan WNI dari Cina Capai Rp 12 Miliar</t>
  </si>
  <si>
    <t>RT @Gun4w4nAhokers: Untuk mantan WNI eks ISIS abaikan rasa kemanusiaan seperti saat mereka melakukan tindakan2 terorisme,bom bunuh diri,pembunuhan massal tanpa pernah mempunyai rasa kemanusiaan terhadap sesama dan toh mereka bukan lagi WNI yg tdk lagi menjadi tanggung jawab pemerintah...</t>
  </si>
  <si>
    <t>@RazkaFaiz @KPAI_official @KomnasHAM @PolhukamRI @fadlizon Mrk pura2 ngga tau . Cost Untuk import kombatan isis hrs pake dana gede ..... blom lg klo mrk mlanggar HAM dg BOM ..</t>
  </si>
  <si>
    <t>RT @leoyuwono: @AhlulQohwah @BadjaNuswantara Betul.... buktinya nggak ada maling training anaknya atau masukin anaknya ke sekolah maling. Tapi orang tua ISIS, dengan semang hati masukkin anaknya ke sekolah ISIS, belajar perang, belajar menggal, belajar bom</t>
  </si>
  <si>
    <t>Mimpi isis anjai serem bgt</t>
  </si>
  <si>
    <t>Observasi Selesai, Bagaimana Nasib Hanggar Tempat Karantina WNI di Natuna?</t>
  </si>
  <si>
    <t>@OpsiMetroTV (IS) pada ISIS adalah Islamic State. Mungkin kalau dibahasakan adalah Negara Islam. Masalah diakui PBB atau tdak. State itu negara.</t>
  </si>
  <si>
    <t>RT @elHurryKoRn: Zon kritik Presiden karna tak Pulangkan Kombatan ISIS ke NKRI dan Kita tau dibelakang ISIS adalah USA &amp; Zon bangga foto dg Trump Teriak Anti PKI tapi dia Berfoto di Makam Mbahne Komunis Sebenarnya kowe iki Mahluq opo sih su?!! #AwasAntek2ISIS #TolakEksWNIproISIS</t>
  </si>
  <si>
    <t>@OnlyOnesia @oneaperture @suzli05 @Mom_isback @Marder2000 Silahkan aja ke sana ruqyah penumpang yg positif tertular. Alhamdulillah gk ada WNI di kapal pesiar ítu yg tertular virus Corona. Baca beritanya nak'e.</t>
  </si>
  <si>
    <t>Sauran minti hamsin da wni abu still ba gift</t>
  </si>
  <si>
    <t>RT @demokrasicoid: Pemulangan Anak Eks ISIS, Demokrat: Jokowi Jangan Seperti Donald Trump</t>
  </si>
  <si>
    <t>Ga tuh, jangan lancang dan jd sok tau ya cara berpikir saya kayak gmn Dan jangan melebar kemana-mana dah. Gaada yg ngomongin isis dan pengantin bom dan apalah. Fokus dong sama diskusi awal. Semoga saya sama vira ga terpancing sama obrolan lain.</t>
  </si>
  <si>
    <t>@BiLLYKHAERUDIN Hoream...engke sieun mun ngritik pasti ditanya sampeyan WNI bukan</t>
  </si>
  <si>
    <t>RT @Beritasatu: Menkes Pastikan Semua WNI dari Tiongkok di Natuna Negatif Covid-19</t>
  </si>
  <si>
    <t>RT @MZubir_ID: @amandagempita Yang hobi kafir-kafirkan orang lain dipastikan sudah terpapar VIRUS radikalisme agama, ideologi khilafah ISIS, HTI dan ideologi transnasional. Mereka merasa sebagai pemilik kebenaran absolut, yang diluar kelompoknya, termasuk umat Islam semua kafir.</t>
  </si>
  <si>
    <t>Jgn pikirkan eks WNI isis...kandangin aja WNI isis yg ada disini...🙄🙄.. RT @MZubir_ID: @amandagempita Yang hobi kafir-kafirkan orang lain dipastikan sudah terpapar VIRUS radikalisme agama, ideologi khilafah ISIS, HTI dan ideologi transnasional. Mereka merasa sebagai pemilik kebenaran absolut, yang diluar kelompoknya, termasuk umat Islam semua kafir.</t>
  </si>
  <si>
    <t>@mediaindonesia Dgn logika yg sama. Adanya ISIS apa berarti agama telah gagal mewujudkan masyarakat yg madani??</t>
  </si>
  <si>
    <t>@Isis_Turl gataaaaa</t>
  </si>
  <si>
    <t>@beningbanyuku @Mala_1920 @sitijuarina @br_had Biasanya nek bar gondrong terus potong pendek rasane langsung enteng, isis dikepala Ki... Kulo riyin malah ngantos masuk angin wqwqwq 😁</t>
  </si>
  <si>
    <t>WNI dalam Karantina Segera Dipulangkan</t>
  </si>
  <si>
    <t>RT @dusrimulya: Pertanyaannya simpel: Apa ISIS itu negara sesuai Hukum Internasional (Konvensi Montevideo)? Apa Pasukan ISIS diperlakukan sesuai Konvensi Jenewa? Negara mana yg mengakui ISIS sbg sebuah negara? Apa Indonesia akui ISIS sbg negara? Dimana kedutaan ISIS di Jakarta? Ngawur !!!</t>
  </si>
  <si>
    <t>RT @dusrimulya: @lukasomanalu @mohmahfudmd Negara mana yg mengakui? Salah satu syarat Negara diakui sbg negara adalah ada negara lain yg mengakui? Negara mana yg mengakui ISIS? Klo Kewarganegaraan WNI eks ISIS dicabut, maka scra de jure Indonesia mengakui ISIS sbg suatu Negara Jgn bodoh</t>
  </si>
  <si>
    <t>@detikcom Jangan balik lah, isis tidak cocok dengan indonesia..</t>
  </si>
  <si>
    <t>@mohmahfudmd pak gmn yg gereja di karimun.. ini yg intolerance sj PEMERINTAH TIDAK HADIR, gak bisa di tanganin apalagi di tambah ex ISIS</t>
  </si>
  <si>
    <t>Apakah jangan kelor dan tempe penyet menjadi salah satu faktor imunitas WNI di kapal ini? 😅 RT @CNNIndonesia: Pemerintah Jepang menyatakan sebanyak 218 penumpang kapal pesiar Diamond Princess terinfeksi virus corona. @Kemlu_RI pun menuturkan bahwa 78 orang WNI yang merupakan kru dari kapal pesiar tersebut dalam kondisi sehat dan negatif virus corona.  #CNNIndonesia</t>
  </si>
  <si>
    <t>@detikcom Seharusnya presiden isis ini ikut juga ke sana</t>
  </si>
  <si>
    <t>RT @jr_kw19: Mencla mencle bikin Geregeet aja 😂 Menag Fachrul Razi menolak rencana pemulangan Eks WNI pro ISIS mereka sadis dan membawa nama agama Coba deh klu gak ada desakaan dari masyarakat lempeng2 aja kayaknya 😂 Awaas jangn coba2 berubah lg #ISISGoToHell</t>
  </si>
  <si>
    <t>RT @prawirasubarjah: @dusrimulya @DesiArfisi Kec RI mengakui ISIS negara berdaulat, maka wni ex isis bisa dianggap masuk tentara asing</t>
  </si>
  <si>
    <t>Eks Presiden ISIS Indonesia Siap Tampung WNI Eks ISIS yang Ingin Pulang Kampung</t>
  </si>
  <si>
    <t>Keputusan yang tepat, ratusan juta WNI lebih perlu dipikirkan daripada melayani ratusan eks WNI yang termakan pikiran radikal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</si>
  <si>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RT @JL_Apatheia: @nanininaninna Pengen tau, anak kombatan ISIS itu nangis juga gak sih pas gorok leher orang? Apa cuma pas kalah dan minta dipulangin ke Indonesia aja?</t>
  </si>
  <si>
    <t>RT @Rita8213: @morris_arina @JL_Apatheia Gw keberatan mereka disebut ex ISIS. Siapa yg bisa jamin mereka sdh bukan ISIS. Mereka ex WNI.</t>
  </si>
  <si>
    <t>@AtikaFaya @ganjarpranowo Baru iseng aja udah gebugin anak orang, bayangkan kl itu bukan keisengan, mungkin sesadis isis.</t>
  </si>
  <si>
    <t>RT @dusrimulya: Syarat sbg negara sesuai Konvensi Montevideo tak terpenuhi 1. Pemerintahan ✔ 2. Rakyat ✔ 3. Punya Wilayah ❌ krn itu wilayah negara Irak dan Suriah 4. Pengakuan sbg negara dr negara lain ❌ Maka ISIS tak bisa disebut negara dan pasukan ISIS tak bsa disebut Tentara</t>
  </si>
  <si>
    <t>@ririn63795590 @detikcom Kpn sy blng mau ngajarin isis?? nih ya Lu mau nolak isis sah2 aja. Tp tdk pduli pda korban2 akibat kejahatan yg isis lakukan di luar "negara lo" itu salah..!! Klo lu berotak stdknya tunjukin rasa empati. Maen lu jauh tp otak kaga lu bawa.</t>
  </si>
  <si>
    <t>RT @nanassshhhh: @ustadchen @ave_tweet @ardnif Ini lucu si asli. Kemaren baca berita. Maksutnya kobisa? Di saat who curiga kenapa di indo blm ada suspect tp ini wni yang satu kapal sama org2 yg kena corona masi sehat2 aja. Padahal yang meriksa org jepangnya langsung. Something's wrong with our immune😂</t>
  </si>
  <si>
    <t>RT @BayDawi: @UKI_djayengrono @blackpink828 @fadlizon walah pantes semalem di @MataNajwa @NajwaShihab ngotot banget pengen terorist isis pulang...wong dia suport donasi ...kekeke</t>
  </si>
  <si>
    <t>@natiku1234 @mohmahfudmd Bapak lu simpatisan ISIS?</t>
  </si>
  <si>
    <t>RT @AnakLolina: Tolong sampaikan ke : @fadlizon @MardaniAliSera @hnurwahid dll bahwa anggota ISIS eks WNI sangat betah di Suriah. Eks WNI tidak berharap pulang krn mereka ingin mati di jalan Allah.</t>
  </si>
  <si>
    <t>@babangmu @bl4cksapphire @donysoer @aryosanjaya @Sabrina13579_ @Sam_Ardi TKP di Suriah. Ya sdah dihukum di Suriah. Apa setiap kejahatan WNI di LN juga harus diadili di dalam negeri?</t>
  </si>
  <si>
    <t>eks WNI ISIS: pemerintab ga perlu se-tertekan itu oleh desakan massa. kepala dingin dan penyidikan melalui mekanisme hukum akan menjawabnya. presiden jangan jadi lembaga pengadilan -asal vonis-</t>
  </si>
  <si>
    <t>@ISIS_Balik_NO @Uki23 @sandalista1789 Situ dukun ??</t>
  </si>
  <si>
    <t>Presiden Pastikan WNI di Natuna Sehat dan Siap Kembali ke Rumah</t>
  </si>
  <si>
    <t>@Joes771 @detikcom Justru comment itu.karena sudah baca cak.....judul provokative, percaya ngga percaya wni tidak terpapar, tapi isinya beda , gitu maksudnya , jangan2 lo yg ngga ngerti isi dan judulnya ? Ada kesan kalaunWNI kebal ncov tahu ?</t>
  </si>
  <si>
    <t>RT @koko_dhoni: @RomeskoP @jokowi Pak @mohmahfudmd silakan ngomong secara terbuka kl kami org katolik memang tdk berguna bagi bangsa ini,bukan bangsa Indonesia. Lebih baik memperjuangkan ISIS eks WNI.Silakan Pak @mohmahfudmd .Jgn sungkan2 &amp; ragu.</t>
  </si>
  <si>
    <t>RT @Je_Ly: Perhatikan baik2 video lama ini. Perempuan dianggap pabrik anak o/ ISIS. Dg tujuan apa? Jelas mereka butuh bibit2 yg melanjutkan aksi terorisme mereka. Skrg kita mau terima anak2 ISIS ex WNI? No way 😒 #TolakAnakISISKembali</t>
  </si>
  <si>
    <t>@wajahsolehah @Joes771 @detikcom Sudah baca dul....dan detail , judulnya provokatif , apa itu percaya ngga petcaya WNI tidak ada terpapar ncoc , 1074 crew , indo ngga ada 10% nya dan jumlah penumpang hampir 3000 orang , pasti saya baca dulu , emang kuota warung kopi ? Enak aja</t>
  </si>
  <si>
    <t>Percaya Nggak Percaya, WNI Tak Terpapar Corona di Kapal Pesiar via /r/indonesia</t>
  </si>
  <si>
    <t>@detikcom KSP siap menanggung resiko bila terjadi gangguan keamanan akibat ulah isis</t>
  </si>
  <si>
    <t>@bl4cksapphire @kafiradikal Sama saja sprti JAD dan JAT cabang isis di Indonesia masih satu kepemimpinan dgn isis.. Bgtu jga dgn JI pimpinan Baasyir yg dulunya d bawah komando Alqaeda dan Taliban</t>
  </si>
  <si>
    <t>RT @tempodotco: Cendekiawan muslim, Ulil Abshar Abdalla, mengatakan setiap negara memiliki tanggung jawab untuk memulangkan warga negaranya yang menjadi pendukung ISIS.</t>
  </si>
  <si>
    <t>RT @ontynad: Pesawat Garuda siap mengantar bantuan masker ke negri China. Perlu empati lebih untuk membantu para WNI yg berada di negeri China utk menanggulangi wabah virus corona. berdoa yg terbaik untuk mereka 🙏😇 #BUMNMelawanCorona @jr_kw19 @TheArieAir @yarachantique</t>
  </si>
  <si>
    <t>@SahabatSaber WNI eks isis??Bukan WNI lagi,,isis eks WNI yg bener</t>
  </si>
  <si>
    <t>@MihaelGorbachev @dickgregory2011 Fake Wahhabi isis propaganda</t>
  </si>
  <si>
    <t>RT @abumalikha0528: Ini cth&amp;bukti, bahwa Pemerintah sbg penguasa mmg byk melampaui batas memutuskan/membuat vonis hukum sendiri kpd WNI ex Kombat ISIS diluar Aturan mekanisme Hukum sbg Negara Hukum! Lalu Penguasa dlm Politik Dinasti anaknya yg nyalon walikota apa tdk cawi2 dgn power Kekuasaanya????</t>
  </si>
  <si>
    <t>RT @Emmy8412: @AhlulQohwah @KPAI_official @TyasZain @WagimanDeep @narkosun @JoniSukaPaha Nahh @KPAI_official diam2 bae😏 Giliran anak2 Isis koar2🤦‍♀️</t>
  </si>
  <si>
    <t>@beningbanyuku @Mala_1920 @sitijuarina @br_had Wah njenengan potong rambut to Ki, isis tur ketingal awet enom😁😁😁... Bantul jawahe deres niki ngangge angin kencang... Banyak pohon tumbang &amp; listrik mati....</t>
  </si>
  <si>
    <t>@korantempo Kalau pemerintah berkeras memulangkan mantan isis ya siap2lah Jawa dan Jakarta dengan teror Bom karena mereka itu teroris yg telah kala perang dan mencarih perlindungan sekalian mencarih tempat untuk aman bertapak mengembangkan pengalaman mereka jadi hati2 saja</t>
  </si>
  <si>
    <t>Hari Ini 238 WNI yang Dikarantina di Natuna Dipulangkan Via Halim Perdanakusuma, Berikut Daftarnya .</t>
  </si>
  <si>
    <t>@CNNIndonesia @Kemlu_RI Artinya WNI emang sakti ... Imun terhadap virus .</t>
  </si>
  <si>
    <t>RT @CintaNKRI08: WaalaikumSalam #GubernurPilihanAllah Bang @aniesbaswedan Dirimu di cintai seluruh Rakyat Indonesia yg ber Akal sehat dan WNI di LN , Dalam Doa kami InshaaAllah Allah menguatkan dirimu , dan selalu menjaga mu ,Aamiin Allahuma Aamiin 🤲🤲</t>
  </si>
  <si>
    <t>Wapres RI Ma'ruf Amin Status WNI Otomatis Hilang Saat Bergabung ke ISIS</t>
  </si>
  <si>
    <t>@agslim II/Skorsing -Dokumen yang dibutuhkan seperti: KTP, Slip gaji /Surat Keterangan Perusahaan, Paspor BCA dan NPWP (khusus pengajuan mulai dari Rp. 50 juta) -Status Kewarganegaraan WNI berdomisili di Indonesia - Untuk Wiraswasta atau Profesional (3/9) ^sabo</t>
  </si>
  <si>
    <t>@agslim WNI berdomisili di Indonesia Pengajuan akan diproses selama 14 – 21 hari kerja. Besarnya plafon pinjaman yaitu minimal Rp. 5.000.000 – Rp. 100.000.000 dengan pilihan tenor 1 tahun (bunga 1.00% flat per bulan ), 2 tahun (1.03% flat per bulan ), dan 3 (6/9) ^sabo</t>
  </si>
  <si>
    <t>RT @SwaraKepri: 7 WNI di Tanjungpinang Negatif Virus Corona</t>
  </si>
  <si>
    <t>@mohmahfudmd Emangnya ISIS negara Prof??</t>
  </si>
  <si>
    <t>RT @Aryprasetyo85: Presiden @jokowi Pastikan WNI di Natuna Sehat dan Siap Kembali ke Keluarga Mereka telah menjalani masa observasi selama 14 hari di Natuna yang mana hal tersebut sesuai dengan protokol kesehatan dari Organisasi Kesehatan Dunia (WHO). @AlvinoLulu @cintada17</t>
  </si>
  <si>
    <t>Ini cth&amp;bukti, bahwa Pemerintah sbg penguasa mmg byk melampaui batas memutuskan/membuat vonis hukum sendiri kpd WNI ex Kombat ISIS diluar Aturan mekanisme Hukum sbg Negara Hukum! Lalu Penguasa dlm Politik Dinasti anaknya yg nyalon walikota apa tdk cawi2 dgn power Kekuasaanya???? RT @Cobeh09: = Prof. Gayus Lumbuun Sebut Ngabalin Bodoh ! = Terkait Kasus WNI Ex ISIS. -Prof. Gayus : "Harus Lewat Proses Pengadilan !" -Ngabalin Tertawa Ngekek -Prof Gayus : "Kok Ketawa ? Gak Perlu Ketawa, Itu Anda Ketawa Yang Bodoh." .</t>
  </si>
  <si>
    <t>@detikcom Penegasan yang bagus. WNI eks ISIS tidak akan di pulangkan ke Indonesia. Moga bukan Wacana.</t>
  </si>
  <si>
    <t>Debat Sengit antara: Natalius Pigai, Prof Hikmawanto Juwana dan Usman Hamid di TVOne. Pigai: gugur dan tidaknya WNI Anggota ISIS adalah Pengadilan. Pemerintah bukan Penegak Hukum. Pernyataan sy di dukung Prof Dr. Gayus Lumbun.</t>
  </si>
  <si>
    <t>KPAI, pas ada anak yang dibully kalian kemana ? Gk ada uangnya kah ? Jadi gw bertanya tanya kalian ini dibayar siapa sih utk blow up eks wni yg ikut isis ini ? RT @kompascom: "Ketika kembali ke Indonesia maka negara harus menyiapkan hak asuh anak-anak tersebut jatuh ke tangan siapa," kata Retno | #Nasional .</t>
  </si>
  <si>
    <t>@k4ng_C1reNG menerima kombatan ISIS kmbali ke tanah air...sm saja negara melihara anak ular king cobra...🤔</t>
  </si>
  <si>
    <t>Aktivis: Pemerintah Perlu Siapkan 'Ayah' bagi Anak-anak Eks ISIS</t>
  </si>
  <si>
    <t>@jjblanesmalaga @NaniSoriano Ti o alguini miirdi di isis, idioti</t>
  </si>
  <si>
    <t>@detikcom sumpah gak paham gw!! di sini ada Eks ISIS, presidennya pula, tp masih berstatus WNI, ko gak dibuang aja? lalu yg disana gak mau pulang, tapi pemerintah heboh ngurusin mereka, ini sebenernya ada dagelan apalagi, sih? ohh... ngalihin isue Harun masiku hilang, jiwasraya, dan asabri</t>
  </si>
  <si>
    <t>@mediaindonesia Menolak balik anggota Eks. WNI ISIS, sbg pintu gerbang mencegah masuk nya Virus dan upaya memberantas para Teroris di Indonesia. AWASI dan Waspadai..... mereka2 yg NGOTOT agar NKRI memulangkan Nya, dimungkinkan menyelundupkan ISIS msk ke NKRI. WASPADA.</t>
  </si>
  <si>
    <t>RT @geloraco: Eks Presiden ISIS Indonesia: Tidak Benar WNI Eks ISIS Ingin Pulang</t>
  </si>
  <si>
    <t>RT @P_Eneste: Islam melarang umatnya bersikap tidak adil (intoleran).👉AlQur'an Allah larang mengganggu umat lain, termasuk tempat ibadah dan sesembahan mereka. UUD 1945 jamin WNI utk beribadah sesuai agamanya. Pemerintah di mana? @kemendagri @PolhukamRI @mohmahfudmd Presiden @jokowi</t>
  </si>
  <si>
    <t>RT @Bin02033736: Saya mau tanya fud, apa ada kedutaan ISIS di Indonesia? Elu bego -bego bener</t>
  </si>
  <si>
    <t>@Eno_Bening Ga tertular karna d kapal peziar itu g ad WNI</t>
  </si>
  <si>
    <t>smoga imun gue dendi igun fito kuat, sekuat wni di kapal diamond princess,,,,, amiiinnnnnn</t>
  </si>
  <si>
    <t>@detikcom Lho ini kenapa enggak ditangkap? Eks karena ISIS nya sdh bubar bukan berarti ideologinya tdk bisa disebarkan, kecuali Eksnya krn org ini sdh dideradikalisasi.</t>
  </si>
  <si>
    <t>Karantina dan Observasi Kesehatan 285 WNI dari Wuhan Berakhir Hari Ini, 34 Orang Asal Kaltim-Kaltara</t>
  </si>
  <si>
    <t>@KPAI_official Noh urus anak2 miskin korban bully di sekolah...kalo ngurus ginian lambat banget giliran ngurus anak ISIS vokal banget..🙄🙄</t>
  </si>
  <si>
    <t>@OpsiMetroTV kayanya gw setuju dgn pernyataan ini, krn ISIS bkn negara, gak ada yg mengakui ISIS itu negara, so WNI eks ISIS tetap WNI yg pernah bergabung dgn organisasi teroris transnasional, klo mrk mo pulang, negara wajib mengakomodir, terkait bagaimana prosesnya tggal diatur mekanismenya</t>
  </si>
  <si>
    <t>@keshu_777 @SanjayAzadSln Bhai sahab, Aap thik baat Kar rahe ho Rss/BJP Indian IsIs hai, terrorists hai.</t>
  </si>
  <si>
    <t>Saya mau tanya fud, apa ada kedutaan ISIS di Indonesia? Elu bego -bego bener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</si>
  <si>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RT @addam991: @MichaelHarto77 @AlissaWahid mana ada eks ISIS..sekali ISIS tetap ISIS</t>
  </si>
  <si>
    <t>@unlethalweapon Iya ada asylum tapi banyak tapinya. Di rumahnya saja ditolak. Indonesia menolak karena apa? Takut. Siapa yang gak takut ISIS? Indonesia, alih-alih menguatkan sistem keamanan dan hukum, mereka mematikan si potensial; macem mutus internet sampe bunuhin orang tatoan.</t>
  </si>
  <si>
    <t>RT @elHurryKoRn: Umi &amp; Walad ISIS Indonisie Selamat "Berjihad" Melawan Tentara Syuriah &amp;amp; Iraq, Smoga Kerasan Disana Karna Kalian Ditolak PANCASILA! #AwasAntek2ISIS #TolakAnakISISKembali Minta tolonglah pada mreka untuk dipulangkan ke "Negoro Cacing" @KomnasHAM @komnas_anak @PKSejahtera</t>
  </si>
  <si>
    <t>@mediaindonesia Lebih baik dibilang gagal darpda memelihara Teroris yg suatu hari membunuh Warga n tetangganya sendiri, di tanah airnya sendiri.. Cc. @jokowi n @mohmahfudmd n @BNPTRI #MemeliharaTerorisPembunuh</t>
  </si>
  <si>
    <t>RT @IxNdheso: ADA APA DENGAN FADLI ZON Sempat terpikirkan kenapa Fadli Zon begitu ngeyel bersuara menginginkan eks WNI ISIS pulang ke Indonesia. ..??? Ternyata Fadli Zon salah satu donatur untuk Pemberontakan ISIS di Suriah.</t>
  </si>
  <si>
    <t>RT @AlFatih68231928: @jokowi 2. Untuk laki2 dewasa yang dianggap ikut ISIS , dikarantina di tempat tertentu , dilakukan evaluasi dan investigasi oleh Team . Dan dilakukan indoktrinasi ideology kembali. Nah mungkin dari Team , ada kriteria sampai kapan dianggap bisa layak kembali ke masyarakat.</t>
  </si>
  <si>
    <t>RT @twitpos: Rusia pulangkan 200 anak² dgn usia dibawh 18 thn Saat ditanya kekhawatiran anak² tsb terpapar paham radikalisme atau menjadi ancaman keamanan domestik, dia meyakini mereka bisa diedukasi, hal tsb menjadi tanggung jawab keluarga dan/atau pemerintah Rusia</t>
  </si>
  <si>
    <t>wni eks isis minta pulang gara2 kalah perang? coba kalo menang perang minta pulang gak ya?</t>
  </si>
  <si>
    <t>@OpsiMetroTV Ya ma’am aja saya Kristen Darah Sumatra jadi kaga takut dengan islam ISIS pribumi Indo. Soalnya masih sedarah dengan saya . Kalo lu Gak suka itu urusan lu namun Jelas Hak mereka pulang kampung adalah Hak Darah warga negara mereka Indonesia Darah pribumi yg di lindungi UUD45.</t>
  </si>
  <si>
    <t>Selamat bertugas rekan-rekan di @KBRITokyo ! Tetap semangat utk lakukan tugas #NegaraMelindungi 💪🏻 Semoga para WNI yg ada di Kapal Diamond Princess terus diberikan kesehatan. Aminnn. #IniDiplomasi #IndonesianWay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</si>
  <si>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RT @sudonomil: Lagi ada survey terkait 'Psikotest Dalam Penerimaan Kerja', jika ada yang memiliki kriteria berikut. 1. WNI Usia 16-30 2. Mahasiswa tingkat akhir, jobseeker Boleh banget isi link ini  Min @hrdbacot bantu retweet dong</t>
  </si>
  <si>
    <t>Mendagri Tito Bentuk Tim Pemulangan WNI di Natuna</t>
  </si>
  <si>
    <t>Mendagri Tito Bentuk Tim Pemulangan WNI di Natuna  via @Indopolitika</t>
  </si>
  <si>
    <t>@LieDetectorID nanti ada azab Allah kl berani memulangkan ISIS, mereka sdh tenang disana hidup didalam negara khilafah impiannya.</t>
  </si>
  <si>
    <t>RT @YogaAdrianyoga6: @JL_Apatheia Saya kadang bertanya2..apakah pengobatan para korban bom benar2 ditanggung oleh negara hingga sembuh?? Seharusnya negara lebih memikirkan ini drpd mentargetkan ISIS hingga juni</t>
  </si>
  <si>
    <t>RT @Aldiasman: @detikcom @KPAI_official dan pejuang² pemulangan eks WNI &amp; kombatan ISIS ke negeri ini agar baca nih statement pensiunan Presiden ISIS Regional Indonesia, Chep Herniawan - biar pikiran anda tidak butek.</t>
  </si>
  <si>
    <t>@bahdirdja @Ze_sukma @enny_endah @dkarhita @SoffiAgus @sirajapadoha @asepapit @angelmaximilan @BHD_8 @YCH7168 Sudah tepat keputusan pemerintah u tidak memulangkan ISIS eks WNI agar mereka menikmati penghasilan besar disana.</t>
  </si>
  <si>
    <t>DPR Pahami Sikap Pemerintah Tolak WNI Eks ISIS</t>
  </si>
  <si>
    <t>@fmwumala Kasi jelas indikatornya pak @mohmahfudmd apakah isis msuk ktegori sbg Tentara? Asing? Tentara Asing? Selanjutnya apakah perempuan dan anak yang ikut dengan keluarga bergbung ke ISIS msuk sbg kategori ikut berperang? Sblum itu, hrus jelas dlu apa itu perang dan siapa sbjeknya?</t>
  </si>
  <si>
    <t>@Diggrich_ @Elisa59 @GraafdeMachiel @JoelVoordewind @thierrybaudet @BisschopRoelof @Gefira_org @keesvdstaaij @OmroepON @JoostNiemoller 😂🤣🤣😂🤣😂 ISIS, al Qaeda is Islam.</t>
  </si>
  <si>
    <t>@___FAREED Wni yace wai da hilux zaa je dakko su da jiniya😂</t>
  </si>
  <si>
    <t>RT @wow_keren: Khofifah Minta Warga Jatim Tak Khawatir Soal Pemulangan WNI yang Dikarantina di Natuna</t>
  </si>
  <si>
    <t>@haauwar Hhhh kinsn wni network yafi wani kyau but try my network 😅</t>
  </si>
  <si>
    <t>@Hendriksrtn @Gerindra #ISISGoToHell with your fucking ideology!! Makan tuh abu passport yg udh kalian bakar!! Dasar biadab2 penghianat bangsa!! Buat yg dukung mrk para eks WNI pro ISIS balik ke Indonesia baiknya kalian2 aja yg ke Syria sana gabung sm mrk!!</t>
  </si>
  <si>
    <t>@Rifqiei @caramelcarbs Mkanya WNI yg balik dri wuhan di gak ada yang diperiksa karna mereka gak nunjukin gejala, dan biaya nya mahal. Sementara Warga amerika, malaysia, india, australia yang dievakuasi dari wuhan sampai di negaranya ditest semua dan ada yg positif, gak ada tuh yang nyalahin china.</t>
  </si>
  <si>
    <t>@ThenBagoess Bawah dia pulang jatuhkan hukuman nya lalu nama baik NKRI di mata dunia derajat nya naik level,selama ini negara'cari cari keberadaan anggota ISIS kini dia nongol tinggal dicomot tampa perlawanan tampa kontak senjata bawa dia pulang proses hukum bila perlu hukum dia seberat2nya</t>
  </si>
  <si>
    <t>HEADLINE: 238 WNI dari Natuna Bebas Virus Corona, Dijamin Aman Berinteraksi</t>
  </si>
  <si>
    <t>RT @WR_4AG226: Doa utk anakku Peganglah tanganku anakku Berpeganganlah pada ajaran Allah dan rosulnya Jangan terkoyak keimananmu, terbawa arus sesat kaum khifalah, ISIS ,HTI dan ormas radikal, Tetaplah jaga teloransi Carilah nafkah yg halal , jangan pernah mau jadi kartel bawang putih 🙏😘</t>
  </si>
  <si>
    <t>RT @dusrimulya: @edwards_bee @mohmahfudmd Beh tolol..Norma hukum itu tak boleh ditafsirkan lain selain yg dijelaskan dlm Pasal Penjelasan suatu UU Bila tak ada Pasal Penjelasan maka Norma Hukum dlm suatu UU tak boleh ditafsirkan lain Di UU Kewarganegaraan cma dibilang "Negara" Apa ISIS itu diakui sbg negara?</t>
  </si>
  <si>
    <t>RT @dusrimulya: @kuurnias @mohmahfudmd Syarat sbg negara sesuai Konvensi Montevideo tak terpenuhi 1. Pemerintahan ✔ 2. Rakyat ✔ 3. Punya Wilayah ❌ krn itu wilayah negara Irak dan Suriah 4. Pengakuan sbg negara dr negara lain ❌ Maka ISIS tak bisa disebut negara dan pasukan ISIS tak bsa disebut Tentara</t>
  </si>
  <si>
    <t>@JosLuisPrado8 Pal ISIS 😳 😏😏😏😏</t>
  </si>
  <si>
    <t>Tiba2 mikir, mungkin gak sih kalo corona virus itu buatan Pemerintah Indonesia dan cuman Pemerintah Indonesia (melalui kemenkes) yg punya vaksin/obat yg bisa ngebunuh ntuh virus. Jadi konsepnya gini, setiap ada WNI yang suspect langsung diberi vaksin buat bunuh si corona. RT @CNNIndonesia: Pemerintah Jepang menyatakan sebanyak 218 penumpang kapal pesiar Diamond Princess terinfeksi virus corona. @Kemlu_RI pun menuturkan bahwa 78 orang WNI yang merupakan kru dari kapal pesiar tersebut dalam kondisi sehat dan negatif virus corona.  #CNNIndonesia</t>
  </si>
  <si>
    <t>Presiden Pastikan WNI di Natuna Sehat dan Siap di Kembalikan ke Keluarga</t>
  </si>
  <si>
    <t>RT @tjhinfar21: Pemerintah tegas tdk akan memulangkan 689 org ISIS eks WNI demi keamanan 260jt rakyat Indonesia 👏👏👍👍👍 Dengar tuh pak @hnurwahid @MardaniAliSera jangan digoreng² lagi ya 😁🙏 Terima kasih pak @jokowi 🙏🙏🙏 #TolakAnakISISKembali</t>
  </si>
  <si>
    <t>@fajri_wiriana @detikcom Lo yg pake otak, sampai berbusa-busa mulut lo kasi orng penjelasan terserah dia mau terima apa tdk.. isis lo mau ajarin? Main lo kurang jauh..</t>
  </si>
  <si>
    <t>Gua bingung sama temen yang kalo lagi nongkrong ga ngebolehin pulang, gua nongkrong doang kaya ikut ISIS, ga boleh pulang</t>
  </si>
  <si>
    <t>@bahdirdja @Ze_sukma @enny_endah @dkarhita @SoffiAgus @asepapit @angelmaximilan @YgGregorius @BHD_8 @YCH7168 Teroris ISIS eks WNI hidup ter-lunta2 di camp pengungsian di Suriah sana dibilang berpenghasilan besar,,, hanya manusia Oon yg mau percaya sm mantan presiden iblis itu</t>
  </si>
  <si>
    <t>RT @jenk_kelinn: Disaat KALIAN menggaungkan tentang rasa KEMANUSIAAN sekelompok manusia yang jelas2 berkhianat kepada negaranya. Tapi KALIAN seolah menutup mata ttng pengungsi yg terpinggirkan didalam negeri ini. Yg jelas2 masih menjadi WNI. Lalu KEMANUSIAAN yg seperti apa yg kalian maksud !!!</t>
  </si>
  <si>
    <t>@CAPG0MEH @prfctgurl_ @monkestars @fvckerboyrp @frcppucinno @krosaint @dylobriex @zaynmaliKW1 Ajg serangan isis bgst</t>
  </si>
  <si>
    <t>RT @negativisme: Kalo ISIS eks WNI, pemerintah sudah tegas menolak, tapi untuk yg dibawah 10 tahun katanya akan dipertimbangkan ya Pak @mohmahfudmd ? Beneran pak? 🧐 #AwasAntek2ISIS</t>
  </si>
  <si>
    <t>@Yunardi69 @EmElEs12 @mohmahfudmd rezim ga mikir ke depan. gimana kalo mereka jadi ISIS generasi ke 3 dan tumbuh membenci indonesia karena merasa di abaikan? mereka bisa saja suatu waktu masuk ke indo dan di jadikan pion oleh pihak" tertentu. WNA 3000 org di meikarta aja lolos apa lagi WNI?</t>
  </si>
  <si>
    <t>@yusuf_dumdum Saya ❤ kan karna sy milih Pak @ganjarpranowo . Alasannya ISIS tdk akan prnh insaf. Kita hrs tau dan sadar itu.</t>
  </si>
  <si>
    <t>@detikcom Baru tau ada eks presiden isis indonesia</t>
  </si>
  <si>
    <t>@KatolikG O gtu cara kerja imanmu..? Apa bedanya dgn Teroris isis..??</t>
  </si>
  <si>
    <t>RT @hannarayliza: Jika sy jd pemerintah Indonesia, sy keluarkan kebijakan deportasi semua TKA China utk melindugi WNI dr potensi virus corona. Caranya? Perintahkan kementerian terkait terbitkan regulasi. Beri TKA² itu parasut, angkut dgn pesawat Hercules ke China, lempar mereka semua di negaranya.</t>
  </si>
  <si>
    <t>RT @sorotnews: Debat Soal WNI Eks ISIS, Gayus Lumbuun Sebut Ngabalin Bodoh</t>
  </si>
  <si>
    <t>@mohmahfudmd Berarti isis gak usah di pulangkan prof</t>
  </si>
  <si>
    <t>WNI Asal Bogor yang Diobservasi di Natuna Kondisinya Sehat</t>
  </si>
  <si>
    <t>@mohmahfudmd Emang ada eks isis yg mau pulang ke indonesia?, kabarnya mereka disana sejahtera.</t>
  </si>
  <si>
    <t>@RamliRizal Wah mantep ... isis juga butuh ahli ekonomi tuh ...</t>
  </si>
  <si>
    <t>@shitlicious Jihad, berupa bom tempel dan geranat.. ternyata tante mirna adalah eks wni yg pernah jadi isis</t>
  </si>
  <si>
    <t>RT @devy215: @pieterpitojo @BaskoroKata @AtikahZahidah_ @haluanghabang @sabilla_shaffa @ibra_zycko @RAISYAELBIX1 @evisuryanti10 @SeruniPuspaAlam @erikamelfa @_antaresh @herlambang_tan Kalau pulang jg,cm ngabisin uang rakyat,lbh baik itu uang buat anak yatim atau fakir miskin,dr pd uangnya buat biaya anak' ISIS...</t>
  </si>
  <si>
    <t>Bajrang Dal "activists" Haa bhai tik jaise ISIS activists...!! RT @RoflGandhi_: Sochta hoon wo kitne fringe the, activist ho gaye dekhte dekhte. Humne fringe se banaya unhe CM, Kuch toh PM ho gaye dekhte dekhte ❤️🎶 #ValentinesDay2020</t>
  </si>
  <si>
    <t>@machbeach @Dedien5 @ustadtengkuzul Siapa yg menentang agama....??? Ah,,,,jangan2 ente simpatisan isis ye....</t>
  </si>
  <si>
    <t>@detikcom Apa hebat nya isis, tau nya cuma memperkosa.</t>
  </si>
  <si>
    <t>Pulangin aja deh ke indonesia, biar bpip ada kerjaan. Info aja sih, kalau dari narasi tawaran jika bergabung dengan isis sangat luar biasa, kehidupan sejahtera, sampai pasangan. Berarti ada kekosongan negara disini, mereka merasa hdup di indonesia tidak sejahtera.</t>
  </si>
  <si>
    <t>Saya terimakasih sekali dengan pemerintah yang pura2 peduli dengan kami, tapi apakah pemerintah benar2 peduli? Itu adalah masalah hati dan pikiran. Buktinya tidak dipulangkan teror bom ada, begal marak. Tapi apakah dengan dipulangkan isis kejahatan makin marak? Ya belum tentu.</t>
  </si>
  <si>
    <t>tiba2 terlintas aja gitu, waktu nonton narasi tentang menangkis isis, beberapa negara yang menolak adalah negara yang kategorinya berkembang, sedangkan yg menerima negara yang maju</t>
  </si>
  <si>
    <t>@Frealuvss Wkwkwkkw pimpinan isis dong anjir</t>
  </si>
  <si>
    <t>@UKI_djayengrono @BadjaNuswantara @fadlizon Waduhhhh.... Jangan Jangan nih.. Hati mulai ga enak nih. Pantes minta pemerintah Pulang kan ex ISIS...</t>
  </si>
  <si>
    <t>Bedanya debat orang yg terpelajar vs orang bodoh plus penjilat tulen !!!</t>
  </si>
  <si>
    <t>Sisa Gembong Teroris ISIS di Mosul Yang Berbahaya Telah Dilumpuhkan</t>
  </si>
  <si>
    <t>RT @Semar47913550: Regenerasi ISIS yg terus berlanjut, doktrin &amp; mendidik menjadi "Assasin" d masa akn dtang. Yg wanita jd budak nafsu mesin produksi generasi, stlh lahir dbwt " alat pembunuh" . Masih ingin mreka kmbli k NKRI ? Gila, apa emg ga waras yg ingin mrka kmbali ? #TolakAnakISISKembali</t>
  </si>
  <si>
    <t>@OpsiMetroTV @Metro_TV Pemerintah sdh putuskan tdk dipulangkan ex ISIS di Suriah. jd Metro TV tdk perlu bahas segala macam opsi lg yg cuma bikin gaduh. spy nanti tdk sampai dicurigai punya mksd udang dibalik batu</t>
  </si>
  <si>
    <t>@shitlicious Kamp pengungsian ISIS</t>
  </si>
  <si>
    <t>@adie_masihhidup @UAlla02 @msaid_didu Kamu ISLAM apa Bukan... klo bukan jangan kau bicara ISLAM.... Bisa kasih bukti atas ucpaan kau itu atau kurang mengaji.... jangan seenak bacot dan ngem333ng mulut busuk mu.. Islam itu agama Damai Rahmatan lil alamin... PERLU KAU KETAHUI ISIS BUKAN ISLAM..nyet</t>
  </si>
  <si>
    <t>#Wapres RI Ma'ruf Amin Status WNI Otomatis Hilang Saat Bergabung ke #ISIS: JAKARTA - Wakil Presiden Republik…</t>
  </si>
  <si>
    <t>#Wapres RI Ma'ruf Amin Status WNI Otomatis Hilang Saat Bergabung ke #ISIS: JAKARTA - Wakil…</t>
  </si>
  <si>
    <t>- ISIS pembunuh - PKI pembunuh kenapa mereka diperlakukan berbeda ? ISIS adalah manusia biadab yg menyebabkan kesengsaraan dan turunnya hrga minyak dunia(disaat mereka jaya), adili mereka yg mantan WNI klo perlu hukuman mati tapi dinegara ini, menandakan ketegasan #ISISeksWNI</t>
  </si>
  <si>
    <t>RT @samhudibae: Generasi Muda NU menolak dengan tegas Eks ISIS di pulangkan ke Tanah Air. Bukankankah katanya KHILAFAH Solusi Mengatasi Semua Masalah..? Kenapa Kalian Tidak Meminta Solusi Kepada Kokoh Felix Siauw..? #GMNU_MenolakEksIsis #GenerasiMudaNU</t>
  </si>
  <si>
    <t>@sandiuno Ada cerita, WNI / TKI membuat tahu dan tempe di Jepang sukses. Semoga bisa berjumpa dengan Bpk Sandi .... 🙏</t>
  </si>
  <si>
    <t>Hbd pimpinan isis</t>
  </si>
  <si>
    <t>Aku Alhamdulillah sih, gak ada WNI yang terinfeksi virus Corona sejauh ini, cuma agak worry sih sama jokes org2 soal kita yg punya antibodi kuat karena makan gorengan plastik dan la la la sebagainya, takutnya ini malah ngerendahin awareness gitu😂</t>
  </si>
  <si>
    <t>Penyesalan WNI eks-ISIS minta balik adalah sebwa strategi agar bisa masuk dan berak si lagi dimari</t>
  </si>
  <si>
    <t>RT @merapi_news: Presiden Joko Widodo memberikan keterangan mengenai pemulangan WNI dari Natuna terkait Virus Corona, di sela kunjungan kerja di Taman Nasional Gunung Merapi, Jurang Jero, Magelang, Jawa Tengah, Jumat (14/2).  |@BNPB_Indonesia</t>
  </si>
  <si>
    <t>@LaulaChrismanto @CintaNKRI08 @jokowi capek? istirahat! ribet hidup lo! dan bilang aje ga bisa kasih referensi. selesai masalah!! gw maklumin😍 klo mereka bkn WNI lg, hrs dicabut dl status WNnya oleh negara. bukan oleh opini lu</t>
  </si>
  <si>
    <t>238 WNI dari Wuhan Semuanya Bebas Covid-19</t>
  </si>
  <si>
    <t>🔜 Met rehat buat semuanya bersama ini pula kusisipkan doa utk kalian berikut lagu : 🎶🎵 "Aku Ingin Pulang " By: Ebiet G. Ad Bukan ISIS ingin pulang #AwasAntek2ISIS #TolakAnakISISKembali</t>
  </si>
  <si>
    <t>Masih diterima juga dari sana ? 😳👀 Sementara yang wni dr china harus dikarantina dulu di natuna Ini bs sampai bekasi ? 😳 RT @AndryWaseso:</t>
  </si>
  <si>
    <t>@HadsonNery_ Kkkkkkkkkkkll socorro</t>
  </si>
  <si>
    <t>@4aSunlight @AndromedaMcfc @ustadtengkuzul Wi... Wi... Wi....bul... Rkyt bkn Isis Wi... bul Rkyt Cmn Wspada Pki Penghianat Wi ....bul.... Rkyt... Tekor... Susah.... Wi.... #WiiiiiRajaKibul...nji... N ...</t>
  </si>
  <si>
    <t>@ciktwt Mungkin isis</t>
  </si>
  <si>
    <t>@gifaricholis Apakah semua WNI negatif?</t>
  </si>
  <si>
    <t>@mmadam_ @penggemarsemar @CNNIndonesia @Kemlu_RI Di Singapore kan? Bukan di wilayah RI! Dan juga si WNI ini kena kontak sama korban virus ini makanya kena. Dan ya bukan di wilayah RI</t>
  </si>
  <si>
    <t>RT @Kinan18069393: Komnas HAM kumpulan kadrun Dari pada ribut ngurus eks WNI yg bela ISIS , lebih baik Komnas HAM urus itu warga negara Indonesia yg mau beribadah dipersulit , yg susah bangun rumah ibadah walau surat ijin lengkap , rumah ibadah yg ditutup walau sudah punya IMB</t>
  </si>
  <si>
    <t>@CNNIndonesia @Kemlu_RI Terimakasih bihun cap kaki sudah membuat wni kebal🤣</t>
  </si>
  <si>
    <t>@akilriezqi Kan tweeter bukan budaya kita.. Bilang bukan budaya kita juga bukan budaya kita Pake hp android juga bukan budaya kita Android juga bukan budaya kita Budaya kita kan bunuh kafir, istri dirumah, ikut isis, bakar passport trus minta pulang.. itu kan budaya kita</t>
  </si>
  <si>
    <t>@SahabatSaber 😂😂😂..lama2 bisa gila ni ikuti suka duka ISIS...</t>
  </si>
  <si>
    <t>Dari Natuna, WNI yang Diobservasi akan Diterbangkan ke Halim dengan Empat Pesawat Pukul 14.00 WIB  #corona</t>
  </si>
  <si>
    <t>@fajri_wiriana @detikcom Bicara soal isis yg mau balik ke indonesia..</t>
  </si>
  <si>
    <t>aduh bokap gua jam segini ngajakin ngobrol soal isis lagi.</t>
  </si>
  <si>
    <t>@BNPTRI Bukan WNI EKS ISIS Pak, Tapi ISIS EKS WNI, tolong jangan dibalik! Itu artinya sangat berbeda!</t>
  </si>
  <si>
    <t>@MichaelHarto77 @AlissaWahid mana ada eks ISIS..sekali ISIS tetap ISIS</t>
  </si>
  <si>
    <t>Nama: Arsenio Benedict Saputra. Nama panggilan: Arsen, Ben. Tempat, tanggal lahir: Jakarta, 9 Juli 1999. Golongan darah: O Anak ke: 1, tidak memiliki saudara kandung. Kewarganegaraan: WNI.</t>
  </si>
  <si>
    <t>RT @grace_nat: PSI Bogor: Jokowi Harus Cabut Status Kewarganegaraan WNI Eks ISIS</t>
  </si>
  <si>
    <t>Yang benar eks WNI bukan eks ISIS. RT @detikcom: Eks Presiden ISIS Regional Indonesia Cep Hernawan menegaskan WNI eks ISIS tidak akan pulang ke Tanah Air.</t>
  </si>
  <si>
    <t>RT @yallknowmebtch: hbd eks isis @BROCKHAMPlON</t>
  </si>
  <si>
    <t>@detikcom @KPAI_official dan pejuang² pemulangan eks WNI &amp; kombatan ISIS ke negeri ini agar baca nih statement pensiunan Presiden ISIS Regional Indonesia, Chep Herniawan - biar pikiran anda tidak butek.</t>
  </si>
  <si>
    <t>RT @nu_online: Aktivis: Pemerintah Perlu Siapkan ‘Ayah’ bagi Anak-anak Eks ISIS</t>
  </si>
  <si>
    <t>238 WNI dari Wuhan bebas virus Korona😎💂 #P5TNI #Wuhan #VIRUS_CORONA</t>
  </si>
  <si>
    <t>@G_Ray__ @KPAI_official #KPAI komisi pembela anak isis. Dan gw juga bingung ini komisi ga ada fungsi dan ga berfaedah</t>
  </si>
  <si>
    <t>Ini wni udah pada kebal apa yak 🤣🤣 RT @CNNIndonesia: Pemerintah Jepang menyatakan sebanyak 218 penumpang kapal pesiar Diamond Princess terinfeksi virus corona. @Kemlu_RI pun menuturkan bahwa 78 orang WNI yang merupakan kru dari kapal pesiar tersebut dalam kondisi sehat dan negatif virus corona.  #CNNIndonesia</t>
  </si>
  <si>
    <t>@Baijnat26418173 @sukalyan_sasmal ISIS m admission karwa de fir boot-ni key at-an-k w a d i</t>
  </si>
  <si>
    <t>RT @RiriJreeng: Apapun usulannya apapun caranya kita ga se7 ex isis pulang ke indonesia. #TolakAnakISISKembali</t>
  </si>
  <si>
    <t>RT @mediaindonesia: "Penolakan pemulangan anggota teroris IS di tempat pengungsian oleh pemerintah Indonesia membuktikan bahwa Indonesia telah gagal dalam menangani persoalan teroris."</t>
  </si>
  <si>
    <t>(14/02/20) Diskusi Interaktif antara masyarakat Indonesia dengan KJRI Mumbai pada acara pertemuan WNI di kota Pune #PerlindunganWNI #IndonesiaWay</t>
  </si>
  <si>
    <t>@princessjulieet @Asknonym Iya kan, takutnya kerja bapaknya jd anggota isis</t>
  </si>
  <si>
    <t>hbd eks isis @BROCKHAMPlON</t>
  </si>
  <si>
    <t>RT @narpatisuta: Gue kira beliau ini medioker, ternyata lebih parah dari itu. Bloon. Dia gak sadar pernyataannya ini mudah sekali diberakin oleh mahaguru Rocky Gerung *Mahfud Md Sebut Pertimbangkan Anak-anak WNI Eks ISIS untuk Pulang</t>
  </si>
  <si>
    <t>RT @koecing_pasar: Sejujurnya perempuan² ex combatan ISIS tersebut pernah membuat statement bhw mereka akan menyebar dan melakukan perlawanan balas dendam secara sporadis di lokasi² baru akibat kekalahan mrk sesuai instruksi pimpinannya dlm sebuah video yg pernah di-upload oleh seorang wartawan</t>
  </si>
  <si>
    <t>RT @narpatisuta: Pemerintah yg tak mau pulangkan WNI eks-ISIS merupakan skandal moral yang serius. Negara barbarkah kita? Sebagai warga negara, saya malu memiliki presiden yg buta huruf hak asasi manusia. Wajahnya mungkin lugu, tapi isi kepalanya monster.</t>
  </si>
  <si>
    <t>RT @koecing_pasar: Lagian ex ISIS itupun bkn warga negara Indonesia lg, mrk sdh membakar pasport, pergi diam² dgn suka cita, tdk pernah melaporkan diri pd fihak pemerintah dimanapun. Berkomitment mendukung berdirinya negeri kekhilafahan di Timur Tengah (Suriah-Irak-Libya) Jd knp hrs diperjuangkan.</t>
  </si>
  <si>
    <t>RT @koecing_pasar: Bapaknya ini adalah kombatan dari Suriah!! Apa kita yakin ex ISIS yg dibawa kembali tidak melakukan hal yang sama? Darimana bisa seyakin itu? Ini sudah terbukti koq. Kenapa mau mengulangi lg, kasian masyarakat yg tdk berdosa hrs menjadi korban kegilaan mereka maniak² agama ini.</t>
  </si>
  <si>
    <t>1. WNI-nya awak kapal, jadi wilayah dia beda sama penumpang, dari 44 td aja cuma 1 yg awak kapal 2. Kemungkinan besar yg WNI emg belum dites. Orang baru 10 persenan kok yg dites dan itu 60% tertular. Ceklah yg di singapur kan udah ada WNI yg terjangkit. Kita beneran kurang panik</t>
  </si>
  <si>
    <t>Plislah kalo baca berita jangan dari judulnya aja. Dari 3700an penumpang dan awak, yg udah diobservasi baru 300. Dari 300 itu, yg positif 218. WNI ada 78 kru kapal semua. Kasus baru ada 44 orang, dati 44 itu 1 orang awak kapal. Udah ngerti belum? RT @CNNIndonesia: Pemerintah Jepang menyatakan sebanyak 218 penumpang kapal pesiar Diamond Princess terinfeksi virus corona. @Kemlu_RI pun menuturkan bahwa 78 orang WNI yang merupakan kru dari kapal pesiar tersebut dalam kondisi sehat dan negatif virus corona.  #CNNIndonesia</t>
  </si>
  <si>
    <t>Saya percaya 78 WNI ini ga pernah skip bubur kacang ijo posyandu RT @CNNIndonesia: Pemerintah Jepang menyatakan sebanyak 218 penumpang kapal pesiar Diamond Princess terinfeksi virus corona. @Kemlu_RI pun menuturkan bahwa 78 orang WNI yang merupakan kru dari kapal pesiar tersebut dalam kondisi sehat dan negatif virus corona.  #CNNIndonesia</t>
  </si>
  <si>
    <t>GISS: Jokowi Seakan Akui Kedaulatan ISIS, Padahal Internasional Tidak</t>
  </si>
  <si>
    <t>TOLAK ISIS EX WNI !!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</si>
  <si>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Agr lal masjid jamia hafsa ko zra bii kuj howa Me india pakistan war ma tareeg ni kro ga Khana jangi msi treeg ni kro ga Isis bnana ma tareeg deer ni kro ga Fer aqliyat rha ga islam qabool kr ka y hum ..... Bajwa Govrment girana ma deeer nhi kro ga</t>
  </si>
  <si>
    <t>RT @rlthingy: /rlt/ ini kan yg nanganin wni juga org jepang ya.. tapi kok bisa negatif ya... aku gahabis pikir... faktor apa yg bikin org indonesia negatif corona ini...</t>
  </si>
  <si>
    <t>Ini 10 Lagu Bertema Cinta Paling Banyak Muncul di Playlist WNI - Hai</t>
  </si>
  <si>
    <t>@Airin_NZ Gubernur tolol ya bgtu, pendukungnya aja isis,,,, habisi orng2 sprti itu,,,,,👍👍👍👍</t>
  </si>
  <si>
    <t>@alhdrs @langitbiru310 @jokowi wkwkwkwk, Jokowi msh punya empati terhadap anak2 yg emg jadi korban orang tuanya. Aku setuju juga, jika diverifikasi saja korban anak2 yatim piatu yang terlantar di sana. ❤ Dulu pernah INDONESIA melakukan deradikalisasi pada eks ISIS di BATAM, dan itu berhasil. Apalagi anak2</t>
  </si>
  <si>
    <t>RT @liputan6dotcom: HEADLINE: 238 WNI dari Natuna Bebas Virus Corona, Dijamin Aman Berinteraksi</t>
  </si>
  <si>
    <t>Zonk ngotot eks wni pro ISIS dipulangkan, satu gerombolan #4niesKibul_CancelFormulaE</t>
  </si>
  <si>
    <t>Bukan WNI Eks ISIS tapi ISIS EKS WNI itu yang benar. RT @k4ng_C1reNG: Eks Presiden ISIS Indonesia: Tidak Benar WNI Eks ISIS Ingin Pulang</t>
  </si>
  <si>
    <t>"Aku gak setuju, cah cilik2 iki gak bersalah, wong tuane oke gaoleh mbalek tapi cah cilik2 iki kudu mbalek, negara ndue kewajiban ngurus mereka" "Tapi mereka ISIS wid, we kudu paham" "Iku ortu mereka, tapi anak2 umur 10 tahun kebawah iki GAK TAHU APA2!" Gila, we gak ndue hati?</t>
  </si>
  <si>
    <t>Fix ini WNI nya orang pintar karen orang pintar minumnya tolak angin. *iklan layanan masyarakat ini disponsori oleh TB. Haji naim* 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</si>
  <si>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RT @geloraco: Ini 3 Hak WNI Eks ISIS Menurut Mantan Hakim Agung Gayus Lumbuun: Dia Punya Hak untuk Kembali</t>
  </si>
  <si>
    <t>KPAI inilo di depan mata ayok di urus dari pada urus anak isis yg sudah jadi mesin pembunuh RT @AhlulQohwah: Nah kan, bukan kejadian pertama. Pelaku berkali2 membully korban penyandang disabilitas. Kata kepseknya cuma iseng. Pak Kepsek mau diisengi dg ditendang dan dipukuli 3 orang tiap hari? Mau berakhir damai lagi @KPAI_official ? @TyasZain @WagimanDeep @narkosun</t>
  </si>
  <si>
    <t>RT @rsydanz: Today hari single sedunia, hi sendu sendu semua.</t>
  </si>
  <si>
    <t>RT @nazhaaaan: sakit bila tgk orang yg dulu kita sayang sgt dah lama rapat tp sekarang dah mcm stranger sbb dia dh ada orang baru yang dia lagi sayang &amp; rapat sgt daripada org sebelum ni dan dah takkesah langsung pasal kita tp org kata "hidup ni kena teruskan,jangan ambil kisah utk benda sia²"</t>
  </si>
  <si>
    <t>RT @Dwiyana_DKM: Pak @jokowi drpd anggarannya dipakai untuk deradikalisasi anak2 ex ISIS, mending urusin pendidikan anak2 di daerah pelosok pak. Sekolah mereka belum punya meja kursi tuh Pak, dimaksimalkan lagi proses belajar mereka supaya anak2 pny nasionalisme yg tinggi. #TolakAnakISISKembali</t>
  </si>
  <si>
    <t>Setidaknya masih punya alasan untuk menjadi wni yg tinggal di indo. Walau cape ngeliat pejabat2nya berulah.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</si>
  <si>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@Lady_Zeebo: Kalian yg “kasihan” pada anak2 ISIS Eks WNI, apakah pernah kasihan pada anak2 Suriah? Mereka kehilangan tempat tinggal, orang tua, sanak saudara, putus sekolah, kota dan negara mereka hancur lebur akibat terorisme dan radikalisme #TolakAnakISISKembali</t>
  </si>
  <si>
    <t>@shenaagustian @TVRINasional Semestinya "WNI".</t>
  </si>
  <si>
    <t>@WhiteTitiek @Boemi_Pertiwi12 Betul, ISIS tetaplah ISIS ga ada EKS. Kalaupun mereka mangaku kapok dan taubat, siapa yg jamin mereka tidak akan membuat teror lagi?</t>
  </si>
  <si>
    <t>RT @Eno_Bening: KOK BISA TIDAK ADA 1 PUN WNI YANG KENA VIRUS CORONA? Ini seriusan apa lawak apa gmn? Jika benar kita harus bersyukur karena mungkin saja khusus WNI ada semacam sistem pertahanan yang cukup utk menghadang Corona, dokter2 bisa segera meneliti fenomena langkah bin ajaib ini!!</t>
  </si>
  <si>
    <t>@bululero @LuwitaEmilly878 @sari00925317 @DatuakAtuk @tandanVradio @Ibnu_Al_Addin @Restichayah @WagimanDeep @permadiaktivis @habibthink @YRadianto @Natalieanggi112 @bin_martakusuma Hadeuuuhh,,@bululero ISIS ape kagak jangan lo pikirin. Gini aja coba periksa pale lo, peang ape kagak, klo peang berarti lo anak gua, gua ingat setaon seblom lo lahir, gua pernah pacaran ame emak lo... wek kekkek kekkek</t>
  </si>
  <si>
    <t>RT @republikaonline: WNI yang pulang kondisinya dalam keadaan sehat dan tidak terpapar virus corona.</t>
  </si>
  <si>
    <t>PBNU Dukung Sikap Tegas Pemerintah Tolak Pemulangan Eks WNI #4niesKibul_CancelFormulaE</t>
  </si>
  <si>
    <t>RT @republikaonline: Anggota Watimpres menilai keputusan pemerintah soal WNI eks ISIS melegakan masyarakat</t>
  </si>
  <si>
    <t>@TuTTeO @Boemi_Pertiwi12 Saya jg paling sebel kl ada yg sebut terbalik spt itu.... krn artinya beda sekali ituuu.... Mrk bukan lg WNI....</t>
  </si>
  <si>
    <t>RT @the_bLack12321: Pertanyaannya: Sejak kapan ngabalin pintar .. 😂😂😂</t>
  </si>
  <si>
    <t>RT @Je_Ly: Yass👍 Tindakan tegas pemerintah atas kemungkinan pulangnya ISIS ex WNI ke Indonesia. "Paspor diblokir. Begitu disampaikan daftar nama itu ke Kementerian Hukum dan HAM, langsung blokir," kata @mohmahfudmd. Termasuk #TolakAnakISISKembali ya pak 🙏</t>
  </si>
  <si>
    <t>@CNNIndonesia @Kemlu_RI wni itu manusia atau vampire sih anjir kok kebal banget 😭😭</t>
  </si>
  <si>
    <t>@sari00925317 @DatuakAtuk @bululero @tandanVradio @MISAKUBA55pk @Ibnu_Al_Addin @Restichayah @WagimanDeep @permadiaktivis @habibthink @YRadianto @Natalieanggi112 @bin_martakusuma Woyy bences sari Rasullulah tak pnh kafir2in sesama muslim 😂😂 Ajaran elu ISIS n khilafah sm sekali bukan ISLAM 😂😂</t>
  </si>
  <si>
    <t>Or koi bna ay na bna ay masjid o ki behurmati gustahi mahsra hafiz e quran shaheed krna isis zaror bna deta fer mandir buddhaiest chruchs mirzai qaidani tmples save nhi rhta global sri lanka china bi tu tumri k auqaat isb froces notes mai h with familys</t>
  </si>
  <si>
    <t>WNI yang pulang kondisinya dalam keadaan sehat dan tidak terpapar virus corona.</t>
  </si>
  <si>
    <t>@suara____rakyat @sorotnews Koruptor elit lebih bahaya unt Negara Tapi org2 isis lebih bahaya unt nyawa yg tak berdosa</t>
  </si>
  <si>
    <t>Radikalisme merupakan ancaman terhdp bangsa dan negara. Utk itu sebaiknya ISIS Eks WNI jgn sampai diplgkan, mau itu ISIS anak2,dewasa, maupun Tua, tdk peduli! Karena berpotensi mengganggu keamanan dan keselamatan negara.</t>
  </si>
  <si>
    <t>@DIENDIRA2 Muslim memusuhi muslim... Rezim ini sdh tidak membela warga nya sendiri...bagai manpun ex isis itu korban akibat kelalaiyan pemerintah melindungi rakyatnya..</t>
  </si>
  <si>
    <t>Ex isis kehilangan warga negaranya mutlak secara otomatis berdasarkan undang-undang atau harus ada putusan pengadilan? Minta pencerahannya prof @mohmahfudmd @ReflyHZ 🙏🏼🙏🏼</t>
  </si>
  <si>
    <t>RT @melancholybtch: Valentine sendu. Sedih2an sama pacar. Full curhat • curhat tentang kerjaan, • trus ngomongin knpsi org lebay blg valentine haram??? • trus ngomongin ISIS • ngomongin temen • sampe tbtb cerita ke trauma masa lalu, akhirnya sedih trus nangis2an.</t>
  </si>
  <si>
    <t>@sari00925317 @bululero @DatuakAtuk @tandanVradio @MISAKUBA55pk @Ibnu_Al_Addin @Restichayah @WagimanDeep @permadiaktivis @habibthink @YRadianto @Natalieanggi112 @bin_martakusuma Agama ISIS ya😂😂😂</t>
  </si>
  <si>
    <t>@cnixjuang Siapa yg muji min? Tolong jelaskan!! WNI dr Wuhan sejumlah 200an yg mau pulang, harus di karantina dulu. Sdgkn warga China asli Wuhan yg pergi ke Bali, jgnkan di karantina.... Thermal scanner aja paling2 lolos, apa emg sengaja dilolosin krn dr China ya??</t>
  </si>
  <si>
    <t>RT @Airin_NZ: Ini adalah tentara anak ISIS.. Dia sedang memenggal kepala Tahanan ISIS Kini anak2 kecil ini telah menjadi Pembunuh berdarah dingin. Lihatlah tak ada wajah menyesal, tak ada wajah takut.. Anak ini malah terkesan begitu menakutkan #TolakAnakISISKembali</t>
  </si>
  <si>
    <t>@AhlulQohwah @joko_maryadi KPAI aja yg hadir dan pindah sxan ke sono ribet bener urus anak EKS WNI anggota isis #TolakAnakISISKembali</t>
  </si>
  <si>
    <t>@detikcom Faktanya, smp skrg sdh adakah aksi terorisme di tanah air yg dilakukan wni eks isis?</t>
  </si>
  <si>
    <t>Anak di Bully di Malang sampe Amputasi jari, silent Ada anak di Bully di Purworejo sampe Lebam Pinggang, silent Ada anak tubuhnya hancur saat gereja di bom, silent Giliran soal anak2 para ISIS @KPAI_official : MEREKA KORBAN</t>
  </si>
  <si>
    <t>RT @sovietvisuals: "Mexico" by Soviet Azerbaijani vocal quartet "Gaya", 1977</t>
  </si>
  <si>
    <t>@rudyd3li @DahBocahNgapaYa @AnakKolong___ @felixsiauw @mohmahfudmd Klo Felix terbukti ISIS, knp lo cuman becus nyiyir di medsos, coab berusaha bertindak dong, TANGKAP Felix, Kecuali nyali komunis lo cuma sbts ujung lubang TAI...🤣🤣🤣Cuma punya nyali di Twitter... Hahahahaha</t>
  </si>
  <si>
    <t>RT @WagimanDeep: Pelitisi PKS Makdani aloy Vera ngeyel menyatakan eks WNI pro ISIS adlh anak kandung ibu pertiwi.. Iyalah anak kandung yg durhaka kerna mengeluarkan diri dari Kartu kluarga ea Tesiiii... Apa kgak mikir klo ISIS menang eang mlambe2 gni bakal dilempar dr atas gedung #AwasAntek2ISIS</t>
  </si>
  <si>
    <t>@Boemi_Pertiwi12 Bukan WNI eks ISIS, tapi ISIS eks WNI! Jangan di balik!</t>
  </si>
  <si>
    <t>@jokowi Terimakasih pak @jokowi sudah tegas, selanjutnya coba diskusi dgn pbb karena isis itu teroris internasional kalo yg di syria, jd mesti kena hukum dari pemerintah syria dan persidangan internasional bkn di indonesia. Jd semua proses di lakukan disana jgn dsini. Penjara dah over kn</t>
  </si>
  <si>
    <t>RT @Restichayah: Minang itu suku bukan kota ato provinsi . Biarpun dia berpaspor Amerika bukan WNI sekalipun klu ibunya minang ya dia jadi org minang</t>
  </si>
  <si>
    <t>Minang itu suku bukan kota ato provinsi . Biarpun dia berpaspor Amerika bukan WNI sekalipun klu ibunya minang ya dia jadi org minang RT @MUAKBANGETZ: Oh...baru tau gw ..klo orang minang. Sama orang padang beda ga" yah ..maklum gw orang betawi udik 😀😀😀</t>
  </si>
  <si>
    <t>RT @RinjaniJB: Ini 2 orang bocah korban kekerasan aksi teroris di negeri kita, Pak @jokowi Seberapa gigihnya negara telah memberi perhatian kpd mereka dan korban lainnya ? Daripada urus anak-anak ISIS, penuhi saja anak-anak ini dgn perhatian dari negara. #TolakAnakISISKembali</t>
  </si>
  <si>
    <t>@Veeraayuwid Kae lho bojone mas bram sik saiki wes gabung isis</t>
  </si>
  <si>
    <t>RT @OpsiMetroTV: Tonton lagi OPSI METRO TV - EKS ISIS: YANG PERGI, PERLUKAH KEMBALI? di youtube, dan jangan lupa subscribe!  #OPSIMetroTV #eksisisyangpergiperlukahkembali?</t>
  </si>
  <si>
    <t>RT @rmol_id: Wacana Keppres Untuk Eks WNI Simpatisan ISIS, Ketua MPR: Baiknya Segera Ambil Keputusan #Semarang #banijr #RepublikMerdeka</t>
  </si>
  <si>
    <t>@jr_kw19 @Kemenag_RI wni isis,isisnya kocar kacir tingggal wni nya berarti eks pak,dipulangin saja pak mereka pingin pulang,diskrining dulu dikarantina dulu semua pasti ada prosesnya kalaupun negara butuh penyeimbang pasti ada manfaatnya ga usah terlalu takut semua ada manfaatnya.</t>
  </si>
  <si>
    <t>Wacana Keppres Untuk Eks WNI Simpatisan ISIS, Ketua MPR: Baiknya Segera Ambil Keputusan #Semarang #banijr #RepublikMerdeka</t>
  </si>
  <si>
    <t>Kenapa pihak PIMPINAN DPR tidak segera memproses Usulan PANSUS JIWASRAYA.Apakah PIMPINAN DPR Bukan WAKIL RAKYAT..? Sepertinya PIMPINAN DPR tersebut WAKIL Pejabat , wakil PRIVET dan KAPITALIS WNI keturunan.</t>
  </si>
  <si>
    <t>@mediaindonesia si bewok aja tuh suruh gabung isis !</t>
  </si>
  <si>
    <t>Sebanyak 238 WNI dari Wuhan, China yang menjalani observasi di Pulau Natuna, Kepulauan Riau terkait virus korona akan dipulangkan Sabtu (15/2/2020) besok. Dari total jumlah tersebut, dua di antaranya tercatat warga Sumatera Utara (Sumut).</t>
  </si>
  <si>
    <t>Serius ini 78 wni negatif corona?? Hebat juga pipel +62 tapi amsih takut soalnya galama lagi papah berangkat kerja 🥺 RT @CNNIndonesia: Pemerintah Jepang menyatakan sebanyak 218 penumpang kapal pesiar Diamond Princess terinfeksi virus corona. @Kemlu_RI pun menuturkan bahwa 78 orang WNI yang merupakan kru dari kapal pesiar tersebut dalam kondisi sehat dan negatif virus corona.  #CNNIndonesia</t>
  </si>
  <si>
    <t>Masih dijadikan sumber aja orang ini... Delusional yg ngaku2 "presiden ISIS".😅 RT @detikcom: Eks Presiden ISIS Regional Indonesia Cep Hernawan menegaskan WNI eks ISIS tidak akan pulang ke Tanah Air.</t>
  </si>
  <si>
    <t>RT @marpaung913: @JKDaulay Arab Saudi aja belajar ANTARIKSA dan ke BULAN harus ke Amerika. Amerika mendalami pemahaman ORMAS RADIKAL dan ISIS ke Timteng. Tukar ya......</t>
  </si>
  <si>
    <t>Keputusan pemerintah Indonesia menolak kepulangan mantan ISIS mendapat reaksi beragam. Pro dan kontra muncul mulai dari anggota DPRD Jember hingga ulama.</t>
  </si>
  <si>
    <t>Anggota Watimpres menilai keputusan pemerintah soal WNI eks ISIS melegakan masyarakat</t>
  </si>
  <si>
    <t>RT @ba_ger91: @AhlulQohwah @endoe21 @KPAI_official @TyasZain @WagimanDeep @narkosun @JoniSukaPaha Mungkin KPAI udah berubah nama menjadi Komici Perlindungan Anak Isis? @KPAI_official baiknya bubar saja. Ngabisin duit negara, uang rakyat, uang pajak ortu gw. Bubar sja kalian, ga ada gunanya bagi anak yg pro NKRI cinta Pancasila. Pergi sana urusi anak2 isis.</t>
  </si>
  <si>
    <t>BENER ATAU NGGAK YAA. ... DITOLAK PEMERINTAH, TERNYATA WNI EKS ISIS SEJAHTERA &amp; TAK MAU PULANG. KEBENERAN NICH. .. 😁😁😁 Ditolak Pemerintah, Ternyata WNI Eks ISIS Sejahtera dan Tak Mau Pulang</t>
  </si>
  <si>
    <t>@JKDaulay Arab Saudi aja belajar ANTARIKSA dan ke BULAN harus ke Amerika. Amerika mendalami pemahaman ORMAS RADIKAL dan ISIS ke Timteng. Tukar ya......</t>
  </si>
  <si>
    <t>RT @dw_indonesia: Presiden @jokowi kembali menegaskan bahwa pemerintah tidak memiliki rencana memulangkan 689 orang yang ia sebut sebagai "ISIS eks WNI". Menurut Jokowi, pemerintah memiliki tanggung jawab keamanan terhadap 260 juta penduduk Indonesia yang harus diutamakan.</t>
  </si>
  <si>
    <t>@Jossie_w15 @dusrimulya @mohmahfudmd Isis tidak mengenal.batas wilayah..</t>
  </si>
  <si>
    <t>@detikcom Mantappp nihhh ISIS punya presiden yg sekarang tinggal dan hidup nyaman di INDONESIA.🙃</t>
  </si>
  <si>
    <t>@AhlulQohwah @endoe21 @KPAI_official @TyasZain @WagimanDeep @narkosun @JoniSukaPaha Mungkin KPAI udah berubah nama menjadi Komici Perlindungan Anak Isis? @KPAI_official baiknya bubar saja. Ngabisin duit negara, uang rakyat, uang pajak ortu gw. Bubar sja kalian, ga ada gunanya bagi anak yg pro NKRI cinta Pancasila. Pergi sana urusi anak2 isis.</t>
  </si>
  <si>
    <t>Gabung sama isis 😭 RT @shitlicious: Arah tiang balkon. Dia memeluk tiang itu, &amp; menatap nanar ke arah langit malam yg disiram terangnya cahaya bulan. Baju renda2nya terlihat menerawang. “Dulu suami Tante jg sering nyanyi di sini. Kami suka nyanyi berdua, sblm dia pergi &amp;amp; bergabung dgn ISIS”. Aku pun meletakkan....</t>
  </si>
  <si>
    <t>RT @liputan6dotcom: Kegiatan WNI pada Malam Terakhir di Natuna</t>
  </si>
  <si>
    <t>RT @WartaEkonomi: Dari mana ISIS mendapatkan uang? (A THREAD)</t>
  </si>
  <si>
    <t>Ajaran isis .. RT @blaworblakasuta: @black__valley1 Ibu2 pakai jilbab panjang tapi kelakuan kasar bgt, ingin ku berkata kasar!! 😠</t>
  </si>
  <si>
    <t>@lho_koq @CNNIndonesia @ISIS_Balik_NO @DPR_RI Yg penting enak 😂🤣</t>
  </si>
  <si>
    <t>@detikcom Yah koq gk pergi ke isis sana ?😂</t>
  </si>
  <si>
    <t>Protokol Kesehatan dari WHO telah Dilalui, Presiden Minta Masyarakat Menerima WNI dari Wuhan</t>
  </si>
  <si>
    <t>@k4ng_C1reNG Lah ya lebih bagus itu kalau memang mereka gak mau pulang.... Kita di Indonesia juga gak mau nerima mereka pulang.... Mereka Kan cuma Eks WNI.... Jangan ke balik ya..... Eks WNI... Paham ora</t>
  </si>
  <si>
    <t>@detikcom Waduh. Ada "Presiden ISIS" Mentri dmna ya?😂😂😂😂</t>
  </si>
  <si>
    <t>RT @sevenco: @TirtoID 1. Warganya ngumpulin duit beli tiket dan bikin paspor buat ke Turki. 2. Dari Turki, warganya nyebrang ke Suriah, scr ilegal tentu saja. 3. Sampai wilayah ISIS, warga bakar paspor dan menyatakan setia ke ISIS. Trus itu salah pemerintah karena 'membiarkan warganya jd stateless'?</t>
  </si>
  <si>
    <t>RT @suara____rakyat: Bahaya mana dengan para koruptor yang menggerogoti negeri ini ? Pemulangan Anak Eks ISIS, Demokrat: Jokowi Jangan Seperti Donald Trump  lewat @sorotnews</t>
  </si>
  <si>
    <t>Kegiatan WNI pada Malam Terakhir di Natuna</t>
  </si>
  <si>
    <t>Keputusan Pemerintah Indonesia Tolak Kepulangan Eks ISIS Tuai Pro Kontra</t>
  </si>
  <si>
    <t>@redyhard @mohmahfudmd Kita bicara hukum bukan bahasa. Menjadi negara itu ada syaratnya. Lewat pengadilan mereka harus dihukum. Dan kalau ini kita lakukan maka WNI yg ikut perang melawan Uni Soviet di Afganistan juga harus diadili, biar adil bukan?</t>
  </si>
  <si>
    <t>@penggemarsemar @CNNIndonesia @Kemlu_RI Tapi ada WNI yg kena di Singapura?</t>
  </si>
  <si>
    <t>@UKI_djayengrono @BadjaNuswantara @fadlizon Pantesan dia ngotot untuk memulangkan ex ISIS, karena dia habis banyak modal untuk perjuangan ternyata gagal total di Suriah. Yg jauh dibantu apalagi kalau sdh dekat</t>
  </si>
  <si>
    <t>@UKI_djayengrono @WahhabiCC @fadlizon simpatisan ISIS yang pengecut 🤪🤪🤪🤪</t>
  </si>
  <si>
    <t>Eks Presiden ISIS Indonesia: Kalau Ditolak Pulang, WNI Eks ISIS Saya Tampung!</t>
  </si>
  <si>
    <t>@KBRITokyo Emang sakti mandraguna nih wni 😂</t>
  </si>
  <si>
    <t>@haloassa Yah takut nnt gaboleh balik ke indo krn dikira eks isis :(</t>
  </si>
  <si>
    <t>@mediaindonesia Namanyapun gerombolan ISIS/ PENGACAU. Kita gak ingin manusia yang sudah rusak ada di lingkungan kita.</t>
  </si>
  <si>
    <t>@detikcom Baru denger ada presiden isis..😅</t>
  </si>
  <si>
    <t>RT @affandiasry: @PartaiSocmed Jilid dua ini para pembantu makin aneh min, dimulai dr kkp lobster》kumham masiku》medag isu penipuan》menag kepulangan kombatan isis》menkeu mslh janji kampanye prakerja》bpip 》menkopolhukam</t>
  </si>
  <si>
    <t>@AhlulQohwah @KPAI_official ISIS lebih berharha ya pak? Anak" isis yg kau sekalian sebut sebagai korban itu belum tentu punya perilaku nasionalis. Berani jamin apa kau semua kalau mereka di pulangkan, negara akan aman? Mungkin aja 5 tahun kedepan ajaran rasis &amp; ga kenal ampun mereka justru diterapkan disini</t>
  </si>
  <si>
    <t>Baca berita BBC Indonesia soal ratusan penumpang kapal pesiar asing yang terinfeksi corona tapi puluhan WNI di dalem situ sehat walafiat fyi aja w lagi radang dan minggu lalu demam,, yha ku jadi insecure aja,, ha ha ha,,</t>
  </si>
  <si>
    <t>@Emmy8412 @AhlulQohwah @KPAI_official @TyasZain @WagimanDeep @narkosun @JoniSukaPaha Mungkin terlalu jauh kejadiannya jd @KPAI_official tdk dpt menjangkaunya, lebih deket di Syriah anak2 ISIS !!! Yaa kaan @KPAI_official ???</t>
  </si>
  <si>
    <t>RT @LuwitaEmilly878: @sari00925317 @tandanVradio @Usep210 @Ibnu_Al_Addin @DatuakAtuk @Restichayah @WagimanDeep @permadiaktivis @habibthink @YRadianto @Natalieanggi112 @bin_martakusuma Agama elu apa seh?? Khilafah ya?? Atw ISIS??</t>
  </si>
  <si>
    <t>Bahaya mana dengan para koruptor yang menggerogoti negeri ini ? Pemulangan Anak Eks ISIS, Demokrat: Jokowi Jangan Seperti Donald Trump  lewat @sorotnews</t>
  </si>
  <si>
    <t>RT @amrudinnejad_: Memutuskan untuk tidak memulangkan eks WNI Kombatan ISIS memang bukan satu-satunya solusi untuk Indonesia. Masih banyak tanggungjawab pemerintah dalam menyelesaikan masalah radikalisme, terorisme dan intoleransi yang makin hari makin memprihatinkan 😔✊</t>
  </si>
  <si>
    <t>@mediaindonesia lebih baik gagal memelihara ISIS, daripada sukses.</t>
  </si>
  <si>
    <t>RT @OeripKoe: @UKI_djayengrono @geraldineventi @fadlizon Oohh ternyata doi berafiliasi ke teroris tidak heran kalau ngotot agar eks ISIS bisa pulang ke Indonesia Tidak salah kalau ada yang mengatakan dia agen dari Amrik yang ingin melihat Indonesia Hancur seperti negara2 timur tengah</t>
  </si>
  <si>
    <t>@sari00925317 @tandanVradio @Usep210 @Ibnu_Al_Addin @DatuakAtuk @Restichayah @WagimanDeep @permadiaktivis @habibthink @YRadianto @Natalieanggi112 @bin_martakusuma Agama elu apa seh?? Khilafah ya?? Atw ISIS??</t>
  </si>
  <si>
    <t>RT @P_Eneste: Hanya orang2 yg berniat buruk utk negeri bernama NKRI ini yg menginginkan eks WNI dan mantan Kombatan ISIS serta keluarganya, #dipulangkan. Karena ISIS nyata2 adalah terorist, musuh Islam dan semua agama, serta musuh semua manusia yg memiliki #kemanusiaan.... Bela #NKRI....</t>
  </si>
  <si>
    <t>@AhlulQohwah @KPAI_official kayanya anak" isis lebih berharga dimata KPAI. Ya secara udah terlatih bersenjata, di ajari taktik perang, tah cara defend musuh. Ga kaya anak indo yg tiap hari sekolah, dgn harapan besoknya pas kerja bisa ke instansi negara, menyukseskan bangsa</t>
  </si>
  <si>
    <t>RT @NUCreativeMedia: Sudah diketok palu dan diresmikan oleh pemerintah, bahwasanya WNI yang terbukti eks-ISIS tidak akan dipulangkan. Keputusan terkait, ditentukan melalui rapat tertutup presiden dengan beberapa menteri dalam kabinet. #tolakISIS #PemerintahRI #keutuhanNKRI #NUCreativeMedia</t>
  </si>
  <si>
    <t>@Rukayya55594631 Gskya kam yda zaki iya gogewa ki sake sing wni</t>
  </si>
  <si>
    <t>RT @SuburBur: Munarman yg telah berbai'at kepada Abu Bakar Al Baghdadi (ISIS) adalah jubir FPI. FPI mendukung Wowok.. #02MenangFPImerajalela</t>
  </si>
  <si>
    <t>@bintangsandazi @detikcom Selangkangan itu pengalihan isu yg bagus selain radikal radikul isas Isis.</t>
  </si>
  <si>
    <t>Aktivis: Pemerintah Perlu Siapkan ‘Ayah’ bagi Anak-anak Eks ISIS</t>
  </si>
  <si>
    <t>RT @Lady_Zeebo: FELIX SIAUW AGEN ISIS &amp; Teroris #MenolakLupa PENGUSUNG KHILAFAH felix siauw aktif mempropagandakan jihad dukung ISIS di Ghouta, Allepo, Idlib &amp;amp; wilayah² lainnya. Setelah Kejahatan Teroris di Suriah Terungkap, mrk tiarap. Kpn bajingan khilafah ini diringkus? #FelixISIS</t>
  </si>
  <si>
    <t>@fallsky90 @kekuatanbulan2 @jokowi Ap hub isis ama cina ,ngawur</t>
  </si>
  <si>
    <t>@Yandevilito79 @putri_melayu01 @alu_dra @XIII_kamp @FSyah1111 @JajeToples @AlissaWahid Lah.. Kamu bukan WNI ya.. Atau kamu dulu tidak pernah belajar seni budaya di sekolahmu</t>
  </si>
  <si>
    <t>@lailadwg Tapi emang belum ada WNI yg positif terinfeksi sih di kapal itu, kan bukan dari pihak kita yg periksa</t>
  </si>
  <si>
    <t>@seruanhl KPAI melindungi anak ISIS atau anak Indonesia?</t>
  </si>
  <si>
    <t>RT @Metro_TV: Ratusan WNI yang sedang menjalani observasi di Natuna akan segera dipulangkan. Pemulangan akan dilakukan pada Sabtu, 15 Februari 2020. #MetroHariIni</t>
  </si>
  <si>
    <t>Negara sibuk urus eks WNI, tak ada keadilan untuk yang masih setia dengan negara ini. Korporasi pembakar lahan masih bisa haha hihi, sedangkan Petani kami yang cuma berladang demi menghidupi anak dan istri malah di bui.</t>
  </si>
  <si>
    <t>RT @Airin_NZ: 3 ank tak brdosa ini sdng beribadah. &amp; Mrka harus mnjadi Korban kebiadaban ISIS.. Kelompok yg selama ini merasa paling benar &amp;amp; berhak atas Surga 3 anak tak berdosa ini menjadi korban Bom bunuh diri yg dlakukan oleh 1 keluarga, ayah, Ibu &amp;amp; 4 anak dbawah umur #TolakAnakISISKembali</t>
  </si>
  <si>
    <t>@AhlulQohwah @KPAI_official @TyasZain @WagimanDeep @narkosun @JoniSukaPaha Nahh @KPAI_official diam2 bae😏 Giliran anak2 Isis koar2🤦‍♀️</t>
  </si>
  <si>
    <t>@Dhitttttttttttt @infinity_fel @Sabrina13579_ @syiahgl @jokowi @mohmahfudmd @Kiyai_MarufAmin @JatimPemprov @KhofifahIP GAK BAHAS ISIS,,,,, SOAL SYIAH,,,, TP TD ADA YG COBA TARIK KE SOAL ISIS,,,,,, JADI AGAR KESANNYA YG KONTRA SOAL SYIAH,,, KAUM WAHABI,,,, YG MGKN PERNAH IKUT DUKUNG ,,,, ISIS,,,,,, ITU TRICK MRK,,,</t>
  </si>
  <si>
    <t>RT @tvOneNews: Usai observasi di Natuna, 238 WNI dipulangkan. Saksikan Kabar Pagi Sabtu 15 Februari 2020 jam 04.30 WIB hanya di tvOne &amp; streaming tvOne Connect, android  &amp;amp; ios . #tvOneNews</t>
  </si>
  <si>
    <t>Dari Natuna, WNI yang Diobservasi akan Diterbangkan ke Halim dengan Empat Pesawat Pukul 14.00 WIB</t>
  </si>
  <si>
    <t>Midnite coffee break☕ •Sosis Solo isi daging kadrun cincang •Pastel telur Hujan rintik2 di luar☔Nongkrong di teras depan..Dingin malam..Kopi susu panas..Abs mandi air pns jg😊 Alhmdullilah😇 Indahnya dunia tnpa adanya ISIS di sekeliling qta 🔫 Bpk @jokowi @Dr_Moeldoko❤</t>
  </si>
  <si>
    <t>Liat news feed fb Yang dipost: laporan event Jakarta Block Party, stage khusus "Tolak Pulang" yang disponsori jamu Tolak Angin. Isi kolom komentar: netijen debat kusir soal penolakan pulangnya ex ISIS. Aku:</t>
  </si>
  <si>
    <t>@Iqbal__Kholidi Ada yg meregang nyawa dalam foto itu, sebagai akun yg sering mengecam kekejaman ISIS dan kel teroris lainnya, sangat tidak pantas menjadikan foto tsb bahan bercanda.</t>
  </si>
  <si>
    <t>WNI yg dikarantina di natuna pun gada samsek yg dinyatain positif, pdhl tiap warga wuhan maupun turis selain indo yg dri wuhan pas keluar dari sana kbnykn dinyatain positif. Hmm entahlah bingung</t>
  </si>
  <si>
    <t>@k4ng_C1reNG @bimatm1 Hmm mau tanya tp gimn tanya nya ya, hmm btw uda berapa perempuan ISIS yang uda bapak cicipin? Maaf cuma pengen tau aja 😬</t>
  </si>
  <si>
    <t>RT @CintaNKRI08: HanyaKOMUNIS yang megatakan Agama adlh musuh PANCASILA ! Betul @jokowi ? Ya Allah berilah kekuatan atas kesabaran hidup mnjadi WNI , krn mereka sdh mulai mennyusupkan Faham KOMUNIS ! Tolong lah ya Rabb Rakyat Akal sehat yg mngingin kan kbaikan Aamiin #jkwsejarahburukindonesia</t>
  </si>
  <si>
    <t>Kurang menarik,, Masih heboh pemulangan wni syiria n BPIP.. Agent pengalih isu... 😂😂😂😂 RT @dianyounee: Kejagung: Kerugian Sementara Akibat Kasus Jiwasraya Bertambah Jadi Rp 17 Triliun</t>
  </si>
  <si>
    <t>"Penolakan pemulangan anggota teroris IS di tempat pengungsian oleh pemerintah Indonesia membuktikan bahwa Indonesia telah gagal dalam menangani persoalan teroris."</t>
  </si>
  <si>
    <t>RT @GUSDURians: #JumatBerkah gaes. Pemerintah telah memutuskan untuk tidak memulangkan mantan kombatan ISIS (belakangan disebut ex-WNI oleh beberapa pejabat publik). Gusmin mau tanya pendapat gaes semua nih. Apakah keputusan pemerintah sudah tepat? Kasih alasannya ya gaes. Nanti Gusmin mau ulas</t>
  </si>
  <si>
    <t>@infinity_fel @StyaPramana @Sabrina13579_ @syiahgl @jokowi @mohmahfudmd @Kiyai_MarufAmin @JatimPemprov @KhofifahIP Isis itu bukan sunni, nggak jelas arahnya</t>
  </si>
  <si>
    <t>@dusrimulya @mohmahfudmd Enak saja sudah ikut peramg ,membunuh n membakar passport dn menyatakn bbas dr indo yg d ktkan toghut kok mau kmbali ke indo ,tny isis negara bkn? Tau g kpnjangan isis,emang tiap negara wajib puny kedutaan d tiap negara ?</t>
  </si>
  <si>
    <t>Hiburan banget bacain replyannya. WNI emang muweheheee batss sih! RT @CNNIndonesia: Pemerintah Jepang menyatakan sebanyak 218 penumpang kapal pesiar Diamond Princess terinfeksi virus corona. @Kemlu_RI pun menuturkan bahwa 78 orang WNI yang merupakan kru dari kapal pesiar tersebut dalam kondisi sehat dan negatif virus corona.  #CNNIndonesia</t>
  </si>
  <si>
    <t>ISIS : ini salah itu salah</t>
  </si>
  <si>
    <t>@mohmahfudmd Wow hebat prof,berarti indonesia mengakui ISIS sebagai sebuah negara,dalil yg bijaksana anda👏</t>
  </si>
  <si>
    <t>@FirzaHusain SUKA2X LO LAH.. SEPI JOB DEMO.. JUAL AYAT DA GA LAKU.. OBRAL JA KEBODOHAN LO.. JGN BNYK CINCONG SANA KE ARAF BANTU JUNJUNGAN LO DEMO RAJA SALMAN.. ATAU SANA KE SURIAH BANTU ISIS KTMBNG NORAK DISINI</t>
  </si>
  <si>
    <t>RT @elhamster: Tuh kannn 😔 Sy lebih percaya klo virus corona ga masuk indo bukan karena gada WNI yg terjangkit, tapi lebih karena Pemerintah aja yg gatau.</t>
  </si>
  <si>
    <t>@niosoehok @Ari3Pras @timursuprabana @jokowi Islamic Siria and Iraq State. Pertanyaannya, apakah ISIS itu sebuah negara? Paham negara itu apa nggak sih?</t>
  </si>
  <si>
    <t>Kedudukan WNI ikut organisasi bersenjata ISIS sama dengan WNI yang ikut OPM atau GAM, atau WNI tentara kartel narkoba Mexico dan Kolumbia Artinya, apakah WNI ikut tentara kartel narkoba, OPM dam GAM dikenai hukum ini, kehilangan kewarganegaraan, wahai Mahfud MD?</t>
  </si>
  <si>
    <t>Rencana kepulangan wni yg ada disuriah menurut w harus tetep di proses karna bagai mana pun. Ketika ada problematika yang muncul sebagai pihak yang profesional pemerintah harus kooperatif menyelesainya. Dan penyelesaiannya pun harus mampu diterima oleh kedua -</t>
  </si>
  <si>
    <t>@kamuusiapaaaaaa @AhlulQohwah Anak lu aja suruh masuk isis...</t>
  </si>
  <si>
    <t>RT @AhlulQohwah: Gini mas biar ente pinteran dikit. Tidak ada seorang maling pun yg ingin anaknya jadi maling Tapi pengikut ISIS bisa dipastikan selalu menginginkan anaknya punya ideologi yg sama dg dia. Sampai sini paham.. ?!!</t>
  </si>
  <si>
    <t>@kompascom Yg aneh sampe saat ini blm ada data WNI yg terpapar virus corona. Termasuk 78 WNI yg ikut kapal pesiar dimana ada ratusan org yg terpapar covid19. Apakah gen org Indonesia kebal dr covid19?</t>
  </si>
  <si>
    <t>@LusiHQ tidak ada bedanya dengan kelakuan ISIS, wanita selalu jadi budak sex.</t>
  </si>
  <si>
    <t>RT @noeruzzaman: 1. Semu orang kembali terusik atas pemulangan "eks WNI ISIS" bener kan? Kita lupa, terorisme tdk 'ujugujug' jadi begitu saja, tapi ada proses dan tahapan yg dilalui, harusnya kita fokus di ranah 'penyebab' yaitu ideologi d/atau pemahaman yg intoleran.</t>
  </si>
  <si>
    <t>RT @aewin86: Yang penting @aniesbaswedan sudah pernah bangun jalur sepeda dan diliput media. Masalah hambur2in Anggaran mah urusan nanti.</t>
  </si>
  <si>
    <t>RT @OposisiCerdas: Ditolak Pemerintah, Ternyata WNI Eks ISIS Sejahtera dan Tak Mau Pulang</t>
  </si>
  <si>
    <t>Memutuskan untuk tidak memulangkan eks WNI Kombatan ISIS memang bukan satu-satunya solusi untuk Indonesia. Masih banyak tanggungjawab pemerintah dalam menyelesaikan masalah radikalisme, terorisme dan intoleransi yang makin hari makin memprihatinkan 😔✊</t>
  </si>
  <si>
    <t>Mantap Diamond Princess. Alhamdulillah kontrak kemaren pernah di sana. Semua temen2 WNI sehat semua @KBRITokyo RT @CNNIndonesia: Pemerintah Jepang menyatakan sebanyak 218 penumpang kapal pesiar Diamond Princess terinfeksi virus corona. @Kemlu_RI pun menuturkan bahwa 78 orang WNI yang merupakan kru dari kapal pesiar tersebut dalam kondisi sehat dan negatif virus corona.  #CNNIndonesia</t>
  </si>
  <si>
    <t>@dusrimulya @mohmahfudmd Klo di liat dari sisi hukum mungkin anda ada benarny,ISIS bukan negara,Tapi maaf mas bagi saya mereka a/ pengkhianat mrk udah lakukan pembnhan di negara lain &amp; berniat jahat ke negara lain.Klo kita akui mereka sama artiny kita dkung mereka,masa iya kita mau tampung pengkhianat?</t>
  </si>
  <si>
    <t>RT @AhlulQohwah: Ini yg di dlm negeri, jumlahnya lbh banyak dari anak ISIS, tak pernah selesai dari tahun ke tahun. Knp tak diprioritaskan untuk dicarikan solusi yg jelas2 di depan mata, justru ngurus anak ISIS yg di negara antah berantah?</t>
  </si>
  <si>
    <t>Biaya Pemulangan WNI dari Cina Capai Rp 12 Miliar</t>
  </si>
  <si>
    <t>RT @kominfo_jtg: Proses karantina terhadap 238 orang warga negara Indonesia (WNI) dari Wuhan Tiongkok di Natuna terkait virus corona, akan selesai pada Minggu (16/2/2020). Setelah itu, pemerintah akan memulangkan ratusan WNI itu ke kampung halaman masing-masing, termasuk Jawa Tengah.</t>
  </si>
  <si>
    <t>Biaya Pemulangan WNI dari Cina Capai Rp 12 Miliar  via @Indopolitika</t>
  </si>
  <si>
    <t>@DayatPondok @mohmahfudmd Kl ini dianggap kegagalan pemerintah, berarti masih sangat banyak keberhasilannya, krn yg ikut ISIS cuma sekian ratus org sedangkan yg NKRI msh sekitar 259,99 jutaan orang.</t>
  </si>
  <si>
    <t>Ndisik aku hijaban dowo di omong penganut isis , saiki wes ra nggo hijab dowo di omong ra istiqomah , cuma ngikutin trend doang , koe jane kesel ra to wkkwkw Cen neng matane uwong ki kabeh ra gebeneran</t>
  </si>
  <si>
    <t>@yashadipura @muhammadleo68 Nanti ada yang bilang radikal dan terpapar HTI, usas isis.......</t>
  </si>
  <si>
    <t>Kisah Kota tua Penagi, Natuna lokasi observasi WNI dari China #kepulauanriau #kepriantaranews #pelawaantara #kepri #batam #natunaisland</t>
  </si>
  <si>
    <t>Besok, Seluruh WNI yang Dikarantina di Natuna Dipulangkan ke Daerah Asal</t>
  </si>
  <si>
    <t>RT @toegiono: @BBCIndonesia Melihat raut muka bpk nya saja sdh kelihatan, org ini apabila kembali ke 🇮🇩 kelak akan membawa masalah lain. Merka meninggalkan 🇮🇩 utk bergabung ke ISIS, sama saja sdh membuang status WNI nya. Tdk perlu dipulangkan lah mereka. 🇮🇩 masih banyak yg harus diurus &amp; dibenahi.</t>
  </si>
  <si>
    <t>285 WNI Akan Dipulangkan dari Natuna Besok, Berikut Nama-nama Daerah Asal Mereka</t>
  </si>
  <si>
    <t>RT @CakL1571: @elHurryKoRn Makhluk kadrun yg komunis ISIS</t>
  </si>
  <si>
    <t>RT @SATRIAN09792416: @elHurryKoRn @nnyzhuxin Kan ISIS buatan amerika, ngapain cari "perkara" dgn negara adidaya, makanya lebih ga usah di pulangin ke Indonesia biar aje di urus ame negara Laen..!</t>
  </si>
  <si>
    <t>RT @AlfaOmega0110: @dusrimulya @mohmahfudmd Apa yg mau diperdebatkan? Udah jelas di pasal itu cuman ngomong tentara asing, bukan negara asing.. semua pasal hukum yang berlaku itu kalau diadili disini dan orangnya ada disini, kalo orangnya di sana gimana caranya??? Bukan jurisdiksi kita! Apalagi Eks WNI statusnya stateless</t>
  </si>
  <si>
    <t>@Rexsonarety itu sih framing mereka aja sebenarnya mereka ini terlalu gengsi beberapa untuk bilang hidup gaenak dibawah otoritas keamanan suriah dan turki ,bahkan wanita daesh aja gengsi untuk mengakui isis telah kalah tapi saya baca juga sebenernya isis udah beralih ke asean</t>
  </si>
  <si>
    <t>@SetiaAdy_p @felixaaf1 @CANDAdanBISNIS @zaenalkase03 @MaryanaNunung @TukangMu @MOMDian2 @SultanAnjar @2024GanjarRisma @MukhtarLuthfi12 @RizkiR4madani @evisuryanti10 @al_fakru @edward7011971 @BapakPol @JohnIrwan4 @Dickusnadi1 @kasrulsani9 @wantahgdn @Edward_1smail @LiaIsti1 @jubrik844 @Recoignitionwal @periani @eddies_song @wartawankoboi13 @CumiCue @AdigunaAtmaja @Iqbalkuntoro1 @RazkaFaiz @Maranatha_Sibrn @babegalak1 @Jokoumb64504158 @73hermantjoe @dian_ibunda @GendengHrs @demartinnie @gimbal_keren @ANDRE_OCTA_ @AnkyOsama @Mulia07094480 @MukhtarLuthfi11 @New_BUFFETT @Arieamy3 @TheEndTri1 @MardaniAliSera @hnurwahid @aagym @adeyasinn @MUIPusat Tujuannya peks bisa jdi pengikut nya anak ,anak ISIS itu bisa jdi senjata pks</t>
  </si>
  <si>
    <t>WNI yg di situ, "santuy aja gan, kalo kena tinggal kerok" RT @CNNIndonesia: Pemerintah Jepang menyatakan sebanyak 218 penumpang kapal pesiar Diamond Princess terinfeksi virus corona. @Kemlu_RI pun menuturkan bahwa 78 orang WNI yang merupakan kru dari kapal pesiar tersebut dalam kondisi sehat dan negatif virus corona.  #CNNIndonesia</t>
  </si>
  <si>
    <t>@mohmahfudmd Apakah pernyataan ini berarti MAHFUD MD sebagai MENKOPOLHUKHAM RI mengakui ISIS ADALAH SEBUAH NEGARA? Gile lu, Fud.... gak nyangka lu a.n RI ngakuin ISIS sebagai sebuah negara.</t>
  </si>
  <si>
    <t>RT @devila25: @AhlulQohwah Sebenarnya orang isis tidak sumuk..</t>
  </si>
  <si>
    <t>Valentine sendu. Sedih2an sama pacar. Full curhat • curhat tentang kerjaan, • trus ngomongin knpsi org lebay blg valentine haram??? • trus ngomongin ISIS • ngomongin temen • sampe tbtb cerita ke trauma masa lalu, akhirnya sedih trus nangis2an.</t>
  </si>
  <si>
    <t>@dusrimulya @mohmahfudmd Numpang tanya, yg kasih label ISIS tentara itu siapa... Dan apa hak menyenbut mereka tentara....</t>
  </si>
  <si>
    <t>@ISIS_Balik_NO @aewin86 @musniumar Kalau Mic ... itu untuk karaoke 🤭🤭</t>
  </si>
  <si>
    <t>@QalbuBahasa @mohmahfudmd @spiderr__matrix @AnakKolong___ @AnakLolina @juni_irene @mamiagarislucu @Black_lleviant @klelur028 Eks presiden ISIS bilang bahwa isue tsb tidak benar, karena dia saat ini nyaman di cianjur. Coba sebaliknya ? Dia akan meraung2 untuk bs pulang...</t>
  </si>
  <si>
    <t>@voicexist imun WNI udah kebal sama yang aneh aneh 😓</t>
  </si>
  <si>
    <t>@jokowi Kita harus tegas dengan keputusan dengan bijaksana ,jgn hanya karena "nila setitik , rusak susu sebelanga " Itulah tujuan terorist2 ISIS dinegr kita ataupun negr .lain ,salam ✌️ damaiii</t>
  </si>
  <si>
    <t>@PartaiSocmed @jokowi Sedih ya saya kalo anda bener begitu pak presiden... serem jadi nya. Kalo begini jadi nya masukin aja tuh 600 setan ISIS biar ambyar sekalian ini negara</t>
  </si>
  <si>
    <t>RT @merdekadotcom: 238 WNI yang Dikarantina di Natuna Dipulangkan Besok, 14 Orang Berasal dari Kaltim</t>
  </si>
  <si>
    <t>@positive_values @aewin86 @musniumar Kelas REKTOR ?😂😂😂😂</t>
  </si>
  <si>
    <t>@sari00925317 @DatuakAtuk @Ibnu_Al_Addin @tandanVradio @Restichayah @WagimanDeep @permadiaktivis @habibthink @YRadianto @Natalieanggi112 @bin_martakusuma Mka nya elu klo ngaji jngan di ISIS atw HTI bsa bawa elu ke neraka 😂😂😂</t>
  </si>
  <si>
    <t>RT @positive_values: @musniumar Mus Mus... yg bener tulisannya Mcgill University ! Anda nulis saja gak becus, ayo latihan tebal tipis lagi 🤭🤭</t>
  </si>
  <si>
    <t>@febrianamir Perkara bubur aduk vs gak diaduk aja blm kelar nambah lagi kuah mie ayam di pisah vs digabung, wni mmg doyan keributan 😂</t>
  </si>
  <si>
    <t>RT @BadjaNuswantara: Pemerintah tak perlu beri ruang opsi memulangkan sebag eks WNI pro ISIS. Di Indonesia masih byk anak2 dr usia dini sd remaja yg perlu dibina. #TolakAnakISISKembali</t>
  </si>
  <si>
    <t>Nhaa sih gabung isis😂😂 RT @shitlicious: Arah tiang balkon. Dia memeluk tiang itu, &amp; menatap nanar ke arah langit malam yg disiram terangnya cahaya bulan. Baju renda2nya terlihat menerawang. “Dulu suami Tante jg sering nyanyi di sini. Kami suka nyanyi berdua, sblm dia pergi &amp;amp; bergabung dgn ISIS”. Aku pun meletakkan....</t>
  </si>
  <si>
    <t>Gw setuju,ex isis balik,adili,anak2nya deradekalisasi.</t>
  </si>
  <si>
    <t>RT @godaasmara: @Natalieanggi112 @LuwitaEmilly878 @sari00925317 @tandanVradio @Ibnu_Al_Addin @DatuakAtuk @Restichayah @WagimanDeep @permadiaktivis @habibthink @YRadianto @bin_martakusuma ISIS HTI Lucknut buwaaakkk kalenn wae</t>
  </si>
  <si>
    <t>@Natalieanggi112 @LuwitaEmilly878 @sari00925317 @tandanVradio @Ibnu_Al_Addin @DatuakAtuk @Restichayah @WagimanDeep @permadiaktivis @habibthink @YRadianto @bin_martakusuma ISIS HTI Lucknut buwaaakkk kalenn wae</t>
  </si>
  <si>
    <t>Sabtu, 15 Februari mendatang, genap 14 hari masa observasi WNI yang dievakuasi dari Wuhan, Tiongkok. Pemerintah pun telah menyusun skenario penjemputan dari Natuna.</t>
  </si>
  <si>
    <t>Islam melarang umatnya bersikap tidak adil (intoleran).👉AlQur'an Allah larang mengganggu umat lain, termasuk tempat ibadah dan sesembahan mereka. UUD 1945 jamin WNI utk beribadah sesuai agamanya. Pemerintah di mana? @kemendagri @PolhukamRI @mohmahfudmd Presiden @jokowi</t>
  </si>
  <si>
    <t>RT @kompascom: WNI mengisahkan kondisi mereka selama karantina di kapal pesiar Jepang akibat merebaknya virus corona.</t>
  </si>
  <si>
    <t>Corona gak menginfeksi WNI karena imun kita barbar katanya. Tp serem gak si kalo di indo ada virus baru yg bikin kita sakit gitu berarti orang2 luar lbh fragile dong amit2 takut:((</t>
  </si>
  <si>
    <t>@AhlulQohwah @WagimanDeep @TyasZain @narkosun @arifbsantoso @amrudinnejad_ @rizieqdivist @1504ers @DjanChoek @Hanifah933 @JoniSukaPaha Gaulnya sama yg paham ekstrimis model isis ..ya begitu pola pikirnya ..</t>
  </si>
  <si>
    <t>@dusrimulya @papaleomilenial @mohmahfudmd SONO IKUT JADI ISIS SAJA...NGAPAIN PENGASONG ISIS KHILAFAH ADA DISINI...G ADA KAUM PENGASONG KHILAFAH INDONESIA G KEBERATAN KOK...JUMLAH KALIAN LOO CUMAN SEUPIL...G NGEFEK BUAT INDONESIA SAMPAH</t>
  </si>
  <si>
    <t>@alifafauziar Haha iya semoga saja jgn sampe ada yang kena, mau wna atau wni.</t>
  </si>
  <si>
    <t>RT @SigitAgungPrab2: Kalo maslaah anak ISIS eks WNI mah KPAI triak lantang ya?</t>
  </si>
  <si>
    <t>RT @Silfanus_Wen: @salahsambungya @jokowi @mohmahfudmd @GunRomli supaya referensinya ada utk stop pemulangan siapa saja yg terinfeksi isis... busyet..gimana gitu ya liatin anak balita disuruh gorok boneka... alamaakk.. ancur kabeh nih isis.. dajjal</t>
  </si>
  <si>
    <t>RT @okezonenews: Ganjar Minta WNI yang Dipulangkan dari Natuna Jangan Dikucilkan #TauCepatTanpaBatas #BeritaTerkini .</t>
  </si>
  <si>
    <t>@kompascom Penekanan terhadap umat mulai mendapat perhatian akademisi...kl urang amerika terproktektif wslsu warganya on "crime story" isis ina belum ada pembanding dengan negara asalnya..</t>
  </si>
  <si>
    <t>@Dwiyana_DKM @jokowi Presiden jelas dan tegas menggunakan status ISIS eks WNI, tp kok media2 mainstream masih WNI eks ISIS. Ada apa ya</t>
  </si>
  <si>
    <t>@AhlulQohwah Sebenarnya orang isis tidak sumuk..</t>
  </si>
  <si>
    <t>@mohmahfudmd Radikal radikul...isis usus.... Yg jelas aja yg d bilng radikal yg nusuk mentri...apa kbar prosesnya pa bossss???</t>
  </si>
  <si>
    <t>RT @LuwitaEmilly878: @sari00925317 @tandanVradio @Ibnu_Al_Addin @DatuakAtuk @Restichayah @WagimanDeep @permadiaktivis @habibthink @YRadianto @Natalieanggi112 @bin_martakusuma Oh jd ini hasil ngaji elu 😂😂 Sllu bikin ribet masalah?? Islam ngajarin damai n toleransi bukan nyari ribet Ngaji elu di ISIS m HTI sih mka nya jd kyk gini</t>
  </si>
  <si>
    <t>Corona mau masuk ke tubuh WNI harus collab dulu sama angin</t>
  </si>
  <si>
    <t>@XIII_kamp @alu_dra @putri_melayu01 @FSyah1111 @JajeToples @Yandevilito79 @AlissaWahid Oh kamu bukan WNI.. Jika WNI.. Tidak perlu tanya macam2 tentang UUD</t>
  </si>
  <si>
    <t>@sari00925317 @tandanVradio @Ibnu_Al_Addin @DatuakAtuk @Restichayah @WagimanDeep @permadiaktivis @habibthink @YRadianto @Natalieanggi112 @bin_martakusuma Oh jd ini hasil ngaji elu 😂😂 Sllu bikin ribet masalah?? Islam ngajarin damai n toleransi bukan nyari ribet Ngaji elu di ISIS m HTI sih mka nya jd kyk gini</t>
  </si>
  <si>
    <t>@Noura40447494 @PojokSatu Kek nya fans nya isis, saya dituduh tukang fitnah🤣🤣🤣</t>
  </si>
  <si>
    <t>RT @satriyalegawa: @emakkonglomerat @BgawanKusuma @Djokir1 @narkosun Klo pemulangan 50eks Suriah saja tak bisa dimonitor keberadaannya skrg, apalagi 600org... Drpd membahayakan kelangsungan kehidupan 260juta rakyat Indonesia, mk sebaiknya wacana pemulangan eks WNI yg bergabung dg ISIS DITUTUP saja. Ini peringatan keras bgi FPI dan eks HTI !!!</t>
  </si>
  <si>
    <t>Bhw ISIS adlh Produk Amerika Benar Ada nya Bhw Pemimpin ISIS adalah Agen Mosad Israel, jg Benar Org Malaysia : Dah lame dah, kite tau...., Pemerintah Indon aje yg Sebuk dgn ISAS..ISIS... #AgamaMusuhPKI #AgamaMusuhPKI RT @Adot1998: ISIS faktanya Buatan USS dan YAHUDI Disini Masih Aja Bisnis ISIS KAPAN MAJUNYA NEGARA INI</t>
  </si>
  <si>
    <t>RT @DatuakAtuk: @sari00925317 @LuwitaEmilly878 @Ibnu_Al_Addin @tandanVradio @Restichayah @WagimanDeep @permadiaktivis @habibthink @YRadianto @Natalieanggi112 @bin_martakusuma Tolong ya mbak Buang HP nya , bid'ah, nabi Muhammad Tidak pernah Menggunakan HP, itu buatan KAFIR mbak , Tunggu ISIS buat Hape aja . 😁😁🤣</t>
  </si>
  <si>
    <t>238 WNI yang Dikarantina di Natuna Dipulangkan Besok, 14 Orang Berasal dari Kaltim</t>
  </si>
  <si>
    <t>@PENELUSURAN_ILM @MichelAdamSS @AdzkarRahmat @AmiraSwandary99 @montimalano @Anita1024002 @DPras45 @Zulkiflilubis71 @brandalsantri45 @Dhamar__33 @wakbagong_ @RMNg_Sadewo @autumnove @Ade1ra78_ @__interlac_ Tamim Pardede serang UAS soal ISIS. TP bela ISIS??</t>
  </si>
  <si>
    <t>RT @BaleBengong: Ada dua warga Bali dari Denpasar &amp; Gianyar termasuk dalam WNI yg selesai menjalani 14 hari karantina di Pulau Natuna setelah dievakuasi dari Wuhan. Info dari @tvri_bali</t>
  </si>
  <si>
    <t>@JoeMyGod #ChrISIS - "Christian" ISIS</t>
  </si>
  <si>
    <t>RT @republikaonline: Anggota Komisi III DPR menilai perlu pemetaan yang baik untuk menanggani WNI eks ISIS</t>
  </si>
  <si>
    <t>#ChrISIS - "Christian" ISIS RT @JoeMyGod: Christian Site: Pete Buttigieg Is "Deserving Of Death" And So Is Anybody Who Approves Of Homosexuality -</t>
  </si>
  <si>
    <t>@Noura40447494 @PojokSatu Rahasia umum ini, bos nya itu agen mossad. Tadi ada yg unfol saya gegara bilang isis itu ada buat pipa gas🤣🤣🤣</t>
  </si>
  <si>
    <t>@ustadchen Kebal karna obat nya gampang dicari dimana2 tolak angin, boncabe, nutrisari, Indomie, ada diwarung gaperlu ke rs beli obat diwarung ge langsung imun lu ok kalah minum imboost 😂 ini dokter yg cek WNI di Cruise teheran2 ga ya bertanya2 ga ya kepo gue🧐</t>
  </si>
  <si>
    <t>@sari00925317 @LuwitaEmilly878 @Ibnu_Al_Addin @tandanVradio @Restichayah @WagimanDeep @permadiaktivis @habibthink @YRadianto @Natalieanggi112 @bin_martakusuma Tolong ya mbak Buang HP nya , bid'ah, nabi Muhammad Tidak pernah Menggunakan HP, itu buatan KAFIR mbak , Tunggu ISIS buat Hape aja . 😁😁🤣</t>
  </si>
  <si>
    <t>Udh ada berita lanjutan belom sih ttg WNI yg di kapal pesiar itu? Beneran sama sekali gak terinfeksi?</t>
  </si>
  <si>
    <t>Akun" buzzer sing utamaken mbully wan aibon daripada intoleransi terorisme uwis tak mute kabeh ben raiso muncul di timeline ku. Kuwi nolak isis eks WNI tapine nyinyir kerjo wan aibon? Sakit kuwi cuk</t>
  </si>
  <si>
    <t>@rranibams @isalfatur @BBCIndonesia Isis tu bukan negara bro</t>
  </si>
  <si>
    <t>@KBRITokyo Bantuan utk wni di jpn Hand sanitizer ❌ Boncabe + nutrisari 💯</t>
  </si>
  <si>
    <t>Anak2 ISIS eks-WNI seperti ini yg sedang diperjuangkan @KomnasHAM, Din Syamsuddin cs untuk dipulangkan kembali ke Indonesia?!</t>
  </si>
  <si>
    <t>@spiderr__matrix @willymfpro Kombatan ISIS ex WNI yg bener</t>
  </si>
  <si>
    <t>Usai observasi di Natuna, 238 WNI dipulangkan. Saksikan Kabar Pagi Sabtu 15 Februari 2020 jam 04.30 WIB hanya di tvOne &amp; streaming tvOne Connect, android  &amp;amp; ios . #tvOneNews</t>
  </si>
  <si>
    <t>@Ndrews1162011 @HeroeWhiteMachy @kafiradikal 4 tahun lalu tapi pejabat yg di angkat sama junjungan lo kan....bukan pejabat nya isis 😂</t>
  </si>
  <si>
    <t>@baru_kaya @ariel_heryanto anda perlu lihat video ini bgm ISIS mencetak abak2 sbg pembunuh.</t>
  </si>
  <si>
    <t>@IvanaAlistya iya gue juga baca yg periksa katanya pihak jepang... lo udah baca berita wni yg dikarantina di natuna pada dinyatakan sehat dan boleh pulang i mean dari sebanyak itu????</t>
  </si>
  <si>
    <t>Pulang dari Natuna, Menkes Jelaskan Mekanisme Pelepasan WNI Karantina</t>
  </si>
  <si>
    <t>Sepertinya tawuran antara Jiwasraya Masiku VS Lucinta Lutung,ISIS,Aborsi akan berakhir kalau sdh banyak yg tepar digebuk Corona,partai tambahannya Bully Anies @msaid_didu @TofaTofa_id @zarazettirazr</t>
  </si>
  <si>
    <t>Kemungkinan yang ini, karena ada kasus di Spore kan WNI udah kena RT @caramelcarbs: Komentar-komentarnya norak. Wong kru-nya belum diperiksa tapi harus tetap bekerja. Tambahan: a) 218 dari 3700 itu 5.8%. Wajar bahwa belum ada dari 78 WNI yang menunjukkan simtom parah b) terinfeksi tapi asimtomatik (nggak ada tanda) udah terbukti ada dari kasus2 sblmnya</t>
  </si>
  <si>
    <t>Pemulangan Anak Eks ISIS, Demokrat: Jokowi Jangan Seperti Donald Trump</t>
  </si>
  <si>
    <t>RT @dusrimulya: Jd ngawur klo Pasukan ISIS yg yak punya Negara Resmi (yg tak diakui dunia sbg Negara) disebut Tentara Mrk lebih tepat disebut Milisi/Militan/Teroris..bukan Tentara Jd yg blg "ISIS punya Tentara" berarti mengakui ISIS itu negara resmi dan berdaulat yg punya angkatan Perang</t>
  </si>
  <si>
    <t>@hnurwahid Ga sekalian bicara dimimbar minta pemerintah kembalikan Isis ex WNI ?? Dari kmrn grup bpk yg paling ribut teroris diajak pulang ke indonesia</t>
  </si>
  <si>
    <t>@ditaayuanita yo kasus lek iku rek, isis</t>
  </si>
  <si>
    <t>Anggota Komisi III DPR menilai perlu pemetaan yang baik untuk menanggani WNI eks ISIS</t>
  </si>
  <si>
    <t>@AminSiregar75 Masalah nya Kadrun itu Bodoh Semua Pak, Mahasiswa yg kuliah di Luar Negri aja di sama in dengan Teroris isis......Bodoh kan !!!!</t>
  </si>
  <si>
    <t>@toasan @mohmahfudmd ISIS itu negara bg para pemgikutnya..S yg trakhir itu kan State</t>
  </si>
  <si>
    <t>RT @WR_4AG226: Seandainya Ex WNI alumni Suriah ini dipulangkan , mereka mo bikin apalagi yaa disini ?? Soalnya alumni Afganistan dulu meledakkan Bom Bali yg maha dasyat Dan banyak korban nyawa 😫😔😢🤔</t>
  </si>
  <si>
    <t>@ArielFatR @Dedien5 @ustadtengkuzul Pikir yg jernih mana ada anggota ISIS ngaku...dan terang2an ngaku bahwa dia mantan ISIS... wkwkwk Ini sandiwara sinetron yg di hembuskan lewat media terus menerus... kalau ISIS ngaku udah habis dia... hehehehe</t>
  </si>
  <si>
    <t>RT @Boemi_Pertiwi12: KEPALA STAFF KEPRESIDENAN MOELDOKO MENEGASKAN. .... ""BERANI PULANG KE INDONESIA, EKS WNI SIMPATISAN ISIS AKAN DIADILI. ...."" NACH LHO. .... 👍👍🇮🇩🇮🇩 Berani Pulang ke Indonesia, Eks WNI Simpatisan ISIS Akan Diadili</t>
  </si>
  <si>
    <t>Corona Belum Reda, 1.821 WNI Masih Ada di China</t>
  </si>
  <si>
    <t>Wapres: Pemerintah Sedang Kaji Pemulangan Anak-anak WNI Eks ISIS</t>
  </si>
  <si>
    <t>@kangmirdja @ISIS_Balik_NO @aagym Cermin buatan kafir</t>
  </si>
  <si>
    <t>RT @KBRI_Manila: KBRI Manila bantu pemulangan WNI yang tertahan di Bandara NAIA Manila, Rabu 12 Februari 2020. KBRI berkoordinasi dengan Imigrasi dan Airline setempat untuk menyelesaikan permasalahan sehingga keduanya bisa kembali ke tanah air. #inidiplomasi #NegaraMelindungi #indonesianway</t>
  </si>
  <si>
    <t>@salahsambungya @jokowi @mohmahfudmd @GunRomli supaya referensinya ada utk stop pemulangan siapa saja yg terinfeksi isis... busyet..gimana gitu ya liatin anak balita disuruh gorok boneka... alamaakk.. ancur kabeh nih isis.. dajjal</t>
  </si>
  <si>
    <t>RT @Ari3Pras: Nyata! Beredar video propaganda ISIS dimana anak2 Indonesia (usia ±6 thn) didikan ISIS unjuk kemampuan berlatih bela diri &amp; gunakan senjata api. Selain latihan militer, anak2 tsb juga telah matang menghapal doktrin2 radikal ISIS. #TolakAnakISISKembali</t>
  </si>
  <si>
    <t>@HmfaqihA @ISIS_Balik_NO Maklum mendekati pensiun takut di pecat</t>
  </si>
  <si>
    <t>@kafara666 @Hamexz Last time replying: A) Angka 200+ orang terkena virus itu bukan suspected—itu confirmed, alias sudah dilakukan tes dan memang benar terinfeksi di dalam darah mereka ada virus. Selesai. Baca lagi berita dan paper2. B) Siapa yg menolak fakta bahwa yg WNI masih negatif? I'm done.</t>
  </si>
  <si>
    <t>Sekitar 4-5 tahun yang lalu saya pernah berdiskusi dengan seorang pencinta sekaligus pengikut ISIS. Debat kami sengit saat itu. Dalil-dalilnya lemah, mudah dipatahkan, tapi ia keras kepala. Doktrin ISIS telah mengakar sangat kuat dalam dirinya.</t>
  </si>
  <si>
    <t>@CNNIndonesia @Kemlu_RI Pemerintah indonesia blg ga ada wni kena b irus corona .gw ragu jgn2 ga ada satu pun dokter yg bisa detek virus corona di indonesia.jd masyarakt di kasi angin surga .kita aman..aman..tau2 booom!!!. byk org mendadak pd mati di indonesia.heboh dah ...</t>
  </si>
  <si>
    <t>RT @RinjaniJB: Teruslah kau tersenyum, nak..Tuhan menghiburmu. Kepada mereka yg telah lakukan kekejian kepadamu, biarlah mereka terima ganjarannya dari Tuhan. Tengok, apa tidak trenyuh hati Kita melihat senyum anak korban teroris ini ? Jangan spekulatif dgn ISIS. #TolakAnakISISKembali</t>
  </si>
  <si>
    <t>@gajelazs @amandrug Nah berarti perlu dipertanyakan Kemenlu yg bilang itu WNI negatif kan, kalo semua penumpang aja terdeteksi positif, masa pemerintah Denial soal WNI positif Corona?</t>
  </si>
  <si>
    <t>@SoundOfYogi Gini aja...ex isis klo hukum saja,past ada jera nya....jngan sampe radikal hanya d jadikan alat menyudutkan....hukum saja yg jelas. ..jngan kaya penusuk bapak mentri yg ktnya radikal...skrg ga tau kisah ceritanya sepert apa...</t>
  </si>
  <si>
    <t>emang keballlllll banget yyyyy wni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</si>
  <si>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Kaka Erik (@Erikkahfi19Kaka) Tweeted: 238 WNI dari Wuhan bebas dari virus korona. Terima kasih para prajurit TNI-POLRI !!! @Puspen_TNI @DivHumas_Polri @TjahjantoHadi  ()RT @Erikkahfi19Kaka: 238 WNI dari Wuhan bebas dari virus korona. Terima kasih para prajurit TNI-POLRI !!! @Puspen_TNI @DivHumas_Polri @TjahjantoHadi</t>
  </si>
  <si>
    <t>RT @ani_nyebar:  Parodi ISIS. #Waspada :-) video ini mungkin menyedihkan anak kecil dan memarahkan radikal!! Sungguh kita perlu #lawanradikalisme dan mencegah #dampakradikalisme @EdyGypsum @trinsna1044 @mamiagarislucu @MbojoFarid @Vinesulaimanre1 @armedyanto</t>
  </si>
  <si>
    <t>situ sing mekso, mosok amrik kenal isis, kudune jenenge windy :.</t>
  </si>
  <si>
    <t>Kesaktian WNI tydaq diragukan, media penularan virus saja bs dihalau.. wesheweshewes bablasss angine RT @aan__: Corona: "gonna gechu indonesian" Indonesian: "We literally eat the stuff that fall in the ground as long belum lima menit. You're cute, corona."</t>
  </si>
  <si>
    <t>Panglima TNI : Observasi 238 WNI di Natuna Dinyatakan Sehat #PanglimaTNIMarsekalHadiTjahjanto #Viruscorona #WNIdiNatunaDinyatakanSehat</t>
  </si>
  <si>
    <t>@bayu_andie @Athariz03 @aniesbaswedan @tamanhutandki @DKIJakarta @KotaJaksel Yg penting punya otak..dr pd antek Isis kyk lu...cm tau ngebom sama nge hoax....pergi ke suriah mnta balik..ditawarin ke suriah ehh kaga mau..isis bangke</t>
  </si>
  <si>
    <t>@Eno_Bening Apa kabar wni yg di Singapore</t>
  </si>
  <si>
    <t>RT @arjuno_ireng01: Seorang Anggota ISIS Tega Eksekusi Mati Ibu Kandungnya Serambi Indonesia.  Anak Durhaka Tak berperikemanusiaan, masih mau nerima mereka kembali ke tanah air #TolakAnakISISKembali ke Indonesia</t>
  </si>
  <si>
    <t>RT @kesehatan_pijat: @AminSiregar75 @saifaliebahri_ @KPAI_official Bully di sekolah hingga nyawa n cidera, bicara anak ISIS ? Gaji kalian sumbernya dari mana ?</t>
  </si>
  <si>
    <t>Eks Presiden ISIS Indonesia: Tidak Benar WNI Eks ISIS Ingin Pulang  #BeritaTerkini</t>
  </si>
  <si>
    <t>@jr_kw19 @Wongjaw99685558 Padli zon klu mau jd bpk angkat anak eks isis anda aja yg berangkat kesana ...😂😂😂</t>
  </si>
  <si>
    <t>RT @nuchannels: Simak Penjelasan Lengkap tentang ISIS oleh Luthfi At-Tamimi (Sekretaris Jendral LPOI) besok pagi Live di @nu.channels ----------------------- @nahdlatululama @nu.channels #nahdatululama #nuchannel #isis</t>
  </si>
  <si>
    <t>Ganjar Minta WNI yang Dipulangkan dari Natuna Jangan Dikucilkan #TauCepatTanpaBatas #BeritaTerkini .</t>
  </si>
  <si>
    <t>Modal kerokan pakai uang 1000 koin udah sembuh mah kalo sama WNI 😂🤣 RT @CNNIndonesia: Pemerintah Jepang menyatakan sebanyak 218 penumpang kapal pesiar Diamond Princess terinfeksi virus corona. @Kemlu_RI pun menuturkan bahwa 78 orang WNI yang merupakan kru dari kapal pesiar tersebut dalam kondisi sehat dan negatif virus corona.  #CNNIndonesia</t>
  </si>
  <si>
    <t>Astaghfirullah! Pengakuan Bocah Eks ISIS: Tugas Pertama Bunuh Orang Tua!  lewat @suaraislamco</t>
  </si>
  <si>
    <t>78 WNI kru kapal pesiar jepang yg dikarantina negatif virus corona, yg menyatakan jepang sendiri lo ya.. mgkn mereka akan studi banding ke sini</t>
  </si>
  <si>
    <t>Kalo maslaah anak ISIS eks WNI mah KPAI triak lantang ya? RT @salahsambungya: Siswi disabilitas SMP dibully sampai luka lebam, Kepsek cuma bilang "diselesaikan kekeluargaan?" Lalu KPAI tutup mata dengan kejadian seperti ini? Penyelesaian secara kekeluargaan emangnya bisa bikin pembully jadi jera??</t>
  </si>
  <si>
    <t>RT @do_ra_dong: Mengapa aktivis HAM bungkam terkait rencana pulangnya kombatan ISIS ke Indonesia?, sementara dilain waktu, mereka selalu teriak hak juang dan hidup OPM</t>
  </si>
  <si>
    <t>@JohnDitto77 @OposisiCerdas Bukan begitu... Sebenernya yg bikin narasi WNI Isis mau pulang itu siapa? Yg ditampilin cuman video2 macam camp pengungsian di timur tengah...</t>
  </si>
  <si>
    <t>@gourchof yg mendukung ISIS siapa mas</t>
  </si>
  <si>
    <t>kyk bro perjuangan gue sebagai wni yg kalo ke luar negri kemana2 hrus pake passport itu ribet, tp gue lewatin kok semuanya, tp yg sono didatengin tiap 3 bulan haha, yaudah toh ya dunia memang tidak adil, mau gimana lagi.</t>
  </si>
  <si>
    <t>@RyoFahri @I_yaann @evanutama23 @na_dirs Kenapa ya kadrun ini bodohnya 7 turunan.bca ga asal jeplak.pdhal Allah dah kasih peringatan sm kadrun jgn suka cari pembenaran  dsar otak hati bebal ya sush..sono ke gabung ma isis..</t>
  </si>
  <si>
    <t>RT @kemenkopmk: Pemerintah telah melakukan upaya maksimal untuk memastikan Warga Negara Indonesia (WNI) benar-benar berada dalam kondisi sehat dan terbebas dari Novel Coronavirus (2019-nCOV). Cek video lengkapnya di</t>
  </si>
  <si>
    <t>ini knp mirip bgt sm seseorang WNI.... RT @theseoulstory: Happy birthday to VIXX Ravi! 🎂🎉 Wishing you a day filled with happiness and a year filled with joy. Have a blast! 💛 @RealVIXX #HAPPYRAVIDAY</t>
  </si>
  <si>
    <t>Parodi ISIS. #Waspada :-) video ini mungkin menyedihkan anak kecil dan memarahkan radikal!! Sungguh kita perlu #lawanradikalisme dan mencegah #dampakradikalisme @EdyGypsum @trinsna1044 @mamiagarislucu @MbojoFarid @Vinesulaimanre1 @armedyanto</t>
  </si>
  <si>
    <t>Tolak anak2 FTF kombatan ISIS eks WNI @SBYudhoyono @PDemokrat @RachlanNashidik @FerdinandHaean2 @jansen_jsp RT @CNNIndonesia: Soal Anak WNI Eks ISIS, Demokrat Ingatkan Persoalan Trump</t>
  </si>
  <si>
    <t>kegiatanku seharian ini kepoin instagram yg lagi rame bgt, ada yg ngaku2 psikolog tp nyabulin kliennya, trs wni di amerika yg nyenggol2 selebgram. super sekali 🙂</t>
  </si>
  <si>
    <t>@ini_nano @Uki23 @sandalista1789 Dari sini saja saya sudah bisa lihat siapa anda</t>
  </si>
  <si>
    <t>RT @setkabgoid: Ingin Lindungi 260 Juta Penduduk, Presiden @jokowi Tegaskan Pemerintah Tidak Berencana Pulangkan ISIS Eks-WNI</t>
  </si>
  <si>
    <t>RT @setkabgoid: Esok Observasi Terakhir, Seluruh WNI dari Wuhan Akan Dibawa ke Jakarta Sabtu Siang</t>
  </si>
  <si>
    <t>corona virus tidak bisa menembus sistem imun wni karena seorang wni sejati tidak pro dengan asing/aseng cina! takbir! RT @CNNIndonesia: Pemerintah Jepang menyatakan sebanyak 218 penumpang kapal pesiar Diamond Princess terinfeksi virus corona. @Kemlu_RI pun menuturkan bahwa 78 orang WNI yang merupakan kru dari kapal pesiar tersebut dalam kondisi sehat dan negatif virus corona.  #CNNIndonesia</t>
  </si>
  <si>
    <t>@ini_nano @Uki23 @sandalista1789 😂😂😂😂😂 Banyak...anda rajin nyimak kerjaannya davn ssering baca media WARAS...bukan keluaran pekaes ya</t>
  </si>
  <si>
    <t>@hnurwahid @ustadtengkuzul @OpiniDin @fadlizon @MardaniAliSera @aagym @hmskaban @msaid_didu @ustadtengkuzul @ustadzmaaher_ @ustadabdulsomad @PKSejahtera @Gerindra @PartaiPAN Cc @miyomi19 @permadiaktivis @WagimanDeep Msh pantaskah mereka disebut wni</t>
  </si>
  <si>
    <t>@Febri_wXs @shitlicious Cuman si Bram nya yg gak berani sma tante mirna karena menghormati org tua.. Si Bram juga calon anggota ISIS kaya mantan suami nya tante 🤣</t>
  </si>
  <si>
    <t>Ditolak Pemerintah, Ternyata WNI Eks ISIS Sejahtera dan Tak Mau Pulang</t>
  </si>
  <si>
    <t>RT @KompasTV: [TOP3NEWS] Jokowi: Terima WNI dari Natuna | Sekda: Anies Tak Bohong | Pemasok Obat Lucinta Ditangkap</t>
  </si>
  <si>
    <t>@oppie30560071 @na_dirs Ada.....pekaes banyak disana loh !</t>
  </si>
  <si>
    <t>Kalaupun Benar Mereka nyaman &amp; betah tinggal di sana, dpt penghasilan besar &amp;amp; sejahtera di Suriah Tapi Bekas Presiden ISIS Cabang Indonesia gak diSuriah??? RT @lawjusticeco: Ditolak Pemerintah, Ternyata WNI Eks ISIS Sejahtera dan Tak Mau Pulang</t>
  </si>
  <si>
    <t>RT @zarazettirazr: Nah ini bahas perlindungan anak di UNSC jadi anak2 WNI eks ISIS klean lindungi apa ngga? 😁 jgn di forum internesyenel ngomongnya lain perbuatannya lain lagi donk</t>
  </si>
  <si>
    <t>RT @na_dirs: Aku cerita pada kolegaku di kampus tadi siang bahwa malam ini anak gadisku yg nomor dua (19 tahun) mengajak aku makan malam utk valentine’s day. Dia yg booking restaurant dan siapkan segala sesuatunya. Memaknai hari kasih sayang jg termasuk kasih sayang anak ke bapaknya 😍</t>
  </si>
  <si>
    <t>@martafitriaa tenang jgn kecewa, km sdh masuk kategori yg lain yaitu kategori WNI berkelakuan baik</t>
  </si>
  <si>
    <t>@AnakLolina @fadlizon @MardaniAliSera @hnurwahid Logika gue sih simpel: Jika WNI ex ISIS merasa betah, nyaman dan sejahtera di Suriah, sprti omongan Cep Hermawan, lhaa knpa dia ga pergi ke Suriah aja? Knapa masih betah di Cianjur?! 😊😊😊</t>
  </si>
  <si>
    <t>Gen WNI udah bermutasi dg boraks, micin, saos dari pepaya dan tomat busuk, daging sapi gelonggongan, ayam tiren, cilok rasa kaki mamangnya.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</si>
  <si>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@salima252: Yg miris komen milenial di post berita itu Bahagia bgt ad keterangan dr Menlu WNI pokoknya negative. Becanda receh soal kekebalan tubuh manusia Indonesia Yg bener aj 🙄🥴 ketawa WHO bacany Tapi mau ngarepin apa kalau 700 kpps meninggal diklaim cuma krn capek aj pd lgsg percaya</t>
  </si>
  <si>
    <t>@dusrimulya @Rita8213 @BitterBallance @mohmahfudmd Di Jawa banyak ISIS, lah gimana ngga banyak, tiduran di bawah pohon bambu orang" bilang ISIS e reekk. Kipas" depan pintu orang bilang ISIS e cak. 😁</t>
  </si>
  <si>
    <t>@Bimabani13 @dusrimulya @mohmahfudmd Omong kosong apa mas? Knp jd hrs memiliki sifat kemanusiaan thdp iblis (cilik) Pembantai yg tdk kenal rasa kemanusiaan. Jujurlah diri anda sendiri. Anda kekeh , krn faktor kemanusiaan atau agama? Oh ya skedar mengingatkan. Disini teroris slalu dicap gak beragama. Isis=Teroris</t>
  </si>
  <si>
    <t>Kayaknya yang paling takut kalau WNI yang terlibat ISIS itu pulang adalah PKI. RT @Yunardi69: Wow Ini jawaban dari wamen barang kali ya</t>
  </si>
  <si>
    <t>@carsita89 @BKNgoid Oh jd WNI diluar negeri lulus semua gt</t>
  </si>
  <si>
    <t>Pengikut ISIS, pengikut Sunda Empire, King of the king sama-sama "ketipu". Bedanya yang satu "ketipu" janji surga, yang satu "ketipu" janji dunia.</t>
  </si>
  <si>
    <t>RT @Think2_Smart: @TirtoID itulah fungsinya Isis Usus digoreng2 sama rezim kodok sampe2 lupa akan Omnibus law yg dibuat diem2 sama bikin pansus Jiwasraya yg bobrok wkwkwk</t>
  </si>
  <si>
    <t>Pemerintah telah melakukan upaya maksimal untuk memastikan Warga Negara Indonesia (WNI) benar-benar berada dalam kondisi sehat dan terbebas dari Novel Coronavirus (2019-nCOV). Cek video lengkapnya di</t>
  </si>
  <si>
    <t>Periode pengamatan berakhir setelah 14 hari, 238 WNI dari Wuhan yang ada di Natuna Akhirnya dibebaskan dari karantina pada hari Sabtu dan bisa pulang. Semoga semua warga tetap terhindar dari virus corona. #VirusCorona #coronavirus #CoronaDiantaraKita #karantina #Natuna</t>
  </si>
  <si>
    <t>@AnakLolina @QalbuBahasa @mohmahfudmd @spiderr__matrix @AnakKolong___ @juni_irene @mamiagarislucu @Black_lleviant @klelur028 @MardaniAliSera @fadlizon Kalau gak percaya silahkan urusi Combatan ISIS... gak usah balik lagi..</t>
  </si>
  <si>
    <t>RT @Ari3Pras: TOLAK rencana pemerintah pulangkan anak-anak kombatan ISIS ex-WNI. @jokowi @mohmahfudmd @Dr_Moeldoko @BIN_Official @PolhukamRI Yang SETUJU TOLAK KEPULANGAN Anak2 ISIS, RT KERAS..... #TolakAnakISISKembali</t>
  </si>
  <si>
    <t>Forum Selamatkan NKRI Tolak Pemulangan EKS Isis Ke Indonesia</t>
  </si>
  <si>
    <t>@jokowi Pak @jokowi warga cina yg yg kena virus corona yg ke indonesia ini lebih berhaya dari warga isis keturunan Indonesia yg ingin balik ke Tanah airnya</t>
  </si>
  <si>
    <t>Alhamdulillah WNI kuat2 daya tahan tubuhnya. RT @CNNIndonesia: Pemerintah Jepang menyatakan sebanyak 218 penumpang kapal pesiar Diamond Princess terinfeksi virus corona. @Kemlu_RI pun menuturkan bahwa 78 orang WNI yang merupakan kru dari kapal pesiar tersebut dalam kondisi sehat dan negatif virus corona.  #CNNIndonesia</t>
  </si>
  <si>
    <t>DEBAT DR. NGABALIN VS PROF. GAYUS TERKAIT PEMULANGAN WNI EKS ISIS .. NGABALIN ngotot salah di semprot PROF. GAYUS</t>
  </si>
  <si>
    <t>RT @denismalhotra: 1000 eks ISIS takada apa-apanya dibanding 1 Luhut Binsar Panjaitan.</t>
  </si>
  <si>
    <t>@AtikaFaya Apalagi kalau betul ISIS bikinan Amerika, semakin pantas eks WNI yg pro ISIS untuk ditolak masuk NKRI, NISANTARA NKRI PANCASILA 🇮🇩🇮🇩🇮🇩🇮🇩🇮🇩</t>
  </si>
  <si>
    <t>@99Ranggadaely99 @TheArieAir @NotesofMila @denni_loyz @napsiati @guna2aji @Zae_Ilham @Lubissafa @Partijon_GL @tjhinfar21 @hmsafrizalsh @Indonesi1aTimur @Wong_Bedjo1 @TCdharma @RudiTobinq Selesai semua 🙏 Ditunggu folbeknya</t>
  </si>
  <si>
    <t>RT @AnakLolina: @QalbuBahasa @mohmahfudmd @spiderr__matrix @AnakKolong___ @juni_irene @mamiagarislucu @Black_lleviant @klelur028 Sampaikan ke @MardaniAliSera eks WNI sudah bahagia disana.</t>
  </si>
  <si>
    <t>Yg miris komen milenial di post berita itu Bahagia bgt ad keterangan dr Menlu WNI pokoknya negative. Becanda receh soal kekebalan tubuh manusia Indonesia Yg bener aj 🙄🥴 ketawa WHO bacany Tapi mau ngarepin apa kalau 700 kpps meninggal diklaim cuma krn capek aj pd lgsg percaya RT @Sarcasmsensei7: @salima252 Yang penting ada statemen dulu mbak @salima252 toh orang kita Masi banyak yg percaya... Sama kek kasus petugas mati Ampe ratusan cuma dianggep karena "Kecapekan" pada percaya sampe sekarang.... 😷😷😷😷😷😷</t>
  </si>
  <si>
    <t>@aajtak @Pkhelkar NSUI NCP ko isis afzal guru hafiz saheed azhar masood se kui samashya nehihe</t>
  </si>
  <si>
    <t>RT @kompascom: Agung Laksono mendukung keputusan pemerintah yang tak memulangkan WNI eks ISIS dan terduga teroris lintas batas - #Nasional</t>
  </si>
  <si>
    <t>@FirzaHusain Cari panggung aja itu firza hot. FPI udah ga laku. Cendana harus cari kelompok preman baru, kalo perlu ISIS ex-WNI.</t>
  </si>
  <si>
    <t>RT @su7loo: @QalbuBahasa @mohmahfudmd @spiderr__matrix @AnakKolong___ @AnakLolina @juni_irene @mamiagarislucu @Black_lleviant @klelur028 Cc; @hnurwahid @MardaniAliSera @fadlizon &amp; din samsudin... Baguslah, saya jg tdk butuh mrk semua beserta anak keturunannya ISIS eks WNI itu hidup disini. #TolakAnakISISKembali #CegahISISmasukNKRI</t>
  </si>
  <si>
    <t>@QalbuBahasa @mohmahfudmd @spiderr__matrix @AnakKolong___ @AnakLolina @juni_irene @mamiagarislucu @Black_lleviant @klelur028 Cc; @hnurwahid @MardaniAliSera @fadlizon &amp; din samsudin... Baguslah, saya jg tdk butuh mrk semua beserta anak keturunannya ISIS eks WNI itu hidup disini. #TolakAnakISISKembali #CegahISISmasukNKRI</t>
  </si>
  <si>
    <t>@CNNIndonesia @Kemlu_RI 78 org wni negatif corona, soalnya udah sering war middle line sama vexana.</t>
  </si>
  <si>
    <t>@mohmahfudmd Jd tergantungMenkumHam Ama presiden nya... Klo suka tetep WNI klo g suka yg bukan gtu ye? Oia tahun 207 waktu itu presidennya sapa y?</t>
  </si>
  <si>
    <t>@detikcom No! Don't do that. Itu bakal lebih danger buat Indonesia. Knp bgitu? Krn anak2 umurnya msh panjang they can do anything sesuai apa yg ada di otakny "yg udah di cuci" sama org ISIS disana.. Plis mikir dong pak Pres PKS YTH</t>
  </si>
  <si>
    <t>Nih Org2 asal China.. Kl tidak ketahuan lama2 bisa jadi WNI...!! Yang gak dimengerti... Para Pemangku Bngsa ini..kok Meloloskan WNA ilegal..??</t>
  </si>
  <si>
    <t>@ISIS_Balik_NO Gak dooongg....</t>
  </si>
  <si>
    <t>MPR: Kaji matang rencana pulangkan anak WNI eks ISIS</t>
  </si>
  <si>
    <t>Benarkan Moeldoko, Mahfud MD Koreksi Ucapannya Soal Status WNI eks ISIS</t>
  </si>
  <si>
    <t>@LusiHQ @anonapostate Isis koq disamain sm Hamas yg berjuang utk kemerdekaan dr penjajahan, ato taliban yg jg berjuang utk kemerdekaan. Yg nyamain taliban sm isis adalah sama-sama bentukan AS. Dgn kata lain semua yg lo sebutin rerata adalah proxy AS, Israel dan negara barat</t>
  </si>
  <si>
    <t>RT @KemensetnegRI: Presiden Pastikan WNI di Natuna Sehat dan Siap Kembali ke Keluarga</t>
  </si>
  <si>
    <t>RT @salima252: Pemerintah Jepang hanya mengeluarkan berita 218 penumpang kapal pesiar yg merapat di pelabuhan mereka dan terpaksa dikarantina postive kena virus korona Yg bilang semua WNI negative ya Hanya kemenlu</t>
  </si>
  <si>
    <t>@Dokter_tasawur @prabowo Biasakan bangga gunakan bahasa 🇲🇨 , kalau anda WNI ♥️🇲🇨 .....kecuali Kadal Gurun @Dokter_tasawur 🤪 . Positif thinking ....HBD Jendral semoga trus diberikan kesehatan &amp; bahagia, tetap jaga komitmen Bhinneka Tunggal Ika 🇲🇨</t>
  </si>
  <si>
    <t>#valentinebukanbudayakita karena budaya kita adalah menentang keputusan pemerintah menolak pemulang eks WNI anggota isis dengan alasan HAM</t>
  </si>
  <si>
    <t>[TOP3NEWS] Jokowi: Terima WNI dari Natuna | Sekda: Anies Tak Bohong | Pemasok Obat Lucinta Ditangkap</t>
  </si>
  <si>
    <t>RT @Kenzu_KPTB: @Julie_Pandika @Kars104 @PolhukamRI @mohmahfudmd @kemendagri @Kemenag_RI @BareskrimPolri @seword_com @DPR_RI hati2 mrk mulai dengan penutupan2 tempat ibadah kepercayaan lain ini sdh spt ISIS jadi haru bener2 diperhatikan nanti setelah kuat kedoknya baru kebuka sdh telat</t>
  </si>
  <si>
    <t>@kompascom ISIS eks WNI, Sudah bukan WNI lagi</t>
  </si>
  <si>
    <t>@zarazettirazr Kebalik keknya, bukan WNI eks ISIS tetapi ISIS eks WNI. Btw, mbak nya mau hidup tetanggan sama mereka gak?</t>
  </si>
  <si>
    <t>RT @HenGTG: @octania_ @ISIS_Balik_NO @psi_id @PSI_Jakarta @Uki23 @sigitwid @AntoniRaja Capek ngeles capek ngibul</t>
  </si>
  <si>
    <t>@kamuusiapaaaaaa @AhlulQohwah Kadrun bilang PKI keturunannya bisa ditest DNA, coba keturunan ISIS bisa gak ditest DNAnya 😂😅🤣 *nyoba melok gendheng🤫</t>
  </si>
  <si>
    <t>Sepupu2 gue msh pada baru SD tp krn ortunya pd fanatik politik ya jd otaknya udah penuh konspirasi dan kebencian. Gue ngasih tau susah, krn mrka tiap hari sm org tuanya. Anak skrg gue ngrasanya lbh manipulatif. Maafkan aku ya anak2 ISIS, aku ngga pengen kalian balik sini</t>
  </si>
  <si>
    <t>@mediaindonesia Ati2 jngn terkecoh kedok dibalik tangisan wanita &amp; anak isis, kita msh ngurusi warga neg yg loyal thdp nkri..</t>
  </si>
  <si>
    <t>Ini beneran di periksa juga ga si yg wni? Gilaaaa sekebal apa tubuh rakyat +62 ini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</si>
  <si>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@puyuikkk: @pdgfess "kasih adek waktu sendiri dulu ya" trus keadaan hening diam diam diam diam diam diam diam diam diam diam diam diam diam diam diam diam diam diam diam diam diam diam diam diam diam diam diam diam diam diam diam diam diam diam diam diam diam diam diam diam tau-taunya gabung isis</t>
  </si>
  <si>
    <t>@k4ng_C1reNG @___CIMOL_Q7R ISIS nya bergaji besar gimana. presiden nya 😀😀😀</t>
  </si>
  <si>
    <t>WNI mengisahkan kondisi mereka selama karantina di kapal pesiar Jepang akibat merebaknya virus corona.</t>
  </si>
  <si>
    <t>@AdeSuradiah Gak takut mbak ?😂😂</t>
  </si>
  <si>
    <t>@anggasakti_ @TirtoID Aku isin 🙈 wni pindah ke batam koe titip apa disana</t>
  </si>
  <si>
    <t>Pak @jokowi mencegah Warga cina dgn virus Corona nya yg mematikan masuk ke indoneaia lebih baik dari pada mencega bangsa sendiri (mantan Isis )kembali ke tanah airnya.</t>
  </si>
  <si>
    <t>RT @boy_harth: @ibnuhan1ff @ErvineKiddies Kau Kombatan ISIS ya?</t>
  </si>
  <si>
    <t>@boy_harth @ibnuhan1ff Kombatan isis lumayan loh gajinya😂</t>
  </si>
  <si>
    <t>KBRI Manila bantu pemulangan WNI yang tertahan di Bandara NAIA Manila, Rabu 12 Februari 2020. KBRI berkoordinasi dengan Imigrasi dan Airline setempat untuk menyelesaikan permasalahan sehingga keduanya bisa kembali ke tanah air. #inidiplomasi #NegaraMelindungi #indonesianway</t>
  </si>
  <si>
    <t>RT @DatuakAtuk: @k4ng_C1reNG @___CIMOL_Q7R Lah kalo Gaji nya besar ISIS kenapa Presiden ISIS nya pulang ke Indonesia ? 🤔🤔 Bener2 gak bisa di percaya</t>
  </si>
  <si>
    <t>@jokowi @mohmahfudmd @prabowo @Kemenag_RI @sudjiwotedjo @SBYudhoyono @karniilyas ISIS EKS WNI pantas kah ada KOMPENSASI ? dari pada anak isis usia 10tahun di deradikalisasi, mending kasih kompensasi yang berharkat dan bermartabat kata ali ngabalin. mutualisme.</t>
  </si>
  <si>
    <t>RT @irwansupriyono2: @UyokBack @jokowi ayo alihkan perhatian dg kasus Formula E, BPIP, mantan ISIS, savebabi... kita tetap kawal kasus Jiwasraya</t>
  </si>
  <si>
    <t>Ridwan Kamil Akan Pantau WNI dari Cina yang Selesai Diobservasi</t>
  </si>
  <si>
    <t>@k4ng_C1reNG @___CIMOL_Q7R Lah kalo Gaji nya besar ISIS kenapa Presiden ISIS nya pulang ke Indonesia ? 🤔🤔 Bener2 gak bisa di percaya</t>
  </si>
  <si>
    <t>@mohmahfudmd kalo begono ngapaim masih di sebut WNI? siapa yang gak tau UU?</t>
  </si>
  <si>
    <t>@BiLLRaY2019 Salah tulis bang Ray, yg benar isis eks wni. Krn Paspor sdh duluan dibakar krn tdk mengakui RI. Inget yaa ISIS eks WNI.</t>
  </si>
  <si>
    <t>@KakekHalal @bogorkab Mending galakan budaya kawin kontrak ya bu.....lebih deket ke surga....apalagi ada rasa timur tengahnya</t>
  </si>
  <si>
    <t>Agung Laksono mendukung keputusan pemerintah yang tak memulangkan WNI eks ISIS dan terduga teroris lintas batas - #Nasional</t>
  </si>
  <si>
    <t>@hidupsptlarry myang ptg wni aja udh</t>
  </si>
  <si>
    <t>Eks Presiden ISIS Indonesia Sebut WNI Eks ISIS Tidak ingin Pulang</t>
  </si>
  <si>
    <t>@OpsiMetroTV @Metro_TV Terserah Anda akan ngomong apa.Rupiah sdh menanti kl ISIS eks WNI dipersilakan kembali. Gak penting Bela Gereja Katolik krn tdk ada rupiahnya. Betul begitu @KomnasHAM ?</t>
  </si>
  <si>
    <t>Eks ISIS yg pulang ke indonesia adalah murtadin. Sesungguhnya orang-orang yang berbalik (kepada kekafiran) setelah petunjuk (perang) itu jelas bagi mereka, setanlah yang merayu mereka dan memanjangkan angan-angan mereka.qs Muhammad:25</t>
  </si>
  <si>
    <t>@ibnuhan1ff @ErvineKiddies Kau Kombatan ISIS ya?</t>
  </si>
  <si>
    <t>@mohmahfudmd Nanti pasti banyak yg bilang "apa difinisi tentara asing? Apa ISIS sudah diakui sebagai negara?" Saya mah gampang ya siapapun yg gabung dengan kelompok militer di luar negara kita</t>
  </si>
  <si>
    <t>BIN Setuju kebijakan pemerintah terkait kepulangan WNI eks isis #tolakkepulanganeksisis #indonesiadamai #indonesiamaju #TolakEksWNIproISIS</t>
  </si>
  <si>
    <t>@detikcom Jngan kebalik pak, yang benar ISIS eks WNI. #nkrihargamati</t>
  </si>
  <si>
    <t>@mohmahfudmd seandainya yang eks ISIS itu saudara ente?bagaimana?</t>
  </si>
  <si>
    <t>Jg dlm video bocah2 ISIS lempar pasport utk dibakar dikatakan bhw mrk2 sbg penerus cc prof @mohmahfudmd &amp; pak @jokowi RT @Je_Ly: Perhatikan baik2 video lama ini. Perempuan dianggap pabrik anak o/ ISIS. Dg tujuan apa? Jelas mereka butuh bibit2 yg melanjutkan aksi terorisme mereka. Skrg kita mau terima anak2 ISIS ex WNI? No way 😒 #TolakAnakISISKembali</t>
  </si>
  <si>
    <t>@shitlicious wkwk mosok dadi kombat isis</t>
  </si>
  <si>
    <t>@annoyyiingg Gamau km isis</t>
  </si>
  <si>
    <t>Kebijakan pemerintah untuk tidak memulangkan WNI eks isis sudah dikalkulasikan secara matang #indonesiadamai #tolakpemulanganeksisis #tolakradikalisme #indonesiamaju #wnieksisis</t>
  </si>
  <si>
    <t>Pemerintah Jepang hanya mengeluarkan berita 218 penumpang kapal pesiar yg merapat di pelabuhan mereka dan terpaksa dikarantina postive kena virus korona Yg bilang semua WNI negative ya Hanya kemenlu</t>
  </si>
  <si>
    <t>@kompasiana teriakannya salah itu hrsnya dimana hati ISIS liat anak2 itu, mereka bukan WNI krn org tua mereka secara sadar dan sukarela melepas kewarganegaraannya jadi yah salah kalau tetap minta tolong ke Indonesia sehrsnya mereka minta bantuan ke yg mereka ikutin.</t>
  </si>
  <si>
    <t>@shitlicious Gitarku dan lekas menghampirinya... “sudah berapa lama om gabung isis dan ndaak pulang” ucapku sembari megusap..</t>
  </si>
  <si>
    <t>RT @saifaliebahri_: @AnakKolong___ @KPAI_official Banyak kemungkinan banyak virus ISIS di KPAI</t>
  </si>
  <si>
    <t>@starfiresky2020 So you support al Qaeda, al nusra, isis, etc then?</t>
  </si>
  <si>
    <t>@ErvineKiddies Ente bilang org gabung IS krn bodoh? Nih baca akhi Zefrizal sang Penyabet emas olimpiade astronomi Ukraina rela meninggalkan "masa depan cerah" demi berjuang bersama saudara seimannya.</t>
  </si>
  <si>
    <t>@detikcom Klo setia sama Pancasila ga mungkin jadi ISIS pak, mbo ya klo ngomong tu otaknya di pake...</t>
  </si>
  <si>
    <t>isis secreto aku dong</t>
  </si>
  <si>
    <t>RT @cnixjuang: Pimpinan pusan baitul muslimin mendukung pemerintah untuk menolak kombatan ISIS kembali ke Indonesia. #LawanRadikalisme #KamiBersamaJokowi Indonesia Maju</t>
  </si>
  <si>
    <t>@QalbuBahasa @mohmahfudmd @spiderr__matrix @AnakKolong___ @AnakLolina @juni_irene @Black_lleviant @klelur028 Jd, kmrn itu cm test ombak? Atau malah keinginan sel tdr isis di indonesia ?</t>
  </si>
  <si>
    <t>RT @cnixjuang: Kepala BIN, kebijakan pemerintah untuk tidak memulangkan WNI EKS ISIS sudah dikalkulasikan secara matang. #LawanRadikalisme #KamiBersamaJokowi Indonesia Maju</t>
  </si>
  <si>
    <t>RT @agnes_tika: 78 WNI yang di kapal pesiar Jepang negatif virus corona. Di Indonesia sampai saat ini tidak ada satupun WNI yang terkena virus Corona. Semakin yakin, semua ini bisa terjadi karena kita ini peminum Tolak Angin 😆👻</t>
  </si>
  <si>
    <t>@shitlicious ....gitar dan bergabung bersama suami nya tante mirna menjadi anggota isis</t>
  </si>
  <si>
    <t>@pdgfess "kasih adek waktu sendiri dulu ya" trus keadaan hening diam diam diam diam diam diam diam diam diam diam diam diam diam diam diam diam diam diam diam diam diam diam diam diam diam diam diam diam diam diam diam diam diam diam diam diam diam diam diam diam tau-taunya gabung isis</t>
  </si>
  <si>
    <t>Heran bgt kok ada sih sjw isis RT @ariel_heryanto: Di dunia ini ada orang baik dan pejahat. Ada yang di dalam dan luar pemerintahan. Jika ini negara hukum, sebelum ada vonis berat pada warga, seharusnya ada proses penyidikan &amp; pengadilan yang adil, terbuka dan sah. Bukan sekedar mengikuti tekanan massa.</t>
  </si>
  <si>
    <t>Unfol aja, bebas kok Kalo masih banyak yang mau unfoll, silahkan ya. Saya takkan ralat ucapan saya, bahwa isis ada karna perebutan pipa gas RT @ibnuhan1ff: @ErvineKiddies Sori ya cuy gw unfol akun tkg fitnah sprt kamu. Sekedar info salah satu junud IS Maaher Misyal adl artis dan penyanyi Arab Saudi yg bergelimang harta sebelum hijrah ke IS krn panggilan iman. Dan msh banyak kisah lainnya.</t>
  </si>
  <si>
    <t>RT @PJustitia7: @spiderr__matrix Kok masih WNI Ex ISIS mbah @KHMarufAminn? Susah ya sembunyiin watak...😅 **ISIS Ex WNI**</t>
  </si>
  <si>
    <t>Pemuda #Ini Mengaku Menyesal ke Suriah, Tertipu #Propaganda #ISIS di #Media Sosial</t>
  </si>
  <si>
    <t>terus para keturunan PKI mau di usir dari WNI ga pak @jokowi serius nanya?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</si>
  <si>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Masa Observasi 238 WNI Selesai, Menkes Terawan : Besok Jadi Momen Kangen-kangenan</t>
  </si>
  <si>
    <t>@shitlicious ....gitarku dan menyusul suami tante mirna untuk bergabung isis</t>
  </si>
  <si>
    <t>@detikcom Mereka bukan WNI lagi, rakyat dan negara berhak menolak. Bagi yang kasihan keluar negri sana aja ikuti mereka jadi isis</t>
  </si>
  <si>
    <t>Presiden @jokowi Pastikan WNI di Natuna Sehat dan Siap Kembali ke Keluarga Mereka telah menjalani masa observasi selama 14 hari di Natuna yang mana hal tersebut sesuai dengan protokol kesehatan dari Organisasi Kesehatan Dunia (WHO). @AlvinoLulu @cintada17</t>
  </si>
  <si>
    <t>@shitlicious "salinan Keputusan Presiden terkait status WNI"</t>
  </si>
  <si>
    <t>Ya meskipun indonesia belum melaporkan adanya wni yg terjangkit corona, aku lebih condong ke pendapat bahwa sistem pengecekan virus corona di indo yg belum terlalu oke. Atau kebanyakan orang indo yg masih menganggap sepele penyakit ini hanya karna embel2- RT @CNNIndonesia: Pemerintah Jepang menyatakan sebanyak 218 penumpang kapal pesiar Diamond Princess terinfeksi virus corona. @Kemlu_RI pun menuturkan bahwa 78 orang WNI yang merupakan kru dari kapal pesiar tersebut dalam kondisi sehat dan negatif virus corona.  #CNNIndonesia</t>
  </si>
  <si>
    <t>@kompascom Yowis, Gak usah dipulangin. Beres toh Pak @jokowi . Ayolah KPAI, jangan asal bacot. Masih banyak kasus2 kekerasan anak yg perlu tindakan dan pembelaan dr kalian. Wong utk anak2 ex Kombat ISIS, sudah jelas kok. Pemerintah TDK mau menerima. Kalian kok masih ribut disitu aja.</t>
  </si>
  <si>
    <t>@shitlicious gitar dan memberikan koran berisi berita Menkopolhukam menolak mendatangkan WNI ex. ISIS, BACA NIH BACA! NANGIS GIH!!</t>
  </si>
  <si>
    <t>RT @cnixjuang: Pemerintah putuskan tak akan pulangkan 689 WNI EKS ISIS #LawanRadikalisme</t>
  </si>
  <si>
    <t>RT @cnixjuang: BIN setujui kebijakan pemerintah terkait kepulangan WNI EKS ISIS #LawanRadikalisme #KamiBersamaJokowi Indonesia Maju</t>
  </si>
  <si>
    <t>@Aunty_Chala @jokowi Loh saya bahas soal isis dan seorang atheist lalu larinya ke @jokowi . Normalkah anda ? 🤭</t>
  </si>
  <si>
    <t>@CH_chotimah @karniilyas ILC mmilih soal kpulangan ex ISIS...tamu spesial ny itu lagi itu lagi..ahlnya Gerung</t>
  </si>
  <si>
    <t>Arah tiang balkon. Dia memeluk tiang itu, &amp; menatap nanar ke arah langit malam yg disiram terangnya cahaya bulan. Baju renda2nya terlihat menerawang. “Dulu suami Tante jg sering nyanyi di sini. Kami suka nyanyi berdua, sblm dia pergi &amp;amp; bergabung dgn ISIS”. Aku pun meletakkan....</t>
  </si>
  <si>
    <t>RT @jr_kw19: Kreek ! Komnas HAM gak bisa ngomong Ketika Pengamat Intelijen Sulaeman ponto dan Ngabalin secara tegas mengatakan telah sesuai Undang2 dan tdk melanggar HAM untuk menolak eks WNI pro ISIS pulang ke Indonesia #CegahISISmasukNKRI</t>
  </si>
  <si>
    <t>SAH! Pemerintah tolak pulangkan WNI eks ISIS #TolakEksISIS</t>
  </si>
  <si>
    <t>@QalbuBahasa @mohmahfudmd @spiderr__matrix @AnakKolong___ @juni_irene @mamiagarislucu @Black_lleviant @klelur028 Sampaikan ke @MardaniAliSera eks WNI sudah bahagia disana.</t>
  </si>
  <si>
    <t>Simak Penjelasan Lengkap tentang ISIS oleh Luthfi At-Tamimi (Sekretaris Jendral LPOI) besok pagi Live di @nu.channels ----------------------- @nahdlatululama @nu.channels #nahdatululama #nuchannel #isis</t>
  </si>
  <si>
    <t>Ditolak Pemerintah, Ternyata WNI Eks ISIS Sejahtera dan Tak Mau Pulang Bahkan dia (Cep Hermawan) menduga isu pemulangan tersebut dibuat untuk pengalihan isu. --- Kata Presiden ISIS cabang Indonesia, Cep Hermawan, begitu tuh.. 🙄 Jadi??</t>
  </si>
  <si>
    <t>Tolak kepulangan eks ISIS #TolakEksISIS</t>
  </si>
  <si>
    <t>@putripalvin @setomulyadi12 @Kemenag_RI fitnah ki pak, isis itu pak, mau membunuh anak</t>
  </si>
  <si>
    <t>@kompascom @KPAI_official ini lembaga bentukan isis,lembaga gk guna.</t>
  </si>
  <si>
    <t>@panithariH @shylo000 Nu goreng kieu?? Kaluar" jadi isis anyg</t>
  </si>
  <si>
    <t>@dusrimulya Apakan ISIS itu tentara sesuai hukum internasional. Bukankah mereka menyebutnya dg istilah lain?</t>
  </si>
  <si>
    <t>RT @hwakmureo: WNI sakitnya kalo kebanyakan main hp, seperti kata mama.</t>
  </si>
  <si>
    <t>@KompasTV Cih .. alesan masih ngurus kasus lain.. giliran anak ISIS aja ngegas pengen cepet-cepet dipulangkan @KPAI_official ... Apa karena gak ada duitnya????</t>
  </si>
  <si>
    <t>@AlaricLuthfy @anonapostate Bagi2 tempatlah. Bokoharam di Nigeria Al Shabbab di Somalia Al Nusro bagian kecil Suriah Taliban di Afghanistan Hamas di Gaza. ISIS di Suriah dan Iraq. Kalau ISIS masuk Palestina namanya ISP, Goblok. 🤣🤣🤣🤣🤣</t>
  </si>
  <si>
    <t>RT @Herrreza: So far.. blom ada WNI jadi korban</t>
  </si>
  <si>
    <t>Masyarakat Diminta Menerima WNI dari Wuhan</t>
  </si>
  <si>
    <t>Ingatan tidak perlu disortir. -eks WNI di praha-</t>
  </si>
  <si>
    <t>RT @rudyd3li: @DahBocahNgapaYa @AnakKolong___ @felixsiauw @mohmahfudmd Belatung isis tuh pelix,, paraahh !!</t>
  </si>
  <si>
    <t>@spiderr__matrix Kok masih WNI Ex ISIS mbah @KHMarufAminn? Susah ya sembunyiin watak...😅 **ISIS Ex WNI**</t>
  </si>
  <si>
    <t>@UrLuv93303759 Kalo menurut kamu mahfud benar, berarti indonesia adalah negara pertama yang mengakui isis sebagai negara. Kamu mengakui isis sebagai negara???</t>
  </si>
  <si>
    <t>RT @WR_4AG226: Astagfirullah....doktrin ISIS benar2 sesat dan biadab,👇🏼 Kisah bocoh ex tentara ISIS, tugas pertama membunuh orang tua..😱😭🙈</t>
  </si>
  <si>
    <t>@RandyTando Kami informasikan Bapak Randy, berikut kami sampaikan ketentuan &amp; persyaratan pengajuan KPR BCA: - WNI - Status karyawan/pengusaha/profesional - Lama bekerja/usaha min 2 tahun - Harga rumah minimal Rp. 278.000.000 - Minimal pengajuan Pinjaman Rp. (1/12) ^Dodi</t>
  </si>
  <si>
    <t>@DjanChoek Masalahnya adalah klo anda itu WNI dan tinggal / hidup di NKRI ya hrs mengikuti Pancasila sdngkan agama adalah pilihan dan tanggung jwb masing2 pribadi di dpn Alloh / Tuhan .</t>
  </si>
  <si>
    <t>Saling Follow, Pro NKRI, Anti Isis, Anti Corona #GarudaNusantara Inisiator #ProgramFollback @TheArieAir Follow Promotor @ahmad_subana @moh_effendie @Pr0_NKRI @Mahrus30127858 @puteriwiryono @adjibaya @LebahGanteng07 @AbdoelDhany @Vania_Ciprut @blendung @QaisRafif @Criztx</t>
  </si>
  <si>
    <t>RT @wirawan_me: Aku muslim tapi ya gak mau cuci tangan dengan bilang ISIS itu bukan islam. ISIS itu Ya muslim kalau memang dia beriman kepada Allah dan ajaran Muhammad S.A.W. Hanya interpretasi mereka tentang kalam Allah dan Sabda Rasul saja yang salah.</t>
  </si>
  <si>
    <t>@CNNIndonesia @KPAI_official pekok.anak anak WNI PRO ISIS.justru bibit bibit.benih benih ISIS masa depan. Seharusnya @KPAI_official berpikir yg jauh.bukan berpikir dangkal. Anak macan pasti tiru macan.anak isis pasti tiru isis</t>
  </si>
  <si>
    <t>@anna_burhan Agree mendukung ISIS?</t>
  </si>
  <si>
    <t>RT @JanganMerusak: @ZheeOmega @gadisresidu_b3 @KPAI_official Lindungi2 anak2 dan bangsa ini yg jumlahnya jutaan didlm negeri dari bahaya sesat teroris dan isis. Jangan udah terjadi baru bicara, selama ini apa saja usaha utk melindungi mrk sblm terjadi ? Mau dibw pulang tuh penyakit kesini ? Semua sudah terkontaminasi cuci otak.</t>
  </si>
  <si>
    <t>@mrlprnmptr Gini2 aja - membosankan maksudnya? Hmm coba km googling cari2 tips deh. Contoh: ‘tips agar hidup merlia tidak gini2 aja (tidak termasuk gabung isis/ikut paguyuban ikan mujaer lovers)’ Ha ha reviewer anime. Ngga lah mer. Ini mah kebetulan aja aku agak2 sering nonton anime ha ha</t>
  </si>
  <si>
    <t>@ErvineKiddies Saya rasa anda bisa melihat apa yg dikatakan oleh Prof. Mahfud di thread ini jika anda niat. Dan lagi, tolong baca UU dan PP nya, sangkut pautkan jga dengan UUD, secara merinci, biar teredukasi. Coba katakan, emang urgensi apa shg eks isis hrus dipulangkan ?</t>
  </si>
  <si>
    <t>@LusiHQ @anonapostate Yg goblog ya elo. Moso isis ogah bantuin sodara mrk yg dijajah dan dibantai israel di palestina? Koq malah nyerang iraq yg emang sdh porak poranda dihancurin AS ma sekutunya? Padahal iraq mayoritas jg muslim</t>
  </si>
  <si>
    <t>RT @FajarArd: Yang paling ironis korban paling banyak akibat masifnya kelompok teroris seperti isis, boko haram, maupun jabhat nusra adalah kaum perempuan sendiri</t>
  </si>
  <si>
    <t>RT @FajarArd: Kaum perempuan dari seluruh dunia yg berbondong-bondong terkdoktrin oleh isis dan kelompok penyebar teror, dan sayangnya perempuan juga yg menjadi korban sekaligus propagandis bagi perempuan lainnya</t>
  </si>
  <si>
    <t>RT @FajarArd: Sayangnya kemajuan teknologi informasi dimanfaatkan kelompok-kelompok penyebar kebencian dan intoleran untuk merekrut perempuan-perempuan untuk menjadi bagian dalam kelompok mereka, seperti dalam isis dan jabhat nusra</t>
  </si>
  <si>
    <t>Debat Soal WNI Eks ISIS, Gayus Lumbuun Sebut Ngabalin Bodoh</t>
  </si>
  <si>
    <t>Tolak pemulangan WNI eks ISIS #TolakEksISIS</t>
  </si>
  <si>
    <t>RT @anditoaja: Sel tidur perempuan ISIS/Khilafah melakukan propaganda Ideologi kebencian melalui medsos, lingkungan sekolah/rumah, donasi, perekrut/mak comblang pernikahan dgn antek ISIS. Sebagian tampil sbg bomber dan kombatan dgn sertakan anak2 mereka. Perempuan bisa juga sbg subjek teroris.</t>
  </si>
  <si>
    <t>@AlaricLuthfy @anonapostate Banyak negara berbatasan dgn Iraq dan Suriah yg tidak diserang ISIS. ISIS gak gobloklah dia nyerang Israel. Iran aja mikir.</t>
  </si>
  <si>
    <t>RT @JiwasrayaGate: Ditolak Pemerintah, Ternyata WNI Eks ISIS Sejahtera dan Tak Mau Pulang</t>
  </si>
  <si>
    <t>@AnakLolina @fadlizon @MardaniAliSera @hnurwahid Mungkin ke 3 orang itu kepengen ketemu ISIS ya brangkat aja kesana, ngak perlu Anggota ISIS dipulangkan ke Indonesia</t>
  </si>
  <si>
    <t>@susipudjiastuti Media Penjilat @jawapos Ya begini.bu Kelakuannya.padahal WNI pingin sekali.secepatnya @Edhy_Prabowo di ganti.sama Ibu Lagi</t>
  </si>
  <si>
    <t>RT @BaniAdam____: Eks ekstrim kiri /pki boleh tinggal di indonesia. Knp eks ekstrim kanan ISIS gak boleh pulang? Sama2 pembunuh padahal... 🤔</t>
  </si>
  <si>
    <t>@doelkemplang Wong stress ketok e gara" isis kalah</t>
  </si>
  <si>
    <t>Singapura Hukum Dua TKI Terkait ISIS</t>
  </si>
  <si>
    <t>@UrLuv93303759 Ngga usah mutar mutar, jawab saja kenapa. Apa yang dilanggar eks isis sampe bisa kehilangan kewarga negaraan??</t>
  </si>
  <si>
    <t>@sally_rw Kalo dari yang kubaca sih, yang udah dites itu sekitar 300an orang. Terus yang udah positif corona ada 218. Dan dari 300an orang yang udah diperiksa ada 78 wni yang negatif corona.</t>
  </si>
  <si>
    <t>@mohmahfudmd Memang ISIS itu negara apa mprop. Kok makin lama makin tolol aja org printer di negara kita ini.</t>
  </si>
  <si>
    <t>@dusrimulya @mohmahfudmd Tetapi kan intinya suatu pasukan yang kontra dengan negara kita, isis sudah membuat rusuh di negara ini. Apakah dengan seperti itu kita akan mengkasihani mereka yang telah menciptakan kerusuhan dan menyerang korban yang tidak bersalah?</t>
  </si>
  <si>
    <t>@ucoxregar @__Ndaru__ @mohmahfudmd @jokowi Saya tidak sirik.. tetapi saya tidak mendukung Pak De jika memberikan restu pemulangan penghianat bangsa Combatan ISIS.</t>
  </si>
  <si>
    <t>3. Kalau @PDI_Perjuangan Menilai @aniesbaswedan Melakukan pembohongan publik. Apa kah tdk termasuk pembohongan publik thdp janji-janji : -pertumbuhan ekonomi di atas 6%, tapi nyata nya ? -membuka 10 jt lapangan kerja untuk WNI, tapi nyata nya unutk siapa ? Dsb.</t>
  </si>
  <si>
    <t>Eks ekstrim kiri /pki boleh tinggal di indonesia. Knp eks ekstrim kanan ISIS gak boleh pulang? Sama2 pembunuh padahal... 🤔</t>
  </si>
  <si>
    <t>@RomeskoP @jokowi Pak @mohmahfudmd silakan ngomong secara terbuka kl kami org katolik memang tdk berguna bagi bangsa ini,bukan bangsa Indonesia. Lebih baik memperjuangkan ISIS eks WNI.Silakan Pak @mohmahfudmd .Jgn sungkan2 &amp; ragu.</t>
  </si>
  <si>
    <t>Sel tidur perempuan ISIS/Khilafah melakukan propaganda Ideologi kebencian melalui medsos, lingkungan sekolah/rumah, donasi, perekrut/mak comblang pernikahan dgn antek ISIS. Sebagian tampil sbg bomber dan kombatan dgn sertakan anak2 mereka. Perempuan bisa juga sbg subjek teroris.</t>
  </si>
  <si>
    <t>RT @liem_id: Contoh negara yg melindungi segenap warganya.. "Mrk adalah anak2, tentu kami memulangkan mereka. Ancaman pasti ada ttp mrk anak2. Mrk dpt diberikan edukasi oleh klrg &amp; pemerintah. Ini masalah serius," Lyudmila Rusia pulangkan lbh dari 200 anak eks ISIS</t>
  </si>
  <si>
    <t>RT @RizmaWidiono: Ngomong gampang, giliran kejadian kalian lepas tangan. ISIS adalah Penghianat negara, kok dilindungi.??? Pertanyaannya.. apakah anda simpatisan ISIS.? @KomnasHAM Bubarkan Komnas HAM, ganti yg benar2 paham HAM.!!! #TolakAnakISISKembali</t>
  </si>
  <si>
    <t>Ngakak sama reply an :’). Semoga WNI disana baik2 saja. Amin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</si>
  <si>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RT @bolueskrim: @ShoutOut3Sub Song Sura, asalku Korea tapi sudah wni sekarang ^^ domisili Jakarta dan dulu sempat di Bandung. I'm a single mom. Mari berteman /bow</t>
  </si>
  <si>
    <t>@ErvineKiddies Anda pikir keputusan tsb tidak atas proses berpikir yg panjang ? Lho rumah yg mana ? toh kalo konteksnya ke luar kota pun ya bisa2 aja dia pulang ke rumah, selama dia masih memiliki legalitas mjd WNI. Mending Anda coba baca peraturan terkait gmna seseorang dpt kehilangan KWNnya</t>
  </si>
  <si>
    <t>@AlfaOmega0110 @dusrimulya @mohmahfudmd Santai mas tidak ada perkara benci membenci disini hahaha krn dalam menentukan eks isis apakah masih warga negara indonesia atau tidak lagi perlu putusan pengadilan, sependek pengetahuan sy. Klo salah mohon diberi pencerahan.</t>
  </si>
  <si>
    <t>218 penumpang kapal Diamon Princess terinfeksi Corona, dan tak satupun WNI yang terinfeksi. Tolak Angin adalah Koentji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</si>
  <si>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@kompascom Koq bisa ya, kedua ortu bkn lagi WNI, tp ank msih WNI, aplgi anak yg lahir disn, dn mrkapun disana udh berkisar 6 thn bahkan lbh...trus anak yg dimaksud itu anak yg mn, dn berusia brapa thn..? Kalo mrka ank yg dibawa ortu nya dri Indonesia ke sana diusia 10 brarti kn udh remaja</t>
  </si>
  <si>
    <t>Ratusan WNI yang sedang menjalani observasi di Natuna akan segera dipulangkan. Pemulangan akan dilakukan pada Sabtu, 15 Februari 2020. #MetroHariIni</t>
  </si>
  <si>
    <t>@LusiHQ @anonapostate Lah..yg lo skrinsut jg cuma bacot isis doank. Emang pernah isis serang israel, padahal deketan daerahnya tuh?</t>
  </si>
  <si>
    <t>WNI di Natuna akan Dipulangkan, Empat Orang dari Sultra</t>
  </si>
  <si>
    <t>Pemerintah Pastikan WNI Pasca Observasi Diterima Masyarakat Sekitar</t>
  </si>
  <si>
    <t>@jokowi Anda di pilih oleh rakyat untuk mengelola negara RI,bukan untuk merasa memiliki apalagi menjadi.diktator di RI,.kelola lah..aset nya mulai SDM nya..hasil bumi nya, mereka msh punya hak sbg WNI,lahir dan besar di RI,beda dgn koruptor yg habis rampok uang di RI trus kabur ke Cina</t>
  </si>
  <si>
    <t>Asal kalian tau ya, ngga semua anggota isis itu gabung karna ideologi, kecuali yang goblok aja Gaji yang ditawarin isis itu 36 sampai 100juta men perbulan. Kamu kira pasukan bayaran dari chechnya mau gabung isis pake alasan ideologi? Isis itu ada, buat perebutan pipa gas</t>
  </si>
  <si>
    <t>@ucoxregar @__Ndaru__ @mohmahfudmd @jokowi Anak jalanan Mas...ini bicara dalam konteks mengurusi WNI. Tidak ada maksud fitnah Pak De @jokowi Apakah semua anjal sudah tertangani dengan baik? Tolak WNI Eks ISIS.</t>
  </si>
  <si>
    <t>@ErvineKiddies Ditanyakan mengambil, ya jelas mereka mengambil WNI dan diiming2i dengan berbagai hal, simpel kan ? Permasalahan yg diangkat bukan terkait membunuh, anda pikir permasalahan hukum cuma terkait itu saja ? Anda pikir negara kita tidak punya aturan ?</t>
  </si>
  <si>
    <t>Sak karepmu mprof @mohmahfudmd karena kekuasaan di tangan atasan mu. Semoga saja eks ISIS yang di Asia tidak menculik WNI untuk balas dendam karena pernyataan mu Ini.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</si>
  <si>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Kira2, mana yg akan diterapkan; pemulangan (atas inisiatif pemerintah RI), deportasi atau eksekusi (atas dasar kewenangan hukum Negara di mana eks WNI anggota ISIS tinggal) ?</t>
  </si>
  <si>
    <t>Jadi, di dlm diskursus ttg pemulangan eks WNI anggota ISIS, tak beda dg diskursus di dlm kemungkinan deportasi atau eksekusi. Ketiganya, pasti akan membuat repot pemerintah Republik Indonesia, dlm jangka pendek maupun jangka panjang.</t>
  </si>
  <si>
    <t>Mengutip analisa Emma Beals, seorang analis independen Suriah,ia menilai bahwa pemerintahan Assad akan menggunakan tahanan sebagai pion negosiasi dengan negara lain. Skenario ini akan menjadi "kemenangan" bagi rezim Assad. Ada brp eks WNI anggota ISIS yg sdg ditahan di Suriah?</t>
  </si>
  <si>
    <t>Coba kita cermati dua kemungkinan utk memperkaya wacana; yaitu proses deportasi dan atau eksekusi terhadap eks WNI anggota ISIS. Siapa tahu bisa memperkaya pemahaman kita</t>
  </si>
  <si>
    <t>Presiden @Jokowi hari ini menolak pemulangan. Pun demikian dg wakil presiden @Kiyai_MarufAmin . Katanya: pemerintah tdk memulangkan 689 WNI eks ISIS krn dinilai lebih aman &amp; banyak manfaatnya ketimbang sebaliknya. Jadi yg lebih aman &amp;amp; maslahat kalau kita tak memulangkan.</t>
  </si>
  <si>
    <t>Diskursus pemulangan eks WNI anggota ISIS menyita perhatian kita semua. Pro &amp; Kontra menghiasi TL. Semua menyatakan pendapatnya; kebanyakan netizen menolak dg segala perspektif yg diberikan, baik kekinian maupun yg bernuansa visioner dg segala kekhawatirannya</t>
  </si>
  <si>
    <t>@jokowi Bilang adja klo ga ada duit utk mulangin. Ga ada anggaran utk rahabilitasi. Ga ada program utk memperbaiki "mind set" eks ISIS. Dan ga mau repot ngurusi rakyat yg "tersesat". Lah ngurusin rakyat yg ga bmasalah adja bisanya cm ngutang.</t>
  </si>
  <si>
    <t>Yang paling ironis korban paling banyak akibat masifnya kelompok teroris seperti isis, boko haram, maupun jabhat nusra adalah kaum perempuan sendiri</t>
  </si>
  <si>
    <t>RT @ZheeOmega: O). Dgn ditegaskanya oleh presiden bahwa negara tdk akan memulangkan ISIS EKS WNI. Sel2 tidur ISIS yg ada didlm negeri sdh dibikin gigit jari oleh presiden. Dan.... Gigit jari pulak tokoh2 intoleran. #SkakMat</t>
  </si>
  <si>
    <t>@AlaricLuthfy @anonapostate BACOT! ISIS tidak pernah nyerang spanyol, Jordania, Iran, Arab Saudi, Turki, Rusia Apelo?</t>
  </si>
  <si>
    <t>RT @ZheeOmega: (2) Kita bakal liat babak berikutnya, setelah muncul gorengan2 panas soal anak2 ISIS eks WNI, yg sebenarnya adalah mesin pembunuh yg tdk diperhitungkan. Sel2 tidur ISIS dan tokoh2 intoleran dlm negeri bakal terus menggorengnya, sembari nunggu ketegasan presiden berikutnya.</t>
  </si>
  <si>
    <t>@UrLuv93303759 Kamu belum jawab saya, eks isis itu ngambil apa dari negeri ini?? Mereka bunuh orang disini?? Dan sejak kapan orang ngga boleh pulang ke rumahnya sendiri?</t>
  </si>
  <si>
    <t>@AnakKolong___ @KPAI_official Banyak kemungkinan banyak virus ISIS di KPAI</t>
  </si>
  <si>
    <t>"..ketawanya bodoh.." 🤣🤣🤣</t>
  </si>
  <si>
    <t>Kaum perempuan dari seluruh dunia yg berbondong-bondong terkdoktrin oleh isis dan kelompok penyebar teror, dan sayangnya perempuan juga yg menjadi korban sekaligus propagandis bagi perempuan lainnya</t>
  </si>
  <si>
    <t>@kafiradikal Sudah ada bbrp bukti ex ISIS yg ikut deredikalisasi beraksi lagi.</t>
  </si>
  <si>
    <t>RT @marpaung913: @Parapat_Nixon Mantap ! Kalau Korut berlakukan TEMBAK MATI bagi penyebar virus CORONA. Beda dengan di Indonesia, bukan masalah virus corona tapi VIRUS ISIS pada ANAK-ANAK yang ada di SURIAH mau DIIMPOR ke Indonesia. Padahal pemerintah SURIAH hendak MENGGANTUNG mereka karena PENDATANG HARAM.</t>
  </si>
  <si>
    <t>@mohmahfudmd Yawda pak, kita berpegang pada UU dan PP saja menyikapi kombatan isis,tdk usah dipikirkan pendapat para pegiat ham dll..</t>
  </si>
  <si>
    <t>Sayangnya kemajuan teknologi informasi dimanfaatkan kelompok-kelompok penyebar kebencian dan intoleran untuk merekrut perempuan-perempuan untuk menjadi bagian dalam kelompok mereka, seperti dalam isis dan jabhat nusra</t>
  </si>
  <si>
    <t>@HardiAhmad @ariel_heryanto Umat islam di negeri ini nggak bodoh, nggak mungkin isis bisa menang, melawan dunia, utamanya dunia barat....umat melihat israel yg kecil, bisa menang di tengah2 msyrk Arab, apa isis sedemikian menakutkan n jenius dibandingakan zionisme israel?</t>
  </si>
  <si>
    <t>@Parapat_Nixon Mantap ! Kalau Korut berlakukan TEMBAK MATI bagi penyebar virus CORONA. Beda dengan di Indonesia, bukan masalah virus corona tapi VIRUS ISIS pada ANAK-ANAK yang ada di SURIAH mau DIIMPOR ke Indonesia. Padahal pemerintah SURIAH hendak MENGGANTUNG mereka karena PENDATANG HARAM.</t>
  </si>
  <si>
    <t>@jokowi Kata che hermawan selaku Presiden ISIS Indonesia bahwa combatan di sana sudah sejahtera dab gaji besar,mbok yao di biarkan disana saja .. . lebih baik uangnya buat menyantuni anak anak dan korban bom samarinda, surabaya dll</t>
  </si>
  <si>
    <t>@faizaufi Nutrisari pake es batu air mentah salah satu penguat imun wni</t>
  </si>
  <si>
    <t>@CNNIndonesia @WenePapua1 Itu Belgia...saya peduli Indonesia. Indonesia berdaulat atas putusan utk tdk menerima teroris ISIS kembali ke Indonesia. Utamakan keselamatan Bangsa.</t>
  </si>
  <si>
    <t>RT @wow_keren: Buntut WNI Eks ISIS Minta Pulang, Ma'ruf Amin Beri Wejangan Soal Radikalisme</t>
  </si>
  <si>
    <t>Tolong sampaikan ke : @fadlizon @MardaniAliSera @hnurwahid dll bahwa anggota ISIS eks WNI sangat betah di Suriah. Eks WNI tidak berharap pulang krn mereka ingin mati di jalan Allah.</t>
  </si>
  <si>
    <t>RT @pardede_tamim:  Kelancangan UAS memfitnah ISIS</t>
  </si>
  <si>
    <t>@HmfaqihA 1. Menag, sudah bukan menteri agama lagi tp menteri agama islam, menteri FPI, mungkin bisa jadi menteri eks anggota isis</t>
  </si>
  <si>
    <t>@KoboiBengek @OeripKoe @UKI_djayengrono @geraldineventi @fadlizon Bukannya pengakuan Hillary Clinton bahwa cia lah yg membentuk isis?</t>
  </si>
  <si>
    <t>Presiden Pastikan WNI di Natuna Sehat dan Siap Kembali ke Keluarga</t>
  </si>
  <si>
    <t>Bener-bener masih heran. Gimana ceritanya 218 orang terinveksi virus dan 78 WNI ga kena....</t>
  </si>
  <si>
    <t>Jokowi dan Ahok berteman dekat bagus dalam hal warga Negara. Jika ada beda pendapat bukunya tidak layak konsumsi publik itu hak. Seperti halnya mantan ISIS tak boleh diterima di Indonesia. Jika berminat bukunya beli jik tidak kan tidak boleh maksa dan ngotot untuk beli.😂😂 RT @FirzaHusain: Ga usah nyinyir, bikin aja buku tandingan kisah hidupmu 😊😊😊 BTP merilis buku teranyarnya, "Panggil Saya BTP. Perjalanan psikologi Ahok selama di Mako Brimob". Buku ini mendapat nyinyiran Novel Bakmumin, menurutnya kisah BTP tak layak untuk dibukukan.</t>
  </si>
  <si>
    <t>RT @exfrisz: Lama-lama liat berita, narasi nya jd berharap WNI kena virus corona deh. Apa perasaan aja yaa.</t>
  </si>
  <si>
    <t>@jokowi Untuk bahan pertimbangan pemerintah Tentang Exs Isis &amp; Anak" nya. Sebelum Ambil kebijakan.</t>
  </si>
  <si>
    <t>Lama-lama liat berita, narasi nya jd berharap WNI kena virus corona deh. Apa perasaan aja yaa.</t>
  </si>
  <si>
    <t>@jokowi Koruptor sama PKI usir aja bos jangan jd WNI,, ke laut aja ceburin</t>
  </si>
  <si>
    <t>Proses Observasi Rampung, Jokowi Pastikan WNI di Natuna Bebas Corona</t>
  </si>
  <si>
    <t>RT @salahsambungya: 1. Apa yang terjadi di Suriah, sudah terjadi di Indonesia dan itu merupakan ancaman yang meresahkan. 2. Penanganan kombatan ISIS yang pulang pada waktu silam (deradikalisasi) harus dikaji / evaluasi ulang. Sudah efektif atau belum?</t>
  </si>
  <si>
    <t>@syiahgl Oh iya satu lagi. ISIS itu Wahabi Takfiri. Bukan sunni.</t>
  </si>
  <si>
    <t>RT @Bekanta05308888: @mohmahfudmd Narasi mu itu2 saja fud, klu gak isis ya Radikal-radikulin org,tak prnh engkau mmbahas lapangan pekerjaan &amp; sulitnya biaya Hidup dzaman jokowi. (Telak banget video ini mah bagi yg punya otak).</t>
  </si>
  <si>
    <t>@RizmaWidiono Pak Jokowi sudah jelas negara menolak ex kombatan ISIS dan mereka sdh bukan warga negara RI lagi</t>
  </si>
  <si>
    <t>mau tanya aja, koruptor itu ideologinya apa? eks isis itu, ngambil apa dari negeri ini? kamu ngga usah bicara bahwa kita tak bisa mengasihani hal yang salah, sementara narkoba membunuh ribuan anak negeri saja ngga bisa diurusin,malah bandar bandarnya bisa hidup enak dalam penjara RT @UrLuv93303759: @Yunardi69 Toh, mereka pun memilih sendiri tanpa dipaksa, mereka yg menentukan nasibnya sendiri, artinya mereka jga sdh melalui proses berpikir utk memilih negara atau mjd anggota ISIS. Permasalahannya adalah dengan ideologi apa yg mereka anut. Kita tdk bsa mengasihani hal yg salah</t>
  </si>
  <si>
    <t>YANG GAK JAWAB ISIS</t>
  </si>
  <si>
    <t>bripka denny setiadi eks buser resnarkoba polres bekasi itu tmn nongkrong ay tnggal d lubang buaya. n wktu usut ksus bandar ganja dibekasi ay bantu doi. kaget lah wktu dgr dia gugur bko di mako jdi korban kebiadaban isis mana itu teroris msih sepupu sih fajar ada di dlm mako. RT @kurawa: Alhamdulillah, pemerintah akhirnya menolak pemulangan ex combatan ISIS. Selama ini gue gak banyak komen karena mau melihat konsistensi pemerintah di periode ke 2 ini. Sebagai pengingat di tahun 2018 kerusuhan Napi Teroris di Mako Brimob yg sebabkan 5 polisi tewas</t>
  </si>
  <si>
    <t>ISIS ditolak, ISISISME ditenggak!. Mampus Khilfah! Mampus Kadal Gurun! Mampus Zionis Cungkang! Mampus Zionis Sawo Mateng!</t>
  </si>
  <si>
    <t>RT @kondekturbus_: Ini salah satu sebab virus Corona ga bisa menjangkiti WNI, kami punya senjata rahasia dengan kearifan lokal, jamu tolak angin, mie instan penuh micin dan uang benggol buat kerokan. Go to Hell, Corona!!</t>
  </si>
  <si>
    <t>RT @ulil: 1/ Pemerintah sudah mengetok palu: tak akan memulangkan WNI eks-ISIS di Suriah dan Turki. Jumlah mereka mencapai hampir 700 orang. Saya menghormati keputusan pemerintah. Meski demikian, saya punya pendapat yg berbeda. Perkenankan saya menyampaikannya di sini.</t>
  </si>
  <si>
    <t>@CNNIndonesia Bibit isis kok diopeni , mending ngopeni panti aduhan yg ada</t>
  </si>
  <si>
    <t>RT @wanrosadi: @zarazettirazr Kayaknya status WNI nya gak bakalan dicabut. RS kan sdh berjasa membuat Indonesia jadi terkenal. Terkenal LGBT nya :))</t>
  </si>
  <si>
    <t>Nah jepang yg ngecek dan wni sehat disana. Gimana nih pakar percintaan yg ngeremehin Indonesia ga becus 😂😂😂😂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</si>
  <si>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@cnbcindonesia: 238 WNI di Natuna Keluar Karantina, Jokowi: Nggak Usah Takut</t>
  </si>
  <si>
    <t>RT @baca_tanda: @mohmahfudmd dalil2 dicari tapi dalil yg dicari dalil yg tidak pro penyelamatan WNI</t>
  </si>
  <si>
    <t>DPR Dorong Pemerintah Libatkan KPAI Dalam Pemulihan Ideologi Anak-anak Eks ISIS  @DPR_RI @BNPTRI @KPAI_official @kpaiMR</t>
  </si>
  <si>
    <t>saya lebih mending ya nerima eks isis pulang, ketimbang menerima PKI eks isis, perang di tananh nun jauh disana, PKI, bunuhin bangsa sendiri........</t>
  </si>
  <si>
    <t>RT @harakatuna: Geneologi Lahirnya ISIS, Motif, dan Aktornya (Bagian I)</t>
  </si>
  <si>
    <t>@Yunardi69 @mohmahfudmd Dan lagi, apa anda punya data bahwa orang yg mjd anggota ISIS merupakan org yg ekonominya lemah ? Byk org hanyut dlm ideologi yg mrka bawa. Permasalahan ini kompleks yg tdk hnya mslh ekonomi sj, kta jga pnya aturan hukum yg hrus ditegakkan dan dampaknya ke masyrakat yg lebih byk</t>
  </si>
  <si>
    <t>RT @chairulachir: @Sam_Ardi @Teh__L Atributnya WNI eks ISIS ISIS ex WNI lebih cocok</t>
  </si>
  <si>
    <t>@Restichayah @TanjungSyahril Cian lelaki minang yg kawin keluar, anaknya nggak diaku di minang dan ndak diaku di tempat lain 😀😊😀😊 Di tailand juga nggak diaku larena takut jadi simpatisan isis</t>
  </si>
  <si>
    <t>Buntut WNI Eks ISIS Minta Pulang, Ma'ruf Amin Beri Wejangan Soal Radikalisme</t>
  </si>
  <si>
    <t>@AhlulQohwah KPAI pancet ae. Wong ISIS tha</t>
  </si>
  <si>
    <t>RT @zarazettirazr: Jadi bahasanya yg benar gimana. WNI eks ISIS atau ISIS eks WNI ? Kalo masi disebut WNI artinya masi WARGANEGARA pengertianku kok gitu ya ? 😁😁</t>
  </si>
  <si>
    <t>RT @2_devout: @3_devout @Jovanka_vanke @herlambang_tan @1_devout @Julia_Zeed @4_devout @Sarah_Pndj @LusiHQ @aya_ddt @DianVeei @oneaperture @ephraym8 @jokowi @mohmahfudmd @prabowo @Menlu_RI @PolhukamRI @kemendagri @kaesangp @Chilli_Pari Nyawang iki 👇 SECARA DIAM-DIAM &lt;--- artine tertutup iso dadi dapur bawah tanah. Mangkane jeng jivi "nguping" ben paham situasi ne Dadi " mereka mesti dilenyapken tanpa sisa" &amp;lt;---- iki solusi masuk akal wis dilakoni pemerintah irak hukum gantung isis. Lah Indonesia piye?</t>
  </si>
  <si>
    <t>@pieterpitojo @BaskoroKata @AtikahZahidah_ @haluanghabang @sabilla_shaffa @ibra_zycko @RAISYAELBIX1 @evisuryanti10 @SeruniPuspaAlam @erikamelfa @_antaresh @herlambang_tan Kalau pulang jg,cm ngabisin uang rakyat,lbh baik itu uang buat anak yatim atau fakir miskin,dr pd uangnya buat biaya anak' ISIS...</t>
  </si>
  <si>
    <t>Tuh kannn 😔 Sy lebih percaya klo virus corona ga masuk indo bukan karena gada WNI yg terjangkit, tapi lebih karena Pemerintah aja yg gatau. RT @CNNIndonesia: Pemerintah Jepang menyatakan sebanyak 218 penumpang kapal pesiar Diamond Princess terinfeksi virus corona. @Kemlu_RI pun menuturkan bahwa 78 orang WNI yang merupakan kru dari kapal pesiar tersebut dalam kondisi sehat dan negatif virus corona.  #CNNIndonesia</t>
  </si>
  <si>
    <t>@Yunardi69 Toh, mereka pun memilih sendiri tanpa dipaksa, mereka yg menentukan nasibnya sendiri, artinya mereka jga sdh melalui proses berpikir utk memilih negara atau mjd anggota ISIS. Permasalahannya adalah dengan ideologi apa yg mereka anut. Kita tdk bsa mengasihani hal yg salah</t>
  </si>
  <si>
    <t>@Eno_Bening Bisa jadi. Siapa tau di kapal tsb ga ada WNI nya</t>
  </si>
  <si>
    <t>@CNNIndonesia @Kemlu_RI *Kemenlu kedatangan tamu dari perwakilan WHO yang meragukan status bebas virus corona* *Kemenlu neriakin WNI* "KASIH TAU BOYYYY"</t>
  </si>
  <si>
    <t>@GundiDr Kalau pingin tahu apa fungsi BPIP ? Tinggal pulangkan saja eks ISIS itu ke Indonesia. Kalau tidak berani ya apa fungsi BPIP ?</t>
  </si>
  <si>
    <t>Wacana Pemulangan 600 WNI Eks ISIS Jadi Ramai, Fadli Zon: Gara-gara Menteri Agama</t>
  </si>
  <si>
    <t>RT @CNNIDdaily: CEO RMOL Network, Teguh Santosa: Setiap individu mempunyai hak untuk memilih kewarganegaraan. Apabila WNI melepaskan kewarganegaraan secara sadar untuk bergabung dengan negara lain itu hak dia, apabila ingin kembali tentu ada syarat-syarat yang perlu dipenuhi. #CNNIDPrimeNews</t>
  </si>
  <si>
    <t>RT @cnixjuang: Indonesia Tolak PEMULANGAN WNI EKS ISIS #LawanRadikalisme #KamiBersamaJokowi Indonesia Maju</t>
  </si>
  <si>
    <t>Kepala BIN, kebijakan pemerintah untuk tidak memulangkan WNI EKS ISIS sudah dikalkulasikan secara matang. #LawanRadikalisme #KamiBersamaJokowi Indonesia Maju</t>
  </si>
  <si>
    <t>Pimpinan pusan baitul muslimin mendukung pemerintah untuk menolak kombatan ISIS kembali ke Indonesia. #LawanRadikalisme #KamiBersamaJokowi Indonesia Maju</t>
  </si>
  <si>
    <t>BIN setujui kebijakan pemerintah terkait kepulangan WNI EKS ISIS #LawanRadikalisme #KamiBersamaJokowi Indonesia Maju</t>
  </si>
  <si>
    <t>Pemerintah putuskan tak akan pulangkan 689 WNI EKS ISIS #LawanRadikalisme</t>
  </si>
  <si>
    <t>Pemerintah putuskan tak akan pulangkan 689 WNI EKS ISIS, Biarkan mereka jihad. #LawanRadikalisme #KamiBersamaJokowi Indonesia Maju</t>
  </si>
  <si>
    <t>Anak2 dibawah 10 tahun yg termasuk eks ISIS akan dibina program radikalisasi. #LawanRadikalisme</t>
  </si>
  <si>
    <t>Indonesia Tolak PEMULANGAN WNI EKS ISIS #LawanRadikalisme #KamiBersamaJokowi Indonesia Maju</t>
  </si>
  <si>
    <t>@Dhewi_rasya @CNNIndonesia @Kemlu_RI Setuju sama ini. Kita sangat bersyukur kalo gak ada WNI yang terpapar corona. Tapi g boleh takabur karena di kapal itu ada 3500 penumpang, dan kru termasuk yg belum diperiksa. Kita terus doain aja.</t>
  </si>
  <si>
    <t>@IsnanZulfida @Kemlu_RI Kebalik om anak2 ISIS eks WNI yang bener</t>
  </si>
  <si>
    <t>@Kartikamelisas isis engko dadine tik wkwk</t>
  </si>
  <si>
    <t>Masih masuk akal sih. Yg pembawa virus adalah penumpang dan yg terjangkit juga sesama penumpang, sedangkan 78 WNI semuanya kru kapal. RT @CNNIndonesia: Pemerintah Jepang menyatakan sebanyak 218 penumpang kapal pesiar Diamond Princess terinfeksi virus corona. @Kemlu_RI pun menuturkan bahwa 78 orang WNI yang merupakan kru dari kapal pesiar tersebut dalam kondisi sehat dan negatif virus corona.  #CNNIndonesia</t>
  </si>
  <si>
    <t>Pernyataan presiden @jokowi ttg sikap pemerintah thdp isis ex wni dan kisruh pembangunan gereja sudah clear, gada lagi alasan ghibah ke menag Lanjut skrg gibah ke menkes,isu corona lagi. Ga habis2 media ini cari sensasi</t>
  </si>
  <si>
    <t>@subtanyarl Hey kak, tau gak kalo wni dari wuhan yg d karantina di natuna udah mau balik loh, mereka semua sehat kak...</t>
  </si>
  <si>
    <t>Masa observasi sejumlah WNI dari Wuhan, China terkait virus corona akan berakhir. Rencananya ratusan WNI itu akan dipulangkan ke daerah masing-masing, Sabtu (15/2/2020) besok. . Berdasarkan informasi yang didapat…</t>
  </si>
  <si>
    <t>CEO RMOL Network, Teguh Santosa: Setiap individu mempunyai hak untuk memilih kewarganegaraan. Apabila WNI melepaskan kewarganegaraan secara sadar untuk bergabung dengan negara lain itu hak dia, apabila ingin kembali tentu ada syarat-syarat yang perlu dipenuhi. #CNNIDPrimeNews</t>
  </si>
  <si>
    <t>@Gendorowo3 @__Ndaru__ @mohmahfudmd Anda buat fitnah pada pak @jokowi anak WNI mana yang belum terjamah negara?? Semua sudah diurus dan makmur. Bersama pak @jokowi indonesia adil makmur. Kaya dan terhormat. Cabut pernyataan anda</t>
  </si>
  <si>
    <t>RT @CNNIDdaily: Persiapan jelang pemulangan WNI di Natuna terus dilakukan, mereka begitu antusias karena akan segera pulang bertemu keluarga di daerah masing-masing. #CNNIDNewsReport</t>
  </si>
  <si>
    <t>@Stakof Ketika kampanye pilpres/pilkada/pileg usai, perdebatan kewargaan ex ISIS mereda, bubur ayam diaduk dan tidak sudah terlalu jadul, valentine ga rame debat. Jiwa perpecahan meronta, mie ayam kuah jadi front berikutnya. Semangat.</t>
  </si>
  <si>
    <t>RT @CNNIDdaily: Koresponden, Aditya Aksani melaporkan, jelang berakhirnya masa observasi dan kepulangan WNI di Natuna. #CNNIDConnected</t>
  </si>
  <si>
    <t>@daniairwansyah @Budi_puolaper justru anda ini yang gak nyambung, OPM dimana, ISIS dimana.</t>
  </si>
  <si>
    <t>@UyokBack @jokowi ayo alihkan perhatian dg kasus Formula E, BPIP, mantan ISIS, savebabi... kita tetap kawal kasus Jiwasraya</t>
  </si>
  <si>
    <t>RT @RinjaniJB: @RizmaWidiono @KomnasHAM Protes saya klau pajak yg Saya bayar dipakai buat gaji Komnas yg lebih mementingkan ISIS drpd 260jt rakyat Indonesia. #TolakAnakISISKembali</t>
  </si>
  <si>
    <t>@korantempo Kombatan ISIS eks WNI. PO TEMPO.</t>
  </si>
  <si>
    <t>@amandagempita Yang hobi kafir-kafirkan orang lain dipastikan sudah terpapar VIRUS radikalisme agama, ideologi khilafah ISIS, HTI dan ideologi transnasional. Mereka merasa sebagai pemilik kebenaran absolut, yang diluar kelompoknya, termasuk umat Islam semua kafir.</t>
  </si>
  <si>
    <t>Begitulah cara sel2 tidur ISIS gerilya dgn propagandanya.... RT @AfifFuadS: 1. Narasi goblok seperti ini yang terus merongrong Pancasila dg dibenturkan dg Islam, HTI datang jauh setelah Indonesia meredeka dan akan merusak konsesus bersama para pendiri bangsa yg berkorban segalanya utk merdekanya bangsa ini, bedebah ...</t>
  </si>
  <si>
    <t>DEPORTASI atau EKSEKUSI Pemulangan eks WNI anggota ISIS bukan satu2nya diskursus. Ada dua kemungkinan yg bisa diterapkan kpd para eks WNI anggota ISIS, yaitu deportasi atau eksekusi. Mungkin opsi tsb bisa dikaji lebih lanjut, shg diskusinya tdk sebatas pro &amp; kontra pemulangan</t>
  </si>
  <si>
    <t>@3_devout @Jovanka_vanke @herlambang_tan @1_devout @Julia_Zeed @4_devout @Sarah_Pndj @LusiHQ @aya_ddt @DianVeei @oneaperture @ephraym8 @jokowi @mohmahfudmd @prabowo @Menlu_RI @PolhukamRI @kemendagri @kaesangp @Chilli_Pari Nyawang iki 👇 SECARA DIAM-DIAM &lt;--- artine tertutup iso dadi dapur bawah tanah. Mangkane jeng jivi "nguping" ben paham situasi ne Dadi " mereka mesti dilenyapken tanpa sisa" &amp;lt;---- iki solusi masuk akal wis dilakoni pemerintah irak hukum gantung isis. Lah Indonesia piye?</t>
  </si>
  <si>
    <t>Semua WNI akan dipulangkan dari Hanggar Lanud Raden Sadjad Ranai, Kabupaten Natuna, Kepulauan Riau (Kepri).</t>
  </si>
  <si>
    <t>@dusrimulya @kuurnias @mohmahfudmd Jelas ISIS itu tentara, GOBLOK! Mata Lo picek! Dah banyak video soal ISIS! Otak kaderun lo piara!!</t>
  </si>
  <si>
    <t>@anonapostate @LusiHQ Isis emang pernah nyerang israel?</t>
  </si>
  <si>
    <t>Pengakuan Febri Ramdani: 300 Hari Terpedaya Propaganda ISIS</t>
  </si>
  <si>
    <t>Persyaratan sbg sebuah negara sebenarnya sdh dipunyai ISIS yaitu: Rakyat : ada Pemerintah : ada Wilayah : ada. Yg blm hanya pengakuan. RT @OpsiMetroTV: Ketua Komnas HAM: ISIS itu bukan negara, ISIS adalah organisasi teroris. Tonton lagi #OPSIMetroTV episode Eks ISIS: yang Pergi, Perlukah Kembali? di youtube channel kami. Jangan lupa subscribe! #eksisisyangpergiperlukahkembali</t>
  </si>
  <si>
    <t>RT @samhudibae: Dana tersebut oleh HASI dikirimkan ke IHH yg merupakan LSM terbesar di Turki sekaligus penyuplai senjata &amp; alat berat ke para Mujahid &amp;amp; ISIS di Suriah. Sekali lagi drun Netizen +62 paling sadis didunia Salam Waras Rakyat Indonesia sudah pintar. #TindakTegasIntoleran</t>
  </si>
  <si>
    <t>WNI di Kapal Diamond Princess Minta Mie Instan</t>
  </si>
  <si>
    <t>@Fatimah_Syaff makin nyata kalo sesungguhnya rezim ini pro dg terorisme bukannya menyelamatkan, ini malah membiarkan WNI terlunta2 dan tetap jadi "teroris" di luar sana apa tidak ada yg paham juga betapa liciknya rezim ini terhadap agama?</t>
  </si>
  <si>
    <t>Jokowi Pastikan WNI di Natuna Sehat dan Siap Kembali ke Keluarga</t>
  </si>
  <si>
    <t>Bang Gayus Lumbuun baru tahu Ngabalin bodoh, sudah lama pak.</t>
  </si>
  <si>
    <t>@rizahariati @mohmahfudmd @jokowi Mungkin wacana buat mulangin anak ISIS gak jadi kan pemerintah sudah ngeluarin dana untuk mulangin mahasiswa yg dari wuhan kemaren sudah cukup besar</t>
  </si>
  <si>
    <t>@mohmahfudmd Ya ,betul sekali pak menteri.jangan izinkan eks wni anggota isis kembali</t>
  </si>
  <si>
    <t>RT @Kinan18069393: Masih mau buat tagar #KasihanJokowi??? Pak jokowi itu petarung tangguh, jgn mudah ragu. asah ISIS sengaja dibuat rame, agar ular2 bludak pada keluar sendiri, setelah itu baru digebuk. Langkah 1 tdk akn pulangkan isis. Langkah 2 reshuffle. Ke 3 sikat intoleran.</t>
  </si>
  <si>
    <t>@mohmahfudmd @najwa2_nashwan1 Klu WNI yg Korupsi bergabung dgn Asing bisa hilang juga Status Kewarganegaraannya dgn Sendiri nya tanpa melalui pengadilan ! Adilkan ? Nyemeng enak bener loe ?</t>
  </si>
  <si>
    <t>RT @yazid_fadhlan: @IpungLombok @DIENDIRA2 Apapun namanya tetap sj menghadirkan haru melihat beliau vs ngabalin ttg isis. Sama harunya melihat Rocky Gerung debat mati2an n sampai terlihat emosional membela fpi saat panas izin kmrn</t>
  </si>
  <si>
    <t>RT @ifull_mild: @woelannnn @wisanggeni_084 Pejabat Negara yg ngeyel akan memulangkang Combatan ISIS dan Turunannya, kemungkinan Pejabat Tersebut Terpapar Radikal</t>
  </si>
  <si>
    <t>@null Buntut WNI Eks ISIS Minta Pulang, Ma'ruf Amin Beri Wejangan Soal Radikalisme</t>
  </si>
  <si>
    <t>Baru Tahu, Ada Eks Presiden ISIS Indonesia</t>
  </si>
  <si>
    <t>@myungmyungsoo_L @88Typsophila1A Cikar ae isis</t>
  </si>
  <si>
    <t>RT @korantempo: Pemerintah Verifikasi Data Warga Indonesia Eks ISIS</t>
  </si>
  <si>
    <t>dasar isis lo RT @FGFELIX00: /bunuh deponah/</t>
  </si>
  <si>
    <t>RT @nupedia_id: 🎉GIVEAWAY TIME!🎉 Sesuai janji, krn lg rame pro-kontra pemulangan WNI eks ISIS, Mimin mau kasih GA buku Gus @na_dirs "Islam Yes Khilafah No" Semoga bisa nambah wawasan utk menyikapi hal ini Syarat: Retweet &amp; follow @nupedia_id Pengumuman 14 Feb, 16.00 WIB Yuk!😊 #rabuambyar</t>
  </si>
  <si>
    <t>@Fatimah_Syaff Lebih rela korban penipuan isis pulang atau warga tiongkok yg pergi dari indonesia? :)</t>
  </si>
  <si>
    <t>Memamg kau pikir isis itu tentara, isis bukan negara berdaulat dan tak ada yang mengakuinya sebagai negara,, pasal anda itu gugur mpud..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</si>
  <si>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RT @kompascom: Bambang Soesatyo meminta masyarakat menerima kembali 237 WNI yang diobservasi di Natuna setelah mereka dievakuasi dari Wuhan, China.</t>
  </si>
  <si>
    <t>@RadioElshinta Kpai berlebihan.... Anak dlm negri aja msh banyak kurang perhatian... Ini mau so so an mau ngasih perhatian sama anak anak bekas teroris Emang nya klo kpai ngasih perhatian kpd anak anak nya eks isis Apa ortu nya bakal ngelepasin anak anak mereka.....</t>
  </si>
  <si>
    <t>RT @Julia_Zeed: @AnakKolong___ @felixsiauw @mohmahfudmd Wajar anak buahnya HRS semua AGEN ISIS</t>
  </si>
  <si>
    <t>@wisanggeni_084 Hello KPAI apa kabar? Sehat ? Kalau sdh ex/eks WNI berarti bukan lagi warga negara indonesia otomatis anaknya jg yg dibawah umur 18 thn ikut org tua KPAI, gak tahu ya? Ada2 aja oonnya😭😠</t>
  </si>
  <si>
    <t>Bambang Soesatyo meminta masyarakat menerima kembali 237 WNI yang diobservasi di Natuna setelah mereka dievakuasi dari Wuhan, China.</t>
  </si>
  <si>
    <t>@jokowi Anak anak isis di ajari cara untuk membunuh,, pemerintah harus kaji Ulang Rencana itu.. Sbelum bner" di laksana kn. BIN harus kerja Extra. Vidio ini bisa untuk bahan pertimbangan.</t>
  </si>
  <si>
    <t>Lagi rame 78 WNI dinyatakan Negatif Corona,Kalo emng bener Bagus juga tapi Knp kok Bisa Opini w sih Warga +62 Punya Sistem kekebalan Tubuh yg beda dari Warga lainnya so si Corona gk bisa tinggal di tubuh Warga +62 ini.jadi Inget Maze Runner asw #coronadiantarakita</t>
  </si>
  <si>
    <t>PANTESAN MEREKA NGOTOT PENGEN WNI EX ISIS DIPULANGKAN !!</t>
  </si>
  <si>
    <t>@OpsiMetroTV @Metro_TV Setuju bahwa para kombatan ISIS tak boleh lagi kembali ke Indonesia, sebab jika mereka diizinkan masuk lagi ke Indonesia, hanya akan menambah beban masalah</t>
  </si>
  <si>
    <t>Eh yang diserang isis isus. Bombar bomber 🤣🤣🤣</t>
  </si>
  <si>
    <t>(2) Kita bakal liat babak berikutnya, setelah muncul gorengan2 panas soal anak2 ISIS eks WNI, yg sebenarnya adalah mesin pembunuh yg tdk diperhitungkan. Sel2 tidur ISIS dan tokoh2 intoleran dlm negeri bakal terus menggorengnya, sembari nunggu ketegasan presiden berikutnya.</t>
  </si>
  <si>
    <t>@agung_nusanjaya @mohmahfudmd Mungkin ISIS bisa lebih cepat meringkus HARUN MASIQU😂😂😂😂</t>
  </si>
  <si>
    <t>Butuh apa? Sambel, kecap, ama emih plus tolak angin lah Udah kurang hebat apa coba WNI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</si>
  <si>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@FerdinandHaean2 @jokowi elo ngerti juga kagak apa itu isis fer sok komen pulak</t>
  </si>
  <si>
    <t>@RadioElshinta Jgn di kasi hati lah kpd eks isis..</t>
  </si>
  <si>
    <t>@pandji @mal_jupri @Orw20 lu yakin gak salah tag akun bg? dia bukan anggota isis kan?</t>
  </si>
  <si>
    <t>@jokowi Mungkin bisa dikaji ulang lg keputusan itu. Karna jika melihat wawancara para wni tersebut , rata² mereka merasa tertipu menyesal dengan isis .</t>
  </si>
  <si>
    <t>@kenhans03 @AremaNita__ @su7loo @daunsirih5 @Ani97174706 @Jelantik5 @maheswararajen1 @rullyjoo27 @SeruniPuspaAlam @pasektohpati @Sorasachi__ @Tikayulie ISIS sudah menerima azab dari Tuhan, karena sudah diperingatkan jangan membunuh tanpa sebab. Jakarta sedang menerima azab, karena memilih pemimpin yg bukan ahlinya. Tiongkok menerima azab atas kesombongan ucapan xi jin ping pemimpinnya</t>
  </si>
  <si>
    <t>@dusrimulya @mohmahfudmd Anehnya ada pihak2 yg birahi, agar ISIS Eks WNI ini diakui kewarganegaranya oleh Indonesia, &amp; bertujuan biar bisa diadili di Indo.Diadili disini dgn UU Terorisme. BNPT ga menjamin deradikalisasi buat mereka ini sukses. Dan satu hal jgn pernah atasnamakan Rasa Kemanusiaan utk ISIS</t>
  </si>
  <si>
    <t>PKI sdh bubar sejak lama. Barangsiapa mencoba, ancaman hukumnya jelas. Jk ada, sila dilaporkan ke Polsek terdekat. Jgn lupa bawa bukti, jgn sampai jd memfitnah orang. Ideologi ekstrem kiri (PKI) &amp; ekstrem kanan (DI-TII/IM/HTI/ISIS) sama2 perlu dilawan. #AwasAntek2ISIS</t>
  </si>
  <si>
    <t>ini yg menyatakan sehat semua kan pemerintah Jepang. pake tenaga medis, serta alat2 mutakhir Jepang, dan WNI tetep blm ada yg terinfeksi. bukan takabur, tp kuat bgt ya ras kita😂 alhamdulillah. RT @CNNIndonesia: Pemerintah Jepang menyatakan sebanyak 218 penumpang kapal pesiar Diamond Princess terinfeksi virus corona. @Kemlu_RI pun menuturkan bahwa 78 orang WNI yang merupakan kru dari kapal pesiar tersebut dalam kondisi sehat dan negatif virus corona.  #CNNIndonesia</t>
  </si>
  <si>
    <t>@detikcom Anak2 ex isis.. itu biasanya anak2 dr orang2 arab atau anggota tentara isis, secara mereka pergi dr indonesia dr tahun 2006 -2011.. .. kalo asli dr indonesia .. udah berumur 14an tahun.. bisa 17an</t>
  </si>
  <si>
    <t>Malaysia Nyatakan ISIS Buka Operasi Teror Baru ke Asia Tenggara</t>
  </si>
  <si>
    <t>@GYatmoko Eks Presiden isis regional indonesia ? Busyett Baru tau gue ada ..</t>
  </si>
  <si>
    <t>@jokowi Sembakio Mahal Lepangan Kerja Syulit Semua serba menjerit yg dibuahas OSaS ISIS bae 🤭🤦🏾‍♂️</t>
  </si>
  <si>
    <t>@HendraBunawi5 @twitpos Isis juga biadab laknat keparat. Apakah anda kira saya pendukung isis? Kenapa membandingkan?</t>
  </si>
  <si>
    <t>RT @ZheeOmega: (1).Sentilan keras presiden thd pemerintah2 daerah yg tdk bisa menyelesaikan kasus2 intoleransi memaksa presiden perintahkan Kapolri, menpolhukam, turun tangan langsung atasi masalah juga pukulan telak thd sel2 tidur ISIS yg sdh terlanjur pede menganggap presiden lemah.</t>
  </si>
  <si>
    <t>@Metro_TV @jokowi Kalau mau mengajukan kembali menjadi WNI ya harus ikuti prosedur NKRI, cara WNA yg ingin menjadi WNI dunk</t>
  </si>
  <si>
    <t>RT @pardede_tamim:  ini sikap bijak HRS tentang ISIS, tdk seperti UAS yg memfitnah ISIS mengatakan keluar dr ahlusunnah</t>
  </si>
  <si>
    <t>RT @Adra_silent: @mohmahfudmd Prof kalau rasa kemanusiaan sdh hilang apa tidak sebaiknya disekolahkan kembali bersama2 org hutan di kebun binatang !! Bagaimana kl ex isos ex isis ex wni ada salah satunya keluarga anda prof atau adik kandung anda, apa anda akan berubah pikiran jadi orang gila ke waras ??</t>
  </si>
  <si>
    <t>RT @mediaindonesia: Menteri Kesehatan Terawan Agus Putranto akan turut melepas kepulangan 238 Warga Negara Indonesia yang telah usai mengikuti proses observasi di Natuna, Kepulauan Riau, Sabtu (15/2).</t>
  </si>
  <si>
    <t>Indonesia sakti mandraguna apa gmn yee. Padahal itu virus istilahnya muter2 ajatu gt kan di kapal. Tp wni pada sehat semua. Anjas Indo pride kebal sm virus👏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</si>
  <si>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@okezonenews: Pulang dari Natuna, Menkes Jelaskan Mekanisme Pelepasan WNI Karantina #TauCepatTanpaBatas #GayaHidup #lifestyle #Kesehatan #TipsSehat #GayaHidup .</t>
  </si>
  <si>
    <t>Menteri Kesehatan Terawan Agus Putranto akan turut melepas kepulangan 238 Warga Negara Indonesia yang telah usai mengikuti proses observasi di Natuna, Kepulauan Riau, Sabtu (15/2).</t>
  </si>
  <si>
    <t>(1).Sentilan keras presiden thd pemerintah2 daerah yg tdk bisa menyelesaikan kasus2 intoleransi memaksa presiden perintahkan Kapolri, menpolhukam, turun tangan langsung atasi masalah juga pukulan telak thd sel2 tidur ISIS yg sdh terlanjur pede menganggap presiden lemah.</t>
  </si>
  <si>
    <t>Pulang dari Natuna, Menkes Jelaskan Mekanisme Pelepasan WNI Karantina #TauCepatTanpaBatas #GayaHidup #lifestyle #Kesehatan #TipsSehat #GayaHidup .</t>
  </si>
  <si>
    <t>@RinjaniJB Jangan minta bantuan KPAI,Krn mereka lagi sibuk ngurus Anak2 ISIS....</t>
  </si>
  <si>
    <t>RT @Hayuningrat7: Saya lebih suka lihat anak anak ini dari pada lihat anak anak ISIS menyandang senjata.</t>
  </si>
  <si>
    <t>RT @demokrasicoid: BNPT Harus Bisa Pastikan Anak ISIS Setia NKRI</t>
  </si>
  <si>
    <t>@dusrimulya @mohmahfudmd Simpatisan Isis keluar dari sarangnya menunjukkan batang hidung nya</t>
  </si>
  <si>
    <t>@mohmahfudmd Ada WNI bekerja jadi polisi di negara Inggris, dia tidak hilang kan kewarganegaraan Indonesia nya, Pak?</t>
  </si>
  <si>
    <t>Dapat berita WNI wuhan esok di pulangkan, seneng dong berarti bisa pulang dinas awal jg kan? Eh nyata nya engga🙃🙃</t>
  </si>
  <si>
    <t>RT @KontanNews: Ini tanggapan Komnas HAM atas keputusan pemerintah tidak akan pulangkan ISIS eks WNI  #ISIS</t>
  </si>
  <si>
    <t>@toasan @mohmahfudmd Ada bbrpa arti kata tentara d kbbi, bisa berrarti yg berhububgan dg militer satu negara bisa artinya pasukan bersenjata yg berperang (tanpa ada pnyebutan pasukan satu negara). Jdi jelas isis itu masuk dlm kategori tentara asing (pasukan asing/noj wni)</t>
  </si>
  <si>
    <t>RT @kompascom: Bambang meminta BNPT untuk melakukan pengawasan dan rehabilitasi terhadap anak-anak eks ISIS yang akan dipulangkan.</t>
  </si>
  <si>
    <t>RT @MkUltraHandlers: HUSAYN MUHAMMAD AL-UMARI  @FBILosAngeles @FBIWFO @FBIHonolulu Maui 38 Kulani Pl Maui Hawaii Shalom Amar Isack Azencot Weinberg Horrowitz #HostelMuderRing Mafia ISIS 818-445-3311</t>
  </si>
  <si>
    <t>RT @MrKyairey: #SepahtuReunionLive2020 Banyak tu 138 likes dan 173 replies @sinar_my @gegar_my @tarbiahsentap @thepatriotsasia @IDEASMalaysia @ISIS_MY @ohbulancom @InTrendMalaysia @naurashares @netraKL #DansaDanSing2020 #HeroRemaja2020 #AME2020 #AJL34 #ValentineBukanBudayaKita #DramaChandelier</t>
  </si>
  <si>
    <t>#SepahtuReunionLive2020 Banyak tu 138 likes dan 173 replies @sinar_my @gegar_my @tarbiahsentap @thepatriotsasia @IDEASMalaysia @ISIS_MY @ohbulancom @InTrendMalaysia @naurashares @netraKL #DansaDanSing2020 #HeroRemaja2020 #AME2020 #AJL34 #ValentineBukanBudayaKita #DramaChandelier</t>
  </si>
  <si>
    <t>Wni minum tolak angin, teh anget, ama mie rebus kali ya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</si>
  <si>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@kompascom: "Ketika kembali ke Indonesia maka negara harus menyiapkan hak asuh anak-anak tersebut jatuh ke tangan siapa," kata Retno | #Nasional .</t>
  </si>
  <si>
    <t>RT @takdirmenyamar: @kompascom @KPAI_official Ngapain sik mikirin isis...itu loh di pinggir jalan masih banyak yang jdi korban eksploitasi anak...yg ada aja keleleran kok...</t>
  </si>
  <si>
    <t>@WahabisLokal Selamat kan NKRI dari mantan isis</t>
  </si>
  <si>
    <t>RT @aw3126: Pemerintah siapkan tiket pulang @BNPB_Indonesia #COVID19</t>
  </si>
  <si>
    <t>@maley__1 Eah mna an ceh wai Kayan Mia take tsiyarwa. In ji wni khalifa</t>
  </si>
  <si>
    <t>Jokowi Sebut WNI di Natuna Sudah Sehat dan Siap Kembali ke Keluarga</t>
  </si>
  <si>
    <t>RT @MalikMaulana_14: @kompascom Lu aja yg ke suriah trus asuh tuh anak2 isis</t>
  </si>
  <si>
    <t>Rencana Pemerintah akn pulang kan Anak Exs Isis ke Indo, Sebaik Nonton Vidio ini dulu.. Sebgai pertimbangan Pemrintah &amp; masyrakat.</t>
  </si>
  <si>
    <t>O). Dgn ditegaskanya oleh presiden bahwa negara tdk akan memulangkan ISIS EKS WNI. Sel2 tidur ISIS yg ada didlm negeri sdh dibikin gigit jari oleh presiden. Dan.... Gigit jari pulak tokoh2 intoleran. #SkakMat</t>
  </si>
  <si>
    <t>Ikhwanul muslimin, al qaidah, isis semuanya terdidik diatas buku-buku sayyid quthb Ustadz Dzulqarnain Muhammad Sunusi - Siapakah Sayyid Quthb</t>
  </si>
  <si>
    <t>Bamsoet meminta pemerintah memulangkan anak-anak WNI eks ISIS yang usianya di bawah 10 tahun.</t>
  </si>
  <si>
    <t>@AnakKolong___ @DjanChoek @KPAI_official bacot lu kpai...corong isis bacot lu</t>
  </si>
  <si>
    <t>@sayfull46 @zarazettirazr Warga Indonesia ex ISIS saja tidak mau diurus apalagi si jin WNA cina disentil kupingnya sama majikannya</t>
  </si>
  <si>
    <t>@misake89847474 @mohmahfudmd Setuju tapi kata tentara itu debatable. Menurut KBBI: kesatuan alat negara yang terdiri atas orang-orang terlatih berperang. Untuk disebut negara itu ada syaratnya. Tp saya setuju hukum harus ditegakkan pd mantan ISIS.</t>
  </si>
  <si>
    <t>RT @lelakimusaja: @kompascom Ngapain di balikin....mreka sdh di doktrin untuk membunuh... Lebih penting menjaga keselamatan warga indonesia dr pd warga ex WNI</t>
  </si>
  <si>
    <t>@K3muning_1 Itu dah gak bisa diubah. Gak ada isis-isisan masuk indonesia.. Jangankan anak isis, telor isis aja gak diijinin kok</t>
  </si>
  <si>
    <t>Jokowi berpendapat setiap WNI berhak mjd pemimpin negara, tak terkecuali warga non-muslim "Knp tdk? Saya dulu wakil walikota di Solo Katolik. Di Jakarta sama, wakil gubernur saya Kristen, tdk ada masalah," kata Jokowi Kalau sekedar 'wakil' tdk masalah</t>
  </si>
  <si>
    <t>RT @langitbiru310: @jokowi WNI Yatim &amp; yatim piatu di Indonesia apakah sudah mendapatkan santunan yg layak dr negara pak ??? Kok mau menyantuni anak isis, kelak kalau itu anak tumbuh dewasa, buat onar dan menyalahkan negara karena tdk mau menampung ortu mereka bagaimana ???</t>
  </si>
  <si>
    <t>@AronLusy @mohmahfudmd Betul. Dalam UUnya huruf D hanya disebut tentara. Kata tentara itu debatable. Menurut KBBI: kesatuan alat negara yang terdiri atas orang-orang terlatih berperang. Untuk disebut negara itu ada syaratnya. Tp setuju hukum harus ditegakkan pd mantan ISIS</t>
  </si>
  <si>
    <t>Sikap &amp; pandangan saudara kami Muhammadiyyin juga sama. Oleh sebab itu, Nahdliyyin &amp;amp; Muhammadiyyin bersama dengan segenap rakyat NKRI Pancasilais perlu unt bahu-membahu melawan ideologi radikal intoleran/HTI/ISIS &amp;amp; antek2nya. #AwasAntek2ISIS</t>
  </si>
  <si>
    <t>@zarazettirazr Lebih bahaya laten PKI dr pd ISIS, klo PKI sdh mendarah daging, sampai kiamat pun ideologinya ttp paham komunis.</t>
  </si>
  <si>
    <t>@WahabiLucu @felixsiauw Massa bodoooh dngan isis.. Cook jaran</t>
  </si>
  <si>
    <t>@ariel_heryanto Gak usah diributkan. Tujuan mereka ke Suriah ingin berjihad dengan ISIS sesuai dengan pemahaman mereka. Ya, jangan halangi niat jihad mereka. Toh mereka sudah tidak mengakui kewarganegaraan Indonesia dgn membakar pasport sesuai video yg beredar. Ikhlaskan aja lah mereka disana.</t>
  </si>
  <si>
    <t>@ShoutOut3Sub Song Sura, asalku Korea tapi sudah wni sekarang ^^ domisili Jakarta dan dulu sempat di Bandung. I'm a single mom. Mari berteman /bow</t>
  </si>
  <si>
    <t>Bambang meminta BNPT untuk melakukan pengawasan dan rehabilitasi terhadap anak-anak eks ISIS yang akan dipulangkan.</t>
  </si>
  <si>
    <t>@DIENDIRA2 Terlepas dari kader PDIP, Prof GAYUS KEREN, tampil membela hak2 hidup WNI (whatever statusnya) 👍🙏</t>
  </si>
  <si>
    <t>Ini tanggapan Komnas HAM atas keputusan pemerintah tidak akan pulangkan ISIS eks WNI  #ISIS</t>
  </si>
  <si>
    <t>@Aunty_Chala @kafiradikal Yg dukung para bomber buat balik ke indonesia itu kira2 brengsek gak ? Cba sini saya ajak anda ketemu sama keluarga2 yg keluarganya baik suami, istri atau anak2 nya yg mati krna bom seorang bomber, lalu anda bilang didepan muka mereka klo anda dukung eks isis balik kesini 😊</t>
  </si>
  <si>
    <t>@KPAI_official : negara hrs hadir lindungi anak2 Indinesia eks isis, mereka korban. Korban mata mu cok, ga lht apa latihan militer mereka itu.</t>
  </si>
  <si>
    <t>@AhlulQohwah Lha KPAI kan Komisi Perlindungan Anak ISIS eks WNI bukan begitu @KPAI_official ?</t>
  </si>
  <si>
    <t>RT @RinjaniJB: Anak-anak ISIS itu sudah tertanam ideologi teroris dan terlatih secara militer. Jika di Indonesia berkumpul dgn anak sebaya yg bukan ISIS, BAHAYA.. bisa meracuni anak-anak Indonesia. Rusak generasi Kita. #TolakAnakISISKembali</t>
  </si>
  <si>
    <t>@kafiradikal Korban isis di indonesia ya yg pada ketipu propagandanya trus jd gak pada bisa pulang itu, om....</t>
  </si>
  <si>
    <t>@KPAI_official @KomnasHAM @MardaniAliSera @fadlizon tontonlah video ini👇, masih jugakah ingin mengembalikan anak-anak ISIS ini?! RT @Hendriksrtn: Yth anggota DPR RI dari fraksi @Gerindra &amp; PKS, apakah anak2 yg sdh dibentuk menjadi pasukan seperti ini masih mau diterima ?????</t>
  </si>
  <si>
    <t>@mohmahfudmd Prof kalau rasa kemanusiaan sdh hilang apa tidak sebaiknya disekolahkan kembali bersama2 org hutan di kebun binatang !! Bagaimana kl ex isos ex isis ex wni ada salah satunya keluarga anda prof atau adik kandung anda, apa anda akan berubah pikiran jadi orang gila ke waras ??</t>
  </si>
  <si>
    <t>238 WNI di Natuna Keluar Karantina, Jokowi: Nggak Usah Takut</t>
  </si>
  <si>
    <t>@SoundOfYogi Lantas loe mandang apa ttg OPM?. Mereka nggak nggak ngakui NKRI, mereka malah bunuh WNI, lantas klau mereka ingin menyerah apa yg loe perbuat,, coba loe bandingkan sama ex anggota ISIS yg mau pulang,</t>
  </si>
  <si>
    <t>@ustadtengkuzul Kalau elu bersekutu dng amerika ya? Bikin hoax... dulu khilafah bela isis skrg terima Pancasila...👏</t>
  </si>
  <si>
    <t>Jelang Pemulangan WNI Terobservasi Corona dari Natuna, Komisi IX Minta Hilangkan Stigma Buruk</t>
  </si>
  <si>
    <t>@AAR63028211 @ismail_irwan @CNNIndonesia jika anda diancam dibunuh bom, maka saya pastikan dia gila, dakwah tauhid tak seperti itu, lalu kalo pemberitaan media mengatakan merrka menyesal gabung ISIS itu bisa jadi, pergi ke medan jihad tak seperti yg mereka byangkan bisa bersenang-senang seperti disini</t>
  </si>
  <si>
    <t>@dusrimulya @mohmahfudmd Kalau dengan keangkuhan anda bertanya dgn menyertakan kata bodoh, dll demi ngototnya blg ISIS bkn negara. kalau ngutip sepotong potong sy juga bisa. . sejak kapan sebuah negara harus tetap mengakui ex warganya yg sudah bergabung dengan jaringan teroris internasional?</t>
  </si>
  <si>
    <t>@K3muning_1 Tuh lagi, ada yg ngasih masukan agar dipulaangkan dan dibina... Sebelum mereka membina tuh anak2 isis, tuh anak2 sdh membinasakan duluan.</t>
  </si>
  <si>
    <t>Presiden Jokowi mengajak semua pihak untuk menerima WNI dari Wuhan yang telah menjalani karantina di Natuna, Kepulauan Riau, dengan tangan terbuka.</t>
  </si>
  <si>
    <t>238 WNI di Natuna Dinyatakan Sehat, Tak Terinfeksi Virus Korona</t>
  </si>
  <si>
    <t>@merdekadotcom Ex WNI harusnya membuat permohonan kembali menjadi WNI.</t>
  </si>
  <si>
    <t>@amandrug @gtwdch WNI yang ada di kapal minta bantuan pangannya ini 😶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</si>
  <si>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@salima252 Jangan2 darah WNI anti virus</t>
  </si>
  <si>
    <t>RT @jawapos: WNI Kombatan eks ISIS Batal Dipulangkan, DPR: Perketat Pintu Masuk</t>
  </si>
  <si>
    <t>@WahabiLucu @felixsiauw Buat permerintah bisa ijinin Ex ISIS balik ke indonesia tapi dengan satu syarat . . . wajib babtis</t>
  </si>
  <si>
    <t>RT @sirajapadoha: Namanya jg teroris ISIS ngapain lg sihhh mikirin org2 eks WNI itu,,, mrk kan pengkhianat negara @BNPTRI @jokowi @mohmahfudmd @Kiyai_MarufAmin @Kemenag_RI @Kemenkumham_RI</t>
  </si>
  <si>
    <t>Anak EX WNI yg jadi Combatan Isis KPAI sibuk banget... Di sisi lain Anak anak di kasih pelatihan Olah raga bulu tangkis.. Di protes Aneh bin ajaib.. KPAI waras nggak sih. RT @kompascom: "Ketika kembali ke Indonesia maka negara harus menyiapkan hak asuh anak-anak tersebut jatuh ke tangan siapa," kata Retno | #Nasional .</t>
  </si>
  <si>
    <t>@andalasiy @ismail_irwan @CNNIndonesia Trserah anda bung.. Pantes saja anda membela mati2an Isis..di TL anda pnuh dg kekaguman pd mrk. Saya juga banyak chat sm org yg sprti anda bhkan lbih keras dr anda..dn prnah mengancam mau bom saya🤭. Haduuhhh skrg stlah mrk gabung Isis mrk mnyesal dn pngn kmbali. Ksian ya..</t>
  </si>
  <si>
    <t>@MurtadhaOne1 Pas banget ngambil fotonya ! Keren</t>
  </si>
  <si>
    <t>@Sarah_Pndj @herlambang_tan @3_devout @1_devout @2_devout @Julia_Zeed @4_devout @LusiHQ @aya_ddt @DianVeei @oneaperture @ephraym8 @jokowi @mohmahfudmd @prabowo @Menlu_RI @PolhukamRI @kemendagri @kaesangp @Chilli_Pari Iya kak ISIS udah membuktikan bahwa kelakuan mereka lebih mengerikan dari binatang 😫😫😫😫</t>
  </si>
  <si>
    <t>@dusrimulya @mohmahfudmd Jadi, selama mereka bukan WNI dan berada disana, Negara tidak wajib untuk memberikan bantuan hukum, tidak wajib untuk menjemput, dan tidak bisa memberikan hukuman, tapi wajib tunduk dengan hukum yang berlaku disana...</t>
  </si>
  <si>
    <t>78 WNI ga kena corona, apaqa karena tolak angin?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</si>
  <si>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@RoroMenduttt @WagimanDeep Kayak ISIS gitu kali ya?</t>
  </si>
  <si>
    <t>@AsgharAyie @Presidency_Sy Setau sy, turki masuk kesana bersamaan dgn negara2 lain dalam rangka perang ISIS . Jd bkn hanya turki tp banyak negara yg waktu itu masuk ke syiria. Wallahualam , mungkin karena mereka merasa belum tuntas dgn misinya,??. Yg pasti semua rezim dinegara DEMOKRATIS adalah keDZOLIMAN</t>
  </si>
  <si>
    <t>@zarazettirazr Mantan WNI ajalah ..😁😁..Mantan kan suatu saat klo jodoh bisa balik lagi...😂😂😂 RT @zarazettirazr: Kalo pemerintah sebut EKS ISIS atau EKS WNI itu artinya kurang pantas ya pemerintah? 🤣</t>
  </si>
  <si>
    <t>Komedi apaan? Tirto ngerti ga sih BPJS Kesehatan dan sistem jaminan sosial nasional itu apa? Menurut wa bukan masalah kalau karyawan BPJS Kesehatan memakai asuransi swasta as long as karyawannya juga bayar iuran BPJS Kesehatan karena sifatnya wajib bagi seluruh WNI RT @TirtoID: Di tengah kontroversi kenaikan iuran, terdengar suara sumbang soal insentif dan fasilitas asuransi swasta yang didapat oleh jajaran staf BPJS Kesehatan. Agak komedi.</t>
  </si>
  <si>
    <t>Politisi Gerindra Minta Jokowi Pulangkan Anak WNI Mantan ISIS</t>
  </si>
  <si>
    <t>Namanya jg teroris ISIS ngapain lg sihhh mikirin org2 eks WNI itu,,, mrk kan pengkhianat negara @BNPTRI @jokowi @mohmahfudmd @Kiyai_MarufAmin @Kemenag_RI @Kemenkumham_RI RT @Metro_TV: Kepala BNPT, Suhardi Alius, mengatakan bahwa sulit memulangkan anak teroris, apalagi yang sudah dewasa. Tonton lagi #SpecialReportMetroTV "Tolak Kombatan ISIS" di .</t>
  </si>
  <si>
    <t>@dusrimulya @mohmahfudmd Pake uu no.12 tahun 2006 pasal 23 butir (d) aja udah jelas kalo kewarganegaraan nya udah gugur. d. masuk dalam dinas tentara asing tanpa izin terlebih dahulu dari Presiden Jd mereka adalah ex WNI &amp; ex ISIS, status mereka stateless dan terpidana ISIS dan sedang diadili di Suriah</t>
  </si>
  <si>
    <t>RT @Ervan_jtm: @AnakKolong___ @KPAI_official Mereka corong dan congornya ISIS kali bang, makanya bbrp kejadian anak² di negeri sendiri mereka pura² TULI &amp; BISU</t>
  </si>
  <si>
    <t>@andalasiy @ismail_irwan @CNNIndonesia Anda ini mimpi ... Atau anda msih polos shingga tak tau ttg politik. ISIS datang kesuriya menguasai daerah yg dibombardir Asad dn mrk mlakukan hal yg tdk mansuiawi bhkn mmprkosa wanita disana.</t>
  </si>
  <si>
    <t>Lu kok aktif banget sih di twitter ? Ya daripada gw aktif di ISIS.</t>
  </si>
  <si>
    <t>"Mereka (penumpang) minta yang tidak disediakan, seperti minuman untuk pereda masuk angin dan vitamin," ujar Eko ~ #Tren</t>
  </si>
  <si>
    <t>Kalo pemerintah sebut EKS ISIS atau EKS WNI itu artinya kurang pantas ya pemerintah? 🤣 RT @kumparan: Usulan kata “mantan” ini digunakan untuk mengganti kata bekas (‘eks’). Hal tersebut dikarenakan kata bekas dianggap kurang pantas. #userstory</t>
  </si>
  <si>
    <t>Menko PMK: Jika Sehat Sampai Pukul 12.00 WIB, 238 WNI Dipulangkan</t>
  </si>
  <si>
    <t>@xabaraaaa @AREAJULID Emang ga ada yg bahas ko, cuman yg masuk artikel itu ya tentanh WNI yg ga kena corona di kapal itu sdangkan yg lainnya positif.. Wkwk</t>
  </si>
  <si>
    <t>@andalasiy @ismail_irwan @CNNIndonesia Hahahaha ...... silahkan anda tanya sndiiri pada mrk yg org Arab Iraq dn Suriya yg mrasakan keganasan ISIS.</t>
  </si>
  <si>
    <t>@BaliKhusus @budimandjatmiko Iya tapi dr nama isisnya itu sndiri kan ada islamnya walaupun kelakuan para isis ini seperti manusia tak beragama.</t>
  </si>
  <si>
    <t>RT @kompascom: Bila sampai batas waktu observasi pada Sabtu (15/2/2020) besok pukul 12.00 WIB, para WNI dalam keadaan tetap sehat, maka mereka akan dipulangkan.</t>
  </si>
  <si>
    <t>Kalau benar Indonesia bebas COVID-19, yang "diperkuat dengan bukti" gak ada satupun kru kapal WNI yang terinfeksi saat 218 lainnya positif, maka mempelajari antibodi orang Indonesia mungkin bisa jadi jalan keluar pencegahan COVID-19</t>
  </si>
  <si>
    <t>@AnakKolong___ @KPAI_official Mereka corong dan congornya ISIS kali bang, makanya bbrp kejadian anak² di negeri sendiri mereka pura² TULI &amp; BISU</t>
  </si>
  <si>
    <t>@Beritasatu @AntoniRaja Gimana hendak diadili..dia bukan WNI lagi.</t>
  </si>
  <si>
    <t>Bila sampai batas waktu observasi pada Sabtu (15/2/2020) besok pukul 12.00 WIB, para WNI dalam keadaan tetap sehat, maka mereka akan dipulangkan.</t>
  </si>
  <si>
    <t>@Hendriksrtn @elshalih @Gerindra Buat mreka yg masih ingin kepulangan isis....lbih baik ikut pindah kesana aja...600 manusia sesat...yg akan jd korban jutaan manusia gk berdosa...klo bahas HAM... Korban BoM knp gak di urusi HAM...itu jg jelas2 melanggar HAM....korban cacat seumur hidup..blom yg MD.</t>
  </si>
  <si>
    <t>Kepala BNPT, Suhardi Alius, mengatakan bahwa sulit memulangkan anak teroris, apalagi yang sudah dewasa. Tonton lagi #SpecialReportMetroTV "Tolak Kombatan ISIS" di .</t>
  </si>
  <si>
    <t>RT @sirajapadoha: Teroris ISIS eks WNI</t>
  </si>
  <si>
    <t>@Herry733 @jokowi @Menkopolhukam bedanya jelas bro..opm ingin merdeka buat negara sendiri. klo ISIS hanyalah keyakinan mati sahid utk masuk surga broo..😴😴😴</t>
  </si>
  <si>
    <t>Demokrat Minta Pemerintah Jangan Terburu-buru Tangani WNI Eks ISIS</t>
  </si>
  <si>
    <t>@Beritasatu @AntoniRaja Gmn mau mengadili kan eks WNI , negara bisa melanggar hak asazi itu. Yg bener ga usah pulang lah.🤭</t>
  </si>
  <si>
    <t>Observasi Telah Usai, WNI Segera Kembali ke Kampung Halaman</t>
  </si>
  <si>
    <t>@bl4cksapphire @donysoer @aryosanjaya @Sabrina13579_ @zoepr406 @Sam_Ardi Hiu. Kok dungu gitu mas? Kok ISIS disamakan dengan Suriah dan Irak? Otaknya lho</t>
  </si>
  <si>
    <t>Ketua Komnas HAM: ISIS itu bukan negara, ISIS adalah organisasi teroris. Tonton lagi #OPSIMetroTV episode Eks ISIS: yang Pergi, Perlukah Kembali? di youtube channel kami. Jangan lupa subscribe! #eksisisyangpergiperlukahkembali</t>
  </si>
  <si>
    <t>@Patriccckk_ @ggnatalya Kwkwkwkw masih ada isis ya?</t>
  </si>
  <si>
    <t>RT @ronny_forever: Memang bodoh.</t>
  </si>
  <si>
    <t>@dusrimulya @mohmahfudmd Klo WNI gabung tentara Israel gimana? Apa ada kedubes Israel di Jakarta? Deklarasi ISIS sbg khilafah di 2014, ada bendera, ada wilayah kekuasaan. Definisi tentara/troops: Troops are soldiers, especially when they are in a large organized group doing a particular task (Collins)</t>
  </si>
  <si>
    <t>@kamuusiapaaaaaa @AhlulQohwah Smpyan sudah anggota ISIS atau masih simpatisan ISIS mbel umbel??</t>
  </si>
  <si>
    <t>@dusrimulya @mohmahfudmd Apa yg mau diperdebatkan? Udah jelas di pasal itu cuman ngomong tentara asing, bukan negara asing.. semua pasal hukum yang berlaku itu kalau diadili disini dan orangnya ada disini, kalo orangnya di sana gimana caranya??? Bukan jurisdiksi kita! Apalagi Eks WNI statusnya stateless</t>
  </si>
  <si>
    <t>@CNNIndonesia @ISIS_Balik_NO @DPR_RI menurut konstitusi hanya mempunyai 3 fungsi. apa sudah ditambah 1 fungsi lagi, fungsi Penjebakan PSK Online...??😋 klakuan....sing mboten-mboten wae...!</t>
  </si>
  <si>
    <t>RT @SevenSeas87: @mohmahfudmd Professor ... pendapat Hukumnya setengah2..ato memang sengaja mo MissLead ? itu terlibat tentara Asing "NEGARA LAIN " jgn di potong2 smaunya..dan ISIS itu tidak tmasuk sbuah negara..</t>
  </si>
  <si>
    <t>RT @p_politik: Keterangan pers Menkopolhukam terkait WNI yg terlibat ISIS Keputusan rapat: Pemerintah dan negara harus memberi rasa aman dari ancaman teroris dan virus2 baru Intinya,tolak WNI eks ISIS</t>
  </si>
  <si>
    <t>-Masuk dalam dinas tentara asing tanpa izin Presiden, -Secara sukarela masuk dalam dinas negara asing, Atas dasar itu pemerintah cabut status wni eks isis, pertanyaannya apa isis itu negara? Dan apa isis itu sebuah kelompok tentara?.</t>
  </si>
  <si>
    <t>RT @UlarNegeri: Beda deportee dan returnee (FYI): Deportee: belum sampe ISIS, ketahan di Turki ato daerah lain, kena kasus imigrasi, dipulangin Returnee: udah sampe ISIS, ketangkep Syria/Irak, atau kemauan sendiri (jarang), balik ke Indo</t>
  </si>
  <si>
    <t>RT @KemenkesRI: Sesampainya di Jakarta, para WNI dari Wuhan akan diserahkan ke Pemerintah Daerah masing-masing, para prajurit TNI ke Panglima TNI dan crew Batik ke Lion Air. #WaspadaCOVID19</t>
  </si>
  <si>
    <t>Emang yang dimaksud koh Felix dia dukung ISIS....? Keeemmmooonnnn beibeeh.... Hahahhahaa RT @AhlulQohwah: Jika benar, sekali lagi jika benar, ada yg merasa tertipu. Mintalah tanggungjawab pada mereka yg mengaku ustadz, ormas, atau LSM, yg dulu sibuk menipu kalian hingga berangkat ke Suriah. #MenolakLupa</t>
  </si>
  <si>
    <t>RT @KemenkesRI: Di rencanakan, seluruh WNI Wuhan dan tim pendukung akan langsung diterbangkan ke Halim Perdanakusuma menggunakan 2 Boeing dan 1 Hercules. Jumlah ini sama seperti saat penjemputan dari Batam ke Natuna. #WaspadaCOVID19</t>
  </si>
  <si>
    <t>@andalasiy @ismail_irwan @CNNIndonesia Memang anda tdk tau ..Mrk(isis) itu membunuhi rakyat opposisi Suriya yg dikjar Asad? Anda gak tau ya, anggota Isis itu msuk ke camp pngungsian dn mmprkosa para wanita dikamp?</t>
  </si>
  <si>
    <t>@ggnatalya @Franto_Sihite Bawel nih peranakan isis wkwkwkwkwk</t>
  </si>
  <si>
    <t>Politisi Gerindra Minta Jokowi Pulangkan Anak WNI Mantan ISIS  via @Indopolitika</t>
  </si>
  <si>
    <t>RT @FaGtng: Long thread too youuuuu.. Cc. @KPAI_official Ketum @PKSejahtera Sohibul @fadlizon @KomnasHAM #TolakAnakISISKembali 🙏 Astagfirullah... Sadisnya😥</t>
  </si>
  <si>
    <t>RT @Beritasatu: Istana Tegaskan ISIS eks WNI Pulang ke Indonesia akan Diadili</t>
  </si>
  <si>
    <t>RT @recehmasdjoe: #ISISGoToHell jangan pernah terima ex isis balik ke Indonesia!!!!!!!!!</t>
  </si>
  <si>
    <t>Jokowi minta masyarakat terima TNI dari Natuna apa adanya @jokowi #Jokowi #Natuna</t>
  </si>
  <si>
    <t>RT @radar_malang: Presiden Pastikan WNI di Natuna Sehat dan Siap Kembali ke Rumah</t>
  </si>
  <si>
    <t>RT @pandasoes: Dari sekian banyaknya orang yg tertular virus Corona, tidak ada satu pun WNI yg tertular 👏🏻👏🏻 Antara tubuh org Indonesia memang sehat2 atau org Indonesia emg kebal dari virus Corona sih.</t>
  </si>
  <si>
    <t>Cegah Pemulangan ISIS Asal Indonesia, Jokowi: Demi Keamanan 260 Juta Warga  via @YouTube</t>
  </si>
  <si>
    <t>Pemerintah ngada²..nge"rehap"ex.isis 6 bln jg beres...jadiin "proyek"..baru dia semangat....yg susah ngerahap pejabat maling...ngeles mulu....? RT @zarazettirazr: WNI eks ISIS ga bole balik Tapi WNI eks PKI di rekonsiliasi :) Apa teorinya eks Isis ga bisa di rehab dan rekonsiliasi? Ati2 loh oneday anak2 eks ISIS itu akan nuntut pemerintah Indonesia yg pernah NOLAK mereka lewat pintu HAM :)</t>
  </si>
  <si>
    <t>@inimahendra Astagaaa knp sih cewe ini pdhl enak bgt numpak motor isis sampe pori2 ak ae pengen pol numpak motor😭👍🏻</t>
  </si>
  <si>
    <t>RT @whidy_an: @AnakKolong___ @KPAI_official Komisi Peduli Anak Isis...</t>
  </si>
  <si>
    <t>Yang loe bilang dibunuh rezim itu kan para perusuh demi stabilitas, kalo ISIS bunuh siapa aja ngga mandang dia siapa dan tujuan ISIS menghancurkan stabilitas. Itu udah jelas berbeda, masa gitu aja ngga paham sik? Fair n square 😽 Cc @SoundOfYogi RT @kafiradikal: ...Padahal jumlah WN yg dibunuh oleh rezim jauuuuuhh melebihi ekstremis Islam. Bahkan baru2 ini seorang menko anggap sampah korban2 pembunuhan di Papua. Bisa nyaman menerima teror rezim tapi nggak bisa menerima ex anggota2 ISIS yg notabene ciptaan Mossad-CIA. (``,)</t>
  </si>
  <si>
    <t>@AnakKolong___ @KPAI_official Komisi Peduli Anak Isis...</t>
  </si>
  <si>
    <t>Teroris ISIS eks WNI</t>
  </si>
  <si>
    <t>@andalasiy @ismail_irwan @CNNIndonesia Kan dikomen yg sblum nya anda bilang Isis mlindungi Iraq Dan Suriya🤭. Mrk bukan mlindungi bhkan ingin menguasai, itu point yg hrus anda fahami.</t>
  </si>
  <si>
    <t>@eko_kuntadhi @tandanVradio Tobat....kagak tahu mana coklat mana dildo...😂😂😂😂😂</t>
  </si>
  <si>
    <t>RT @kompascom: Pada Sabtu (15/2/2020) 238 WNI yang dievakuasi dari China akan segera pulang ke kampung halaman mereka masing-masing. &gt; #Tren</t>
  </si>
  <si>
    <t>RT @__aiek_esthreem: #RezimJKWRampokBUMN #RezimJKWRampokBUMN Debat Soal WNI Eks ISIS, Gayus Lumbuun Sebut Ngabalin Bodoh  Ngabalin yg nyebelin dan bodoh</t>
  </si>
  <si>
    <t>@penggemarsemar @CNNIndonesia @Kemlu_RI Brow, dibaca beritanya, WNI itu yg periksa itu tim dr jepang, Apa2 yg salah kok "kita tidak mendeteksi" 🤣🤣🤣</t>
  </si>
  <si>
    <t>aku bangga jadi WNI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</si>
  <si>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@octania_ @ISIS_Balik_NO @psi_id @PSI_Jakarta @Uki23 @sigitwid @AntoniRaja Capek ngeles capek ngibul</t>
  </si>
  <si>
    <t>@andalasiy @ismail_irwan @CNNIndonesia Tanda akhir zaman tdk mrubah knyataan bahwa ISIS bukan mujahidin yg membawa syiar islam.</t>
  </si>
  <si>
    <t>@Aryprasetyo85 @ISIS_Balik_NO @My_LoveNebe @cintada17 @Airin_NZ Saeffulah ini lahir e bareng diciptakan nya oil samping kayaknya..licin e gak umum..</t>
  </si>
  <si>
    <t>Mantap pemerintah kita. Semoga 78 WNI sehat-sehat aja. Apalagi dapat kiriman ginian kan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</si>
  <si>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Selesai Observasi, Besok WNI dari Wuhan Diberangkatkan ke Jakarta Jumat, 14 Februari 2020 Kanal Nasional</t>
  </si>
  <si>
    <t>@fadlizon @tvOneNews Di kantor kedua om?</t>
  </si>
  <si>
    <t>@dusrimulya Iya, juga...cuma persoalannya isis tu mslh global, hasil dari konspirasi intelijen negara2 adikuasa, efek dari perang yg berkepanjangan, yg menyeret dunia islam, suka tdk suka kedalamnya...semoga pemerintah tdk mnutup mata mlht mdlh ini</t>
  </si>
  <si>
    <t>RT @octania_: Jekardah !!! Tega kalian ya .. Gubernur kalian capek loh itu ... @psi_id @PSI_Jakarta @Uki23 @sigitwid @AntoniRaja</t>
  </si>
  <si>
    <t>RT @Aryprasetyo85: Jilaaaaat terusss pantat Wan bacot...takut di pecat ya? Saefullah: Anies Tak Bohongi Publik soal Rekomendasi Formula E, Hanya Salah Ketik "Enggak ada (manipulasi), kesalahan itu kan siapa saja bisa salah," ujar Saefullah @My_LoveNebe @cintada17 @Airin_NZ</t>
  </si>
  <si>
    <t>Sebanyak 285 warga negara Indonesia (WNI) yang menjalani observasi di Kabupaten Natuna, Kepulauan Riau, sepulang dari daerah wabah virus korona baru (COVID-19) di Wuhan, China, akan dilepas dengan upacara adat.</t>
  </si>
  <si>
    <t>@Wes12320 @AtikaFaya @ganjarpranowo Ini close up korban pemenggalan ISIS? 🤮</t>
  </si>
  <si>
    <t>RT @innovesian: Negara yg mana yg harus berynggung jawab ? Krn Kewarganegaraan Anak dan passport Anak dibawah umur mengukuti Status Kewarganegaraan Orangtuanya. Bila Orangtuanya menghapus kewarganegaraan RI-nya, otomatis Anak tsb juga tidak punya status WNI.. Yopora ? 😁</t>
  </si>
  <si>
    <t>@ProfeFest tim suka keributan tapi malas ribut 🤝 www gara2 satu produk yg campaign nya berani kotor baik nih 🤧 amiinnn gpp relieved wni pada ga kena tapi jangan lupa juga nocv itu realita buat kena dan keluarganya 😔🙏</t>
  </si>
  <si>
    <t>@tempodotco Katanya...</t>
  </si>
  <si>
    <t>@AAR63028211 @ismail_irwan @CNNIndonesia Wajar ya mbak ya, saya bukan ISIS apalagi ISIS namun saya netral apa yg terjadi beberapa tahun ini di Iraq dan Suriah, andai mbak "sedikit" saja mau berpikiran jernih pasti paham yg terjadi disana adalah tanda akhir zaman yg sdh dinubuahkan Rasulullah..</t>
  </si>
  <si>
    <t>RT @Iceberg2nd1: @AnakKolong___ Sudah mulai krisis gambar² seperti ini, apalagi kalau ditambah eks isis ke tanah air #TolakWNIEksISIS #TolakEksWNIproISIS</t>
  </si>
  <si>
    <t>Memasuki Hari Terakhir di Natuna WNI dalam Observasi akan dibawa Ke Lanud Halim Perdana Kesuma Jakarta Besok Sabtu, 15/2/2020.</t>
  </si>
  <si>
    <t>@3_devout @2_devout @Julia_Zeed @4_devout Lopada nyari data pke tor browser ga nemu ???? Wakakakakaak 🤣🤣🤣 Nii apaan wooii 👇👇</t>
  </si>
  <si>
    <t>RT @wisanggeni_084: Woiiii @KPAI_official masih yakin mau pulangin anak² eks WNI pro ISIS yg sudah dididik jd mesin pembunuh !!!! #TolakAnakISISKembali</t>
  </si>
  <si>
    <t>@IpungLombok @DIENDIRA2 Apapun namanya tetap sj menghadirkan haru melihat beliau vs ngabalin ttg isis. Sama harunya melihat Rocky Gerung debat mati2an n sampai terlihat emosional membela fpi saat panas izin kmrn</t>
  </si>
  <si>
    <t>RT @temponewsroom: Maju-Mundur Pemulangan Simpatisan ISIS</t>
  </si>
  <si>
    <t>WNI Di Natuna Dinyatakan Bebas Corona, Pemprov DKI Gembira #viruscorona #RepublikMerdeka</t>
  </si>
  <si>
    <t>@GYatmoko Isis eks wni</t>
  </si>
  <si>
    <t>@mohmahfudmd Bpk jgn ngurus isis trus gk plg gpp biarin aja itu.siapa suruh jadi isis..yg lain nya aja bpk perlu ke sejahteraan.kurupsi nya aja di tangkap semua itu</t>
  </si>
  <si>
    <t>RT @andy_nomicin: Bahaya! Bahaya!! Bahaya!!! Ingat.! bahaya mengintai kita, jika kita menuruti keinginan segelintir orang yg ingin memulangkan anak2 eks ISIS dengan alasan Kemanusiaan. #TolakAnakISISKembali</t>
  </si>
  <si>
    <t>Semoga WNI memang kebal corona 🙏 Tapi tetep aja degdegan :( RT @CNNIndonesia: Pemerintah Jepang menyatakan sebanyak 218 penumpang kapal pesiar Diamond Princess terinfeksi virus corona. @Kemlu_RI pun menuturkan bahwa 78 orang WNI yang merupakan kru dari kapal pesiar tersebut dalam kondisi sehat dan negatif virus corona.  #CNNIndonesia</t>
  </si>
  <si>
    <t>@IxNdheso @ustdtengkuzul Pantas aja si fadlizon ngotot untuk memulangkan eks isis ke indonesia.. ternyata dia biang kerokx..</t>
  </si>
  <si>
    <t>Sepertinya ini orang, punya keluarga kelompok ISIS.</t>
  </si>
  <si>
    <t>RT @HanielPurbowo: congor @KPAI_official sm @KomnasHAM 11-12 kurang saweran y? Yg sono sudah bakar pasport msh diurusin giliran disini anak2 pada bully membully dibiarin. Media jg ga care sm urusan anak2 masa lebih heboh urusan anak2 setan macam ISIS</t>
  </si>
  <si>
    <t>RT @GunPul: @Aryprasetyo85 @ISIS_Balik_NO Kalau di awal berbohong maka akan berbohong berulang ulang untuk menutupi kebohongan yg dilakukan di awal, sudah gitu aja</t>
  </si>
  <si>
    <t>Pemerintah siapkan tiket pulang @BNPB_Indonesia #COVID19</t>
  </si>
  <si>
    <t>Lomotif da isis ta lindo 🥰🥰🥰</t>
  </si>
  <si>
    <t>RT @WahabisLokal: Nggedabrus mereka yg mau tampung kombatan ISIS dan keluarganya. Dengan.... Teriak mau deradikalisasi Dan tetekbengeknya. Nih👇🏻 Barbarians tetaplah barbarians. #TindakTegasIntoleran</t>
  </si>
  <si>
    <t>@ErollG @Julia_Zeed @3_devout @Mun4fikunn @amandagempita @WR_4AG226 @haibebyjo @P3nj3l4j4h_id @ephraym8 Serah kaulah,,kalau perlu Lo yg tampung semua anak anak isis dari hasil pembunuhan itu.😁</t>
  </si>
  <si>
    <t>RT @rrahadiansyah1: Terima kasih semua pihak yang sudah membawa kembali 238 WNI dari Wuhan ke Indonesia. Capten Pilot Widitjiu, Crew Batik Air, Kementrian Kesehatan RI, Kemlu RI, dan khususnya TNI Angkatan Udara. Anda semua Pahlawan 🇮🇩❤️ #CoronaVirus #VirusCorona</t>
  </si>
  <si>
    <t>@AminSiregar75 @saifaliebahri_ @KPAI_official Bully di sekolah hingga nyawa n cidera, bicara anak ISIS ? Gaji kalian sumbernya dari mana ?</t>
  </si>
  <si>
    <t>@fadjroeL @jokowi @Kiyai_MarufAmin @KemensetnegRI @setkabgoid Memangnya ada rencana memulangkan isis yang dari luar negeri... narasi nya ngaco ihhh....</t>
  </si>
  <si>
    <t>@andalasiy @ismail_irwan @CNNIndonesia Hahaha ngakak saya baca cuitan anda pak..ISIS melindungi Iraq dn suriya🤭🤣🤣🤣🤣🤣. Haduuh pakkkkk sluruh org2 Arab itu bnci داعش atau ISIS krn klakuan mrk..Ko ente bilang mlindungi..msih kna virus Isis Ya?</t>
  </si>
  <si>
    <t>@sudjiwotedjo Isis = Sejuk Ada masalah apa dg kesejukan ini ?</t>
  </si>
  <si>
    <t>RT @Airin_NZ: Bocah ini brnama Hatf Saiful Rasul. Dia meninggalkan bangku sekolahnya &amp; memilih terbang ke Suriah utk menjadi petarung ISIS. &amp;amp; Kini bocah ini diberitakan tlh tewas. Masih mw bilang bocah ISIS gk berbahaya &amp;amp; hnya anak2 biasa..? #TolakAnakISISKembali</t>
  </si>
  <si>
    <t>RT @PutrilailaNS: @zoelfick Giliran ada anak dibully sampai patah tangan bahkan diamputasi masih anteng, di Purworejo anak perempuan dianiaya tetep anteng.. Eh anak" yang komplotan ISIS malah bersuara paling kenceng... KPAI bubar wee lah</t>
  </si>
  <si>
    <t>@Shella_dila @bepejeel yang di bahas bahaya komunis kok ngepek ke isis...la gak tau cona tanya mentrix...</t>
  </si>
  <si>
    <t>@mohmahfudmd Nyatanya banyak prof yg terpapar virus isis .......</t>
  </si>
  <si>
    <t>RT @spiderr__matrix: Mereka di didik menjadi monster. Setelah menceral Al-Qaeda dan melahirkan Amrozi,umar patek dll. #TolakEksWNIproISIS Kini mereka mencetak ISIS. Israel-Amerika selalu mencetak ladang perang. Jika mereka di pulangkan,Amerika berhasil mengirim monster ke NKRI.</t>
  </si>
  <si>
    <t>I guess we're immune to the virus (?). Apa sebenarnya obatnya cuma minum tolak angin / oles minyak kayu putih? Soalnya yg WNI terjebak kan dikasih tolak angin, minyak kayu putih sama indomie 😅 RT @CNNIndonesia: Pemerintah Jepang menyatakan sebanyak 218 penumpang kapal pesiar Diamond Princess terinfeksi virus corona. @Kemlu_RI pun menuturkan bahwa 78 orang WNI yang merupakan kru dari kapal pesiar tersebut dalam kondisi sehat dan negatif virus corona.  #CNNIndonesia</t>
  </si>
  <si>
    <t>WNI dari Wuhan yang Dikarantina Dipulangkan, Keluarga Masih Tunggu Jadwal  #DariSuara</t>
  </si>
  <si>
    <t>RT @BungGarry: Usia emas anak itu 12 tahun pertama. Kita salah membina selama periode itu, kelar sudah kedepannya. Klo anak2 ex WNI yang ISIS selama hidupnya dicekokin begitu, yah kedepannya akan begitu.. susah sohibul.. bengak kali sih.. #TolakAnakISISKembali #ISISGoToHell</t>
  </si>
  <si>
    <t>RT @ferryfahrial: @andy_nomicin Anak2 isis eks wni bukan tanggung jawan negara... mereka tanggung jawab orang tuanya, dosa jg dosa orang tuanya.. negara nggak usah dilibatin lah.. #TolakAnakISISKembali</t>
  </si>
  <si>
    <t>RT @modenmilenial: Cekal Eks WNI ISIS masuk wilayah Indonesia Memulangkan para yatim piatuh Eks WNI ISIS demi kemanusiaan Kadrun sudah cukup merepotkan. -sebuah utas- #doktorhcpuanmaharani</t>
  </si>
  <si>
    <t>@fafresima @mtsryy Timbang sumuk rakyo penak k-isis-an. :((</t>
  </si>
  <si>
    <t>@detikcom @kompascom @tempodotco @TirtoID dan media2 lainnya cobalah angkat issue bullying ini semuanya itu bibit intoleransi cukup sudah ISIS dan kelompok radikal tidak usah dikasih panggung, coba tunjukkan maturity dalam menentukan sikap</t>
  </si>
  <si>
    <t>congor @KPAI_official sm @KomnasHAM 11-12 kurang saweran y? Yg sono sudah bakar pasport msh diurusin giliran disini anak2 pada bully membully dibiarin. Media jg ga care sm urusan anak2 masa lebih heboh urusan anak2 setan macam ISIS RT @AnakKolong___: CONGOR @KPAI_official . . Anak² pengungsi jemaah Ahmadiyah di NTB, Anak perempuan dianiaya di Purworejo, di Malang anak dibully sampai patah tangan, kalian BUTA, BISU &amp; TULI. Giliran anak² ISIS CONGOR KALIAN NYARING. . .</t>
  </si>
  <si>
    <t>@Julia_Zeed @3_devout @1_devout @4_devout Aku wis obok" tor browser ndak ada artikel miltan isis "masak" uwong. Tapine mung rujuk data sing valid kebrutalan isis bunuh ibu kandunge dewe , mbakar tawanan hidup" , anake dewe dijadiken bomber , "masak uwong" dadi masuk akal walo kejadiane ndak byk 👇</t>
  </si>
  <si>
    <t>@terasid @tempodotco wni dikerokin udah sembuh</t>
  </si>
  <si>
    <t>Diketahui sebanyak 12 warga DKI ikut dalam rombongan 238 warga negara Indonesia (WNI) yang dievakuasi dari Wuhan, Tiongkok, tempat virus korona COVID-`19 merebak</t>
  </si>
  <si>
    <t>Publikasi Pengiriman Tim Monitoring ISIS Eks WNI Tak Perlu!  #pdiperjuangan</t>
  </si>
  <si>
    <t>@alvindaeee131 @mtsryy Kok aku ngakak ekekekekkk Dia lg hijrah melawan isis</t>
  </si>
  <si>
    <t>@CNNIndonesia @Kemlu_RI bagaimana bisa? saya yakinnya sih tujuannya biar wni gk panik, tapi apakah dengan menyembunyikan adalah tindakan benar? sedih aja atau karena dulu sempat ada yg bilang dahulukan berita BAIK?</t>
  </si>
  <si>
    <t>Dulu Demo, Besok Warga Akan Ikut Lepas Pemulangan WNI di Natuna  #BeritaTerkini</t>
  </si>
  <si>
    <t>RT @tvOneNews: Kondisi terkini 278 WNI yang dievakuasi dari Wuhan Cina pada hari terakhir observasi di Natuna. WNI yang diobservasi akan dipulangkan besok (15/2). Update berita Anda di tvOne connect. #tvOneNews #KabarSiangtvOne #WNI #Natuna</t>
  </si>
  <si>
    <t>RT @MrsRachelIn: @kang_kayu Mau buatan amrik mau buatan arab' yg jelas mrk Teroris ISIS jd ngapain dibelain ??</t>
  </si>
  <si>
    <t>@Alibaba6ak @navieonline @dusrimulya ada gag pernyataan resmi dr isis ex wni spt tsb di atas?</t>
  </si>
  <si>
    <t>@CNNIndonesia @Kemlu_RI Dari total 3.711 penumpang, nothing special. Semoga wni kru yang negativ virus bisa dievakuasi secepatnya</t>
  </si>
  <si>
    <t>RT @Parapat_Nixon: Soal fadli z DUKUNG pemulangan ISIS ex WNI  Utk itu MHN DICEK KEBENARAN INFO 👇 YTH @KSPgoid @setkabgoid @DPR_RI @mohmahfudmd @DivHumas_Polri SPY BENAR2 SERIUS &amp; SGERA DISIKAPI JGN BIARKAN BIBIT TERORISME TUMBUH DI IBU PERTIWI 🙏 -</t>
  </si>
  <si>
    <t>@kureha_alpha CAN RELATE ALAJKAJSKA *brb berjabat tangan* /EY Bangga karena kotor memang beda WNI ini wkwk 😂😂👌👌 ((((tapi srsly semoga virusnya cepet ketemu obatnya ga tahan denger berita ini mulu sampe pusing orzzzz))))</t>
  </si>
  <si>
    <t>@Parapat_Nixon @KSPgoid @setkabgoid @DPR_RI @mohmahfudmd @DivHumas_Polri Wah berarti DPR sdh terkontaminasi VIRUS ISIS. . PEMERINTAH HARUS CEPAT MENENTUKAN SIKAP..!! . #TolakAnakISISKembali #TolakEksWNIproISIS</t>
  </si>
  <si>
    <t>RT @Kemlu_RI: #SahabatKemlu, 78 WNI kru kapal pesiar Diamond Princess yang dikarantina oleh otoritas Jepang saat ini dipastikan dalam keadaan sehat. Informasi lengkap dapat disimak pada . #NegaraMelindungi #IniDiplomasi @KBRITokyo</t>
  </si>
  <si>
    <t>@CH_chotimah @karniilyas Yang dipilih sebagai topik adalah : Jokowi menolak ISIS ex-WNI</t>
  </si>
  <si>
    <t>@ngurahsaka @KsteAm02 @SoundOfYogi ...Mendukung pemulangan ex ISIS dituduh pendukung ISIS. Munafik kok dipertontonkan, fir... (``,)</t>
  </si>
  <si>
    <t>RT @3_devout: @DiantyYasmin3 Isis masi dapet ruang di efPEKOK?! #SeriusNanya</t>
  </si>
  <si>
    <t>@WagimanDeep @KPAI_official @ganjarpranowo Saya setuju anak-anakwni eks isis perlu diperhatikan. Tp kpai juga harus adil dan harus selalu hadir dalam kasus pembulian anak-anak sekolah yg saat ini makin banyak terjadi di Indonesia. Jangan pandang bulu. Semua anak harus dilindungi juga</t>
  </si>
  <si>
    <t>@aratsif13 hah? masa iya? tapi kan ga semua orang indo kebal virus2 tropis jg. aku baca beritanya 78 wni dari 3711 org. 300 org yg baru diobservasi. mayan byk jg ya kalo yg ketauan udah 200an org</t>
  </si>
  <si>
    <t>@AhlulQohwah Ah setuju ...gimana nih @KPAI_official anak yg jls2 msh d negeri sendiri , msh asli warga NKRI dibully sampai jari tangan diamputasi diam aja...giliran anak Eks WNI, eks ISIS "katanya" (krn kalah perang jg sbenarnya) dibela sampai sgitunya</t>
  </si>
  <si>
    <t>@dusrimulya @mohmahfudmd Pertanyaan nya simpel juga apakah WNI itu berperang atas nama indonesia atau negara lain..</t>
  </si>
  <si>
    <t>RT @kafiradikal: @jokowi ...Segitu lemahnya kah anda hingga membina kembali 689 WNI ex ISIS pun ga sanggup? Mereka itu juga manusia yg harus dimanusiakan. Kalau mereka melakukan tindak pidana terorisme ya adili dalam persidangan. Jangan malah ajimumpung endorse fear mongering berbau Islamphobia. (``,)</t>
  </si>
  <si>
    <t>RT @innovesian: Kita bahasnya dlm konteks Hukum dan Perundangan gak ? Kalau berbasis Perundangan, maka siapapun yg Berikrar setia, menjadi Tentara apalagi Berperang untuk Negara atau Kelompok lain, otomatis sudah kehilangan status WNI.. Kalo bicara kemanusiaan utk anak, itu konteks lain.</t>
  </si>
  <si>
    <t>@AminSiregar75 Oh ya kalau beda agama anggapnya apa ya musuh harus dibunuh atau apa tat ustad..dan supaya satu negara itu rukun apa di suriah itu agama apa isis itu agama apa apa yakin agama yang dibawa rusulullah tad ustad dengan memenghal kepala tad ustad jihad jadi jahat</t>
  </si>
  <si>
    <t>@kompascom Lu aja yg ke suriah trus asuh tuh anak2 isis</t>
  </si>
  <si>
    <t>RT @Metro_TV: #MetroHariIni Wakil Presiden RI imbau agar masyarakat dapat menerima kembali WNI yang pulang ke daerah masing-masing usai menjalani observasi di Natuna, Kep. Riau. Proses observasi selama 14 hari sudah sesuai standar WHO dan dapat dinyatakan aman.</t>
  </si>
  <si>
    <t>RT @syafiqhasyim_de: , Soal Eks ISIS, pandangan dari pengajar UIN Jakarya @irfanrhtg, @ofathurahman</t>
  </si>
  <si>
    <t>Pada 14 Feb 2020 KBRI Dar es Salaam tlh brhsil mlakukan proses pemulangan 3 ABK WNI a.n Ali Maskuri, Wasilah, &amp; Muhammad Yunus, yg bkerja utk kapal penangkp ikan di Zanzibar, Tanzania. #IniDiplomasi #NegaraMelindungi @Kemlu_RI</t>
  </si>
  <si>
    <t>Semoga 78 WNI ini sehat sampai lewat masa karantina. #coronavirus RT @CNNIndonesia: Pemerintah Jepang menyatakan sebanyak 218 penumpang kapal pesiar Diamond Princess terinfeksi virus corona. @Kemlu_RI pun menuturkan bahwa 78 orang WNI yang merupakan kru dari kapal pesiar tersebut dalam kondisi sehat dan negatif virus corona.  #CNNIndonesia</t>
  </si>
  <si>
    <t>katanya memperkuat KPK tapi kenyataannya KPK sulit untuk membongkar kasus mega korupsi dari elit partai penguasa katanya geram liat korupsi tapi pelaku korupsi dikasi grasi katanya demi kemanusiaan tapi eks isis yg tidak sama sekali memakan duit rakyat, ogah untuk dipulangkan</t>
  </si>
  <si>
    <t>Tolak WNI eks ISIS ke Indonesia #ISIS #Indonesia</t>
  </si>
  <si>
    <t>Kemaren gasengaja ketemu sobat gurun yang lagi ceramah didepan warkop deket rumah, kira kira dia ngomong gini : "gue kasian sama eks isis, gadibolehin pulang. Padahal mereka cuma menjalankan syariat agama" Ketawa gue depan muka mereka. Tolol</t>
  </si>
  <si>
    <t>Bentuk negara hadir untuk 78 WNI yg dikarantina di kapal pesiar adalah dgn mengirim tolak angin dan bon cabe. WhY</t>
  </si>
  <si>
    <t>Kepala BIN setuju dengan Pemerintah soal tidak memulangkan WNI eks ISIS #ISIS #Indonesia #Viral</t>
  </si>
  <si>
    <t>@BaniAdam____ Kalah sama Rusia yang bersedia memulangkan + membina warganya yang bekas anggota ISIS. 🙈🙈🙈</t>
  </si>
  <si>
    <t>@ikramarki Maksudnya WNI dari wuhan dieue.?</t>
  </si>
  <si>
    <t>RT @jr_kw19: Ribuan Warga Bandung berdeklarasi penolakan ISIS dan menggalakan waspada terhadap pendatang #AwasAntek2ISIS</t>
  </si>
  <si>
    <t>Pemerintah putuskan untuk tidak memulangkan WNI eks ISIS #Indonesia #Viral</t>
  </si>
  <si>
    <t>@DiantyYasmin3 Isis masi dapet ruang di efPEKOK?! #SeriusNanya</t>
  </si>
  <si>
    <t>@dusrimulya @mohmahfudmd Isis itu singksaan dari apa???? Punya pasukan punya senjata melskuksn perang ......hanys Negara mana yg mau mengakui isis.</t>
  </si>
  <si>
    <t>@bepejeel Makin ngaco aja ini gaberner ngomongnya. Ketauan ga py kualitas. Yg lg rame teroris bkn komunis. Apa lg ada rencana pemulangan ex WNI dr ISIS</t>
  </si>
  <si>
    <t>Mendadak terperangkap dalam twitwar antara yang pro dan kontra dengan pemulangan eks WNI yang gabung ke ISIS. Gara-gara mereka twitwarnya dengan mereply replyanku 🤔</t>
  </si>
  <si>
    <t>Disini anak2 FTF kombatan ISIS eks WNI masih dipertimbangkan asal masih di bawah 10 tahun padahal ISIS melatih anak2 tsb menjadi pengantin bom bunuh diri, memegang senjata dan memenggal org Yazidi &amp; Kurdi sejak usia balita Betul, @KPAI_official @mohmahfudmd @PolhukamRI @jokowi? RT @cnbcindonesia: Sadis, Korea Utara Tembak Mati Warga yang Terkena Corona</t>
  </si>
  <si>
    <t>Ini para elit2 global ga ada yang mau cross breeding sama para WNI super genes apa? 🤣 RT @CNNIndonesia: Pemerintah Jepang menyatakan sebanyak 218 penumpang kapal pesiar Diamond Princess terinfeksi virus corona. @Kemlu_RI pun menuturkan bahwa 78 orang WNI yang merupakan kru dari kapal pesiar tersebut dalam kondisi sehat dan negatif virus corona.  #CNNIndonesia</t>
  </si>
  <si>
    <t>@tapicewereceh @meghaloey @AREAJULID mungkin wni tersebut udah lama tinggal di sg dan udah terbiasa makan makanan yg higienis.</t>
  </si>
  <si>
    <t>@MrsRachelIn Ngaku Islam tapi kelakuan kayak orang gk punya peradaban ...apa memang dia ISIS kali ya..... yg tidak suka peradaban ??. ISIS Islam bukan sih ?!</t>
  </si>
  <si>
    <t>@mohmahfudmd Pertanyaan saya, apakah ISIS itu sebuah negara sehingga sekelompok orang bersenjatanya bisa disebut sebagai tentara? Apakah mereka bukan dianggap sebagai gerombolan pengacau? Negara mana yg mengakui ISIS itu sebuah negara?</t>
  </si>
  <si>
    <t>@saysebentin Ibu aku gabakal baca yg wni negatif kena virus coronanya, bacanya mah cuma intinya disana ada corona aja dan langsung bilang “kalau bisa ditunda aja perginya~” 🙃</t>
  </si>
  <si>
    <t>Menolak Memulangkan ISIS EKS WNI, Indonesia tidak melanggar HAM</t>
  </si>
  <si>
    <t>@honeybearhyuck Insecure virus Corona sama formalin dan borax yg ada di tubuh WNI</t>
  </si>
  <si>
    <t>Tolak WNI eks ISIS #ISIS #Indonesia</t>
  </si>
  <si>
    <t>Alumni pelajar Indonesia yang pernah belajar di China membantu para warga negara Indonesia yang dievakuasi dari Wuhan dan diobservasi di Natuna. #Nusantara #KawandalamPerubahan</t>
  </si>
  <si>
    <t>#LayarDemokrasi malam ini hadir dalam "Editorial View: Polemik Eks ISIS, Pancasila, dan Arah Politik PAN" bersama Elvan Dany Sutrisno dan Teguh Santosa. Simak selengkapnya pukul 20.30 WIB hanya di @TransvisionID atau streaming !</t>
  </si>
  <si>
    <t>@akut_abe @VeronicaKoman @jokowi @mohmahfudmd @kurawa Pemerintah tegas dalam Hal ini , eks isis pun tidak kami kasih ampun walau beragama Islam , stabilitas negara nomor 1 jika tidak pembangunan tidak Akan berhasil ....</t>
  </si>
  <si>
    <t>TEGAS !!! Tidak ada tempat untuk ISIS eks WNI di NKRI.</t>
  </si>
  <si>
    <t>@KsteAm02 @kafiradikal @SoundOfYogi nuduh benci islam lagiii 😂😂😂 gasuka isis, dituduh benci islam.. heran gw</t>
  </si>
  <si>
    <t>@mohmahfudmd dalil2 dicari tapi dalil yg dicari dalil yg tidak pro penyelamatan WNI</t>
  </si>
  <si>
    <t>238 WNI Selesai Karantina di Natuna, Masyarakat Tak Usah Takut | #indonesia #viral &gt;&amp;gt;&amp;gt; Click</t>
  </si>
  <si>
    <t>siapa yang bilang pintar #Dungu</t>
  </si>
  <si>
    <t>aku isis aku tidak valentine</t>
  </si>
  <si>
    <t>@PartaiSocmed Jilid dua ini para pembantu makin aneh min, dimulai dr kkp lobster》kumham masiku》medag isu penipuan》menag kepulangan kombatan isis》menkeu mslh janji kampanye prakerja》bpip 》menkopolhukam</t>
  </si>
  <si>
    <t>@masadamsahid @Negev52031680 @jrenk29 @mouldie_sep Terkait soal WNI yg ingin pulang harusnya kita intropeksi diri. Niat mereka karena rindu dgn kehidupan islam yg kaaffah.</t>
  </si>
  <si>
    <t>Jangan pernah meragukan kekebalan tubuh WNI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</si>
  <si>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@tempodotco ISIS NII DI/TII JI JAD HTI dst pada unjuk gigi</t>
  </si>
  <si>
    <t>@Puteriswift_ Jap post kat melaka</t>
  </si>
  <si>
    <t>Bagaimana kalau WNI yang pernah terlibat ISIS,kita kembalikan ke Suriah (?) RT @kumparan: Hidayat Nur Wahid mendorong pemerintah mengkaji peluang WNI di Suriah yang tak terlibat ISIS bisa pulang ke Indonesia.</t>
  </si>
  <si>
    <t>@Fahrihamzah @OfficialiNewsTV @irakoesno @tika_herlambang Dayat kok mendukung ex wni ntuk d pulangkan ya oom ?</t>
  </si>
  <si>
    <t>RT @DesaKita2: Jokowi gak tanggungjawa ke WNI eks ISIS Memang WNI yang gak ISIS, Negara tanggungjawab? Wiji Thukul Munir Tri Sakti Kendeng Tumpang Pitu BPJS naik Gas mau naik Ekonomi stagnan 5% Omnibus law Kartu Pra Kerja 22 juta kelaparan 145 juta terancam misquen Capek ah... -kopi ke2</t>
  </si>
  <si>
    <t>WNI eks ISIS ga bole balik Tapi WNI eks PKI di rekonsiliasi :) Apa teorinya eks Isis ga bisa di rehab dan rekonsiliasi? Ati2 loh oneday anak2 eks ISIS itu akan nuntut pemerintah Indonesia yg pernah NOLAK mereka lewat pintu HAM :)</t>
  </si>
  <si>
    <t>lo yang berulah. lo yang nyusahin. mulangin ex anggota isis adalah cara tergoblok buat ngehamburin uang. ketika negara kita sendiri kayak gini. sumpah demi Allah gue ngerti hidup tuh pilihan. tapi ga usah milih jadi goblok juga ya anjing. kesel gue.</t>
  </si>
  <si>
    <t>RT @sofiankawar1: Disitu lah hebatnya pemerintah. Dgn satu ucapan ketauan sudah sbgn anggota dan simpatisan ISIS di negeri ini.</t>
  </si>
  <si>
    <t>Besok Observasi Berakhir, WNI dari Wuhan Diterbangkan ke Jakarta</t>
  </si>
  <si>
    <t>@AlterBase18Plus tolong yg udah gabung isis g usah dipulangkan, mau itu anak2 atau org dewasa:)</t>
  </si>
  <si>
    <t>@detikcom ISIS penjahat peradaban kemanusiaan abad ini tp antek2 nya memintakan kemanusiaan untuk dipulangkan. Ingat suku Yazidi yg dihabiskan dipenggal diperkosa oleh isis . banyak yg dilupakan</t>
  </si>
  <si>
    <t>@ADEEVAtic Isi anjir wajib itu, lo wni bukan?</t>
  </si>
  <si>
    <t>@lukasomanalu @dusrimulya @mohmahfudmd Kamu yg bodoh dodol..mengangap isis adalah negara..dodol..</t>
  </si>
  <si>
    <t>RT @TeddyGusnaidi: Cegah WNI Eks ISIS Menyusup, Staf Khusus Jokowi Minta Aparat Siaga</t>
  </si>
  <si>
    <t>Bisa gitu ya. Mungkin imun WNI sangat kuat? 🤔 Tapi semoga semua yang sakit bisa lekas sembuh, lalu yg sehat bisa tetap sehat. RT @CNNIndonesia: Pemerintah Jepang menyatakan sebanyak 218 penumpang kapal pesiar Diamond Princess terinfeksi virus corona. @Kemlu_RI pun menuturkan bahwa 78 orang WNI yang merupakan kru dari kapal pesiar tersebut dalam kondisi sehat dan negatif virus corona.  #CNNIndonesia</t>
  </si>
  <si>
    <t>Senjakala ISIS di Libya</t>
  </si>
  <si>
    <t>@CNNIndonesia @Kemlu_RI Alhamdilillah WNI ttp kebal</t>
  </si>
  <si>
    <t>Komisi Perlindungan Anak ISIS RT @AhlulQohwah: Di Malang anak dibully sampai patah tangan anteng, di Purworejo anak perempuan dianiaya anteng. Giliran anak ISIS suaranya kenceng.</t>
  </si>
  <si>
    <t>RT @knockknock0408: [HQ] 200202-200203 BAEKHYUN cr.COURAGE_BH   @weareoneEXO</t>
  </si>
  <si>
    <t>[cm] kakak2 mhs pkn atau hkn, menurut kakak2 apakah wni ex is*s perlu dipulangkan ke indo? dan alasannya kenapa? trimakaci kakak2</t>
  </si>
  <si>
    <t>@jokowi Pakde pokus bekerja aja gak usah di gubris komen rakyat yang tdk tau diri MEREKA golong KAMPRET stres akibat kalah pilpres sakit jiwa nya tambah parah di tambah isis gak bisa DI pulang kan ke indonesia salam waras dari brebes pakde</t>
  </si>
  <si>
    <t>ISIS Tertolak Dari Indonesia</t>
  </si>
  <si>
    <t>Jokowi Imbau Warga Tak Takut Terima WNI dari Natuna</t>
  </si>
  <si>
    <t>Pemerintah menjalankan standar observasi WHO</t>
  </si>
  <si>
    <t>@mohmahfudmd SK Presiden No. 163 tahun 1964. Tanggal 26.6.1964 Alimin bin Prawirodirjo tercatat sebagai Pahlawan Nasional. Pdhal Alimin pernah menjadi Tentara Merah Komunis China dan beberapa Negara Komunis lainnya. kenapa Alimin tdk hilang kewargaan Negaranya Prof..? Beda dgn ISIS ya.</t>
  </si>
  <si>
    <t>Hidup Terkurung Corona, Begini Curhat WNI di Kapal Pesiar Diamond Princess  #BeritaTerkini</t>
  </si>
  <si>
    <t>@mohmahfudmd Kalo opm yg menjadi wni lagi gimana om</t>
  </si>
  <si>
    <t>Ada 2 WNI Asal Kepri, Seluruhnya Dipulangkan Via Halim Perdana Kusuma</t>
  </si>
  <si>
    <t>@BTabutty @fahiraidris lhaaa....ini teroris isis</t>
  </si>
  <si>
    <t>Biaya pemulangan ratusan warga negara Indonesia (WNI) yang diobservasi di Natuna, Kepulauan Riau ditanggung oleh negara.</t>
  </si>
  <si>
    <t>@fadlizon Salah satu kekeliruan Jokowi karna gak mau memulangkan ISIS eks WNI jihad di NKRI.</t>
  </si>
  <si>
    <t>penyebab selamatnya 78 WNI dari covid-19 di kapal pesiar RT @YeniKostAbadi: VALENTINE BUKAN BUDAYA ANAK KOS, BUDAYA ANAK KOS ITU MAKAN INDOMIE PAKE NASI KALO TANGGAL TUA</t>
  </si>
  <si>
    <t>Tolak WNI yg sudah terpapar ideologi ISIS #ISIS</t>
  </si>
  <si>
    <t>RT @kompascom: Agung Laksono menilai, keputusan tak memulangan WNI eks ISIS membuat masyarakat Indonesia lega.</t>
  </si>
  <si>
    <t>Pulangkan aja eks ISIS kan ada BPIP Biar dicuci kembali oleh BPIP dengan PANCASILA Kan mereka AHLINYA ISIS aja bisa mencuci otak mereka masa iya BPIP ga pede buat nyuci otak mereka kembali.... RT @CNNIndonesia: Mahfud Sebut Status WNI Eks ISIS Bisa Hilang Melalui Keppres</t>
  </si>
  <si>
    <t>@kompascom Sdh jelas di negara ini, lebih mudah memelihara penjahat dari pada orang benar.. Lebih mudah bangun diskotik ketimbang bangun gereja / tempat ibadah. Lebih mudah mengasihi musuh negara ISIS, dari pada mengasihi korban bom dari teroris. Wakil rakyat tidak lg menjaga kettramn.</t>
  </si>
  <si>
    <t>@VIVAcoid Itu partai dan anggota DPR yg ngotot memulangkan ex isis yg akan paling bertanggung jawab seandainya ada terror bom setelah kepulangan mereka.</t>
  </si>
  <si>
    <t>STOP PEMBERITAAN PEMULANGAN KOMBATAN ISIS EKS WNI. AGAR TIDAK JADI BAHAN GORENGAN POLITIKUS BUSUK PENDUKUNG ISIS. RT @tribunnews: Wacana Pemulangan 600 WNI Eks ISIS Jadi Ramai, Fadli Zon: Gara-gara Menteri Agama  via @tribunnews</t>
  </si>
  <si>
    <t>@jacktherock5 @Restichayah Waduh... Bpk mertuaku Chaniago..ibu mertua cina menado muamalaf... istriku bukan Minang lagi. Gpp lah. Masih WNI asli🙂🇮🇩</t>
  </si>
  <si>
    <t>Virus corona bisa "aktif" masuk ke sel manusia ketika antibodi kita lemah, kita sedang tidak fit? Jadi ketika kita sehat jasmani (masuk angin? minum tolak angin) dan sehat psikis (rasa rindu thd indomie yg terbayarkan), maka wni tetap sehat. Mungkin itu salah satu alasannya.</t>
  </si>
  <si>
    <t>Tp knp para WNI yg pulang dari Wuhan, yg lg di karantina di Natuna, sampai saat ini belom ada terdengar terkena corona virus?? Malah kalau dari berita2 terlihat mereka bugar dan sehat2. RT @Ronnie_Rusli: "The virus is an entirely new strain", there is no existing immunity in anyone it will encounter. Some level of immunity will naturally develop over time, that those with compromised immune systems; the elderly or sick, are most at risk of becoming severely ill or dying.</t>
  </si>
  <si>
    <t>@MohfajarSadeqq @BPIPRI Kapan hari wni yg dipulangkan dari wuhan juga mayoritas mahasiswa muslim, apa lo kira mereka nggak menjalankan ibadah selama disana???</t>
  </si>
  <si>
    <t>@KBRITokyo semoga wni disana dilindungi diberi keselamatan, kesehatan jasmani dan rohani aamiin</t>
  </si>
  <si>
    <t>@Budi_puolaper @Lukman_HARP OPM sama ISIS sama2 teroris kok hehe yg ginian aj ga bisa faham, sama2 jg ingin mndirikan negara</t>
  </si>
  <si>
    <t>Negatif Corona, Pemulangan 12 WNI di Natuna Disambut Sekda DKI</t>
  </si>
  <si>
    <t>RT @dabenone2: @misake89847474 @dusrimulya Ini 3 Hak WNI Eks ISIS Menurut Mantan Hakim Agung Gayus Lumbuun: Dia Punya Hak untuk Kembali</t>
  </si>
  <si>
    <t>RT @SoebektiSoehar5: @DayatPondok @dytoxs_eddy @mohmahfudmd Lagi2 korban ...🤪 Emang korban akibat ketololannya sendiri ngapain pemerintah selalu disalahin ??! Makan tuh kedunguan lo dan fanatisme lo yg berlebihan, sampai2 mo minum air kencing onta segala. Kini isis kalah ganti mau dibantai Suriah elo terus mengembik kayak kambing congek</t>
  </si>
  <si>
    <t>MEDIA SEHARUSNYA BERHENTI MEMBERITAKAN KEPULANGAN EKS WNI KOMBATAN ISIS. SUDAH JELAS PEMERINTAH MENOLAK MEMULANGKAN KOMBATAN ISIS EKS WNI. AGAR TIDAK DI GORENG TERUS OLEH POLITIKUS PENDUKUNG ISISI. RT @tribunnews: Wacana Pemulangan 600 WNI Eks ISIS Jadi Ramai, Fadli Zon: Gara-gara Menteri Agama  via @tribunnews</t>
  </si>
  <si>
    <t>Semoga semua sehat2 dan tiba ditujuan dengan sukacita 🙏 Besok, 238 WNI dari Wuhan yang Dikarantina di Natuna Akan Dipulangkan</t>
  </si>
  <si>
    <t>GIMANASIH WKWK😭😭😭 sumpah gakebayang bgt yaallah kalau emg orang2 indo sekuat ini tetap kuatkanlah. tapi takutnya pada ngebiarin WNI nya juga kan ya dan ga masukkin mereka ke pemeriksaan, nganggepnya mereka pd sehat tp kan belum tentu sehat seutuhnya:( kasian juga sihh RT @CNNIndonesia: Pemerintah Jepang menyatakan sebanyak 218 penumpang kapal pesiar Diamond Princess terinfeksi virus corona. @Kemlu_RI pun menuturkan bahwa 78 orang WNI yang merupakan kru dari kapal pesiar tersebut dalam kondisi sehat dan negatif virus corona.  #CNNIndonesia</t>
  </si>
  <si>
    <t>Banyak org yg tidak ingin WNI eks ISIS pulang ke Indonesia #ISIS</t>
  </si>
  <si>
    <t>@FOODFESS2 ini.. sender lagi di Camp WNI Wuhan?</t>
  </si>
  <si>
    <t>@CH_chotimah Selamat hari valentine kaum isis. Dimata kalian wanita hanyalah budak sex</t>
  </si>
  <si>
    <t>Tolak kepulangan eks isis ke Indonesia #TolakEksWNIproISIS #AwasAntek2ISIS #TolakEksISIS #TolakISIS</t>
  </si>
  <si>
    <t>238 WNI dari Wuhan bebas dari virus korona. Terima kasih para prajurit TNI-POLRI !!! @Puspen_TNI @DivHumas_Polri @TjahjantoHadi</t>
  </si>
  <si>
    <t>@UKI_djayengrono @justriri1401 @fadlizon Oooo ternyata simpatisan ISIS, pantesan gethol mau mulangin temen2nya</t>
  </si>
  <si>
    <t>@mohmahfudmd Itu sangat lebih tepat pemerintah tdk memulangkan kombatan isis yg bisa merusak tatanan yg sdh aman</t>
  </si>
  <si>
    <t>@AREAJULID Punten,untuk yang punya agama saja nih,jangan lupa.pancasila nomor 1. *KETUHANAN YANG MAHA ESA* Yang kedua kemanusia yang adil dan beradab. Hadehhh,kalau nggak isis ya pancasila,isu-isu itu saja yg di gorent,bosen woi. IHSG udah 5700 tuh pikirin! Jiwasraya&amp;asabri jgan lupa!</t>
  </si>
  <si>
    <t>@goaweygo itu WNI nya dikarantina sama jepang teh, mereka masih di jepang</t>
  </si>
  <si>
    <t>Banyak yg menolak kepulangan WNI eks ISIS #ISIS</t>
  </si>
  <si>
    <t>@CH_chotimah @Bangzul__88 Siapapun yg mendukung kepulangan eks WNI yg jadi anggota ISIS adalah TERORIS!!!!!!</t>
  </si>
  <si>
    <t>RT @kelixman: Intinya dalan kasus conV ini all hands on deck. Semua sumber daya udah dikerahkan untuk mencegah dan mengisolasi suspek baik WNI maupun WNA. Kalao kenyataannya belom ada yang terdeteksi, emang sangat mungkin karena memang orang indonesia belom ada yang kena</t>
  </si>
  <si>
    <t>WNI emg mantep RT @CNNIndonesia: Pemerintah Jepang menyatakan sebanyak 218 penumpang kapal pesiar Diamond Princess terinfeksi virus corona. @Kemlu_RI pun menuturkan bahwa 78 orang WNI yang merupakan kru dari kapal pesiar tersebut dalam kondisi sehat dan negatif virus corona.  #CNNIndonesia</t>
  </si>
  <si>
    <t>@uusbiasaaja Tapi ga untuk isis</t>
  </si>
  <si>
    <t>Gimana pak @MoctharAli statmen pak @GayusLumbuun jelas dn terang menderang kan?</t>
  </si>
  <si>
    <t>Presiden @jokowi memastikan 238 WNI yang dievakuasi dari Hubei, Tiongkok beserta 5 tim pendahulu dan 42 tim penjemput yang diobservasi di Natuna, Kepulauan Riau dalam kondisi sehat.</t>
  </si>
  <si>
    <t>@woelannnn @wisanggeni_084 Pejabat Negara yg ngeyel akan memulangkang Combatan ISIS dan Turunannya, kemungkinan Pejabat Tersebut Terpapar Radikal</t>
  </si>
  <si>
    <t>@NdoeUmi @HmfaqihA @mury_eko @aagym Bagaimana mau memberi nasehat kalo dirinya sensiri tukang BOHONG</t>
  </si>
  <si>
    <t>@dedysteven80 @jokowi Bagaimana kalo yg jadi korban kebiadaban isis itu saudara lu mond?</t>
  </si>
  <si>
    <t>RT @kelixman: Nih gw kepcer. 78 WNI dinyatakan negatif corona virus sesudah melalui masa observasi dan karantina, DI JEPANG !!! Gadi ga cocok lagi ya pake dalil alatnya ga becus buat deteksi conV</t>
  </si>
  <si>
    <t>@elHurryKoRn Makhluk kadrun yg komunis ISIS</t>
  </si>
  <si>
    <t>Tolak WNI eks ISIS #ISIS</t>
  </si>
  <si>
    <t>Mungkin kalian kurang atau bahkan belum mengetahui, kalau seluruh WNI yg berasal dari China juga harus menjalani masa karantina selama 14 hari. Bukan hanya yg berasal dari wuhan saja.</t>
  </si>
  <si>
    <t>RT @kompascom: Ketua Komisi I DPR Meutya Hafid menyetujui opsi pemerintah untuk memulangkan anak-anak dari WNI eks anggota ISIS dan terduga teroris lintas batas - #Nasional</t>
  </si>
  <si>
    <t>Ngapain dilindungin eks. WNI. KPAI oh KPAI... RT @CNNIndonesia: KPAI: Pemerintah Wajib Lindungi Anak WNI Eks ISIS</t>
  </si>
  <si>
    <t>RT @radar_malang: WNI Kombatan eks ISIS Batal Dipulangkan, DPR: Perketat Pintu Masuk</t>
  </si>
  <si>
    <t>Besok WNI di Natuna Dipulangkan, Transit di Bandara Halim Perdana Kusumah -</t>
  </si>
  <si>
    <t>RT @eqyeriskaaa: Sbg nakes yg merupakan garda trdepan, setiap hari kami memantau kesehatan smua WNA yg baru datang dr luar negeri maupun WNI yg datang dr luar negeri terutama China. Kami memantau slama 14hari. Alhamdulillah mereka dalam keadaan sehat😇 #COVID19 #coronadiantarakita #coronavirus</t>
  </si>
  <si>
    <t>RT @Totokalhaqq3: @mohmahfudmd Tolong sampaikan ke bapak Jokowi ya... Dari pada angaran buat pulangin ISIS eks WNI mending dananya disumbangkan ke pemerintah Syiria buat eksekusi ISIS eks WNI.</t>
  </si>
  <si>
    <t>Ketua Komisi I DPR Meutya Hafid menyetujui opsi pemerintah untuk memulangkan anak-anak dari WNI eks anggota ISIS dan terduga teroris lintas batas - #Nasional</t>
  </si>
  <si>
    <t>Tolak kepulangan wni eks isi demi keamanan NKRI #TolakAnakISISKembali #TolakEksISIS</t>
  </si>
  <si>
    <t>Generasi Muda NU menolak dengan tegas Eks ISIS di pulangkan ke Tanah Air. Bukankankah katanya KHILAFAH Solusi Mengatasi Semua Masalah..? Kenapa Kalian Tidak Meminta Solusi Kepada Kokoh Felix Siauw..? . Follow…</t>
  </si>
  <si>
    <t>@WahabisLokal Yg ribut pingin pulangin rakyat isis djamin teroris jg</t>
  </si>
  <si>
    <t>RT @elbynz: Dikit2 salah inputlah,salah suratlah.. Dagelannya gak seru amat agh. #4niesKibul_CancelFormulaE #4niesKibul_CancelFormulaE Sekda DKI Akui Adanya Kesalahan Surat Rekomendasi Formula E ke Mensesneg  #LINETODAY</t>
  </si>
  <si>
    <t>RT @beritaKBR: "Ratusan WNI eks ISIS itu boleh-boleh saja ada di Suriah, tapi bukan berarti negara itu juga yang harus mengaturnya. Karena, mereka idulu menganggap ISIS itu negara, sehingga mereka pun berkewarganegaraan ISIS" ujar Guru Besar Hukum Internasional #ISIS</t>
  </si>
  <si>
    <t>WNI Kombatan eks ISIS Batal Dipulangkan, DPR: Perketat Pintu Masuk</t>
  </si>
  <si>
    <t>RT @ultrascanhumint: Kudin makamai: Dasuki ya nemi Kotu ta ba shi izinin tafiya duba lafiyarsa a kasar waje: KU KARANTA: Buhari ya yi alkawarin sake gina gidajen da Boko Haram ta kona a Auno tare da biyan fansa. Tun a shekarar 2015 ne aka gurfanar da ...  #terrorists #isis</t>
  </si>
  <si>
    <t>@Eno_Bening Wni kebal penyakit luar dalem</t>
  </si>
  <si>
    <t>Agung Laksono menilai, keputusan tak memulangan WNI eks ISIS membuat masyarakat Indonesia lega.</t>
  </si>
  <si>
    <t>Kudin makamai: Dasuki ya nemi Kotu ta ba shi izinin tafiya duba lafiyarsa a kasar waje: KU KARANTA: Buhari ya yi alkawarin sake gina gidajen da Boko Haram ta kona a Auno tare da biyan fansa. Tun a shekarar 2015 ne aka gurfanar da ...  #terrorists #isis</t>
  </si>
  <si>
    <t>Yg dibunuh ISIS itu muslim juga lho, ISIS ini sok tau, mereka menyatakan surga bagi kelompoknya, neraka bagi yang tidak sejalan, Belagak Tuhan Banget!</t>
  </si>
  <si>
    <t>TELL US ABOUT YOURSELF 1. Sakura/Tiwi 2. Single 3. banyak sih 4. Banyak cuy 5. WA 6. - 7. Kerja 8. WNI 9. 2 10. - 11. Kecoa 12. 2019 13. Fangirl 🌸 14. absurd DROP AN EMOJI I'LL SEND YOU THE QUESTIONS</t>
  </si>
  <si>
    <t>@kangmirdja @heniunique @aagym Yang jadi masalah.... Apakah dia setuju kalau tuhan itu ada atau tidak ? Kalau setuju...tak akan pula semua hanya sebatas bibir doang, masalalunyapunMENYEDIHKAN gegara keBOHONGAN... Andai saja dia percaya dan Yakin</t>
  </si>
  <si>
    <t>Ingat kekejaman ISIS #ISIS</t>
  </si>
  <si>
    <t>Pemerintah Pastikan Fasilitasi Pemulangan WNI Peserta Observasi dari Natuna #TauCepatTanpaBatas #BeritaTerkini #Berita #News #BeritaNasional .</t>
  </si>
  <si>
    <t>@_wni_ Bak bagi aku</t>
  </si>
  <si>
    <t>@mohmahfudmd Mohon pemerintah jgn terpengaruh oleh sebagian masyarakat yg meminta persetujuan pemulangan eks ISIS karena nanti mereka akan minta pemulangan Rizik juga. Masa ISIS dijemput Rizik tidak....</t>
  </si>
  <si>
    <t>RT @kangmirdja: Inget dulu si nenek RS ngomong soal kejujuran dan kebohongan di ILC gak lama kemudian muncul kasus hoax oplas ngaku digebukin. Si @aagym pun harus nya bercermin sebelum bicara kejujuran. Ntar kalau Allah balikin repot loh.</t>
  </si>
  <si>
    <t>Jadi gimana apa @BPIPRI bisa menjelaskan mana yg benar WNI eks ISIS atau... ISIS eks WNI? Agar diseragamkan istilahnya sehingga berita2 komentar2 tidak membingungkan. EDUKASI lah RAKYAT sesuai fungsimu sebagai Badan Pembinaan Ideologi Pancasila</t>
  </si>
  <si>
    <t>@3_devout @mohmahfudmd Pokoknya gak boleh itu ex WNI ISIS masuk lagi ke Indonesia mo apapun alasannya yeee kan kak...sampah peradaban buang jauh"lahh!!!!</t>
  </si>
  <si>
    <t>Aku Cinta WNI RT @kaorinusantara: 78 WNI di Kapal Pesiar Jepang Diamond Princess Negatif Virus Corona</t>
  </si>
  <si>
    <t>Dikarantina di Kapal Diamond Princess WNI Minta Dibawakan Tolak Angin dan Mi Instan  via @tribun_palu</t>
  </si>
  <si>
    <t>11 WNI Asal Gresik Bebas Corona, WNA Asal Tiongkok Tolak Diperiksa</t>
  </si>
  <si>
    <t>RT @maskisun: Berpura pura di depan musuh,menjadikan anak2 dan wanita sebagai perisai adalah sebagaian dari strategi isis. Mudah2an pemerintah bijak dalam mengambil keputusan dlm hal ini.apalagi doktrin ideologi itu memang gak mudah untuk di deteksi,apalagi pada anak2. #TolakAnakISISKembali</t>
  </si>
  <si>
    <t>Tolak Pemulangan WNI eks ISIS, Moeldoko: Mereka Stateless, Sudah Bakar Paspor  via @tribun_palu</t>
  </si>
  <si>
    <t>Sbg nakes yg merupakan garda trdepan, setiap hari kami memantau kesehatan smua WNA yg baru datang dr luar negeri maupun WNI yg datang dr luar negeri terutama China. Kami memantau slama 14hari. Alhamdulillah mereka dalam keadaan sehat😇 #COVID19 #coronadiantarakita #coronavirus</t>
  </si>
  <si>
    <t>Forum selamatkan nkri tolak pemulangan eks isis ke Indonesia #TolakAnakISISKembali</t>
  </si>
  <si>
    <t>@detikcom Pemimpin negeri ini menganjurkan idealisme kita untuk NKRI, hanya Semboyan. Ternyata mereka masih menanti kepulangan ISIS ke NKRI. Demi kekuasaan mereka masih berharap ANAK-ANAK ISIS bisa beraksi nantinya di Indonesia.</t>
  </si>
  <si>
    <t>RT @nkri_i: @AnakKolong___ @KPAI_official Antek2 ISIS, cm ngurusi KADRUN</t>
  </si>
  <si>
    <t>@AhlulQohwah @WagimanDeep @TyasZain @narkosun @arifbsantoso @amrudinnejad_ @rizieqdivist @1504ers @DjanChoek @Hanifah933 @JoniSukaPaha mungkin dia bukan WNI... mungkin dia warga Iran</t>
  </si>
  <si>
    <t>@hasmi_bakhtiar Yg sebenarnya mereka juga Saudara kita se bangsa dan setanah Air. Walau dalam keadaan apapun mereka saudara kita. Namun apa boleh buat Sepertinya +62 di kuasai oleh kelompok Anti WNI Pribumi</t>
  </si>
  <si>
    <t>Anies Menyambut Baik Kepulangan WNI yang Diobservasi di Natuna</t>
  </si>
  <si>
    <t>Gubernur Jateng tolak kepulangan warganya yang mantan isis #Tolakkepulanganwniisis #TolakAnakISISKembali</t>
  </si>
  <si>
    <t>Pertanyaannya: Sejak kapan ngabalin pintar .. 😂😂😂</t>
  </si>
  <si>
    <t>RT @MutyaMutia: Aksi masyarakat NATUNA Menolak WNI dari WUHAN hari ini 02-02-2020.. #RezimSarangKoruptor</t>
  </si>
  <si>
    <t>Tolak WNI eks ISIS #Radikalisme</t>
  </si>
  <si>
    <t>@CNNIndonesia @Kemlu_RI  Semua sehat berkat doa rakyat Indonesia~</t>
  </si>
  <si>
    <t>Anak dari ortu eks ISIS "dicap" sbg ISIS sehingga NKRI menolak, bagai mana dg anak KORUPTOR di NKRI? @mohmahfudmd @Fahrihamzah @zarazettirazr @DPR_RI @KPK_RI @permadiaktivis @jokowi</t>
  </si>
  <si>
    <t>@EvlyMasi @yoyen Bukannya kalo ala ISIS cukup pakai sms pun sudah cerai?</t>
  </si>
  <si>
    <t>RT @PengarangPublik: Dear Prens.. Ga usah kaget kl PKS paling getol mulangin ISIS.. Lah wong itu semua konstituen mereka.. Dibilang teroris ngambek, tp kelakuan belain muluk.. 😂😂😂</t>
  </si>
  <si>
    <t>RT @vinamvr: Tuuuh yg mau mulangin anak2 ISIS, suruh anak2 itu tinggal sama mrk, biar ngerasain nitemare!</t>
  </si>
  <si>
    <t>@AnakKolong___ @KPAI_official Antek2 ISIS, cm ngurusi KADRUN</t>
  </si>
  <si>
    <t>Nah ini yg tepat ISIS eks WNI mereka itu adalah warga isis bukan WNI lg kalo eks WNI itu di pulangkan maka hrs siap mau ga mau Indonesia pasti akan di suriahkan sblm itu trjdi jgn beri mereka jalan mantap pakde @jokowi @YRadianto @MahesaTiwi #UdahPutusinAja #DoktorHCPuanMaharani</t>
  </si>
  <si>
    <t>@_Amatullah18 @Negev52031680 @jrenk29 @mouldie_sep Dan bukan kah sekarang yg menyesal adalah ISIS? Mereka 2 tahun ini kocar-kacir tdk ada tempat bernaung. Para pemimpin ISIS juga telah menelantarkan para warganya yg telah hijrah ke daerah daesh itu.</t>
  </si>
  <si>
    <t>RT @aw3126: Masa observasi 14 hari #CoronavirusOutbreak #COVID19 thd 238 WNI dari Tiongkok di Pulau Natuna akan selesai Sabtu (15/2) pukul 12.00 WIB @BNPB_Indonesia @TVRINasional @RRIPrograma3 @RadioElshinta</t>
  </si>
  <si>
    <t>@_Amatullah18 @Negev52031680 @jrenk29 @mouldie_sep Saya sudah sering bertemu dengan simpatisan ISIS. Dan setelah saya berbicara dengan mereka, saya memang merasa janggal dengan argumen-argumen mereka.</t>
  </si>
  <si>
    <t>RT @penjelajahhh: @mohmahfudmd Sepakat Prof. Negara lebih baik mengurus anak2 WNI korban bom</t>
  </si>
  <si>
    <t>@ISIS_Balik_NO @HmfaqihA @mury_eko @aagym satu perahu.... mana mau Aa @aagym memberi nasehat kejujuran ke anies... yang ada cuma diam... sekarang....khan diam lebih baik.😅</t>
  </si>
  <si>
    <t>@V4nn @petergenerali8 @mohmahfudmd Mohon di maafken... belio gak paham singkatan ISIS dan arti nya dalam bahasa inggris....</t>
  </si>
  <si>
    <t>RT @dusrimulya: @ZweiSusanto @KanekiTerry @mohmahfudmd Tokoh2 Fretilin saat disidang krn Pemberontakan Timor Timur aja masih berstatus WNI Cabut status WNI itu gak sembarangan..ada UU nya</t>
  </si>
  <si>
    <t>Tuuuh yg mau mulangin anak2 ISIS, suruh anak2 itu tinggal sama mrk, biar ngerasain nitemare! RT @AnakLolina: Lihatlah video singkat seorang anak ISIS berbicara : "Kami akan membantaimu". Yang terbiasa menyaksikan &amp; melakukan pembunuhan mau di deradikalisasi? Siapapun kalian, ISIS jangan di jadikan panggung politik, mereka adalah musibah. #TolakAnakISISKembali</t>
  </si>
  <si>
    <t>Berbagi Coklat Disela Aksi, Perak Demokrasi Indonesia Nyatakan Menolak Pulangnya Eks WNI ISIS</t>
  </si>
  <si>
    <t>Ratusan WNI eks ISIS tak punya kewarganegaraan - more at  #Indonesia Moeldoko, Kepala Staf Presiden memberikan pernyataan bahwa sebanyak 689 warga negara Indonesia mantan anggota ISIS dinyatakan stateless, alias tidak memiliki kewarganegaraan. Pasaln...</t>
  </si>
  <si>
    <t>@kafiradikal Yg ditanya rezim yg mana yg bunuh WNI, kok jawabnya taliban? Emang banyak ya mujahid indonesia ke afghanistan? Halahalah mbut..</t>
  </si>
  <si>
    <t>@yndrptri @vreynalto Kan kalo gak pake jadi isis itunya gimana sih</t>
  </si>
  <si>
    <t>Damai Dalam Aksi, Perak Demokrasi Indonesia Jelas Tolak Eks WNI ISIS Kembali Pulang</t>
  </si>
  <si>
    <t>RT @RizmaWidiono: Anak2 WNI Eks ISIS banyak yg terlibat dlm gerakan teror krn mereka sdh dipersenjatai &amp; didoktrin secara ideologis. @KPAI_official mendingan kalian urus saja anak2 yg ngamen dilampu merah. Daripada ngurus anak2 WNI eks ISIS. #TolakAnakISISKembali</t>
  </si>
  <si>
    <t>RT @detere_re: @kompascom Sebatas wilayah jakarta saja uda ngeluh capek...???? kalau capek, serahkan saja jabatan mu @aniesbaswedan kepada @ustadtengkuzul yang masih semangat menaiki istri nya Uppsss... naik kuda maksud ane</t>
  </si>
  <si>
    <t>@SayaIndonesia07 @Jean_Aprilia97 @__AnonymA07 @4smara1701 @azumi_tsuyoshie @wakbagong_ @satuyangtakbisa @Riri17__Febri @Etekewer_Reborn @__hacknet @Wizard_Bulu_168 @VADUKA__KOLAK @hannarayliza Kalo muslim tau gmn siapa ISIS. Kalo kafir pasti seneng ISIS. Secara yg bikin CIA.</t>
  </si>
  <si>
    <t>RT @Metro_TV: #NewslineUpdate Pesawat yang mengevakuasi 238 WNI dari Hubei, Tingkok menjalani proses disinfeksi sesaat telah mendarat. Hari ini Batam Aero Tech mensosialisasikan rangkaian proses diinfeksi yang dilakukan</t>
  </si>
  <si>
    <t>Ini jelas. Pengadilan Singapura Jatuhkan Hukuman Penjara Kepada 2 WNI Penyandang Dana ISIS</t>
  </si>
  <si>
    <t>rada bangga jd wni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</si>
  <si>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@hallidii: @larasatityass Sars 'cuma' 2 wni jd korban. No, AC itu bikin perputaran udara gak ke mana2. Makanya penting buat buka jendela pas pagi hari biar sirkulasi udara baik. Bukan cuma virus, bakteri juga tinggi kan ac bikin lembap dingin2 gitu. Yg terbaik ttp yg alami percayalah...</t>
  </si>
  <si>
    <t>RT @Ari3Pras: @mohmahfudmd Bagi yg masih bertanya "apakah sebuah ISIS negara?", coba lebih rajin membaca dan belajar bahasa Inggris spy paham arti "Islamic STATE of Iraq &amp; Syria". #TolakEksWNIproISIS #TolakAnakISISKembali</t>
  </si>
  <si>
    <t>RT @Ari3Pras: @mohmahfudmd &gt; Ralat : "apakah ISIS sebuah negara?".</t>
  </si>
  <si>
    <t>Pemerintah Diminta Jangan Menggeneralisir Semua WNI Eks Kombatan ISIS</t>
  </si>
  <si>
    <t>RT @SusilawatiSisi2: @mohmahfudmd Klo sdh jls scr hukum artinya tdk perlu buang energi utk urus mrk..msh byk hal yg butuh dislesaikn di dlm negri..jaga rawat dn lindungi slrh WNI yg slama ini patuh/taat konstitusi NKRI.</t>
  </si>
  <si>
    <t>KPAI: Pemerintah Wajib Lindungi Anak-Anak Anggota ISis asal Indonesia</t>
  </si>
  <si>
    <t>RT @kaorinusantara: 78 WNI di Kapal Pesiar Jepang Diamond Princess Negatif Virus Corona</t>
  </si>
  <si>
    <t>#PrimeTimeNews Presiden RI imbau masyarakat untuk tidak resah menerima kepulangan 238 WNI yang telah jalani masa observasi di Natuna. Presiden sebut, Kemenkes sudah melakukan prosedur sesuai persyaratan WHO sehingga seusai observasi, peserta dapat dipastikan bebas virus corona.</t>
  </si>
  <si>
    <t>@larasatityass Sars 'cuma' 2 wni jd korban. No, AC itu bikin perputaran udara gak ke mana2. Makanya penting buat buka jendela pas pagi hari biar sirkulasi udara baik. Bukan cuma virus, bakteri juga tinggi kan ac bikin lembap dingin2 gitu. Yg terbaik ttp yg alami percayalah...</t>
  </si>
  <si>
    <t>@dusrimulya @DesiArfisi Kec RI mengakui ISIS negara berdaulat, maka wni ex isis bisa dianggap masuk tentara asing</t>
  </si>
  <si>
    <t>@meghaloey @AREAJULID Wni udh ada kena 1 orang, tapi dia tki di singapur</t>
  </si>
  <si>
    <t>@Arifin2Zainal @mohmahfudmd Jangan kepo urusi warga negara lain... WNI saja banyak yang tidak terurus dengan baik. WNI sudah bayar pajak.. WNI jelas warga Indonesia.. ngapain @hnurwahid @fadlizon @MardaniAliSera KEPO ? (Knowing Every Particular Object )</t>
  </si>
  <si>
    <t>Itu yg cowok2 calon2 tentara ISIS yg gk berperikemanusiaan. Anakku atau adekku atau keponakanku yg dperlakukan seperti itu " KELAR HIDUP LOE, LOE AND LOE "</t>
  </si>
  <si>
    <t>WNI fisik di buff tuhan tapi otak di nerf 😂 RT @CNNIndonesia: Pemerintah Jepang menyatakan sebanyak 218 penumpang kapal pesiar Diamond Princess terinfeksi virus corona. @Kemlu_RI pun menuturkan bahwa 78 orang WNI yang merupakan kru dari kapal pesiar tersebut dalam kondisi sehat dan negatif virus corona.  #CNNIndonesia</t>
  </si>
  <si>
    <t>@monokromantik @borsali00512599 @detikcom @detikfinance @susipudjiastuti Itulah ironinya Pr pemimpin yg bermimpi PLUS TERTAWA.. INDONESIA BISA !!! UDANG/LOBSTER Hidup Dilaut.. SUKU BAJO yg ASLI WNI non exWNI... HIDUP Dilaut &amp; BERKARYA NYATA di LAUT. Mreka ANAK BANGSA &amp;amp; SLALU ingin BERBUAT APIK &amp;amp; PATUT, Adakah yg salah MEMBERDAYAKAN ANAK BANGSA... ?!?</t>
  </si>
  <si>
    <t>RT @FachryAditya17: @black__valley1 Jangan di tiru, sangat berbahaya.</t>
  </si>
  <si>
    <t>@Drosopilla2 Kepada Orang timur kalau dapat pelaku rasis nya, tolong pijak2 pelaku nya sampai mulutnya gak bisa makan. Saya sebagai WNI wilayah barat sangat Mendukung.</t>
  </si>
  <si>
    <t>RT @HusinShihab: Setelah kombatan ISIS asal Indo distateless mohon dihimbau di perbatasan NKRI, khususnya perbatasan di Malaysia agar diperketat. Refugee saja gampang masuk lewat sana scr illegal yg gak ngerti bhs Indo, apalagi mrk yg bisa BAHASA. Cc: @jokowi @mohmahfudmd</t>
  </si>
  <si>
    <t>PBNU Dukung Sikap Tegas Pemerintah Tolak Pemulangan Eks WNI ISIS</t>
  </si>
  <si>
    <t>pas gw baca ni yg ngecek kesehatannya nihonjin berarti emg wni gen nya unik sendiri apa RT @CNNIndonesia: Pemerintah Jepang menyatakan sebanyak 218 penumpang kapal pesiar Diamond Princess terinfeksi virus corona. @Kemlu_RI pun menuturkan bahwa 78 orang WNI yang merupakan kru dari kapal pesiar tersebut dalam kondisi sehat dan negatif virus corona.  #CNNIndonesia</t>
  </si>
  <si>
    <t>@__Ndaru__ @mohmahfudmd Anak 2 dari WNI saja banyak belum terjamah Negara.. ngapain urusi warga ISIS? Jangan kepo negatur warga negara lain... (Knowing Every Particular Object).</t>
  </si>
  <si>
    <t>@larasatityass Dan andaikata kita 'survive' sama wabah ini, kayaknya sih emang bakal masuk penelitian. Sayang soalnya. Bayangin ada wabah mers di timteng dgn tingkat virulensi di atas 50 persen PLUS 1.4 jt wni bolakbalik ke arab setiap tahun, tapi kita masih baik2 aja :') alhamdulillaah...</t>
  </si>
  <si>
    <t>@kompascom KPAI ....lu yg asuh sana di Nusakambangan..mahasiswa2 dari China di blowup bikin takut resah , ini anjing2 ISIS eks WNI yg sadis krjam....(buta lu ...anak2 sama saja) ..</t>
  </si>
  <si>
    <t>RT @republikaonline: KPAI menilai perlu kajian mendalam soal anak-anak eks ISIS.</t>
  </si>
  <si>
    <t>RT @munthe_alfredi: @RinjaniJB @jokowi tolak semua ISIS</t>
  </si>
  <si>
    <t>RT @satoedoeasatoe: Apa bedanya org yg ikutan jd isis dgn org yg diam2 kerja utk agen rahasia mossad atau vatican? Jgn munafiklah....</t>
  </si>
  <si>
    <t>Pengamat Hukum Internasional UI Menolak Memulangkan ISIS Eks WNI, "Indonesia Tidak Melanggar HAM" Prof. Hikmahanto Juwana</t>
  </si>
  <si>
    <t>Presiden @jokowi Pastikan WNI di Natuna Sehat dan Siap Kembali ke Keluarga  via @beritabaruco @KSPgoid @KemensetnegRI @setkabgoid @JubirPresidenRI</t>
  </si>
  <si>
    <t>@_azmimi @WahabiLucu @felixsiauw Isis : eh njenk gosah teriak khilafah² Ini gw udh eksyen,loe bacot doank</t>
  </si>
  <si>
    <t>@bl4cksapphire @donysoer @aryosanjaya @Sabrina13579_ @zoepr406 @Sam_Ardi Itu kan kalau negara berdaulat. Yang kedaulatannya diakui oleh Indon. Memangnya kapan Indon pernah akui kedaulatan ISIS? Omz itu pendapat pesanan. Ndak usah kemakan. Sudah paling masuk akal mereka dipidana sesuai UU terorisme. diekstradisi. Masalahnya, pemerintah punya duit ga?</t>
  </si>
  <si>
    <t>Itu I nya islam apa isis? Jangan disamain RT @TirtoID: Front Jihad Islam Yogyakarta menolak adanya peribadatan di Hartono Mall yang terletak di Kecamatan Depok, Sleman, Yogyakarta. Mereka menyebut terdapat gereja ilegal yang digunakan sebagai tempat ibadah di dalam pusat perbelanjaan tersebut.</t>
  </si>
  <si>
    <t>Ada ya model kyak gini. Susah payah kerja hasilnya buat menyandang dana teroris !!</t>
  </si>
  <si>
    <t>RT @ArdianZA_099: @mohmahfudmd Setuju, Prof. Jadi kita tdk perlu repot dan sibuk ngurus Mantan WNI yg bergabung dg ISIS. Kalo perlu kita lawan dan tangkap yg menyusup ke Indonesia. Gak ada jaminan mereka taubat. Jd yg bela mantan WNI tsb, anggap bhw Setan tugas nya emg goda manusia. 260 juta rakyat kuatir</t>
  </si>
  <si>
    <t>Aku kalau business ni bankrupt teruk. HAHAHAHAHAHA</t>
  </si>
  <si>
    <t>@KBRITokyo Bujug yg di bawain tolak angin, nutrisari, ama mie sedap.mantap KBRI. Semiga seluruh WNI selalu sehat</t>
  </si>
  <si>
    <t>@evvevvv Gak ngarep jga wni kta ada yg kena, tp ini tuh bisa djadiin bahan penelitian kn yaa. Rata" negara ttangga ada kasus kan wlupn 1 kasus. Tp tolak angin bersama indomie kayanya emng lumayan ampuh 🤧</t>
  </si>
  <si>
    <t>Apa susah sangat kira duit banyak2 ni. Bodohnya aku tambah tolak darab bahagi je. Kira rc bar lagi senang la😭😭😭</t>
  </si>
  <si>
    <t>RT @kompascom: Viral foto makanan dan minuman kemasan yang tengah disortir oleh anak buah kapal Diamond Princess. Ini cerita KBRI Tokyo.</t>
  </si>
  <si>
    <t>RT @viviandeella: Sore mbk @IrmaHKds mbk @eka_dini722 @lucifferkicci @Bocah__koplak @iskandarAKA27 @Cobra_RiderRK2B @oroorodowo40 @jbondkw @KanjengRatuAyu1 @akangtukang @adamaguss @DadunAzis @Rezaa2121 @Anak_Saiton @Joker__Gantenk @DedeAndry4 @ecihireng @Edo_Shigeru</t>
  </si>
  <si>
    <t>RT @inesrinda: @mohmahfudmd Tidak perlu repot cari payung hukum untuk mereka yg bergabung je ISIS,, Minta Negara SURIAH Hukum Mati Mereka,, Maka Bangsa Indonesia Sudah Sangat Membantu Niat dan Cita2 Mereka Yg Luhur Sebagai Pejuang Syahid,,!!! Ingat Juga Pepatah,, "Buanglah Sampah Pada Tempatnya,"</t>
  </si>
  <si>
    <t>Conversation today Aku katane golek isis mas Lho opoo? Soale sumuk, golek isis</t>
  </si>
  <si>
    <t>@kafiradikal Tolong dijelasin jg yut, eks isis yg mau kembali itu bnyk anak2 yg blm paham apa2, cm ngikut ortunya ajah.. dan blm tentu jg si ortunya ikut bunuh2in org, krn bs jd mereka cm tertarik dgn konsep khilafahnya aja, mana tau klo ternyata barbar yg disono, makanya mau balik..</t>
  </si>
  <si>
    <t>@mohmahfudmd ISIS secara administratif berdasar pedoman hukum administrasi PBB, tdk di akui sbg negara otomatis tdk tercatat sbg anggota PBB, di kategorikan kriminal trans nasional menyalah gunakan agama sebagai dasar utk berjalan.mantan ISIS secara hukum internasional tdk punya negara.</t>
  </si>
  <si>
    <t>RT @SusilawatiSisi2: @MakNyus_xx @mohmahfudmd @KomnasHAM Intinya mrk sdh bukan WNI, slain yg dilakukan jg bertentangan keras dg HAM.. klo ditarik kembali sm sj dg menarik penjahat2 dr ngr lain ke Indonesia.. Kewarganegaraan yg otomatis hilang itu jawaban jelas terhdp hukum yg berlaku di Indonesia.</t>
  </si>
  <si>
    <t>@ysmiiiiine Virusnya jiper didepan WNI wkwk</t>
  </si>
  <si>
    <t>@ngurahsaka @kafiradikal @SoundOfYogi Gini bro, awalnya lu kan nuduh iyut pendukung isis, kemudian dengan logika yang sama iyut balikin nuduh lu Islamophobia. Ini udah fair. Itumah typo doang, gua bantuin balik ke substansi.</t>
  </si>
  <si>
    <t>Keknya emang wni tuh resisten corona apa gmn RT @CNNIndonesia: Pemerintah Jepang menyatakan sebanyak 218 penumpang kapal pesiar Diamond Princess terinfeksi virus corona. @Kemlu_RI pun menuturkan bahwa 78 orang WNI yang merupakan kru dari kapal pesiar tersebut dalam kondisi sehat dan negatif virus corona.  #CNNIndonesia</t>
  </si>
  <si>
    <t>@DjanChoek @randualit 😂 kkp sekarang kan laen bang....seimin</t>
  </si>
  <si>
    <t>ISIS itu bukan negara, tapi organisasi, jadi nanti kalau ada WNI yg bertobat dan pulang ke Indonesia, maka warga negara tak hilang. Itu yg dilakukan Rusia dan negara lain yg mau menerima mantan ISIS berkewarganegaraan masing2 RT @Cobeh09: = Prof. Gayus Lumbuun Sebut Ngabalin Bodoh ! = Terkait Kasus WNI Ex ISIS. -Prof. Gayus : "Harus Lewat Proses Pengadilan !" -Ngabalin Tertawa Ngekek -Prof Gayus : "Kok Ketawa ? Gak Perlu Ketawa, Itu Anda Ketawa Yang Bodoh." .</t>
  </si>
  <si>
    <t>@khoirul_adhim @AhlulQohwah @BadjaNuswantara Setuju mas, itulah yg saya tentang. Perkara HAM atas anak2 pengikut ISIS saya pikir bisa diabaikan, Krn ISIS sdh ideologi yg dibungkus agama.</t>
  </si>
  <si>
    <t>@kafiradikal Emang, keluarga eks isis itu otomatis ikutan bunuh orang? Ikutan jadi tentara isis? Tau darimana?</t>
  </si>
  <si>
    <t>@RinjaniJB @jokowi tolak semua ISIS</t>
  </si>
  <si>
    <t>@wahhabicc_jabar @KPAI_official Gw pribadi kasih usul KPAI harus hadir ke suriah untuk memberi teguran ke ISIS,dan kalau berhasil semua negara akan ber tekuk lutut ama KPAI, hanya inspirasi aja knp ga dicoba, KPAI jg punya peran penting</t>
  </si>
  <si>
    <t>RT @orindosinaga: @N1ngW4ng1 Gw pribadi dorong PKS aja yang pindah ke negara isis membina mereka siapa tau mereka bisa insaf,1000% saya dukung semua kader2 nya berangkat kesana temuin isis trus bina deh mereka yah.please PKS is tje best</t>
  </si>
  <si>
    <t>Pasti para penumpang wni telah disuntik imunisasi dari sejak lahir. RT @CNNIndonesia: Pemerintah Jepang menyatakan sebanyak 218 penumpang kapal pesiar Diamond Princess terinfeksi virus corona. @Kemlu_RI pun menuturkan bahwa 78 orang WNI yang merupakan kru dari kapal pesiar tersebut dalam kondisi sehat dan negatif virus corona.  #CNNIndonesia</t>
  </si>
  <si>
    <t>KEPALA STAFF KEPRESIDENAN MOELDOKO MENEGASKAN. .... ""BERANI PULANG KE INDONESIA, EKS WNI SIMPATISAN ISIS AKAN DIADILI. ...."" NACH LHO. .... 👍👍🇮🇩🇮🇩 Berani Pulang ke Indonesia, Eks WNI Simpatisan ISIS Akan Diadili</t>
  </si>
  <si>
    <t>@ISIS_Balik_NO @randualit Kata si Anu ahok gak ada benarnya 🤦 Hahhaa...janganlah ntar dianggap pencemaran oleh KKP</t>
  </si>
  <si>
    <t>#PrimeTimeNews Sivitas akademika Unesa siap menerima 8 mahasiswa yang ikut observasi di Natuna usai dievakuasi dari Wuhan, Tiongkok. Wakil Presiden RI juga mengimbau agar seluruh masyarakat menerima kepulangan WNI usai jalani observasi dari Natuna.</t>
  </si>
  <si>
    <t>RT @kompascom: Menyiagakan aparat berwajib untuk melakukan kontrol penuh di seluruh pintu masuk negara. Blokir semua jalur masuk," ujar dia. &gt; #Nasional</t>
  </si>
  <si>
    <t>RT @Je_Ly: Kalo pemerintah sudh tegaskan tolak Ex WNI ISIS, plz #TolakAnakISISKembali juga. Anak2 tsb sdh dicuci otak u/ terbiasa melakukan tindakan2 terorisme. Apa yg sdh tertanam sjk kecil bagai fondasi. Bisa sj 4-5th berikutnya lupa, tp bisa pd saat dewasa memorinya kembali. Bahaya. 😑</t>
  </si>
  <si>
    <t>Koresponden, Aditya Aksani melaporkan, jelang berakhirnya masa observasi dan kepulangan WNI di Natuna. #CNNIDConnected</t>
  </si>
  <si>
    <t>@Ndrews1162011 @SeptiadiAndrie @HeroeWhiteMachy @kafiradikal Wkwkwkwk 🤣 ngakak doa kafir mana di kabulin, yg lu bilang eks isis itu aja kebetulan karena cuma cari aman, sedangkan doa kafir yang di tolak banyak 🤣🤣</t>
  </si>
  <si>
    <t>Buat Fadli Zonk dan anteknya Komnas HAM.. Rakyat Indonesia menentang Kombatan isis dan keluarganya kembali ke Indonesia..klo elo kasian Ma teroris itu elo aja yg nyusul ke sono dan tinggal di sono @fadlizon</t>
  </si>
  <si>
    <t>RT @RiriJreeng: Korban bom : Senyum bahagianya sudah pulih kembali.. Dan yg disana ex isis ingin kembali.. ooh tidak..🤭 #TolakAnakISISKembali</t>
  </si>
  <si>
    <t>RT @hilyatul_afifah: Subhanallah. Sang Pejuang yang sesungguhnya. Membuat takut setiap prajurit ISIS yg katanya "mujahid" itu. Dan juga membuat takut Amerika dan Israel. #vrevenge #QassemSoleimani #Iran #Iraq #Israel #America #UnitedNations</t>
  </si>
  <si>
    <t>@winchiet03 @ayusentris2 Ini persentasenya jauh lebih kecil lagi mba. 258 WNI berbanding sekitar 11 juta lebih penduduk kota Wuhan, alias 0,002 persen. 😅</t>
  </si>
  <si>
    <t>RT @AndryWaseso: @aipsun mau direkrut jd ISIS.</t>
  </si>
  <si>
    <t>@__Ndaru__ @hendri92189000 @smallmelville @Wawanda @dusrimulya @mohmahfudmd Militan ekstrimis itu definisi apa pak? ISIS : Islamic State of Iraq and Syiria. Maksud state apa disini pak? Ngerti gak artinya pak?</t>
  </si>
  <si>
    <t>#MPR: The International Islamic Forum Tolak ISIS - SenayanPost  #Demokrasi #Indonesia</t>
  </si>
  <si>
    <t>Viral foto makanan dan minuman kemasan yang tengah disortir oleh anak buah kapal Diamond Princess. Ini cerita KBRI Tokyo.</t>
  </si>
  <si>
    <t>RT @PodcastSumbu: EPS 48: ISIS Boleh Pulang Tapi........ . Bergejolak di suriah kecemasan dan rindu tanah air, jelas pasti pas pulang sehabis berjuang kangen nasi padang dong langsung terbayang lezatnya tunjang, rendang &amp; ayam pop.</t>
  </si>
  <si>
    <t>@dusrimulya @mohmahfudmd Eks isis masuk indonesia bahaya itu. Bisa2 radikalisme dan terorisme akan marak di indonesia. Jgn biar kan eks isis masuk indonesia</t>
  </si>
  <si>
    <t>Ngabalin mengatakan bahwa mereka para kombatan ISIS adalah manusia pembohong dan tidak boleh lagi menginjak republik ini. Setujukah Anda? Tonton lagi #OPSIMetroTV eps Eks ISIS: yang Pergi, Perlukah Kembali? di youtube OPSI. Jgn lupa subscribe! #eksisisyangpergiperlukahkembali</t>
  </si>
  <si>
    <t>Tdk setuju Setuju kalo Ex WNI Angg isis dan Hrs ga usa pulang selamax @ustadtengkuzul @ustadtengkuzul RT @ustadtengkuzul: Setujukah anda BPIP dibubarkan...?</t>
  </si>
  <si>
    <t>Masih mikir kok bisa WNI gak kena lho padahal satu kapal ? Kok bisa ? 🤔🤔🤔 RT @CNNIndonesia: Pemerintah Jepang menyatakan sebanyak 218 penumpang kapal pesiar Diamond Princess terinfeksi virus corona. @Kemlu_RI pun menuturkan bahwa 78 orang WNI yang merupakan kru dari kapal pesiar tersebut dalam kondisi sehat dan negatif virus corona.  #CNNIndonesia</t>
  </si>
  <si>
    <t>Kalo #valentinebukanbudayakita lalu apa artinya Arrahman dan Arrahiim? Oiyaa maap, di ISIS emang tdk ada kasih sayang, krn semua perempuan adalah budak sex! Dasar Kaplak (Kadrun Koplak)! #CoronavirusOutbreak #ValentineBudayaIslam #4niesKibul_CancelFormulaE</t>
  </si>
  <si>
    <t>DPR Nilai Pisahkan Anak-Anak ISIS eks WNI Bisa Timbulkan Masalah Baru</t>
  </si>
  <si>
    <t>@kompascom Ya ibu aja yg nampung dan urus semua anak” isis itu, mau ya?!</t>
  </si>
  <si>
    <t>@aipsun mau direkrut jd ISIS.</t>
  </si>
  <si>
    <t>@KadrunGeblek Yg setuju memulangkan eks wni isis adalah pendukungnya.</t>
  </si>
  <si>
    <t>238 WNI Peserta Observasi di Natuna Pulang Besok, Jokowi Imbau Masyarakat Tak Takut: Tak Ada Masalah,</t>
  </si>
  <si>
    <t>@kajumski Aneh ya WNI di Cruise ship itu gak ada yang kena, gak paham aku opo kebiasaan kemproh membangun imunitas???</t>
  </si>
  <si>
    <t>RT @vincent_ves: Mereka beradu kata.. Mereka beradu misi.. Mereka terlihat berbeda.. . ((rambut putih)) idola kita 💖💖  @SalmaBrecht @4Y4NKZ @03__nakula @NotesofMila @CH_chotimah</t>
  </si>
  <si>
    <t>@aewin86 @ISIS_Balik_NO @aniesbaswedan Masak kalah sama Ahok @basuki_btp yang sudah buka data operasional Pertamina? Atau memang beneran Ahok lebih baik dari anda om @aniesbaswedan?</t>
  </si>
  <si>
    <t>@klelur028 @spiderr__matrix Ternyata hinaan pendukung si m4nies pada pak jokowi tukang mebel....bikin ngiler si abud juga</t>
  </si>
  <si>
    <t>RT @wisanggeni_084: Tingkatkan kewaspadaan kita semua akan masuknya simpatisan ISIS melalui berbagai cara... Salah satunya melalui jalur pengungsi... Jangan sampai kecolongan kisanak... #TolakAnakISISKembali</t>
  </si>
  <si>
    <t>@N1ngW4ng1 Gw pribadi dorong PKS aja yang pindah ke negara isis membina mereka siapa tau mereka bisa insaf,1000% saya dukung semua kader2 nya berangkat kesana temuin isis trus bina deh mereka yah.please PKS is tje best</t>
  </si>
  <si>
    <t>@RiuUtomoRizki @hnurwahid Bginilah gerombolan pks yg slalu menghasut dgn bawa2 agama. Waspada isis dalam bentuk parte</t>
  </si>
  <si>
    <t>@__Ndaru__ @hendri92189000 @smallmelville @Wawanda @dusrimulya @mohmahfudmd Dalih mana yg tdk memiliki dasar? Terlibat terorisme itu fakta bukan dalil masbro.. Situ sehat? Sebutkan negara mana yg tdk mengganggap ISIS adalah terorisme?</t>
  </si>
  <si>
    <t>RT @LusiHQ: WNI ANGGOTA ISIS bicara HAM? HAM masyarakat Indonesia untuk hidup tenang tolong dihargai juga ya. 1 orang dr mereka berpotensi membunuh puluhan orang. Jangan sampai mendahulukan HAM anggota ISIS dengan mengorbankan HAM warga sipil di sini.</t>
  </si>
  <si>
    <t>@detikcom @KPAI_official Nah boleh lah ngurusin ini, daripada ngurusin anak isis...</t>
  </si>
  <si>
    <t>RT @KadrunHunter99: Demi Formula Ecek2 ini, 4nies &amp; Kroni2nya tega mengibuli Publik, entah apa maksudnya, yg pasti dana yg dikeluarkan utk bongkar pasang lintasan Formula E ini mencapai 1,6 Triliyun, sekali event..Ingat, sekali Event (renc 5 kali) #4niesKibul_CancelFormulaE</t>
  </si>
  <si>
    <t>@Obi_AIm Bukan WNI eks ISIS klo mnurutku.. Tapi ISIS eks WNI..</t>
  </si>
  <si>
    <t>@CNNIndonesia @Kemlu_RI Sumpah yah, ini kru ada WNI 78 orang, yg cek pihak otoritas jepang, dan WNI kita gak ada yg terinfeksi........... Orang Indonesia punya gen apa anjeeeeer??!! Kekuatan tolak angin ama freshcare apa yah??!!</t>
  </si>
  <si>
    <t>RT @masblack: @Inu_Yasha13 @AnakKolong___ @KPAI_official Pemerhati anak isis yg dpt komisi</t>
  </si>
  <si>
    <t>@kompascom @KPAI_official Ngapain sik mikirin isis...itu loh di pinggir jalan masih banyak yang jdi korban eksploitasi anak...yg ada aja keleleran kok...</t>
  </si>
  <si>
    <t>@faizaufi Gila, wkwkwk wni beneran kebal corona</t>
  </si>
  <si>
    <t>@detikcom mereka ingin pulang ke indonesia bukan karena sadar atau insaf ya catet tp karena isis kalah</t>
  </si>
  <si>
    <t>@adityafachry98 Kalau pemerintah jadi pulangin wni ex isis insyaAllah ga jadi sia2 bang,,,</t>
  </si>
  <si>
    <t>@DjanChoek @randualit Gak salah Ahok dulu kan ? Yg kualitas begini.....tenggelamin di pantai reklamasi</t>
  </si>
  <si>
    <t>RT @fadlanous: Ini orang-orang pas baca twit ini langsung pada bilang seolah-olah orang Indonesia hebat banget.. padahal jumlah WNI di kapal itu memang kecil. 78 dari 3711 penumpang alias cuma 2%. Jumlah penumpang yg terinfeksi sendiri cuma 5% dari total penumpang. 🤦‍♂️🤦‍♂️</t>
  </si>
  <si>
    <t>@AtikaFaya Lagian ngapain urus ank Isis....ank yg dri perut sdh di didik menjadi Bangsat...yg ada mlh bikin Runyam aja.....mending urusi ank2 yg normal dan wajar sebagai ank2</t>
  </si>
  <si>
    <t>Astagfirullah lbh dari binatang. Isis sadis banget. Katanya khilafah tp kok sadis. Dimana ada agama yg mengajarkan membunuh manusia untuk dimakan. #TolakEksWNIproISIS #4niesKibul_CancelFormulaE</t>
  </si>
  <si>
    <t>Perak Demokrasi Indonesia : Saatnya Dukung Pemerintah, Tolak Eks WNI Kombatan ISIS Kembali Lagi</t>
  </si>
  <si>
    <t>@Goegoen20 @mohmahfudmd Lebok siah isis 😁😁😁</t>
  </si>
  <si>
    <t>@lulu_lantah @BKNgoid Diaspora itu WNI yg ada d luar negeri..yg daftar CPNS</t>
  </si>
  <si>
    <t>RT @SammiSoh: Fadli Zon katanya mendukung pemerintah via rencana awal si inkompeten Fachrul Razi dlm pemulangan 689 ISIS eks WNI Fadli Zon: Gara-gara Menteri Agama Apa gak bisa @jokowi singkirkan si Menag gak tahu kerja ini?  via @tribunnews</t>
  </si>
  <si>
    <t>@bangtoyib1818 @AnakKolong___ @KPAI_official Anak ISIS ada dananya ,,</t>
  </si>
  <si>
    <t>Prof. Hikmahanto Juwana (Pengamat Hukum Internasional UI) "Menolak Memulangkan ISIS Eks WNI, Indonesia Tidak Melanggar HAM"</t>
  </si>
  <si>
    <t>@Bronktho @dusrimulya @mohmahfudmd Kek orang kampung lu yg banyak ikut isis deh.. makanya gua bilang bodoh amat, suku gua keknya Ngak ada yg ikut isis, kompor 😀😀</t>
  </si>
  <si>
    <t>Komisi Perlindungan Anak ISIS</t>
  </si>
  <si>
    <t>RT @Coffee2Talks: Pemerintah pastikan menutup seluruh jalur masuk ke Indonesia untuk para WNI eks ISIS termasuk jalan tikus perbatasan. #TolakWNIEksISIS #TolakEksWNIproISIS</t>
  </si>
  <si>
    <t>Ada anak indonesia disana ? Gimana pak @hnurwahid @MardaniAliSera masih ngotot bawa pulang Eks WNI ? RT @baru_kaya: Untuk yang bilang akan mempertimbangkan anak2 ISIS eks WNI akan dipulangkan, mungkin vidio ini bisa jadi pertimbangan Jangan sepelekan anak2, mereka sdh dicuci otaknya dan terlatih</t>
  </si>
  <si>
    <t>RT @Widyarenee: Budaya kita bukan Valentine. Budaya kita riweuh 600 ISIS nun di ujung arab. Puun hilang 200 biji, bodo amat. 1000 gereja dibakar dirusak, EGP. Mbuuh.</t>
  </si>
  <si>
    <t>@Udinosiswoyo Daftar menjadi militan isis , karena sudah punya 2 bidadari , dan mau masuk surga lebih dalam</t>
  </si>
  <si>
    <t>@sunankaliblanak @AnakKolong___ @KPAI_official Setuju Bang.. Afganistan, Iraq hancur lebur dari negara makmur dan indah menjadi berantakan masa depan tidak jelas akibat ISIS ini. Kekayaan alam mereka berupa minyak habis di ambil tanpa daya maupun hasil untuk rakyatnya.. habis buat perang dan korupsi. #TolakEksWNIproISIS</t>
  </si>
  <si>
    <t>@WahabisLokal Ngakak baca header @CNNIndonesia "Istana: 689 WNI Eks ISIS Stateless"; Begok banget, kalau stateless ya bukan WNI! Lagipula pigimana bisa tahu mereka EX ISIS! Yg jelas status mereka Ex WNI;</t>
  </si>
  <si>
    <t>@larasatityass Berkali2 gue bilang, 270 jt wni di seluruh dunia, hanya 1 yg sakit itu pun di sin dan dalam kondisi stabil. Gue gak mau takabur, but, virus ini kayaknya gak cocok sama org indo. Kalo pun kena, gak bikin sakit.</t>
  </si>
  <si>
    <t>@mohmahfudmd Sebagai orang Minangkabau gua pengin tahu ada Ngak orang Minang ikut isis, kok firasat gua berkata yg ikut isis kebanyakan dari... Lu isi sendiri dah 😁😁😁</t>
  </si>
  <si>
    <t>RT @P3nj3l4j4h_id: Guru besar hukum UI saja sudah ngomong begini trus kita masih mau mereka pulang dg alasan anak dan bisa di ubah..😴 Jangan ngimpi ngerubah anak anak isis! #TolakAnakISISKembali</t>
  </si>
  <si>
    <t>RT @samhudibae: ADA APA DENGAN FADLI ZON Sempat terpikirkan kenapa Fadli Zon begitu ngeyel bersuara menginginkan eks WNI ISIS pulang ke Indonesia..? Ternyata Fadli Zon salah satu donatur untuk Pemberontakan ISIS di Suriah. #TindakTegasIntoleran</t>
  </si>
  <si>
    <t>@Kemlu_RI integritasmu diuji... terhadap anak2 WNI eks ISIS...</t>
  </si>
  <si>
    <t>RT @dedeimran: @kompascom komisi corong ISIS, bubarkan</t>
  </si>
  <si>
    <t>RT @twitpos: Tiga hak WNI eks ISIS menurut mantan Hakim Agung Prof. Gayus ~ Hak kembali ke Indonesia ~ Hak diusir ~ Hak Meminta kembali menjadi bagian dari WNI #HakWNIEksISIS</t>
  </si>
  <si>
    <t>@Slox_aqw @EliteXChab hoep i wni</t>
  </si>
  <si>
    <t>@kompascom Komisinya para kadrun...siapa emang yg menyuruh kembali?...angkat terus isu anak2 ISIS itu,anak teroris kalian perhatikan,tp banyak penganiayaan anak disini kalian cuek...kan j*ncuk namanya</t>
  </si>
  <si>
    <t>689 WNI Eks Kombatan ISIS, Akan Dicekal Imigrasi Masuk Ke Indonesia  via @officials_BS</t>
  </si>
  <si>
    <t>@CNNIndonesia @Kemlu_RI Jangan jangan sebenernya 78 WNI kru kapal itu kena virus corona, cuman jepang boong aja biar nanti pas mereka pulang indo nularin corona ke semua penduduk indo, jadi nanti orang indo mati semua</t>
  </si>
  <si>
    <t>@iamirham_ @yunartowijaya @aniesbaswedan Eh Bambang, si Toto emg kritis jg kok ke Pak Joko, wkt Pak Joko ngmg "kalo saya pribadi sih, saya gk bakal ijinin wni eks isis utk pulang" , Mas Toto kritik Pak Joko kok, kl Pak Joko kan sbg Presiden bs memutuskan.</t>
  </si>
  <si>
    <t>RT @RA_drtjiptaning: Anggota Komisi IX @DPR_RI Ribka Tjiptaning berharap tdk ada perilaku diskriminatif kpd WNI yg tlh menjalani proses observasi pasca evakuasi dari Hubei, China. Ia khawatir para WNI yg tlh diobservasi jg mndpt penolakan dr warga di kampung halamannya. #RTP</t>
  </si>
  <si>
    <t>RT @jawapos: Negatif Virus Korona, 78 WNI di Kapal Diamond Princess Minta Mi Instan</t>
  </si>
  <si>
    <t>Krn maling tidak akan pernah mau anak istrinya mengikuti jejaknya. Sedangkan isis punya doktri ideoligi yg mana semua pengikutnya ingin keluarganya, anak istri nya ikut dan mengikuti serta meneruskan perjuangannya. Krn mrka menganggap berjuang bersama ISIS adalah jalan jihad.</t>
  </si>
  <si>
    <t>@KompasTV Hukum aja, jangan biarka. Pengikut isis menyebar</t>
  </si>
  <si>
    <t>RT @KelianBanjar_GK: Pada kasian ke anak isis padahal mereka berkukuh pada ideologi mereka yang disulut kebencian apakah tidak ada yg kasian ke anak suriah yg kini terpaksa jadi yatim piatu karna kebrutalan dan kekejaman ISIS ? #TolakAnakISISKembali</t>
  </si>
  <si>
    <t>@fadlanous @ayusentris2 Tapi barusan liat berita 258 WNI (yang dari Wuhan) yang dikarantina di Natuna kemarin dinyatakan bebas Corona oleh pemerintah, Yu</t>
  </si>
  <si>
    <t>@black__valley1 @Arya29449000 Nah loh,baru tau rasa ya di integrasi sama pak polisi kan?makanya jadi anak jgn jahat,kelihatan mukamu lugu dan baik ya.tapi kelakuanmu arogan udah seperti ISIS kejam</t>
  </si>
  <si>
    <t>Sekjend DPP PKB @emhasanuddin memberikan sambutan dan membuka acara diskusi Reboan DPP PKB dengan Tema “Kombatan ISIS tidak dipulangkan, what’s next ???” dikantor DPP PKB Jakarta. Rabu, 12 Februari 2020. Narasumber…</t>
  </si>
  <si>
    <t>Biarkan negara yang bersangkutan yang mengadili mereka. Dan negara punya tanggung jawab utk memberikan keamanan kpd seluruh masyarakat sipil tdk berdosa. Dan ingat doktrin ideologi perlu dicatat dsni.  RT @ariel_heryanto: Di dunia ini ada orang baik dan pejahat. Ada yang di dalam dan luar pemerintahan. Jika ini negara hukum, sebelum ada vonis berat pada warga, seharusnya ada proses penyidikan &amp; pengadilan yang adil, terbuka dan sah. Bukan sekedar mengikuti tekanan massa.</t>
  </si>
  <si>
    <t>Jalan-jalan sore naik motor keliling isis</t>
  </si>
  <si>
    <t>YBHI Minta Pemerintah Mendata Anak Eks ISIS #ybhi #isis #merahputih</t>
  </si>
  <si>
    <t>78 WNI di Kapal Pesiar Jepang Diamond Princess Negatif Virus Corona</t>
  </si>
  <si>
    <t>@HipHop74934648 @Julia_Zeed @3_devout @Mun4fikunn @amandagempita @WR_4AG226 @haibebyjo @P3nj3l4j4h_id @ephraym8 Gw dukung anak anak isis dibawa balik ke indonesia mak bapanya mah biarin aja mau dimatiin jg</t>
  </si>
  <si>
    <t>@Fahrihamzah @OfficialiNewsTV @irakoesno @tika_herlambang Lagi cari Dana Dari simpatisan isis</t>
  </si>
  <si>
    <t>@FunJunkies Blom tau mereka, Indonesia itu sarang segala minyak penumpas segala macam sakit. Dari mulai minyak kayu putih, minyak kemiri, minyak telon, minyak tawon, minyak karo, minyak bulus sampai yg terbaru minyak kutus2. Coba cek aja bawaannya yg WNI, salah satunya pasti dibawa 😆</t>
  </si>
  <si>
    <t>RT @SoundOfYogi: Mengenai pemulangan ex ISIS, gue rada2 paham kenapa ini menjadi hal yg serba salah - sebuah utas yg gak diminta sama siapapun-</t>
  </si>
  <si>
    <t>@Ndrews1162011 @HeroeWhiteMachy @kafiradikal Kesian deh lo pki ....teriak" isas isis radikal radikul tapi tetep aja stigma Busuk gak pernah lepas dr masa ke masa 😂</t>
  </si>
  <si>
    <t>RT @BadjaNuswantara: Pemerintah tdk perlu beri ruang opsi pemulangan ex WNI pro ISIS. Tdk baik memisahkan anak2 dg org tuanya. Justru anak bisa jd dendam jika dipisahkan dg ortunya. Smtara mrk pasukan terlatih yg mampu membunuh tanpa rasa menyesal. #TolakAnakISISKembali</t>
  </si>
  <si>
    <t>Faktanya memang belum ada WNI yang terjangkit Virus Corona/COVID 19, ini cukup meragukan bisa jadi memang Indonesia belum ada alat-alat yang benar-benar bisa mendeteksi virus tsb atau memang sistem imune dari orang indonesia itu yang memang kuat melawanny? #coronavirusupdate</t>
  </si>
  <si>
    <t>238 WNI dari Wuhan yang Dikarantina di Natuna Dipulangkan Besok, Masyarakat Diimbau Tak Khawatir</t>
  </si>
  <si>
    <t>RT @edwin_basuki: @KBRITokyo Apapun penyakitnya,tolak angin obatnya..asiaaap..salam untuk semua WNI disana pak.</t>
  </si>
  <si>
    <t>RT @Officials_BS: Warga negara Indonesia yang menjadi anggota atau simpatisan ISIS ini akan dicekal oleh pemerintah sehingga tak bisa pulang ke Indonesia.</t>
  </si>
  <si>
    <t>RT @mediaindonesia: 238 WNI di Natuna Dipastikan Sehat dan Siap Kembali ke Keluarga</t>
  </si>
  <si>
    <t>@KPAI_official melindungi anak Indonesia dari virus" eks isis juga menjadi HAN anak" Indonesia #TolakEksWNIproISIS</t>
  </si>
  <si>
    <t>@ustadtengkuzul Setuju...karena mereka membela isis.</t>
  </si>
  <si>
    <t>Warga negara Indonesia yang menjadi anggota atau simpatisan ISIS ini akan dicekal oleh pemerintah sehingga tak bisa pulang ke Indonesia.</t>
  </si>
  <si>
    <t>RT @SoundOfYogi: Gue gak bisa ngeliat ex - kombatan ISIS itu sebagai manusia yg normal, I mean, kalo normal ya gak masuk ISIS sih.... Nah kalo lo mau belain mereka dengan alasan HAM, YA BODO AMAT ANJIR Itu orang2 yg nginjek2 HAM orang laen pas lagi punya power, dan mau tereak2 HAM</t>
  </si>
  <si>
    <t>Jika akal yg tidak sehat ya kaya gini sekolah buat cendol bicara buat idol ya ngak nyambung tolol ...</t>
  </si>
  <si>
    <t>@gede_vanlaere1 @WR_4AG226 Biar deh UU berkata apa yg penting rakyat Indonesia ga setuju mereka balik. Lagian mereka balik krn isis kalah. Coba klo isis menang, pasti mereka brani ngancem2 kita.</t>
  </si>
  <si>
    <t>Baca selengkapnya di #AntaraNews #Politik #Pemerintahan #ISIS</t>
  </si>
  <si>
    <t>Namun, Pemerintah akan mempertimbangkan anak-anak berusia di bawah 10 tahun #Politik #Pemerintahan #ISIS</t>
  </si>
  <si>
    <t>Pemerintah ingin memberikan rasa aman kepada 267 juta rakyat Indonesia #Politik #Pemerintahan #ISIS</t>
  </si>
  <si>
    <t>Pemerintah Putuskan Tak Akan Pulangkan WNI Eks ISIS #Politik #Pemerintahan</t>
  </si>
  <si>
    <t>RT @SoundOfYogi: Oke gini, kalau pemerintah memutuskan untuk nenerima ex ISIS kombatan, udah jelas banget keamanan negri ini jadi menurun kualitasnya I mean, lo mungkin bisa deradikalisasi 90% dari mereka, tapi 10% itu bisa aja mengambil nyawa orang laen yg gak berdosa</t>
  </si>
  <si>
    <t>@boy_185 @ustadtengkuzul Isis dan sistim khilafahnya lebih dari pki.</t>
  </si>
  <si>
    <t>@fotos_ultras Secc. ISIS</t>
  </si>
  <si>
    <t>IDI Minta Pemerintah Tetap Pantau 238 WNI yang Sudah Dikarantina di Natuna  #coronavirus</t>
  </si>
  <si>
    <t>@amandrug Kebal ya wni, pake dukun sih 🤪</t>
  </si>
  <si>
    <t>Hampir 700 WNI dr Suriah stateless tanpa prosedur hukum dg asumsi akan menjangkit paham jihadis ISIS jika dipulang ke Indonesia. Ratusan rb rakyat china yg berideologi KOMUNIS sepanjang zaman dimasukan ke Indonesia dg asumsi kerjasama ekonomi . Waras tdk itu Puang @msaid_didu ? RT @msaid_didu: Bayangkan di kota saja TKA ilegal sangat nyata, bagaimana yg di Kalimantan, Sulawesi, Maluku, dan Papua yg jauh dari pengawasan ?</t>
  </si>
  <si>
    <t>WNI dari Wuhan, China, menjalani observasi di Natuna, Kepulauan Riau. Mereka turut berbagi cerita tentang persiapan kembali bertemu keluarga, setelah hampir dua pekan menjalani observasi. #Video #KawandalamPerubahan</t>
  </si>
  <si>
    <t>@zhu_dave @ISIS_Balik_NO Dompetnya kli yg di sehatkan...</t>
  </si>
  <si>
    <t>ternyata ini rahasia WNI di Jepang jadi kebal virus corona.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</si>
  <si>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238 WNI Peserta Observasi di Natuna Pulang Besok, Jokowi Imbau Masyarakat Tak Takut: Tak Ada Masalah</t>
  </si>
  <si>
    <t>@IrmanputraSidin @Tano_Maske 😂penjajah yg dimaksud adlh negara ( portugis,belanda,jepang,inggris)siapa takut perang dgn mrk,justru krn itu nasionalisme kita membara.. sebaliknya yg hrs kita takuti adlh isis x wni yg bisa jd menimbulkan perpecahan&amp;instabilitas Nasional,itulah kebijakan pasti ada pro&amp;amp;kontra</t>
  </si>
  <si>
    <t>Sudah 14 Hari Jalani Observasi, 285 WNI Dinyatakan Sehat dan Siap Kembali ke Keluarga</t>
  </si>
  <si>
    <t>RT @AsabriGate: GISS: Jokowi Seakan Akui Kedaulatan ISIS, Padahal Internasional Tidak</t>
  </si>
  <si>
    <t>@Pika41961394 @AhlulQohwah Yg ngebella anak isis pasti rombongan kadrun.karena mereka yg setuju dgn khilafah ala isis.</t>
  </si>
  <si>
    <t>RT @Julie_Luvita: @lukasomanalu @dusrimulya @mohmahfudmd Ya kalo ga ada negara lain yg mengakui maka ISIS bukan negara Gimana sih anda ini kok keblibet sendiri Ngatain orang bodoh &amp; hati sesat tapi kamu sendiri ga paham</t>
  </si>
  <si>
    <t>@mohmahfudmd Apakah itu juga berlaku untuk anak2 pak, tanpa proses pengadilan? Anak kecil mana tau pak tentang ISIS, apa ga bisa mereka dipulangkan dan di bina di Indonesia. Apa hukum negara adalah satu2nya patokan, hukum negara bisa dirubah toh, seperti yang biasa dilakukan.</t>
  </si>
  <si>
    <t>Pulangkan Anak WNI eks ISIS, MPR: Perlu Strategi dan Persiapan Matang</t>
  </si>
  <si>
    <t>RT @yusuf_dumdum: Video ini ane dedikasikan buat para WNI pro ISIS pekok! #TolakEksWNIproISIS</t>
  </si>
  <si>
    <t>@kompascom Suka bingung sama @KPAI_official kalian minta negara memulangkan anak2 eks ISIS dengan berbagai alibi,dan skrg mrk minta negara juga menyiapkan hak asuh anak2 tsb. Kenapa bukan kalian aja yg asuh? Knp jd beban negara? Mrk bukan WNI lg kok.</t>
  </si>
  <si>
    <t>@KemenkesRI Yth tim Kemenkes🙏 sebaiknya diperiksa juga barang2 bawaan WNI dari Wuhan yg di Natuna. Bila ada makanan /minuman kemasan dari Wuhan agar dihancurkan.. krn mengandung virus. juga baju2/tas/ brg2lain mgkn tertempel virus di bandara wuhan &amp;tempat2 lain saat mereka jalan2 di wuhan🙏</t>
  </si>
  <si>
    <t>Presiden: Terima Apa Ada Kepulangan WNI Usai Diobservasi di Natuna</t>
  </si>
  <si>
    <t>@CNNIndonesia @mohmahfudmd Ngawur 1. Keppres itu dibawah UU 2. Keppres hanya bersifat mengikat kedalam institusi Pemerintahan, bkn untuk umum 3. UU Kewarganegaraan hanya syaratkan "masuk tentara negara asing".ISIS bukan negara Ini Profesor sudah lupa ilmu2 hukum kyanya semenjak masuk kekuasaan</t>
  </si>
  <si>
    <t>@KelianBanjar_GK @RizmaWidiono Semoga yg di hancurkan duluan adalah orang2 yg getol teriak2 ingin memulangkan eks isis.</t>
  </si>
  <si>
    <t>@elHurryKoRn @nnyzhuxin Kan ISIS buatan amerika, ngapain cari "perkara" dgn negara adidaya, makanya lebih ga usah di pulangin ke Indonesia biar aje di urus ame negara Laen..!</t>
  </si>
  <si>
    <t>RT @ave_tweet: @ardnif @ustadchen Nope. Ada kapal pesiar yang isinya orang indo dan jepang, orang jepangnya ada yang positif sementara 70an wni tetep sehat negatif corona.</t>
  </si>
  <si>
    <t>@kamuusiapaaaaaa @AhlulQohwah Kalo di bandingkan ISIS dgn Maling itu harus pake logika bengkok dan miring😂 MALING jelas dilarang di Agama manapun itu. Sementara Ideologi ISIS Sangat rigid dan dilengkapi serta disempurna kan pula dengan Dalil-dalil agama nya yang tidak terbantahkan 😂😂😂 #JanganKonyol</t>
  </si>
  <si>
    <t>@detikcom Yaa jgn terburu2 memulangkan yg jelas di dlm negri yg baru terpapar faham isis sja tdk bisa dibina ..apa lg yg jelas2 sdh asli jd isis di timur tengah sana . bisaa apa nanti jdnya . ada apa dgn PKS ??...</t>
  </si>
  <si>
    <t>kebal kebal, tapi WNI nggak kebal sama masuk angin RT @CNNIndonesia: Pemerintah Jepang menyatakan sebanyak 218 penumpang kapal pesiar Diamond Princess terinfeksi virus corona. @Kemlu_RI pun menuturkan bahwa 78 orang WNI yang merupakan kru dari kapal pesiar tersebut dalam kondisi sehat dan negatif virus corona.  #CNNIndonesia</t>
  </si>
  <si>
    <t>@bl4cksapphire @saefudin_zuhrii @KevinAdam2017 @NicoNugraha @CNNIndonesia Mantan GAM dan OPM juga harusnya dikeluarkan dari WNI kalau begitu. Keturunan PKI bagaimana?</t>
  </si>
  <si>
    <t>Pemerintah tak akan pulangkan WNI anggota ISIS #TolakEksWNIproISIS #4niesKibul_CancelFormulaE</t>
  </si>
  <si>
    <t>Harun masiku jiwasraya komisoner kpu vs omnibus isis ex wni kerajaan kerajaan</t>
  </si>
  <si>
    <t>WNI di Observasi Natuna Semua Sehat, Menkes Terawan: Karena Doa Rakyat Indonesia</t>
  </si>
  <si>
    <t>@kompascom Komisi perlindungan anak Isis</t>
  </si>
  <si>
    <t>@Mummy_Nduty Isis we meh didadekke PNS...🤣😂</t>
  </si>
  <si>
    <t>@DIENDIRA2 @ZuRsaja Katanya negara hukum. Bubarin HTI, menolak WNI simpatisan isis ga pake pengadilan... Giliran soal ahok, soal korupsi dkk diserahkan ke hukum. Apa krn itu kawan²nya?</t>
  </si>
  <si>
    <t>Gayus menegaskan, pelanggaran WNI eks ISIS muaranya adalah pengadilan "Bukan pemerintah," tegas Gayus Saat Gayus menjelaskan, Ngabalin meresponnya dgn tertawa "Kok tertawa. Itu ketawa bodoh," kata Gayus ke Ngabalin Ngabal sok ngerti hukum Parah</t>
  </si>
  <si>
    <t>RT @KarenaFollow: @AnakKolong___ @KPAI_official @KPAI_official udah seperti organisasi ISIS .. fuck 🖕</t>
  </si>
  <si>
    <t>Pemerintah RI tegas tak pulangkan eks WNI kombatan Islamic State (IS). Itulah keputusan serempak dr pemerintah Indonesia jawab polemik antara faktor keamanan &amp; kewarganegaraan. Bagaimana pemerintah menegaskan keputusan utk tidak memulangkan eks WNI kombatan IS? #FactCheckMetroTV</t>
  </si>
  <si>
    <t>Pemerintah Bentuk Tim Identifikasi WNI Kombatan ISIS, TB Hasanuddin: Seharusnya Diam-diam Saja  lewat @Notif Indonesia</t>
  </si>
  <si>
    <t>Perak Demokrasi Indonesia: Eks WNI Kombatan ISIS Jelas Dilarang Masuk Lagi ke Indonesia!</t>
  </si>
  <si>
    <t>@CNNIndonesia EKS WNI woooy!! Dasar media racun, mancing2 aja</t>
  </si>
  <si>
    <t>RT @Metro_TV: Ratusan WNI yang telah selesai menjalani masa observasi di Natuna, Kepulauan Riau, akan segera dipulangkan. Seluruh WNI akan langsung diserahkan ke pihak keluarga pada Sabtu (15/2/2020). #NewslineMetroTV</t>
  </si>
  <si>
    <t>Mmm... Sibuk ngurusin eks wni isis jadinya kaann.. ngomong2 ada yg tau udah brapa ton bibit lobster yg berhasil di ekspor?</t>
  </si>
  <si>
    <t>RT @hasmi_bakhtiar: Coba kalian sesekali main ke Hasakah atau Ain Issa, anak2 dan wanita korban penipuan ISIS itu kondisinya sangat mengerikan. Apalagi dalam kondisi musim dingin spt sekarang, lepas tangan membiarkan mereka adalah suatu kejahatan. @jokowi</t>
  </si>
  <si>
    <t>@kompascom Lah situ yg mau balikin ko nyusahin negara, wong negara gak mau balikin.. Kan mereka udah resmi bukan WNI lagi</t>
  </si>
  <si>
    <t>@wahhabicc_jabar @KPAI_official Mungkin dia blm pernah kena bom isis. Sekali2 dia aja yg di bom baru tau rasanya.</t>
  </si>
  <si>
    <t>@AlzaZhyro @wisanggeni_084 @Ipong68477012 kalau udah kayak gini,lue masih bisa komen anak isis harus di pulangkan ke Indonesia demi kemanusiaan ?</t>
  </si>
  <si>
    <t>RT @kompascom: Direktur Riset Setara Institute Halili mengapresiasi langkah pemerintah yang membuka opsi pemulangan anak-anak WNI eks ISIS.</t>
  </si>
  <si>
    <t>RT @LokadataID: Terbukti tidak terinfeksi virus korona, para WNI yang di karantina di Natuna besok akan terbang ke Jakarta sebelum kembali ke daerahnya masing-masing. Nantinya mereka juga akan melakukan kegiatan simbolis pelepasan masker. #WaktunyaLokadata</t>
  </si>
  <si>
    <t>Anggota Komisi IX @DPR_RI Ribka Tjiptaning berharap tdk ada perilaku diskriminatif kpd WNI yg tlh menjalani proses observasi pasca evakuasi dari Hubei, China. Ia khawatir para WNI yg tlh diobservasi jg mndpt penolakan dr warga di kampung halamannya. #RTP</t>
  </si>
  <si>
    <t>Usai Dikarantina, 17 WNI Asal Sulsel Siap Dipulangkan -</t>
  </si>
  <si>
    <t>@zainal78142749 @jokowi @Menkopolhukam OPM pengem pisah, d larang, ad mantan isis pengen balek d larang, rezim bolak balek</t>
  </si>
  <si>
    <t>RT @BawsluDIY: Anda WNI minimal usia 25 tahun? Dan memiliki KTP domisili di Kab. Sleman, Gunungkidul dan Bantul? Siapkan diri anda untuk mendaftar sebagai Panwaslu Desa/kelurahan. Info lebih lanjut bisa menghubungi kantor Panwaslu Kecamatan terdekat.</t>
  </si>
  <si>
    <t>Yup. Gw juga mikir kayak gini. Siapa tahu pemerintah Indonesia sudah dikasih ancaman seperti ini oleh pemerintah Suriah. Tapi menurut gw opsi menolak isis eks wni lebih oke. RT @SoundOfYogi: Lah kalo tau2 pemerintahan syria anyep sama tahanan ISIS Lalu mereka diem2 nyelundupin itu teroris ke dalam negri gemana?</t>
  </si>
  <si>
    <t>The power of people +62, semoga Tuhan menjaga WNI dimanapun berada RT @CNNIndonesia: Pemerintah Jepang menyatakan sebanyak 218 penumpang kapal pesiar Diamond Princess terinfeksi virus corona. @Kemlu_RI pun menuturkan bahwa 78 orang WNI yang merupakan kru dari kapal pesiar tersebut dalam kondisi sehat dan negatif virus corona.  #CNNIndonesia</t>
  </si>
  <si>
    <t>Operasi Bantuan Kemanusiaan Natuna yang melaksanakan observasi 238 WNI tersebut patut diapresiasi #WaspadaVirusCorona</t>
  </si>
  <si>
    <t>Pemerintah Akan Mengadili ISIS Eks WNI Yang Masuk Ke Indonesia #NoMercy4ISIS</t>
  </si>
  <si>
    <t>Ini yg cek otoritas Jepang loh, dan sampai sekarang belum ada WNI yg kena infeksi, padahal sudah 200-an lebih yg positif. Beneran masyarakat kebal ya? 😲 Semoga saja.... RT @CNNIndonesia: Pemerintah Jepang menyatakan sebanyak 218 penumpang kapal pesiar Diamond Princess terinfeksi virus corona. @Kemlu_RI pun menuturkan bahwa 78 orang WNI yang merupakan kru dari kapal pesiar tersebut dalam kondisi sehat dan negatif virus corona.  #CNNIndonesia</t>
  </si>
  <si>
    <t>@mohmahfudmd Setuju, Prof. Jadi kita tdk perlu repot dan sibuk ngurus Mantan WNI yg bergabung dg ISIS. Kalo perlu kita lawan dan tangkap yg menyusup ke Indonesia. Gak ada jaminan mereka taubat. Jd yg bela mantan WNI tsb, anggap bhw Setan tugas nya emg goda manusia. 260 juta rakyat kuatir</t>
  </si>
  <si>
    <t>@Lukman_HARP @daniairwansyah  Dr twit dia ini aja udah ga bisa membedakan apkah Itu OPM sama WNI yg ikut perang di negara lain. Sangking ngebetnya spy minta persamaannyaRT @daniairwansyah: @KanekiTerry @MataNetter @smallmelville @Wawanda @dusrimulya @mohmahfudmd Kalo gabung OPM bisa kehilangan warga negara gak yah?</t>
  </si>
  <si>
    <t>RT @KompasTV: Daftar Lokasi Pemulangan WNI dari Wuhan, Ada 29 Provinsi</t>
  </si>
  <si>
    <t>Direktur Riset Setara Institute Halili mengapresiasi langkah pemerintah yang membuka opsi pemulangan anak-anak WNI eks ISIS.</t>
  </si>
  <si>
    <t>Jelang kepulangan 238 warga negara Indonesia (WNI) yang diobservasi di Natuna, Kepulauan Riau, sejumlah aktivitas dan persiapan sudah mulai dilakukan. Rencananya, mereka akan dipulangkan menggunakan pesawat Hercules dan Boeing milik TNI Angkatan Udara. #HeadlineNewsMetroTV</t>
  </si>
  <si>
    <t>Presiden Jokowi secara khusus sudah menugaskan BNPT. Polri. Dirjen Kemenkumlah serta K/L terkait untuk mendata ulang WNI yang menjadi anggota ISIS. #NoMercy4ISIS</t>
  </si>
  <si>
    <t>Menjaga keamanan Negara lebih diutamakan dibandingkan memulangkan WNI eks ISIS yang mengancam keamanan negara. #TolakEksWNIproISIS #4niesKibul_CancelFormulaE</t>
  </si>
  <si>
    <t>Yakinkan kepada masyarakat bahwa WNI yang di observasi di Natuna ini dalam keadaan sehat dan kembali ke tempat asalnya dapat diterima masyarakat #WaspadaVirusCorona</t>
  </si>
  <si>
    <t>RT @pandapudlian: Meoldoko tegaskan WNI Eks ISIS yang pulang ke Indonesia akan diadili #NoMercy4ISIS</t>
  </si>
  <si>
    <t>RT @yoojungmu: pemerintah tak akan memulangkan WNI eks ISIS #NoMercy4ISIS</t>
  </si>
  <si>
    <t>@ngelholic @innovesian OPM udah otomatis kehilangan WNI</t>
  </si>
  <si>
    <t>Kasih Tolak Angin biar WNI di kapal Diamond Princess gak masuk angin #NegaraMelindungi</t>
  </si>
  <si>
    <t>@kompascom Ngotot banget nih KPAI. Situ aja yg ngurus Skg KPAI jadi Komisi Perlindungan Anak Isis</t>
  </si>
  <si>
    <t>pemerintah tak akan memulangkan WNI eks ISIS #NoMercy4ISIS</t>
  </si>
  <si>
    <t>@tauhidaji @erwindalam mungkin bisa. tapi kalo gagal bagaimana? kalo mereka justru membuat gerakan baru yg lebih besar bagaimana? apakah kita harus mepertaruhkan jutaan orang rakyat yg masih berstatus WNI demi belasan rakyat yg sudah jelas2 meninggalkan status WNI nya?</t>
  </si>
  <si>
    <t>RT @TRANS7: Presiden Jokowi minta eks Wuhan di WNI Natuna bisa diterima. #Redaksi</t>
  </si>
  <si>
    <t>@AhlulQohwah @daniaaditya KPAI kan I nya Isis</t>
  </si>
  <si>
    <t>@catuaries Teroris dan simpatisan ISIS wajib lapor juga ga?</t>
  </si>
  <si>
    <t>Meoldoko tegaskan WNI Eks ISIS yang pulang ke Indonesia akan diadili #NoMercy4ISIS</t>
  </si>
  <si>
    <t>RT @the_geotimes: Nasib WNI Eks ISIS, Dilema Keamanan Atau Kemanusiaan? Pemerintah beralasan bahwa tindakan itu didasarkan atas terancamnya keamanan negara jika WNI eks anggota ISIS dipulangkan ke Indonesia..</t>
  </si>
  <si>
    <t>Panglima TNI: 238 WNI Wuhan di Natuna dinyatakan sehat #WaspadaVirusCorona</t>
  </si>
  <si>
    <t>@kompascom Emangnya mereka masih WNI?</t>
  </si>
  <si>
    <t>@scsuroso @tiknoira @detikcom Uwong mbahas isis kowe malah mbahas korupsi. Bloon yo gratis</t>
  </si>
  <si>
    <t>Presiden Pastikan WNI di Natuna Sehat dan Siap Kembali ke Keluarga -</t>
  </si>
  <si>
    <t>RT @e100ss: Ketua MPR Minta Pemerintah Tetap Dampingi WNI Pasca-Observasi di Natuna</t>
  </si>
  <si>
    <t>Natuna dipilih menjadi tempat observasi WNI dari Wuhan #WaspadaVirusCorona</t>
  </si>
  <si>
    <t>@KPAI_official sampaikan saja pesan kalian itu ke eks wni anggota isis, supaya mereka sadar bahwa pintu bangsa ini sudah tertutup bagi mereka.</t>
  </si>
  <si>
    <t>Ini 10 Lagu Bertema Cinta Paling Banyak Muncul di Playlist WNI</t>
  </si>
  <si>
    <t>@Budi_puolaper @daniairwansyah itu Prof Gayus Lumbuun coba suruh ngobrolnya sama Prof Mahfud MD biar nyambung</t>
  </si>
  <si>
    <t>Pemerintah Akan Mengadili ISIS Eks WNI #NoMercy4ISIS</t>
  </si>
  <si>
    <t>Presiden Jokowi minta eks Wuhan di WNI Natuna bisa diterima. #Redaksi</t>
  </si>
  <si>
    <t>Ratusan WNI yang telah selesai menjalani masa observasi di Natuna, Kepulauan Riau, akan segera dipulangkan. Seluruh WNI akan langsung diserahkan ke pihak keluarga pada Sabtu (15/2/2020). #NewslineMetroTV</t>
  </si>
  <si>
    <t>RT @2024GanjarRisma: @felixaaf1 @al_fakru @MaryanaNunung @TukangMu @zaenalkase03 @edward7011971 @evisuryanti10 @BapakPol @JohnIrwan4 @CANDAdanBISNIS @Dickusnadi1 @kasrulsani9 @MOMDian2 @wantahgdn @RizkiR4madani @Edward_1smail @LiaIsti1 @jubrik844 @Recoignitionwal @periani @eddies_song @wartawankoboi13 @CumiCue @AdigunaAtmaja @Iqbalkuntoro1 @RazkaFaiz @MukhtarLuthfi12 @Maranatha_Sibrn @Zulfika35354359 @babegalak1 @Jokoumb64504158 @73hermantjoe @SetiaAdy_p @dian_ibunda @SultanAnjar @GendengHrs @demartinnie @gimbal_keren @ANDRE_OCTA_ @AnkyOsama @Mulia07094480 @MukhtarLuthfi11 @New_BUFFETT @Arieamy3 @TheEndTri1 @MardaniAliSera @hnurwahid @aagym @ustadabdulsomad @helmyyahya Khilafah Tegakkan Sariat Islam ko bunuh perkosa sesama Apa sariatnya yg salah / orang nya yg salah Jgn bela Ham binatang Bela HAM 265jt Rakyat Indonesia Bela Pancasila 600 Eks ISIS bisa jd teroris&amp;sebar khilafah</t>
  </si>
  <si>
    <t>WNI yang pulang dari Wuhan Tiongkok bersiap kembali ke daerah masing-masing sabtu esok #Redaksi</t>
  </si>
  <si>
    <t>@kafiradikal @SoundOfYogi apaan sih 😂😂😂😂😂 ngapain lo anggep gw pendukung isis... tolong berbahasa yang benar dulu baru nuduh2 rezim 😂😂😂😂</t>
  </si>
  <si>
    <t>Aksi Damai, Perak Demokrasi Indonesia Dukung Pemerintah Tolak Eks WNI Kombatan ISIS</t>
  </si>
  <si>
    <t>Jokowi Pastikan 285 WNI yang Dikarantina di Natuna Dalam Kondisi Sehat</t>
  </si>
  <si>
    <t>bagaimana dgn anak-anak yang orang tuanya menjadi korban kebiadaban teroris? mayoritas penduduk indonesia membenci dan menolak pemulangan anggota ISIS eks WNI. apapun alasannya jgn biarkan mrk pulang ke RI. @jokowi @KSPgoid @setkabgoid @LuhutPandjaitan</t>
  </si>
  <si>
    <t>Dilarang Pulang, Ini 5 Keputusan Pemerintah untuk WNI Eks ISIS</t>
  </si>
  <si>
    <t>Karena Corona bagi WNI skrg gak laku min, jelek2 ya Avanza sm Alphard sekarang😄 RT @detikcom: Ribuan penumpang kapal pesiar dikarantina gegara virus corona. Bermula seorang kini ratusan orang dari berbagai negara tertular tapi tak ada satu pun WNI.</t>
  </si>
  <si>
    <t>RT @minhyunsc: langkah antisipasi agar 689 WNI eks ISIS tak bisa pulang lewat jalur 'tikus'. #NoMercy4ISIS</t>
  </si>
  <si>
    <t>RT @WahabisLokal: Guru Besar Hukum Intetnasional UI Pak Hikmahanto Juwana: Para kombatan ISIS adalah mantan warga negara Indonesia. Jadi wis ora usah digubris. Urus saja Warga Negara sendiri yg jumlahnya 270 jt jiwa. Gitu saja kok repot. #TolakAnakISISKembali</t>
  </si>
  <si>
    <t>langkah antisipasi agar 689 WNI eks ISIS tak bisa pulang lewat jalur 'tikus'. #NoMercy4ISIS</t>
  </si>
  <si>
    <t>RT @okezonenews: Masyarakat Diimbau Terima dengan Baik Kepulangan 238 WNI dari Natuna #TauCepatTanpaBatas #BeritaTerkini #Berita #News #BeritaNasional .</t>
  </si>
  <si>
    <t>@AREAJULID Kabarnya udh 78 WNI terinfeksi virus corona</t>
  </si>
  <si>
    <t>ISIS Bela aja Nti ada keluargamu yg mati,gak usah nangis Wtf RT @3_devout: Met sorreee pa @mohmahfudmd izinkan daku memposting video lama niiiy.. bila berkenan bs dijadiin bahan pertimbangan 😘👌</t>
  </si>
  <si>
    <t>anak-anak WNI eks ISIS. ga salah nulis?</t>
  </si>
  <si>
    <t>Natuna sebagai lokasi observasi kepada sekitar 238 WNI dari Wuhan terkait adanya wabah virus Corona. #WaspadaVirusCorona</t>
  </si>
  <si>
    <t>RT @Rudiwaluyo11: Jokowi menegaskan bahwa keputusan pemerintah tak memulangkan WNI eks ISIS sudah bulat. #NoMercy4ISIS</t>
  </si>
  <si>
    <t>Jokowi menegaskan bahwa keputusan pemerintah tak memulangkan WNI eks ISIS sudah bulat. #NoMercy4ISIS</t>
  </si>
  <si>
    <t>Panglima TNI yang telah mengikuti dan memantau jalannya observasi WNI Wuhan di Natuna ini pun menambahkan. dua hari lagi. proses observasi selesai. #WaspadaVirusCorona</t>
  </si>
  <si>
    <t>RT @Julia_Zeed: Gimana menurut kalian Gaes? Kita tolak rame2 #TolakAnakISISKembali si pemuja ISIS kelojotan 😂 @3_devout @Mun4fikunn @amandagempita @WR_4AG226 @haibebyjo @P3nj3l4j4h_id @ephraym8 👇 @ErollG 👈 Agen ISIS kah????</t>
  </si>
  <si>
    <t>RT @liputan6dotcom: Bebas Virus Corona, 238 WNI Boleh Diajak Tamasya Setibanya di Jakarta</t>
  </si>
  <si>
    <t>@felixaaf1 @al_fakru @MaryanaNunung @TukangMu @zaenalkase03 @edward7011971 @evisuryanti10 @BapakPol @JohnIrwan4 @CANDAdanBISNIS @Dickusnadi1 @kasrulsani9 @MOMDian2 @wantahgdn @RizkiR4madani @Edward_1smail @LiaIsti1 @jubrik844 @Recoignitionwal @periani @eddies_song @wartawankoboi13 @CumiCue @AdigunaAtmaja @Iqbalkuntoro1 @RazkaFaiz @MukhtarLuthfi12 @Maranatha_Sibrn @Zulfika35354359 @babegalak1 @Jokoumb64504158 @73hermantjoe @SetiaAdy_p @dian_ibunda @SultanAnjar @GendengHrs @demartinnie @gimbal_keren @ANDRE_OCTA_ @AnkyOsama @Mulia07094480 @MukhtarLuthfi11 @New_BUFFETT @Arieamy3 @TheEndTri1 @MardaniAliSera @hnurwahid @aagym @ustadabdulsomad @helmyyahya Khilafah Tegakkan Sariat Islam ko bunuh perkosa sesama Apa sariatnya yg salah / orang nya yg salah Jgn bela Ham binatang Bela HAM 265jt Rakyat Indonesia Bela Pancasila 600 Eks ISIS bisa jd teroris&amp;sebar khilafah</t>
  </si>
  <si>
    <t>@kompascom Ngapain di balikin....mreka sdh di doktrin untuk membunuh... Lebih penting menjaga keselamatan warga indonesia dr pd warga ex WNI</t>
  </si>
  <si>
    <t>RT @RinjaniJB: BNPT: ada 4 orang dari ratusan WNI yang dideradikalisasi ternyata KEMBALI BERAKSI, termasuk dalam kasus bom Surabaya. Tuuh, kan terbukti ! Deradikalisasi ISIS itu tidak perlu. Untuk itu pemerintah tegas saja, putuskan tanpa kompromi #TolakAnakISISKembali</t>
  </si>
  <si>
    <t>@kompascom Trus ngapain @KPAI_official ngotot minta anak2 eks WNI pro ISIS di pulangin ke Indonesia...??? Mikir !! #TolakAnakISISKembali</t>
  </si>
  <si>
    <t>238 WNI di Natuna Ditanyakan sehat #WaspadaVirusCorona</t>
  </si>
  <si>
    <t>org endonesa jago bet. semoga para WNI sehat terus yah😊 RT @CNNIndonesia: Pemerintah Jepang menyatakan sebanyak 218 penumpang kapal pesiar Diamond Princess terinfeksi virus corona. @Kemlu_RI pun menuturkan bahwa 78 orang WNI yang merupakan kru dari kapal pesiar tersebut dalam kondisi sehat dan negatif virus corona.  #CNNIndonesia</t>
  </si>
  <si>
    <t>#WaspadaVirusCorona. Sebanyak 238 Warga Negara Indonesia (WNI) dari Wuhan. China di Natuna semuanya dinyatakan sehat</t>
  </si>
  <si>
    <t>Bebas Virus Corona, 238 WNI Boleh Diajak Tamasya Setibanya di Jakarta</t>
  </si>
  <si>
    <t>Perak Demokrasi Indonesia Beraksi, Tegas Tolak Kepulangan Eks WNI Kombatan ISIS</t>
  </si>
  <si>
    <t>Sebut Eks WNI, Jokowi Aminkan Klaim ISIS Sebagai Negara Berdaulat</t>
  </si>
  <si>
    <t>Ini pendapat pribadi. Bisa jadi, terutama para perempuan simpatisan ISIS yg disini lebih sulit utk dideradikalisasi karena yg mereka tahu hanya mimpi2 yg dijual ISIS. Sementara yg sdh di Irak dan Suriah sdh tahu fakta sebenarnya, bisa jd tersadarkan oleh fakta.</t>
  </si>
  <si>
    <t>@kompascom SETUJU KPAI GAK PUNYA KERJAAN ...LEBIH BAIK YANG URUS ANAK2 EX WNI PENGIKUT ISIS....khan udah ada gambar2 Video nya yg beredar....KPAI sdh melihatnya shg tahu apa therapy apa yg Pas buat Anak2 mereka....</t>
  </si>
  <si>
    <t>Tapi susah juga sih ngarepin sistem penjara kita bisa kontain kombatan ISIS yg ada malah jagi sarang pembibitan teroris malah ntar Emang posisi serba salah sik</t>
  </si>
  <si>
    <t>Moeldoko: WNI Eks ISIS yang pulang ke Indonesia akan diadili #NoMercy4ISIS</t>
  </si>
  <si>
    <t>RT @minhyunsc: Nah setuju! Pemerintah akan mengadili eks ISIS yang kembali masuk ke Indonesia. #NoMercy4ISIS</t>
  </si>
  <si>
    <t>#WaspadaVirusCorona. WNI dari Wuhan tsb siap dipulangkan ke daerah asal masing-masing</t>
  </si>
  <si>
    <t>RT @WinarsihParis: Presiden Joko Widodo atau Jokowi menyebut bahwa status kewarganegaraan 689 WNI mantan anggota ISIS bukan lagi tanggung jawab pemerintah. #NoMercy4ISIS</t>
  </si>
  <si>
    <t>RT @rangermera: ratusan WNI mantan kombatan ISIS akan langsung diadili seandainya mereka pulang ke tanah air #NoMercy4ISIS</t>
  </si>
  <si>
    <t>RT @Dee06644722: @Salaman94187354 @Penyuka_ombak @NUgarislucu @WagimanDeep @WahabisLokal @BuyaSyafii Case closed sudah tdk ada pembicaraan lagi ttg hal ini. Sudah diputusken bhw mereka stateless. FPI dan HTI yg tdk berizin saja masih turun ke jalan bawa benderanya. Apalagi ISIS beneran. Ngarep mrk ber-Pancasila? Ora nalar blasss!</t>
  </si>
  <si>
    <t>RT @AdhieMassardi: KR•ISIS LOGIKA ☆ gagal lindungi warganya dari virusCorona Pemerintah China siap musnahkan ribuan warga terpapar. Ini isu berbau hoax. Gagal lindungi warganya dr virusTerorisRadikalis, Pemerintah RI biarkan nasib ratusan warganya yg terpapar virusTeRadiikals di LN. ¤ ini fakta</t>
  </si>
  <si>
    <t>@OneStopUnited Tapi wni udah terinfeksi di Singapura.</t>
  </si>
  <si>
    <t>RT @antobalboa1: Natuna sebagai lokasi observasi kepada sekitar 238 WNI dari Wuhan terkait adanya wabah virus Corona. #WaspadaVirusCorona</t>
  </si>
  <si>
    <t>@moongurlz_ @AREAJULID Kenapa kamu tidak percaya dengan negara sendiri? Sudah terbukti dg dipulangkannya WNI ke Natuna yg negatif virus corona. Mungkin memang benar adanya kalau WNI di kapal pesiar itu sehat semua. Kekebalan tubuh orang indo memang sebegitu kuatnya</t>
  </si>
  <si>
    <t>@ngurahsaka @SoundOfYogi ...Punya kaca? Gw balikin logika lu kok malah lu ga terima. Lah lu gw anggap pendukung ISIS, gw anggap lu islamphobia. Fair. Jangan ngerengek kalo logika lu dipantulkan balik...Kafir cemen... (``,)</t>
  </si>
  <si>
    <t>@Lukman_HARP @Budi_puolaper  nih baca, pemerintah jngan sembarangan cuma pengadilan yg bisa mnntukan ttg kewarganegaraan</t>
  </si>
  <si>
    <t>RT @seftirahayuuu: 238 WNI di Natuna Ditanyakan sehat #WaspadaVirusCorona</t>
  </si>
  <si>
    <t>lagi banyak bertebaran dijagat Twitland foto Editan dokumen Kombatan ISIS dr WNI, Jd ingat dulu yg jago edit itu Kelompok Kadrun Oups jgn2 kalian kadrun yg sdh Tobat.. Yaa kebiasaan memang susah hilang meski sdh Tobat.</t>
  </si>
  <si>
    <t>RT @setkabgoid: Protokol Kesehatan dari WHO telah Dilalui, Presiden @jokowi Minta Masyarakat Menerima WNI dari Wuhan</t>
  </si>
  <si>
    <t>RT @kodokpangeran5: Sebanyak 238 Warga Negara Indonesia (WNI) dari Wuhan. China yang diobservasi di Natuna. Kepulauan Riau semuanya dinyatakan sehat #WaspadaVirusCorona</t>
  </si>
  <si>
    <t>RT @Mang_Adil: @digeeembok Sweeping kadrun di BUMN Pak, itu yg bikin rugi, duitnya dipake buat ngongkosin ustad2 pro ISIS. Enak aja tuh demo-demo pake duit negara. Kuwalat lu disumpahin jutaan rakyat Indonesia yg anti kadrun heuheuheu.</t>
  </si>
  <si>
    <t>@newsplatter @dirawibi Tapi ngelihat WNI kemarin yg di Wuhan dari 241 ya kalo tidak salah, hanya 4 kan yg tidak lolos screening. 3 nya lg memang memutuskan untuk menetap disana. Jd gak tau sih, emang udah biasa ditempa konsumsi kimia2 berbahaya lewat jajanan pinggiran kali ya 😂</t>
  </si>
  <si>
    <t>@wahhabicc_jabar @KPAI_official Hyahh @KPAI_official angkat bicara dan ngawur. Biar apa? Biar keliatan kerja? Iya gitu? Urus aja dulu anak2 terlantar di Indonesia, kalo dah bener baru urus anak negara orang. Toh mereka dah bukan WNI. GA USAH CARMUK! SOK MAU AMBIL PERAN.</t>
  </si>
  <si>
    <t>ratusan WNI mantan kombatan ISIS akan langsung diadili seandainya mereka pulang ke tanah air #NoMercy4ISIS</t>
  </si>
  <si>
    <t>Horeee. ISIS dihukum gantung oleh Pemerintah Suriah</t>
  </si>
  <si>
    <t>Sebanyak 238 Warga Negara Indonesia (WNI) dari Wuhan. China yang diobservasi di Natuna. Kepulauan Riau semuanya dinyatakan sehat #WaspadaVirusCorona</t>
  </si>
  <si>
    <t>@seketribu @AREAJULID Walaupun ga kentara, bagaimana dengan WNI yg di Natuna mba? Mereka tidak menunjukkan gejala corona. Malah sekarang mereka dipastikan tidak terinfeksi virusnya. Kenapa warga Indonesianya malah yg meragukan kecanggihan medis yg kita miliki?</t>
  </si>
  <si>
    <t>@HOktober10 @SoundOfYogi ...Ya itu dia...Yogi udah paham titik krusialnya di sana harusnya dia bantu suarakan agar 600 ex ISIS itu dipulangkan ke sini. Atur hukuman seumur hidup kalau mau. Bikin penjara isolasi khusus buat mereka...Bisa dimonitoring... (``,)</t>
  </si>
  <si>
    <t>@Lukman_HARP @Budi_puolaper Pemerintah ini memang sadis juga dulu, orang aceh yg ga ada KTP berarti orang gam dan pasti mati.. apakah ini yg jd alasan ex isis yg ingin kmbali ditolak oleh pmerintah? Ga ada KTP berarti seharusnya loe mati?</t>
  </si>
  <si>
    <t>#ISISGoToHell jangan pernah terima ex isis balik ke Indonesia!!!!!!!!! RT @chikaseptiyana: Biadabnya ISIS !! | ISIS bukan Islam | ISIS Khawarij #ISISGoToHell #valentinebukanbudayakita #ValentinesDay2020 #TolakValentineDay #JumatBerkah @TheArieAir @RizmaWidiono @yusuf_dumdum @CH_chotimah</t>
  </si>
  <si>
    <t>Pemulangan Anak Eks ISIS, DPR Minta Jokowi Tak Seperti Donald Trump</t>
  </si>
  <si>
    <t>@kafiradikal @SoundOfYogi skrg nuduh islamophobia... segitu aja nih? kalo saya ga suka isis brrti islamophobia?</t>
  </si>
  <si>
    <t>Ponpes yang Mau Tampung Eks ISIS Kecewa Berat: Pemerintah Gak Waras</t>
  </si>
  <si>
    <t>Presiden Joko Widodo atau Jokowi menyebut bahwa status kewarganegaraan 689 WNI mantan anggota ISIS bukan lagi tanggung jawab pemerintah. #NoMercy4ISIS</t>
  </si>
  <si>
    <t>@kompascom saran : supaya anak2 isis itu nanti diserahkan hak asuhnya kepada masing2 pejabat dan pegawai @KPAI_official utk diasuh ya. awas klo cuma bacot aja tapi ga ada aksi lho ya, kpai. setuju?</t>
  </si>
  <si>
    <t>@echoPiR @TirtoID Kalau gak suka kerja pergi aja sana jadi isis jangan menodai pancasila negara ini, dasar penyebar hoax pergi aja ke arab! Dah mirip cebong belom?</t>
  </si>
  <si>
    <t>Anda WNI minimal usia 25 tahun? Dan memiliki KTP domisili di Kab. Sleman, Gunungkidul dan Bantul? Siapkan diri anda untuk mendaftar sebagai Panwaslu Desa/kelurahan. Info lebih lanjut bisa menghubungi kantor Panwaslu Kecamatan terdekat.</t>
  </si>
  <si>
    <t>@annisagstin @tribunnews @tribunjatim Join isis aja gituin</t>
  </si>
  <si>
    <t>RT @almascatie: Keinginan utk lebih alim dan masuk surga itu cem macem. Ada yg masuk ISIS melakukan kebiadaban dan kerusakan dan berharap surga. .. Dan ada juga.... :</t>
  </si>
  <si>
    <t>RT @vidalavidah: @pyonidas @AhlulQohwah @rasndeso @KPAI_official Ini fakta, ditempat saya, saya sering lihat anak-anak yang dieksploitasi buat ngemis, ngamen.. Dan ada juga anak2 yang ikut orang dewasa jadi anak punk jalanan dll Harusnya butuh pembinaan.. tapi @KPAI_official kek tutup mata dan telinga. Kalo masalah ISIS kok cepet banget ya?</t>
  </si>
  <si>
    <t>@AtikaFaya @KPAI_official UU Perlindungan anak itu untuk anak-anak negri ini bukan anak-anak di luar sana. Anak2 di luar sana masing2 ada UU nya lagi di negara masing2. Ingat ! Mereka bukan lagi WNI, jangan buang uang rakyat Indonesia utk mengurus anak2 teroris.</t>
  </si>
  <si>
    <t>RT @Deswoko: @salahsambungya @AmstrongBiring Delutional para Kombatan ISIS, jangan biarkan negara ini dikuasai faham2 yg tidak menyebarkan cinta kasih. Bibit itu muncul dari kasus intoleransi di Indonesia, bila dibiarkan sudah tentu akan muncul kasus intoleransi yg lain</t>
  </si>
  <si>
    <t>Bravo! Panglima TNI: obserbasi 238 WNI Di Natuna dinyatakan sehat #WaspadaVirusCorona</t>
  </si>
  <si>
    <t>Seperti diketahui, sebanyak 285 orang akan segera dipulangkan dari Natuna selepas observasi tersebut. Mereka terdiri atas 237 WNI yang tinggal di Provinsi Hubei, 1 WNA (suami dari WNI),</t>
  </si>
  <si>
    <t>Setelah 14 hari masa observasi maka bisa dipastikan para WNI itu dalam kondisi sehat dan siap kembali ke tengah-tengah masyarakat.</t>
  </si>
  <si>
    <t>Ma'ruf menegaskan bahwa masa observasi yang sudah dilakukan Menteri Kesehatan bagi WNI asal Wuhan di Natuna selama 14 hari sudah sesuai prosedur yang berlaku.</t>
  </si>
  <si>
    <t>Wakil Presiden Ma'ruf Amin sebelumnya juga telah meminta seluruh masyarakat yang berada di 29 Provinsi tak takut menerima WNI yang telah dikarantina di Natuna.</t>
  </si>
  <si>
    <t>Tolak angin, mie sedap cup dan kerokan, rahasia kesaktian WNI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</si>
  <si>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Nah setuju! Pemerintah akan mengadili eks ISIS yang kembali masuk ke Indonesia. #NoMercy4ISIS</t>
  </si>
  <si>
    <t>@jr_kw19 Mantan isis x Indonesia n malesia Tidak akan kembali paspor dokumen mereka udah dia bakar dan berjanji akan memporak-porandakan nkri ngapain perhatikan 🤔 zon main mata x ayoo...</t>
  </si>
  <si>
    <t>RT @nasyfahreza: @mohmahfudmd tentara asing itu kan tentara resmi negara asing, ISIS itu organisasi kriminal, bukan negara. Kenapa yg gabung OPM atau GAM tetap WNI?? kan sama2 ingin dirikan negara. Ga suka boleh, tapi harus adil. Bawa kesini, langsung adili, penjarakan. Koruptor aja dikasih grasi masa</t>
  </si>
  <si>
    <t>#WaspadaVirusCorona. berjalannya rehabilitasi 238 WNI secara baik dan lancer</t>
  </si>
  <si>
    <t>“KPAI diam” Pada Anak korban bully di sekolahan Tapi KPAI sibuk membela anak ISIS “SALUT Kinerja KPAI” #ShopeeKpopWeekGiveaway</t>
  </si>
  <si>
    <t>RT @kodokpangeran5: menolak radikalisme dan mendukung keputusan Pemerintah menolak ISIS eks WNI #TolakWNIEksISIS</t>
  </si>
  <si>
    <t>@AREAJULID Di singapore ada kok WNI yang kena</t>
  </si>
  <si>
    <t>Terhitung sejak tahun 2017, 652 WNI yang terindikasi sebagai simpatisan ISIS telah kembali ke Indonesia, baik sebagai deportant maupun returnee. Mereka yang tidak terbukti melakukan pelanggaran hukum telah menjalani…</t>
  </si>
  <si>
    <t>Wapres Ma'ruf Amin meminta semua pihak yang menolak harus menyambut hangat WNI yang direhabilitasi di Natuna</t>
  </si>
  <si>
    <t>@jr_kw19 Mungkin dia butuh isis buat nambahin massa trus bikin rusuh</t>
  </si>
  <si>
    <t>RT @zhu_dave: Diinvestigasi oleh Metro TV dan terbukti Anies berbohong soal pohon yg katanya akan "disehatkan"</t>
  </si>
  <si>
    <t>RT @SoundOfYogi: Maksud gue, siapa yg bisa jamin para ex ISIS itu akan tetap disana?</t>
  </si>
  <si>
    <t>@zhu_dave Sebuah kebohongan...akan diikuti oleh kebohongan lain @aagym ....ternyata anda BENAR !!!!👏👏👏👏</t>
  </si>
  <si>
    <t>@mohmahfudmd Professor ... pendapat Hukumnya setengah2..ato memang sengaja mo MissLead ? itu terlibat tentara Asing "NEGARA LAIN " jgn di potong2 smaunya..dan ISIS itu tidak tmasuk sbuah negara..</t>
  </si>
  <si>
    <t>Warga Khatolik dan gerejanya itu WNI. Tolong pak Presiden @jokowi dan pak Menkopolhukam bertindak tegas terhadap para perusuh dan perusak kebhinekaan dan kesatuan Indonesia RT @KatolikG: Surat cinta dari Pastor Paroki St Yoseph dihari Valentine kepada @mohmahfudmd dan pihak-pihak yang menganggap kasus intoleransi di Karimun sebagai sesuatu yang sepele... @jokowi</t>
  </si>
  <si>
    <t>RT @KienAnd_: Setiap tahun 21 orang mesir dan ethiophia memperingati kematian 21 orang ini yang meninggal karena eksekusi oleh ISIS.</t>
  </si>
  <si>
    <t>Fadli Zon katanya mendukung pemerintah via rencana awal si inkompeten Fachrul Razi dlm pemulangan 689 ISIS eks WNI Fadli Zon: Gara-gara Menteri Agama Apa gak bisa @jokowi singkirkan si Menag gak tahu kerja ini?  via @tribunnews</t>
  </si>
  <si>
    <t>WNI yang pernah tergabung dalam jaringan terorisme, bukanlah hal mudah menurut Maruf Amin</t>
  </si>
  <si>
    <t>WNI kebal Corona, apakah tak berpikir .bgmna bisa WNI bisa kebal Corona....ajaib .... RT @conan_idn: Barakallahu Indonesia 🇮🇩🇮🇩 Kebal...kebal.. Insha Allah aamiin 🤲</t>
  </si>
  <si>
    <t>RT @AlvhantJM: @jokowi Mantap Presidenku.. Tetap tegas pak menolak eks ISIS</t>
  </si>
  <si>
    <t>RT @hadiahMertua: Salah satu alasan kita menolakk memulangkan WNI Eks ISIS karena melanggar HAM. #tolakwnieksisis #4niesKibul_CancelFormulaE</t>
  </si>
  <si>
    <t>RT @KienAnd_: Lah, aku aja gak pernah menyamakan ISIS dengan Islam, justru dalam pemahaman aku ISIS itu ajaran menyimpang. Malah kamu yang mengaku muslim yg justru menyamakan ISIS dengan Islam. Orang orang kaya gini nih yg justru merusak agamanya sendiri.</t>
  </si>
  <si>
    <t>Presiden Jokowi Minta Masyarakat Terima Kepulangan WNI dari Natuna</t>
  </si>
  <si>
    <t>@dusrimulya @mohmahfudmd Ini pertanyaan saya yg g paham hukum, "prof tdk menyebutkan tentang isis sebuah negara, tapi berperang bersama tentara asing, dimana yg salah?" Bukan pembelaan, murni pertanyaan mahasiswa bodoh..</t>
  </si>
  <si>
    <t>RT @WahabisLokal: Waspadalah.... Waspadalah!!! Ex WNI ISIS ternyata sudah mbrobol masuk Indonesia lewat jalur tidak resmi. #TolakAnakISISKembali</t>
  </si>
  <si>
    <t>@kompascom komisi corong ISIS, bubarkan</t>
  </si>
  <si>
    <t>@queenbjth @v0usmee @AREAJULID Heran sekaligus bersyukur bgt sih, yg wni dari wuhan hari ini jg mau dioulangkan dari natuna, mereka negatif jg. Padahal mereka jg dari china kan</t>
  </si>
  <si>
    <t>Eks isis adalah Musuh indonesia; yang berusaha memulangkannya, berarti dia termasuk teroris bertopengkan malaikat, dan penjahat yg patut di pertanyakan dan di usir dari NKRI.</t>
  </si>
  <si>
    <t>2. Pendapat dari Ali Abdillah (@aliabdillah91) di Koran Republika (12/2) yang membahas tentang nasib WNI yang bergabung dengan ISIS.</t>
  </si>
  <si>
    <t>WNI yang Dikarantina di Natuna Siap Dipulangkan</t>
  </si>
  <si>
    <t>@bumpyice @thechmpnzee1000 aku ikut isis</t>
  </si>
  <si>
    <t>RT @Pejuang__: Hilangnya Kewarganegaraan Harus Melalui Putusan Pengadilan Bukan Pernyataan Pemerintah. #RezimJKWRampokBUMN Ini 3 Hak WNI Eks ISIS Menurut Mantan Hakim Agung Gayus Lumbuun : Dia Punya Hak Untuk Kembali.</t>
  </si>
  <si>
    <t>RT @Katolik_GK: @mohmahfudmd Soal ISIS eks WNI, bapak tanggap sekali. Sementara anak bangsa yg tak pernah mengingkari kesetiaannya terhadap bangsa dan negara, bapak anggap sebagai masalah kecil... Bangun pak....</t>
  </si>
  <si>
    <t>@WahabisLokal Bangsat² intoleran menguasai ormas membela kombata ISIS</t>
  </si>
  <si>
    <t>Astaghfirullah, subhanallah kok bisa, yakin ni berita WNI ga ada yang kena 1 pun ?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</si>
  <si>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@pikiran_rakyat: Bukan Perkara Mudah, Pendataan Identifikasi 689 WNI Eks ISIS Terdiri dari Anak-anak hingga Orang Dewasa</t>
  </si>
  <si>
    <t>RT @elHurryKoRn: Video th 2018 Saat Iraq Bombardir Markas ISIS di Syuriah, ISIS Mulai terdesak &amp; Skarang Keok Pendukungnya Pingin Balik ke NKRI ? NDASMU !! #CegahISISmasukNKRI</t>
  </si>
  <si>
    <t>RT @APLpangeran1: Siapapun Boleh ikut Polling ini, tanpa terkecuali...👌👍🙏 Apakah anda setuju jika WNI anggota ISIS dipulangkan dari Timur Tengah ke Indonesia...?</t>
  </si>
  <si>
    <t>dear PEMERINTAH, teruskanlah isu ISIS, RADIKAL/KUL, PINDAHIN IBUKOTA, dll..dll...dll... supaya orang lupa kalo sekarang ekonomi hancur, semua harga naik, hidup makin sulit, korupsi besar ditutupi, janji2 cuma ngibul, dll..dll..dll..dll..</t>
  </si>
  <si>
    <t>menolak radikalisme dan mendukung keputusan Pemerintah menolak ISIS eks WNI #TolakWNIEksISIS</t>
  </si>
  <si>
    <t>RT @APLpangeran1: Tampang2 para Kombatan ISIS yg saat ini ditahan di Syria ini salah 1 nya orang Indonesia bernama aswin ....! Wajah pembunuh sadis...!! #TolakPulangkanKombatanISIS #TolakEksWNIproISIS</t>
  </si>
  <si>
    <t>Menkes Ajak Berdoa Jelang Berakhirnya Masa Observasi WNI di Natuna Jakarta, 14 Februari 2020 Menkes Terawan Agus Putranto menegaskan bahwa semua kondisi WNI dari Wuhan yang diobservasi di Natuna dalam keadaan sehat. Setiap hari, pagi dan sore mereka di…</t>
  </si>
  <si>
    <t>Bukan Perkara Mudah, Pendataan Identifikasi 689 WNI Eks ISIS Terdiri dari Anak-anak hingga Orang Dewasa</t>
  </si>
  <si>
    <t>Lega! Akhirnya Besok Dipulangkan Selesai Karantina, Begini Pengalaman WNI Dari Cina di Natuna</t>
  </si>
  <si>
    <t>Begini alasan pemerintah tidak pulangkan WNI EKs ISIS #TolakWNIEksISIS</t>
  </si>
  <si>
    <t>@ijum_kareem @MrsRachelIn @wahhabicc_jabar @KPAI_official Dan mari kita tunggu berapa komisioner @KPAI_official tersisa setelah mereka mengasuh anak2 ISIS 🙄🙄😑</t>
  </si>
  <si>
    <t>218 orang terinfeksi virus covid19 di kapal pesiar Jepang, sedangkan WNI masih sehat-sehat aja. Ternyata micin dan gula rafinasi adalah koentji 👌🏻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</si>
  <si>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"Ketika kembali ke Indonesia maka negara harus menyiapkan hak asuh anak-anak tersebut jatuh ke tangan siapa," kata Retno | #Nasional .</t>
  </si>
  <si>
    <t>@Yhalim88Yhalim … 6 Orang Indonesia Diduga Terlibat Sumber Dana ISIS, Din Syamsudin. Dugaan sumber dana ISIS salah satu jaringan teroris paling berbahaya di dunia saat ini, Setidaknya, tercatat 6 tokoh Islam yang berasal dari negeri kita.</t>
  </si>
  <si>
    <t>RT @SoundOfYogi: Trus lo pikir ISIS gak dibeking koruptor?</t>
  </si>
  <si>
    <t>RT @nu_online: Dua Hal Mengapa Kombatan ISIS Harus Ditolak</t>
  </si>
  <si>
    <t>@toegiono @DayatPondok @mohmahfudmd Yg terbukti hancurin negara Jokowi dgn ngutang2nya koq, dgn hoax2 nya..gk ada ISIS di Indonesia..cuman rekayasa manipulasi negara nakut2in rakyat kritis</t>
  </si>
  <si>
    <t>Kondisi terkini 278 WNI yang dievakuasi dari Wuhan Cina pada hari terakhir observasi di Natuna. WNI yang diobservasi akan dipulangkan besok (15/2). Update berita Anda di tvOne connect. #tvOneNews #KabarSiangtvOne #WNI #Natuna</t>
  </si>
  <si>
    <t>RT @OposisiCerdas: GISS: Jokowi Seakan Akui Kedaulatan ISIS, Padahal Internasional Tidak</t>
  </si>
  <si>
    <t>@kekuatanbullan @allaroundsyoun @AREAJULID jangan lupa WNI 1 orang di Singapura juga kena.</t>
  </si>
  <si>
    <t>@Yhalim88Yhalim Msh banyak jg org2 lainnya yg jd pendana teroris ISIS eks WNI itu spt mrk ini 👇</t>
  </si>
  <si>
    <t>RT @EndjahH: Pemerintah Tidak boleh Mencabut hak Kewarganegaraan WNI, karena Hak nya Yudikatif, bukan Pekerjaannya executif. Kata Mantan Hakim Agung Gayus Lumbuun</t>
  </si>
  <si>
    <t>Ada dua warga Bali dari Denpasar &amp; Gianyar termasuk dalam WNI yg selesai menjalani 14 hari karantina di Pulau Natuna setelah dievakuasi dari Wuhan. Info dari @tvri_bali</t>
  </si>
  <si>
    <t>RT @Muchlis88426192: @mohmahfudmd Tentara asing itu tentara yg punya wilayah teritori brupa ngr yg diakui intl. Di ind pernah ada tentara GAM yg tdk punya teritori sah scr hukum. ISIS jg g punya teritori sah. Knp yg pernah terlibat GAM tdk pernah ada yg dianggap kehilangan keWNannya ? @JimlyAs @Yusrilihza_Mhd</t>
  </si>
  <si>
    <t>status kewarganegaraan WNI yang bergabung ke ISIS otomatis hilang karena mereka memilih meninggalkan Indonesia #TolakWNIEksISIS</t>
  </si>
  <si>
    <t>Ketua MPR Minta Pemerintah Tetap Dampingi WNI Pasca-Observasi di Natuna</t>
  </si>
  <si>
    <t>@mohmahfudmd isis itu negara mana ya,,,ibukota negara mana??</t>
  </si>
  <si>
    <t>KPAI menilai perlu kajian mendalam soal anak-anak eks ISIS.</t>
  </si>
  <si>
    <t>RT @CNNIDdaily: Persiapan terus dilakukan menjelang pemulangan WNI di Natuna yang direncanakan pada Sabtu (15/2) besok. Mereka begitu antusias karena akan segera pulang bertemu dengan keluarga di daerah masing-masing setelah melewati masa inkubasi 14 hari. #CNNIDNewsroom</t>
  </si>
  <si>
    <t>@Parapat_Nixon @KSPgoid @setkabgoid @DPR_RI @mohmahfudmd @DivHumas_Polri Mari kita gaungkan agar fadlizon di expor ke suriah atau ke irak agar bs menjemput eks ISIS atau bahkan sekalian aja tinggal disana...😁😁😁</t>
  </si>
  <si>
    <t>Pemerintah memutuskan tidak akan memulangkan ISIS eks WNI #TolakWNIEksISIS</t>
  </si>
  <si>
    <t>@jokowi Kembalikan indonesia dengan budaya blankon konde pak Jokowi,tiadakan semua yang memakai jilbab(karena itu bibit ajaran ISIS),biarkan memakai kerudung. Daerah Cikarang Karawang tambun Cibitung sekitar jalur Pantura telah dibuka prostitusi pindahan dari kalijodo.tolong dibina pak.</t>
  </si>
  <si>
    <t>Imbauan IDI Soal Kepulangan WNI dari Wuhan yang Selesai Observasi di Natuna</t>
  </si>
  <si>
    <t>@mohmahfudmd Goblockdan hoaxx lu mpud.....Pertanyaannya simpel: Apa ISIS itu negara sesuai Hukum Internasional (Konvensi Montevideo)?Apa Pasukan ISIS diperlakukan sesuai Konvensi Jenewa?Negara mana yg mengakui ISIS sbg sebuah negara? Apa Indonesia akui ISIS sbg negara?Dimana kedutaan ISIS</t>
  </si>
  <si>
    <t>Pimpinan Ponpes Al Hidayah Tarik Statemennya Soal Mendukung Kepulangan WNI Eks ISIS</t>
  </si>
  <si>
    <t>Umi &amp; Walad ISIS Indonisie Selamat "Berjihad" Melawan Tentara Syuriah &amp;amp; Iraq, Smoga Kerasan Disana Karna Kalian Ditolak PANCASILA! #AwasAntek2ISIS #TolakAnakISISKembali Minta tolonglah pada mreka untuk dipulangkan ke "Negoro Cacing" @KomnasHAM @komnas_anak @PKSejahtera</t>
  </si>
  <si>
    <t>@amasna @yunartowijaya Dari ribuan penumpang kapal, sebanyak 78 orang merupakan warga Indonesia. Ada 3711 penumpang di kapal Yg kena virus 218 78 wni TDK kena virus masih ada 3415 yang BUKAN WNI juga TDK kena virus 78 wni : 3415 non wni (Aseng) TDK kena virus. SEMOGA JANGAN ADA YG UJUB TAKABUR..</t>
  </si>
  <si>
    <t>@kompascom Ga ada kok anak WNI disitu</t>
  </si>
  <si>
    <t>@mohmahfudmd Kalau ISIS Prof maksut, itu bukan tentara asing, kalau tentara jelas negaranya dan wilayah kedaulatan ya, ISIS itu gerombolan rampok, coba prof sebutkan negara ISIS dimana, dan dimana Meraka berkuasa? Di wilayah mereka ada penguasa negaranya yg sah secara hukum, Iraq dan Suriah</t>
  </si>
  <si>
    <t>Yo dilalap ta lek virus ae karo WNI 💪💪👏🤗🤗 RT @CNNIndonesia: Pemerintah Jepang menyatakan sebanyak 218 penumpang kapal pesiar Diamond Princess terinfeksi virus corona. @Kemlu_RI pun menuturkan bahwa 78 orang WNI yang merupakan kru dari kapal pesiar tersebut dalam kondisi sehat dan negatif virus corona.  #CNNIndonesia</t>
  </si>
  <si>
    <t>Wapres: lebih aman dan maslahat tak pulangkan WNI eks ISIS #TolakWNIEksISIS</t>
  </si>
  <si>
    <t>@TirtoID Dan semua salah ISIS, kaum intoleran, radikal, taliban, dll.. Ttd: Buzzer Pemerintah</t>
  </si>
  <si>
    <t>RT @RadioElshinta: Menteri Koordinator bidang Politik, Hukum dan Keamanan (Menko Polhukam), Mahfud MD menjelaskan soal pencabutan kewarganegaraan Warga Negara Indonesia (WNI) yang pernah menjadi kombatan ISIS.</t>
  </si>
  <si>
    <t>RT @kompascom: Mereka akan pulang dari Natuna menuju Lanud Halim Perdanakusuma sekitar pukul 14.00 WIB.</t>
  </si>
  <si>
    <t>@kompascom Hal apa kalau orang tuanya saja uda memilih jadi teroris tinggalkan negara ikut perang membela negara lain apa lagi kalau mereka uda umur enam tahun ke lima enam tahun ke atas uda di latih isis menembak jadi kalau mereka di pulangkan berbahaya karena mereka uda di cuci otaknya</t>
  </si>
  <si>
    <t>RT @Metro_TV: #MetroHariIni Pemprov Sumatera Utara sedang menunggu hasil observasi warganya terhadap virus covid-19 atau corona di Natuna yang akan dipulangkan besok. Dari 238 WNI yang diobservasi, terdapat 4 warga Sumut.</t>
  </si>
  <si>
    <t>DPR : 88 Negara Abaikan Warga Negaranya yang Eks ISIS</t>
  </si>
  <si>
    <t>@Kopral_Jono66 @AtikaFaya Setelah ISIS kalah mereka pengen balik lagi ke Indonesia tadinya udah sok sok an bakar2 paspor Indonesia. Lebih gede nyali minion wkwkwkwkwk</t>
  </si>
  <si>
    <t>"Dengan demikian jika melihat poin f dan poin h, maka, secara tidak langsung Pemerintah Indonesia telah mengakui ISIS sebagai aktir negara dalam pergaulan internasional," ujar Fajar.</t>
  </si>
  <si>
    <t>RT @sunankaliblanak: kita doakan sama" semoga si Fadli ini bisa amanah dan sehat selalu untuk menjadi bapak angkat anak" terrori ISIS di suriah nanti.. tapi jangan kotori negriku dg tapak kaki mereka ya Fadli.. dan semoga kau damai hidup di antara mereka..!</t>
  </si>
  <si>
    <t>Minta Masyarakat Terima WNI dari Natuna, Bamsoet: Mereka Bebas Corona</t>
  </si>
  <si>
    <t>@jr_kw19 Biasa booss titisan isis</t>
  </si>
  <si>
    <t>sumpah iki nek tenanan raono sing keno, kekebalan tubuh e wong indonesia suangar. tapi alhamdulillah 78 orang WNI ga ada yang kena. RT @CNNIndonesia: Pemerintah Jepang menyatakan sebanyak 218 penumpang kapal pesiar Diamond Princess terinfeksi virus corona. @Kemlu_RI pun menuturkan bahwa 78 orang WNI yang merupakan kru dari kapal pesiar tersebut dalam kondisi sehat dan negatif virus corona.  #CNNIndonesia</t>
  </si>
  <si>
    <t>jika harus menjaga masyarakat dari pengaruh ratusan WNI eks kombatan ISIS. #TolakWNIEksISIS</t>
  </si>
  <si>
    <t>Status WNI mereka otomatis hilang</t>
  </si>
  <si>
    <t>Besok WNI di Natuna Dipulangkan, Transit di Bandara Halim Perdana Kusumah</t>
  </si>
  <si>
    <t>Sebelum terlambat jgn sampai isis masuk ke indonesia #CegahISISmasukNKRI</t>
  </si>
  <si>
    <t>RT @SoundOfYogi: Korban dari kelompok dgn ideologi yg sama udah ada yut Teroris dengan ideologi agama udah ada korbannya ISIS dgn ideologi menang sendiri udah makan korban</t>
  </si>
  <si>
    <t>RT @PakarLogika: Saya yakin pendapat @fadlizon dan @MardaniAliSera itu pendapat politis untuk memulangkan eks ISIS. Emang mau bikin gaduh aja. Tapi jika Fadli Zon dan Mardani Ali Sera mau menampung, apalagi sampai mau jadi orangtua angkatnya, saya dukung. #TolakAnakISISKembali</t>
  </si>
  <si>
    <t>@newsplatter Tapi tapi ada WNI di Singapore yg positif terkena Corona virus ini kok, 1 orang.</t>
  </si>
  <si>
    <t>RT @MISAKUBA55pk: Justru sebaliknya , anak-anak ISIS akan lebih dominan dari anak-anak yang lain, mereka lebih dewasa dan bahaya nya nanti mereka malah jadi panutan dan bagi anak-anak memegang senjata itu keren..</t>
  </si>
  <si>
    <t>@MikirSok @budimandjatmiko Suka2 lah jualan ISIS jualan kentang.. intinya dia menyuarakan sesuatu yg penting. Lo klo mau buat narasi yg keren kaya Batman ngetwit aja sendiri.. mute aja beliau klo lo ga suka twit nya jgn kaya emak2 ribut!!!!</t>
  </si>
  <si>
    <t>Murid cuman 21 orang aja KAGAK KEURUS pdhl SMP punyanya Organisasi BESAR Keagamaan BIJIMANE mo URUS Anak2 Kombatan ISIS Eks WNI OTAK MANA OTAK RT @HendiBram: Ini sekolah yg muridnya cuma 21 orang itu kan?</t>
  </si>
  <si>
    <t>RT @jr_kw19: ngeri !!! klu anak2 eks WNI pro ISIS yg seperti ini pulang kembali ke Indonesia @fadlizon @MardaniAliSera @KomnasHAM #TolakAnakISISKembali</t>
  </si>
  <si>
    <t>Proses Karantina Selesai, Ganjar Minta Masyarakat Tidak Kucilkan WNI dari Tiongkok</t>
  </si>
  <si>
    <t>Darurat nkri, kita harus bersatu menolak isis masuk ke indonesia , isis itu bukan manusia tp monster yg menyerupai manusia #CegahISISmasukNKRI</t>
  </si>
  <si>
    <t>@Negev52031680 @jrenk29 @mouldie_sep Selain itu, kalau kita lihat para asatidz di medsos yg menyatakan dukungan mereka kepada ISIS anda bisa temukan kerancuan-kerancuan argumen mereka dengan membandingkannya dgn kitab-kitab para ulama yg mereka panuti sendiri.</t>
  </si>
  <si>
    <t>@AREAJULID mungkin koronanya baper , karena wni pake masker ini</t>
  </si>
  <si>
    <t>Kasian...</t>
  </si>
  <si>
    <t>Moeldoko Sebut Mantan Kombatan ISIS dari Indonesia “Stateless”???🧐</t>
  </si>
  <si>
    <t>RT @aninday: Dibaca ya, jgn keburu ngegas Indonesia gabisa detect virus CoV tp emang WNI itu sakti mandraguna. Itu yg ngecek tenaga medis Jepang lho ya</t>
  </si>
  <si>
    <t>@mohmahfudmd Soal ISIS eks WNI, bapak tanggap sekali. Sementara anak bangsa yg tak pernah mengingkari kesetiaannya terhadap bangsa dan negara, bapak anggap sebagai masalah kecil... Bangun pak.... RT @RomeskoP: @Katolik_GK @mohmahfudmd Bagaimana persekusi Kepada saya pak? Saya didemo akan diusir, gereja didemo berjilid jilid. Lalu bapak tau kenapa di menang kami mengatakan siap menunggu Putusan PTUN? Itu sebuah keterpaksaan dengan modus kondusifitas. Seharus Kami membangun sembari berproses di PTUN</t>
  </si>
  <si>
    <t>@ustadtengkuzul @jokowi Pak Jokowi kesal karena kebodohan WNI yang mengimpor baja. Tak masalah Pak, karena kita SAMA-SAMA bodoh disaat ini.</t>
  </si>
  <si>
    <t>RT @PDI_Perjuangan: Komisi IX DPR RI melakukan kunjungan spesifik ke Kabupaten Natuna. Kunjungan ini untuk mengetahui secara langsung perkembangan penanganan observasi WNI dari Wuhan Cina yang dipulangkan pemerintah Indonesia beberapa waktu lalu.  #PDIPerjuangan</t>
  </si>
  <si>
    <t>RT @PEDOMAN_id: √ Presiden @jokowi Pastikan WNI di Natuna Sehat dan Siap Kembali ke Keluarga cc @fadjroeL @JubirPresidenRI @PedomanNEWS</t>
  </si>
  <si>
    <t>@kompascom kenapa dibilang eks isis, mereka eks wni.</t>
  </si>
  <si>
    <t>@Eno_Bening "Tak ada satupun WNI" Dari kalimat judul nya menyimpulkan tidak ada satupun WNI disana.😂🙏</t>
  </si>
  <si>
    <t>RT @GUSDURians: Saat itu dunia internasional memikirkan bagaimana nasib mantan kombatan ISIS yang sudah runtuh tersebut. Sikap dunia internasional berbeda-beda. Russia menjadi negara yang bersedia menerima mantan kombatan yang berasal dari negaranya.</t>
  </si>
  <si>
    <t>Salah satu alasan kita menolakk memulangkan WNI Eks ISIS karena melanggar HAM. #tolakwnieksisis #4niesKibul_CancelFormulaE</t>
  </si>
  <si>
    <t>@Negev52031680 @jrenk29 @mouldie_sep Kmdian, saya juga pernah diskusi dengan teman seangkatan saya yg wkt itu simpatisan ISIS meskipun hny lewat LINE. Dalihnya kurang lbih juga sma seperti ustadz saya yg sebelumnya. Saya sampai hafal betul salah satu dalil andalan mereka "Wa a'idduu lahum mastato'tum min quwwah..."</t>
  </si>
  <si>
    <t>Pada Sabtu (15/2/2020) 238 WNI yang dievakuasi dari China akan segera pulang ke kampung halaman mereka masing-masing. &gt; #Tren</t>
  </si>
  <si>
    <t>@Negev52031680 @jrenk29 @mouldie_sep Stlh sy lulus, kami sempat debat ttg ISIS. Dan kebanyakan dalihnya pasti berdalil dgn ayat2 yg itu-itu saja dan tentunya dgn tafsiran tekstual saja. Ketika dicek knteksnya ternyata berbeda. Ktika dikritisi dan ditanyai blik, selalu bilang sy salah tnpa memberitahu kesalahan saya.</t>
  </si>
  <si>
    <t>TOP 3| Makassar Larang Valentine, Laptop Era Nadiem, WNI Wuhan di Natuna Pulang |14 Februari 2020</t>
  </si>
  <si>
    <t>Persis Sarankan Pemerintah RI Beri Kesempatan bagi Eks ISIS yang Insyaf -</t>
  </si>
  <si>
    <t>Observasi Terakhir Sabtu, 238 WNI Di Natuna Dipulangkan Ke Daerah Asal</t>
  </si>
  <si>
    <t>@CoRumara @kamuusiapaaaaaa @AhlulQohwah @Restichayah Resti bela ISIS sih g heran</t>
  </si>
  <si>
    <t>@Negev52031680 @jrenk29 @mouldie_sep Saya pernah debat langsung dgn salah satu ustadz saya yg merupakan simpatisan ISIS. Beliau dan saya dari satu pesantren. Beliau setelah lulus sempat jadi ustadz junior di pesantren sy sembari kuliah di UNS dn jadi pembimbing kmr sy.</t>
  </si>
  <si>
    <t>@ErollG @Julia_Zeed @3_devout @Mun4fikunn @amandagempita @WR_4AG226 @haibebyjo @P3nj3l4j4h_id @ephraym8 Mulai GK nyambung nih kadrun. Bukannya lo yg mendukung eks isis kembali ke Indonesia? Lo pikun atau pura pura tolol?😁 Sini kumis lo yg tipis itu, gue cukur supaya alam bawah sadar Lo balik.😂</t>
  </si>
  <si>
    <t>@babangmu @donysoer @aryosanjaya @Sabrina13579_ @zoepr406 @Sam_Ardi Pergi ke wilayah negara lain dan menyatakan setia pada bagian dari negara lain status WNI hilang, tempat kejadian perkara di luar wilayah indonesia kenapa di hukum pakai hukum indonesia</t>
  </si>
  <si>
    <t>Masyarakat Diimbau Terima dengan Baik Kepulangan 238 WNI dari Natuna #TauCepatTanpaBatas #BeritaTerkini #Berita #News #BeritaNasional .</t>
  </si>
  <si>
    <t>Soal ISIS ex WNI, Putusan pemerintah sudah sejalan dg NU. Tugas kita memPertahankan dan melestarikan warisan para pendiri NKRI, termasuk dari benih2 penghianatan akibat cacat memahami agama</t>
  </si>
  <si>
    <t>Disitu lah hebatnya pemerintah. Dgn satu ucapan ketauan sudah sbgn anggota dan simpatisan ISIS di negeri ini. RT @ANDRE_OCTA_: yang bikin kisruh ini @Kemenag_RI yg suka bikin statement yg bikin gaduh</t>
  </si>
  <si>
    <t>RT @__Ndaru__: @V4nn @hendri92189000 @smallmelville @Wawanda @dusrimulya @mohmahfudmd Ini artinya lu nanya-nanya sendiri lalu lu jawab sendiri, secara kewarganegaraan masih diakui dan nggak boleh pulang karena memaksakan dalih yg tidak memiliki dasar yg jelas. Isis itu apa ? Hanya militan pengacau keamanan semacam opm dsb itu</t>
  </si>
  <si>
    <t>@Darmaningtyas @the_geotimes Lebih pas lagi "Eks WNI eks ISIS"...stateless</t>
  </si>
  <si>
    <t>RT @zarazettirazr: Pulangkan aja eks ISIS kan ada BPIP Biar ditatar BPIP dengan PANCASILA Kan mereka AHLINYA</t>
  </si>
  <si>
    <t>@__Ndaru__ @V4nn @smallmelville @Wawanda @dusrimulya @mohmahfudmd Bisa bedain opm sama isis gak sih</t>
  </si>
  <si>
    <t>#MetroHariIni Pemprov Sumatera Utara sedang menunggu hasil observasi warganya terhadap virus covid-19 atau corona di Natuna yang akan dipulangkan besok. Dari 238 WNI yang diobservasi, terdapat 4 warga Sumut.</t>
  </si>
  <si>
    <t>@tubirfess Klo ada yg mendukung pemulangan bukan berarti mendukung isis. Logika orang Indonesia ya bgini</t>
  </si>
  <si>
    <t>@AREAJULID Gatau nder cuman kemaren kajian bareng dosen-dosen+dokter univ sebelah ngebahas tuh hasilnya; kayaknya ada beberapa faktor yg bikin kita kebal dari paparan. Mungkin ada kasus WNI terpapar tapi ga terinfeksi, kenapa? - gaya hidup orang indonesia yg gaada di negara lain</t>
  </si>
  <si>
    <t>RT @LusiHQ: Busyed!! Jauh2 kerja di negara orang gajinya utk mendanai gerakan ISIS. Udah pada keracunan agama beneran dah sebagian orang Indonesia ini.</t>
  </si>
  <si>
    <t>RT @SeputariNews: Polri Sebut Situasi Tempat Observasi WNI dari Wuhan di Natuna Kondusif</t>
  </si>
  <si>
    <t>@glocssuga IYA ITUHDJWJDJKS heran kenapa wni safe semua 😭😭</t>
  </si>
  <si>
    <t>RT @arman_dhani: saat isis minta jaminan hak asasi manusia</t>
  </si>
  <si>
    <t>RT @BaskoroKata: Jika mrk pulang, anak2 ini bisa jadi bom waktu bagi NKRI! #saveNKRI dari ISIS #TolakEksISIS @AtikahZahidah_ @haluanghabang @sabilla_shaffa @ibra_zycko @RAISYAELBIX1 @evisuryanti10 @SeruniPuspaAlam @erikamelfa @_antaresh @herlambang_tan @devy215</t>
  </si>
  <si>
    <t>Yayasan Enesis Salurkan Bantuan untuk WNI di China ~</t>
  </si>
  <si>
    <t>RT @masaryaduta: Mantan Hakim Agung Gayus Lumbuun menegaskan apapun pelanggaran para WNI eks ISIS itu, muaranya adalah di pengadilan untuk memberi keadilan. "Bukan pemerintah," tegasnya. Pemerintah tidak boleh menafsirkan undang-undang tanpa proses pengadilan.</t>
  </si>
  <si>
    <t>Kenapa @ustadtengkuzul tidak pernah ngetwit tentang ISIS????? RT @ustadtengkuzul:  Pak @jokowi KESAL, RI impor baja dari China dan Vietnam dlm jumlah besar. "Pak Presiden kesal? Apalagi kami, rakyat, pak. Geram kali pun, bukan KESAL lagi" Sudah pernah saya tulis di akun ini, saya dibully pendukung Bapak. Bapak Kesal, mrk bully, tdk, ya?</t>
  </si>
  <si>
    <t>...Delegasi Taliban diterima oleh Wapresnya Jokowi, Yog. Ideologi ISIS ya saudara sekandung dengan Taliban? (``,) RT @SoundOfYogi: Korban dari kelompok dgn ideologi yg sama udah ada yut Teroris dengan ideologi agama udah ada korbannya ISIS dgn ideologi menang sendiri udah makan korban</t>
  </si>
  <si>
    <t>RT @yodiwijaya: Penjelasan DR. @IrmanputraSidin soal peran dan sikap Negara yang harusnya dilakukan terhadap eks-ISIS. PEMERINTAH TOLAK PEMULANGAN WNI EKS ISIS?? || BICARA KONSTITUSI - A. IRM...  via @YouTube</t>
  </si>
  <si>
    <t>@Gun4w4nAhokers Yang terpapar pemikiran ISIS itu sebenarnya mereka apa Lo ya ?</t>
  </si>
  <si>
    <t>@SoundOfYogi ntar kalau ada modelan poso dan marawi kejadian di sini, tinggal bilang bukan isis, tjuma afiliasi n simpatisan..</t>
  </si>
  <si>
    <t>@edospernand @detikcom @detikoto Klo nembak di suruh gabung sama isis</t>
  </si>
  <si>
    <t>senengnya hati ini denger kabar WNI Natuna akan dipulangkan!! yeaaaay, selamat sampai tujuan, dan sehat selalu💙💙💙</t>
  </si>
  <si>
    <t>RT @GUSDURians: Joko Widodo selaku presiden RI dan Mahfud MD sebagai Menkopolhukam sejak awal tidak memiliki rencana untuk memulangkan mantan ISIS. Maka tidak mengherankan apabila rapat terbatas pemerintah membahas isu kepulangan ini berakhir dengan keputusan tidak dipulangkan.</t>
  </si>
  <si>
    <t>@GUSDURians Kita punya Densus TNI BIN masih aja takut bekas ISIS haduh, Kalau Warga Negara boleh takut, Kalau negara takut sama saja melecehkan perangkat Pertahanan dan Keamanan.</t>
  </si>
  <si>
    <t>RT @RizmaWidiono: Sebaiknya dikumpulkan saja orang2 yg mau terima WNI Eks ISIS pulang ke NKRI Setelah pada ngumpul Kirim seluruh orang2 tsb ke Suriah &amp; cabut kewarganegaraan Indonesia, Biar gak bikin heboh di INDONESIA Mungkin mereka senang kumpul disana sama WNI Eks ISIS #TolakAnakISISKembali</t>
  </si>
  <si>
    <t>@ervxxnn Wni op parah ga ada yg kena</t>
  </si>
  <si>
    <t>@KPAI_official sibuk memperjuangkan anak-anak eks WNI pro ISIS yang sangat berprestasi di Syuriah, yang lebih pinter pegang dan operasikan senjata perang bunuh orang ketimbang anak2 dalam negeri yang cuma pinter pegang golok, clurit. RT @wisanggeni_084: Kalo di Khayangan ekstrakulikuler sekolah itu bela negara. Di BKT ekstrakulikulernya bela diri. Generasi yg sangat membanggakan ! 💪 ea dek Mohon mangap ni... Kira² @KPAI_official tau gak prestasi kek ginian Cc: @Itjen_Kemdikbud @_NadiemMakarim @DivHumas_Polri @pemkotbekasi</t>
  </si>
  <si>
    <t>@V4nn @hendri92189000 @smallmelville @Wawanda @dusrimulya @mohmahfudmd Ini artinya lu nanya-nanya sendiri lalu lu jawab sendiri, secara kewarganegaraan masih diakui dan nggak boleh pulang karena memaksakan dalih yg tidak memiliki dasar yg jelas. Isis itu apa ? Hanya militan pengacau keamanan semacam opm dsb itu</t>
  </si>
  <si>
    <t>Menteri Koordinator Bidang Politik, Hukum, &amp; Keamanan Mahfud MD mengatakan keputusan untuk tidak memulangkan orang Indonesia (WNI) yg diduga pendukung ISIS atau menjadi teroris lintas negara atau foreign terrorist fighters, didasarkan pada hukum tertinggi.</t>
  </si>
  <si>
    <t>Keppres Eks WNI Kombatan ISIS Terganjal Pendataan</t>
  </si>
  <si>
    <t>Angkat tangan dengan jari satu dikatakan isis daesh nampaknya selama ni isis daesh dah masuk kisas rupanya haha #qadiyahghairyakiniyat</t>
  </si>
  <si>
    <t>@bl4cksapphire @donysoer @aryosanjaya @Sabrina13579_ @zoepr406 @Sam_Ardi Datang ke wilayah kekuasaan ISIS dengan sukarela untuk hidup di wilayah kekuasaannya itu artinya bergabung dengan kelompok teroris. Gabung dengan kelompok teroris bisa dipidana menurut revisi UU Anti Terorisme.</t>
  </si>
  <si>
    <t>@GUSDURians Kasus pengeboman disurabay yg dilakukan mantan ISIS seorang ibu dgn bawa anakNya untuk ngebom msh ingat</t>
  </si>
  <si>
    <t>Bukan Corona, Penyakit Ini Justru 'Tumbangkan' WNI Yang Dikarantina di Pesiar Jepang</t>
  </si>
  <si>
    <t>@JunjungUji @Gun4w4nAhokers Otak ISIS Lo !!!</t>
  </si>
  <si>
    <t>@vivanewscom Sebaiknya yang sudah menjadi warga negara lain jangan lagi kembali agar penduduk RI 260 juta nyaman tanfa gangguan dari isis</t>
  </si>
  <si>
    <t>RT @tempemendoanGL: Menurut UU no 12 th 2006 dan PP no 2 th 2007 WNI yg ikut perang tentara asing bisa ilang kewarganegaraannya dg sendrinya tanpa melalui pengadilan. Dg payung hukum tsb pemerintah diharapkan bisa tegas bersikap thd ratusan eks isis yg mau ke indonesia.. Cc @jokowi</t>
  </si>
  <si>
    <t>Menjelang kepulangan ratusan WNI yang di Karantina di Kepulauan Natuna, Presiden Joko Widodo berharap masyarakat bisa menerima dan tak panik. Dia memastikan, ratusan warga tersebut dinyatakan sehat sesuai prosedur.</t>
  </si>
  <si>
    <t>Ciracas , PT. N.G.K 9-2-20 Kondisi pencari kerja kita aja kyk gini, tiba-tiba eks wni Isis mau ditaruh di BUMN , ente waras joonn?? #TolakAnakISISKembali</t>
  </si>
  <si>
    <t>RT @dusrimulya: @tnurcahyo Sebenernya ndak masalah Pemerintah ndak pulangkan eks ISIS demi alasan keamanan..negara punya hak mencekal masuk org yg dianggap berbahaya (dgn bukti2) Tp cebong keterlaluan klo minta status WNI mrk dicabut..melangar HAM itu, "Stateless" itu melanggar Konvensi2 Internasional</t>
  </si>
  <si>
    <t>WNI yang sudah selesai karantina di Natuna adalah sehat. Harap semus yang terlibat dalam pemilangan TDAK PERLU memakai masker.</t>
  </si>
  <si>
    <t>RT @SoundOfYogi: Lah kalo tau2 pemerintahan syria anyep sama tahanan ISIS Lalu mereka diem2 nyelundupin itu teroris ke dalam negri gemana?</t>
  </si>
  <si>
    <t>“WNI di Natuna Sehat, Siap Kembali ke Keluarga” Pak Wowi: Fire in the Hoollleee...</t>
  </si>
  <si>
    <t>Korban dari kelompok dgn ideologi yg sama udah ada yut Teroris dengan ideologi agama udah ada korbannya ISIS dgn ideologi menang sendiri udah makan korban RT @kafiradikal: ...Korban ISIS di indonesia yg mana? Mentok di afiliasi aja. Delegasi Taliban aja bisa diterima wapres. Korban Taliban kurang jelas apalagi? (``,)</t>
  </si>
  <si>
    <t>Sebanyak 238 Warga Negara Indonesia (WNI) yang dievakuasi dari Wuhan, China diobservasi di Natuna. Usai observasi selama 14 hari, semua warga akan kembali ke daerah asalnya.</t>
  </si>
  <si>
    <t>RT @PDI_Perjuangan: Presiden Pastikan WNI di Natuna Sehat dan Siap Kembali ke Keluarga  #PDIPerjuangan</t>
  </si>
  <si>
    <t>@jokowi ngga perlu pulangkan anak2 ISIS ! hidup mrk sejak msh kecil dilatih utk jd pembunuh! abaikan @KomNasHam krn mrk satu kelompok</t>
  </si>
  <si>
    <t>Karena kita nih developcontri, medianya heboh, faktanya nol besar. Negara lagi nimbang anak dipulangkan/tdk, pegiat berasalan humanism dsj, sdg ruang menjamu korban gak punya, kesulitan dana, pendidikan lemah. Jangankan soal ISIS, dlm negeri pun anak SMP nendang temennya RT @kompascom: Pemerintah diminta untuk tidak serampangan mengambil sikap, lantaran hal ini tak hanya menjadi masalah Indonesia, melainkan dunia.</t>
  </si>
  <si>
    <t>@GUSDURians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</si>
  <si>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RT @supri_prp: Mantan WNI....toloong dicatat yah @KomnasHAM</t>
  </si>
  <si>
    <t>Ini orang-orang pas baca twit ini langsung pada bilang seolah-olah orang Indonesia hebat banget.. padahal jumlah WNI di kapal itu memang kecil. 78 dari 3711 penumpang alias cuma 2%. Jumlah penumpang yg terinfeksi sendiri cuma 5% dari total penumpang. 🤦‍♂️🤦‍♂️ RT @CNNIndonesia: Pemerintah Jepang menyatakan sebanyak 218 penumpang kapal pesiar Diamond Princess terinfeksi virus corona. @Kemlu_RI pun menuturkan bahwa 78 orang WNI yang merupakan kru dari kapal pesiar tersebut dalam kondisi sehat dan negatif virus corona.  #CNNIndonesia</t>
  </si>
  <si>
    <t>@seokjinyam kookiechim wni? Ah serius lu?</t>
  </si>
  <si>
    <t>Satu Deskripsi Buat Si Abal Abal</t>
  </si>
  <si>
    <t>Gila gilaaa gilaa 👏🏻👏🏻. Kebal bgt ya wni tuh hamdalah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</si>
  <si>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@Boyzneboyzone: Zonk ngotot eks wni pro ISIS dipulangkan, satu gerombolan #AwasAntek2ISIS #4niesKibul_CancelFormulaE</t>
  </si>
  <si>
    <t>TB Hasanuddin Kritik KSP karena Umumkan Rencana Memonitor WNI Eks ISIS -</t>
  </si>
  <si>
    <t>#MetroHariIni Wakil Presiden RI imbau agar masyarakat dapat menerima kembali WNI yang pulang ke daerah masing-masing usai menjalani observasi di Natuna, Kep. Riau. Proses observasi selama 14 hari sudah sesuai standar WHO dan dapat dinyatakan aman.</t>
  </si>
  <si>
    <t>Joko Widodo selaku presiden RI dan Mahfud MD sebagai Menkopolhukam sejak awal tidak memiliki rencana untuk memulangkan mantan ISIS. Maka tidak mengherankan apabila rapat terbatas pemerintah membahas isu kepulangan ini berakhir dengan keputusan tidak dipulangkan.</t>
  </si>
  <si>
    <t>Sementara pihak penolak menyatakan bahwa mereka pergi ke Suriah dengan kesadaran penuh. Untuk itu pemerintah tidak perlu mengembalikan mantan ISIS di Indonesia. Selain itu, alasan keamanan menjadi salah satu pertimbangannya.</t>
  </si>
  <si>
    <t>atau taubat bagi mantan ISIS yang sekarang sedang terlantar di kamp pengungsian. Asalan yang banyak muncul adalah kemanusiaan, belum kehilangan status WNI walau pun sudah membakar paspor, dan banyaknya perempuan dan anak-anak.</t>
  </si>
  <si>
    <t>Berbagai wacana mewarnai isu pemulangan mantan ISIS ke Indonesia. Isu ini kembali merebak di awal Februari 2020. Ada enam wacana yang kami petakan beserta tokoh-tokoh yang memberi statement di media online. Wacana utama pemulangan ini perihal pemberian kesempatan kedua, insyaf,</t>
  </si>
  <si>
    <t>Saat itu dunia internasional memikirkan bagaimana nasib mantan kombatan ISIS yang sudah runtuh tersebut. Sikap dunia internasional berbeda-beda. Russia menjadi negara yang bersedia menerima mantan kombatan yang berasal dari negaranya.</t>
  </si>
  <si>
    <t>Kesimpulan: Isu kepulangan mantan ISIS sudah ada sejak tahun 2019 ketika ISIS kalah dalam pertempuran, tepatnya di bulan Maret 2019. Ada belasan ribu warga negara asing yang turut berperang bersama ISIS.</t>
  </si>
  <si>
    <t>@03__nakula @me_zhu__Yusra Atw suruh kader pks itu miara anak2 isis itu dirumah mereka dan main sm anak cucu mrk</t>
  </si>
  <si>
    <t>WNI Eks ISIS Kehilangan Status Kewarganegaraan, Ini Alasannya</t>
  </si>
  <si>
    <t>Ketika virus pun menjadi “antek aseng” bagi WNI. RT @detikcom: #Terpopuler Bermula dari seorang yang positif terjangkit, kini ratusan orang lainnya dari berbagai negara tertular, tapi tak ada satu pun warga negara Indonesia... #VirusCorona #KapalPesiar</t>
  </si>
  <si>
    <t>Lah kalo tau2 pemerintahan syria anyep sama tahanan ISIS Lalu mereka diem2 nyelundupin itu teroris ke dalam negri gemana?</t>
  </si>
  <si>
    <t>...Korban ISIS di indonesia yg mana? Mentok di afiliasi aja. Delegasi Taliban aja bisa diterima wapres. Korban Taliban kurang jelas apalagi? (``,) RT @SoundOfYogi: Rejim yg mana yg Yut? ISIS jelas udah ada korbannya Sekarang rejim yang mana?</t>
  </si>
  <si>
    <t>Jika Pak @jokowi tidak tegas, Berarti pernyataan Pak @jokowi yg tidak akan ngongkosin EX WNI ANGGOTA ISIS Balik ke Indonesia masih ABU ABU. Menterinya @mohmahfudmd msh mencla mencle alias plintat plintut. Kalo Presiden tidak konsisten apalagi Menteri nya. @kaesangp @Chilli_Pari RT @SalmaBrecht: Stlh Pemerintah tidak memulangkan Ex WNI ISIS. Din Samsudin dan tokoh Islam lainnya mengaung. Mrk minta Pemerintah menyelamatkan anak². Itu artinya memulangkan ibunya. Skrg Pemerintah melunak. Jadi keputusan menolak dipulangkan Ex WNI ISIS belum final.</t>
  </si>
  <si>
    <t>@SoundOfYogi halah rejam rejim mulu, bilang aja pendukung isis, beres.</t>
  </si>
  <si>
    <t>@__Ndaru__ @hendri92189000 @smallmelville @Wawanda @dusrimulya @mohmahfudmd Percuma anda berkoar di medsos krn itu tdk akan membantu anggota ISIS ex WNI utk bisa plg ke indo. Anda bs bantu dgn melakukan gugatan hukum thp keputusan pemerintah atau anda bs jemput mreka langsung si Syria utk di bawa ke indo secara langsung 😀</t>
  </si>
  <si>
    <t>RT @korantempo: Masalah Hukum Pemulangan Bekas ISIS</t>
  </si>
  <si>
    <t>@ustadchen @ave_tweet @ardnif Ini lucu si asli. Kemaren baca berita. Maksutnya kobisa? Di saat who curiga kenapa di indo blm ada suspect tp ini wni yang satu kapal sama org2 yg kena corona masi sehat2 aja. Padahal yang meriksa org jepangnya langsung. Something's wrong with our immune😂</t>
  </si>
  <si>
    <t>@DayatPondok @mohmahfudmd @DayatPondok yg ikut ISIS Gak ada hubungannya dg kesejahteraan,yg ada Solidaritas mereka pada muslimin suriah,kalau dibilang di Ind kurang sejahtera waktu itu,kok malah nyari kesejahteraan ditempat perang seperti Suriah,Aneh aja</t>
  </si>
  <si>
    <t>RT @Amalia_sint: PBNU Dukung Sikap Tegas Pemerintah Tolak Pemulangan Eks WNI #4niesKibul_CancelFormulaE</t>
  </si>
  <si>
    <t>@KBRITokyo 78 wni tdk ada positif coronavirus y? Alhamdulillah, doa emak selalu menyertai.</t>
  </si>
  <si>
    <t>ini yg disebut jumat berkah, krn dapet kabar kalau WNI akan dipulangkan dr Natuna. semoga semuanya selamat sampai tujuan, aamiin!</t>
  </si>
  <si>
    <t>RT @Metro_TV: #MetroHariIni 1 Hari jelang kepulangan WNI yang diobservasi di Natuna, beragam aktivitas dilakukan peserta observasi mengawali hari dengan sarapan dan senam pagi bersama. Antusiasme terlihat jelang hari kepulangan mereka ke daerah asal masing-masing.</t>
  </si>
  <si>
    <t>RT @GUSDURians: Keenam, wacana “jadi WNI harus ikut prosedur” dibicarakan oleh 2 orang. Keduanya adalah pakar hukum, yaitu Hikmahanto Juana (guru besar UI) dan Jimly Asshidiqy (mantan ketua MK). "Jadi saya sarankan cabut dulu paspornya. Nanti urusan belakangan dia ingin kembali lagi.</t>
  </si>
  <si>
    <t>@Gun4w4nAhokers Siap !!! Kalo Lo bisa tega melihat anak2 yg td bersalah itu menderita tanpa jelas apa salahnya, apa bedanya otak Lo sama otak ISIS ..???</t>
  </si>
  <si>
    <t>RT @mustofa_somad: PBNU Dukung Sikap Tegas Pemerintah Tolak Pemulangan Eks WNI #4niesKibul_CancelFormulaE</t>
  </si>
  <si>
    <t>RT @Metro_TV: #MetroHariIni Ratusan WNI yang sedang menjalani observasi selama 14 hari di Natuna akan segera dipulangkan pada Sabtu, 15 Februari 2020. Menko PMK mengatakan, Muhadjir Effendy sebut, skema pemulangan akan diserahkan ke keluarga dan dipulangkan ke daerah masing-masing.</t>
  </si>
  <si>
    <t>@CNNIndonesia @Kemlu_RI Tapi serius apa dari sekian banyak yang terjangkit wni gaada yang kena? Salute</t>
  </si>
  <si>
    <t>Keenam, wacana “jadi WNI harus ikut prosedur” dibicarakan oleh 2 orang. Keduanya adalah pakar hukum, yaitu Hikmahanto Juana (guru besar UI) dan Jimly Asshidiqy (mantan ketua MK). "Jadi saya sarankan cabut dulu paspornya. Nanti urusan belakangan dia ingin kembali lagi.</t>
  </si>
  <si>
    <t>itu yang pertama yang harus kita lakukan dan cermati," kata Puan, di kompleks MPR/DPR, Senayan, Jakarta, Senin (10/2/2020). Kelima, wacana “banyak mantan ISIS perempuan dan anak” dibicarakan oleh 3 orang. Ketiganya adalah Hendardi (SETARA Institute), Suhardi Alius (BNPT),</t>
  </si>
  <si>
    <t>@wisanggeni_084 @KPAI_official @Itjen_Kemdikbud @_NadiemMakarim @DivHumas_Polri @pemkotbekasi Yang begini KPAI suka anak ISIS aja mau diboyong siapa tau nurunin ilmunya gak pake clurit lg tp tawuran pake lembar BOM</t>
  </si>
  <si>
    <t>"Yang pasti adalah kita harus cermati dulu, apakah kemudian 600 orang lndonesia ini memang masih memiliki paspor, apakah mereka secara sukarela meninggalkan paspor Indonesia untuk kemudian pergi ke satu negara untuk kemudian menjadi ISIS,</t>
  </si>
  <si>
    <t>Keempat, wacana “memastikan status WNI” dibicarakan oleh 5 orang. Kelimanya sepakat dengan wacana bahwa 600 mantan ISIS tersebut perlu dipastikan status kewarganegaraannya. Salah satunya diungkapkan Puan Maharani.</t>
  </si>
  <si>
    <t>"Mereka yang tergabung dalam ISIS sebenarnya telah kehilangan kewarganegaraan Indonesia-nya berdasarkan Pasal 23 UU Kewarganegaraan 2016, khususnya huruf (d) dan huruf (f)," kata guru besar Universitas Indonesia (UI) Prof Hikmahanto Juwana, Rabu (5/2/2020).</t>
  </si>
  <si>
    <t>Hal yang sama dikemukakan oleh politisi Gerindra, Fadli Zon. "Menurut saya sih tidak tepat karena, bagaimanapun, mereka adalah WNI. Kita harus mengambil satu kajian, lihat satu per satu persoalannya seperti apa.</t>
  </si>
  <si>
    <t>Ketiga, wacana “mantan ISIS adalah WNI” dibicarakan oleh 11 orang. Empat tokoh menyatakan bahwa mantan ISIS masih berstatus WNI. Komentar itu di antaranya dikemukakan oleh Al Chaidar. "Saya setuju dipulangkan. Pertama, alasan kemanusiaan, mereka masih perlu kita selamatkan.</t>
  </si>
  <si>
    <t>Kedua, wacana “mengembalikan mantan ISIS merepotkan negara” dibicarakan oleh 15 orang. Empat belas tokoh sepakat bahwa wacana pemulangan ini merepotkan negara, baik dari sisi penanganan hingga ancaman keamanan di masa mendatang.</t>
  </si>
  <si>
    <t>Sebaliknya, Said Aqil Siradj dari Pengurus Besar Nahdlatul Ulama menolak secara lantang wacana ini dan tidak mau memberi kesempatan mantan ISIS. "Pada prinsipnya sudah meninggalkan kewarganegaraan dengan kemauan sendiri. Ngapain diterima lagi," ucap dia (CNN, 08 Februari).</t>
  </si>
  <si>
    <t>Trus lo pikir ISIS gak dibeking koruptor? RT @NamungAbdiGusti: @SoundOfYogi Narkoba, koruptor, mengambil berapa duit dan nyawa ga berdosa??? Jumlah koruptor lebih banyak dari Isas isis itu...</t>
  </si>
  <si>
    <t>Salah satu tokoh yang memberi kesempatan ini adalah Haris Azhar, direktur Lokataru. Ia tidak sependapat apabila Joko Widodo menolak tanpa melakukan pertimbangan-pertimbangan. "Kalau rencana memulangkannya dalam arti para WNI tersebut bukan dari program pemerintah</t>
  </si>
  <si>
    <t>Pertama, “memberi kesempatan mantan ISIS bertaubat” dibicarakan oleh 16 orang, menjadi wacana turunan yang paling banyak dibicarakan. 6 tokoh setuju dengan wacana ini. Sementara 9 tokoh menyatakan tidak sependapat.</t>
  </si>
  <si>
    <t>Kami juga memetakan wacana yang dibicarakan terkait pemulangan mantan ISIS berdasar statement di berita. Ada enam wacana yang kami kelompokkan.</t>
  </si>
  <si>
    <t>@firdaus_9278 @CNNIndonesia @Kemlu_RI Ralat: penumpangnya lebih dari 3000. 218 yang positif corona itu kurang lebih cuma 8% dr keseluruhan penumpang kapal. Syukur WNI termasuk yang mayoritas negatif.</t>
  </si>
  <si>
    <t>di antaranya sebelum keputusan tersebut diambil, maka harus dipetakan secara jelas profil dari para WNI tersebut," kata Ketua F-PPP DPR Arsul Sani kepada wartawan, Rabu (5/2/2020).</t>
  </si>
  <si>
    <t>"PPP berpendapat bahwa keputusan untuk memulangkan atau tidak memulangkan WNI yang berada di wilayah atau negara yang dikuasai atau pernah dikuasai oleh ISIS ini harus dibuat dengan mempertimbangkan banyak hal,</t>
  </si>
  <si>
    <t>yang juga Pendiri Yayasan Prasasti Perdamaian, Noor Huda Ismail, saat dihubungi detikcom, Rabu (5/2/2020) (Detik, 6 Februari). Selain sikap yang sudah tegas untuk menerima atau menolak pemulangan mantan ISIS, Arsul Sani dari PPP memberikan dua opsi.</t>
  </si>
  <si>
    <t>@kompascom Jadi sudah normal kondisinya bagaimana dengan pengusiran WNI luar papua ? Sudah kembali berapa puluh korban nyawa gimana proses hukumnya? Kok malah berkunjung ke australia temui dedengkot OPM</t>
  </si>
  <si>
    <t>Rejim yg mana yg Yut? ISIS jelas udah ada korbannya Sekarang rejim yang mana? RT @kafiradikal: ...Padahal jumlah WN yg dibunuh oleh rezim jauuuuuhh melebihi ekstremis Islam. Bahkan baru2 ini seorang menko anggap sampah korban2 pembunuhan di Papua. Bisa nyaman menerima teror rezim tapi nggak bisa menerima ex anggota2 ISIS yg notabene ciptaan Mossad-CIA. (``,)</t>
  </si>
  <si>
    <t>RT @tvri_bali: @BaleBengong Ups, ralat. Salah baca. Yang dimaksud adalah 2 WNI yang selesai menjalani proses observasi di Natuna, daerah tujuannya adalah Denpasar &amp; Gianyar.</t>
  </si>
  <si>
    <t>RT @KomikPolitik: PBNU Dukung Sikap tegas pemerintah tolak pemulangan Eks WNI ISIS #4niesKibul_CancelFormulaE</t>
  </si>
  <si>
    <t>@CNNIndonesia @Kemlu_RI mungkin efek asi ekslusif ibuk ibuk Indonesia selama 2 tahun waktu bayik membuat generasi WNI sejak dulu memiliki sistem imun yg kuat...</t>
  </si>
  <si>
    <t>@AtepBagdja @harunomizuhime @penggemarsemar @CNNIndonesia @Kemlu_RI yang statement menlu, bukan menkes. Yang periksa otoritas jepang, krn WNI tentu infonya ke menlu</t>
  </si>
  <si>
    <t>Cerita WNI di Natuna Sehari Jelang Dipulangkan: Makanan Enak, Tidur Serasa di Hotel Bintang 5</t>
  </si>
  <si>
    <t>WNI bebas Corona, kaum antivaksin happy.</t>
  </si>
  <si>
    <t>Anak2 ini yg hrs di utamakan masa depannya, bukan anak2 didiknya ISIS RT @suarrId: Pemandangan saat jeda istirahat di Pondok Pesantren Raudlatul Ulum, Guyangan, Trangkil Pati. Adab santri kepada pengasuh dan guru-gurunya saat berjalan menuju ke pondok untuk melaksanakan sholat duha. @NUgarislucu @Ubaidullah_Sdq @na_dirs @munawiraziz @BakarSmith</t>
  </si>
  <si>
    <t>RT @republikaonline: IDI mengimbau masyarakat tidak perlu khawatir dengan kepulangan WNI dari Natuna.</t>
  </si>
  <si>
    <t>@Budi_puolaper Yak klo mereka menang bisa jd negeri sendiri, dg mndukung GAM artinya tdk mau jd WNI</t>
  </si>
  <si>
    <t>@Fatmazhang puji tuhann kalo WNI pada sehat sehatt masker kain gitu efektif gaa?</t>
  </si>
  <si>
    <t>@jump2nov @tempodotco Nakal itu bnyk versi bkn cuma ISIS doang. Tuh koruptor, penikmat oligarki, pedofil dan bnyk lg. Bnyk hal yg justru lebih menghancurkan drpd yg terlibat ISIS tp mungkin mereka udah tobat.</t>
  </si>
  <si>
    <t>RT @okezonenews: DPR Bakal Sambut Kepulangan 238 WNI dari Natuna #TauCepatTanpaBatas #BeritaTerkini #Berita #News #BeritaNasional .</t>
  </si>
  <si>
    <t>#cnnindonesia #bimowiwoho Tolak mantan ISIS balik ke Indonesia</t>
  </si>
  <si>
    <t>@null Bukan Corona, Penyakit Ini Justru 'Tumbangkan' WNI Yang Dikarantina di Pesiar Je</t>
  </si>
  <si>
    <t>Pemerintah masih setengah setengah dalam antisipasi virus Corona. Belum ada tindakan pengecekan pada WNA dan WNI dari Wuhan yang ada di Indonesia (terutama bali) ... #CoronaDiantaraKita #CoronaAlert</t>
  </si>
  <si>
    <t>RT @myatharva: @DiantyYasmin3 eh si nempel/// lo idup lo ribet banget yak.. gmn kalo 1. lo kan punya tiket syurge nerake ...gih langsung otw ksna 2, ke suriah ikut isis,,,mana dulu treak2x bela isis.. gih sana ,,,jihad disana 3. ke araf bantu junjungan lo demo raja salman.,,.</t>
  </si>
  <si>
    <t>#MetroHariIni Ratusan WNI yang sedang menjalani observasi selama 14 hari di Natuna akan segera dipulangkan pada Sabtu, 15 Februari 2020. Menko PMK mengatakan, Muhadjir Effendy sebut, skema pemulangan akan diserahkan ke keluarga dan dipulangkan ke daerah masing-masing.</t>
  </si>
  <si>
    <t>@awibowo___ @detikcom @KPAI_official sibuk urus anak anak isis</t>
  </si>
  <si>
    <t>IDI mengimbau masyarakat tidak perlu khawatir dengan kepulangan WNI dari Natuna.</t>
  </si>
  <si>
    <t>@dusrimulya @mohmahfudmd dulu waktu bom Bali terjadi Indonesia blm ada UU teroris, lalu dibuat setelah terjadi bom Bali. tetapi tidak ada yang protes, bom Bali membunuh beberapa orang. isis membunuh ratusan ribu orang. pemerintah bisa merevisi UU kewarganegaraan seperti waktu bom bali. demi Indonesia.</t>
  </si>
  <si>
    <t>@babangmu @donysoer @aryosanjaya @Sabrina13579_ @zoepr406 @Sam_Ardi Yang kena pasal terorisme yang sudah terindikasi/merencanakan atau sudah melakukan aksi terorisme.. Kalau cuman menyatakan sebagai simpatisan organisasi teroris belum kena.. Coba aja loe pasang sepanduk mendukung ISIS di depan rumah</t>
  </si>
  <si>
    <t>RT @woelannnn: Jgn korbankan 260 juta WNI yg selama ini setia kpd NKRI demi ambisi politik kalian ! Pengkhianat2 itu pingin pulang adalah karena ISIS Kalah BUKAN karena cinta kpd NKRI ! #TolakAnakISISKembali</t>
  </si>
  <si>
    <t>Wacana Pemulangan 600 WNI Eks ISIS Jadi Ramai, Fadli Zon: Gara-gara Menteri Agama  via @tribunnews</t>
  </si>
  <si>
    <t>Cerita WNI peserta observasi @V2019N di Natuna @BNPB_Indonesia</t>
  </si>
  <si>
    <t>@vivalavidahein Masker jg dimana mana sold out. Temen ku yg diujung pun ga dapet, org sini pun bingung. Harga masker di onlineshop tembus 10x lipat😭. Tp sejauh yg kutau WNI yg tgl disini sehat semua</t>
  </si>
  <si>
    <t>@ustadchen @ave_tweet @ardnif wni di singapore udah ada yg kena bah</t>
  </si>
  <si>
    <t>@jump2nov @tempodotco Memang anggota keluarga itu nakal dan dia harus belajar utk berubah. Apakah kita harus belajar juga? Harus. Kita harus belajar apa itu "nakal", knp bisa nakal?, bgmn membenahi "kenakalan", bgmn mencegah nakal dan bnyk lg. Lg pula "nakal" itu jgn jatuh pd ISIS doang lah</t>
  </si>
  <si>
    <t>@mediaindonesia Semoga pihak terkait bisa dipercaya kalo wni yg dari wuhan ini tdk bawa virus, selamat bertemu keluarga dg keadaan sehat wal afiat</t>
  </si>
  <si>
    <t>@spiderr__matrix @batman_kawe Ibarat kata tua, menyelam lebih baik membatu. Mengapa harus di sesali? Sebaik melangkah jangan mundur, apa lagi sudah... Hadeh. Ex ISIS munafik!</t>
  </si>
  <si>
    <t>DPR Bakal Sambut Kepulangan 238 WNI dari Natuna #TauCepatTanpaBatas #BeritaTerkini #Berita #News #BeritaNasional .</t>
  </si>
  <si>
    <t>Baca reply2nya bisa auto bahagia. 😅 . (*semoga 78 WNI sehat selalu 👍)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</si>
  <si>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@donkisot007 Jawab dl pertanyaan gw,tuduhanmu itu ISIS banget :)</t>
  </si>
  <si>
    <t>HAAAAAA seneng banget denger kabar akhirnya hari ini WNI dipulangkan dari Natuna🥺🥺</t>
  </si>
  <si>
    <t>@Usep210 @SalmaBrecht @aagym @mohmahfudmd @erickthohir @ganjarpranowo @aniesbaswedan @sudjiwotedjo @karniilyas @RamliRizal itu macem isis</t>
  </si>
  <si>
    <t>RT @Artortoise_full: 14 FEB : HARI MEMPERINGATI LEFTENAN ADNAN Tanggal 14 Feb 1942, Regimen Askar Melayu berlawan bermati-matian dgn tentera Jepun semasa Perang Dunia Ke-2. Pada tarikh ini jg Adnan bin Saidi @ lebih dikenali sebagai Leftenan Adnan, telah terkorban dalam Pertempuran Bukit Candu. (1)</t>
  </si>
  <si>
    <t>Sampai hari ini dan semoga seterusnya, WNI masih aman dari #COVID19 karena di dalam darahnya mengalir DNA yang mengandung nilai-nilai luhur Pancasila. #CoronavirusOutbreak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</si>
  <si>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@SuburBur: Monas, TIM, K5 Tenabang ~&gt; Anies Revisi UU KPK, Rencana pulangkan ex ISIS, Naikkan BPJS ~&amp;gt; Jokowi Yang satu nggak ngomong2 langsung hajar. Satunya lagi banyak tiktok statement. Kedua2nya hasilnya bikin sebel. Boleh bilang Anies dan Jokowi 11-12?</t>
  </si>
  <si>
    <t>RT @tempodotco: Pemerintah tidak akan memulangkan 689 warga Indonesia eks ISIS, tapi akan mempertimbangkan untuk menerima kembali anak-anak warga Indonesia di bawah umur 10 tahun.</t>
  </si>
  <si>
    <t>Kebijakan Seperti Ini yg Seharusnya Diduplikasi Pemerintah RI, Bukannya Bertele Tele Gelar Wacana Wacana yg Tidak Jelas Muaranya!!!</t>
  </si>
  <si>
    <t>RT @kompascom: Pemerintah diminta untuk tidak serampangan mengambil sikap, lantaran hal ini tak hanya menjadi masalah Indonesia, melainkan dunia.</t>
  </si>
  <si>
    <t>Daftar Negara yang Tolak Kepulangan ISIS, Inggris Tak Toleran terhadap Anak-anak dan Bayi</t>
  </si>
  <si>
    <t>@jr_kw19 Penyumbang kegiatan ISIS ko g diproses hukum ya??</t>
  </si>
  <si>
    <t>RT @GUSDURians: Pengamat terorisme pun memiliki perbedaan pendapat. Jika Al Chaidar setuju dengan wacana pemulangan mantan ISIS, sebaliknya Noorhuda Ismail berpendapat berbeda. Ia setuju dengan pendapat Joko Widodo yang menolak pemulangan mantan ISIS.</t>
  </si>
  <si>
    <t>@__Ndaru__ @hendri92189000 @smallmelville @Wawanda @dusrimulya @mohmahfudmd Betul, tapi apabila tdk melanggar UU. Kl UU kewarganegaraan sudah dilanggar yg berakibat tdk diakui sbg WNI apakah ms perlu di lindungi oleh negara??</t>
  </si>
  <si>
    <t>#MetroHariIni 1 Hari jelang kepulangan WNI yang diobservasi di Natuna, beragam aktivitas dilakukan peserta observasi mengawali hari dengan sarapan dan senam pagi bersama. Antusiasme terlihat jelang hari kepulangan mereka ke daerah asal masing-masing.</t>
  </si>
  <si>
    <t>Pengamat terorisme pun memiliki perbedaan pendapat. Jika Al Chaidar setuju dengan wacana pemulangan mantan ISIS, sebaliknya Noorhuda Ismail berpendapat berbeda. Ia setuju dengan pendapat Joko Widodo yang menolak pemulangan mantan ISIS.</t>
  </si>
  <si>
    <t>"Dengan mudahnya kita mendatangkan mereka, saya pikir tidak sebanding dengan nilai kemanusiaan yang diusung itu," kata Marwan yang merupakan politikus PKB ini (Detik, 6 Februari). Sementara orang tua korban bom Samarinda yang didalangi ISIS menolak secara tegas wacana ini.</t>
  </si>
  <si>
    <t>Secara resmi, sesungguhnya mereka tidak lagi menjadi WNI," kata Ketua DPP Golkar Ace Hasan Syadzily kepada wartawan, Rabu (5/2/2020). Politisi PKB Marwan Dasopang memiliki pandangan yang berbeda dari Cucun Ahmad Syamsurijal, teman satu partainya.</t>
  </si>
  <si>
    <t>Ganjar Pranowo menyebut bahwa mantan ISIS tidak perlu dipulangkan karena membakar paspor. Ace Hasan Syadzily menegaskan bahwa status kewargaan mereka telah hilang. "Pada saat mereka (WNI) bergabung ISIS, maka mereka telah menanggalkan kewarganegaraan Indonesia.</t>
  </si>
  <si>
    <t>"Saya pikir pemulangan WNI eks ISIS itu perlu dengan kajian yang mendalam. Kita sekarang ini sudah lagi banyak beberapa masalah yang mesti kita tuntaskan, ada masalah BPJS, ada masalah virus Corona, ada masalah tenaga kerja," kata Waketum Gerindra Sufmi Dasco Ahmad (5/2/2020).</t>
  </si>
  <si>
    <t>RT @TRANS7: "Paling tidak, dengan mereka tidak kembali ke Indonesia, paling tidak, tidak ada anggota ISIS yang masuk ke Indonesia." Fadjroel Rachman, Juru Bicara Presiden. #MataNajwa #MataNajwaMenangkisISIS</t>
  </si>
  <si>
    <t>Hal yang sama diutarakan Menkopolhukam yang menyebut mantan ISIS cenderung tidak dipulangkan. Sufmi Dasco Ahmad dari Gerindra salah seorang yang menyebut mantan ISIS tidak perlu dipulangkan. Sikapnya berbeda dengan Fadli Zon, teman satu partainya.</t>
  </si>
  <si>
    <t>Mahfud MD (Menkopolhukam), Charles Honoris (PDI P), Saan Mustopa (Nasdem). Secara pribadi, Joko Widodo menolak memulangkan mantan ISIS. Tetapi dia membuka opsi lain apabila diperlukan dalam sebuah rapat terbatas di kabinetnya.</t>
  </si>
  <si>
    <t>Sarina Gultom, Novita Sagala (orang tua korban ISIS Samarinda), Eddy Soeparno (PAN), Adies Kadir, Ace Hasan Syadzily (Golkar), Sufmi Dasco Ahmad (Gerindra), Said Aqil Siradj (PBNU), Noorhuda Ismail (pengamat terorisme), Noorhaidi Hasan (UIN Sunan Kalijaga),</t>
  </si>
  <si>
    <t>Sementara Komnas HAM menyebut bahwa selama mantan ISIS itu WNI, negara harus hadir dan mengurus. Jangan sampai warga negara berubah menjadi stateless atau tanpa kewarganegaraan.</t>
  </si>
  <si>
    <t>Ada 8 tokoh yang secara tegas setuju (hijau) dengan wacana pemulangan mantan ISIS. Mereka adalah Mardani Ali Sera (PKS), Bambang Soesatyo (MPR RI), Hendardi (SETARA Institute), Fadli Zon (Gerindra), Al Chaidar (pengamat terorisme), Cucun Ahmad Syamsurijal (PKB),</t>
  </si>
  <si>
    <t>Kami menemukan 34 tokoh yang berkomentar mengenai kepulangan ISIS yang dimuat di 34 berita tersebut. Di antara tokoh-tokoh tersebut, sebanyak 27 tokoh memiliki sikap tegas tentang kepulangan ISIS.</t>
  </si>
  <si>
    <t>@Gun4w4nAhokers Cara berpikir Lo ISIS banget ...!!!</t>
  </si>
  <si>
    <t>Kami mengumpulkan 34 teks berita sepanjang 3 Februari–10 Februari 2020. Berita dengan narasumber yang sama kami pilih salah satunya karena tujuan utama pemetaan ini adalah melihat persepsi tokoh terhadap pemulangan mantan ISIS.</t>
  </si>
  <si>
    <t>Karenanya, kasus ISIS tidak bisa diselesaikan secara sentimental belaka. Perlu pemetaan agar kebijakan yang diputuskan pemerintah tidak keliru. Tim Riset DNA Gusdurian (Tridian) memetakan wacana yang muncul seputar pemberitaan pemulangan ISIS di dua media online Detikcom dan CNN</t>
  </si>
  <si>
    <t>Sebagian lagi menyebut pemulangan mantan ISIS sebagai tindakan untuk menegakkan HAM. Apalagi eks ISIS tidak semua tahu konsekuensi yang diterima ketika memutuskan bergabung dengan ISIS. Perempuan dan anak-anak, misalnya.</t>
  </si>
  <si>
    <t>BAGAIMANA TOKOH INDONESIA MEMBICARAKAN WACANA KEPULANGAN MANTAN ISIS? (A Thread) Tim Riset DNA GUSDURian (Tridian) memetakan pernyataan tokoh Indonesia terkait wacana kepulangan warga negara Indonesia yang pernah terlibat dalam perang bersama ISIS.</t>
  </si>
  <si>
    <t>Emosi ngejelasin mama tentang investasi luar negeri dan gimana negara skrg buat kebijakan baru buat pemasukan pajak. Jadi skrg ada status wajib pajak utk luar negeri, yg artinya org2 non WNI punya pendapatan dari investasinya di Indonesia dikenai pajak. Ya bagus dong</t>
  </si>
  <si>
    <t>@wisanggeni_084 @asmarandha1 anak sekolah di purworejo dan dimalang dibuly sampai berdarah darah orang KPAI diam dan mbidek sekarang bekas isis tapi anak anak conggor nya teriak nyaring "Negara harus hadir ... hadir conggormu minta tak njejeg jancok ...</t>
  </si>
  <si>
    <t>Zon kritik Presiden karna tak Pulangkan Kombatan ISIS ke NKRI dan Kita tau dibelakang ISIS adalah USA &amp; Zon bangga foto dg Trump Teriak Anti PKI tapi dia Berfoto di Makam Mbahne Komunis Sebenarnya kowe iki Mahluq opo sih su?!! #AwasAntek2ISIS #TolakEksWNIproISIS</t>
  </si>
  <si>
    <t>BNPT Harus Bisa Pastikan Anak ISIS Setia NKRI</t>
  </si>
  <si>
    <t>Pernyataan Kepala KSP, @GeneralMoeldoko : ISIS eks WNI akan diadili atau dilakukan langkah-langkah penegakan hukum apabila mereka kembali ke Indonesia, terlebih mereka bergabung dengan organisasi terorisme ISIS.. #NoMercy4ISIS</t>
  </si>
  <si>
    <t>7 WNI Masih Berada di Wuhan, Bagaimana Kabarnya?</t>
  </si>
  <si>
    <t>Budaya kita bukan Valentine. Budaya kita riweuh 600 ISIS nun di ujung arab. Puun hilang 200 biji, bodo amat. 1000 gereja dibakar dirusak, EGP. Mbuuh.</t>
  </si>
  <si>
    <t>@GiaPratamaMD Dok, gmn tanggapan dokter ttg "sakti"nya org indonesia? So far aku mikirnya kek guyonan aja,, tp dari segi medis apakah itu mmg jd salah satu faktor WNI blm ada yg terinfeksi corona? Ironi tp kok ya bersyukur.. Mksh dok sblmnya.</t>
  </si>
  <si>
    <t>Esok Observasi Terakhir, Seluruh WNI dari Wuhan Akan Dibawa ke Jakarta Sabtu Siang</t>
  </si>
  <si>
    <t>@jokowi .... Pak apakah udah yakin akan kembali kan anak2 isis ex wni ke tanah air ?</t>
  </si>
  <si>
    <t>@mohmahfudmd Jgn lupakan diksi "NEGARA" prof, karna maknanya tentu akan beda. ISIS bukan negara.</t>
  </si>
  <si>
    <t>Ucapan terima kasih kepada Pemerintah yang telah melakukan program rehabilitasi kepada 238 WNI dari Wuhan, Cina dan saat ini WNI dinyatakan sehat sesuai standar WHO serta siap dipulangkan ke daerah asal masing-masing. #WaspadaVirusCorona</t>
  </si>
  <si>
    <t>@ErollG @Julia_Zeed @3_devout @Mun4fikunn @amandagempita @WR_4AG226 @haibebyjo @P3nj3l4j4h_id @ephraym8 Lo yang goblok,komentarku di atas buat Lo yg dukung eks isis. Lo dukung anak anak isis yg telah bunuh ibu kandungnya sendiri?</t>
  </si>
  <si>
    <t>@ardnif @ustadchen Nope. Ada kapal pesiar yang isinya orang indo dan jepang, orang jepangnya ada yang positif sementara 70an wni tetep sehat negatif corona.</t>
  </si>
  <si>
    <t>@Kemlu_RI berbanding terbalik.. dengan anak-anak korban isis.. ya.. wni kita yang disana.. iya.. kamu.. aku bicara denganmu.. dipikirin.. jangan emang gue pikirin..</t>
  </si>
  <si>
    <t>Pemerintah diminta untuk tidak serampangan mengambil sikap, lantaran hal ini tak hanya menjadi masalah Indonesia, melainkan dunia.</t>
  </si>
  <si>
    <t>Mereka akan pulang dari Natuna menuju Lanud Halim Perdanakusuma sekitar pukul 14.00 WIB.</t>
  </si>
  <si>
    <t>Istana: Keppres Status WNI Eks ISIS Masih Tunggu Pendataan</t>
  </si>
  <si>
    <t>I'm amazed! Gimana ga amazed, yg WNI tetep sehat loh. 👍 RT @CNNIndonesia: Pemerintah Jepang menyatakan sebanyak 218 penumpang kapal pesiar Diamond Princess terinfeksi virus corona. @Kemlu_RI pun menuturkan bahwa 78 orang WNI yang merupakan kru dari kapal pesiar tersebut dalam kondisi sehat dan negatif virus corona.  #CNNIndonesia</t>
  </si>
  <si>
    <t>@BaleBengong Ups, ralat. Salah baca. Yang dimaksud adalah 2 WNI yang selesai menjalani proses observasi di Natuna, daerah tujuannya adalah Denpasar &amp; Gianyar.</t>
  </si>
  <si>
    <t>@donkisot007 Mereka WNI bukan? Setau saya mereka adalah eks WNI artinya bukan lg menjadi tanggung jawab pemerintah :) Kok kamu yg ribut? Mau nampung? 😁🤭</t>
  </si>
  <si>
    <t>Semoga WNI yg hari ini dipulangkan dari Natuna bisa kembali kerumah dan bertemu keluarga yg disayang dengan suka cita ya, Aamiin. Selamat sampai tujuan semuanya!🙌🏻</t>
  </si>
  <si>
    <t>@rmol_id Ralat : ISSIS EKS WNI.</t>
  </si>
  <si>
    <t>@MetroTVNewsRoom @Metro_TV dan kpai malah milih ngurusi anak isis ex wni.</t>
  </si>
  <si>
    <t>Sekjen PBNU Ungkap Alasan Penolakan Pemulangan WNI Eks Kombatan ISIS</t>
  </si>
  <si>
    <t>pengen join grup wa isis</t>
  </si>
  <si>
    <t>@sitris_putra Macam priwin ISis aja</t>
  </si>
  <si>
    <t>#KalimantanPost Besok 8 WNI Asal Kalsel Dipulangkan dari Karantina di Natuna  #headline</t>
  </si>
  <si>
    <t>RT @RiriJreeng: Ga kebayang serem nya.. Klo anak2 ISIS dipulangkan... Jgn ambil reaiko #TolakAnakISISKembali</t>
  </si>
  <si>
    <t>RT @mochamadarip: Belain Teroris ISIS ex WNI, emang ada hubungan apa dg ISIS? #TolakAnak1sisKembali #TolakAnak1sisKembali</t>
  </si>
  <si>
    <t>Mereka akan kembali ke tengan masyarakat</t>
  </si>
  <si>
    <t>@Kiyai_MarufAmin : Status kewarganegaraan WNI yang bergabung ke ISIS otomatis hilang karena mereka memilih meninggalkan Indonesia dan bergabung dengan kelompok tersebut yang membentuk negara khilafah di Suriah sehingga lebih baik mereka tidak dipulangkan. #TolakWNIEksISIS</t>
  </si>
  <si>
    <t>Nasib WNI Eks ISIS, Dilema Keamanan Atau Kemanusiaan? Pemerintah beralasan bahwa tindakan itu didasarkan atas terancamnya keamanan negara jika WNI eks anggota ISIS dipulangkan ke Indonesia..</t>
  </si>
  <si>
    <t>@rahung WNI : Mereka belum pernah kerokan,makanya rentan kena virus.</t>
  </si>
  <si>
    <t>RT @Mentimoen: Wow, hampir 200 org sdh positif dari Diamond Princess, 78 WNI (mereka itu penumpang atau awak kapal?) semuanya negatif. Ini pasti memperkuat teori konspirasi bahwa ini senjata biologi yg ditujukan untuk etnis tertentu.</t>
  </si>
  <si>
    <t>@CNNIndonesia Sekadar mengingatkan, mrk ud bkn WNI lg tmasuk bocah2nya. KPAI lbh baik ambil kasus lain bkn yg booming2 aja trs nyari sensasi. Sekian.</t>
  </si>
  <si>
    <t>@mohmahfudmd &gt; Ralat : "apakah ISIS sebuah negara?".</t>
  </si>
  <si>
    <t>RT @RadioElshinta: Masyarakat diminta tidak khawatir dengan pemulangan 238 warga dari Wuhan setelah menjalani observasi di Natuna selama 14 hari terkait Virus Corona. Menurut rencana Sabtu besok 238 wni akan dipulangkan ke daerah masing masing. Talk: Wakil Ketua Umum PB IDI, M Adib Khumaidi.</t>
  </si>
  <si>
    <t>Se-strong itu WNI?! 👏🏻👏🏻 salut! Padahal virus di depan mata loh RT @CNNIndonesia: Pemerintah Jepang menyatakan sebanyak 218 penumpang kapal pesiar Diamond Princess terinfeksi virus corona. @Kemlu_RI pun menuturkan bahwa 78 orang WNI yang merupakan kru dari kapal pesiar tersebut dalam kondisi sehat dan negatif virus corona.  #CNNIndonesia</t>
  </si>
  <si>
    <t>Persiapan terus dilakukan menjelang pemulangan WNI di Natuna yang direncanakan pada Sabtu (15/2) besok. Mereka begitu antusias karena akan segera pulang bertemu dengan keluarga di daerah masing-masing setelah melewati masa inkubasi 14 hari. #CNNIDNewsroom</t>
  </si>
  <si>
    <t>@AhlulQohwah adalah gerombolan teroris yg terselubung dalam suatu wadah berbentuk @KPAI_official utk Pak Presiden @jokowi tolong dibersih bersihin ya komisi Anda yg mendukung ISIS</t>
  </si>
  <si>
    <t>@SoundOfYogi Narkoba, koruptor, mengambil berapa duit dan nyawa ga berdosa??? Jumlah koruptor lebih banyak dari Isas isis itu...</t>
  </si>
  <si>
    <t>@zarazettirazr Karena mereka lahir ketika ortu mereka masih WNI. Sehingga seharusnya mereka masih berhak memiliki status WNI..</t>
  </si>
  <si>
    <t>@fahiraidris Slrh WNI rasanya sdh paham dn setia terhadap ideologi Pancasila, selama ia mau dn taat kpd konstitusi dlm rk mjaga negaranya.. Lbh baik BPIP dibubarkan sj.. Sayang duit byk dikeluarkan hanya utk keributan..sdh tdk tepat lg.</t>
  </si>
  <si>
    <t>@dusrimulya @mohmahfudmd Mereka sendiri menamakan diri sebagai Negara Islam Irak Suriah (NISS) walaupun tdk diakui dunia. Jadi Isis Ex WNI yg pergi dgn kesadaran sendiri, sadar bhw mereka akan menjadi warga negara tsb, makanya paspor WNI, mereka bakar sendiri.</t>
  </si>
  <si>
    <t>Whaa senangnya WNI Natuna akan kembali pulang kerumah masing2 dan bertemu keluarga yg tersayang!!🥰 semoga kita semua selalu sehat yaa!&gt;&lt;</t>
  </si>
  <si>
    <t>RT @republikaonline: Pemerintah akan memberangkatkan tiga unit pesawat TNI AU untuk menjemput ke Natuna.</t>
  </si>
  <si>
    <t>IDI Yakin WNI yang Diobservasi di Natuna dalam Keadaan Sehat</t>
  </si>
  <si>
    <t>RT @muliawanramzy: @adnrxst @arfibambani @innovesian Jika ISIS mau dianggap negara maka ia harus memenuhi syarat-syarat negara klasik yang diatur Konvensi Montevideo. Bahkan saat ini tak satupun syarat yang dipenuhi ISIS maupun sempalannya untuk disebut negara.</t>
  </si>
  <si>
    <t>ISIS Eks WNI Dipastikan Terlibat Terorisme Pasti Diadili. #NoMercy4ISIS</t>
  </si>
  <si>
    <t>@Kemlu_RI Gaya2 an..... Itu anak2 WNI Eks ISIS kalian mau apakan?? Jgn Tong kosong aja....</t>
  </si>
  <si>
    <t>Masyarakat diminta tidak khawatir dengan pemulangan 238 warga dari Wuhan setelah menjalani observasi di Natuna selama 14 hari terkait Virus Corona. Menurut rencana Sabtu besok 238 wni akan dipulangkan ke daerah masing masing. Talk: Wakil Ketua Umum PB IDI, M Adib Khumaidi.</t>
  </si>
  <si>
    <t>RT @tempodotco: Presiden Jokowi memastikan bahwa 285 orang yang telah menjalani observasi dari Wuhan dalam kondisi sehat dan siap kembali berkumpul bersama keluarga.</t>
  </si>
  <si>
    <t>@sii_isaa Ini wni yg di darat ya?</t>
  </si>
  <si>
    <t>Standing applause untuk WNI 👏👏 RT @CNNIndonesia: Pemerintah Jepang menyatakan sebanyak 218 penumpang kapal pesiar Diamond Princess terinfeksi virus corona. @Kemlu_RI pun menuturkan bahwa 78 orang WNI yang merupakan kru dari kapal pesiar tersebut dalam kondisi sehat dan negatif virus corona.  #CNNIndonesia</t>
  </si>
  <si>
    <t>@zarazettirazr Mbak. ISIS eks WNI tidak diakui karena mereka sudah menyalahi UU Kewarganegaraan. Mereka sudah sumpah setia kepada ISIS. Bukan karena melakukan kejahatan. Anak yg lahir setelah Ortu Berwarga negara ISIS nggak bisa di pulangkan. Yg masih abu2 yang di bawah 18 th yg lahir di Indo.</t>
  </si>
  <si>
    <t>Didata Dengan Baik, WNI Eks ISIS Tak Akan Lolos. #NoMercy4ISIS</t>
  </si>
  <si>
    <t>@mariwohlke_ mas ue</t>
  </si>
  <si>
    <t>Presiden Jokowi memastikan bahwa 285 orang yang telah menjalani observasi dari Wuhan dalam kondisi sehat dan siap kembali berkumpul bersama keluarga.</t>
  </si>
  <si>
    <t>Update di wilker KJRI GZ (14/02) per pukul 16.30, di Guangdong 1261 sakit, 2 meninggal, 343 sembuh. Di Guangxi (226,2,35), Fujian (281,0,62), Hainan (158,4,30). Tdk ada WNI jadi korban. Rasio pasien sembuh/sakit 0,224%. Terus optimis👍 #negaramelindungi #deminkri #inidiplomasi</t>
  </si>
  <si>
    <t>RT @ANDRE_OCTA_: ISIS Eks WNI</t>
  </si>
  <si>
    <t>Menkes terawan berfoto bersama @dr_tjiptaning &amp; anggota @KomisiIX @DPR_RI saat mendarat di Bandara Lanud Raden Sajad, Ranai, Natuna, Kepulauan Riau, Kamis (13/2/2020) dlm kunker di Natuna terkait observasi WNI yg dipulangkan akibat wabah virus korona dari Wuhan China. #RTP</t>
  </si>
  <si>
    <t>ANGGOTA ISIS ASAL INDONESIA TAK AKAN DIAMPUNI. #NoMercy4ISIS</t>
  </si>
  <si>
    <t>TELL US ABOUT YOURSELF 1. Fio 2. Single 3. If I was @KJH_officialtwt 4. Duh banyak 5. Twt 6. - 7. College 8. WNI 9. 2 10. - 11. Durian 12. 2008 13. Ngebucin 14. Moon maaf saya anaknya emang nyebelin🙃 DROP AN EMOJI I'LL SEND YOU THE QUESTIONS</t>
  </si>
  <si>
    <t>@amasna Iya. Dan itu apa 78 wni udah termasuk dari 400an yg di test itu? Giving them benefits of the doubt, udah di test smua?</t>
  </si>
  <si>
    <t>Pemerintah Tidak boleh Mencabut hak Kewarganegaraan WNI, karena Hak nya Yudikatif, bukan Pekerjaannya executif. Kata Mantan Hakim Agung Gayus Lumbuun</t>
  </si>
  <si>
    <t>@Julia_Zeed @3_devout @Mun4fikunn @amandagempita @WR_4AG226 @haibebyjo @P3nj3l4j4h_id @ephraym8 @ErollG Waduh,,di begokin.. Dia bukan agen isis,dia cuma pemerhati lingkungan dan kemanusiaan,tp dia salah menanggapi soal isis,memang kita patut peduli,tp liat dulu sikonnya,kalau peduli isis mah itu salah satu langkah yg konyol,bisa di sebut pola pikirnya seperti anjing,anjeeng.</t>
  </si>
  <si>
    <t>RT @ANDRE_OCTA_: 689 FTF kombatan ISIS eks WNI tgg jwb @Refugees @UN</t>
  </si>
  <si>
    <t>Presiden Pastikan WNI di Natuna Sehat dan Siap Kembali ke Keluarga  #PDIPerjuangan</t>
  </si>
  <si>
    <t>Presiden Joko (Widodo) menyampaikan bahwa proses protokol kesehatan dari World Health Organization (WHO) telah diikuti secara ketat bagi warga negara Indonesia (WNI) dari Wuhan</t>
  </si>
  <si>
    <t>WNI Eks ISIS Pulang Pasti Diadili. #NoMercy4ISIS</t>
  </si>
  <si>
    <t>Imbauan IDI Soal Kepulangan WNI dari Wuhan yang Selesai Observasi di Natuna  #DariSuara</t>
  </si>
  <si>
    <t>@seunghanyoon ayu, ini dr kantor kamu kah? atau berlaku buat semua wni?</t>
  </si>
  <si>
    <t>Observasi Selesai, Bagaimana Nasib Hanggar Tempat Karantina WNI di Natuna?  #DariSuara</t>
  </si>
  <si>
    <t>. @the_geotimes kok msh nulis gitu? Mrk kan dah bakar paspor RI, jd yg betul ya eks WNI pendukung ISIS dong. Dan yg betul bkn "pulang" tp masuk ke Indonesia</t>
  </si>
  <si>
    <t>@EmilDewantara Bukan, permenkumham untuk mengatur syaratnya dari pasal 5 ayat 1 dimana hanya untuk TKI/PMI yg baru pertama kali berangkat dan WNI yg tidak mampu yg berada di luar wilayah Indonesia. Terkait denda paspor rusak dan atau hilang belum diatur dalam PP ini.</t>
  </si>
  <si>
    <t>@adnrxst @arfibambani @innovesian Jika ISIS mau dianggap negara maka ia harus memenuhi syarat-syarat negara klasik yang diatur Konvensi Montevideo. Bahkan saat ini tak satupun syarat yang dipenuhi ISIS maupun sempalannya untuk disebut negara.</t>
  </si>
  <si>
    <t>Inspeksi di Natuna Panglima TNI Nyatakan Seluruh WNI dari Wuhan Sehat. #WaspadaVirusCorona</t>
  </si>
  <si>
    <t>@donkisot007 Baca,jangan ngegas :) Radikalisme yg ditanamkan oleh jaringan ISIS terbukti sdh sangat mendalam,program deradikalisasi pun tak sanggup merubah jalan pikir orang yg sdh terdogma oleh ISIS...</t>
  </si>
  <si>
    <t>Besok Observasi Terakhir, WNI Eks Wuhan Siap Dipulangkan | #indonesia #viral &gt;&amp;gt;&amp;gt; Click</t>
  </si>
  <si>
    <t>Nah ini bahas perlindungan anak di UNSC jadi anak2 WNI eks ISIS klean lindungi apa ngga? 😁 jgn di forum internesyenel ngomongnya lain perbuatannya lain lagi donk RT @Kemlu_RI: Hadiri Pertemuan #UNSC mengenai Anak dan Konflik Bersenjata, #WamenluMahendra sampaikan komitmen Indonesia dalam perlindungan anak pada situasi konflik bersenjata dgn kedepankan yg terbaik untuk anak. Selengkapnya  #IndonesiaUntukDunia #IndonesiaDKPBB</t>
  </si>
  <si>
    <t>Saudara WNI dari Wuhan Bebas Virus Corona. #WaspadaVirusCorona</t>
  </si>
  <si>
    <t>@ErollG @3_devout @Mun4fikunn @amandagempita @WR_4AG226 @haibebyjo @P3nj3l4j4h_id @ephraym8 Eh Bapaknya ISIS ☝️</t>
  </si>
  <si>
    <t>RT @kompasiana: Meski Sudah Ditolak, Waspadai Penyusupan dan Dendam Simpatisan ISIS!</t>
  </si>
  <si>
    <t>@D4RKhunter_ Cocoknya utk mantan mujahidin ISIS</t>
  </si>
  <si>
    <t>Pemerintah akan memberangkatkan tiga unit pesawat TNI AU untuk menjemput ke Natuna.</t>
  </si>
  <si>
    <t>@collegemenfess setauku kalo worldwide itu buat wp wni, dmn pengh yg diterima wni, darimanapun itu baik dn atau ln dikenain pajak. kalau teritorial itu berlaku bagi subjek pajak luar negeri, sepanjang dia punya penghasilan dari indo, pengh tsb dikenakan pajak.</t>
  </si>
  <si>
    <t>Meski Sudah Ditolak, Waspadai Penyusupan dan Dendam Simpatisan ISIS!</t>
  </si>
  <si>
    <t>JUBIR JOKOWI BELA FACHRUL RAZI, FADLI ZON ?... #jokowi #jokowidodo #fachrulrazi #fadlizon #BeritaTerkini #Berita #beritapopuler #wni #najwashihab #matanajwa #viral #beritaviral #beritanasional  via @tribunpontianak</t>
  </si>
  <si>
    <t>Operasi Kemanusiaan Kogasgabpad WNI Ex Wuhan Hanya Disiapkan 2 Hari. #WaspadaVirusCorona</t>
  </si>
  <si>
    <t>@zarazettirazr duitnye rs bnyk... ga ky duitny yg ikut isis rata2 kaum mngah k bwh</t>
  </si>
  <si>
    <t>Protokol Kesehatan dari WHO telah Dilalui, Presiden @jokowi Minta Masyarakat Menerima WNI dari Wuhan</t>
  </si>
  <si>
    <t>RT @adnrxst: @arfibambani Naah. Meski begitu mas @innovesian kukuh mengatakan ISIS itu negara. Satu hal yang perlu kita ingat: semangat UU Kewarganegaraan dan peraturan di bawahnya adalah tidak menghendaki seorang eks WNI menjadi stateless.</t>
  </si>
  <si>
    <t>@Generasi_MudaNU @RomoDonnyR Nolak WNI yg ISIS,gak perlu pertimbangan.yang diperlukan keberanian.</t>
  </si>
  <si>
    <t>RT @PembacaHening: Uda @arfibambani dan bang @innovesian perlu baca ini deh</t>
  </si>
  <si>
    <t>@DayatPondok @dytoxs_eddy @mohmahfudmd Lagi2 korban ...🤪 Emang korban akibat ketololannya sendiri ngapain pemerintah selalu disalahin ??! Makan tuh kedunguan lo dan fanatisme lo yg berlebihan, sampai2 mo minum air kencing onta segala. Kini isis kalah ganti mau dibantai Suriah elo terus mengembik kayak kambing congek</t>
  </si>
  <si>
    <t>Tak Ada Yang Sakit Virus Corona, 238 WNI Bisa Pulang Kerumah. #WaspadaVirusCorona</t>
  </si>
  <si>
    <t>Keresahan anda akan gabungnya WNI yang pernah salah langkah itu sama kaya keresahan warga natuna ketika tempat isolasi WNI ex Wuhan berada di Natuna.</t>
  </si>
  <si>
    <t>@AbyAlan_ @DyasviantiRatna @KPAI_official Isu beginian buat @KPAI_official cuma recehan, nggak seksi dan nggak bisa buat pansos. Beda sama isu ISIS.</t>
  </si>
  <si>
    <t>@mohmahfudmd Apakah ISIS itu sebuah negara pak?, bukankah yang dimaksud dengan tentara asing tersebut adalah tentara sebuah negara?. Sebagai ahli Tata Negara saya mohon pencerahan dari Bapak, maksud dari tentara asing tersebut.</t>
  </si>
  <si>
    <t>WNI dari Wuhan di Natuna Kembali ke Masyarakat, Jokowi: Mereka Diawasi Ketat</t>
  </si>
  <si>
    <t>@gwdatanglagih @AhlulQohwah @BadjaNuswantara Parah ini gerombolan isis beranak pinak di kamp..</t>
  </si>
  <si>
    <t>#Opini - Nandito Putra - Nasib WNI Eks ISIS, Dilema Keamanan Atau Kemanusiaan? -</t>
  </si>
  <si>
    <t>Begini Pernyataan Presiden Joko Widodo Terkait Pemulangan WNI Asal Wuhan...  #valentinebukanbudayakita #LebiHepi #ButuhAkadBukanCokelat #CintaSehatTanpaMaksiat #news @jokowi #beritacenter #Corona #VirusCorona</t>
  </si>
  <si>
    <t>Yeay akhirnya WNI udah selesai karantina dan bisa kembali ke rumah masing2 melepas rindu dengan keluarga dan kerabat. Terima kasih juga untuk warga Natuna yg sudah menerima teman2 kita dengan ramah :) Stay safe semuanya!!</t>
  </si>
  <si>
    <t>@Whatsnextzz Rada serem juga... Ditambah yang meriksa wni yang jadi kru kapal itu dari oemerintah jepangnya...</t>
  </si>
  <si>
    <t>Kalau anak PKI boleh jadi caleg,padahal ortu nya yang PKI yg mau memberontak di Indonesia, Kalo ISIS memberontak nya di Indonesia bukan ya?🤔 RT @tempodotco: Ketua MPR RI meminta pemerintah benar-benar mempertimbangkan secara matang sebelum memulangkan anak pendukung ISIS yang usianya di bawah 10 tahun.</t>
  </si>
  <si>
    <t>@tempodotco Kalau anak PKI boleh jadi caleg,padahal ortu nya yang PKI yg mau memberontak di Indonesia, Kalo ISIS memberontak nya di Indonesia bukan ya?🤔</t>
  </si>
  <si>
    <t>@detikcom Kalian tidak tau apa yg diajarkan oleh ISIS, saat yg lain melukis dia belajar teknik membunuh. Janganlah, biarkan dsana sebagai mortir kepentingan sepemikiran mereka.</t>
  </si>
  <si>
    <t>@smallmelville @dusrimulya @mohmahfudmd Kayanya dia pengagum isis itu</t>
  </si>
  <si>
    <t>@oooyyuk @muhammad_ridhaa Datanya gimana ? Dinas tentara asing itu masuk kedalam pasukan bersenjata isis gitu ? Dan kehilangan hak WNI di mana dia di lahirkan ? Ya udah pasukan bersenjata isis itu termasuk kategori dinas tentara asing</t>
  </si>
  <si>
    <t>@okezonenews Dicatat tuh siapa2 aja anggota dpr yg ngotot mendukung isis</t>
  </si>
  <si>
    <t>RT @detikcom: "Mereka sendiri yang buat terlepas dari kewarganegaraan dengan keikutannya dalam kelompok ISIS. Itu sudah ketentuan perundang-undangan," kata Ma'ruf.</t>
  </si>
  <si>
    <t>Apa bedanya WNI dari Wuhan sama WNI ex Isis? Sama sama butuh penerimaan dari negara, yang satu butuh dipastikan dia bukan suspect dan bukan pembawa virus corona. Yang satu butuh bimbingan biar apa yang dia yakini bukanlah suatu yang salah.</t>
  </si>
  <si>
    <t>MPR Minta Pemerintah Serius Kaji Rencana Pemulangan Anak Eks ISIS</t>
  </si>
  <si>
    <t>Gini lo pak.. kesadaran buat nerima ajakan berangkat itu yang patut kita pertanyakan.. kalau tidak sepaham dg ISiS diajak juga pasti gamau kan 😞 RT @kumparan: Wakil Ketua Majelis Syuro PKS Hidayat Nur Wahid mendukung keputusan pemerintah tak memulangkan WNI Eks ISIS dari Suriah. Namun, ia tetap memiliki pertanyaan kepada pemerintah soal nasib WNI yang tak ikut perang. #TopNews</t>
  </si>
  <si>
    <t>RT @CNNIndonesia: Pemerintah Jepang menyatakan sebanyak 218 penumpang kapal pesiar Diamond Princess terinfeksi virus corona. @Kemlu_RI pun menuturkan bahwa 78 orang WNI yang merupakan kru dari kapal pesiar tersebut dalam kondisi sehat dan negatif virus corona.  #CNNIndonesia</t>
  </si>
  <si>
    <t>@AnakKolong___ @KPAI_official @KPAI_official udah seperti organisasi ISIS .. fuck 🖕</t>
  </si>
  <si>
    <t>RT @detikcom: Mantan pengikut ISIS Febri Ramdani menceritakan kisahnya 300 hari bertaruh nyawa di tanah Suriah. -- Penasaran dengan kisahnya? Simak di Blak-blakan Mantan Pengikut ISIS, "Tertipu Janji Surga ISIS", eksklusif di ! #Blakblakan #ISIS</t>
  </si>
  <si>
    <t>IDI Sarankan WNI yang Selesai Jalani Observasi Tetap Dipantau</t>
  </si>
  <si>
    <t>saya setuju eks ISIS balik ke tanah air sebab bagaimanpun juga mereka sebenarnya korban propaganda dan rayuan barat bukankah ISIS itu bentukan barat ?? RT @zarazettirazr: Jadi bahasanya yg benar gimana. WNI eks ISIS atau ISIS eks WNI ? Kalo masi disebut WNI artinya masi WARGANEGARA pengertianku kok gitu ya ? 😁😁</t>
  </si>
  <si>
    <t>RT @modenmilenial: 5. akan tetapi pemerintah tidak menutuk pintu untuk semua eks WNI yang berada disuriah untuk kembali pulang. Pemerintah masih tetap membuka peluang bagi anak-anak Yatim dan Piatuh dibawah 10 tahun untuk bisa kembali pulang Ke Indonesia.</t>
  </si>
  <si>
    <t>RT @r3nDYwJy: @anto_winarno Anak bangsa yg mengharumkan nama negara , gak pernah dihargai !!! Eks WNI isis yg sdh membakar passport + menghianati negara malah mau dibawa pulang !! @Kemenag_RI @KPAI_official @jokowi @mohmahfudmd !!</t>
  </si>
  <si>
    <t>RT @modenmilenial: 1. Belum lama ini Istana telah mempertegas status kewarganegaraan para kombatan ISIS yang berasal dari Indonesia. Mereka telah dinyatakan stateless atau tanpa kewarganegaraan.</t>
  </si>
  <si>
    <t>Ada Isu Pelarangan WNI Bepergian ke Luar Negeri, Ini Tanggapan Kadispar Provinsi Kepri .</t>
  </si>
  <si>
    <t>@iskandarAKA27 @viviandeella @hys179 @marcharitahere @ISIS_Balik_NO @Bocah__koplak @Cobra_RiderRK2B @BungaDiTepiJal7 @butetborjun @tarasaridewi @den_kalem Nambah bolo sak akeh2e pokoke sing penting dudu bolo golek musuh , nyinyirin wong , ghibah.</t>
  </si>
  <si>
    <t>RT @Mun4fikunn: Jkw bilang sudah menolak PBNU sudah tegas menolak.. Ini kok masih ngotot...?? Gawean siapa..??</t>
  </si>
  <si>
    <t>Jadi bahasanya yg benar gimana. WNI eks ISIS atau ISIS eks WNI ? Kalo masi disebut WNI artinya masi WARGANEGARA pengertianku kok gitu ya ? 😁😁 RT @okezonenews: DPR Minta Pemerintah Pertimbangkan Secara Matang soal Pemulangan Anak WNI eks ISIS #TauCepatTanpaBatas #BeritaTerkini #Berita #News #BeritaNasional .</t>
  </si>
  <si>
    <t>wni di natuna sehat semua, terbukti banget orang indonesia titisan werkudara, otot kawat balung wesi</t>
  </si>
  <si>
    <t>@amitmalviya Desh bhakt party ke shri narendera modi us waqt shooting pe they yaad hai ya bhul gaye amit Malviya RSS bjp Isis ke agent wild vs man mein shooting roka tak nahi modi ne shame bjp</t>
  </si>
  <si>
    <t>RT @Arifin2Zainal: @mohmahfudmd Mud , fud Rusia aja yg komunis mau terima kembali warganya yg ex isis untuk di bina kembali . Apakah indonesia lebih komunis dr rusia fud ?? Jgnlah kebencianmu pd isis ( bikinan istael n AS ) menjadikan dirimu tdk adil fud .</t>
  </si>
  <si>
    <t>@SeruniPuspaAlam Baru lihat kerumunan manusia di halte bagaimana kalau anda bertemu pasukan ISIS sedang mencari tempat pulangnya</t>
  </si>
  <si>
    <t>@jokowi @abudiraharjo Amin. Selanjutnya tlg pelaku2 intoleransi di Indonesia ditangkap satu persatu pak. Setiap WNI punya hak yg sama utk beragama dan berbudaya. Tlg bantu ciptakan NKRI yg toleran kembali.</t>
  </si>
  <si>
    <t>@angga_ramdhana Kecuali anak dibawah 18 tahun gua sepakat sepenuhnya dikembalikan ke wilayah WNI. Sisanya perlu strategi khusus. Apalagi yg terlibat langsung dalam sebagai anggota Isis</t>
  </si>
  <si>
    <t>@DayatPondok @mohmahfudmd jgn selalu menyalahkan siapa siapa..apalagi negara.. orang nya aja goblok yg ikut isis itu</t>
  </si>
  <si>
    <t>DPR Minta Pemerintah Pertimbangkan Secara Matang soal Pemulangan Anak WNI eks ISIS #TauCepatTanpaBatas #BeritaTerkini #Berita #News #BeritaNasional .</t>
  </si>
  <si>
    <t>@ErollG @3_devout @Mun4fikunn @amandagempita @WR_4AG226 @haibebyjo @P3nj3l4j4h_id @ephraym8 Yah pemujua ISIS BINATANG ☝️</t>
  </si>
  <si>
    <t>Geneologi Lahirnya ISIS, Motif, dan Aktornya (Bagian I)</t>
  </si>
  <si>
    <t>RT @yayatjakarta: Domain Pengadilan untuk mencabut kewarganegaraan seseorang</t>
  </si>
  <si>
    <t>Tolak Kepulangan WNI Eks ISIS, Moeldoko: Mereka Stateless karena Bakar Paspor</t>
  </si>
  <si>
    <t>yang bilang iseng itu maha GOBLOG!!! itu namanya kriminal!! dan bukti kegagalan anda sebagai kepala sekolah, apa jadinya 10 tahun lagi bila dibiarkan? ISIS MENTALITY !! cc pak @ganjarpranowo RT @AtikaFaya: Pak @ganjarpranowo Dospundi niki..kepala sekolehe kok malah ndagel., Iseng yg berkibat fatal terhadap tumbuh kembang anak kok harus dimaklumi... 3 Pembully Siswi SMP Purworejo Tak Jadi Ditahan, Kepala Sekolah Harap Bisa Damai: Namanya Anak Iseng</t>
  </si>
  <si>
    <t>@zoelfick Komisi perlindungan anak isis nih doboll...,, sowak"</t>
  </si>
  <si>
    <t>@vellishinta WNI tangguh velli wkwk</t>
  </si>
  <si>
    <t>RT @Bangzul__88: #AwasAntek2ISIS RT kerasss... FPI pernah melarang siswa SD utk hormat bendera Merah Putih di sebuah daerah di Jawa Barat. Kita sama² tau, FPI, HTI, JAD, JAT dan ISIS itu satu tujuan. Yaitu mengganti NKRI menjadi Negara Khilafah dan menghapus UUD 1945.</t>
  </si>
  <si>
    <t>Pengurus Besar Ikatan Dokter Indonesia menyarankan pemerintah terus melakukan pemantauan dan identifikasi bagi WNI yang telah menjalani observasi terkait virus Corona di Natuna.</t>
  </si>
  <si>
    <t>@viviandeella @hys179 @IrmaHKds @marcharitahere @ISIS_Balik_NO @Bocah__koplak @Cobra_RiderRK2B @BungaDiTepiJal7 @butetborjun @tarasaridewi @den_kalem nambah bolo maneh yo</t>
  </si>
  <si>
    <t>238 WNI di Natuna Sehat, DPR Minta Masyarakat Tak Khawatir #TauCepatTanpaBatas #BeritaTerkini #Berita #News #BeritaNasional .</t>
  </si>
  <si>
    <t>Komisi perlindungan anak isis RT @AhlulQohwah: Di Malang anak dibully sampai patah tangan anteng, di Purworejo anak perempuan dianiaya anteng. Giliran anak ISIS suaranya kenceng.</t>
  </si>
  <si>
    <t>@kompascom Komisi Perlindungan Anak Isis gak ada yg nampung di sana?</t>
  </si>
  <si>
    <t>@IrmaHKds @marcharitahere @ISIS_Balik_NO @iskandarAKA27 @viviandeella @Bocah__koplak @Cobra_RiderRK2B @BungaDiTepiJal7 @butetborjun @tarasaridewi @den_kalem 😂😂😂😂😂blom boye pul</t>
  </si>
  <si>
    <t>@ariel_heryanto Pengadilan mana pak? Indonesia? Masih percaya? Atau Syria? Yg jelas ogah menampung eks isis?</t>
  </si>
  <si>
    <t>Gimana menurut kalian Gaes? Kita tolak rame2 #TolakAnakISISKembali si pemuja ISIS kelojotan 😂 @3_devout @Mun4fikunn @amandagempita @WR_4AG226 @haibebyjo @P3nj3l4j4h_id @ephraym8 👇 @ErollG 👈 Agen ISIS kah????</t>
  </si>
  <si>
    <t>@angga_ramdhana isis ada yg berpendapat sebagai bagian dari dinas tentara asing meskipun bukan bagian dari sebuah negara berdaulat (pasal 23 uu kewarganegaraan).</t>
  </si>
  <si>
    <t>@kelimuttu Kesempurnaan hanya milik Tuhan</t>
  </si>
  <si>
    <t>RT @RullyOedaya: @do_ra_dong Isu besarnya tetap Jiwasrayagate, pengalihan isunya ISIS, Lucinta Luna, Harun Masiku, bullying 3 siswa ke siswa disabilitas, Veronica Koman, revitalisasi Monas, Formula E... Intinya biar lupa pansus DPR untuk Jiwasraya ga terbentuk, terus kerugian di bailout, gitu kan ? 😝</t>
  </si>
  <si>
    <t>Kalau PA 212 dapat ruang di ISIS ?? 😂😂 Kalian bisa apa, kasihan banget..</t>
  </si>
  <si>
    <t>RT @upikq22: @Galihzainur1 hiyya, lak bpk e yo gk ssuai topik sg ng ilc lah kang, masalah e lak gabener nyerang kmungkinn wes gk mempan, makane isune maleh nyg intoleransi karo anak² ISIS t kang?? politik garai mumet #4niesKibul_CancelFormulaE</t>
  </si>
  <si>
    <t>RT @kangmirdja: @AhlulQohwah KPAI Komisi Perlindungan Anak ISIS....</t>
  </si>
  <si>
    <t>@Galihzainur1 hiyya, lak bpk e yo gk ssuai topik sg ng ilc lah kang, masalah e lak gabener nyerang kmungkinn wes gk mempan, makane isune maleh nyg intoleransi karo anak² ISIS t kang?? politik garai mumet #4niesKibul_CancelFormulaE</t>
  </si>
  <si>
    <t>Simpatisan ISIS Di RI Masih Beraksi, Pemerintah Tolak WNI Eks ISIS. #TolakWNIEksISIS</t>
  </si>
  <si>
    <t>Ini 3 Hak WNI Eks ISIS Menurut Mantan Hakim Agung Gayus Lumbuun: Dia Punya Hak untuk Kembali</t>
  </si>
  <si>
    <t>238 WNI ini telah menjalani proses protokoler kesehatan</t>
  </si>
  <si>
    <t>RT @AlfaOmega0110: @WagimanDeep @Pika41961394 @AhlulQohwah @fadlizon @MardaniAliSera @msi_sohibuliman @hnurwahid @KomnasHAM . Silahkan jadikan anak angkat. Setidaknya kalian bs memberikan kesempatan kpd mereka utk bs menerapkan doktrin ISIS yg menganjurkan mereka bunuh Bapaknya. 🙏 Mohon kiranya usulan saya dpt bpk2 terima</t>
  </si>
  <si>
    <t>@fadlizon Menjadi politikus dalam got, manusia Isis</t>
  </si>
  <si>
    <t>Eks ISIS Asal Indonesia Sudah Lepas Status WNI. #TolakWNIEksISIS</t>
  </si>
  <si>
    <t>Mantan Hakim Agung Gayus Lumbuun menegaskan apapun pelanggaran para WNI eks ISIS itu, muaranya adalah di pengadilan untuk memberi keadilan. "Bukan pemerintah," tegasnya. Pemerintah tidak boleh menafsirkan undang-undang tanpa proses pengadilan.</t>
  </si>
  <si>
    <t>Bela isis kpai</t>
  </si>
  <si>
    <t>Baru Tiba dari Malaysia, Seorang WNI Langsung Diisolasi di RSBP Sekupang Batam</t>
  </si>
  <si>
    <t>Pemerintah dinilia harus memikirkan hak asuh anak-anak dari warga negara Indonesia (WNI) terduga teroris pelintas batas eks ISIS.</t>
  </si>
  <si>
    <t>Jokowi meminta masyarakat tidak khawatir tertular virus corona dari WNI yang sudah menjalani karantina di Natuna.</t>
  </si>
  <si>
    <t>KPAI = Komisi perlindungan kaum intoleran KPAI. = Komisi perlindungan Anak ISIS setiap suara kepentingan asing maka di situlah KPAI ada. setiap kekerasan di masyarakat maka dia paling keras berteriak menyalahkan pemerintah..ASU lha kamu itu makan dr gaji uangnya siapa njul..? RT @BuyuangPadang2: Kenapa mereka justru tutup mata dengan Jemaat Muslim Ahmadiyah yang sudah belasan tahun hidup di pengungsian di NTB sampai sekarang ? KPAI harusnya juga punya perhatian ke sana.</t>
  </si>
  <si>
    <t>ISIS bikinan Amerika. Amerika menentang Khilafah. Terus ISIS deklarasi khilafah tujuannya? Ya Bikin ajaran khilafah dan jihad jelek dimata dunia. #KhilafahAjaranIslam</t>
  </si>
  <si>
    <t>Sbg orang tua, sedih hatiku melihat anak korban bullying yg menyebabkan trauma psikis dan terganggunya perkembangan psikologis mereka. KPAI mana suaranya?apakah sudah berubah jadi Komisi Perlindungan Anak ISIS??#KPAIsudahmati</t>
  </si>
  <si>
    <t>@IrmaHKds @hys179 @marcharitahere @ISIS_Balik_NO @iskandarAKA27 @Bocah__koplak @Cobra_RiderRK2B @BungaDiTepiJal7 @butetborjun @tarasaridewi @den_kalem Hihihi, tau di uring2 perkoro Kuwi... Wonge tak iming2 terus, aku sing masak, dia yg tak minta ngabisin</t>
  </si>
  <si>
    <t>RT @modenmilenial: 6. karena dasar kemanusiaan demi kembali mendidik anak-anak yang sesungguhnya menjadi korban atas kesalahan orang tua mereka bergabung dengan ISIS.</t>
  </si>
  <si>
    <t>RT @ferrynugra: Dari 78 WNI gak ada satupun yg positif corona, gimana gak banyak peneliti yg terheran heran, kenapa Indonesia sampai saat ini masih belum ada kasus corona. 😅</t>
  </si>
  <si>
    <t>RT @modenmilenial: 4. bahkan kalaupun mereka masih memiliki paspor Indonesia sekalipun mereka akan tetap dicekal masuk karena Paspor mereka telah diblokir untuk kembali masuk kedalam Indonesia.</t>
  </si>
  <si>
    <t>RT @modenmilenial: 2. Hal ini dibuktikan dengan membakar dan ikut bergabungnya mereka menjadi anggota ISIS.</t>
  </si>
  <si>
    <t>"Udah wan... yang bisa jadi presiden itu harus WNI asli dan bukan keturunan.." RT @narkosun: Caption please....</t>
  </si>
  <si>
    <t>@shinichikudo991 Fix... Mereka inilah antek2 ISIS</t>
  </si>
  <si>
    <t>@jr_kw19 Kirim aja pak fadli zon ke markas isis</t>
  </si>
  <si>
    <t>@mohmahfudmd Emang ISIS ada yg ngakuin sebuah negara?,,, Bagaimanapun negara juga ikut bertanggung jawab,,, dengan alasan pembiaran...</t>
  </si>
  <si>
    <t>Jangan, anak2 ISIS nnti cuma dikucilkan masyarakat layaknya anak2 Jinchuriki. RT @jokowi: Kita memang masih memberi peluang untuk yatim, yatim piatu, yang masih anak-anak di bawah 10 tahun. Tapi kita belum tahu apakah ada atau tidak ada. Semua akan terlihat setelah proses identifikasi dan verifikasi nantinya.</t>
  </si>
  <si>
    <t>@viviandeella @hys179 @marcharitahere @ISIS_Balik_NO @iskandarAKA27 @Bocah__koplak @Cobra_RiderRK2B @BungaDiTepiJal7 @butetborjun @tarasaridewi @den_kalem Wkwkwk... Program penggemukan 🤪</t>
  </si>
  <si>
    <t>@oooyyuk @muhammad_ridhaa Dia ada di dalam negara yang berdaulat dan sah ... Itu pointnya Isis itu bukan negara yang sah ... Makanya dia tidak bisa bikin dinas ... Silahkan aja bikin tetap saja tidak di akui sebagai dinas Bukan sah atau tidaknya dinas itu</t>
  </si>
  <si>
    <t>RT @Yanto78537100: @AnakKolong___ @KPAI_official Mereka bukan WNI lagi, buat apa negara ngurusi orang asing</t>
  </si>
  <si>
    <t>Masyarakat tidak perlu khawatir terkait kepulangan WNI dari Natuna.</t>
  </si>
  <si>
    <t>RT @e100ss: Presiden Pastikan WNI di Natuna Sehat dan Siap Kembali ke Keluarga</t>
  </si>
  <si>
    <t>@mohmahfudmd WNI yg koruptor dan menyedot darah rakyat apabila kabur ke LN seharusnya juga hilang kewarganegaraannya wkqkwkq</t>
  </si>
  <si>
    <t>"Jadi kalau sekarang mereka kembali ke masyarakat ya itu dipastikan bahwa prosedur sudah dilalui," @jokowi #WNIdiNatuna</t>
  </si>
  <si>
    <t>...Padahal jumlah WN yg dibunuh oleh rezim jauuuuuhh melebihi ekstremis Islam. Bahkan baru2 ini seorang menko anggap sampah korban2 pembunuhan di Papua. Bisa nyaman menerima teror rezim tapi nggak bisa menerima ex anggota2 ISIS yg notabene ciptaan Mossad-CIA. (``,) RT @SoundOfYogi: Oke gini, kalau pemerintah memutuskan untuk nenerima ex ISIS kombatan, udah jelas banget keamanan negri ini jadi menurun kualitasnya I mean, lo mungkin bisa deradikalisasi 90% dari mereka, tapi 10% itu bisa aja mengambil nyawa orang laen yg gak berdosa</t>
  </si>
  <si>
    <t>@muhamma23366199 Twitter buatan kafir laknatullah knapa masih dipake, harusnya lu ke isis sono bantu kasian kebantai</t>
  </si>
  <si>
    <t>@IrmaHKds @marcharitahere @ISIS_Balik_NO @iskandarAKA27 @viviandeella @Bocah__koplak @Cobra_RiderRK2B @BungaDiTepiJal7 @butetborjun @tarasaridewi @den_kalem masalah jam gini , jam laper, bu🤣🤣🤣</t>
  </si>
  <si>
    <t>@detikcom yang nyuruh pulang bos besar ISIS, memang mau NANTANG bos ISIS baru HEBAT</t>
  </si>
  <si>
    <t>@AnakKolong___ @KPAI_official Mereka bukan WNI lagi, buat apa negara ngurusi orang asing</t>
  </si>
  <si>
    <t>@hys179 @marcharitahere @ISIS_Balik_NO @iskandarAKA27 @viviandeella @Bocah__koplak @Cobra_RiderRK2B @BungaDiTepiJal7 @butetborjun @tarasaridewi @den_kalem Wkwkwk... Pdhl baru ngomongin aja lho ya , sdh bikin laper. 🤣🤣</t>
  </si>
  <si>
    <t>RT @jpnncom: Mbah Mijan ikut urun pendapat seputar wacana ratusan WNI eks ISIS dipulangkan ke tanah air. @mbah_mijan</t>
  </si>
  <si>
    <t>@Kunggzz Hey kamu kombatan isis asu!</t>
  </si>
  <si>
    <t>@kairocity22 @ustadtengkuzul Rkyt bkn Isis Wi.. Rkyt hanya Wspada Pki Wi... Rkyt... Susah... Wi nji...n... #WiiiiiRajaKibul ... Nji... N ...</t>
  </si>
  <si>
    <t>@KPAI_official daripada ngurus anak2 isis, mending urus pada bajingan cilik ini aja. RT @black__valley1: Salut... sama anak anak SMP itu, baru pulang sekolah langsung bantuin ortu cariin makanan sapi. Semangat adek Lanjutkan kebodohan mu,biar cepat menghadap sang pencipta!! Video : bekasigue</t>
  </si>
  <si>
    <t>@rudijibek @jafrayeah @FerdinandHaean2 @detikcom Yang sok suci cuma kadrun kampret 212 dan isis hti</t>
  </si>
  <si>
    <t>@RinjaniJB @kopikirpikir Maaf ya... Najisssss..... !!!! Mudah sekali mereka berkata2. Aseeeem...putarkam video kekerasan ISIS, bom teroris dsb depan muka mereka... Sy mau tau mereka akan blg apa</t>
  </si>
  <si>
    <t>Kita butuh pemerintahan yang punya kemauan menyelesaikan masalah sampai ke akar-akarnya. Tidak sekadar mengambil simpati konstituennya. Menolak WNI eks ISIS tidak menyelesaikan apapun, malah semakin memanasi bara kebencian di kalangan radikalis.</t>
  </si>
  <si>
    <t>ISIS Eks WNI Berani Masuk Indonesia, Ini Rencana Penindakannya. #NoMercy4ISIS</t>
  </si>
  <si>
    <t>Sejauh ini, diketahui ada 689 orang WNI yang diduga menjadi bagian teroris lintas batas di luar negeri. #NoMercy4ISIS</t>
  </si>
  <si>
    <t>Presiden secara khusus sudah menugaskan Badan Nasional Penanggulangan Terorisme (BNPT), Polri, Direktorat Jenderal Imigrasi Kementerian Hukum dan HAM, serta kementerian terkait untuk mendata ulang WNI yang menjadi kombatan di luar negeri. #NoMercy4ISIS</t>
  </si>
  <si>
    <t>Warga negara Indonesia ( WNI) yang menjadi teroris lintas batas di luar negeri akan diadili seandainya mereka pulang ke Tanah Air. Demikian diungkapkan Kepala Kantor Staf Presiden (KSP) Moeldoko ketika dijumpai jurnalis di Kompleks Istana Kepresidenan. #NoMercy4ISIS</t>
  </si>
  <si>
    <t>Data 689 Anggota ISIS Eks WNI Cegah Masuk Ke Indonesia. #NoMercy4ISIS</t>
  </si>
  <si>
    <t>MPR Ingatkan Pemerintah Soal Strategi Pemulangan Anak-anak WNI Eks ISIS  #DariSuara</t>
  </si>
  <si>
    <t>@hys179 @IrmaHKds @marcharitahere @ISIS_Balik_NO @iskandarAKA27 @Bocah__koplak @Cobra_RiderRK2B @BungaDiTepiJal7 @butetborjun @tarasaridewi @den_kalem Hahahahhaha Alhamdulillah enek bolo ku</t>
  </si>
  <si>
    <t>@CH_chotimah @karniilyas @karniilyas pasti lbh pilih @ILCtv1 angkat isu LL lbh baik di sel laki atau perempuan!! Ntr tggu soal monas / ISIS eks WNI adem ya Harun masiku lg yg diangkat... #4niesKibul_CancelFormulaE #AwasAntek2ISIS</t>
  </si>
  <si>
    <t>Negara tenteram tanpa ISIS....</t>
  </si>
  <si>
    <t>RT @mediaindonesia: Ketua MPR RI, Bambang Soesatyo, mengimbau masyarakat untuk menerima kepulangan WNI dari Provinsi Hubei, Tiongkok, ke daerah asal setelah menjalani proses karantina di Natuna.</t>
  </si>
  <si>
    <t>Dinyatakan Sehat TNI Siap Pulangkan WNI Asal Cina Dari Natuna Ke Domisilinya. #WaspadaVirusCorona</t>
  </si>
  <si>
    <t>Operasi Bantuan Kemanusiaan Natuna yang melaksanakan observasi 238 WNI di Lanud Raden Sadjad, Natuna, Kepulauan Riau, Kamis(13/2/2020). #WaspadaVirusCorona</t>
  </si>
  <si>
    <t>Sebanyak 238 Warga Negara Indonesia (WNI) dari Wuhan, China yang diobservasi di Natuna, Kepulauan Riau semuanya dinyatakan sehat. Hal ini sesuai dengan prosedur kesehatan standar WHO terkait dengan virus Corona. #WaspadaVirusCorona</t>
  </si>
  <si>
    <t>Observasi Selesai, 238 WNI Yang Diperiksa Di Natuna Dinyatakan Sehat. #WaspadaVirusCorona</t>
  </si>
  <si>
    <t>RT @zarazettirazr: Baiknya BPIP itu KUNJUNGI wni eks kombatan isis dan keluarganya. Buat Assessment tentang mereka. Lalu rehabilitasi mereka. Biar keliatan ada kerjanya gitu loh rekan rekam BPIP. Sebab terorisme itu kan MUSUH Pancasila ya? Benar nda? Itu tugas BPIP bukan menanamkan nilai2 Pancasila</t>
  </si>
  <si>
    <t>RT @LogikaRG: Asal bukan dungu! itu adalah kata yg sekarang diomeli oleh para pemiliknya. Debat Soal WNI Eks ISIS, Gayus Lumbuun Sebut Ngabalin Bodoh</t>
  </si>
  <si>
    <t>Tolong bedakan anak eks ISIS dan anak eks PKI ya</t>
  </si>
  <si>
    <t>@IrmaHKds @marcharitahere @ISIS_Balik_NO @iskandarAKA27 @viviandeella @Bocah__koplak @Cobra_RiderRK2B @BungaDiTepiJal7 @butetborjun @tarasaridewi @den_kalem wah ngomongin makan jam gini😭😭😭 bikin laper</t>
  </si>
  <si>
    <t>@Ngk0ngR0s3s__ @DyasviantiRatna @KPAI_official sing bener @KPAI_official agi menimang2 anak2 eks ISIS</t>
  </si>
  <si>
    <t>RT @heri_betot: Kalian mau kalau EKS ISIS dipulangkan ke Negara kita. #TolakPulangkanKombatanISIS @Kemenag_RI</t>
  </si>
  <si>
    <t>RT @Christinavm888: Untuk anak2 bocah2 Isis Pak @jokowi Mohon jangan lupa ya Pak...mereka bukan bocah biasa...bukan anak2 biasa. Bahkan u anak2 mereka pun baiknya tetap ditolak. Mereka ingin HAM tp dengan menginjak HAM org lain. Pemuja kilafah dlm negeri kita aja sudah cukup banyak.</t>
  </si>
  <si>
    <t>@mohmahfudmd Selow Aja Pak, itu Archandra Thahar WNA Amerika juga bisa jadi mentri, hehehe ... Terus balik lagi jadi WNI secepat kilat. APA YG gak bisa di +62 ???</t>
  </si>
  <si>
    <t>Masyarakat Diimbau Tidak Khawatir Kontak dengan WNI Setelah Observasi di Natuna</t>
  </si>
  <si>
    <t>Warga Natuna akan Lepas WNI Pascaobservasi dari Virus Corona</t>
  </si>
  <si>
    <t>Pengamat Hukum Nilai Pemerintah Tak Langgar Kebebasan WNI Eks ISIS</t>
  </si>
  <si>
    <t>@marcharitahere @ISIS_Balik_NO @iskandarAKA27 @viviandeella @Bocah__koplak @Cobra_RiderRK2B @BungaDiTepiJal7 @butetborjun @hys179 @tarasaridewi @den_kalem Selera aja sih..</t>
  </si>
  <si>
    <t>Ini Kriteria Anak Eks WNI ISIS yang Dikaji Pemerintdah untuk Dipulangkan ke RI Melalui Pertimbangan  @CNNIndonesia</t>
  </si>
  <si>
    <t>@oooyyuk @muhammad_ridhaa Dinas resmi atau tidaknya itu masalah teknis ... Astaga ... 1. Dia di sebut dinas kalau dia berada di dalam negara sah .. Isis itu bukan negara sah ... Makanya pemererintahannya tidak sah dan dinasbya tidak di akui</t>
  </si>
  <si>
    <t>6. karena dasar kemanusiaan demi kembali mendidik anak-anak yang sesungguhnya menjadi korban atas kesalahan orang tua mereka bergabung dengan ISIS.</t>
  </si>
  <si>
    <t>5. akan tetapi pemerintah tidak menutuk pintu untuk semua eks WNI yang berada disuriah untuk kembali pulang. Pemerintah masih tetap membuka peluang bagi anak-anak Yatim dan Piatuh dibawah 10 tahun untuk bisa kembali pulang Ke Indonesia.</t>
  </si>
  <si>
    <t>4. bahkan kalaupun mereka masih memiliki paspor Indonesia sekalipun mereka akan tetap dicekal masuk karena Paspor mereka telah diblokir untuk kembali masuk kedalam Indonesia.</t>
  </si>
  <si>
    <t>2. Hal ini dibuktikan dengan membakar dan ikut bergabungnya mereka menjadi anggota ISIS.</t>
  </si>
  <si>
    <t>1. Belum lama ini Istana telah mempertegas status kewarganegaraan para kombatan ISIS yang berasal dari Indonesia. Mereka telah dinyatakan stateless atau tanpa kewarganegaraan.</t>
  </si>
  <si>
    <t>Cekal Eks WNI ISIS masuk wilayah Indonesia Memulangkan para yatim piatuh Eks WNI ISIS demi kemanusiaan Kadrun sudah cukup merepotkan. -sebuah utas- #doktorhcpuanmaharani</t>
  </si>
  <si>
    <t>@CNNIndonesia @Kemlu_RI Pas di periksa Petugas: kamu flu? Wni: ga cuma pilek Petugas: ada demam? Wni: cuma hareeng Petugas: oke aman The end</t>
  </si>
  <si>
    <t>@abbiekoes @bantengnusa @ariel_heryanto Tidak ada pengaruhnya.Pokoknya sudah otomatis hilang kewarga negaraan Indonesia kalau sudah masuk dinas tentara asing seperti ISIS.</t>
  </si>
  <si>
    <t>@ramasatya W lebih penasaran kalo ternyata ada WNI yg kena, org2 yg nge reply dengan bangga berlebih itu bakal komen apa</t>
  </si>
  <si>
    <t>Alasan kenapa WNI tidak tertular virus corona ~ RT @randikaian: @CNNIndonesia @Kemlu_RI Wong Indonesia bakoh-bakoh, sing ambyar mung atine</t>
  </si>
  <si>
    <t>@tribunnews Bukan tanggunganmu tapi mengapa ngotot mau pulangkan mantan isis ke Indonesia uda tau teroris uda pengalaman perang membom dan mengintai menembak berbahaya bagi Indonesia</t>
  </si>
  <si>
    <t>@oooyyuk @muhammad_ridhaa Ya harus lah .... 1. harus di ada negara resmi 2. Di buat oleh pemerintahan, tentu saja resmi Kalau kedua syarat itu ga di penuhi Tidak bisa di sebut dinas .... Makanya pasukan bersejata isis itu di sebut teroris Bukan dinas pasukan asing Paham ga ?</t>
  </si>
  <si>
    <t>@Yanuarisnannnnn Lgi observasi wni yg ada di wuhan to</t>
  </si>
  <si>
    <t>689 FTF kombatan ISIS eks WNI tgg jwb @Refugees @UN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</si>
  <si>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@detikcom Arab dah sadar.... Gak mau spt isis... Gak ada kasih sayang sama se x</t>
  </si>
  <si>
    <t>Data UNHCR menyebut ada 71 juta orang di dunia berstatus sebagai pengungsi karena perang, konflik dsb. Jumlah itu baru saja bertambah dengan keputusan pemerintah menolak WNI eks ISIS.</t>
  </si>
  <si>
    <t>@CNNIndonesia @Kemlu_RI Dari 3711 penumpang, 300 telah diobservasi, 218 positive terinfeksi, sampai saat ini dinyatakan 78 orang WNI aman (negative).</t>
  </si>
  <si>
    <t>RT @News24Xx: Satu Kapal Dengan 273 Orang Yang Terkena Virus Corona, Semua WNI Negatif Virus Corona, Mungkinkah Orang Indonesia 'Kebal' Virus Corona?</t>
  </si>
  <si>
    <t>Komisi 1 DPR Setujui Opsi Pemerintah Pulangkan Anak-Anak dari WNI Terduga Teroris Lintas Batas @meutya_hafid @DPR_RI #DPR #Komisi1 #PemerintahRI #WNI #Teroris #ISIS #LintasBatas #GolkarUpdate #GolkarInfo #GolkarNews - beringin NEWS</t>
  </si>
  <si>
    <t>Data Seluruh WNI Eks Akan Diverifikasi Untuk Mencegah Masuk Ke Indonesia. #TolakWNIEksISIS</t>
  </si>
  <si>
    <t>Setelah memutuskan untuk tidak memulangkan ratusan WNI yang bergabung dengan ISIS, Pemerintah selanjutnya melakukan verifikasi terhadap identitas para kombatan tersebut. #TolakWNIEksISIS</t>
  </si>
  <si>
    <t>Wakil Presiden Ma'ruf Amin mengatakan mengatakan status kewarganegaraan warga negara Indonesia (WNI) yang bergabung dengan jaringan kelompok Negara Islam Irak dan Syam (ISIS) otomatis hilang. #TolakWNIEksISIS</t>
  </si>
  <si>
    <t>Kemaslahatan Rakyat Indonesia Lebih Utama Daripada Anggota ISIS Asal Indonesia. #TolakWNIEksISIS</t>
  </si>
  <si>
    <t>RT @Metro_TV: Pemerintah RI berketetapan tidak memulangkan mantan WNI yang bergabung dengan ISIS di Suriah Dan negara lain. Kepada 689 orang itu bahkan dikenakan status tangkal memasuki wilayah kedaulatan NKRI. #PrimeTalkMetroTV #MetroTV</t>
  </si>
  <si>
    <t>@ndi____ Ndasmu isis</t>
  </si>
  <si>
    <t>@adsafha lu isis si</t>
  </si>
  <si>
    <t>@Yunardi69 @mohmahfudmd Apa mereka pernah kasian kepada sesama yg dibunuh oleh isis??</t>
  </si>
  <si>
    <t>@jr_kw19 Walaupun mereka eks ISIS tapi mereka juga manusia tempat khilaf dan dosa,apa sih susahnya menerima,mendata dan mengadili mereka? katanya negara hukum?yg menjunjung tinggi hak azasi manusia, tapi koq ngotot mengusir?</t>
  </si>
  <si>
    <t>Komisi IX DPR RI melakukan kunjungan spesifik ke Kabupaten Natuna. Kunjungan ini untuk mengetahui secara langsung perkembangan penanganan observasi WNI dari Wuhan Cina yang dipulangkan pemerintah Indonesia beberapa waktu lalu.  #PDIPerjuangan</t>
  </si>
  <si>
    <t>@phidop @fmtoday Janji bukan ISIS</t>
  </si>
  <si>
    <t>Kata warga Natuna jelang pemulangan WNI yang diobservasi, doakan sehat selalu</t>
  </si>
  <si>
    <t>Perjalan untuk membuktikan kekebalan WNI terhadap virus corona</t>
  </si>
  <si>
    <t>WNI di Natuna Segera Pulang, Jokowi: Protokol Kesehatan Sudah Dilalui</t>
  </si>
  <si>
    <t>@AhlulQohwah Jangan dibalik ISIS ex. WNI dong mas..</t>
  </si>
  <si>
    <t>@jokowi Good idea, Bapak. Emang pemerintah harus setegas itu terhadap eks WNI mantan penganut ISIS, biar negeri kita ini nggak diremehkan karena masih bisa bebas keluar masuk wilayah NKRI. Ya syukur kan kalo udah tobat dan sadar bahwa ISIS itu salah, nah kalo cuma buat kedok? Amit-amit.</t>
  </si>
  <si>
    <t>RT @radar_malang: Negatif Virus Korona, 78 WNI di Kapal Diamond Princess Minta Mi Instan</t>
  </si>
  <si>
    <t>RT @myusufkoto: @zarazettirazr Anak2 eks PKI, DI TII, GAM tetap diterima dan lanjut jd WNI.</t>
  </si>
  <si>
    <t>Negatif Virus Korona, 78 WNI di Kapal Diamond Princess Minta Mi Instan</t>
  </si>
  <si>
    <t>Pemulangan 238 WNI dari Natuna Dibiayai Negara</t>
  </si>
  <si>
    <t>Sempat Dukung Pemulangan WNI Eks ISIS, Ustaz Ini Tarik Pernyataannya  #WNI #Isis #WniEksIsis #valentinebukanbudayakita #jumatambyar</t>
  </si>
  <si>
    <t>WNI di Natuna Pulang, Anggota DPR: Warga tak Perlu Cemas</t>
  </si>
  <si>
    <t>WHO belum mencabut status darurat kesehatan di Hubei, China.</t>
  </si>
  <si>
    <t>@Ghaussada @FaGtng @BiLLRaY2019 @triwul82 @4Y4NKZ @Dwiyana_DKM @WR_4AG226 @mochamadarip @Airin_NZ 🔜 Hm... ternyata ada nalar² datar menghendaki Eks WNI pro ISIS utk pulang ,,dan sesungguhnya mereka tdk ada yg berani jamin bhw Eks... dpt setia thdp NKRI. Taik-lah ! #AsliGoblok</t>
  </si>
  <si>
    <t>Check out a great #article Observasi Usai, WNI Segera Kembali ke Kampung Halaman</t>
  </si>
  <si>
    <t>Ketua MPR RI meminta pemerintah benar-benar mempertimbangkan secara matang sebelum memulangkan anak pendukung ISIS yang usianya di bawah 10 tahun.</t>
  </si>
  <si>
    <t>@zaradhst Hidup biarlah berbakti walau tidak dipuji . #JKT48KIIIvsKIII #valentinebukanbudayakita #ValentinesDay2020 #ValentinesDay #Valentines One Piece #UdahPutusinAja Tara Basro Dhani Valentine Day #ピンクバレンタイン #asiklarcesmesi Dita anggraeni #ChangesTONIGHT 78 WNI Jumat berkah</t>
  </si>
  <si>
    <t>RT @ditoyorr: Ptugas Imigrasi: 👮 Isis lovers: 🙉 👮: Namanya sapa mari saya data 🙉: Alhamdulillah kita boleh pulang y pak? 👮: Ya kaga lah lu didata biar pasti gabisa balik hahahaha</t>
  </si>
  <si>
    <t>Tara Basro #valentinebukanbudayakita Dhani #HapeKeceBatreGede Valentine Day Donghyuk #4niesKibul_CancelFormulaE WNI</t>
  </si>
  <si>
    <t>@ISIS_Balik_NO @IrmaHKds @marcharitahere @iskandarAKA27 @viviandeella @Bocah__koplak @Cobra_RiderRK2B @BungaDiTepiJal7 @butetborjun @hys179 @tarasaridewi @den_kalem Ha ha....nenek moyang kita paling bisaan. Kerak nasi dijemur, udah kering digoreng jadi camilan " The Intip "</t>
  </si>
  <si>
    <t>7 WNI Negatif Corona, Kadinkes Tanjungpinang Minta Warga Tak Perlu Panik, dan Takut Komunikasi .</t>
  </si>
  <si>
    <t>RT @__MV_llestari__: Dan kita lupa ada kejanggalan disana. Terlalu kebetulan bila semua kejadian ini berlangsung serentak di berbagai daerah yang saling berjauhan. Terlalu kebetulan juga bila isu pemulangan 600 eks WNI PRO ISIS terjadi sebagai kejadian biasa saja.</t>
  </si>
  <si>
    <t>@kompasiana @kompascom simply isis eks wni</t>
  </si>
  <si>
    <t>RT @kompascom: Meutya mengatakan, pemerintah harus melakukan pendataan sejauh mana anak-anak dari WNI eks anggota ISIS dan teroris lintas batas itu terpapar paham radikalisme | #Nasional</t>
  </si>
  <si>
    <t>Tim Dinkes akan mendampingi 238 WNI dari Natuna sampai Bandara Halim Perdanakusuma</t>
  </si>
  <si>
    <t>ginian kok DIMASALAHIN. apahpun yg tertulis di PASPOR si LL terkait status SEX nya, tetep LEBIH KUATAN yg tertulis di KTP si LL +status SEX PEREMPUAN nya. krn KTP=DOKUMEN BASIC buat URUSAN apahpun terkait ADMINISTRASI WNI. otomatis PASPOR si LL WAJIB DIGANTI ngikut KTP kalo SALAH RT @stephmst: @dianafithras @ahmad_subana KTP prempuan, passpor lakik 😢😢😢</t>
  </si>
  <si>
    <t>RT @Ab1id__DzOE3: #AniesKerenAbis Rasakan Bogem Dari Prof Gayus Ndro:-) 😭 ... Debat Soal WNI Eks ISIS, Gayus Lumbuun Sebut Ngabalin Bodoh #AniesKerenAbis</t>
  </si>
  <si>
    <t>@CNNIndonesia Kalau anak2 masih di bawah 4 tahun bisa tapi kalau ke atas itu bahaya karena mereka pastih uda di latih isis menembak sepertih yg kita lihat dan dengar di berita2 tv jangan coba2 kasih kembali mereka berbahaya untuk negara</t>
  </si>
  <si>
    <t>Gokil emang para WNI yang ada di sana, semoga pada barokah ya karena telah membantu dan bermanfaat bagi sesama. Btw, salfok banget sama Tolak Angin! Emang andalan banget yang satu ini @Tolak_Angin untuk jaga kesehatan. #NegaraMelindungi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</si>
  <si>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Tolak Eks ISIS, Pengamat: Bukti Pemerintah Gagal Tangani Persoalan Teroris</t>
  </si>
  <si>
    <t>Jubir Presiden Ungkap Tiga Alasan Tolak Pemulangan Ratusan Eks ISIS</t>
  </si>
  <si>
    <t>Terkait Rencana Pemantauan WNI Eks ISIS, TB Hasanuddin: Lakukan Secara Tertutup!</t>
  </si>
  <si>
    <t>kompak menolak kombatan ISIS, #indonesiasatu</t>
  </si>
  <si>
    <t>@oooyyuk @muhammad_ridhaa Trus itu di tulis bukan swasta ... Yang artinya intitusi pemerintah Gini gini lo bilang isis itu bukan negara sah Otomatis pemerintahannya ga sah Makanya dinas tentara asing tidak melekat di pasukan tentara isis dan negara lain menyebut teroris Paham ga sih ?</t>
  </si>
  <si>
    <t>@kompascom Untuk apa ? Namanya jangan dibolak-balik dong, mereka bukan WNI eks ISIS, tetapi mereka adalah ISIS eks WNI, karena satu-satunya bukti kewarganegaraannya sudah dibakar dan UU No. 12 Tahun 2006 menyatakan mereka tidak lagi WNI.</t>
  </si>
  <si>
    <t>@WR_4AG226 Brengsek benar tuh gurunya...antarkan dia k suriah biar berkumpul di sana dg combatan isis</t>
  </si>
  <si>
    <t>WNI Suspec Corona di Tanjungpinang Dinyatakan Sehat</t>
  </si>
  <si>
    <t>Masyarakat terutama di lingkungan mereka akan kembali diminta untuk tidak menjauhinya dan bersikap biasa-biasa saja. #WNIdiNatuna #CoronaVirus</t>
  </si>
  <si>
    <t>Presiden Pastikan WNI di Natuna Sehat dan Siap Kembali ke Keluarga  @PEDOMAN_id @PedomanNEWS @fadjroeL @SunandarPS @JubirPresidenRI #NegaraMelindungi #UdahPutusinAja</t>
  </si>
  <si>
    <t>@UKI_djayengrono @BadjaNuswantara @fadlizon oooalahhhh pantesan selalu mencela kebijakan pemerintah ternyata @fadlizon tuh isis ta</t>
  </si>
  <si>
    <t>@KBRITokyo sigap banget kasih tolak angin, semoga sehat terus ya WNI di Diamond Princess #NegaraMelindung</t>
  </si>
  <si>
    <t>@salahsambungya @AmstrongBiring Delutional para Kombatan ISIS, jangan biarkan negara ini dikuasai faham2 yg tidak menyebarkan cinta kasih. Bibit itu muncul dari kasus intoleransi di Indonesia, bila dibiarkan sudah tentu akan muncul kasus intoleransi yg lain</t>
  </si>
  <si>
    <t>Presiden Pastikan WNI di Natuna Sehat dan Siap Kembali ke Keluarga  @PEDOMAN_id @PedomanNEWS @fadjroeL @SunandarPS @JubirPresidenRI #JumatBerkah</t>
  </si>
  <si>
    <t>Woii, mrk ex WNI RT @AnakKolong___: CONGOR @KPAI_official . . Anak² pengungsi jemaah Ahmadiyah di NTB, Anak perempuan dianiaya di Purworejo, di Malang anak dibully sampai patah tangan, kalian BUTA, BISU &amp; TULI. Giliran anak² ISIS CONGOR KALIAN NYARING. . .</t>
  </si>
  <si>
    <t>@Imamasysyafi @IrmaHKds @marcharitahere @iskandarAKA27 @viviandeella @Bocah__koplak @Cobra_RiderRK2B @BungaDiTepiJal7 @butetborjun @hys179 @tarasaridewi @den_kalem 😂....mungkin iya mas....karena setup sudah digemari keluargaku, semenjak neneknya nenek masih gadis belia kali...jaman dulu mana ada suoer market komplit 😂</t>
  </si>
  <si>
    <t>Jokowi: 238 WNI Sehat Usai Karantina, Pulang 15-16 Februari 2020</t>
  </si>
  <si>
    <t>RT @kamto_adi: Yyyeeeaaaaayyyyy!!!! Welcome to the real life. Observasi Berakhir, WNI yang di Karantina akan Dipulangkan Sabtu Besok.</t>
  </si>
  <si>
    <t>Jokowi Sebut WNI di Natuna Sehat &amp; Siap Kembali ke Keluarga</t>
  </si>
  <si>
    <t>pengn ndasmu digorok orang isis. Yen ngomong dipikir sik. Ojo dikit2 ham. Ndasmu</t>
  </si>
  <si>
    <t>FMT tak nak lapor ke rakyat Thailand Belum Muslim buat isyarat syahadah selepas kejadian tembakan minggu lepas? Manalah tahu rakyat Thailand yang majoriti Buddha juga dah join ISIS DAESH ke. Kredit: Fb Firdaus Wong Wai Hung</t>
  </si>
  <si>
    <t>@dusrimulya @mohmahfudmd sudahlah... orang udah bakar2 paspor Indonesia, menyangkal pancasila, itu sudah bukan orang yg patut tinggal di bumi Indonesia. Semua keputusan ada konsekwensinya, dan mereka pasti tau konsekwensinya pas ikut ISIS.</t>
  </si>
  <si>
    <t>RT @edoardbl: Apakah @KPAI_official ini "Komisi Perlindungan Anak ISIS"?</t>
  </si>
  <si>
    <t>Meutya mengatakan, pemerintah harus melakukan pendataan sejauh mana anak-anak dari WNI eks anggota ISIS dan teroris lintas batas itu terpapar paham radikalisme | #Nasional</t>
  </si>
  <si>
    <t>Ini Kriteria Anak Eks WNI ISIS yang Dikaji Pemerintdah untuk Dipulangkan ke RI Melalui Pertimbangan  #anak #wnieks #isis #ksp</t>
  </si>
  <si>
    <t>Selamat sore semuanya. Presiden Pastikan WNI di Natuna Sehat dan Siap Kembali ke Keluarga  @PEDOMAN_id @PedomanNEWS @fadjroeL @SunandarPS @JubirPresidenRI #NegaraMelindungi</t>
  </si>
  <si>
    <t>Kalau nggak bodoh nggak dipakai dia prof, Ngabalin modal ngegas.</t>
  </si>
  <si>
    <t>Sianjir xD Bisa kali DNA WNI diambil buat dibikin serum :)) RT @CNNIndonesia: Pemerintah Jepang menyatakan sebanyak 218 penumpang kapal pesiar Diamond Princess terinfeksi virus corona. @Kemlu_RI pun menuturkan bahwa 78 orang WNI yang merupakan kru dari kapal pesiar tersebut dalam kondisi sehat dan negatif virus corona.  #CNNIndonesia</t>
  </si>
  <si>
    <t>@hereoxygn Jalur gelap jalur terang, well, kalau masih WNI justru mereka gak boleh dilarang memasuki wilayah Indonesia 👀</t>
  </si>
  <si>
    <t>RT @Athar69046912: ... Right and wise decision 👍,... Tak Hanya Eks ISIS, Semua WNI Terduga Teroris Lintas Batas Tak Akan Dipulangkan</t>
  </si>
  <si>
    <t>@JoniSukaPaha KPAI mana ? Komnas ham mana?... Ko diam diam bae....ngopi ngapa ngopi....tuh urusin yg dh jelas jangan ngeributin anak isis yg gak jelas sttsnya....</t>
  </si>
  <si>
    <t>@DayatPondok @mohmahfudmd Yg gagal itu otak kau,di isi kebencian,Tdk bs mensyukuri,bahwa hari ini anda msh bs menikmati hidup yg lbh baik.mereka yg menjadi tentara ISIS itu sdh sejak dari pemerintah SBY,berarti pemerintahan sblmnya lbh gagal dlm membina Rakyat nya.Gimana pak @SBYudhoyono anda gagal pula</t>
  </si>
  <si>
    <t>IDI Minta Pemerintah Tetap Pantau 238 WNI yang Sudah Dikarantina di Natuna</t>
  </si>
  <si>
    <t>238 WNI dari Wuhan yang Diobservasi di Natuna Dipulangkan Besok, 6 Orang Asal Riau</t>
  </si>
  <si>
    <t>Kaya pepatah cinta, balikan tuh jgn sama yg pernah selingkuh. Nanti bakal diulangi. Gitu jg tuh kaya ISIS #Indonesia #NKRI #NKRIHargaMati #mantop</t>
  </si>
  <si>
    <t>RT @Ernie_es: @DayatPondok @mohmahfudmd Berarti 260 juta penduduk yg gak pergi jd ISIS adalah bukti KEBERHASILAN pemerintah dlm menyejahterakan rakyatnya sendiri dan bukti BPIP BERHASIL membina warganya</t>
  </si>
  <si>
    <t>@viviandeella @ISIS_Balik_NO @IrmaHKds @iskandarAKA27 @Bocah__koplak @Cobra_RiderRK2B @BungaDiTepiJal7 @butetborjun @hys179 @tarasaridewi @den_kalem kalo buatnya dikit gpp,klo byk tuh nyesel</t>
  </si>
  <si>
    <t>RT @PakarLogika: Masalah intoleransi aja tidak selesai selesai bahkan meningkat. Luka masih basah, trauma dari para korban belum pulih. Ini KPAI dan beberapa politisi malah mau mulangin teroris. Opooooooh! KPAI - Komisi Perlindungan Anak ISIS kah? #TolakAnakISISKembali</t>
  </si>
  <si>
    <t>PRERSIDENT INDONESIA ,sudah fix menolak komabatan isis,, jangan berbicara ham sama eks isis,mereka saat memegang senjata dan membunuh mereka g peduli HAM #IndonesiaSatu</t>
  </si>
  <si>
    <t>@berhijabmerah Sebenernya baca berita yg nihil WNI terjangkit virus corona aku bangga. :)</t>
  </si>
  <si>
    <t>@marcharitahere @ISIS_Balik_NO @IrmaHKds @iskandarAKA27 @Bocah__koplak @Cobra_RiderRK2B @BungaDiTepiJal7 @butetborjun @hys179 @tarasaridewi @den_kalem Pernah bikin, salaknya bkn salak yg bagus... Agak sepet2 😂 ampun daahh🤭</t>
  </si>
  <si>
    <t>Besok warga Natuna akan lepas 285 WNI yang telah diobservasi kesehatannya</t>
  </si>
  <si>
    <t>Pemantauan itu bertujuan apabila terjadi keluhan bisa langsung dibawa berobat</t>
  </si>
  <si>
    <t>@Herdian18929219 @n0v4n1 Saya juga salut ama rusia yg memulangkan warga negaranya yg kena jebakan ISIS.semntara boneka plongokio di negara kita malah mencekal mereka.parah..</t>
  </si>
  <si>
    <t>Jelang pemulangan WNI di Natuna, MPR dorong pemerintah beri pendampingan</t>
  </si>
  <si>
    <t>kita dukung pemerintah dengan keputusan yang tepat telahmenolak kepulangan wni EKS ISIS,, #IndonesiaSatu</t>
  </si>
  <si>
    <t>@MsIsisKing @birdsofpreywb Isis hi sis 🔥👌🏻</t>
  </si>
  <si>
    <t>@CNNIndonesia @Kemlu_RI Alhamdulillah...WNI semoga terjaga kesehatannya Amin.</t>
  </si>
  <si>
    <t>√ Presiden @jokowi Pastikan WNI di Natuna Sehat dan Siap Kembali ke Keluarga cc @fadjroeL @JubirPresidenRI @PedomanNEWS</t>
  </si>
  <si>
    <t>@bu_dell Aamiin, ih ngeri bgt ada wni nya</t>
  </si>
  <si>
    <t>Domain Pengadilan untuk mencabut kewarganegaraan seseorang</t>
  </si>
  <si>
    <t>Tolak WNI Eks ISIS, YLBHI Nilai Pemerintah Terlalu Terburu-buru</t>
  </si>
  <si>
    <t>Sebut Mereka Korban, KPAI Minta Negara Hadir Lindungi Anak-anak WNI Eks ISIS</t>
  </si>
  <si>
    <t>@elHurryKoRn Tolak ex -isis, damai ibu pertiwi jangan di ganggu</t>
  </si>
  <si>
    <t>Observasi Virus Corona pada WNI di Natuna Hampir Selesai, IDI: Tetap Harus Diidentifikasi dan Dipantau</t>
  </si>
  <si>
    <t>bullying seperti ini perlu kita waspadai. Kita say no to ex WNI pro ISIS tapi kita juga harus say no sama bibit2</t>
  </si>
  <si>
    <t>IDI Berharap WNI yang Selesai Diobservasi Akibat Corona Tetap Dipantau</t>
  </si>
  <si>
    <t>@DIENDIRA2 Saya saat ini masih setuju dengan pencabutan WNI buat eks ISIS, ada aturan dan UU lalu pengadilan yg mengeksekusi itu. Eh, bodoh, ngibulin... anggota militer aja melanggar ada pengadilan militer. Bukan jendral yg hukum.</t>
  </si>
  <si>
    <t>RT @__Aiek__Channel: #RezimJKWRampokBUMN #RezimJKWRampokBUMN Pengamat: Jokowi seperti Mengakui Kedaulatan ISIS, padahal Dunia Internasional Tidak  Ga usah heran &amp; kaget... Khan mmg begitu cara kerjanya</t>
  </si>
  <si>
    <t>@P3nj3l4j4h_id Pecatnya aja ibu/pak bupati, kalau ngga salah bupati singkawang juga kan merayakan cap gomeh..., orang seperti begitu ngga perlu dipelihara...simpatisa ISIS tuh...</t>
  </si>
  <si>
    <t>RT @Jafartoktil84: @ZheeOmega @BadjaNuswantara @KPAI_official Santai bro...kan kata pak presiden kan ISIS eks WNI.....KAN KATA KPAI ..WNI EKS ISIS.......jadi y GK ada yg harus di pulangkan....mereka kan ISIS EKS WNI.....jadi bukan WNI lagi.....clear kan</t>
  </si>
  <si>
    <t>Presiden Jokowi Pastikan WNI di Natuna Sehat &amp; Siap Kembali ke Keluarga #TauCepatTanpaBatas #BeritaTerkini #Berita #News #BeritaNasional .</t>
  </si>
  <si>
    <t>78 WNI itu asal mana ya?</t>
  </si>
  <si>
    <t>RT @BadjaNuswantara: Wajah anak2 eks WNI pro ISIS memang tidak jahat. Tapi siapa bisa menjamin mrk yg sdh terlatih tidak mjd maslah keamanan dlm negeri? Ada jutaan warga yg hrs dijamin keselamatannya oleh negara. #TolakAnakISISKembali</t>
  </si>
  <si>
    <t>RT @LestariNKRI: Pemerintah membuka opsi pemulangan anak-anak berusia di bawah 10 tahun. "Tapi, kita lihat case by case (untuk pemulangan anak usia di bawah 10 tahun)," ucap Mahfud ** Hello memang 'fasilitas' kita siyap? Udahlaaah #TolakAnakISISKembali aajaa 😑😑</t>
  </si>
  <si>
    <t>Hai Guys.....Anda WNI usia minimal 25 Tahun dan memiliki KTP dengan domisili di Kabupaten Sleman/Gunungkidul/Bantul? Ayo siapkan diri anda untuk mendaftar sebagai Pengawas Pemilu Desa pada tanggal 16-22 Februari…</t>
  </si>
  <si>
    <t>semua element menolakkeras kepulangan kombatan isis ,,,nah yang ngotot itu jelas mereka YYANG MAU merubah sistemnegara ccuy,, #IndonesiaSatu</t>
  </si>
  <si>
    <t>Apakah @KPAI_official ini "Komisi Perlindungan Anak ISIS"? RT @ZheeOmega: Tolol banget sih kalian.... @KPAI_official Kasus2 perundungan thd anak2 dlm negeri merajalela malah ngurusin mesin pembunuh yg ada diluar negeri.</t>
  </si>
  <si>
    <t>@viviandeella @ISIS_Balik_NO @IrmaHKds @iskandarAKA27 @Bocah__koplak @Cobra_RiderRK2B @BungaDiTepiJal7 @butetborjun @hys179 @tarasaridewi @den_kalem iya bener salak</t>
  </si>
  <si>
    <t>Hallo Sahabat KJRI.. Bgmn jk sahabat KJRI kehilangan Paspor dn ingin mngajukan pembuatan paspor baru sbg pngganti yang hilang?? Jngn Panik!! Brkt infografisnya.. (Berlaku bagi WNI yang berdomisili di Turki/mmpnyai izin tinggal) #indonesiainistanbul #negaramelindungi @Kemlu_RI</t>
  </si>
  <si>
    <t>@khoirinaannisa @KBRITokyo Terima kasih @Tolak_Angin sudah melindungi WNI ❤</t>
  </si>
  <si>
    <t>Yyyeeeaaaaayyyyy!!!! Welcome to the real life. Observasi Berakhir, WNI yang di Karantina akan Dipulangkan Sabtu Besok.</t>
  </si>
  <si>
    <t>RT @PakarLogika: Boleh disimak, fakta fakta WNI eks ISIS: #TolakAnakISISKembali</t>
  </si>
  <si>
    <t>@ariel_heryanto Hampir 700 orang. Sebanyak itu WNI mau ditaruh mana? Eropa punya masalah gelombang imigrasi. Negara-negara lain jg punya problem internal masing2. "Indonesia, tolong dong itu wargamu diurus, jgn lepas tangan dan ngerepotin kami." Tapi apa Pemerintah mikirnya sampe ke situ?</t>
  </si>
  <si>
    <t>@jokowi TKS pk isis tidak jd di pulangkn...</t>
  </si>
  <si>
    <t>@mohmahfudmd Klo sdh jls scr hukum artinya tdk perlu buang energi utk urus mrk..msh byk hal yg butuh dislesaikn di dlm negri..jaga rawat dn lindungi slrh WNI yg slama ini patuh/taat konstitusi NKRI.</t>
  </si>
  <si>
    <t>@oooyyuk @muhammad_ridhaa Itu yang gw bilang punya pemerintahan tapi ga di akui ... Sama aja hitungannya 0 ( Nol ) Lo barusan ngeshare tentang dinas yang artinya resmi dari pemerintah .. Pemerintahan dalam negara isis itu ga di akui Hitungannya tetap 0 ( Nol ) Makanya do sebut teroris/Pemberontak</t>
  </si>
  <si>
    <t>Udah dikirimi bukti potong pajak sama kantor buat isi SPT. Kaga rela ngeliat jumlah yang dipotong ini buat mulangin ISIS.</t>
  </si>
  <si>
    <t>RT @belajarpolitrik: Waspadai Penyusup dan Dendam Simpatisan ISIS Dalam Negeri --Sedikit Utas-- #TindakTegasIntoleran</t>
  </si>
  <si>
    <t>@PinayunganE @desukardi18 @H4mid132 @zarazettirazr ISIS bukan negara, tapi cuma seonggok organisasi tepatnya, kalau menolak eks ISIS harusnya eks PKI atau anak cucu PKI yang sekarang di indo harus diusir juga dong kan sama2 terpapar pemikiran berbahaya dari bapaknya</t>
  </si>
  <si>
    <t>@wanrosadi @zarazettirazr Baca donk undang² kak, siapapun yang bergabung dengan militer asing, maka otomatis hilang status wni nya</t>
  </si>
  <si>
    <t>INDONESIA SUDAH SAMAI TANpa eks ISIS man,,,,, #IndonesiaSatu</t>
  </si>
  <si>
    <t>@kompascom Hahaha depok malah mw ke jaman tembok!!! Bingung juga Kadrun2 itu berafiliasi kmana....jgn2 ISIS kali ya!</t>
  </si>
  <si>
    <t>3 hari lagi suami gw pulang. Sehat terus warga indonesia. Dari istri yg sedang hamil 9 bulan yang ditinggal suami mengarantina WNI di natuna❤</t>
  </si>
  <si>
    <t>RT @tsjokka: @AnakKolong___ @KPAI_official Komisi Perlindungan Anak isis 😄</t>
  </si>
  <si>
    <t>Bamsoet Minta Masyarakat Terima 238 WNI yang Dipulangkan dari Natuna</t>
  </si>
  <si>
    <t>@zarazettirazr Jadi kita harus nunggu anak isis itu melakukan teror dulu seperti nge bom barus dicabur kewarganegaraan nya? Hai kak bukankah mencegah lebih baik daripada mengobati</t>
  </si>
  <si>
    <t>WNI di Natuna Bakal Dipulangkan Besok, Jokowi Beri Pesan Begini</t>
  </si>
  <si>
    <t>@MakNyus_xx @mohmahfudmd @KomnasHAM Intinya mrk sdh bukan WNI, slain yg dilakukan jg bertentangan keras dg HAM.. klo ditarik kembali sm sj dg menarik penjahat2 dr ngr lain ke Indonesia.. Kewarganegaraan yg otomatis hilang itu jawaban jelas terhdp hukum yg berlaku di Indonesia.</t>
  </si>
  <si>
    <t>Khofifah Minta Warga Jatim Tak Khawatir Soal Pemulangan WNI yang Dikarantina di Natuna</t>
  </si>
  <si>
    <t>Direncanakan akan ada prosesi kecil pelepasan warga yang diobservasi di Bandara Natuna menuju Jakarta. Saat mereka tiba di Jakarta akan disambut oleh Komisi 9 DPR RI dan perwakilan Pemerintah Daerah.</t>
  </si>
  <si>
    <t>RT @Geyelicius: ISIS bukan negara lah hanya ngaku2 saja semacam kerajaan agung sejagad, sunda empire... orang orang halu.. bedanya halu syariah dan halu konvensional... sesimpel itu ..</t>
  </si>
  <si>
    <t>Prof Gayus Lumbun Sebut Ngabalin Bodoh Saat Debat soal WNI Eks ISIS</t>
  </si>
  <si>
    <t>WNI di Natuna telah menjalani masa observasi selama 14 hari di Natuna yang sesuai dengan protokol kesehatan WHO.</t>
  </si>
  <si>
    <t>@detikcom yang perlu dibina duluan adalah anak2 kader pks sebelum pks bubar, anak2 isis ex wni biarin aja di suriah ama orang tuanya!!!</t>
  </si>
  <si>
    <t>Soal Kembalinya WNI yang Dikarantina di Natuna, Jokowi Meminta Masyarakat Menerima Apa Adanya</t>
  </si>
  <si>
    <t>@zarazettirazr Eks ISIS kan bukan kaum sipit dan bukan kaum cinta kasih juga jadi di rezim gila kaum sipit dan cinta kasih sekarang ya pasti mustahil mereka dilindungi mbak</t>
  </si>
  <si>
    <t>RT @dusrimulya: Klo si Prof anggap status WNI Eks ISIS bisa dicabut krn gabung "Tentara Asing" maka si Prof adalah Pejabat Indonesia Pertama yg akui ISIS sbg sebuah Negara Merdeka Ini makar krn mengakui Teroris sbg sebuah Negara merdeka !!</t>
  </si>
  <si>
    <t>@TirtoID itulah fungsinya Isis Usus digoreng2 sama rezim kodok sampe2 lupa akan Omnibus law yg dibuat diem2 sama bikin pansus Jiwasraya yg bobrok wkwkwk</t>
  </si>
  <si>
    <t>@marcharitahere @ISIS_Balik_NO @IrmaHKds @iskandarAKA27 @Bocah__koplak @Cobra_RiderRK2B @BungaDiTepiJal7 @butetborjun @hys179 @tarasaridewi @den_kalem Salak juga bisa, kulit jeruk Mandarin juga bsa... Utk kulit jeruk Mandarin.. masak sampai abis air... Trus angin2 kan😋 biarin agak kering2 dikit... Kalau lagi pengen ngemil... Sikat</t>
  </si>
  <si>
    <t>@Nonameseri2 @LusiHQ @tagarlima @wibi2519 @Jean_Aprilia97 Yang ngaku pemegang konci sorga justru yang paling mirip seperti ISIS 😀😀😀</t>
  </si>
  <si>
    <t>Itu beneran apa di Kapal Pesiar negatif semua WNI nya???</t>
  </si>
  <si>
    <t>Pemulangan Anak-anak WNI eks ISIS Harus Disertai Data yang Valid</t>
  </si>
  <si>
    <t>RT @tempodotco: - Arsip majalah Tempo - ISIS menempatkan orang Indonesia di kasta terbawah. Janda yang ditinggalkan suami yang tewas dijadikan pelaku bom bunuh diri.</t>
  </si>
  <si>
    <t>@AlterBase18Plus siapppp jbjb isis</t>
  </si>
  <si>
    <t>@_wni_ Kenapa dengan mangkuk tu anat shahhshhahsha</t>
  </si>
  <si>
    <t>@arjuno_ireng01 Tolaklah ex -ISIS ancaman utk NKRI ,sala sendiri ngikut isis Damai ibu pertiwi NKRI</t>
  </si>
  <si>
    <t>@tribunnews @tribunnewswiki Makanya sebelum berangkat pikir dulu dengar dulu siapa isis pakai akal sehat hidup enak2 di Indonesia lari membantu isis sekarang uda kala uda terlatih kejahatan mau pulang enak2 mau Praktek di Indonesiakah jangan harap uda kala baru mau nyesal di tipu modus agar bisa pulang enak</t>
  </si>
  <si>
    <t>@Nonameseri2 @tagarlima @LusiHQ @wibi2519 @Jean_Aprilia97 Lo tanya sama Arab Saudi siapa yang bantai Yaman, juga ISIS bengsa lo juga bantai sesama mereka 😀😀😀</t>
  </si>
  <si>
    <t>Tolak Pulangkan Eks WNI ISIS, YLBHI Nilai Keputusan Terburu-buru</t>
  </si>
  <si>
    <t>@Puteriswift_ HAHAHAHAHA aku tk tuduh. Aku doakan je</t>
  </si>
  <si>
    <t>RT @tribunnews: Pemuda Anggota ISIS Ini Dilaporkan Tangkap dan Eksekusi Mati Ibu Kandungnya Sendiri  via @tribunnewswiki</t>
  </si>
  <si>
    <t>@kamuusiapaaaaaa @AhlulQohwah logikanya gini aja ..situ aja yg ngerawat itu anak Kombatan ISIS mau nggak situ? gw sih gak rela serupiah pun APBN dri pajak utk urusan ISIS...nggak usah koar2 mendukung pemulangan klo ente nggak tau dampak korban dri teror namanya ISIS</t>
  </si>
  <si>
    <t>@ISIS_Balik_NO @IrmaHKds @iskandarAKA27 @viviandeella @Bocah__koplak @Cobra_RiderRK2B @BungaDiTepiJal7 @butetborjun @hys179 @tarasaridewi @den_kalem kalo setup tuh kan byk yg bs di pake bahan kyk nanas,pepaya,,cuma aku tertarik dg setup pisang ni</t>
  </si>
  <si>
    <t>Dinkes Jatim: Tidak Ada Perlakuan Khusus Bagi WNI Jatim yang Pulang dari Natuna</t>
  </si>
  <si>
    <t>@oooyyuk @muhammad_ridhaa Makanya di bilang gerakan sparatis bukan dinas tentara resmi .. Sekarang gw tanya dinas tentara di buat isis resmi ga ? Ngak Otimatis status Wni yang masuk pasukan itu masih melekat tidak hilang tapi termasuk tindakan kejahatan ... Ngerti ora ..</t>
  </si>
  <si>
    <t>Ketua MPR RI, Bambang Soesatyo, mengimbau masyarakat untuk menerima kepulangan WNI dari Provinsi Hubei, Tiongkok, ke daerah asal setelah menjalani proses karantina di Natuna.</t>
  </si>
  <si>
    <t>RT @RiriJreeng: Doktrin itu udah nyata. #TolakAnakISISKembali ISIS Punya Doktrin Taqiyah atau Berpura-pura di Depan Musuh, Pemerintah Diminta Hati-hati</t>
  </si>
  <si>
    <t>@AhlulQohwah @KPAI_official drpada mikirin anak isis..ini dulu aja..</t>
  </si>
  <si>
    <t>RT @Bentir16: @wisanggeni_084 @BenyaminSidabu3 Aneh aja, disaat masih banyak anak anak WNI yg lebih memerlukan perhatian di bumi pertiwi ini.</t>
  </si>
  <si>
    <t>@yoyen @ari3fbudiman Aku bantuin jawab sebisa aku blh yah, kalau WNI menikah dgn WN NL, utk bs tinggal di belanda sblm nya dia hrs ujian2 integrasi dl di embassy sbg syarat pengajuan visa utk ijin tinggal. .</t>
  </si>
  <si>
    <t>bukan nya jahat. tp memulangkan anak kecil ISIS walopun usia di bawah 10 thn adalah kesalahan besar. anak2 tsb kemungkinan besar sudah dilatih berperang dan secara psikis terpapar radikalisme. setelah dewasa mungkin saja jd sel tidur dan jiwa radikal muncul kembali</t>
  </si>
  <si>
    <t>RT @MudasirRomini: @AnakKolong___ @me_zhu__Yusra @Eureeka__ Aku berharap KPAI pergi ke Suriah dampingi anak ISIS.</t>
  </si>
  <si>
    <t>Jokowi: Pemulangan WNI di Natuna Sesuai Prosedur</t>
  </si>
  <si>
    <t>Tolak Eks ISIS, Pemerintah tak Langgar Apapun</t>
  </si>
  <si>
    <t>Besok 238 WNI di Natuna Dipulangkan, Diangkut dengan Pesawat TNI ke Jakarta</t>
  </si>
  <si>
    <t>Menkes Pastikan WNI di Natuna Kembali ke Keluarga</t>
  </si>
  <si>
    <t>Ini permintaan WNI yang dikarantina di Kapal Pesiar Diamond Princess  #VirusCorona</t>
  </si>
  <si>
    <t>78 WNI negatif? Rahasianya ada di tolak angin dan our magic coin duet dengan minyak gosok cap tawon balsem geliga RT @CNNIndonesia: Pemerintah Jepang menyatakan sebanyak 218 penumpang kapal pesiar Diamond Princess terinfeksi virus corona. @Kemlu_RI pun menuturkan bahwa 78 orang WNI yang merupakan kru dari kapal pesiar tersebut dalam kondisi sehat dan negatif virus corona.  #CNNIndonesia</t>
  </si>
  <si>
    <t>WNI di Natuna Pulang, Anggota DPR: Warga tak Perlu Cemas | #indonesia #viral &gt;&amp;gt;&amp;gt; Click</t>
  </si>
  <si>
    <t>@wisanggeni_084 Berarti KPAI siap masang badan membela anak anak isis dong jika terjadi korban akibat keganasan isis tinggal kambing hitamkan KPAI aja</t>
  </si>
  <si>
    <t>Besok 238 WNI Dipulangkan dari Natuna, Ada 9 Warga asal Jawa Tengah</t>
  </si>
  <si>
    <t>@KBRITokyo sigap banget kasih tolak angin, semoga sehat terus ya WNI di Diamond Princess #NegaraMelindungi</t>
  </si>
  <si>
    <t>@ISIS_Balik_NO @marcharitahere @iskandarAKA27 @viviandeella @Bocah__koplak @Cobra_RiderRK2B @BungaDiTepiJal7 @butetborjun @hys179 @tarasaridewi @den_kalem Iya , selera sih. Jambu kristal lbh enak krn kress</t>
  </si>
  <si>
    <t>pertanyaan saya mungkin lebih mendasar lagi ndak nyangkal frasa tentara asing dulu pak. tapi memangnya apa secara seluruhan wni yang disana itu menjadi tentara ya pak? apa ndak perlu diidentifikasi dulu pak, karena kemungkinan besar masing2 punya kasus yg beda penyelesaiannya jg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</si>
  <si>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Warga tak perlu cemas karena WNI yang diobservasi di Natuna telah terbebas corona</t>
  </si>
  <si>
    <t>@wisanggeni_084 @BenyaminSidabu3 Aneh aja, disaat masih banyak anak anak WNI yg lebih memerlukan perhatian di bumi pertiwi ini.</t>
  </si>
  <si>
    <t>@oooyyuk @muhammad_ridhaa Eh dunggu, Kabupaten dan Provinsi punya pemerintahan dia ada di dalam sebuah negara yang di akui secara sah ... Itu masalah problemnya isis ga gitu ga dia akui sebagai negara yang sah .... Mau bikin pemerintahan ratusan kali juga kalau negara ga sah percuma</t>
  </si>
  <si>
    <t>@Rido_Lizze @muhammad_ridhaa Dlm psl 23 d, hanya disebut Dinas Tentara Asing...tanpa embel2 pembatasan dari negara mana, dri dalam atau luar negeri, dr pemerintahan sah atau tdk, dll. Artinya, WNI yg bergabung selain ke TNI, dianggap bergabung dgn dinas tentara asing...krn hanya TNI yg sah sbg dinas tentara.</t>
  </si>
  <si>
    <t>@marcharitahere @IrmaHKds @iskandarAKA27 @viviandeella @Bocah__koplak @Cobra_RiderRK2B @BungaDiTepiJal7 @butetborjun @hys179 @tarasaridewi @den_kalem Kalo tradisi di keluargaku, pisang diganti pake jambu batu, yg gak begitu mateng, jambu kristal lebih pas, rasanya gak beda dgn Poached Pears.....sedap</t>
  </si>
  <si>
    <t>Dah paham kan sekarang? Sudah teruji di jepang 78 wni indonesia semuanya negatif corona.. Doakan sampai akhir inkubasi virusnya tetap negatif @sudjiwotedjo @Cittairlanie @TretanMuslim @pandji @NOTASLIMBOY Pingin siaran pingin2 pingin minum tolak angin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</si>
  <si>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Pemulangan WNI dari Natuna Sabtu 15 Februari, Menkes akan Jemput Langsung di Lokasi  lewat @wartakotalive</t>
  </si>
  <si>
    <t>Publik Pertanyakan Beda Perlakuan WNI Eks ISIS dan Reynhard Sinaga, Apakah Status Kewarganegaraan Juga Dicabut?</t>
  </si>
  <si>
    <t>Kalau gini ada yg ragu nggak? Sehat terus WNI, optimis semua Insya Allah terlindungi RT @CNNIndonesia: Pemerintah Jepang menyatakan sebanyak 218 penumpang kapal pesiar Diamond Princess terinfeksi virus corona. @Kemlu_RI pun menuturkan bahwa 78 orang WNI yang merupakan kru dari kapal pesiar tersebut dalam kondisi sehat dan negatif virus corona.  #CNNIndonesia</t>
  </si>
  <si>
    <t>Pemuda Anggota ISIS Ini Dilaporkan Tangkap dan Eksekusi Mati Ibu Kandungnya Sendiri  via @tribunnewswiki</t>
  </si>
  <si>
    <t>Tolak teroris ISIS masuk Indonesia #IndonesiaMaju #NKRIHargaMati</t>
  </si>
  <si>
    <t>@null WNI di Natuna Bakal Dipulangkan Besok, Jokowi Beri Pesan Begini</t>
  </si>
  <si>
    <t>@zarazettirazr Baiknya BPIP ke Syria Mengindentipikasi Masalah WNI yg ada Terutama anak2....Apakah Benar yg dilihat Dan dikatakan mereka dilatih Perang dll... Atau Hanya Datang saja disana menetap,,,Dan Orangbtuanya yang berperang !</t>
  </si>
  <si>
    <t>Tolak kepulangan WNI eks ISIS #IndonesiaMaju #NKRIHargaMati</t>
  </si>
  <si>
    <t>@wisanggeni_084 KPAI siap bertanggung jawab atas keamanan dan keselamatan warga negara indonesia dari korban keganasan IsIs</t>
  </si>
  <si>
    <t>@AnakKolong___ @KPAI_official Komisi Perlindungan Anak isis 😄</t>
  </si>
  <si>
    <t>kita doakan sama" semoga si Fadli ini bisa amanah dan sehat selalu untuk menjadi bapak angkat anak" terrori ISIS di suriah nanti.. tapi jangan kotori negriku dg tapak kaki mereka ya Fadli.. dan semoga kau damai hidup di antara mereka..! RT @sirajapadoha: @PakarLogika Katanya si Zonkok mau ke Suriah,,, nanti lbh bagus lg gak usah balik2 ke Indonesia</t>
  </si>
  <si>
    <t>RT @samhudibae: @anton_cokro Dita Siska Milenia yg didukung oleh zontoloyo ini mengatakan: (Saya ingin ISIS bukan hanya berkembang di Indonesia, tapi diseluruh Dunia) Dita saat ini sudah mahir dalam memenggal kepala manusia. #TindakTegasIntoleran #TindakTegasIntoleran</t>
  </si>
  <si>
    <t>@fadlizon Mumpung ada ex isis yg menginginkan kembali ke Ibu Pertiwi sepertinya cocok kl ditempatkan dulu di Papua bwt menyeimbangkan situasi.....</t>
  </si>
  <si>
    <t>@mohmahfudmd Bagi yg masih bertanya "apakah sebuah ISIS negara?", coba lebih rajin membaca dan belajar bahasa Inggris spy paham arti "Islamic STATE of Iraq &amp; Syria". #TolakEksWNIproISIS #TolakAnakISISKembali</t>
  </si>
  <si>
    <t>@bayo_edy @mohmahfudmd Kalau mau mengebom tolong pakai nurani..bilangin isis ya..</t>
  </si>
  <si>
    <t>@tempodotco @FelixSiaw ini yang paling bertanggung jawab yg berangkatin orang indonesia ke ISIS jadi budak</t>
  </si>
  <si>
    <t>Suka Duka Profesi Perawat Yang Wajib Kamu Tahu Klik👉 Maia Fatimah Azzahra #SelamatMbakPuan #valentinebukanbudayakita Dhani #UdahPutusinAja #NoTimeToDie 78 WNI #BuktiKinerjaPolri #NegaraMelindungi Ahmad tati sumirah Pembela Tanah Air #LaguRinduDita</t>
  </si>
  <si>
    <t>Terbukti tidak terinfeksi virus korona, para WNI yang di karantina di Natuna besok akan terbang ke Jakarta sebelum kembali ke daerahnya masing-masing. Nantinya mereka juga akan melakukan kegiatan simbolis pelepasan masker. #WaktunyaLokadata</t>
  </si>
  <si>
    <t>Evakuasi Tahap Dua WNI di Tiongkok Belum Memungkinkan</t>
  </si>
  <si>
    <t>Dua Minggu Karantina, WNI di Natuna Sehat</t>
  </si>
  <si>
    <t>@KPAI_official Anak menjadi Pebulutangkis diprotes, anak menjadi pembunuh Biadab ISIS malah dibela.. Pak @jokowi saya mohon Bubarkan Lembaga ini, kerjanya gk ada hasil, ada kasus malah diam kyk Patung.. #bubarkanKPAI</t>
  </si>
  <si>
    <t>RT @ayoonhoistic: Yang melakukan screening sendiri adalah otoritas Jepang dan mereka menyatakan 78 WNI negatif virus corona......... Berarti WNI bener2 sakti mandraguna semuanya</t>
  </si>
  <si>
    <t>Presiden Jokowi Tegaskan Pemerintah Tidak Akan Pulangkan ISIS eks-WNI</t>
  </si>
  <si>
    <t>Observasi di Natuna Segera Usai, WNI dari Wuhan Dibawa ke Jakarta Sabtu Esok | TIMES Indonesia</t>
  </si>
  <si>
    <t>RT @BadjaNuswantara: Tdk sedkt fansboy ISIS. Ada yg koar2 ISIS sbg saudara. Knp PKS sok peduli pd eks WNI pro ISIS? Punya agenda apa? Mnrk simpati fans ISIS demi Pilkada 2020? PKS ahlinya ahli "nabok nyilih tangan". Pilkada DKI cth konkrit. Ada yg terlunta2 ada yg dpt tahta #TolakAnakISISKembali</t>
  </si>
  <si>
    <t>RT @KelianBanjar_GK: Sebut Indonesia Sesat, PBNU Tolak Wacana Pemulangan WNI Eks ISIS #TolakAnakISISKembali</t>
  </si>
  <si>
    <t>Keenam WNI/PMI tersebut berangkat dari pelabuhan ferry Stulang Laut, Johor, menuju Pelabuhan Batam dan selanjutnya dipulangkan ke daerah asal di Semarang, Yogyakarta, Medan dan Padang. #IniDiplomasi #NegaraMelindungi</t>
  </si>
  <si>
    <t>KJRI Johor Bahru pada Jumat (14/2) memulangkan 6 (enam) WNI/PMI dari Rumah Pelindungan (shelter) KJRI Johor Bahru yang telah dibantu penanganan kasusnya, penyelesaian hak haknya dan proses dokumen pemulangannya.</t>
  </si>
  <si>
    <t>Hidup Terkurung Corona, Begini Cerita WNI di Kapal Pesiar Diamond Princess</t>
  </si>
  <si>
    <t>Jd ngawur klo Pasukan ISIS yg yak punya Negara Resmi (yg tak diakui dunia sbg Negara) disebut Tentara Mrk lebih tepat disebut Milisi/Militan/Teroris..bukan Tentara Jd yg blg "ISIS punya Tentara" berarti mengakui ISIS itu negara resmi dan berdaulat yg punya angkatan Perang</t>
  </si>
  <si>
    <t>Pemerintah tidak cabut status hukum kwn indo bagi mereka yg gabung ISIS. Di lain sisi, Pemerintah Indo menolak menerima mereka masuk ke wilayah Indo. Me: 🤔</t>
  </si>
  <si>
    <t>@oooyyuk @muhammad_ridhaa Nah itu lo paham arti dinas ... Nah lo bilang isis itu bukan negara Yang artinya pemerintahannya ga sah secara hukum internasional ... Orang boleh mengklaim punya pemerintahan contoh : sunda empire Makanya pasukan bersenjatanya di sebut teroris</t>
  </si>
  <si>
    <t>@AREAJULID KPAI lgi sibuk ngurusin anak isis</t>
  </si>
  <si>
    <t>Langkah Pemerintah Tolak Pulangkan Eks WNI ISIS Sudah Sesuai Kaidah Ajaran Islam</t>
  </si>
  <si>
    <t>RT @republikaonline: Pemerintah diminta memastikan WNI dari Natuna tiba di rumahnya masing-masing.</t>
  </si>
  <si>
    <t>RT @SondoroMusic: Untuk kita semua WNI yang cinta dan bangga akan NKRI 💪😊❤ #nusantara #irsoekarno #bungkarno</t>
  </si>
  <si>
    <t>@Iqbal__Kholidi karena ada statemen Jokowi soal rencana tetap memulangkan anak-anak ISIS eks WNI yang berusia 10 tahun ke bawah meski ada pendataan &amp; profiling RT @jokowi: Kita memang masih memberi peluang untuk yatim, yatim piatu, yang masih anak-anak di bawah 10 tahun. Tapi kita belum tahu apakah ada atau tidak ada. Semua akan terlihat setelah proses identifikasi dan verifikasi nantinya.</t>
  </si>
  <si>
    <t>@jr_kw19 Kakeyan bacot gak usah dibahas lagi tdk boleh di pulangkan titik Daripada mikir yg cuma segitu dan jelas SDH bukan WNI lagi lbh baik mikir yg jelas WNI nya jelas prestasinya dan jelas kewarga negaranya Buang buang energi saja</t>
  </si>
  <si>
    <t>Valentine bukan budaya kita, budaya kita adalah ngebom!!.. Jadi teroris isis.. Wokwok😄😜</t>
  </si>
  <si>
    <t>Flashback masalah Natuna yg katanya penduduk China mau disantet Ki Joko Bodo dkk, opo yo iki hasile yaaaa? 😅😅😅😅 mosok sak kapal karo sing keno virus, WNI ne teges” wae 🧐🧐🧐🧐 RT @CNNIndonesia: Pemerintah Jepang menyatakan sebanyak 218 penumpang kapal pesiar Diamond Princess terinfeksi virus corona. @Kemlu_RI pun menuturkan bahwa 78 orang WNI yang merupakan kru dari kapal pesiar tersebut dalam kondisi sehat dan negatif virus corona.  #CNNIndonesia</t>
  </si>
  <si>
    <t>@AhlulQohwah Komisi Perlindungan Anak Isis</t>
  </si>
  <si>
    <t>@BPIPRI coba ex ISIS itu dibina lah, diluruskan. berguna lah sedikit BPIP</t>
  </si>
  <si>
    <t>Ini virus rasis banget sama wni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</si>
  <si>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"Enggak ada masalah lah kalau memang dia negatif," kata Yuri.</t>
  </si>
  <si>
    <t>@Dwiyana_DKM Kalian baru bilang menyesal saat ISIS sudah kalah.. Lha dulu saat ISIS masih eksis &amp; gencar melakukan aksinya, kalian ngapain??</t>
  </si>
  <si>
    <t>Sakit tau tak @_wni_ RT @aurelymae: kena tuduh ada boyfriend tapi single ni sakit ya anak anak</t>
  </si>
  <si>
    <t>Menolak Anggota ISIS Bukti Pemerintah Serius Perangi Teroris</t>
  </si>
  <si>
    <t>RT @Puspen_TNI: TNI setia dampingi rakyat "Observasi 238 WNI dari Wuhan di Natuna"😎💂 #TNIPeduli #Wuhan #VIRUS_CORONA #Natuna</t>
  </si>
  <si>
    <t>Saat suasana kebatinan masyarakat waras Indonesia masih terluka dan kecewa dengan wacana pemulangan ex WNI anggota ISIS dan keberadaan Menteri Agama yang tanpa guna, sekarang rakyat dipaksa menerima pembangunan terowongan yang tidak jelas manfaatnya #DoktorHCPuanMaharani</t>
  </si>
  <si>
    <t>78 WNI Kru Princess Diamond Terima Bantuan: Tidak Banyak namun Cukup Menghibur #TauCepatTanpaBatas #BeritaTerkini #International #BeritaInternasional .</t>
  </si>
  <si>
    <t>Ikut perang itu seperti apa, TNi &amp; Polri kt bnyak yg dikirim ke luar tuk misi perdamaian, klo krn suatu hal trjadi baku tembak, hilang dong WNI nya, ex ISIS pa bdanya mngkin da yg kesana krn niat dpt pnghidupan yg layak sperti TKI, &amp;amp; akhirnya terpaksa brperang apa itu salah mreka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</si>
  <si>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RT @PEDOMAN_id: √ Pemerintah Tak Berencana Pulangkan Anggota ISIS Eks WNI @fadjroeL @JubirPresidenRI @PedomanNEWS</t>
  </si>
  <si>
    <t>Kebijakan Pemerintah untuk tidak memulangkan WNI Eks ISIS sudah dikalkulasi secara matang #4niesKibul_CancelFormulaE</t>
  </si>
  <si>
    <t>@AcenkMank Komisi Perlindungan Anak Isis 😄</t>
  </si>
  <si>
    <t>@ariel_heryanto Bagaimana dengan mereka yg menjadi korban bom ini, termasuk yg di Surabaya yg bomnya dilakukan oleh keluarga anggota tentara ISIS yg pulang ke Indonesia. Pernah liat ato baca?!?</t>
  </si>
  <si>
    <t>RT @the_magdalene: Perempuan yang turun langsung dalam aksi terorisme maupun yang berada di belakang mendukung keluarganya sering kali dianggap sama sadis—bahkan ada yang lebih sadis—dan berstatus pelaku, seperti halnya laki-laki.  - Patresia Kirnandita #terkini #ISIS</t>
  </si>
  <si>
    <t>@papaleomilenial @dusrimulya @mohmahfudmd ISIS adlh terorist ..simpati pada ISIS bisa sama simpati pada terorisme ....Hancurkan musuh bersama</t>
  </si>
  <si>
    <t>ISIS Eks WNI RT @CNNIndonesia: Polemik WNI Eks ISIS dan Aturan Kehilangan Kewarganegaraan</t>
  </si>
  <si>
    <t>Sebelum pulang ke daerahnya masing-masing, 238 WNI di Natuna diterbangkan ke Jakarta</t>
  </si>
  <si>
    <t>@ratuayu90448675 @Et4_r305 @GakNyerahBRO__ Kyknya isis ini</t>
  </si>
  <si>
    <t>Sungguh Pilu, Ekhlas Terpaksa Menjadi Budak Seks ISIS</t>
  </si>
  <si>
    <t>@CNNIndonesia Mungkin lebih tepat eks WNI anggota.ISIS</t>
  </si>
  <si>
    <t>@DayatPondok @Usep210 @mohmahfudmd Eh goblokk... Lu pikir pergi ke LN gak butuh biaya banyak.. mana ada orng susah gabung ke isis.. mereka tuh kumpulan orng BODOH, RADIKAL YG MABOK AGAMA.. ORNG BANGSA ARAB AJA OGAH GABUNG KE ISIS, DRI INDONESIA JAUH2 MAU MATI KONYOL.. TOLOL ITU NAMANYA...</t>
  </si>
  <si>
    <t>@jokowi Pak Jokowi kenapa masih membuka celah bagi ISIS? Apakah Bapak pernah juga memikirkan anak2 korban kebrutalan ISIS dan korban teroris di Indonesia?</t>
  </si>
  <si>
    <t>Cuma orang2 NU yg berpendapat bahwa ISIS adalah Islam dengan pemahaman yg menyimpang. Orang2 di luar NU rata2 menolak ISIS disebut Islam. Mereka yg menolak bahwa ISIS itu Islam harus belajar tentang peristiwa berdarah Masjidil Haram 1979. RT @Galihzainur1: Sebelum Nasi Mjd Bubur Dan Semua Tinggal Derita Simak Tragedi Berdarah ini untuk Penghianat NKRI. CC: @fadlizon @KPAI_official @KomnasHAM @hnurwahid @Kemenag_RI @felixsiauw @Fahrihamzah #BasmiRadikalisme Apa Yg Bisa Kita Harapkan Dari Kepulangan #ISIS Selain Kehancuran dan Derita</t>
  </si>
  <si>
    <t>@CNNIndonesia Woiiiii min.. Presiden udah bilang ISIS eks WNI bukan kebalekannya. Admin tolol!!!</t>
  </si>
  <si>
    <t>@detikcom Ngga perlu digubris anak anak isis biarkan aja disyuriah kalo mereka kembali justru membahayakan bagi anak anak kita seumurannya untuk berbait ke isis, isis ingin manfaatkan keluguan anak anak sebagai media tameng hidup buat mereka dalam perekrutan pasukan anak anak</t>
  </si>
  <si>
    <t>@AhlulQohwah Mas.. dsuruh ngaca ajalah org ky gini..!! Simple aja.. Kasih penjelasan org ky gini aja susah,,kaga sadar² sanpe pngen nampol. Aplagi mo nyadarin doktrin teroris mcem isis..!!</t>
  </si>
  <si>
    <t>Apakah "sekelas" @hnurwahid @fadlizon atau @KPAI_official luput membedah hal ini tentang ISIS ex WNI?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</si>
  <si>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@PDI_Perjuangan CNN salah bikin berita bukan WNI ek ISIS tapi anggota ISIS eks WNI</t>
  </si>
  <si>
    <t>Ketua Komisi I DPR RI @meutya_hafid Setuju Opsi Pemulangan Anak-anak dari WNI Terduga Teroris Lintas Batas #kabargolkar #Golkar #partaigolkar #Sayagolkar #golkarupdate #golkarindonesia #golkarsolid</t>
  </si>
  <si>
    <t>RT @ApriliaLin: Mereka WNA DAESH (ISIS) bukan WNI. Bisa dbayangkan andai mereka dipulangkan ke Indonesia karna dasar kemanusian, bisakah pemerintah mengatasinya.? 3 video ini berbicara kepada kita apa yg sebenarnya terjadi. Mereka sudah didoktrin virus khilafah sejak usia dini.</t>
  </si>
  <si>
    <t>RT @dracaries: Asli salut juga sama WNI yg kebal dari virus corona😂👍🏻</t>
  </si>
  <si>
    <t>Asli salut juga sama WNI yg kebal dari virus corona😂👍🏻</t>
  </si>
  <si>
    <t>Waspada jalur tikus anggota ISIS asal Indonesia. Pemerintah sudah lakukan antisipasi terkait masuknya WNI eks ISIS. #TolakWNIEksISIS #LawanTerorisme</t>
  </si>
  <si>
    <t>Ketua MPR Imbau Masyarakat Terima Kepulangan 238 WNI dari Natuna #TauCepatTanpaBatas #BeritaTerkini #Berita #News #BeritaNasional .</t>
  </si>
  <si>
    <t>Pemerintah pastikan menutup seluruh jalur masuk ke Indonesia untuk para WNI eks ISIS termasuk jalan tikus perbatasan. #TolakWNIEksISIS #TolakEksWNIproISIS</t>
  </si>
  <si>
    <t>RT @vivanewscom: Jokowi: 238 WNI Sehat Usai Karantina, Pulang 15-16 Februari 2020  #vivanews</t>
  </si>
  <si>
    <t>Propaganda pembakaran paspor adalah cara licik WNI eks ISIS menyusup kembali ke Indonesia. #TolakWNIEksISIS #NKRIHargaMati</t>
  </si>
  <si>
    <t>ketua komnasham "jangan terlalu takut, kita ini takut berlebihan kepada ex ISIS" Wajar dia bicara seperti itu, toh nanti yg bakal diserang teroris ya minoritas (bom bali, bom gereja misalnya) Jualan agama nambah laris + 660 orang ini bisa jd marketingnya</t>
  </si>
  <si>
    <t>Jokowi: 238 WNI Sehat Usai Karantina, Pulang 15-16 Februari 2020  #vivanews</t>
  </si>
  <si>
    <t>Eks ISIS tidak mengakui kewarganegaraan tidak akan dipulangkan. #tolakpulangkankombatanisis #TolakEksWNIproISIS</t>
  </si>
  <si>
    <t>Tidak ada ruang bagi WNI eks ISIS. Pemerintah sudah antisipasi jalan masuknya WNI anggota ISIS bahkan jalan tikus sekalipun. #TolakEksWNIproISIS #ISISGoToHell</t>
  </si>
  <si>
    <t>@mus_tanjung @BPIPRI Terus aja PKI, isis yang mengatasnamakan agama lebih berbahaya, nyet.</t>
  </si>
  <si>
    <t>@mohmahfudmd Pak KEJAUHAN bahas ISIS, MASIKU ini yg deket gimana pak? bapak kan Menkopolhukam, apa perlu bapak jd Kapolri atau Gantikan pak Jokowi? #beh</t>
  </si>
  <si>
    <t>@CNNIndonesia Komisi Perlindungan Anak Isis, dimana kalian saat ada anak yg kena bully? komisi nggak guna</t>
  </si>
  <si>
    <t>Kapan sih Ngabalin pinter?</t>
  </si>
  <si>
    <t>RT @aw3126: @BNPB_Indonesia @TVRINasional @RRIPrograma3 @RadioElshinta Tujuan pemulangan 238 WNI dari Tiongkok yang sudah menjalani 14 hari masa observasi di Natuna ke daerah masing-masing</t>
  </si>
  <si>
    <t>@wisanggeni_084 kpai pahlawan kesiangan sok2an belain kombatan isis, ada bnyak pekerjaan yg lebih urgen dr sekedar sok pahlawan belain bekas isis,</t>
  </si>
  <si>
    <t>@ariel_heryanto @Ajkwa4 Kita selama ini mengakui ISIS sbg organisasi teroris atau negara? Kalau sbg org teroris ya gunakan UU Terorisme. Apa bukan gitu?</t>
  </si>
  <si>
    <t>@explishut ((sekalian ajalah jadi WNI)) WKWKWKWKKWK HUMORQ ANJLOK BENER iyasi emang daripada bolak balik ngabisin duid kan, sekalian aja tinggal di indo:)</t>
  </si>
  <si>
    <t>@mohmahfudmd Tapi ISIS bukan tentara karna gak ada negara yg mengakui nya,klw teroris atw pemberontak betul tapi apa bedanya dgn separatis yg ada di Indonesia? warga negara mereka tidak gugur sebelum keputusan pengadilan 🙏</t>
  </si>
  <si>
    <t>@dusrimulya Jgn melebar kemana2, dek. Kita bicara ISIS. Kamu betul pengakuan negara lain perlu, utk tujuan hubungan diplomatik. Tapi mereka memproklamirkan sbg negara adalah fakta. Btw, Anda terlalu membela mereka, apa Anda juga spt mereka yg menyebut Allah tapi kelakuannya penyembah iblis?</t>
  </si>
  <si>
    <t>@Negev52031680 @jrenk29 @mouldie_sep Kalau di masa yg sekarang tentu saja banyak yg sudah jelas-jelas contoh kaum-kaum khawarij takfiri dgn ghirah besar namun ilmu stengah-setengah atau bahkan kurang. Contoh yg paling kita kenal adalah fenomena Daesh/ISIS.</t>
  </si>
  <si>
    <t>RT @mulanbilqis: Banyak yang sok2an kasian ke anak ISIS. Apakah tidak ada yang kasian ke anak Suriah yang jadi korban akibat kebiadaban ISIS? Atau memang mereka bagian dari jiwa2 penghancur ini? Miris 😳 #TolakAnakISISKembali</t>
  </si>
  <si>
    <t>WNI yang Diobservasi di Natuna Akan Dilepas Warga  via @apahabar.com</t>
  </si>
  <si>
    <t>Perempuan yang turun langsung dalam aksi terorisme maupun yang berada di belakang mendukung keluarganya sering kali dianggap sama sadis—bahkan ada yang lebih sadis—dan berstatus pelaku, seperti halnya laki-laki.  - Patresia Kirnandita #terkini #ISIS</t>
  </si>
  <si>
    <t>@oooyyuk @muhammad_ridhaa Lo ga baca ada kata dinas di situ ... Artinya resmi, organisasi resmi dan dan akui ... Sekarang Isis itu resmi ga sebagi negara dan pasukan militernya ? Ngak otomatis pasukan tentara dia di sebut pasukan spraratis, Pemberontak &amp; Teroris Semua negara bilang begitu teroris</t>
  </si>
  <si>
    <t>@samhudibae @narkosun Prnh baca di berita penyokong dana isis bs dihukum lho</t>
  </si>
  <si>
    <t>Pemerintah Tidak Mencabut Status WNI Pendukung ISIS</t>
  </si>
  <si>
    <t>@CH_chotimah @karniilyas paling isu pemulangan ISIS lagi..mbulet</t>
  </si>
  <si>
    <t>@fadjroeL @jokowi @Kiyai_MarufAmin @KemensetnegRI @setkabgoid 👍👍👍PEMERINTAH JANGAN BERI KESEMPATAN PD PENGHIANAT ISIS YN NGAKU2 MANTAN WNI giliran keok &amp; kepepet minta balik ke NKRI stop tidak ada maaf bg penhianat !!!</t>
  </si>
  <si>
    <t>RT @KelianBanjar_GK: Masyarakat dan Pemerintah harus waspada ISIS masuk Indonesia dari jalur tak resmi , Apa pemerintah masih ragu ? Indonesia sudah Darurat radikalisme dan Terorisme semua pihak wajib Waspada #TolakAnakISISKembali</t>
  </si>
  <si>
    <t>KPAI kan harusnya ngurus anak-anak Indonesia toh, memangnya mrk msh WNI ? RT @wahhabicc_jabar: GAK USAH banyak CINGCONG pake segala PERLINDUNGAN ANAK bagi anak² ISIS! Kamu keluar rumah pake kendaraan brenti di lampu merah, PLOTOTIN TUH MATA! LIHAT Anak² mau pilih dibawah/diatas umur terserah klean! DIMANA PASAL PERLINDUNGAN ANAK? @KPAI_official</t>
  </si>
  <si>
    <t>Observasi Berakhir, WNI yang di Karantina akan Dipulangkan Sabtu Besok</t>
  </si>
  <si>
    <t>RT @kompasiana: Slogan "Sekali WNI, Selamanya Kita Saudara" Tidak Berlaku bagi WNI Eks ISIS</t>
  </si>
  <si>
    <t>@dusrimulya Sebetulnya males ngurusin ISIS. Guenya juga ga suka juga ISIS. Masih ditambah lagi tuduhan bahwa jadinya gue pro ISIS. benar2 ignorant bhw rezim skrg gampang mencabut status WNI hanya krena kebutuhan</t>
  </si>
  <si>
    <t>Firman Soebagyo: Tolak Simpatisan ISIS Adalah Sikap yang Tepat  lewat @Wartapati</t>
  </si>
  <si>
    <t>Gegara gabut, aku sama @dahinmuanjatun ngobrol dari mulai mau beli donat yg mana (yg akhirnya ga jadi beli) sampai ngobrolin ISIS. Kaya ngerti aja -____-</t>
  </si>
  <si>
    <t>@CNNIndonesia @Kemlu_RI Indonesia juara.... Ya Allah resep sehatnya apa ya WNI bisa lolos gt?</t>
  </si>
  <si>
    <t>Pemerintah Siaga di Perbatasan Cegah Masuknya WNI Eks ISIS -</t>
  </si>
  <si>
    <t>RT @sirajapadoha: @BHD_8 Katanya siZonkok malah mau berangkat ke Suriah kalo pemerintahan pak Jokowi gak mau pulangkan teroris ISIS eks WNI itu,,, kalo benar dia jg ke Suriah gak usah pake pulang lg ke Indonesia tuhhh simonyong biar mulut comberannya gak berisik lg</t>
  </si>
  <si>
    <t>RT @danrem: Mencoba mengerti argumen dr mereka yg ngotot memulangkan anggota ISIS mantan WNI dg alasan anak-anak. Ijin tanya kalau anak-anak itu boleh pulang, ditemani siapa mereka nantinya? Ibu? Ayah? Kakak? Artinya seluruh keluarga boleh pulang, begitu?</t>
  </si>
  <si>
    <t>Ketua Komisi I DPR Meutya Hafid menyetujui opsi pemerintah untuk memulangkan anak-anak dari WNI yang diduga teroris lintas batas.</t>
  </si>
  <si>
    <t>@mohmahfudmd lha klu begitu knp nggak langsung di jawab begitu pak ketika ada yg mewacanakan pemulangan ek isis?knp masih berlanjut argumentasi2 di berbagai media?</t>
  </si>
  <si>
    <t>@ariel_heryanto Keputusan Pemerintah sudah tepat. Pemerintah tidak perlu memikirkan mereka karena mereka bukan lagi WNI, kecuali di kemudian hari ada desakan dari PBB , Suriah atau Irak untuk menangani eks warga negaranya.</t>
  </si>
  <si>
    <t>YLBHI Sebut Langkah Pemerintah Tak Pulangkan Eks ISIS Terburu-buru</t>
  </si>
  <si>
    <t>Pemerintah diminta memastikan WNI dari Natuna tiba di rumahnya masing-masing.</t>
  </si>
  <si>
    <t>@mohmahfudmd Dan menurut dasar pembukaan UUD alenia ke 4 adalah : Negara melindungi segenap bangsa dan tumpah darah Indonesia . Jika negara (pemerintah) tdk hadir mengurus anak-anak WNI yg terlantar disana,, maka jelas Negara (pemerintah) telah gagal menjadi Bapak untuk anak-anaknya !</t>
  </si>
  <si>
    <t>Komisioner Komisi Perlindungan Anak Indonesia (KPAI) Jasra Putra meminta pemerintah memberikan perlindungan khusus terhadap anak-anak yang menjadi korban jaringan teroris #TolakAnakISISKembali</t>
  </si>
  <si>
    <t>@kompasiana Kan bukan lagi WNI</t>
  </si>
  <si>
    <t>@kasehsaulmouk Keputusan Pemerintah sudah tepat. Pemerintah tidak perlu memikirkan mereka karena mereka bukan lagi WNI, kecuali di kemudian hari ada desakan dari PBB , Suriah atau Irak untuk menangani eks warga negaranya.</t>
  </si>
  <si>
    <t>@DrOtoy @NdulitRevi @VIVAcoid Otak lu yg radikal pasti membela wni ex isis</t>
  </si>
  <si>
    <t>@Think2_Smart @geloraco Contohnya gini. Apakah Jokowi itu Rakyat Indonesia? Bukan. Blio penguasa, Presiden NRI. Apa Jokowi Penduduk Papua? Bukan, saat ini blio penduduk Bogor. Apakah Jokowi WNI? Iya, Blio WNI. Pertanyaan2 yang muncul di benak Sampeyan setelah baca cuitan ini, silakan cari jawabannya</t>
  </si>
  <si>
    <t>@GATRA_News Yang seperti ini saja Pemerintah tak punya solusi. Tp mau sok2an ngurusin anak2 ISIS eks WNI.</t>
  </si>
  <si>
    <t>Yang bisa menumbangkan WNI cuman kemiskinan,bentar lagi masyarakat luar negri bakalan dateng ke Indo buat memelajari imune bisa kebal dari virus corona RT @detikcom: Ribuan penumpang kapal pesiar dikarantina gegara virus corona. Bermula seorang kini ratusan orang dari berbagai negara tertular tapi tak ada satu pun WNI.</t>
  </si>
  <si>
    <t>Berkali-kali liat berita tentang virus corona ada wni nya, dan selalu saja wni negatif, ini orang2 indo pada sakti apa gimana wkwk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</si>
  <si>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@WagimanDeep: Nalarnya bijimana cuk?.. Mreka sudah bukan WNI lagi kok diadili di Indonesia... Mreka ntuh bukan eks ISIS krn ISIS kalah mreka pengen balik , mreka eks WNI Jan terlalu menghayati peran cuk, nte pikir korban terorisme ISIS sudah dapet keadilan? #CegahISISmasukNKRI</t>
  </si>
  <si>
    <t>@khoirinaannisa @KBRITokyo #NegaraMelindungi @Tolak_Angin menyehatkan WNI</t>
  </si>
  <si>
    <t>@wahhabicc_jabar @asundamai @KPAI_official Tlg ingetin bang, itu bukan WNI ex ISIS. Tapi ISIS ex WNI. Dan KPAI bukan Komisi Perlindungan Anak Isis. Terima kasih</t>
  </si>
  <si>
    <t>@mohmahfudmd Aku dengar pemerintah berencana pulangkan anak-anak isis yah?</t>
  </si>
  <si>
    <t>Dibaca ya, jgn keburu ngegas Indonesia gabisa detect virus CoV tp emang WNI itu sakti mandraguna. Itu yg ngecek tenaga medis Jepang lho ya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</si>
  <si>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@Bang_Nago: @telormatasapi00 @R_Perkasa @TirtoID Stop bilanh Ex ISIS Mereka jelas afiliasi dgn ISIS kok Ga usaj sok diputihkan seolah mereka victim They deserve to die</t>
  </si>
  <si>
    <t>RT @adhiadzikri: @TirtoID Daripada pemerintah memulangkan eks WNI ISIS tersebut, lalu warga disini banyak yang akhirnya headless? Pilih mana? Mending mereka aja yang stateless, daripada kita yang headless...</t>
  </si>
  <si>
    <t>RT @Daffa40770840: @geloraco bener kata temenku, OPM yg memporak porandakan tanah air yg ingin keluar NKRI dan membunuh aparat keamanan dan warga di pertahankan, lah ada msh berstatus WNI yg ingin kembali ke tanah air di tolak. gitu aja akooh mah...😀😀</t>
  </si>
  <si>
    <t>RT @MohammadSahrul: @dhynug @TirtoID Lembaga2 itu masih bekerja seperti biasa. BPPT masih mengurus derikalisasi. Densus 88 masih memburu teroris. Tapi apakah pernah KomnasHAM bersuara lantang tentang HAM saat banyak korban mati krn aksi teror. Seperti yg mereka lakukan saat ini saat mereka membela WNI ex isis?</t>
  </si>
  <si>
    <t>WNI yang Diobservasi di Natuna Terbanyak dari Jawa Timur #TauCepatTanpaBatas #BeritaTerkini #Berita #News #BeritaNasional .</t>
  </si>
  <si>
    <t>RT @AnggaPPh: Another honest title: Editorial, Kami mendukung kepulangan ISIS ex WNI ke Indonesia Stopla innuendo innuendo kaya begini</t>
  </si>
  <si>
    <t>Keinginan utk lebih alim dan masuk surga itu cem macem. Ada yg masuk ISIS melakukan kebiadaban dan kerusakan dan berharap surga. .. Dan ada juga.... :</t>
  </si>
  <si>
    <t>RT @RizmaWidiono: Antagonis.... Pelanggar HAM dibela oleh penggiat HAM. ISIS merupakan kelompok pelanggar HAM. Mereka pembunuh, pembantai, pemerkosa ngapain dipulangkan.?? Kami mendesak pemerintah Bubarkan Komnas HAM.! Yth @jokowi @mohmahfudmd 🙏🏻 #AwasAntek2ISIS</t>
  </si>
  <si>
    <t>@null WNI yang Diobservasi di Natuna Terbanyak dari Jawa Timur Pemerintah pun berencan</t>
  </si>
  <si>
    <t>RT @Rusli78880205: @zarazettirazr Padahal ini lbh mnakut kan dah jlas2 malah d bri bantuan hukum sgala hadeeh. Klo eks isis bisa d bina ku pikir dan di deradikalisasi.</t>
  </si>
  <si>
    <t>Menkes: WNI yang Diobservasi di Natuna Tiba di Jakarta Besok</t>
  </si>
  <si>
    <t>@BNPB_Indonesia @TVRINasional @RRIPrograma3 @RadioElshinta Tujuan pemulangan 238 WNI dari Tiongkok yang sudah menjalani 14 hari masa observasi di Natuna ke daerah masing-masing</t>
  </si>
  <si>
    <t>Keluarga Bisa Langsung Jemput WNI di Jakarta</t>
  </si>
  <si>
    <t>RT @DenBagus1878: @RadioElshinta Tlg kasih tau jg ke @KPAI_official itu urusin anak² korban perundungan ada yg spe putus jari nya dimalang, dan di purworejo anak perempuan di hajar rame² jgn ngurus yg gak jls anak2 ISIS mrk pergi krn kemauan org tua mrk !!</t>
  </si>
  <si>
    <t>Slogan "Sekali WNI, Selamanya Kita Saudara" Tidak Berlaku bagi WNI Eks ISIS</t>
  </si>
  <si>
    <t>@yoyen Maksudnya ketika disana kita kuliah nih, terus kecentok sama orang asli sana, kemudian menentukam untuk tinggal disana dan hidup bareng pasangan yang disana. Nah sebagai wni yang dapet jodoh disana apakah harus wajib menjadi wn belanda ataukah masih teyap menjadi wni?</t>
  </si>
  <si>
    <t>@tempodotco Ulil mah gtu... cari panggung aj..cuma mengingatkan utk kita.mari sma2 menggunkan istilah ISIS EKS WNI</t>
  </si>
  <si>
    <t>PBNU Dukung Sikap Tegas Pemerintah Tolak Pemulangan Eks WNI ISIS. #4niesKibul_CancelFormulaE</t>
  </si>
  <si>
    <t>@zarazettirazr Mungkin karna dia bukan islam. Padahal kelakuannya lebih berbahaya. Isu ISAS ISIS memang paling cepat belio membuat keputusan. Aarrrggghhh</t>
  </si>
  <si>
    <t>RT @Rita8213: @dusrimulya @BitterBallance @mohmahfudmd Gak heran gw klo debat ma kadrun yg keluar cmn kata2 dungu, wong yg dipuja cmn gerung. 🙋 Cmn begal yg bela begal. 😝 Klo kita sebut mereka pemberontak boleh gak?? Skrng ISIS basis nya dmna?? Irak, suriah kan?? Dan dsna lah mereka bperang N jd pbunuh. Pasport dbkar. Msh WNI jg?</t>
  </si>
  <si>
    <t>RT @bern_stern: @hemaviton99 Anak hasil didikan teroris isis, dipisahkan dr ortu dan dibesarkan tanpa ortu . Bakalan jd apa coba ?</t>
  </si>
  <si>
    <t>KPAI Kadrun Perpindahan Anak ISIS? RT @wahhabicc_jabar: GAK USAH banyak CINGCONG pake segala PERLINDUNGAN ANAK bagi anak² ISIS! Kamu keluar rumah pake kendaraan brenti di lampu merah, PLOTOTIN TUH MATA! LIHAT Anak² mau pilih dibawah/diatas umur terserah klean! DIMANA PASAL PERLINDUNGAN ANAK? @KPAI_official</t>
  </si>
  <si>
    <t>@KBRITokyo Semoga WNI disana tetap sehat ya!! Jangan lupa tolak angin selalu disakuin, omat! #NegaraMelindungi</t>
  </si>
  <si>
    <t>@khoirinaannisa @KBRITokyo @Tolak_Angin selalu menjaga kesehatan WNI #NegaraMelindungi</t>
  </si>
  <si>
    <t>@SofieBorneoNew @ustadtengkuzul @jokowi Ciri khas senjata kadrun. -babi -bacin -pki Yang sudah nyata di proklamirkan di bantah mengusung khilafah=ISIS. Drun drun.</t>
  </si>
  <si>
    <t>@mulanbilqis Manusia memang aneh , udh banyak film ttg kekejaman isis , dan segala perbuatan yg menghina wanita , tp msh banyak yg pingin jd isis , terutama org Indonesia</t>
  </si>
  <si>
    <t>Masih Jadi Polemik, Anak-anak WNI eks ISIS Tetap Wajib Diselamatkan</t>
  </si>
  <si>
    <t>RT @BadjaNuswantara: @vita_AVP Pagi Ni... Bulutangkis disetop. Berkali2 tjd anak korban bullying, KPAI entah dimana. Giliran anak ISIS yg sdh berubah jd monster, pernah perang &amp; membunuh malah dibela. KPAI AMAT BODO Maka pas kalo BODO AMAT DGN KPAI.</t>
  </si>
  <si>
    <t>Observasi Berakhir Sabtu, WNI Langsung Dibawa ke Jakarta</t>
  </si>
  <si>
    <t>@dewakarbinawa Di Indo banyak simpatisannya, spt PKS, FPI dan HTI. Bahkan menag nya aja pro Isis. Negri kadrun</t>
  </si>
  <si>
    <t>@nahdlatululama @Helmy_Faishal_Z @hariankompas Kalo untuk eks ISIS gak berlaku ya mas??</t>
  </si>
  <si>
    <t>@wahhabicc_jabar @KPAI_official Istilah yg dipakai oleh @jokowi adalah ISIS ex WNI pak @KPAI_official , saya kira itu yg betul.</t>
  </si>
  <si>
    <t>analoginya salah, ini ibarat warga negara Indonesia eh malah keluyuran keluar masuk ISIS RT @hitmansystem: laki punya pacar masih deketin cewek itu analoginya kaya sudah punya kerjaan tetap tapi masih cari freelance buat nambah pemasukan. menurut kami sih wajar aja. btw, yakin lakinya yang masih berharap bukan kamunya yg baper?</t>
  </si>
  <si>
    <t>RT @aw3126: @BNPB_Indonesia @TVRINasional @RRIPrograma3 @RadioElshinta Kemendagri mengkoordinasikan kepulangan 238 WNI yang sudah selesai menjalani masa 14 observasi #COVID19 di Pulanu Natuna ke Pemerintah Daerah masing-masing.</t>
  </si>
  <si>
    <t>RT @aw3126: @BNPB_Indonesia @TVRINasional @RRIPrograma3 @RadioElshinta Kemenkes memberitahu ke Pemerintah Daerah tentang kepulangan WNI dari Tiongkok yang sudah selesai menjalani 14 hari masa observasi #COVID19 dan juga memberikan Surat Keterangan Sehat kepada peserta observasi.</t>
  </si>
  <si>
    <t>Perintah Presiden @jokowi Kalau pemerintah tak kan memulangkan anggota ISIS yang berasal dari Indonesia</t>
  </si>
  <si>
    <t>ISIS Biadab</t>
  </si>
  <si>
    <t>RT @jumianto_RK: Kasus anak sekolah di Bekasi.. Kasus anak sekolah di Purworejo.. Luput dari perhatian @KPAI_official Malah anak ISIS Eks WNI diperhatikan oleh KPAI KPAI ngurus yg ada duit nya.. #TolakAnakISISKembali</t>
  </si>
  <si>
    <t>aku nyaris berpikir gini until mendengar argument dari komnas ham. Mereka nge highlight kalo urusan isis ini ga cuma sekedar orang2 isis dan indo, tapi dengan negara2 lainnya juga. Like it or not we are all connected to each other and do as we pleased RT @AhlulQohwah: Di Malang anak dibully sampai patah tangan anteng, di Purworejo anak perempuan dianiaya anteng. Giliran anak ISIS suaranya kenceng.</t>
  </si>
  <si>
    <t>RT @Sarip_oyong: @dusrimulya Tapi pada kasus Israel pada poin 4 mereka ada pengakuan dari negara2 barat , terutama Eropa, sedangkan pada poin 3 mereka sama dengan ISIS, mencaplok tanah Palestina, mohon pencerahannya tentang hal ini, salam hormat..</t>
  </si>
  <si>
    <t>YLBHI Minta Pemerintah Mendata Anak-Anak WNI eks ISIS</t>
  </si>
  <si>
    <t>Memang bodoh.</t>
  </si>
  <si>
    <t>RT @shinichikudo991: Pak Desmond bagaimana dengan yg terjadi di Gereja Surabaya jika korban adalah keluarga bapak? #TolakAnakISISKembali</t>
  </si>
  <si>
    <t>@MikirSok @budimandjatmiko Lo emangnya support ISIS?</t>
  </si>
  <si>
    <t>Kasus anak sekolah di Bekasi.. Kasus anak sekolah di Purworejo.. Luput dari perhatian @KPAI_official Malah anak ISIS Eks WNI diperhatikan oleh KPAI KPAI ngurus yg ada duit nya.. #TolakAnakISISKembali RT @CNNIndonesia: KPAI: Pemerintah Wajib Lindungi Anak WNI Eks ISIS</t>
  </si>
  <si>
    <t>@AtikaFaya Negara tdk boleh kalah dgn org-org yg selalu membunuh sesamanya bila tdk sefaham dgn ex ISIS.kalau yg mendukung utk pulangkna isis hanya kelompok yg ingin NKRI hancur.</t>
  </si>
  <si>
    <t>@jr_kw19 Mungkin pak Fadlin mau supaya ada kerja makanya dia mau mulangin tuh eks kombatan isis, selama ini kan dia gk ada kerjaan #TolakAnakISISKembali #TolakAnakISISKembali #TindakTegasIntoleran</t>
  </si>
  <si>
    <t>#NewslineUpdate Pesawat yang mengevakuasi 238 WNI dari Hubei, Tingkok menjalani proses disinfeksi sesaat telah mendarat. Hari ini Batam Aero Tech mensosialisasikan rangkaian proses diinfeksi yang dilakukan</t>
  </si>
  <si>
    <t>Bamsoet Minta Pemerintah Persiapkan Kepulangan WNI Usai Diobservasi dengan Baik</t>
  </si>
  <si>
    <t>RT @guztiekaputra: Kalo baca berita gini, tiba-tiba bangga jadi WNI</t>
  </si>
  <si>
    <t>@GundiDr Mungkin berguna jika BPIP ditugasi menangani ex ISIS, Koruptor2 dari PDIP dan partai lainnya.</t>
  </si>
  <si>
    <t>Tidak ada tempat bagi ISIS, tolak ISIS #tolakisis</t>
  </si>
  <si>
    <t>Antisipasi Kepulangan WNI eks ISIS, Perketat Jalur Tikus dan Bebas Visa</t>
  </si>
  <si>
    <t>Tolak Isis, tolak pembohong yang meresahkan warga jakarta!!! #4niesKibul_CancelFormulaE</t>
  </si>
  <si>
    <t>negaradarurat isis. dari isu ini banyak kementrian lembaga mulai muncul dan terlihat jelas mendukung radikal isis alih alih fokus ngurus isu maraknya anak2 dalam negri di bully dan sekte radikal mendokrin anak2..@KPAI_official malah ngurusin anak isis negara antah berantah RT @AhlulQohwah: Di Malang anak dibully sampai patah tangan anteng, di Purworejo anak perempuan dianiaya anteng. Giliran anak ISIS suaranya kenceng.</t>
  </si>
  <si>
    <t>@mulanbilqis @Partijon_GL Hati" simpatisan ISIS</t>
  </si>
  <si>
    <t>@AhlulQohwah Argumennya sekenanya aj. Yg penting mrk pengin eks ISIS pulang</t>
  </si>
  <si>
    <t>@BNPB_Indonesia @TVRINasional @RRIPrograma3 @RadioElshinta Kemendagri mengkoordinasikan kepulangan 238 WNI yang sudah selesai menjalani masa 14 observasi #COVID19 di Pulanu Natuna ke Pemerintah Daerah masing-masing.</t>
  </si>
  <si>
    <t>Seluruh WNI dari Wuhan yang dikarantina di Natuna akan dibawa ke Jakarta Sabtu besok  #VirusCorona</t>
  </si>
  <si>
    <t>HYOYEON JADI WNI AJA LAH KUY RT @HYupdates: Hyoyeon TikTok Video with Boy William &amp; Bung Korea Surpass 3 Million views 😂👍  #Hyoyeon @Hyoyeon_djhyo</t>
  </si>
  <si>
    <t>siapa yang unggul ⁉️ Debat Dr. Ngabalin vs Prof. Gayus Terkait Pemulangan WNI Eks ISIS | AKIM tvOne (13/2/2020) - YouTube @MIUI|</t>
  </si>
  <si>
    <t>@BNPB_Indonesia @TVRINasional @RRIPrograma3 @RadioElshinta Kemenkes memberitahu ke Pemerintah Daerah tentang kepulangan WNI dari Tiongkok yang sudah selesai menjalani 14 hari masa observasi #COVID19 dan juga memberikan Surat Keterangan Sehat kepada peserta observasi.</t>
  </si>
  <si>
    <t>@dennesbong @rudytjandra @BebasVisaID Nanti kalau Korea udah ngaku sahabatnya Indonesia baru WNI dikasih visa Waiver kayak jepang @sandmanindo @chuentoi @MikeyAM97 @yovie_myg @addamfarizi @IvanRT05</t>
  </si>
  <si>
    <t>RT @Namaku_Mei: Gak usah koar² membina eks ISIS @BNPTRI presiden @jokowi @Kemenag_RI @Itjen_Kemdikbud @kemendagri @mohmahfudmd #TolakAnakISISKembali #TolakEksWNIproISIS #HappyValentinesDay</t>
  </si>
  <si>
    <t>RT @dusrimulya: @oooyyuk @muhammad_ridhaa @mohmahfudmd ISIS negara? Yg punya tentara cuma Negara, bukan Organisasi atau kelompok Cebong gak ngerti2..pantas kalian pilih jae</t>
  </si>
  <si>
    <t>@GazeboBlack @AriestaRiico Seimin....😂😂😂</t>
  </si>
  <si>
    <t>RT @AriestaRiico: Nasehat utk #4niesKibul_CancelFormulaE</t>
  </si>
  <si>
    <t>Satu Orang Asal Sumbar, 238 WNI yang Diobservasi di Natuna Dipulangkan Besok  #</t>
  </si>
  <si>
    <t>#NewslineUpdate Presiden RI, Joko Widodo menghimbau masyarakat tidak perlu resah menerima kepulangan 238 WNI dari lokasi terdampak virus Corona di provinsi Hubei dan Wuhan, seluruh WNI dipastikan dlm kondisi sehat</t>
  </si>
  <si>
    <t>@dennesbong @mega_ern @BebasVisaID @kemenhub151 @IndonesiaGaruda Lah emang ga tau kalo Garuda di buat untuk bawa WNA ke Indonesia bukan WNI yang keluar negeri, makanya Rutenya Garuda banyak ke rute yang visanya repot buat WNI @sandmanindo @chuentoi @MikeyAM97 @addamfarizi</t>
  </si>
  <si>
    <t>@dusrimulya @muhammad_ridhaa @mohmahfudmd Belajar dulu arti kata milisi dan dinas tentara, milisi itu pasukan liar tanpa adanya struktur, tentara di ISIS jelas punya struktur kepangkatan, dll.</t>
  </si>
  <si>
    <t>RT @sudjiwotedjo: Apa yg mustahil di negeri ini? Harun Masiku yg mustahil lenyap aja akhirnya tidak mustahil lenyap. Lalu sekarang dikembangkan wacana mustahil mengadili eks WNI kombatan ISIS? Nggak ada yg mustahil kok</t>
  </si>
  <si>
    <t>RT @sudjiwotedjo: Oleh gerombolan akun2 tertentu dgn 1-2 programmer, Sampeyan akan dituduh sbg pembela ISIS, Prof. Mereka selalu (pura2) gagal paham, bahwa membenarkan ISIS yg bilang bhw 2+2= 4 , dan membela ISIS itu dua hal ya JAUH BERBEDA. Lalu akan pakai serangan pribadi plus kata2 “Goblok!”</t>
  </si>
  <si>
    <t>@RiyahAdzs @edwards_bee @mohmahfudmd Mahfud..krn dia anggap pasukan ISIS sbg "Tentara"</t>
  </si>
  <si>
    <t>@ansamomo Nah ini, padahal data WNI bisa-bisanya dibagi-bagi sama korporasi tapi Kemdagri tidak mau bagi data sama Polri.</t>
  </si>
  <si>
    <t>@AhlulQohwah @wahhabicc_jabar Anak ISIS itu anak orang kaya, masih banyak anak orang susah untuk makan aja musti nyari duit dulu. Itu juga makannya sekali beruntung bisa sekolah juga. Mereka ada disana karena orang kaya karena bisa keluar negeri dan punya paspor.</t>
  </si>
  <si>
    <t>@tnurcahyo Sebenernya ndak masalah Pemerintah ndak pulangkan eks ISIS demi alasan keamanan..negara punya hak mencekal masuk org yg dianggap berbahaya (dgn bukti2) Tp cebong keterlaluan klo minta status WNI mrk dicabut..melangar HAM itu, "Stateless" itu melanggar Konvensi2 Internasional</t>
  </si>
  <si>
    <t>@aewin86 Ustad dengkul anteknya orba Anies ngibul memang Biangnya</t>
  </si>
  <si>
    <t>6 WNI Asal Jabar Bakal Pulang Usai Karantina di Natuna, Ini Daerah Asalnya #TauCepatTanpaBatas #BeritaTerkini .</t>
  </si>
  <si>
    <t>Gak usah koar² membina eks ISIS @BNPTRI presiden @jokowi @Kemenag_RI @Itjen_Kemdikbud @kemendagri @mohmahfudmd #TolakAnakISISKembali #TolakEksWNIproISIS #HappyValentinesDay</t>
  </si>
  <si>
    <t>pdhl udh negatif thinking sm pemerintah yg gamampu iden virus corona karena blm ada WNI yg positif, tp setelah liat berita WNI yg di kapal negatif semua (yg periksa pemerintah jepang) jd makin percaya kalo org indonesia emg udh adaptasi sm makanan2 yg kurang higienis...</t>
  </si>
  <si>
    <t>Menkes Pastikan, Observasi WNI di Natuna Negatif Corona</t>
  </si>
  <si>
    <t>@AndromedaMcfc @ustadtengkuzul Pki udah ga ada skrg. Hanya karangan ustad hati iblis yg junjungannya chat mesum lari ke Arab sono. Tapi ISIS ada. Lu juga ya??</t>
  </si>
  <si>
    <t>wni sakti 🔥🔥🔥 RT @CNNIndonesia: Pemerintah Jepang menyatakan sebanyak 218 penumpang kapal pesiar Diamond Princess terinfeksi virus corona. @Kemlu_RI pun menuturkan bahwa 78 orang WNI yang merupakan kru dari kapal pesiar tersebut dalam kondisi sehat dan negatif virus corona.  #CNNIndonesia</t>
  </si>
  <si>
    <t>Dua Hal Mengapa Kombatan ISIS Harus Ditolak</t>
  </si>
  <si>
    <t>Besok Semua WNI Di Natuna Akan Kembali Ke Rumah Masing – Masing</t>
  </si>
  <si>
    <t>Urus anak2 di indo yg lain kan banyak. Napa jauh2 amat mikirin WNI eks isis pulaa awhhh RT @AhlulQohwah: Di Malang anak dibully sampai patah tangan anteng, di Purworejo anak perempuan dianiaya anteng. Giliran anak ISIS suaranya kenceng.</t>
  </si>
  <si>
    <t>@wahhabicc_jabar @anthohar @syiahgl @BakarSmith Terus yg biayai yg ISIS sapa dong? Wah masih kuat penyandang dananya berarti</t>
  </si>
  <si>
    <t>RT @FarzanaFauzii: PBNU Dukung Sikap Tegas Pemerintah Tolak Pemulangan Eks WNI ISIS. #4niesKibul_CancelFormulaE</t>
  </si>
  <si>
    <t>#NewslineUpdate Ratusan WNI yang telah selesai menjalani masa observasi di Natuna kep.Riau akan segera dipulangkan. Seluruh WNI akan langsung diserahkan ke pihak keluarga dan akan dipulangkan ke daerah masing-masing</t>
  </si>
  <si>
    <t>RT @muhammad_ridhaa: Ngelesnya lebih keras dari Bajaj. Bah! 🤦‍♂️ Karena konteksnya adalah WNI yang tadi disebut bakar paspor lantas asumsinya hilang kewarganegaraannya, maka harus balik ke peraturan perundangan. Dicabutnya kewarganegaraan, dalam konteks ISIS, maka ISIS harus dianggap sebagai negara.</t>
  </si>
  <si>
    <t>RT @telormatasapi00: @arisaijaz @dusrimulya @mohmahfudmd isis itu tentara asing? rujukanya apa? isis itu tidak lain sebatas geng yg lg kopdar. lucu memakai uu 12/2006 utk menghapus kewarganegaraan seseorang, sementara unsurnya tdk ada yg terpenuhi. RIP HUKUM INDONESIA</t>
  </si>
  <si>
    <t>RT @dusrimulya: @arisaijaz @mohmahfudmd Tentara itu merujuk pd Pasukan Resmi suatu negara.. Apa ISIS negara resmi? Negara mana yg akui ISIS sbg negara?</t>
  </si>
  <si>
    <t>@thesandblazt @ellrusdiana Semoga</t>
  </si>
  <si>
    <t>Presiden Jokowi Tegaskan WNI Yang Selesai Jalani Karantina Di Natuna Tidak Ada Masalah #magelang #klikRMOL</t>
  </si>
  <si>
    <t>RT @thesandblazt: Krn lg Valentine Day, ini ada pulsa @ 25k utk 8 orang. Cukup RT!! Bsk siang gw umumkan. 🥰</t>
  </si>
  <si>
    <t>RT @samhudibae: Seorang Anggota ISIS Tega Eksekusi Mati Ibu Kandungnya Serambi Indonesia.  Bedebah..! Tak berperikemanusiaan.. #AwasAntek2ISIS</t>
  </si>
  <si>
    <t>@GiaPratamaMD Kok bisa y dok?? Jepang bilang 218 penumpang terinfeksi tp kata kemlu kru WNI negatif.. Tp jika benar negatif, kenapa msh di isolasi di dlm kapal y dok??</t>
  </si>
  <si>
    <t>RT @Sentjoko: @WahabisLokal @TweetSyarif Barangkali anak ISIS itu seorang Hafiz yang lebih senang kehilangan Ibu?</t>
  </si>
  <si>
    <t>@oooyyuk @muhammad_ridhaa @mohmahfudmd Nah..klo tak ada Pengakuan dr negara lain..maka ia bukan negara.. Bila bukan negara, maka tak punya hak memiliki Militer/Tentara sebagaimana Konvensi Jenewa..hanya disebut sebatas Milisi ISIS itu mirip Houthi..apa Houthi punya tentara? Tidak..mrk disebut Milisi</t>
  </si>
  <si>
    <t>RT @tempodotco: Masa observasi 237 warga negara Indonesia (WNI) plus 1 WNA yang sempat terjebak di Wuhan akan selesai dan siap dipulangkan.</t>
  </si>
  <si>
    <t>@KompasTV Semoga isis eks wni segera dieksekusi mampus oleh Pem.Suriah.</t>
  </si>
  <si>
    <t>Dinkes siap memantau kesehatan warga dari Natuna</t>
  </si>
  <si>
    <t>#NewslineUpdate 1 hari jelang kepulangan WNI di Natuna beragam aktivitas dilakukan oleh peserta observasi</t>
  </si>
  <si>
    <t>@detikcom Sebentar lagi, WNI pertama yang tertular corona akan masuk hitam putih.</t>
  </si>
  <si>
    <t>@hemaviton99 Anak hasil didikan teroris isis, dipisahkan dr ortu dan dibesarkan tanpa ortu . Bakalan jd apa coba ?</t>
  </si>
  <si>
    <t>@muhammad_ridhaa ISIS jelas bukan negara, makanya tdk terkategori "negara asing". Tapi ISIS punya tentara, makanya terkategori "dinas tentara asing", ISIS jg pemberontak di Irak dan Suriah makanya disebut "bagian dari negara asing". Bagian mana yg gak jelas bruh?</t>
  </si>
  <si>
    <t>RT @73hermantjoe: Kpd pak @jokowi - Bapak hrs buat SURAT TEGURAN KERAS pejabat negara yg bicaranya . Note : @Kemenkumham_RI (ttg Hasyimi) @Kemenag_RI ( ISIS ) dan @BPIP_RI ( agama &amp; Pancasila ), ingatkan KABINET tuk CETAK PRESTASI, BUKAN CETAK NARASI. BANYAK KERJA, BUKAN BANYAK BICARA. 🙏🙏🙏</t>
  </si>
  <si>
    <t>@mohmahfudmd ISIS itu penghianat jadi di larang keras masuk Indonesia titik</t>
  </si>
  <si>
    <t>@zarazettirazr Ijinkan saya mikir..... kalo begitu, secara tidak langsung pemerintahan jokowi mengakui ada nya negara ISIS gitu ya?</t>
  </si>
  <si>
    <t>Terjawab rahasia kekebalan antibodi WNI terhadap virus..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</si>
  <si>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@oooyyuk @muhammad_ridhaa @mohmahfudmd ISIS negara? Yg punya tentara cuma Negara, bukan Organisasi atau kelompok Cebong gak ngerti2..pantas kalian pilih jae</t>
  </si>
  <si>
    <t>RT @AwlSyah: @RinjaniJB @jr_kw19 Menolak lupa Mantan Pimpinan DPR" yg mendonasikan dana 20.000 USD (setara Rp. 270 juta) utk mendukung Pergerakan di Suriah via HASI (Hilal Ahmar Society Indonesia) utk menyalurkan Dana ke IHH. LSM terbesar, pendukung Mujahid &amp; ISIS di Suriah,</t>
  </si>
  <si>
    <t>Anak-anak ISIS Akan Dipulangkan, Begini Respons Ketua MPR #ISIS #JumatBerkah #RepublikMerdeka</t>
  </si>
  <si>
    <t>@ariel_heryanto Prof. Kalau status mereka masih WNI saya bisa mengerti. Mereka kan bukan WNI lagi, biarkan Syria yang adili mereka.</t>
  </si>
  <si>
    <t>Masa observasi 237 warga negara Indonesia (WNI) plus 1 WNA yang sempat terjebak di Wuhan akan selesai dan siap dipulangkan.</t>
  </si>
  <si>
    <t>@wahhabicc_jabar @PLullua @KPAI_official Mungkin ini komisi yg selalu mencari Uang KOMISI</t>
  </si>
  <si>
    <t>RT @Bimabani13: @dusrimulya @mohmahfudmd Mungkin hanya pak mahfud yang mengakui ISIS sbg negara</t>
  </si>
  <si>
    <t>Biadabnya ISIS !! | ISIS bukan Islam | ISIS Khawarij #ISISGoToHell #valentinebukanbudayakita #ValentinesDay2020 #TolakValentineDay #JumatBerkah @TheArieAir @RizmaWidiono @yusuf_dumdum @CH_chotimah</t>
  </si>
  <si>
    <t>@wahhabicc_jabar @KPAI_official KPAI ada anggaran toh.... pelihara dan lindungi sj itu anak2 eks WNI anggota ISIS yg kalah perang... habiskan anggaran mu utk urus mereka pergi k Suriah sana jemput dan pelihara d Indonesia kl krg dana minta donasi dr yg dukung...kita ikhlaskan anda KPAI kesana..</t>
  </si>
  <si>
    <t>Kpd pak @jokowi - Bapak hrs buat SURAT TEGURAN KERAS pejabat negara yg bicaranya . Note : @Kemenkumham_RI (ttg Hasyimi) @Kemenag_RI ( ISIS ) dan @BPIP_RI ( agama &amp; Pancasila ), ingatkan KABINET tuk CETAK PRESTASI, BUKAN CETAK NARASI. BANYAK KERJA, BUKAN BANYAK BICARA. 🙏🙏🙏</t>
  </si>
  <si>
    <t>Tulisan Menohok Dina Sulaeman: Kasihan Anak-anak ISIS? Pemerintah tak perlu tergesa-gesa menerima kembali warga negara Indonesia di Timur Tengah, termasuk anak-anak mereka,yg menjadi simpatisan Negara Islam di Irak dan Suriah (ISIS) #TolakAnakISISKembali</t>
  </si>
  <si>
    <t>Sebut WNI Non Muslim Bisa Jadi Presiden, Jokowi: Kalau Rakyat Menghendaki  #DariSuara</t>
  </si>
  <si>
    <t>RT @DZ_1_KRI: @BadjaNuswantara Lho pada sadar gak kehadiran kalian (kejahatan, kebiadaban kalian, bantuan kalian pada ISIS) disana tak pernah membuat warga asli negara itu TENANG, TIDUR NYENYAK, KETAKUTAN TIAP DETIK, SETELAH KALAH KALIAN INGIN PULANG HIDUP NORMAL? #SetanKalian #LaknatullahKalian #KalianBangsat</t>
  </si>
  <si>
    <t>RT @wahhabicc_jabar: ANEH TAPI NYATA DI NEGERI INI Buta pada anak² negeri yg di dalam negeri. Melotot pada anak² ISIS. #TolakAnakISISKembali</t>
  </si>
  <si>
    <t>RT @iir_maulana85: @DPP_PKB @Ach_Falut @cakimiNOW @EmHasanuddin @na_dirs @Kiyai_MarufAmin @ulil jika dipulangkan, adakah jaminan bahwa mereka akan berubah menjadi baik? mungkin ini yg terbesit di hati jutaan warga yang menolak kelupangan eks ISIS yang terkenal kejam. #IndonesiaDamaiTanpaISIS</t>
  </si>
  <si>
    <t>Sebaiknya kita gak usah berdebat kusir lagi prof @mohmahfudmd utk masalah para "Anggota ISIS yg mantan WNI" sayang energi terbuang utk hal yg gak penting. Sebaiknya pemerintah lebih memikirkan 260 juta orang yg sah &amp; bangga menjadi WNI. #TolakEksWNIproISIS #TolakAnakISISKembali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</si>
  <si>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Tulisan Menohok Dina Sulaeman: Kasihan Anak-anak ISIS? Pemerintah mesti selektif dalam memutuskan siapa saja yang boleh kembali, sembari menyiapkan program deradikalisasi khusus. #TolakAnakISISKembali</t>
  </si>
  <si>
    <t>@UAlla02 HT memang sudah bubar, ISIS sudah kalah. Apakah berarti para penganut ideologinya juga sudah berhenti menganut paham yg mereka yakini?</t>
  </si>
  <si>
    <t>Masa observasi 14 hari #CoronavirusOutbreak #COVID19 thd 238 WNI dari Tiongkok di Pulau Natuna akan selesai Sabtu (15/2) pukul 12.00 WIB @BNPB_Indonesia @TVRINasional @RRIPrograma3 @RadioElshinta</t>
  </si>
  <si>
    <t>ISIS Ada budgetnya yg ono gak Ada budgetnya 😃 RT @hamaro_id: @WR_4AG226 @KPAI_official anak-anak Indonesia yang dibully dan diperlakukan sperti dlm Video☝️☝️☝️tidak kamu urus, koq kalian ribut urusin anak²nya Terrorist ISIS...!!!, sebenarnya ada apa kalian Terrorist ISIS....??? koq sangat peduli</t>
  </si>
  <si>
    <t>Kemenkes memprediksi 238 WNI dari Natuna akan tiba di Bandara Halim Perdanakusuma besok sore &amp; langsung melanjutkan perjalanan masing-masing ke daerahnya.Namun Kemenkes tetap melakukan pengecekan terakhir pada Sabtu pagi sebelum berangkat pulang ke Jakarta.#MostUpdate1058</t>
  </si>
  <si>
    <t>@megawidyarta @rachmasahabilla Mana ada, Putri Indonesia kamu ituuu, wni kan? 😂 Puteri dari Indonesia lo cece ituuu</t>
  </si>
  <si>
    <t>RT @tempodotco: Kepala Kantor Staf Presiden Moeldoko mengatakan, status kewarganegaraan eks anggota kelompok militan ISIS dianggap sudah tak memiliki kewarganegaraan Indonesia.</t>
  </si>
  <si>
    <t>@republikaonline Ya bener...Krn iSIS itu baik anak2 maupun dewasa sudah didoktrin untuk jihat...kalau tidak sejalan dengan iSIS mereka anggap itu adalah musuh...walaupun itu keluarga mereka sendiri</t>
  </si>
  <si>
    <t>Ternyata segoblok ini, dia pikir isis klub futsal, jd gak tau tujuan isis itu apa, sampai mendidik anak2 utk bertempur. Memang pemain futsal diajarin bagaimana menembak dan bubuh orang?? Tdr loe miring braaa,,,,otak loe konslet.... RT @Dedien5: @ArielFatR @ustadtengkuzul ISIS tidak ada kekuatan merongrong negara berbeda dengan KORUPTOR dan bandar narkoba yang jelas merongrong dan merugikan negara.</t>
  </si>
  <si>
    <t>@christheo_owl @SiTititBesarr eks isis adalah penghianat bangsa... tiada ampun</t>
  </si>
  <si>
    <t>RT @FunJunkies: Antibodi WNI kuat lah. Antibodi Virgo. Kebanyakan makanan jajanan di vinggir got 😂😂😂</t>
  </si>
  <si>
    <t>RT @dhannywij: @CNNIndonesia @Kemlu_RI Apakah 78 orang WNI tersebut ditemukan dalam kondisi habis dikerok dan disuguhi teh hangat dan tolak angin?</t>
  </si>
  <si>
    <t>WNI ini pada sakti amat yak._. RT @CNNIndonesia: Pemerintah Jepang menyatakan sebanyak 218 penumpang kapal pesiar Diamond Princess terinfeksi virus corona. @Kemlu_RI pun menuturkan bahwa 78 orang WNI yang merupakan kru dari kapal pesiar tersebut dalam kondisi sehat dan negatif virus corona.  #CNNIndonesia</t>
  </si>
  <si>
    <t>Kasih tolak angin biar WNI di kapal Diamond Princess gak masuk angin #NegaraMelindungi</t>
  </si>
  <si>
    <t>78 WNI Kru Kapal Pesiar Diamond Princess Negatif Virus Corona</t>
  </si>
  <si>
    <t>Watch "Debat Dr. Ngabalin vs Prof. Gayus Terkait Pemulangan WNI Eks ISIS | AKIM tvOne (13/2/2020)" on YouTube</t>
  </si>
  <si>
    <t>RT @DreamersRadioID: Sah Seperti Omongan Netizen, Jokowi Sebut Pemerintah Tak Niat Pulangkan ISIS Eks WNI!</t>
  </si>
  <si>
    <t>@enricofernandos @CNNIndonesia Masa negara dengan dasar Pancasila kalah kemanusiaannya dibandingkan negara komunis? Kemana sila kedua? Alasan Kemanusiaan, Pemerintah Rusia Hanya Pulangkan Anak-anak Eks ISIS</t>
  </si>
  <si>
    <t>@bohemeschatz Tapi WNI yang terinfeksi di singapura itu orang jowo kak.</t>
  </si>
  <si>
    <t>@zoelfick Padahal ISIS itu bkn hny eklsploitasi anak, tp penyesatan ahlak.</t>
  </si>
  <si>
    <t>Kelompok ISIS eks WNI, anak2 ISIS eks WNI. Jangan dibalik2..</t>
  </si>
  <si>
    <t>@jr_kw19 Ada keluarganya x yg masuk isis makanya dia ngotot</t>
  </si>
  <si>
    <t>Keputusan Pemerintah sudah tepat. Pemerintah tidak perlu memikirkan mereka karena mereka bukan lagi WNI, kecuali di kemudian hari ada desakan dari PBB , Suriah atau Irak untuk menangani eks warga negaranya.  RT @ariel_heryanto: Di dunia ini ada orang baik dan pejahat. Ada yang di dalam dan luar pemerintahan. Jika ini negara hukum, sebelum ada vonis berat pada warga, seharusnya ada proses penyidikan &amp; pengadilan yang adil, terbuka dan sah. Bukan sekedar mengikuti tekanan massa.</t>
  </si>
  <si>
    <t>@Think2_Smart @geloraco Ada hukum yang mengatur soal hak2, ada istilah WN vs WN Asing. Jadi tolong jangan ikut2 Sekjen Sunda Empire. Yang selevel itu banyak, maka tak sedikit yang mebolak WNI eks ISIS kembali. Ada Pancasila yang kedudukannya, dibenturkan dengan agama. Negara disamakan dengan manusia.</t>
  </si>
  <si>
    <t>Yang mau lihat wajah-wajah krisis kemanusian setelah runtuhnya kekhalifahan ISIS. Klik link dibawah..  #MataMataPolitik</t>
  </si>
  <si>
    <t>RT @idnjaya89: Radar Bogor : NASIB 78 WNI DI KAPAL PESIAR MEWAH DIAMOND PRINCESS YANG DISERANG VIRUS CORONA &lt;</t>
  </si>
  <si>
    <t>RT @P3nj3l4j4h_id: Masih percaya dengan anak yang nangis nangis pengen jadi dokter?? Bacotlah.!!! #TolakAnakISISKembali</t>
  </si>
  <si>
    <t>RT @tempodotco: Sebanyak 78 WNI yang bekerja sebagai awak kapal di Kapal Pesiar Diamon Princess dalam kondisi sehat dan tidak ada satu pun yang terjangkit virus corona.</t>
  </si>
  <si>
    <t>RT @LamanKita_: Pemerintah Tolak Anggota ISIS Demi Keselamatan Rakyat Indonesia #TolakISISdemiRakyat</t>
  </si>
  <si>
    <t>RT @tribun_palu: 218 Orang di Kapal Pesiar di Jepang Terinfeksi Virus Corona, 78 WNI Dilaporkan Sehat  via @tribun_palu</t>
  </si>
  <si>
    <t>RT @LamanKita_: Mantan ISIS Komentari Keputusan Pemerintah Tak Pulangkan WNI Eks Kombatan di Suriah #TolakISISdemiRakyat</t>
  </si>
  <si>
    <t>@CNNIndonesia @Kemlu_RI semoga baik2 saja semua WNI nya</t>
  </si>
  <si>
    <t>@CNNIndonesia @Kemlu_RI Alhamdulillah indonesia tetap kuat yah wni tetap sehat.</t>
  </si>
  <si>
    <t>BNPT Harus Bisa Pastikan Anak ISIS Setia NKRI #TolakEksWNIproISIS #ISIS #RepublikMerdeka</t>
  </si>
  <si>
    <t>Enam WNI Asal Jabar Dipulangkan Besok Setelah 14 Hari Karantina</t>
  </si>
  <si>
    <t>RT @LamanKita_: Observasi WNI dari Wuhan Dipastikan Lancar, Masyarakat Tidak Perlu Khawatir Lagi #WNIdiNatunaSehat</t>
  </si>
  <si>
    <t>RT @diajengmarta: Masih ngebalesin komen bule bule sotoy soal indonesian yg ga punya hati nerima balik ex wni yg bakar passport demi isis. Sotoy bgt deh bule bule kalo dah ngomongin HAM. Giliran ditanya balik siapa yg bayarin deradikalisasi, bingung. Cuap cuap HAM kenceng. Bule sok baik tp bego</t>
  </si>
  <si>
    <t>RT @LamanKita_: Masa Observasi Selesai, Pemerintah Imbau Masyarakat Tidak Khawatir WNI dari Natuna #WNIdiNatunaSehat</t>
  </si>
  <si>
    <t>RT @LamanKita_: Observasi WNI di Natuna Selesai Sabtu,Ini Pesan Menkes #WNIdiNatunaSehat</t>
  </si>
  <si>
    <t>RT @lucaslahpulang: Beneran gak sih 78 WNI negatif corona🤯 padahal ada 218 penumpang positif... 🤯🤯🤯🤯 keren bgt imunnya</t>
  </si>
  <si>
    <t>RT @LamanKita_: WNI Eks ISIS Ditolak Pulang, Pengamat Imbau Waspada Balas Dendam Teroris #WaspadaBalasDendamISIS</t>
  </si>
  <si>
    <t>RT @LamanKita_: RI Tolak WNI Eks ISIS Pulang, Peneliti Terorisme Khawatir Balas Dendam #WaspadaBalasDendamISIS</t>
  </si>
  <si>
    <t>@Puteriswift_ HAHAHAHHA MAAFKAN LA AKU</t>
  </si>
  <si>
    <t>@ariel_heryanto Lahh, emang masih WNI?</t>
  </si>
  <si>
    <t>@dusrimulya @BitterBallance @mohmahfudmd Gak heran gw klo debat ma kadrun yg keluar cmn kata2 dungu, wong yg dipuja cmn gerung. 🙋 Cmn begal yg bela begal. 😝 Klo kita sebut mereka pemberontak boleh gak?? Skrng ISIS basis nya dmna?? Irak, suriah kan?? Dan dsna lah mereka bperang N jd pbunuh. Pasport dbkar. Msh WNI jg?</t>
  </si>
  <si>
    <t>RT @IndonesiaRAW: Demi Keselamatan Rakyat Lebih Besar, Pemerintah Menolak Pemulangan WNI Eks ISIS #TolakISISdemiRakyat</t>
  </si>
  <si>
    <t>RT @IndonesiaRAW: Nasib 689 WNI terduga eks ISIS Kini Jelas, Pemerintah Tolak Kepulangan Mereka #TolakISISdemiRakyat</t>
  </si>
  <si>
    <t>@dusrimulya Tapi pada kasus Israel pada poin 4 mereka ada pengakuan dari negara2 barat , terutama Eropa, sedangkan pada poin 3 mereka sama dengan ISIS, mencaplok tanah Palestina, mohon pencerahannya tentang hal ini, salam hormat..</t>
  </si>
  <si>
    <t>Ngelesnya lebih keras dari Bajaj. Bah! 🤦‍♂️ Karena konteksnya adalah WNI yang tadi disebut bakar paspor lantas asumsinya hilang kewarganegaraannya, maka harus balik ke peraturan perundangan. Dicabutnya kewarganegaraan, dalam konteks ISIS, maka ISIS harus dianggap sebagai negara. RT @oooyyuk: @muhammad_ridhaa Yg bilang ISIS negara siapa?</t>
  </si>
  <si>
    <t>RT @KompasTV: Terbukti Jadi Penyandang Dana ISIS, 2 TKI Divonis Bersalah di Singapura</t>
  </si>
  <si>
    <t>RT @IndonesiaRAW: Seluruh WNI dari Wuhan Dipastikan Sehat dan Bebas Virus Corona #WNIdiNatunaSehat</t>
  </si>
  <si>
    <t>RT @IndonesiaRAW: Pemerintah Jamin WNI yang Dipulangkan Dari Observasi di Natuna Sehat #WNIdiNatunaSehat</t>
  </si>
  <si>
    <t>RT @IndonesiaRAW: Dukung Penolakan WNI Eks ISIS Pemerintah Diminta Semakin Mewaspadai Teroris Dalam Negeri #WaspadaBalasDendamISIS</t>
  </si>
  <si>
    <t>RT @IndonesiaRAW: Kawannya Ditolak Masuk Indonesia, Simpatisan ISIS Ditengarai Akan Melakukan Aksi Balas Dendam #WaspadaBalasDendamISIS</t>
  </si>
  <si>
    <t>@N1ngW4ng1 Di timur tengah terkenal isis, dijogja terkenal klitih. Mereka sama2 kejam. Anda tutup mata dan tutup mulut mengenai klitih. Tpi kowar2 mengenai isis. Yg serumah aja susah diberesin kok mau ngurus yg sudah minggat.</t>
  </si>
  <si>
    <t>RT @WR_4AG226: Siap berperang melawan siapapun yg bertentangan dgn ideologi mereka, pasporpun sdh mereka bakar Ekstrimis seperti ini mo dibawa pulang?? Biarkan 600 eks ISIS berada Suriah, Balik hanya akan jadi racun dan benalu bagi NKRI spt Para pecandu khilafah 😫😔</t>
  </si>
  <si>
    <t>RT @ApriliaLin: Perlu diwaspadai.. Perempuan ISIS dipengungsian ingin membesarkan anak-anak mereka dengan ideologi kekhalifahan, meskipun kekuasaan teritorial ISIS telah gagal "Saat ini kami menyerah, tetapi akan ada penaklukan baru dimasa depan" Hmm..masih mau terima.? #TolakAnakISISKembali</t>
  </si>
  <si>
    <t>@Eno_Bening Sejauh ini wni yang kena kasus corona kek nya baru 1 itu pun di singapura,</t>
  </si>
  <si>
    <t>RT @BangsaPlokotho: Siapa yg MAJNUN (gila), Pak @ariel_heryanto? Apakah mereka yg ISIS eks WNI ataukah yg tdk ingin mereka kembali pulang, Pak? Masih adakah CINTA di Negeri ini, Pak?</t>
  </si>
  <si>
    <t>Mahfud: Teroris ISIS Eks WNI Pulang Lewat Jalur Gelap Akan Ditangkap</t>
  </si>
  <si>
    <t>RT @yusuf_dumdum: Mereka ini jauh2 hari sdh dilatih utk perang, dan kini mereka justru akan difasilitasi utk pulang ke Indonesia? No Way! #TolakEksWNIproISIS #TolakEksWNIproISIS Jokowi sdh tegas tolak 600 WNI eks ISIS ke Indonesia! Kawal dan jgn biarkan WNI pro ISIS masuk Indonesia! Setuju, RT!</t>
  </si>
  <si>
    <t>Kalian yg “kasihan” pada anak2 ISIS Eks WNI, apakah pernah kasihan pada anak2 Suriah? Mereka kehilangan tempat tinggal, orang tua, sanak saudara, putus sekolah, kota dan negara mereka hancur lebur akibat terorisme dan radikalisme #TolakAnakISISKembali</t>
  </si>
  <si>
    <t>@afiafiafii kebal udah WNI mah 🙈 fi, tips menyembuhkan batuk dong tersiksa sekali kalo malam nih</t>
  </si>
  <si>
    <t>@03__nakula Tapi pemimpin kita jadi ikut hanyut dan TERBODOH, ingin mendatangkan ANAK-ANAK SILUMAN GEROMBOLAN ISIS. Mereka sudah TERLATIH jadi TUKANG JAGAL alias EKSEKUTOR. Banyak FAKIR MISKIN dan ANAK TERLANTAR DI INDONESIA butuh perhatian. KOK PEMERINTAH lebih mencintai ANAK-ANAK ISIS ?</t>
  </si>
  <si>
    <t>RT @zarazettirazr: “Ucapan Kepala BPIP baru amat gawat. Kok sesudah Menteri Agama–semula mengajak kembali para pejuang ISIS–sekarang angkatan Presiden Jokowi bidang “ideologi” kedua mempertentangkan Pancasila dengan agama!” “Presiden kok sepertinya keliru terus”</t>
  </si>
  <si>
    <t>RT @rudysound: @Dennysiregar7 @jokowi Intolernsi meningkat tajam di Sumut,Karimun dll Menagnya Gak tanggap terkesan condong ke FPI /Eks ISIS /sdh gak toleran lagi 🙈</t>
  </si>
  <si>
    <t>@agiegi Berhubung itu diluar negeri ga diragukan sih pendeteksiannya, nah disini antara emang mungkin bener aman atau kurang canggih aja wkwk. Tapi semoga sehat-sehat aja semua, WNI kebal kebal orangnya</t>
  </si>
  <si>
    <t>Baiknya BPIP itu KUNJUNGI wni eks kombatan isis dan keluarganya. Buat Assessment tentang mereka. Lalu rehabilitasi mereka. Biar keliatan ada kerjanya gitu loh rekan rekam BPIP. Sebab terorisme itu kan MUSUH Pancasila ya? Benar nda? Itu tugas BPIP bukan menanamkan nilai2 Pancasila</t>
  </si>
  <si>
    <t>Apakah pemerintah akan memulangkan anak anak isis? @mohmahfudmd @fadjroeL @fadlizon @KomnasHAM @YLBHI @</t>
  </si>
  <si>
    <t>Kawannya Ditolak Masuk Indonesia, Simpatisan ISIS Ditengarai Akan Melakukan Aksi Balas Dendam #WaspadaBalasDendamISIS</t>
  </si>
  <si>
    <t>@bangbangtut39 Emang lwih pantes di sebut ex wni anggota isis drpd wni ex isis</t>
  </si>
  <si>
    <t>Dukung Penolakan WNI Eks ISIS Pemerintah Diminta Semakin Mewaspadai Teroris Dalam Negeri #WaspadaBalasDendamISIS</t>
  </si>
  <si>
    <t>@irensals virusnya kemusuhan sama wni</t>
  </si>
  <si>
    <t>Daftar Lokasi Pemulangan WNI dari Wuhan, Ada 29 Provinsi</t>
  </si>
  <si>
    <t>Masa Observasi WNI dari Wuhan di Natuna Berakhir Sabtu, Segera Dipulangkan</t>
  </si>
  <si>
    <t>@khoirinaannisa @KBRITokyo Sebar @Tolak_Angin agar WNI di Diamond Princess Selalu sehat dan penyakit kabur mabur #NegaraMelindungi</t>
  </si>
  <si>
    <t>@_williamcg @mohmahfudmd apa ISIS dianggap Tentara Asing atau Teroris ?, nek Tentara Asing bukane masuk tentara resmi negara.</t>
  </si>
  <si>
    <t>Pemerintah Jamin WNI yang Dipulangkan Dari Observasi di Natuna Sehat #WNIdiNatunaSehat</t>
  </si>
  <si>
    <t>@BadjaNuswantara Itu PR nya yang Bilang Musuh Utama Pancasila itu Agama, Rasah legan Gresek tekan ISIS 😁😁😁ya kan Bang 😊 😊</t>
  </si>
  <si>
    <t>Seluruh WNI dari Wuhan Dipastikan Sehat dan Bebas Virus Corona #WNIdiNatunaSehat</t>
  </si>
  <si>
    <t>RT @HendroP90921707: Begitulah ngibulin</t>
  </si>
  <si>
    <t>Virus corona yang tengah terjadi saat ini membuat kapal pesiar diamond princess turut terpapar virus tersebut. Dan anehnya tidak ada WNI yang terjangkit virus tersebut.  via @YouTube</t>
  </si>
  <si>
    <t>Begitulah ngibulin</t>
  </si>
  <si>
    <t>@detikcom katanya sih ada wni yg kena corona, dia asisten rumah tangga, katanya tertular dr majikannya yg kena corona. itu disingapura</t>
  </si>
  <si>
    <t>#Nasional 238 WNI yang Jalani Observasi Corona Dipulangkan, Jokowi Minta Masyarakat Tak Ketakutan</t>
  </si>
  <si>
    <t>Pemberontak bukan berarti ISIS walau ISIS bagian dari pemberontak.. bedakan konflik Suriah antara ISIS dan pemberontakan. Yang dibantu sama FZ bukan bagian dari ISIS.. RT @samhudibae: ADA APA DENGAN FADLI ZON Sempat terpikirkan kenapa Fadli Zon begitu ngeyel bersuara menginginkan eks WNI ISIS pulang ke Indonesia..? Ternyata Fadli Zon salah satu donatur untuk Pemberontakan ISIS di Suriah. #TindakTegasIntoleran</t>
  </si>
  <si>
    <t>Ketua MPR: Pulangkan Anak-Anak Eks ISIS Perlu Persiapan Matang #TauCepatTanpaBatas #BeritaTerkini #Berita #News #BeritaNasional .</t>
  </si>
  <si>
    <t>RT @WahabisLokal: Lebih tepatnya loe kagak bole lagi sokor Ngejeplax. Menteri tukang bikin gaduh aja. #TolakAnakISISKembali</t>
  </si>
  <si>
    <t>218 Orang di Kapal Pesiar di Jepang Terinfeksi Virus Corona, 78 WNI Dilaporkan Sehat  via @tribun_palu</t>
  </si>
  <si>
    <t>@khoirinaannisa @KBRITokyo Keren banget demi kebaikan WNI juga @Tolak_Angin #NegaraMelindungi</t>
  </si>
  <si>
    <t>Nasib 689 WNI terduga eks ISIS Kini Jelas, Pemerintah Tolak Kepulangan Mereka #TolakISISdemiRakyat</t>
  </si>
  <si>
    <t>Demi Keselamatan Rakyat Lebih Besar, Pemerintah Menolak Pemulangan WNI Eks ISIS #TolakISISdemiRakyat</t>
  </si>
  <si>
    <t>RT @M4Monaa: @ephraym8 @alex_hunter146 @yusuf_dumdum @Mataka81760170 @ganjarpranowo @KPAI_official lg sibuk ngurusin anak2 isis yg mo plng ke indonesia</t>
  </si>
  <si>
    <t>Sehat sehat WNI disana, sakti sakti emang yaa. RT @CNNIndonesia: Pemerintah Jepang menyatakan sebanyak 218 penumpang kapal pesiar Diamond Princess terinfeksi virus corona. @Kemlu_RI pun menuturkan bahwa 78 orang WNI yang merupakan kru dari kapal pesiar tersebut dalam kondisi sehat dan negatif virus corona.  #CNNIndonesia</t>
  </si>
  <si>
    <t>Ini Penjelasan Istana Soal Jokowi Pakai Istilah ISIS eks WNI</t>
  </si>
  <si>
    <t>@TheArieAir Kita yg perduli akan kedamaian NKRI harus bersatu melawan kelompok yg didukung ex HTI atau pendukung ISIS serta kroninya</t>
  </si>
  <si>
    <t>Kalo baca berita gini, tiba-tiba bangga jadi WNI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</si>
  <si>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@mohmahfudmd Mereka itu korban propaganda isis,,nasib mereka sama dgn yg tergoda aliran sesat dll...mereka harus di selamatkan.bkn dibiarkan berkeliaran yg gak jelas,yg akhirnya menjadi teroris beneran bgi negara yg menolaknya</t>
  </si>
  <si>
    <t>Menyiagakan aparat berwajib untuk melakukan kontrol penuh di seluruh pintu masuk negara. Blokir semua jalur masuk," ujar dia. &gt; #Nasional</t>
  </si>
  <si>
    <t>WNI termasuk spesies apa sih? heran. RT @CNNIndonesia: Pemerintah Jepang menyatakan sebanyak 218 penumpang kapal pesiar Diamond Princess terinfeksi virus corona. @Kemlu_RI pun menuturkan bahwa 78 orang WNI yang merupakan kru dari kapal pesiar tersebut dalam kondisi sehat dan negatif virus corona.  #CNNIndonesia</t>
  </si>
  <si>
    <t>#4niesKibul_CancelFormulaE tolak eks isis</t>
  </si>
  <si>
    <t>WNI sih paling sakitnya pas ditinggal waktu lagi sayang-sayangnya RT @CNNIndonesia: Pemerintah Jepang menyatakan sebanyak 218 penumpang kapal pesiar Diamond Princess terinfeksi virus corona. @Kemlu_RI pun menuturkan bahwa 78 orang WNI yang merupakan kru dari kapal pesiar tersebut dalam kondisi sehat dan negatif virus corona.  #CNNIndonesia</t>
  </si>
  <si>
    <t>@khoirinaannisa @KBRITokyo Terima kasih @Tolak_Angin karena memberikan yang terbaik untuk WNI #NegaraMelindungi</t>
  </si>
  <si>
    <t>@AndromedaMcfc @ustadtengkuzul Klo lo Isis ya?? Wkwkwkwk</t>
  </si>
  <si>
    <t>Asal bukan dungu! itu adalah kata yg sekarang diomeli oleh para pemiliknya. Debat Soal WNI Eks ISIS, Gayus Lumbuun Sebut Ngabalin Bodoh</t>
  </si>
  <si>
    <t>@CNNIndonesia @Kemlu_RI Jd inget pemaparan konsulen  terkait hal ini. Virus itu butuh "reseptor" agar bisa menginvasi tubuh manusia. Nah setiap manusia punya karakteristik masing2, ada yg punya reseptor ada yang ga punya. Bisa jd itu salah satu alasan hasil tes WNI di Jpn negatif</t>
  </si>
  <si>
    <t>Rencananya, pukul 12.00 WIB, para WNI tersebut akan bertolak ke Jakarta.</t>
  </si>
  <si>
    <t>Muhammadiyah Tolak Kepentingan ISIS</t>
  </si>
  <si>
    <t>@khoirinaannisa @KBRITokyo Kasih @Tolak_Angin biar WNI di kapal Diamond Princess gak masuk angin #NegaraMelindungi</t>
  </si>
  <si>
    <t>RT @Ryhan____: @sudjiwotedjo Tiap hari masyarakat hanya disuguhi berita sampah isas isis bikin org jadi bodoh. Klo mau fair angkat dong kasus Korup BUMN, Jiwasraya, Suap KPU, Buron Harun Masiku, kenapa berita ini hilang ditelan bumi. Katanya pemerintah SERIUS mau BERANTAS Korupsi, mana buktinya..?</t>
  </si>
  <si>
    <t>@KPAI_official bela anak Isis aja lantang tapi ada anak korban bully sampe jarinya harus diamputasi diem aja emang perlu #bubarkanKPAI</t>
  </si>
  <si>
    <t>RT @Roroarumi3: @HusinShihab @JohnIrwan4 @jokowi @mohmahfudmd ISIS harus di Brantas habis.kasih pintu jahanam saja ya.</t>
  </si>
  <si>
    <t>@mohmahfudmd @TopToross Tentara asing disini mksdnya..ISIS ya pak?? Coba dikaji lagi pak ISIS itu siapa sih penggeraknya,donaturnya,tujuannya,,jgn sampe apa2 dikaitkan n menurut UU jd hrs jelas dlu intinya..</t>
  </si>
  <si>
    <t>Lebih baik pemerintah terbuka dongg kalo emang ada WNI yg positif corona. Spy pemerintah bikin barrier agr gak ke sebar ke warga lainnya. RT @CNNIndonesia: Pemerintah Jepang menyatakan sebanyak 218 penumpang kapal pesiar Diamond Princess terinfeksi virus corona. @Kemlu_RI pun menuturkan bahwa 78 orang WNI yang merupakan kru dari kapal pesiar tersebut dalam kondisi sehat dan negatif virus corona.  #CNNIndonesia</t>
  </si>
  <si>
    <t>@Eno_Bening Wni udah biasa makan gorengan yang minyaknya dicampur plastik, secara daya tahan kayaknya boleh diadu</t>
  </si>
  <si>
    <t>Kanit Binmas Polsek Dampal Utara, sambangi Masjid2 Yg ada di Kec. Dampal Utara, memberikan himbauan berkaitan Dgn Beberapa Issu di Medsos Ttg Kepulangan Eks Isis Cipkon menjelang Tahapan Pilkada, Pelibatan masy dlm Pam Swakarsa</t>
  </si>
  <si>
    <t>@detikcom Atau Bapak dgn Kelaurga aja pergi gabung dgn mereka isis... kami ingin indonesia damai Pak....</t>
  </si>
  <si>
    <t>Selain memberikan pelayanan keimigrasian misalnya paspor WNI dan izin tinggal WNA, Kantor Imigrasi Kelas I TPI Surakarta juga memiliki tanggung jawab untuk mengawasi keberadaan orang asing di wilayah kerjanya dan melakukan penindakan jika ada pelanggaran hukum keimigrasian.⁣</t>
  </si>
  <si>
    <t>RT @iBon_65: @AhlulQohwah Jebakan batman klu dipungkan nanti kejar legalitas dr infonya aja dah kebalik MANTAN WNI yg membelot ISIS itu yg cocok, apa itu kpai #bubarkankpai baca nie👇</t>
  </si>
  <si>
    <t>Sikap Veronica Koman Lebih Sadis Dari WNI Eks ISIS #VeronicaKomanPengkhianatBangsa</t>
  </si>
  <si>
    <t>Sikap Veronica Koman ini tentunya lebih sadis dari para WNI Eks ISIS yang telah ditolak kepulangannya oleh pemerintah, karena para WNI Eks ISIS ini kebanyakan berangkat ke Suriah atau Irak dengan biaya sendiri.#VeronicaKomanPengkhianatBangsa</t>
  </si>
  <si>
    <t>@ErsaTriWahyuni pak ISIS :(</t>
  </si>
  <si>
    <t>RT @LilikMardiana3: @wisanggeni_084 ah ndak papa nanti suruh KPAI yg nampung ben di bedil ndase kro bocah2 isis kui</t>
  </si>
  <si>
    <t>RT @Dwiyana_DKM: Pak @jokowi, kalau rasa kemanusiaan bapak terusik karena mereka cuma anak2 yg jd korban kebodohan orang tuanya, satu hal yg Pak Jokowi musti ingat..., ideologi tidak akan pernah mati! #TolakAnakISISKembali</t>
  </si>
  <si>
    <t>@desukardi18 @RMtanpanama @H4mid132 @zarazettirazr Anda cerdas. Saya kalah. Isis tdk pernah diakui RI sebagai sebuah negara.</t>
  </si>
  <si>
    <t>OK, bisa dipastikan daya tahan wni kuat untuk menangkal virus korona. RT @detikcom: Ribuan penumpang kapal pesiar dikarantina gegara virus corona. Bermula seorang kini ratusan orang dari berbagai negara tertular tapi tak ada satu pun WNI.</t>
  </si>
  <si>
    <t>Menkes Jamin Semua WNI dari Tiongkok di Natuna Negatif Covid-19</t>
  </si>
  <si>
    <t>@DayatPondok @mohmahfudmd Kalau logika seperti ini seharusnya ada jutaaan WNI yg pergi menjadi ISIS, donk..! 😁😁</t>
  </si>
  <si>
    <t>@tjhinfar21 @Nouna_jessica94 @TheArieAir #HappyValentinesDay cintaku untuk NKRI @TheArieAir enyahkan ISIS maupun eks WNI anggota ISIS dari NKRI</t>
  </si>
  <si>
    <t>@CH_chotimah si karno mgkn lebih pilih gorengan mendoan kontroversi anak2 ISIS</t>
  </si>
  <si>
    <t>RT @papasaurus1: Yuk yg berkaitan, @Kemenag_RI lbh baik kaliqn ngurusi intoleran dlm negeri ini sesuai dgn jabatanmu, bkn malah ngurusi ISIS eks WNI yg bukan bidangmu @kemendagri monggo bupati nya di urusi.. Jk kalian tdk bertindak, jgn salahkan masyarakat menyebut kalian adalah ONTA</t>
  </si>
  <si>
    <t>Tertawa Saat Debat Eks ISIS, Mantan Hakim Agung Sebut Ngabalin Bodoh</t>
  </si>
  <si>
    <t>RT @AREAJULID: Dis! Ngapa dah ya warga holiwud sana pada males banget baca sub? Keluhan wat film parasite disana rata2 karena repot harus baca sub. Kalah mereka sama wni yg donlod film kalo gada subnya ngomel2 karena gak ngerti, kita mah tetep enjoy multitasking, nonton film sambil baca sub 😂</t>
  </si>
  <si>
    <t>Kasih tolak angin biar WNI di kapal Diamond Princess gak masuk angin. #NegaraMelindungi</t>
  </si>
  <si>
    <t>@RadioElshinta KPAI ke suriah saja meninjau kondisi anak2 ISIS ex WNI dan jangan balik Indonesia lagi. Gitu aja kok repot #TolakAnakISISKembali</t>
  </si>
  <si>
    <t>@GaCeper @ruhutsitompul Dan anda juga menyebut ex WNI...berarti mereka bukan lagi WNI...negara berhak menolak kepulangan mereka apapun alasannya</t>
  </si>
  <si>
    <t>@geloraco Berarti sudah dua kali dia kena , sebelumnya lebih lembut tapi pahit : " bukan begitu pak" katanya Bu dokter soal kesehatan jasmani dan rohani WNI yang dikarantina di natuna</t>
  </si>
  <si>
    <t>RI Tolak WNI Eks ISIS Pulang, Peneliti Terorisme Khawatir Balas Dendam #WaspadaBalasDendamISIS</t>
  </si>
  <si>
    <t>Jejaring ISIS Di Indonesia Masih Kuat, Pemerintah Diminta Mewaspadai Hal Ini #WaspadaBalasDendamISIS</t>
  </si>
  <si>
    <t>Pemerintah juga pasti akan dikritik terutama oleh kelompok oposisi yang sudah bersikap setuju terhadap rencana pemulangan. Contohnya Mardani Ali Sera dari PKS dan Fadli Zon dari Gerindra yang sudah setuju untuk pemulangan WNI eks ISIS. #WaspadaBalasDendamISIS</t>
  </si>
  <si>
    <t>Peneliti terorisme Ridlwan Habib mendukung dan menilai keputusan yang diambil pemerintah sudah tepat. Namun, dia mengingatkan pemerintah untuk mewaspadai adanya potensi balas dendam oleh simpatisan ISIS dalam negeri. #WaspadaBalasDendamISIS</t>
  </si>
  <si>
    <t>Pemerintah telah memastikan untuk tidak memulangkan 689 Warga Negara Indonesia (WNI) mantan anggota Islamic State of Iraq and Syria (ISIS). Keputusan itu diambil usai Presiden Jokowi menggelar rapat terbatas bersama para menteri terkait, Selasa (11/2). #WaspadaBalasDendamISIS</t>
  </si>
  <si>
    <t>@CNNIndonesia @Kemlu_RI perserikatan dukun-dukun ini mesti lagi gunaguna jampijampi melindungi WNI Mantab</t>
  </si>
  <si>
    <t>WNI Eks ISIS Ditolak Pulang, Pengamat Imbau Waspada Balas Dendam Teroris #WaspadaBalasDendamISIS</t>
  </si>
  <si>
    <t>@kumparan A.n rakyat kami menolak wni ex teroris isis kembali.</t>
  </si>
  <si>
    <t>Artinya Jokowi mengakui eksistensi negara ISIS. Bahwa WNI yang pindah kesana telah pindah kewarganegaraan. Padahal kita nggak ngakui ISIS, jokowi malah secara tidak langsung mengamini ISIS sebuah negara RT @kabartimlo: #Nasional Ini Alasan Pemerintah Tak Berencana Pulangkan Anggota ISIS Eks WNI</t>
  </si>
  <si>
    <t>@gieyulia @hendralm Dear Pak Ahmad, Mereka bukan keluarga, jadi tidak perlu diselesaikan secara kekeluargaan. Kalau bapak WNI tentunya tahu bahwa di Indonesia ada lapas untuk anak. Ketika bapak sebagai kepala sekolah gagal mendidik mereka biarkan kepala lapas anak yang mengajari mereka. yg ini</t>
  </si>
  <si>
    <t>Oke, sini ngomong dukun mana yg ngelindungin wni sih?? Ajaib bener RT @CNNIndonesia: Pemerintah Jepang menyatakan sebanyak 218 penumpang kapal pesiar Diamond Princess terinfeksi virus corona. @Kemlu_RI pun menuturkan bahwa 78 orang WNI yang merupakan kru dari kapal pesiar tersebut dalam kondisi sehat dan negatif virus corona.  #CNNIndonesia</t>
  </si>
  <si>
    <t>@Kemenkumham_RI mau tanya dong mengenai pelepasan wni...di website bilang 4 bulan..apakah benar?</t>
  </si>
  <si>
    <t>RT @vivanewscom: Sempat Dukung Pemulangan WNI Eks ISIS, Ustaz Ini Tarik Pernyataannya  #vivanews</t>
  </si>
  <si>
    <t>@MTuhasan Kok ngeliat kelakuan Gabener dengan "mengkondisikan" rekomendasi ini seperti kelakuan ISIS yak... Menghancurkan peninggalan sejarah.. Daerah yg berhasil dikuasai..</t>
  </si>
  <si>
    <t>@UKI_djayengrono @fadlizon CC @fadlizon pantasan kamu.selama ini belain Kombatan ISIS utk balik ke Indonesia #TolakAnakISISKembali #TolakEksWNIproISIS</t>
  </si>
  <si>
    <t>@HusinShihab @JohnIrwan4 @jokowi @mohmahfudmd ISIS harus di Brantas habis.kasih pintu jahanam saja ya.</t>
  </si>
  <si>
    <t>@GaCeper @ruhutsitompul Perbandingan yg sangat tolol....rohingnya adalah korban dari aksi genosida di daerahnya..mereka lari karena takut dibantai...sedangkan isis eks WNI adalah pelaku pembantaian yg juga sama kejamnya dengan pelaku genosida...mereka minta pulang karena takut dihukum mati #mikir</t>
  </si>
  <si>
    <t>238 WNI yang Dikarantina di Natuna Tetap Sehat, Menkes: Karena Doa dari Seluruh Rakyat Indonesia  lewat @wartakotalive</t>
  </si>
  <si>
    <t>@Zaxian3 @Restichayah Sempet jadi mentri pulak.... begitu dia jadi WNI lagi eh malah diturunin jadi wakil mentri🤣🤣🤣</t>
  </si>
  <si>
    <t>Sempat Dukung Pemulangan WNI Eks ISIS, Ustaz Ini Tarik Pernyataannya  #vivanews</t>
  </si>
  <si>
    <t>RT @ac6e31c95a15493: @MichelAdamSS Sibook isas isis, teroras teroris ...kam seu lu mah Ie wee ap keun #RezimJKWRampokBUMN #RezimJKWRampokBUMN</t>
  </si>
  <si>
    <t>Usai WNI yang Diobservasi Pulang, Bagaimana Nasib Hanggar di Natuna?</t>
  </si>
  <si>
    <t>@DayatPondok @mohmahfudmd Tahun berapa mereka menjadi anggota ISIS Dan kapan BPIP berdiri Aneh nya di Eropa yg sejahtera anggota ISIS nya ribuan Termasuk di Saudi Arabia Ini bukan soal sejahtera Ini soal ke "dungu" an Alias mabok agama</t>
  </si>
  <si>
    <t>Woyyy goblok..... mereka lebih parah dari pki. Mau juga fasilitasin ex pki yg lebih paham pancasila daripada ex wni kombatan isis. RT @detikcom: PP Muhammadiyah menilai kombatan ISIS eks WNI yang masih ingin pulang ke Indonesia perlu difasilitasi. WNI yang setia Pancasila bisa kembali dengan syarat.</t>
  </si>
  <si>
    <t>Tb Hasanuddin Kritik Moeldoko Umumkan Terbuka Tim Monitor Eks WNI Anggota ISIS</t>
  </si>
  <si>
    <t>KOK BISA TIDAK ADA 1 PUN WNI YANG KENA VIRUS CORONA? Ini seriusan apa lawak apa gmn? Jika benar kita harus bersyukur karena mungkin saja khusus WNI ada semacam sistem pertahanan yang cukup utk menghadang Corona, dokter2 bisa segera meneliti fenomena langkah bin ajaib ini!! RT @detikcom: Ribuan penumpang kapal pesiar dikarantina gegara virus corona. Bermula seorang kini ratusan orang dari berbagai negara tertular tapi tak ada satu pun WNI.</t>
  </si>
  <si>
    <t>@wahhabicc_jabar @KPAI_official kalau lampu merah lu tungguin terus kalau ijo kamu tinggal pergi,terus saat lampu kuning kamu ngapain wahai pembela isis,mbok yo do due pikiran kono nek g percoyo dolani wani,ora ojo do ape gur ngejur pemerintahanmu.katrok tapi do ngaku bijak yo mkono iku</t>
  </si>
  <si>
    <t>RT @MurtadhaOne1: Mantap! Presiden @jokowi sebut ISIS eks WNI bukan WNI eks ISIS seperti yg sering disebut media2 belakangan ini Jokowi: "Pemerintah tidak memiliki rencana untuk memulangkan ISIS eks WNI"</t>
  </si>
  <si>
    <t>@snugglebeam @ladazaa Knp g isis k?</t>
  </si>
  <si>
    <t>Beri Tolak Angin biar WNI di kapal Diamond Princess gak masuk angin... #NegaraMelindungi</t>
  </si>
  <si>
    <t>RT @SalmaBrecht: @kangdede78 @4Y4NKZ @hcahyono @SGpsmg @Candraasmara85 @cemindill @mistercebong @CumiCue @qiunco2761 @CiciAuLiaSetya @cinihiya Mereka belum 100% sembuh dari trauma Bom, skrg Pemerintah akan memulangkan kombatan ISIS, sama juga Pemerintah mendatangkan BOM WAKTU</t>
  </si>
  <si>
    <t>@PutraErlangga_ Info TKA ilegal yang masuk secara besar besaran sudah ada sejak dulu tapi terkesan dibiarkan, ketegasan lebih tajam kepada WNI eks ISIS</t>
  </si>
  <si>
    <t>@mohmahfudmd Yg bela ISIS ex WNI nampak x pendukung ISIS</t>
  </si>
  <si>
    <t>RT @jimuhammad9: Kalau taknak gambar pecah dekat Instagram, settingkan size pergi 1080px x 1080px siap siap before upload</t>
  </si>
  <si>
    <t>@tatamayura Hahaha gue juga heran. Alhamdulillah sih belom pada kena yah WNI? Ada 1 di sing sih katanya. Yah semoga jgn masuk virus baru kemari deh, repot nanti hahaha</t>
  </si>
  <si>
    <t>Dari ke-238 orang itu, mayoritas berasal dari Jawa Timur sebanyak 68 orang.</t>
  </si>
  <si>
    <t>@Boemi_Pertiwi12 Dulu saat anaknya pergi gabung ISIS jerit jerit juga gak melarangnya atau sedang di toilet Bu?</t>
  </si>
  <si>
    <t>78 WNI ini kebal semua apa gimana............... teruji sakti emang WNI ini 😭 RT @CNNIndonesia: Pemerintah Jepang menyatakan sebanyak 218 penumpang kapal pesiar Diamond Princess terinfeksi virus corona. @Kemlu_RI pun menuturkan bahwa 78 orang WNI yang merupakan kru dari kapal pesiar tersebut dalam kondisi sehat dan negatif virus corona.  #CNNIndonesia</t>
  </si>
  <si>
    <t>ISIS di bubarin karena ada Proposal Trumph ...! Yang dukung termasuk menerima mantan ISIS, dapat utangan. Trusss ... yang nolak2 merangkul Warga Indonesia mantan ISIS , cuman sìnetron ... nunggu sang Hero !</t>
  </si>
  <si>
    <t>WNI sakitnya kalo kebanyakan main hp, seperti kata mama. RT @CNNIndonesia: Pemerintah Jepang menyatakan sebanyak 218 penumpang kapal pesiar Diamond Princess terinfeksi virus corona. @Kemlu_RI pun menuturkan bahwa 78 orang WNI yang merupakan kru dari kapal pesiar tersebut dalam kondisi sehat dan negatif virus corona.  #CNNIndonesia</t>
  </si>
  <si>
    <t>Virus dan Aksi Terorisme Mengancam, Pemerintah Tegas Menolak WNI Eks ISIS #TolakISISdemiRakyat</t>
  </si>
  <si>
    <t>RT @woelannnn: Pengamat terorisme dari UI Ridlwan Habib mengingatkan pemerintah, bahwa ISIS juga punya doktrin taqiyah atau berpura-pura di depan musuh. Alias berbohong ! Sudahlah jgn pertaruhkan NKRI demi monster2 itu ! #TolakAnakISISKembali</t>
  </si>
  <si>
    <t>RT @P3nj3l4j4h_id: Apakah kamu setuju anak anak isis pulang kembali ke indonesia? Klo saya #TolakAnakISISKembali</t>
  </si>
  <si>
    <t>@MichelAdamSS Sibook isas isis, teroras teroris ...kam seu lu mah Ie wee ap keun #RezimJKWRampokBUMN #RezimJKWRampokBUMN</t>
  </si>
  <si>
    <t>Kasih Tolak Angin biar WNI di kapal Diamond Princess gak masuk angin. Biar sehat terus #NegaraMelindungi</t>
  </si>
  <si>
    <t>RT @sorotnews: Ini 3 Hak WNI Eks ISIS Menurut Mantan Hakim Agung Gayus Lumbuun: Dia Punya Hak untuk Kembali</t>
  </si>
  <si>
    <t>@ngalamfess minyak kapak wenak Auto isis paru parumu</t>
  </si>
  <si>
    <t>RT @Gueevara1: Publik Pertanyakan Beda Perlakuan WNI Eks ISIS dan Reynhard Sinaga, Apakah Status Kewarganegaraan Juga Dicabut? ... Wallahumusta'an ...</t>
  </si>
  <si>
    <t>@wisanggeni_084 ah ndak papa nanti suruh KPAI yg nampung ben di bedil ndase kro bocah2 isis kui</t>
  </si>
  <si>
    <t>@kompascom Bikin mamsalah mulu nih manusia uzur</t>
  </si>
  <si>
    <t>Prof Gayus, mau tanya dong, Pemerintah melalui Presiden ada mencabut Hak Eks WNI Isis kah atau Presiden tdk ada program untuk memulangkan mereka isis Eks WNI karena mereka sudah tdk mengaku diri sebagai WNI, lebih lanjut mereka punya paspor tdk ya Prof @tempodotco</t>
  </si>
  <si>
    <t>Bamsoet : Perlu Strategi dan Kajian Matang Jika Pulangkan Anak-anak Eks WNI</t>
  </si>
  <si>
    <t>@Parapat_Nixon @KSPgoid @setkabgoid @DPR_RI @mohmahfudmd @DivHumas_Polri Ini alasan hukum mengapa ay tegaskan untuk diselesaikan lewat jalur kesepakatan bersama bangsa-bangsa sedunia ISIS sebagaimana alqaeda sudah di claim sebagai ancaman terrorisme dunia RT @PJustitia7: 18 #ISISanInternationalAffair ISIS Fakta atau Hoax buktikan di pengadilan internasional Perihal perlindungan WNI ada hukum ekstradisi PAHAM? Cari &amp; adili dalangnya, combatan hanya kacung Pembiaran adalah bodoh Akan ada ISIS dengan nama yang lain</t>
  </si>
  <si>
    <t>@endahse05 @BadjaNuswantara NKRI ini negara hukum, tdk bisa seenak jidat jg WNI dinyatakan stateless tanpa putusan pengadilan😂.</t>
  </si>
  <si>
    <t>@KBRITokyo Tolak angin to the rescue! #NegaraMelindungi Salut sama KBRI yang perduli sama WNI di Diamond Princess, semoga WNI disana tetap terjaga kesehatannya :)</t>
  </si>
  <si>
    <t>@Gus_Raharjo @Aryprasetyo85 @ganjarpranowo Gubernurku mau tampung kombatan isis ( emoji tutup muka )</t>
  </si>
  <si>
    <t>Observasi WNI di Natuna Selesai Sabtu,Ini Pesan Menkes #WNIdiNatunaSehat</t>
  </si>
  <si>
    <t>Yuk yg berkaitan, @Kemenag_RI lbh baik kaliqn ngurusi intoleran dlm negeri ini sesuai dgn jabatanmu, bkn malah ngurusi ISIS eks WNI yg bukan bidangmu @kemendagri monggo bupati nya di urusi.. Jk kalian tdk bertindak, jgn salahkan masyarakat menyebut kalian adalah ONTA RT @KatolikG: Surat cinta dari Pastor Paroki St Yoseph dihari Valentine kepada @mohmahfudmd dan pihak-pihak yang menganggap kasus intoleransi di Karimun sebagai sesuatu yang sepele... @jokowi</t>
  </si>
  <si>
    <t>Masa Observasi Selesai, Pemerintah Imbau Masyarakat Tidak Khawatir WNI dari Natuna #WNIdiNatunaSehat</t>
  </si>
  <si>
    <t>Oleh karena itu, ia mengimbau masyarakat untuk tidak khawatir dan tidak meragukan kepastian bahwa WNI yang diperbolehkan pulang benar-benar dalam keadaan sehat. #WNIdiNatunaSehat</t>
  </si>
  <si>
    <t>Ia meyakinkan kepada masyarakat bahwa WNI yang sudah mengikuti masa observasi selama 14 hari untuk melihat kemungkinan paparan virus, kemudian diperbolehkan Kementerian Kesehatan (Kemenkes) untuk kembali ke keluarga masing-masing #WNIdiNatunaSehat</t>
  </si>
  <si>
    <t>Menteri Sosial (Mensos) Juliari Peter Batubara mengimbau masyarakat untuk tidak khawatir dengan rencana pemulangan Warga Negara Indonesia (WNI) di Natuna ke keluarga mereka masing-masing setelah menyelesaikan masa observasi dengan baik. #WNIdiNatunaSehat</t>
  </si>
  <si>
    <t>Observasi WNI dari Wuhan Dipastikan Lancar, Masyarakat Tidak Perlu Khawatir Lagi #WNIdiNatunaSehat</t>
  </si>
  <si>
    <t>#Nasional Ini Alasan Pemerintah Tak Berencana Pulangkan Anggota ISIS Eks WNI</t>
  </si>
  <si>
    <t>@KBRITokyo sigap banget kasih tolak angin, semoga sehat terus ya WNI di Diamond Princess. Semangat #NegaraMelindungi</t>
  </si>
  <si>
    <t>Pertimbangkan secara Matang Pemulangan Anak Anak WNI Eks ISIS</t>
  </si>
  <si>
    <t>Dubai street #Benghazi #Cyrenaica #Libya. #Erdogam #ISIS #GNA #Turkey #LNA #HoR</t>
  </si>
  <si>
    <t>RT @RAISYAELBIX1: @BaskoroKata @AtikahZahidah_ @haluanghabang @sabilla_shaffa @ibra_zycko @evisuryanti10 @SeruniPuspaAlam @erikamelfa @_antaresh @herlambang_tan @devy215 Tolak semua...eks isis..meskipun anak~anak...</t>
  </si>
  <si>
    <t>Oh iya btw di sana gada "WNI eks ISIS" yak jadi gaperlu di lindungi negara.</t>
  </si>
  <si>
    <t>RT @dickyrevolution: @RyoFahri @I_yaann @evanutama23 @na_dirs Mendingan ikut isis aja ente bang, udah jelas bngt daripada ngedumel mulu</t>
  </si>
  <si>
    <t>@CH_chotimah @karniilyas Mungkin pilih bahas pemerintah yg tolak pulangkan exs ISIS</t>
  </si>
  <si>
    <t>WASPADAI Corona, Kepala KKP Kelas I Batam Benarkan Ada WNI Jalani Observasi ke RSBP .</t>
  </si>
  <si>
    <t>Jelang Pemulangan WNI dari Wuhan di Natuna</t>
  </si>
  <si>
    <t>RT @bintangku206: ISIS itu musuh islam bentukan Amerika dan Israel, semoga cebong istiqomah dengan KETOLOLANNYA!</t>
  </si>
  <si>
    <t>@jr_kw19 Ini buti ozonk pendukung isis. Apa ex wni isis anak2 ditampung dan diasuh ozonk ya?</t>
  </si>
  <si>
    <t>7 WNI di Tanjungpinang Negatif Virus Corona</t>
  </si>
  <si>
    <t>@misake89847474 @mohmahfudmd Lu yg tolol, mana bisa lu buktikan mrk adalah tentara ISIS ? Apa semua org ke suriah bergabung dgn isis ?.</t>
  </si>
  <si>
    <t>Even dengan kebijakan trump, yg awalnya aku kontra dengan dia jadi mulai sedikit pro. Trump itu ga seburuk apa yang dikatakan oleh media. Buktinya? Visa ke US untuk WNI sekarang secara perlahan dipermudah secara administrasi. Padahal kalo dia memang membenci imigran, ga akan gini</t>
  </si>
  <si>
    <t>@StyaPramana @infinity_fel @Sabrina13579_ @syiahgl @jokowi @mohmahfudmd @Kiyai_MarufAmin @JatimPemprov @KhofifahIP oalahhh... pendukung ISIS ternyata. Pak @BNPTRI tlg dicatat ya</t>
  </si>
  <si>
    <t>@dusrimulya @mohmahfudmd Bagaimana pasukan separatis papua? Apakah mereka tidak lagi dianggap WNI, mereka belajar menggunakan senjata dilatih oleh TNI atau tentara asing? Apakah mereka otomatis gugur status WNI nya?</t>
  </si>
  <si>
    <t>@CNNIndonesia @glossierusxh @Kemlu_RI 78 orang wni sehat... Terus sisanya?</t>
  </si>
  <si>
    <t>@digeeembok Sweeping kadrun di BUMN Pak, itu yg bikin rugi, duitnya dipake buat ngongkosin ustad2 pro ISIS. Enak aja tuh demo-demo pake duit negara. Kuwalat lu disumpahin jutaan rakyat Indonesia yg anti kadrun heuheuheu.</t>
  </si>
  <si>
    <t>RT @sorotnews: Akhirnya Terungkap, Pimpinan ISIS Ternyata Agen Mossad Israel</t>
  </si>
  <si>
    <t>RT @ZheeOmega: Piara aja sel2 tdr isis tsb.</t>
  </si>
  <si>
    <t>@mistercebong @AmeliaA35044836 @donys168 @AgusAbu7 @habibthink @AmbarwatiRexy @Dennysiregar7 @digeeembok @permadiaktivis @FirzaHusain @nu_online @Takviri Benar mr. cebong, terxta dia pendukungx wanAibon, kadrun betina, betina yg gagal ikutan audisi tentara ISIS😂😂😂</t>
  </si>
  <si>
    <t>@CH_chotimah @karniilyas Gx 22nya non ~ krna mreka msh 1 klompok.... @karniilyas ~ lbh mmilih isu tntang pnolakan isis x wni,,,olh pmerintah... Nrasumber nya org2 yg mnntang kbijakan tsb ~&gt; @fadlizon, @hnurwahid, @MardaniAliSera, @KomnasHAM, @KPAI_official n Din Syamsudin....</t>
  </si>
  <si>
    <t>@mohmahfudmd Sejak kapan yaa ISIS itu jadi negara...😂</t>
  </si>
  <si>
    <t>buat yg terinfeksi, semoga lekas sembuh buat WNI yg sehat walafiat, semoga terus diberi kesehatan 🙏 RT @CNNIndonesia: Pemerintah Jepang menyatakan sebanyak 218 penumpang kapal pesiar Diamond Princess terinfeksi virus corona. @Kemlu_RI pun menuturkan bahwa 78 orang WNI yang merupakan kru dari kapal pesiar tersebut dalam kondisi sehat dan negatif virus corona.  #CNNIndonesia</t>
  </si>
  <si>
    <t>Apakah ini efek Bakso borax dan micin jadi kebal gini para WNI?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</si>
  <si>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@KBRITokyo sigap banget kasih tolak angin, semoga sehat-sehat terus ya WNI di Diamond Princess #NegaraMelindungi</t>
  </si>
  <si>
    <t>@pandasoes Masih tanda tanya.. yg mengherankan lagi yang di diamond princess cruise loh, padahal banyak wni tp blm ada yg suspect covid-19 nya</t>
  </si>
  <si>
    <t>RT @roymz_13: @do_ra_dong artis yg kena narkoba mrk udh punya daftarnya. tinggal mainkan. stok bencong kyk lucinta luna agak langka. dikeluarkan kalau butuh pengalihan rada berat. tp kalau udh dibantu gorengan ex ISIS dan kelakuan konyol kepala BPIP, berarti yg ditutupi berat bingit.</t>
  </si>
  <si>
    <t>RT @al_fakru: @BapakPol @JohnIrwan4 @MaryanaNunung @CANDAdanBISNIS @Dickusnadi1 @2024GanjarRisma @evisuryanti10 @kasrulsani9 @TukangMu @MOMDian2 @wantahgdn @felixaaf1 @RizkiR4madani @Edward_1smail @LiaIsti1 @jubrik844 @Recoignitionwal @periani @eddies_song @wartawankoboi13 @CumiCue @AdigunaAtmaja @Iqbalkuntoro1 @RazkaFaiz @zaenalkase03 @MukhtarLuthfi12 @Maranatha_Sibrn @Zulfika35354359 @babegalak1 @Jokoumb64504158 @73hermantjoe @SetiaAdy_p @dian_ibunda @SultanAnjar @GendengHrs @demartinnie @gimbal_keren @ANDRE_OCTA_ @AnkyOsama @Mulia07094480 @MukhtarLuthfi11 @New_BUFFETT @Arieamy3 @TheEndTri1 @irfanudinmoh3 @01_commando @denni_loyz @tiluseptember @PetrusBun @arifsamsul_ma Nah pengikutnya disuruh dukung isis berarti di indonesia banyak. Jangan di tambah yg disuriah mau dipulangkan ke indonesia . Biar pengikut abu ini aja yg kesana.</t>
  </si>
  <si>
    <t>RT @KelianBanjar_GK: Eropa Tolak Permintaan Trump Terima Kembali Anggota ISIS #TolakAnakISISKembali</t>
  </si>
  <si>
    <t>RT @amalial59210614: ISIS bukan manusia😡</t>
  </si>
  <si>
    <t>Kebiasaan dr sd minum es, es nya dari air mentah, makanan jatuh masih bisa dimakan karna belum 5 menit, makan pedes caosnya caos tomat campur belatung, pas corona masuk tubuh wni “ anjir chaos banget ini tubuh banyak sekali virus, aku jadi minoritas disini” akhirnya batal masuk. RT @CNNIndonesia: Pemerintah Jepang menyatakan sebanyak 218 penumpang kapal pesiar Diamond Princess terinfeksi virus corona. @Kemlu_RI pun menuturkan bahwa 78 orang WNI yang merupakan kru dari kapal pesiar tersebut dalam kondisi sehat dan negatif virus corona.  #CNNIndonesia</t>
  </si>
  <si>
    <t>@PinayunganE @RMtanpanama @H4mid132 @zarazettirazr Apakah Indonesia mengakui Isis sebagai negara.</t>
  </si>
  <si>
    <t>RT @SalmaBrecht: Stlh Pemerintah tidak memulangkan Ex WNI ISIS. Din Samsudin dan tokoh Islam lainnya mengaung. Mrk minta Pemerintah menyelamatkan anak². Itu artinya memulangkan ibunya. Skrg Pemerintah melunak. Jadi keputusan menolak dipulangkan Ex WNI ISIS belum final.</t>
  </si>
  <si>
    <t>#WNIdiNatunaSehat jangan khawatir dengan rencana pemulangan WNI di Natuna</t>
  </si>
  <si>
    <t>Pemerintah tetap membuka opsi dan melakukan kajian lebih dalam untuk memulangkan anak anak dari WNI eks ISIS yang sama sekali tak tersangkut paut aksi terorisme orang tuanya. #TolakISISdemiRakyat.</t>
  </si>
  <si>
    <t>Narasi Kepala BPIP yg membenturkan Pancasila dg Agama sangat membuat resah masyarakat. Jangan krn sebagian kecil penganut agama ttt ada yg mjd pengikut isis kmd menggeneralisasi. Lebih elok jika BPIP sebut ISIS adalah musuh utama Pancasila..Coba pakai akal sehat..</t>
  </si>
  <si>
    <t>Kasih Tolak Angin biar WNI di kapal Diamond Princess tidak masuk angin #NegaraMelindungi</t>
  </si>
  <si>
    <t>ketika kepulangan wni teroris pelintas batas dan eks isis ditolak negar#TolakISISdemiRakyat</t>
  </si>
  <si>
    <t>@kamuusiapaaaaaa @AhlulQohwah Korban berarti ada pelakunya dong dalam hal ini? Knp ga tuntut ke pelakunya saja? Tanya dong ke ortunya yg menyeret anak2nya ada di kondisi tsb. Asyek2 saja tuh ortunya jadi ISIS. Ga masalah tuh mereka dlu keluar Indonesia bawa semua keluarganya sampai bela2in jual harta benda.</t>
  </si>
  <si>
    <t>Menteri Sosial Juliari Peter Batubara imbau masyarakat agar tidak khawatir dengan rencana pemulangan WNI di Natuna ke keluarga masing masing #WNIdiNatunaSehat</t>
  </si>
  <si>
    <t>pengamat politik IPI Karyono Wibowo meminta pemerintah lebih berhati hati jika ingin memulangkan anak anak orang Indonesia yang terindikasi pernah terlibat jaringan ISIS #WaspadaBalasDendamISIS</t>
  </si>
  <si>
    <t>@CNNIndonesia @Kemlu_RI Kembali wni tidak terjangkit. Mgkn ini efek kita pas kecil pernah jajan gorengan yg minyaknya campur plastik. Alhamdulillah jd kuat</t>
  </si>
  <si>
    <t>@AhlulQohwah @cumakicaukacau KPAI ( Komisi perlindungan Anak ISIS ) padahal msh byk itu anak2 miskin jd pengemis yg terlantar dipinggir jalan mengemis perlu diperhatikan daripd mengurus anak teroris itu.</t>
  </si>
  <si>
    <t>@WagimanDeep @KPAI_official @ganjarpranowo 😆😆😆😆 Bapak.anak.anak ISIS itu siapa ya</t>
  </si>
  <si>
    <t>@_UsbinDunda @mohmahfudmd Tentara dlm kamus besar punya bbrapa arti, antara lain : laskar atau pasukan (yg punya senjata dan berperang. tdk disebutkan wjib dri satu negara resmi). Jdi tentara asing itu artinya, pasukan yg punya senjata dan berperang. Isis punya pasukan bersenjata dan mrk berperang. Phm??,</t>
  </si>
  <si>
    <t>Mantan ISIS Komentari Keputusan Pemerintah Tak Pulangkan WNI Eks Kombatan di Suriah #TolakISISdemiRakyat</t>
  </si>
  <si>
    <t>Menteri Koordinator bidang Politik Hukum dan Keamanan (Menko Polhukam) Mahfud MD memastikan pemerintah tak akan memulangkan WNI terduga eks ISIS ke Indonesia. #TolakISISdemiRakyat</t>
  </si>
  <si>
    <t>Nasib 689 WNI teroris pelintas batas dan eks ISIS kini telah berakhir. Pemerintah dengan tegas menolak memulangkan mereka ke tanah air setelah memulai berbagai pemilihan alternatif dan pertimbangan matang diberbagai sidang kabinet. #TolakISISdemiRakyat</t>
  </si>
  <si>
    <t>Pemerintah Tolak Anggota ISIS Demi Keselamatan Rakyat Indonesia #TolakISISdemiRakyat</t>
  </si>
  <si>
    <t>@dusrimulya @hendri92189000 @mohmahfudmd Begini saja. Saat mereka pergi demi ISIS, apa mereka berfikir bahwa ISIS bukan negara ? Jangan hanya karena tidak ada pengakuan dan kemudian kalah kemudian mereka pengin balik dan kamu bela bahwa ISIS bukan negara.</t>
  </si>
  <si>
    <t>Dari sekian banyaknya orang yg tertular virus Corona, tidak ada satu pun WNI yg tertular 👏🏻👏🏻 Antara tubuh org Indonesia memang sehat2 atau org Indonesia emg kebal dari virus Corona sih.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</si>
  <si>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@Abdoelghanii: KPAI sebenernya = Komisi Perlindungan Anak Indonesia ??? atauuuu KPAI = Komisi perlindungan Anak Isis??????? 😆😆😆😆</t>
  </si>
  <si>
    <t>@JPapilaya Typo WNI yaaaah??</t>
  </si>
  <si>
    <t>@P3nj3l4j4h_id Mau anak ISIS kek... Mau bapak ISIS kek... Mau ibu ISIS kek... Mau mbahnya ISIS kek.... Semuanya itu penyakit kronis teroris...#TolakISISFamily</t>
  </si>
  <si>
    <t>@KBRITokyo sigap banget kasih Tolak Angin, semoga sehat terus ya WNI di Diamond Princess #NegaraMelindungi</t>
  </si>
  <si>
    <t>RT @JPapilaya: Pemerintah menjamin kesehatan dan kesejahteraan 238 ENI dan 5 orang tim aju yang dipulangkan dari Wuhan. Pemerintah juga siapkan dana untuk kebutuhan para WNI yang ada di Natuna. #VirusCorona #CoronavirusOutbreak</t>
  </si>
  <si>
    <t>isis itu bukan di suriah tapi isis yg sebenarnya ketika kita pakek sarung heuheuheu</t>
  </si>
  <si>
    <t>Kemlu dan Enesis Group Salurkan Bantuan Untuk WNI di RRT | Kanal24</t>
  </si>
  <si>
    <t>Keputusan untuk tidak memulangkan WNI eks ISIS karena pemerintah ingin memberi rasa aman kepada 267 juta rakyat Indonesia di Tanah Air dari ancaman terorisme. #TolakISISdemiRakyat.</t>
  </si>
  <si>
    <t>@tubirfess Salahin oknumnya belajar agama jga hrus pke akal dan ilmu biar ngerti apa yg di maksud dalam kitab orang seperti isis tidak penyikapi agama dengan baik membaca tpi tidak mengenal maknanya</t>
  </si>
  <si>
    <t>mensos imbau masyarakat tidak khawatirkan pemulangan wni dari natuna #WNIdiNatunaSehat</t>
  </si>
  <si>
    <t>@riduan_mjk @ariel_heryanto bagaimana saudara tau kala semua eks Anggota atau simpatisan ISIS akan menjadi sama seperti ambrosi CS?. Mutlakkah hal itu?</t>
  </si>
  <si>
    <t>@DayatPondok @mohmahfudmd banyak orang kere d negri  gk milih gabung isis ,dg 1 alasan..idiologi mreka takfiri....udah gitu aja</t>
  </si>
  <si>
    <t>Kasih Tolak Angin biar WNI di kapal Diamond Princess gak masuk angin #NegaraMelindungi Jaga kesehatan, minum tolak angin. Makasih @KBRITokyo #NegaraMelindungi @KBRITokyo sigap banget kasih tolak angin, semoga sehat terus ya WNI di Diamond Princess #NegaraMelindungi</t>
  </si>
  <si>
    <t>@sabgladiola # Kaya hotel kapalnya, udah gitu staffnya ada 78 orang wni makanya mungkin ada gitu gituan kan selera wni beda sama orang jepang.</t>
  </si>
  <si>
    <t>@misake89847474 @mohmahfudmd Tentara itu hny ada pd sebuah negara sdgkan ISIS ga pny negara. Jd ISIS hny sekumpulan pasukan liar yg ga jelas negara apa meskipun mrk memakai nama islam irak dan suriah, itu hny pengakuan mrk saja.</t>
  </si>
  <si>
    <t>Soal fadli z DUKUNG pemulangan ISIS ex WNI  Utk itu MHN DICEK KEBENARAN INFO 👇 YTH @KSPgoid @setkabgoid @DPR_RI @mohmahfudmd @DivHumas_Polri SPY BENAR2 SERIUS &amp; SGERA DISIKAPI JGN BIARKAN BIBIT TERORISME TUMBUH DI IBU PERTIWI 🙏 -</t>
  </si>
  <si>
    <t>@Ari3Pras @wisanggeni_084 @Dwiyana_DKM saya mau tanya isis itu negara atau kelompok?</t>
  </si>
  <si>
    <t>@lukasomanalu @dusrimulya @mohmahfudmd Ya kalo ga ada negara lain yg mengakui maka ISIS bukan negara Gimana sih anda ini kok keblibet sendiri Ngatain orang bodoh &amp; hati sesat tapi kamu sendiri ga paham</t>
  </si>
  <si>
    <t>RT @harihariono1: Lagi dan lagi (masih ada) ....PELUANG.....utk memulangkan ISIS eks WNI, dgn mempergunakan "celah hukum" dan KUASA serta KEWENANGAN PRESIDEN....!!!!! Smoga 260 juta rakyat Indonesia tidak kaget bila, suatu saat nanti ISIS punya markas di Indonesia.</t>
  </si>
  <si>
    <t>238 WNI di Natuna Siap Dipulangkan, Menkes Terawan: Kita Ikut Bahagia  #DariSuara</t>
  </si>
  <si>
    <t>Obsevasi wni asal wuhan 13 hari Sebenarnya negri yg pak @jokowi pimpin ini punya alat gak untuk mendeteksi virus corona kok saya baca berita gak ada</t>
  </si>
  <si>
    <t>RT @Metro_TV: #MetroSiang Setelah Presiden RI menyatakan akan menolak kepulangan eks-ISIS ke Indonesia. Pemerintah menyatakan akan mengirim tim gabungan ke Suriah untuk lakukan pendataan kepada para eks-ISIS yang mengaku sebagai WNI tersebut. @Metro_TV</t>
  </si>
  <si>
    <t>Salafi Wahabi.! Mari bantu itu WNI Eks ISIS hijrahkan ke Nejed Arab Saudi..</t>
  </si>
  <si>
    <t>@AiezKopites @peni_me @kangsio42509757 @mohmahfudmd @NU_bersatu @nuchannels Iya.. Makanya gw jd heran. Pak Mahmud lg bahas ISIS, dia jd mutar kemana-mana.</t>
  </si>
  <si>
    <t>RT @fariji_lacak: Hua hahaha...patut kita DUGA, Orang2 yg sering Jual Agama itulah Anggota ISIS terselubung.</t>
  </si>
  <si>
    <t>RT @KompasTV: Jawa Timur Jadi Lokasi Pemulangan Terbanyak WNI dari Wuhan</t>
  </si>
  <si>
    <t>BESOK 238 WNI yang Dikarantina di Natuna Pulang, Jokowi: Jangan Dikit-dikit Takut, Terima Apa Adanya  lewat @wartakotalive</t>
  </si>
  <si>
    <t>RT @kardusbox08: @SuburBur Kebayang ga kalo yang didik itu pro ISIS. 😅</t>
  </si>
  <si>
    <t>238 WNI di Natuna Siap Dipulangkan, Menkes Terawan: Kita Ikut Bahagia | #gayahidup #viral &gt;&amp;gt;&amp;gt; Click</t>
  </si>
  <si>
    <t>@makLambeTurah Bisa2 dia ditabok Ustad2 yg telah mengikrarkan diri mendukung isis. Masak ustad bela amerika.</t>
  </si>
  <si>
    <t>#NewslineMetroTV Tercatat ada 238 WNI yang menjalani observasi di Natuna akan dipulangkan ke kampung halamannya masing-masing pada hari sabtu 15 Februari</t>
  </si>
  <si>
    <t>RT @amandagempita: @JunjungUji otomatis gugur.. artinya pmrnth tinggal mbuat nama2...eks WNI tsbt jika terdata ....lwt imigrasi...jika tdk terdata..???🤔🤔</t>
  </si>
  <si>
    <t>RT @KompasTV: Pengadilan Singapura Jatuhkan Hukuman Penjara Kepada 2 WNI Penyandang Dana ISIS</t>
  </si>
  <si>
    <t>"Ratusan WNI eks ISIS itu boleh-boleh saja ada di Suriah, tapi bukan berarti negara itu juga yang harus mengaturnya. Karena, mereka idulu menganggap ISIS itu negara, sehingga mereka pun berkewarganegaraan ISIS" ujar Guru Besar Hukum Internasional #ISIS</t>
  </si>
  <si>
    <t>@HafitSetyabudi @mohmahfudmd OPM adalah pasukan bersenjata (separatis) WNI non TNI. Yg d maksud tentara asing adala pasukan yg bukan WNI. Isis adalah pasukan bersenjata non WNI</t>
  </si>
  <si>
    <t>RT @negativisme: kalo mereka sedang drama biar dapat simpati dan dikasihani biar bisa bikin ISIS baru di Indonesia gimana? #TolakAnakISISKembali</t>
  </si>
  <si>
    <t>Observasi Kesehatan Virus Corona Selesai Besok, Pemerintah Siapkan Skema Pemulangan 328 WNI dari Natuna</t>
  </si>
  <si>
    <t>@bumbleaa @CNNIndonesia @Kemlu_RI @Misooll ini rahasianya knp wni kebal..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</si>
  <si>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RT @shinichikudo991: Berita lama. Anak2 diajari dogma dan bagaimana melindungi diri mereka sendiri, serta cara menembak dengan senapan Kalashnikov dan pistol. Apa bisa dideteksi mana anak yg sudah "mahir" dan belum? #TolakAnakISISKembali</t>
  </si>
  <si>
    <t>Menkes Pastikan Semua WNI dari Tiongkok di Natuna Negatif Covid-19</t>
  </si>
  <si>
    <t>@Airin_NZ Pendukung isis...</t>
  </si>
  <si>
    <t>Lho pada sadar gak kehadiran kalian (kejahatan, kebiadaban kalian, bantuan kalian pada ISIS) disana tak pernah membuat warga asli negara itu TENANG, TIDUR NYENYAK, KETAKUTAN TIAP DETIK, SETELAH KALAH KALIAN INGIN PULANG HIDUP NORMAL? #SetanKalian #LaknatullahKalian #KalianBangsat</t>
  </si>
  <si>
    <t>@Uki23 Setiap wni Punya hak dipilih maupun memilih tetapi lebih Baik Harusnya anaknya ntr Setelah 2024 klo emk mau maju</t>
  </si>
  <si>
    <t>Tolak angin dan mie instan adalah kunci kesehatan WNI 😌 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</si>
  <si>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Bebas dari Virus Corona, 238 WNI Dipulangkan ke Keluarga dari Observasi di Natuna .</t>
  </si>
  <si>
    <t>@DonnyHamzahHrp @ustadtengkuzul Apalagi dedengkot ormas agamis sampai mengatakan "isis adalah saudara kita" Ekekekekek....ternyata sekumpulan manusia dungu...</t>
  </si>
  <si>
    <t>RT @makmur_s: Setiap anggota ISIS telah didoktrin untuk melakukan kebiasaan. mereka telah berubah menjadi Monster.</t>
  </si>
  <si>
    <t>WNI yang diobservasi akan terus diperiksa kondisinya secara berkala dalam satu hari. Sebelum dipulangkan, WNI tersebut juga tetap diperiksa kesehatan.</t>
  </si>
  <si>
    <t>@AnakLolina @nnyzhuxin mumpung masih kecil2 anak2 ISIS itu di DORrr saja nagapain di elus2 mereka spt anak ular bis manggigit kalian setiap saat</t>
  </si>
  <si>
    <t>@BadjaNuswantara Lho pada sadar gak kehadiran kalian (kejahatan, kebiadaban kalian, bantuan kalian pada ISIS) disana tak pernah membuat warga asli negara itu TENANG, TIDUR NYENYAK, KETAKUTAN TIAP DETIK, SETELAH KALAH KALIAN INGIN PULANG HIDUP NORMAL? #SetanKalian #LaknatullahKalian #KalianBangsat</t>
  </si>
  <si>
    <t>RT @Callmehardy_: @CNNIndonesia Anak2 korban bom kemaren yg cacat parah. Yg kedua ortunya mati udah dilindungi belom masa depannya udah dikasih apa aja. Ntar dlu deh sama anak2 isis itu. Jenguk aja dlu kesana. Mereka ngapain aja. Apa cuma main mobil2an / TEMBAK2AN. #Agnation #BestFanArmy #iHeartAwards</t>
  </si>
  <si>
    <t>RT @demokrasicoid: Debat Soal WNI Eks ISIS, Gayus Lumbuun Sebut Ngabalin Bodoh</t>
  </si>
  <si>
    <t>RT @pedas_lambe: Mari ramekan tolak EKS ISIS di indonesia #Indonesiasatu #AwasAntek2ISIS #IndoPromoter</t>
  </si>
  <si>
    <t>RT @twitpos: WNI eks ISIS Gayus :"Mereka punya hak komplain, ke pengadilan," Ngabalin :"Gimana mereka mau komplain, sementara mereka membakar paspornya, dan menyebutkan negara ini adalah negara thagut," Gayus :"Jangankan paspor, bakar rumah saja diadili,"</t>
  </si>
  <si>
    <t>RT @gw_neena: @AnakKolong___ @KPAI_official KPAI = Komisi Perlindungan Anak ISIS</t>
  </si>
  <si>
    <t>@DonnyHamzahHrp @ustadtengkuzul Kalo sudah tau isis buatan mamarika, makin keliatan sekali ketololan kadrun yg berbondong2 gabung isis. Jadi memang seharusnya Eks WNI yg gabung isis DILARANG KEMBALI KE INDONESIA...</t>
  </si>
  <si>
    <t>@geloraco Bisa aja nih mutar matar balikan omongan....media pro isis</t>
  </si>
  <si>
    <t>Bamsoet : Perlu Strategi dan Kajian Matang Jika Pulangkan Anak-anak Eks WNI  via @Indopolitika</t>
  </si>
  <si>
    <t>Lihat betapa pengecutnya bangsat ISIS yg ngaku2 Khilafah, mreka tega mnjadikan anak kecil sbg martir. Smoga slalu Allah melindungi Iraq n Syria. Pengen anak2mu gabung ISIS drun ?? @FPI_isback @Hilmi28 @ustadzmaaher_ @ustaztengkuzul @haikal_hasaan</t>
  </si>
  <si>
    <t>RT @AritraPancing: @FaGtng Fadli Zon bagian dari donatur combatan ISIS makanya ngotot pulangkan eks WNI combatan ISIS</t>
  </si>
  <si>
    <t>@Dedien5 @ustadtengkuzul Goblokmu akut,,,tuker otak sana .. Simpatusan isis loe ye...</t>
  </si>
  <si>
    <t>Berita terbaik #ValentinesDay2020 Tentara Irak mulai membersihkan sisa2 anggota #ISIS Merengek minta pulang ternyata takut dipodaran. Wew! Sukurin! #ISISGoToHell</t>
  </si>
  <si>
    <t>@KBRITokyo Apapun penyakitnya,tolak angin obatnya..asiaaap..salam untuk semua WNI disana pak.</t>
  </si>
  <si>
    <t>@tubirfess Nah, menurut gue anak² itu bakal nyerep apa yg mereka liat. Mereka nggak sepenuhnya polos kl lingkungan mereka penuh sama ISIS. Kemungkinan mereka udah kena brainwash walaupun mungkin scr nggak sadar kayak orang dewasa, lebih baik jgn dipulangin daripada tahu² jd bibit disini.</t>
  </si>
  <si>
    <t>RT @tempodotco: Komnas HAM mengatakan mantan anggota ISIS berhak melepas status kewarganegaraan dan berhak mengajukan kewarganegaraan ke negara tertentu.</t>
  </si>
  <si>
    <t>@HafitSetyabudi @mohmahfudmd OPM adalah WNi, jdi mrk adalah pasukan warga negara indonesia yg d maksud tentara asing adalah pasukan Non WNI</t>
  </si>
  <si>
    <t>@AhlulQohwah urusin dulu dan anak2 yang ada di dalam negeri yang jelas status wni nya, ini malah ngurusin anak teroris</t>
  </si>
  <si>
    <t>RT @buzerman18: Hadeuuh ..klu anaknya aja praktis ibunya ikut doong ,mungkin maksudnya anak yatim piatunya yaah .. Besok lagi ada gak ya JANDA nya , besok lagi Perempuan bekas pelampian ISIS, besok lagi Orang sudah berumur ... Emang klu gk niat gak usah gembar gembor TOLAK ISIS deeh Bikin BETE</t>
  </si>
  <si>
    <t>@KPAI_official = Komisi Perlindungan Anak Isis :) RT @AhlulQohwah: Di Malang anak dibully sampai patah tangan anteng, di Purworejo anak perempuan dianiaya anteng. Giliran anak ISIS suaranya kenceng.</t>
  </si>
  <si>
    <t>@kamuusiapaaaaaa @AhlulQohwah Justru yg lebih berbahaya anak anaknya isis, kelak akan lebih kejam dari orang tuanya</t>
  </si>
  <si>
    <t>@BPJSTKinfo WNI min</t>
  </si>
  <si>
    <t>@susiloyhu Kalo terduga memang sdh banyak mas, kurleb sdh 60an.. Tp yg positif blm ada. Hanya ada 1 WNI yang positif di singapura karena tertular majikannya</t>
  </si>
  <si>
    <t>RT @Penyuka_ombak: Ketika Pak @jokowi sudah memutuskan utk tidak menerima kembalinya ex combatan ISIS, seharusnya menyeluruh tanpa kecuali termasuk anak2nya. Catatan, "Anak macan lebih galak dari induknya." Jgn sampai kita menyesali yg akan terjadi kedepannya. #TolakAnakISISKembali Retwitt</t>
  </si>
  <si>
    <t>RT @kominfo_jtg: Gubernur @ganjarpranowo berpesan kepada masyarakat agar mau menerima dengan baik para WNI dari Tiongkok yang telah dikarantina itu. Jangan takut dan mengucilkan mereka lantaran khawatir tertular virus corona.</t>
  </si>
  <si>
    <t>@geloraco ISIS itu entitas non-state secara hukum internasional....! Konsekwansi-nya : Kalau eks-ISIS dicabut WNI-nya, karena "memilih" ISIS. Berarti Indonesia mengakui ISIS.....!</t>
  </si>
  <si>
    <t>@mohmahfudmd Terlibatnya WNI dalam bagian ISIS. Seharusnya pemerintah dan BPIP intropeksi diri dulu, mengapa WNInya bisa terlibat...</t>
  </si>
  <si>
    <t>RT @rinawaki: @angedespoir5 tampang dia aja ex isis, pasti mikirin anak yg di sono laaa drpd disini, ga guna pak KPAI,,</t>
  </si>
  <si>
    <t>@kamuusiapaaaaaa @AhlulQohwah Masalah anak isis memang dilatih untuk membunuh oleh bepaknya, jadi sangat beda dengan anak seorang pembunuh</t>
  </si>
  <si>
    <t>@peni_me @Rita8213 @kangsio42509757 @mohmahfudmd @NU_bersatu @nuchannels Berarti Anda salah alamat.. lihat konteks diatas itu apa? Ini konteksnya tentang anggota ISIS eks WNI..</t>
  </si>
  <si>
    <t>RT @ratu_adil: Perang Priyayi vs Kyai di Istana ISIS Eks WNI ala Priyayi - Jokowi - Moeldoko WNI Eks ISIS ala Kyai - Maruf Amin - Mahfud MD Priyayi dan Kyai Memang sulit bersepakat, bahkan soal Pondasi Dasar Istilah saja sudah tidak klop dan saling bersaing God vs King 🌐</t>
  </si>
  <si>
    <t>WNI terlalu kebal dengan virus corona 😂 RT @CNNIndonesia: Pemerintah Jepang menyatakan sebanyak 218 penumpang kapal pesiar Diamond Princess terinfeksi virus corona. @Kemlu_RI pun menuturkan bahwa 78 orang WNI yang merupakan kru dari kapal pesiar tersebut dalam kondisi sehat dan negatif virus corona.  #CNNIndonesia</t>
  </si>
  <si>
    <t>KPAI : KOMISI PERLINDUNGAN ANAK ISIS RT @AhlulQohwah: Di Malang anak dibully sampai patah tangan anteng, di Purworejo anak perempuan dianiaya anteng. Giliran anak ISIS suaranya kenceng.</t>
  </si>
  <si>
    <t>@zarazettirazr Saya jawab y mbak....asal bukan muslim aman2 aja g bakal dicabut hal kewarga negaraanny... Salah ny exs ISIS n anak2 ny punya agama muslim n puny kewarga negaraan Indonesia... Apesny juga hidup di rezim koplak ...</t>
  </si>
  <si>
    <t>RT @Pseudo_silk: @AnakKolong___ @Eureeka__ KPAI sungguh memuakkan, mungkin udah suspect virus khilafah/ISIS - kah?</t>
  </si>
  <si>
    <t>RT @ind017845: @AnakLolina Pak @mohmahfudmd tolong kirimkan video ini kpd MENAG ya, Biar LOGIKA nya Jalan. Jgn hnya MEMENTINGKAN JABATAN shingga MAU Berdamai dgn para RADIKALIS &amp; Antek² ISIS di Republik ini. #TolakAnakISISKembali Besarnya buas kaya ini</t>
  </si>
  <si>
    <t>Itu yang menjadikan Isis ini gak bisa disalahkan dan juga gak bisa dibenarkan. . Sebagian dari mereka memiliki pahala jihad, yang dengan niatnya saja. . Setara pahala orang satu pulau jawa naik haji.</t>
  </si>
  <si>
    <t>Blak-blakan Mantan Pengikut ISIS: Tertipu Janji Surga ISIS</t>
  </si>
  <si>
    <t>Saat Gayus menjelaskan argumentasinya, Ngabalin meresponnya dengan tertawa. "Kok tertawa, nggak perlu ketawa. Itu anda ketawanya bodoh. Ini saya kasih tahu anda. Sekarang anda bilang undang-undang lex spesialis, semua juga lex spesialis," kata Gayus.</t>
  </si>
  <si>
    <t>#valentinebukanbudayakita Trending taek!! Yang bikin trending macam gini, kalo gak OTAK KADRUN ya SIMPATISAN ISIS.</t>
  </si>
  <si>
    <t>Jokowi sebut pemulangan WNI di Natuna sudah sesuai prosedur dan protokoler dari WHO</t>
  </si>
  <si>
    <t>@GulaPutih93 Itu hampir separuh terinfeksi cuma wni yg engga 😭</t>
  </si>
  <si>
    <t>Kepala BNPT: tidak ada istilah pemulangan, orang berangkat sendiri kok mesti dipulangkan. Tonton lagi #OPSIMetroTV episode Eks ISIS: yang Pergi, Perlukah Kembali? di youtube channel kami. Jangan lupa subscribe! #eksisisyangpergiperlukahkembali</t>
  </si>
  <si>
    <t>@angedespoir5 tampang dia aja ex isis, pasti mikirin anak yg di sono laaa drpd disini, ga guna pak KPAI,,</t>
  </si>
  <si>
    <t>@wahhabicc_jabar @KPAI_official Selama ini @KPAI_official sebagai lembaga tidak bekerja maksimal dan terkesan begitu2 aja. Urusin tuch anjal di hampir perempatan lampu merah slrh Indonesia, para anak didik yg py kemauan keras utk belajar tapi tidak mampu. Apa MATA mu buta hanya melihat anak2 kombatan ISIS ???</t>
  </si>
  <si>
    <t>@sudjiwotedjo @noniadelia Bisa kah orang yg lahir disini punya keluarga disini, bersalah mungkin saking beratnya harus dihukum mati, tapi tidak dibiarkan kembali itu agak menyedihkan(bukan dijemput) yg mau balik sendiri, kenapa negara hukum bicara sentimen dan baperan. Kalau begini kita dikira isis jgkah?</t>
  </si>
  <si>
    <t>Komentar-komentarnya norak. Wong kru-nya belum diperiksa tapi harus tetap bekerja. Tambahan: a) 218 dari 3700 itu 5.8%. Wajar bahwa belum ada dari 78 WNI yang menunjukkan simtom parah b) terinfeksi tapi asimtomatik (nggak ada tanda) udah terbukti ada dari kasus2 sblmnya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</si>
  <si>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@Yeyen41020695: @ArifinNkri17 @ronggo81 @setiawanh46 @Mujir1922 @veva_nova @JOKER_JJ_JOKER @cherul @JamesKatuuk @yad1sun @jogja_paperbag @edward7011971 @Dyahperwita1 @Aininoer12 @Vaisz56 @upikq22 @januar_soesanto Kita harus Konsisten dalam Berpolitik tdk boleh Politik Indentitas bisa2 membahayakan NKRI. kita saling Toleransi thd Keyakinan WNI Yg beragama Lainnya. #4niesKibul_CancelFormulaE</t>
  </si>
  <si>
    <t>RT @mobilgp: @AnakKolong___ @KPAI_official @KPAI_official cuma mau ikut tenar aja. Masalah dlm negri gak diurusin, org yg udh gak mau jd WNI diurusin. Mikiiiiirrr.....mikiiiirrr...</t>
  </si>
  <si>
    <t>238 WNI akan kembali ke daerah masing-masing esok</t>
  </si>
  <si>
    <t>Membakar paspor jadi salah satu alasan</t>
  </si>
  <si>
    <t>Dukung keputusan pemerintah tolak wni eks isis</t>
  </si>
  <si>
    <t>@detikcom Daripada pelihara anak koruptor uang negara....sama 100 anak eks isis ae takut , sama jutaan orang asing masuk tanpa visa ? Santuy</t>
  </si>
  <si>
    <t>@tubirfess Gatau, gue muslim dan isis bukan sodara gw maap</t>
  </si>
  <si>
    <t>@caixukuntrash @moyasmoyas Wakakaka. Tp total penumpangnya emg bayak, 3700 orang. Sebagian besar yg sakit kan penumpang. Kru orang indonya 78 aja. Btw kasus yg positif di SG kan WNI, tp identitas px emg dijaga sama mereka dsna.</t>
  </si>
  <si>
    <t>@FiersaBesari Isis mana mau diam? Mereka akan melenyapkan siapa pun yang berbeda. Makanya aku anti hti isis</t>
  </si>
  <si>
    <t>Hore! WNI dari Wuhan yang sedang dikarantina di Natuna, Kepri, sebentar lagi akan pulang. Tepatnya besok, pukul 12 siang masa karantina dinyatakan berakhir. #corona #coronavirus #viruscorona #wuhan #wuhanvirus #wni #wuhanjiayou #tiongkok #karantina #natuna #kepri #kepulauanriau</t>
  </si>
  <si>
    <t>lg ngegibah soal ini sama temen2, eh ternyata ada wni toh ternyata, wah manjiww RT @CNNIndonesia: Pemerintah Jepang menyatakan sebanyak 218 penumpang kapal pesiar Diamond Princess terinfeksi virus corona. @Kemlu_RI pun menuturkan bahwa 78 orang WNI yang merupakan kru dari kapal pesiar tersebut dalam kondisi sehat dan negatif virus corona.  #CNNIndonesia</t>
  </si>
  <si>
    <t>KEK BESOK ANAK BINI SI ZONG MATI DI BOM TERORIS... KIRA2X BACOT NYA MASIH SONGONG GINI GA....?? Menangkis ISIS (Part 7) | Mata Najwa  via @YouTube</t>
  </si>
  <si>
    <t>@dusrimulya @mohmahfudmd ISIS tuh group TERORIS GOBLOK, SEJAKA KAPAN ISIS MENJADI NEGARA, jgn komen deh kasian yg baca</t>
  </si>
  <si>
    <t>Dari awal kan udah ada info kalo pergi dan bergabung dengan ISIS otomatis keluar dari kewarganegaraan Indonesia. Terus lapo KPAI mbelo.. Lapo... Lapo...</t>
  </si>
  <si>
    <t>@MudasirRomini @RizmaWidiono @KomnasHAM Mereka mengundirkan diri jadi warga negara Indonesia, paspor udah dibakar. Mereka bukan lagi WNI lagi. Masalah ini sederhana jangan dibuat rumit.</t>
  </si>
  <si>
    <t>@mohmahfudmd Mohon pak menkopolkam korek. Milisi kelompok/pasukan bersenjata isis bkn tentara reguler spt milik negara.</t>
  </si>
  <si>
    <t>Jadi gini kenapa Isis itu jadi seolah salah dan teroris. . Ada dua kemungkinan karena keadaan. . Setiap organisasi, pasti ada yang namanya sayap kiri dan sayap kanan.</t>
  </si>
  <si>
    <t>Tolak kepulangan eks kombatan Isis</t>
  </si>
  <si>
    <t>Lihat Mata Najwa di trans7. Judulnya seru " Menangkis ISIS "</t>
  </si>
  <si>
    <t>@tubirfess Isis usually right handnya Barat...</t>
  </si>
  <si>
    <t>@ratu_adil ISIS Eks WNI &gt; petruks WNI Eks ISIS &amp;gt; mbah rempongs terminologi aja rebutan, gimana duit 🙄 gejala virus, stupid vir-19 🤥</t>
  </si>
  <si>
    <t>RT @ratu_adil: Perang Priyayi vs Kyai di Istana Bantah Jokowi dan Moeldoko, Mahfud MD : Status WNI Eks ISIS Belum Dicabut 🌐</t>
  </si>
  <si>
    <t>RT @ratu_adil: Perang Priyayi vs Kyai di Istana Moeldoko : 689 ISIS Eks WNI Sudah Berstatus Stateless 🌐</t>
  </si>
  <si>
    <t>@naaazzzs #NegaraMelindungi WNI yang sedang dikarantina dengan memberikan bantuan makanan dan kebutuhan lainnya.</t>
  </si>
  <si>
    <t>RT @ratu_adil: Perang Priyayi vs Kyai di Istana Jokowi Pakai Istilah 'ISIS Eks WNI', Ini Penjelasan Istana 🌐</t>
  </si>
  <si>
    <t>RT @ratu_adil: Perang Priyayi vs Kyai di Istana Jokowi : ISIS Eks WNI Bukan Lagi Tanggung Jawab Negara 🌐</t>
  </si>
  <si>
    <t>RT @PojokNU: Geneologi Lahirnya ISIS, Motif, dan Aktornya (Bagian I)</t>
  </si>
  <si>
    <t>@BaskoroKata @AtikahZahidah_ @haluanghabang @sabilla_shaffa @ibra_zycko @evisuryanti10 @SeruniPuspaAlam @erikamelfa @_antaresh @herlambang_tan @devy215 Tolak semua...eks isis..meskipun anak~anak...</t>
  </si>
  <si>
    <t>@KBRITokyo #NegaraMelindungi WNI yang sedang dikarantina dengan memberikan bantuan makanan dan kebutuhan lainnya.</t>
  </si>
  <si>
    <t>ikan buntel ni mang tukang bacot.... enangkis ISIS - Fadli Zon: Mana Keberhasilan Deradikalisasi? (Part 5) |...  via @YouTube</t>
  </si>
  <si>
    <t>Terbukti Jadi Penyandang Dana ISIS, 2 TKI Divonis Bersalah di Singapura</t>
  </si>
  <si>
    <t>Pakar menyebut pemerintah sudah tepat tak pulangkan anggota isis EKS WNI #4niesKibul_CancelFormulaE</t>
  </si>
  <si>
    <t>@mohmahfudmd Setahu saya, Indonesia adalah negara hukum, bkn nerara otoriter. Siapapun WNI robek passport, ukut berperang bersama kelompok asing spt isis (bukan negara), mka oknum WNI tsb hrs dihukum lewat proses peradilan (wewenang judikatif). Bkn domain eksekutif/istana.</t>
  </si>
  <si>
    <t>@mohmahfudmd Lha yg ga ikut perang gemana om? Kok pemerintah menolak pemulangan eks ISIS? Emang udh diselidiki dan dibuktiin klo eks ISIS ikut perang? Om?</t>
  </si>
  <si>
    <t>Menkes ungkap penyebab belum bisa evakuasi ribuan WNI di China  #VirusCorona</t>
  </si>
  <si>
    <t>RT @kompascom: Meski berada di lokasi karantina dan tidur di Hanggar, namun terasa berada di hotel bintang lima. &gt; #Regional</t>
  </si>
  <si>
    <t>@ariel_heryanto Heran masih ada yg bela ISIS.. Dimana letak sisi manusiawinya ISIS yg membantai ribuan manusia yg tidak berdosa... Dimanaaaaa....???</t>
  </si>
  <si>
    <t>“NU Tidak Setuju pemulangan Anggota eks ISIS Ke Indonesia” Saya tolak, saya tidak setuju. Mereka sudah meninggalkan negara, sudah membakar paspor nya, sudah mengatakan kita Ini thogut, terutama NU, anshorut togut, pendukung togut. Prof. Dr. Kh. Said Aqil Siradj Ketua Umum PBNU</t>
  </si>
  <si>
    <t>RT @vivanewscom: Derita Anak Indonesia eks ISIS di Suriah  #vivanews</t>
  </si>
  <si>
    <t>RT @gadisresidu_b3: Setelah pemerintah mengeluarkan keputusan tidak akan meng evakuasi Ex ISIS, Din Samsudin dan tokoh islam lainnya mengaung. Mereka meminta agar pemerintah menyelamatkan anak anak. Dan kini pemerintah mulai kebingungan lagi, seperti tidak punya acuan dalam bertindak.</t>
  </si>
  <si>
    <t>Dari 78 WNI gak ada satupun yg positif corona, gimana gak banyak peneliti yg terheran heran, kenapa Indonesia sampai saat ini masih belum ada kasus corona. 😅 RT @CNNIndonesia: Pemerintah Jepang menyatakan sebanyak 218 penumpang kapal pesiar Diamond Princess terinfeksi virus corona. @Kemlu_RI pun menuturkan bahwa 78 orang WNI yang merupakan kru dari kapal pesiar tersebut dalam kondisi sehat dan negatif virus corona.  #CNNIndonesia</t>
  </si>
  <si>
    <t>Aku bangga sbgai WNI cuk!! 🇲🇨💗🔥🤘😎</t>
  </si>
  <si>
    <t>Sebanyak 78 WNI yang bekerja sebagai awak kapal di Kapal Pesiar Diamon Princess dalam kondisi sehat dan tidak ada satu pun yang terjangkit virus corona.</t>
  </si>
  <si>
    <t>@nguyenengh @budimandjatmiko loh emangnya ISIS itu agamanya islam ya? katanya ISIS itu tidak punya agama, yg bener yg mana?</t>
  </si>
  <si>
    <t>Kepalsuan Khilafah ala ISIS/HTI</t>
  </si>
  <si>
    <t>Rencana Pemulangan Anak-anak WNI Eks ISIS, KPAI Sarankan Ada Penanganan Jangka Panjang</t>
  </si>
  <si>
    <t>Singapura Penjarakan WNI Donatur ISIS</t>
  </si>
  <si>
    <t>Dikarantina di Kapal Pesiar Diamond Princess, WNI Minta Tolak Angin Mie Instan dan Vitamin C</t>
  </si>
  <si>
    <t>Jokowi Minta WNI eks Wuhan di Natuna Diterima saat Pulang</t>
  </si>
  <si>
    <t>JAKARTA, CONTROVERSY ON REPATROATON OF INDONESIANS, FORMER ISIS  lewat @YouTube</t>
  </si>
  <si>
    <t>@arfibambani Naah. Meski begitu mas @innovesian kukuh mengatakan ISIS itu negara. Satu hal yang perlu kita ingat: semangat UU Kewarganegaraan dan peraturan di bawahnya adalah tidak menghendaki seorang eks WNI menjadi stateless.</t>
  </si>
  <si>
    <t>Penolakan kepulangan EKS WNI isi dinilai patut diapresiasi karena ini merrupakan langkah yang tepat yang telah diambil pemerintah #4niesKibul_CancelFormulaE</t>
  </si>
  <si>
    <t>@Je_Ly Begitulah cerita miris dibalik jihad ISIS. Apa benar jaminan masuk surga ? Atau malah sebaliknya, masuk neraka jahanam.</t>
  </si>
  <si>
    <t>#AniesKerenAbis Rasakan Bogem Dari Prof Gayus Ndro:-) 😭 ... Debat Soal WNI Eks ISIS, Gayus Lumbuun Sebut Ngabalin Bodoh #AniesKerenAbis</t>
  </si>
  <si>
    <t>@geloraco Ok yang mutusin pengadilan, tapi apakah pengadilan akan memutuskan para mantan ISIS di terima di Indonesia,yg sudah jelas dia teroris.</t>
  </si>
  <si>
    <t>Observasi Usai, WNI Segera Kembali ke Kampung Halaman</t>
  </si>
  <si>
    <t>pernah pake hodie yg oversize. eh pas di pake, dari ujung rambut ampe ujung kaki kebungkus semua. w udah kaya WNI pulang dari wuhan</t>
  </si>
  <si>
    <t>RT @EKODJONZHI: PKS : Minta pulangkan dan membina anak2 WNI eks ISIS. Jokowi : Potong pensiun PNS Rp. 300.000,- PKS RADIKAL Jokowi orang baik Sak karepmu bong! 😂😂😂</t>
  </si>
  <si>
    <t>@kjrihkg Terima kasih konfirmasinya Pak, kemarin di Jakarta ada viral text dari ACT menyatakan TKI di HK darurat masker. Jadi Indo itu tidak benar yah Pak. Semoga seluruh WNI di HK sehat selalu.</t>
  </si>
  <si>
    <t>@N1ngW4ng1 Mungkin biar bisa di didik lagi...jadi isis</t>
  </si>
  <si>
    <t>pemerintah Memutuskan tidak akan pulangkan eks WNI Isis #4niesKibul_CancelFormulaE</t>
  </si>
  <si>
    <t>Kemenlu: WNI di luar Hubei bisa pulang ke Indonesia secara mandiri  #VirusCorona</t>
  </si>
  <si>
    <t>@mohmahfudmd Yang begini tidak usah di hiraukan Pak. Masih banyak yg perlu diurus.di dalam negri !!! Terima kasih Pak @mohmahfudmd .masuk di teamnya Pak jokowo.jadi dapat meluruskan yg bengkok2.karena bapak lebih tahu.daripada mereka yg suka sok tahu .Dan sok peduli eks kombatan isis</t>
  </si>
  <si>
    <t>RT @vctrkmng: Itu ex ISIS minta pulang ke Indonesia apa nanti nda nyesel? Tar sampe sini ngomel-ngomel: harga bahan pokok mahal, intoleransi terhadap minoritas masi terjadi, penanganan pelanggaran HAM nda selesai-selesai, dsb. Coba deh klen pikirin lagi rencana pulang klen itu 🙂</t>
  </si>
  <si>
    <t>Keputusan Terburu-buru Tak Pulangkan eks WNI ISIS</t>
  </si>
  <si>
    <t>KPAI sebenernya = Komisi Perlindungan Anak Indonesia ??? atauuuu KPAI = Komisi perlindungan Anak Isis??????? 😆😆😆😆 RT @AnakKolong___: CONGOR @KPAI_official . . Anak² pengungsi jemaah Ahmadiyah di NTB, Anak perempuan dianiaya di Purworejo, di Malang anak dibully sampai patah tangan, kalian BUTA, BISU &amp; TULI. Giliran anak² ISIS CONGOR KALIAN NYARING. . .</t>
  </si>
  <si>
    <t>@kamuusiapaaaaaa @AhlulQohwah Krik..........krik..........krik Jadi begitulah bapak ibu sekalian, otak klo sudah dikotori paham ISIS, salahpun masih dianggapnya bener, betul.......??? Atw bgmana klo kakang prabu berangkat ke kamp pengungsi disana n cari tau.........</t>
  </si>
  <si>
    <t>@WahabisLokal Yang katanya anak" eks WNI pro ISIS bisa d bina, sama ibu kandungnya aja berani membunuh apalagi Ama org lain.</t>
  </si>
  <si>
    <t>@misake89847474 @dusrimulya Ini 3 Hak WNI Eks ISIS Menurut Mantan Hakim Agung Gayus Lumbuun: Dia Punya Hak untuk Kembali</t>
  </si>
  <si>
    <t>@komodoers @Ari3Pras @timursuprabana @jokowi Pertanyaannya adalah "Apakah ISIS itu sebuah negara?"</t>
  </si>
  <si>
    <t>@Jean_Aprilia97 Bedanya isis sama PKI apa yah?</t>
  </si>
  <si>
    <t>RT @ariomazda: Hilangnya status WNI diatur poinnya dalam UU 12 Tahun 2006. Mengambil sumpah setia ke negara asing termasuk, sementara terlibat tindak kriminal di luar negeri tak termasuk. Tanpa sedikitpun meremehkan kejahatan RS, keduanya beda konteks. Toh RS pun sudah dipidana seumur hidup.</t>
  </si>
  <si>
    <t>Esok observasi terakhir, begini proses pemulangan WNI di Natuna ke Jakarta</t>
  </si>
  <si>
    <t>Elfi mengaku, meski berada di lokasi karantina dan tidur di Hanggar, namun terasa berada di hotel bintang lima. / #Regional</t>
  </si>
  <si>
    <t>... smoga segala sesuatunya berjalan lancar... aamiin.</t>
  </si>
  <si>
    <t>@CNNIndonesia *anak anggota ISIS eks WNI.</t>
  </si>
  <si>
    <t>@CNNIndonesia @wiradharmaw @Kemlu_RI Punten ini beneran wni yg kerja ga ada yang kena corona samsek ? Padahal mereka satuu tempat denga 218 orang yg posistif subhanaAllah banget kalau benerann 😭😇 semoga benerann yaa beritanya</t>
  </si>
  <si>
    <t>@dusrimulya @mohmahfudmd Penasaran gue kenapa pada kekeh banget pada mau mulangin, jujur basic gue bukan hukum, dan gue ga akan bahas status wni, tapi coba baca deh UU nomor 6 tahun 2011 pasal 98, sama peraturan pemerintah nomor 31 tahun 2013 pasal 236</t>
  </si>
  <si>
    <t>@DayatPondok @mohmahfudmd Yg pergi ikut isis itu bukan mau mengejar sorga dunia toh boss..pingin bisa motong orang pingin bisa ngebom bunuh diri tpi di mall di masjid..pikiranya kalu udah ikut isis jadi tuhan hidup poya poya bebas segalanya mati masuk sorga..kok nyalahin pemerintahan..mikir mikir</t>
  </si>
  <si>
    <t>@dusrimulya @mohmahfudmd Kaca mana kaca.... Ada orang tolol pencium pantat ISIS 🤣🤣🤣</t>
  </si>
  <si>
    <t>@KBRITokyo #NegaraMelindungi seluruh WNI dimanapun mereka berada, salah satunya dengan mengirimkan bantuan seperti masker, jamutolak angin dll pada WNI yang dikarantina</t>
  </si>
  <si>
    <t>RT @Ama_xxii: Yth. @jokowi @mohmahfudmd @BNPTRI @MardaniAliSera @hnurwahid @fadlizon @PKSejahtera @KomnasHAM @KPAI_official jika dgn alasan kemanusian kalian ingin pulangkan anak2 ISIS, sdh kah kalian kemanusiaan kalian bagi anak2 korban bom teroris ISIS ini?? #TolakAnakISISKembali</t>
  </si>
  <si>
    <t>@AhlulQohwah Kayaknya untuk masalah isis, masih ada yg berpikir pas ortunya lagi perang perangan sama misahin kepala orang, anaknya polos cuman maen gundu dibelakang rumah</t>
  </si>
  <si>
    <t>@ZheeOmega @BadjaNuswantara @KPAI_official Santai bro...kan kata pak presiden kan ISIS eks WNI.....KAN KATA KPAI ..WNI EKS ISIS.......jadi y GK ada yg harus di pulangkan....mereka kan ISIS EKS WNI.....jadi bukan WNI lagi.....clear kan</t>
  </si>
  <si>
    <t>Ga usah sok bela2in anak bekas WNI itu. Wong anak, cucu dari tapol napol di republik ini aja sampe skrg ga boleh ini itu.</t>
  </si>
  <si>
    <t>@Polsekkarangma1 Eks ISIS jgn boleh kembali ke indonesia</t>
  </si>
  <si>
    <t>@AHSANFURQANIBR5 @jokowi salah mereka sendiri sapa suruh jadi isis</t>
  </si>
  <si>
    <t>@MohammadMakruf @ruben_yuanito @PartaiSocmed @SuburBur @RajaAbsolut @muhammadiyah Hehehee Mendugaduga dan sok tahu itu dilakukan semua netizen jg apalagi skrg kpd pemerintahan @jokowi , 😏☹ Daripada jd sok jd pahlawan kpd eks aggt isis yg dibungkus dgn HAM 🤗🤗🤗</t>
  </si>
  <si>
    <t>Kombatan ISIS yang kini antara lain bermukim di Turki, Suriah dan Irak. Jokowi semula menyatakan “TIDAK”, tapi “saya harus tunggu Ratas ya.....”. Seakan-akan kekuatan Ratas kabinet lebih besar daripada kekuasaan Presiden RI.</t>
  </si>
  <si>
    <t>RT @WidasSatyo: Kalo argumentasi PKS ingin memulangkan mereka adalah atas dasar solidaritas sesama umat muslim, ya saya nanya aja. Apakah ISIS menganggap umat Islam lainnya, yg berbeda dgn mereka, adalah saudara?? Lah wong disini aja yg mengkafirkan sesama muslim masih banyak. 😊</t>
  </si>
  <si>
    <t>@mediaindonesia menurut itu bro,,, Kalau menurut kami di larang keras eks Indonesia yg sudah masuk ISIS pulang ke Indonesia penghianat tetap penghianat,,, kalau bung Nasir mau pencitraan jgn ngomongin ISIS terus,yg lain aje,,,</t>
  </si>
  <si>
    <t>@irawan_djoko @BadjaNuswantara @budimandjatmiko Orang sempit mah bebas, lepas dr topik jg bebas. Isis ke Kpps. Pemerintah menjamin tiap warga negara ! Kl mereka ke sana dan secara sadar ingin lepas kewarganegaraan knpa kita ngoyo pertahankan ? Pemerintah kn kasihan kl anak" ldr sm ortu 😀😀😀 krn mulangin ortu ga mungkin 😂😂</t>
  </si>
  <si>
    <t>Meski berada di lokasi karantina dan tidur di Hanggar, namun terasa berada di hotel bintang lima. &gt; #Regional</t>
  </si>
  <si>
    <t>@mohmahfudmd Mari kita sebarkan produk hukum ini supaya yg koar2 pengen Eks WNI pro ISIS paham isi undang2</t>
  </si>
  <si>
    <t>Saya sih yessss,, Dengan terima anak isis sama aja simpan bom waktu,,gak ada bedanya Ama ortu mereka,karna doktrin yg mereka terima itu sama,,, Saya juga #TolakAnakISISKembali RT @edysimjbi: #TolakAnakISISKembali</t>
  </si>
  <si>
    <t>@jek___ Boleh gak sih Sampo Hijab dipake hijabers anggota ISIS. Palang Parkir di Pencet sbentar Jadi Ngangkat Berdiri, apakah itu termasuk Hyper sexs bang. Klo nyebrang di jembatan goyang boleh sambil di sawer gak sih. #BincangAkhlak</t>
  </si>
  <si>
    <t>@Je_Ly Cekal mereka semua seluruh ex WNI ISIS yg mau plg k tanah air, baik yg msh anak2 maupun dewasa...mereka bsa jd kerikil tajam yg mengancam ideologi Pancasila yg sdh mnjadi kesepakatan para pejuang kemerdekaan mnjelang proklamasi. #TolakEksWNIproISIS #TolakAnakISISKembali</t>
  </si>
  <si>
    <t>RT @KompasTV: Jawa Timur Lokasi Pemulangan Terbanyak WNI yang Dikarantina dari Virus Corona</t>
  </si>
  <si>
    <t>@dusrimulya Pasukan isis masuk dalam definisi "tentara" menurut kamus besar bahasa indonesia. Goblok amat si nih org pengacara gadungan</t>
  </si>
  <si>
    <t>@SuburBur Kebayang ga kalo yang didik itu pro ISIS. 😅</t>
  </si>
  <si>
    <t>@VeritasArdentur Yg asisten RT di singapore kmrn bukan ras mongoloid, WNI wong jowo gitu. Tetap ada potensi tertular ke semua etnis</t>
  </si>
  <si>
    <t>Langkah Pemerintah Tolak Pulangkan Eks WNI ISIS Sudah Sesuai Kaidah Ajaran Islam #4niesKibul_CancelFormulaE</t>
  </si>
  <si>
    <t>Tunggu. Ini ngomong 78 wni yg di atas princess, udah termasuk dari 300-400 orang yg telah di tes ato gimana? Gue baru td pagi ato kemaren malem baca, yg di princess itu blom di tes smua loh. Cmiiw</t>
  </si>
  <si>
    <t>@dusrimulya Tentara dlm kamus besar punya bbrapa arti, antara lain : laskar atau pasukan (yg punya senjata dan berperang. tdk disebutkan wjib dri satu negara resmi). Jdi tentara asing itu artinya, pasukan yg punya senjata dan berperang. Isis punya pasukan bersenjata dan mrk berperang..,,,..</t>
  </si>
  <si>
    <t>RT @ObaiIdon: ingin membunuh setiap pendukung isis dengan cara seperti ini.</t>
  </si>
  <si>
    <t>&lt;&amp;lt;&amp;lt;pemerintahan ISIS&gt;&amp;gt;&amp;gt; RT @oooyyuk: @muhammad_ridhaa @dusrimulya @mohmahfudmd Bergabung dgn Tentara ISIS artinya bergabung dgn Dinas Tentara Asing, krn jelas Tentara ISIS itu bagian dari pemerintahan ISIS. Skrg jelas kan, knp disebut "dinas"?</t>
  </si>
  <si>
    <t>238 WNI dari Tiongkok Pulang ke Daerah Asal Sabtu 15 Februari 2020, Jokowi Minta Masyarakat Tak Ketakutan</t>
  </si>
  <si>
    <t>@mohmahfudmd Apakah ini artinya anak2 mereka pun juga bukan WNI ya Pak? Ga usah dibalikin ke RI kl gitu, msh byk anak2 terlantar didalam negeri yg perlu diurus.</t>
  </si>
  <si>
    <t>Menolak Anggota ISIS Bukti Pemerintah Serius Perangi Teroris #4niesKibul_CancelFormulaE</t>
  </si>
  <si>
    <t>RT @Gregoriusigo_: Apa emang pejabat pemerintahan lebih memikirkan dunia luar ketimbang dunia dalam negri sendiri ya 1.Masalah Intoleransi yg masih sangat kental. 2.Masalah bullying masih sering terjadi. Tapi yg di pikirin ISIS muluk,ayolah dalam dulu baru luar @KPAI_official @Kemenag_RI @jokowi</t>
  </si>
  <si>
    <t>@dusrimulya @mohmahfudmd kamu anggota isis???????</t>
  </si>
  <si>
    <t>RT @vivanewscom: Testimoni Awak WNI Kapal Pesiar yang Dikarantina akibat Virus Corona  #vivanews</t>
  </si>
  <si>
    <t>@jafarash13 @Galinggaling2 @miqa0912 @ariel_heryanto @sudjiwotedjo Isis tdk punya teritori yg diakui secara de fakto maupun de jure oleh negara2 lain ataupun PBB. Jadi bertempur buat Isis tdk berarti hapusnya kewarganearaan seseorang. dan pembakaran passport bisa dipidana dgn alasan pembakaran dokumen negara. Koreksi bila salah @ariel_heryanto</t>
  </si>
  <si>
    <t>2. Kredibilitas seorang psikologi diliat dari background pendidikan dan sertifikat profesi udah gitu ini masalah rawan banget karena hubungan nya sama mental. 3. Pemulangan eks kombatan anak2 isis, alhasil lebih memilih mengamankan diri atau terlalu idealis membawa anak2 pulang.</t>
  </si>
  <si>
    <t>Testimoni Awak WNI Kapal Pesiar yang Dikarantina akibat Virus Corona  #vivanews</t>
  </si>
  <si>
    <t>Anjay lah sel polymorphonucelar WNI terlatih bro, strong parah RT @CNNIndonesia: Pemerintah Jepang menyatakan sebanyak 218 penumpang kapal pesiar Diamond Princess terinfeksi virus corona. @Kemlu_RI pun menuturkan bahwa 78 orang WNI yang merupakan kru dari kapal pesiar tersebut dalam kondisi sehat dan negatif virus corona.  #CNNIndonesia</t>
  </si>
  <si>
    <t>Kenapa mantan isis dibuat ribet urusan kaya gini bgt sih? Kayanya masih banyak hal yg kepentingannya lebih tinggi dibanding ini. Ada apa coba.. RT @AhlulQohwah: Di Malang anak dibully sampai patah tangan anteng, di Purworejo anak perempuan dianiaya anteng. Giliran anak ISIS suaranya kenceng.</t>
  </si>
  <si>
    <t>@BapakPol @JohnIrwan4 @MaryanaNunung @CANDAdanBISNIS @Dickusnadi1 @2024GanjarRisma @evisuryanti10 @kasrulsani9 @TukangMu @MOMDian2 @wantahgdn @felixaaf1 @RizkiR4madani @Edward_1smail @LiaIsti1 @jubrik844 @Recoignitionwal @periani @eddies_song @wartawankoboi13 @CumiCue @AdigunaAtmaja @Iqbalkuntoro1 @RazkaFaiz @zaenalkase03 @MukhtarLuthfi12 @Maranatha_Sibrn @Zulfika35354359 @babegalak1 @Jokoumb64504158 @73hermantjoe @SetiaAdy_p @dian_ibunda @SultanAnjar @GendengHrs @demartinnie @gimbal_keren @ANDRE_OCTA_ @AnkyOsama @Mulia07094480 @MukhtarLuthfi11 @New_BUFFETT @Arieamy3 @TheEndTri1 @irfanudinmoh3 @01_commando @denni_loyz @tiluseptember @PetrusBun @arifsamsul_ma Nah pengikutnya disuruh dukung isis berarti di indonesia banyak. Jangan di tambah yg disuriah mau dipulangkan ke indonesia . Biar pengikut abu ini aja yg kesana.</t>
  </si>
  <si>
    <t>Kepala Kantor Staf Presiden Moeldoko mengatakan, status kewarganegaraan eks anggota kelompok militan ISIS dianggap sudah tak memiliki kewarganegaraan Indonesia.</t>
  </si>
  <si>
    <t>AKHIRNYA..</t>
  </si>
  <si>
    <t>Ke-238 WNI menjalani observasi selama dua pekan. Evakuasi 238 WNI yang kebanyakan mahasiswa itu berlangsung 31 Januari silam.</t>
  </si>
  <si>
    <t>@collegemenfess Jurusan : mau bikin bom pasti Univ : awas nanti jadi isis</t>
  </si>
  <si>
    <t>@boy_185 @ustadtengkuzul Pki kini sudah berubah ujud menjadi khilafah yg salah kaprah .contohnya isis.</t>
  </si>
  <si>
    <t>Orang2 yg ngotot memulangkan ex WNI pro ISIS itu pasti pendukung ISIS. Mereka ingin menjadikan Indonesia basis ISIS berikutnya. @PKSejahtera @hnurwahid @ustadtengkuzul @Kemenag_RI RT @detikcom: Presiden PKS Sohibul Iman meminta pemerintah memulangkan anak-anak ISIS eks WNI. Anak-anak itu, menurut Sohibul, dapat dibina di Indonesia. #PKS #ISIS</t>
  </si>
  <si>
    <t>Mantul Bapak Presiden @jokowi Menag ke mana ?! kok kagak ngurusin intoleransi ini ?! Lha kok malah sibuk ngurusin para Janda Eks.ISIS ,🤣🙈🤭 #gantimenag</t>
  </si>
  <si>
    <t>@jafarash13 @Galinggaling2 @miqa0912 @ariel_heryanto @sudjiwotedjo yup ini masuk akal. karna de fakto locus &amp; tempus delictinya perang terjadi di Suriah. Ya peradilan Suriah lah yang mempunyai wewenang mengadili. Pemerintah RI hanya bs memberikan pendampingan hukum saja. Namun perlu dicatat ISIS bukan lah negara</t>
  </si>
  <si>
    <t>RT @dondihananto: - Tolak Angin - Mie Sedaaap Cup - Nutrisari - Kecap Bango - Sambel Belibis - Boncabe Habis ini WNI buka warung di atas kapal pesiar</t>
  </si>
  <si>
    <t>sa ae kbri tokyo ngambil fotonya pas banget ... alhamdulillah tuk wni yg sehat. RT @j_zkr: @KBRITokyo ✅Tolak Angin ✅ Mie sedap kuah baso spesial ✅ Mie sedap cup kari spesial (?) ✅ Bon Cabe level 15 ✅ Sambel Dua Belibis ✅ Kecap Bango ✅ NutriSari Florida Orange ✅ NutriSari Sweet Orange Kurang freshcare, koyo, energen, sama magic com. Indonesian Siap menghadapi segalanya</t>
  </si>
  <si>
    <t>Tentu dalam hal ini #BIN telah memikirkan dan mempertimbangkan segala halnya terkait eks Kombatan #ISIS , semoga Indonesia selalu aman dan damai. #nkri #indonesia #keamanan #eksisis</t>
  </si>
  <si>
    <t>RT @MetroTVNewsRoom: #METROTVNEWSROOM "Setelah kehancuran ISIS, sejumlah pengikut ISIS yang berasal dari luar Suriah menjadi pengungsi yang tersebar di 3 camp pengungsian. Ada beberapa negara yang sebenarnya melakukan pemulangan warga mereka. @Metro_TV</t>
  </si>
  <si>
    <t>@KBRITokyo #NegaraMelindungi para WNI yang dikarantina agar merayakan valentine dengan minum TOLAK ANGIN 😁</t>
  </si>
  <si>
    <t>@maumangoo Tapi di bali katanya udh ada yg kena?atau cua wna jga yg kena bukan wni nya?</t>
  </si>
  <si>
    <t>KPAI Komisi perlindungan anak isis Wes kpai bubar wae bubar  RT @AhlulQohwah: Di Malang anak dibully sampai patah tangan anteng, di Purworejo anak perempuan dianiaya anteng. Giliran anak ISIS suaranya kenceng.</t>
  </si>
  <si>
    <t>@GunRomli Kejar target korupsi buat proyek dmn2 selagi msh bs maling, klu proyek distop isu isis muncul lagi. Serem komplotan zaman anies nih</t>
  </si>
  <si>
    <t>RT @demokrasicoid: Desmond: Bagaimana Kalau Anak ISIS Eks WNI Keponakan Mahfud?</t>
  </si>
  <si>
    <t>@ApriliaLin Nama juga zonk.. egk kagetlah. Oh iya di zonk sebelum bacotnya kaor kaor ttg isis suruh diskusi dulu sama Menhan .</t>
  </si>
  <si>
    <t>Komnas HAM: Eks ISIS Berhak Meminta Status Warga Negara</t>
  </si>
  <si>
    <t>@DPP_PKB Klu bisa pemerintah Indonesia meminta kepada Pemerintah Suriah agar tahanan eks WNI ini di tembak mati semuanya</t>
  </si>
  <si>
    <t>Jika dalam proses kepulangan secara mandiri itu para WNI mengalami kendala, bisa meminta bantuan kepada KBRI Beijing.</t>
  </si>
  <si>
    <t>@dusrimulya @mohmahfudmd Mungkin hanya pak mahfud yang mengakui ISIS sbg negara</t>
  </si>
  <si>
    <t>@muhammad_ridhaa @dusrimulya @mohmahfudmd Bergabung dgn Tentara ISIS artinya bergabung dgn Dinas Tentara Asing, krn jelas Tentara ISIS itu bagian dari pemerintahan ISIS. Skrg jelas kan, knp disebut "dinas"?</t>
  </si>
  <si>
    <t>#valentinebukanbudayakita Budaya kita adalah lebih kasak kusuk, ribut sana sini urus WNI ex ISIS dibanding lebih peduli dengan izin membangun/memiliki tempat ibadah utk minoritas. Mari berkasih sayang ❤️</t>
  </si>
  <si>
    <t>RT @jambiseru: Kemenkes: Tidak Ada yang Sakit, Masa Observasi WNI di Natuna Selesai</t>
  </si>
  <si>
    <t>WNI gabung #ISIS bisa kehilangan kewarganegaraan secara otomatis @mohmahfudmd merujuk pada UU Nomor 12 Tahun 2006 tentang Kewarganegaraan. Tonton #video selengkapnya di  #foreignterroristfighters #FTF #terorislintasnegara #Suriah #Mahfudmd #menkopolhukam</t>
  </si>
  <si>
    <t>RT @okezonenews: Besok 238 WNI di Natuna Dipulangkan, Diangkut dengan Pesawat TNI ke Jakarta #TauCepatTanpaBatas #BeritaTerkini #Berita #News #BeritaNasional .</t>
  </si>
  <si>
    <t>@jokowi Alhamdulilah saya masih yakin dan percaya, bahwa Islam bukanlah seperti yg ditampilkan oleh ISIS dkk. Tapi kalau ternyata demikian adanya saya lebih memilih tidak beragama (Murtad).</t>
  </si>
  <si>
    <t>@muhammad_ridhaa @dusrimulya @mohmahfudmd ISIS itu punya struktur layaknya pemerintahan, punya pemimpin, punya tentara, punya warga, punya wilayah (yg diklaim Irak dan Suriah) Yg tdk dipunyai hanya "pengakuan internasional" sbgaimana syarat menjadi negara berdaulat berdasar konvensi montevideo.</t>
  </si>
  <si>
    <t>@eko_kuntadhi ISIS eks WNI cuuk.. KPAI ke sana aja. dampingi terus, klo udah capek baru pulang ke Indonesia. Ingat, jgn bawa mereka!</t>
  </si>
  <si>
    <t>Sudah jelas sekarang! Jangan ada lagi perdebatan tentang kepulangan eks WNI pengikut ISIS. #TolakEksWNIproISIS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</si>
  <si>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RT @fajaralam9: @samhudibae TERNYATA = Ada ISIS Gendut di NKRI</t>
  </si>
  <si>
    <t>@ardhy661 @detikcom Mereka sdh bakar paspor dan bukan WNI lagi.. Lo aja yg bina mereka..sanggup???</t>
  </si>
  <si>
    <t>Besok 238 WNI di Natuna Dipulangkan, Diangkut dengan Pesawat TNI ke Jakarta #TauCepatTanpaBatas #BeritaTerkini #Berita #News #BeritaNasional .</t>
  </si>
  <si>
    <t>RT @YohanesPatty2: @Hanifah933 @nonmolare @fadlizon ternyata pernah menyerahkan bantuan ke kelompok radikal sekitar USD 20000., maksudnya apa ???? Kenapa kencang amat @fadlizon ingin eks WNI di pulangkan dari kelompok ISIS ????</t>
  </si>
  <si>
    <t>@Dwiyana_DKM Gw yakin dulu lu nikmati juga liat orang2 dibunuhin isis 😒</t>
  </si>
  <si>
    <t>@AhlulQohwah Duitnya kenceng kalo bela ISIS</t>
  </si>
  <si>
    <t>@CNNIndonesia Kalau posisi mereka di Indonesi dan warga Indonesia,Indonesi wajib melindungi bukan anak anak aja org tuanya juga. Mereka bukan warga indonesia lagi mereka ex WNI ISIS Ngapain di lindungi.yang melindungi mereka itu keluarganya.</t>
  </si>
  <si>
    <t>RT @CNNIDdaily: Produser Lapangan Aditya Aksani: Masa Observasi dari para WNI ini masih terus berlangsung dan pada tanggal 15 Februari 2020 akan dilakukan pemulangan kepada para WNI yang melakukan observasi di Natuna. #CNNIDPrimeNews</t>
  </si>
  <si>
    <t>@_miamal Iya sis gangerti lagi aku sama WNI hshshdjdk 😭 kan setidaknya terpapar terus-terusan gitu lho... apalagi kalo kru kapal yang bagian ngelayanin penumpang</t>
  </si>
  <si>
    <t>78 orang wni tersebut, sakit sedikit mungkin langsung kerokan + teh manis anget dan tidak lupa tolak angin atau bodrex 🤭 semoga sehat2 terus sodara2ku sebangsa dan setanah air RT @CNNIndonesia: Pemerintah Jepang menyatakan sebanyak 218 penumpang kapal pesiar Diamond Princess terinfeksi virus corona. @Kemlu_RI pun menuturkan bahwa 78 orang WNI yang merupakan kru dari kapal pesiar tersebut dalam kondisi sehat dan negatif virus corona.  #CNNIndonesia</t>
  </si>
  <si>
    <t>@tubirfess ISIS itu ya muslim, mereka itu orang yang beriman kepada Allah dan Muhammad rosulnya, Hanya saja pendeknya akal dan interpretasi mereka tentang firman Allah serta sabda Rasul saja yang salah,</t>
  </si>
  <si>
    <t>@DayatPondok @mohmahfudmd Terus mereka memilih keluar dari WNI, ya sudahlah. Deal. Jangan minta kembali.</t>
  </si>
  <si>
    <t>RT @wangdendo: @KPAI_official diBUBARIN aja pak Presiden @jokowi ,@PolhukamRI giliran ada bullying anak sekolah , pelecehan seksual anak2 mereka BUNGKAM disaat ttg anak isis mereka BERKOAR seakan akan punya nurani ! @Jeki_Ayu @MbakNevi @LuwitaEmilly878 @annacantique @KSPgoid @KelianBanjar_GK</t>
  </si>
  <si>
    <t>RT @Usep210: @DayatPondok @mohmahfudmd Logika anda menyesatkan. Mereka gabung ISIS lebih pada keyakinan ideologi yg berlebihan seakan mereka yg paling benar dan berhak hidup. Selain kelompok mereka wajib dibunuh. Lihat cara2 mereka selama ini yg tersebar di youtube. Sesama muslim juga mereka bunuh kok.</t>
  </si>
  <si>
    <t>Yang melakukan screening sendiri adalah otoritas Jepang dan mereka menyatakan 78 WNI negatif virus corona......... Berarti WNI bener2 sakti mandraguna semuanya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</si>
  <si>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@CNNIDdaily: Sabtu, 15 Februari, genap 14 hari masa observasi WNI yang dievakuasi dari Wuhan, Tiongkok. Pemerintah pun telah menyusun skenario penjemputan dari Natuna. #CNNIDAfter10</t>
  </si>
  <si>
    <t>@null Besok 238 WNI di Natuna Dipulangkan, Diangkut dengan Pesawat TNI ke Jakarta Masa</t>
  </si>
  <si>
    <t>@zoelfick sama kaya komnas ham ribet amat mikirin isis mau plg ke indonesia. ga mikir nasib korban akibat teroris di indonesia kaya gmn skr</t>
  </si>
  <si>
    <t>Persiapan jelang pemulangan WNI di Natuna terus dilakukan, mereka begitu antusias karena akan segera pulang bertemu keluarga di daerah masing-masing. #CNNIDNewsReport</t>
  </si>
  <si>
    <t>Kuda Troya Dari Suriah #ISIS #RepublikMerdeka</t>
  </si>
  <si>
    <t>@toasan @mohmahfudmd Tentara dlm kamus besar punya bbrapa arti, antara lain : laskar atau pasukan (yg punya senjata dan berperang. tdk disebutkan wjib dri satu negara resmi). Jdi tentara asing itu artinya, pasukan yg punya senjata dan berperang. Isis punya pasukan bersenjata dan mrk berperang.</t>
  </si>
  <si>
    <t>@kamuusiapaaaaaa @AhlulQohwah Elu maennya kurang jauh.. Coba gugling anak2 isis deh, byk yg dr kecil bahkan balita udah ditanamkan ideologi sbg pembantai...</t>
  </si>
  <si>
    <t>@salahsambungya KPAI versi Komisi Perlindungan Anggota ISIS kayanya. Kalo Komisi Perlindungan Anak Indonesia ga bakal laa kaya begitu, yaqueen😌</t>
  </si>
  <si>
    <t>@kangdede78 100% setuju, bang Kemaren teriak2 WNI di Wuhan harus dievakuasi segera. Bgitu dilakukan, lalu respons masyarakat di Natuna memanas, politikus koplak nya LANGSUNG MEMBISU. Mungkin ngambil pop corn dan coca cola mau nonton KERICUHAN kali ya #lol</t>
  </si>
  <si>
    <t>harusnya wni penyandang dana isis baik langsung maupun tidak langsung jg hrs bs dipidana. cc @PPATK @BNPTRI @DPR_RI @PolhukamRI @jokowi RT @KompasTV: Pengadilan Singapura Jatuhkan Hukuman Penjara Kepada 2 WNI Penyandang Dana ISIS</t>
  </si>
  <si>
    <t>@MediaRakyat_ @mohmahfudmd Tentara dlm kamus besar punya bbrapa arti, antara lain : laskar atau pasukan (yg punya senjata dan berperang. tdk disebutkan wjib dri satu negara resmi). Jdi tentara asing itu artinya, pasukan yg punya senjata dan berperang.Isis punya pasukan bersenjata dan mrk berperang. Ngerti?</t>
  </si>
  <si>
    <t>RT @sendysuwanto: @Je_Ly Gilanya ISIS membohongi anak anak . Mereka mana mengerti kalau membakar paspor tidak bisa kembali ke negara asalnya. Anak anak tsb sangat teracuni doktrin" menyesatkan dan menganggap Negara kelahirannya adalah Salah . Perlu dipertimbangkan meskipun mereka anak".</t>
  </si>
  <si>
    <t>Dan ada yg iba dgn eks WNI ISIS yg pingin mulih 😢 RT @KompasTV: Pengadilan Singapura Jatuhkan Hukuman Penjara Kepada 2 WNI Penyandang Dana ISIS</t>
  </si>
  <si>
    <t>@zarazettirazr Anak2 or ogr ex isis itu sdh dgn "sukarela" kluar n bakar paspor. So, mrka sadar dong, u/ ga lg jd wni. Kalo balik ke sini, statusnya ya jd wna.</t>
  </si>
  <si>
    <t>@detikcom Anak2 kombatan isis adalah anak2 yg sudah dibina, didokrin, dilatih fisik dan mentalnya untuk membunuh siapapun yg dianngapnya musuh.. Sgt bahaya.. Apakah negara sudah siap menghadapinya?</t>
  </si>
  <si>
    <t>@_miamal Cuma di saat begini aku bersyukur jadi WNI /heh</t>
  </si>
  <si>
    <t>"ISI Surakarta? Oh kirain ISIS" Lo pikir lo lucu</t>
  </si>
  <si>
    <t>FJI Protes Gereja di Mal hingga Derita Anak Indonesia Eks ISIS</t>
  </si>
  <si>
    <t>@_UsbinDunda @mohmahfudmd Uu 12 thn 2006 pasal 23, huruf d. Hilang status wni jika: d. masuk dalam dinas tentara asing tanpa izin terlebih dahulu dari Presiden; Jelas isis bukan negara tapi mrk adalah tentara asing. Dan mrk sdh bergabung dg tentara asing. Jd mrk bukan wni lagi. huruf d tdk ada kt negra</t>
  </si>
  <si>
    <t>RANGKAIAN PERJALANAN 238 WNI DARI WUHAN HINGGA RENCANA PEMULANGAN KE DAERAH. #TauCepatTanpaBatas</t>
  </si>
  <si>
    <t>Gubernur @ganjarpranowo berpesan kepada masyarakat agar mau menerima dengan baik para WNI dari Tiongkok yang telah dikarantina itu. Jangan takut dan mengucilkan mereka lantaran khawatir tertular virus corona.</t>
  </si>
  <si>
    <t>Ya Allah ini kenapa ngakak bacain reply. Hahhahahaa Sehat2 selalu WNI di sana yaa.. 🙏🙏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</si>
  <si>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@KIDBILL3 Kalo ada yang tidak percaya sama pemerintah, fix dia kadrun, dan barisan sakit hati, eks ISIS, atau pasukan HTI #4niesKibul_CancelFormulaE</t>
  </si>
  <si>
    <t>Pemerintah berhak memilih tidak mengembalikan WNI eks ISIS.</t>
  </si>
  <si>
    <t>@dusrimulya @mohmahfudmd Kepanjangan isis itu apa?? Walau ga ada yg mengakui isis sebagai negara tapi mereka sudah memproklamirkan diri mereka sebagai sebuah negara.</t>
  </si>
  <si>
    <t>RT @muhammad_ridhaa: Keluar dari kewarganegaraan itu bukan dengan menyobek passport, Coeg. Lama kelamaan KTP terkelupas dianggap membatalkan status WNI kalau macam begini pemikirannya. 🤦‍♂️</t>
  </si>
  <si>
    <t>@HafitSetyabudi @mohmahfudmd Tentara dlm kamus besar punya bbrapa arti, antara lain : laskar atau pasukan (yg punya senjata dan berperang. tdk disebutkan wjib dri satu negara resmi). Jdi tentara asing itu artinya, pasukan yg punya senjata dan berperang. Isis punya pasukan bersenjata dan mrk berperang. Paham?</t>
  </si>
  <si>
    <t>KPAI = Komisi Perlindungan Anak Isis RT @AhlulQohwah: Di Malang anak dibully sampai patah tangan anteng, di Purworejo anak perempuan dianiaya anteng. Giliran anak ISIS suaranya kenceng.</t>
  </si>
  <si>
    <t>@HafitSetyabudi @mohmahfudmd Uu 12 thn 2006 pasal 23, huruf d. Hilang status wni jika: d. masuk dalam dinas tentara asing tanpa izin terlebih dahulu dari Presiden; Jelas isis bukan negara tapi mrk adalah tentara asing. Dan mrk sdh bergabung dg tentara asing. Jd mrk bukan wni lagi. Tdk ada kt negara asing</t>
  </si>
  <si>
    <t>Pemerintah Verifikasi Data Warga Indonesia Eks ISIS</t>
  </si>
  <si>
    <t>Setiap orang berhak mendapatkan perlindungan, termasuk anak² kombatan eks isis ("yang dulu dari indonesia") tapi BUKAN PERLINDUNGAN DARI PEMERINTAH INDONESIA termasuk dari lembaga apapun yg membawa² nama pemerintah indonesia. Ada lembaga dunia internasional yg bisa mengurusi itu RT @kamuusiapaaaaaa: @AhlulQohwah Logikanya gini aja mas, ada anak yg ayah nya membunuh, apakah dia seorang pembunuh? Apakah dia tak berhak mndapatkan perlindungan? Tentu berhak!</t>
  </si>
  <si>
    <t>Proses karantina terhadap 238 orang warga negara Indonesia (WNI) dari Wuhan Tiongkok di Natuna terkait virus corona, akan selesai pada Minggu (16/2/2020). Setelah itu, pemerintah akan memulangkan ratusan WNI itu ke kampung halaman masing-masing, termasuk Jawa Tengah.</t>
  </si>
  <si>
    <t>Busyed!! Jauh2 kerja di negara orang gajinya utk mendanai gerakan ISIS. Udah pada keracunan agama beneran dah sebagian orang Indonesia ini.</t>
  </si>
  <si>
    <t>@KyaiMblebes @mohmahfudmd Uu 12 thn 2006 pasal 23, huruf d. Hilang status wni jika: d. masuk dalam dinas tentara asing tanpa izin terlebih dahulu dari Presiden; Jelas isis bukan negara tapi mrk adalah tentara asing. Dan mrk sdh bergabung dg tentara asing. Jd mrk bukan wni lagi. Biat otaknya terbuka</t>
  </si>
  <si>
    <t>@budimandjatmiko Isis membuat citra agama Islam jd buruk, dan bang @budimandjatmiko ini konsisten menyampaikan hal2 negatif tntang islam. Ada yg punya pemikiran yg sama?????</t>
  </si>
  <si>
    <t>@samhudibae Heran deh..padahal Isis tuh jahat banget sampe bunuh manusia. Tp kok didukung Gila!</t>
  </si>
  <si>
    <t>Trus yg dirikwes WNI di situ : tolak angin &amp; mie sedap 😅 RT @CNNIndonesia: Pemerintah Jepang menyatakan sebanyak 218 penumpang kapal pesiar Diamond Princess terinfeksi virus corona. @Kemlu_RI pun menuturkan bahwa 78 orang WNI yang merupakan kru dari kapal pesiar tersebut dalam kondisi sehat dan negatif virus corona.  #CNNIndonesia</t>
  </si>
  <si>
    <t>ingin membunuh setiap pendukung isis dengan cara seperti ini. RT @yudhapati88:</t>
  </si>
  <si>
    <t>pemerintah wajib menolak combatan anak2ISIS eks WNI,lbih baik melindungi 175jt anak2 yg ada di Negeri Sendiri,@Jokowi dan pemerintah wajib membubarkan @KPAI_official yg pola pikir &amp;kerjanya msh kekanak-anakan #TolakISISexWNI</t>
  </si>
  <si>
    <t>RT @Jokowinomics_id: “...bahwa kami sekali lagi ingin menegaskan dan tadi juga Bapak Presiden RI @jokowi mengatakan bahwa tidak ada lagi pemulangan atas ISIS atau anggota ISIS eks WNI,” ucap @fadjroeL ⁣ ⁣ ⁣ ⁣ #WNIEksISIS #IndonesiaMaju #MenujuIndonesiaMaju</t>
  </si>
  <si>
    <t>DINKES Tanjungpinang Pastikan 7 WNI Negatif Terpapar Virus Corona .</t>
  </si>
  <si>
    <t>@JunjungUji otomatis gugur.. artinya pmrnth tinggal mbuat nama2...eks WNI tsbt jika terdata ....lwt imigrasi...jika tdk terdata..???🤔🤔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</si>
  <si>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Ini salah satu sebab virus Corona ga bisa menjangkiti WNI, kami punya senjata rahasia dengan kearifan lokal, jamu tolak angin, mie instan penuh micin dan uang benggol buat kerokan. Go to Hell, Corona!! 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</si>
  <si>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RT @arga_dermawan: PBNU dukung sikap tegas Pemerintah tokak pemulangan eks WNI ISIS #4niesKibul_CancelFormulaE</t>
  </si>
  <si>
    <t>@jr_kw19 Fadli Zonk itu benar &amp; baik niatnya , anak2 eks WNI pro ISIS dipulangkan di Indonesia dan semuanya di tampung di rumahnya FADLI ZONK skalian merangkap sebagai AYAH BARU dari anak2 itu saya mendukungnya</t>
  </si>
  <si>
    <t>RT @Ama_xxii: @salahsambungya Kata @KPAI_official yg kek gituan kga ada duitnya....mending ngurusin anak-anak ISIS, kl berhasil dipulangin jelas ada anggara gede..</t>
  </si>
  <si>
    <t>@isis_janelle @jeybizxc Kirindut ka talaga sisa</t>
  </si>
  <si>
    <t>Menko Jelaskan Alasan Pemerintah Cabut Kewarganegaraan Eks ISIS</t>
  </si>
  <si>
    <t>@WR_4AG226 Lah, ini jelas2 anak Indonesia. Dan jelas2 tdk terkait ISIS aja msh bs di ajarin Intoleran. Gmn yg nyata2 kombatan ISIS. Trus di pulangin. Trus mo di bina. Trus pembina2 nya model guru2 di sekolah ini... Beres lah NKRI ini🙄🙄🤔🤔</t>
  </si>
  <si>
    <t>@kumparan Memangnya ibu2 pembom gereja di surabaya itu ikut perang? Itu sj contohnya. Ngotot bgt sih belain ISIS?</t>
  </si>
  <si>
    <t>@CNNIndonesia Komisi perlindungan anak isis</t>
  </si>
  <si>
    <t>Hadiri juga beri masukan agar pertemuan selanjutnya masuk penjelasan KTKLN, aturan pajak bagi WNI di luar negeri, NPWP dan Kartu BPJS.#inidiplomasi #rintiskemajuan #diasporaindonesia @Kemlu_RI @KemenkeuRI @menakertrans @BPJSKesehatanRI</t>
  </si>
  <si>
    <t>@P3nj3l4j4h_id Secara tidak langsung guru ini bagian dai ISIS, dan tidak mengakui keberagaman Agama... sekalian aja gak usah pake hape karena dibuat oleh non-muslim...</t>
  </si>
  <si>
    <t>@GUSDURians Udah bagus pemerintah enggak mulangin eks WNI, kombatan isis. Alasannya: 1. Sudah ada di undang² 2. Mereka sudah punya ideoligi bernegara sendiri, dimana ada ideologi baru yg tertanam akan menjadi parasit, dan sulit dibasmi 3. Mereka melakukannya tanpa izin pd pemerintah.</t>
  </si>
  <si>
    <t>Pengadilan Singapura Jatuhkan Hukuman Penjara Kepada 2 WNI Penyandang Dana ISIS</t>
  </si>
  <si>
    <t>Proses pemulangan akan dilakukan pada Sabtu (15/2/2020).</t>
  </si>
  <si>
    <t>@CNNIndonesia Bukan WNI om. Tapi EKS WNI. SEKIAN.</t>
  </si>
  <si>
    <t>Sekedar pengingat...</t>
  </si>
  <si>
    <t>@threeratno @dusrimulya YANG JELAS.. yg gabung ISIS itu PENGKHIANAT..</t>
  </si>
  <si>
    <t>RT @triwul82: Bagaimana anak2 Isis dididik menjadi teroris, simak pengakuan anak ini yg pernah ikut pelatihan ISIS, selama disana anak2 kecil menjadi prioritas utama dijadikan radikal sekaligus dicuci otak untuk jadi pembunuh sadis dng dalil agama</t>
  </si>
  <si>
    <t>78 orang WNI ini diperiksa sama otoritas jeoang. Weird, right?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</si>
  <si>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@D_Ones10: Hal ini merupakan dilema. Anak memang seharusnya patuh dan taat kepada orangtuanya. Jangankan tuk pergi "jihad", orang tua pindah kota karena pekerjaan anak juga ikut. Disisi lain, pulangan anak eks WNI pro ISIS, spt menanam bom waktu. #TolakAnakISISKembali</t>
  </si>
  <si>
    <t>@wahhabicc_jabar @KPAI_official Secara tidak langsung KPAI mengakui bagian dari ISIS</t>
  </si>
  <si>
    <t>@jokowi KL MENGGUNAKAN HUKUM NEGARA YG BERKEADILAN. MAKA STOP PEMULANGAN ANGGOTA ISIS EKS WNI. KL INGIN ALASAN KEMANUSIAAN MAKA HARUS BERDASARKAN NILAI NILAI KEBENARAN. (SUDAH TEPAT APA YG DIAMBIL KEPUTUSAN PEMERINTAH)</t>
  </si>
  <si>
    <t>@dusrimulya ISIS mau negara atau bukan bodo amat, yg jelas ISIS bikin kekacauan.</t>
  </si>
  <si>
    <t>@kamuusiapaaaaaa @AhlulQohwah Bukankah Bani Kalian Selalu Berkoar2 Ttg PKI,,,??? Knp ? Karena Apa ??? Logikanya Sama Ideologi Klw Sudah Masuk Ke Manusia Yg Dangkal Ilmu &amp; Iman Ya Seperti Itu !!! Tega Membunuh dll &amp;amp; Susah Untuk Dihilangkan Jd ISIS Tak Jauh Beda Dengan PKI FAHIMTUM !!!</t>
  </si>
  <si>
    <t>@seruanhl koq mirip ex ISIS ya, ISIS juga setelah kalah minta balik ke yang dia sudah tinggalkan... iieessshhhh</t>
  </si>
  <si>
    <t>@AhlulQohwah kpai = Komisi Perlindungan Anak Indonesia? atau ISIS?</t>
  </si>
  <si>
    <t>wni tubuhnya kuat, tapi hatinya lemah :( RT @CNNIndonesia: Pemerintah Jepang menyatakan sebanyak 218 penumpang kapal pesiar Diamond Princess terinfeksi virus corona. @Kemlu_RI pun menuturkan bahwa 78 orang WNI yang merupakan kru dari kapal pesiar tersebut dalam kondisi sehat dan negatif virus corona.  #CNNIndonesia</t>
  </si>
  <si>
    <t>Aku muslim tapi ya gak mau cuci tangan dengan bilang ISIS itu bukan islam. ISIS itu Ya muslim kalau memang dia beriman kepada Allah dan ajaran Muhammad S.A.W. Hanya interpretasi mereka tentang kalam Allah dan Sabda Rasul saja yang salah. RT @tubirfess: Gimana 2beer!</t>
  </si>
  <si>
    <t>@dusrimulya @mohmahfudmd Kenapa Isis ex WNI bisa bakar paspor dan ikut berperang ? krn mereka memahami bahwa Isis itu negara berbentuk khilafah sesuai impian mereka. Stlh kalah baru berdalih macam² krn ingin pulang. Kalaupun ada saudara saya ikut disitu, sy gak akan membelanya. Itu pendapat saya</t>
  </si>
  <si>
    <t>@arisaijaz @dusrimulya @mohmahfudmd isis itu tentara asing? rujukanya apa? isis itu tidak lain sebatas geng yg lg kopdar. lucu memakai uu 12/2006 utk menghapus kewarganegaraan seseorang, sementara unsurnya tdk ada yg terpenuhi. RIP HUKUM INDONESIA</t>
  </si>
  <si>
    <t>yg tidak dipulangkan pemerintah itu wni eks isis ato isis eks wni? hmmm</t>
  </si>
  <si>
    <t>PBNU dukung sikap tegas Pemerintah tokak pemulangan eks WNI ISIS #4niesKibul_CancelFormulaE</t>
  </si>
  <si>
    <t>Membayangkan: seandainya Gus Dur masih ada, dia akan mendukung pemulangan atau menolaknya juga? Bagaimana ia merangkul Ahamadiah, bagaimana ia tetap meneruskan hubungan diplomasi dengan Israel adalah bukti pemikirannya yg visioner. Lantas bagaimana dgn mantan ISIS?</t>
  </si>
  <si>
    <t>@AnakKolong___ @Eureeka__ KPAI sungguh memuakkan, mungkin udah suspect virus khilafah/ISIS - kah?</t>
  </si>
  <si>
    <t>WOW Indonesia hebat ya, semoga semakin sedikit WNI yang kena corona, dan yang kena corona diberikan kesembuhan. AMIN RT @CNNIndonesia: Pemerintah Jepang menyatakan sebanyak 218 penumpang kapal pesiar Diamond Princess terinfeksi virus corona. @Kemlu_RI pun menuturkan bahwa 78 orang WNI yang merupakan kru dari kapal pesiar tersebut dalam kondisi sehat dan negatif virus corona.  #CNNIndonesia</t>
  </si>
  <si>
    <t>Hilangnya Kewarganegaraan Harus Melalui Putusan Pengadilan Bukan Pernyataan Pemerintah. #RezimJKWRampokBUMN Ini 3 Hak WNI Eks ISIS Menurut Mantan Hakim Agung Gayus Lumbuun : Dia Punya Hak Untuk Kembali.</t>
  </si>
  <si>
    <t>Perang Priyayi vs Kyai di Istana ISIS Eks WNI ala Priyayi - Jokowi - Moeldoko WNI Eks ISIS ala Kyai - Maruf Amin - Mahfud MD Priyayi dan Kyai Memang sulit bersepakat, bahkan soal Pondasi Dasar Istilah saja sudah tidak klop dan saling bersaing God vs King 🌐</t>
  </si>
  <si>
    <t>@tubirfess Spill dong sapatu yg bilang isis saudara muslim</t>
  </si>
  <si>
    <t>@CNNIndonesia @Kemlu_RI WNI tuh udah imun banget. Bayangin aja kita sering minum es teh manis yg airnya dari air mentah, makan pake tangan cuci tangannya cuma pake air kobokan, makan gorengan pinggir jalan yg udah kecampur debu. Timbang corona doang mah imun tubuh WNI ga ada apa-apanya.</t>
  </si>
  <si>
    <t>So far.. blom ada WNI jadi korban RT @Jatosint: I KNEW IT</t>
  </si>
  <si>
    <t>@CNNIndonesia @Kemlu_RI Apakah 78 orang WNI tersebut ditemukan dalam kondisi habis dikerok dan disuguhi teh hangat dan tolak angin?</t>
  </si>
  <si>
    <t>RT @kisbet_: Kepada @KPAI_official kalian tau gak mengenai trinity dan alvaro. Mrka sedang berjuang setiap hari memulihkan diri. Daripada kalian mengurusi anak2 ISIS eks WNI mending mikirin mrka ini dan anak2 sekolah korban bully.</t>
  </si>
  <si>
    <t>Observasi di Natuna Segera Berakhir, WNI dari Wuhan Lanjutkan Kuliah Secara Online : Okezone Lifestyle | #gayahidup #viral &gt;&amp;gt;&amp;gt; Click</t>
  </si>
  <si>
    <t>RT @jawapos: Menolak Kepulangan Eks WNI Anggota ISIS</t>
  </si>
  <si>
    <t>Lihat Cara Panglima TNI dan Kapolri Sapa WNI yang Jalani Observasi di Natuna</t>
  </si>
  <si>
    <t>@DanielPSimbolon @BadmintonTalk Kalo mau pindah jd WNI you're very welcome loh mbak marin</t>
  </si>
  <si>
    <t>@budimandjatmiko jualanya isis mulu, miskin narasi</t>
  </si>
  <si>
    <t>@tempodotco Mereka pergi sendiri dan bergabung dgn ISIS dan membakar semua indentitas kewega negaraan Indonesia, berarti sudah bukan WNI.</t>
  </si>
  <si>
    <t>@ephraym8 @alex_hunter146 @yusuf_dumdum @Mataka81760170 @ganjarpranowo @KPAI_official lg sibuk ngurusin anak2 isis yg mo plng ke indonesia</t>
  </si>
  <si>
    <t>Saling Silang Wacana Pemulangan Eks ISIS - DUA ARAH (Bag1)  lewat @KompasTV</t>
  </si>
  <si>
    <t>@unclekrabbs Ayam isis.</t>
  </si>
  <si>
    <t>Status WNI Eks Kombatan ISIS Akan Dipertegas Lewat Keputusan Presiden  #Polhukam</t>
  </si>
  <si>
    <t>Sejauh ini, Kemlu RI menuturkan kondisi WNI di kapal pesiar itu dalam kondisi sehat dan negatif virus corona. (dea)</t>
  </si>
  <si>
    <t>Kementerian Luar Negeri RI mengatakan masih terus berkoordinasi dengan KBRI Tokyo dan juga otoritas setempat untuk terus mengetahui perkembangan dan kondisi para WNI yang terjebak di kapal tersebut.</t>
  </si>
  <si>
    <t>@BonnieTriyana Lah kejadian 1965 sampe Orba bercokol itu kan beda kasus. Mereka sekolah lalu pecah peristiwa itu, screening, abis itu diteror, mereka dicabut atau lari. ISIS beda lagi, mereka yang mau kok.</t>
  </si>
  <si>
    <t>Isis itu apa? Ngadem nang ngarep kipas angin?</t>
  </si>
  <si>
    <t>RT @yusuf_dumdum: Dua Gubernur memiliki pandangan berbeda soal isu pemulangan eks ISIS ke Indonesia. Like ❤️: Ganjar Pranowo menolak tegas rencana pemulangan 600 kombatan ISIS ke Indonesia. RT 🔁: Ridwan Kamil setuju 600 ISIS dipulangkan ke Indonesia, asal sudah insyaf. Kamu setuju dg siapa ?</t>
  </si>
  <si>
    <t>Beneran gak sih 78 WNI negatif corona🤯 padahal ada 218 penumpang positif... 🤯🤯🤯🤯 keren bgt imunnya RT @CNNIndonesia: Pemerintah Jepang menyatakan sebanyak 218 penumpang kapal pesiar Diamond Princess terinfeksi virus corona. @Kemlu_RI pun menuturkan bahwa 78 orang WNI yang merupakan kru dari kapal pesiar tersebut dalam kondisi sehat dan negatif virus corona.  #CNNIndonesia</t>
  </si>
  <si>
    <t>@ustadtengkuzul @jokowi Kalian kesal gak isis gak boleh pulang?? Kami sih happy. Happy valentine teroris</t>
  </si>
  <si>
    <t>RT @Harian_Jogja: Status Kewarganegaraan Anggota ISIS Eks WNI Bisa Hilang, Ini Penjelasan Mahfud MD</t>
  </si>
  <si>
    <t>mau contoh budaya ISIS? mendingan palentinan 😆😆 #valentinebukanbudayakita RT @WagimanDeep: Tenangkan hatimu wahai @KPAI_official urusan anak perempuan yang di buli di Purworejo kmaren pak @ganjarpranowo sudah langsung Gercep selesaikan...klean KPAI konsentrasi ke anak2 eks WNI pro ISIS saja kerna lebih banyak duitnya disitu,</t>
  </si>
  <si>
    <t>Membahagiakan anak lewat kebohongan putih (white lie) itu sehat, spt di video ini &amp; di film "Life is Beautiful" saat ayahnya pura2 main petak umpet pdhl mau dieksekusi Nazi. Yg buruk adalah membohongi anak bhw temannya kafir &amp;amp; layak dibunuh (spt doktrin ISIS) RT @heniunique: The cutest thing ever 😍 One of the greatest gifts a person can give another is SUPPORT. Hadiah apa yang paling berkesan dalam hidup kamu, share donk (ga mesti benda atau uang). Sy mau isi pulsa, yuk sekalian. 50K masing2 buat 2 orang. ⚘RT ⚘Reply #ValentinesDay2020</t>
  </si>
  <si>
    <t>@Galihzainur1 @fadlizon @felixsiauw @MardaniAliSera @hnurwahid @KPAI_official @KomnasHAM @Kemenag_RI Ideologi radikalis itu kan khilafah. Bukankah ini beririsan dengan flatform perjuangan pks,hti,fpi., Ya jelas meraka pengen anggota isis itu pulang. Mayan bisa bantu bantu melanjutkan kampanye ideologi.</t>
  </si>
  <si>
    <t>@dusrimulya @mohmahfudmd Mereka berperang melawan negara "sah" Suriah/Irak. Kalau mereka WNI berarti Republik Indonesia terlibat dalam pemberontakan di Suriah/Irak karena ada WNI yang terlibat fisik di sana. Sepertinya logika anda yang terlalu sempit.</t>
  </si>
  <si>
    <t>@_wni_ Kepala otak sia fitnahh 😭🤟🏻</t>
  </si>
  <si>
    <t>Anjir kebal banget wni ga ada yg terjangkit, hamdalahh 👋 RT @CNNIndonesia: Pemerintah Jepang menyatakan sebanyak 218 penumpang kapal pesiar Diamond Princess terinfeksi virus corona. @Kemlu_RI pun menuturkan bahwa 78 orang WNI yang merupakan kru dari kapal pesiar tersebut dalam kondisi sehat dan negatif virus corona.  #CNNIndonesia</t>
  </si>
  <si>
    <t>Kan sudah jelas, mereka ex ISIS keluar dari NKRI gabung ISIS yang teroris...Lah kok minta balik..hadehh..tetap Tolak Kombatan ex ISIS kembali ke Indonesia..#SaveIndonesia</t>
  </si>
  <si>
    <t>RT @BuddhisGL: Kami yang menyatakan setia pada NKRI, UUD 45, Pancasila, Bhinneka Tunggal Ika, seringkali harus sombong &amp; menguatkan hati karena diusir-usir &amp;amp; tak dianggap sebagai WNI. Mereka yang jelas-jelas menolak Pancasila, menyatakan diri bukan WNI dengan merobek passportnya, diajak pulang</t>
  </si>
  <si>
    <t>@detikcom WNI mah tinggal di kerok sama minum teh anget juga sembuh kayanya</t>
  </si>
  <si>
    <t>@CNNIndonesia @Kemlu_RI Seriusan? Kebal amat WNI ini</t>
  </si>
  <si>
    <t>ISIS bukan manusia😡 RT @AyunindyaRizkya: alih-alih menghidupkan agama Islam, yang ada malah mencoreng Islam serta membuatnya terlihat buruk di mata manusia.</t>
  </si>
  <si>
    <t>@detikcom Nahkan gk semuanya mantan isis itu pnya paham radikal, kbnyakan mereka tertipu dgn propaganda isis. Mw balik bingung krn paspor terlanjur dbakar, uangpun habis..</t>
  </si>
  <si>
    <t>RT @ArdinalRais: Jauh lebih berbahaya KORUPTOR daripada Eks ISIS. Indonesia darurat koruptor daripada teroris.</t>
  </si>
  <si>
    <t>RT @twitpos: Bagaimana kalau seandainya anak eks ISIS tersebut ponakan Pak Mahfud ? Pimpinan Komisi III DPR mendukung upaya pemulangan anak-anak dari para anggota ISIS eks Warga Negara Indonesia (WNI) ke tanah air.</t>
  </si>
  <si>
    <t>Perang Priyayi vs Kyai di Istana Bantah Jokowi dan Moeldoko, Mahfud MD : Status WNI Eks ISIS Belum Dicabut 🌐</t>
  </si>
  <si>
    <t>RT @muk_ridwan: Mereka memang anak2,namun mereka sudah di persiapkan untuk menjadi mesin pembunuh untuk masa depan dan sebagai pembela ideologi isis. #TolakAnakISISKembali #AwasAntek2ISIS</t>
  </si>
  <si>
    <t>HAH GILA WNI BENERAN KUAT BGT INI IMUN NYA 😭 RT @CNNIndonesia: Pemerintah Jepang menyatakan sebanyak 218 penumpang kapal pesiar Diamond Princess terinfeksi virus corona. @Kemlu_RI pun menuturkan bahwa 78 orang WNI yang merupakan kru dari kapal pesiar tersebut dalam kondisi sehat dan negatif virus corona.  #CNNIndonesia</t>
  </si>
  <si>
    <t>Waktu anak2 di Indonesia kena korban bully, kalian KPAI pada kemana ??????? Giliran yg udah bakar passport aja disorot tapi yg di Indonesia dan masih 100% WNI dilupain! RT @CNNIndonesia: KPAI: Pemerintah Wajib Lindungi Anak WNI Eks ISIS</t>
  </si>
  <si>
    <t>Perang Priyayi vs Kyai di Istana Moeldoko : 689 ISIS Eks WNI Sudah Berstatus Stateless 🌐</t>
  </si>
  <si>
    <t>Lima Orang Dari Jambi, Ini Daftar Lengkap WNI yang Diobservasi di Natuna -  | Berita Jambi Digital</t>
  </si>
  <si>
    <t>@rafifkwren2 emng keren wni</t>
  </si>
  <si>
    <t>@pujangga1123 Pantas Fadli sonk ngotot minta dipulanggin exs ISIS. Ternyata salah satu donatur.</t>
  </si>
  <si>
    <t>@CNNIndonesia Bgitu byk prmasalahan yg mendera Anak2 di Tanah Air yg lbih urgent, knapa yg jdi fokus kepedulian KPAI Anak2 Eks WNI ISIS? Apakah KPAI kini sdh berubah haluan jdi corong pelindung kaum Radikal&amp;Teroris pganut khilafah?</t>
  </si>
  <si>
    <t>Perang Priyayi vs Kyai di Istana Jokowi Pakai Istilah 'ISIS Eks WNI', Ini Penjelasan Istana 🌐</t>
  </si>
  <si>
    <t>Simak dengan baik @MardaniAliSera @msi_sohibuliman spy lebih cerah, kepentingan Bangsa dan Negara ini lebih utama dr 600 eks ISIS. Memulangkan eks ISIS sama dengan menggadaikan NKRI utk masa kedepan yg suram. Perlu ada materi kebangsaan dlm agenda PKS kedepan sepertinya.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</si>
  <si>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Kita harus dukung pemerintah lah, bahaya kalo mereka eks ISIS kembali ke Indonesia dan membawa "Virus" baru bags Indonesia..satu kata TOLAK</t>
  </si>
  <si>
    <t>Jauh lebih berbahaya KORUPTOR daripada Eks ISIS. Indonesia darurat koruptor daripada teroris. RT @fadjroeL: Perintah Presiden @jokowi bahwa pemerintah tidak akan memulangkan anggota ISIS asal Indonesia ~ #Jubir #BungJubir @Kiyai_MarufAmin @KemensetnegRI @setkabgoid</t>
  </si>
  <si>
    <t>RT @PakPeni: Komisi Perlindungan Anak ISIS 🤣</t>
  </si>
  <si>
    <t>@KPAI_official iki sek diurus. Gausah adoh2 ngurusi anake isis RT @PenjahatGunung: Jadinya gimana nih kasusnya????</t>
  </si>
  <si>
    <t>RT @IshakSitorus: @ArdianZA_099 @fadlizon Pak @prabowo kader yg begini masih mau di pertahankan? Anda sdh bagian dr pemerintahan @jokowi , berpolitik lah yg elegan kalo mau oposisi mundur lah dr kabinet. Kalo mau ikut pemerintahan yg berjalan tegurlah kader yg bloon ini @fadlizon dan ngeyel ini. ISIS koq di bela terus..</t>
  </si>
  <si>
    <t>Perang Priyayi vs Kyai di Istana Jokowi : ISIS Eks WNI Bukan Lagi Tanggung Jawab Negara 🌐</t>
  </si>
  <si>
    <t>Tiga hak WNI eks ISIS menurut mantan Hakim Agung Prof. Gayus ~ Hak kembali ke Indonesia ~ Hak diusir ~ Hak Meminta kembali menjadi bagian dari WNI #HakWNIEksISIS</t>
  </si>
  <si>
    <t>Tidak sesuai Realita. Fokus kerja tapi ekonomi nyungsep dan mentok di 5%.korupsi meroket Tdk ada pelanggaran HAM tp eks isis ditolak,puluhan org meninggal saat demonstrasi. Islam sejalan dgn demokrasi tp dtduh radikal. Tdk ada politik dinasty..tapi ikut menikmatinya.</t>
  </si>
  <si>
    <t>@AtikaFaya KPAI itu Kadrun Pejuang Anak-anak ISIS! Udah jelas kok isinya kadruners semua!</t>
  </si>
  <si>
    <t>Virusnya insekyur sama WNI..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</si>
  <si>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@andalasiy @AAR63028211 @CNNIndonesia Hillary Clinton sdh jelas ktkan bhw ISIS buatan as</t>
  </si>
  <si>
    <t>@fadjroeL @jokowi @Kiyai_MarufAmin @KemensetnegRI @setkabgoid Jauh lebih berbahaya KORUPTOR daripada Eks ISIS. Indonesia darurat koruptor daripada teroris.</t>
  </si>
  <si>
    <t>@CNNIndonesia @Kemlu_RI Sumpah? Ini WNI sakti amat sih??</t>
  </si>
  <si>
    <t>RT @NewsArrahmah: Tulisan Menohok Dina Sulaeman: Kasihan Anak-anak ISIS?</t>
  </si>
  <si>
    <t>@dusrimulya @mohmahfudmd Jadi seseorang jika terhubung dengan pemberontak dan perusuh di negara asing bahkan memusuhi negara sendiri status hukum kewarganegaraan tetap begitu? Emang elo pembela ISIS sih. Mayoritas rakyat jauh penting daripada curut2 ISIS.</t>
  </si>
  <si>
    <t>@P3nj3l4j4h_id Pimpinan di negeri inilah MASIH MENUNGGU &amp; BERHARAP dengan keturunan ISIS dan YATIM PIATU. Ono merupakan BOM WAKTU yang sewaktu -waktu menghancurkan Indonesia sesuai misi mereka. Masih banyak WNI yang terlantar perlu dibantu ketimbang KETURUNAN ISIS.</t>
  </si>
  <si>
    <t>@bayo_edy @mohmahfudmd KL MENGGUNAKAN HUKUM NEGARA YG BERKEADILAN. MAKA STOP PEMULANGAN ANGGOTA ISIS EKS WNI. KL INGIN ALASAN KEMANUSIAAN MAKA HARUS BERDASARKAN NILAI NILAI KEBENARAN. (SUDAH TEPAT APA YG DIAMBIL KEPUTUSAN PEMERINTAH)</t>
  </si>
  <si>
    <t>RT @Aldiasman: @CNNIndonesia Anak² eks WNI itu secara hukum sudah WNA, itu menurut UU KEWARGANEGARAAN RI dan pendapat Prof Cholil Nafis, Prof. Hikmahanto J. KPAI wajib melindungi anak lonte yg dijebak di Padang, apakah dia masih bisa makan skrg.</t>
  </si>
  <si>
    <t>Daftar Lengkap Daerah Asal Ratusan WNI Diobservasi Corona di Natuna</t>
  </si>
  <si>
    <t>RT @Prolink_85: @ariel_heryanto Ini paparan saya soal hal itu prof. Perlu dilihat dengan jernih dan tak generalisasi.</t>
  </si>
  <si>
    <t>@mohmahfudmd KL MENGGUNAKAN HUKUM NEGARA YG BERKEADILAN. MAKA STOP PEMULANGAN ANGGOTA ISIS EKS WNI. KL INGIN ALASAN KEMANUSIAAN MAKA HARUS BERDASARKAN NILAI NILAI KEBENARAN. (SUDAH TEPAT APA YG DIAMBIL KEPUTUSAN PEMERINTAH)</t>
  </si>
  <si>
    <t>RT @miqa0912: @ariel_heryanto Tenang prof mereka akan diadili oleh negara yg berhak mengadili mereka</t>
  </si>
  <si>
    <t>"Paling tidak, yang dia lakukan sekarang, tidak ingin bawa oleh-oleh baju kotor," ujar Yuri.</t>
  </si>
  <si>
    <t>@DayatPondok @mohmahfudmd Berarti negara2 eropa dll yg warganya jg ikut isis, mrk negara gagal donk? Kok guvluk 🤣🤣 Lgsg aja jujur nyerang pemerintahnya, jgn dicocoklogi gini yg ga masuk akal</t>
  </si>
  <si>
    <t>@BadjaNuswantara #TolakAnakISISKembali Intolerant ' Teroris &amp; perundungan anak2 di sekolah masih jd masalah di negri ini' jangan ditambah dg tukang jagal Kombatan isis</t>
  </si>
  <si>
    <t>@AHSANFURQANIBR5 @mahmud_neo @SetyawanAryf @jokowi Pak udh jelas dsitu, mrka itu udh eks WNI 🙏🙏</t>
  </si>
  <si>
    <t>Kerusuhan di Rutan Kabanjahe pasti berkaitan dengan khilafah. Sebelumnya ada penembakan di Rutan Cipinang. Ini pasti berkaitan. Khilafah kesal karena Yasonna Laoly merusak pesta mereka. Isis bukan warga negara Indonesia, Isis gagal diimpor.</t>
  </si>
  <si>
    <t>Jawa Timur Jadi Lokasi Pemulangan Terbanyak WNI dari Wuhan</t>
  </si>
  <si>
    <t>@haikal_hassan Anda sepertinya kok sdg mejlnkan aksi Provokator, klau memang Anda Provokator, jdlh Provokator yg profesional jgn Amatiran seperti itu. Sbg seorg WNI yg baik!! Manakala ada seorg Pejabat dlm memberikan statement, ada yg kurang tepat mari kita lrskan bersama, dgn memberikan solusi</t>
  </si>
  <si>
    <t>@ANgewelagi GEROMBOLAN ISIS itu berawal dari sekelompok orang berangkat ke Suriah hendak menuju SURGA. Mereka menganut paham ini kaum RADIKAL dan FANATIK terhadap agama tertentu bahkan kini lebih sadis dan membantai sesama kaumnya.</t>
  </si>
  <si>
    <t>@ainouaiken @CNNIndonesia @Kemlu_RI Yang kena Corona hingga meninggal kebanyakan manula. Karyawan kapal pesiar WNI mestinya masih muda, belum kepala 5.</t>
  </si>
  <si>
    <t>RT @FerdinandHaean2: Orang bodoh membandingkan status WNI Reinhard Sinaga di Inggris yg melakukan pidana dgn ISIS EKS WNI. Membandingkan pidana umum dengan terorist sj tak mampu, dasar bego..!!</t>
  </si>
  <si>
    <t>RT @AriestaRiico: Demo aksi Tolak Kombatan ISIS dengan segala Antek anteknya masuk di Indonesia.. #AwasAntek2ISIS</t>
  </si>
  <si>
    <t>@dusrimulya @edwards_bee @mohmahfudmd Lah yg nyebut ISIS itu negara siapa</t>
  </si>
  <si>
    <t>@Fr4nst @SetyawanAryf @IwanKagawa @mahmud_neo @AHSANFURQANIBR5 @jokowi Ayo dukung ISIS merdeka dan jadi satu negara, biar status WNI kombatan ISIS hilang beneran.. bukan hilang krn dipaksakan. Ayo, aku dukung Jokowi utk berstatmen dukung kemerdekaan ISIS, mumpung Indonesia jd anggota DK PBB wkowkokwok</t>
  </si>
  <si>
    <t>Gapapa ini mah. Coba dibayangin anak ISIS gimana. Gak kasian? Jangan nambahin kerjaan KPAI yang udah berat dong RT @black__valley1: Kelakuan bejad ank² jaman sekrng Sekolah tuh buat nuntut ilmu bentuk karakter supaya baik bukn mlh kelakuan kaya preman Ngebully ank org apalagi ank perempuan main pukul main tendang emang kalian pikir itu ga sakitt. Kejadiannya di SMP Muhammadiyah Butuh, Purworejo, Jawa Tengah</t>
  </si>
  <si>
    <t>Waspadai WNI eks ISIS Masuk Indonesia dengan Menyusup, Blokir Semua | #indonesia #viral &gt;&amp;gt;&amp;gt; Click</t>
  </si>
  <si>
    <t>Kalo anak2 eks isis itu udah kepapar radikal gimana, think again dong pak😶 RT @AhlulQohwah: Di Malang anak dibully sampai patah tangan anteng, di Purworejo anak perempuan dianiaya anteng. Giliran anak ISIS suaranya kenceng.</t>
  </si>
  <si>
    <t>Bisa dibayangkan jika polisi menangkap bandar narkoba yg mengedarkan 50 kg sabu, maka ssuai UU, si bandar terancam hukuman mati. Jika mengikuti logika Ngabalin, maka polisi boleh langsung menembak mati si bandar meski tanpa pengadilan? Yg waras ngalah !!</t>
  </si>
  <si>
    <t>#MetroSiang Setelah Presiden RI menyatakan akan menolak kepulangan eks-ISIS ke Indonesia. Pemerintah menyatakan akan mengirim tim gabungan ke Suriah untuk lakukan pendataan kepada para eks-ISIS yang mengaku sebagai WNI tersebut. @Metro_TV</t>
  </si>
  <si>
    <t>@Fr4nst @SetyawanAryf @IwanKagawa @mahmud_neo @AHSANFURQANIBR5 @jokowi ISIS mana ada juga wilayahnya? Wilayah ISISI sudah kembali ke Suriah dan Irak, adoooh goblok. Dibanding ISIS, Papua lebih legit didukung sbg sebuah negara, negara-negara Pasifik sdh siap dukung kemerdekaan Papua. ISIS siapa yg dukung? Kayanya elu deh dukung ISIS MERDEKA! Wkwkwk</t>
  </si>
  <si>
    <t>RT @wesperlok: Anak anak isis di latih menembak...untuk berjihad. Spt ini mau di pulangkan ke Indonesia?? Huh!!</t>
  </si>
  <si>
    <t>@fadjroeL @jokowi @Kiyai_MarufAmin @KemensetnegRI @setkabgoid Opini sy, secara hukum seharusnya pak Presiden menyebutkan "eks WNI" setelah terlebih dulu Kemenkumham menelitinya dgn saksama, baru pak Presiden sebutkan "eks WNI" #BungJubirKangBlokir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</si>
  <si>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RT @urgoodboiiii: @tubirfess Km yg salah tangkap analogi , isis bukanlah ajaran yang diajarkan di islam , gada satu ayatpun nyuruh muslim jadi teroris Di dalam islam juga da beberapa macam ukhuwah , saudara sebagai sesama muslim sesama bangsa dan lainnya</t>
  </si>
  <si>
    <t>RT @Je_Ly: Bayangkan saja... Klo anak2 ISIS dipulangkan... Mereka menyimpan dendam di hati, saat dewasa ketika ada kesempatan berhubungan kembali dg teman2nya yg dianggap sepenanggungan.. merencanakan aksi terorisme u/ balas dendam.. bom waktu itu.. #TolakAnakISISKembali</t>
  </si>
  <si>
    <t>@AhlulQohwah Tidak salah sih ini... kan yang harus dilindungi anak anak wni eks isis, lha keluarga isis kan dah membuang kewarganegaraan, berarti bukan wni dong. Jadi tidak dilindungi tidak apa apa</t>
  </si>
  <si>
    <t>@detikcom PKS ini saja suruh gabung sama ISIS di sana utk membina anak anak itu.., jgn merusak negeri ini wahai PKS..</t>
  </si>
  <si>
    <t>Komisi perlindungan anak isis 😭 Yg lain nya sabar yaa, kalo dah heboh baru turun tangan kok RT @donopradana: Baru tau kepanjangan KPAI dari berita ini, ternyata adalah Komisi Perlindungan Anak ISIS. Maaf ya anak yang dibully di Malang &amp; Purworejo, atau anak2 korban bully diluar sana dimana pun kamu berada, yang bisa bantu kasus kalian emang cuma netizen aja.</t>
  </si>
  <si>
    <t>RT @concatenate_: @aristinnn Kalau di UU 12/2006 tentang Kewarganegaraan RI ada 9 sebab seseorang kehilangan status kewarganegaraan. Untuk kasus ISIS eks WNI, mungkin dekat dengan poin "d", "e," dan "f". Namun, yang perlu diperhatikan adalah apakah ISIS itu sebuah negara?</t>
  </si>
  <si>
    <t>RT @kjrijohorbahru: Inovasi dan peningkatan layanan keimigrasian terus diupayakan oleh KJRI Johor Bahru untuk kemudahan WNI. #IniDiplomasi #NegaraMelindungi</t>
  </si>
  <si>
    <t>RT @kjrijohorbahru: Konjen RI JB, Sunarko, menyampaikan bhw kerja sama dg Pos Malaysia Bhd dimaksudkan utk meningkatkan layanan keimigrasian, khususnya kemudahan layanan pengantaran paspor. Hal ini jg mrp perwujudan komitmen KJRI Johor Bahru utk terus meningkatkan pelayanan &amp; pelindungan bg WNI.</t>
  </si>
  <si>
    <t>@CNNIndonesia Ribet amet KPAI ngurusin ank WNI isis... Mending ngurusin anak2 sekolah yg kena bullying.. makin banyak di sekolah2 sekarang ini,mending fokus disitu</t>
  </si>
  <si>
    <t>@kumparan Untuk urusan anak2 ex WNI ISIS KPAI komentar.. kok urusan begini KPAI dak ada suaranya ya? Apa sayanya yang dak update mungkin..</t>
  </si>
  <si>
    <t>RT @kompascom: "Kita harus waspada, dan harus menyiagakan aparat berwajib untuk melakukan kontrol penuh di seluruh pintu masuk negara," ujar Diaz.</t>
  </si>
  <si>
    <t>RT @AmerEurope: @IlhanMN 3) Data dari FBI, 45 orang Somali yg hidup di Minneapolis telah keluar dari Amerika &amp; bergabung dng al-Shabab di Somalia dan ISIS di Irak/Suriah Yg tertangkap sebelum berangkat juga banyak 👇👇</t>
  </si>
  <si>
    <t>RT @tempodotco: Komnas HAM mengatakan pemerintah perlu mendata perempuan dan anak untuk melihat keterlibatan mereka saat tergabung dengan ISIS.</t>
  </si>
  <si>
    <t>Natuna, 13 Februari 2020 Menkes beserta Jajarannya melakukan Kunjungan Kerja dan Rapat bersama DPR RI Komisi IX untuk membahas pemulangan WNI yang saat ini sudah hampir selasai menjalani program observasi di Kabupaten Natuna.</t>
  </si>
  <si>
    <t>@AnasBanu @mohmahfudmd Peradilan administrasi dilakukan apabila yang bersangkutan merasa dirugikan atas keputusan pemerintah. Pemulangan WNI merupakan keputusan pemerintah tanpa melalui proses peradilan.</t>
  </si>
  <si>
    <t>Keluar dari kewarganegaraan itu bukan dengan menyobek passport, Coeg. Lama kelamaan KTP terkelupas dianggap membatalkan status WNI kalau macam begini pemikirannya. 🤦‍♂️ RT @_mpul: @dusrimulya @mohmahfudmd Dibacal lagi ya bambang, disitu ditulisi tentara Asing, artinya combatan lain diluar kombatan Indonesia spt TNI ataupun combatan lainnya yg secara sah di akui oleh uud dan negara. Lagian mereka sudah meyobek passport Dan menyatakan keluar dari Indonesia. Makan tu HAM!</t>
  </si>
  <si>
    <t>@FaGtng Fadli Zon bagian dari donatur combatan ISIS makanya ngotot pulangkan eks WNI combatan ISIS</t>
  </si>
  <si>
    <t>RT @mulanbilqis: WASPADA WASPADA Masyarakat dan Pemerintah harus waspada ISIS masuk Indonesia dari jalur tak resmi. Semoga tidak ada yang melindungi mereka. 😭😭 #TolakAnakISISKembali</t>
  </si>
  <si>
    <t>#JumatBerkah gaes. Pemerintah telah memutuskan untuk tidak memulangkan mantan kombatan ISIS (belakangan disebut ex-WNI oleh beberapa pejabat publik). Gusmin mau tanya pendapat gaes semua nih. Apakah keputusan pemerintah sudah tepat? Kasih alasannya ya gaes. Nanti Gusmin mau ulas</t>
  </si>
  <si>
    <t>Komnas HAM mengatakan pemerintah perlu mendata perempuan dan anak untuk melihat keterlibatan mereka saat tergabung dengan ISIS.</t>
  </si>
  <si>
    <t>@mohmahfudmd uda jangan jd perdebatan lagi pak. sekali ga pulangin ya jangan pulangin. yg tegas aja krn kalo masih jd perdebatan nanti akan jadi tawar menawar lagi. jangan membela 600 isis ex wni malah membahayakan 260jt wni yg tidak membelot ke isis</t>
  </si>
  <si>
    <t>@jr_kw19 Kl @fadlizon yg penting beda dgn pemerintah. Apapun itu, yg penting beda. Gimana kalau isis mau di pulangkan, suruh tinggal di rmh dia aja semua bareng sm anaknya yg cewe itu.. kl isis nya buat mslh, kita seluruh rakyat indonesia ramai2 sentil2 in biji nya si zonk ini.</t>
  </si>
  <si>
    <t>Jawa Timur Lokasi Pemulangan Terbanyak WNI yang Dikarantina dari Virus Corona</t>
  </si>
  <si>
    <t>RT @Zulkiflilubis71: Baca baik baik Pemerintah tidak berencana untuk memulangkan para anggota ISIS EKS WNI Akal Sehat : Kalau sudah EKS ngapain juga harus di pikirin .. Cari ISU Lain lah yang bisa buat lupa JIWASRAYA ???</t>
  </si>
  <si>
    <t>@nemosyus @Andy_Wijaya_90 @KPAI_official Giliran anak ISIS bersuara. Anak Indonesia lain kena bully sana sini. Diem. Gak KOMNAS HAM ga KPAI, perlu dibenerin deh kayaknya dua komisi ini.</t>
  </si>
  <si>
    <t>miris lihat para pengemis donasi yg selalu membranding pengungsi suriah, tp tar ujung-ujungnya dikasih di eks wni isis, dan bodohnya lagi para pemuja surga selalu mengamini tanpa menggunakan nalar</t>
  </si>
  <si>
    <t>@VIVAcoid Mereka tentara ISIS EX WNI. BUKAN WNI ex ISIS. Mereka bukan WNI. HRS melamar kl mau jd WN sesuatu negara.</t>
  </si>
  <si>
    <t>78 WNI yang jadi awak kapal kayaknya semuanya orang pinter, mangkanya mereka semua minta tolak angin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</si>
  <si>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RT @sirajapadoha: Katanya siZonkok malah mau berangkat ke Suriah kalo pemerintahan pak Jokowi gak mau pulangkan teroris ISIS eks WNI itu,,, kalo benar dia ke Suriah lbh bagus gak usah pulang lg ke Indonesia biar mulut comberannya gak berisik lg</t>
  </si>
  <si>
    <t>Pemerintah memastikan tidak akan membawa pulang eks WNI kombatan ISIS. Keputusan pemerintah ini diambil dalam rapat yg dipimpin Presiden @jokowi di Istana Kepresidenan Bogor, Jawa Barat. Selengkapnya simak wawancaranya di</t>
  </si>
  <si>
    <t>ya bayangin aja dah satu kapal itu hampir kena semua tp wni dites negatif anjay itu kekuatan apaan kalo emg antibodi wni yg kebal nya kebangetan penyakit nya cm masuk angin minum teh anget dikerokin sembuh</t>
  </si>
  <si>
    <t>KPAI: Terdapat 15 Kategori Perlindungan Anak WNI eks ISIS Sementara itu untuk WNI yang ada di Suriah, Presiden Joko Widodo menegaskan negara sudah tidak bertanggung jawab lagi atas 689 WNI eks ISIS</t>
  </si>
  <si>
    <t>Katanya siZonkok malah mau berangkat ke Suriah kalo pemerintahan pak Jokowi gak mau pulangkan teroris ISIS eks WNI itu,,, kalo benar dia ke Suriah lbh bagus gak usah pulang lg ke Indonesia biar mulut comberannya gak berisik lg  RT @SugitoHys: Ooooo yang benar berita ini kalo benar gak usah di kasih ampun langsung di dor aja mumpung tanah masih mau menerima nya</t>
  </si>
  <si>
    <t>@detikcom Kenapa masih dibahas bahas lagi mengenai eks isis ini, apa kurang bukti kebiadaban isis membunuh orang? Atau mau jadikan NKRI bagian dari isis? Para pemimpin/pejabat yg ingin memulangkan eks isis, sebaiknya kalian yang berangkat dan menetap ke suriah.</t>
  </si>
  <si>
    <t>Debat Soal WNI Eks ISIS, Gayus Lumbuun Sebut Ngabalin Bodoh  Youtube :</t>
  </si>
  <si>
    <t>Anak dan Perempuan Eks ISIS Dinilai Pantas Dipulangkan</t>
  </si>
  <si>
    <t>RT @fasyifauzia: "Saya adalah staf akuisisi" - boring - ngebingungin - disangka ISIS "Saya tertarik dengan apa yang Anda miliki" - To the point - menggoda, tapi powerful - Culametan, metmet.. culametan metmet... siga na mah kalau ada makanan di meja, mangga legleg ku sia. Teroret~ Teroret~ 💃</t>
  </si>
  <si>
    <t>RT @jafarash13: @miqa0912 @ariel_heryanto Nah kalau mau indonesia melakukan pendampingan hukum aja kaya reinhard sinaga. Reinhard sinaga juga merkosa cowo tp gak dipulangkan malah diadili di inggris kok. Isis dah bakar masjid, bakar makam nabi, merkosa umat muslim minta dijemput Lu kira jd isis kek liburan @sudjiwotedjo</t>
  </si>
  <si>
    <t>anak multiply jaman dulu yang ikut ISIS siapa ya? ada yg ingat? @duabadai @arddhe</t>
  </si>
  <si>
    <t>@mohmahfudmd Sengaja banyak koment gorengan seolah olah negara TDK bertanggung jawab ..yg jelas tolak keras Kombatan ISIS.. jangan di buat ribet atas nama HAM.</t>
  </si>
  <si>
    <t>RT @R_GUN4W4N: Kisah Bocah eks Tentara ISIS: Tugas Pertama Bunuh Orang Tua Orang tua saja tidak bernilai buat mereka apalagi anda 😭 Masih mau berpikir mengembalikan mereka atas nama kemanusiaan? Apakah ajaran manusia membunuh orang tua ...🙄 #TolakAnakISISKembali</t>
  </si>
  <si>
    <t>Bandara Adisutjipto Siapkan Protap Sambut WNI yang Pulang dari Natuna  #DariSuara</t>
  </si>
  <si>
    <t>Jokowi Minta WNI eks Wuhan di Natuna Diterima saat Pulang  #DariSuara</t>
  </si>
  <si>
    <t>RT @JOINLampung: Bacaan menarik buat @KPAI_official dan @KomnasHAM Monggo dibaca, sebelum anda dan keluarga anda menjadi korban ...😭 PIKIR sebelum Bacot ...!!! #TolakAnakISISKembali</t>
  </si>
  <si>
    <t>@NewsmakerMedcom @Metro_TV Soal Anggota ISIS Yg berasal dari Indonesia, apakah masih warga negara Indonesia atau tidak tak terlalu penting, tetapi Dgn bergabungnya ke ISIS itu menunjukkan bukan hanya tak loyal ke Indonesia tapi sudah jadi "musuh", karena itu tak usah lagi dipikirkan hanya habiskan energi</t>
  </si>
  <si>
    <t>ISIS bukan Tentara Asing Prof @mohmahfudmd 🙏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</si>
  <si>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@BHD_8 Katanya siZonkok malah mau berangkat ke Suriah kalo pemerintahan pak Jokowi gak mau pulangkan teroris ISIS eks WNI itu,,, kalo benar dia jg ke Suriah gak usah pake pulang lg ke Indonesia tuhhh simonyong biar mulut comberannya gak berisik lg</t>
  </si>
  <si>
    <t>RT @John_Muhan: Ada yang bilang gak ada Maling yang pengen anaknya jadi Maling. Itu yang dijadiin alasan buat nerima anak2 eks ISIS. Eh lu pade gak tau ya kalau si Penilep Donasi @hariadhi84 malah kepengen anaknya jadi kayak dia. #HappyValentinesDay</t>
  </si>
  <si>
    <t>#valentinebukanbudayakita valentine (kasih sayang) ditolak isis (penjagal) diterima</t>
  </si>
  <si>
    <t>Gilak! Strong bgt WNI 💪🏻💪🏻💪🏻 RT @CNNIndonesia: Pemerintah Jepang menyatakan sebanyak 218 penumpang kapal pesiar Diamond Princess terinfeksi virus corona. @Kemlu_RI pun menuturkan bahwa 78 orang WNI yang merupakan kru dari kapal pesiar tersebut dalam kondisi sehat dan negatif virus corona.  #CNNIndonesia</t>
  </si>
  <si>
    <t>@pimamanggala Wah lolos dari thermal scanner. Emang hebat WNI.</t>
  </si>
  <si>
    <t>Tulisan Menohok Dina Sulaeman: Kasihan Anak-anak ISIS?</t>
  </si>
  <si>
    <t>@AhlulQohwah @KPAI_official Anak ISIS lebih penting!...</t>
  </si>
  <si>
    <t>@GP_044 @CNNIndonesia Suruh orang tuanya demo dukung ISIS dan bakar KTP om...</t>
  </si>
  <si>
    <t>Gileeee 78 orang WNI ini pake ajian apaaaaa?? RT @CNNIndonesia: Pemerintah Jepang menyatakan sebanyak 218 penumpang kapal pesiar Diamond Princess terinfeksi virus corona. @Kemlu_RI pun menuturkan bahwa 78 orang WNI yang merupakan kru dari kapal pesiar tersebut dalam kondisi sehat dan negatif virus corona.  #CNNIndonesia</t>
  </si>
  <si>
    <t>Org konservatif pernah menolak miyabi dan sasha grey datang ke Indo. Org yg ngakunya progresif menolak mantan ISIS balik lagi ke Indo. Ternyata cara pikir keduanya sama (Pandji, 2020).</t>
  </si>
  <si>
    <t>Akhirnya WNI yang diobservasi di Natuna akan berakhir besok setelah di observasi selama 14 hari sesuai protokol WHO, dan sedang direncanakan pemulangan ke kampung halaman masing-masing. Hal itu disampaikan langsung oleh Menkes dr. Terawan. #ZonaLaguEnak w/ @ankafaza</t>
  </si>
  <si>
    <t>RT @Batak_Moderen: Emangnya ada WNI jadi ISIS? Ga ada tuh Pak</t>
  </si>
  <si>
    <t>Sudah Aman dari Virus Korona, 238 WNI di Natuna Dipulangkan</t>
  </si>
  <si>
    <t>@tubirfess ISIS/teroris kaga islami tapi orangnye bisa Muslim Gitu</t>
  </si>
  <si>
    <t>@CNNIndonesia Anggota ISIS bukan lagi WNI, gak usah diurusi. Masih banyak WNI yg butuh perhatian. Ex ISIS ke laut aja... #TolakAnakISISKembali</t>
  </si>
  <si>
    <t>Soal pencabutan kewarganegaraan WNI eks-ISIS, ini penjelasan Menko Polhukam #20thElshintaNewsAndTalk</t>
  </si>
  <si>
    <t>RT @__interlac_: Ngoahahaha ali ngabalin bodoh 👏👏👏</t>
  </si>
  <si>
    <t>Maksutnya Bukan Agama musuh Pancasila Yat. Tp aku &amp; mungkin yg lainnya juga menafsirkan AGAMA jgn dijadikan POLITIK &amp;amp; APALAGI POLITIK INDENTITAS GITU YAT sgt membahayakan NKRI YAT. Krn banyak WNI yg punya keyakinan lainnya yg dijamin UUD. Gituloh maksutnya YAT. #SemogaDapatKarma RT @hnurwahid: Pernyataan radikal Ketua BPIP itu ahistoric&amp;amp;irrasional. Presiden Sukarno&amp;amp;Suharto tak jadikan Agama sbg musuh Pancasila. Bung Karno muliakan Agama dlm relasi dg Pancasila (saat di BPUPK,Panitya 9 maupun PPKI). BPIP tidak dibentuk unt bikin gaduh spt ini.</t>
  </si>
  <si>
    <t>@kbrisingapura Seandainya semakin memburuk apakah ada kemungkinan larangan untuk WNI mengunjungi Singapore? 😞😞😞 krn sy ada rencana penerbangan kesana di Maret 20 ☹️</t>
  </si>
  <si>
    <t>@AdityaD07596861 @ventableu @TirtoID Iya itu semua kombantannya pasti yahudi 🙄 Ada yg bisa jamin mreka jd agent bla bla bla agar org ga trtipu? Utopis bgt Mreka ga plg biar idup dikamp ttp jd contoh besar klo isis itu teroris</t>
  </si>
  <si>
    <t>Presiden Joko Widodo memberikan keterangan mengenai pemulangan WNI dari Natuna terkait Virus Corona, di sela kunjungan kerja di Taman Nasional Gunung Merapi, Jurang Jero, Magelang, Jawa Tengah, Jumat (14/2).  |@BNPB_Indonesia</t>
  </si>
  <si>
    <t>@dusrimulya @edwards_bee @mohmahfudmd Jd menurutmu ISIS di tolak apa diterima? Gtu aja kok repot..!!!</t>
  </si>
  <si>
    <t>@KBRITokyo Asupan Indomie dan Tolak Angin yang memadai lah yang membuat WNI disana kuat..</t>
  </si>
  <si>
    <t>- Tolak Angin - Mie Sedaaap Cup - Nutrisari - Kecap Bango - Sambel Belibis - Boncabe Habis ini WNI buka warung di atas kapal pesiar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</si>
  <si>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Satu Keluarga WNI di Tanjungpinang Dinyatakan Sehat dan Negatif Virus Covid-19</t>
  </si>
  <si>
    <t>RT @MrsRachelIn: Jelas ya Kombatan ISIS tdk ingin jadi warga negara Indonesia yg mrk cap sbg Negara Toghut. Lalu untuk apa kalian bela2 Klompok Yg bs membahayakan NKRI? Moeldoko: 689 Anggota ISIS Eks WNI Sudah Dikatakan Stateless</t>
  </si>
  <si>
    <t>Uda @arfibambani dan bang @innovesian perlu baca ini deh  RT @arfibambani: Kewarganegaraan tidak semata berdasarkan paspor. Kalau begitu banyak warga kita stateless jadinya. Poinnya materiil spt Anda ungkapkan, angkat senjata buat negara lain. Namun anak2 tak masuk kategori ini krn tdk under consent.</t>
  </si>
  <si>
    <t>Ngoahahaha ali ngabalin bodoh 👏👏👏</t>
  </si>
  <si>
    <t>@CNNIndonesia KPAI itu lindungi dulu anak-anak di NKRI masih banyak yang susah dan miskin ini yang di utamakan dari pada melindungi anak-anak ISIS mereka itu banyak uang bisa pergi dengan keluarga ke Suriah, dalam negeri diselesaikan dulu, masih banyak yg blm tersentuh.</t>
  </si>
  <si>
    <t>Komnas HAM mengatakan mantan anggota ISIS berhak melepas status kewarganegaraan dan berhak mengajukan kewarganegaraan ke negara tertentu.</t>
  </si>
  <si>
    <t>@kangmirdja @BadjaNuswantara @AhlulQohwah @BiLLRaY2019 @heniunique @P3nj3l4j4h_id @rizieqdivist @03__nakula @DjanChoek @JsDeyz @Lucky_HS Zonk kl ISIS ex WNI dah loe jemput hrs diurus dan loe biayain jgn ujung2nya diterlantarkan dan kembali pemerintah yg mengurusnya.</t>
  </si>
  <si>
    <t>78 WNI selamat karena tidak lupa bawa tolak angin(?) 😂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</si>
  <si>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Status Kewarganegaraan Anggota ISIS Eks WNI Bisa Hilang, Ini Penjelasan Mahfud MD</t>
  </si>
  <si>
    <t>Ikut Donasi ISIS, Perempuan WNI Masuk Penjara SIngapura  #Nasional</t>
  </si>
  <si>
    <t>@kamuusiapaaaaaa @AhlulQohwah Kalo pembunuh, perampok juga pemerkosa mereka sebenarnya sadar kalo perbuatannya salah dan tak ingin anak cucunya mengikuti. Kalo ISIS mereka membunuh, merampok dan memperkosa dalam keadaan sadar dan yakin perbuatannya BENAR dan ingin anak cucunya mengikuti</t>
  </si>
  <si>
    <t>@DayatPondok @jazzy867 @mohmahfudmd sudah bukan WNI</t>
  </si>
  <si>
    <t>WNI Ex wuhan sy tdk takut WNI ex Isis sy tdk takut Sy lebih Takut, WNI ex koruptor dan penguasa yg korup, yg kembali dan berada ditengah masyarakat, krn wabahnya sangat jelas sdh bikin 260 rakyat bodoh, miskin dan mati. RT @geloraco: 12 Warga DKI Akan Pulang dari Observasi, Pemprov: Jangan Takut Berinteraksi</t>
  </si>
  <si>
    <t>@andansetyanto @mohmahfudmd Makanya baca UU nya bambang, disitu tertulis "negara asing atau dinas tentara asing", Prof kan mengkategorikan ISIS sbg dinas tentara asing, bukan negara asing.</t>
  </si>
  <si>
    <t>Semoga 78 orang WNI ini tetap sehat RT @CNNIndonesia: Pemerintah Jepang menyatakan sebanyak 218 penumpang kapal pesiar Diamond Princess terinfeksi virus corona. @Kemlu_RI pun menuturkan bahwa 78 orang WNI yang merupakan kru dari kapal pesiar tersebut dalam kondisi sehat dan negatif virus corona.  #CNNIndonesia</t>
  </si>
  <si>
    <t>@alyasyahba iya anjir yg heran 218 org yg kena, 1 wni pun nggak. doain aku survive di bkk!!!</t>
  </si>
  <si>
    <t>@tubirfess Ya sama aja kalo km non islam ya kamu bukan islam Tapi km tetep saudara saya bagaimanapun juga karena sama sama manusia Isis bukan ajaran islam Manusia tetep manusia</t>
  </si>
  <si>
    <t>@aldinalsya @AtikaFaya Terus hubungan demo2 pake bawa2 bendera tauhid maksudnya mau apa? Terus apa hubungannya isis kl arak2an bawa bendera tauhid hitam?</t>
  </si>
  <si>
    <t>@mohmahfudmd Andai isis menang.. Apa ind bagian isis?? Karena ada org ind yg perang disana….. Andai isis kalah dan sisa org di tampung di ind… apa sebutan org luar negeri thd ind? Kalo org sisa itu di kejar amrika sampe ind . gimana?</t>
  </si>
  <si>
    <t>@tubirfess Mana sih yg blg x isis saudara muslim saudara muslim?</t>
  </si>
  <si>
    <t>@bl4cksapphire @saefudin_zuhrii @KevinAdam2017 @NicoNugraha @CNNIndonesia Syarat berdirinya negara kan wilayah, penduduk, pengakuan dari negara lain juga. Memang ISIS diakui negara mana ya?</t>
  </si>
  <si>
    <t>@TirtoID Isis eks wni ya kampang jangan dibalik jadi wni eks isis</t>
  </si>
  <si>
    <t>Mungkin kepanjangannya KPAI itu "Komisi Perlindungan Anak "ISIS"" kali ya 😑 RT @AhlulQohwah: Di Malang anak dibully sampai patah tangan anteng, di Purworejo anak perempuan dianiaya anteng. Giliran anak ISIS suaranya kenceng.</t>
  </si>
  <si>
    <t>Bukan WNI eks ISIS, tapi ISIS eks WNI..</t>
  </si>
  <si>
    <t>Keputusan pemerintah tolak eks kombatan ISIS sudah tepat</t>
  </si>
  <si>
    <t>@triwul82 @Gus_Arifin ISIS eks WNI..</t>
  </si>
  <si>
    <t>RT @IDLearningHub: Begini Penjelasan Hukum tentang Orang Indonesia Yang Menjadi Militan atau Simpatisan ISIS  #hukumdanpolitik</t>
  </si>
  <si>
    <t>"Kita harus waspada, dan harus menyiagakan aparat berwajib untuk melakukan kontrol penuh di seluruh pintu masuk negara," ujar Diaz.</t>
  </si>
  <si>
    <t>RT @DesaKita2: Membela anak ISIS, apa berarti kita ISIS? Membela kemerdekaan Papua, apa berarti kita OPM? Membela politisasi Pelacur, apa berarti kita Pelacur? Membela kebenaran sejarah 65, apa berati kita komunis? Rendahnya logika bangsa ini -VANGKE</t>
  </si>
  <si>
    <t>@ud_cakrawala @jr_kw19 Menurut lu zon..klu menurut kami ngk usah dipulangin. Toh mereka bkn wni lagi</t>
  </si>
  <si>
    <t>@KBRITokyo Karna tolak angin ternyata , wni kebal</t>
  </si>
  <si>
    <t>Tolak WNI ISIS masuk Indonesia</t>
  </si>
  <si>
    <t>@ustadtengkuzul Oalah....,hayo umat kadrun jgn lengah.isis sudah sekarat,cepat dibantu.daripada di negara ini koar koar mengatasnamakan umat islam,ga ada guna.</t>
  </si>
  <si>
    <t>@tubirfess Kepanjangan ISIS apa sih? Internasional Station In Space?</t>
  </si>
  <si>
    <t>@BPIPRI btw "minoritas" yg profesor maksud sudah membawa kabur berapa trilyun siy?udah membunuh brp puluh jiwa? Coba bandingkan dg koruptor2 yg psg foto profil "saya pancasila" atau "org baik pilih org baik" wkwkwk Bandingkan dg OPM yg udah bunuh ratusan WNI 🖕😠🖕</t>
  </si>
  <si>
    <t>wait jadi??? staf wni nya sehat??? gileee hebat ya RT @CNNIndonesia: Pemerintah Jepang menyatakan sebanyak 218 penumpang kapal pesiar Diamond Princess terinfeksi virus corona. @Kemlu_RI pun menuturkan bahwa 78 orang WNI yang merupakan kru dari kapal pesiar tersebut dalam kondisi sehat dan negatif virus corona.  #CNNIndonesia</t>
  </si>
  <si>
    <t>Kok canggih bener 218 yang lain kena, WNI doang yang enggak.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</si>
  <si>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@LokadataID: Pemerintah takkan memulangkan eks-ISIS. Mereka akan jadi stateless, tak bernegara. Namun, yang jadi perdebatan soal nasib anak-anak. Jika anak terpapar radikalisme, tipis maupun tebal, hal itukan bukanlah kesalahan mereka. #Kartun #WaktunyaLokadata</t>
  </si>
  <si>
    <t>@IwanSumule86 Bagaimana dgn Khilafah dibenturkan dgn Pancasila Yg di perjuangkan Eks WNI kombatan ISIS Tidak membenturkan 1 agama tapi jgn di generalisir semua sepakat dgn Khilafah versi ISIS Kelompok yg memperjuangkan Khilafah di Indonesia terang2an sudah membenturkan dgn Pancasila cth :HTI</t>
  </si>
  <si>
    <t>@vvsimon @phieaja @yonatankarya @penggemarsemar @harunomizuhime @CNNIndonesia @Kemlu_RI Aamiin. Semoga Indonesia n WNI diluar semua aman2 saja.</t>
  </si>
  <si>
    <t>DPR: Tim Monitoring WNI Eks ISIS Ke Suriah Mestinya Secara Tertutup</t>
  </si>
  <si>
    <t>@tubirfess Km yg salah tangkap analogi , isis bukanlah ajaran yang diajarkan di islam , gada satu ayatpun nyuruh muslim jadi teroris Di dalam islam juga da beberapa macam ukhuwah , saudara sebagai sesama muslim sesama bangsa dan lainnya</t>
  </si>
  <si>
    <t>@syiahgl @BakarSmith Koq Komnas HAM ngga ngurusin yang ini aja, ngga usah ISIS</t>
  </si>
  <si>
    <t>@ustadtengkuzul Masih ada yg lebih penting di bubarkan Adek ... Ormas² yg mendukung Eks Isis balik ke INDONESIA. faham kan adek.</t>
  </si>
  <si>
    <t>238 WNI Siap Dipulangkan dari Karantina, Jokowi: Tak Ada Masalah  #DariSuara</t>
  </si>
  <si>
    <t>Setuju TLB dipulangkan ke Indonesia dengan biaya negara beserta resiko yang mungkin mereka bawa atau tidak? Anak-anak mereka sangat mungkin tidak tahu apa itu ISIS dan hanya korban.</t>
  </si>
  <si>
    <t>RT @DivHumas_Polri: Kapolri turut memberikan apresiasi kepada seluruh personel gabungan TNI-Polri yang terlibat dalam proses evakuasi dan observasi WNI dari Wuhan, China. Kapolri menyebutkan bahwa evakuasi tersebut sebagai Operasi Kemanusiaan Natuna.</t>
  </si>
  <si>
    <t>@TAhayuningtyas @mohmahfudmd Yg join ISIS juga sama penghianat bangsa</t>
  </si>
  <si>
    <t>RT @christheo_owl: Komisi Perlindungan Anak ISIS</t>
  </si>
  <si>
    <t>RT @ZheeOmega: Sel2 tidur ISIS tsb pasti serempak bergerak jika kombatan ISIS Suriah jadi diimport.</t>
  </si>
  <si>
    <t>@spiderr__matrix Waspadai sempalan ISIS !! #TolakAnakISISKembali</t>
  </si>
  <si>
    <t>RT @Airin_NZ: Kata mrk2 yg membela ISIS.. Pulangkan mrk demi kemanusiaan, Mrka hanya anak2 kecil..!! Jgn salah. Mrka bukan anak kecil biasa. Mereka tlh menjelma menjadi "Monster" yg Haus akan darah..!! Jadi gak salah jika kita suarakan #TolakAnakISISKembali krn mrka sungguh berbahaya..!!</t>
  </si>
  <si>
    <t>Presiden Joko Widodo memberikan keterangan mengenai pemulangan WNI dari Natuna terkait Virus Corona, di sela kunjungan kerja di Taman Nasional Gunung Merapi, Jurang Jero, Magelang, Jawa Tengah, Jumat (14/2).</t>
  </si>
  <si>
    <t>@dusrimulya @kuurnias @mohmahfudmd Tentara dlm kamus besar punya bbrapa arti, antara lain : laskar atau pasukan (yg punya senjata dan berperang). Jdi tentara asing itu artinya, pasukan yg punya senjata dan berperang. Isis punya pasukan bersenjata dan mrk berperang. Sdh paham kau? Goblok mau sok pintar</t>
  </si>
  <si>
    <t>@riduan_mjk @ariel_heryanto Bagaimana kalau pertanyaan yang sama saya ajukan, adakah metode yang akurat untuk mengukur keniscayaan bahwa mereka (ex. Anggota/simpatisan ISIS) akan menjadi teroris kembali manakala diterima di negerinya sendiri.</t>
  </si>
  <si>
    <t>@ArifinNkri17 @ronggo81 @setiawanh46 @Mujir1922 @veva_nova @JOKER_JJ_JOKER @cherul @JamesKatuuk @yad1sun @jogja_paperbag @edward7011971 @Dyahperwita1 @Aininoer12 @Vaisz56 @upikq22 @januar_soesanto Kita harus Konsisten dalam Berpolitik tdk boleh Politik Indentitas bisa2 membahayakan NKRI. kita saling Toleransi thd Keyakinan WNI Yg beragama Lainnya. #4niesKibul_CancelFormulaE</t>
  </si>
  <si>
    <t>Tak Pulangkan WNI Eks ISIS, Ma'ruf Amin Sebut Deradikalisasi Tidak Mudah</t>
  </si>
  <si>
    <t>@CNNIndonesia @Kemlu_RI Alhamdulillah untuk saudara WNI, smoga sehat trus dalam neraktivitas. Untuk 218 yg terinfeksi smoga diberi kesabaran dalam berjuang melawan virusnya, smoga kuat dan dan dapat disembuhkan</t>
  </si>
  <si>
    <t>@DiantyYasmin3 eh si nempel/// lo idup lo ribet banget yak.. gmn kalo 1. lo kan punya tiket syurge nerake ...gih langsung otw ksna 2, ke suriah ikut isis,,,mana dulu treak2x bela isis.. gih sana ,,,jihad disana 3. ke araf bantu junjungan lo demo raja salman.,,.</t>
  </si>
  <si>
    <t>@5Y5_one_70 Yg mau pulangkan ex WNI ISIS adalah SARAF SARAF SARAF SARAF SARAF SARAF SARAF SARAF SARAF SARAF SARAF SARAF SARAF SARAF SARAF SARAF SARAF SARAF SARAF SARAF SARAF SARAF SARAF SARAF SARAF</t>
  </si>
  <si>
    <t>@detikcom Kok pusing mikirin isis,dia sendiri gak mau di pikirin.</t>
  </si>
  <si>
    <t>1. Warganya ngumpulin duit beli tiket dan bikin paspor buat ke Turki. 2. Dari Turki, warganya nyebrang ke Suriah, scr ilegal tentu saja. 3. Sampai wilayah ISIS, warga bakar paspor dan menyatakan setia ke ISIS. Trus itu salah pemerintah karena 'membiarkan warganya jd stateless'?</t>
  </si>
  <si>
    <t>RT @PakatDayak: Dalam 1x 24 jam PSHT perguruan silat ini harus memberikan klarifikasi Bila benar ini orang Dayak yang jadi korban pemukulan, maka kami warga Dayak di seluruh Kalimantan akan memberikan somasi pembubaran bila tidak ada klarifikasi dan permintaan maaf dari pihak PSHT di Kalteng!!</t>
  </si>
  <si>
    <t>@dusrimulya @edwards_bee @mohmahfudmd Uu 12 thn 2006 pasal 23, huruf d. Hilang status wni jika: d. masuk dalam dinas tentara asing tanpa izin terlebih dahulu dari Presiden; Jelas isis bukan negara tapi mrk adalah tentara asing. Dan mrk sdh bergabung dg tentara asing. Jd mrk bukan wni lagi. huruf d tdk ada kt negra</t>
  </si>
  <si>
    <t>@CNNIndonesia KPAI kebalik. Seharusnya Warga ISIS ex WNI..apa tugas KPAI juga lindungi anak ISIS ex WNI??..mending urus anak sendiri aja dulu dididik</t>
  </si>
  <si>
    <t>@ALUNG_ASN @jr_kw19 Gw mo Ank ank ISIS Tinggal di Asuh Sm politikus minta blk mrk, bwt latihan ganti boneka yg dicabik cabik pakai pisau komando. Jgn teriak cari Receh 24</t>
  </si>
  <si>
    <t>2020 isis merayakan hari valentin</t>
  </si>
  <si>
    <t>Dilarang jadi stateless itu kan kesepakatan Genewa, diganti aja kesepakatannya sesuai kebutuhan jaman. Emangnya mereka yg pergi jd ISIS mikirin HAM orang lain dg ideologinya? Ngebom sana sini kok mau dikasih amnesti.</t>
  </si>
  <si>
    <t>@detikcom Anak anak ISIS eks WNI berbahaya pulang ke RI krn mereka sdh di doktrin dgn angkat senjata</t>
  </si>
  <si>
    <t>RT @papanogula: Korban itu anak2 dan orang yg kena bom, jangan dibalik, playing victim itu udah basi, bapak2nya isis selalu pengen anaknya ikut kek mereka Maling dan penjahat mereka jahat sbb alasan personal, tapi ISIS? Mereka jahat karena alasan ideologis, tapi justru merasa lg Ibadah</t>
  </si>
  <si>
    <t>RT @cagubnyinyir2: Sabtu besok 280 WNI dari Wuhan bebas virus Corona, yg diKarantina, dipulangkan dari Natuna ke tempat asal mereka.  @KontanNews @SarYono56066316 @ellys_kerhi @Ze_sukma @amandagempita @Berty69968038 @yoyokzz @PurworOjek</t>
  </si>
  <si>
    <t>@Nonameseri2 @tagarlima @LusiHQ @wibi2519 @Jean_Aprilia97 ISIS ciptaan USA tapi pendukungnya di Indonesia ada FPI, si cabul Rizieq, Aboubakar Ba'asyir dan kada-kadal gurun dan mereka beragama?? 😀😀</t>
  </si>
  <si>
    <t>@ZheeOmega @KPAI_official KPAI = Korban Pembodohan Anak Isis</t>
  </si>
  <si>
    <t>@sefkelik @tey_saja @lantip Ini rahasianya : KBRI Tokyo (12Feb) mengantar cairan Pereda Masuk Angin yang diminta WNI yg sedang di atas kapal Diamond Princess yang sedang dikarantina utk observasi di Yokohama, sekaligus Mie Instan dan Vitamin C. Foto: barang diantar #NegaraMelindungi.</t>
  </si>
  <si>
    <t>@AnakKolong___ @KPAI_official KPAI = Komisi Perlindungan Anak ISIS</t>
  </si>
  <si>
    <t>@irzan_wiratama @Hira68337052 @amrudinnejad_ Cukup bisa dimengerti bagaimana omongannya</t>
  </si>
  <si>
    <t>@dusrimulya @mohmahfudmd Namanya aja,ISIS alias Iraq Syria Islamic State ya yg state kan artinya negara atau pemerintah,piye toh.</t>
  </si>
  <si>
    <t>RT @Airin_NZ: Anak2 ISIS sudah di ajarkan gmn cara membunuh &amp; berperang.. Lu bayangkan mrka balik ke negara ini. Lalu anak2 ISIS itu bergabung &amp;amp; "bermain" bersama anak2 kalian. Kira2 apa yg terjadi..?? Rakyat #TolakAnakISISKembali krn sekali lagi. Jgn anggap remeh anak2 ISIS..!!</t>
  </si>
  <si>
    <t>Daftar WNI yang diobservasi di Natuna, paling banyak dari daerah ini</t>
  </si>
  <si>
    <t>@BitterBallance @dusrimulya @mohmahfudmd Tentara dlm kamus besar punya bbrapa arti, antara lain : laskar atau pasukan (yg punya senjata dan berperang). Jdi tentara asing itu artinya, pasukan yg punya senjata dan berperang. Isis punya pasukan bersenjata dan mrk berperang. Sdh paham kau????,,,???</t>
  </si>
  <si>
    <t>Cegah WNI Eks ISIS Menyusup, Staf Khusus Jokowi Minta Aparat Siaga</t>
  </si>
  <si>
    <t>@CNNIndonesia D Indonesia aja masih banyak anak yg blm berhasil dilindungi, KPAI kok g gencar ngurusin itu. Malah sibuk sma anak eks WNI</t>
  </si>
  <si>
    <t>@detikcom Ga ada jaminan anak eks isis kelak akan jadi teroris.anak serigala tetap anak srigala smp kpan pun tdk akan berubah menjadi kelinci. Tolak semua yg berbau isis smp ke anak cucu nya sekalipun.</t>
  </si>
  <si>
    <t>@tagarlima @Nonameseri2 @LusiHQ @wibi2519 @Jean_Aprilia97 Ooww kalau kasih versi mayoritas itu harus bom gereja, demo orang beribadah, maksa cabut IMB tempat ibadah gitu ya.. religion of peace ala ISIS wkwkwkwkwk</t>
  </si>
  <si>
    <t>@KakiKedelai @Wawanda @smallmelville @dusrimulya @mohmahfudmd Tentara dlm kamus besar punya bbrapa arti, antara lain : laskar atau pasukan (yg punya senjata dan berperang). Jdi tentara asing itu artinya, pasukan yg punya senjata dan berperang. Isis punya pasukan bersenjata dan mrk berperang. Sdh paham kau????....!!!!</t>
  </si>
  <si>
    <t>@DrOtoy @VIVAcoid Isis kau samakan dgn politik? Namanya kegoblokan yg HQQ. Ohhh tunggu, apa kah kau salah satu pentolan isis yg bisa kembali ke Indonesia?</t>
  </si>
  <si>
    <t>@SayaIndonesia07 @tagarlima @LusiHQ @wibi2519 @Jean_Aprilia97 Hahaha lo pikir semua orang tolol kek lo Yg nyamain isis dg Islam murni, ISIS ITU propaganda USA yg diciptakan untuk merusak citra islam agar negara negara islam berperang saudara dan itu memang udh nyata diberitakan presiden USA bus sendiri yg udh keceplosan</t>
  </si>
  <si>
    <t>@KBRITokyo Dalam kapal dikabarkan sdh 218 terkena covid-19. Luar biasanya 78 WNI yg jadi kru kapal tetep sehat💪, apa gara2 tolak angin + Vit C + mie instan 😁</t>
  </si>
  <si>
    <t>Masa Observasi Berakhir Besok, Begini Skenario Kepulangan 238 WNI dari Natuna</t>
  </si>
  <si>
    <t>@erasmus70 @BiLLYKHAERUDIN Tipe kayak mas erasmus iki yg repot. Kota ku surabaya kena bom isis iki. So kon suka gereja dibom sama isis.</t>
  </si>
  <si>
    <t>Khofifah Awasi 65 WNI eks Wuhan yang Pulang ke Jawa Timur Besok  #DariSuara</t>
  </si>
  <si>
    <t>@__Ndaru__ @Wawanda @smallmelville @dusrimulya @mohmahfudmd Tentata dlm kamus besar punya bbrapa arti, antara lain : laskar atau pasukan (yg punya senjata dan berperang). Jdi tentara asing itu artinya, pasukan yg punya senjata dan berperang. Isis punya pasukan bersenjata dan mrk berperang. Sdh paham kau???? Mau sok jago 🤫🤫</t>
  </si>
  <si>
    <t>Kok media masih salah aja sih penulisannya ...?? Bukan "WNI EKS ISIS" Tapi "EKS WNI ANGGOTA ISIS" Toh mereka kan pernah mendeklarasikan diri menjadi anggota ISIS, membakar paspor RI, tp blm pernah mengumumkan keluar dr ISIS.</t>
  </si>
  <si>
    <t>@MataNetter @smallmelville @Wawanda @dusrimulya @mohmahfudmd Tentata dlm kamus besar punya bbrapa arti, antara lain : laskar atau pasukan (yg punya senjata dan berperang). Jdi tentara asing itu artinya, pasukan yg punya senjata dan berperang. Isis punya pasukan bersenjata dan mrk berperang. Sdh paham kau????</t>
  </si>
  <si>
    <t>Pemerintah Verifikasi WNI Eks ISIS  via @YouTube</t>
  </si>
  <si>
    <t>Jika mrk pulang, anak2 ini bisa jadi bom waktu bagi NKRI! #saveNKRI dari ISIS #TolakEksISIS @AtikahZahidah_ @haluanghabang @sabilla_shaffa @ibra_zycko @RAISYAELBIX1 @evisuryanti10 @SeruniPuspaAlam @erikamelfa @_antaresh @herlambang_tan @devy215</t>
  </si>
  <si>
    <t>@DayatPondok @mohmahfudmd Sy muslim..1 kalimat..isis tolak combatan isis..tdk ada toleransi..jika ibu bapakmu..saaudaramu jd korban kebiadapan isis masihkan kalian pake argumentasi dan pembenaran...</t>
  </si>
  <si>
    <t>@erasmus70 @BiLLYKHAERUDIN Ya harus jadi kesatuan sih. Ikrar setia plus kenegara lain trus ikut organisasi teroris ya kesana ae gak usah balik. Emang kenapa getol banget sih sama eks isis.</t>
  </si>
  <si>
    <t>@AhlulQohwah kita harus lestarikan penerus isis</t>
  </si>
  <si>
    <t>Kirim uang belasan juta danai kegiatan terorisme</t>
  </si>
  <si>
    <t>@PantunJ2P @desoalas Biarlah dia ngomong muter2 sampai akhirnya dia menunjukan dengan JUJUR....bagaimana DIRInya...dia sudah mulai memberi Clue...siapa dia sebenernya</t>
  </si>
  <si>
    <t>RT @tempodotco: Menteri Mahfud Md menjelaskan status kewarganegaraan ISIS eks WNI atau teroris lintas negara (foreign terrorist fighters/FTF).</t>
  </si>
  <si>
    <t>Dari 78 kru WNI so far sehat ga ada yang tertular Coronavirus di dalam kapal pesiar sementara 174 orang lainnya positif terinfeksi &amp; dikarantina di Yokohama. Kuncinya sepertinya di pojok kiri gaes, yup micin ..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</si>
  <si>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RT @zlametabidin: Gimana mau dibawa pulang bocah kaya gini. Apakah anakmu ada disitu curut kadrun? Jangak sok peduli ex wni isis ya. Kalo peduli berarti kau ada di dalamnya.</t>
  </si>
  <si>
    <t>@detikcom Sepertinya cocok kl mereka yg pro ISIS eks WNI kirim kesana untuk bina anak anak ISIS.</t>
  </si>
  <si>
    <t>RT @Yettidewi: cc @jokowi @mohmahfudmd @DivHumas_Polri @Kemenkumham_RI @MardaniAliSera @PKSejahtera Puji Tuhan , Negara sdh FinaL memutuskan utk Tidak membolehkan Eks WNI kembali ke Neg ini Jngn sampe Kebiadaban menguasai Neg kita #NKRIHargaMati</t>
  </si>
  <si>
    <t>@tempodotco Mengambil keputusan gabung ISIS adalah hak mereka untuk punya pilihan. Persoalannya tiap pilihan punya konsekuensinya.</t>
  </si>
  <si>
    <t>@DayatPondok @mohmahfudmd Loe punya otak ga dipakai dg baik..sy balik..kenapa yg masih lum sejahtera banyk..mreka ga jdi isis terorisme..mikir pake otak jgn pake dengkul</t>
  </si>
  <si>
    <t>@aristinnn Selain itu dunia internasional juga tidak mengenal stateless atau orang tanpa status kewarganegaraan. Mereka juga menghapus pasal meng-guantamo-kan kelompok seperti ISIS eks WNI ini. Maksud guantanmo itu semacam mereka di lokalisasi di pulau tertentu.</t>
  </si>
  <si>
    <t>RT @NewsmakerMedcom: Prof. Hikmahanto Juwana sangat tegas menolak ketika isu kombatan ISIS minta Pemerintah Indonesia memulangkan mereka ke Tanah Air. Lalu betulkah WNI yang telah ikut ISIS itu bukan lagi warga negara Indonesia? dan apa dasarnya? Simak selengkapnya di link</t>
  </si>
  <si>
    <t>@AnakLolina Pak @mohmahfudmd tolong kirimkan video ini kpd MENAG ya, Biar LOGIKA nya Jalan. Jgn hnya MEMENTINGKAN JABATAN shingga MAU Berdamai dgn para RADIKALIS &amp; Antek² ISIS di Republik ini. #TolakAnakISISKembali Besarnya buas kaya ini</t>
  </si>
  <si>
    <t>@N1ngW4ng1 Tukar tambah saja 1 ex ISIS tukar 10 Pengurus PKS dikirim ke Suriah</t>
  </si>
  <si>
    <t>@maidina__ Gue lupa di negara mana yg juga nerapin pemulangan cm thdp anak di bawah 10 tahun. Alasannya sih, ISIS udah ngajarin anak usia 10 tahun buat gorok leher. Tapi itu alasan negara tsbt, gatau kalo di Indo wq.</t>
  </si>
  <si>
    <t>WNI Eks ISIS Kehilangan Status Kewarganegaraan</t>
  </si>
  <si>
    <t>RT @Pejuangkeadil13: @salahsambungya @BadjaNuswantara KPAI ngurusnya ISIS sekarang 😅 bodoamat sama anak muda Indonesia</t>
  </si>
  <si>
    <t>Sabtu, 15 Februari, genap 14 hari masa observasi WNI yang dievakuasi dari Wuhan, Tiongkok. Pemerintah pun telah menyusun skenario penjemputan dari Natuna. #CNNIDAfter10</t>
  </si>
  <si>
    <t>@kimingdekil @menghanyurkan @Artemisjooon @martabuckk Iyap. Ga isis. Tapi sejenis. Maksain pendapat soal hijab dan aurat. Aku tekankan. Aku hargai yang nutup hijab dan ngewajibin. Tapi ada juga lo ulama yg ga wajibin. Dan pedomannya sama2 Quran Hadits. Kecuali emang Quran hadits banyak macamnya. Kan ga mungkin</t>
  </si>
  <si>
    <t>@mohmahfudmd Adeh tolak combatan isis...no kompromi</t>
  </si>
  <si>
    <t>@AhlulQohwah Pa diIndonesia stock gituan makin banyak yg seperti beradaptasi secara natural padahal diradikalisasi. Jgn jemput yg 10-20 thn lagi jadi mentor baru isis dilahan yg rapuh krn miskin &amp; kurang ilmu!</t>
  </si>
  <si>
    <t>@jr_kw19 Fadlizon masih cacat dan miskin yang perlu di urus bukan isis isis</t>
  </si>
  <si>
    <t>@shinichikudo991 Tolak ide konyol presiden PKS, anak isis sudah di cuci otak nya juga. Nti jika balik sini malah bikin grup wa dsb, bikin perusahaan hoax. Wong kita sudah di abad 21 mereka malah di cekoki pikiran abad 7 haus perang dan darah. Setan alas</t>
  </si>
  <si>
    <t>@aristinnn Syarat berikutnya adalah pengakuan internasional sebagai sebuah negara. ISIS tidak mendapatkan pengakuan ini. Internasional malah menyebutnya sebagai FTF.</t>
  </si>
  <si>
    <t>@jokowi Mantap Presidenku.. Tetap tegas pak menolak eks ISIS</t>
  </si>
  <si>
    <t>Komisioner Komnas HAM menilai persoalan pulang atau tidaknya ISIS eks WNI terlalu dini untuk diputuskan.</t>
  </si>
  <si>
    <t>RT @XIII_kamp: @zarazettirazr Bsgaimana status kewsrganegaraan OPM yg jelas2 menentang NKRI bandingkan dg ex ISIS yg hanya di LN</t>
  </si>
  <si>
    <t>Kapolri Jenderal Polisi Idham Azis bersama Panglima TNI, Marsekal TNI Hadi Tjahjanto, mengunjungi desa di sekitar hanggar observasi WNI pada hari ke-12. Selain itu, koordinasi kepulangan WNI akan dibahas dalam rapat. #CNNIDAfter10</t>
  </si>
  <si>
    <t>Waspada Tipu Daya WNI Eks ISIS, Pemerintah Tidak Akan Memulangkan Mereka #DukungPemerintah #IndonesiaMaju #PerangiTerorisme</t>
  </si>
  <si>
    <t>@smallmelville @kang_blankon @dusrimulya @mohmahfudmd ISIS itu cuma pasukan liar yg ga tau negaranya yg mana.</t>
  </si>
  <si>
    <t>@RiriJreeng Pemerintah sdh memutuskan tdk menerima mrk, krn mmg sdh bukan WNI lg kan .</t>
  </si>
  <si>
    <t>@penggemarsemar @harunomizuhime @CNNIndonesia @Kemlu_RI Iye heran, dari sebanyak itu ga ada satu wni pun 🤔</t>
  </si>
  <si>
    <t>Pendiri Yayasan Prasasti Perdamaian Noor Huda Ismail menceritakan kisahnya mendampingi pemulangan 18 WNI dari Suriah pada 2017 Menangkis ISIS: Ketika 18 WNI Eks ISIS Bisa Pulang pada 2017 (Part 1)  lewat @MataNajwa</t>
  </si>
  <si>
    <t>@AhlulQohwah Kemarin masalah audisi badminton,skrg mau ngurusin anak isis dripada anak2 korban bully</t>
  </si>
  <si>
    <t>Syarat sbg negara sesuai Konvensi Montevideo tak terpenuhi 1. Pemerintahan ✔ 2. Rakyat ✔ 3. Punya Wilayah ❌ krn itu wilayah negara Irak dan Suriah 4. Pengakuan sbg negara dr negara lain ❌ Maka ISIS tak bisa disebut negara dan pasukan ISIS tak bsa disebut Tentara</t>
  </si>
  <si>
    <t>@wisanggeni_084 Mereka bukan anak2 eks isis ... Tapi mereka adalah anak2 isis..</t>
  </si>
  <si>
    <t>@dusrimulya @mohmahfudmd ISIS tentara asing kan ?</t>
  </si>
  <si>
    <t>@detikcom Ngeri kali pak ...soalnya mereka dah biasa liat kekerasan yg dilakukan isis dgn dalih agama ntar pulang mulai bikin pengajian ...yg isi nya otak isis ..bisa berabe</t>
  </si>
  <si>
    <t>@Rita8213 @mohmahfudmd @DivHumas_Polri @Puspen_TNI Sejak kapan ISIS menjd sebuah negara ?. Jd ISIS itu cuma pasukan liar yg ga jelas negara mana.</t>
  </si>
  <si>
    <t>ISIS : ini sandalista, itu sandalista 😂 #balesdonguki23 RT @sandalista1789: Setelah muncul Front Pembela Sandalista, mungkin berikutnya ada Badan Pembinaan Ideologi Sandalista</t>
  </si>
  <si>
    <t>@wisanggeni_084 isis ex wni</t>
  </si>
  <si>
    <t>@Nonameseri2 @LusiHQ @tagarlima @wibi2519 @Jean_Aprilia97 Woi goblok jangankan PKI, ISIS yang teroris malah semua seagama dengan lo 😀😀</t>
  </si>
  <si>
    <t>@aristinnn Syarat sebuah negara itu salah satunya punya wilayah. Pertanyaannya, apakah ISIS punya wilayah definitif kalau dia negara? ISIS memang mengklaim sbg negara Islam. Tapi wilayahnya mendompleng Irak dan Suriah yang merupakan negara berdaulat.</t>
  </si>
  <si>
    <t>Menolak eks ISIS sebuah keputusan tergesa-gesa; ;</t>
  </si>
  <si>
    <t>Pemerintah takkan memulangkan eks-ISIS. Mereka akan jadi stateless, tak bernegara. Namun, yang jadi perdebatan soal nasib anak-anak. Jika anak terpapar radikalisme, tipis maupun tebal, hal itukan bukanlah kesalahan mereka. #Kartun #WaktunyaLokadata</t>
  </si>
  <si>
    <t>Wakil Presiden Ma’ruf Amin menyatakan kondisi mereka aman dan bisa berbaur dengan masyarakat di kampung halaman.</t>
  </si>
  <si>
    <t>@Dwiyana_DKM Propaganda ISIS.</t>
  </si>
  <si>
    <t>RT @tsjokka: @AnakKolong___ @AnakKolong_ @felixsiauw Calo isis... Ancurr Rombongan yg menginjak2 nilai2 kemanusiaan ada calo'nya pulak... 🤦🏻‍♂️😄</t>
  </si>
  <si>
    <t>@null Beda Dari Indonesia, Belgia Akan Pulangkan Anak-Anak Pengikut ISIS</t>
  </si>
  <si>
    <t>Minyak angin dan mie instan - meningkatkan daya imun... 🤔😉 Semangat dan sehat selalu buat WNI migran! 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</si>
  <si>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Mantap pak @mohmahfudmd proses adminitrasi cabut warga negaranya ISIS eks WNI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</si>
  <si>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@AnakKolong___ @AnakKolong_ @felixsiauw Calo isis... Ancurr Rombongan yg menginjak2 nilai2 kemanusiaan ada calo'nya pulak... 🤦🏻‍♂️😄</t>
  </si>
  <si>
    <t>@AhlulQohwah Namanya jg Kelompok Pelindung Anak Isis....</t>
  </si>
  <si>
    <t>Ada yang bilang gak ada Maling yang pengen anaknya jadi Maling. Itu yang dijadiin alasan buat nerima anak2 eks ISIS. Eh lu pade gak tau ya kalau si Penilep Donasi @hariadhi84 malah kepengen anaknya jadi kayak dia. #HappyValentinesDay</t>
  </si>
  <si>
    <t>@kuurnias @mohmahfudmd Syarat sbg negara sesuai Konvensi Montevideo tak terpenuhi 1. Pemerintahan ✔ 2. Rakyat ✔ 3. Punya Wilayah ❌ krn itu wilayah negara Irak dan Suriah 4. Pengakuan sbg negara dr negara lain ❌ Maka ISIS tak bisa disebut negara dan pasukan ISIS tak bsa disebut Tentara</t>
  </si>
  <si>
    <t>@tribunnews Wes gak ush aneh aneh.. Negoro iki wes ribet.. Di tambahi maneh eks ISIS, dengan latar belakang ISIS koyok ngono iku.. Ayahab nemen</t>
  </si>
  <si>
    <t>@jr_kw19 @BadjaNuswantara Yg satu maksa nangkepin PSK...yg ini maksa mulangin ISIS...Waaaddddohhh</t>
  </si>
  <si>
    <t>komisi perlindungan anak isis</t>
  </si>
  <si>
    <t>RT @ZweiSusanto: @KanekiTerry @dusrimulya @mohmahfudmd Ini masalah hukum yg berlaku. @mohmahfudmd salah dalam hal ini karena ISIS bukanlah negara. ISIS teroris benar, tapi itu tidak menghapus status WNI. Contohnya Amrozi, tetap WNI meskipun dieksekusi sebagai teroris</t>
  </si>
  <si>
    <t>RT @berharapdamai: @mohmahfudmd @YohanesPatty2 Intinya kombatan isis + keluarga jgn dipulangkan ke Indonesia ..</t>
  </si>
  <si>
    <t>Hebat WNI ~ RT @CNNIndonesia: Pemerintah Jepang menyatakan sebanyak 218 penumpang kapal pesiar Diamond Princess terinfeksi virus corona. @Kemlu_RI pun menuturkan bahwa 78 orang WNI yang merupakan kru dari kapal pesiar tersebut dalam kondisi sehat dan negatif virus corona.  #CNNIndonesia</t>
  </si>
  <si>
    <t>Kisah Keturunan WNI Tanpa Kewarganegaraan di Malaysia: Tak Boleh Sekolah, Takut Ditangkap Polisi -  - Internasional</t>
  </si>
  <si>
    <t>RT @wow_keren: Ma'ruf Amin Soal Tak Pulangkan WNI Eks ISIS: Lebih Banyak Maslahat</t>
  </si>
  <si>
    <t>Fico juga memaparkan menu sarapan yang dikonsumsinya, yakni mulai dari sosis goreng, tempe goreng serta daging sapi plus sayur yang dicampur dengan mie goreng.  #Wuhancoronavirus</t>
  </si>
  <si>
    <t>@AtikaFaya Kami Pelindung Anak2 Isis</t>
  </si>
  <si>
    <t>RT @derwustenfuchss: @CNNIndonesia Audisi badminton direcokin, bocil dibawa kampanye partai lu pada kemana? Ada banyak bullying juga diem2 bae cuma ngomong KaMI aKAn dALaMi, giliran ISIS eks WNI kaga boleh balik langsung PeMEriNtAh wAjiB LinDuNGi AnAk WNI eKS IsIS</t>
  </si>
  <si>
    <t>RT @budi1439h: @Je_Ly #TolakAnakISIS #TolakAnakISISKembali Jadi @KomnasHAM &amp; @MardaniAliSera juga #Antek2ISIS chapter Indonesia mau Import anak ISIS... #TolakAnakISISKembali Simak yahhh, perempuan² ISIS hanya sebagai Pabrik anak. yg produknya siap dikirim kemana saja!</t>
  </si>
  <si>
    <t>RT @_albaiat: GEBUK RATA TOLAK KEPULANGAN EX ISIS WNI !! gunakan UU apa untuk perlindungan 267 Juta WNI di Indonesia. Jokowi : ANAK EX ISIS JEMPUT PULANG Den Ganjar : SINTING PEMERINTAH RI BNPT : kita ciptakan Next Generasi Teroris Baru dari Anak-Anak EX ISIS @jokowi @BNPTRI @tvOneNews</t>
  </si>
  <si>
    <t>Hadir lindungi anak-anak eks isis. Biar gedenya mereka kembali ke isis lg. Tambah apa dih skrng manusia. RT @AhlulQohwah: Di Malang anak dibully sampai patah tangan anteng, di Purworejo anak perempuan dianiaya anteng. Giliran anak ISIS suaranya kenceng.</t>
  </si>
  <si>
    <t>isis maunya pulang .pks juga maunya pulang . kata pks bahwa mereka akan di didik untuk tunduk pada pancasila... woiii pks .tau gak tho pada hukum tertinggi adalah HAK. .. ini hak para kombatan isis ?apa HAK warga dan pemerintah? BIARKANlah para kombatan beeperang sampai mati</t>
  </si>
  <si>
    <t>Kalau anggota KPAI dikirim ke daerah konflik ISIS saja bagaimana? RT @AhlulQohwah: Di Malang anak dibully sampai patah tangan anteng, di Purworejo anak perempuan dianiaya anteng. Giliran anak ISIS suaranya kenceng.</t>
  </si>
  <si>
    <t>GEBUK RATA TOLAK KEPULANGAN EX ISIS WNI !! gunakan UU apa untuk perlindungan 267 Juta WNI di Indonesia. Jokowi : ANAK EX ISIS JEMPUT PULANG Den Ganjar : SINTING PEMERINTAH RI BNPT : kita ciptakan Next Generasi Teroris Baru dari Anak-Anak EX ISIS @jokowi @BNPTRI @tvOneNews</t>
  </si>
  <si>
    <t>Buset.. ini WNI pada kebal kebal tubuhnyaa 👏👏👏 RT @CNNIndonesia: Pemerintah Jepang menyatakan sebanyak 218 penumpang kapal pesiar Diamond Princess terinfeksi virus corona. @Kemlu_RI pun menuturkan bahwa 78 orang WNI yang merupakan kru dari kapal pesiar tersebut dalam kondisi sehat dan negatif virus corona.  #CNNIndonesia</t>
  </si>
  <si>
    <t>Semua WNI di Natuna Sehat, Menko PMK Minta Keluarga Mau Menerima  #</t>
  </si>
  <si>
    <t>@RizmaWidiono Anak² ISIS eks WNI, jangan kebalik sebut bos pks..... Mungkin dia ngotot karena mau dijadikan anteknya pks</t>
  </si>
  <si>
    <t>@detikcom mending urusin yg di lampu merah dan ank yatimpiatu yg terlantar daripada urusin anak kecil bibit isis</t>
  </si>
  <si>
    <t>RT @ZoelFawzie: @samhudibae @To_welly Pantesan dia ngotot memulangkan ISIS eks WNI..🙈</t>
  </si>
  <si>
    <t>@jokowi Om Bro Presiden 600 isis ex WNI itu jumlah sepersekian persen dari anggota ISIS yg sdh lama stay di negara ini Kenapa juga yg sdh ada di negara ini tidak di tendang keluar Jadi ya gak heran lah kalau yg di luar minta masuk juga</t>
  </si>
  <si>
    <t>RT @MrsRachelIn: @samhudibae #AwasAntek2ISIS Ternyata .. makanya Ngotot banget pengen kombatan isis dibawa ke Indonesia</t>
  </si>
  <si>
    <t>GEBUK RATA TOLAK KEPULANGAN EX ISIS WNI !! gunakan UU apa untuk perlindungan 267 WNI di Indonesia. Jokowi : ANAK EX ISIS JEMPUT PULANG Den Ganjar : SINTING PEMERINTAH RI BNPT : kita ciptakan Next Generasi Teroris Baru dari Anak-Anak EX ISIS @jokowi @BNPTRI @tvOneNews</t>
  </si>
  <si>
    <t>@aristinnn Kalau di UU 12/2006 tentang Kewarganegaraan RI ada 9 sebab seseorang kehilangan status kewarganegaraan. Untuk kasus ISIS eks WNI, mungkin dekat dengan poin "d", "e," dan "f". Namun, yang perlu diperhatikan adalah apakah ISIS itu sebuah negara?</t>
  </si>
  <si>
    <t>@smallmelville @dusrimulya @mohmahfudmd ISIS itu teroris</t>
  </si>
  <si>
    <t>@wisanggeni_084 Anak ex ISIS koq dibela, yg sdh biasa Melihat bom dan pembunuhan, anak jalanan tu bela, masih bnyk anak terlantar berseliweran di jalanan..</t>
  </si>
  <si>
    <t>@tempodotco Anggota ISIS Eks WNI meyakini semua ini adalah tahapan proses perjuangan, semangat .... supaya tetap kuat dlm perjuangan dijalan Allah. Katanya ..... Katanya .... Katanya.</t>
  </si>
  <si>
    <t>/rlt/ ini kan yg nanganin wni juga org jepang ya.. tapi kok bisa negatif ya... aku gahabis pikir... faktor apa yg bikin org indonesia negatif corona ini...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</si>
  <si>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@Umar16287409: Di tag dong org2 yg mendukung kepulangan anak2 eks WNI Sprti @KPAI_official @fadlizon @KomnasHAM @PKSejahtera Biar mereka liat tuh btpa seremnya mereka itu cara mendoktrinnya bahkan dari masih balita</t>
  </si>
  <si>
    <t>RT @vivanewscom: Cegah WNI Eks ISIS Menyusup, Staf Khusus Jokowi Minta Aparat Siaga  #vivanews</t>
  </si>
  <si>
    <t>WNI dari Malaysia Pasien Pengawasan Virus Corona Masuk Ruang Isolasi RSBP Batam</t>
  </si>
  <si>
    <t>RT @N1ngW4ng1: Ada info, anak2 ISIS ini sbenarnya mau melarikan diri..tapi krn anak2 ini dipakaikan BOM mk pasukan yg melawan ISIS jadi BINGUNG. Tp mau gak mau anak2 ini tetap ditembak! Krn ISIS pegang remote controlnya. Suka gak suka..kita harus memilih. Dan sy pilih #TolakAnakISISKembali</t>
  </si>
  <si>
    <t>@fadjroeL @jokowi @Kiyai_MarufAmin @KemensetnegRI @setkabgoid Cakep, penyebutan nya juga cakep sekali. Isis eks wni.</t>
  </si>
  <si>
    <t>Pusat informasi terpadu KSP akan memberikan info selengkap-lengkapnya mengenai pengendalian virus corona dari berbagai kementerian dan lembaga. #viruscorona #coronavírus #wuhan #wni #natuna #IndonesiaSehat #indonesia</t>
  </si>
  <si>
    <t>RT @dusrimulya: Selain ISIS, si Prof jg harus akui KKB OPM sbg "Tentara" Dampaknya adlh: 1. Pasukan OPM dapat perlindungan hukum Konvensi Jenewa ttg Tawanan Perang..padahal Indonesia bersikeras tak akui OPM sbg sebuah Tentara Militer 2. Indonesia akui Papua sbg negara merdeka Prof blunder</t>
  </si>
  <si>
    <t>Cegah WNI Eks ISIS Menyusup, Staf Khusus Jokowi Minta Aparat Siaga  #vivanews</t>
  </si>
  <si>
    <t>Menteri Mahfud Md menjelaskan status kewarganegaraan ISIS eks WNI atau teroris lintas negara (foreign terrorist fighters/FTF).</t>
  </si>
  <si>
    <t>Begini Penjelasan Hukum tentang Orang Indonesia Yang Menjadi Militan atau Simpatisan ISIS  #hukumdanpolitik</t>
  </si>
  <si>
    <t>@wow_keren @RedWineMalbec Lalu membiarkan anak yg Jadj Korban.....#BubarkanKPAI</t>
  </si>
  <si>
    <t>@Wawanda @smallmelville @mohmahfudmd Klo anggap Pasukan ISIS sbg "Tentara", Apa Mahfud anggap ISIS itu negara merdeka? Klo iya, maka ini makar krn akui organisasi ( yg dicap Pemerintah Indonesia sbg Teroris) sbg sebuah negara</t>
  </si>
  <si>
    <t>RT @N1ngW4ng1: Msh ingat bgmn mrk jadikan anak2 sbg tameng saat demo? Petugas diharapkan kasihan &amp; bingung utk bertindak tegas pd pendemo krn anak2 itu ada di situ. Mirip strateginya dg ISIS. Hmm 🤔 Kita jgn bingung. Mrk sengaja kok. Dan anak2 itu sdh dicuci otaknya #TolakAnakISISKembali</t>
  </si>
  <si>
    <t>@agung_nusanjaya @mohmahfudmd Mereka bukan hakim atau aparat penegak hukum. Sampah ga bisa dipakai bersihkan kotoran. Teroris isis sampah kemanusiaan dan peradaban manusia (sm halnya nazi) Koruptor kotoran hidup berbangsa</t>
  </si>
  <si>
    <t>Alhamdulillah... Amin YRA, Pemerintah tidak akan pulangkan anggota ISIS Eks WNI,mustinya tidak usah kirim tim identifikasi ke Suriah nanti lapor ke Amnesti internasional memisahkan anak dari ortunya di goreng melanggar HAM,🙏 #TolakAnakISISKembali #TolakWNIEksISIS</t>
  </si>
  <si>
    <t>Tolak ISIS #isisgotohell</t>
  </si>
  <si>
    <t>RT @devy215: Kalau yg begituan @KPAI_official gak ikutan,tp kalau anak"ISIS mereka br bicara</t>
  </si>
  <si>
    <t>RT @ParmonanganRaja: Fokusnya cuman bebasin WNI eks ISIS</t>
  </si>
  <si>
    <t>@geloraco bener kata temenku, OPM yg memporak porandakan tanah air yg ingin keluar NKRI dan membunuh aparat keamanan dan warga di pertahankan, lah ada msh berstatus WNI yg ingin kembali ke tanah air di tolak. gitu aja akooh mah...😀😀</t>
  </si>
  <si>
    <t>JANGAN JUAL DONGENG 📚..PEDULI ? 🤔 BUKTIKAN! BERANGKAT ✈ SANA JEMPUT 👬 NYAP 2 AJA 😏 MAJU SONOH👉 KALAU BERANI ! NGOMONG MAH GAMPAAANG...😜 LEBIH MUDAH NGOMONG😒 DI BANDING PUPP🤭 HARUS NGEDEN 😳...SANA JEMPUT ISIS 🚙 GUE DOA IN .SEMOGA 🤲 PULANG YOU MASIH PUNYA USUS ..😵  RT @AnakKolong___: UNTUK KETIGA KALINYA saya tegaskan DRUN KADRUN @felixsiauw BAJINGAN KHILAFAH &amp; AGEN ISIS di Indonesia yg mendukung teroris di Ghouta, Allepo &amp;amp; wilayah Syiria lainnya. Dan perlu kamu ketahui 4 thn sy ikuti jejaknya &amp;amp; menunggu FITNAHNYA TERBONGKAR. |@DivHumas_Polri @BNPTRI</t>
  </si>
  <si>
    <t>@phieaja @yonatankarya @penggemarsemar @harunomizuhime @CNNIndonesia @Kemlu_RI Semoga ke-78 WNI tetap sehat dan selamat hingga kembali berkumpul dgn keluarga di tanah air</t>
  </si>
  <si>
    <t>@mohmahfudmd Emang isis perang bersama siapa pak?.. Beda ya yg bunuh TNI/polri dikasih karpet merah di istana kaya OPM.. Sama rakyat kecil tajam ya aturan, giliran sama penguasa tumpul sampe berkarat...</t>
  </si>
  <si>
    <t>RT @UmarTanjung1: WNI Eks. ISIS ❓ Berarti statusnya masih WNI dong, knp menolak warga negara sendiri❓ Lalu klo ada apa2 di LN, negara nn yg tang jwb❓ Klo ngaku ini neg hukum, mestinya diselesaikan lwt proses hukum, bkn kputusn politik berdasarkn klaim dan asumsi sepihak penguasa. Not fair❗</t>
  </si>
  <si>
    <t>WNI eks ISIS Gayus :"Mereka punya hak komplain, ke pengadilan," Ngabalin :"Gimana mereka mau komplain, sementara mereka membakar paspornya, dan menyebutkan negara ini adalah negara thagut," Gayus :"Jangankan paspor, bakar rumah saja diadili,"</t>
  </si>
  <si>
    <t>@the0ka nek dibiarkan tetap di syria: bisa direkrut jd benih isis baru di masa depan || nek diambil indo: ada kemungkinan di masa depan balas dendam / kena pengaruh radikal dari 'teman' ortunya kalo deradikalisasi gak berjalan lancar .. serba susah memang</t>
  </si>
  <si>
    <t>RT @sunankaliblanak: seandainya ISIS yg itu menang melawan kekuatan Basaar Al Azad di suriah. saya percaya 10.000.000% PKS, HTI,FPI, MUI, GNPF dan habitatnya akan saling berebut pucuk pimpinan untuk menjadi perwakilan ISIS di Indonesia untuk menggulingkan Pancasila.</t>
  </si>
  <si>
    <t>@dusrimulya @Rita8213 @mohmahfudmd negara atau tidak ISIS bukan TNI... 😏</t>
  </si>
  <si>
    <t>KPAI: Pemerintah Wajib Lindungi Anak WNI Eks ISIS</t>
  </si>
  <si>
    <t>@Hanifah933 Tetap dan selalu waspada gerakan2 radikalisme pro isis #TolakAnakISISKembali</t>
  </si>
  <si>
    <t>@adeknyabbh Kan komisi perlindungan anak isis</t>
  </si>
  <si>
    <t>Selain ISIS, si Prof jg harus akui KKB OPM sbg "Tentara" Dampaknya adlh: 1. Pasukan OPM dapat perlindungan hukum Konvensi Jenewa ttg Tawanan Perang..padahal Indonesia bersikeras tak akui OPM sbg sebuah Tentara Militer 2. Indonesia akui Papua sbg negara merdeka Prof blunder</t>
  </si>
  <si>
    <t>Klo si Prof anggap status WNI Eks ISIS bisa dicabut krn gabung "Tentara Asing" maka si Prof adalah Pejabat Indonesia Pertama yg akui ISIS sbg sebuah Negara Merdeka Ini makar krn mengakui Teroris sbg sebuah Negara merdeka !!</t>
  </si>
  <si>
    <t>Rencana Pemerintah Memulangkan Anak WNI eks ISIS, KPAI: Wajib Dilindungi!  lewat @Notif Indonesia</t>
  </si>
  <si>
    <t>Masa Obsevasi Berakhir Besok, Begini Skenario Kepulangan 238 WNI dari Natuna</t>
  </si>
  <si>
    <t>@pemkotdepok Di arab aja ngerayain... cuma isis dan kawan kawan yg propaganda valentine jd suatu yg mengerikan !!!! Mohon pejabat depok di screning lagi nih cc @jokowi</t>
  </si>
  <si>
    <t>Hanya orang2 BODOH YANG MINTA PEMERINTAH PULANGIN EX WNI YG GABUNG AMA ISIS ... UDAH KETAHUAN TUJUANNYA PINGIN NGEJATUHIN PEMERINTAH YG SAH... RT @mochamadarip: PKS ini 11/12 dg Ikhwanul Muslimin di Suriah. IM adalah Oposisi pemerintah Suriah.. Ga heran PKS mau gulingkan pemerintah Indonesia yg sah lewat Mardani Ali Sera. #TolakAnakIsisKembali #TolakAnakIsisKembali #TolakAnakIsisKembali #TolakAnakIsisKembali</t>
  </si>
  <si>
    <t>RT @Ciwong80: @embah72 @MardaniAliSera @BNPTRI @jokowi Kirim dulu madani ali sera dan teman pks ke suriah supaya bisa jelas liat eks wni. Jgn cuma ngomong doang.</t>
  </si>
  <si>
    <t>@HananyaNaftali "Gila banget", Ternyata "kegilaan2 khas" "rezim diktator, Tirani &amp; otoriter" di Iran, "Dicopy pula" ke Irak. "Isa kabur" di bumi, "Ya memang tidak jelas". Ya sunni("ISIS" hingga "ABU SAYYAF") maupun ya syiah("Rezim tirani, Diktator &amp;amp; otoriter" di Iran, "Sama saja", "11-12".</t>
  </si>
  <si>
    <t>@KaumBumiLucu Demen lah yg aman, makanya aku setuju isis ex-wni ga d pulangin biar Indonesiaku aman💃💃 *Awalnya bahas apa, malah kemana-mana ya 🤣🤣 Gda cita2 ngasi coklat gitu? 🙄</t>
  </si>
  <si>
    <t>Terbukti Danai Simpatisan ISIS, Dua Wanita Indonesia Dipidana di Singapura</t>
  </si>
  <si>
    <t>Iya majelis ulama isis iya RT @validnewsco: Menurut MUI, Valentine bukan budaya Indonesia dan tidak sesuai ajaran agama Islam, sudah seharusnya dilarang.</t>
  </si>
  <si>
    <t>Besok Observasi Berakhir, WNI Eks Wuhan Diterbangkan ke Jakarta</t>
  </si>
  <si>
    <t>@AnakKolong___ @KPAI_official @KPAI_official cuma mau ikut tenar aja. Masalah dlm negri gak diurusin, org yg udh gak mau jd WNI diurusin. Mikiiiiirrr.....mikiiiirrr...</t>
  </si>
  <si>
    <t>RT @vidalavidah: @AzamRoni15 @rasndeso @pyonidas @AhlulQohwah @KPAI_official Bukan KPAInya yang dibubarkan tapi orang-orang yang berideologi anti Pancasila yang kudu di basmi.. Ga boleh kerja di lembaga-lembaga kek gini, karena udah jadi rahasia umum, antek2 pro ISIS udah makin menjamur bahkan pejabat, ASN, pegawai BUMN, mahasiswa, udah banyak yg terpapar</t>
  </si>
  <si>
    <t>@permadiaktivis @tommikukaku DARI MUKA SI KADRUN ITU AJA... AURA BOOODOOOOHNYA KUAT BANGET... HERAN NAPA GA KE SURIAH IKUT ISIS DIA NYALI CUMA SE UFIL ONTA SEEEH</t>
  </si>
  <si>
    <t>@madbexer @__N1l4m cerita paling mcm haram</t>
  </si>
  <si>
    <t>seandainya ISIS yg itu menang melawan kekuatan Basaar Al Azad di suriah. saya percaya 10.000.000% PKS, HTI,FPI, MUI, GNPF dan habitatnya akan saling berebut pucuk pimpinan untuk menjadi perwakilan ISIS di Indonesia untuk menggulingkan Pancasila. RT @shinichikudo991: "Dan mereka, saya yakin, ketika diberi pendidikan yg baik insyaallah mereka akan tumbuh tidak seperti yg diharapkan oleh orang tuanya mungkin ya. Saya percaya hal itu," tutur Sohibul. Yakin, mungkin, percaya.. mbulet amat si pak? #TolakAnakISISKembali</t>
  </si>
  <si>
    <t>Komisi Perlindungan Anak ISIS RT @CNNIndonesia: KPAI: Pemerintah Wajib Lindungi Anak WNI Eks ISIS</t>
  </si>
  <si>
    <t>@AhlulQohwah @susupisang92 Ha ha ha udah keliatan dia simpatisan isis 😆 😆 😆</t>
  </si>
  <si>
    <t>ISIS bukan negara lah hanya ngaku2 saja semacam kerajaan agung sejagad, sunda empire... orang orang halu.. bedanya halu syariah dan halu konvensional... sesimpel itu ..</t>
  </si>
  <si>
    <t>RT @madbexer: Kisah seorang wanita bisu dan pekak terpaksa berdepan dengan seorang pembunuh yang cuba nak masuk rumah dia. Citer ni simple je, buat kau saspen level maximum tengok pembunuh psiko ni mengintai luar tingkap. Nak mintak tolong internet takde, rumah pulak dalam hutan. Ah jilake.</t>
  </si>
  <si>
    <t>RT @am_juney: Indahnya persahabatan. Walaupun yatim di usia 8 bulan, moga Hamzah membesar jadi anak yang soleh macam Allahyarham Abam Bocey Dan insan yang sentiasa menyantuni anak yatim di dunia akan peroleh ganjaran istimewa di syurga kelak.</t>
  </si>
  <si>
    <t>@CNNIndonesia Anak² eks WNI itu secara hukum sudah WNA, itu menurut UU KEWARGANEGARAAN RI dan pendapat Prof Cholil Nafis, Prof. Hikmahanto J. KPAI wajib melindungi anak lonte yg dijebak di Padang, apakah dia masih bisa makan skrg.</t>
  </si>
  <si>
    <t>RT @KontanNews: Besok, masa observasi WNI asal Wuhan selesai  #WNI</t>
  </si>
  <si>
    <t>Setelah pemerintah mengeluarkan keputusan tidak akan meng evakuasi Ex ISIS, Din Samsudin dan tokoh islam lainnya mengaung. Mereka meminta agar pemerintah menyelamatkan anak anak. Dan kini pemerintah mulai kebingungan lagi, seperti tidak punya acuan dalam bertindak.</t>
  </si>
  <si>
    <t>@OposisiCerdas @ZPanyalai Isis, bullying pelajar,prostitusi,terowongan,perobekan Alquran....dst..dst..</t>
  </si>
  <si>
    <t>@GunRomli @nathanael74 SI KADRUN NI... PINDAH JA LO SMUA KE SURIAH IKUT ISIS.. KTIMBANG DISINI SABAN HARI CARI SENSASI MURAHAN.. NAPA GA SKLIAN KUCING TIKUS DI JALAN LO PROTES AJA ..</t>
  </si>
  <si>
    <t>@N1ngW4ng1 tanpa mereka pendidikan dinegeri ini aja masih banyak kasus bully,apalagi kalau anak2 eks ISIS nanti bisa kejadian bully teman sekolah pakai granat.</t>
  </si>
  <si>
    <t>@detikcom Lah apa lagi. Kalo mau difasilitasi pake uang pribadimu aja deh pak. Uang negara juga ngga cuman buat mikirin itu tapi banyak. Mereka yg isis bayar pajak juga engga</t>
  </si>
  <si>
    <t>@APrast89 @wisanggeni_084 Komisi perlindungan anak2 Isis 🤭</t>
  </si>
  <si>
    <t>RT @Metro_TV: 689 WNI kombatan ISIS meminta pulang ke Tanah Air, silang pendapat dari sejumlah pihak pun bergulir. Mengapa akhirnya pemerintah menolak pulangkan mereka? Selengkapnya di #SpecialReportMetroTV "Tolak Kombatan ISIS" malam ini, Kamis (13/2) pukul 22.05 WIB di @Metro_TV</t>
  </si>
  <si>
    <t>@beritapajak Berarti masih ber WNI tetapi tinggalndi LN atau usahanya di Indonesia tapi dia tinggal di LN?</t>
  </si>
  <si>
    <t>Luruskan Soal Status Eks WNI ISIS, Mahfud Jangan Pertentangan Saya Dengan Moeldoko</t>
  </si>
  <si>
    <t>@AtikaFaya Woi... @KPAI_official Trus yg meninggal, yang cedera, yg cedera permanen akibat pengeboman dari simpatisan ISIS itu bukan Korban????? Tolong jelaskan sejelas jelasnya.</t>
  </si>
  <si>
    <t>Biarkan hukum Suriah yg menindak semua eks teroris ISIS</t>
  </si>
  <si>
    <t>Hukum milik mereka..jadi mau apapun boleh spt pembubaran HTI dan skrg eks ISIS. Walaupun bagaimana tertib hukum hrs dijalankan. Jika aturannya pengadilan ya mau ga mau pemerintah hrs ikut...pemerintah contoh bg masyarakatnya RT @ariel_heryanto: Di dunia ini ada orang baik dan pejahat. Ada yang di dalam dan luar pemerintahan. Jika ini negara hukum, sebelum ada vonis berat pada warga, seharusnya ada proses penyidikan &amp; pengadilan yang adil, terbuka dan sah. Bukan sekedar mengikuti tekanan massa.</t>
  </si>
  <si>
    <t>@zarazettirazr Nggaklah mba...ttp msh dipertahankan, dia bukan ISIS &amp; dia jg bukan teroris, dia cm salah masuk kamar wkt nyodok aja kok...dia tersesar jd ke wc. Jd tdk perlu dicabut...dicabut gk asoooy dong ah 😂😂</t>
  </si>
  <si>
    <t>@_wni_ ASAL NAMA AKU NI HAHHAHSHA SIAPA PAKWE AKU</t>
  </si>
  <si>
    <t>Cebong mengakui ISIS sbg negara merdeka krn anggap Pasukan ISIS sbg "Tentara", bkn Milisi Sipil Bersenjata RT @_UsbinDunda: @smallmelville @kang_blankon @dusrimulya @mohmahfudmd Kalo uda ngomong tentara berarti menyangkut pasukan dari sebuah negara.</t>
  </si>
  <si>
    <t>@alu_dra @yan_tja KPAI...Kami Peduli Ank ISIS</t>
  </si>
  <si>
    <t>KPAI. Komisi Perlindungan Anak ISIS kah? Go fuck yourself 👎🏻</t>
  </si>
  <si>
    <t>Memulangkan Anak-anak ISIS</t>
  </si>
  <si>
    <t>Masalah WNI yang udah terlanjur bakar paspor buat ISIS, emang Indonesia udah ngakuin ISIS sebagai negara? Kalau belum, ya mereka masih WNI. Ada kejahatan? Diadili.</t>
  </si>
  <si>
    <t>RT @dusrimulya: @__Ndaru__ @V4nn @smallmelville @Wawanda @mohmahfudmd Cebong gobloknya permanen...klo Pasukan ISIS disebut "Tentara" maka scra tak langsung Mahfud akui ISIS sbg negara merdeka Pasukan non resmi itu disebut Milisi..bkn Tentara..Milisi tak dapat perlindungan Konvensi Jenewa</t>
  </si>
  <si>
    <t>@KRMTRoySuryo2 @msaid_didu @PDI_Perjuangan @KPK_RI Pertimbangan mulangin anak kombatan ISIS? Justru menurut video ini anak2 adalah senjata andalan ISIS Liat tuh, balita latihan gorok boneka.</t>
  </si>
  <si>
    <t>Presiden PKS Dukung Jokowi Tolak Pemulangan ISIS Eks WNI #isis #jokowi #pks #merahputih</t>
  </si>
  <si>
    <t>@__Ndaru__ @V4nn @smallmelville @Wawanda @mohmahfudmd Cebong gobloknya permanen...klo Pasukan ISIS disebut "Tentara" maka scra tak langsung Mahfud akui ISIS sbg negara merdeka Pasukan non resmi itu disebut Milisi..bkn Tentara..Milisi tak dapat perlindungan Konvensi Jenewa</t>
  </si>
  <si>
    <t>Wapres Ungkap Antisipasi Pemerintah Terhadap Eks ISIS Masuk Indonesia</t>
  </si>
  <si>
    <t>Isis Itu oknum RT @5thform:</t>
  </si>
  <si>
    <t>Menteri Koordinator bidang Politik, Hukum dan Keamanan (Menko Polhukam), Mahfud MD menjelaskan soal pencabutan kewarganegaraan Warga Negara Indonesia (WNI) yang pernah menjadi kombatan ISIS.</t>
  </si>
  <si>
    <t>RT @Zaxian3: @CNNIndonesia @Kemlu_RI biar lebih meyakinkan mndg menlu bikin vidio dan foto2 bersama wni yg ada di kapal</t>
  </si>
  <si>
    <t>@papaleomilenial @mohmahfudmd Goblok permanen..laah gua sama simpatisan ISIS aja dicap Thogut krn ikut pemilu Beli otak gih di RM Padang 😆</t>
  </si>
  <si>
    <t>YaAllah WNI sudah digembleng habis2an emang. Alhamdulillah negatif dah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</si>
  <si>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@C_AjiMahameru52: @jokowi Maaf sebelumnya Pak @jokowi menurut saya selaku rakyat NKRI sepertinya tdk perlu lg diverifikasi utk keturunan dr pihak yg memang sudah keluar dr NKRI &amp; menjadi bagian dr ISIS, krn hal tsb akan menimbulkan rasa dendam pd diri keturunannya yg sdh ditanamkan sejak dini.</t>
  </si>
  <si>
    <t>@detikcom Syaratnya tukar dengan yang ngotot ingin memulangkan kombatan Isis eks WNI.</t>
  </si>
  <si>
    <t>@KakekHalal Terpapar ISIS mungkin orang ini</t>
  </si>
  <si>
    <t>Ibu be like " takkan la pakwe puteri nak call awak tngh2 pagi ni " Me</t>
  </si>
  <si>
    <t>RT @zlametabidin: @angedespoir5 Itulah bukti Komisi Perlindungan Anak Isis. #BubarkanKPAI yg memperjuangkan eks wni isis. Padahal anak negeri baru penus masalah. Tapi mereka pura2 buta mata dan telinga.</t>
  </si>
  <si>
    <t>RT @parmabar: Apakah wanita ini bisa dipercaya? Bisa jadi ceritanya gak benar,dan si wanita isis ini cuma ingin dapat simpati saja,biar mereka di ijinkan masuk ke NKRI? INGAT ISIS ITU PENUH DENGAN TIPU MUSLIHAT IBUNYA AJA DI BUNUH,PALAGI CUMA NGARANG CERITA BGINIAN</t>
  </si>
  <si>
    <t>TEGAS! ISIS eks WNI dilarang kembali semuanya!! @jokowi @JokowiCentre @JasmevLagi #isisgotohell #TindakTegasIntoleran #TolakAnakISISKembali</t>
  </si>
  <si>
    <t>@mohmahfudmd tentara asing itu kan tentara resmi negara asing, ISIS itu organisasi kriminal, bukan negara. Kenapa yg gabung OPM atau GAM tetap WNI?? kan sama2 ingin dirikan negara. Ga suka boleh, tapi harus adil. Bawa kesini, langsung adili, penjarakan. Koruptor aja dikasih grasi masa</t>
  </si>
  <si>
    <t>Tolak eks ISIS, Peneliti Terorisme: Waspada potensi balas dendam</t>
  </si>
  <si>
    <t>@mochamadarip pks sih seneng kl anak2 ex isis pulang, gak ush ngader lg udh jadi...</t>
  </si>
  <si>
    <t>@ZweiSusanto @KanekiTerry @mohmahfudmd Tokoh2 Fretilin saat disidang krn Pemberontakan Timor Timur aja masih berstatus WNI Cabut status WNI itu gak sembarangan..ada UU nya</t>
  </si>
  <si>
    <t>@ishaksp123 mungkin memang betul direkayasa oleh gerombolan isis, hti &amp; yg memberi sumbangan ke isis spt (yg mulia?) @fadlizon agar mendapat panggung... dan sekarang stl tdk kebagian penyunatan anggaran teriak2 macem kucing mau beranak..??? cara basi yg tak lagi laku.. 🙏🙏🙏</t>
  </si>
  <si>
    <t>Said louder!!!! Kita ga butuh anak ISIS PENGHIANAT NEGARA!!! RT @AhlulQohwah: Di Malang anak dibully sampai patah tangan anteng, di Purworejo anak perempuan dianiaya anteng. Giliran anak ISIS suaranya kenceng.</t>
  </si>
  <si>
    <t>@angedespoir5 Itulah bukti Komisi Perlindungan Anak Isis. #BubarkanKPAI yg memperjuangkan eks wni isis. Padahal anak negeri baru penus masalah. Tapi mereka pura2 buta mata dan telinga.</t>
  </si>
  <si>
    <t>Iya juga ya... ISIS itu tak diakui negara soalnya ya. RT @adnrxst: @arfibambani Angkat senjata buat negara lain. Negara mana?</t>
  </si>
  <si>
    <t>@Muhamadluchika3 Terjawab sudah akhir nasib mantan isis dari Suriah.</t>
  </si>
  <si>
    <t>Takut dispill kali ini makanya ga berani nyerang wni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</si>
  <si>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@AhlulQohwah Bea siswa djarum diprotes Anak exs wni KPAI hadir KPAI warga mana yaaa???</t>
  </si>
  <si>
    <t>Gilak padahal dikarantina di kapal, udah 218 yang terinfeksi, sementara WNI masih sehat. Bisa jadi dalam tubuh masyarakat Indonesia emang ada antibodi yang kuat ini utk lawan virus Corona. 🤔 RT @CNNIndonesia: Pemerintah Jepang menyatakan sebanyak 218 penumpang kapal pesiar Diamond Princess terinfeksi virus corona. @Kemlu_RI pun menuturkan bahwa 78 orang WNI yang merupakan kru dari kapal pesiar tersebut dalam kondisi sehat dan negatif virus corona.  #CNNIndonesia</t>
  </si>
  <si>
    <t>@Ivone_RSZ Khan bukan WNI lagi beb,mereka Khan mantan WNI,ga usah pusing padahal mikirin orang 🤭</t>
  </si>
  <si>
    <t>@arifinsyarif13 @DayatPondok @dytoxs_eddy @mohmahfudmd Aq cm pengen liat sampe dimana narasi dia tentang kombatan isis yg pengen dipulangkan itu. Tp yg keluar malah bukan argumen. Apa emang otak kadrun isinya cuma makian ya? 😀😀😀</t>
  </si>
  <si>
    <t>@mohmahfudmd @sirodjudin01 Makasih paparan ny prof dah jelas kan mrk dan bukan Wni</t>
  </si>
  <si>
    <t>@AhlulQohwah KPAI (Komisi Perlindungan Antek Isis)</t>
  </si>
  <si>
    <t>@utibrata Yoi mbak, kearifan lokal. Waktu gempa tohoku 2011, kbri pake lagu dangdut di speakerin kenceng2 buat ngundang wni yg ngumpet di wilayah2 terdampak gempa. It worked miraculously.</t>
  </si>
  <si>
    <t>@VIVAcoid @BIN_Official Petakan semua pendukung isis dalam negri</t>
  </si>
  <si>
    <t>Ada @NutriSariID buat asupan WNI di Diamond Princess RT @filastiin: @GodblessBabeh @_ahmadnadzir @hyr9124 @asmurcom @KBRITokyo Sedaap, Tolak Angin, Nutrisari (^_-)</t>
  </si>
  <si>
    <t>@dusrimulya @mohmahfudmd mungkin krn isis sdh dianggap pbb sbg ancaman terorisme dunia dia sudah diakui sbg belligerent mas, dimana belligerent kan juga subjek HI. tanpa ada deklarasi pengakuan atau kerasama pun smua negara juga tau kalo isis itu ada</t>
  </si>
  <si>
    <t>@Muhamadluchika3 Akhir polemik nasib mantan kombatan isis. ,terjawab sudah</t>
  </si>
  <si>
    <t>ISIS itu akarnya ada di Ideologi. Mereka itu khawarij. Pemberontak. Zaman para sahabat itu sudah ada pemberontak macam itu. Kalau ga lu kontrol ISIS akan jadi bola api liar yang ibarat kata bisa set flame orang-orang yang ada di sekitarnya. RT @SoundOfYogi: Mengenai pemulangan ex ISIS, gue rada2 paham kenapa ini menjadi hal yg serba salah - sebuah utas yg gak diminta sama siapapun-</t>
  </si>
  <si>
    <t>@VIVAcoid Pertimbangan mulangin anak kombatan ISIS? Justru menurut video ini anak2 adalah senjata andalan ISIS Liat tuh, balita latihan gorok boneka.</t>
  </si>
  <si>
    <t>@jr_kw19 Dan sekarang di dukung oleh @KPAI_official semoga di bom untk jadi sasaran pertama ISIS</t>
  </si>
  <si>
    <t>@kamuusiapaaaaaa @AhlulQohwah Anak2 itu korban kebodohan orang tuanya. Nggak ada orang yg suka dengan konsep dosa turunan yg dulu populer di agama2 tertentu. tapi sekarang bisa rame2 diglorifikasi buat kasus anak isis. Percayalah, gak semua anak sd peduli dg pancasila meskipun didoktrin pake pelajaran PPKN.</t>
  </si>
  <si>
    <t>sangat setuju si WNI eks isis ga di izinkan balik ke indonesia dan hrs nya kewarganegaraan di cabut.</t>
  </si>
  <si>
    <t>@anto_winarno Anak bangsa yg mengharumkan nama negara , gak pernah dihargai !!! Eks WNI isis yg sdh membakar passport + menghianati negara malah mau dibawa pulang !! @Kemenag_RI @KPAI_official @jokowi @mohmahfudmd !!</t>
  </si>
  <si>
    <t>Indonesia sudah semi-ISIS bahkan sebelum anggotanya dibawa ke Indonesia. Trompet dirazia Imlek dilarang Cap Go Meh gak boleh Gereja gak boleh Dagang kembang tanggal 14 Februari (bisa jadi bakal) dirazia Gak pilih partainya dianggap MURTAD dari Islam</t>
  </si>
  <si>
    <t>@Rakha_boumi Iya khan mereka sdh bukan WNI lagi ngapain pusing mikirin mereka?</t>
  </si>
  <si>
    <t>@mulanbilqis Tolong di edit, bukan WNI eks ISIS melainkan ISIS ex WNI;</t>
  </si>
  <si>
    <t>RT @tubirfess: 2beer! Sebentar2. Jadi Presiden J0k0 Wid0d0 mencabut kewarganegaraan 600 orang ini karena apa? Bergabung dengan ISIS? Bakar paspor? Make niqab? Melihara kambing? Atau apa? Presiden gak jelasin alasannya. Masa mau mencabut kewarganegaraan orang gak make alasan?</t>
  </si>
  <si>
    <t>@heniunique @LusiHQ @ISIS_Balik_NO Sy sih enjoy aja mbak, sy ngomongin sp yg kepanasan bnyk bngt, mn akun fake smua lg, kbetulan lg ad waktu ya sy bls mbak, kl ga ad ya ga sy bls 🤣 Kalau @LusiHQ ga ngomong kurang ajar trhdp profesi ssorang, sy ga bakal ribut. Ok sy jg mnt maaf ya mbak @heniunique kl ad slh kata</t>
  </si>
  <si>
    <t>RT @Rakha_boumi: @Gun4w4nAhokers Berubah terus tiap hari.apa ga ada sikap tegas siapapun itu baik anak maupun keluarga yang sudah bergabung dengan ISIS tidak ada tempat di Indonesia.. #TolakPulangkanKombatanISIS</t>
  </si>
  <si>
    <t>@tempodotco Pertimbangan mulangin anak kombatan ISIS? Justru menurut video ini anak2 adalah senjata andalan ISIS Liat tuh, balita latihan gorok boneka.</t>
  </si>
  <si>
    <t>@CNNIndonesia Lebih baik melindungi Rakyat dan Korban Bom yg setia kepada NKRI dan Pancasila. Daripada melindungi anak Isis Ex WNI. Sama saja melindungi utk masa depan tumbuh Radikal.</t>
  </si>
  <si>
    <t>alias penumpang kapal pesiar begitu kan bisa 2-3rb penumpang atau lebih mungkin.. 218 itu berapa persennya, jadi dimungkinkan sekali kalo kru WNI termasuk yg aman/negatif..</t>
  </si>
  <si>
    <t>78 WNI disana terdeteksi cuma masuk angin. Teh anget...mana teh anget? @naufal_azmi21 RT @CNNIndonesia: Pemerintah Jepang menyatakan sebanyak 218 penumpang kapal pesiar Diamond Princess terinfeksi virus corona. @Kemlu_RI pun menuturkan bahwa 78 orang WNI yang merupakan kru dari kapal pesiar tersebut dalam kondisi sehat dan negatif virus corona.  #CNNIndonesia</t>
  </si>
  <si>
    <t>@Gun4w4nAhokers Berubah terus tiap hari.apa ga ada sikap tegas siapapun itu baik anak maupun keluarga yang sudah bergabung dengan ISIS tidak ada tempat di Indonesia.. #TolakPulangkanKombatanISIS</t>
  </si>
  <si>
    <t>Kalau prespektif korban thp pemulangan ex WNI ex pro isis. Kita kembali mengingat korban 65 yg berada di luar negeri dan sampai berpindah kewarganegaraan sebab peristiwa politik dalam negeri yang juga tidak memungkn kan pulang</t>
  </si>
  <si>
    <t>@aldinalsya @EddySugama @Bronktho @AtikaFaya ISIS ngga ada di INA tapi simpatisan? Ada.</t>
  </si>
  <si>
    <t>RT @YohanesPatty2: @angedespoir5 @oppie30560071 Aneh @KPAI_official lebih perjuangkan perlindungan anak eks WNI ISIS, suara @KPAI_official kayak kentut. Baunya di NKRI tai nya di Suriah.</t>
  </si>
  <si>
    <t>RT @hartono_tratas: @andy_nomicin Mereka bukan lagi anak WNI tapi anak isis #TolakAnakISIS #TolakYangBerkaitanIsis</t>
  </si>
  <si>
    <t>Panglima TNI: Observasi 238 WNI di Natuna Dinyatakan Sehat</t>
  </si>
  <si>
    <t>Kapal pesiar terpapar virus Corona. Tapi ga ada wni kena. Kok bisa? Ternyata ini obatnya: RT @KBRITokyo: Perwakilan dari 78 WNI yg menjadi awak kapal yang sedang dikarantina di Yokohama di atas kapal Diamond Princess pada tgl 13/Feb ini sedang menyortir kiriman dari KBRI Tokyo untuk mereka semua. Meskipun tidak banyak namun cukup menghibur, katanya. #NegaraMelindungi</t>
  </si>
  <si>
    <t>Untuk mantan WNI eks ISIS abaikan rasa kemanusiaan seperti saat mereka melakukan tindakan2 terorisme,bom bunuh diri,pembunuhan massal tanpa pernah mempunyai rasa kemanusiaan terhadap sesama dan toh mereka bukan lagi WNI yg tdk lagi menjadi tanggung jawab pemerintah... RT @detikcom: Kantor Staf Presiden (KSP) menyatakan pemerintah akan mempertimbangkan untuk memulangkan anak eks ISIS yang berusia di bawah 10 tahun. Bagaimana pertimbangannya? #ISIS</t>
  </si>
  <si>
    <t>@ariel_heryanto @Listian08 Betul sekali mas. ISIS ex WNI yg kehidupannya menyedihkan di kamp pengungsian itu tak semua kombatan. Sebagiannya adalah "korban", anak2 yg tak tau apa2 ktk dibawa ortunya yg bodoh ke sana. Negara sebaiknya memilah milih dan memberikan pertolongan kpd "korban".</t>
  </si>
  <si>
    <t>Maksud gue, siapa yg bisa jamin para ex ISIS itu akan tetap disana?</t>
  </si>
  <si>
    <t>@dusrimulya @mohmahfudmd Pengacara ISIS NGAMUK 😂😂😂😂😂</t>
  </si>
  <si>
    <t>@CNNIndonesia Bukannya ngurusin kasus bullying yg merajalela. Malah ngurusin NON WNI eks ISIS.. Kerjanya @KPAI_official gak jelas yeee</t>
  </si>
  <si>
    <t>@vivanewscom boleh gk protes knp mall ada mushola bhkn ada mesjidny jug?psti gk boleh kn protes bgtu. .nah coba pak kadrun pke otaknya...yg perihal ank isis,,tnya ma bpk emakny lh ngapain ngajak ank2 perang</t>
  </si>
  <si>
    <t>“Saya pribadi nggak percaya soal kehidupan yang serba indah di Suriah. Tapi ketika menemukan situs-situs yang mempromosikan itu, akhirnya tergoda juga,” ujarnya.</t>
  </si>
  <si>
    <t>@angedespoir5 @oppie30560071 Aneh @KPAI_official lebih perjuangkan perlindungan anak eks WNI ISIS, suara @KPAI_official kayak kentut. Baunya di NKRI tai nya di Suriah.</t>
  </si>
  <si>
    <t>Sekretaris Direktorat Jenderal Pencegahan dan Pengendalian Penyakit dr. Achmad Yurianto sudah diputuskan bahwa observasi WNI dari Wuhan yang saat ini tinggal di Natuna, berakhir pada tanggal 15 Februari 2020 pukul 12.00 WIB.</t>
  </si>
  <si>
    <t>@CNNIndonesia Anak2 eks isis tsb akan membalaskan dendamnya suatu saat nanti</t>
  </si>
  <si>
    <t>@telormatasapi00 @chokysijabat @plesenamduwa @vidalavidah @MohammadSahrul @dhynug @TirtoID Kalo secara de fakto mereka memenuhi unsur negara (pemerintah yg berdaulat: baghdadi, rakyat: Jihadis, dan wilayah: daerah taklukan isis. Tp tdk scr de jure; ga ada pengakuan dari negara lain.</t>
  </si>
  <si>
    <t>RT @pudjanggalama: Saya sangat mendukung langkah pemerintah untuk tidak memulangkan, mencabut status kewarganegaraan, dan melarang pulang WNI eks ISIS. Mereka adalah racun. Buat yg membela mereka dengan alasan HAM, kalian lupa mereka membunuh begitu banyak orang tanpa peduli HAM? Mikir!</t>
  </si>
  <si>
    <t>@Tommy_victory @GodongGanyong @AhlulQohwah @jokowi @KPAI_official Di Indonesia banyak yg terlantar, harusnya @KPAI_official gencar buat sosialisasi anti bullying, ini malah ngurusin warga negara isis, nanti tampung di rumah anggotanya saja</t>
  </si>
  <si>
    <t>@Pika41961394 @AhlulQohwah Yg mau menjadikan anak isis sbg anak angkat..wktu dan tempat di persilahkn</t>
  </si>
  <si>
    <t>Masa karantina 285 warga negara Indonesia (WNI) dari Wuhan di Natuna, Kepulauan Riau berakhir besok Sabtu (15/2/2020). Mereka akan diajak berkeliling pulau dan bersilaturahmi dengan masyarakat sebelum meninggalkan pulau.</t>
  </si>
  <si>
    <t>Besok, masa observasi WNI asal Wuhan selesai  #WNI</t>
  </si>
  <si>
    <t>Akhir Pekan Ini WNI di Natuna Tuntas Jalani Observasi</t>
  </si>
  <si>
    <t>meskipun mereka anak kecil dan terbilang masih belum bisa "dimasukan" doktrin isis, tetep aja ni anak bisa gede dan mencari tau asal usul dirinya, dan itu yang bisa memicu terorisme yang tertunda. iya gak sih?</t>
  </si>
  <si>
    <t>RT @BNPTRI: Wacana Pemulangan WNI Eks ISIS ke Indonesia, Kepala BNPT: Belum Ada Keputusan Sama Sekali</t>
  </si>
  <si>
    <t>Sabtu besok 280 WNI dari Wuhan bebas virus Corona, yg diKarantina, dipulangkan dari Natuna ke tempat asal mereka.  @KontanNews @SarYono56066316 @ellys_kerhi @Ze_sukma @amandagempita @Berty69968038 @yoyokzz @PurworOjek</t>
  </si>
  <si>
    <t>ohh KPAI berubah jd Komisi Perlindungan Anak ISIS RT @AhlulQohwah: Di Malang anak dibully sampai patah tangan anteng, di Purworejo anak perempuan dianiaya anteng. Giliran anak ISIS suaranya kenceng.</t>
  </si>
  <si>
    <t>Virus Corona, Pemerintah Segera Pulangkan Lagi WNI dari China</t>
  </si>
  <si>
    <t>@detikcom Pks ini menganggap indonesia ini penduduknya sedikit.jadi eks wni yg sdh berkhianat mesti dipulangkan.coba urus tuh anak jalanan dan pengamen yg semakin banyak krn sulit dpt kerjaan dan tukang parkir ygtambah banyak.kok yg diurus yg sdh dilatih jadi pembunuh.apa mau cari nama?</t>
  </si>
  <si>
    <t>@pejuangin @mohmahfudmd @ILCtv1 Yg jelas ISIS pertama dibentuk oleh USA di Afghanistan. Banyak yg tertipu krn ISIS bukan murni pergerakan Islam. Sy jg anti dgn yg ikut gabung ke ISIS utk berperang, tapi sy mengerti bnyk yg tertipu &amp; bnyk jg yg ingin ikut HANYA jd "Warga Negara bentukan ISIS" sj (tertipu)</t>
  </si>
  <si>
    <t>entah kenapa mereka suka banget melabelkan anak-anak tsb dengan dalih "korban isis" :(</t>
  </si>
  <si>
    <t>RT @RinjaniJB: @andy_nomicin Suruh aja sohibul yg pelihara anak-anak ISIS itu #TolakAnakISISKembali</t>
  </si>
  <si>
    <t>Semangat om toris, lae mario dan bang darus! Sejak Gempa Tohoku 2011, Gempa Kumamoto 2015, dan sekarang virus outbreak di kapal Diamond Princess, selalu terdepan nolongin WNI. Semoga dibalas berkali lipat sm Gusti Allah, amin. 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</si>
  <si>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RT @arifsholihan_: Ini perintah ISIS utk berjuang di Negara masing-masing.Termasuk Indonesia. Pemulangan hanyalah MODUS?</t>
  </si>
  <si>
    <t>maaf, itu ratusan anak kecil yg belum merasakan pendidikan, yg masih kekurangan, yg masih dieksploitasi &amp; segala deh yang masih ada di negara kita, boleh gak di selesain dulu, sampe hidupnya terjamin, kalo udah kelar, baru deh geser ke kasus "korban isis" . :)</t>
  </si>
  <si>
    <t>RT @Meidypm: guys.. bukannya belain kampus.. tapi gue yg ada didalem lingkungan UNJ ga merasa "didikan" semacem itu dtg dari dosen kok.. kalo iya gue pasti udh sama kaya mereka. buktinya kan ngga. jangan judge unj cmn grgr fmipa, sama kaya jgn judge islam cmn grgr isis</t>
  </si>
  <si>
    <t>Zonk ngotot eks wni pro ISIS dipulangkan, satu gerombolan #AwasAntek2ISIS #4niesKibul_CancelFormulaE</t>
  </si>
  <si>
    <t>Negara berlandaskan hukum mulai dihilangkan jadi negara berlandaskan seenaknya hati dan kompromi. Ini bukan sekedar masalah membela atau menolak ideologi ISIS. Ini tentang hak-hak rakyat yang harus tetap dibela. Orang-orang harus baca twit sampean ini pak. RT @ariel_heryanto: Di dunia ini ada orang baik dan pejahat. Ada yang di dalam dan luar pemerintahan. Jika ini negara hukum, sebelum ada vonis berat pada warga, seharusnya ada proses penyidikan &amp; pengadilan yang adil, terbuka dan sah. Bukan sekedar mengikuti tekanan massa.</t>
  </si>
  <si>
    <t>Mahfud MD Sebut WNI Eks ISIS Kehilangan Kewarganegaraan RI, Ini Data Jumlah WNI Eks ISIS</t>
  </si>
  <si>
    <t>Mereka gak ngomong untuk anak anak isis. Mereka lakuin ini cuman untuk manjain pendukung nya aja. RT @andy_nomicin: Sohibul meyakini anak-anak WNI eks ISIS itu bisa kembali menjadi anak-anak yang normal, salah satunya dengan diberikan pendidikan yang layak. Banyak anak2 di Negeri ini yg masih layak dididik, ketimbang anak2 eks ISIS. #TolakAnakISISKembali</t>
  </si>
  <si>
    <t>@RadioElshinta Gpp sih klw mau di pulangin tapi kita penduduk ri harus siap akan resiko dan dapmak kepulangan anggta isis yg berstatus ex wni tersebut. yang kita harapkan semoga dengal latar belakang mrka yg sprti itu tdk mmbwa pgruh buruk untk kita semua...</t>
  </si>
  <si>
    <t>@tvOneNews Pemerintah harus segera bentuk Kementerian Pendidikan Masyarakat, untuk tangani problema masyarakat terkait uu cipta kerja....... Dimana masyarakat dapat memperoleh didikan sesuai problem, ..... sehingga Rakyat tenteram dan Damai sebagai WNI</t>
  </si>
  <si>
    <t>@Ivone_RSZ enak ya yang dah di sana kak, pengen! puyeeng sama disini, eks ISIS kok diterima😩</t>
  </si>
  <si>
    <t>@lukasomanalu @mohmahfudmd Negara mana yg mengakui? Salah satu syarat Negara diakui sbg negara adalah ada negara lain yg mengakui? Negara mana yg mengakui ISIS? Klo Kewarganegaraan WNI eks ISIS dicabut, maka scra de jure Indonesia mengakui ISIS sbg suatu Negara Jgn bodoh</t>
  </si>
  <si>
    <t>Disinformasi, Pimpinan ISIS Abu Bakar Al Baghdadi adalah Agen Mossad Israel Link Counter :</t>
  </si>
  <si>
    <t>@Namaku_Mei Sudah memenuhi salah satu syarat sebagai pejuang ISIS .. kirim!</t>
  </si>
  <si>
    <t>@tempodotco *MEREKA DINIKAHKAN OLEH SYSTEM ZINAH ISIS, TITIK!</t>
  </si>
  <si>
    <t>RT @permadiaktivis: kelompok orang yang teriak2 #valentinebukanbudayakita ialah orang2 yang juga menolak adat sedekah bumi, wayang kulit, patung religi. cita2 mereka bukan ingin tegakkan agama, tapi ingin jadi ISIS. kalo dibebasin, orang2 ini bakal bawa palu bongkar candi2 kayak seniornya di Irak 😊</t>
  </si>
  <si>
    <t>@RadioElshinta Kpai lg sibuk. Ngurusin anak2 isis ex wni</t>
  </si>
  <si>
    <t>@em_fdhl @LusiHQ @ISIS_Balik_NO Tolong mas disudahi perdebatannya. Saya sangat keberatan kalo ada kata2 kasar. Sy mohon maaf karena cuitan sy. Kalian semua jadi begini.</t>
  </si>
  <si>
    <t>mreka yg nolak ISIS tp baik2 aja nyaman melihat foto+video yg sadis bgt dgn dalih mengingatkan kekejaman ISIS patut dipertanyakan jg kejiwaannya apakah mungkin sama dgn ISIS yg mreka tolak itu?? karna bagi manusia normal foto+video sadis ga laik tuk ditonton, mual, eneg!!</t>
  </si>
  <si>
    <t>WNI diduga Eks ISIS dilarang masuk tanpa ada upaya mekanisme hukum yg dijalankan Tapi Koruptor yg jelas jelas membunuh rakyat dg perlahan difasilitasi, bahkan terkesan dilindungi di negeri ini..?? Itukah yg dinamakan logis... ?? 🤔 Selamat datang di negeri 62..</t>
  </si>
  <si>
    <t>#RezimJKWRampokBUMN #RezimJKWRampokBUMN Debat Soal WNI Eks ISIS, Gayus Lumbuun Sebut Ngabalin Bodoh  Ngabalin yg nyebelin dan bodoh</t>
  </si>
  <si>
    <t>@CNNIndonesia ISIS ex WNI Gini amad portal berita. Lama2 jadi pengen boyong Trump jadi presiden Indo biar kalian bs cari makan dari beritain kekonyolan dia hari ini, Indo dapet dinding halau ISIS yg mau masuk, dan simpatisan ISIS di Indo diusir... Portal berita hepi, rakyat Indo aman&amp;nyaman</t>
  </si>
  <si>
    <t>@fatinadelia isis, kayak di sebuli. coba aja😬👍</t>
  </si>
  <si>
    <t>Memulangkan dan tidak memulangkan WNI eks ISIS itu sama-sama memiliki risiko. Kebijakan untuk tidak memulangkan mereka karena desakan belaka tanpa mengkajinya juga hal ceroboh.</t>
  </si>
  <si>
    <t>@CNNIndonesia @Kemlu_RI Sy percaya 78 WNI itu adalah generasi Jamu Buyung Upik</t>
  </si>
  <si>
    <t>@Metro_TV Yang bener eksWNI kombatan isis....namanya eks alias bekas alias sisa alias sampah buanglah sampah pada tempatnya...</t>
  </si>
  <si>
    <t>@CNNIndonesia Kirim aja KPAI ke suriah utk melindungi anak2 ISIS eks WNI..</t>
  </si>
  <si>
    <t>RT @AaHermawan16: @Ari3Pras Coba renungkan kembali keinginan anda anda para tokoh yg menginginkan anak2 isis eks wni pulang ke Indonesia!!! Yang mulia: @fadlizon , @OpiniDin , @PKSejahtera dan jajaran Partai Allah Lainya</t>
  </si>
  <si>
    <t>@CNNIndonesia andaikan bisa WNI, mau daftarin mantan rencananya. dia cocoknya di bulan.</t>
  </si>
  <si>
    <t>@mohmahfudmd Mud , fud Rusia aja yg komunis mau terima kembali warganya yg ex isis untuk di bina kembali . Apakah indonesia lebih komunis dr rusia fud ?? Jgnlah kebencianmu pd isis ( bikinan istael n AS ) menjadikan dirimu tdk adil fud .</t>
  </si>
  <si>
    <t>Wapres: Status WNI Otomatis Hilang Saat Gabung ISIS</t>
  </si>
  <si>
    <t>@sunankaliblanak @AnakKolong___ @KPAI_official Mungkin saja... lah soal donatur ke ISIS jelas ada.. kalau dengan Negara Indonesia ? Tidak ada hubungan apapun. Warga negara? Bukan.. bayar pajak? Tidak.. jadi bukan siapa siapa.. jelas? @hnurwahid @MardaniAliSera @fadlizon @KPAI_official</t>
  </si>
  <si>
    <t>@jr_kw19 Bcot ae lah, ngapain masih mikirin penghianat bangsa di ISIS sana, kek gaada problem bangsa lain yang difikirin</t>
  </si>
  <si>
    <t>@Wawanda @smallmelville @mohmahfudmd Betul Tentara itu merujuk pd Pasukan Resmi suatu negara sesuai Konvensi Jenewa Pasukan tak resmi tak bsa disebut Tentara dan tak dilindungi Konvensi Jenewa Apa pasukan ISIS dapat itu? Tidak..krn ISIS bkn tentara, hanya Milisi bersenjata..sbb ISIS bkn negara</t>
  </si>
  <si>
    <t>Saya sebagai WNI yg baik setuju eks ISIS untuk dipulangkan tapi ke Wuhan</t>
  </si>
  <si>
    <t>@shinichikudo991 Gini aja, individu / lembaga yg pingin eks ISIS dipulangkan, tantang mereka utk jadi bapak asuhnya,</t>
  </si>
  <si>
    <t>@Bung_TW Bisa aja pakde kalo mau cek ombak, Strategi yg dipake polemik isis ex WNI kmrn... Biar rame dulu di medsos lalu hajar, mudah2an</t>
  </si>
  <si>
    <t>@CNNIndonesia min kalo share loker yg buat WNI lah, kalo buat WN AS ngapain</t>
  </si>
  <si>
    <t>Skema Pemulangan WNI dari Natuna Dipersiapkan</t>
  </si>
  <si>
    <t>@sunankaliblanak @AnakKolong___ @KPAI_official Wrga isis itu berangkat biaya sendiri.. deklarasi thogut di indonesia dan juga bergabung serta membela pasukan dan negara asing.. terakhir membakar paspor.... jadi mereka itu apa hubungan nya dengan Negara Indonesia? Hubungan dengan si @fadlizon @hnurwahid atau @MardaniAliSera ?</t>
  </si>
  <si>
    <t>@dusrimulya @mohmahfudmd Lihat dan ylas dahulu sejauh apa ISIS khususnya De facto</t>
  </si>
  <si>
    <t>RT @AWChuz: Bahaya laten teroris ISIS lebih mengerikan ketimbang virus corona. Jangan biarkan embrio isis berkembang menjadi ancaman nyata. #TolakAnakISISKembali</t>
  </si>
  <si>
    <t>Pemerintah tidak akan memulangkan 689 warga Indonesia eks ISIS, tapi akan mempertimbangkan untuk menerima kembali anak-anak warga Indonesia di bawah umur 10 tahun.</t>
  </si>
  <si>
    <t>@LusiHQ @ISIS_Balik_NO @heniunique Ihhhh kok marah? Kamu siapanya dia? Suami ibuknya?</t>
  </si>
  <si>
    <t>RT @kompascom: "Terlebih dalam beberapa kasus di Indonesia, perempuan dan anak anak terkadang digunakan untuk melakukan aksi teror oleh orang tua mereka..," katanya.</t>
  </si>
  <si>
    <t>Apakah wanita ini bisa dipercaya? Bisa jadi ceritanya gak benar,dan si wanita isis ini cuma ingin dapat simpati saja,biar mereka di ijinkan masuk ke NKRI? INGAT ISIS ITU PENUH DENGAN TIPU MUSLIHAT IBUNYA AJA DI BUNUH,PALAGI CUMA NGARANG CERITA BGINIAN RT @Je_Ly: Perhatikan baik2 video lama ini. Perempuan dianggap pabrik anak o/ ISIS. Dg tujuan apa? Jelas mereka butuh bibit2 yg melanjutkan aksi terorisme mereka. Skrg kita mau terima anak2 ISIS ex WNI? No way 😒 #TolakAnakISISKembali</t>
  </si>
  <si>
    <t>RT @zarazettirazr: Jadi gini Ada eks ISIS yg minta pulang ditolak krn berbagai hal ngga dianggap WNI lagi Ada Yg mau refendrum ga dikasih dipaksa jadi WNI Apakah salah jalan pikiranku?</t>
  </si>
  <si>
    <t>"Terlebih dalam beberapa kasus di Indonesia, perempuan dan anak anak terkadang digunakan untuk melakukan aksi teror oleh orang tua mereka..," katanya.</t>
  </si>
  <si>
    <t>Kapolri turut memberikan apresiasi kepada seluruh personel gabungan TNI-Polri yang terlibat dalam proses evakuasi dan observasi WNI dari Wuhan, China. Kapolri menyebutkan bahwa evakuasi tersebut sebagai Operasi Kemanusiaan Natuna.</t>
  </si>
  <si>
    <t>@pajarockstar @SoyVixen Mi din micho isci y miidi isis cisis</t>
  </si>
  <si>
    <t>RT @zaenalkase03: Kami tidak pertakut untuk terus menolak pemulangan Eks WNI anggota ISIS yg biadab kami tetap akan #TolakEksWNIproISIS #TolakKepulanganISIS #TolakEksWNIproISIS #TolakEksWNIproISIS Jangan sampai mereka diterima di indonesia karena sanget berbahaya</t>
  </si>
  <si>
    <t>@arisaijaz @mohmahfudmd Tentara itu merujuk pd Pasukan Resmi suatu negara.. Apa ISIS negara resmi? Negara mana yg akui ISIS sbg negara?</t>
  </si>
  <si>
    <t>Begini Penjelasan Mahfud MD Soal Pencabutan Kewarganegaraan 689 ISIS Eks WNI Dia menegaskan bahwa serta-merta kewarganegaraan RI mereka tercabut pada saat bergabung dengan organisasi teror seperti ISIS.</t>
  </si>
  <si>
    <t>@aldinalsya @Bronktho @AtikaFaya Gaya u pake logika. Masih bisa mikir pake logika?u pake logika u, org indo yg ikut ISIS, emang mereka daftar online?😂 mereka di doktrin di indo, makanya mau gabung. Pake tuh logika bkn jenggot doang u panjangin.</t>
  </si>
  <si>
    <t>78 WNI yang di kapal pesiar Jepang negatif virus corona. Di Indonesia sampai saat ini tidak ada satupun WNI yang terkena virus Corona. Semakin yakin, semua ini bisa terjadi karena kita ini peminum Tolak Angin 😆👻</t>
  </si>
  <si>
    <t>@xd_handaya @detikcom Ex WNI...</t>
  </si>
  <si>
    <t>@sunankaliblanak @AnakKolong___ @KPAI_official Ini makna sebenarnya dari si aseng... mereka ini jelmaan aseng nya mamarika. Krn mereka pusing dengan biaya penjara ISIS juga ingin negara lain tidak maju dan jadi besar serta untuk mengeruk kekayaan alam nya..hati hati politik devide et impera...</t>
  </si>
  <si>
    <t>@smallmelville @mohmahfudmd Beh tolol..klo disebut "Tentara" itu mka itu merujuk pada pasukan Resmi suatu negara resmi.. Apa ISIS negara? Pasukan non resmi suata negara itu gak disebut "Tentara", tpi "Milisi" Milisi scra hukum beda hak dan kewajibannya dgn Tentara Mahfud paham ini..cma skrg lg ngelantur</t>
  </si>
  <si>
    <t>Tidak ada HAM untuk teroris! -- Menangkis ISIS: Istana vs Komnas HAM Soal Polemik ISIS (Part 4) | Mata N...  via @YouTube</t>
  </si>
  <si>
    <t>RT @mutajir_mohamat: @do_ra_dong Indonesia reagen untuk mendeteksi virus covid -19 belum ada, wajar jika hasilnya selalu negatif, pemerintah lebih takut ekonomi hancur dibanding melihat warganya tewas terinfeksi... Mengingat sdh ada WNI yg terinfeksi di singaporn dan 78 orang di kapal pesiar.</t>
  </si>
  <si>
    <t>Gak ngerti lagi gw dah, disamping memang ini kabar bagus dan patut disyukuri, tp bikin penasaran, kenapa yg WNI gak pada kena virusnya, Mukjizat nih RT @CNNIndonesia: Pemerintah Jepang menyatakan sebanyak 218 penumpang kapal pesiar Diamond Princess terinfeksi virus corona. @Kemlu_RI pun menuturkan bahwa 78 orang WNI yang merupakan kru dari kapal pesiar tersebut dalam kondisi sehat dan negatif virus corona.  #CNNIndonesia</t>
  </si>
  <si>
    <t>RT @wisanggeni_084: Sekali lagi ingat ya.... ISIS itu EKS WNI dan bukan WNI eks ISIS. Jgn kebolak balik ya !!! #TolakAnakISISKembali</t>
  </si>
  <si>
    <t>si Didin sdh Tahu bikinan Amerika...kok Bang Toyib dan Pengikutnya masih sj jd Fans ISIS Yang GUOBLOCK itu Siapa ? Memang Asli ....DODOL RT @My_LoveNebe: Ketua DP MUI Din Syamsuddin meminta pemerintah memilah WNI eks ISIS soal polemik pemulangan. Din menyatakan ISIS adlh buatan Amerika. Haii Udiiinnn. Isis mau buatan Jin iprit pun mrk sdh menjd teroris. Mrk mau pulang krn kalah #AwasAntek2ISIS</t>
  </si>
  <si>
    <t>Nolak Mantan ISIS brarti nolak Amerika.... ISIS kan made in Amrik..</t>
  </si>
  <si>
    <t>@Ari3Pras @jokowi @mohmahfudmd @Dr_Moeldoko @BIN_Official @PolhukamRI Bahkan bayi isis yg br lahirpun hrs ditolak balik lg ke nkri..muke gile.mungut sampah yg udh dibuang sm yg lain</t>
  </si>
  <si>
    <t>Anak ISIS = bibit mahal teroris karena sejak kecil sudah dicekoki radikalisasi dan intoleransi #TolakAnakISISKembali</t>
  </si>
  <si>
    <t>@tvOneNews Mana berani ngangkat soal "BOM WAKTU ANAK ISIS INDONESIA" @ILCtv1</t>
  </si>
  <si>
    <t>KPAI: Komisi Perlindungan Anak ISIS? RT @AhlulQohwah: Di Malang anak dibully sampai patah tangan anteng, di Purworejo anak perempuan dianiaya anteng. Giliran anak ISIS suaranya kenceng.</t>
  </si>
  <si>
    <t>RT @DjokoEdhi1: Lucu pemerintah. Ia yg bikin issu mau memulangkan eks ISIS, pemerintah pula yg menolaknya.</t>
  </si>
  <si>
    <t>@fat_halo @Kulinobareng_ @_tweetsimple @tweetGoblokmu @agsstyn_ @tweetRakyatku @jncktm_ @yowessory @Klnwn_ @NasibmuPiyeee @assfess @yowesss_maapp la ya mending timbang di ajak melu isis piyee</t>
  </si>
  <si>
    <t>Keren banget jokowi bilangnya isis eks-wni, bukan sebaliknya. Keren parah</t>
  </si>
  <si>
    <t>serem dan mulai skeptikal ini sebenernya emg gak bisa detect apa imunitas WNI sekebal itu........ ... ... 😥 RT @CNNIndonesia: Pemerintah Jepang menyatakan sebanyak 218 penumpang kapal pesiar Diamond Princess terinfeksi virus corona. @Kemlu_RI pun menuturkan bahwa 78 orang WNI yang merupakan kru dari kapal pesiar tersebut dalam kondisi sehat dan negatif virus corona.  #CNNIndonesia</t>
  </si>
  <si>
    <t>@CNNIndonesia Audisi badminton direcokin, bocil dibawa kampanye partai lu pada kemana? Ada banyak bullying juga diem2 bae cuma ngomong KaMI aKAn dALaMi, giliran ISIS eks WNI kaga boleh balik langsung PeMEriNtAh wAjiB LinDuNGi AnAk WNI eKS IsIS</t>
  </si>
  <si>
    <t>@absolutia ISIS KW 10😹</t>
  </si>
  <si>
    <t>@mohmahfudmd Begini caranya prof mahfud mendeteksi simpatisan Isis.. beliau melempar umpan, dn melihat siapa yg makan (kepanasan) Cekuwekwkskwk</t>
  </si>
  <si>
    <t>@innovesian dulu pernah ada yang mendeklarasikan setia Kepada GAM sekarang juga ada OPM apa mereka semua hilang status WNI nya?</t>
  </si>
  <si>
    <t>@Rita8213 @peni_me @mohmahfudmd @NU_bersatu @nuchannels Terus kl mereka netral ngapain di cc in? Kenapa gak sekalian cc in muhammadiyah juga ato cc in fpi. Kl mau netral itu jg Baca lagi dr atas yg belain isis siapa? Biar kamu faham jgn asal nge gas</t>
  </si>
  <si>
    <t>Sikap Seorang Muslim dalam Menghadapi Isu ISIS - Ustadz Firanda Andirja, M.A. di masjid Darul Ilmi PTIK (Perguruan Tinggi Ilmu Kepolisian)</t>
  </si>
  <si>
    <t>@AhlulQohwah Waktu itu anak di bully meneng bae, sekarang anak eks isis malah berkoar2... Kaga jelas</t>
  </si>
  <si>
    <t>@wisanggeni_084 KPAI = Komisi Perlindungan Anak Isis</t>
  </si>
  <si>
    <t>@edwards_bee @mohmahfudmd Beh tolol..Norma hukum itu tak boleh ditafsirkan lain selain yg dijelaskan dlm Pasal Penjelasan suatu UU Bila tak ada Pasal Penjelasan maka Norma Hukum dlm suatu UU tak boleh ditafsirkan lain Di UU Kewarganegaraan cma dibilang "Negara" Apa ISIS itu diakui sbg negara?</t>
  </si>
  <si>
    <t>PARANORMAL Roy Kiyoshi merasa cukup stres akibat masalah fitnah terkait restoran pesugihan yang dilakukan akun YouTube Hikmah Kehidupan terhadapnya. Dia bahkan sempat mendatangi psikiater demi memperbaiki mentalnya yang terganggu atas...</t>
  </si>
  <si>
    <t>RT @kompascom: Pemerintah tidak akan memulangkan WNI yang diduga teroris lintas batas dan eks ISIS. Namun, sejumlah polemik muncul.</t>
  </si>
  <si>
    <t>@kantayu Tunggu kluarga KPAI mati dlu, baru ga akan di bela lg tuh isis. 😁😁</t>
  </si>
  <si>
    <t>@bayu_andie @Athariz03 @aniesbaswedan @tamanhutandki @DKIJakarta @KotaJaksel Udah prnh main rawamangun blm sama cempakaputih..jgn cm liat ditivi yaa mohamad....otak didengkul msh mending ,dr pd lo otak ketinggalan terus di jamban..jd taek smua isinya..sama isis</t>
  </si>
  <si>
    <t>@dusrimulya @mohmahfudmd Kebanyakan yg mendukung pemulangan ISIS itu orang2 yg cekeuwoekkekskekskkw (sorry gw sensor) Liat aja postingannya .. menjurus sama cekuwkekwkskkekekwk ( sorry gw sensor )</t>
  </si>
  <si>
    <t>Ini Dasar Hukum yang Bikin Kombatan ISIS Asal Indonesia Otomatis Hilang Kewarganegaraan  lewat @wartakotalive</t>
  </si>
  <si>
    <t>@Rita8213 @kangsio42509757 @mohmahfudmd @NU_bersatu @nuchannels sblm nyatronin, pahami dulu postingan gua 😂 tdk ada statment gua mbela isis, gua cm menimpali perkataan pak mahpud yg bilang haram hukumnya mengikuti ajaran Rosullulah. coba cari statment itu, jgn kaitankan dgn isis. demikian 😝</t>
  </si>
  <si>
    <t>@AhlulQohwah KPAI kok jadi ikut"an jadi antek ISIS? Why..</t>
  </si>
  <si>
    <t>Ghazali : Pemerintah Mampu Deradikalisasi 600 WNI ISIS</t>
  </si>
  <si>
    <t>@wisnukombot Coba cari link beritanya tahun 2012. Kalau sdh 8 tahun lalu. Dan apapun itu... Mereka lwbih berhak diperhatikan ketimbang eks WNI pro ISIS.</t>
  </si>
  <si>
    <t>RT @kamentrader: Ko minta maafnya ke rakyat NKRI? Minta maaf lah sama orang2 Yazidi, Kurdi dan rakyat Iraq yg dibantai oleh gerombolan ISIS yg mereka dukung.</t>
  </si>
  <si>
    <t>@Aryprasetyo85 Usut donk....jangan" uang dendanya untuk bantuin Dana ISIS</t>
  </si>
  <si>
    <t>Pemerintah tidak akan memulangkan WNI yang diduga teroris lintas batas dan eks ISIS. Namun, sejumlah polemik muncul.</t>
  </si>
  <si>
    <t>Dua WNI, Fico dan Elfi, bercerita selama dikarantina di Natuna, mereka makan makanan khas, yaitu cumi segar, dalam menu makan siang dan malam.</t>
  </si>
  <si>
    <t>@mohmahfudmd Mohon pemerintah RI siap hadapi tekanan internasional jika eks wni itu ditolak di mana2.. 🙏🙏</t>
  </si>
  <si>
    <t>@shinichikudo991 Mau anak.. mau keponakan.. mau saudara.. mau apa saja.. jangan sampe para kombatan ISIS itu kembali ke Indonesia..</t>
  </si>
  <si>
    <t>@rizahariati @WenePapua1 @elisa_jkt @mohmahfudmd @VeronicaKoman @sandalista1789 @jokowi @kurawa Perlu anda catat : anda bicara data korban dari pihak anda yang mewakili pihak Benny wenda ... , Anda lupa kami belum buka data pihak kami berapa jumlah wni kami yang dibunuh pihak anda dari kubu Benny wenda ... , Catat itu ...</t>
  </si>
  <si>
    <t>@aldinalsya @EddySugama @AtikaFaya paling ente Fpi.atau Hatei kan. dikit2 bilang pki buat nutupin kebegoan eloe. Udah jelas fendukung isis itu nyata di indo. FPi ngluarin maklumat mendukung isis termasuk bibib rijik. Apalagi yg kau dustakan Drun.</t>
  </si>
  <si>
    <t>Pemerintah Akan Kirim Tim untuk Data 689 Kombatan ISIS Eks WNI #RakyatRukun</t>
  </si>
  <si>
    <t>RT @dewylast: @Je_Ly Kenapa seh masih aja buang energy ngurusi kombatan isis..... Anak terlantar anak yatim piatu anak kurang mampu masih banyak... Mendingan buat ngurus in mereka.... Anak anak isis biarin aja di habitat nya....</t>
  </si>
  <si>
    <t>RT @_n_1_7_: Bahaya ISIS Terhadap Ummat &amp; Bangsa Indonesia</t>
  </si>
  <si>
    <t>RT @vivanewscom: Beda Agama, Menikah di Australia dengan Penghulu WNI  #vivanews</t>
  </si>
  <si>
    <t>RT @sarimusdar09: @WagimanDeep @KPAI_official @ganjarpranowo Mau bilang bodoh ke KPAI boleh ngga ya ? Mestinya bikin road show kasih workshop ke sekolah2 ttg kasih sayang, anti bullying. Ngapain ngurusin anak2 ISIS?</t>
  </si>
  <si>
    <t>@EddySugama @Bronktho @AtikaFaya Cape deh...gw kasi penjelasan loe bilang pro isis...logika aneh..oke deh, gw ikut logika aneh...kalo gw pro isis, artinya loe pro komunis...kalo ikut logika aneh loe sih...</t>
  </si>
  <si>
    <t>RT @SunAntoni1: Pak Presiden @jokowi @mohmahfudmd @setnegri_ @kemendagri @FIAFormulaE Cancel Formula E yang sudah merusak Monas dan Lingkungan... #4niesKibul_CancelFormulaE #4niesKibul_CancelFormulaE</t>
  </si>
  <si>
    <t>RT @Nokia7200: @WagimanDeep @KPAI_official @ganjarpranowo Gak usah milih2 kasus drun. Itu banyak anak2 di bully, sexual abuse pada anak2, eksploitasi anak yg mjd pengemis, itu aja urusin dulu drun. Mrk jauh lebih layak di urus dan ditangani daripada anak2 ex WNI pro isis yg sdh membakar passport mereka.</t>
  </si>
  <si>
    <t>RT @kompascom: Hari Sabtu pagi adalah pengecekan kesehatan terakhir dan setelah itu pihaknya menyiapkan mereka untuk diterbangkan ke Jakarta.</t>
  </si>
  <si>
    <t>@kangsio42509757 @peni_me @mohmahfudmd @NU_bersatu @nuchannels Nach.. Kita Khan lg bicara ISIS. NU buat saya yg netral utk beri pendapat. Knpa hrs disatroni.. Kita demokrasi berpendapat dan beda pendapat. Tp jgn bela ISIS jg yg saya tdk faham dsr bela mereka lg.</t>
  </si>
  <si>
    <t>RT @sugiharto_68: @WagimanDeep @KPAI_official @ganjarpranowo @KPAI_official bagaimana kasus" bully di sekolah" ? Batang hidungnya pengurus KPAI tdk tampak. Giliran anak" ISIS ex WNI super sibuk</t>
  </si>
  <si>
    <t>@novian_sp @KPAI_official Pertanyaan yg bagus, tolong dijawab yaa @KPAI_official apakah krn ini anda getol ndukung anak2 ex wni pro isis balik, selain cuan nya gede pastinya</t>
  </si>
  <si>
    <t>@koekinekoneko @lio_mamet @sudjiwotedjo Ga mustahil. Cuma, selain buat pengalihan isu dari kasus2 gede, byk masyarakat yg juga takut apalagi "Taqiyah" eks ISIS. Jadi selama gakada "solusi yg ngejamin", yg kontra akan pemulangan masih ada n banyak.</t>
  </si>
  <si>
    <t>@CNNIndonesia Kasus kekerasan terhadap anak marah terjadi di sekolah2 kalian mingkem. Belain anak2 teroris kalian teriak kenceng. Komisi Perlindungan Anak ISIS?</t>
  </si>
  <si>
    <t>@jr_kw19 Lah selama ini ex ISIS tdk diberi pendidikan, mereka sdh mendapat pendidikan sebagai mesin pembunuh sejak dari dini</t>
  </si>
  <si>
    <t>Piara aja sel2 tdr isis tsb. RT @Yettidewi: Palak bersayariah 😁🤣 Guru yg mengajarkan Intoleransi sejak anak berusia dini Layak utk di Berhentikan , ini sudah merusak Idiologi Pancasila</t>
  </si>
  <si>
    <t>@detikcom klu ud pengikut isis mn ada kt pancasila lg..Jgn Di.pulangkn titik.</t>
  </si>
  <si>
    <t>@aldinalsya @Bronktho @AtikaFaya PKI ama isis bedanya apa? Yg gw tau persamaannya. Sama2 kekerasan. U bela isis benci pki. 🤣🤣🤣PAJERO.</t>
  </si>
  <si>
    <t>RT @PJustitia7: Kasus #JessicaKumalaWongso ( @artidjoalkostar ) mungkin ingat, bukti peradilan bobrok &amp; cacatnya naluri hakim Pun korupsi hukum kasus #BaiqNuril hingga presiden @jokowi berikan Amnesty MEMALUKAN yang begini sok mau bahas kasus Internasional seperti ISIS</t>
  </si>
  <si>
    <t>RT @_n_1_7_: Kesesatan Ideologi ISIS (Islamic State Of Iraq &amp; Sham)</t>
  </si>
  <si>
    <t>@Hendriksrtn @jo_sanjaya @Gerindra Patut dicurigai nich Gerindrong. Dan Pekaes.. ada apa gerangan? Jangan.. jangan.. jangan.. jangan.. merekalah antek ISIS sebenarnya.. merekalah pendukung kaun radikal dan intoleran selama ini..</t>
  </si>
  <si>
    <t>Kan udh saya bilang tadi. Ada solusinya utk anak-anak korban perang dimanapun juga, Yaitu UNHCR. Saya bukan anti Kemanusiaan, tapi sampeyan harus waras memahami bahwa status kewarganegaraan anak2 ISIS eks WNI itu bukan lagi WNI.. Jadi, harus fair.. Serahkan dulu pada UNHCR. RT @arfibambani: 2014, Anda mentweet seperti ini. 2020, Anda menyebut anak-anak yang dibawa orang tuanya berperang ke Syria, tak perlu dilindungi negara.</t>
  </si>
  <si>
    <t>Isis mampus aja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</si>
  <si>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RT @_n_1_7_: Nasehat Syaikh Abdul Muhsin Al Abbad Tentang ISIS dan Khilafah Khayalan Mereka</t>
  </si>
  <si>
    <t>@UAlla02 @msaid_didu Islam yg menentang Pancasila yaitu Islam yg melarang orang lain beribadah sesuai keyakinannya. Islam yg ingin mengganti ideologi bangsa. Islam yg sepaham dengan HT dan ISIS.. islam yg suka mengkafirkan orang lain. Islam yg semena mena kpd sesama. Islam yg memecah belah..</t>
  </si>
  <si>
    <t>RT @eka_dini722: @WagimanDeep @KPAI_official @ganjarpranowo Bullying anak di Malang gak hadir, di Purworejopun tidak. Lha trus apa kerja @KPAI_official ini? Klo ada duitnya aja? Nggon e arek2 Kucluk iki, mbib. Jgn2 itu Komisi Perlindungan Anak2 ISIS 🤔😏</t>
  </si>
  <si>
    <t>RT @ari_ap: Di UU No. 12/2006 kayaknya ditulis, nama2 WNI yang dibatalkan/meninggalkan kewarganegaraaannya harus diumumkan oleh menteri dan masuk berita acara. Seandainya bener negara sudah menganggap 600an orang di Suriah bukan lagi WNI, apakah sudah dideklarasi sesuai prosedur ini?</t>
  </si>
  <si>
    <t>@mohmahfudmd Pak mahfud YG TERHORMAT.. Kami tdak takut exs ISIS YG MAU PLANG KE INDONESIA.. TP KAMI TAKUT KBRUTAN APARAT MANGKRANYA EKONOMI JATUHNYA HARGA2 PERKEBUNAN NAIKNYA BBM DI CABUTNYA SUBSIDI DA KETIDAK ADILAN SEPERTI INI</t>
  </si>
  <si>
    <t>Kemenko PMK Sebut Jatim Terbanyak Terima WNI dari Natuna</t>
  </si>
  <si>
    <t>RT @yudiwijayaa: @Widiastuti_3101 @WagimanDeep @KPAI_official @ganjarpranowo Sik eling tha kasus djarum.lha wong djarum wes puluhan taon sponsori bulutangkis gae anak2 berbakat,wes uakeh hasilne.iku dimadalahno ambek kpai.sak iki masalah anak isis.mbuh karepe opo tho.</t>
  </si>
  <si>
    <t>@CNNIndonesia Maaf. Bukkan WNI, tapi eks WNI</t>
  </si>
  <si>
    <t>Mahfud Md Sebut Status Kewarganegaraan WNI Eks ISIS Bisa Gugur dengan Keppres</t>
  </si>
  <si>
    <t>RT @mochamadarip: ISIS memiliki rencana cadangan untuk melatih anak-anak menjadi generasi masa depan kebencian. Masih mau mulangin anak2 Teroris ISIS ex WNI? Kalau gw...#TolakAnak1sisKembali</t>
  </si>
  <si>
    <t>Menkes: WNI yang Diobservasi di Natuna Pulang Besok via Halim</t>
  </si>
  <si>
    <t>Pilihanya ada dua: Bunuh orang tua dpt sorga. Bebasin orang tua dpt neraka. Krn sdh otaknya sdh tercuci oleh kenikmatan sorga yg tiada tara sejak dini... Maka jawabanya jls... Bom!!!</t>
  </si>
  <si>
    <t>"Nyadari" 1000 orng yg terpapar paham ISIS aja jadi di politisasi...? Serahin ke saya...6 bln klar..dia akan super cinta Pancasila...sayang kpd Presiden Jokowi @jokowi ..ongkosnya 1Triliyun...setuju pak @mohmahfudmd ?drpd di maling pejabat setan uangnya? RT @jpnncom: Sohibul meminta agar masalah ini dilihat dari pelbagai sisi, terutama status kewarganegaraan mereka. #WNI</t>
  </si>
  <si>
    <t>RT @vivanewscom: Ampuhkah Deradikalisasi WNI eks ISIS yang Sempat Pulang  #vivanews</t>
  </si>
  <si>
    <t>@republikaonline Ayo siapa yg mau bantah pernyataan ini? Siapapun yg berkhianat terhadap bangsa ini tidak bisa lg dikatakan sbg WNI. Tidak peduli mau dia Org Dewasa/Anak2. Tidak ada satupun org yg bisa menjamin jika anak2 itu dipulangkan mrk tidak kembali berulah.</t>
  </si>
  <si>
    <t>RT @tomihidayat15: @WagimanDeep @KPAI_official @ganjarpranowo Cieee cieeeee @KPAI_official ngurusin anak ISIS , lupa Ama anak Indonesia yg di bully ..😡😡😡😡😡😡</t>
  </si>
  <si>
    <t>WNI Karantina di Kapal Pesiar Jepang Minta Dibawakan Obat Masuk Angin | #indonesia #viral &gt;&amp;gt;&amp;gt; Click</t>
  </si>
  <si>
    <t>Ampuhkah Deradikalisasi WNI eks ISIS yang Sempat Pulang  #vivanews</t>
  </si>
  <si>
    <t>@DayatPondok @mohmahfudmd Lucu ya,kenapa melencengnya otak karena salah memahami ideologi jadi salah pemerintah juga??mereka yg pergi gabung ISIS ,rata² orang kaya &amp; terpelajar.sepertinya</t>
  </si>
  <si>
    <t>@pejuangkhilaf @radenmasdimas__ Lho emang Lembaga Dakwah juga dibenarkan seperti itu? Jadi ISIS Jepang opo piye? Pembenaran aje nih si kardus parkiran</t>
  </si>
  <si>
    <t>KPAI lebih fokus ngurus anak2 eks ISIS ada apa dgn kpai ini? Banyak kasus2 anak2 di negeri ini yg tdk disentuh kalian, yg lebih penting dripada anak2 para pembunuh ex kombatan ISIS. RT @CNNIndonesia: KPAI: Pemerintah Wajib Lindungi Anak WNI Eks ISIS</t>
  </si>
  <si>
    <t>@CNNIndonesia Pemerintaj cm wajib melindungi wni.bkn ex wni.mau anak kek.mau org tuir kek.selama dia bkn wni pemerintah tdk ush lindungi teroris.bahkan kl ada bayipun kl dia teroris pemerintah hrs menolaknye.dmn suara kpi ketika adik2 trinity dan alvaro kesakitan pas dioperasi berkali2?</t>
  </si>
  <si>
    <t>Akan sangat menarik jika ada cinlok berujung pelaminan, bagi para WNI dari Wuhan China yg sedang diobservasi di Natuna. DOTS versi indo... RT @detikcom: #Foto Para WNI dari Wuhan yang kini tengah menjalani observasi di Natuna akan selesai diobservasi pada Sabtu besok. Begini kondisi terkini para WNI tersebut! #WNI #Natuna Selengkapnya di</t>
  </si>
  <si>
    <t>@CNNIndonesia Anak2 korban bom kemaren yg cacat parah. Yg kedua ortunya mati udah dilindungi belom masa depannya udah dikasih apa aja. Ntar dlu deh sama anak2 isis itu. Jenguk aja dlu kesana. Mereka ngapain aja. Apa cuma main mobil2an / TEMBAK2AN. #Agnation #BestFanArmy #iHeartAwards</t>
  </si>
  <si>
    <t>@addiems Valentine di larang..ex isis diminta balik..hadewhh😟</t>
  </si>
  <si>
    <t>@oneaperture @Ivone_RSZ @MieTjhai guru agama apa ya ini...rezim isis kali</t>
  </si>
  <si>
    <t>PBNU Dukung Sikap tegas pemerintah tolak pemulangan Eks WNI ISIS #4niesKibul_CancelFormulaE</t>
  </si>
  <si>
    <t>Begitu juga dengan gerakan-gerakan yang dilakukan untuk mendorong pemulangan TERORIS ISIS EKS WNI, sampai menggodoknya atasnama HAM. Yang sebenarnya juga bagian dari "proxy" yang akan digunakan untuk menggoyang kedaulatan rakyat dikemudian hari, demi tujuan mereka.</t>
  </si>
  <si>
    <t>RT @edwards_bee: @Aryprasetyo85 @ISIS_Balik_NO Nah ini...Monas kan bagian dr cagar budaya koq seenaknya ditebang pohonnya utk dijadikan furniture tanpa izin? Monggo @kemendagri @DivHumas_Polri dilidik sepertinya ada dugaan perbuatan melawan hukum nih!!!</t>
  </si>
  <si>
    <t>Di UU No. 12/2006 kayaknya ditulis, nama2 WNI yang dibatalkan/meninggalkan kewarganegaraaannya harus diumumkan oleh menteri dan masuk berita acara. Seandainya bener negara sudah menganggap 600an orang di Suriah bukan lagi WNI, apakah sudah dideklarasi sesuai prosedur ini?</t>
  </si>
  <si>
    <t>Mulai muncul nih pengakuan2 para pengikut ISIS yg tobat. Dlm bentuk wawancara di tipi, dlm bentuk buku, dan tulisan di media massa.</t>
  </si>
  <si>
    <t>@jr_kw19 Di Indonesia ini ada orang² yang diam² mendukung ISIS, orang² inilah yang di tarik simpatinya oleh Fadli kelak ketika ada kepentingan politik</t>
  </si>
  <si>
    <t>@ariel_heryanto Ini paparan saya soal hal itu prof. Perlu dilihat dengan jernih dan tak generalisasi.</t>
  </si>
  <si>
    <t>@AhlulQohwah Bagaimana dengan anak anak yang menjadi korban bom bunuh diri Isis? Anak anak yang jadi korban pelecehan? Anak anak yang menjadi korban bullying? @KPAI_official</t>
  </si>
  <si>
    <t>@sudjiwotedjo Terkadang awak berpikir isu kombatan isis ini tetiba muncul ,"nganu" mbah...</t>
  </si>
  <si>
    <t>@arilestari61 @Billy_aprianto Astaghfirullah hal adzim, kejam banget, sadis, Rasullullah tidak mengajarkan kekejaman seperti ini, ISIS ajaran sesat ciptaan Yahudi berkedok agama Islam, semoga segera terbuka hatinya bagi para pengikutnya, aamiin 🙏🙏</t>
  </si>
  <si>
    <t>@BANKBRI_ID selamat siang. Saya mau menanyakan. Teman saya dari hongkong (kebetulan WNI), membutuhkan masker. Belilah dia masker melalui online shop di daerah bengkulu. Sudah ditransfer dan bukti transfernya ada. Skrg online shopnya kabur dan ngeblock wa&amp;ig teman saya.</t>
  </si>
  <si>
    <t>Jubir presiden : Pemerintah tak berencana pulangkan WNI Eks ISIS Rakyat : Jika demikian maka Negara (pemerintah) telah gagal menjadi Bapak bagi anak-anaknya ! Sesuai dg pembukaan UUD alenia ke 4 Negara (pemerintah) wajib melindungi segenap bangsa dan tumpah darah Indonesia -</t>
  </si>
  <si>
    <t>Ya elah....urus dulu deh anak2 yg ada di Indonesia yg hak2nya terampas. Ngapain ngurus anak yg dibawa sm ortu eks WNI yg pro ISIS ke negara lain. Kayak kurang kerjaan aja #TolakEksWNIproISIS RT @MrsRachelIn: Halah sok care' masalah Perundungan anak2 disekolah aja ga ada abisnya' ngapain lg ngurus anak2 yg berbahaya? Lagian blom tentu mrk mau dipisahkan dg ortunya!😡 KPAI: Negara Harus Hadir Lindungi Anak-anak WNI Eks ISIS, Mereka Korban</t>
  </si>
  <si>
    <t>@Popopokarimu @lio_mamet @sudjiwotedjo Maka pertanyaannya apa mustahilnya mengadili ISIS eks WNI?</t>
  </si>
  <si>
    <t>@andris44 Ini pasti bukan gambar anak" ISIS yang dilatih bertempur... Latihlah cinta sejak kanak"...</t>
  </si>
  <si>
    <t>RT @boedi_wie: @CH_chotimah Kadrun suka bilang kalau ISIS itu bikinan amerika, mau tanya FPI siapa yg buat ya ?</t>
  </si>
  <si>
    <t>@detikcom KITA JGN LUPA BAHWA MEREKA ITU BANGGA MENJADI BAGIAN ISIS, ANAK2 SUDAH DIAJAR MENGENAL SENJATA, TENTU BERBAHAYA BAGI NKRI.</t>
  </si>
  <si>
    <t>Sel2 tidur ISIS tsb pasti serempak bergerak jika kombatan ISIS Suriah jadi diimport. RT @gadisresidu_b3: Penindakan&amp;law enforcemen gk jelas begitulah hasilnya!</t>
  </si>
  <si>
    <t>@Aryprasetyo85 @ISIS_Balik_NO Nah ini...Monas kan bagian dr cagar budaya koq seenaknya ditebang pohonnya utk dijadikan furniture tanpa izin? Monggo @kemendagri @DivHumas_Polri dilidik sepertinya ada dugaan perbuatan melawan hukum nih!!!</t>
  </si>
  <si>
    <t>@honeyyoon9 @BTS_twt “sili mi isis”</t>
  </si>
  <si>
    <t>RT @kompasiana: Jangan sampai anak-anak tersebut malah jadi momok dan bumerang di hari kemudian, sehingga anak-anak ini justru jadi embrio ataupun janin baru generasi penerus ideologi ISIS orangtuanya. #HLKompasiana</t>
  </si>
  <si>
    <t>RT @BadjaNuswantara: @ZheeOmega @gadisresidu_b3 @KPAI_official Komisi Perlindungan Anak Isis?</t>
  </si>
  <si>
    <t>RT @kompasiana: WNI Eks ISIS atau ISIS Eks WNI?</t>
  </si>
  <si>
    <t>RT @LuchisZarate: Bomboclaat</t>
  </si>
  <si>
    <t>@aldinalsya @EddySugama @AtikaFaya Pendukung Isis banyak di I do, contohnua eloe yang gblk mau ketipu . Termasuk FPI dan HTai serta antek2 nya yang mendukung Isis. Sudahlah drun.. Kau pergi ke suriah sana buat jihad biar dapat budak s3x dan nanti dapat bidadari di surga. Sukur2 eloe dapat budak miyabi</t>
  </si>
  <si>
    <t>@GamaelBen @N1ngW4ng1 @DindaAnindit4 Betul sekali. Mantan WNI !!!</t>
  </si>
  <si>
    <t>@AhlulQohwah KPAI itu fungsi sebenarnya apa ? Mau mengurus yang mana WNI ASLI atau WNI EKS ISIS Di gaji oleh siapa yang di urus siapa. Apa lau terlalu miskin untuk bisa beli cermin.</t>
  </si>
  <si>
    <t>@KompasTV Sapa Indonesia Malam Sy heran kalau ada yg bersikeras memulangkan WNI eks Isis. Anak" kecil eks Isis jg hrs diwaspadai, krn yg ngebom di gereja Sby anak kecil ikut</t>
  </si>
  <si>
    <t>DiSuriah mereka sdh dibentuk buat jadi mesin pembunuh sejak dini. Skrg mau di import untuk bangunin sel2 tidur ISIS didalam negeri... Itu sih buangsat banget tauk.....! RT @JanganMerusak: @ZheeOmega @gadisresidu_b3 @KPAI_official Lindungi2 anak2 dan bangsa ini yg jumlahnya jutaan didlm negeri dari bahaya sesat teroris dan isis. Jangan udah terjadi baru bicara, selama ini apa saja usaha utk melindungi mrk sblm terjadi ? Mau dibw pulang tuh penyakit kesini ? Semua sudah terkontaminasi cuci otak.</t>
  </si>
  <si>
    <t>@mohmahfudmd Mantap pak mahfud...Apapun alasannya isis jgn sampai dipulangkan...</t>
  </si>
  <si>
    <t>RT @woelannnn: Ternyata ISIS membuat aplikasi Android utk mengajar anak2 &amp; mendoktrin utk mengeja kata spt granat &amp;amp; roket. Anak2 yg tinggal di daerah jajahan ISIS hrs menjalani proses radikalisasi setelah diajarkan ttg terorisme Pemth hrs tegas #TolakAnakISISKembali</t>
  </si>
  <si>
    <t>@RyoFahri Isis ex WNI klo nanti dieksekusi Assad semua....mrk bukan tgjawab Pres RI..krn mrk memilih keluar sbg WNI dan menjadi mns2 bengis mns2 iblis.</t>
  </si>
  <si>
    <t>RT @apaini1111: Eks simpatisan ISIS dianggap sudah kehilangan kewarganegaraan karena menjadi tentara asing untuk negara asing. Ini secara ga langsung Indonesia mengakui secara De Jure bahwa ISIS adalah suatu negara yg sah. Wkwkwk tolong, ini blunder tergoblok periode ke-2.</t>
  </si>
  <si>
    <t>@zoelfick apakah KPAI, i adalah Isis, 🙊</t>
  </si>
  <si>
    <t>@republikaonline Itu ciri2 PENGIKUT ISIS di SURIAH yg pingin di-PULANG-in !</t>
  </si>
  <si>
    <t>@AhlulQohwah Barang kali udah diperhatiin tapi ga di eskspos media. Kan kalau ngurus anak Eks ISIS bisa lebih heboh jadi headline media :))</t>
  </si>
  <si>
    <t>@Jean_Aprilia97 Mereka cuma korban propaganda isis..</t>
  </si>
  <si>
    <t>@Je_Ly Kenapa seh masih aja buang energy ngurusi kombatan isis..... Anak terlantar anak yatim piatu anak kurang mampu masih banyak... Mendingan buat ngurus in mereka.... Anak anak isis biarin aja di habitat nya....</t>
  </si>
  <si>
    <t>@Popopokarimu @lio_mamet @sudjiwotedjo 1. Orang yang sadar ikut ISIS sama aja jadi teroris dunia, ini sih udah jelas kalopun mau balik ke negara asal, ya ke penjara. 2. Orang yang terpaksa (seharusnya ada, misal : istri &amp; anak) perlu dipertimbangkan, dikarantina dan dikasih penyuluhan dulu. Apalagi anak2.</t>
  </si>
  <si>
    <t>@detikcom Ditolak eks isis ke RI dan anak2 adalah tanggung jawab orang tua masing2</t>
  </si>
  <si>
    <t>@rizahariati @qronoz @yunartowijaya orang2 gereja di negri ini blm pernah jadi bomber (bom bunuh diri), dan ga akan pernah krn diajaran mrk bomber itu past msk neraka. tp ex isis yg sudah jadi bom bunuh diri ADA dan korbannya banyak, lu mau nambah korban lagi ???? sbelum ngomong mikir dulu biar ga keliatan bego!!!</t>
  </si>
  <si>
    <t>@detikcom Mereka itu ISIS ex WNI bukan WNI ex ISIS. Detik jgn suka putar balik</t>
  </si>
  <si>
    <t>Alhamdulillah, 258 WNI dari Wuhan di Natuna Tidak Terpapar Virus Corona #valentinebukanbudayakita #JumatBerkah</t>
  </si>
  <si>
    <t>@fadjroeL @jokowi @Kiyai_MarufAmin @KemensetnegRI @setkabgoid Sebenarnya masalah ini sangat simpel bang. Jika benar mereka itu di anggab sdh sah secara resmi kehilangan kewarganegaraannya/eks WNI, berarti sdh gak ada lg kewajiban pemerintah ngurusin mereka. Jd status mereka saja yg perlu di pastikan.</t>
  </si>
  <si>
    <t>Beda Agama, Menikah di Australia dengan Penghulu WNI  #vivanews</t>
  </si>
  <si>
    <t>Keluarga lega dengan rencana kepulangan WNI usai masa karantina virus corona.</t>
  </si>
  <si>
    <t>Isas isis isas isis ae, mbok yo wes ngono loh akeh seng mesti diurusi. Move on laaah, kita (Indonesia) wes ditinggalin kok yo gelem nrimo maneh.</t>
  </si>
  <si>
    <t>@detikcom ngomong kesana kemari tertipu janji surga isis, salah siapa ? udah tau negara perang mau hidup enak-enakan? ya logika sehat nya kemana ? semakin banyak anda bicara, semakin banyak yang tau anda itu bodoh......</t>
  </si>
  <si>
    <t>@MataNajwa Yg sy heran Fadlizon ingin sekali WNI eks Isis plg, ada apa? Sbg wakil rakyat shrsnya ikut memberi rasa aman kpd 267 jt rakyat indonesia</t>
  </si>
  <si>
    <t>@OnnoGammara09 @wisanggeni_084 Bisa juga "Komplotan pembela anak ISIS" bang.</t>
  </si>
  <si>
    <t>@mdualet @aewin86 @aniesbaswedan @dprddkijakarta @PSI_Jakarta Kita hanya bisa berharap pada @PSI_Jakarta dan @pdip_jakarta</t>
  </si>
  <si>
    <t>@Midjan_La Geus ayaa tah ojol mini, latihanana moal jeung ISIS pan 😁😁😁</t>
  </si>
  <si>
    <t>@ZheeOmega @gadisresidu_b3 @KPAI_official Lindungi2 anak2 dan bangsa ini yg jumlahnya jutaan didlm negeri dari bahaya sesat teroris dan isis. Jangan udah terjadi baru bicara, selama ini apa saja usaha utk melindungi mrk sblm terjadi ? Mau dibw pulang tuh penyakit kesini ? Semua sudah terkontaminasi cuci otak.</t>
  </si>
  <si>
    <t>@detikcom Alah ora urus ex ISIS harus nya jgan d trima di negara ini.</t>
  </si>
  <si>
    <t>pdhl gue posting ini tujuannya buat nyinyirin pak mahpud krn apa yg telah belio statmentkan, bukan memgomentari isis ttg kewarganegaraannya. klo bbrp ada yg emosi, ya itu slh lu krn kurang jeli u memahami. sprti lu memahami hati wanita yg sulit u ditebak 😂😂 RT @peni_me: @mohmahfudmd dan kata mbah nun, klo ada mentri yg mengatakan haram hukumnya bila mengikuti ajaran Rosullulah adalah wong sak goblok²e wong ( sebodoh²nya org) 😂 selamat pagi prof mentri 🙌</t>
  </si>
  <si>
    <t>Ma'ruf Amin Soal Tak Pulangkan WNI Eks ISIS: Lebih Banyak Maslahat</t>
  </si>
  <si>
    <t>@sudjiwotedjo Mereka cuma korban propaganda isis,keadaan mereka sama dgn yg masuk aliran2 sesat yg sering terjadi. .</t>
  </si>
  <si>
    <t>Observasi Corona Berakhir, Begini Proses Pemulangan 238 WNI dari Natuna</t>
  </si>
  <si>
    <t>Klo ini krn keinginannya bagaimna tentang keinginan kombet ISIS..! #KPAI RT @kantayu: Urus juga yang ini ; KPAI: Negara Harus Hadir Lindungi Anak-anak WNI Eks ISIS, Mereka Korban</t>
  </si>
  <si>
    <t>@dusrimulya @mohmahfudmd Pahami kalimat demi kalimat dgn seksama bukan asal nyolot, hukum kan normatif dan ISIS adalah organisasi terlarang yg bertujuan mendirikan suatu negara. Lha iki young lawyer piye toh....</t>
  </si>
  <si>
    <t>Siapkah kita terima kembali ISIS, dgn segala konsekuensinya ??? No Brain No Heart !!!</t>
  </si>
  <si>
    <t>WNI Eks ISIS atau ISIS Eks WNI?</t>
  </si>
  <si>
    <t>@detikcom Skali lagi isis ex WNI...</t>
  </si>
  <si>
    <t>betul banget!! mikirin yang ISIS mulu yang dalam negeri dulu urusin oy bapak² menteri yang terhormat. otaknya sedeng kali RT @AhlulQohwah: Di Malang anak dibully sampai patah tangan anteng, di Purworejo anak perempuan dianiaya anteng. Giliran anak ISIS suaranya kenceng.</t>
  </si>
  <si>
    <t>Masa Observasi akan Berakhir, Kemenkes Jamin Kesehatan WNI di Natuna</t>
  </si>
  <si>
    <t>Kemenlu mengonfirmasi WNI di Diamond Princess masih dalam kondisi tak terinfeksi.</t>
  </si>
  <si>
    <t>@MataNajwa Terimakasih Kpd Bpk Presiden, Pemerintah, NU yg dg tegas menolak Pemulangan WNI eks Isis. Jg Pak Hikmahanto Juwana dan Pak ....yg menolak tegas. Kalau yg buat film hny mlht dr sisi filmnya aja, kenyataanya anak" kecil anak" teroris ikut ngebom di Sby</t>
  </si>
  <si>
    <t>@AhlulQohwah Kata ISIS lebih enak buat dijual ke publik, KPAI gitu loh ...</t>
  </si>
  <si>
    <t>Karantina Selesai, 285 WNI Diajak Silaturahmi dengan Masyarakat sebelum Tinggalkan Natuna</t>
  </si>
  <si>
    <t>@henrisalim1 @ariel_heryanto Sebagian besar mereka adalah korban propaganda isis..sama saja kaya mereka yg terhipnotis aliran2 sesat.</t>
  </si>
  <si>
    <t>@wahhabicc_jabar @KPAI_official KPAI ngurusi anak2 korban ISIS krn proyek ada duitnya. Coba bisa teriak gak ya ngurusi anak2 terlantar korban kawin cerai di seputaran Bogor.</t>
  </si>
  <si>
    <t>@WahabiLucu @ustadtengkuzul @jokowi Yg korupsi uang negara dan yg membuat BUMN bangkrut itu isis, teroris atau itu hanya bisnis para pejabat kerah putih yg sengaja memperkaya kelompok dan partainya saja.. #RezimJKWRampokBUMN #RezimJKWRampokBUMN</t>
  </si>
  <si>
    <t>@fairusizzudin @mohmahfudmd Sekseksek.. kan tata cara kehilangan WNI kui enek akeh, salah satunya mengikuti latihan tentara asing, kui neng UU Pasal 23d nek ga PP Pasal 31 1c.. dadi yo otomatis ilang no, dudu mengakui ISIS sebagai negara</t>
  </si>
  <si>
    <t>Menolak ISIS #ISISGoToHell</t>
  </si>
  <si>
    <t>@ariel_heryanto Bbrp waktu lalu sy menulis di komentar pak ariel bahwa baiknya pemerintah memakai istilah "Eks WNI", supaya otomatis anak2nya bkn WNI. Sy tulis iseng2 aja krn sy pikir pemerintah tidak sebodoh itu. Ternyata sy salah.</t>
  </si>
  <si>
    <t>Kemaren kemaren @KPAI_official kemana ? Saat ISIS lagi ramai-ramai WNI bawa keluarga&amp;anak-anakn hijrah keluar negeri ! RT @AhlulQohwah: Di Malang anak dibully sampai patah tangan anteng, di Purworejo anak perempuan dianiaya anteng. Giliran anak ISIS suaranya kenceng.</t>
  </si>
  <si>
    <t>RT @geloraco: GISS: Jokowi Seakan Akui Kedaulatan ISIS, Padahal Internasional Tidak</t>
  </si>
  <si>
    <t>Proses pembodohan simpatisan ISIS terhadap pemerintah telah dimulai. Mari kita Pantau saja: Apakah pemerintah kita ini cerdas atau bodoh? RT @amandagempita: Presiden Jokowi mbuka peluang memulangkan anak2 kombatan isis umur di bawah 10 th..!!☝️☝️ada yg mau koment?🤭ini hny permulaan mnurut gue👌👌</t>
  </si>
  <si>
    <t>@RyoFahri Gabung ISIS masuk surga karena ISIS tidak pernah berhutang. ISIS hanya merampok</t>
  </si>
  <si>
    <t>Di Pulau Sulu, Mindanao, Filipina, pasangan suami istri pengebom bunuh diri ISIS asal Indonesia, Ruille Zeke dan Ulfa, melancarkan misi bom bunuh diri di Katedral Jolo. Dari Suriah ke Filipina, warisan dan ancaman kebangkitan ISIS  lewat @BBCIndonesia</t>
  </si>
  <si>
    <t>mari kita dukung pemerintah yang menolak eks ISIS kembali ke Indonesia..lebih baik 267 juta orang aman, dari pada memulangkan 600 orang eks ISIS..</t>
  </si>
  <si>
    <t>RT @ani_nyebar: Jangan meremehkan berita mengenai TKW di Singapura direkrut JAD dan ISIS. Mereka sasaran kaum radikal sengaja. Laporan ini dlm Bhs Inggris sungguh mengerikan:  #dampakradikalisme #tolakeksISIS @Julie_Pandika @Namaku_Mei @JulianaAisyahM1 @zlametabidin</t>
  </si>
  <si>
    <t>#valentinebukanbudayakita budaya kita ajak eks ISIS jadi sahabat. #MIKIR #ValentinesDay2020 #ValentinesDay #Valentine #Valentines RT @Lahagu_OL: Irrelevant Tik. Tok.</t>
  </si>
  <si>
    <t>Observasi WNI dari Wuhan #awashoaxviruscorona</t>
  </si>
  <si>
    <t>@ZheeOmega @gadisresidu_b3 @KPAI_official Komisi Perlindungan Anak Isis?</t>
  </si>
  <si>
    <t>@SKaspani_ong KPAI mau cawe cawe di urusan anak2 kombatan ISIS? Hmmmmm pasti ada udang di balik bakwan. Dmn ada anggaran, mungkin disitu dia dtng .....</t>
  </si>
  <si>
    <t>RT @geloraco: WNI yang Diobservasi di Natuna Paling Banyak dari Jatim</t>
  </si>
  <si>
    <t>@andreprkso @arunghimawan Gapapa kombantan isis setahun 3 kali sedekah iman gua</t>
  </si>
  <si>
    <t>@UmarTanjung1 @OpiniRakyat2 @tempodotco @TirtoID @VIVAcoid Ga usah meributkan istilah. Yg penting tindakan. Pmerintah sdh mnindak OPM. Dan catat, aksi kkajamn OPM di Papua saja, Krn tujuannya kmerdekaan. Tp kkejamn kaum "radikalis agama" spt ISIS tdk pandang tempat. Tujuannya mmang meneror.</t>
  </si>
  <si>
    <t>@detikcom Padahal para PENGIKUT ISIS itu HALAL BERBOHONG ! @ppmuhammadiyah pura2 TIDAK TAHU !</t>
  </si>
  <si>
    <t>RT @wisanggeni_084: Jelas ya.... EKS WNI !!!! Eks WNI pro ISIS !!! Jd tegas untuk #TolakAnakISISKembali #TolakAnakISISKembali #TolakAnakISISKembali #TolakAnakISISKembali #TolakAnakISISKembali #TolakAnakISISKembali #TolakAnakISISKembali #TolakAnakISISKembali #TolakAnakISISKembali</t>
  </si>
  <si>
    <t>@salahsambungya Maaf @KPAI_official lagi sibuk urusin anak isis</t>
  </si>
  <si>
    <t>@detikcom Hati orang mana ada yang tau sih, orang udah disumpah aja masih bohong kok. Jangan naif lah. Dari mereka ikut ISIS aja sudah ga setia terhadap Pancasila. Nyari penyakit aja.</t>
  </si>
  <si>
    <t>@CNNIndonesia Mantan ex wni isis diharamkan kembali ke Indonesi.NKRI HARGA MATI</t>
  </si>
  <si>
    <t>@EddySugama @Bronktho @AtikaFaya Haduuhh..cape jelasin sama cebong..isis gak ada di ina, bong!!! Bahwa ada faham islam kaya isis, itu emang ada..sama kaya faham komunis yg loe bela mati matian...itu juga ada..kalo ada isis, bukan gw aja yg mati..mungkin model loe duluan yg koit...</t>
  </si>
  <si>
    <t>@geloraco Iya..isis koq jd nya malah spt diakui..?</t>
  </si>
  <si>
    <t>WNI yang Diobservasi di Natuna Paling Banyak dari Jatim</t>
  </si>
  <si>
    <t>@ariel_heryanto Setuju..kalau Sdh bukan WNI Kenapa diributin..bikin ribet aja ..mending fokus masalah dlm negri..korupsi masih banyak yg belum clear..</t>
  </si>
  <si>
    <t>Saya lebih suka lihat anak anak ini dari pada lihat anak anak ISIS menyandang senjata.</t>
  </si>
  <si>
    <t>@ariel_heryanto Pemerintah harus bersikap, dan memang sudah bersikap. Semoga menjadi pelajaran bagi WNI lain.</t>
  </si>
  <si>
    <t>@mbvtt @kamugapcaya @DsSupriyady @kumparan Typo..ISIS maksudnya mungkin</t>
  </si>
  <si>
    <t>RT @SitomulyaID: @scsuroso @2_devout @tiknoira @detikcom Yang dibahas ISIS kok jembutmu mlipir kemana-mana sehh ?</t>
  </si>
  <si>
    <t>@AtikaFaya Proyek KPAI itu mah ngurusi anak2 ISIS bisa jalan2 ke Suriah, Irak, Pakistan gratis dan yg penting dapat honor. KPAI tdk ngurusi keamanan NKRI bila terjadi bom, bom, bom ...</t>
  </si>
  <si>
    <t>@wahhabicc_jabar @KPAI_official Yg bener WNI eks ISIS atau ISIS eks WNI siih Min. Coba dicari apakah mereka pernah menyatakan keluar dari ISIS, kalo bikin api unggun dari pasport sih pernah lihat videonya.</t>
  </si>
  <si>
    <t>@RizmaWidiono @juliaribatubara Kaya gini baru yess, drpd ngurusin pemulangan anak” ISIS..</t>
  </si>
  <si>
    <t>Syukurlah ✔️ Panglima TNI: 238 WNI Wuhan di Natuna Dinyatakan Sehat</t>
  </si>
  <si>
    <t>Daripada dipake buat rehabilitasi anak2 ISIS EKS WNI mending dananya dipake tuh buat rehabilitasi anak2 jalanan, anak yang dri keluarga kurang mampu atau di pake buat anak2 WNI yang memang masih menganggap Indonesia itu negaranya RT @AhlulQohwah: Di Malang anak dibully sampai patah tangan anteng, di Purworejo anak perempuan dianiaya anteng. Giliran anak ISIS suaranya kenceng.</t>
  </si>
  <si>
    <t>Kisah Mantan Pengikut ISIS 300 Hari Bertaruh Nyawa di Suriah</t>
  </si>
  <si>
    <t>RT @AhlulQohwah: Algojo ISIS masa depan. ISIS memaksa anak2 untuk berlatih memenggal boneka.</t>
  </si>
  <si>
    <t>RT @kangsemproel: @izharchaniago @DumaySyuhada Ga lah... OrIn yg gabung ISIS adlh org2 yg antara iman dan akalnya ga sejalan. Tingginya keimanan akan adanya "hura2 akhir jaman", pasukan panjihitamnya Al Mahdi plus semangat jihad yg tinggi tp tdk dibarengi optimalisasi nalar mbuat mrk mudah diperalat</t>
  </si>
  <si>
    <t>@Galihzainur1 @BadjaNuswantara @fadlizon @KPAI_official @KomnasHAM @hnurwahid @Kemenag_RI @felixsiauw @Fahrihamzah Biadab ISIS, pendukung ISIS siapapun itu bukan Islam tapi Kafir</t>
  </si>
  <si>
    <t>@AhlulQohwah Mohon KPAI memberi atensi khusus dulu buat anak2 sekolah yg menjadi korban bully,,, dan pelaku bully. Ini mslh serius utk para pemuda sbg penerus bangsa,,, bukan fokus ke anak2 ISIS,,, coba bayangkan klo yg menjadi korban / pelaku bully adlh anak2 kita...</t>
  </si>
  <si>
    <t>@ariel_heryanto @rtnmbr Bakar paspor dan menyatakan mengikuti ISIS, mereka sudah bukan WNI, kenapa negara harus repot-repot mengadili mereka, orang di dalam negara yang harus diadili masih antri banyak! Biar mereka diadili oleh negara yang mereka tinggali!</t>
  </si>
  <si>
    <t>RT @Rendyananta: (2)seharusnya tidak ada Warga Negara Indonesia (WNI) yang pergi dari negaranya untuk menjadi kombatan, sukarelawan dengan menjadi anggota kelompok ISIS. Kebenaran versi anda, versi kita dan mereka tentulah berbeda (relatif). #berpikirjaringan</t>
  </si>
  <si>
    <t>Mantan pengikut ISIS Febri Ramdani menceritakan kisahnya 300 hari bertaruh nyawa di tanah Suriah. -- Penasaran dengan kisahnya? Simak di Blak-blakan Mantan Pengikut ISIS, "Tertipu Janji Surga ISIS", eksklusif di ! #Blakblakan #ISIS</t>
  </si>
  <si>
    <t>1. Penumpang WNI eks ISIS 2. Harun Masiku tidak ditangkap 3. Indonesia masih "negatif" Coronavirus 4. Omnimbus Law / RUU CiLaKa / CiLaKer</t>
  </si>
  <si>
    <t>@sudjiwotedjo Tiap hari masyarakat hanya disuguhi berita sampah isas isis bikin org jadi bodoh. Klo mau fair angkat dong kasus Korup BUMN, Jiwasraya, Suap KPU, Buron Harun Masiku, kenapa berita ini hilang ditelan bumi. Katanya pemerintah SERIUS mau BERANTAS Korupsi, mana buktinya..?</t>
  </si>
  <si>
    <t>RT @AhlulQohwah: Silakan @KPAI_official , yg begini jauh lbh penting dan mendesak drpd ngurus ISIS.</t>
  </si>
  <si>
    <t>@temponewsroom Presiden @jokowi HARUS MELARANG PEMULANGAN SEMUA PENGIKUT ISIS, TIDAK TERKECUALI ANAK-ANAK DIBAWAH 10 TAHUN sekalipun ! Jika ANAK-ANAK tsb tetap DIPULANGKAN, akan DENDAM pada NEGARA karena merasa DIPISAHKAN dari ORANG TUANYA !!!!!</t>
  </si>
  <si>
    <t>Eks simpatisan ISIS dianggap sudah kehilangan kewarganegaraan karena menjadi tentara asing untuk negara asing. Ini secara ga langsung Indonesia mengakui secara De Jure bahwa ISIS adalah suatu negara yg sah. Wkwkwk tolong, ini blunder tergoblok periode ke-2.</t>
  </si>
  <si>
    <t>@Pika41961394 @AhlulQohwah Nulis Purworejo dan isis aja kau udah diskriminatif</t>
  </si>
  <si>
    <t>@AhlulQohwah KPAI mungkin singkatannya KOMISI PERLINDUNGAN ANAK ISIS 😭😭😭😭😭</t>
  </si>
  <si>
    <t>RT @mediaindonesia: Menurut Nasir, pemulangan simpatisan IS eks WNI, khususnya perempuan dan anak, bisa dilakukan namun tetap dengan pengawasan ketat.</t>
  </si>
  <si>
    <t>Tertipu janji surga,,,, ISIS ngising ora cewooookkkk !!!</t>
  </si>
  <si>
    <t>@detikcom ISIS aj lu bela mending bubarkan aj g ada gunannya</t>
  </si>
  <si>
    <t>setuju dengan keputusan pemerintah untuk tidak memulangakn eks isis. namun keliru, jika mereka tidak diberi kepastian atas kewarganegaraannya. pemerintah harus membuka peradilan untuk menguji materi sejumlah regulasi yang ada. tidak elok main lepas tangan begitu saja. @jokowi</t>
  </si>
  <si>
    <t>RT @SalmaBrecht: @wahhabicc_jabar @KPAI_official Urus anak kenapa pilih²? Di Indonesia masih banyak anak terlantar, knp di abaikan? Tanggung jawab @KPAI_official apa skrg? Lebih baik KPAI urus 12.000 anak jalanan, (data 2019) terbanyak ada di Jakarta dekat Istana, diselamatkan. Bukan anak ISIS ex WNI #TolakAnakISISKembali</t>
  </si>
  <si>
    <t>Klo menurut saiiiah.... Anak2 mah ga punya dosa, apa lg bawah 10 tahun. Jelas2 lah mereka cm kebawa pengaruh ortu2nya. So, selamatkan aja anak2 ISIS, bersihkan dr virus radikal. #TakAdaYgTakMungkin</t>
  </si>
  <si>
    <t>RT @saefudin_zuhrii: @mohmahfudmd Istilah tentara bukannya mengacu pada militer sebuah negara ya prof @mohmahfudmd ? Jadi isis termasuk negara atau gimana ? 🤔</t>
  </si>
  <si>
    <t>@telormatasapi00 @smallmelville @Wawanda @dusrimulya @mohmahfudmd Prof gk bahas isis juga😀</t>
  </si>
  <si>
    <t>@jr_kw19 mungkin pas udah diijinin pulang, harus ada pembunuhan dulu grgr ex ISIS baru nanti dipenjarakan harus ada kasus dulu baru ditindak lanjut ya bodoh lah, gila wkwk</t>
  </si>
  <si>
    <t>RT @PJustitia7: @N1ngW4ng1 @PKSejahtera, sekarang begini aja... 1) Ga usah ribut disini, ye JIHAD kesana aja gabung dengan mereka! 2) Dana Dukungan Our Eyes Ops / OEI berapa U$ dollar? 3) Udah gagal nunggangin agama, jangan coba nunggangin HAM 4) Serius? Adili ISIS/ISIL/DHAES di @UN &amp; @CIJ_ICJ ! BERANI?!</t>
  </si>
  <si>
    <t>Menurut Nasir, pemulangan simpatisan IS eks WNI, khususnya perempuan dan anak, bisa dilakukan namun tetap dengan pengawasan ketat.</t>
  </si>
  <si>
    <t>@koekinekoneko @lio_mamet @sudjiwotedjo 1. Gakada yg maksa ikut ISIS 2. Yg berangkat dengan kesadaran sendiri untuk mewujudkan tujuan ISIS, yaitu tegaknya negara khilafah Iraq Suriah 3. Yg berangkat dengan sukarela juga udah bertekad membuang identitas asal Moralnya di mana, balik saat kalah.</t>
  </si>
  <si>
    <t>RT @vivanewscom: FJI Protes Gereja di Mal hingga Derita Anak Indonesia eks ISIS  #vivanews</t>
  </si>
  <si>
    <t>@wisanggeni_084 KPAI Komisi Pemulangan Anak ISIS wajar aja begitu...</t>
  </si>
  <si>
    <t>Masih ingat WNI yang dievakuasi dari Wuhan ke Natuna untuk diobservasi terkait COVID-19? Observasi akan selesai pada Sabtu (15/2) mendatang. Sejak dipulangkan dari Wuhan hingga selama observasi, mereka dalam keadaan sehat dan negatif virus corona. #COVID19 #Wuhan #infokompmk</t>
  </si>
  <si>
    <t>@mohmahfudmd Banyak pendukung ISIS ternyata,,,,ngising ora cewooookkk !!!</t>
  </si>
  <si>
    <t>FJI Protes Gereja di Mal hingga Derita Anak Indonesia eks ISIS  #vivanews</t>
  </si>
  <si>
    <t>Partai HTI ga aneh harus ny di bubar kn tu partai pks yg di tunggangi para otak HTI isis RT @detikcom: Presiden PKS Sohibul Iman meminta pemerintah memulangkan anak-anak ISIS eks WNI. Anak-anak itu, menurut Sohibul, dapat dibina di Indonesia. #PKS #ISIS</t>
  </si>
  <si>
    <t>Terrrrbaruuu. Gimana menurut sobatobrol?</t>
  </si>
  <si>
    <t>@freddyths @ariel_heryanto Apa kalau istri anda minggat dari rumah otomatis istri anda cerai dengan anda ? Secara defacto mereka tetap WNI, orang Indonesia, Lahir di Indonesia,tutur bahasa Indonesia, Perawakan dan wajah Indonesia, Itu fakta yang tidak bisa di ubah</t>
  </si>
  <si>
    <t>@APLpangeran1 Video Pernikahan di malaysia, si bocah cemburu krn kk nya nikah.. eh malah di narasikan Anak ISIS mau tebas kepala 🤣🤣🤣 Cc @sandalista1789</t>
  </si>
  <si>
    <t>9 Warga Jabar Ikut Dipulangkan, Ratusan WNI Negatif Virus Corona, Diterbangkan ke Halim Besok Siang  via @tribunjabar</t>
  </si>
  <si>
    <t>@KRMTRoySuryo2 @PDI_Perjuangan @KPK_RI Negara n bangsa lagi di bohongi dan di ingkari. Serta sampai kapan ini berlalu, apakah bapak, tega melihat keadaan bangs n negara ini. Sya Sbgai wni sangat, sangat, prihatin, dengan menu menu ini.</t>
  </si>
  <si>
    <t>Ini Kriteria Anak Eks WNI ISIS yang Dikaji untuk Dipulangkan ke RI</t>
  </si>
  <si>
    <t>RT @Je_Ly: Kirain bp @ganjarpranowo nonton apa smp nengkleng2 begitu.. Ga taunya lg lihat berita ttg anak2 ISIS... Blio aja terheran2 apalagi kita.. Cah cilik cilik yo yo.. (ungkapan kesedihan, keprihatinan bpk).. Bagaimanapun mereka bahaya #TolakAnakISISKembali</t>
  </si>
  <si>
    <t>Kwalitas Pers Indonesia yg tidak bisa membedakan.. Eks WNI ISIS dan WNI Eks ISIS... 🙄</t>
  </si>
  <si>
    <t>"Saya adalah staf akuisisi" - boring - ngebingungin - disangka ISIS "Saya tertarik dengan apa yang Anda miliki" - To the point - menggoda, tapi powerful - Culametan, metmet.. culametan metmet... siga na mah kalau ada makanan di meja, mangga legleg ku sia. Teroret~ Teroret~ 💃 RT @pamangoberbebek: “Saya adalah manajer investasi” - Ngebingungin - Antek Kapitalisme - Ribawi “Saya bisa menggandakan uang anda” - Lebih meyakinkan - Terdengar sakti dan berilmu - Disegani masyarakat</t>
  </si>
  <si>
    <t>te amu isis💌💌💋  RT @Jeonkookisa: @Wenseokjin_ @epxphxny @Michelle544281 @NepeGordoDeSuga @Jeonxfit @gabyguz2405 @Empanadasoft @h0b1sunsh1ne @taekookchale @jOonie_Na @vantaejin_ @gina_kook @destinyseokjin @BTS_twt Ti amo</t>
  </si>
  <si>
    <t>@KPAI_official Kalo anak isis apa namanya?</t>
  </si>
  <si>
    <t>Sabtu besok (15/2) WNI yang dikarantina di Natuna sudah dipulangkan ke keluarga  #VirusCorona</t>
  </si>
  <si>
    <t>@Benny_seams @RianAbdiPanges1 @ustadtengkuzul @jon_dicky5 @jokowi Ulama isis? Yang selalu nentang kebijakan pemerintah . Lalu ingin mendirikan khilafah? 😅. Indonesia mau d bikin chaos kaya suriah gt? Ngimpiii</t>
  </si>
  <si>
    <t>Yg dikatakan Caknun itu benar. Namun anda saja yg salah menafsirkan. Contoh mengikuti ajaran Rasulullah. Jangan menggunjing,cintai sesama makhluk jgnkan beda akidah,dengan binatangpun Beliau sayangi. Lha ISIS??.. RT @peni_me: @mohmahfudmd dan kata mbah nun, klo ada mentri yg mengatakan haram hukumnya bila mengikuti ajaran Rosullulah adalah wong sak goblok²e wong ( sebodoh²nya org) 😂 selamat pagi prof mentri 🙌</t>
  </si>
  <si>
    <t>RT @nurimandaniii: BEASISWA MALAH DIBUBARIN, EKS ISIS DILINDUNGIN WKWKKKWKWKWKWKWKKWKWKKKKWKWWKWKWKWKWKWK</t>
  </si>
  <si>
    <t>Sebaiknya anak-anak ISIS itu ditampung saja di markas PKS dan kemudian dijadikan kader PKS untuk dibina RT @detikcom: Presiden PKS Sohibul Iman meminta pemerintah memulangkan anak-anak ISIS eks WNI. Anak-anak itu, menurut Sohibul, dapat dibina di Indonesia. #PKS #ISIS</t>
  </si>
  <si>
    <t>@ninuk_pambudy Usul pembaca kompas: sebaiknya pakai istilah ISIS bukan NIIS. sama dgn FIFA atau WHO bukan OKD: organisasi kesehatan dunia</t>
  </si>
  <si>
    <t>@ardhy661 @detikcom Woww salah satu dr keluarga kita? Oh tidak! coba anda pikir juga, keluarga yg sehat tidak akan mendidik mreka sprti itu.Mreka sudah punya jalan hidup sndiri ngapain d urusin. Contoh lain d indo bnyk yg pindah agama, kluarga sudah lepas tangan.bgitupun indonesia dgn ISIS eks WNI</t>
  </si>
  <si>
    <t>Jadi yang orang Indonesia dibilang ISIS yg sedang tarik ulur di pemerintah sekarang utk di pulang kan atau tidak. Memang mereka bergabung dengan isis betul ya. Saya jadi paham . @kangsemproel @DumaySyuhada 🙏🙏</t>
  </si>
  <si>
    <t>RT @BatamPos: Begini Skenario Pemulangan 238 WNI dari Natuna ke Daerah Asal</t>
  </si>
  <si>
    <t>@My_LoveNebe @D_OrpSandy Ra urusan arep buatan ngendi mbah Din, yg jelas di bukan WNI lagi, pasal UUnya sudah jelas 😂😂😂😂 wis tuwo gawe rusuh wae</t>
  </si>
  <si>
    <t>@lio_mamet @Popopokarimu @sudjiwotedjo Indonesia fakta menyakitkan 😂 Tapi emang kan pertanyaan ISI kalo menang apa mereka mau pulang? Bisa dijungkal mudah. Lah kalo ISIS menang berartu pemimpin mereka masih berkuasa dan orang yang sedari awal ikut ISIS terpaksa dan pengen pulang pun pasti ga bisa</t>
  </si>
  <si>
    <t>RT @Manurung1D: @sudjiwotedjo Saya pikir keputusan tidak memulangkan ex WNI kombatan isis sudah tepat dan bukan krn tekanan, secara normatif mereka sdh bukan Wni lagi ketika bkaar papsport dan angkat senjata utk isis, kalaupun harus diadili krn perbuatan mereka, itu harus ikut UU dimana mereka berbuat.</t>
  </si>
  <si>
    <t>Pemerintah Batal Pulangkan Eks ISIS Karena Faktor Keamanan</t>
  </si>
  <si>
    <t>@ariel_heryanto @freddyths Bukan WNI? Buktikan. Terlibat terorisme? Buktikan. Berpotensi berbuat terorisme? Buktikan. Bersalah secara hukum? Buktikan. Begitu seharusnya negara hukum. Masalahnya, penyelenggara negeri ini sepertinya... cuma sepertinya... nggak mampu dan nggak mau.</t>
  </si>
  <si>
    <t>@sudjiwotedjo Klo isis pulang harun masiku tetep lenyap gitu?? Ya gak gitu juga dong... Harun masiku itu mesti dicari karna dpo, melanggar hukum di indonesia bukan disuriah. Ya harus ditangkep lah di indonesia</t>
  </si>
  <si>
    <t>@mohmahfudmd You did right Pak...msh bnyk rakyat Indonesia yg berhak di perhatikan pemerintah...skip HAM utk mrk eks ISIS krn mrk yg putuskan spt itu. Maju trs Pak...Jaya NegeriKU dan damai selalu.</t>
  </si>
  <si>
    <t>RT @tempodotco: Menteri Mahfud Md mengatakan pemerintah akan segera memblokir seluruh paspor yang terdaftar milik WNI yang diduga teroris lintas negara.</t>
  </si>
  <si>
    <t>Bukan WNI eks ISIS ga sih? Harusnya ISIS eks WNI ga sih?</t>
  </si>
  <si>
    <t>@AlaricLuthfy @mohmahfudmd @Verbum_Ang Cieee ngotot pngen isis ex wni balik mimpi</t>
  </si>
  <si>
    <t>RT @OrangKoslet: @kangsemproel @izharchaniago @DumaySyuhada Banyak yg begitu. Yg bela2 ISIS padahal ngerti juga ngga.</t>
  </si>
  <si>
    <t>RT @agung_nusanjaya: @mohmahfudmd Bs gk prof klo mantan isis diberi tugas membasmi para koruptor perusak negeri ini,bs gk prof dicarikan dsr hukumnya krn smp skrg korupsi blm bs di STOP bhkan semangkin merajalela..</t>
  </si>
  <si>
    <t>Saya ini sebagi wni ya bingung, tapi saya tetap berdoa semoga Indonesia terhindar dari corona dan selalu berada dalam lindungan Tuhan. Aamiin 🙏🏻</t>
  </si>
  <si>
    <t>Pemerintah Mestinya Telusuri Motivasi Anak dan Perempuan untuk Pertimbangkan Keputusan Pulangkan WNI Eks ISIS</t>
  </si>
  <si>
    <t>RT @hariadhi84: Buat istri. Selamat merayakan valentine semuanya. Saya tahu semua khawatir dengan ISIS, intoleransi, dan video2 bullying yang beredar Tetaplah percaya kasih sayang itu ada dan menyelesaikan semuanya.. ♥️</t>
  </si>
  <si>
    <t>RT @Bangzul__88: 🇮🇩Tagar rakyat hari ini🇮🇩 #AwasAntek2ISIS 1). Ada beberapa lembaga &amp; partai yang menyerang keputusan pemerintah ttg penolakan eks WNI pro ISIS kembali ke Indonesia. Mereka tdk mendukung komitmen pemerintah dalam memberantas terorisme, justru memberi pembelaan terhadap teroris.</t>
  </si>
  <si>
    <t>Kasus #JessicaKumalaWongso ( @artidjoalkostar ) mungkin ingat, bukti peradilan bobrok &amp; cacatnya naluri hakim Pun korupsi hukum kasus #BaiqNuril hingga presiden @jokowi berikan Amnesty MEMALUKAN yang begini sok mau bahas kasus Internasional seperti ISIS</t>
  </si>
  <si>
    <t>@WahabisLokal Status stateless utk eks WNI yang telah memilih menjadi warga negra ISIS sudah benar dan tepat.</t>
  </si>
  <si>
    <t>@kamuusiapaaaaaa @AhlulQohwah Kalau pakai logika, pakai logika yg komplit, ini logika ttg ISIS bukan hanya seorang pembunuh biasa, ISIS membunuh dianggap dapat pahala sedang pembunuh biasa merasa bahwa itu perbuatan dosa... Sudah paham?</t>
  </si>
  <si>
    <t>@sudjiwotedjo Setuju seperti rainhard sinaga. Beliau berulah di inggris maka diadili di inggris. Gak ada tuh usaha pemerintah indonesia berusaha memulangkan ke indonesia tp ttp ksh pendampingan hukum. Sy hrp isis yg tersisa jg diperlakukan sama. Jgn dipulangin.</t>
  </si>
  <si>
    <t>@sudjiwotedjo harus bandingkan singkong-singkong cuk!, masiku itu (pasti) keluar dari persembunyiannya dan diadili, karena jelas perbuatannya (menurut kpk) lha ini perbuatannya ex-wni kombatan isis, bakar pasport, proklamasi buat mereka, bunuh2 orang di video, di suriah, yah diadili disana.</t>
  </si>
  <si>
    <t>RT @DumaySyuhada: @izharchaniago @kangsemproel ISIS di Suriah menyerang muslim sunni &amp; mujahidin . Contoh kecil : Mereka menaruh truk bantuan air bersih (dipasangi bom) ke permukiman penduduk ketika warga mendekat bom meledak. Mereka menaruh bom dibelakang tempat Imam ketika sholat jum'at</t>
  </si>
  <si>
    <t>Bukan Cuma 689, Ternyata Masih Ada 185 Anggota ISIS Eks WNI Lagi Menurut Palang Merah Internasional  lewat @wartakotalive</t>
  </si>
  <si>
    <t>RT @__aiek_esthreem: #RezimJKWRampokBUMN #RezimJKWRampokBUMN Publik Pertanyakan Beda Perlakuan WNI Eks ISIS dan Reynhard Sinaga, Apakah Status Kewarganegaraan Juga Dicabut?  Gue juga ikutan tanyaaa... Reynhard Sinaga malah lbh parah dgn mempermalukan RI sbg predator sex LGBT</t>
  </si>
  <si>
    <t>Dulu kelompok yang menggaungkan tagar #KamiTidakTakut adalah kelompok sama yang takut akan kepulangan eks isis. 🤭</t>
  </si>
  <si>
    <t>RT @triwul82: Pukulan telak bagi @fadlizon yg ngeyel mendatangkan anggota Isis eks WNI, argumen fadli hanya berdasarkan subyektivitas tdk punya landasan hukum yang kuat. @fadjroeL</t>
  </si>
  <si>
    <t>@peni_me @mohmahfudmd @NU_bersatu @nuchannels Pst loe gk berani secara lngsng, tp tujuan memprovokasi dan menyalahkan dng ajaran suatu agama. Seakan akan yg di lakukan ISIS adalah ajaran agama.</t>
  </si>
  <si>
    <t>@LestariNKRI @RizmaWidiono Pekerjaan rumah kita masih numpuk pak daripada ngurus eks isis yg tidak setia nkri,,, Semangat pak Mahfud👍👌</t>
  </si>
  <si>
    <t>@sudjiwotedjo Tolong pandangan e mbah, kalo ISIS menang kira2 mereka balik Indonesia apa ngga. Mereka berangkat dengan sadar berbaiat ke ISIS tujuan e menang n udah ga mengakui negara asal. Kalo kalah baru kepikiran balik.</t>
  </si>
  <si>
    <t>Komisi Perlindungan Anak Isis RT @AhlulQohwah: Di Malang anak dibully sampai patah tangan anteng, di Purworejo anak perempuan dianiaya anteng. Giliran anak ISIS suaranya kenceng.</t>
  </si>
  <si>
    <t>Sel2 tidur ISIS dlm negeri inilah yg mau dibangunkan dgn cara import kombatan ISIS Suriah. RT @Bangzul__88: #AwasAntek2ISIS RT kerasss... FPI pernah melarang siswa SD utk hormat bendera Merah Putih di sebuah daerah di Jawa Barat. Kita sama² tau, FPI, HTI, JAD, JAT dan ISIS itu satu tujuan. Yaitu mengganti NKRI menjadi Negara Khilafah dan menghapus UUD 1945.</t>
  </si>
  <si>
    <t>RT @WahabisLokal: Ngeriiiik🙈 Tak berperi kemanusiaan. Anak2 ISIS didoktrin dan dilatih militer sejak usia 5 tahun. Gilanya lagi.... ISIS beri tugas pertama anak2 itu: Bunuh Orang Tuanya Sendiri. Astagfirullah #TolakAnakISISKembali</t>
  </si>
  <si>
    <t>Dinkes Karimun pantau seorang WNI dari Tiongkok</t>
  </si>
  <si>
    <t>@andy_nomicin Cocoklah anak2 ISIS jadi kader PKS</t>
  </si>
  <si>
    <t>RT @WahabiLucu: @ustadtengkuzul @jokowi Apalagi duitnya buat balikin 600an ISIS ex WNI ya zul</t>
  </si>
  <si>
    <t>@mochamadarip harus di jawab sama FZ ada hibungan apa sama exk isis sampai bela2in padahal udah jelas jahat teroris.</t>
  </si>
  <si>
    <t>RT @STRATEGICASSES2: VERONICA KOMAN, EKS ISIS DAN SIMPATISAN OPM WAJIB DICABUT STATUS WNI-NYA Oleh : An Davos</t>
  </si>
  <si>
    <t>@DayatPondok @mohmahfudmd Begini yg ikut ISIS karena faktor ekonomi??</t>
  </si>
  <si>
    <t>RT @liputan6dotcom: VIDEO: Seorang WNI di Singapura Positif Terjangkit Virus Corona</t>
  </si>
  <si>
    <t>@Galinggaling2 @miqa0912 @ariel_heryanto @sudjiwotedjo Insya Allah akan diadili sama seperti reinhard sinaga, mereka berulah dan menghancurkan negeri org. Maka harus ada keadilan untuk negeri tersebut. Raynhard sinaga di adili di inggris krn berulh di inggris. Begitu jg isis akan diadili disuriah</t>
  </si>
  <si>
    <t>@Usep210 @DayatPondok @mohmahfudmd Coba kalo menang, bisa2 dia berangkat juga jadi Teroris ISIS</t>
  </si>
  <si>
    <t>@salahsambungya KPAI lebih berpahala urusin bibit2 ISIS</t>
  </si>
  <si>
    <t>@Ari3Pras Coba renungkan kembali keinginan anda anda para tokoh yg menginginkan anak2 isis eks wni pulang ke Indonesia!!! Yang mulia: @fadlizon , @OpiniDin , @PKSejahtera dan jajaran Partai Allah Lainya</t>
  </si>
  <si>
    <t>@TRANS7 Klu saya pribadi mungkin pembaca berita ditv ada ide baru yaitu jgn lagi pembaca berita tv orangnya ganteng2 dan cantik tp kita coba lg yg unik2 lucu2 orangnya biar kita penontong bisa terhibur dari stress betita politik. Kriminal. Penyakit corona .ISIS dll.</t>
  </si>
  <si>
    <t>@Julia_Zeed @ulil Krna lu bego...!! Lu sendiri ISIS dah kalah, malah bilang bagaimana menguasai negara kita. Kl gak tolol apa dong, bego ya..apa goblok..!!🤣🤣🤣</t>
  </si>
  <si>
    <t>Wakil Ketua MPR Pertanyakan Nasib WNI eks ISIS yang Tak Bakar Paspor dan Tidak Ikut Perang</t>
  </si>
  <si>
    <t>@andy_nomicin Jiwa Optimis Komunitas Orang Waras Indonesia(JOKOWI) setuju dgn Presiden PKS &amp; Partai 2 Yang mendukung kepulangan Anak 2 Ex-Anggt ISIS untuk Pembinaan &amp;amp; Pengawasan harus dilakukan oleh Mereka dgn cara jadi orang tua angkatnya Pemerintah hanya membantu pendanaan seperlunya aja</t>
  </si>
  <si>
    <t>@spiderr__matrix @Dwiyana_DKM @Itjen_Kemdikbud @AnakLolina @AnakKolong___ @Black_lleviant @Aryprasetyo85 @jr_kw19 @WR_4AG226 Ini termasuk latihan isis yg secara perlahan masuk dunia pendidikan</t>
  </si>
  <si>
    <t>@ustadtengkuzul @jokowi Apalagi duitnya buat balikin 600an ISIS ex WNI ya zul</t>
  </si>
  <si>
    <t>@FSyah1111 @menghanyurkan @Artemisjooon @martabuckk Lu ngatain gua isis nih? Lol hanya karena gua berdebat bawa2 alquran? Dan gua ga SEPENDAPAT ama ulama lu? Iyain dah iya</t>
  </si>
  <si>
    <t>@null Wakil Ketua MPR Pertanyakan Nasib WNI eks ISIS yang Tak Bakar Paspor dan Tidak I</t>
  </si>
  <si>
    <t>@kangmirdja @miaemilymia @BadjaNuswantara @AhlulQohwah @BiLLRaY2019 @heniunique @P3nj3l4j4h_id @rizieqdivist @03__nakula @DjanChoek @JsDeyz @Lucky_HS biarkan sy dia nyusul di di penggel isis.</t>
  </si>
  <si>
    <t>@_williamcg dengan sendirinya beliau @mohmahfudmd mengakui ISIS sebagai sebuah negara, padahal dunia tak mengakui</t>
  </si>
  <si>
    <t>Apa yg mustahil di negeri ini? Harun Masiku yg mustahil lenyap aja akhirnya tidak mustahil lenyap. Lalu sekarang dikembangkan wacana mustahil mengadili eks WNI kombatan ISIS? Nggak ada yg mustahil kok RT @Manurung1D: @sudjiwotedjo Saya pikir keputusan tidak memulangkan ex WNI kombatan isis sudah tepat dan bukan krn tekanan, secara normatif mereka sdh bukan Wni lagi ketika bkaar papsport dan angkat senjata utk isis, kalaupun harus diadili krn perbuatan mereka, itu harus ikut UU dimana mereka berbuat.</t>
  </si>
  <si>
    <t>@ariel_heryanto @freddyths Nyuwun sewu dengan sendirinya sdh bukan WNI tp psti ada pertimbangan lain sprti kemanusiaan dan ramai krn kt berdemokrasi byk pendapat lain tp kl sdh final ya sudah..</t>
  </si>
  <si>
    <t>RT @jimin_andri: @gadisresidu_b3 @ZheeOmega Halaah.. Ngga ada tuh WNI ex ISIS.. Yg ada: ISIS ex WNI..</t>
  </si>
  <si>
    <t>@ariel_heryanto Mereka yg merasa masih WNI boleh ajukan ke pengadilan utk menuntut kembali ke Indonesia Sblumny mrka bilang Indonesia ini thogut, dan aparat hukumnya hrs dibunuh Jd kalo mau jilat ludah sendiri ya silahkan, Itupun setelah mereka lolos dulu dari jeratan hukum di negara asing</t>
  </si>
  <si>
    <t>@Marangkusumah @TofaTofa_id @mohmahfudmd Loh menurut isis apa yang mereka perbuat berdasarkan agama islam kan ? Dalam perang salib pun agama juga disalahgunakan</t>
  </si>
  <si>
    <t>@sudjiwotedjo Kalau sudah bukan WNI untuk apa diadili? Lagian belum tentu mereka bisa pulang, gak punya paspor kok bisa pulang...😁</t>
  </si>
  <si>
    <t>RT @okezonenews: Perjalanan 283 WNI dari Wuhan, dari Proses Evakuasi hingga Rencana Pemulangan ke Daerah #TauCepatTanpaBatas #BeritaTerkini #Berita #News #BeritaNasional .</t>
  </si>
  <si>
    <t>@HusinShihab @jokowi @mohmahfudmd @Beritasatu Ya udah jadilah pak din ortu angkat mrk .. semoga tugas ISIS dijlnkan dan anda ortu yg jd sasaran pertama mrk !</t>
  </si>
  <si>
    <t>Anak-anak ISIS eks WNI RT @AhlulQohwah: Di Malang anak dibully sampai patah tangan anteng, di Purworejo anak perempuan dianiaya anteng. Giliran anak ISIS suaranya kenceng.</t>
  </si>
  <si>
    <t>@sudjiwotedjo Lagian dari 2014 pemerintah tuh udah berusaha mulangin org org yg maksa gabung ma isis. Yg mengakibatkan mapolres jd sasaran serangan isis</t>
  </si>
  <si>
    <t>@DayatPondok @mohmahfudmd Sekarang ente bilang korban kebohongan informasi. Karena ISIS kalah dan gagal tegakkan khilafahnya.</t>
  </si>
  <si>
    <t>@Anomdx @CNNIndonesia Komen paling tolol, mantan anggota gam dan opm saja masih di anggap warga negara, yg sudah jelas pingin memisahkan dan memecah belah indonesia, jadi ini eks isis sudah selayaknya di kasih kesempatan kedua, mereka juga saudara saudara kita dan masih ada saudaranya di indonesia</t>
  </si>
  <si>
    <t>@mohmahfudmd Ternyata banyak pendukung eks ISIS</t>
  </si>
  <si>
    <t>@CH_chotimah Kadrun suka bilang kalau ISIS itu bikinan amerika, mau tanya FPI siapa yg buat ya ?</t>
  </si>
  <si>
    <t>@Sentjoko @WahabisLokal @TweetSyarif Hati - hati kalau menuduh seorang hafiz itu menjadi ISIS. Yang menjadi ISIS itu orang yang tidak faham agamanya. Hati - hati Kafir benci sekali sama para Hafiz Quran.</t>
  </si>
  <si>
    <t>@kimingdekil @menghanyurkan @Artemisjooon @martabuckk Oh berati ulama yg ga seoendapat dg anda ga berpedoman Quran Hadits ya. Iya2. Pantes sih isis suka nyembelih yg ga sependapat</t>
  </si>
  <si>
    <t>Fokusnya cuman bebasin WNI eks ISIS RT @salahsambungya: Siswi disabilitas SMP dibully sampai luka lebam, Kepsek cuma bilang "diselesaikan kekeluargaan?" Lalu KPAI tutup mata dengan kejadian seperti ini? Penyelesaian secara kekeluargaan emangnya bisa bikin pembully jadi jera??</t>
  </si>
  <si>
    <t>Panglima TNI : Observasi 238 WNI di Natuna Dinyatakan Sehat</t>
  </si>
  <si>
    <t>Kisah Mantan Pengikut ISIS 300 Hari Bertaruh Nyawa di Suriah | PT. Bestprofit Futures Cabang Surabaya</t>
  </si>
  <si>
    <t>@03__nakula @Je_Abdullahh Getolnya horang PKS keliatan kalau yg jadi angota isis ya horang2 dia</t>
  </si>
  <si>
    <t>@Ndrews1162011 @TofaTofa_id @mohmahfudmd Sejak kapan agama di sesatkan??😁😁 Jgan samakan isis dengan perang salib, jauuhhhh</t>
  </si>
  <si>
    <t>RT @ThywiWienwien: Partai yg satu ini beserta dkk mengapa begitu ngotot kepengen memulangkan eks WNI ISIS k NKRI, sudah terbukti mereka2 tdk Cinta NKRI ingatnya sebatas pas mereka lagi sengsara saja</t>
  </si>
  <si>
    <t>Rasis, khilafah &amp; makar Adalah kriminil Dan mereka sendiri Yg memutuskan tdk jadi WNI @mohmahfudmd @Kemenag_RI RT @danrem: Mencoba mengerti argumen dr mereka yg ngotot memulangkan anggota ISIS mantan WNI dg alasan anak-anak. Ijin tanya kalau anak-anak itu boleh pulang, ditemani siapa mereka nantinya? Ibu? Ayah? Kakak? Artinya seluruh keluarga boleh pulang, begitu?</t>
  </si>
  <si>
    <t>@sudjiwotedjo Saya pikir keputusan tidak memulangkan ex WNI kombatan isis sudah tepat dan bukan krn tekanan, secara normatif mereka sdh bukan Wni lagi ketika bkaar papsport dan angkat senjata utk isis, kalaupun harus diadili krn perbuatan mereka, itu harus ikut UU dimana mereka berbuat.</t>
  </si>
  <si>
    <t>@detikcom sadis kejam ISIS</t>
  </si>
  <si>
    <t>@mohmahfudmd @BasukiBae Bahkan sesungguhnya ,Veronika koman dan geng nya itu SAMPAH ,NGAKUNYA WNI ,TAPI NYAMPAH DIMANA2 !!</t>
  </si>
  <si>
    <t>Buat istri. Selamat merayakan valentine semuanya. Saya tahu semua khawatir dengan ISIS, intoleransi, dan video2 bullying yang beredar Tetaplah percaya kasih sayang itu ada dan menyelesaikan semuanya.. ♥️</t>
  </si>
  <si>
    <t>@zarazettirazr wah pasti ada agenda lagi...yang minta isis dipulangkanlah....</t>
  </si>
  <si>
    <t>JAKARTA, DPR DUKUNG PEMULANGAN ANAK EKS ISIS  lewat @YouTube</t>
  </si>
  <si>
    <t>Ini bru iblis ingin menang sendiri .org lain g boleh ibadah sendiri ny ibadah pun bnyk memnggagu ketertiban umum.d jln raya pun di bikin tmpt sholat. Ini islam isis harus d granat cangkeme RT @GunRomli: Gedung Serba Guna dipakai lintas agama adlh praktek yg bagus, bisa dipakai Jumatan &amp; Kebaktian. Kenapa hanya Kebaktiannya diprotes, Jumatannya enggak? Ini sih modus klmpk radikal FJI Protes Ada Gereja di Mal, Camat: Gedung Itu juga Dipakai Jumatan</t>
  </si>
  <si>
    <t>@andy_nomicin Anak2 isis eks wni bukan tanggung jawan negara... mereka tanggung jawab orang tuanya, dosa jg dosa orang tuanya.. negara nggak usah dilibatin lah.. #TolakAnakISISKembali</t>
  </si>
  <si>
    <t>JAKARTA, GABUNG KE ISIS BUKAN WNI LAGI  lewat @YouTube</t>
  </si>
  <si>
    <t>JAKARTA, WNI EKS ISIS AKAN DIADILI  lewat @YouTube</t>
  </si>
  <si>
    <t>@detikcom TOLAK....ISIS....</t>
  </si>
  <si>
    <t>@sudjiwotedjo Sampean berani jamin kejadian bom ga akan terulang mbah? Dalam Negeri wes ruwet masalah e ketambahan eks isis yg mau dipulangin. Kalo ISIS menang, mereka balik Indonesia apa ga kira2 mbah?</t>
  </si>
  <si>
    <t>@sudjiwotedjo Mbah tejo kemakan hoax kayanya. Isis sisaan yg 660 itu di camp tawanan mbah. Mereka gk bisa pulang sendiri, dan separonya malah gk mau pulang. Mereka dah ditahan, nasibnya mash terkatung katung tp mau diproses hukum di negara org kek reinhard sinaga.</t>
  </si>
  <si>
    <t>@sudjiwotedjo Ya setuju, mbah. WNI eks ISIS atau ISIS eks WNI mencabut kewarganegaraan mesti lewat mekanisme pengadilan. Bukan keputusan Presiden saja. Toh Presiden saja tdk bs memutuskan untuk menemukan Masiku 🤣</t>
  </si>
  <si>
    <t>Pokoknya kalau teroris tidak dipulangkan. Kalau warga negara biasa yang terlantar pasti dilindungi, tapi kalau teroris pasti, sebab jika sudah bergabung dengan teroris mau dipulangkan untuk apa? #eksISIS</t>
  </si>
  <si>
    <t>@WahabisLokal Pemberontak ISIS yang eks WNI. Jangan dibalik narasinya bos, mereka sejak awal sudah bukan WNI. Kebetulan saja ISIS kalah jadi mereka minta pulang.</t>
  </si>
  <si>
    <t>@sudjiwotedjo Leres Harun n yg ngelindungi juga biadab mbah. Fokus dulu yg eks ISIS, yg ngomong eks ISIS juga ini, Taqiyah itu lumrah mereka lakukan. Yg sebelumnya pasutri eks isis bom bunuh diri di Filipina itu juga udah janji setia nkri kan.</t>
  </si>
  <si>
    <t>@LusiHQ ISIS berbicara HAM tp melanggar HAM... py jal..</t>
  </si>
  <si>
    <t>@andy_nomicin @DadBorneo Taqiya. Ini doktriin isis.</t>
  </si>
  <si>
    <t>@petergenerali8 @HafitSetyabudi @mohmahfudmd Dan sebenarnya tujuan ISIS itu, negara khilafah. Dan mereka sdh merasa negara.. Tp krn mereka pembunuh sadis.. Yach pasti tdk ada negara yg setuju, dan mengakui. Jelaskan..</t>
  </si>
  <si>
    <t>RT @Gun4w4nAhokers: Sebetulnya simple masalah pro dan kontra ini,mereka Khan eks WNI yg berkhianat bergabung dgn teroris,jadi bukan lagi WNI dan bukan lg mnjadi tanggung jawab Pemerintah,kenapa musti diperdebatkan dikalangan elite? Gt aja kok repot....</t>
  </si>
  <si>
    <t>@freddyths Artinya ada yang salah pada asumsi ""Kalau status sudah bukan WNI . . . ."</t>
  </si>
  <si>
    <t>@sudjiwotedjo Reinhard sinaga wni yg gak bakar paspor aja di adilinya di inggris prop.. Isis dah bakar masjid, merkosa umat islam, paspor gak ada minta dipulangin dijemput dibaik baikin.. Enak kek liburan gratis yaaaa.. Mending buru harun masiku aja!! Jangan kasih ampun</t>
  </si>
  <si>
    <t>@ustadtengkuzul @jokowi Gw liat" kok kaya nya ente kaya isis zul? Selalu nentang pemerintah demi mendirikan khilafah?</t>
  </si>
  <si>
    <t>@Marangkusumah @TofaTofa_id @mohmahfudmd Loh kalo agama yg disesatkan ? Contoh : isis itu orang luar melihatnya sebagai agama islam 😊. Perang salib juga yg dilihat agamanya 😁. Klo saya sih sbnrnya paham apa yang dikatakan sama beliau, cma penyamoaian nya saja yg kurang tepat</t>
  </si>
  <si>
    <t>18. Eksistensi mereka dapat mengancam keamanan dan keselamatan warga. Tidak ada toleransi bagi ISIS di negeri ini. #SwaraNagara #ISIS</t>
  </si>
  <si>
    <t>17. Pemerintah sejatinya tidak hanya fokus isu pada pemulangan anggota ISIS eks WNI, melainkan anggota ISIS yang sudah pulang ke dalam negeri dan belum ikut perang ke Suriah. #SwaraNagara #ISIS</t>
  </si>
  <si>
    <t>16. ISIS menjadi ancaman bagi NKRI, maka pemerintah harus menutup seluruh akses yang memungkinkan ISIS bisa mengembangkan dan menyebarluaskan ideologinya melalui media sosial, masjid, lembaga pendidikan, dan ruang publik lainnya. #SwaraNagara #ISIS</t>
  </si>
  <si>
    <t>15. Betapa banyak orang yang bergabung dengan ISIS adalah mereka yang berada di dalam tahanan, bahkan mereka bisa mengendalikan ISIS dari dalam tahanan terorisme. #SwaraNagara #ISIS</t>
  </si>
  <si>
    <t>14. Pemerintah sejatinya bekerja secara serius dan profesional, bahwa penanganan terorisme ini harus melibatkan seluruh elemen bangsa. #SwaraNagara #ISIS</t>
  </si>
  <si>
    <t>13. Pemerintah mestinya juga mewaspadai anggota ISIS yang berhasil pulang ke tanah air beberapa tahun lalu. Mereka telah berhasil melakukan aksi terorisme, dan tidak menutup kemungkinan melakukan rekruitmen dan penyebarluasan ideologi ISIS. #SwaraNagara #ISIS</t>
  </si>
  <si>
    <t>12. Satu hal yg harus diwaspadai, bahwa meskipun pimpinan ISIS sudah tewas, bukan berarti ISIS sudah berakhir. ISIS sudah mengangkat pimpinan baru, yaitu Abu Ibrahim al-Hashimi al-Quraishi. Bahkan ISIS, ingin Indonesia sebagai pusat kekuatan mereka di Asia. #SwaraNagara #ISIS</t>
  </si>
  <si>
    <t>11. Melindungi 260 juta WNI harus diutamakan daripada memulangkan 600 anggota ISIS eks WNI. #SwaraNagara #ISIS</t>
  </si>
  <si>
    <t>@freddyths @ariel_heryanto Siapa bilang mereka sudah tidak berstatus WNI?</t>
  </si>
  <si>
    <t>10. Sikap pemerintah tidak memulangkan anggota ISIS eks WNI merupakan langkah bagus dlm rangka merespons aspirasi sebagian besar warga. Negeri ini harus bebas &amp; merdeka dr ancaman kelompok teroris, khususnya ISIS. #SwaraNagara #ISIS</t>
  </si>
  <si>
    <t>9. Wajar saja, wacana memulangkan anggota ISIS eks WNI menimbulkan pro-kontra. Bahkan NU secara tegas menolak kepulangan mereka krn akan mengganggu keselamatan warga. Apalagi anggota ISIS yg berhasil pulang ke Tanah Air sudah melakukan aksi terorisme yg brutal. #SwaraNagara #ISIS</t>
  </si>
  <si>
    <t>8. Masalahnya sekarang, nasib anggota ISIS dari berbagai negara, termasuk WNI yang sudah bergabung dengan ISIS. Negara-negara asal mereka umumnya tidak menerima mereka, karena dikhawatirkan dapat mengancam kedamaian dan keselamatan warga #SwaraNagara #ISIS</t>
  </si>
  <si>
    <t>7. Sejak tahun 2016 kekuatan ISIS terus melemah, bahkan pimpinan mereka, Abu Bakar al-Baghdadi tewas akhir 2019 lalu. Irak sudah bebas dari ISIS. Sekarang hanya ada beberapa daerah di Suriah yang masih dikuasai ISIS. #SwaraNagara #ISIS</t>
  </si>
  <si>
    <t>6. Namun dalam perjalanannya, ISIS tidak bisa bertahan sebagai sebuah entitas negara, krn kekuataannya makin rapuh akibat gempuran tentara koalisi superjumbo, yg melibatkan AS, Rusia, Irak, Suriah, Iran, Saudi Arabia, Uni Emerate Arab, Turki, Qatar, dll. #SwaraNagara #ISIS</t>
  </si>
  <si>
    <t>5. WNI yang bergabung dengan ISIS melalui proses bai’at yang sangat ketat, khususnya kesediaan untuk terbunuh atau membunuh. Mereka juga sudah membakar paspor, melepaskan kewarganegaraanya, sembari loyal terhadap ISIS yang menjanjikan harta dan jaminan hidup. #SwaraNagara #ISIS</t>
  </si>
  <si>
    <t>4. Ribuan WNI yang ikut berperang bersama ISIS di Suriah. Di Turki, ada 435 WNI dan Suriah terdapat 689 WNI. Jumlah ini belum termasuk mereka yang sudah tewas dan pulang ke Tanah Air. Jumlahnya lebih dari 1000 WNI. #SwaraNagara #ISIS</t>
  </si>
  <si>
    <t>3. Sejak tahun 2013, ISIS berhasil melakukan rekruitmen di Indonesia, baik melalui kampus dan organisasi jaringan teroris. Mereka aktif melakukan kampanye dan rekruitmen melalui media online dan media sosial. Walhasil, ribuan anggota ISIS yang bergabung. #SwaraNagara #ISIS</t>
  </si>
  <si>
    <t>2. Misi ISIS adalah mendirikan Khilafah Islam. Mereka pertama kali mendirikannya di Irak, lalu di Suriah. Tidak hanya berhenti di situ saja, mereka juga untuk memperluas jangkauannya untuk dunia Islam, termasuk Indonesia. #SwaraNagara #ISIS</t>
  </si>
  <si>
    <t>1. Secara global, ISIS sudah dikatagorikan Perserikatan Bangsa-Bangsa sebagai organisasi teroris yang mengancam keamanan global. ISIS telah melakukan pelanggaran HAM berat, pembunuhan massal, dan kejahatan perang. #SwaraNagara #ISIS</t>
  </si>
  <si>
    <t>@mas__piyuuu Rusia pulangkan anak2 eks ISIS utk diedukasi. Indonesia hapuskan status WNI utk smua eks ISIS. Beda kebijakan politik. Kesimpulan? Rusia musuh terbesar Pancasila.</t>
  </si>
  <si>
    <t>@missonidaaa Mbok ya jgn marah2 mbak isis isuk</t>
  </si>
  <si>
    <t>@WagimanDeep @KPAI_official @ganjarpranowo Sekali lagi, mereka adalah "Pemberontak ISIS yang kebetulan eks WNI". Jadi narasi media dan KPAI jangan dibolak balik bahwa mereka WNI eks ISIS.</t>
  </si>
  <si>
    <t>@ariel_heryanto @freddyths Saat kapan seorang WNI dapat dinyatakan kehilangan statusnya?</t>
  </si>
  <si>
    <t>RT @Tio7Willy: bagi akun2 yg nolak ISIS tolong lah bijak dlm menyebar foto+video yg berisi kekerasan sadis!! jangan malah justru menyebarkan propaganda mreka yg emang ingin diketahui dunia luas..👎😤</t>
  </si>
  <si>
    <t>@DayatPondok @mohmahfudmd Bilang gagal pemerintah Yang pergi gabung ISIS berapa Yang masih tetap di Indonesia berapa. Kalau gabung isis karena pemerintah gagal. Kenapa anda masih disini, nda ikut gabung sana?????? Songkleeeeek</t>
  </si>
  <si>
    <t>@detikcom Eks GAM eks OPM eks PKI eks DI/TII aja masih bisa jd WNI kok, asal kembali mau dibina ..</t>
  </si>
  <si>
    <t>@miqa0912 @ariel_heryanto Nah kalau mau indonesia melakukan pendampingan hukum aja kaya reinhard sinaga. Reinhard sinaga juga merkosa cowo tp gak dipulangkan malah diadili di inggris kok. Isis dah bakar masjid, bakar makam nabi, merkosa umat muslim minta dijemput Lu kira jd isis kek liburan @sudjiwotedjo</t>
  </si>
  <si>
    <t>Sebelum semuanya menjadi rusak baiknya kita block saja yg 600 orang tsb. Imigrasi akan memblock pasport 600 orang eks WNI tsb. Negara bukan kejam. Negara dan Pemerintah melindungi rakyat banyak yg jutaan jumlahnya dari pengaruh SESAT dan PENGRUSAKAN serta TEROR. Jum'ah berkah.</t>
  </si>
  <si>
    <t>Apa sih mustahilnya mengadili WNI eks ISIS (ISIS eks WNI) yg pulang sendiri? Mustahil mengadili orang yg sudah bukan WNI? Hadeuuuh .. Harun Masiku yg mustahil lenyap aja akhirnya tidak mustahil lenyap... Gak ada yg mustahil di negeri ini, Cuuuuuk!</t>
  </si>
  <si>
    <t>RT @pusaranbunda: @FaGtng Dear pak @jokowi , @mohmahfudmd , krn inilah kenapa pd ngotot menginginkan anggota ISIS ex WNI minta dipulangkan, ternyata ada bagian dr ISIS bahkan Al qaeda berbasis di NKRI, jd nggak mustahil jika ISIS ingin memindahkan markasnya di NKRI, mari kita waspada....</t>
  </si>
  <si>
    <t>Kalau yg begituan @KPAI_official gak ikutan,tp kalau anak"ISIS mereka br bicara RT @salahsambungya: Siswi disabilitas SMP dibully sampai luka lebam, Kepsek cuma bilang "diselesaikan kekeluargaan?" Lalu KPAI tutup mata dengan kejadian seperti ini? Penyelesaian secara kekeluargaan emangnya bisa bikin pembully jadi jera??</t>
  </si>
  <si>
    <t>@alexagung_ @telormatasapi00 @MohammadSahrul @dhynug @TirtoID Yang pasti pemerintah sudah mengambil keputusan. Deradikalisasi juga tidak begitu efektif mengingat sudah banyak kejadian teror yang dilakukan mereka walaupun sudah di deradikalisasi. Lagian kejahatan yang dilakukan oleh eks ISIS itu kejahatan luar biasa. Hukuman mati menunggu..</t>
  </si>
  <si>
    <t>RT @Mulia07094480: @MukhtarLuthfi12 @APLpangeran1 @evisuryanti10 @CANDAdanBISNIS @Dickusnadi1 @zaenalkase03 @SultanAnjar @2024GanjarRisma @periani @MaryanaNunung @edward7011971 @TukangMu @BayuErrianto @JohnIrwan4 @kisszatia @SetiaAdy_p @MOMDian2 @RizkiR4madani @jubrik844 @positive_values @kasrulsani9 @wantahgdn @felixaaf1 @Edward_1smail @LiaIsti1 @Recoignitionwal @eddies_song @wartawankoboi13 @CumiCue @AdigunaAtmaja @Iqbalkuntoro1 @RazkaFaiz @Maranatha_Sibrn @Zulfika35354359 @babegalak1 @Jokoumb64504158 @73hermantjoe @dian_ibunda @GendengHrs @demartinnie @gimbal_keren @aniesbaswedan @arifsamsul_ma @ArifinNkri17 @RD_4WR1212 @AtikahZahidah_ @LalaaLalaa10 @Mikha_57 Hati yg jahat tak perduli itu lawan dan kawan... Isis aja bisa membunuh orang tuanya...</t>
  </si>
  <si>
    <t>@sudjiwotedjo Mungkin gerombolan-gerombolan itu punya kepentingan lain, atau dendam yang terpendam. Misalnya pernah jadi jomlo gegara ditolak oleh keluarga salah satu eks ISIS 😅😅😅</t>
  </si>
  <si>
    <t>RT @himawannk: 🤣😂...wkwkwk ETDAH PLINTIRAN lagi-PLINTIRAN lagi yg ELU jual PAK NUR. ituh KETUA BPIP ternyatah lagi nerangin soal KAUM ELU yg dimarih suka (sengaja) MEMPERTENTANGKAN AGAMA ma PANCASILA buat menuhin SYAHWAT KEKUASAAN. dr modus KHILAFAH bahkan skrg pake mauk IMPOR EKS WNI yg ISIS</t>
  </si>
  <si>
    <t>Jk dr sjak dini yg diajarkn pgang snjata, trbiasa lihat kkejian&amp;pmbunuhan, klak saat Anak2 itu bsar sulit miliki jiwa kasih. Bgmn karakter&amp;amp;emotional Ssorg sgt trgantung dr saat dlm tumbuh kmbang dirinya. Tdk habis pikir @KPAI_Official bgitu smangatnya bela Anak2 Eks Teroris ISIS</t>
  </si>
  <si>
    <t>Data Lengkap Daerah Asal WNI Observasi Corona di Natuna, Ternyata Ada 2 Warga Kepri</t>
  </si>
  <si>
    <t>@P3nj3l4j4h_id Tolong oknum yg mendukung kepulangan isis ex wni di kirim sekalian aja deh kesana biar gk berisik</t>
  </si>
  <si>
    <t>Ogiku WNI Eks ISIS Vs ISIS Eks WNI  via @mediaindonesia</t>
  </si>
  <si>
    <t>Perjalanan 283 WNI dari Wuhan, dari Proses Evakuasi hingga Rencana Pemulangan ke Daerah #TauCepatTanpaBatas #BeritaTerkini #Berita #News #BeritaNasional .</t>
  </si>
  <si>
    <t>@ariel_heryanto Masalah berbangsa itu kompleks prof. Menjadi berlarut2 krn ada pro kontra. Bakar paspor dan sdh lama tinggal d sana. Klo aku blg itu sdh keluar dari WNI. Tp anehnya mrk ingin balik ke indonesia..</t>
  </si>
  <si>
    <t>@ustadtengkuzul Coba tuh bersuara soal Eks WNI kombatan ISIS Itu komunis milenial zaman now Kok ngak ada pembahasan Eks WNI kombatan ISIS Khilafah yg dibenturkan dgn Pancasila</t>
  </si>
  <si>
    <t>RT @BlackBl72513987: @DayatPondok @Usep210 @mohmahfudmd Kenapa kamu gak ikut pergi bareng mereka gabung ISIS ?? Toh di Indonesia menurutmu ekonomi sulit...pemerintah gagal. Mereka yg pergi gabung ISIS itubukan krn ekonomi sulit...tp kebanyakan mimpi pengen dpt kapling surga !!!!</t>
  </si>
  <si>
    <t>@AgusTam83330032 @ustadtengkuzul Coba tuh bersuara soal Eks WNI kombatan ISIS Itu komunis milenial zaman now Kok ngak ada pembahasan Eks WNI kombatan ISIS Khilafah yg dibenturkan dgn pancasila</t>
  </si>
  <si>
    <t>@tubirfess Masih anak" tapi doktrin yang telah di ajarkan udah mendarah daging, ISIS sudah kalah tapi ideologi masih tetap ada. Mereka anak" udah di latih bawa senapan AK 47, senapan favorit di Point Blank.</t>
  </si>
  <si>
    <t>RT @GunawanTHENEXT: PABRIK ANAK ANAK ISIS!!! do you understand? if not, i repeat.. PABRIK ANAK ANAK ISIS!!! ISIS CHILDREN'S FACTORY!!! jadi yakin nih mau pulangin bocah bocah eks WNI ISIS??? THINK TWICE PLEASE wahai penguasa! 🙏🙏🙏</t>
  </si>
  <si>
    <t>@SitiNur00429223 @RachlanNashidik @msaid_didu simpatisan hti fpi isis Al-Qaida mah bebas ngomong🤡</t>
  </si>
  <si>
    <t>RT @PodcastSumbu: eits tidak semudah itu duo sumbu @marshadio &amp; @adirizaldito punya solusi menyambit kepulangan ex-WNI &amp;amp; ISIS yang mau mudik, tidak semudah itu ferguso untuk pulang. ini tips2 kita kasih buat pemerintah kalo emg bener mau dipulangin, biar gajadi contoh buat yang laen. #lucintaluna</t>
  </si>
  <si>
    <t>Guru Besar UI Sebut Eks ISIS Bukan WNI Lagi: Kenapa Uang Negara Harus Digunakan Memulangkan Mereka?</t>
  </si>
  <si>
    <t>@DayatPondok @Usep210 @mohmahfudmd Kenapa kamu gak ikut pergi bareng mereka gabung ISIS ?? Toh di Indonesia menurutmu ekonomi sulit...pemerintah gagal. Mereka yg pergi gabung ISIS itubukan krn ekonomi sulit...tp kebanyakan mimpi pengen dpt kapling surga !!!!</t>
  </si>
  <si>
    <t>Brota pxx</t>
  </si>
  <si>
    <t>bagi akun2 yg nolak ISIS tolong lah bijak dlm menyebar foto+video yg berisi kekerasan sadis!! jangan malah justru menyebarkan propaganda mreka yg emang ingin diketahui dunia luas..👎😤</t>
  </si>
  <si>
    <t>@ariel_heryanto @DesaKita2 Menurut anda adilkah perlakuan trhdp wni eks isis di banding dgn kkb di papua ?</t>
  </si>
  <si>
    <t>RT @kapeneott79: @wangdendo @KelianBanjar_GK @KPAI_official @jokowi @PolhukamRI @Jeki_Ayu @MbakNevi @LuwitaEmilly878 @annacantique @KSPgoid Wahai @KPAI_official dari pada anda urus anak2 isis mending kao urus tu anak2 para pejuang devisa jelas ada manfaatnya ...... Hidup TKI.......</t>
  </si>
  <si>
    <t>RT @QalbuBahasa: #ValentinesDay2020 Anak2 -9thn Isis eks WNI Jadi dilema atas nama kemanusiaa, Belajar dari pemulangan kombatan Afganistan, apa yg terjadi? BOM BALI, HOTEL MARIOT DLL Tlah mengguncang dunia Perekonomian Bali ancor.. Dan korban Nyawa tdk sedikit, #TolakAnakISISKembali</t>
  </si>
  <si>
    <t>RT @superUnknownnn: @Aryprasetyo85 @ISIS_Balik_NO Tinggal dijemput @DivHumas_Polri Pasal Pemalsuan dokumen dan illegal logging</t>
  </si>
  <si>
    <t>Untuk yang bilang akan mempertimbangkan anak2 ISIS eks WNI akan dipulangkan, mungkin vidio ini bisa jadi pertimbangan Jangan sepelekan anak2, mereka sdh dicuci otaknya dan terlatih</t>
  </si>
  <si>
    <t>Masih saja media suka menyebut: WNI eks ISIS. Padahal yang benar: ISIS eks WNI. Status terakhir mereka tetap dengan ideologi ISIS yang dimana kebetulan pernah jadi WNI. Sekarang seharusnya udah bukan WNI lagi. **nah dari sini diskusi hrs dimulai. Paham kan? 🤠</t>
  </si>
  <si>
    <t>@wangdendo @KelianBanjar_GK @KPAI_official @jokowi @PolhukamRI @Jeki_Ayu @MbakNevi @LuwitaEmilly878 @annacantique @KSPgoid Wahai @KPAI_official dari pada anda urus anak2 isis mending kao urus tu anak2 para pejuang devisa jelas ada manfaatnya ...... Hidup TKI.......</t>
  </si>
  <si>
    <t>@kamuusiapaaaaaa @AhlulQohwah Saya jawab, anda pendukung isis.</t>
  </si>
  <si>
    <t>RT @kompascom: Pemerintah pusat menetapkan observasi WNI dari Wuhan di Natuna, berakhir pada pukul 12.00 WIB, Sabtu (15/2/2020) mendatang.</t>
  </si>
  <si>
    <t>Kisah Mantan Pengikut ISIS 300 Hari Bertaruh Nyawa di Suriah | #indonesia #viral &gt;&amp;gt;&amp;gt; Click</t>
  </si>
  <si>
    <t>@ariel_heryanto Tekanan masa apa sih?? Buktinya mereka wni aja gak punya 😂😂 Hati hati loh siapa tau mereka wn cina yg mau menyusup jd tka di indonesia. Indonesia itu mau dijajah cina lewat tka tka cina dan barang brang serta utang cina. Ini lg wn gk terdeteksi ngaku2 wni</t>
  </si>
  <si>
    <t>Mksh pak...sdh mndengarkan aspirasi rakyat...mlindungi rakyat indonesia... Bapak sungguh bijak...msh pny hati,mmberi ksmpatan buat anak2 yg gk berdosa yatim untuk kmbli ktnah air. Dilarang Pulang, Ini 5 Keputusan Pemerintah untuk WNI Eks ISIS  #LINETODAY</t>
  </si>
  <si>
    <t>RT @KelianBanjar_GK: Pemulangan Anak-anak ISIS Eks WNI Adalah Bom Waktu #TolakAnakISISKembali itu yang terbaik jangan sampai indonesia membesarkan mesin” pembunuh berdarah dingin</t>
  </si>
  <si>
    <t>Ada yang gak setuju nih kalau WNI yang mengungsi di Suriah dan Turki tak dapat kembali ke Indonesia. Katanya Indonesia negara hukum, kok begini?  #MataMataPolitik</t>
  </si>
  <si>
    <t>@ariel_heryanto Tenang prof mereka akan diadili oleh negara yg berhak mengadili mereka</t>
  </si>
  <si>
    <t>Menteri Mahfud Md mengatakan pemerintah akan segera memblokir seluruh paspor yang terdaftar milik WNI yang diduga teroris lintas negara.</t>
  </si>
  <si>
    <t>KABAR TERBARU WNI YANG DIEVAKUASI DI NATUNA DARI WUHAN CHINA... #viral #beritaviral #beritaterkini #beritapopuler #beritanasional #Jumat #Natuna #jumatceria #coronaviruschina #Coronavirustruth #VirusCorona #virusCina #VirusWuhan  via @tribunpontianak</t>
  </si>
  <si>
    <t>@mohmahfudmd tp apakah orang2 sesat itu tidak bisa dimaafkan dan dibina kembali ? sebgmn anggota OPM bisa dimaafkan dan diterima kembali sbg warga nkri stelah sadar dan bertobat ? toh mrk tdk akan ikut isis isus kalau di sini mrk sdh sejahtera... Lain cerita klo mrk tetap bangga dg sesatx...</t>
  </si>
  <si>
    <t>@aewin86 @ISIS_Balik_NO @aniesbaswedan Bagaimana ini @dprddkijakarta @PSI_Jakarta akan kah Jakarta ini tenggelan didalam kebohongan.</t>
  </si>
  <si>
    <t>@Leel310 @CNNIndonesia Baca baik2. Jika isis dan sejenisnya itu adalah muslim, tdk mungkin mereka membunuh sesama muslim. Dah ya.... Samapi dsni dl. Biar situ belajar dl. Mdh2an tuhan kasih situ petunjuk....</t>
  </si>
  <si>
    <t>lhah, perkataan gua yg mana? g ada yg menyuruh ato membenarkan isis. tingkatkan lg literasimu anak muda 😂😜 RT @AridanuC: @peni_me Kasihan orang yang gampang percaya mba, nanti ikut Isis karena perkataan anda</t>
  </si>
  <si>
    <t>@duhmnas3 @Uki23 @deny_permana23 @JanReza_RD @aniesbaswedan @psi_id @Khairil40353168 @SuaraAnies @DKIJakarta @UyokBack @CCICPolri Jadi ISIS gpp asal jangan PKI?</t>
  </si>
  <si>
    <t>@AhlulQohwah Terus gimana sma anak2 yng terluka krna perbuatan ISIS mereka korban juga, gausah jauh2 mending urusin yng di dalem negri dlu deh anak2 bnyak yng jadi korban kekerasan, bullying dll</t>
  </si>
  <si>
    <t>RT @Bams_1eng: @elHurryKoRn Yg getol meneriakan pemulangan eks WNI pro ISIS apa buta dgn kekejaman seperti ini ? Apa karena mereka sengaja buta karena mereka bagian dari kelompok ini 🤔 wallahu a'lam bisshowab #AwasAntek2ISIS</t>
  </si>
  <si>
    <t>@RinjaniJB Ketika ISIS bertaqiya..🤣</t>
  </si>
  <si>
    <t>@yoyen Yang terakhir ini ala ISIS banget. Sepertinya anggota ISIS ex WNI akan sangat cocok tinggal di belanda</t>
  </si>
  <si>
    <t>@freddyths "Kalau status sudah bukan WNI dan domisilinya pun di Suriah . . . ." dan tidak berniat pulang, buat apa dibahas beramai2 sampai berhari2, dan dibikin keputusan melarang mereka kembali?</t>
  </si>
  <si>
    <t>@wahhabicc_jabar @KPAI_official Kl dia mau lindungi tu anak2 bagus dia pelihara sndiri jgn bawa2 nama negara krn negara sdh jelas memutuskan melindungi 267jt rakyat ketimbang ngurus 600an eks wni eks isis</t>
  </si>
  <si>
    <t>@Bang_Nago @ventableu @TirtoID Agar tidak tertipu buai rayu n narasi omong kosong daulah islamiyah isis.</t>
  </si>
  <si>
    <t>@telormatasapi00 @plesenamduwa @ujarNanda @chokysijabat @MohammadSahrul @dhynug @TirtoID Pemerintah sudah memutuskan. Sudah yaa.. Kalo mau berjuang untuk hak-hak mereka silahkan saja 😭 Masih heran kenapa ada yang masih belain ISIS 😭😭😭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</si>
  <si>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RT @RickyLo03813307: @AnakKolong___ @KPAI_official Yg pimpin @KPAI_official itu orang waras bukan ya. ISIS dibela giliran anak yg mau berprestasi dibungkam.</t>
  </si>
  <si>
    <t>Kalo emang gak suka sama Valentine, cukup diem aja. Jangan koar-koar di sosmed pake atribut agama. Kalian itu sama kayak ISIS eks WNI yang ribut minta pulang ke Indonesia</t>
  </si>
  <si>
    <t>Kapolri dan Panglima TNI Bagi Sembako ke Warga Penagih yang Dekat Lokasi Observasi WNI</t>
  </si>
  <si>
    <t>@CNNIndonesia Kepala plontos bereni ngancam2,siapa elooo,punya keluarga Eks ISIS ya.</t>
  </si>
  <si>
    <t>@DayatPondok @dytoxs_eddy @mohmahfudmd Mereka minggat sampean paham kan munggat? (kalau ijin namanya bukan minggat) sudah jelas2 wkt itu pemerintah gencar penyuluhan jangan gabung isis ttp mereka geblek tetep aja minggat diam2</t>
  </si>
  <si>
    <t>Begini Skenario Pemulangan 238 WNI dari Natuna ke Daerah Asal</t>
  </si>
  <si>
    <t>@ariel_heryanto Kalau status sudah bukan WNI dan domisilinya pun di Suriah, untuk apa diadili di Indonesia? Berapa biayanya? Apa manfaatnya? Adilkah bagi pembayar pajak?</t>
  </si>
  <si>
    <t>Observasi WNI dari Wuhan, berakhir pada tanggal 15 Februari 2020 pukul 12.00 WIB.</t>
  </si>
  <si>
    <t>@KPAI_official diBUBARIN aja pak Presiden @jokowi ,@PolhukamRI giliran ada bullying anak sekolah , pelecehan seksual anak2 mereka BUNGKAM disaat ttg anak isis mereka BERKOAR seakan akan punya nurani ! @Jeki_Ayu @MbakNevi @LuwitaEmilly878 @annacantique @KSPgoid @KelianBanjar_GK</t>
  </si>
  <si>
    <t>Oleh gerombolan akun2 tertentu dgn 1-2 programmer, Sampeyan akan dituduh sbg pembela ISIS, Prof. Mereka selalu (pura2) gagal paham, bahwa membenarkan ISIS yg bilang bhw 2+2= 4 , dan membela ISIS itu dua hal ya JAUH BERBEDA. Lalu akan pakai serangan pribadi plus kata2 “Goblok!” RT @ariel_heryanto: Di dunia ini ada orang baik dan pejahat. Ada yang di dalam dan luar pemerintahan. Jika ini negara hukum, sebelum ada vonis berat pada warga, seharusnya ada proses penyidikan &amp; pengadilan yang adil, terbuka dan sah. Bukan sekedar mengikuti tekanan massa.</t>
  </si>
  <si>
    <t>@5Y5_one_70 @jokowi Ketimbang urusin anak2 isis eks wni, urusin aja nih mslh anak2 di Indonesia,mslh kesehatan,pendidikan,aplg kemiskinan,kejahatan thd anak2,banyak.keturunan veteran jg banyak yg kekurangan.malah ngurusin yg jelas makar.Tapi ya weslah,mau rusak nih negara,monggo aja,masukkin deh</t>
  </si>
  <si>
    <t>RT @zarazettirazr: Kalau WNI eks ISIS itu kaum LGBT Apakah akan dapat lebih banyak dukungan dr organisasi2 HAM dan LGBT 😆 dan penolakan bisa digeser ke isu diskriminasi gender? Hanya BERTANYA karena GA NGERTI 😆😆😆😆😆</t>
  </si>
  <si>
    <t>RT @KalimaOpat: Masih mau pulangkan ISIS. #tolakISIS</t>
  </si>
  <si>
    <t>Yg masih mengatakan WNI itu siapa? Mereka sudah BUKAN WNI lagi. RT @jenk_kelinn: Disaat KALIAN menggaungkan tentang rasa KEMANUSIAAN sekelompok manusia yang jelas2 berkhianat kepada negaranya. Tapi KALIAN seolah menutup mata ttng pengungsi yg terpinggirkan didalam negeri ini. Yg jelas2 masih menjadi WNI. Lalu KEMANUSIAAN yg seperti apa yg kalian maksud !!!</t>
  </si>
  <si>
    <t>@arjuno_ireng01 kayaknya lebih tepat ISIS Eks WNI bukan kebalikanya deh...</t>
  </si>
  <si>
    <t>@Bang_Nago @ventableu @TirtoID Mereka sudah terlanjur disana n ga bisa balik. Mereka yg berhasil kabur dan kembali ke Indonesia, malah menjadi agen agar Orang Indonesia tidak gabung isis spt mereka dulu.</t>
  </si>
  <si>
    <t>@kamuusiapaaaaaa @AhlulQohwah Ya udah Lo aja yg urus tuh anak2 eks ISIS,wong orang tua nya aja halal di bunuh,masa situ maksa banget ya,Tukul jgn di borong</t>
  </si>
  <si>
    <t>@peni_me Kasihan orang yang gampang percaya mba, nanti ikut Isis karena perkataan anda</t>
  </si>
  <si>
    <t>@WagimanDeep @KPAI_official @ganjarpranowo Jgn salah kaprah pak.. itu isis eks WNI bkn WNI eks isis.. hrs tau dulu biar ga gagal paham. Jgn asal menilai aja</t>
  </si>
  <si>
    <t>RT @Jovanka_vanke: @GamaelBen @salahsambungya Komisi Perlindungan Anak ISIS 🥴🥴🥴</t>
  </si>
  <si>
    <t>Cerita Arum, WNI dari Wuhan di Natuna Jelang Pemulangan Sabtu Besok: Ini Begitu Berkesan  lewat @tribunnews</t>
  </si>
  <si>
    <t>@kumparan Pergi ke suria dan begabung dgn isis ga bilang2 skrang isis kalah ingin plng itu urusan yg ke bela2in ingin kesurga mati sahid dan sungguh bodo banget pemikiranya. Dan skrsng isis sdh dokrin teroris malah dibelain gimna pemikiranya anda .pks klu memang nkri bisa bubar bahaya</t>
  </si>
  <si>
    <t>@bayo_edy @mohmahfudmd Loe bicara hidup ini singkat, tp u mbela pbunuh sadis. Nurani mana yg u bicarakan. Jd oposisi itu tdk salah, tp jgn otak asal berseberangan sj. Bicara nurani lg. Klo ISIS berjaya, loe tau apa yg mereka lakukan?? $emua yg tdk sefaham pst dibunuh. Agama mana yg mengajarkan itu.</t>
  </si>
  <si>
    <t>@kangdede78 🤪 Jakarta apelage ada 212 sultan monas ada cap gomeh ada terowongan silaturahmi bumi lebih gilelagi ada corona ada isis juga ada tapir</t>
  </si>
  <si>
    <t>@mohmahfudmd Dengan sendirinya istilah WNI eks ISIS menjadi ISIS eks WNI</t>
  </si>
  <si>
    <t>RT @MrsRachelIn: @wahhabicc_jabar @KPAI_official Udah gjni aja @KPAI_official urus anak2 kombatan ISIS di di Suryah Pemrintah Indonesia Urus anak2 WNI di dlm negri . Silahkan Berangkat &amp; jangan balik lg klo masih pengen bela mrk ' semoga sukses membina anak2 ISIS .</t>
  </si>
  <si>
    <t>RT @3_devout: @Sarah_Pndj @permadiaktivis Nitip pidio andalan yes kaa..cm isis yng nda suka gereja 😘👌</t>
  </si>
  <si>
    <t>RT @ADSastrawidjaya: Cuma @aniesbaswedan doang yg bisa begini</t>
  </si>
  <si>
    <t>RT @risk_center: PEMERINTAH PERLU PERTIMBANGKAN PENCABUTAN STATUS WNI VERONICA KOMAN</t>
  </si>
  <si>
    <t>RT @DjanChoek: @03__nakula "Perlakukan anak harus adil sekalipun dia anak ISIS" ada yg blg begitu. Entahlah kalau kepalanya sudah jebol,masih ngomong gitu gak</t>
  </si>
  <si>
    <t>@AhlulQohwah Beresin aja dulu urusan kasus anak2 yg dalem negeri. Kagak usah ngurusin anak isis... Dari lingkungan yg terdekat aja dulu...</t>
  </si>
  <si>
    <t>@fahiraidris Idiologi isis musuh pancasila... pendukung isis berarti musuh pancasila dong...?</t>
  </si>
  <si>
    <t>@Rita8213 @mohmahfudmd @NU_bersatu @nuchannels apa ada statment gua ttg isis ajaran agama? ngaco lu 😂😂</t>
  </si>
  <si>
    <t>@Bang_Nago @ventableu @TirtoID ISIS itu bacotannya gede. Narasinya hebat. Seakan akan mereka lah panji hitam imam mahdi. Namanya orang Indo, sama Agung sejagad empire aja bisa kena tipu kok. Apalagi yg punya dasar n dalil sohih?? Sayangnya, ketika mereka akhirnya gabung isis. Mereka cuma jadi budak.</t>
  </si>
  <si>
    <t>@WagimanDeep @KPAI_official @ganjarpranowo Koq dibalik, bukannya anak-anak ISIS eks WNI</t>
  </si>
  <si>
    <t>Mungkin ini Editan atau berita HOAX.tapi komentar2 di postingan ini dan di beberapa grup FB sebagian besar sangat setuju dan mendukung @fadlizon untuk menyusul para kombatan isis ke suriah...😀😀 Cc @WagimanDeep @KakekHalal</t>
  </si>
  <si>
    <t>Isu pemulangan ISIS sedang ramai dibicarakan. Bagaimana tanggapan Nagara tentang ini?</t>
  </si>
  <si>
    <t>Siapa dibalik wacana pemulangan ISIS ex WNI? Yang jelas-jelas WNI saja masih banyak harus diurus, hati-hati pasti ada unang dibalik batu.</t>
  </si>
  <si>
    <t>Seorang Anggota ISIS Tega Eksekusi Mati Ibu Kandungnya  @hnurwahid @MardaniAliSera @msi_sohibuliman @felixsiauw @ustadtengkuzul coba baca baik2 ya</t>
  </si>
  <si>
    <t>@5Y5_one_70 @jokowi Hrsnya Pemerintah tegas, trmsk anak2 dibawah 10tahun isis eks wni jgn boleh pulang.Why?klo anak2 ikut,ibunya jg ikut,lha si ibu jg kena radikal,sama aja boong.era digital, anak2 bisa akses apa saja,klo mrk dewasa,pasti nyari ortunya,knp di suriah.</t>
  </si>
  <si>
    <t>@KavindraOemar @zarazettirazr Merujuk kepada Peraturan Pemerintah No. 2 Tahun 2007, Tentang Cara memperoleh, Kehilangan Hak Warga Negara, dst... yg tidak ikut berperang dgn ISIS (menjadi tentara) ISIS dipulangkan.</t>
  </si>
  <si>
    <t>Akan kembali ke masyarakat, Kemenkes pastikan WNI dari Natuna sehat #20thElshintaNewsAndTalk</t>
  </si>
  <si>
    <t>@Leel310 @CNNIndonesia ISIS di Suriah menyerang muslim sunni &amp; mujahidin . Contoh kecil : Mereka menaruh truk bantuan air bersih (dipasangi bom) ke permukiman penduduk ketika warga mendekat bom meledak. Mereka menaruh bom dibelakang tempat Imam ketika sholat jum'at</t>
  </si>
  <si>
    <t>@AhlulQohwah Anak ISIS lebih siap di jadikan kader dan siap untuk perang, barangkali ada yang pengen perang kayak Suriah mereka siap di pakai</t>
  </si>
  <si>
    <t>Tidak Mengidentifikasi Dulu, Keputusan Tidak Memulangkan WNI Eks ISIS Dinilai Terburu-buru</t>
  </si>
  <si>
    <t>Pemerintah menjamin kesehatan dan kesejahteraan 238 ENI dan 5 orang tim aju yang dipulangkan dari Wuhan. Pemerintah juga siapkan dana untuk kebutuhan para WNI yang ada di Natuna. #VirusCorona #CoronavirusOutbreak</t>
  </si>
  <si>
    <t>RT @PakarLogika: Berikut adalah 2 anak korban bom gereja Surabaya, pelakunya kombatan ISIS eks Suriah. Bisa bayangkan perasaan orangtuanya? Saya rasa dicabut jantungmu dari tubuhmu pun tak akan pernah bisa menyamai sakitnya kehilangan dua anak sekaligus yg tak berdosa ini. #TolakAnakISISKembali</t>
  </si>
  <si>
    <t>1. Keppres itu dibawah UU 2. Keppres hanya bersifat mengikat kedalam institusi Pemerintahan, bkn untuk umum 3. UU Kewarganegaraan hanya syaratkan "masuk tentara negara asing".. ISIS bukan negara RT @CNNIndonesia: Mahfud Sebut Status WNI Eks ISIS Bisa Hilang Melalui Keppres</t>
  </si>
  <si>
    <t>@__Ndaru__ @V4nn @smallmelville @Wawanda @dusrimulya @mohmahfudmd Iya tpi 99% mereka sudah bukan wni lagi</t>
  </si>
  <si>
    <t>@OrangKoslet @izharchaniago @DumaySyuhada Yupz... Giwah klo nemu cuitan akun2 ngaku2 jihadis atau islam, tapi memposting video perang dgn memuji2 pasukan panjihitam iSIS... langsung guwah blok !!! RT @OrangKoslet: @kangsemproel @izharchaniago @DumaySyuhada Banyak yg begitu. Yg bela2 ISIS padahal ngerti juga ngga.</t>
  </si>
  <si>
    <t>Keputusan Pemerintah Tak Pulangkan WNI eks ISIS  cc: @rasyazhr #NEWSTAINMENT</t>
  </si>
  <si>
    <t>Cepet trhdp ISIS. Lambat dlm hal menangani misteri suap KPU,Jiwasraya Asabri dn yg lainya. RT @republikaonline: YLBHI menilai pemerintah terburu-buru memutuskan soal WNI eks ISIS</t>
  </si>
  <si>
    <t>Mereka yang menyandang nama ISIS tidak berhak mengaku WNI. Pembunuh seperti mereka minta pulang setelah kalah, ya jelas ditolak lah.</t>
  </si>
  <si>
    <t>Dari heboh WNI eks ISIS minta pulang, kita bisa lihat siapa saja yang sebenarnya jadi Antek ISIS di Indonesia</t>
  </si>
  <si>
    <t>RT @tvOneNews: Presiden Partai Keadilan Sejahtera Sohibul Iman menghormati keputusan Presiden Joko Widodo yang menolak memulangkan 689 warga negara Indonesia pengikut kelompok militan Negara Islam Irak dan Suriah (ISIS). Selengkapnya klik  #NewsOne #PKS #WNIeksISIS</t>
  </si>
  <si>
    <t>@JubirPresidenRI @fadjroeL @jokowi menurut saya yang lebih tepat Eks WNI Eks ISIS.. Kalau WNI Eks ISIS berarti mereka masih punya hak warganegara Indonesia, faktanya mereka membakar paspor yang secara ga langsung tidak mengakui jadi WNI lagi.. menjadi Eks WNI..</t>
  </si>
  <si>
    <t>@Hanifah933 @Je_Ly Korban ISIS</t>
  </si>
  <si>
    <t>RT @tvOneNews: Jalur hukum peluang bekas ISIS pulang? Agama musuh Pancasila: Ketua BPIP ‘kepleset’? Saksikan selengkapnya di Apa Kabar Indonesia Malam jam 18.30 WIB hanya di tvOne &amp; streaming di tvOne connect, android  &amp;amp; ios  #AKIMalamtvOne</t>
  </si>
  <si>
    <t>RT @tvOneNews: Kepala Staf Presiden Jenderal TNI (Purn) Moeldoko mengatakan, jika para mantan kombatan ISIS bersikukuh ingin kembali ke Tanah Air, mereka mesti siap-siap akan diadili. Baca selengkapnya klik  #tvOneNews #NewsOne #vivanews #WNIeksISIS #Moeldoko</t>
  </si>
  <si>
    <t>RT @tvOneNews: Eks WNI ISIS dilarang pulang? Saksikan Coverstory One Kamis, 13 Februari 2020 jam 22.30 WIB hanya di tvOne &amp; streaming tvOne Connect, android  &amp;amp; ios . #CoverStoryOne #tvOneNews</t>
  </si>
  <si>
    <t>RT @BungGarry: KPAI mulut emberr.. kasus bullying kaga ada tereak tereak... giliran ex WNI malah paling kenceng.. prett lah</t>
  </si>
  <si>
    <t>@mohmahfudmd Mereka yg berangkat ke Suriah umumnya krn membantu pihak pemberontak, krn pemerintah dianggap dzolim terhadap umat islam di sana. Sebetulnya mirip dgn mereka yg berangkat ke Afghanistan atau ke Poso. Soal ISIS, bakar pasport dll. itu info yg mngkin berasal dri operasi inteljen.</t>
  </si>
  <si>
    <t>RT @setiadjit: @ElshintaDotcom Setelah Detik, Tibun, Viva, PKS kini lagi2 ElShinta menyebutnya WNI eks-ISIS; Darimana @ElshintaDotcom tahu mereka sudah EX ISIS? Sementara yang sudah valid mereka sudah menanggalkan WNI secara sadar; Sebutlah mereka sesuai fakta ISIS Ex WNI; @PDI_Perjuangan @GeneralMoeldoko</t>
  </si>
  <si>
    <t>@hnurwahid Kadang bicara Pancasila Kadang menolak Pancasila Kadang dukung ISIS Kadang ngehoax Serius, anda butuh ketenangan batin nur..</t>
  </si>
  <si>
    <t>@LestariNKRI @jr_kw19 Ini lho, Pak @jokowi @mohmahfudmd . Tolong ga usah anak2 ISIS kesini. Lha wong usia 10an aja udah bisa lepas rakit senjata dalam waktu 32 detik. Bahaya, Pak, anak ISIS itu bagai bom waktu 😢 #TolakAnakISISKembali</t>
  </si>
  <si>
    <t>RT @RadioElshinta: Direncanakan, seluruh WNI Wuhan dan tim pendukung akan langsung diterbangkan ke Halim Perdanakusuma menggunakan 2 Boeing dan 1 Hercules. Jumlah ini sama seperti saat penjemputan dari Batam ke Natuna. via @KemenkesRI</t>
  </si>
  <si>
    <t>@salahsambungya KPAI lagi susun drama buat impor ISIS</t>
  </si>
  <si>
    <t>@corso_isis TE SALVEI AINDA KKSJK</t>
  </si>
  <si>
    <t>@peni_me @mohmahfudmd Jgn menista agama, ISIS pembunuh, pemenggal kepala, menembak kepala, membunuh orangtuanya sndri, memerkosa, penjual wanira, Jgn katakan itu diajarkan di agama manapun. Cc: @NU_bersatu @nuchannels</t>
  </si>
  <si>
    <t>Cerita yg berguna bagiku : TOLAK ISIS balik ke Indonesia, apapun alasannya. TOLAK Intoleran, apapun alasannya. TOLAK para Kadrun &amp; Kadrunwati, apapun alasannya. TOLAK Ustadz/Habib yg slalu Teber Kebencian, Tebar Fitnah, Kofar-kafir, apapun alasannya. RT @FerdinandHaean2: Tolonglah kawan2 Media, sudahi berita2 Lucinta Luna dan kekasih perempuannya. Sudahi juga berita2 ttg tak bisa nyetrika, tak bs nyalain kompor dan tak bs goreng telur serta tak bs kupas salak dr anak2 org kaya itu. Tak berguna sana sekali..!! Coba beritakan ttg hal yg berguna.!</t>
  </si>
  <si>
    <t>@mohmahfudmd Anak2nya ISIS EX WNI jg TIDAK PERLU DIPULANGKAN Pak prof @mohmahfudmd Mereka sdh didoktrin dg kuat &amp; masif sjk dini oleh ISIS. Mereka akan jd bom waktu jg buat NKRI. US &amp;amp; Inggris sj menolak mereka. #TolakAnakISISKembali #TolakAnakISISKembali #TolakAnakISISKembali</t>
  </si>
  <si>
    <t>RT @dwisutiyanti6: @mohmahfudmd Jangan percaya sama HAM , yang di Indonesia aja jarang mereka bela ini malah membela ISIS atas nama HAM, bulshit</t>
  </si>
  <si>
    <t>@mohmahfudmd tugas negara juga mendidik warga negara nya biar tidak gampang di tipu, contoh ada warga negara kita yg mau bergabung sama isis itu karna kurang nya didikan oleh negara ini maka masih banyak yg bisa dan gampang di doktrin oleh pihak2 yg punya kepentingan.</t>
  </si>
  <si>
    <t>@AnakKolong___ @KPAI_official Yg pimpin @KPAI_official itu orang waras bukan ya. ISIS dibela giliran anak yg mau berprestasi dibungkam.</t>
  </si>
  <si>
    <t>RT @toegiono: @DayatPondok @mohmahfudmd Gak gitu kalee😪 Entar ngerembet ke pemerintahan siapa? Pemerintahan zaman siapa? Udah deh akhirnya cerita jadi kesana kemari🤣 Kalo itu ISIS berjaya, itu org2 boro2 minta pulang. Malah ngajakin yg lain ngerecokin negara.</t>
  </si>
  <si>
    <t>@Octries_11 anjing game simulasi jadi isis</t>
  </si>
  <si>
    <t>Ex WNI sudah bisa terpenuhi atas dasar UU No.12 Tahun 2006 pasal 23 Ada Bukti Ex ISIS? Atas dasar Moral~Kelayakan demi melindungi segenap bangsa &amp; ikut melaksanakan ketertiban dunia, bukan hanya RI yang berhak mengadili kejahatan Internasional Terrorisme ISIS #NKRIAntiTerorrime</t>
  </si>
  <si>
    <t>Ada yang bilang isis buatan Amerika, Ada yang bilang itu ajaran Agama. Gak ngerti cara pikirnya. Pake ulama di plintir omongannya untuk menguatkan dalilnya. RT @peni_me: @mohmahfudmd dan kata mbah nun, klo ada mentri yg mengatakan haram hukumnya bila mengikuti ajaran Rosullulah adalah wong sak goblok²e wong ( sebodoh²nya org) 😂 selamat pagi prof mentri 🙌</t>
  </si>
  <si>
    <t>Halo Sahabat Intelkam, admin ingin share kembali info mengenai SKCK. Berikut syarat pembuatan SKCK untuk WNA (warga Negara Asing) dan WNI (Warna Negara Indonesia).</t>
  </si>
  <si>
    <t>@nahdlatululama @Helmy_Faishal_Z @hariankompas Pemerintahan Boneka Irak Disokong Oleh AMERIKA SERIKAT Dan Berkiblat Ke IRAN (Syiah Rafidho). ISIS Semula Adalah Sebuah Kelompok Perlawanan Ahlul Sunah Yang Merasa TERTINDAS,Tapi Kemudian Menyimpang.</t>
  </si>
  <si>
    <t>OPINI : Polemik Pemulangan WNI Eks ISIS -</t>
  </si>
  <si>
    <t>RT @yusuf_dumdum: WNI yang bergabung dengan ISIS tidak perlu balik lagi ke Indonesia! Jika masih ada yg ngotot maka lebih baik dia saja yang disuruh pergi bergabung dengan ISIS. Setuju ? 😅 #TolakEksWNIproISIS</t>
  </si>
  <si>
    <t>@CNNIndonesia Jadi sebelum ada keppres sebutannya adalah WNI eks isis, pak @mohmahfudmd tolong disampaikan ke pejabat2 negara yg bicara soal ini agar memperhatikan hal ini.</t>
  </si>
  <si>
    <t>Bener, banyak hak-hak warga negara yang setia terhadap negara malah ga dipenuhi.. Eh malah repot2 bela ISIS atas nama HAM, HAM hanya berlaku untuk kelompok yang sekufu.. RT @dwisutiyanti6: @mohmahfudmd Jangan percaya sama HAM , yang di Indonesia aja jarang mereka bela ini malah membela ISIS atas nama HAM, bulshit</t>
  </si>
  <si>
    <t>Tolak Teroris ISIS Masuk Indonesia #tolakeksisis</t>
  </si>
  <si>
    <t>RT @GunRomli: Astaghfirullah! Usai Ikut Deradikalisasi, Pasutri WNI Malah Jadi Bomber ISIS di Filipina  Program deradikalisasi berarti cuma buang2 duit, klu mrk balik lagi terus dipekerjakan di BUMN gitu ya 😪</t>
  </si>
  <si>
    <t>@Umar16287409 @ISIS_Balik_NO @DKIJakarta @aniesbaswedan Alhamdulillah, aparat desanya mempunyai keinginan untuk diawasi. CC @ridwankamil</t>
  </si>
  <si>
    <t>RT @WahabisLokal: Mak Jleb👍👍👍 Mengapa Negara memikirkan Pengkhianat? Sedang rakyat yg setia dan patuh terhadap hukum dan aturan Negara masih seabrek. Dalam keadaan miskin lagi. Tolak Kombatan ISIS #CegahISISmasukNKRI</t>
  </si>
  <si>
    <t>@Latifa_Azza mungkin wajahnya mirip isis</t>
  </si>
  <si>
    <t>@__aiek_esthreem Sungguh sangat memalukan kalau si penjahat tukang tusbol tsb masih diakui WNI #RezimJKWRampokBUMN #RezimJKWRampokBUMN</t>
  </si>
  <si>
    <t>@alkenous ITP apakah singkatan dari ISIS Tjahaja Purnama?</t>
  </si>
  <si>
    <t>@aewin86 @ISIS_Balik_NO @aniesbaswedan Sikap yang tidak pantas, dan sudah saatnya dibongkar.</t>
  </si>
  <si>
    <t>@AhlulQohwah @KPAI_official udh ngak ada yg mau dibahas selain anak2 eks WNI itu ia??</t>
  </si>
  <si>
    <t>Komnas HAM kumpulan kadrun Dari pada ribut ngurus eks WNI yg bela ISIS , lebih baik Komnas HAM urus itu warga negara Indonesia yg mau beribadah dipersulit , yg susah bangun rumah ibadah walau surat ijin lengkap , rumah ibadah yg ditutup walau sudah punya IMB</t>
  </si>
  <si>
    <t>@DjanChoek @novian_sp @KPAI_official Sunyi tapi dana yg di gelontorkan pemerintah sangat wooo...padahal itu duit hasil pajak rakyat,...anak sekolah di bully klecep,ISIS malah di lindungin..dan anak sdh di jaga ortunya masing2...</t>
  </si>
  <si>
    <t>Menkes: Besok, WNI yang Dikarantina Dikembalikan ke Keluarga</t>
  </si>
  <si>
    <t>@BitterBallance @dusrimulya @mohmahfudmd Dan ISIS bkn negara itu menurut si dusry, tp tdk menurut ISIS. Dan si dusry tdk faham seandainya ISIS berjaya. Selain sdh melakukan latihan paramiliter dan berperang bkn utk Indonesia, mereka jg pbunuh sadis. Hny watak yg sama akan mbela pelaku yg sama. Hny begal yg bela begal.</t>
  </si>
  <si>
    <t>@DayatPondok @mohmahfudmd Menurut undang2 mereka sdh bukan WNI lg. Dan itu jg kebodohan mereka sendiri krn percaya ISIS. Skrg ketika ISIS kalah mengaku WNI &amp; pgn balik. Apa anda mau bertanggung jawab bila terjd kasus bom lg andai mrk balik? Apakah ada jaminan mrk utk tdk radikal lg?</t>
  </si>
  <si>
    <t>RT @5Y5_one_70: Waspadai Simpatisan ISIS. #TolakAnakISISKembali Jgn tebar virus teroris di negeri ini,jika kalian gk ingin kejadian yg lalu terulang kembali.</t>
  </si>
  <si>
    <t>@Verbum_Ang @mohmahfudmd Kita mmg ga wajib, mnrt uu negara yg urusin mrk tp bukan bagi yg ikut combatan isis</t>
  </si>
  <si>
    <t>@izharchaniago @DumaySyuhada Ga lah... OrIn yg gabung ISIS adlh org2 yg antara iman dan akalnya ga sejalan. Tingginya keimanan akan adanya "hura2 akhir jaman", pasukan panjihitamnya Al Mahdi plus semangat jihad yg tinggi tp tdk dibarengi optimalisasi nalar mbuat mrk mudah diperalat RT @izharchaniago: @kangsemproel @DumaySyuhada Kang, berarti orang Indonesia yang bergabung dg isis di Suriah sekarang itu masuk ke pembela Assad (jadi pasukannya Assad) begitu ya atau bagaimana ?🙏</t>
  </si>
  <si>
    <t>@amorayoongi Isis o Victoria💜💜 uwu</t>
  </si>
  <si>
    <t>@AhlulQohwah Oh ini rupunya @KPAI_official korban bom tamatan ISIS sudah dibantu min KPAI?</t>
  </si>
  <si>
    <t>Mencoba mengerti argumen dr mereka yg ngotot memulangkan anggota ISIS mantan WNI dg alasan anak-anak. Ijin tanya kalau anak-anak itu boleh pulang, ditemani siapa mereka nantinya? Ibu? Ayah? Kakak? Artinya seluruh keluarga boleh pulang, begitu?</t>
  </si>
  <si>
    <t>@angedespoir5 Napa anak dia aja yg dikirim ke isis sana biar dianpulang tembak kepala bapakx😠😠😠😠</t>
  </si>
  <si>
    <t>@gadisresidu_b3 @ZheeOmega Halaah.. Ngga ada tuh WNI ex ISIS.. Yg ada: ISIS ex WNI..</t>
  </si>
  <si>
    <t>@kamuusiapaaaaaa @AhlulQohwah Mereka tidak menginginkannya, mungkin. Mereka sial, lahir di keluarga yang anggota ISIS. Masalahnya apa yang bisa dilakukan buat deradikalisasi anak-anak itu seutuhnya? Ujug-ujug masuk masyarakat terus nanti jadi ticking bomb buat jadi calon teroris? Kayak nyerahin nyawa yhaaa</t>
  </si>
  <si>
    <t>RT @vita_AVP: @BadjaNuswantara Aq sgt menyayangi anak2, duniaku lbh bnyk interaksi dng anak2. Tp dlm hal ini aq tegas menolak dipulangkannya anak2 ISIS kmbli ke NKRI. BODO AMAT DGN KPAI. Bagiku tdk ada yg lbh berbahaya selain "memelihara anak ular dirumah". Aq lbh mencintai anak2ku disini drpd anak2 ISIS.</t>
  </si>
  <si>
    <t>@ElshintaDotcom Setelah Detik, Tibun, Viva, PKS kini lagi2 ElShinta menyebutnya WNI eks-ISIS; Darimana @ElshintaDotcom tahu mereka sudah EX ISIS? Sementara yang sudah valid mereka sudah menanggalkan WNI secara sadar; Sebutlah mereka sesuai fakta ISIS Ex WNI; @PDI_Perjuangan @GeneralMoeldoko</t>
  </si>
  <si>
    <t>@KPAI_official becanda lu kelewatan... demen amat ngoceh anak anggota ISIS yang EX-WNI giliran anak disabilitas di bully lu pade kicep emang lagi ngajuin proposal apaan dahhhh RT @alu_dra: Anak korban bully di sekolah lo diem aje. Anak isis lo ributin. Hadeeehhhh biar apa sik ngomong gtu? Biar keliatan apa coba? Sodara seiman? Mbuuuuut mbuut</t>
  </si>
  <si>
    <t>@Verbum_Ang @mohmahfudmd Kalo mmg menolak ex isis balik mestinya cari alasan yg lbh tepat. Ex combatan isis dan keluarganya mnrt uu dibedakan perlakuannya.</t>
  </si>
  <si>
    <t>Kayanya lebih tepat ISIS eks WNI deh. RT @TirtoID: Keputusan pemerintah tidak memulangkan WNI eks ISIS menuai sorotan dari pelbagai pihak. Salah satunya menyebut pemerintah membiarkan warganya kehilangan kewarganegaraan atau stateless.</t>
  </si>
  <si>
    <t>@alu_dra udah diputuskan, Pemerintah MENOLAK memulangkan Eks ISIS WNI 🤧</t>
  </si>
  <si>
    <t>@BBCIndonesia Gk salah tuh penulisan caption nya min? Kaya nya yg betul ISIS eks WNI. Mereka sudah bukan WNI lgi sejak bergabung dgn ISIS.</t>
  </si>
  <si>
    <t>RT @NBerbakti: Makin terbukti kekejaman Wahabi ISIS, para perempuan di culik dan di jadikan Budak Pemuas Nafsu, ini ajaran Islam ? Tentu Tidak, Ulama2 NU Tidak pernah mengajarkan hal seperti ini #TolakISIS</t>
  </si>
  <si>
    <t>@__Ndaru__ @V4nn @smallmelville @Wawanda @dusrimulya @mohmahfudmd Yang jelas.. Teroris exs isis gak di pulangkan TitiK.alhamdulillah</t>
  </si>
  <si>
    <t>RT @kemkominfo: Ingin Lindungi 260 Juta Penduduk, Presiden Tegaskan Pemerintah Tidak Berencana Pulangkan Eks-ISIS</t>
  </si>
  <si>
    <t>Masa Karantina WNI Dari China Berakhir, Kemenkes Pastikan Mereka Sehat</t>
  </si>
  <si>
    <t>Masa Karantina WNI Dari China Berakhir, Kemenkes Pastikan Mereka Sehat  via @Indopolitika</t>
  </si>
  <si>
    <t>Pemerintah apa kekurangan kegiatan ? Abaikan segala tentang ISIS.</t>
  </si>
  <si>
    <t>Keputusan final Pemerintah tentang eks-WNI kombatan ISIS sudah jelas. Harap media jangan mengompori demi rating!!!</t>
  </si>
  <si>
    <t>RT @MaryamAleya: kebiadaban ISIS, siapa yang mau terima?</t>
  </si>
  <si>
    <t>RT @arjuno_ireng01: Anggota ISIS mantan warga negara, bukan kewajiban kita. Hikmahanto Juwana Guru Besar Hukum Internasional UI, Sepakat makanya Pemerintah harus konsisten menolak ISIS eks WNI kembali ke tanah air. #TolakAnakISISKembali</t>
  </si>
  <si>
    <t>DARI PADA NGELUARIN UANG BUAT MEMULANGKAN ANAK ISIS MENDING DI PAKEK BANTUAN KE DAERAH TERPENCIL RT @wahhabicc_jabar: GAK USAH banyak CINGCONG pake segala PERLINDUNGAN ANAK bagi anak² ISIS! Kamu keluar rumah pake kendaraan brenti di lampu merah, PLOTOTIN TUH MATA! LIHAT Anak² mau pilih dibawah/diatas umur terserah klean! DIMANA PASAL PERLINDUNGAN ANAK? @KPAI_official</t>
  </si>
  <si>
    <t>RT @shinichikudo991: Jadi ingat anak2 WNI yg jadi korban Bom Bunuh diri. Inget juga anak2 pemain bulu tangkis yg kehilangan kesempatan berprestasi. Apakah ada yg sibuk membicarakan dan memberi solusi buat mereka? #TolakAnakISISKembali</t>
  </si>
  <si>
    <t>@CNNIndonesia @Kemlu_RI Alhamdulillah dr WNI . Semoga kembali sehat semuanya</t>
  </si>
  <si>
    <t>@_UsbinDunda @mohmahfudmd Itu menurut u.. Bkn menurut ISIS. Dan jg bkn menurut orang yg faham akan UU. Jk mereka berjaya, u tau apa yg akan trjd dan mereka lakukan. Membela pembunuh sadis, itu tdk terlepas krn watak pembela trsbt jg sama dng watak yg dibela. @DivHumas_Polri @Puspen_TNI</t>
  </si>
  <si>
    <t>Soal pencabutan kewarganegaraan WNI eks-ISIS, ini penjelasan Menko Polhukam</t>
  </si>
  <si>
    <t>@nahdlatululama @Helmy_Faishal_Z @hariankompas ISIS Tidak Akan Ada Jika Irak Tak Diserbu Pasukan Amerika Serikat Dan Sekutu Mereka PADA SEKITAR APRIL 2003. ISIS Bagian Dari Pertikaian Di Irak,Yang Melibatkan IRAN Juga. Kenapa Harus Memantau IRAN Juga? Penyerbuan Ke Irak Tak Akan Berjalan Lancar Tanpa BANTUAN IRAN.</t>
  </si>
  <si>
    <t>@AhlulQohwah Hai @KPAI_official ada salam dari anak2 ISIS. Kapan mau main bareng begini?</t>
  </si>
  <si>
    <t>RT @sigitwid: WNI kehilangan kewarganegaraan Indonesianya apabila dia bergabung dengan militer asing tanpa izin Presiden. WNI juga kehilangan kewarganegaraan jika menyatakan keinginan untuk tidak lagi menjadi WNI. @dini_purwono @jokowi @psi_id</t>
  </si>
  <si>
    <t>Lagi dan lagi (masih ada) ....PELUANG.....utk memulangkan ISIS eks WNI, dgn mempergunakan "celah hukum" dan KUASA serta KEWENANGAN PRESIDEN....!!!!! Smoga 260 juta rakyat Indonesia tidak kaget bila, suatu saat nanti ISIS punya markas di Indonesia.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</si>
  <si>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#TolakAnakISISKembali sudah biarkan mereka membusuk disana,buat apa pulangkan para teroris pengkhianat NKRI lebih baik pulangkan TKI bermasalah &amp; WNI di Singapura &amp;amp; China. RT @BadjaNuswantara: Pemerintah tak perlu beri ruang opsi memulangkan sebag eks WNI pro ISIS. Di Indonesia masih byk anak2 dr usia dini sd remaja yg perlu dibina. #TolakAnakISISKembali</t>
  </si>
  <si>
    <t>RT @DsSupriyady: @kumparan Miris...bgt ! Padahal anak - anak ini tdk dididik oleh ISIS....</t>
  </si>
  <si>
    <t>WNI Dari Tiongkok yang Dikarantina di Natuna Dipulangkan Besok, Terbanyak dari Jawa Timur</t>
  </si>
  <si>
    <t>@AlaricLuthfy @mohmahfudmd UU jelas. mereka ex WNI.</t>
  </si>
  <si>
    <t>@AhlulQohwah Padahal anak korban bully ga pernah minta ke temennya untuk dibully. Sama halnya dg korban isis. “Dipaksa ayah” Trauma nya yg plg parah yaa korban bully loo. Krn mentalnya awalnya sehat lalu dibully. Sdgkn isis kondisi mentalnya bgmn? Sakit atau rusak? Bedalo!</t>
  </si>
  <si>
    <t>@Je_Ly tolong pa de @jokowi ,,, jangan terima anak ex wni isis mau yatim piatu kek,, emang mau cari bibit teroris !!!!!!!!</t>
  </si>
  <si>
    <t>@Hanifah933 Isis ngisi otak mrk dg virus kebiadaban</t>
  </si>
  <si>
    <t>@ujarNanda @plesenamduwa @telormatasapi00 @chokysijabat @MohammadSahrul @dhynug @TirtoID Bukan hanya membakar passport, mereka menyatakan sumpah setia kek ISIS dan melakukan tindakan kriminal luar biasa di negara orang. Mereka keluar atas keinginan sendiri kok ya nuntut mau pulang.. Jadi mau kau apa? Solusinya apa? Pemerintah sudah bertindak juga, ubah aja kak bisa</t>
  </si>
  <si>
    <t>PKS..ISIS..AHH SUDAHHLAHH...!!😝 #TolakAnakISISKembali #NKRIHargaMati 🇮🇩</t>
  </si>
  <si>
    <t>@hendri92189000 @V4nn @smallmelville @Wawanda @dusrimulya @mohmahfudmd Gapernah jadi TKW ilegal, jadi gatau Soal kontribusinya eks isis, ada BPIP. Disitulah perannya, tidak ada sesuatupun diciptakan sia-sia. Pasti ada manfaatnya, mungkin blm sekarang tau</t>
  </si>
  <si>
    <t>@salahsambungya @Mulia07094480 Kepanjangan tabgan ISIS ke depan dipertimbangan oleh @jokowi @mohmahfudmd</t>
  </si>
  <si>
    <t>@syiahgl @jokowi Daripada ngurus kombatan Isis dan keturunannya apa tidak lebih baik memperhatikan nasib mereka pak @jokowi</t>
  </si>
  <si>
    <t>RT @IDN_Username: @AnakKolong___ @KPAI_official KPAI suka bikin teror aja nih di negaramu ini pak @jokowi , tutup aja lembaga unfaedah ini pak, spt lembaga2 unfaedah lainnya! Kmrn teror masalah bulutangkis, skrg ISIS, pdhl gajinya dri APBN, dri pajak kolektif, bkn hsl keringat nenek moyang komisionernya...</t>
  </si>
  <si>
    <t>@detikcom Udah jelas2 berkhianat dgn masuk ISIS, itu dah otomatis gk setia ama pancasila. Ini Orang pikirannya kmana sih? Kayaknya dia mabuk.</t>
  </si>
  <si>
    <t>@Jean_Aprilia97 Lebih selamat jadi teroris KKB di papua drpada jd kombatan ISIS...</t>
  </si>
  <si>
    <t>@kantayu Maaf kebalik ISIS eks WNI</t>
  </si>
  <si>
    <t>BEASISWA MALAH DIBUBARIN, EKS ISIS DILINDUNGIN WKWKKKWKWKWKWKWKKWKWKKKKWKWWKWKWKWKWKWK RT @AhlulQohwah: Di Malang anak dibully sampai patah tangan anteng, di Purworejo anak perempuan dianiaya anteng. Giliran anak ISIS suaranya kenceng.</t>
  </si>
  <si>
    <t>Pantau Kepulangan Bekas Anggota ISIS</t>
  </si>
  <si>
    <t>@jokowi Saran saya, tidak hanya thermal scanner, tapi perlu dilakukan pengecekan sample ludah untuk semua WNI yg baru pulang dr wilayah terjangkit, sehingga bs memastikan bahwa mereka tidak terkena dan bukan carrier. Demikian saran saya Pak. Terima kasih. (2/3)</t>
  </si>
  <si>
    <t>Yth. Pak Presiden @jokowi Selamat Pagi. Pak, terkait dgn virus corona, apakah sudah ada pengecekan bagi WNI yg baru kembali dr Singapore, Malaysia, Thailand, atau Negara terjangkit lainnya? Karena jika sampai tidak terdeteksi akan sangat berbahaya bagi yg lainnya. (1/3)</t>
  </si>
  <si>
    <t>-10thn Anak Isis eks WNI andai di pulangkan, Siapa yg bisa menjamin kelak mereka menjadi Dewasa tidak akan Balas dendam ke Pemerintah? Karna mereka sdh dipisahkan dari Orang Tuanya" #TolakAnakISISKembali</t>
  </si>
  <si>
    <t>dalam lingkup sekecil kapal pesiar aja WNI tetep sehat padahal jelas-jelas penumpang lain sudah terpapar virus. benar-benar sakti mandraguna. RT @CNNIndonesia: Pemerintah Jepang menyatakan sebanyak 218 penumpang kapal pesiar Diamond Princess terinfeksi virus corona. @Kemlu_RI pun menuturkan bahwa 78 orang WNI yang merupakan kru dari kapal pesiar tersebut dalam kondisi sehat dan negatif virus corona.  #CNNIndonesia</t>
  </si>
  <si>
    <t>Korban itu anak2 dan orang yg kena bom, jangan dibalik, playing victim itu udah basi, bapak2nya isis selalu pengen anaknya ikut kek mereka Maling dan penjahat mereka jahat sbb alasan personal, tapi ISIS? Mereka jahat karena alasan ideologis, tapi justru merasa lg Ibadah RT @kamuusiapaaaaaa: @AhlulQohwah Emang anak2 itu mereka menginginkan jadi anaknya para isis ya? Mikir dlu sblum komentar. Anak2 itu adalah korban.</t>
  </si>
  <si>
    <t>@FaGtng Dear pak @jokowi , @mohmahfudmd , krn inilah kenapa pd ngotot menginginkan anggota ISIS ex WNI minta dipulangkan, ternyata ada bagian dr ISIS bahkan Al qaeda berbasis di NKRI, jd nggak mustahil jika ISIS ingin memindahkan markasnya di NKRI, mari kita waspada....</t>
  </si>
  <si>
    <t>@ujarNanda @plesenamduwa @telormatasapi00 @chokysijabat @MohammadSahrul @dhynug @TirtoID Yg nurutin emosi siapa? Hadeh dia ngomongin diri sendiri haha Ya aku bilang jg sekarepmulah! Itu cuma opini sy lah kenapa? Salah? Lagian pemerintah sudah menetapkan keputusan. Hak yang mana? Secara hukum juga sudah ditetapkan pemerintah kok. Mau kau ISIS dipulangkan? Kek jlngkung</t>
  </si>
  <si>
    <t>@mohmahfudmd Terus kalo pasukan yang memerangi Indonesia kaya OPM gitu status WNI nya masih dilindungi ya put? Jadi memerangi negara sendiri (Indonesia) status WNI nya dilindungi dan diakui sedangkan memerangi negara lain status WNI nya dicabut..maksude piye toh put?</t>
  </si>
  <si>
    <t>@dusrimulya @mohmahfudmd ISIS = Islamic State in Iraq and Syria. Mereka mendaku sebagai sebuah negara.</t>
  </si>
  <si>
    <t>Inilah Hukum Memulangkan Eks ISIS ke Indonesia</t>
  </si>
  <si>
    <t>@Jean_Aprilia97 @bona_rong2 mereka ISIS bukan ya...,</t>
  </si>
  <si>
    <t>@tariknapas @SoundOfYogi Justru kalau ada anaknya disana jadi pelemahan buat isis, bapaknya gak bisa fokus perang karena harus menafkahin anaknya. Lagian gw gak setuju pemisahan orang tua dan anak, Itu Ham, biarkan bapak isis bersatu dengan anak isis di Suriah.</t>
  </si>
  <si>
    <t>#ValentinesDay2020 Standar -18thn anak2 Isis eks WNI andai Di pulangkan maka RI tlah memupuk benih2 radikalisme mengancam di depan Mata Isis tlah mencuci otak mrk dari usia Balita Di dokrin Kejam, tdk berempati, dan kekerasan Miris... #TolakAnakISISKembali</t>
  </si>
  <si>
    <t>RT @Dwiyana_DKM: Gak ada alasan yg mengharuskan memulangkan mereka. Krn mereka pergi meninggalkan Indonesia demi hal yg orangtua mereka yakini. Memulangkan mereka sama jg menyimpan bom waktu yg akan meledak tanpa ada yg tau kapan saatnya tiba. #TolakAnakISISKembali</t>
  </si>
  <si>
    <t>Tim Gabungan Amankan WNI yang Baru Tiba di Nunukan</t>
  </si>
  <si>
    <t>kebiadaban ISIS, siapa yang mau terima? RT @Galihzainur1: Sebelum Nasi Mjd Bubur Dan Semua Tinggal Derita Simak Tragedi Berdarah ini untuk Penghianat NKRI. CC: @fadlizon @KPAI_official @KomnasHAM @hnurwahid @Kemenag_RI @felixsiauw @Fahrihamzah #BasmiRadikalisme Apa Yg Bisa Kita Harapkan Dari Kepulangan #ISIS Selain Kehancuran dan Derita</t>
  </si>
  <si>
    <t>@detikcom Anak2 isis dgn idiologi isis kelak kau jadikan alat untuk menumbangkan Pancasila</t>
  </si>
  <si>
    <t>@bandungfootball @hooliganbdg Mamang kim sami sareng sayah, rumaos asalna org bandung, basa nikah d suruh mau tetep jd WNI atau pindah warga negara, da istri org cimahi tea...</t>
  </si>
  <si>
    <t>@salahsambungya @meow_leader Pengen dengar suara @KPAI_official, apa suara mereka sekenceng saat membela anak ISIS eks WNI?</t>
  </si>
  <si>
    <t>@detikcom aneh2 mang maux pks ini.... trus anak2 isis ex wni yg mau bina siapa.... g semudah itu.... yg cermat knp sih cara berpikirx</t>
  </si>
  <si>
    <t>Lha iya. Saya dari tadi bicara anak-anak yang pergi ke Syria ikut saudara atau ortu yang gabung ISIS. Anda setuju berarti poin saya. Yang anak-anak, kewajiban negara memulangkan mereka. Tunjukkan kita manusia yang lebih baik dari orang2 yang membawa mereka ke sana. RT @innovesian: Kita bahasnya dlm konteks Hukum dan Perundangan gak ? Kalau berbasis Perundangan, maka siapapun yg Berikrar setia, menjadi Tentara apalagi Berperang untuk Negara atau Kelompok lain, otomatis sudah kehilangan status WNI.. Kalo bicara kemanusiaan utk anak, itu konteks lain.</t>
  </si>
  <si>
    <t>@salahsambungya Lg sibuk ngurusi anak2 ex ISIS kl</t>
  </si>
  <si>
    <t>@we_jogja @ganjarpranowo Kelihatannya cocok. Alumni Jebolan Ormas ini jika masuk, Laskar &gt; Kombatan ISIS Politik &amp;gt; PAN Pendidik &amp;gt; Dangkal Intoleran @jokowi @mohmahfudmd @aagym @ustadtengkuzul @aniesbaswedan @fahiraidris @Fahrihamzah @ridwankamil</t>
  </si>
  <si>
    <t>@ganjarpranowo Kelihatannya cocok. Alumni Jebolan Ormas ini jika masuk, Laskar &gt; Kombatan ISIS Politik &amp;gt; PAN Pendidik &amp;gt; Dangkal Intoleran @jokowi @mohmahfudmd @aagym @ustadtengkuzul @aniesbaswedan @fahiraidris @Fahrihamzah @ridwankamil</t>
  </si>
  <si>
    <t>@mohmahfudmd Kalau ikut Perampok dan Perompak warga negara asing..? mereka bukan tentara NEGARA beneran, #ISIS itu macam #sundaempire #keratonagungsejagat tapi didukung oleh kuasa jahat dunia pemilik senjata. Semua adalah #Halusinasi</t>
  </si>
  <si>
    <t>@zoelfick Komisi Perlindungan Anak ISIS</t>
  </si>
  <si>
    <t>@__Ndaru__ @V4nn @smallmelville @Wawanda @dusrimulya @mohmahfudmd Pertanyaan saya.. Apakah tkw ilegal gak ada konstribusinya buat indonesia..? Dan apa kontribusinya kombatan exs isis.?</t>
  </si>
  <si>
    <t>Sebetulnya simple masalah pro dan kontra ini,mereka Khan eks WNI yg berkhianat bergabung dgn teroris,jadi bukan lagi WNI dan bukan lg mnjadi tanggung jawab Pemerintah,kenapa musti diperdebatkan dikalangan elite? Gt aja kok repot.... RT @Galihzainur1: Sebelum Nasi Mjd Bubur Dan Semua Tinggal Derita Simak Tragedi Berdarah ini untuk Penghianat NKRI. CC: @fadlizon @KPAI_official @KomnasHAM @hnurwahid @Kemenag_RI @felixsiauw @Fahrihamzah #BasmiRadikalisme Apa Yg Bisa Kita Harapkan Dari Kepulangan #ISIS Selain Kehancuran dan Derita</t>
  </si>
  <si>
    <t>@spiderr__matrix @jenk_kelinn valentine(kasih) ditolak isis(penjagal) diterima sudah ngerti lah arah nya kemana</t>
  </si>
  <si>
    <t>@IDN_Username @AnakKolong___ @KPAI_official @jokowi Pak @jokowi , pak @mohmahfudmd saya mau tanya, apa skrng KPAI udah jd Komisi Perlindungan Anak Isis ????</t>
  </si>
  <si>
    <t>@salahsambungya KPAI lagi sibuk urus anak² ISIS</t>
  </si>
  <si>
    <t>@ariel_heryanto Tapi masih WNI khan pak?</t>
  </si>
  <si>
    <t>@ArnoldPoernomo valentine(kasih) ditolak isis(penjagal) diterima sudah ngerti lah arah nya kemana</t>
  </si>
  <si>
    <t>@hendri92189000 @V4nn @smallmelville @Wawanda @dusrimulya @mohmahfudmd Ya tetap saja klo pe mereka ngebunuh di negri orang musti dianggap sebagai WNI dan harus difasilitasi</t>
  </si>
  <si>
    <t>RT @voidotid: 78 WNI merupakan awak kapal dan punya risiko lebih besar terkena virus corona. Beruntungnya keadaan masih berpihak baik pada mereka. Seperti memiliki sebuah tameng tersendiri.</t>
  </si>
  <si>
    <t>#RezimJKWRampokBUMN #RezimJKWRampokBUMN Publik Pertanyakan Beda Perlakuan WNI Eks ISIS dan Reynhard Sinaga, Apakah Status Kewarganegaraan Juga Dicabut?  Gue juga ikutan tanyaaa... Reynhard Sinaga malah lbh parah dgn mempermalukan RI sbg predator sex LGBT</t>
  </si>
  <si>
    <t>Didikan orang biasa aja gini... Gimana didikan ISIS TERORIS 👿👿 Siswi SMP Purworejo Dibully, Ganjar: Saya Telepon Kepala Sekolahnya, Besok Disdik Ambil Tindakan</t>
  </si>
  <si>
    <t>@Airin_NZ Kalo ada bom digereja Korbannya anak2 diem aja mulutnya sariawan.. Klo anak2 teroris ISIS mulutnya gak berhenti berkoar... Sariawannya hilang...</t>
  </si>
  <si>
    <t>@AhlulQohwah valentine(kasih) ditolak isis(penjagal) diterima sudah ngerti lah arah nya kemana</t>
  </si>
  <si>
    <t>Pemerintah Tolak Pemulangan Eks ISIS, Peneliti: Waspada Aksi Balas Dendam</t>
  </si>
  <si>
    <t>@detikcom Pak @jokowi Kirim aja si sohibul beserta kader nya ke kamp2 ISIS, di sana pasti mereka lebih berguna</t>
  </si>
  <si>
    <t>@__Ndaru__ @V4nn @smallmelville @Wawanda @dusrimulya @mohmahfudmd Kamu paham.. Meski tkw itu ilegal dia masih berkontribusi buat negara.. KOMBATAN exs isis.. Apa konstribusinya buat negara selain bikin reseek...</t>
  </si>
  <si>
    <t>RT @wow_keren: Keputusan Jokowi Soal Status Ratusan ISIS eks WNI Dipertanyakan Gara-Gara Ini</t>
  </si>
  <si>
    <t>@kamuusiapaaaaaa @AhlulQohwah valentine(kasih) ditolak isis(penjagal) diterima sudah ngerti lah arah nya kemana</t>
  </si>
  <si>
    <t>@OposisiCerdas Sik oblok itu kan ngga tahu singkatan ISIS</t>
  </si>
  <si>
    <t>@mohmahfudmd Tentara yg berperang itu apakah ada kategori umur, dewasa atau anak-anak? Siapakah negara, siapa pula tentara dimaksud? Jk teksbook, apakah mereka (WNI) masuk sbg tentara dlm sebuah negara?</t>
  </si>
  <si>
    <t>@vidalavidah @ujarNanda @cumacumcum @plesenamduwa @telormatasapi00 @MohammadSahrul @dhynug @TirtoID Sebenernya bukan bela penghianat sih mba. Cuma kalo UU ga di terapkan dg seharusnya (sewenang-wenang), bukan ga mungkin nanti hal yg sama kena ke kita juga. Kalo boleh jujur, saya lbh milih ex ISIS ga pulang. Bosen saya liat tempat ibadah saya di bom in mulu</t>
  </si>
  <si>
    <t>RT @NilaKencana8: #TindakTegasIntoleran Hanya sekedar ikut perang utk mmbela tntara asing sih,Rkyat masih mau mnrimanya. Brbeda ama Terorist ISIS: Terorist Sadizzz ISIS ini mau kmbali ke NKRI dg tjuan mau menyerang TNI/POLRI/BANSER. Bahkan mau nglakuin KUDETA pd NKRI. #TindakTegasIntoleransi</t>
  </si>
  <si>
    <t>@mohmahfudmd Anda hanya mengalihkan isu #harunmasiku hilang tak berbekas. Menteri hukum kok ngurus harun aja gk bisa. Gk usah di ributin soal isis. Lah atau jangan2 hanya pengalihan isu saja.</t>
  </si>
  <si>
    <t>Panglima TNI: Filipina Janji Bebaskan Lima WNI yang Disandera Abu Sayyaf</t>
  </si>
  <si>
    <t>@AnakKolong___ @KPAI_official Itu bukan WNI tapi eks WNI yang menjadi ISIS</t>
  </si>
  <si>
    <t>Slma msh pny paspor, y mreka msh WNI, kcuali kl paspornya udah dibuang ato kewarganegaraannya udah dicabut, lagian stateless itu bkn hal yg aneh, pr imigran luar yg tgl di rmh detensi pun statusnya stateless. RT @VIVAcoid: Ditolak Pulang, Jangan Biarkan WNI ISIS Tak Punya Negara</t>
  </si>
  <si>
    <t>@mohmahfudmd Bedanya apa, Yg tdk punya status wni dg yg punya status wni...? Sementara yg punya stsatus wni hak2nya dikebiri</t>
  </si>
  <si>
    <t>Mgkn sudah.... Tp seprtinya blm ada WNI yg kena... RT @jansen_jsp: 1. Twitt refleksi terkait Corona. Minimal utk saya pribadi dan keluarga. Saking besar dan banyaknya pintu masuk, Negara kita ini tdk terlalu baik soal early warning system. Baik di soal kesehatan dll. Saya kuatir jangan² virus Corona ini sdh ada di Indonesia tp belum terdeteksi.</t>
  </si>
  <si>
    <t>Pak Presiden @jokowi , Pak Wapres @Kiyai_MarufAmin mohon benar-benar pertimbangkan utk TIDAK MEMULANGKAN anak2 ISIS ex WNI. Siapa yg dpt menjamin mereka tdk akan jd buas stlh begitu byk &amp; kuatnya doktrin yg diberikan ISIS pd mereka. #TolakAnakISISKembali #TolakAnakISISKembali RT @wahhabicc_jabar: GAK USAH banyak CINGCONG pake segala PERLINDUNGAN ANAK bagi anak² ISIS! Kamu keluar rumah pake kendaraan brenti di lampu merah, PLOTOTIN TUH MATA! LIHAT Anak² mau pilih dibawah/diatas umur terserah klean! DIMANA PASAL PERLINDUNGAN ANAK? @KPAI_official</t>
  </si>
  <si>
    <t>@ISIS_Balik_NO @SahabatSaber Dua kata dong "PECAT" dan "PENJARA"</t>
  </si>
  <si>
    <t>@detikcom WNI yg setia Pancasila. Hellaaaw 😂</t>
  </si>
  <si>
    <t>RT @idntimes: Jumlah terbanyak di Jawa Timur, yaitu 68 orang</t>
  </si>
  <si>
    <t>@WahabisLokal yg saya bingung kenapa PKS sibuk dan heboh banget pengen pulangin ISIS ini sih? Ada apa sebenarnya?</t>
  </si>
  <si>
    <t>RT @Kurus_Tulus: #JumatBerkah ya Allah Swt jauhkanlah negeri kami dari terkaman ISIS, amin yra</t>
  </si>
  <si>
    <t>@plesenamduwa @ujarNanda @telormatasapi00 @chokysijabat @MohammadSahrul @dhynug @TirtoID Mas, kalau menurut saya, yang dilakukan ISIS itu sudah termasuk keluar negara karena bertentangan dengan UU no 12 tahun 2006 pasal 23 poin d, e, f, i.. Itu opini saya dungs, ya terserah saya.. Mas tetap dengan opini mas juga gapapa yang pasti pemerintah sudah mengambil langkah</t>
  </si>
  <si>
    <t>RT @IxNdheso: Dana tab diterima oleh ANGGA DIMAS dari HASI yg ternyata ANGGA DIMAS adalah Anggota Teroris Al Qaeda (seperti yg dirilis PBB) Dana tersebut oleh HASI dikirimkan ke IHH yg merupakan LSM terbesar di Turki sekaligus penyuplai senjata &amp; alat berat ke para Mujahid &amp;amp; ISIS di Suriah</t>
  </si>
  <si>
    <t>@elHurryKoRn @FerdinandHaean2 Isis itu buatan Zionis Syiah...</t>
  </si>
  <si>
    <t>@tempemendoanGL @jokowi Eks WNI pro ISIS sdh final.. Tdk ada tmpat bagi mrk di NKRI..</t>
  </si>
  <si>
    <t>selamat pagi sarapan chapatti + kopi , lupan ex wni hahaaaa da yg bisa nambahin🤣🤣🤣🤣</t>
  </si>
  <si>
    <t>RT @KemenkesRI: Siang tadi berlangsung konferensi pers mengenai #coronavirus, langkah pencegahan bagi WNI di RRT dan langkah penanganan di dalam negeri bersama Sekretaris @ditjenpppl Ahmad Yurianto serta Plt Jubir @Kemlu_RI Teuku Faizasyah di Kantor Kemlu, Jakarta (27/1).</t>
  </si>
  <si>
    <t>RT @RadioElshinta: 238 WNI yg menjalani observasi di Natuna dalam kondisi sehat dan dipulangkan pada Sabtu (15/2), benarkah Indonesia bersih dari virus Corona? Simak! penjelasan Sekretaris Direktorat Jenderal Pencegahan dan Pengendalian Penyakit, Ahmad Yurianto. Streaming:</t>
  </si>
  <si>
    <t>RT @Kemlu_RI: Penyataan Pers Menteri Luar Negeri mengenai Rencana Evakuasi WNI dari Wuhan, dapat disimak melalui link:</t>
  </si>
  <si>
    <t>RT @restuachill: Jakmania pada umumnya: Kalo Klok ntar jadi WNI, kira-kira slot pemain asingnya bakal diisi siapa yak? SepakbolaJakarta:</t>
  </si>
  <si>
    <t>238 WNI yg menjalani observasi di Natuna dalam kondisi sehat dan dipulangkan pada Sabtu (15/2), benarkah Indonesia bersih dari virus Corona? Simak! penjelasan Sekretaris Direktorat Jenderal Pencegahan dan Pengendalian Penyakit, Ahmad Yurianto. Streaming:</t>
  </si>
  <si>
    <t>RT @SusaptoIrwan: @C_AjiMahameru52 @jokowi eks ISIS dgn dgn eks PKI lbh bahaya mana ya? Maaf cm nanya jd tlg di jawab tanpa hrs memaki (cm pengen tau perbandingannya aja) 🙏🙏</t>
  </si>
  <si>
    <t>RT @Saefudi76926229: Siswa SMP dibully sampe jarinya diamputasi di Malang, KPAI diam.. Siswi SMP disabilitas dibully sampe dianiaya di Purworejo, KPAI juga diam.. Giliran urusan anak ISIS eks WNI, KPAI tiba-tiba bersuara kencang Ada apa ini? Lembaga yg sudah disusupi kadrun dan curut khilafah👎👎</t>
  </si>
  <si>
    <t>@detikcom Karena WNI tak ada yang naik kapal pesiar itu</t>
  </si>
  <si>
    <t>RT @haro_arnold: Gamtung begundal2 ISIS Gantung donatur2 ISIS Basmi habis suporter2 ISIS Jika tidak Maka mereka pasti MEMBANTAI Kita 🇲🇨Tetap Pancasila🇲🇨❤️🙏 Tetap Bhineka Tunggal Ika #TindakTegasIntoleran #TindakTegasIntoleran #TindakTegasIntoleran #TindakTegasIntoleran #TindakTegasIntoleran</t>
  </si>
  <si>
    <t>@Aryprasetyo85 @ISIS_Balik_NO Kalau di awal berbohong maka akan berbohong berulang ulang untuk menutupi kebohongan yg dilakukan di awal, sudah gitu aja</t>
  </si>
  <si>
    <t>@tjhinfar21 @LemahAbangJKW2P @hnurwahid @MardaniAliSera @jokowi Kalo org2 PKS merasa terketuk hati nuraninya silahkan kirim kader2nya kesana. U menjadi guru ato tukang masak disana. Dn PKS bs menggelontorkan dana u 600 sekian org tsb u memastikan mrk tdk kelaparan. Tp menekan pemerintah mk akn berhadapan dg mayoritas WNI setia NKRI.</t>
  </si>
  <si>
    <t>RT @kenhans03: @UKI_djayengrono @fadlizon ooo..ini knp dia ngotot untuk menerima Eks ISIS..</t>
  </si>
  <si>
    <t>@vidalavidah @ujarNanda @plesenamduwa @chokysijabat @MohammadSahrul @dhynug @TirtoID ketika mbknya nanya hak exisis itu apa sih? ya banyak, skrng sy nanya. apa saja sih hak kewarga negaraan yg mbk punya? maka exisis juga memiliki hak yg sama seperti mbknya. knp? karna mrk adalah wni yg sah menurut hukum, bkn mnrt sy, mrk, atau mbknya :)</t>
  </si>
  <si>
    <t>Publik Pertanyakan Beda Perlakuan WNI Eks ISIS dan Reynhard Sinaga, Apakah Status Kewarganegaraan Juga Dicabut? .</t>
  </si>
  <si>
    <t>Ma’ruf Sebut Deradikalisasi Tak Mudah, Lebih Aman ISIS Eks WNI Tak Dipulangkan</t>
  </si>
  <si>
    <t>@izharchaniago @kangsemproel ISIS di Suriah menyerang muslim sunni &amp; mujahidin . Contoh kecil : Mereka menaruh truk bantuan air bersih (dipasangi bom) ke permukiman penduduk ketika warga mendekat bom meledak. Mereka menaruh bom dibelakang tempat Imam ketika sholat jum'at</t>
  </si>
  <si>
    <t>ISIS tentara negara mana pak? Coba disebutkan letak negara nya pak, supaya kita tau.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</si>
  <si>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@jr_kw19 ISIS bisa menjadi Sel Tidur yg Mematikan di kemudian hari.</t>
  </si>
  <si>
    <t>@haikal_hassan Beh redaksinya yg utuh dan jangan sepotong2. di @ILCtv1 kalau ngga salah pernah ada kitab suci dibilang fiksi. redaksinya saya belum terlalu jelas. yg jelas sableng "Reuni" ada di youtube ada habib teriak2 bunuh seseorang tanpa hak dan dia juga ada se..r kelihatannya dengan ISIS.</t>
  </si>
  <si>
    <t>RT @vivanewscom: Sebut Eks WNI, Jokowi Aminkan Klaim ISIS Sebagai Negara Berdaulat  #vivanews</t>
  </si>
  <si>
    <t>RT @tempodotco: Menteri Mahfud MD mengatakan keputusan untuk tidak memulangkan WNI yang diduga pendukung ISIS didasarkan pada hukum tertinggi.</t>
  </si>
  <si>
    <t>@andy_nomicin Lucu ya...anak2 ISIS bs dibina Lah nonton cap gomeh aja di denda 30k</t>
  </si>
  <si>
    <t>@jokowi Sy heran, kok berita di media2 menyebutnya "ex isis"..? Bukannya mereka2 itu masih menjadi anggota isis? Klo ex, berarti bekas dong...? Klo mnurut sy, mereka2 itu "ex WNI"</t>
  </si>
  <si>
    <t>@dusrimulya @mohmahfudmd Isis angkat sejata ngajak perang uny bikin sistem khillafah itu namanya tentara. Mbok kiro Kuwi karang taruna opo..</t>
  </si>
  <si>
    <t>Semuanya di kembalikan ke UUD,1945 amandenen 4 semua WNI berhak untuk menjadi warga negara ASING dan suatu saat bisa kembali sebagai WNI,semua menyalahi Lexspesialis batal dgn sendirinya inilah ngra harus hadir rsiko apapun negara punya segalanya kmbli ke SISTEM dan TATANAN HUKUM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</si>
  <si>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@DayatPondok @mohmahfudmd Knp yg udh ikut isis minta dipulangin????? Otak dipake bos</t>
  </si>
  <si>
    <t>@addiems Tolak eks ISIS Tolak Radikalisme... Save NKRI..</t>
  </si>
  <si>
    <t>@Aryprasetyo85 @ISIS_Balik_NO Tinggal dijemput @DivHumas_Polri Pasal Pemalsuan dokumen dan illegal logging</t>
  </si>
  <si>
    <t>@black__valley1 Itu sekolah agama loh bkn sekolah umum @KPAI_official diam pura2 g tau ato buta dgn ini Ini yg lebh penting diurusin bkn eks WNI kombatan ISIS</t>
  </si>
  <si>
    <t>@ISIS_Balik_NO @Aryprasetyo85 Nuding pak jokowi pembohong, ternyata junjungannya lebih pembohong dari pembohong</t>
  </si>
  <si>
    <t>@anditoaja Kencing onta masih lebih baik dari pikiran anda, ISIS ya ISIS...isis bukan arab karna mereka bentukan yahudi n amerika.</t>
  </si>
  <si>
    <t>Daftar WNI dari Wuhan yang diobservasi di Natuna - ANTARA News Jawa Barat</t>
  </si>
  <si>
    <t>@detikcom Ada apa yah ngebet amat PKS mau pulangin eks ISIS.....? Jelas-jelas teroris... hayo ada apa coba?</t>
  </si>
  <si>
    <t>Kita bahasnya dlm konteks Hukum dan Perundangan gak ? Kalau berbasis Perundangan, maka siapapun yg Berikrar setia, menjadi Tentara apalagi Berperang untuk Negara atau Kelompok lain, otomatis sudah kehilangan status WNI.. Kalo bicara kemanusiaan utk anak, itu konteks lain. RT @arfibambani: Kewarganegaraan tidak semata berdasarkan paspor. Kalau begitu banyak warga kita stateless jadinya. Poinnya materiil spt Anda ungkapkan, angkat senjata buat negara lain. Namun anak2 tak masuk kategori ini krn tdk under consent.</t>
  </si>
  <si>
    <t>@RizmaWidiono Kita persilahkan PKS pergi ke Suriah sana dan rawatlah anak² ISIS eks WNI di sana tapi jangan sekali² berpikir untuk memboyongnya ke tanah air.</t>
  </si>
  <si>
    <t>Negara mereka itu ya ISIS, itu yg bertanggung jawab. Ya bapak KPAISIS RT @AhlulQohwah: Di Malang anak dibully sampai patah tangan anteng, di Purworejo anak perempuan dianiaya anteng. Giliran anak ISIS suaranya kenceng.</t>
  </si>
  <si>
    <t>RT @Aryprasetyo85: Setelah proses USG dan Penyehatan Akhir nya Pohon yang Jadi Korban Revitalisasi Monas Dijadikan Furnitur👏 Pohon yang ditebang di kawasan Monas bakal jadi furnitur. Dengan jenis pohon trembesi, mahoni dan tabebuya. Padahal, jenis pohon itu punya nilai yang tinggi di pasaran.</t>
  </si>
  <si>
    <t>ternyata FADLI ZON termasuk salah satu donatur ISIS RT @samhudibae: ADA APA DENGAN FADLI ZON Sempat terpikirkan kenapa Fadli Zon begitu ngeyel bersuara menginginkan eks WNI ISIS pulang ke Indonesia..? Ternyata Fadli Zon salah satu donatur untuk Pemberontakan ISIS di Suriah. #TindakTegasIntoleran</t>
  </si>
  <si>
    <t>@donopradana kan dapet duit dr isis kalo dr anak yg di bully ngga dapet apa" dr ortu nya</t>
  </si>
  <si>
    <t>@innovesian Duluuu, ada pelajaran Indonesia mengakui kewarganegaraan orang yg lahir di Indonesia, dr ayah ibu WNI, otomatis adalah WNI. Dan klo gak salah, misalnya warga negara ganda, maka pd umur 18thn baru dia bisa menentukan mau kemana.</t>
  </si>
  <si>
    <t>@vidalavidah @plesenamduwa @telormatasapi00 @chokysijabat @MohammadSahrul @dhynug @TirtoID Dengan mereka membakar passport bearti hak menjadi WNI hilang gitu ya?</t>
  </si>
  <si>
    <t>Jangan habiskan energi untuk memikirkan ex ISIS.... biarkan mampus di sana... RT @5Y5_one_70: Wacana Pemulangan mantan Teroris ISIS.. Monggo di simak biar GK pekok bin goblok!. #TolakAnakISISKembali Paham &amp; ngerti ora sooon?..,</t>
  </si>
  <si>
    <t>Pukulan telak bagi @fadlizon yg ngeyel mendatangkan anggota Isis eks WNI, argumen fadli hanya berdasarkan subyektivitas tdk punya landasan hukum yang kuat. @fadjroeL</t>
  </si>
  <si>
    <t>RT @Fahrihamzah: Habis talk show @OfficialiNewsTV bersama @irakoesno Tadi mbak @tika_herlambang memberikan saya data percakapan socmed bahwa masih ada sekitar 10% netizen yang masih anggap saya kader PKS padahal sy sudah dipecat dan sekarang lagi nagih Rp. 30 Milyar..😂😂 doakan cepat cair ya.😀</t>
  </si>
  <si>
    <t>Jumlah terbanyak di Jawa Timur, yaitu 68 orang</t>
  </si>
  <si>
    <t>@vidalavidah @plesenamduwa @telormatasapi00 @chokysijabat @MohammadSahrul @dhynug @TirtoID Kalo lu bicara cuma nurutin emosi sama mau lu doang, ya jadi sekarepmu dewe. Ini kan bicara soal peraturan yg ada di negara kita. Ya sempit lah otak mu, orang ngomongin hak kok disebut pro isis. Relate nya dimana?</t>
  </si>
  <si>
    <t>Akan kembali ke masyarakat, Kemenkes pastikan WNI dari Natuna sehat</t>
  </si>
  <si>
    <t>@Aryprasetyo85 @My_LoveNebe @cintada17 @AlvinoLulu @NannyAlexendry @Namaku_Mei Pengaruh ISIS kah?</t>
  </si>
  <si>
    <t>238 WNI Masih Diobservasi di Natuna, 1 Berasal dari Lampung</t>
  </si>
  <si>
    <t>ISIS itu bukan sebuah negara berdaulat, beda dengan Timtim &amp; banyak aktivis yg suport merdeka. #Japrak Usil melihat bahwa separatis di Indonesia jg berbahaya bahkan membunuh, tl main politik 2 kaki. #Mari kita melihat kalau sentimen politik hanya dipakai untuk kekuasaan belaka</t>
  </si>
  <si>
    <t>@Aryprasetyo85 Pemrov mencla mencle</t>
  </si>
  <si>
    <t>RT @woelannnn: Pemerintah mempunyai tanggung jawab keamanan kpd 260 juta penduduk Indonesia. Itu yg utama. Dan pemth tdk punya rencana memulangkan orang2 yg ada disana ( ISIS ex WNI ) termasuk anak2 ISIS pastinya. Jelas ya !! #TolakAnakISISKembali</t>
  </si>
  <si>
    <t>RT @Aryprasetyo85: Bohong berjamaah! Wan bacot bohong ttg ijin F e di monas Anak buah nya bohon ttg pohon di tebang di jadikan funitur blg nya di pindahkan!</t>
  </si>
  <si>
    <t>@mohmahfudmd Secara tidak langsung prof mengakui ISIS sebagai sebuah negara? Tentara ISIS adalah tentara dalam pengertian tentara sebuah negara?</t>
  </si>
  <si>
    <t>@kumparan Gak ngerti ya jalan pikiran Hidayat Nur Wahid ini. Gimana bisa dibilang gak terlibat dgn isis sementara mrk dgn tegas mengatakan mereka bergabung dgn ISIS ? Meski gak terlibat pembunuhan, tp dgn bergabung ke ISIS itu artinya mendukung apa yg dilakukan ISIS. MAU KEMANA PAK ??</t>
  </si>
  <si>
    <t>@mohmahfudmd pulangkan wanita dan anak2 eks ISIS.. krn mereka korban...</t>
  </si>
  <si>
    <t>Semoga WNI tidak terjangkit virus ya, Amin. Tapi kok ya tetap dimana-mana Mie Instan selalu siap antar dan jaga (SIAGA), hehe 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</si>
  <si>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@danielht2009 Yg dimaksudnya mungkin anggota intelijen / dinas rahasia ISIS, demi penyamaran maka tidak perlu membakar paspor dan tidak perlu terlibat dalam pertempuran?</t>
  </si>
  <si>
    <t>Di ANAL lisa dl mas kalo bacot soal ISIS ..kalo saya isis tuh buka baju pas keno angin RT @kamuusiapaaaaaa: @AhlulQohwah Logikanya gini aja mas, ada anak yg ayah nya membunuh, apakah dia seorang pembunuh? Apakah dia tak berhak mndapatkan perlindungan? Tentu berhak!</t>
  </si>
  <si>
    <t>yg mempertanyakan "emang isis itu negara ya? kalo ikut isis kok langsung hilang kewarganegaraannya" halo pak/bu, mereka bergabung dgn "tentara asing", asing kan GA mesti bentuknya negara, coba deh cek KBBI asing artinya apa. kesel.</t>
  </si>
  <si>
    <t>RT @elHurryKoRn: @N1ngW4ng1 @GfPlat Aneh2 aja negoisasi dg kok dg isis Nih colokin matanya Pks 👇🏽👇🏽</t>
  </si>
  <si>
    <t>@SoundOfYogi Sy ngeliat opsi pemulangan masing-masing isiser adalah cara pelemahan isis secara keseluruhan. Pemisahan antar generasi demi kemudahan brainwash alias biarkan bapak ibunya di sana sedang anak2nya bawa sini</t>
  </si>
  <si>
    <t>@aldinalsya @Bronktho @AtikaFaya Kluarga u blm ada yg jd korban mati hasil karya isis ya?🤭🤭🤔</t>
  </si>
  <si>
    <t>@GamaelBen @salahsambungya Komisi Perlindungan Anak ISIS 🥴🥴🥴</t>
  </si>
  <si>
    <t>@WagimanDeep @KPAI_official @ganjarpranowo @KPAI_official MEREKA ISIS Eks WNI. Ingat2 yaaa. Bukan WNI....!!!!</t>
  </si>
  <si>
    <t>Anak-anak anggota ISIS juga bakal calon teroris. Ngapain juga diurusin. Kurang kerjaan banget yg begituan ditanyain. @NoHumanRightforISIS families. Shot their head all</t>
  </si>
  <si>
    <t>Si F. Zonk ga koar2 minta mantan WNI dipulangin ke NKRI buat bantuin kadrun? Heran, orang tidak bermutu msh jd anggota dewan perwakilan parpol🤣 RT @tempodotco: Sejumlah anggota Dewan Perwakilan Rakyat mengapresiasi keputusan pemerintah tak memulangkan WNI eks ISIS ke Indonesia.</t>
  </si>
  <si>
    <t>WNI yang Dikarantina di Natuna Dipulangkan Sabtu Ini</t>
  </si>
  <si>
    <t>@SahabatSaber Uda terpapar Isis itu</t>
  </si>
  <si>
    <t>RT @GamaelBen: @salahsambungya KPAI lebih suka urus anak2 ISIS !!</t>
  </si>
  <si>
    <t>@dusrimulya @mohmahfudmd Mau bela ISIS..? Minggatooo</t>
  </si>
  <si>
    <t>@Airin_NZ Kita berusaha keras cegah virus Corona masuk ke Indonesia, mengapa virus ISIS kita masukkan? Virus ISIS jauh lebih biadab.</t>
  </si>
  <si>
    <t>RT @ANDRE_OCTA_: Tolak repatriasi 689 FTF kombatan ISIS eks WNI! @jokowi @PolhukamRI @mohmahfudmd</t>
  </si>
  <si>
    <t>Sekarang anda bandingkan: - orang dewasa/remaja cukup umur, yang mengetahui isis bagaimana, dan tetap memilih untuk bergabung - anak2 yang tidak tahu isis bagaimana, entah karena dipaksa orang tua, maupun terlahir di sana, sehingga mau tak mau tumbuh dalam lingkungan tersebut.</t>
  </si>
  <si>
    <t>Hmm... indo-twitter secara umum nolak baliknya anggota2 dewasa isis, dan itu bagus. Yg kagak itu yg mikir anak2 bisa dipaksa dilingkarin bersama mereka.</t>
  </si>
  <si>
    <t>@salahsambungya KPAI lebih suka urus anak2 ISIS !!</t>
  </si>
  <si>
    <t>Negara yg mana yg harus berynggung jawab ? Krn Kewarganegaraan Anak dan passport Anak dibawah umur mengukuti Status Kewarganegaraan Orangtuanya. Bila Orangtuanya menghapus kewarganegaraan RI-nya, otomatis Anak tsb juga tidak punya status WNI.. Yopora ? 😁 RT @arfibambani: Anak-anak tak masuk kategori ini krn dianggap tidak punya consent. Anak-anak yang ikut saudara atau orang tua ke Syria harus dipulangkan. Itu hak asasi manusia. kewajiban negara.</t>
  </si>
  <si>
    <t>@AhlulQohwah @BadjaNuswantara Analoginya jauh, pencuri jg menyadari perbuatannya jahat makanya dia tdk mau jd pencuri juga, beda dg angt ISIS Meraka meyakini yg mereka lakukan benar makanya mereka mau anaknya jg ikut melakukan.</t>
  </si>
  <si>
    <t>RT @MakNyus_xx: @Antono79158001 @LusiHQ @DavidRuslie8 @jokowi @mohmahfudmd @KomnasHAM Saya bukan org yg baik... Dan saya MENOLAK pemulangan mereka dan juga ,eks Kombatan ISIS bukan saudaraku Saudaraku adalah mereka yg masih Cinta Negri Ini... NKRI,PANCASILA DAN BHINEKA TUNGGAL IKA</t>
  </si>
  <si>
    <t>Siswa SMP dibully sampe jarinya diamputasi di Malang, KPAI diam.. Siswi SMP disabilitas dibully sampe dianiaya di Purworejo, KPAI juga diam.. Giliran urusan anak ISIS eks WNI, KPAI tiba-tiba bersuara kencang Ada apa ini? Lembaga yg sudah disusupi kadrun dan curut khilafah👎👎</t>
  </si>
  <si>
    <t>@V4nn @smallmelville @Wawanda @dusrimulya @mohmahfudmd Dalam kurun waktu tertentu itukan ybs mengajukan kepulangan sebagai bentuk pernyataan masih sebagai WNI</t>
  </si>
  <si>
    <t>@Verbum_Ang @mohmahfudmd Secara hukum ga ada 1 negarapun didunia yg akui isis sbg Negara</t>
  </si>
  <si>
    <t>RT @Penghianat__: Yupps BetuL 👍 Mereka eks WNI. Jadi gak ada alasan bagi pemerintah untuk memulangkan mereka. #TolakAnakISISKembali #TolakAnakISISKembali #TolakAnakISISKembali #TolakAnakISISKembali #TolakAnakISISKembali #TolakAnakISISKembali #TolakAnakISISKembali #TolakAnakISISKembali</t>
  </si>
  <si>
    <t>@jokowi Setuju sekali . Mereka keluar untuk perang di negara laen Untuk isis .</t>
  </si>
  <si>
    <t>@AnakKolong___ @KPAI_official KPAI suka bikin teror aja nih di negaramu ini pak @jokowi , tutup aja lembaga unfaedah ini pak, spt lembaga2 unfaedah lainnya! Kmrn teror masalah bulutangkis, skrg ISIS, pdhl gajinya dri APBN, dri pajak kolektif, bkn hsl keringat nenek moyang komisionernya...</t>
  </si>
  <si>
    <t>Komisi Perlindungan Anak Isis Kalau disingkat jd? #TolakAnakISISKembali</t>
  </si>
  <si>
    <t>@ujarNanda @plesenamduwa @telormatasapi00 @chokysijabat @MohammadSahrul @dhynug @TirtoID Hak2 eks ISIS yang mana? Mereka sudah keluar dari negara ini kok nuntut hak? Gimana dengan hak-hak para korbannya? ya silahkan kalau mau berjuang untuk para eks ISIS itu mau siapa pun itu (kalau bisa &amp; sesuai aturan). Otakku sempit? Iya menurut mu karena ga sependapat dgn mu 😂</t>
  </si>
  <si>
    <t>@mohmahfudmd Yang jadi pertanyaan ISiS itu negara atau bukan kalau WNI yang ikut berperang bersama tentara asing</t>
  </si>
  <si>
    <t>RT @WagimanDeep: Wktu kunjungan di RS Moerwadi Pak @ganjarpranowo mliyat siaran tipi sual pasukan ISIS..bliyow miris kerna bnyak yg misih2 anak2, Ane jugak klo ndidik laskar sedini mungkin pak, biyar klo gede militan nya kga diraguken ane prentah suwiping korden warteq lsg capcus kga pake nanya</t>
  </si>
  <si>
    <t>@jokowi akhirnya putuskan, mereka yang setia pada ISIS, otomatis akan kehilangan kewarganegaraannya sehingga mimpi mereka untuk kembali ke Indonesia akan punah karna status kewarganegaraannya akan dihapus. Baca selengkapnya..  #MataMataPolitik #ISIS</t>
  </si>
  <si>
    <t>Partai yg satu ini beserta dkk mengapa begitu ngotot kepengen memulangkan eks WNI ISIS k NKRI, sudah terbukti mereka2 tdk Cinta NKRI ingatnya sebatas pas mereka lagi sengsara saja RT @N1ngW4ng1: Maafkan.. Sy sering tdk setuju dg usulan2 partai ini. Kamu bgmn? Proses psikologis utk mrk itu rumit. Kita mampu? Hidden agenda kah? 🙄😑 #TolakAnakISISKembali ** Presiden PKS Sohibul Iman meyakini anak2 WNI eks ISIS yg dipulangkan bisa dibina kembali.</t>
  </si>
  <si>
    <t>@N1ngW4ng1 Hiar mreka aja yg ke suriah pulangin si isis...skalian aja ketua fekaes ksana....</t>
  </si>
  <si>
    <t>RT @makLambeTurah: Anak2 ISIS ini mana bisa dipisahkan dari Ibu nya. Jgn sampai negara berdosa memisahkan anak &amp; ibunya. jadi Ibu harus ikut. Trus suami ga boleh ikut? Loh, jgn sampai negara berdosa memisahkan seorang istri dari suaminya. jadi suami jg harus ikut🙈 Nah loh, jd mending gausah SEMUA!</t>
  </si>
  <si>
    <t>Selesai Observasi, WNI di Natuna Akan Dibawa TNI AU ke Jakarta</t>
  </si>
  <si>
    <t>@AREAJULID Lalu KPAI bersuara ketika anak2 ISIS eks WNI tidak akan dipulangkan, saat ada kasus kek gini di dlam negeri malah diem2 bae</t>
  </si>
  <si>
    <t>Anak anak isis di latih menembak...untuk berjihad. Spt ini mau di pulangkan ke Indonesia?? Huh!!</t>
  </si>
  <si>
    <t>@DTanjung15 @oroorodowo40 Buang ajah ke dalam sumur dia, ngapain orang isis suruh balik ke Indonesia, mereka sendiri yang mau jadi isis kok situ yang repot mau memulangkannya.</t>
  </si>
  <si>
    <t>@kangsemproel @DumaySyuhada Kang, berarti orang Indonesia yang bergabung dg isis di Suriah sekarang itu masuk ke pembela Assad (jadi pasukannya Assad) begitu ya atau bagaimana ?🙏</t>
  </si>
  <si>
    <t>@shinichikudo991 di surabaya itu cuman simpatisan isis lho... bagaimana dengan anak2 dan ibu dan ibu2 yg biasa liat leher digorok?</t>
  </si>
  <si>
    <t>@IMauludin10 Bukan melindungi anak bangsa, tapi mau melindungi anak bangsat eks ISIS</t>
  </si>
  <si>
    <t>@AhlulQohwah @BadjaNuswantara Betul.... buktinya nggak ada maling training anaknya atau masukin anaknya ke sekolah maling. Tapi orang tua ISIS, dengan semang hati masukkin anaknya ke sekolah ISIS, belajar perang, belajar menggal, belajar bom</t>
  </si>
  <si>
    <t>@CNNIndonesia @CNNIndonesia ini membuat narasi seakan2 ISIS ex warganegara manapun berhak pulang jampung. Ada apa?</t>
  </si>
  <si>
    <t>@qronoz @yunartowijaya Bukan WNI eks ISIS tapi ISIS eks WNI</t>
  </si>
  <si>
    <t>@mohmahfudmd Gini hari masih ada yg belain ex isis ? Kalo bukan politikus, penipu penjual agama yaah pasukan begonya yg senang ditipu pake agama. Mmg mereka mata pencahariannya dari seputaran jual agama</t>
  </si>
  <si>
    <t>@vidalavidah @plesenamduwa @telormatasapi00 @chokysijabat @MohammadSahrul @dhynug @TirtoID Kesimpulannya, yg berargumen dukung hak2 exisis dibilang pro isis. Termasuk golongan kadrun. Otakmu sempit sekali mbak. Dunia isinya bukan cuma kadrun dan cebong.</t>
  </si>
  <si>
    <t>@dusrimulya @mohmahfudmd Okelah saya jg ga setuju ISIS disebut negara, lalu jika demikianlah berarti mereka itu pemberontak dong ?</t>
  </si>
  <si>
    <t>@eko_kuntadhi Judulnya saja SALAH! Yg benar adalah Anak-anak ISIS ex WNI !!! Nggak perlu urusi anak2 orang lain, baiknya urusi anak2 WNI yg masih butuh KPAI, semoga sadar semuanya, amin🙏</t>
  </si>
  <si>
    <t>@RadioElshinta Sudah bukan WNI berarti WNA, ngapain kita very sibuk Pak. Mereka punya sendiri lepas status WNI. Ngurus yang WNI saja Pak banyak yg masih miskin .</t>
  </si>
  <si>
    <t>Yang salah : WNI ex-ISIS Yang benar : ISIS ex-WNI #TolakAnakISISKembali #AwasAntek2ISIS #TolakEksWNIproISIS</t>
  </si>
  <si>
    <t>@aewin86 @ISIS_Balik_NO @aniesbaswedan Dapurmu cuk</t>
  </si>
  <si>
    <t>@salahsambungya @herlambang_tan GILA...... ISIS memang GILA...!!! Tapi.. yang gila itu JIWAnya bukan OTAKnya. ISIS punya otak CERDAS maka bikin "pendidikan Anak-ISIS-Jihadist" secara lebih hebat dp MILITER negara mana pun. &gt;Segitu GILAnya spai orang sedunia tidak mampuPCAYA bhw anakISIS TAK BISA DiPerBAiKi !</t>
  </si>
  <si>
    <t>@AhlulQohwah KPAI(komisi perlindungan anak isis) jd sesuai donk</t>
  </si>
  <si>
    <t>@Ipong68477012 @ruhutsitompul Gw masih ingat thn 2017 ex isis yg diterima kembali di Indo dan udah dpt program pemulihan dan janji cinta Nkri,terus thn 2019 malah mereka bikin bom gereja,kalau kayak gitu lue bilang apa bro ?</t>
  </si>
  <si>
    <t>@nahdlatululama @Helmy_Faishal_Z @hariankompas sebenarnya mereka itu tertipu oleh slogan ISIS dan bendera tauhid, itu di sebabkan karena mereka cinta kpd agama tauhid dan sy yakin mereka menyesal setelah tahu ISIS yg sebenarnya.</t>
  </si>
  <si>
    <t>Soal Anak WNI Eks ISIS, Harus Dilakukan Ada Rehabilitasi Psikologis</t>
  </si>
  <si>
    <t>Kalian simpatisan ISIS @hnurwahid ? RT @detikcom: Presiden PKS Sohibul Iman meminta pemerintah memulangkan anak-anak ISIS eks WNI. Anak-anak itu, menurut Sohibul, dapat dibina di Indonesia. #PKS #ISIS</t>
  </si>
  <si>
    <t>@RyoFahri @I_yaann @evanutama23 @na_dirs knapa ga jadi anggota ISIS? malah ngendon bae dimari enak enakan nerima BLT pemerintah 😓</t>
  </si>
  <si>
    <t>KPAI mulut emberr.. kasus bullying kaga ada tereak tereak... giliran ex WNI malah paling kenceng.. prett lah RT @AnakKolong___: CONGOR @KPAI_official . . Anak² pengungsi jemaah Ahmadiyah di NTB, Anak perempuan dianiaya di Purworejo, di Malang anak dibully sampai patah tangan, kalian BUTA, BISU &amp; TULI. Giliran anak² ISIS CONGOR KALIAN NYARING. . .</t>
  </si>
  <si>
    <t>@AaHermawan16 @AhlulQohwah Masih sakit ati sih yg kasus Djarum kasih beasiswa ke anak malah KPAI nya ribut. Giliran anak isis aja gencar bgt yaallah :(</t>
  </si>
  <si>
    <t>Keputusan Jokowi Soal Status Ratusan ISIS eks WNI Dipertanyakan Gara-Gara Ini</t>
  </si>
  <si>
    <t>@salahsambungya @BadjaNuswantara KPAI ngurusnya ISIS sekarang 😅 bodoamat sama anak muda Indonesia</t>
  </si>
  <si>
    <t>@SINDOnews @mprgoid mendingan pikirin anak yg terlantar di sini ini... mereka sdh gabung isis sdh ada yg ngurus dah lagian sdh jd mantan wni...</t>
  </si>
  <si>
    <t>@kangsemproel @izharchaniago @DumaySyuhada Banyak yg begitu. Yg bela2 ISIS padahal ngerti juga ngga.</t>
  </si>
  <si>
    <t>@RyoFahri @I_yaann @evanutama23 @na_dirs Cecunguk HTI pro isis</t>
  </si>
  <si>
    <t>RT @OnnoGammara09: @wisanggeni_084 Dulu KPAI = Komisi Perlindungan Anak Indonesia,(tp yg bisa kasih Komisi 🤑🤑) Skrg KPAI = Komisi Perlindungan Anak Isis Karepe njaluk dibubarne ae 😜😜</t>
  </si>
  <si>
    <t>Hal ini merupakan dilema. Anak memang seharusnya patuh dan taat kepada orangtuanya. Jangankan tuk pergi "jihad", orang tua pindah kota karena pekerjaan anak juga ikut. Disisi lain, pulangan anak eks WNI pro ISIS, spt menanam bom waktu. #TolakAnakISISKembali</t>
  </si>
  <si>
    <t>@syiahgl @jokowi @KomnasHAM ... apa bedanya yg ini dengan ISIS? beda. mereka WARGA NEGARA INDONESIA. TINGGAL DI INDONESIA.. MANA SUARAMU "MEMULANGKAN" MEREKA?</t>
  </si>
  <si>
    <t>@isiscaetanon uai isis</t>
  </si>
  <si>
    <t>78 WNI di Kapal Pesiar Jepang Negatif Virus Corona</t>
  </si>
  <si>
    <t>@RadioElshinta Daripada ngurusin anak2 Isis ex WNI mending kpai ngurusin anak2 jalanan atau anak2 yg terlantar dan di xploitasi sbg pengemis bahkan psk. Di Indonesia.</t>
  </si>
  <si>
    <t>@rocknrolla1945 @mohmahfudmd ahahaha.....sygnya gue g minat gabung isis tuh 😂</t>
  </si>
  <si>
    <t>Menyoal Urgensi Pemulangan Eks Kombatan ISIS  @mprgoid</t>
  </si>
  <si>
    <t>Breaking news besok: WNI dinyatakan kebal Corona. 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</si>
  <si>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@mohmahfudmd Emang nya isis itu tentara asing om.. Udah ad negara isis Itu cuma pengacau sama kayak di papua Kok yg di papua dan aceh dulu nggak hilang hak warga negaranya</t>
  </si>
  <si>
    <t>Mengadili WNI Pendukung ISIS?</t>
  </si>
  <si>
    <t>@seruanhl @gunoto7 Ga kaget KPAI ngomong gini, seperti juga di kasus Djarum. KPAI itu berkiblat ke luar negeri, saat kasus Djarum dia perpanjangan tangan Uni Eropa, kasus ISIS dia perpanjangan tangan AS. Mereka ga memikirkan Indonesia akan gimana, tapi kepentingan dr luar sana disuarakan keras.</t>
  </si>
  <si>
    <t>RT @vita_AVP: @BadjaNuswantara Pagi jg, mas. KPAI tebang pilih hal kasus anak. Lagian apa KPAI gk mikir jika anak2 ISIS diplgkn ke NKRI sm sj dng memisahkan mrka dr ortunya. Apapun dalihnya, anak seusia mrka msh butuh ksh syg ortunya, terutama ibunya. Biar sj mrka disana sm biangnya. Aq mah BODO AMAT.</t>
  </si>
  <si>
    <t>isis airi iasi sisi aiko 👍👍👍👍👍👍👍</t>
  </si>
  <si>
    <t>RT @noroddien: @detikcom Presiden pks dan rakyatnya saja yg membina anak-anak isis itu di tempatnya sekarang. Jangan bawa mereka ke Indonesia.</t>
  </si>
  <si>
    <t>Dia bangga selfi depan makam Dedongkot Komunis China.. Dia n'fans berat Trump.. Dia ngotot maksa Pemerintah pulangkan COMBATAN ISIS plus anak ISIS .. Pantesan....pantesan...ternyata... cekacekacekaceka🧐🤬 #TolakAnakISISKembali</t>
  </si>
  <si>
    <t>@Mulia07094480 @dwisutiyanti6 @mohmahfudmd Lo ngomentarin Twit Prof. Mahfud kan. Dia Juga Islam ngga setuju mulangin Esx Anggota isis dipulangin. Trs knp lo bilang HAM banyak Kadrun?</t>
  </si>
  <si>
    <t>@BBCIndonesia Ya beda donk.. yg SEKARANG ini pulang karena ISIS KALAH.. coba klo menang... beda cerita lha pasti</t>
  </si>
  <si>
    <t>RT @Repansyahm: @AtikaFaya Hanya karena lihat anak2 dari gerombolan isis ex wni, kpai mengabaikan akibat yg tidak terduga dikemudian hari seperti yg pernah terjadi selama ini dari aksi2 teroris di tanah air.</t>
  </si>
  <si>
    <t>WNI karantina di luar emang harus diperhatikan, tapi jangan lupa melakukan antisipasi kemungkinan terjadi di dalam negeri 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</si>
  <si>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@__Ndaru__ @smallmelville @Wawanda @dusrimulya @mohmahfudmd Semua ad undang" Nya di cabut ato tidak. Kl kaga balik dlm jangka waktu tertentu ya dianggap otomatis bukan WNI</t>
  </si>
  <si>
    <t>RT @kbrisingapura: KLARIFIKASI KBRI Singapura menerima banyak pertanyaan terkait kebenaran informasi yang beredar di masyarakat bahwa terdapat penolakan bagi WNI dan WNA dari Singapura untuk masuk ke Indonesia. Hal tsb TIDAK BENAR. #IniDiplomasi #NegaraMelindungi</t>
  </si>
  <si>
    <t>RT @Frans_Priyo: @detikcom Parte Kadrun Sejati memang antek2 ke isis isinya</t>
  </si>
  <si>
    <t>Jangan sampai anak-anak tersebut malah jadi momok dan bumerang di hari kemudian, sehingga anak-anak ini justru jadi embrio ataupun janin baru generasi penerus ideologi ISIS orangtuanya. #HLKompasiana</t>
  </si>
  <si>
    <t>@RizmaWidiono Saat seruan2 utk berbaiat ke ISIS marak di sosmed, apa yg PKS lakukan? Saat ada uztad yg menyuruh berjihad ke suriah, apa yg PKS lakukan? Kalo dulu anda diam saja, knapa skarang rajin koar2 dan minta pemerintah memulangkan mereka yg harusnya dulu anda cegah keberangkatannya</t>
  </si>
  <si>
    <t>Nah sudah jelaskan...!?</t>
  </si>
  <si>
    <t>#ValentinesDay2020 Anak2 -9thn Isis eks WNI Jadi dilema atas nama kemanusiaa, Belajar dari pemulangan kombatan Afganistan, apa yg terjadi? BOM BALI, HOTEL MARIOT DLL Tlah mengguncang dunia Perekonomian Bali ancor.. Dan korban Nyawa tdk sedikit, #TolakAnakISISKembali</t>
  </si>
  <si>
    <t>RT @ZoelFawzie: Pak @jokowi apakah masih punya keinginan memulangkan anak² ISIS eks WNI..?? Mending mengurus anak² yatim di panti asuhan yg ada di pelosok² NKRI.. #TolakAnakISISKembali</t>
  </si>
  <si>
    <t>Tolak repatriasi 689 FTF kombatan ISIS eks WNI! @jokowi @PolhukamRI @mohmahfudmd RT @BBCIndonesia: Pemerintah Indonesia punya beda kebijakan dulu dan sekarang mengenai pemulangan WNI eks ISIS di Suriah. Bagaimana efektivitas deradikalisasi mereka yang sudah pulang lebih dulu ke Indonesia?</t>
  </si>
  <si>
    <t>@kangmirdja @BadjaNuswantara @AhlulQohwah @BiLLRaY2019 @heniunique @P3nj3l4j4h_id @rizieqdivist @03__nakula @DjanChoek @JsDeyz @Lucky_HS Segera pergi jemput ex ISIS zonk, gw doain semoga lu cepet masuk sorga bareng mereka</t>
  </si>
  <si>
    <t>RT @lawjusticeco: GISS: Jokowi Seakan Akui Kedaulatan ISIS, Padahal Internasional Tidak</t>
  </si>
  <si>
    <t>@tribunnews Eks WNI,bukan eks ISIS</t>
  </si>
  <si>
    <t>RT @KelianBanjar_GK: ISIS Punya Doktrin Taqiyah atau Berpura-pura di Depan Musuh, Pemerintah Diminta Hati-hati, padahal ideologi kebenciannya siap membunuh #TolakAnakISISKembali</t>
  </si>
  <si>
    <t>@garuda1645 @elHurryKoRn @rizieqdivist @Itjen_Kemdikbud Suruh ngajar eks WNI anggota ISIS di Suriah</t>
  </si>
  <si>
    <t>RT @ratu_adil: #Tebak2an Siapakah Pancasilais Gadungan? 1. NU / MUI yang tolak sisi Kemanusiaan WNI Eks ISIS, namun Marah soal Agama Musuh Pancasila 2. BPIP yang sebut Agama Musuh Pancasila karena Bhinneka Tunggal Ika utamakan Kemanusiaan ketimbang Agama Agama vs Manusia God vs King 🌐</t>
  </si>
  <si>
    <t>Usai Jalani Masa Observasi di Natuna, WNI Terobservasi Virus Corona Bakal Diangkut 4 Pesawat TNI</t>
  </si>
  <si>
    <t>@DayatPondok @dytoxs_eddy @mohmahfudmd udah pernah bikin visa belum om?😂 iya kali pas interview tujuan ke luar negeri bilang nya gabung isis😂😂😂😂</t>
  </si>
  <si>
    <t>RT @SammiSoh: Great findings. Ini bukti anak ISIS sgt berbahaya.</t>
  </si>
  <si>
    <t>@akugasukapedes @BBCIndonesia Bisa jd ada info seperti itu... Tolong klu ada boleh di share yg bukan taruhlah ( settingan ). Tentang ISIS yg lainnya menurut versi Njenengan ( Anda ) Tks 🙏🙏🙏</t>
  </si>
  <si>
    <t>@tempodotco Kelompok pengacau &amp; suka memancing dikala air keruh memang bukan hny ISIS</t>
  </si>
  <si>
    <t>@mungkinbegini @syiahgl Hehe kok tau kalo sya bibit isis mbak, pasti paranormal ya, hebat bannget warga plus enam dua ini</t>
  </si>
  <si>
    <t>@detikcom Pak, mereka itu eks wni loh, lagian, apasih tolok ukur mereka supaya dikatakan setia dengan Pancasila? parameternya apa? stop bikin wacana yg akhirnya bisa merugikan lebih banyak orang di Indonesia ini. Isu intoleransi aja sudah bikin pusing, nambahin rencana balikin eks wni 😔</t>
  </si>
  <si>
    <t>@catoer_ndp @oskar_potas @BadjaNuswantara @KPAI_official Komisi Perlindungan Anak Isis</t>
  </si>
  <si>
    <t>RT @mochamadarip: Woi... dari pada urusin Anak2 Teroris ISIS ex WNI mending melindungi anak2 dari perudungan, penyiksaan orang tua, tidak melanjutkan sekolah didalam negri. #TolakAnakIsisKembali #TolakAnakIsisKembali #TolakAnakIsisKembali #TolakAnakIsisKembali</t>
  </si>
  <si>
    <t>@MukhtarLuthfi12 @APLpangeran1 @evisuryanti10 @CANDAdanBISNIS @Dickusnadi1 @zaenalkase03 @SultanAnjar @2024GanjarRisma @periani @MaryanaNunung @edward7011971 @TukangMu @BayuErrianto @JohnIrwan4 @kisszatia @SetiaAdy_p @MOMDian2 @RizkiR4madani @jubrik844 @positive_values @kasrulsani9 @wantahgdn @felixaaf1 @Edward_1smail @LiaIsti1 @Recoignitionwal @eddies_song @wartawankoboi13 @CumiCue @AdigunaAtmaja @Iqbalkuntoro1 @RazkaFaiz @Maranatha_Sibrn @Zulfika35354359 @babegalak1 @Jokoumb64504158 @73hermantjoe @dian_ibunda @GendengHrs @demartinnie @gimbal_keren @aniesbaswedan @arifsamsul_ma @ArifinNkri17 @RD_4WR1212 @AtikahZahidah_ @LalaaLalaa10 @Mikha_57 Hati yg jahat tak perduli itu lawan dan kawan... Isis aja bisa membunuh orang tuanya...</t>
  </si>
  <si>
    <t>Usia emas anak itu 12 tahun pertama. Kita salah membina selama periode itu, kelar sudah kedepannya. Klo anak2 ex WNI yang ISIS selama hidupnya dicekokin begitu, yah kedepannya akan begitu.. susah sohibul.. bengak kali sih.. #TolakAnakISISKembali #ISISGoToHell RT @andy_nomicin: Sohibul meyakini anak-anak WNI eks ISIS itu bisa kembali menjadi anak-anak yang normal, salah satunya dengan diberikan pendidikan yang layak. Banyak anak2 di Negeri ini yg masih layak dididik, ketimbang anak2 eks ISIS. #TolakAnakISISKembali</t>
  </si>
  <si>
    <t>@BBCIndonesia Aku WNI : " Terkait isue : Nasib ISIS asal Indonesia di Suriah (asumsi) " 1. Suriah ok. apa nggak. 2. Mau kembali ( NKRI, UUD45, dan Sifat Bhineka Tunggal Ika serta Pancasila) 3. Waktu masuk kesana visa kunjungan (ndelok ndelok ah ) Atau apa niatnya. ..... Sak jane wis 😪😪😪</t>
  </si>
  <si>
    <t>Isis dan usus.</t>
  </si>
  <si>
    <t>@V_Stone_Kardol @wisanggeni_084 Ahaaaa Ikatan Setan Itu Sadis (isis)</t>
  </si>
  <si>
    <t>RT @RadioElshinta: @KemenkesRI Sesampainya di Jakarta, para WNI dari Wuhan akan diserahkan ke Pemerintah Daerah masing-masing, para prajurit TNI ke Panglima TNI dan crew Batik ke Lion Air.</t>
  </si>
  <si>
    <t>@RadioElshinta Udah berhari-hari kok ngomongin ISIS terus, gak usah dipulangin!!!, tapi, kapan2 ngomongin pembakaran masid juga dong, biar perspektif "Radical" gak hanya tertuju ke Islam.</t>
  </si>
  <si>
    <t>@DayatPondok @mohmahfudmd Berarti 260 juta penduduk yg gak pergi jd ISIS adalah bukti KEBERHASILAN pemerintah dlm menyejahterakan rakyatnya sendiri dan bukti BPIP BERHASIL membina warganya</t>
  </si>
  <si>
    <t>RT @KelianBanjar_GK: Sejarah mencatat anak-anak ISIS, sebagian diduga dari Indonesia, melakukan pembakaran paspor hijau. Masih perlukah pemerintah membahas rencana pemulangan WNI eks ISIS tersebut? Saya rasa tidak #TolakAnakISISKembali</t>
  </si>
  <si>
    <t>@mohmahfudmd Prof oon sejak kapan isis itu negara!</t>
  </si>
  <si>
    <t>meu sambari 🥵🤤</t>
  </si>
  <si>
    <t>RT @andreasharsono: Kiai Said menolak kedatangan kombatan ISIS. Mereka pergi ke Suriah dengan kemauan sendiri. Bahkan, mereka menganggap Indonesia sebagai negara thaghut</t>
  </si>
  <si>
    <t>RT @MakNyus_xx: @mohmahfudmd Selamat Pagi...Bpk. Mhon dengan sangat... Sayangi KAMI wrga negara yg masih cinta setia kpd NKRI , PANCASILA DAN BHINEKA TUNGGAL IKA Jangan Pulangkan Mereka Eks Kombatan ISIS , Baik yg dewasa atau pun yg anak2... Terima kasih Mohon lindungi HAM kami... cc @KomnasHAM</t>
  </si>
  <si>
    <t>RT @MohammadKhafi12: @salahsambungya @maheswararajen1 Biarkan aja di bantai sama pemerintahan Suriah dan saya memohon pada Seluruh Rakyat Indonesia dari Sabang Hingga Merauke untuk menolak Pemulangan Mereka semua sebab mereka uda bukan WNI inget ya mereka membakar Paspor dan Sangat Berbahaya tuk NKRI, kejadian di Surabaya Gimana..</t>
  </si>
  <si>
    <t>RT @Official_Yulian: Komisi Perlindungan Anak Isis</t>
  </si>
  <si>
    <t>@syiahgl @MBIrfan1933 bibit ISIS ya? Kalo jawabanmu kek gini, semua orang atau kelompok yg tertindas ga bakalan dapat keadilan.</t>
  </si>
  <si>
    <t>@V4nn @smallmelville @Wawanda @dusrimulya @mohmahfudmd Tidak ada pembuktian ybs menjadi WNA dan masih tercatat sebagai WNI</t>
  </si>
  <si>
    <t>RT @P3nj3l4j4h_id: Ini yang ingin anak anak isis kembali k indonesia coba disuruh mereka yang pelihara, kali aja kelak mereka yang di gorok oleh anak anak ini.😴 Dikira anak anak ini masih polos kali yaa? Mereka itu sudah sprti bom waktu..😕 #TolakAnakISISKembali</t>
  </si>
  <si>
    <t>@BadjaNuswantara @vita_AVP Badminton yg membangun bangsa disirikin, anak isis yg jago mainin senjata otomatis buat bedilin org lai. dibela...hmmm ada asap ada api</t>
  </si>
  <si>
    <t>Grup Enesis Kirim Bantuan ke WNI di Tiongkok dan Hong Kong</t>
  </si>
  <si>
    <t>utk KKB papua hilang tdk WNI nya prof?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</si>
  <si>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@AnakKolong___ @me_zhu__Yusra @Eureeka__ Aku berharap KPAI pergi ke Suriah dampingi anak ISIS.</t>
  </si>
  <si>
    <t>@arieoz mukanya sama dengan mereka2 yg disuriah, seperti kena paparan teroris ISIS....</t>
  </si>
  <si>
    <t>Namanya Hatf Saiful Rasul,11 Tahun dia meninggalkan sekolah bersama bbrpa gurunya utk bergabung ke ISIS di suriah.. Apakah pemerintah @jokowi masih ingin memulangkan anak² ISIS seperti Saipul Rasul..?? Apakah @KPAI_official masih memperjuangkan anak² teroris utk pulang ke NKRI..?</t>
  </si>
  <si>
    <t>Ptugas Imigrasi: 👮 Isis lovers: 🙉 👮: Namanya sapa mari saya data 🙉: Alhamdulillah kita boleh pulang y pak? 👮: Ya kaga lah lu didata biar pasti gabisa balik hahahaha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</si>
  <si>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Virus corona jiper kalo ketemu WNI RT @CNNIndonesia: Pemerintah Jepang menyatakan sebanyak 218 penumpang kapal pesiar Diamond Princess terinfeksi virus corona. @Kemlu_RI pun menuturkan bahwa 78 orang WNI yang merupakan kru dari kapal pesiar tersebut dalam kondisi sehat dan negatif virus corona.  #CNNIndonesia</t>
  </si>
  <si>
    <t>WNI China Positif Virus Corona Usai dari Bali, Ini Penjelasan Kemenkes</t>
  </si>
  <si>
    <t>@AtikaFaya Hanya karena lihat anak2 dari gerombolan isis ex wni, kpai mengabaikan akibat yg tidak terduga dikemudian hari seperti yg pernah terjadi selama ini dari aksi2 teroris di tanah air.</t>
  </si>
  <si>
    <t>Sedemikian sehingga seiya sekata seirama, sesuai dengan aturan yang berlaku di Indonesia, saat Kim ingin merubah kewarganegaraannya jadi WNI, satu-satunya jalan adalah dengan naturalisasi, karena sebelumnya adalah sebagey sebagey warga Jerman.</t>
  </si>
  <si>
    <t>RT @kangsemproel: @DumaySyuhada @izharchaniago Mereka2 yg sok bela2 in ISIS itu harus tanya langsung ke orang Iraq, secara ISIS mengaku berjuang utk Iraq. Warga Iraq beneran malah benci ISIS dan menyatakan ISIS bukan Islam. Lah kok ada yg gegayaan share pideo dan memuja ISIS sbg jundullah KOPLAK !!!</t>
  </si>
  <si>
    <t>@HafitSetyabudi @mohmahfudmd ISIS itu singkatannya Islamic STATE in Iraq and SYRIA, Ngerti artinya STATE gak?</t>
  </si>
  <si>
    <t>RT @AchmadSyabani7: Di bungkam karena Dungu.!</t>
  </si>
  <si>
    <t>RT @kangsemproel: @DumaySyuhada @izharchaniago Itulah alasannya knp org Iraq benci ISIS dan sngt mengharapkan agar ISIS sgera hancur Akibat issue ISIS rakyat Iraq jadi susah bergerak. Dimana2 jalan diblokir kawat duri dan dibuat checkpoint dgn penjaga bersenjata otomatis. Masuk hotel diperiksa ANJING</t>
  </si>
  <si>
    <t>@detikcom Kamu tuh goblok, klu setia Pancasila pasti cerdas nggak bakalan ikut2an isis, pakai otakmu itulah resiko hidup dgn pilihan msing2</t>
  </si>
  <si>
    <t>Yg komentar pulangkan ISIS ex-WNI skali2 kirim aja ke suriah trus dijadiin budak.. mau kagak? politisisi cem fadli zonk dan mardani serak2 serta teman2nya.. RT @PakarLogika: Saya yakin pendapat @fadlizon dan @MardaniAliSera itu pendapat politis untuk memulangkan eks ISIS. Emang mau bikin gaduh aja. Tapi jika Fadli Zon dan Mardani Ali Sera mau menampung, apalagi sampai mau jadi orangtua angkatnya, saya dukung. #TolakAnakISISKembali</t>
  </si>
  <si>
    <t>@V4nn @smallmelville @Wawanda @dusrimulya @mohmahfudmd Tetap saja, selama status kewarganegaraan masih blm dicabut / dirubah ybs masih tercatat sebagai WNI</t>
  </si>
  <si>
    <t>@mohmahfudmd Kalo ikut teroris macam isis itu sanksinya lebih daripada sekedar hilang mustinya Prof, karena itu termasuk praktek kejahatan bukan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</si>
  <si>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@kumparan ISIS eks WNI kali. Kan dah bakar pasport</t>
  </si>
  <si>
    <t>@ustadtengkuzul PKI udah gak ada... Yang ada tuch ISIS...</t>
  </si>
  <si>
    <t>@papaleomilenial @toasan @mohmahfudmd ISIS itu singkatannya Islamic STATE in Iraq and SYRIA, Ngerti artinya STATE gak?</t>
  </si>
  <si>
    <t>RT @historia_id: Kematian pemimpin ISIS dan DI/TII dipastikan dengan celana dalamnya.</t>
  </si>
  <si>
    <t>@mohmahfudmd Hati-2 dgn keturunan ISIS bikin nasib apes .. #TolakAnakISISKembali</t>
  </si>
  <si>
    <t>@TanYoana @Jean_Aprilia97 Alhamdulillah WNI ya dimanapun kita lahir kita harus ngakuin bahwa kita ini pribumi...🙏</t>
  </si>
  <si>
    <t>@LestariNKRI Siapa sih yg seneng kalo WNA ISSIS eks WNI kembali k Indonesia? Ya itu mmang cr ISSIS utk mengimpor paham idiologinya utk menghancurkan negara asal mrk &amp; yg seneng ya klompk2 mrk yg sepaham dgn ISSIS yg pingin rubah jd negara idiologi khilafah...saat ini mrk diam pr2 gk peduli</t>
  </si>
  <si>
    <t>@mohmahfudmd Narasi mu itu2 saja fud, klu gak isis ya Radikal-radikulin org,tak prnh engkau mmbahas lapangan pekerjaan &amp; sulitnya biaya Hidup dzaman jokowi. (Telak banget video ini mah bagi yg punya otak).</t>
  </si>
  <si>
    <t>@BadjaNuswantara Pagi jg, mas. KPAI tebang pilih hal kasus anak. Lagian apa KPAI gk mikir jika anak2 ISIS diplgkn ke NKRI sm sj dng memisahkan mrka dr ortunya. Apapun dalihnya, anak seusia mrka msh butuh ksh syg ortunya, terutama ibunya. Biar sj mrka disana sm biangnya. Aq mah BODO AMAT.</t>
  </si>
  <si>
    <t>@wisanggeni_084 Kenapa negara harus mengurusi isis eks wni? Mereka kan sudah punya negara zendiri.</t>
  </si>
  <si>
    <t>@ruben_yuanito @MohammadMakruf @PartaiSocmed @SuburBur @RajaAbsolut @muhammadiyah Perasaannya sudah Sensitif banget bapak ini, pikirannya sudah dicampuradukan ketika membahas anak anak EKS wni ISIS yg ditolak masuk kembali ke Indonesia (Ini dugaan yg masuk akal) karena kekecewaan yg berat dipikirannya. 🤗🤗🤗</t>
  </si>
  <si>
    <t>@RizmaWidiono @KomnasHAM Lah bahasanya WNI PRO ISIS???? kalo pro ISIS bukan WNI gitu baru bener, koplak! Otaknya rembes ya???</t>
  </si>
  <si>
    <t>YLBHI minta pemerintah data anak eks WNI ISIS untuk penanganan secara tepat</t>
  </si>
  <si>
    <t>@__Ndaru__ @V4nn @Wawanda @dusrimulya @mohmahfudmd Bukti identitasnya diluar negri sebagai WNI ap?</t>
  </si>
  <si>
    <t>@mohmahfudmd kalo anda katakan isis itu asing, brarti anda mengakui kalo isis itu sbuah negara, bgmn bisa? tdk ada pengakuan apapun bhw isis itu adalah sbuah negara.</t>
  </si>
  <si>
    <t>@zarazettirazr Bsgaimana status kewsrganegaraan OPM yg jelas2 menentang NKRI bandingkan dg ex ISIS yg hanya di LN</t>
  </si>
  <si>
    <t>Sabtu Ini WNI yang Diobservasi di Natuna Dipulangkan, Terbanyak dari Jatim</t>
  </si>
  <si>
    <t>@dusrimulya @mohmahfudmd pengakuan ISIS sebagai negara ga harus dengan adanya gedung kedutaan. sampai hari ini israel juga ga punya kedutaan di indonesia.</t>
  </si>
  <si>
    <t>@AhlulQohwah @mds_amboina SIAPAPN YG INGIN ANAK2 ISIS DIPULANGIN,HRS TNDA TNGANI PRNYTAAN DI DPN POLISI,BHW DIA BRTNGGUNG JWB APAPN YG TRJDI</t>
  </si>
  <si>
    <t>RT @mediaindonesia: Orang-orang yang bergabung dengan kelompok radikal itu secara sadar melepaskan kewarganegaraan Indonesia untuk bergabung dengan IS.</t>
  </si>
  <si>
    <t>@SahabatSaber Guru....TAEKKK, jgn2 didikan isis?? Buang !!! Jgn pakai guru yg otaknya radikal + intolerant !!!!</t>
  </si>
  <si>
    <t>Jadi, status babang Kim sebelum menjadi WNI adalah saudara sebangsa dan setanah-air-nya Oliver Kahn, alias Warga Negara Jerman. Kenapa WNJerman? Karena usia babang Kim sudah lebih dari 18 tahun, tapi belum memilih kewarganegaraan. Begituu~</t>
  </si>
  <si>
    <t>@WR_4AG226 @KPAI_official anak-anak Indonesia yang dibully dan diperlakukan sperti dlm Video☝️☝️☝️tidak kamu urus, koq kalian ribut urusin anak²nya Terrorist ISIS...!!!, sebenarnya ada apa kalian Terrorist ISIS....??? koq sangat peduli</t>
  </si>
  <si>
    <t>@smallmelville @V4nn @Wawanda @dusrimulya @mohmahfudmd Terdata sebagai WNI tidak</t>
  </si>
  <si>
    <t>@Antono79158001 @LusiHQ @DavidRuslie8 @jokowi @mohmahfudmd @KomnasHAM Saya bukan org yg baik... Dan saya MENOLAK pemulangan mereka dan juga ,eks Kombatan ISIS bukan saudaraku Saudaraku adalah mereka yg masih Cinta Negri Ini... NKRI,PANCASILA DAN BHINEKA TUNGGAL IKA</t>
  </si>
  <si>
    <t>Pemerintah Diminta Mendata Anak WNI Eks Isis</t>
  </si>
  <si>
    <t>RT @MrsRachelIn: @AtikaFaya Mending @KPAI_official urus kasus perundungan yg kian marak di sekolah dari pd bela anak2 kombatan isis!</t>
  </si>
  <si>
    <t>@WagimanDeep Pendukung ISIS = teroris = penghianat negara</t>
  </si>
  <si>
    <t>RT @johanadhi: Status ISIS Eks WNI @mohmahfudmd @jokowi @BNPTRI @kangdede78 @budimandjatmiko @zainalamochtar @umaleao @mpujayaprema @AlissaWahid @ariel_heryanto @gm_gm @bdm2502</t>
  </si>
  <si>
    <t>@CNNIndonesia Ex WNI woy!</t>
  </si>
  <si>
    <t>RT @AntonStefanus: @salahsambungya Sudah final kan, pemerintah sudah nyatakan semua ex WNI itu skarang statusnya Stateless ... Tidak diakui kewarganegaraannya oleh Indonesia ... Baik anak, wanita ataupun pria</t>
  </si>
  <si>
    <t>@AnakKolong___ @KPAI_official Kelompok Pelindung Anggota ISIS</t>
  </si>
  <si>
    <t>RT @iamspaceunicorn: @AlanWal39032376 @Metro_TV @jokowi Mengatasi berarti mencegah, tapi mereka yg udah gabung Isis ini sudah terpapar paham radikalisme, dan gak ada yg bisa jamin mereka beneran bakal tobat apa gak. Para korban teroris juga punya sanak saudara yg sedih atas kehilangan mereka...</t>
  </si>
  <si>
    <t>@ustadtengkuzul @jokowi Isis sudah kalah,si zul masih aja koar2...adu domba</t>
  </si>
  <si>
    <t>Apa karena dunia ini terlalu SUMUK jadi org arab sana buat ISIS ?</t>
  </si>
  <si>
    <t>@jr_kw19 Orang2 seperti fadli zon hanya sibuk memikirkn keuntungan buat dirinya sendiri, tidak ada sedikitpun terpikir olehnya tentang bagaimana dgn nasib bangsa ini, yg sekarang aja radikalisme dn intoleran sudah level akut dan pemerintah "mulai kalah", apalgi jika ditambah lg eks isis</t>
  </si>
  <si>
    <t>RT @ruhutsitompul: Presiden RI ke 7 Bpk Joko Widodo tegas menolak memulangkan ke Indonesia dan panggil mereka ISIS EKS WNI bukan WNI EKS ISIS, tapi kenapa Anak Yatim Piatu dibawah 10 thn Pak Jokowi ampuni itu jugakan Anak ISIS EKS Warga Negara Indonesia kok mau dipulangkan ? MERDEKA.</t>
  </si>
  <si>
    <t>@superUnknownnn @Itjen_Kemdikbud @jokowi Untung nya bukan anak saya....masih hidup nggk itu guru nya..??? @KomnasHAM , @KPAI_official mana tindakan nya... Jangan masalah pemulangan ex ISIS aja bacot mu gede...!!.</t>
  </si>
  <si>
    <t>RT @ventustarigan: @AtikaFaya @Ronggolawe02 Dulu anak anak yg dididik di PB Djarum disebut korban, anak anak WNI ISIS juga korban, yg satu diajarkan mengharumkan negara, sementara yang satu lagi diajarkan merusak negara. Mana yg lebih penting diselamatkan @KPAI_official ??</t>
  </si>
  <si>
    <t>@detikcom Setia kepada Pancasila dari menong? udah jelas2 mereka pergi utk berperang mejadi bagian dari ISIS! hadeuh!</t>
  </si>
  <si>
    <t>RT @BromocorahGrCeb: @kamuusiapaaaaaa @AhlulQohwah Tidak untuk ISIS bro...ini ideologi..didoktrin kpd semua anggota dan keluarga... Bahkan lebih berbahaya bila anak2 sudah dlm kondisi ini.</t>
  </si>
  <si>
    <t>RT @Beritasatu: LPSK: Anak dan Istri Eks ISIS Bukan Korban</t>
  </si>
  <si>
    <t>@DayatPondok @dytoxs_eddy @mohmahfudmd Jaman now, manusia lebih percaya diri tampil ke publik untuk memamerkan kebodohannya 😂 Dulu waktu ISIS baru muncul dan masih sangar, kalian bangga2in. Bahkan si imam jumbo yg lg melipir ke Arab pun mendukung ISIS. Sekarang giliran ISIS udh keok, dan pengen balik, beda lagi.</t>
  </si>
  <si>
    <t>RT @namakuJo_han: Pemain sepakbola Radja Nainggolan, bisa gk disebut orang Indonesia? BISA, tp apkh dia WNI? BUKAN. Sama seperti anak2 isis keturunan Indonesia jd jgn sebut mereka WNI, jk kedua ortunya yg sdh dgn sengaja melepas WNInya hny utk bergabung dgn isis, krn pemahaman ideologi yg bodoh.</t>
  </si>
  <si>
    <t>"Min, Kim kan WNI keturunan? Bukan naturalisasi?" Kemarin sempat men-tweet soal meralat status Kim sebagai WNI keturunan. Meluruskan case lagi, tweetnya sudah dihapus, karena misinformasi. Mohon maaf ya :)</t>
  </si>
  <si>
    <t>Mengapa Banyak Perempuan Terpikat ISIS?</t>
  </si>
  <si>
    <t>@aewin86 @aniesbaswedan Ya iyalah.......dapurnya penuh ikan asin Busuk</t>
  </si>
  <si>
    <t>@detikcom Maksudnya kali , kalo eks ISIS itu dipulangkan, yang jelas mereka ini akan menjadi kader partai apa hayo?, nah itu anda tempe...</t>
  </si>
  <si>
    <t>RT @wisanggeni_084: Sekali lagi buat @KPAI_official, ini hasil karya mereka yg kembali dan melaksanakan jihad di salam negri akibat dokrin ISIS.. ! Apa yg mereka salah dan dosa anak² ini yg jadi korban? Lantas apa yg sdh KPAI perbuat utk mereka? #TolakAnakISISKembali</t>
  </si>
  <si>
    <t>@XpetzD @mohmahfudmd @Kemenag_RI @wiranto1947 Memang benar ada eks ISIS tp memang mereka tak setenar Luna Maya,lucinta Luna,Ariel Noah,Agnes Monica atau Andika Pratama,jd tidak pernah muncul di layar kaca🤭🤭🤭</t>
  </si>
  <si>
    <t>RT @jenk_kelinn: Memasukkan kombatan atau simpatisan ISIS kembali ke Indonesia sama sperti memasang BOM WAKTU dinegri ini. Yg sewaktu-waktu meledak dan akan membuat negri ini hancur. Knp tergerak mikirin yg diluar negri, yg didalam negri aja banyak butuh perhatian kok. *tuh Intoleran pantengin</t>
  </si>
  <si>
    <t>@detikcom PKS aja yang dikirim kesana, untuk membina anak-anak ISIS</t>
  </si>
  <si>
    <t>Ya gitu deh? Pak @jokowi tolong jgn sampai ada celah bagi exs isis utk pulang. Apapun alasannya. RT @SalmaBrecht: Stlh Pemerintah tidak memulangkan Ex WNI ISIS. Din Samsudin dan tokoh Islam lainnya mengaung. Mrk minta Pemerintah menyelamatkan anak². Itu artinya memulangkan ibunya. Skrg Pemerintah melunak. Jadi keputusan menolak dipulangkan Ex WNI ISIS belum final.</t>
  </si>
  <si>
    <t>Wni eks isis tetap bisa menggugat untuk pulang ke indonesia. Sepanjang tidak ada pasal yg mencantumkan mereka terhapus kewarganegaraannya, maka mereka masih wni dan mereka masih memiliki hak sebagai warga negara.</t>
  </si>
  <si>
    <t>@tribunnews @tribunnewswiki Masihkah mnjadi WNI??</t>
  </si>
  <si>
    <t>@__Ndaru__ @V4nn @Wawanda @dusrimulya @mohmahfudmd Nah kok mau gabung sama ISIS knapa? Jalan2 keluar negri gtu?</t>
  </si>
  <si>
    <t>@kantayu Setelah melihat video ini, apa @KomnasHAM masih keukeuh maksa pulangkan anak" ISIS tersebut? Jika iya, bubarkan sajalah... #TolakAnakISISKembali</t>
  </si>
  <si>
    <t>Wapres Ma\'ruf: Lebih Maslahat Eks-ISIS Tidak Dipulangkan  #Polhukam</t>
  </si>
  <si>
    <t>RT @jenk_kelinn: Wahai org2 @KomnasHAM yg ngebet, lebih baik anda berangkat ke sana saja. Tinggal dgn mreka (ISIS) bbrp waktu Kalau kalian sdh mempelajari dan tau pantas tidaknya mreka dipulangkan,ngototlah. Btw,masa video yg beredar atau gambar2 kekejaman ISIS tdk bisa membuka pikiran anda sih.</t>
  </si>
  <si>
    <t>@BadjaNuswantara Enak aja loh. WNI bukan mo Ke NKRI sampah isis</t>
  </si>
  <si>
    <t>@mohmahfudmd Apakah tentara isis termasuk tentara asing, prof @mohmahfudmd ?????</t>
  </si>
  <si>
    <t>@kamuusiapaaaaaa @AhlulQohwah Tidak untuk ISIS bro...ini ideologi..didoktrin kpd semua anggota dan keluarga... Bahkan lebih berbahaya bila anak2 sudah dlm kondisi ini.</t>
  </si>
  <si>
    <t>@ustadtengkuzul @jokowi Dan daripada buat mulangin ex WNI pejuang ISIL mending buat bantu anak² ini.</t>
  </si>
  <si>
    <t>RT @3_devout: @KatolikG Mirip BINATANG" isis di suriah nda suka gereja yes min 😁😆</t>
  </si>
  <si>
    <t>@yswandi KPAI yg Komisi Perlindungan Anak2 ISIS ?? ya broo</t>
  </si>
  <si>
    <t>@Pika41961394 @AhlulQohwah Kamu yg asuh ya Anak-Anak Eks WNI dari ISIS, Krn klu Negara yg asuh kemudian anak tsb sdh besar berulah membuat kelompok Teror Jihad, &amp; Negara mu itu mudah mencuci tangannya, itu yg sebenar nya perlu kamu ketahui.</t>
  </si>
  <si>
    <t>@Dwiyana_DKM Yang geblek ortunya...,sayang punya putri yg cantik pinter lagi...ujung"nya jadi budak nafsu Isis...#TolakAnakISISKembali</t>
  </si>
  <si>
    <t>@Suharto_BC @kywasyours @BBCIndonesia Ini di London Kan? Mereka ini aktivis lg demo buat mengingatkan awareness mengenai masalah ISIS</t>
  </si>
  <si>
    <t>@pudjanggalama Mereka bukan WNI eks ISIS, mereka ISIS eks WNI</t>
  </si>
  <si>
    <t>RT @jenk_kelinn: Anak-anak Eks WNI Pro ISIS yg katanya akan dipulangkan adalah anak2 usia dibawah 10 tahun dan tdk terkait kegiatan. Sedangkan kita tau anak usia 5 tahun saja sdh diajarkan cara mencabik boneka. Lalu mau pulangkan anak yg mana ?</t>
  </si>
  <si>
    <t>@AhlulQohwah Saya ga percaya bela anak isis. Daripada ga omong aja itu. 😂😂</t>
  </si>
  <si>
    <t>@kompascom Sekali lagi saya ulangi itu bukan WNI EX ISIS tapi ISIS EX WNI. Karena dia sudah bukan WNI maka pemerintah tidak punya kewajiban apapun terhadap mereka. Selesai...!!!</t>
  </si>
  <si>
    <t>@KanekiTerry @dusrimulya @mohmahfudmd Ini masalah hukum yg berlaku. @mohmahfudmd salah dalam hal ini karena ISIS bukanlah negara. ISIS teroris benar, tapi itu tidak menghapus status WNI. Contohnya Amrozi, tetap WNI meskipun dieksekusi sebagai teroris</t>
  </si>
  <si>
    <t>@mochamadarip @Je_Ly @mulanbilqis Yg mbuat ISIS itu USA, untuk merusak citra Islam itu sendiri karna mereka tau sejarah kebangkitan ummat islam tak lama lagi.</t>
  </si>
  <si>
    <t>@mohmahfudmd @Verbum_Ang Sejak kapan ISIS diakui sbg sebuah negara yak? Serius nanyak 🐸🔨</t>
  </si>
  <si>
    <t>@fahiraidris Isis musuh pancasila.......?</t>
  </si>
  <si>
    <t>@DayatPondok @dytoxs_eddy @mohmahfudmd Lo bilang ISiS buatan Amerika. Lha kadrun2 kayak kau malah bela ISIS dulu.. kasih sumbangn donasi pula. Yg lawan ISIS kau bilang kafir antek Asaad.</t>
  </si>
  <si>
    <t>ISIS masuk kategori tentara asing atau bukan sih?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</si>
  <si>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@KBRITokyo Maaf min @KBRITokyo di kapal tsb ada berapa orang yah WNI nya?</t>
  </si>
  <si>
    <t>@detikcom Ini termasuk WNI ex ISIS atau ISIS ex WNI ya...</t>
  </si>
  <si>
    <t>@fadjroeL @jokowi @Kiyai_MarufAmin @KemensetnegRI @setkabgoid Karena mereka adalah eks WNI yg bergabung dengan ISIS.🇲🇨</t>
  </si>
  <si>
    <t>YLBHI menilai pemerintah terburu-buru memutuskan soal WNI eks ISIS</t>
  </si>
  <si>
    <t>@AtikaFaya ooo baru tau... ya pantes mbelain banget.... lha wong anak indonesia dibully sampe diamputasi itu ya mereka diam aja... ternyata I nya itu ISIS @PolhukamRI gimana neh ???</t>
  </si>
  <si>
    <t>@shinichikudo991 Aku curiga KPAI dan Komnas HAM itu pendukung ISIS.</t>
  </si>
  <si>
    <t>RT @devy215: @angedespoir5 @KPAI_official sll buat steatmean yg jauh dr pemikiran mmng,giliran anak yg bs membanggakan nama bangsa eeehh dilarang,anak ISIS malah mau dibela,pdhl mereka mesin pembunuh yg sdh didokterin dr kecil....</t>
  </si>
  <si>
    <t>Mantan WNI....toloong dicatat yah @KomnasHAM RT @ToniSugiri: @RizmaWidiono @KomnasHAM Mereka itu Mantan WNI dan berperang untuk negaranya ISIS ! Buat apa dipulangkan ? Ingat ya pak Komnas mereka itu MANTAN WNI</t>
  </si>
  <si>
    <t>@V4nn @smallmelville @Wawanda @dusrimulya @mohmahfudmd Tetap saja tidak bisa dijadikan dasar militan ekstrimis tersebut adalah tentara asing, kecuali WNI tsb berada pada posisi memihak dan menjadi tentara negara Suriah yg diakui secara Internasional sebagai sebuah negara dengan segala administrasinya</t>
  </si>
  <si>
    <t>#JumatBerkah ya Allah Swt jauhkanlah negeri kami dari terkaman ISIS, amin yra</t>
  </si>
  <si>
    <t>@dusrimulya @mohmahfudmd Jiaaaah ada kadrun penyembah ISIS... Laknatullah..!!</t>
  </si>
  <si>
    <t>@WagimanDeep @KPAI_official @ganjarpranowo Isas isis,radikal radikul,teroris......berita murahan.baseeeeee</t>
  </si>
  <si>
    <t>RT @hemaviton99: @wahhabicc_jabar @hendra__id @KPAI_official Wahai @KPAI_official anda tahu itu anak anak sudah bukan WNI terus apa tujuan anda bergitu getol mau mrk kembali?berani jaminkan anak istri anda sekeluarga buat di adili rakyat banyak jika ada diantara anak anak ISIS itu jadi bomber atau teroris atau penjahat keji di nkri?</t>
  </si>
  <si>
    <t>@ustadtengkuzul @jokowi ANDA BENAR DUL. DARIPADA BIAYA HABIS BUAT MULANGIN ANGGOTA ISIS EKS. WNI. APALAGI BUAT BIAYAIN ORMAS NIR-MANFAAT. LEBIH BANYAK MANFAATNYA BANGUN JEMBATAN. BEGITU KAN DUL??</t>
  </si>
  <si>
    <t>@Hendriksrtn @Usep210 @Gerindra Apakah mereka bagian dari ISIS juga..</t>
  </si>
  <si>
    <t>Siapa yg akan mengangkat cerita 689 korban ISIS ini dalam sastra, seperti korban 65? Siapa yg akan menulis dan mengabarkan kesaksian dan keadaan mereka sesungguhnya? Hingga org jadi tahu bahwa mereka juga manusia</t>
  </si>
  <si>
    <t>@makLambeTurah Mslhnya buka buatan mana, yang penting eks ISIS sdh bukan WN Indonesia krn mereka melepas kewarganegaraannya, pemerintah tdk punya KEWAJIBAN apapun utk mrk....</t>
  </si>
  <si>
    <t>@mohmahfudmd Tegas tolak WNI mantan ISIS...sekarang aja mrk blm pulang dlm negara sdh bnyk sekali teroris di mana2...apalagi tambah mrk klu pulang..mau jadi apa Indonesia ini nanti..bisa2 densus kewalahan..</t>
  </si>
  <si>
    <t>Dulu "pejabat" PBNU bilang, pemerintah harus pulangkan wni ex isis, skrg "pejabat" PBNU bilang, pemerintah jangan pulangkan wni ex isis bhuahahhahahahasyuww 🤣🤣🤣🤣</t>
  </si>
  <si>
    <t>@Matromli17 @syiahgl Maksdnya apa? Mencari siapa yang benar? Lu punya akal? Lu bisa bedain mana yng sesat sama yg nggk, tidak? Noh lu yg harus jauhin tuh isis. So soan mau berdialog. Emng nyari perdebatan oknum kaya lu.</t>
  </si>
  <si>
    <t>@nahdlatululama @Helmy_Faishal_Z @hariankompas Yg jls mrk sdh bukan WNI lalu mau apaaa ngurus WNA....lha wong kedatangan pekerja WNA ae gegerr, kok skrang malah mau mendatangkan WNA yg sekujur otak&amp; tubuhnya penuh virus teroris penghancur bangsa.</t>
  </si>
  <si>
    <t>@wisanggeni_084 Owalah ini toh mbah nya kadrun, kalo ada anak anak TK pawai bawain senjata senjata an MAGER, kalo ada anak ISIS mau masuk indonesia GERCEP</t>
  </si>
  <si>
    <t>RT @faridafarichah: "Kenapa PKB sangat keras agar Kombatan ISIS tidak dipulangkan? Karena kaidah fiqih PKB adalah mengutamakan kepentingan umum (rakyat 250 jt jiwa) daripada 683 jiwa yg akan mengancam keamanan dan keselamatan "Sekjend PKB @EmHasanuddin #IndonesiaDamaiTanpaIsis</t>
  </si>
  <si>
    <t>@Jean_Aprilia97 Siapa yg akan mengangkat cerita 689 korban ISIS ini dalam sastra, seperti korban 65? Siapa yg akan menulis dan mengabarkan kesaksian dan keadaan mereka sesungguhnya? Hingga org jadi tahu bahwa mereka juga manusia</t>
  </si>
  <si>
    <t>@mas__piyuuu Kalo reynhard Sinaga dipulangkan ada ga jaminan dia ga melakukan pemerkosaan lagi di sini? Logika yg sama dipake menolak eks isis</t>
  </si>
  <si>
    <t>RT @YudiAbdulRohim: Banyak PR untuk negara +62 mereka masih banyak simpatisan ISIS yang diam. Bagai tentara tidur nunggu komando jendralnya. Tetapi politikus dijadikan alat tawar untuk partainya. Ada dugaan partai yang simpati dengan ISIS mereka tidak mau idelogi Pancasila partainya.</t>
  </si>
  <si>
    <t>Tolak Pemulangan WNI Eks ISIS, PKS Dukung Keputusan Jokowi</t>
  </si>
  <si>
    <t>@AgungRaspati @mohmahfudmd Bukan dong.. OPM itu orang WNI. Bukan tentara asing. Karena WNI, maka disebut pemberontak. Dan bisa diberantas..</t>
  </si>
  <si>
    <t>@bayo_edy @msaid_didu @mohmahfudmd @sandiuno Narasinya intolerans, radikal, isis, kilafah, emange rakyat mau makan ntuh smue..</t>
  </si>
  <si>
    <t>Saya sangat mendukung langkah pemerintah untuk tidak memulangkan, mencabut status kewarganegaraan, dan melarang pulang WNI eks ISIS. Mereka adalah racun. Buat yg membela mereka dengan alasan HAM, kalian lupa mereka membunuh begitu banyak orang tanpa peduli HAM? Mikir!</t>
  </si>
  <si>
    <t>@detikcom Mereka menganiaya korbannya yg punya kekurangan secara mental.. bukan main teganya.. coba gimana itu klo anak eks ISIS smpe dtg ke sini.. ambyarr !!</t>
  </si>
  <si>
    <t>@DayatPondok @dytoxs_eddy @mohmahfudmd Otak di pakai bang, jgn di taruh di lutut aja. Kaga ad WNI yg bergabung ISIS ijin resmi ke pemerintah. Yg ad brkt lgs ke Turki pakai visa turis lgs nyebrang ke suriah.</t>
  </si>
  <si>
    <t>RT @EmorBroery: @Dwiyana_DKM @jokowi tolak anak2 isis dan pendukungnya, mereka adalah penghianat NKRI, tenggelamkan radikal teroris..</t>
  </si>
  <si>
    <t>@salahsambungya Sedang ngurusi anak2x ISIS. Maklum</t>
  </si>
  <si>
    <t>@AhlulQohwah Karena KPAI = komisi perlindungan anak isis. Jangan kaget atas kenyataan ini</t>
  </si>
  <si>
    <t>RT @mulanbilqis: @Dwiyana_DKM @jokowi Di pelosok juga masih banyak anak yang gak bisa sekolah karena biaya pak. Jangan sia-siakan mereka. Merekalah masa depan kita semua. Bukan anak ISIS. #TolakAnakISISKembali</t>
  </si>
  <si>
    <t>Pemerintah pusat menetapkan observasi WNI dari Wuhan di Natuna, berakhir pada pukul 12.00 WIB, Sabtu (15/2/2020) mendatang.</t>
  </si>
  <si>
    <t>RT @lukmanalwahid: @KelianBanjar_GK @Dwiyana_DKM @jokowi anak isis sama dengan anak dajjal</t>
  </si>
  <si>
    <t>@N1ngW4ng1 Kalau perlu anak anak kombatan isis dimusnahkan saja.. Ga ada untungnya buat negara.. @MardaniAliSera @hnurwahid @PKSejahtera</t>
  </si>
  <si>
    <t>cc @fadlizon @MardaniAliSera @hnurwahid yg ngotot mau memulangkan eks ISIS sudah tahu UU tapi pura pura bodoh.dan membodohi.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</si>
  <si>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RT @AkuGumay: @tubirfess Virus corona deketin WNI "Yahh, bos boraks udah ngetep duluan"</t>
  </si>
  <si>
    <t>@angedespoir5 Mungkin yg teriak2 pulangkan eks ISIS itu jebanyakan pendukung HTI, yg kemungkinan berafiliasi dg ISIS yg sma2 ingin mendirikan khilafah</t>
  </si>
  <si>
    <t>Gue gak bisa ngeliat ex - kombatan ISIS itu sebagai manusia yg normal, I mean, kalo normal ya gak masuk ISIS sih.... Nah kalo lo mau belain mereka dengan alasan HAM, YA BODO AMAT ANJIR Itu orang2 yg nginjek2 HAM orang laen pas lagi punya power, dan mau tereak2 HAM</t>
  </si>
  <si>
    <t>Udah kek isis valentin valentinan</t>
  </si>
  <si>
    <t>RT @priLABIL: @IndahAriani Guru agama nya tolong diajarin lagi mengenai budaya dan adat istiadat Indonesia. Indonesia beragam, warna warni, macem2 agama yang punya ciri khas masing2. Dan gw rasa, sebagai WNI apalagi anak kecil gini ya wajib banget buat mereka kenal dengan Budaya yang ada.</t>
  </si>
  <si>
    <t>WNI dari Wuhan yang Dikarantina di Natuna Pulang Akhir Pekan Ini</t>
  </si>
  <si>
    <t>@detikcom Anak-anak ISIS eks WNI.</t>
  </si>
  <si>
    <t>@Je_Ly Masih juga disebut "WNI Eks ISIS", Pak @Dr_Moeldoko? Mari diganti narasi agar sesuai dengan kenyataan dan hukum: ISIS Eks WNI. Jangan terbalik. Kami tidak ikhlas.</t>
  </si>
  <si>
    <t>@mohmahfudmd @75Property yang ngotot ingin memulangkan berarti org itu sedang cari muka ke kaum ISIS dan teroris ato dia antek dan donaturnya ISIS..</t>
  </si>
  <si>
    <t>Oke gini, kalau pemerintah memutuskan untuk nenerima ex ISIS kombatan, udah jelas banget keamanan negri ini jadi menurun kualitasnya I mean, lo mungkin bisa deradikalisasi 90% dari mereka, tapi 10% itu bisa aja mengambil nyawa orang laen yg gak berdosa</t>
  </si>
  <si>
    <t>RT @basuki_rakhmad: @Mulia07094480 Isis bahasa jawanya silir-silir ditiup angin alias tidak sumuk karena hembusan angin</t>
  </si>
  <si>
    <t>@DayatPondok @mohmahfudmd Bukan soal kesejahteraan rakyat tapi lebih pada ideologi yg sudah menyimpang. Banyak bukti pejabat2 (berarti sejahtera) sudah terpapar HTI dgn khilafahnya yg semua orang sudah tau kalau HTI itu berafiliasi dan support ISIS.</t>
  </si>
  <si>
    <t>@Mulia07094480 Isis bahasa jawanya silir-silir ditiup angin alias tidak sumuk karena hembusan angin</t>
  </si>
  <si>
    <t>@tempodotco Sy merasa malu pd non muslim di indonesia pejabat dan muslim kenapa membela isis utk pulang musuh dunia dari parpol tertentu lagi. Jebakan utk jokowi bila terjadi melaui kepres jokowi jatuh ulah mereka seperti suharto jatuhkan sukarno melalui nasution setelah itu dihabisi no isis</t>
  </si>
  <si>
    <t>@basuki_rakhmad Jika Isis Sholat di terima tidak mas???? Bukankan mereka itu kejam dan biadab.????</t>
  </si>
  <si>
    <t>@jokowi maaf pak presiden, mau kasi info masa inkubasi covid 19 dinyatakan bukan 14hari,melainkan 24hari, wni yg di natuna belum 24hari, tolong pak presiden mengkaji ulang terima kasih</t>
  </si>
  <si>
    <t>@dusrimulya @mohmahfudmd Ini sdh masuk ranah tafsir...isis skrg memang bkn negara,tp pemberontak yg ingin mnjadi negara.jd tujuannya ingin mndirikan negara...</t>
  </si>
  <si>
    <t>@IxNdheso Hoaks apa beneran nih ? Waaah..ngeri juga ya kalo beneran, apa bisa merembet ke "siapa penyandang dana dibalik beberapa peristiwa bom di Indonesia yg berafiliasi dgn ISIS " ? Jangan jangan..... 😲😲</t>
  </si>
  <si>
    <t>Mengenai pemulangan ex ISIS, gue rada2 paham kenapa ini menjadi hal yg serba salah - sebuah utas yg gak diminta sama siapapun-</t>
  </si>
  <si>
    <t>@RadioElshinta Kalo isis ex wni brearti dia bukan wni lagi jadi bwat apa diurusinnnn masih banyak persoalan lain yg lebih penting salah satunya kesenjangan ekonomi yg kaya tambah kaya yg miskin manyun doang</t>
  </si>
  <si>
    <t>@RadioElshinta @KemenkesRI Semoga WNI semuanya dalam lindungan Allah SWT, sehat dan beraktifitas lagi. Aamiin</t>
  </si>
  <si>
    <t>RT @seruanhl: Masih banyak anak-anak di Indonesia yg belum tercuci otaknya oleh ISIS yg seharusnya membutuhkan perhatian pemerintah, KPAI sebaiknya memperjuangkan dan menyuarakan hak mereka. Anak-anak WNI eks ISIS biar menjadi urusan keluarganya, ayah dan ibunya. KPAI tak perlu ikut campur.</t>
  </si>
  <si>
    <t>@mochamadarip Curut ISIS #TolakAnakISISKembali</t>
  </si>
  <si>
    <t>RT @suketi666: @RinjaniJB @mohmahfudmd Apakah aktor penolakkan sdh di TANGKAP Dan di proses Hukum??? Segala penolakan dan penghambatan WNI membangun dan mengadakan ibadah di wilayah NKRI adalah MAKAR !! Tidak ada jalur kekeluargaan bagi pelaku Makar pak... mohon negara harus tegas dan adil...</t>
  </si>
  <si>
    <t>RT @RinjaniJB: Tua muda ataupun anak-anak ISIS, TOLAAAAAK. #TolakAnakISISKembali</t>
  </si>
  <si>
    <t>@AhlulQohwah I appreciate you voicing out your concern for those other issues yang negeri ini sayangnya cuma ketawain dan anggep remeh over a cup of coffee, but I have to say, mungkin agaknya cara menyuarakan concernmu "Giliran anak ISIS suaranya kenceng" kesannya kayak, "harusnya suaranya --</t>
  </si>
  <si>
    <t>@KemenkesRI Sesampainya di Jakarta, para WNI dari Wuhan akan diserahkan ke Pemerintah Daerah masing-masing, para prajurit TNI ke Panglima TNI dan crew Batik ke Lion Air.</t>
  </si>
  <si>
    <t>Jokowi Tak Pulangkan ISIS Eks WNI, Komnas HAM: Terlalu Dini</t>
  </si>
  <si>
    <t>@detikcom Lebih Mudharat Mana, Merayakan #Valentine Atau Memulangkan Anak-anak EKS WNI ISIS.</t>
  </si>
  <si>
    <t>@RinjaniJB @mohmahfudmd Apakah aktor penolakkan sdh di TANGKAP Dan di proses Hukum??? Segala penolakan dan penghambatan WNI membangun dan mengadakan ibadah di wilayah NKRI adalah MAKAR !! Tidak ada jalur kekeluargaan bagi pelaku Makar pak... mohon negara harus tegas dan adil...</t>
  </si>
  <si>
    <t>@StyaPramana @Sabrina13579_ @syiahgl @jokowi @mohmahfudmd @Kiyai_MarufAmin @JatimPemprov @KhofifahIP Iya isis itu baru Islam murni krn alirannya sunni. Makanya kelakuannta hebring.</t>
  </si>
  <si>
    <t>07.10 #SONORAPAGI - Sebanyak 238 WNI yg di evakuasi dari Wuhan &amp; diobservasi di Natuna akan dipulangkan sabtu besok. Berita terkini dari @hariankompas terbit pagi ini, Simak di #RedaksiKompasBicara s/d 07.30 wib di #SonoraNetwork &amp;amp; @SonoraFM92 @Antohiguain @rockadocta</t>
  </si>
  <si>
    <t>@DayatPondok @mohmahfudmd Logika anda menyesatkan. Mereka gabung ISIS lebih pada keyakinan ideologi yg berlebihan seakan mereka yg paling benar dan berhak hidup. Selain kelompok mereka wajib dibunuh. Lihat cara2 mereka selama ini yg tersebar di youtube. Sesama muslim juga mereka bunuh kok.</t>
  </si>
  <si>
    <t>@republikaonline Yang gabung PKI masih WNI kah?</t>
  </si>
  <si>
    <t>Direncanakan, seluruh WNI Wuhan dan tim pendukung akan langsung diterbangkan ke Halim Perdanakusuma menggunakan 2 Boeing dan 1 Hercules. Jumlah ini sama seperti saat penjemputan dari Batam ke Natuna. via @KemenkesRI</t>
  </si>
  <si>
    <t>Anda Itu Menkumham Lho! Anda Itu Profesor Lho! Jangan samakan TENTARA dgn TERORIS, ISIS itu teroris lho mprof! Kalo tentara itu adalah pasukan yg ditugaskan oleh negara secara resmi ! Gak masuk dong dalam Pasal UU itu !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</si>
  <si>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@mohmahfudmd Yg bela eks wni kombatan isis adlh sel isis yg msh tidur disini</t>
  </si>
  <si>
    <t>@alvinmalana @Iqbal__Kholidi saya kok gak tahu ya mas kalo turki ikut melawan isis.</t>
  </si>
  <si>
    <t>@Wawanda @smallmelville @dusrimulya @mohmahfudmd 3. Sekalian yang sejenis duluan balik ke indonesia, dideportasi. Tapi deportasi kemana? 4. Sekalian orang2 yg sudah gabung "tentara" luar macam di filipina, opm, cabut wni nya, biar gak kerja 2 kali. 5. Ingat, salah satu masalah rohingya karena mereka tidak warga negara manapun</t>
  </si>
  <si>
    <t>@shinichikudo991 mereka bergabung ISIS apapun alasannya tapi di dilakukan dlm keadaan sadar kemauan mereka sendiri.. #TolakAnakISISKembali</t>
  </si>
  <si>
    <t>@Hanifah933 @nonmolare @fadlizon ternyata pernah menyerahkan bantuan ke kelompok radikal sekitar USD 20000., maksudnya apa ???? Kenapa kencang amat @fadlizon ingin eks WNI di pulangkan dari kelompok ISIS ????</t>
  </si>
  <si>
    <t>RT @MohammadKhafi12: @maheswararajen1 @salahsambungya Orang Tuanya ISIS Anaknya pasti jadi Pembunuh dan pasti akan menghancurkan Negara Republik Indonesia saya mohon pada Pemerintahan Bapak Jokowidodo Stop Bantuan dan Jangan sampek di pulangkan menginget mereka adalah Pembunuh Berdarah Dingin dan sangat Tega mereka udah misinya</t>
  </si>
  <si>
    <t>@CNNIndonesia kenapa Dien Syamsuddin getol membela ISIS dan Radikalisme??? apakah benar pemberitaan tentang Tokoh2 yg issuenya terkait ISIS?</t>
  </si>
  <si>
    <t>RT @MohammadKhafi12: @maheswararajen1 @salahsambungya Hanya membunuh dan ingin Menjadikan Negara Indonesia menjadi poros ISIS Dunia itu pasti...maka dari itu jangan di kasiani dan jangan melihat mereka anak yatim dsb udah Lupakan aja belas kasihan itu, mengingat di Indonesia Lebih banyak Anak2 yang baik budi dan perlu Bantuan</t>
  </si>
  <si>
    <t>@mohmahfudmd Isis apa tentara prof... Mohon pencerahan</t>
  </si>
  <si>
    <t>Masih banyak warga negara, termasuk korban2 KEKEJIAN BOM ISIS, yg perlu dibantu, pak @jokowi. BUAT APA bantuin IBLIS2 yg sdh menolak kewarganegaraannya sendiri ? NAIF nya pemimpin akan membunuh rakyatnya, pak ! RT @RadioElshinta: Pemerintah berencana mengirim tim untuk memverifikasi anggota ISIS eks WNI berada di Suriah dan sejumlah negara lain. Komentar kamu? #20thElshintaNewsAndTalk</t>
  </si>
  <si>
    <t>@18autobase Aku. Pake pembalut yang isis itu loh jadi gak gatel lagi deh</t>
  </si>
  <si>
    <t>@DTanjung15 Itu bukan begitu yg bener ISIS eks wni ...jadi yg namanya bekas ngapain di benerin buang org disini aja numpuk masalh yg begitu gak penting zon</t>
  </si>
  <si>
    <t>@mohmahfudmd Bukankah mengunakan UU 12 Tahun 2006 terhadap WNI eks anggota ISIS sama saja kita mengakui bahwa ISIS adalah negara Prof @mohmahfudmd. Padahal sudah jelas bahwa PBB mengatakan mereka itu hanya kelompok teroris bukan dinas asing. ISIS adalah unlawful combatant.</t>
  </si>
  <si>
    <t>@bang_One_ @Stevaniehuangg Mereka yang bergabung dengan ISIS adalah orang2 yg kufur nikmat. . . Di Indonesia yg aman damai beribadah enak gemah ripah loh jinawi lha kok malah milih ke suriah gabung dengan organisasi teroris musuh dunia. Saya bangga sebagai warga negara indonesia yg cinta Damai. . . Maaf yo</t>
  </si>
  <si>
    <t>@vita_AVP Pagi Ni... Bulutangkis disetop. Berkali2 tjd anak korban bullying, KPAI entah dimana. Giliran anak ISIS yg sdh berubah jd monster, pernah perang &amp; membunuh malah dibela. KPAI AMAT BODO Maka pas kalo BODO AMAT DGN KPAI.</t>
  </si>
  <si>
    <t>Silahkan dilibat kehebatan isis dalam eksekusi @aagym @ustadtengkuzul @mohmahfudmd @Kemenag_RI @PolhukamRI @dan yang tehormat pak @jokowi Mereka hebat tapi tidak punya rasa kemanusiaan. Apa yang mau dibela dari mereka? RT @arilestari61: Bayangkan jika yg diikat tangannya itu adalah kakek, ayah, suami, abang, adik.... Atau org" yg kalian cintai.... Apakah para pembantai itu mengenal pilih kasih? Apakah mrk mengenal artinya kasih sayang? #benderahitam</t>
  </si>
  <si>
    <t>Juga seperti cuplikan yg akhir2 ini beredar di tv soal isis. Salah satu dari mereka mengatakan : semua orang pernah berbuat kesalahan. Memang betul.</t>
  </si>
  <si>
    <t>RT @RadioElshinta: Pemerintah berencana mengirim tim untuk memverifikasi anggota ISIS eks WNI berada di Suriah dan sejumlah negara lain. Komentar kamu? #20thElshintaNewsAndTalk</t>
  </si>
  <si>
    <t>@KakiKedelai @Wawanda @dusrimulya @mohmahfudmd Nah skarang apa alasanya mereka harus dipulangkan? Knapa g pulang sendiri? Kenapa bergabung dengan ISIS?</t>
  </si>
  <si>
    <t>RT @mpujayaprema: Masih saja media salah menulis menyebut: WNI eks ISIS. Pdhal yg benar: ISIS eks WNI. Mereka tetap dgn ideologi ISIS yg kebetulan pernah jadi WNI. Sekarang bkn WNI lagi. **nah dari sini diskusi hrs dimulai. Paham kan? 🤠</t>
  </si>
  <si>
    <t>RT @Kars104: @kantayu Umur 8 tahun sdh diajari memakai rompi bom bunuh diri. Kalau @KomnasHAM dan siapapun yg sungguh sungguh ingin "memperbaiki" anak anak ISIS ini, silakan berangkat sendiri ke Suriah sana. Saya dukung!</t>
  </si>
  <si>
    <t>RT @sirajapadoha: Dana tsb diterima oleh ANGGA DIMAS dari HASI...adlh Anggota Teroris Al Qaeda (spt yg dirilis PBB). Dana tsb oleh HASI dikirimkan ke IHH yg merupakan LSM terbesar di Turki sekaligus penyuplai senjata &amp; alat berat ke para Mujahid &amp;amp; ISIS di Suriah. Share biar sampe ke gedung DPR</t>
  </si>
  <si>
    <t>@MasKip82 @samhudibae Kan jelas disitu untuk rumah sakit salma bukan untuk ISIS jir.</t>
  </si>
  <si>
    <t>DIN: ISIS bikinan Amerika Rizieq: Isis Pejuang Islam waow keren kan? RT @AhlulQohwah: Saya salut dg beliau. Kalo ngomongnya 5 tahun lalu di depan pengikut ISIS. Kalo ngomongnya sekarang? Sopo wae iso dul.</t>
  </si>
  <si>
    <t>RT @sirajapadoha: GERAKAN PECAT FADLI ZONKOK DAN PENJARAKAN ADA APA DENGAN FADLI ZONKOK Sempat terpikirkan kenapa Fadli Zonkok begitu ngeyel bersuara menginginkan eks WNI kombatan ISIS pulang ke Indonesia. ..??? Ternyata Fadli Zonkok salah satu donatur untuk Pemberontakan ISIS di Suriah ===&gt;&amp;gt;</t>
  </si>
  <si>
    <t>@Je_Ly @andy_nomicin Kasihan anakku ntar kalo ketemu anak anak isis terus ikut ikutan milih jalan yang 'benar'.</t>
  </si>
  <si>
    <t>@aewin86 Adakah pulau yg kosong buat kelompok isis Di rubah idiologi yg selama ini diyakininya... Trus di awasi semua kegiatanya... Di beri pencerahan dari para ustad NU</t>
  </si>
  <si>
    <t>Ma’ruf: Deradikalisasi Tak Mudah, Lebih Aman ISIS Eks WNI Tak Dipulangkan</t>
  </si>
  <si>
    <t>@AhlulQohwah Sekelas Din bicaranya melebar tidak fokus. Isis itu ancaman atau praktisi perdamaian ? Kalau ancaman dan mereka bikinan negara apapun mengapa din promote spy mereka dipulangkan ?</t>
  </si>
  <si>
    <t>RT @bayuola: Komisi perlindungan anak isis kali..</t>
  </si>
  <si>
    <t>@AhlulQohwah Apas WNI eks ISIS? Yg bener tuh ISIS eks WNI :))))</t>
  </si>
  <si>
    <t>RT @MakNyus_xx: @LusiHQ @DavidRuslie8 Saya warga negara Indonesia..yg cinta setia MENOLAK ... Kepulangan eks Kombatan ISIS Baik Dewasa atau Anak2... Dan tolong jg Lindungi HAM kami yg Cinta Kedamaian.. Cc. @jokowi @mohmahfudmd @KomnasHAM</t>
  </si>
  <si>
    <t>@My_LoveNebe Jangan dipulangkan eks WNI antek Amerika yg jadi ISIS....</t>
  </si>
  <si>
    <t>dibuat sawer isis betina biar bs plg RT @Aryprasetyo85: Ahhhh Sundel lu...alasan di kumpulkan utk anak yg berprestasi Buat apa utk anak berprestasi klo hasil dari malakin siswa lain?! Model moncong lu...plg jg lu embat sendiri Hasyuuu lah kakean cocot cari alasan! Vidio : @tahupetismanis 🙏 @My_LoveNebe @cintada17 @AlvinoLulu @Je_Ly</t>
  </si>
  <si>
    <t>@zoelfick Bagusnya orang² KPAI jemput anak² eks WNI eks ISIS itu utk jadi anak asuh mrk atau jadi menantu. KPAI lindungi jg tuh anak lonte yg dijebak di Padang, udah makan dia atau belum. Brmunculan para pltikus biadab busuk &amp; pmbela teroris dg jualan moralitas, kemanusiaan&amp;amp;ham.</t>
  </si>
  <si>
    <t>@RiaOhRia jijix.. coba kapir2 aksi bakar paspor.. dicoret ga dari WNI?!?! bursik ma sude</t>
  </si>
  <si>
    <t>@KakekHalal Lihat photonya sama henggotnya bikin teringat wajah temanku yg tewas mendukung ISIS.😭</t>
  </si>
  <si>
    <t>@DayatPondok @dytoxs_eddy @mohmahfudmd Klo emang berasal dri sana, kenapa kadrun2 malah terperosok di dalamnya? Dan blm pernah HTI, FPI dan kelompok kadrun memerangi ISIS minimal demolah...jelas2 buatan amerika itu melecehkan pakai bendera kalimat Tauhid.</t>
  </si>
  <si>
    <t>Pemerintah berencana mengirim tim untuk memverifikasi anggota ISIS eks WNI berada di Suriah dan sejumlah negara lain. Komentar kamu? #20thElshintaNewsAndTalk</t>
  </si>
  <si>
    <t>Sempat Ada Penolakan, Kini Masyarakat Natuna Justru Bantu di Lokasi Observasi WNI dari Wuhan</t>
  </si>
  <si>
    <t>RT @sirajapadoha: @ESitohag @MichaelHarto77  6 Orang Indonesia Diduga Terlibat Sumber Dana ISIS, Din Syamsudin. Dugaan sumber dana ISIS salah satu jaringan teroris paling berbahaya di dunia saat ini, Setidaknya, tercatat 6 tokoh Islam yang berasal dari negeri kita.</t>
  </si>
  <si>
    <t>@wisanggeni_084 Negara harus hadir ,Negara mana yg dimaksud? La wong Passport sebagai identitas WNI saja mereka bakar sendiri dengan sadar dan sehat ... mikir kang akang</t>
  </si>
  <si>
    <t>@mohmahfudmd Maaf pak mau tanya.. Apa yg dimaksud tentara asing dalam UU tersebut? Apakah ISIS menurut bapak adalah negara asing ? Apakah ada negara lain yg mengakui ISIS sebagai negara ? Apakah sudah ada kedubes yg dibuka oleh ISIS ?</t>
  </si>
  <si>
    <t>@AREAJULID Komnas Ham harusnya urusin ini dari pada terus komplen eks isis :)</t>
  </si>
  <si>
    <t>RT @Habib_NKRI: @MohammadMakruf @wahhabicc_jabar Anak anak ini yg mau kamu didik? Gabungin sama anak kamu ngajinya sekalian nanti yaaa 😜 👇 modyyyyyaaaar kamu! Hahaha</t>
  </si>
  <si>
    <t>@MetroTVNewsRoom @Metro_TV Ben ae dadi warga negara kono... Alhamdullilah, udu wni maneh. Apa enak e jal dadi wni??</t>
  </si>
  <si>
    <t>@DayatPondok @mohmahfudmd Yg menyangkutkan ISIS dgn kebijakan negara, GBLG.</t>
  </si>
  <si>
    <t>@MrsRachelIn @wahhabicc_jabar @KPAI_official Yg bener mungkin "anak-anak isis eks WNI", dan kalau portal berita liputan 6 diatas benar kalau tugas pertama anak adalah membunuh orang tua, semoga semua karyawan @KPAI_official mau menjadi orang tua asuh jika keukeuh buat kembalikan mereka ke Indonesia</t>
  </si>
  <si>
    <t>Doktrin mereka sudah mendarah daging😣 #TolakAnakISISKembali</t>
  </si>
  <si>
    <t>"Cukup Dua Jam untuk Memprovokasi Seseorang Menjadi Teroris"  Monggo dibaca ini yang bicara Mantan teroris yang sudah tobat kalau : @MardaniAliSera @KomnasHAM @hnurwahid @ustadtengkuzul Sudah tobat belum bicara pemulangan anggota ISIS ex Indo?</t>
  </si>
  <si>
    <t>Berani Pulang ke Indonesia, Eks WNI Simpatisan ISIS Akan Diadili</t>
  </si>
  <si>
    <t>@wahhabicc_jabar @KPAI_official Apasih nih masih ribut aja balikin eks WNI ISIS ,mau anak mau dewasa ga usah lah Nihh anak terlantar di Indonesia masih banyak yang butuh perhatian</t>
  </si>
  <si>
    <t>Ini udah bener2 berbahaya. Masih ngeyel mau balikkin ex ISIS ke Indonesia? Cc @KPAI_official @KomnasHAM RT @innovesian: Just to remind you all.. ISIS dan Boko Haram menculik anak-anak, mengindoktrinasi mereka menjadi Tentara dan Pembom Bunuh Diri.. ?</t>
  </si>
  <si>
    <t>@mohmahfudmd Belom pernah aja keluarga lo jdi sasaran nyasar simpatisan ISIS. Ato depan mata liat simpatisan ISIS ngeledakin diri. Yg masih kontra otaknye sengklek</t>
  </si>
  <si>
    <t>@dusrimulya @mohmahfudmd Pertanyaanya simple, kenapa kuman2 itu aneh2 ikut ISIS yg jelas2 itu berbahaya untuk dunia. Mau ikut ISIsS jg?</t>
  </si>
  <si>
    <t>Ma'ruf Amin: Kewarganegaraan Eks ISIS Otomatis Hilang</t>
  </si>
  <si>
    <t>ISIS kan punya negara sendiri di timur tengah sana,kalo orang indonesia yg gabung sama mereka dan pergi ke sana bearti mereka memutuskan keluar dri NKRI,,,,dan bukan orang/warga indonesia lagi,,,untuk KPAI,,,di bubarkn saja,,,smakin gguna 👊</t>
  </si>
  <si>
    <t>RT @SonoraFM92: 06.51 #BeritaSONORA - WNI kru kapal pesiar Diamond Princess hingga kini masih dalam kondisi sehat, WNI yg berjumlah 78 org sebelumnya ikut dikarantina, setelah 10 org penumpang kapal itu dinyatakan positif terjangkit virus corona COVID-19. sumber berita</t>
  </si>
  <si>
    <t>@KemensetnegRI boleh tanya bagaimana proses penandatanganan melepas WNI atas kemauan sendiri? Di website tulis setelah dokumen diterima SetNeg maksimal 14 hari...dokumen saya sudah masuk sejak desember 9 sampai sekarang tidak ada kabarnya...</t>
  </si>
  <si>
    <t>RT @HasanVeryl: @syiahgl @jokowi Pemerintah saat ini sedang mengkaji kepulangan eks ISIS, tapi warga Syiah dan Ahmadiyah tidak bisa pulang ke kampungnya. Mengungsi di negaranya sendiri</t>
  </si>
  <si>
    <t>@DTanjung15 Ini orang sebenarnya jubir rakyat atau jubir ISIS ?</t>
  </si>
  <si>
    <t>@Zamankh69283555 @Coffeedential1 @mohmahfudmd Memang isis punya rasa kemanusian ,membunuh, Memperkosa</t>
  </si>
  <si>
    <t>Tolong jelasin yg bener itu yg mana?? WNI ex ISIS atw ISIS ex Wni?? Kalo wni ex isis berarti dia memang isis awalnya,truss kalo isis ex wni itu namanya apa???</t>
  </si>
  <si>
    <t>Kl Soekarno mau Ideologi bkn Pancasila dari awal, semua anak bangsa berperan dalam Kmrdekaan bangsanya, tapi jangan ada yg sok merasa yg paling berkorban, mari kita tanya siapa yg sesungguhnya memusuhi Pancasila? n mau mengganti dgn Ideologi lain? Bukti EX WNI EX ISIS “STATELESS”</t>
  </si>
  <si>
    <t>@peni_me @mohmahfudmd Menurut ente, peni, gabung tentara ISIS itu sesuai ajaran Rasulullah?</t>
  </si>
  <si>
    <t>@tempodotco Sy belum pernah merasakan manfaat adanya cendikiawan muslim ini karena didirikan pd zaman ordebaru saya tahu siapapun dulu penjilat suharto ikut yg salah. Ttg isis yg banyak korban non muslim mereka tdk komen. Apa kata mereka rupanya ada yg mendukung isis dan mengaku agamais dll</t>
  </si>
  <si>
    <t>RT @kangdede78: Sudah bakar paspor masih mau diterima? Boleh ndak saya berkata: Menteri @Kemenag_RI GOBLOK ? Menag Fachrul: 600 WNI Eks Kombatan ISIS akan Dipulangkan ke Tanah Air</t>
  </si>
  <si>
    <t>@mohmahfudmd Mending digunakan ex isis tuk buru koruptor..harun masiku...dll</t>
  </si>
  <si>
    <t>@mohmahfudmd Selamat Pagi...Bpk. Mhon dengan sangat... Sayangi KAMI wrga negara yg masih cinta setia kpd NKRI , PANCASILA DAN BHINEKA TUNGGAL IKA Jangan Pulangkan Mereka Eks Kombatan ISIS , Baik yg dewasa atau pun yg anak2... Terima kasih Mohon lindungi HAM kami... cc @KomnasHAM</t>
  </si>
  <si>
    <t>@ariel_heryanto Bukan perkara selembar paspor dan keluguan memandang nasionalisme sempit sebagai basis argumen penolakan thdp kombatan ISIS. lebih pd sebuah pelajaran penting bgm warga negara harus punya kecerdasan emosional terhadap tawaran" yg berbau kesamaan agama dg wangi surga yg fatal</t>
  </si>
  <si>
    <t>Kali Ini PKS Dukung Pemerintah, Tolak Pemulangan WNI eks ISIS</t>
  </si>
  <si>
    <t>@MrsRachelIn @spiderr__matrix @CNNIndonesia Isis tetap isi sekalipun tangisan mereka tetaplah tangisan isis yg telah mendarah daging.</t>
  </si>
  <si>
    <t>@BadjaNuswantara Aq sgt menyayangi anak2, duniaku lbh bnyk interaksi dng anak2. Tp dlm hal ini aq tegas menolak dipulangkannya anak2 ISIS kmbli ke NKRI. BODO AMAT DGN KPAI. Bagiku tdk ada yg lbh berbahaya selain "memelihara anak ular dirumah". Aq lbh mencintai anak2ku disini drpd anak2 ISIS.</t>
  </si>
  <si>
    <t>RT @Chandra0791: @CNNIndonesia Presiden sudah mengatakan eks wni anggota isis, kok media ngeyel aja wni eks isis,</t>
  </si>
  <si>
    <t>@mohmahfudmd Narasinya ISIS terus ... fokus aja bagaimana keadilan segera terwujud. Mayoritas mengayomi, Minoritas Tahu diri.</t>
  </si>
  <si>
    <t>06.51 #BeritaSONORA - WNI kru kapal pesiar Diamond Princess hingga kini masih dalam kondisi sehat, WNI yg berjumlah 78 org sebelumnya ikut dikarantina, setelah 10 org penumpang kapal itu dinyatakan positif terjangkit virus corona COVID-19. sumber berita</t>
  </si>
  <si>
    <t>RT @FaGtng: Doktrin ISIS bukan hanya ; ~ BUNUH , BAKAR , BOM yg tak sefaham , Siapapun itu !! Tapi juga Doktrin "TAQIYAH" {BERPURA-PURA} ~ Pura² Sadar ~ Pura² nyesel ~ Pura² Cinta Negara Fix !! #CombatanIsisAhliAkting #AwasAntek2ISIS Credit : @yusuf_dumdum 🇲🇨🙏</t>
  </si>
  <si>
    <t>RT @Bronktho: @aldinalsya @AtikaFaya Ini hubungan Pelix sama Isis. Aleppo tempat apaan, piknik?. Klo begho jangan diborong semua Drun</t>
  </si>
  <si>
    <t>@UKI_djayengrono @AgusSul55741094 @fadlizon Wong zonk sdh ketemuan pimpinan isis kok..mana foto..foto... sama kek anies ketemuan jg</t>
  </si>
  <si>
    <t>@mohmahfudmd @YohanesPatty2 Intinya kombatan isis + keluarga jgn dipulangkan ke Indonesia ..</t>
  </si>
  <si>
    <t>@WR_4AG226 Kan sdh nyata guru aja sdh gitu, gmn yg mo pulang eks isis 600 orang ke indonsia</t>
  </si>
  <si>
    <t>RT @4_devout: @3_devout @1_devout @2_devout elu gimana sik ssh" amat mikir "memasak" bkl nongol di media ???? tawanan ja di bikin BBQ niii 😳👇</t>
  </si>
  <si>
    <t>RT @KyaiMblebes: @mohmahfudmd Kalau WNI ber profesi tentara penugasan pasukan kemanan PBB keluar Negeri dan ikut perang di luar Negeri apa ya ikut Hilang kewarga negaraannya. Nyuwun sewu Mbah Monggo dijelaskan. Matur Nuwun.</t>
  </si>
  <si>
    <t>@scsuroso @2_devout @tiknoira @detikcom Yang dibahas ISIS kok jembutmu mlipir kemana-mana sehh ?</t>
  </si>
  <si>
    <t>@angedespoir5 @KPAI_official sll buat steatmean yg jauh dr pemikiran mmng,giliran anak yg bs membanggakan nama bangsa eeehh dilarang,anak ISIS malah mau dibela,pdhl mereka mesin pembunuh yg sdh didokterin dr kecil....</t>
  </si>
  <si>
    <t>RT @3_devout: Nak isis pen dibalikin yes?! Nak korban bom teroris samarinda di cuekin?! Oowwh iyess..saia lupa korban bom teroris samarinda tuw nak kapir 😘👌</t>
  </si>
  <si>
    <t>@detikcom kombatrin isis</t>
  </si>
  <si>
    <t>@WagimanDeep Seharusnya mereka memberikan contoh keberhasilan nya dibidang deradikalisasi agar klo eks WNI ISIS masyarakat merasa aman</t>
  </si>
  <si>
    <t>Dari DKI Jakarta ada 12 orang, akan dipulangkan Sabtu siang</t>
  </si>
  <si>
    <t>@wisanggeni_084 KPAI, kurang kerjaan ya? Noh... banyak anak2 yatim yg baik, pintar, tapi gada ortunya. Bantu sana.... drpd bantu anak2 isis yg udah di cekokin gimana cara membunuh orang.</t>
  </si>
  <si>
    <t>@AhlulQohwah Masabodoh sm orang2 yg ada diKPAI. Jangan terima Eks ISIS kembali ke Indonesia</t>
  </si>
  <si>
    <t>RT @mochamadarip: Cegah Tangkal perintah Jokowi ke Dirjen Imigrasi... #TolakAnakIsisKembali #TolakAnakIsisKembali #TolakAnakIsisKembali #TolakAnakIsisKembali</t>
  </si>
  <si>
    <t>@dusrimulya @mohmahfudmd Oi kadrun elu yg ngawur, "tentara asing" bukan negara ISIS itu tentara asing tpatnya terorisme Ini kadrun komen ga baca dlu napa</t>
  </si>
  <si>
    <t>@WagimanDeep Mengapa mereka yang menginginkan eks WNI ISIS balik ke Indonesia tidak punya program deradikalisasi atau semacamnya ya ? Jangan2 memang diinginkan yang seperti itu ? Semoga saya salah</t>
  </si>
  <si>
    <t>RT @irmanabd: Cara mudah selesaikan masalah: if you can't solve it, shelve it. Begitulah yg terjadi dlm kasus kejahatan HAM, intoleransi, dan persoalan dgn orang-orang ISIS ini. Impunity begets impunity.</t>
  </si>
  <si>
    <t>RT @HDblek: @RinjaniJB @RizmaWidiono LIDAH MEMANG TDK BERTULANG, JD MUDAH SRKALI BERMAIN KATA2. JGNKAN EKS ISIS, ORMAS YG DI INDONESIA AJA BANYAK MENYEBAR FITNAH PD PEMERINTAHAN.</t>
  </si>
  <si>
    <t>@mohmahfudmd Apapun pemerintah bisa benar dg undang undang itu, bagaimanapun mereka lahir dan punya keluarga di negara ini, kalau ada yg benar benar ingin pulang karna merasa terbujuk isis dan tidak ada pilihan lain terutama anak anak dan ibunya, adakah proaedur yg bisa ditempuh?</t>
  </si>
  <si>
    <t>@LusiHQ @DavidRuslie8 Saya warga negara Indonesia..yg cinta setia MENOLAK ... Kepulangan eks Kombatan ISIS Baik Dewasa atau Anak2... Dan tolong jg Lindungi HAM kami yg Cinta Kedamaian.. Cc. @jokowi @mohmahfudmd @KomnasHAM</t>
  </si>
  <si>
    <t>RT @MediaRakyat_: @mohmahfudmd Memangnya ISIS itu negara sehingga dikatakan bergabung dgn Tentara Asing.</t>
  </si>
  <si>
    <t>RT @YudassPrice: @RinjaniJB Jangan telan mentah" omongan mantan ISIS,waktu dia berangkat juga bilang InsyaAllah kami menang,ini hanya modus...modus</t>
  </si>
  <si>
    <t>Presiden @jokowi menolak pemulangan eks isis #indonesiasatu #AwasAntek2ISIS #jumatambyar #IndoPromoter</t>
  </si>
  <si>
    <t>@mas__piyuuu pemerintah yg tanggung jawab dan optimis mampu edukasi eks isis, yg gak mampu akan blokir mereka sehingga mereka dendam dan nyari kesempatan balas dendam.</t>
  </si>
  <si>
    <t>RT @JhonniSinaga20: @RinjaniJB Pemwrintah tidak berencana dan tidak akan memulangkan ISIS Eks WNI.</t>
  </si>
  <si>
    <t>@Astini_20 @aiwa_hr ada yg kda wni kwc lgi mlm td</t>
  </si>
  <si>
    <t>Artikel Headline Saya di Kompasiana. Bila memang pemerintah Indonesia akan mengambil anak anak para ISIS Eks WNI ini untuk dibawa pulang ke tanah air, maka pemerintah harus bisa memberikan jaminan yang pasti terkait anak anak ISIS Eks WNI ini. Selengkapnya klik tautan link.</t>
  </si>
  <si>
    <t>RT @Rm_lndr4one4587: @RinjaniJB @RizmaWidiono Tolak semua ex ISIS Ex wni yg mo plg k NKRI. mreka mau pulang krn mreka kalah perang ja..ibarat tergiur investasi bodong yg wajib invest kn uangnya dgn iming2 untung 40 ℅ per bln. Bgitu uangnya ludes, mnta uangnya balik. Hil yg mustahal bngt.Enak bngt mnta d pulangin..😠</t>
  </si>
  <si>
    <t>Please deh pak Wapres. Itu sdh d klarifikasi. Dan jg apa pak tdk melihat yg terjadi skrg, jika agama digunakan utk : perpecahan, kekerasan, intoleransi, dan membunuh (yg dilakukan ISIS)  maruf-amin-kepala-bpip-yudian-wahyudi-harus-segera-klarifikasi</t>
  </si>
  <si>
    <t>Din Syamsuddin Sebut ISIS Buatan AS, Benarkah?</t>
  </si>
  <si>
    <t>@sahaL_AS Nda heran pak, kan sudah terjadi pertukaran etnis, budaya dan pola pikir. Warga Arab saat ini adalah warga Indonesia tahun 1980 an dan WNI sekarang dari Bani Arab tahun itu juga. 🤷</t>
  </si>
  <si>
    <t>@nahdlatululama @Helmy_Faishal_Z @hariankompas Tolak Kombatan ISIS</t>
  </si>
  <si>
    <t>anda ngapain masih ngetweet dimari. Bukannya ngurus ASEAN dan mantan ISIS malah komenin kocheng</t>
  </si>
  <si>
    <t>RT @dergrosenjoe135: @RinjaniJB Tidak ingatkah mrk akan kasus bom gereja, bagaimana manisnya mereka saat deradikalisasi? Lupakan eks wni isis.</t>
  </si>
  <si>
    <t>@mohmahfudmd Saya dukung,info sampah &amp; surat sampah betul, jangan kasih tempat pengkhianatan NKRI apalagi yg mau dibahas VERONIKA termasuk (X)isis yg ingin TOBAT. Bila pengkhianat itu tobat harus diproses hukum dulu &amp;amp; di sekolakan dulu ttg Pancasila n UUD45 juga wawasan nusantara &amp;amp; Demokrasi</t>
  </si>
  <si>
    <t>@CNNIndonesia Presiden sudah mengatakan eks wni anggota isis, kok media ngeyel aja wni eks isis,</t>
  </si>
  <si>
    <t>@P3nj3l4j4h_id @makLambeTurah Saya tidak membayangkan dg berbekal pengalaman buruk anak2 isis selama masa golden period tsb maka anak2 tbs akan menjadi PREDATOR2 yg handal dan kejam....NGERI PAK PRESIDEN @jokowi</t>
  </si>
  <si>
    <t>@detikcom Jika ISIS itu adalah teroris maka tidak ada tempat buat teroris di NKRI, mereka sdh menentukan pilihan mereka.</t>
  </si>
  <si>
    <t>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</si>
  <si>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@samhudibae O...baru paham nih. Rùpanya satu golongan toh zonk sm ISIS.</t>
  </si>
  <si>
    <t>RT @BHD_8: @arjuno_ireng01 @PartBurungGalak 🔜 Gila 'kan ? Dgn Ibu kandungnya tega ,, apa lg dg org² yg dianggapnya tidak sepaham (kafir) ? Bener² manusia jahanam ! #AwasAntek2ISIS #TolakAnakISISKembali Seorang Anggota ISIS Tega Eksekusi Mati Ibu Kandungnya</t>
  </si>
  <si>
    <t>Salah bos. Isis itu cuma hayalan doang. Mereka cuma boong2an. Lagi akting doang. Hehehe.</t>
  </si>
  <si>
    <t>@umaralims Isis ternyata ketakutan lihat serdadu yahudi banci, tdk berani dtng pdhl dekat</t>
  </si>
  <si>
    <t>RT @Lembayung071: Urus aj ank ank kita masih banyak ank2kita yg menjadi gelandangan d dalam negri...Zon kalau bicara PK otak ngapain ngurus mrk yg bukan ank WNI...</t>
  </si>
  <si>
    <t>RT @rizieqdivist: Nah, selangkah lagi tinggal bikin sebiji pendukung ISIS yg lagi umroh abadi itu juga STATELESS. [Ma'ruf Amin: 689 WNI Otomatis Lepas Kewarganegaraan karena Ikut ISIS]</t>
  </si>
  <si>
    <t>Gini mas biar ente pinteran dikit. Tidak ada seorang maling pun yg ingin anaknya jadi maling Tapi pengikut ISIS bisa dipastikan selalu menginginkan anaknya punya ideologi yg sama dg dia. Sampai sini paham.. ?!! RT @kamuusiapaaaaaa: @AhlulQohwah Logikanya gini aja mas, ada anak yg ayah nya membunuh, apakah dia seorang pembunuh? Apakah dia tak berhak mndapatkan perlindungan? Tentu berhak!</t>
  </si>
  <si>
    <t>@Je_Ly Yang pengen anak ISIS balik ke Indonesia macam @MardaniAliSera ketua @KPAI_official mending kalian aja yg berangkat ke Suriah, kalian pasti lebih bermanfaat bagi negara dan agama. Selain itu murah biayanya.</t>
  </si>
  <si>
    <t>@mohmahfudmd ISIS itu bkn sebuah negara bapak yg ganteng, dia cuma sebuah organisasi.</t>
  </si>
  <si>
    <t>@republikaonline Agak terlambat declare dr pemerintah menurut saya ya.. hrsnya dari pdsaat mrk keluar dr indo sblm isis kalah.</t>
  </si>
  <si>
    <t>Urus aj ank ank kita masih banyak ank2kita yg menjadi gelandangan d dalam negri...Zon kalau bicara PK otak ngapain ngurus mrk yg bukan ank WNI... RT @jr_kw19: Sangat disayangkan knp fadli zon begitu ngototnya menginginkan Anak2 eks WNI pro ISIS dipulangkan Wooiii ... ngapain buang waktu Biaya,tenaga, ngurus bibit teroris apa gak ada kerjaan apah .. #TolakAnakISISKembali</t>
  </si>
  <si>
    <t>@detikcom Tetep aja anak anak itu patuh sama orang tuanya, walaupuni udah dibina di indonesia kalau udah gede ya..ikut perintah ortunya,.. PKS,.sya MOHON ...jangan jadikan anak Eks ISIS konsumsi politik , .. biarkan mereka hidup damai dengan orang tuanya pintu surga sudah didepan mereka.</t>
  </si>
  <si>
    <t>@smallmelville @Wawanda @dusrimulya @mohmahfudmd Nah klo gitu isis bisa diartikan berjuang demi terbebas dari penjajahan dong, sama kek nganggep OPM pengen merdeka ? Sama kek komunis yg pengen ganti ideologi dong ?</t>
  </si>
  <si>
    <t>@P3nj3l4j4h_id @makLambeTurah Bisa dibayangkan jika anak2 isis ini mempunyai pengalaman buruk dg pembantaian dan permusuhan yg selalu dia alami bahkam dia sendiri sebagai subyeknya....saya bisa bayangkan betapa bengisnya anak2 tsb saat sudah besar...APAKAH TETAP AKAN MEMULANGKAN ANAK TSB PAK PRESIDEN???</t>
  </si>
  <si>
    <t>@03__nakula Yuk... Kita dorong semua anggota Partai PKS DAN KPAI PERGI KE SURIAH UNTUK BINA ANAK ANAK ISIS EKS WNI. #KIRIMPKSKESURIAH #TolakEksWNIproISIS #TolakAnakISISKembali #TolakAnakISISKembali #TolakAnakISISKembali</t>
  </si>
  <si>
    <t>RT @vivanewscom: Debat Soal WNI Eks ISIS, Gayus Lumbuun Sebut Ngabalin Bodoh  #vivanews</t>
  </si>
  <si>
    <t>RT @GamaelBen: @N1ngW4ng1 @DindaAnindit4 Negara dan Pemerintah RI tdk bisa dibebani kewajiban seperti ini. Karna; Kombatan ISIS bukan WNI !! Maka anak2nya pun bukan WNI !!</t>
  </si>
  <si>
    <t>#valentinebukanbudayakita dan Isis lebih lebih bukan budaya kita.</t>
  </si>
  <si>
    <t>RT @Lukman_HARP: kalau mau dibawa pulang, anak2 ini musti di-brainwash ulang, dikarantina dulu di tempat isolasi. bayangkan, 5 tahun pun sudah diindoktrinasi untuk membunuh selain ISIS. di mana mereka ini akan membuat aman ketika ditempatkan?</t>
  </si>
  <si>
    <t>@mohmahfudmd Memangnya ISIS itu negara sehingga dikatakan bergabung dgn Tentara Asing.</t>
  </si>
  <si>
    <t>AMSTERDAM - Pemerintah Belanda akan mengajukan banding terhadap putusan pengadilan yang memerintahkan pemulangan 56 anak anggota ISIS ke Negeri Kincir Angin tersebut. Putusan kontroversial tersebut dibuat pengadilan di Den Haag,...</t>
  </si>
  <si>
    <t>@jokowi Mereka, dewasa dan anak-anak memang sudah bukan WNI lagi. Keputusan presiden sudah tepat.</t>
  </si>
  <si>
    <t>@wahhabicc_jabar @KPAI_official Ni orang disembelih oleh ex isis baru tau lo</t>
  </si>
  <si>
    <t>@N1ngW4ng1 @DindaAnindit4 Negara dan Pemerintah RI tdk bisa dibebani kewajiban seperti ini. Karna; Kombatan ISIS bukan WNI !! Maka anak2nya pun bukan WNI !!</t>
  </si>
  <si>
    <t>@jr_kw19 @2024GanjarRisma Urus aj ank2kita d dalam negri masih byk ank2kita yg menjadi gelandangan d negri sendiri knp urus mrk yg bukan WNI Zon...PK otak ngapa</t>
  </si>
  <si>
    <t>RT @FaGtng: Sampun... pak @jokowi 🙏 Pak bisa gak @Gerindra dikeluarkan dari koalisi ??? Gak bisa ya pak...😔 Maaf pak, sy tak mau yg sy tanya jadi beban baru 'tuk bapak.. Abaikan saja pak... 🙏 #TolakAnakISISKembali</t>
  </si>
  <si>
    <t>#SelamatPagiJogja | KOMPAS : Virus Korona Baru. WNI yang Diobservasi di Natuna Akan Pulang</t>
  </si>
  <si>
    <t>@RyoFahri @I_yaann @evanutama23 @na_dirs Mendingan ikut isis aja ente bang, udah jelas bngt daripada ngedumel mulu</t>
  </si>
  <si>
    <t>RT @SamSoegi: @Lukman_HARP @_P0T4T0_ Dari sekian banyak anak yg, misalnya, nanti diterapi unt menghilangkan pengaruh ISIS, ada 1 anak saja yg gagal, akibatnya bisa mengerikan. Jgn ambil risiko</t>
  </si>
  <si>
    <t>@RizmaWidiono @TeWeL7 @KomnasHAM Kalo eks WNI di Arab sudah jelas anggota ISIS, tak kalah pentingnya mewaspadai simpatisan yang ada dalam negeri.</t>
  </si>
  <si>
    <t>@detikcom Pak ini politik partai tertentu orang tertentu sdh kelihatan niat jeleknya terhadap negara RI jokowi tolak virus isis negara nerima wni yg terjebak virus corona mulya dihadapan Allah swt . Sy sdh nebak bila isis berhasil parpol tertentu yg klim bila bukan jokowi silahkan virusitu</t>
  </si>
  <si>
    <t>RT @OmBrewoks3: Entah ini benar atau hanya halusinasi,tp kita sbg WNI yg baik wajib utk WASPADA. 1. KEBANGKITAN PKI itu NYATA 2. PKI pakai BAJU LIBERAL 3. PKI Bersarang pd partai **** 4. PKI ada di DPR dan ISTANA 5. PKI di LINDUNGI 6. PKI tunggangi ormas 2 HURUF 7. PKI Menyusupi ormas 6 HURUF</t>
  </si>
  <si>
    <t>@DayatPondok @mohmahfudmd Gak gitu kalee😪 Entar ngerembet ke pemerintahan siapa? Pemerintahan zaman siapa? Udah deh akhirnya cerita jadi kesana kemari🤣 Kalo itu ISIS berjaya, itu org2 boro2 minta pulang. Malah ngajakin yg lain ngerecokin negara.</t>
  </si>
  <si>
    <t>@adji2912 Sepertinya pe ka es ada niat terselubung. Apa jangan2 mrk memang berniat utk menggunakan teroris ISIS ex WNI utk mengacaukan NKRI? Kok ngotot banget ya?</t>
  </si>
  <si>
    <t>@wakilgubernurKW @ISIS_Balik_NO @kondekturbus_ Owh.. Ok makasih info lengkapnya lho.. 😀</t>
  </si>
  <si>
    <t>@DayatPondok Ada benernya juga lo, kenapa lo ga ikut ISIS aja browww??</t>
  </si>
  <si>
    <t>Orang @KPAI_official isinya ISIS juga kayanya.... Tolong pak @mohmahfudmd @jokowi diperiksa anggotanya RT @wisanggeni_084: Ketika anak bangsa akan di bina utk berprestasi melalui cabang olah raga bulutangkis di masalahkan.... Anak eks WNI pro ISIS yg prestasinya merakit bom di bela.... Karep mu opo son ?</t>
  </si>
  <si>
    <t>@TeWeL7 @ISIS_Balik_NO @kondekturbus_ SD Negeri Setan Salam, Candiretno, Kec. Secang, Magelang, Jawa Tengah 56195</t>
  </si>
  <si>
    <t>@didihusadi @detikcom sy sependapat kalo mereka berstatus stateless krn dokumen pendukung yg menyatakan mereka wni ndak ada ketika mereka di luar negara indonesia</t>
  </si>
  <si>
    <t>@periani @seruanhl @tuwik71 Boleh cari perhatian... Boleh cari dukungan... Tapi jangan asal JEPLAK!! Harus ada Solusi yang terintegritas..agar ke depannya tidak jadi bumerang bagi 270juta WNI lainnya.</t>
  </si>
  <si>
    <t>Lupulangin eks ISIS, alasannya anak anak. Lu tahu ga, kalo anak anak disana, dididik isis buat bok bunuh diri. Yang minta dipulangin eks isis, suruh minta ama rakyat suriah sama irak aja. Biar disidang dulu dsna. Jafi kita siapa pembela isis.</t>
  </si>
  <si>
    <t>@mohmahfudmd Apakah masuk kategori pengkhianat bangsa?trbukti scr nyata/hukum klo mrk perang sm tentara lain??wna aja diterima,hrsnya ada regulasi ketat ttg aturan wni yg spt itu,karantina aja dipulau terpencil di wil Indonesia. @jokowi</t>
  </si>
  <si>
    <t>@Galihzainur1 @BadjaNuswantara @fadlizon @KPAI_official @KomnasHAM @hnurwahid @Kemenag_RI @felixsiauw @Fahrihamzah Dengan menyaksikan vidio ini, masih adakah Orang Indonesia menginginkan Pemerintah Indonesia memulangkan Bangsa ISIS Ex Bangsa Indonesia tersebut.</t>
  </si>
  <si>
    <t>@seruanhl @jokowi ... masalalu bisa menunjukan kalau MEREKA adalah pemburu kekuasaan....gabung dgn pemerintah? Untuk apa ada ada pilpres kalau tetap menjadikan mereka MUSUH DALAM SELIMUT ? Tolak mereka bergabung dlm koalisi !</t>
  </si>
  <si>
    <t>@MataNetter @smallmelville @Wawanda @dusrimulya @mohmahfudmd Y lu ikutan aja sono gbung isis.!! Gausah basa basi.</t>
  </si>
  <si>
    <t>@WagimanDeep @KPAI_official @ganjarpranowo Anak2 WNI eks ISIS? Mereka bukan WNI lg lho, kan status WNI-nya sudah dibuang, bahkan passpor jg sudah dibakar, jd mereka hanya mantan WNI yg dulu dgn bangganya pergi &amp; mengkhianati NKRI</t>
  </si>
  <si>
    <t>RT @arisutrisna_ari: @mas__piyuuu sila kedua yg katanya punya pancasila? Kalo istri ,anak suami pelaku isis ditolak lho katanya pancasilais masa ngg bisa dokrin kembali ke nkri, buat apa pnya ormas islam dan ormas lainny bila ngg bs merubah iman dan taqwa mrka, bagaimana dgn bPIP?</t>
  </si>
  <si>
    <t>RT @JunandaF: Anak cucu PKI (isu yg telah tuntas) dibully dan dipandang sebelah mata sampai saat ini, ISIS yang jelas jelas kita saksikan kekejamannya, msih banyak yang membela.</t>
  </si>
  <si>
    <t>@tempodotco What if: mereka diminta pulang sama pemimpin ISIS disuru sebarin teror di sini. Terus modus bilang ga betah atau sengsara lah di sana... Jangan pulang deh ya bapak mantan direktur</t>
  </si>
  <si>
    <t>@mohmahfudmd Baru kemudian menetapkan definisi ISIS itu pemerintahan atau bukan</t>
  </si>
  <si>
    <t>RT @myatharva: @vita_AVP @YRadianto GURU GOBLOX...GAYA AGAMIS.,.KELAKUAN LO BUSUK LO JADI ASN DIBAYAR GAJI SMUA WNI SMUA AGAMA LO MERACUNI ANAK2X DGN KEBENCIAN DIBALIK TOPENG AGAMIS LO... GURU KADRUN KEK GINI MENDING DI BUANG KE SURIAH AJA... #PECATGURUKADRUN</t>
  </si>
  <si>
    <t>@GlHindu Poligami, ga kb, ga vaksin Bayangkan ap yx terhadi dgn dunia ini........ Mungkin tujuan isis mengurangi populasi ini kwkwkw</t>
  </si>
  <si>
    <t>@ulil Tapi kata christian prince di YouTube "the arabian prophet" semua yg dilakukan ISIS pernah dilakukan Nabi..gimana mas Ulil mau coba berdialog live sama CP? Cocok tuh bahasa arabnya sama sama fasih..</t>
  </si>
  <si>
    <t>@SalmaBrecht @DemplonMak Sudahlah pak, masih sangat banyak tugas pemerintah di dalam negeri, jangan bebani lagi dengan hal2 tak penting dr luar, seperi pemulangan ex WNI pro isis yg jelas2 penghianat negara.</t>
  </si>
  <si>
    <t>@dusrimulya @mohmahfudmd Isis organisasi teroris bkn mas?</t>
  </si>
  <si>
    <t>@Airin_NZ Gimana kalo kita biayain jemput eks isis ke suriah tapi sambil kibarin bendera tauhid, gmn??</t>
  </si>
  <si>
    <t>@TwitterGaming Linda Vs ISIS</t>
  </si>
  <si>
    <t>@jr_kw19 Anak2 itu bibit isis, nanti ada apa2 sama negara lu malah salahin pemerintah... Zon kaga malu sama dirinya sendiri</t>
  </si>
  <si>
    <t>@wisanggeni_084 Komisi Perlindungan Anak Isis</t>
  </si>
  <si>
    <t>dan kami pun TAK AKAN PERNAH PERCAYA dengan semua PENYESALAN kalian wahai KOMBATAN ISIS!!! #TolakAnakISISKembali #TolakEksWNIproISIS RT @RinjaniJB: Nonton Video ini, betul-betul membangkitkan emosi dan kejengkelan kpd kedua wanita ISIS itu. Jawaban mereka begitu remeh, seenak perutnya. Berangkat bakar paspor, jadi kombatan ISIS, trus seenaknya mau pulang ke Indonesia. Kalian teroris woooi ! #TolakAnakISISKembali</t>
  </si>
  <si>
    <t>@bayo_edy @mohmahfudmd Klo punya hati nurani, lu gak akan membela teroris ISIS toh? Pertanyaannya gue balikin ke lu: lu punya hati nurani gak? Kok bisa membela teroris? Mrk pembunuh, org tua sendiri aja dibunuh.</t>
  </si>
  <si>
    <t>@saefudin_zuhrii @KevinAdam2017 @NicoNugraha @CNNIndonesia Tidak mengakui bukan berarti bukan negara kan? , ISIS sudah menyatakan diri sebagai negara walaupun tidak diakui negara, para petarung asing yang bergabung sudah menganggap ISIS sebuah negara ketika berbaiat kepada mereka</t>
  </si>
  <si>
    <t>@RadioElshinta Buat apa diverifikasi kewargenaraan mereka. Sdh jelas mereka membakar pasport mereka dan mengucapkan sumpah secara sadar tanpa ada paksaan menyatakan setia thd ISIS. Jangan bermain api kalau sdh terbakar repot untuk memadamkannya</t>
  </si>
  <si>
    <t>@AtikaFaya Woyyy... kasus bullying anak marak. Ini malah ngurusin ISIS. JNCK!</t>
  </si>
  <si>
    <t>@ISIS_Balik_NO @em_fdhl @heniunique Wkwkwkkwkw</t>
  </si>
  <si>
    <t>@smallmelville @Wawanda @dusrimulya @mohmahfudmd Tetap saja tidak menjadikan isis itu sebagai sebuah negara, tetap saja mereka itu cuma militan ekstrimis yg ngaku-ngaku alias cuma ngasih klaim sepihak yg tidak bisa dijadikan dasar klo isis adalah sebuah negara</t>
  </si>
  <si>
    <t>@infosebel Dari pada teu valentine bisi di sangka isis</t>
  </si>
  <si>
    <t>@BiLLRaY2019 🔜 Astaghfirullah ! "GURU..!" dlm bhs jawa digugu dan ditiru = (dianggap &amp; ditiru), lantas apalah jadinya jika Guru bertindak spt prilaku ISIS ? #RinganTangan suka gampar ! #Pecat RT @BiLLRaY2019: VIRAL...! "Disiplin perlu, tetapi kekerasan tidak perlu terjadi di sekolah" Seorang oknum guru di SMA Negeri 12 Bekasi memukuli sejumlah siswa di lapangan sekolah, sebagai hukuman atas keterlambatan masuk ke sekolah.</t>
  </si>
  <si>
    <t>Hua hahaha...patut kita DUGA, Orang2 yg sering Jual Agama itulah Anggota ISIS terselubung. RT @yusuf_dumdum: Jleb banget nih pak @mohmahfudmd Langsung doi pura2 gak lihat. 😂 #TindakTegasIntoleran</t>
  </si>
  <si>
    <t>@samhudibae @To_welly Pantesan dia ngotot memulangkan ISIS eks WNI..🙈</t>
  </si>
  <si>
    <t>Hahahaha. KPAI emang sudah keblinger. Otak ke bolak balik. Suruh anak ISIS tinggal di kantor KPAI. RT @wisanggeni_084: Ketika anak bangsa akan di bina utk berprestasi melalui cabang olah raga bulutangkis di masalahkan.... Anak eks WNI pro ISIS yg prestasinya merakit bom di bela.... Karep mu opo son ?</t>
  </si>
  <si>
    <t>@ElizabethMKirei @WR_4AG226 Anak" ISIS itu di ciptakan mereka menjadi mesin pembunuh yang mengerikan. 😢</t>
  </si>
  <si>
    <t>RT @Natalieanggi112: fadli zonk bertanggung jawab thd anak anak eks ISIS konsekuensi yang sangat berbahaya untuk Negara.</t>
  </si>
  <si>
    <t>@detikcom deradikalisasi PKs balik jadi waras aja susah,apalagi bekas isis...🤣🤣😂</t>
  </si>
  <si>
    <t>RT @Ari3Pras: Rencana Besar ISIS Mengubah Anak Jadi Pembunuh Yakinlah!! #TolakAnakISISKembali</t>
  </si>
  <si>
    <t>@mohmahfudmd Mereka ISIS eks WNI. 1 foto sejuta makna</t>
  </si>
  <si>
    <t>RT @MariawanDede: Keputusan rapat tadi pemerintah dan negara harus memberi rasa aman dari teroris dan virus-virus baru, terhadap 267 juta rakyat Indonesia.  #TolakAnakISISKembali #TolakEksWNIproISIS</t>
  </si>
  <si>
    <t>@mohmahfudmd Terima kasih, Pak, atas ketegasan Pemerintah. ISIS = kelompok teroris. Tidak ada negosiasi apapun dgn simpatisan teroris. Klo di comment TL Bapak banyak yg mengkritisi berarti mereka simpatisan teroris ISIS, harus dipertanyakan apakah mrk penghianat NKRI atau bukan</t>
  </si>
  <si>
    <t>@em_fdhl @heniunique @LusiHQ Goblok...ente keluar dr perempuan macem apaan.....kagak ada adab, kagak visa ngontrol omongan...anak bekas pelacur tibat ?</t>
  </si>
  <si>
    <t>@mohmahfudmd Sepakat Prof. Negara lebih baik mengurus anak2 WNI korban bom</t>
  </si>
  <si>
    <t>Star 67, WNI, Legend RT @ComplexMusic: 5 years ago, @Drake dropped 'If You're Reading This It's Too Late.' RANK YOUR TOP 3 TRACKS 🤔</t>
  </si>
  <si>
    <t>@__Ndaru__ @Wawanda @dusrimulya @mohmahfudmd Nah klo pelaku menganggap ISIS adalah sebuah negara gimana?</t>
  </si>
  <si>
    <t>Anak cucu PKI (isu yg telah tuntas) dibully dan dipandang sebelah mata sampai saat ini, ISIS yang jelas jelas kita saksikan kekejamannya, msih banyak yang membela.</t>
  </si>
  <si>
    <t>@em_fdhl @LusiHQ @heniunique Hey anak GOBLOK, LO BISA BAHASA INDONESIA APA KAGAK, MONYET ? Lo belajar AHLAK dari agama laen !</t>
  </si>
  <si>
    <t>RT @GamaelBen: @angedespoir5 Waduh, KPAI bisa buktikan ya, bahwa kombatan ISIS itu secara yuridis msh berstatus WNI ??</t>
  </si>
  <si>
    <t>@dusrimulya @mohmahfudmd tentara asing artinya tentara selain TNI.... apa ISIS itu TNI?????😏</t>
  </si>
  <si>
    <t>@angedespoir5 Waduh, KPAI bisa buktikan ya, bahwa kombatan ISIS itu secara yuridis msh berstatus WNI ??</t>
  </si>
  <si>
    <t>@IrmanputraSidin Negara tdk lg anggap ex isis sbg manusia. Sejatinya pejabat negara yg hrs dipertanyakan, masih manusiakah mereka?</t>
  </si>
  <si>
    <t>@mohmahfudmd Jangan percaya sama HAM , yang di Indonesia aja jarang mereka bela ini malah membela ISIS atas nama HAM, bulshit</t>
  </si>
  <si>
    <t>@shinichikudo991 Tolong suruh berangkat ke suriah, jemput eks isis sambil kibarkan tuh bendera tauhid.</t>
  </si>
  <si>
    <t>@mohmahfudmd Kalau WNI ber profesi tentara penugasan pasukan kemanan PBB keluar Negeri dan ikut perang di luar Negeri apa ya ikut Hilang kewarga negaraannya. Nyuwun sewu Mbah Monggo dijelaskan. Matur Nuwun.</t>
  </si>
  <si>
    <t>Istana Tegaskan WNI Teroris Lintas Batas yang Pulang Akan Diadili -</t>
  </si>
  <si>
    <t>Panglima TNI : Observasi 238 WNI di Natuna Dinyatakan Sehat . puspentni Sebanyak 238 WNI dari Wuhan China yang di observasi di Natuna semuanya dinyatakan sehat. Ini sesuai dengan prosedur kesehatan standar WHO…</t>
  </si>
  <si>
    <t>RT @muhammadiyah: Pandangan Muhammadiyah Terkait Kepulangan Mantan Kombatan ISIS  #Muhammadiyah #radikalisme #ISIS</t>
  </si>
  <si>
    <t>@Galihzainur1 @fadlizon @KPAI_official @KomnasHAM @hnurwahid @Kemenag_RI @felixsiauw @Fahrihamzah ISIS dan AlQida,Terorisme dan Radikalisme semua itu ciptaan Israel dan Amerika. Jadi salahkan Amerika dan Israel dalam menipu Orang islam yg Awam yg direkrut oleh ISIS ciptaan AS dan Yahudi iLLuminaty Israel.</t>
  </si>
  <si>
    <t>RT @MataNajwa: 5. Kerja-kerja kontraterorisme mesti ditingkatkan lagi, jangan ada anggota ISIS garis keras yang tak terdeteksi. #MataNajwaMenangkisISIS</t>
  </si>
  <si>
    <t>@jr_kw19 Jangan pakai ISIS untuk panggung politik mu zonk, atau jangan2 ada agenda yg ingin dicapai</t>
  </si>
  <si>
    <t>RT @MataNajwa: Mata Najwa - Menangkis ISIS (Part 6)  Undang-undang mengenai terorisme disahkan pada 2018. Tapi, dua tahun berlalu baru ada 1 peraturan pemerintah turunan dari regulasi itu. #MataNajwaMenangkisISIS</t>
  </si>
  <si>
    <t>Dokrin taqiah berpura pura fengan musuh isis Nu, pdip Dan minoritas libas mereka</t>
  </si>
  <si>
    <t>RT @fadjroeL: 1. Pemerintah harus memberi rasa aman dari ancaman teroris dan virus baru teroris terhadap 267 juta rakyat Indonesia; 2. Pemerintah tak ada rencana memulangkan teroris, tidak akan memulangkan anggota ISIS ke Indonesia ~ #Jubir #BungJubir @jokowi @JubirPresidenRI @mohmahfudmd</t>
  </si>
  <si>
    <t>RT @INDRAARDIAWAN2: PERSIS mengingatkan pemerintah&amp; ummat Islam Indonesia akan nasib anak &amp;amp; keluarga eks ISIS yg tdk berdosa. “Kita prihatin atas nasib mereka yg mnjadi korban propaganda(tdk satu komando)sehingga tanpa mengerti,tanpa keinginannya sendiri mereka hrs bergabung dgn ISIS”(12/02/2020)</t>
  </si>
  <si>
    <t>@aliwangi @rahiiimm_abdul @YuliantoRobby @DSathome2 @Dennysiregar7 @aniesbaswedan @KemensetnegRI @DivHumas_Polri Mereka bukan pembela mereka cuma udah tidak bisa berpikir lagi... Udah di cuci otak seperti ISIS eks WNI</t>
  </si>
  <si>
    <t>Yg sering diabaikan mereka itu bukan pasukan ISIS yg insyaf. Mereka pasukan ISIS yg kalah. Jadi tetap ISIS hingga bisa jauh lebih brutal karena usai kalah perang. RT @DjanChoek: Moralitas wartawan CNN dan pemulangan eks. ISIS. Apa ug ditunjukan wartawan ini sungguh mengkhawatirkan. Apa yg bisa diharapkan dari seseoranh yang rela mengorbaan jutaan perasaan hanya bela 600-an pengkhianat?</t>
  </si>
  <si>
    <t>Kebencian yg tiada akhir terhadap orang yg hanif sehingga dicarikan undang" untuk melegalkan sesuatu kebijakan yg diangapnya benar. Padahal itu saudara seiman yg wajib di lindungi sbb masih tercantum warga negara yg sah. Ingat( ISIS Boneka) USA hancurkan ISLAM.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</si>
  <si>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@mohmahfudmd Ijin.. ISIS (Islamic STATE Iraq and Syam/Suriah) STATE ini makanya NEGARA. diakui/tidak. Mereka mendeklarasikan diri sbg negara. Kemudian sekelompok orang keluar dr negara asal dan bergabung dg negara lain. Unsur yg pak Mahfud sampaikan sdh terpenuhi. Kok masih pd ribut.</t>
  </si>
  <si>
    <t>RT @muktiadi1: @4Y4NKZ Sialan ini propoganda Komnas HAM. Selalu ngotot dgn istilah WNI. Sama kayak ISIS. Padahal harus ISIS ex Indonesia. Ideologi tetap ISIS. Mana pernah mereka bilang tobat dan bilang ISIS itu thogut. Komnas HAM carmuk dan cari duit aja</t>
  </si>
  <si>
    <t>@fadjroeL @jokowi @Kiyai_MarufAmin @KemensetnegRI @setkabgoid Mas Dazrul Indonesia kan bukan suku. Indonesia kan seperti kewarganegaraan, saat orang bakar pasport, pernah ngaku keluar dari WNI. ya udah mereka cuma numpang lahir aja. Sama lah kaya bule numpang lahir di Indo. Masuk indo ya apply visa dulu.</t>
  </si>
  <si>
    <t>Wni e energy RT @RapReligion__: Today is the 5 year anniversary of Drake’s “If You’re Reading This, It’s Too Late”. What’s your favorite song?</t>
  </si>
  <si>
    <t>@jokowi Yakin pak? Kan namanya juga udah EKS WNI?</t>
  </si>
  <si>
    <t>Ini wartawan super naif. Tahu kebrutalan ISIS eh minta pemerintah memulangkan. Sama saja meletakkan bom bunuh diri di kerumunan 250 juta orang. Ini bukan soal regulasi bung. Soal kebrutalan. Emang anda bisa jamin amankan mereka. RT @DjanChoek: Moralitas wartawan CNN dan pemulangan eks. ISIS. Apa ug ditunjukan wartawan ini sungguh mengkhawatirkan. Apa yg bisa diharapkan dari seseoranh yang rela mengorbaan jutaan perasaan hanya bela 600-an pengkhianat?</t>
  </si>
  <si>
    <t>@tubirfess Kalau simpatik sama mereka tunjukin diri ente, jgn pke akun base, Ente ajuin ke kemendagri, minta surat perizinan nampung anak bekas kombatan isis, Sekalian ajuin diri jadi jaminan klo2 satu saat itu anak2 ada yg error, Bukan cuma koar sembunyi lewat akun base 😑😑😑</t>
  </si>
  <si>
    <t>@mohmahfudmd NGAWUR nih.... Isis bukan negara kaleeeeeeeee</t>
  </si>
  <si>
    <t>RT @KelianBanjar_GK: Minta Pulang Dan Mengaku Tobat, Simpatisan ISIS Pandai Berbohong Sebab Doktrin Berpura-pura Di Depan Musuh #TolakAnakISISKembali</t>
  </si>
  <si>
    <t>@kumparan @Zambulazzam anak2 revolusi mental lebih biadab dr pd didikan isis...</t>
  </si>
  <si>
    <t>@KPAI_official @KomnasHAM PKS, kalian ingin memulangkan anak anak WNISIS, apa kalian mikir nasib anak anak WNI korban kekejian ISIS? RT @eko_kuntadhi: Kirim relawan KPAI ke Kamp Pengungsi. Agar bisa mendampingi pengungsi di sana!</t>
  </si>
  <si>
    <t>RT @dubie_tina: Masih Mau Terima ISIS Di Indonesia ? 😡😡😡😡😡😡😡😡😡😡😡😡😡</t>
  </si>
  <si>
    <t>@TRifda Iyoo bener bgt. Aku nggolek pasal nd ndi sg menyatakan status WNI iso ilang :v Anda juga? Wkwk Eh dpt jawaban langsung dr Pak Menteri</t>
  </si>
  <si>
    <t>RT @TeWeL7: @ISIS_Balik_NO @wakilgubernurKW @kondekturbus_ Dazal itu guru ngajar di sekolah mana?</t>
  </si>
  <si>
    <t>RT @MZubir_ID: Rata-rata teroris anak ISIS berusia dibawah 10 tahun, mereka sudah melakukan pembunuhan biadab. Jika pemerintah ingin memulangkan teroris ISIS anak semoga membatalkan rencana itu. #TolakAnakISISKembali @jokowi @mohmahfudmd @KPAI_official @KomnasHAM</t>
  </si>
  <si>
    <t>Masih Mau Terima ISIS Di Indonesia ? 😡😡😡😡😡😡😡😡😡😡😡😡😡 RT @arjuno_ireng01: Seorang Anggota ISIS Tega Eksekusi Mati Ibu Kandungnya Serambi Indonesia.  Anak Durhaka Tak berperikemanusiaan, masih mau nerima mereka kembali ke tanah air #TolakAnakISISKembali ke Indonesia</t>
  </si>
  <si>
    <t>RT @dw_indonesia: Masa observasi WNI dari Wuhan di Natuna dinyatakan akan berakhir Sabtu, 15 Februari 2020. Setditjen P3 @Kemenkes_RI katakan masa observasi secepatnya diakhiri karena sekitar 238 WNI yang menjalani masa observasi di Natuna dalam keadaan sehat.</t>
  </si>
  <si>
    <t>PERSIS mengingatkan pemerintah&amp; ummat Islam Indonesia akan nasib anak &amp;amp; keluarga eks ISIS yg tdk berdosa. “Kita prihatin atas nasib mereka yg mnjadi korban propaganda(tdk satu komando)sehingga tanpa mengerti,tanpa keinginannya sendiri mereka hrs bergabung dgn ISIS”(12/02/2020)</t>
  </si>
  <si>
    <t>@mohmahfudmd Tolong sampaikan ke bapak Jokowi ya... Dari pada angaran buat pulangin ISIS eks WNI mending dananya disumbangkan ke pemerintah Syiria buat eksekusi ISIS eks WNI.</t>
  </si>
  <si>
    <t>RT @Rm_lndr4one4587: @Pika41961394 @AhlulQohwah Ex ISIS sdh g layak kmbali k indo. Mreka sdh stateless. G wajib negara melindungi mereka yg jlas pengkhianat. Yg ada harusnya Negara wajib beri rekomendasi ke Suriah utk segera lakukan eksekusi mati atas kebiadaban mereka. Eksekusi ini justru meringankan azab mereka d akhirat</t>
  </si>
  <si>
    <t>@ISIS_Balik_NO @wakilgubernurKW @kondekturbus_ Dazal itu guru ngajar di sekolah mana?</t>
  </si>
  <si>
    <t>@WagimanDeep @KPAI_official @ganjarpranowo Isis eks wni pak @KPAI_official</t>
  </si>
  <si>
    <t>@mohmahfudmd Klo WNI yg meledakkan Bali, mengebom gereja, menolak renovasi gereja, termasuk teroris ga??? Kewarganegaraan nya apa???</t>
  </si>
  <si>
    <t>@dusrimulya @mohmahfudmd Sebaiknya bertanya dulu mas, apa yg dimaksud dgn tentara asing? Dan apa ISIS termasuk di dalamnya? Jgn nge-gas aja.</t>
  </si>
  <si>
    <t>@tjhinfar21 @adji2912 @hnurwahid @MardaniAliSera @jokowi ToLak RADIKALISME.... termasuk eks ISIS...</t>
  </si>
  <si>
    <t>RT @Harian_Jogja: Ma'ruf: WNI Ikut ISIS, Status Kewarganegaraannya Otomatis Hilang</t>
  </si>
  <si>
    <t>Bersama Pemerintah POLRI Dan TNI UNTUK BERANTAS KAUM ISIS RADIKAL HTI FPI PA212 GNPFUI PKS UNTUK KELUAR DARI BUMI NKRI ! Mrk adalah Musuh Nyata di Depan Mata Kita Dekat dgn kita yg slalu bikin GADUH Rusuh intolerant KRN ingin Mengganti Ideologi kita</t>
  </si>
  <si>
    <t>Yg Berkedok Partai Agama Dan Ayat Kalian Sebenarnya adalah Musuh Nyata Bangsa ini ! Percayalah Klau Rakyat sdh Bergerak KELAR PKS SELAMANYA ! Itu Pasti ? Nah Ini Moments Penting Buat Rakyat Indonesia yg Waras Pasti yg MENOLAK ISIS Ayo Rapatkan Barisan</t>
  </si>
  <si>
    <t>@mariaky600 Mereka tidak membutuhkan itu. Mereka datang kembali ke Indonesia bukan karena mereka mencintai tanah kelahirannya, tapi karena ISIS kalah, mereka tidak punya Masa depan di Suriah, di Suriah mereka terancam dihukum oleh pemerintah Suriah yg sah.</t>
  </si>
  <si>
    <t>@do_ra_dong begal ada beritanya. narkoba ada beritanya tinggal episode teroris uang belum nih.. atau episode terorisnya di ubah dengan isue mantan ex ISIS di tolak kembali jd WNI?</t>
  </si>
  <si>
    <t>RT @ANDRE_OCTA_: jangan sampai ada 689 FTF kombatan ISIS eks WNI yg lolos masuk lewat jalur darat, laut dan udara, @DitjenImigrasi @Puspen_TNI @DivHumas_Polri</t>
  </si>
  <si>
    <t>@natashavine14 Apaka perihal memulangkan anggota ISIS?</t>
  </si>
  <si>
    <t>PEMERINTAH Dan RAKYAT INDONESIA 🇮🇩 Tdk Akan Pernah Mau DanTertarik Utk Ngurus MESIN PEMBUNUH KAUM ISIS ! PERSETAN Dgn ( HAM MUI HTI KPAI kelompok ini 11-12 Dgn Kaum RADIKAL )NYA INDONESIA ! Sama SATU Kelompok jg dgn PKS ! Sudah lah PKS Anda ISIS TERORIS</t>
  </si>
  <si>
    <t>@KelianBanjar_GK Anak anak ISIS itu anak anak ular yang taunya hanya membunuh dan membunuh .</t>
  </si>
  <si>
    <t>Dan Mengasuh Mereka Disana Tinggalah Di Sana di Camp ISIS RAWAT DAN URUS MEREKA KAUM ISIS ! Ok ? ! Tidak Usah Nyuruh2 Pemerintah Dan Rakyat Indonesia 🇮🇩 yg sdh Tentram Aman Damai BAHAGIA dgn Semua Kelimpahan HEBAT Indonesia 🇮🇩 untuk Ngurus Mesin Pembunuh !</t>
  </si>
  <si>
    <t>@DumaySyuhada @izharchaniago Itulah alasannya knp org Iraq benci ISIS dan sngt mengharapkan agar ISIS sgera hancur Akibat issue ISIS rakyat Iraq jadi susah bergerak. Dimana2 jalan diblokir kawat duri dan dibuat checkpoint dgn penjaga bersenjata otomatis. Masuk hotel diperiksa ANJING RT @DumaySyuhada: Pemuda2 muslim di Irak disembelih satu persatu didalam masjid , dilain video ada pemuda2 yang disuruh baris kemudian satu persatu ditarik &amp; ditembak kepalanya kemudian dilempar ke sungai , apakh begini cara Islam memperlakukan sesama muslim ?</t>
  </si>
  <si>
    <t>Itu Hanya Kamuplase Untuk Kebohongan Public Kedok Anda Seolah2 Anda Partai Resmi yg ada di Indonesia Tapi Sebenarnya Anda Dan SEMUAAAAA ANTEK PKS ADALAH ISIS NYATA YG ADA DI INDONESIA ITU FAKTA ! Buat SOHIBUL IMAN Kenapa Tdk Anda Dan Antek2 PKS yg Pergi</t>
  </si>
  <si>
    <t>Teman Sahabat Kita Anak2 Kita Ya Allah Selamanya SAYA TOLAK ISIS DATANG KE BUMI NKRI ! Dan Buat Pimpinan Partai PKS SOHIBUL IMAN Anda Seperti Sangat Berambisi Sekali Dgn ISIS Kita TIDAK KAGET Mengingat Anda Adalah ISIS Yg Tinggal di NKRI Dan Partai PKS</t>
  </si>
  <si>
    <t>@andalasiy @AAR63028211 @CNNIndonesia ISIS gk menggunakan syariat Islam, wajar muslim takut sm ISIS</t>
  </si>
  <si>
    <t>INI KELAKUAN ISIS 😡😡 ! Dgn IBU KANDUNG DIA BISA BUNUH TANPA PERIKEMANUSIAAN ! Msh Indonesia Punya niat menerima mereka ? Astagfirullah al azeeem100x , Tidak 😡 ! Dgn ibunya bisa dia BUNUH Apalagi dgn Orang Lain ! ! Kita KELUARGA kita Saudara kita</t>
  </si>
  <si>
    <t>@mohmahfudmd Perlu di koreksi Isis bukan negara mereka yg ikut isis tidak memberontak ke negara Indonesia</t>
  </si>
  <si>
    <t>RT @kesatu_co: Para kombatan ISIS dinilai memiliki doktrin atau pemikiran yang sangat kuat terkait terorisme. Kenekatan mereka pergi ke Suriah untuk bergabung dengan ISIS menjadi salah buktinya. #ISISGoToHell #ISIS @MajelisUlamaID @jabarprovgoid</t>
  </si>
  <si>
    <t>@Airin_NZ Si Anjing partai Setan ini. Kemarin Apresiasi Pemerintah Tak Pulangkan WNI EKS ISIS, sekarang minta dipulangkan. Gile emang</t>
  </si>
  <si>
    <t>Wanita ini Mantan ISIS menikah lagi dan sudah punya anak,Lihat anaknya memberi kode pada Ibunya,Ngeri..😱</t>
  </si>
  <si>
    <t>#RezimJKWRampokBUMN #RezimJKWRampokBUMN Pengamat: Jokowi seperti Mengakui Kedaulatan ISIS, padahal Dunia Internasional Tidak  Ga usah heran &amp; kaget... Khan mmg begitu cara kerjanya</t>
  </si>
  <si>
    <t>@mohmahfudmd Tidak perlu repot cari payung hukum untuk mereka yg bergabung je ISIS,, Minta Negara SURIAH Hukum Mati Mereka,, Maka Bangsa Indonesia Sudah Sangat Membantu Niat dan Cita2 Mereka Yg Luhur Sebagai Pejuang Syahid,,!!! Ingat Juga Pepatah,, "Buanglah Sampah Pada Tempatnya,"</t>
  </si>
  <si>
    <t>Nalar saya hilang...@mohmahfudmd menyarankan @jokowi mencabut kewargaan dg kepres.Karena wni jadi teroris?</t>
  </si>
  <si>
    <t>gila itu video2 sadis ISIS eksekusi tolong jangan diposting lah. ngeri ! @kemkominfo @Twitter</t>
  </si>
  <si>
    <t>KPAI: komisi Perlindungan Anak Isis?!! RT @AhlulQohwah: Di Malang anak dibully sampai patah tangan anteng, di Purworejo anak perempuan dianiaya anteng. Giliran anak ISIS suaranya kenceng.</t>
  </si>
  <si>
    <t>@wahhabicc_jabar @bersatulahnkri @KPAI_official Perhatikan jenggot kambingnya saya kuatir lagi ada pimpinan KPAI yang terafiliasi ISIS..</t>
  </si>
  <si>
    <t>RT @andy_nomicin: Proses indoktrinasi ini dilakukan dengan banyak cara, salah satunya kebiasaan orang tua untuk membawa anak-anak mereka ke sesi kajian dalam kelompok2 pro ISIS. Nah.. kalau yg sdh dibawa sampai ke Suriah bukannya lebih bahaya? #TolakAnakISISKembali</t>
  </si>
  <si>
    <t>RT @liliana16363: @RadioElshinta Masih banyak anak2 di Indonesia yang bukan ex isis yang harus diperhatikan olh pemerintah melalui KPAI</t>
  </si>
  <si>
    <t>RT @fariji_lacak: Presiden RI Jokowi melalui Menkopolhukam, MENOLAK mantan WNI Anggota ISIS kembali ke Indonesia. Kalo ada yg NGOTOT/NGEYEL...patut diduga org tsb Anggota ISIS terselubung, gitu aja kok repot.</t>
  </si>
  <si>
    <t>@mohmahfudmd Yg ikut ISIS adalah korban kebohongan. Sama dgn kami di sini yg dibohongi 5 THN lebih.</t>
  </si>
  <si>
    <t>Masa Karantina Berakhir Besok, WNI di Natuna Pulang ke Jakarta</t>
  </si>
  <si>
    <t>Tdk hanya disana, kombinasi mie instan Indonesia + obat masuk angin jg dikangeni WNI yg masih tinggal di asrama di bbrp kota Wilker KJRI GZ. Terus semangat dan tetap berhati2 rekan2 @KBRITokyo. . #NegaraMelindungi #IniDiplomasi #IndonesianWay RT @KBRITokyo: KBRI Tokyo (12Feb) mengantar cairan Pereda Masuk Angin yang diminta WNI yg sedang di atas kapal Diamond Princess yang sedang dikarantina utk observasi di Yokohama, sekaligus Mie Instan dan Vitamin C. Foto: barang diantar staf KBRI Tokyo ke petugas pelabuhan. #NegaraMelindungi.</t>
  </si>
  <si>
    <t>@mohmahfudmd Mereka semua lebih banyak cari penghidupan karena tidak ada kehidupan "layak" didapatkan di Indonesia seperti apa yg dipropagandakan iklan ISIS. Jadi mereka korban penipuan. Apa bedanya ketika mereka di Indonesia?</t>
  </si>
  <si>
    <t>Sebanyak 238 Warga Negara Indonesia yang sedang diobservasi di Natuna, Kepulauan Riau, dan jumlah paling banyak berasal dari Jawa Timur yakni 68 orang.</t>
  </si>
  <si>
    <t>@DumaySyuhada @izharchaniago Mereka2 yg sok bela2 in ISIS itu harus tanya langsung ke orang Iraq, secara ISIS mengaku berjuang utk Iraq. Warga Iraq beneran malah benci ISIS dan menyatakan ISIS bukan Islam. Lah kok ada yg gegayaan share pideo dan memuja ISIS sbg jundullah KOPLAK !!! RT @DumaySyuhada: Andai saja masih ada video2 tentang kekejaman ISIS akan saya share supaya orang lain paham bahwa ISIS bukanlah dari Islam &amp; sama sekali tidak mengamalkan ajaran Islam , hanya tampilan dhohir , jenggot &amp;amp; rambut saja mereka menyerupai mujahidin .</t>
  </si>
  <si>
    <t>RT @adtaufiq: Pemerintah saat ini saja tak mampu mengurus soal intoleransi yg terjadi, lha koq ada yang berwacana dan berpendapat tetap dilakukan repatriasi 600 eks ISIS dengan alasan negara tdk boleh membiarkan seseorang stateless dan masa depan anak2nya.</t>
  </si>
  <si>
    <t>@RadioElshinta Masih banyak anak2 di Indonesia yang bukan ex isis yang harus diperhatikan olh pemerintah melalui KPAI</t>
  </si>
  <si>
    <t>@smallmelville @dusrimulya @mohmahfudmd Tentara asing yg dimaksud dlm UU tsb atas nama negara atau bagaimana? Lazimnya ya seharusnya atas nama "Negara". Sama seperti ketika seorang WNI mendapat passport negara lain maka bisa gugur kewarganegaraannya.</t>
  </si>
  <si>
    <t>RT @vivanewscom: Video Debat Sengit Gayus Lumbuun Vs Ngabalin Soal WNI Eks ISIS  #vivanews</t>
  </si>
  <si>
    <t>@DayatPondok @mohmahfudmd Kalo merasa situ pemerintah gagal ya knp nyuruh anggota ISIS yg kalah buat balik ke Indonesia... Masa sudah dicampakkan kok skr ngemis2 minta balikan.. Ra sudi la yaaaaw</t>
  </si>
  <si>
    <t>RT @YohanesPatty2: @RinjaniJB Budak seks ISIS.</t>
  </si>
  <si>
    <t>RT @Galihzainur1: @elbynz @sirajapadoha @fadlizon @KPAI_official @KomnasHAM @hnurwahid @Kemenag_RI @felixsiauw @Fahrihamzah Agenda politik masih melatar belakangi apa tujuan mereka ngotot untuk memulangkan Eks ISIS. Satu hal tujuan utama mereka membuat Rasa tidak aman hingga #Choas antar Agama dan Suku. Biadab politikus Bangsad.</t>
  </si>
  <si>
    <t>Pemulangan Eks Kombatan ISIS, Alissa Wahid : Harus Dikaji Matang</t>
  </si>
  <si>
    <t>RT @QalbuBahasa: @spiderr__matrix @SalmaBrecht Anak2 ??? Dilema untuk kebijakan Pempus, sdh pasti 👍 Perlu diingat kmbali, anak2 eks Isis sdh pandai membunuh, sdh terbiasa bermain main dgn senjata api tdk sprti anak2 pada umumnya, CAMKAN...!!! Efek yg akan terjadi pabila mrk d pulangkan" #TolakPulangkanKombatanISIS</t>
  </si>
  <si>
    <t>RT @RullyOedaya: @UyokBack @aksioma02 Ini setelah dipermalukan di Australia, gagal cari utang ke UEA, agama musuh besar Pancasila, tidak akan memulangkan WNI ex ISIS, lalu katanya ditelpon Xi Jin Ping. Sudah terlanjur koar2 pindahkan ibukota, eh ga ada dananya. HOHOHOHO.... BINGUNG NIH YEE !!!</t>
  </si>
  <si>
    <t>@cikikejuuu @AlterBase18Plus Syukur syukur menang hadiah utamanya tiket liburan gratis ke wuhan / tour wisata "mengenal isis lebih dekat di negara irak"</t>
  </si>
  <si>
    <t>@detikcom Simpatisan Isis akan selalu beda, pasti membela Teroris. Ya gak @msi_sohibuliman ..?</t>
  </si>
  <si>
    <t>@UKI_djayengrono @WLenke @fadlizon Dari awal yang ngotot isis di pulangkan, ternyata ini maksutnya....? @fadlizon</t>
  </si>
  <si>
    <t>RT @AtikaFaya: Ini twitland om. bebas. Suka narasiku monggo. gk suka ya gak apa2. Follow gak maksa. Unfol silahkan. heheh. napa sewot. Kalau saya menyarankan mbah din ngasih tau ke yg biasa demo2 tdk otomatis mengkaitkan dgn isis..cuma yg teriak savekombatan ya kelompok itu..inclued si peliks.</t>
  </si>
  <si>
    <t>RT @siKartikaRibet: Menjelang pemulangan 285 WNI yang diobservasi di Natuna, ke daerah asal mereka masing-masing pada akhir pekan ini, pemerintah memastikan mereka sehat. Mereka dinyatakan sehat dari penyakit yang disebabkan oleh Virus Corona. Alhamdulilah Sehat semuanya</t>
  </si>
  <si>
    <t>@mohmahfudmd Beda pengikut isis,beda anggota kkb..org yg mencintai non mudlim ketimbang muslimin dan mengingkari kebenaran al quran dan kebenaran risalah nabi muhammad maka dia hilang status keislamanya/murtad" dgn sendirinya"tanpa melalui pengadilan.</t>
  </si>
  <si>
    <t>@mohmahfudmd "ISIS" adalah sebuah gerombolan yg mengklaim punya "negara" tapi syarat2 untuk menjadi sebuah negara sama sekali tidak terpenuhi.</t>
  </si>
  <si>
    <t>Gw jadi curiga ada sistem immunitas yang bikin WNI ini anti corona 🤔 RT @CNNIndonesia: Pemerintah Jepang menyatakan sebanyak 218 penumpang kapal pesiar Diamond Princess terinfeksi virus corona. @Kemlu_RI pun menuturkan bahwa 78 orang WNI yang merupakan kru dari kapal pesiar tersebut dalam kondisi sehat dan negatif virus corona.  #CNNIndonesia</t>
  </si>
  <si>
    <t>Jangan meremehkan berita mengenai TKW di Singapura direkrut JAD dan ISIS. Mereka sasaran kaum radikal sengaja. Laporan ini dlm Bhs Inggris sungguh mengerikan:  #dampakradikalisme #tolakeksISIS @Julie_Pandika @Namaku_Mei @JulianaAisyahM1 @zlametabidin</t>
  </si>
  <si>
    <t>@RinjaniJB Budak seks ISIS.</t>
  </si>
  <si>
    <t>@AtikaFaya KPAI, Komnas HAM itu sama aja.. Isinya ara antek HTI dan FPI serta simpatisan ISIS.. Bubarkan aja lah.. Bahaya klo dibiarkan</t>
  </si>
  <si>
    <t>@kafiradikal @jokowi Yahh amerika juga melakukan itu, tapi ini WNI nya sampe 600an dana yang dikeluarkan negara pasti lebih banyak dari amerika yang cmn gak lebih dari sepuluh orang dan juga gak ada jaminan setelah diadili mereka jera</t>
  </si>
  <si>
    <t>@tempemendoanGL @jokowi Pak @jokowi kan sdh jls menolak, cuma msh ada yg ngotot mrk dibalikin k Indonesia, skrg mrk minta anak eks wni pro isis yg diperjuangkan utk dibalikin k Indonesia...</t>
  </si>
  <si>
    <t>RT @demoSoCRAZY: Kata istana 𝙒𝙉𝙄 bekas Kombatan ISIS &amp; (istri/anak) ditolak rakyat Indonesia, benarkah.? Survey ya tweeps, apakah: • 𝙙𝙞𝙩𝙚𝙧𝙞𝙢𝙖 𝙩𝙖𝙥𝙞 𝙝𝙧𝙨 𝙢𝙚𝙡𝙖𝙡𝙪𝙞 𝙥𝙧𝙤𝙨𝙚𝙨 𝙥𝙚𝙣𝙜𝙖𝙙𝙞𝙡𝙖𝙣? Or • ditolak tanpa proses pengadilan? •Diterima (RT🔄) •Ditolak (Like🖤)</t>
  </si>
  <si>
    <t>@Salaman94187354 @Penyuka_ombak @NUgarislucu @WagimanDeep @WahabisLokal @BuyaSyafii Case closed sudah tdk ada pembicaraan lagi ttg hal ini. Sudah diputusken bhw mereka stateless. FPI dan HTI yg tdk berizin saja masih turun ke jalan bawa benderanya. Apalagi ISIS beneran. Ngarep mrk ber-Pancasila? Ora nalar blasss!</t>
  </si>
  <si>
    <t>@CH_chotimah @jokowi @mohmahfudmd Antek2 ISIS ini lebih merusak dari dalam dan menghancurkan tataran system dan keuntungan demografi yg akan kita jaga dan pelihara</t>
  </si>
  <si>
    <t>RT @okezonenews: TERKAIT WNI EKS ISIS, MA'RUF AMIN: MEREKA SUDAH BUKAN WARGA NEGARA INDONESIA #TauCepatTanpaBatas</t>
  </si>
  <si>
    <t>RT @arjuno_ireng01: Sudah jgn banyak argumen lagi pukul palu Thok tidak ada tempat lg buat ISIS eks WNI untuk kembali ke tanah air.... TITIK ##TolakAnakISISKembali</t>
  </si>
  <si>
    <t>Mereka berangkat² sendiri. Mereka pula yang membakar identitas WNI mereka mereka juga mengatakan pemerintah Indonesia thogut, sekarang minta dipulangkan pemerintahkan yg kata mereka thogut? Kalian sehat? Semangat pak @mohmahfudmd 💪 #DukungJokowiBerantasISIS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</si>
  <si>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@RizmaWidiono @KomnasHAM WNI eks Po ISIS sendiri Melanggar HAM apa tidak ?? Klu mau pulang ya pulang sj seperti WNI lainya .!!! Emang kenapa gk pulang seperti WNI lainya sperti saat hbs bepergian dr Luar Negeri. Berangkat yg gk tahu alamat pastinya sj beran. Bila di bandingkan Pulangnya Koq jd Ribet !</t>
  </si>
  <si>
    <t>RT @Kertadimedja81: @RinjaniJB jangan percaya isis!!!! #TolakAnakISISKembali</t>
  </si>
  <si>
    <t>@boy_185 @RosdianaNemo @Saiful_Pung @ustadtengkuzul Yes bro Mrk bani cebong komunis maling koruptor juga gunain pancasila buat adu domba umat beragama. Sehingga kasus garong jiwasraya bisa senyap. Kasus koruptor hilang kader PDIP harun masiku juga dibikin senyap dng isu isu isas isis. Bani cebong komunis emang bani pengkhianat bro</t>
  </si>
  <si>
    <t>Pertanyaannya simpel: Apa ISIS itu negara sesuai Hukum Internasional (Konvensi Montevideo)? Apa Pasukan ISIS diperlakukan sesuai Konvensi Jenewa? Negara mana yg mengakui ISIS sbg sebuah negara? Apa Indonesia akui ISIS sbg negara? Dimana kedutaan ISIS di Jakarta? Ngawur !!!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</si>
  <si>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RT @DumaySyuhada: Kalau ada orang Indonesia yang bergabung ke ISIS itu karena diiming2 i (dunia) jika mau "berjuang" di Suriah , ada yang dijanjikan Rumah , Istri , gaji tetap sekian2...... ??? Berjihad itu berkorban bukan ingin mendapatkan ini itu ,</t>
  </si>
  <si>
    <t>RT @DumaySyuhada: Andai saja masih ada video2 tentang kekejaman ISIS akan saya share supaya orang lain paham bahwa ISIS bukanlah dari Islam &amp; sama sekali tidak mengamalkan ajaran Islam , hanya tampilan dhohir , jenggot &amp;amp; rambut saja mereka menyerupai mujahidin .</t>
  </si>
  <si>
    <t>RT @DumaySyuhada: Video2 mengenai perjuangan ISIS dulu mudah kita dapati di youtube (sekarang sufdah dihapus) sangat2 bertolak belakang dengan ajaran Islam . Bagaimana mungkin Islam menghalalkan darah sesama muslim tanpa alasan yang dibenarkan syariat .</t>
  </si>
  <si>
    <t>RT @DumaySyuhada: Video yang saya share saya cantumkan juga nama fraksi jihadnya , kalaupun tidak tertulis nama fraksi jihadnya karena sumber tidak mencantumkan . Jika ingin tahu bagaimana ISIS dalam pandangan Islam silahkan cari di youtube channel dibawah ini</t>
  </si>
  <si>
    <t>@mohmahfudmd Pertanyaannya simpel: Apa ISIS itu negara sesuai Hukum Internasional (Konvensi Montevideo)? Negara mana yg mengakui ISIS sbg sebuah negara? Apa Indonesia akui ISIS sbg negara? Dimana kedutaan ISIS di Jakarta? Jangan ngawur soal Hukum !!!</t>
  </si>
  <si>
    <t>@vivanewscom @VIVAcoid Debat Soal WNI Eks ISIS, Gayus Lumbuun Sebut Ngabalin Bodoh Gayus menambahkan pemerintah tidak salah dengan rapat terbatasnya. Tapi, prosedur untuk menetapkan secara pasti mengenai status kewarganegaraan itu adalah wilayah pengadilan. 👍👍👍  #vivanews</t>
  </si>
  <si>
    <t>Apa pasukan pemberontak itu disebut juga TENTARA? Klo liat KBBI, tentara itu pasukan yg dipersenjatai secara resmi oleh suatu negara sehingga pemberontak model ISIS itu tdk masuk dlm kategori tsb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</si>
  <si>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@mohmahfudmd Kalo WNI yg ikut perang bersama gerakan makar gimana prog? Hilang juga ga status kewarganegaraannya?</t>
  </si>
  <si>
    <t>@elHurryKoRn @BadjaNuswantara Hijrahnya ga berhasil krn sdh dikibulin kaum ISIS hahaha</t>
  </si>
  <si>
    <t>@woelannnn Hati2lah dg ex Isis,lbh baik&amp;aman #TolakAnakISISKembali</t>
  </si>
  <si>
    <t>@mohmahfudmd Masuk Dinas tentata asing dan masuk dinas dalam negara asing. Kata Dinas atau Negara makananya adanya “entitas negara”. Apakah Bapak menganggap ISIS suatu negara? Kalau ISIS bukan negara maka proses pengadilan tetap diperlukan. Ujian bagi para Pancasilais!</t>
  </si>
  <si>
    <t>Panglima TNI : Observasi 238 WNI di Natuna Dinyatakan Sehat . Hal ini di sampaikan Panglima TNI saat memberikan sambutan dihadapan ratusan personel TNI-Polri dan unsur terkait yg tergabung dlm Satgas Kogasgabpad Operasi Bantuan Kemanusiaan Natuna😎💂 #P5TNI #Kapolri #TNIPeduli</t>
  </si>
  <si>
    <t>@ANaufal59 @mohmahfudmd Kita bicara soal hukumnya loh ini, saya justru bertanya pada ahlinya. Jgn ada emosi berlebihan, kita semua tahu kok ideologi isis itu berbahaya</t>
  </si>
  <si>
    <t>@Pramudt @mohmahfudmd Eh isis dah jadi negara ya ? 🤔</t>
  </si>
  <si>
    <t>RT @andy_nomicin: Salah satu Doktrin dari ISIS adakah berpura-pura mengaku tobat. Oleh sebab itu kita jangan sampai lengah dan terlena oleh kebohongan Simpatisan ISIS. #TolakAnakISISKembali</t>
  </si>
  <si>
    <t>@mohmahfudmd Istilah tentara bukannya mengacu pada militer sebuah negara ya prof @mohmahfudmd ? Jadi isis termasuk negara atau gimana ? 🤔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</si>
  <si>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@HusinShihab @KomnasHAM Ini komnas HAM masih aj teriak2 ISIS eks WNI. Pemerintah udah putuskan koq. Gak usah teriak2 HAM, lu kira yg punya HAK hidup layak mereka doang, lu liat nih d sini aj masih banyak yg gak dpt HAK nya sebagai WNI. Gini amat sih nyari duitnya.</t>
  </si>
  <si>
    <t>@mohmahfudmd 1."WNI yg ikut perang bersama tentara asing". Asing dlm hal ini tentu sebuah negara . ISIS kan bukan tentara suatu negara ?? 2. Sedangkan kelompok separatis yg jelas2 makar aj msh diterima kok knp eks ISIS tdk diterima ??? Mohon pencerahannya yth. prof @mohmahfudmd tksh.</t>
  </si>
  <si>
    <t>RT @Rita8213: @Galihzainur1 @fadlizon @KPAI_official @KomnasHAM @hnurwahid @Kemenag_RI @felixsiauw @Fahrihamzah Ketika ISIS prkasa, mereka dng gagah mnembaki N memenggal kepala manusia. Ktka mereka dhancur leburkan Rusia, mrka minta plng ke Indonesia cr target baru. Si @KomnasHAM membela n mengabaikan HAM ratusan juta rakyat Indonesia. Pak @jokowi @mohmahfudmd hrs total tdk ada blh msk lg</t>
  </si>
  <si>
    <t>@RinjaniJB jangan percaya isis!!!! #TolakAnakISISKembali</t>
  </si>
  <si>
    <t>@samhudibae Kalau begitu kirim si fadli ke sana bergabung sama isis.bikin rese ja ni orang</t>
  </si>
  <si>
    <t>RT @netizendesu: nerbener corona gada hrg dirinya kalo ketemu wni</t>
  </si>
  <si>
    <t>@mohmahfudmd Tidak perlu mengurusi beberapa orang eks isis, ngurus yg ada di tanah air saja. Saya setuju utk tdk perlu buang waktu memulangkan mereka yg jelas jelas sdh tidak mau lagi di Indonesia.</t>
  </si>
  <si>
    <t>@ebongBOY @BlueSky217 ISIS : Iki Segone Isih Sakmene ?</t>
  </si>
  <si>
    <t>@arjuno_ireng01 Untuk sadar itu hal yg luar biasa perlu dipertanyakan, karena gerakan ISIS itu sudah menjadi doktrin mereka.</t>
  </si>
  <si>
    <t>@MigaWempy Kok yg ngotot sekali utk memulangkan ISIS eks WNI ini kelompoknya itu itu aja ya ? cc @permadiaktivis @eko_kuntadhi @jokowi @mohmahfudmd</t>
  </si>
  <si>
    <t>RT @hendri92189000: @RinjaniJB @soepono42 @jokowi Pak @jokowi jangan dengarkan mereka yg kontra dg keputusan bapak.. Kami mendukung bapak untuk tidak memulangakan exs wni mantan kombatan ISIS..</t>
  </si>
  <si>
    <t>@pujangga1123 @WahabisLokal Mereka memang se ideologi dengan ISIS ...</t>
  </si>
  <si>
    <t>RT @miswanto80: @AnakKolong___ @KPAI_official Masalah didalam negri saja kalian belum bisa menyelesaikan kok mo ikut" urus anak eks isis Kasus bullying dan kekerasan terhadap anak" masih banyak dan kalian belum bisa selesaikan</t>
  </si>
  <si>
    <t>Kenapa orang2 gencar bikin hastag #BelaBaitulMaqdis_AlQuds ?? Why ? Problem negara kita itu banyak syekali #Jiwasraya dan #asabri aja sudah di tenggelamkan dengan issue ISIS.</t>
  </si>
  <si>
    <t>@mohmahfudmd Tentara asing itu tentara yg punya wilayah teritori brupa ngr yg diakui intl. Di ind pernah ada tentara GAM yg tdk punya teritori sah scr hukum. ISIS jg g punya teritori sah. Knp yg pernah terlibat GAM tdk pernah ada yg dianggap kehilangan keWNannya ? @JimlyAs @Yusrilihza_Mhd</t>
  </si>
  <si>
    <t>Betul prof, jangan sampai memulangkan eks isis ke tanah air. (( tidak ada tapi tapi ))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</si>
  <si>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@detikcom Gak usah repot2 mulangin anak isis eks wni untuk dibina, krn masih banyak anak2 terlantar, anak jalanan dan anak2 kurang beruntung lainnya yg perlu mendapat perhatian pemerintah</t>
  </si>
  <si>
    <t>@mohmahfudmd Bs gk prof klo mantan isis diberi tugas membasmi para koruptor perusak negeri ini,bs gk prof dicarikan dsr hukumnya krn smp skrg korupsi blm bs di STOP bhkan semangkin merajalela..</t>
  </si>
  <si>
    <t>Untuk apa negara pusing dengan orang-orang yg telah hilang kewarganegaraannya sendiri karena sebuah pilihan hidup? Orang seperti mereka sudah tidak mungkin setia lagi dengan bekas negaranya. Maka untuk apa kita harus perduli dengan eks anggota ISIS? Jangan Terima mereka kembali!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</si>
  <si>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@vivanewscom @VIVAcoid Aduuuh yg bodoh yg nulis; Tak ada wni EX isis yang ada isis EX wni;</t>
  </si>
  <si>
    <t>2. Wartawan koran utama kita tdk berani melaporkan solusi ttg Demokrasi yg didasarkan Pancasila, yakni perlu adanya Forum Musyawarah Nasional (Online/daring) yg memungkinkan SEMUA WNI berpartisipasi langsung dan terbuka dlm membuat kebijajan publik.</t>
  </si>
  <si>
    <t>Ada lagi TKW yang menyalur dana ke orang teroris. Syukurlah, vonisnya sekarang tambah ketat. @Endie64340092 @jumadisakir @mbojoFarid @Hartonoketut Danai Terorisme, 2 Pekerja Migran Indonesia Divonis ut</t>
  </si>
  <si>
    <t>RT @NilaKencana8: #TindakTegasIntoleran Mana brani presiden Kadrun PKS ke Suriah. Braninya bikin rusuh di negara sndri. Rkyat harus tau jika PKS adalah sarang Terorist. Makanya slalu triak agar negara memulangkan Terorist ISIS. PKS Biangnya Intoleran+kerusuhan di NKRI. #TindakTegasIntoleransi</t>
  </si>
  <si>
    <t>@APLpangeran1 Anak2 eks Isis sudah di brain wash sejak lahir Viralkan video ini ... !!!</t>
  </si>
  <si>
    <t>@mohmahfudmd ISIS itu apa masuk Katagori Tentara Asing? Dalam Konvensi Jenewa 1959 yg diratifikasi indonesia, Tentara Asing Asing harus mendapat pengakuan PBB sebagai Beligerent.</t>
  </si>
  <si>
    <t>@Wes12320 @ISIS_Balik_NO @Latu_saragih @Bhattara_Guru @GunRomli @aniesbaswedan Cutnye kurang pas enteee .......ada yg lebih asem Di ahir</t>
  </si>
  <si>
    <t>#TindakTegasIntoleran Hanya sekedar ikut perang utk mmbela tntara asing sih,Rkyat masih mau mnrimanya. Brbeda ama Terorist ISIS: Terorist Sadizzz ISIS ini mau kmbali ke NKRI dg tjuan mau menyerang TNI/POLRI/BANSER. Bahkan mau nglakuin KUDETA pd NKRI. #TindakTegasIntoleransi RT @mohmahfudmd: Menurut UU No. 12 Thn 2006 dan PP No. 2 Thn 207 WNI yg ikut perang bersama tentara asing bisa hilang status kewarganegaraanya "dgn sendirinya", tanpa melalui pengadilan. Yg diperlukan hny proses hukum administrasi yakni diteliti oleh Menkum-HAM kemudian diputuskan oleh Presiden.</t>
  </si>
  <si>
    <t>@mohmahfudmd WNI yg bergabung dgn ISIS baiknya tidak usah di terima lgi bila meraka mau balik ke indonesia</t>
  </si>
  <si>
    <t>Daftar 238 WNI yang Dievakuasi dari Hubei, Terbanyak Asal Jatim</t>
  </si>
  <si>
    <t>@ROLA93877454 @D4tuk_T4mburin Namanya juga KADRUN sakit hati yah gini omongannya ....dah kayak ISIS wkwkwk Sekalian aja nyalahin Mamarika ,Jepang ,Malaysia Singapura Mending nyari makan yg banyak ...biarr gak laper jd gak ngaco omongannya wkwkwk Nasib2 .....</t>
  </si>
  <si>
    <t>@mohmahfudmd mantap Prof, Hukum memang seharusnya tidak pandang Usia walaupun ada anak kecil yang sudah tergabung oleh ISIS. 👍</t>
  </si>
  <si>
    <t>@boy_185 @RosdianaNemo @Saiful_Pung @ustadtengkuzul Betul bro. Bani cebong terpapar komunis yg doyan makan kelelawar &amp; tikus got penyebar virus bloon emang bani maling juga bro, mrk mainin isu isu basi isas isis buat nutupin kelakuan malingnya nyolong duit rakyat &amp;amp; bikin ekonomi susah. Bani cebong emang bani maling komunis.</t>
  </si>
  <si>
    <t>@detikcom Lahh si bpk ini blm tw kah.kl mainanx anak2 isis tuh bkn barbie n robot2an..tp senjata Ak 47..asli lg bkn kaleng2.bpk mw.wkt d pulangin trs berbaur dgn anak2 kita yg msh polos.ntr d doktrin nah kl d bantai.bpk maw tanggungjawab.mrk sj bantai org yg lbh tua.aplg seumuranx.mikir</t>
  </si>
  <si>
    <t>| Kisah Bocah eks Tentara ISIS: Tugas Pertama Bunuh Orangtua - Teroris yang mencuci otaknya berkali-kali mengatakan ISIS adalah satu-satunya keluarga mereka. |  | #PapuaNews</t>
  </si>
  <si>
    <t>RT @Khairaniss: Jgn prnh percaya dgn pendukung ISIS 🖕 Merubah Ideologi bkn hal yg mudah...bahkan teramat sulit #TolakAnakISISKembali</t>
  </si>
  <si>
    <t>Orang-orang ini kenapa ya pada sibuk mikirin anak ISIS eks-WNI buat dipulangin dan dibina? Mereka nyadar gak sih ada berapa puluh ribu anak jalanan dan anak terlantar di Indonesia, yg jelas-jelas nampak, butuh diurus negara. HERMAN!</t>
  </si>
  <si>
    <t>RT @Kertadimedja81: @KPAI_official klo sudah isis sudah bukan WNI lagi!!!! tidak ada toleransi untuk teroris internasional!!!! Pak @jokowi jangan biarkan ISIS maupun eks Isis masuk wilayah NKRI!!!!</t>
  </si>
  <si>
    <t>RT @Dhinoe2: @UKI_djayengrono @wills_keren @fadlizon Pantesan aja selama ini yg ngotot memulangkan eks isis fadlizon ternyata mereka satu kelompok.</t>
  </si>
  <si>
    <t>@Jean_Aprilia97 Klo bs mantan isis srh ngabisin para koruptor aja,akan lbh bermanfaat krn pemberantasan korupsi agenda pemerintah juga yg tdk bs ditangani dgn tuntas..</t>
  </si>
  <si>
    <t>RT @wisanggeni_084: @andy_nomicin BuzzeRp ISIS nih... Apapun alasannya #TolakAnakISISKembali</t>
  </si>
  <si>
    <t>HanyaKOMUNIS yang megatakan Agama adlh musuh PANCASILA ! Betul @jokowi ? Ya Allah berilah kekuatan atas kesabaran hidup mnjadi WNI , krn mereka sdh mulai mennyusupkan Faham KOMUNIS ! Tolong lah ya Rabb Rakyat Akal sehat yg mngingin kan kbaikan Aamiin #jkwsejarahburukindonesia</t>
  </si>
  <si>
    <t>@lovatocontrl 🤣🤣🤣 boba</t>
  </si>
  <si>
    <t>@mohmahfudmd Drii kemarin udh mikir iniii bukanya otomatis hilang wn nya negara sudah tidak punya kewajiban atas ham nya bener pak jokowi mereka itu isis eks wni</t>
  </si>
  <si>
    <t>RT @anita81692023: @ANgewelagi @salahsambungya Sesuai namanya aja KPAI ... itu melindungi anak Indonesia. Nah anggota ISIS itu eks wni !! Eks !! "Mantan" so anak2nya bukan anak Indonesia. Sorry to say that. Jadi itu KPAI melencengnya kejauhan. Anak2 korban bully an itu tuh yg mestinya diurusin. Iya ga sih ?</t>
  </si>
  <si>
    <t>@ganjarpranowo @ibnusal Lalu, untuk anak-anak yang belajar di Madrasah Aliah negeri di Jawa tengah. Dapat bantuan apa dari APBD provinsi Jateng. Mereka juga anak WNI dan anak dari rakyat Jateng yang ikut bayar pajak daerah. Hanya bertanya. Makasih</t>
  </si>
  <si>
    <t>@CNNIndonesia Catetin nama2 partai yg ngeyel pulangin ISIS, next pemilu jgn pilih,😎</t>
  </si>
  <si>
    <t>#TindakTegasIntoleran Mana brani presiden Kadrun PKS ke Suriah. Braninya bikin rusuh di negara sndri. Rkyat harus tau jika PKS adalah sarang Terorist. Makanya slalu triak agar negara memulangkan Terorist ISIS. PKS Biangnya Intoleran+kerusuhan di NKRI. #TindakTegasIntoleransi RT @MigaWempy: Ngapain nyuruh-2 negara..? Elo pade aja ke suriah.. Daripada.. Disini cuma nyampah.. 🧐 #TindakTegasIntoleran #TolakAnakISISKembali</t>
  </si>
  <si>
    <t>@arjuno_ireng01 @PartBurungGalak 🔜 Gila 'kan ? Dgn Ibu kandungnya tega ,, apa lg dg org² yg dianggapnya tidak sepaham (kafir) ? Bener² manusia jahanam ! #AwasAntek2ISIS #TolakAnakISISKembali Seorang Anggota ISIS Tega Eksekusi Mati Ibu Kandungnya</t>
  </si>
  <si>
    <t>Sibuk ngelarang eks ISIS pulang, sedangkan orang2 yg terpapar komunis malah bebas berkeliaran di negri ini. Ingat .. Komunis itu jelas ada tap MPR nya. #UlahRezimIndonesiaSuram #KepalaBPIPSesat #TindakTegasIntoleran #stopbullying #RezimAntiPancasila #JIWASRAYAGATE</t>
  </si>
  <si>
    <t>Ingin Lindungi 260 Juta Penduduk, Presiden Tegaskan Pemerintah Tidak Berencana Pulangkan Eks-ISIS</t>
  </si>
  <si>
    <t>@letta_75 Baik, Sahabat. Apakah saat ini status kewarganegaraan sebagai WNA atau masih WNI? -Beni</t>
  </si>
  <si>
    <t>@UyokBack Sok sok an....mau pulang kan wni aja bingung..natuna bergejolak...dungu</t>
  </si>
  <si>
    <t>@detikcom Anak-anak ISIS eks WNI di bawah umur 5 tahun, boleh lah dipertimbangkan untuk anda adopsi semuanya, ya, Pak. Itu adalah jalan pikiran anda, kan, Pak? Ya, monggo, anda jemput mereka, anak-anak balita dan batita nya saja.</t>
  </si>
  <si>
    <t>RT @Mah5Utari: baheula budak pemimpin pki nepika distigma bahwa mereka penerus2 paham kiri yg jahat.. ayeuna budak teroris distigma jd teroris yg bakal mewarisi kekerasan yg telah dilihatnya langsung.. beda ceunah, nu hiji mah masih mengaku sbg WNI, nu hiji embung bahkan tak mau jd WNI pdhl..</t>
  </si>
  <si>
    <t>@WagimanDeep Sohibul kesana saja buat jadi pengasuh anak2 eks WNI itu bib. Jadi nggak tanggung2 mo bantuhnya.</t>
  </si>
  <si>
    <t>RT @RadioElshinta: KPAI minta Pemerintah melindungi anak-anak WNI eks ISIS. Apa yang harus dilakukan terhadap anak anak WNI eks ISIS? #20thElshintaNewsAndTalk SIMAK #KomisiAndaElshinta - Streaming di</t>
  </si>
  <si>
    <t>RT @arieflipp: Pemerintah Tak Berencana Pulangkan Anggota ISIS Eks WNI Pemerintah memiliki tanggung jawab untuk memberikan rasa aman bagi kurang lebih 260 juta penduduk Indonesia. Lanjut scroll kebawah ⬇️</t>
  </si>
  <si>
    <t>@jokowi Kok gitu...kan WNI ...siapa yg tidak taat hukum....dungu a....memang dungu</t>
  </si>
  <si>
    <t>@maheswararajen1 @salahsambungya Hanya membunuh dan ingin Menjadikan Negara Indonesia menjadi poros ISIS Dunia itu pasti...maka dari itu jangan di kasiani dan jangan melihat mereka anak yatim dsb udah Lupakan aja belas kasihan itu, mengingat di Indonesia Lebih banyak Anak2 yang baik budi dan perlu Bantuan</t>
  </si>
  <si>
    <t>@pujangga1123 Pantes si Zonk ngotot bener balikin Anggota Isis Eks WNI.... Ckckckck</t>
  </si>
  <si>
    <t>Sungguh2</t>
  </si>
  <si>
    <t>@RizmaWidiono @KomnasHAM Rakyat yg melarang WNI eks pro isis pulang. #MauApeLoe</t>
  </si>
  <si>
    <t>@AhlulQohwah Mereka bukan WNI lagi, yg benar Eks WNI pro ISIS</t>
  </si>
  <si>
    <t>@maheswararajen1 @salahsambungya Orang Tuanya ISIS Anaknya pasti jadi Pembunuh dan pasti akan menghancurkan Negara Republik Indonesia saya mohon pada Pemerintahan Bapak Jokowidodo Stop Bantuan dan Jangan sampek di pulangkan menginget mereka adalah Pembunuh Berdarah Dingin dan sangat Tega mereka udah misinya</t>
  </si>
  <si>
    <t>@ulil Mereka gabung ISIS karena dibohongi. Lah kita di sini sudah dibohongi 5thn lebih, enjoy2 aja. Lantas kenapa mereka nggak boleh kembali ke negaranya? Negara ini juga milik mbahnya mereka juga kan? Bukan milik embah kalian aja.</t>
  </si>
  <si>
    <t>RT @SahabatSaber: @P3nj3l4j4h_id Menolak anak ISIS kembali, berarti menyelamatkan generasi dan kebudayaan kita.. #TolakAnakISISKembali</t>
  </si>
  <si>
    <t>@salahsambungya @maheswararajen1 Biarkan aja di bantai sama pemerintahan Suriah dan saya memohon pada Seluruh Rakyat Indonesia dari Sabang Hingga Merauke untuk menolak Pemulangan Mereka semua sebab mereka uda bukan WNI inget ya mereka membakar Paspor dan Sangat Berbahaya tuk NKRI, kejadian di Surabaya Gimana..</t>
  </si>
  <si>
    <t>@KPAI_official klo sudah isis sudah bukan WNI lagi!!!! tidak ada toleransi untuk teroris internasional!!!! Pak @jokowi jangan biarkan ISIS maupun eks Isis masuk wilayah NKRI!!!! RT @RinjaniJB: Saya heran sama orang-orang ini, ngotot banget sih ? Apa mata mereka buta, berapa banyak anak-anak korban aksi teroris di negeri ini. Mereka sudah lakukan apa utk obati traumanya ?  KPAI: Negara Harus Hadir Lindungi Anak-anak WNI Eks ISIS, Mereka Korban</t>
  </si>
  <si>
    <t>@AtikaFaya Bos... anak bangsa yg didalam negeri ajj msih butuh perhatian serius...mlah ngurusin anak isis..</t>
  </si>
  <si>
    <t>Logika.Kombatan ISIS melawan tentara Suriah.Bukan TNI. Mereka tdk mmberontak seperti PKI.Mereka ke Suriah karena tertipu. Permerintah hrs selektip kpd yg ingin pulang. Jgn ketakutan thd keamanan rakyat Indonesia.Ada TNI Polri.Apkh kita msh punya BIN? @mohmahfudmd RT @Jean_Aprilia97: Wah.. Luar biasa kebijakan bapak. Beda perlakuan ya..sama KKB di papua yg jelas dgn nyata melakukan makar?? Sdgkan mereka kbnyakan hanya wanita dan anak2 yg tertipu drama ISIS. Dan merekapun perang melawan tentara Suriah bukan TNI.?</t>
  </si>
  <si>
    <t>NO, JANGAN BAWA BALIK SIMPATISAN ISIS. DAH BIAR BERJUANG DI SANA. BUKAN SHINOBI YANG NARIK KATA KATANYA KEMBALI HAHAHA. RT @tubirfess: 2beer! yg katanya jihad merjuangin khilapah; yg sukanya bilang "jihad fisabilillah, mati syahid demi surga". Eh eh eh.. tapi kok nyulik dan merkosa underage random girls yg strengthless...?¿ Hypocrite as fVck</t>
  </si>
  <si>
    <t>@AhlulQohwah Kan kpai sudah jadi komisi perlindungan anak isis.</t>
  </si>
  <si>
    <t>@negativisme isis bole masuk, masuk neraka</t>
  </si>
  <si>
    <t>@tribunnews Tolong dipertegas..mereka ISIS eks WNI</t>
  </si>
  <si>
    <t>Sukaaaaaa! Untuk eks ISIS suruh pindah ikutin @felixsiauw kemana dia harus pergi. @narkosun @habibthink @WagimanDeep kali mau tampung! RT @jokowi: Pemerintah bertanggung jawab terhadap 260 juta penduduk negeri ini. Karena itu, pemerintah tidak berencana untuk memulangkan para anggota ISIS eks WNI. Saya telah memerintahkan agar 689 orang itu diidentifikasi satu per satu. Datanya dimasukkan ke imigrasi untuk proses cekal.</t>
  </si>
  <si>
    <t>@Adesudandyo @AnakKolong___ @KPAI_official @KPAI_official ternyata pendukung teroris dan ISIS... #BUBARKANKPAI</t>
  </si>
  <si>
    <t>Klo gt yg getol pengen kombatan isis ke Indonesia jg karna anggaran dong? Blunder lg 😊😛</t>
  </si>
  <si>
    <t>@AhlulQohwah @wahhabicc_jabar Komisi Perlindungan Anak Isis</t>
  </si>
  <si>
    <t>isis taylor ipad porn snm9rn</t>
  </si>
  <si>
    <t>Mata najwa lagi ngebahas isis. Dan bintang tamunya. Hmmm.</t>
  </si>
  <si>
    <t>@sjahtie Klo gt yg pd getol dukung pemulangan ISIS karna anggaran dong? Anggaran ongkir ' rehabilitasi' deredekalisasi' dst ...</t>
  </si>
  <si>
    <t>RT @historia_id: Mengutip data CIA, pemerintah Indonesia memutuskan tidak akan memulangkan WNI yang bergabung dengan ISIS.</t>
  </si>
  <si>
    <t>RT @MZubir_ID: @baby_alien28 @AnakKolong___ @dean3th @KPAI_official #TolakAnakISISKembali Kepada Presiden, Menteri dan lembaga-lembaga yang dibentuk berdasarkan UU NKRI, jangan kalian pulangkan anak-anak ISIS, mereka adalah kader teroris ISIS yang akan jadi mesin pembunuh keji. @jokowi @KPAI_official @KomnasHAM @BNPTRI @Kemenag_RI @mohmahfudmd</t>
  </si>
  <si>
    <t>Usirrrrrr ! Lha WNI , tinggal ilegal di negara org dideportasi ! Koq kita tdk seperti mereka . Pergi study banding jauh2 ke luar negeri ,tapi satu pun kebijakan negara yg dikunjungi tdk diikuti, piye toh ? Uang2 duit aja . RT @PutraErlangga_: Bekasi Temukan 3.000 Tenaga Kerja Asing Ilegal Asal China di Meikarta</t>
  </si>
  <si>
    <t>@jokowi KITAKAN NEGARA BERPRIKEMANUSIAN,DIDUNIAKAN MENGENAL HUMAN RIGHT, TAPI KEBUTUHAN POKOK MANUSIA YG SEHAT DAN SAMA,DGN BERGOTONG ROYONG, KOK TDK ADA, BAGAIMANA BISA BERADAPTASI, DGN SEHAT MAKIN BANYAK MANUSIA MAKIN RIBET ITU, SEBAB ISIS TERORIS DLL ADA.....</t>
  </si>
  <si>
    <t>Hoyyyyy,,,,Bagun hoyyyyy,,,,tidur Lo mpe ngiler ,,,,yg bener anak" x WNI,,,,knpa anda ngotot pulangin mereka ,,apa anda bagian dari mereka !? RT @andy_nomicin: Sohibul meyakini anak-anak WNI eks ISIS itu bisa kembali menjadi anak-anak yang normal, salah satunya dengan diberikan pendidikan yang layak. Banyak anak2 di Negeri ini yg masih layak dididik, ketimbang anak2 eks ISIS. #TolakAnakISISKembali</t>
  </si>
  <si>
    <t>@AhlulQohwah Lo Serius??? Anak anak korban? Tapi anak2 itu udah liat dengan mata kepala mereka sendiri lo gimana sadisnya isis. Udah terekam jelas di otaknya. Bukankah anak anak peniru yang paling handal??</t>
  </si>
  <si>
    <t>Madonna or WNI RT @Genius: today in 2015, drake dropped ‘if you're reading this it's too late’ with features from lil wayne, partynextdoor, and travis scott 🔥🔥 favorite track five years later?</t>
  </si>
  <si>
    <t>RT @imranhakmm: Buat dosa nak public tapi bila tegur nak private. Weak!</t>
  </si>
  <si>
    <t>@AhlulQohwah Anak2 korban butuh perlindungan! Anak2 eks isis juga butuh perlindungan, apalgi mereka yg tidak menau orang tuanya isis!</t>
  </si>
  <si>
    <t>@andy_nomicin Apasih urgensinya ISIS, kok harus di urus, di balikin segala, mereka biarlah dengan pilihanya</t>
  </si>
  <si>
    <t>KOMISI PERLINDUNGAN ANAK ISIS. Mbokne ancukkkk ncen RT @donopradana: Baru tau kepanjangan KPAI dari berita ini, ternyata adalah Komisi Perlindungan Anak ISIS. Maaf ya anak yang dibully di Malang &amp; Purworejo, atau anak2 korban bully diluar sana dimana pun kamu berada, yang bisa bantu kasus kalian emang cuma netizen aja.</t>
  </si>
  <si>
    <t>@Gustavo_gauger Vamuuu</t>
  </si>
  <si>
    <t>RT @KKelojotan: @arjuno_ireng01 @jr_kw19 @KPAI_official ..susanto,tu lindungin ISIS</t>
  </si>
  <si>
    <t>Ternyata surga bukan di telapak kaki ibu. Seorang Anggota ISIS Tega Eksekusi Mati Ibu Kandungnya</t>
  </si>
  <si>
    <t>RT @ivanchristi3: Tuiper NKRI 🇮🇩 Tetap kita konsisten untuk menolak segala bentuk TERORIS ISIS dan agen2 atau antek2 nya yg ada di RUMAH BESAR NKRI 🇮🇩 Lawan Teroris..! Jangan beri pijakan di NKRI..🇮🇩 #TolakEksISIS #TolakAnakISIS</t>
  </si>
  <si>
    <t>RT @Ihwangun: Koq jauh2 @KPAI_official urus anak2 isis, sementara yg dekat dimata byk yg tak terurus. Apa pilih2 kasus? Jadi curiga.</t>
  </si>
  <si>
    <t>@RoroMenduttt @DivHumas_Polri @CCICPolri Cc nya kurang, ke @Kemendikbud_RI juga, hayo PR bikin kurikulum dan sistem kontrol pendidikan yang tidak mencetak WNI model begituan</t>
  </si>
  <si>
    <t>@AhlulQohwah Kpai bagian dr isis??? Bubarkan!! #BUBARKANKPAI</t>
  </si>
  <si>
    <t>@innovesian Emang nya ISIS negara?? Siapa negara yg mengakui ISIS sbg negara?? @caknawa</t>
  </si>
  <si>
    <t>@mulanbilqis Di Indonesia sendiri masih banyak anak yg perlu ditolong / dikasihanin / diurusin - bukan anak eks WNI #TolakAnakIsisKembali</t>
  </si>
  <si>
    <t>@MigaWempy @BadjaNuswantara Yg dukung ISIS pulang, mending ikut aja sekalian kesana, biar gak bikin pusing negara</t>
  </si>
  <si>
    <t>@wahhabicc_jabar @KPAI_official Udah gjni aja @KPAI_official urus anak2 kombatan ISIS di di Suryah Pemrintah Indonesia Urus anak2 WNI di dlm negri . Silahkan Berangkat &amp; jangan balik lg klo masih pengen bela mrk ' semoga sukses membina anak2 ISIS .</t>
  </si>
  <si>
    <t>@KPAI_official Lu dukung isis wahai kpai dmn hati kalian trhd korbn2 teroris??? Seandainya keluarga kalian nnjdi korbn teroris bisakh kalian memaafkn teroris wahai kpai yg terhormat</t>
  </si>
  <si>
    <t>Tuiper NKRI 🇮🇩 Tetap kita konsisten untuk menolak segala bentuk TERORIS ISIS dan agen2 atau antek2 nya yg ada di RUMAH BESAR NKRI 🇮🇩 Lawan Teroris..! Jangan beri pijakan di NKRI..🇮🇩 #TolakEksISIS #TolakAnakISIS RT @tribunnews: Laksdya TNI Achmad Djamaludin Prediksi WNI Eks ISIS Pulang Lewat Filipina: Paling Banyak ke Sana  lewat @tribunnews</t>
  </si>
  <si>
    <t>@mbahCokro77 @hnurwahid Betul betul betul.. itu yg bahaya.. semacam ISIS ya..</t>
  </si>
  <si>
    <t>RT @__aiek_esthreem: [INFO KPK] DPO : Harun Masiku Jika Anda memiliki informasi silakan hubungi: Komisi Pemberantasan Korupsi di Call Center 198 atau Kantor Kepolisian terdekat  Terus WNI suruh apa yaaa.. Semoga bukan kisah telenovela yg berseri panjang #RezimAntiPancasila</t>
  </si>
  <si>
    <t>@CNNIndonesia Kenapa CNN selalu bilang WNI eks ISIS? How stupid is it? Mereka telah bersumpah mendukung ISIS dan membakar paspor Indonesia. What does it mean? Tolong ya editor @CNNIndonesia. Dan lihat juga statement dari Presiden RI yang menyatakan mereka anggota ISIS EX WNI</t>
  </si>
  <si>
    <t>@Galihzainur1 @BadjaNuswantara @fadlizon @KPAI_official @KomnasHAM @hnurwahid @Kemenag_RI @felixsiauw @Fahrihamzah Mereka yg ngotot ISIS Mantn WNI dipulangkan itu ibarat belatung, paling demen kalau ada daging seger. Cari issu yg menguntungkan bagi mereka. kan 💩 Kalau mau ya mereka saja yg dikirimkan ke Suriah sana, Biar bisa kumpul dg isis.</t>
  </si>
  <si>
    <t>RT @arjuno_ireng01: Pemerintah RI sdh tegas tdk menerima kembali mantan Teroris WNI eks ISIS. Apa yg sahabat Tuips pikirkan jika mereka kembali ke Indonesia? #TolakAnakISISKembali</t>
  </si>
  <si>
    <t>@AhlulQohwah ENAK LO NGOMONG LINDUNGIN ANAK ISIS SEKARANG. NTAR KALO NTU ANAK UDAH GEDE TERUS NGEBOM NEGARA INI, KPAI MAO TANGGUNG JAWAB???</t>
  </si>
  <si>
    <t>@WagimanDeep @KPAI_official @ganjarpranowo Seolah olah KPAI rasa ISIS sekarang.... #TolakAnak1sisKembali</t>
  </si>
  <si>
    <t>Perintah Presiden @jokowi bahwa pemerintah tidak akan memulangkan anggota ISIS asal Indonesia ~ #Jubir #BungJubir @Kiyai_MarufAmin @KemensetnegRI @setkabgoid</t>
  </si>
  <si>
    <t>@CNNIndonesia KALIMAT YANG BENAR : TERORIS ISIS EKS WNI. BEDANYA TERORIS ISIS DENGAN PENJAJAH JEPANG. PENJAJAH JEPANG KALAH PERANG, BANYAK YANG MASING2 MELAKUKAN BUNUH DIRI DITEMPAT. TERORIS ISIS KALAH PERANG, MEWEK2 MINTA DIPULANGKAN, SUPAYA MEREKA MELAKUKAN BOM BUNUH DIRI DI NEGARA ASAL.</t>
  </si>
  <si>
    <t>Pesawat Batik Air untuk Jemput WNI di Wuhan Jalani Pembersihan Khusus dan Dinyatakan Steril oleh KKP -</t>
  </si>
  <si>
    <t>@Airin_NZ Kenapa gerombolan Kadrun begitu ngotot nya ingin eks WNI ISIS pulang ke Indonesia? Karena merasa mendanai pejuang ISIS tsb.</t>
  </si>
  <si>
    <t>Cerita Eks ISIS yang Bergabung di Usia Muda, Merasa Bosan Belajar: Kerjaannya Gitu-gitu Doang  lewat @tribunnews</t>
  </si>
  <si>
    <t>@Nandagustiann @RyoFahri @I_yaann @evanutama23 @na_dirs Isis maksudnya 🤭</t>
  </si>
  <si>
    <t>RT @TaufiqMarhaban: @imamsant054 @detikcom @BNPTRI Bayangkan saja seperti film Bourne identity, 10 tahun lagi akan ada ratusan anak Indonesia Yg bukan WNI dengan skill seperti Jason Bourne, tanpa identitas, bergerak sesuai komando, Saya sih ngeri, ambil mereka secepatnya.</t>
  </si>
  <si>
    <t>@wahhabicc_jabar @KPAI_official Intinya jgn pernah memelihara Ular. harimau n buaya dalam Rumah. Karna suatu saat ada kesempatan mereka akan menggigit n melilit membuat kerusuhan.. Karna mereka sdah terpapar ajaran komunis n teroris.. #MENOLAKEKS_ISIS!!! #TUTUPAKSESKEMBALINYAISIS</t>
  </si>
  <si>
    <t>RT @republikaonline: Jika status WNI dicabut tentu akan ada proses hukumnya.</t>
  </si>
  <si>
    <t>Utk menutupi Kasus Harga2Naik Korupsi puluhan T. Buser rp dan Presiden sibuk ISAS ISIS rakyat Muak tauu.</t>
  </si>
  <si>
    <t>@gorba_psi @dini_purwono Pak @jokowi gunakan istilah ISIS eks WNI, tapi partai "cingkrang" gunakan istilah WNI eks ISIS (mantan ISIS yg masih dianggap WNI). Intinya kita WAJIB TOLAK ratusan ribu orang yg pernah bergabung dng ISIS itu krn berpotensi membahayakan ratusan juta saudara2 kita di indonesia!!</t>
  </si>
  <si>
    <t>RT @ulil: 13/ Banyak di antara WNI eks-ISIS ini yg masih anak2, dan remaja yg baru tumbuh menjadi manusia. Mereka tentu memiliki impian sebagaimana anak2 lain. Mereka jelas tak boleh direnggutkan dari impian2 mereka di masa depan. Pemerintah mestinya tak boleh mematikan impian mereka ini.</t>
  </si>
  <si>
    <t>RT @nu_online: Ansor Subang Dukung Pemerintah Tak Pulangkan Eks WNI Pro ISIS ke Tanah Air</t>
  </si>
  <si>
    <t>RT @ulil: 10/ Saya yakin di antara para WNI eks-ISIS ini banyak yg kemudian kecewa terhadap "utopia" dan mimpi sorga yg ditawarkan oleh ISIS. Kisah2 kekecewaan mereka sudah banyak kita baca di pelbagai media. Mereka ini justru bisa menjadi jubir untuk mendukung program de-radikalisasi.</t>
  </si>
  <si>
    <t>@detikcom Mendingan diperdalam lagi nilai nilai pancasila pada anak anak Indonesia yang ada di bumi Indonesia agar tidak dengan mudah terpengaruh dengan paham seperti ISIS itu..</t>
  </si>
  <si>
    <t>RT @ulil: 7/ Mengenai betapa menjijikkannya tindakan brutal ISIS selama ini, tak perlu dipersoalkan lagi. Saya sendiri marah atas munculnya kelompok ini. Mereka sungguh telah merusak citra Islam. Ttp kemarahan kita tak boleh terlalu jauh mempengarhui pendapat kita soal repatriasi ini.</t>
  </si>
  <si>
    <t>RT @ulil: 6/ Secara kemanusiaan, jelas kurang bertanggung-jawab membiarkan WNI menjadi "stateless", tak memiliki kewargaan. Apapun kesalahan mereka, negara Indonesia harus tetap memberi mereka status kewargaan. Saat tidak di-repatriasi, dg sendirinya mereka rentan menjadi "stateless".</t>
  </si>
  <si>
    <t>RT @arieflipp: “Pemerintah memiliki tanggung jwb keamanan thd 260 juta penduduk Indonesia. Itu yg kita utamakan. Oleh sebab itu, pemerintah tdk memiliki rencana utk memulangkan orang-orang yg ada di sana. ISIS eks WNI,” ujar Presiden @Jokowi di Istana Negara, Jakarta, Rabu, 12 Februari 2020.</t>
  </si>
  <si>
    <t>RT @arieflipp: Mengutamakan hal tersebut, hingga saat ini pemerintah tak berencana untuk memulangkan anggota ISIS eks WNI yang terlibat dalam kelompok teroris lintas batas. Lanjut scroll kebawah ⬇️</t>
  </si>
  <si>
    <t>RT @tempodotco: WNI Eks ISIS: Kalau Jawabannya Pulang ke Indonesia, Alhamdulillah</t>
  </si>
  <si>
    <t>RT @nicolauscusanus: @ulil @wartapoLitik Argumen yg jernih, persoalan eks kombatan ISIS ini tak bisa dilihat dari sisi politik dan keamanan saja, tapi juga harus dilihat dari sisi kemanusiaan dan moralitas negara terutama bagi anak2 dan wanita yg keterlibatanya dlm ISIS hanya krn ikut bapak/suami.</t>
  </si>
  <si>
    <t>RT @Rasheed_inn: Kadrun mau bela ISIS gak ya ? #CegahISISmasukNKRI</t>
  </si>
  <si>
    <t>@VIVAcoid Busyet dah, beneran wni bukan gambar yang ditampilkan?</t>
  </si>
  <si>
    <t>@VIVAcoid Biarkan mereka tak punya negara , karena isis adalah sampah masyarakat</t>
  </si>
  <si>
    <t>RT @budi1439h: @BiLLRaY2019 Cc: Pak @mohmahfudmd Pak @jokowi Waspada &amp; awasi #Antek2ISIS di Indonesia!!! #TolakAnakISISKembali Sekarang Anak² ISIS adalah generasi kedua pengecut ISIS.! Mereka sedang menyiapkan kehancuran bagi NKRI..!!! Ingatlah HTI adalah ISIS yg nyata di Indonesia!</t>
  </si>
  <si>
    <t>@CNNRGLDN yt isis</t>
  </si>
  <si>
    <t>RT @SalmaBrecht: HUKUM AGAMA ISLAM (Nyawa dibalas nyawa). Presiden Turki Erdogan menegaskan. Mereka tidak akan membiarkan anggota ISIS bakal melarikan diri dari Suriah. Dipastikan semua akan diadili seadil²nya di depan Tuhan .</t>
  </si>
  <si>
    <t>RT @UjangBustomi: Kami selalu siap printah Kiai2 NU,Perang melawan ISIS Pun siap!!untk ISIS,berani macem2 di NKRI,tak libas!</t>
  </si>
  <si>
    <t>RT @ivanchristi3: @Dwiyana_DKM Amin semoga semua yg sudah bergabung dgn ISIS bahkan agen2nya di NKRI bisa sama2 berkumpul di SURIAH tidak pernah kembali lagi ke NKRI 🇮🇩 Amin ☕🇮🇩🤲 #TolakAnakISISKembali</t>
  </si>
  <si>
    <t>@detikcom Mereka yg ingin klompok radiksl teroris isis kembali bisa diduga iais juga</t>
  </si>
  <si>
    <t>WNI, Jungle, Company RT @ComplexMusic: 5 years ago, @Drake dropped 'If You're Reading This It's Too Late.' RANK YOUR TOP 3 TRACKS 🤔</t>
  </si>
  <si>
    <t>Nah buat pks zon marda kpai komnas ham dkk klo masih ngotot bela kombatan isis mnding kalian ke Suryah urus mrk disana klo perlu ga usah balik lg ke Indonesia</t>
  </si>
  <si>
    <t>RT @vivanewscom: Presiden Jokowi mengatakan pemerintah tidak berencana untuk memulangkan lebih dari 600 orang di kamp-kamps Suriah, yang dia sebut sebagai `ISIS eks WNI`. Namun, ada peluang untuk repatriasi anak. Jadi, perlu atau tidak anak-anak WNI eks-ISIS dikembalikan ke Indonesia?</t>
  </si>
  <si>
    <t>@CNNIndonesia Pokoknya kalau tidak mau masalah terjadi di Indonesia jangan coba2 kembalikan mantan isis jangan dengar pendukung isis di Indonesia mereka bukannya bertanggung kalau isis bom sana sini yg di sini saja polisi kerja keras memberantas ini yg di luar mau di kembalikan</t>
  </si>
  <si>
    <t>Madonna, WNI, energy RT @ComplexMusic: 5 years ago, @Drake dropped 'If You're Reading This It's Too Late.' RANK YOUR TOP 3 TRACKS 🤔</t>
  </si>
  <si>
    <t>@PinayunganE @zarazettirazr Keluarga isis kan ga masuk jadi tentara isis.</t>
  </si>
  <si>
    <t>RT @Bola_Jakarta: Kalo Klok ntar jadi WNI, KTPnya daerah mana yak</t>
  </si>
  <si>
    <t>@ArielFatR @ustadtengkuzul ISIS tidak ada kekuatan merongrong negara berbeda dengan KORUPTOR dan bandar narkoba yang jelas merongrong dan merugikan negara.</t>
  </si>
  <si>
    <t>238 WNI di Natuna Dipulangkan, Ma’ruf Amin: Mereka Sudah Aman</t>
  </si>
  <si>
    <t>RT @BlueSky217: Korban😭 ...isis bajingan laknatula pergi kalian jauh2 dari NKRI.</t>
  </si>
  <si>
    <t>@KelianBanjar_GK Padahal Wiranto Penasehat Ormas Matlahul Anwar Dan Kelompok Radikal/Teroris Banyak Sembunyi Di Ormas-Ormas Keagamaan Sejenis Matlahul Anwar Bayangkan Ratusan ISIS Terlatih Secara Milter Yg Sudah Pafripurna Di Doktrin Akan Menyusup Ke Ormas-Ormas Keagamaan</t>
  </si>
  <si>
    <t>@pujangga1123 @KPAI_official oohh.. agen2 ISIS ada banyak di beberapa lembaga NKRI 🇮🇩 makan minum menikmati kemerdekaan NKRI utk bela ISIS ? kalian menyesal nanti tiba2 terbirit2 &amp; memilih utk selamatkan diri dgn teriak2 pura2 CINTA NKRI. kami rakyat CINTA NKRI mengawasi kalian ! #TolakAnakISISKembali</t>
  </si>
  <si>
    <t>@erikadwi02 Tidak ada yg tidak mungkin sis Semangat ya sis isis</t>
  </si>
  <si>
    <t>@FerdinandHaean2 Hai goblok bin tolol @Ferdinand_Haean masih juga kau percaya dengan propaganda, yang cerdas dikitlah kok percaya dengan berita murahan yg tidak jelas sumbernya. Politisi macam apa kau yg minim literasi. ISIS adalah propaganda buatan AS dan Israel untuk menghancurkan Islam.</t>
  </si>
  <si>
    <t>RT @didie_soeharto: @RadioElshinta ISIS TRBUKTI MRUSAK PRADABAN ISLAM/DUNIA/MANUSIA,JKA BNYK ELITE2 YG INGIN ANAK2 ISIS DIJEMPUT,JSTRU MREKA KLAK JDI TUMBALNYA</t>
  </si>
  <si>
    <t>@AhlulQohwah Anak2 WNI eks ISIS ? Anak2 ISIS eks WNI ? Dua kata yg sangat berbeda maknanya !!!</t>
  </si>
  <si>
    <t>@Dwiyana_DKM Amin semoga semua yg sudah bergabung dgn ISIS bahkan agen2nya di NKRI bisa sama2 berkumpul di SURIAH tidak pernah kembali lagi ke NKRI 🇮🇩 Amin ☕🇮🇩🤲 #TolakAnakISISKembali</t>
  </si>
  <si>
    <t>@RadioElshinta ISIS TRBUKTI MRUSAK PRADABAN ISLAM/DUNIA/MANUSIA,JKA BNYK ELITE2 YG INGIN ANAK2 ISIS DIJEMPUT,JSTRU MREKA KLAK JDI TUMBALNYA</t>
  </si>
  <si>
    <t>RT @baracks255: @GeeTz66745249 @NdindiJr94 @Amigosaying @swahilitimes Just shortly; izo ISIS, ALSHABAAB,BOKO HARAM and so on.. zinakuwa financed na US haohao... naiona IRAN au IRAQ mpya ndani ya Africa mashariki muda si mrefu. Kenya will suffer sanaaa miaka michache tu ijayo</t>
  </si>
  <si>
    <t>@PutraErlangga_ @tocakempong Untuk Komunis Indonesia Welcome dan gelar KARPET MERAH !,tapi untuk mulang kan keluarga Eks ISIS dibikin aturan Dulu yg ribet dan ujung2 nya Ditolak untuk kembali ! #RezimAntiPancasila #RezimAntiPancasila</t>
  </si>
  <si>
    <t>Suara Pro NKRI🇮🇩 Bagi yg injak tanah NKRI tetapi hatinya membela ISIS di persilahkan pindah ke Suriah kata.. dari agen2nya ISIS bisa langsung ketemu banyak bidadari di sorga. Enak kan ? Saya CINTA NKRI🇮🇩 #TolakAnakISISKembali #TolakAnakISISKembali #TolakAnakISISKembali</t>
  </si>
  <si>
    <t>Sabtu, Ratusan WNI yang Dikarantina di Natuna Akan Dipulangkan</t>
  </si>
  <si>
    <t>Dah lama gk ngidupin tv pas banget liat mata najwa episode eks isis, kacau nih.</t>
  </si>
  <si>
    <t>RT @and_reavie: Inilah mereka2 yg MERASA PALING NASIONALIS dan PALING BERKEMANUSIAAN.. yg TIDAK PERDULI akan RASA AMAN 160 jt lebih rakyat Indonesia.. hanya demi sekelompok EKS WNI yg bergabung dgn TERORIS ISIS 😡 @MardaniAliSera @fadlizon @KomnasHAM #AwasAntek2ISIS #AwasAntek2ISIS</t>
  </si>
  <si>
    <t>Kalau eks isis tidak bisa dicabut status kewarganegaraan dengan beralasan HAM, how about this?</t>
  </si>
  <si>
    <t>Undangan untuk WNI di Kuwait hadiri Seminar “Pencegahan Penularan Covid-19” di aula KBRI Kuwait pada Jumat, 21 Feb 2020, @13.30-16.00. Info detail ada di flyer. #inidiplomasi #indonesianway #negaramelindungi #diasporaindonesia @Kemlu_RI @DiasporaRI @KemenkesRI @DPP_GARDABMI</t>
  </si>
  <si>
    <t>RT @AminSiregar75: Kalian yang "kasihan" pada anak-anak ISIS, apakah pernah kasihan pada anak-anak Suriah? #AwasAntek2ISIS #ISISGoToHell</t>
  </si>
  <si>
    <t>RT @KeyshaAdinda5: @jokowi Apakah ini benar pak @jokowi??? Kalo benar percuma saja, anak yg sdh terdoktrin akan terus dibawa sampai dewasa...</t>
  </si>
  <si>
    <t>RT @anita81692023: @salahsambungya KPAI itu Komisi Perlindungan Anak Indonesia atau Komisi Perlindungan Anak ISIS ? Beti kan ? klu tidak bisa melindungi anak2 Indonesia bubar aja. Silahkan pindah ke suriah sekalian.</t>
  </si>
  <si>
    <t>@Detektif_Ngibul @AriestaRiico @jiiviiw @narkosun @wahhabicc_jabar @TolakBigotRI @P3nj3l4j4h_id Mereka Bukan Dukung ISIS Tapi Faksi Dalam ISIS</t>
  </si>
  <si>
    <t>RT @AhlulQohwah: Ngotot banget bela ISIS.. tapi menyebut Rasulullah dg gelar SWT 😭</t>
  </si>
  <si>
    <t>@Mataya16641870 @Aki7R3J0 @jokowi pada kemana aja coba heran... cuma tau judul berita doang, presiden bawa wni ke natuba. abis itu ga dibaca lagi isinya, penyebabnya, antisipasinya. iqra milea</t>
  </si>
  <si>
    <t>@__MV_llestari__ @bung_dolly ini sptny simplifikasi masalah d..presiden suriah ngak bisa dsebut pahlawan dunia krn menggunakan senjata kimia dalam usahany. Isis masuk dlm konteks salah satu pemberontak thd pemerintah suriah yg ada..jd ni stauku kompleks jg.</t>
  </si>
  <si>
    <t>WNI salah satu dari 10 warga terbanyak di Arab Saudi. Sehingga banyak sekali kasus terjadi di Jeddah.</t>
  </si>
  <si>
    <t>@dzammar5 @ImeldaWidya @achmad_Baduy @iskandar__fauzi @jokowi makanya tadi disuruh pahami dulu arti WNI dan eks WNI yaa iqra milea</t>
  </si>
  <si>
    <t>@jokowi Pak trimakasi sekali utk ketegasannya utk ga memulangkan eks WNI, tp lebih baik tidak usah dikasih peluang utk ank2 yatim piatu eks wni. Masih banyak anak2 yatim piatu di indonesia ini yg blm terurus, urus mrk dl pak, yg sudah eks tidak ada lagi tanggung jawab negara untuk mereka</t>
  </si>
  <si>
    <t>@AnakLolina @mohmahfudmd @jokowi Dengan Menampung Kombatan ISIS Suriah Tsb Maka Pengelola Pesantren Mau Bisnis Penggalangan Dana , Jangan Lupa Simpatisan ISIS Di Indonesia Itu Banyak Belum Bantuan Donatur ISIS Dari Negara Luar Pasti Akan Mengalir</t>
  </si>
  <si>
    <t>Star67 Jungle WNI RT @ComplexMusic: 5 years ago, @Drake dropped 'If You're Reading This It's Too Late.' RANK YOUR TOP 3 TRACKS 🤔</t>
  </si>
  <si>
    <t>27. Kalo followers mimin sempat nonton @MataNajwa edisi diskusi mengenai pro-kontra pemulangan WNI yang terlibat gerakan terorisme, dan ada cerita mengenai Dhania, itu juga jadi concern #SekolahDamaiNglinggi. Kebetulan mimin pernah ketemu dan sempat chatingan soal pengalamannya.</t>
  </si>
  <si>
    <t>@Airin_NZ Persis, jangan terjebak, mereka adalah anggota ISIS ex-WNI, jangan dibalik!</t>
  </si>
  <si>
    <t>RT @antoni__15: Hujan batu di Negeri sendiri, lebih baik daripada Hujan mortir di Negeri orang. Eks WNI yang sudah memutuskan menjadi warga Negara Antah berantah itu tidak usah pulang. Sebelum berangkat bicara dengan gagah, jiwa Nasionalis tidak ada. Mereka bukan Warga Indonesia tapi Sampah.</t>
  </si>
  <si>
    <t>@S1Tapir @WagimanDeep woiy @andalasiy kalo emang ISIS dak bahaya ngapain di brantas budayakan mikir sbelum komen</t>
  </si>
  <si>
    <t>RT @myatharva: @jr_kw19 GINI JAA... SI IKAN BUNTEL BESOK KE SURIAH KTMU ISIS YA... BAWA ANAK BINI LO SMUA. YEEEE... NTR GT SAMPE SANA,,,BAKAR PASPOR LO SMUA KITA TUNGGU NYALI LLOE</t>
  </si>
  <si>
    <t>RT @IMulya77: @jr_kw19 Si buntalan kentut zon pgn eks isis plg krn sbntar lg pilkada.. Biasalah..660 swara buat politik identitas macem dki sdh lumayan disuruh teriak2 pakai Agama lgi.. Ngotot krn ada maksut,pastinya..!</t>
  </si>
  <si>
    <t>@jr_kw19 Expor ikan buntal kesono Biar bisa bareng isis</t>
  </si>
  <si>
    <t>Pantasen ga berhenti ngoceh soal ISIS. Masi ingat doi dekat Donal Trump, makin jelas ISIS milik USA. Dan itu benang mereh. RT @UKI_djayengrono: Benerkah ini @fadlizon ? Tolong klarifikasi anda Mei 2015 menyumbang utk Pergerakan di Suriah sebesar 20.000 USD ke HASI (Hilal Ahmar Society Indonesia) yg menyalurkan Dana ke Suriah.Dana tersebut diterima oleh ANGGA DIMAS yg ternyata ANGGA DIMAS adalah Anggota Al Qaeda</t>
  </si>
  <si>
    <t>RT @Malik_sancho: Be my Boko haram I'll be your ISIS mu taru mu kona duniya🔥🔥🔥</t>
  </si>
  <si>
    <t>@Detektif_Ngibul @AriestaRiico @jiiviiw @narkosun @wahhabicc_jabar @TolakBigotRI @P3nj3l4j4h_id Oh pantes aja si rizik kabur ke arab sono, rupanya ketua organisasi ini mendukung gerakan ISIS..waduh, kacau bahlul nih orang! Udahlah zik, ente tinggal dan menetap di arab aja selamanya yah? Kagak usah balik2 ke indo..</t>
  </si>
  <si>
    <t>@ArielFatR @ustadtengkuzul Donald Trump Sebut Hillary Clinton Sebagai Pendiri ISIS -</t>
  </si>
  <si>
    <t>@andalasiy @AAR63028211 @ismail_irwan @CNNIndonesia Wkwk sejak kapan ? Isis aja ngebantai org muslim juga</t>
  </si>
  <si>
    <t>@KevinAdam2017 @NicoNugraha @CNNIndonesia Lah emg isis dah jadi negara ? Atau kita udah ngakuin jadi negara ? 🤔</t>
  </si>
  <si>
    <t>Memulangkan krn kemanusiaan atau menolak krn radikalisme sulit diatasi</t>
  </si>
  <si>
    <t>RT @RiriJreeng: Sadis kan ...? #TolakAnakISISKembali</t>
  </si>
  <si>
    <t>Syria Sewa Kereta Budget Bandingkan Sewa Kereta * Syria telah berada dalam keadaan kekacauan yang ganas dan perang saudara sejak tahun 2011. Ia juga mengalami kehadiran ISIS</t>
  </si>
  <si>
    <t>RT @Namaku_Mei: Gubernur Jateng @ganjarpranowo secara tegas keras MENOLAK gerakan masyarakat Jogja pun MENOLAK semoga di daerah lain menyusul bersuara MENOLAK Eks WNI pro ISIS #TolakEksISIS #TolakEksWNIproISIS #TolakISISEksWNI</t>
  </si>
  <si>
    <t>Moeldoko Tegaskan Eks ISIS dari Indonesia Stateless</t>
  </si>
  <si>
    <t>@ardongombe @CNNAfrica Another northern Islamic bokoharm almajiri iswap ansaru isis al qeada terrorist</t>
  </si>
  <si>
    <t>@KPAI_official @KPAI_official kumpulan simpatisan ISIS ya ....???</t>
  </si>
  <si>
    <t>Kelancangan UAS memfitnah ISIS</t>
  </si>
  <si>
    <t>@ColeTheBlackCat Nigel, Isis, Tabi, Charlie, Kenji, &amp; Kiki.</t>
  </si>
  <si>
    <t>RT @radar_malang: 238 WNI di Natuna Dipulangkan, Ma'ruf Amin: Mereka Sudah Aman</t>
  </si>
  <si>
    <t>Panglima TNI-Kapolri Kunjungi Pusat Observasi WNI di Natuna</t>
  </si>
  <si>
    <t>238 WNI di Natuna Dipulangkan, Ma'ruf Amin: Mereka Sudah Aman</t>
  </si>
  <si>
    <t>@P3nj3l4j4h_id Menolak anak ISIS kembali, berarti menyelamatkan generasi dan kebudayaan kita.. #TolakAnakISISKembali</t>
  </si>
  <si>
    <t>RT @alex_hunter146: @cagubnyinyir2 @Usep210 @Bnie18 @Bubut871 @LisdiyantoR @Aadec @P_Eneste @gundala222 @senasurya53 #Trans7 #MataNajwa Fadli Tidak Bela Siapapun Hanya Upaya Nampak Oposan Argumen-nya Dicari-Cari &amp; Dipaksakan Andaikan Pemerintahan Jokowi Menjemput Pulang 600 Teroris ISIS Eks WNI Tsb Pasti Fadli Zon Pasti Menentangnya Pokok-nya Harus Nampak Bersebrangan Dgn Pemerintah</t>
  </si>
  <si>
    <t>@AhlulQohwah @KPAI_official daripada ngurus anak2 eks isis, mending ngurusin anak2 pinggir jalan dulu lah pak, banyak yg masih cinta sama Indonesia, bukan karena terpaksa cinta karena KALAH PERANG, terus nyesel karena BAKAR PASPOR INDONESIA!</t>
  </si>
  <si>
    <t>@Pika41961394 @AhlulQohwah Salah nya dimana mengabaikan anak isis ??</t>
  </si>
  <si>
    <t>@black__valley1 Nggak sekalian aja dikirim ke kamp ISIS. Biar guna tu otaknya di sana.</t>
  </si>
  <si>
    <t>@salahsambungya @veraagustian_ kPAI lagi sibuk ngurusin anak Teroris /ISIS 😁</t>
  </si>
  <si>
    <t>KPAI lgsng trigger bgt nih soal ank2 eks-indonesia anggota isis Itu anak2 yg digebukin, dibully sambil direkam trus videinya nyebar apa kabar??</t>
  </si>
  <si>
    <t>mengapa orang2 di PKS ingin mengubah ibu kandungnya NKRI🇮🇩 mjd spt ISIS padahal jelas2 itu TERORIS berkedok agama &amp; kepentingannya utk kuasai sumur minyak di Suriah ? Terbukti di banyak negara2 ISIS di tolak. Berbaju NKRI dalamnya baju ISIS MUNAFIK pindah negara saja PKS</t>
  </si>
  <si>
    <t>@RadioElshinta Anak ISIS ex WNI kali ah</t>
  </si>
  <si>
    <t>@ustadtengkuzul Yg perlu di waspadai adalah masuknya Eks WNI yg bergabung dg ISIS,,,,☝ Utk hal yg 1 ini ente diem2 bae Zul...</t>
  </si>
  <si>
    <t>RT @SiswadiMargo: @AliTarsono1 @RadioElshinta Kalau meminta PBB mengurus mereka ntar PBB minta Indonesia membiayai mereka di kamp kamp penampungan karena secara legal belum ada keputusan pengadilan status WNI mereka dicabut jadi PBB menganggap mereka masih WNI</t>
  </si>
  <si>
    <t>Seandainya anak-anak yg gatau apa-apa itu bisa memilih buat nggak dilahirkan dari orang tua yg bakalan ngajak mereka ikut ISIS heheheheheheheheheheheheh</t>
  </si>
  <si>
    <t>@AliTarsono1 @RadioElshinta Kalau meminta PBB mengurus mereka ntar PBB minta Indonesia membiayai mereka di kamp kamp penampungan karena secara legal belum ada keputusan pengadilan status WNI mereka dicabut jadi PBB menganggap mereka masih WNI</t>
  </si>
  <si>
    <t>RT @kompascom: Direktur Imparsial Al Araf menilai opsi pemerintah memulangkan anak-anak dari WNI terduga teroris pelintas batas eks ISIS ke Indonesia sudah tepat. / #Nasional</t>
  </si>
  <si>
    <t>RT @Dyandra00987504: Kecewa saya sama kalian yg membela anggota isis mau memberi pekerjaan, menyambutnya dengan kemesraan penuh cinta kasih,, kalian itu apa pura2 buta pura2 tuli atas kekejamanya anggota isis?? mikir keras bener dach saya #DukungJokowiBerantasISIS #DukungJokowiBerantasISIS</t>
  </si>
  <si>
    <t>RT @JanuarSeba: Mana sih pendukung ISIS itu? Mana daftar namanya? Pasti ga mampu tunjukan</t>
  </si>
  <si>
    <t>RT @Dewi_Themis: Tegas atau keliru? Ga ada WNI jadi ISIS</t>
  </si>
  <si>
    <t>@SahabatSaber Guru radikalisme. Jiwa ISIS</t>
  </si>
  <si>
    <t>@imsaddgir bahas isis atau rhodamine b pada jajanan anak?</t>
  </si>
  <si>
    <t>Prioritas @KPAI_official urus yg di Empat Lawang dulu atau NGOTOT maksa pemerintah pulangin Anak2 ISIS?! RT @AhlulQohwah: @annisagstin @KPAI_official Kasus hari ini. Mari kita lihat seberapa tuntas KPAI merespon kasus ini,</t>
  </si>
  <si>
    <t>@AnakLolina kalo ISIS masuk ke Indonesia, mbak ini pasti udah digangbang rame² dipinggir jalan...hehe</t>
  </si>
  <si>
    <t>Mana sih pendukung ISIS itu? Mana daftar namanya? Pasti ga mampu tunjukan RT @tempodotco: Cendekiawan muslim, Ulil Abshar Abdalla, mengatakan setiap negara memiliki tanggung jawab untuk memulangkan warga negaranya yang menjadi pendukung ISIS.</t>
  </si>
  <si>
    <t>RT @Kalevi_Agung: @AhlulQohwah @annisagstin @KPAI_official Mungkin @KPAI_official Lagi ngurus anak2 ISIS smg bs sempet urus yg kek gini 😂 ah</t>
  </si>
  <si>
    <t>RT @dusrimulya: Asal mangap ala Cebong Gua tanya sama lu Apa secara hukum ISIS itu negara? Negara mana yg mengakui ISIS sbg Negara? Apa lu tau 4 syarat Hukum Internasional diakuinya suatu negara? Klo ndak paham hukum jgn asal mangap</t>
  </si>
  <si>
    <t>RT @AB_1_X_R: @sorotnews Cek fakta @liputan6dotcom cc @TurnBackHoax</t>
  </si>
  <si>
    <t>@kompascom Imparsial apaan sik?????!! Ga pernah ada prestasi tiba2 muncul mau jadi pahlawan...SAYA MENOLAK EKS ISIS PULANG KE INDONESIA!!!!!!</t>
  </si>
  <si>
    <t>WNI, jungle, company RT @ComplexMusic: 5 years ago, @Drake dropped 'If You're Reading This It's Too Late.' RANK YOUR TOP 3 TRACKS 🤔</t>
  </si>
  <si>
    <t>@AhlulQohwah Undang2 kan berlaku untuk warga negara Indonesia yah? Kalo dah mantan wni kan artinya dah gak berlaku lagi dong undang2nya</t>
  </si>
  <si>
    <t>@budimandjatmiko @LeleRheiz @penjagaaset Saya setuju dengan Bapak..sekecil apapun esk isis jngan di pulangkan ke negeri ini..</t>
  </si>
  <si>
    <t>@rfnaryo_ @tubirfess Iye isis kresten deh kalo gt. Masi ada ae yg reality denial 🤪</t>
  </si>
  <si>
    <t>Termasuk ex WNI, bakal di adili oleh pengadian setempat. Hanya laki2, dan tidak ada hukuman mati. 😞 RT @jenanmoussa: 1- The Syrian Kurds have recently announced that they will soon start putting jailed foreign #ISIS fighters on trial in Syria using local courts. So what are exactly the details of this? I checked for you. This is what I learned. @akhbar</t>
  </si>
  <si>
    <t>@aldinalsya @AtikaFaya Yo wislah yg penting jauhi para pengasong khilafah. Mulut manis mereka sekarang ini palsu, aslinya pahit, bau &amp; bertaring. Kalau saja kemarin ISIS menang mereka akan Bela ISIS berjilid2 dan tindakan sadis mrk akan disebut sbg kerasnya keadilan. Dasar Dajjal Ijajjil. Telek.</t>
  </si>
  <si>
    <t>@GunRomli @Lily_Raimun Virus isis mulai di sebar waspadalah</t>
  </si>
  <si>
    <t>@FerdinandHaean2 Fer lo ngelindur ya mbaha suryah melulu, ini indonesia bung, aman damai.....walo ekonomi tidak tumbuh, walo hutang ugal ugalan, walo koruptor makin pesta pora.....mana anak anak isis yang lo katakan? Halu sinasi lo fer</t>
  </si>
  <si>
    <t>@N1ngW4ng1 @PKSejahtera, sekarang begini aja... 1) Ga usah ribut disini, ye JIHAD kesana aja gabung dengan mereka! 2) Dana Dukungan Our Eyes Ops / OEI berapa U$ dollar? 3) Udah gagal nunggangin agama, jangan coba nunggangin HAM 4) Serius? Adili ISIS/ISIL/DHAES di @UN &amp; @CIJ_ICJ ! BERANI?!</t>
  </si>
  <si>
    <t>RT @ANgewelagi: @anita81692023 @salahsambungya betul banget mbak.... Yg aku paling sebel itu perilaku mesumnya ISIS. Kalo kita terima mereka di negri kita , aku nggak sudi ngeliat org² macam Dian sastro, Aura kasih atau nia ramadhani ditelanjangin n digarap rame² di pinggir jalan....</t>
  </si>
  <si>
    <t>Kalau sampai dia bilang, “Kami sedang membahas RATUSAN anak korban ISIS bukan BEBERAPA anak korban BULLYING.” Kebangetan. Pepatah ‘Gajah di pelupuk mata tak tampak, semut di seberang lautan tampak.’ Sangat tepat sih. RT @AhlulQohwah: Di Malang anak dibully sampai patah tangan anteng, di Purworejo anak perempuan dianiaya anteng. Giliran anak ISIS suaranya kenceng.</t>
  </si>
  <si>
    <t>RT @namakuJo_han: @3_devout Masih hangat kejadian anak SMP Swasta agama yg membully/menganiaya anak perempuan teman kelasnya, ini bukan didikan isis sudah spt itu kelakuannya, gimana yg sdh dididik oleh isis....</t>
  </si>
  <si>
    <t>@wisanggeni_084 Sepertinya KPAI skrg kepanjangannya Komisi Perlindungan Anak Isis</t>
  </si>
  <si>
    <t>RT @04_adisetiawan: @AnakKolong___ @KPAI_official Kisah Bocah eks Tentara ISIS: Tugas Pertama Bunuh Orangtua #TolakAnakISISKembali</t>
  </si>
  <si>
    <t>@RizmaWidiono @KomnasHAM #TolakAnakISISKembali Saat banyak korban jiwa di Indonesia akibat perbuatan eks isis @KomnasHAM dimana? Apa yang sudah kalian lakukan jing? Apa kalian tahu kondisi korban yang selamat? Apa kontribusi kalian?</t>
  </si>
  <si>
    <t>@kompascom Gw ralat aja ya, mereka itu isis ex WNI</t>
  </si>
  <si>
    <t>@DindinNugraha @AnakKolong___ @felixsiauw @mohmahfudmd Eh iya HTI astagfirullah ampe lupa. ISIS dengan kearifan lokal😬</t>
  </si>
  <si>
    <t>@tubirfess Ya menurut gua ya org yg udah kena dampak radikalisasi itu memang sulit utk disembuhkan terutama anak2 yg sebagiannya kaya hal seperti itu udah tertanam bgt ucapan ortunya mengenai isis didlm otaknya. Apalagi di usia dari umur 1-10ucapamuda terpengaruh.</t>
  </si>
  <si>
    <t>RT @Airin_NZ: @KomnasHAM bgtu peduli pd anak2 kecil yg kini mnjdi bagian dari ISIS. @KomnasHAM setuju soal rencana pemulangan anak2 ISIS ini. Lagi2 alasan "Kemanusiaan" Bantu sy. Apakah saat anak2 ini👇mnjdi korban kebiadaban ISIS. @KomnasHAM teriak soal Kemanusiaan..? #TolakAnakISISKembali</t>
  </si>
  <si>
    <t>@CNNIndonesia kenapa wartawan tidak menanyakan anggota isis eks wni yg ingin ke indonesia?</t>
  </si>
  <si>
    <t>@hormoct @souvlakist @MarianasDiamond @alexaagrms Sisisis Isis</t>
  </si>
  <si>
    <t>@VeronicaKoman 2. Parahnya, berita2 gosip yang ia buat itu direleas dari negara lain, menjadi berita Internasional, dan dengan itu dia bangga bahwa apa yang dilakukan itu katanya demi kemanuasiaan, itu seperti semangat para anggota ISIS, tapi beda instrumen.</t>
  </si>
  <si>
    <t>@zarazettirazr @wotonnie Indonesia tidak darurat ISIS. Indonesia darurat PKI!</t>
  </si>
  <si>
    <t>RT @mochamadarip: @RizmaWidiono @andy_nomicin @KomnasHAM Pengakuan ex Teroris ISIS, mereka ga lebih dari Dajjal... #TolakAnak1sisKembali #TolakAnak1sisKembali #TolakAnak1sisKembali #TolakAnak1sisKembali</t>
  </si>
  <si>
    <t>RT @Atypicalien: @hendrii_k @AhlulQohwah @berniemohammad Kenapa ga jawab pertanyaan mana yg harusnya jadi prioritas utk diurusin pemerintah? KPAI ngurus korban bully ya tanggung jawab mereka. Poin dari narasi ini adl masih banyak bgt anak lain yg jadi korban &amp; kasusnya ga selesai tp knp malah fokus mentingin anak anggota ISIS. Kocak lu</t>
  </si>
  <si>
    <t>@aldinalsya @AtikaFaya Sebenarnya ada fakta yang lebih mencengangkan soal kaitan antara ISIS dg USA berikut radikalis di Indonesia, cuman ga enak mo tulis ntar dikira islamophobic</t>
  </si>
  <si>
    <t>@Jean_Aprilia97 @Zambulazzam Harusnya pemerintah turun lngsung temui dulu mereka,discuss, sebenarnya gimna,toh mereka jg WNI, diplomasi dlu,lbh baik koruptor yg diusir dri NKRI, #BangsatBangsa</t>
  </si>
  <si>
    <t>RT @Bangzul__88: Dulu ketika berangkat ke Suriah, mencari berbagai macam cara supaya sampai di daerah konflik dan berperang utk menaklukkan Al-Asaad dan ingin menjadikan Suriah sbg Negara Khilafah bersama ISIS. Kalah perang ngemis² minta pulang? #CabutStatusWNIproISIS</t>
  </si>
  <si>
    <t>@addiems Kalau memaksa eks ISIS pulang, MUNGKIN satu satunya cara adalah merebut HAM dari mereka yaitu dicuci otak agar mereka bersih dari ideologi ISIS. MUNGKIN. Sorry to say. They've decided their own way.</t>
  </si>
  <si>
    <t>RT @PJustitia7: @angedespoir5 @77bayoe @KPAI_official kalau mau bicara di publik belajar ngeja dulu Yang tepat ISIS Ex WNI, bukan WNI Ex ISIS Ex WNI sudah terjelaskan dengan UU No.12/2006 pasal 23, kalau Ex ISIS apa buktinya? MAU BELA NGGAK PAHAM HUKUM? ASAL NJEPLAK...SONTOLOYO TENAN</t>
  </si>
  <si>
    <t>@kompascom masih dibawah umur tpi udah pandai membunuh. mikirnya disana. isis itu uda ganti batang otak mrk dri dewasa sampai anak kecil. level mrk udah bukan terpapar lgi tapi udah jdi pengatur eksekusi udah jdi tukang jagal manusia</t>
  </si>
  <si>
    <t>@tubirfess Mereka dibebasin lebih cepat entah polisi kurang banyak bukti apa gimana anaknya juga udh kelar direhab. Ehhh ortunya masuk penjara lagi dan dapet bukti kalo dia tu bendahara isis di indo juga penghubung isis inter anaknya juga kelar direhab tetep aja masih suka ngebakar bendera.</t>
  </si>
  <si>
    <t>@jokowi Lepasin burung merpati ke camp isis cari tau cara pemulasaraan anak untuk dipulangkan jd pengantin bom panci.</t>
  </si>
  <si>
    <t>RT @bhenytarika28: @wisanggeni_084 Ex WNI pengkhianat bangsa #TolakAnakISISKembali #TindakTegasIntoleran</t>
  </si>
  <si>
    <t>@Dandhy_Laksono Veronika koman, sebagai aktivist HAM harusnya juga netral dong dalam informasiin isu yang di Papua. Kenapa veronica gk ngebahas kelompok KKB itu seperti ISIS yang beroperasi di Indonesia, aparat aja dibunuh disana, apalagi warga sipil papua!</t>
  </si>
  <si>
    <t>RT @Ca91786: @kanuhate kekekeke cuma 1 deh... fakultas pemulangan, jurusan anak2 ISIS</t>
  </si>
  <si>
    <t>@_wni_ HAHAHHAHAAH ALAH OKLAH TAK TAKUT. JOM KL 😔</t>
  </si>
  <si>
    <t>@angedespoir5 @77bayoe @KPAI_official kalau mau bicara di publik belajar ngeja dulu Yang tepat ISIS Ex WNI, bukan WNI Ex ISIS Ex WNI sudah terjelaskan dengan UU No.12/2006 pasal 23, kalau Ex ISIS apa buktinya? MAU BELA NGGAK PAHAM HUKUM? ASAL NJEPLAK...SONTOLOYO TENAN</t>
  </si>
  <si>
    <t>@kanuhate kekekeke cuma 1 deh... fakultas pemulangan, jurusan anak2 ISIS</t>
  </si>
  <si>
    <t>@jokowi Mereka juga WNI, jangan di cekal, diberikan pembinaan untuk kembali kepada jalan yang benar. Jika masih bersikukuh dengan pedomannya, kirim saja ke penjara Guantanamo</t>
  </si>
  <si>
    <t>@2_devout @tiknoira @detikcom Klo isis walo diduga sangat cepet nangkep..klo masiku kok sulit ..piye mbake</t>
  </si>
  <si>
    <t>Bumi ini milik Allah, menolak kembalinya kombatan isis ke Indonesia sama halnya dengan menentang kekuasaan Allah Sudah layak jd orang PKS blm ?</t>
  </si>
  <si>
    <t>@Puteriswift_ Allahu. Tkpe la. Kita duduk rumah je la</t>
  </si>
  <si>
    <t>@YourBabyPants @jeannifervh @tubirfess saat ini kita membela hak mereka. kia teriak kembalikan mereka, kita minta generasi mereka dikembalikan. kita tuntut pemerintah minta maaf. kita blg mereka ga salah krna mereka hanya keturunan tpi disisi lain kita malah teriak an menyumpahi keturunan ISIS? hipokrit</t>
  </si>
  <si>
    <t>@AtikaFaya Din samsudin ini apa benar2 tau amerika pencetus ISIS.. Malah amerika yg menghancurkan ISIS. JIKA GA TAU JGN SO TAU LO PEKOK</t>
  </si>
  <si>
    <t>@tubirfess Dulu ada temen les gua dia orang kaya tapi rada ketutup orgnya ternyata keluarganya bendahara Isis dari indo secara perlahan keluarganya kek memberikan radikal awalnya bikin pengajian tapi ga ngaji2 malah bahasnya jihad jihad jihaadd..</t>
  </si>
  <si>
    <t>@_wni_ Jalan manoi oi saya takut corona 😭</t>
  </si>
  <si>
    <t>Alhamdulillah 4flat again</t>
  </si>
  <si>
    <t>RT @JKDaulay: "Sehingga cegah tangkal itu bisa dilakukan di sini kalau data itu dimasukkan ke imigrasi." ujar Jokowi.  SETOEDJOE 👍 cekal saja mereka, Pakde @jokowi ! jangan kotori tanah Bhinneka Tunggal Ika ini dengan pemahaman mereka yg picik ! #TindakTegasIntoleran</t>
  </si>
  <si>
    <t>RT @negativisme: Kenapa Komnas HAM gak ikut kesana aja atuh? Rakyat lebih rela kehilangan Komnas HAM dibanding ngasi ruang bagi ISIS eks WNI di Indonesia. btw, coba berbicara HAM juga dong sama korban pemboman aksi teror. #AwasAntek2ISIS</t>
  </si>
  <si>
    <t>HUSAYN MUHAMMAD AL-UMARI  @FBILosAngeles @FBIWFO @FBIHonolulu Maui 38 Kulani Pl Maui Hawaii Shalom Amar Isack Azencot Weinberg Horrowitz #HostelMuderRing Mafia ISIS 818-445-3311</t>
  </si>
  <si>
    <t>@Puteriswift_ Congrats 🤟🏻❤ jom la jalan</t>
  </si>
  <si>
    <t>@wahhabicc_jabar @KPAI_official Entah apa yg merasuki( kpai )./Maaf tanpa @ Ketika anak dibawah umur dijadikan kartu joker saat unjuk rasa ;..mereka enjoy aj kgk segaring🤔...eh segarang ini?? Giliran yg udah niat bakar pasport wni...kok dibelain segaring genee ????</t>
  </si>
  <si>
    <t>@samhudibae Jadi ini alasan Bro @fadlizon ngotot pulangin eks WNI isis, donaturnya juga toh?!</t>
  </si>
  <si>
    <t>@aldinalsya @AtikaFaya Penadah minyak ISIS di pasar gelap terbesar adalah Turki yg punya agenda sendiri thdp ISIS terkait Kurdi. Begitu Khilafah ISIS jd besar dan tampakkan wajah aslinya yg diskriminatif - sadis, AS (diakui atau tdk) jd merasa bersalah telah turut besarkan anak macan yg dikira kucing.</t>
  </si>
  <si>
    <t>@Kmsil1 betul sekali....di negaranya, ISIS sudah mencabuli gadis² arab seperti ini</t>
  </si>
  <si>
    <t>RT @Rusmiatikandi1: @jokowi Saat seseorang membakar pasport dengan sengaja dan menyatakan setia pada negara lain, otomatis status WNI nya hilang. Semoga bisa menghasilkan keputusan yg terbaik yah pak. NKRI jaya😍</t>
  </si>
  <si>
    <t>@jokowi Biarkanlah mereka memilih di Isis kita urus aja NKRI. Anak indonesia banyak Yatim piatu kr ulahnya. Ngapain anak isis di pelihara.</t>
  </si>
  <si>
    <t>Kalau alasan cuaca virusnya gak menyebar,lah Singapore ada yg kena WNI pula yg jelas2 cuaca disana sama aja kayak indo Hmm..</t>
  </si>
  <si>
    <t>@Metro_TV Provoganda ala metro, apa yg kamu inginkan, mentri di kabinet @jokowi ada beberapa org kok masi mihak ISIS.</t>
  </si>
  <si>
    <t>@jr_kw19 FZ salah satu donasi lembaga kemanusiaan, dimn lembaga tsb berafliansi kelompok ISIS #TolakAnakISISKembali</t>
  </si>
  <si>
    <t>@Galihzainur1 @fadlizon @KPAI_official @KomnasHAM @hnurwahid @Kemenag_RI @felixsiauw @Fahrihamzah Indonesia STOP ISIS</t>
  </si>
  <si>
    <t>RT @idafauziyah: Ada sedikit bantuan 4280 masker untuk didustribusikan kepada WNI di Singapura, khususnya bagi PMI.</t>
  </si>
  <si>
    <t>@anita81692023 @salahsambungya betul banget mbak.... Yg aku paling sebel itu perilaku mesumnya ISIS. Kalo kita terima mereka di negri kita , aku nggak sudi ngeliat org² macam Dian sastro, Aura kasih atau nia ramadhani ditelanjangin n digarap rame² di pinggir jalan....</t>
  </si>
  <si>
    <t>@wisanggeni_084 Ex WNI pengkhianat bangsa #TolakAnakISISKembali #TindakTegasIntoleran</t>
  </si>
  <si>
    <t>Kadinkes Kalsel Sebut Dua WNI ABK Kapal China Diduga Terinfeksi Virus Corona Belum Perlu Dirujuk</t>
  </si>
  <si>
    <t>@ANgewelagi @salahsambungya Sesuai namanya aja KPAI ... itu melindungi anak Indonesia. Nah anggota ISIS itu eks wni !! Eks !! "Mantan" so anak2nya bukan anak Indonesia. Sorry to say that. Jadi itu KPAI melencengnya kejauhan. Anak2 korban bully an itu tuh yg mestinya diurusin. Iya ga sih ?</t>
  </si>
  <si>
    <t>RT @eko2471: @wisanggeni_084 KPAI = kilafah pembela anak isis. Sudah kubilang pemerintah dan lembaga ini memeras pengusaha cina termasuk djarum untuk biaya terorisme</t>
  </si>
  <si>
    <t>@mulanbilqis ISIS kebiadaban berkedok Agama, bejad ! #TolakAnakISISKembali</t>
  </si>
  <si>
    <t>RT @__beritaterkini: Korban Corona COVID-19 Pesiar Mewah Membludak, 78 WNI Masih Terjebak | #indonesia #viral &gt;&amp;gt;&amp;gt; Click</t>
  </si>
  <si>
    <t>RT @5Y5_one_70: ISIS Punya Doktrin Taqiyah atau Berpura-pura di Depan Musuh, Pemerintah Diminta Hati-hati #TolakAnakISISKembali  lewat @tribunjabar</t>
  </si>
  <si>
    <t>@Atypicalien 2. soal pertanyaan tentang prioritas itu sudah beda arah bahasan bung, dan untuk perkara isis/anak2ny ini saya sudah sangat setuju dengan pak presiden (baca tweet beliau) jadi jelas ya soal prioritas saya setuju bahwa untuk anak isis ini gak masuk prioritas tapi tetep diprhtkn</t>
  </si>
  <si>
    <t>RT @RadioElshinta: KPAI minta Pemerintah melindungi anak-anak WNI eks ISIS. Apa yang harus dilakukan terhadap anak anak WNI eks ISIS? SIMAK #KomisiAndaElshinta - Streaming di</t>
  </si>
  <si>
    <t>RT @soloposdotcom: WNI Eks ISIS atau ISIS Eks WNI? Ini Landasan Hukumnya</t>
  </si>
  <si>
    <t>RT @KompasTV: Jelang Akhir Karantina WNI di Natuna, 15 Februari Siap Dipulangkan</t>
  </si>
  <si>
    <t>@AtikaFaya Waaahhh...memperkenalkan arti KPAI terbaruuu... Komisi Perlindungan Anak Isis...</t>
  </si>
  <si>
    <t>@ganjarpranowo @yourstyleid PAK GANJAR TELFON JUGA DUKCAPIL PURWOKERTO PEMBUATAN KTP E LAMA SEKALI TOLONG DI PECAT CEK SEMUA LAYANAN. LAMBAT ,urusan kekerasan ada hukum dan polisi urusan e ktp seleruh WNI ,dibuat stress nunggu 6bulan gak jadi #ganjarpranowo #gubernurjawatengah #ktpelektronik</t>
  </si>
  <si>
    <t>RT @BudiKacle: @RadioElshinta KPAI urusin yg di dlm negeri aja masih banyak ngapain urusin anak2 ex ISIS</t>
  </si>
  <si>
    <t>@hincapandjaitan @mohmahfudmd @VeronicaKoman Veronika koman, sebagai aktivist HAM harusnya juga berimbang dalam informasiin isu yang di Papua. Kenapa veronica gk ngebahas kelompok KKB itu seperti ISIS yang beroperasi di Indonesia, aparat aja dibunuh disana, apalagi warga sipil papua!</t>
  </si>
  <si>
    <t>@Atypicalien 1. poin??? wong disitu jelas2 bilang di 2 kasus, Malang dan Pwrejo dibilang anteng, kasus isis kenceng, coba aja gugling di 3 kasus tsb KPAI aktif, trus itu anda tarik kesimpulan kasus anak isis lebih dipentingin dr mana? ini baru kocak namanya</t>
  </si>
  <si>
    <t>@mas__piyuuu Ngentot.... dari semua berita ini gak ada yg bahas ISIS. bloon @mas_piyuuu</t>
  </si>
  <si>
    <t>RT @ETNewsIndonesia: Satu Orang WNI, Positif Terinfeksi Coronavirus Nonton video selengkapnya di:  #WNI #coronavirus #WuhanPneumonia</t>
  </si>
  <si>
    <t>WNI yang Jalani Observasi di Natuna akan Dilepas Secara Adat</t>
  </si>
  <si>
    <t>@Aashfinn Wni mumuna dake ne zaki samu miji kaman shi</t>
  </si>
  <si>
    <t>@alpin_aktam18 Itulah ISIS. Ibu kandung sendiri ditembak. Anak² gadis arab spt ini juga "ditembak" rame-rame oleh ISIS yg birahi</t>
  </si>
  <si>
    <t>@detikcom Ribet amat.ya. Anak anak terlantar di dalam negara Masi bnyak ini Masi mau munggut anak hasil eks isis.. #politiklucu</t>
  </si>
  <si>
    <t>@anita81692023 @salahsambungya Banyak anak² gadis arab seperti ini yg dikangkangin rame² oleh ISIS. Lalu kita disini simpati pada anak² ISIS. kan kererlaluan</t>
  </si>
  <si>
    <t>@TroyGranger77 @langitbiru310 @jokowi Ini bukan hal jenaka, ini hal yg serius untuk keamanan bangsa dan negara. Jika Anda seorang WNI yg memiliki pendidikan, Anda akan tahu hal ini, jangan hanya games yg kau pikirkan.</t>
  </si>
  <si>
    <t>@aldinalsya @AtikaFaya Tetapi setelah banyak kuasai sumur2 minyak, kelompok Al Baghdadi ini jadi kaya raya dari perdagangan minyak di pasar gelap, mrk jadi besar, mandiri, kuat krn bisa beli senjata sendiri di pasar gelap dan mulai punya tujuan sendiri lalu sebut dirinya ISI sebelum kemudian jadi ISIS.</t>
  </si>
  <si>
    <t>Mantap wni ni RT @detikcom: Ribuan penumpang kapal pesiar dikarantina gegara virus corona. Bermula seorang kini ratusan orang dari berbagai negara tertular tapi tak ada satu pun WNI.</t>
  </si>
  <si>
    <t>Kita' harus terus berteriak dan harus terus berteriak, bahwa memulangkan anak-anak pengikut iblis ISIS, sungguh merupakan resiko yang sangat besar bagi keutuhan, keamanan, dan kedamaian bangsa ini. #TolakAnakISISKembali RT @SalmaBrecht: Stlh Pemerintah tidak memulangkan Ex WNI ISIS. Din Samsudin dan tokoh Islam lainnya mengaung. Mrk minta Pemerintah menyelamatkan anak². Itu artinya memulangkan ibunya. Skrg Pemerintah melunak. Jadi keputusan menolak dipulangkan Ex WNI ISIS belum final.</t>
  </si>
  <si>
    <t>@marpaung913 Banyak gadis² arab seperti ini yg dikankangi rame² oleh ISIS</t>
  </si>
  <si>
    <t>RT @Aryprasetyo85: #TindakTegasIntoleran Lebih lanjut Mahfud menjelaskan bahwa untuk mencabut status kewarganegaraan WNI diperlukan proses hukum. Sebelumnya Presiden Jokowi memerintahkan supaya 689 ISIS asal Indonesia, di data dan dimasukkan ke database Imigrasi</t>
  </si>
  <si>
    <t>RT @Aryprasetyo85: #TindakTegasIntoleran ISIS Asal Indonesia, @mohmahfudmd: Kita Gak Mau Mereka Pulang Menurut Mahfud kewarganegaraan tidak boleh dicabut, mereka hanya tidak boleh pulang. "Kita kan nggak mencabut kewarganegaraan, nggak boleh mereka pulang, karena mereka ISIS," ujar Mahfud</t>
  </si>
  <si>
    <t>Dasar Hukum Pencabutan Kewarganegaraan Eks ISIS | #indonesia #viral &gt;&amp;gt;&amp;gt; Click</t>
  </si>
  <si>
    <t>@marpaung913 Orang yg mau nerima ISIS pasti blm pernah liat cewek Arab didobrak rumahnya n diperkosa rame² oleh ISIS</t>
  </si>
  <si>
    <t>@WagimanDeep Coba Dhe itu eks isis bom rumah.nya atau rumah keluarga dekat.nya. Apa dia Masi bisa berbicara sperti itu lagi.. Sklah tinggi" namun kok pekok..</t>
  </si>
  <si>
    <t>RT @H4l1mun_D1n61n: Hallo dara... kira-kira apa yang terjadi jika eks ISIS pulang ke Indonesia.. Pendapatnya donk? @LuwitaEmilly878 @IrmaHKds @ssssintiaaaa94 @ItuSemanisAku @DiantyYasmin3 @Diana_GarisImut @dianafithras @Nouna_jessica94 @AtikaFaya @viviandeella @Araaara_ra @TheArieAir @and_reavie</t>
  </si>
  <si>
    <t>@andy_nomicin Tapi pemimpin kita mulai hanyut dan terbuai akan rayuan gerombolan ISIS.</t>
  </si>
  <si>
    <t>@WagimanDeep @KPAI_official @ganjarpranowo Negara kita menganut konsep Ius Sanguinis bukan Ius Solli, lantas ngapain kita disibukkan masalah anak² eks WNI Anggota ISIS</t>
  </si>
  <si>
    <t>@salahsambungya KPAI itu Komisi Perlindungan Anak Indonesia atau Komisi Perlindungan Anak ISIS ? Beti kan ? klu tidak bisa melindungi anak2 Indonesia bubar aja. Silahkan pindah ke suriah sekalian.</t>
  </si>
  <si>
    <t>RT @TirtoID: Keputusan pemerintah tidak memulangkan WNI eks ISIS menuai sorotan dari pelbagai pihak. Salah satunya menyebut pemerintah membiarkan warganya kehilangan kewarganegaraan atau stateless.</t>
  </si>
  <si>
    <t>@HendraBunawi5 @Karya53744593 @Nuga0814 @twitpos Menurut data jumlah keseluruhan anggota ISIS ada skitar 60.000 Dr seluruh dunia.. Indonesia diperkirakan skitar 600an..trmsk perempuan Dan anak2 menurut data pemerintah Indonesia..jd yg 600an itu anggota elite nya ISIS gitu?ya engga atuuh sayaang...</t>
  </si>
  <si>
    <t>@RadioElshinta KPAI urusin yg di dlm negeri aja masih banyak ngapain urusin anak2 ex ISIS</t>
  </si>
  <si>
    <t>@Ama_xxii @salahsambungya @KPAI_official Kpi anjingnya ISIS</t>
  </si>
  <si>
    <t>@detikcom Harusnya mikir panjang lah mereka sendiri yg niat pergi dan membakar paspor mereka ngapain dipulangkan lagi?nambah beban aja mash banyak urusan negara yg lebh penting ketimbang mulangin ek ISIS</t>
  </si>
  <si>
    <t>@WagimanDeep Menurut si Sihibul ..anak ISIS bisa di bina jadi Pasukan KADRUN..disekolah2 miliknya PKS</t>
  </si>
  <si>
    <t>pertumbuhan mental itu yg paling diinget saat belum dewasa lo hati hati,didikan ISIS pula,takut kebawa bawa anjir RT @AhlulQohwah: Di Malang anak dibully sampai patah tangan anteng, di Purworejo anak perempuan dianiaya anteng. Giliran anak ISIS suaranya kenceng.</t>
  </si>
  <si>
    <t>RT @andy_nomicin: Hanya karena ingin mendapatkan 72 Bidadari, mereka rela untuk mati walau sebagai Teroris ISIS. Dibawah ini ada contoh Bidadari yg di idam2 kan 🤣🤣🤣 #TolakAnakISISKembali</t>
  </si>
  <si>
    <t>@aldinalsya @AtikaFaya AS pernah sokong dana dan senjata kpd Abubakar al Baghdadi (sempalan alqaeda) yg punya pasukan fanatik dg 'tujuan' utk memerangi pengaruh Iran yg dukung pejuang syiah (al Sadr) di Iraq 'bukan' utk dirikan khilafah (ISI/ISIS).</t>
  </si>
  <si>
    <t>Isis biadap. Tolak pemulangan ISIS ke Indonesia</t>
  </si>
  <si>
    <t>@detikcom mereka sudah membakar lambang negara INDONESIA yaitu Garuda di passport mereka..jadi sampah seperti mereka jangan di masukan lagi di negara ini dan mereka sudah bukan warga INDONESIA.. kan mereka sudah di janjikan surga beserta segala kenikmatannya oleh para ISIS...nikmatin aja..</t>
  </si>
  <si>
    <t>ISIS,ko.ahir2 ini rame kenpa dulu sepi!jngn2 bwt menutupi pemerintahn @jokowi karna periode pertama ekonomi jelek skrng jga belum ada kemajaun malahn nambh nyungsep @kaesangp</t>
  </si>
  <si>
    <t>RT @woelannnn: @Airin_NZ Komnas HAM mingkem aja loe liat anak2 jd korban BOM Isis #TolakAnakISISKembali</t>
  </si>
  <si>
    <t>Anggota ISIS dari Indonesia sebenarnya di Suriah ngapain sih ? Kalau aku mah di ISIS kuliah #kampusseni #ISI_Ska #AwasAntek2ISIS</t>
  </si>
  <si>
    <t>@AhlulQohwah Org KPAI ini kok mukanya cocok bgt gabung sama ISIS</t>
  </si>
  <si>
    <t>Kenapa ISIS disebut teroris? pemaksaan kehendak? Yang tidak sesuai ideologi dia akan dibunuh?</t>
  </si>
  <si>
    <t>@Cittairlanie Bahas anak isis aja dong. Lg pen ngumpat tp butuh dukungan argument. Lebih tepat nya tolong ber argument biar saya yg nambahin umpatan</t>
  </si>
  <si>
    <t>RT @D_rayanS: @N1ngW4ng1 @Yudistira671 Anak2 ISIS itu sdh rusak otaknya</t>
  </si>
  <si>
    <t>Anak ISIS Belum tentu ISIS. Anak PKI belum tentu PKI. apakah mereka punya hak yang sama? #TolakPulangkanKombatanISIS</t>
  </si>
  <si>
    <t>Kerjaan beres bukan malah ngerjain skripsi, malah sibuk menganalisis isu-isu radikalisme, deradikalisasi, ISIS dll.</t>
  </si>
  <si>
    <t>RT @KakekHalal: Jika @KomnasHAM bersikukuh mendatangkan Teroris ISIS eks WNI, saya lebih baik kehilangan KOMNAS HAM ketimbang kehilangan NKRI 👊 #ISISGoToHell</t>
  </si>
  <si>
    <t>@herlambang_tan Siapa yang butuh kepulangan mereka ? Kok pemimpin kita berharap dengan TERORIS ISIS, sedangkan anak terlantar nasibmu TERUS TERLANTAR</t>
  </si>
  <si>
    <t>Jelang Akhir Karantina WNI di Natuna, 15 Februari Siap Dipulangkan</t>
  </si>
  <si>
    <t>@N1ngW4ng1 @Yudistira671 Anak2 ISIS itu sdh rusak otaknya</t>
  </si>
  <si>
    <t>@navegaayu isis helokitty ne rek rokokan iku</t>
  </si>
  <si>
    <t>Astarfirullahulazim sadis kejam biadab emsng ISIS #TolakAnakISISKembali #TolakAnakISISKembali RT @WahabisLokal: Astagfirullah Bener2 anak Biadab. Ibu kandung sendiri ditembak mati didepan umum. Buka mata lo lebar2 yg mau pulangin anak2 Ex WNI ISIS. Jangan sok bicara HAM, emang kalian mau Ngebunuh 170 jt rakyat Indonesia yak. #TolakAnakISISKembali</t>
  </si>
  <si>
    <t>RT @remotivi: Sejauh ini, informasi apa yang kamu peroleh dari media soal pemulangan WNI eks-ISIS? Berikut adalah #Amatan kami terkait isu ini.</t>
  </si>
  <si>
    <t>@AhlulQohwah Emang anak2 itu mereka menginginkan jadi anaknya para isis ya? Mikir dlu sblum komentar. Anak2 itu adalah korban.</t>
  </si>
  <si>
    <t>RT @mdptyo: Mungkin lebih tepatnya KPAI: Komisi Perlindungan Anak ISIS</t>
  </si>
  <si>
    <t>Kok ngurusi isis wae yo pak2 op nok dlm negeri rak ono anak sing butuh perhatian..? RT @detikcom: Presiden PKS Sohibul Iman meminta pemerintah memulangkan anak-anak ISIS eks WNI. Anak-anak itu, menurut Sohibul, dapat dibina di Indonesia. #PKS #ISIS</t>
  </si>
  <si>
    <t>@negativisme Isis boleh masuk asalkan mereka di taro di pulau kecil dan akses keluar pulaunya banyak bintang buas</t>
  </si>
  <si>
    <t>Tahukah kamu bahwa ISIS itu adalah kaki-tangan Deep State yang lagi dipreteli kekuatan, pengaruh, perduitan, antek-anteknya oleh Donald Trump? Taukah kamu juga bahwa SJW di Amrik memusuhi Trump dan tak berani kritis kpd politisi kiri, kebijakan kekirian, Deep State serta faksi..</t>
  </si>
  <si>
    <t>@GeeTz66745249 @NdindiJr94 @Amigosaying @swahilitimes Just shortly; izo ISIS, ALSHABAAB,BOKO HARAM and so on.. zinakuwa financed na US haohao... naiona IRAN au IRAQ mpya ndani ya Africa mashariki muda si mrefu. Kenya will suffer sanaaa miaka michache tu ijayo</t>
  </si>
  <si>
    <t>Disaat anak2 lain bermain PUBG anak 9 tahun seperti Yusuf dan Nasa sudah dilatih memegang senjata di Dunia mereka anggap "nyata." Hampir gak berbeda sebetulnya dgn anak SMP di Jakarta memegang senjata tajam hanya anak2 ISIS diajarkan untuk bertakbir demi Khilafah.</t>
  </si>
  <si>
    <t>RT @ridwankamil: Perihal wacana pemulangan WNI eks ISIS. 1. Kebijakan luar negeri itu domain pemerintah pusat bkn daerah. 2. Jika diputuskan tidak dipulangkan, kami pasti dukung sepenuhnya. Jika hrs dipulangkan, maka kami di daerah hrs siap, dgn catatan sudah clear dan insyaf oleh ukuran BNPT.</t>
  </si>
  <si>
    <t>@KelianBanjar_GK Emang ada isis di Indonesia, dan diluar didikan nya? Pura Pura tolol atau politik aja nih</t>
  </si>
  <si>
    <t>RT @voaindonesia: Moeldoko Sebut Mantan Kombatan ISIS dari Indonesia “Stateless”</t>
  </si>
  <si>
    <t>@CNNIndonesia @Kemlu_RI kok bisa, ini virusnya jijik sama WNI apa gimana</t>
  </si>
  <si>
    <t>@P3nj3l4j4h_id Jadiin tengkorak sekalian klo anak2 ISIS d kembali ke INDONESIA.sebelum mereka menjadikan saudara2 kita menjadi tengkorak. #TolakAnakISISKembali</t>
  </si>
  <si>
    <t>@HendraBunawi5 @twitpos @jibotu Coba share data resmi nya kalau bener ISIS banyak dr Indoneisa. Ini bahaya ini statement nya.</t>
  </si>
  <si>
    <t>RT @Inu_Yasha13: @AnakKolong___ @KPAI_official Apakah bisa disebut komisi pemerhati anak isis?</t>
  </si>
  <si>
    <t>Hobby baru Seharian mantengin Quora sama YouTube Tentang reynhard, tentang ISIS, tentang teroris....tentang laptop si Unyil haha</t>
  </si>
  <si>
    <t>@mas__piyuuu Pada sok empati sama anak ISIS. Tapi sama anak PKI pada antipati.</t>
  </si>
  <si>
    <t>Kunjungi WNI di Natuna, Prabowo: Jangan Panik, Cool Aja | #indonesia #viral &gt;&amp;gt;&amp;gt; Click</t>
  </si>
  <si>
    <t>RT @CtGmnu: Pemerintah Indonesia tidak memiliki rencana untuk memulangkan simpatisan ISIS eks WNI. "Pemerintah memiliki tanggung jawab keamanan terhadap 260 juta penduduk Indonesia. Itu yang kita utamakan". @jokowi Presiden Republik Indonesia #NKRIhargamati🇮🇩 #GMNUCyberTeam</t>
  </si>
  <si>
    <t>10 Warga Banten Dikabarkan Ikut Gabung ISIS di Suriah</t>
  </si>
  <si>
    <t>@AhlulQohwah @annisagstin @KPAI_official Mungkin @KPAI_official Lagi ngurus anak2 ISIS smg bs sempet urus yg kek gini 😂 ah</t>
  </si>
  <si>
    <t>RT @FloDeQueen: Anak2 isis bisa dibina bla bla bla .... Yang ngomong anggota pks Kalian percaya ? 😩🤣</t>
  </si>
  <si>
    <t>RT @billy4riez: Polemik pemulangan kombatan ISIS m menunjukkan adanya kekacauan manajemen. Mestinya, sejak awal masalahnya diinventarisasi terlebih dulu. Barulah setelahnya dibentuk suatu rencana dan dibicarakan. ⁦@RadesaInstitute⁩</t>
  </si>
  <si>
    <t>RT @angedespoir5: Nih baca @KPAI_official Mau ente tanggung jawab?! @mohmahfudmd @jokowi</t>
  </si>
  <si>
    <t>hak mereka harus di izinkan pulangkan kembali ke Indonesia, pemerintah tidak bisa melarang WNI masuk ke negara nya sendiri...Pemerintah hrs menjalankan UU Perlindungan anak.. #TolakAnakISISKembali</t>
  </si>
  <si>
    <t>@jupraw kemalingan? justru dari manusianya/konsumen lah harus sadar dan cerdas lah jangan apa-apa salahin pemerintah udah seperti anggota isis asal Indonesia. Kecuali memang pemerintah tidak hadir dalam persoalan ini ya, beda cerita kalau mau salahin pemerintah</t>
  </si>
  <si>
    <t>RT @DeeMz29429466: @alex_hunter146 @jokowi @ks_PDIP_Projo Aq juga mikirnya gitu, bukankah tidak ada suami abadi dlm ISIS. perkawinan hanya sbg kedok free seks semata. Wanita ISIS wajib jihad seks yaitu rela melayani nafsu para Kombatan berkedok nikah mut'ah. So tidak menutup kemungkinan anak2 dibawah usia 10th adalah hasil praktek tsb</t>
  </si>
  <si>
    <t>(2)seharusnya tidak ada Warga Negara Indonesia (WNI) yang pergi dari negaranya untuk menjadi kombatan, sukarelawan dengan menjadi anggota kelompok ISIS. Kebenaran versi anda, versi kita dan mereka tentulah berbeda (relatif). #berpikirjaringan</t>
  </si>
  <si>
    <t>RT @alex_hunter146: @jokowi @ks_PDIP_Projo Anak-Anak Yg Lahir Di Suriah Atau Anak Hasil Dari Perkawinan Dgn ISIS Antar Negara Lalu Mereka Mau Jadi Indonesia?</t>
  </si>
  <si>
    <t>@SlREN_ ISIS/Al Qaeda /Nazis/ antifa</t>
  </si>
  <si>
    <t>ENIH VIDEO LATIAN ANAK2 PIATU KOMBATAN ISIS Mereka dilatih KERAS Untuk "MEMBUNUH" Lobha, Dosa, Moha Lobha Keserakahan + Kemelekatan Dosa Kebencian + Iri Hati Moha Kesesatan Pikiran Belum Tercerahkan 😊🙏</t>
  </si>
  <si>
    <t>@RadioElshinta Tlg kasih tau jg ke @KPAI_official itu urusin anak² korban perundungan ada yg spe putus jari nya dimalang, dan di purworejo anak perempuan di hajar rame² jgn ngurus yg gak jls anak2 ISIS mrk pergi krn kemauan org tua mrk !!</t>
  </si>
  <si>
    <t>@samhudibae 863.Orang" yg berkeinginan Utk menerima Eks.ISIS pulang ke Indonesia adalah Orang" yg Pancasilais, Ber-Perikemanusiaan. Pancasila, sila ke-2:"Kemanusiaan yg Adil dan Ber-adab. Kalo yg menolak bgm?...</t>
  </si>
  <si>
    <t>@N1ngW4ng1 Sya WNI sya tinggal di Indonesi.. Saya tdk setuju dan menolak wacana itu.. Jutaan rakyat di negeri ini sepakat.. sya yakin itu..✊🇲🇨🇲🇨</t>
  </si>
  <si>
    <t>@andalasiy @ismail_irwan @CNNIndonesia Nama nya sih Iya.. tp sudah mnjd rahasia umum kan bhw Isis itu piaraan mosad?</t>
  </si>
  <si>
    <t>@gen_dt @Jean_Aprilia97 @Rasyeed3 Mereka kena tipu propaganda ISIS</t>
  </si>
  <si>
    <t>RT @TaufiqMarhaban: @imamsant054 @detikcom @BNPTRI Indonesia memiliki simpatisan ISIS mirip dengan Rusia, yg mereka lakukan adalah menyelamatkan anak2 ISIS dan memulangkannya secepatnya, karena mereka tahu kalau sudah keburu dewasa akan membahayakan negara, ini link beritanya</t>
  </si>
  <si>
    <t>RT @garuda1645: @elHurryKoRn @rizieqdivist @Itjen_Kemdikbud Suruh dia Ngajar anak² ISIS aj. Klu Pendidik sdh Mnganut FAHAM FANATISME jgn di ksh Peluang utk Mengajar krn dri dia lah nanti Bibit² FANATISME akan Bermunculan lewat anak² yg di didik nya. Klu dia Menjadi Pendidik puluhan Tahun, berapa Juta ank² didik nya yg Terkontaminasi.</t>
  </si>
  <si>
    <t>RT @Mataka81760170: @03__nakula @sirajapadoha WNA ISIS</t>
  </si>
  <si>
    <t>Jahanam ISIS. RT @dewakarbinawa: Ap ini yg akn kita hrpkan stlah mrk plg,apa ini yg dibela bg yg membela↓#Waraskah? →Krn ISIS jg pny doktrin taqiyah_jk blik lg ke NKRI akn mjd petaka bg kt semua! Ap yg bs kt hrpkan dr Kpulangan ISIS slain Khncuran NkRI&amp;Drita *Isis tdk ad kata mantan !! #TolakAnakISISKembali</t>
  </si>
  <si>
    <t>@SetyawanAryf @Rido_Lizze @lili_tho @mahmud_neo @AHSANFURQANIBR5 @jokowi Heran aja, kemarin waktu berangkat ke sono inisiatif sendiri. Pake bakar paspor lagi. Kok skrg minta dipulangin oleh negara? Lihat aja yg di Arab sono, ampe skrg blm bisa balik. Makanya...banyak2 bersyukur jadi WNI.</t>
  </si>
  <si>
    <t>Sejumlah Warga Natuna Ingin Darmabaktikan Diri di Lokasi Observasi WNI dari Wuhan</t>
  </si>
  <si>
    <t>@hendrii_k @AhlulQohwah @berniemohammad Kenapa ga jawab pertanyaan mana yg harusnya jadi prioritas utk diurusin pemerintah? KPAI ngurus korban bully ya tanggung jawab mereka. Poin dari narasi ini adl masih banyak bgt anak lain yg jadi korban &amp; kasusnya ga selesai tp knp malah fokus mentingin anak anggota ISIS. Kocak lu</t>
  </si>
  <si>
    <t>LPSK : Anak dan Istri Eks ISIS Bukan Korban  via @Beritasatu CC =) @KPAI_official</t>
  </si>
  <si>
    <t>@marsahid_34 Yang bilang HRS di cekal sama kerajaan saudi sama WNI kan anda? Menurut anda kerajaan arab saudi negara yg bisa di dikte oleh negara lain apa lagi di dikte sama satu orang.. arab suadi itu negara besar NDRO negara manapun ga bisa dikte mereka...apa lagi cuma seorang WNI? 😂😂</t>
  </si>
  <si>
    <t>Apa emang pejabat pemerintahan lebih memikirkan dunia luar ketimbang dunia dalam negri sendiri ya 1.Masalah Intoleransi yg masih sangat kental. 2.Masalah bullying masih sering terjadi. Tapi yg di pikirin ISIS muluk,ayolah dalam dulu baru luar @KPAI_official @Kemenag_RI @jokowi RT @AhlulQohwah: Di Malang anak dibully sampai patah tangan anteng, di Purworejo anak perempuan dianiaya anteng. Giliran anak ISIS suaranya kenceng.</t>
  </si>
  <si>
    <t>RT @KelianBanjar_GK: Pemerintah Tolak Kepulangan ISIS eks WNI Ada 3 Alasan 1.menjamin rasa aman&amp;nyaman bagi 267 warga negara Yg hidup di Indonesia.  memulangkan pejuang kombatan yg tergabung dlm FTF di beberapa negara 3 mengenai pendataan para FTF #TolakAnakISISKembali</t>
  </si>
  <si>
    <t>@Metro_TV Udah bukan WNI lagi kali.</t>
  </si>
  <si>
    <t>Belum seberapa, punya @ivansabundriyo lebih ekstrim ngalahke Isis RT @kegblgnunfaedh: Kek kostan siapa ini 😶</t>
  </si>
  <si>
    <t>RT @vir4: @AHSANFURQANIBR5 @mufashi @gintingabhilawe @lili_tho @mahmud_neo @SetyawanAryf @jokowi Ini yang bilang seorang guru besar dengan gelar Professor. Apakah masih diragukan ? Menurut beliau mereka sudah bukan WNI lagi, paparannya singkat, padat, jelas. Kalau sudah bukan WNI, kenapa pemerintah wajib mengurusi?</t>
  </si>
  <si>
    <t>@wisanggeni_084 Berawal dari sistim khilafah isis dulu mendoktrin manusia manusia bodoh yg mabuk agama.mereka merasa isis itu maha benar.padahal isis adalah kumpulan srigala berbalut agama.</t>
  </si>
  <si>
    <t>Seorang WNI dari Malaysia Jadi Pasien dalam Pengawasan Terkait Virus Corona di Batam</t>
  </si>
  <si>
    <t>Rame2 tentang rencana pemulangan Ex Isis. Negara kita kan negara HUKUM di selesaikan sj berdasar hukum. Klu bersalah ya proses hukum sampai putusan berkenan hukum gak usah tebet. Fokus sj pemberantasan korupsi</t>
  </si>
  <si>
    <t>RT @SusilawatiSisi2: @jokowi @haganesta Ngr wajib menjaga dn melindungi WNI yg taat konstitusi/ideologi Pancasila 😊</t>
  </si>
  <si>
    <t>@WagimanDeep @KPAI_official @ganjarpranowo Komisi Pemulangan Anak ISIS =KPAI ....u no brain ya. 😠</t>
  </si>
  <si>
    <t>idk hati rasanya sedih bgt kalo ngeliat WNI yg malah memecah belah perbedaan di negara sendiri. wishhh pendidikan di Indonesia lebih mengutamakan toleransi untuk menyatukan perbedaan. #TindakTegasIntoleran #SaveBhinekaTunggalIka RT @yusuf_dumdum: Miris juga, kok masih saja ada oknum guru yang bertindak begini. Masa nonton Barongsai di acara Cap Go Meh saja didenda 30rb. 🤦‍♂️ Ini di SDN 43, Singkawang, Kalbar. #TindakTegasIntoleran</t>
  </si>
  <si>
    <t>@aldinalsya @AtikaFaya ISIS th 2014 di masjid Nuri Mosul Baghdad deklarasi negri Khilafah pemersatu umat Islam sedunia setelah kuasai Iraq Barat dan bag. timur Syuriah (+/- seluas Portugal), lalu menyeru umat Islam se dunia termasuk Indonesia utk gabung. Mrk sebut RI, Mal, Phil sbg kekhalifahan timur.</t>
  </si>
  <si>
    <t>Apa sih kriteria Isis ? Kenapa seseorang bisa di sebut Isis ? Jelaskan pada saya. #TolakAnakISISKembali</t>
  </si>
  <si>
    <t>@tahupetismanis Tapi pemerintah lebih sayang dan berharap agar ada anak teroris ISIS di Indonesia. Wajar kau menangis karena Indonesia tak butuh anak" Suriah.</t>
  </si>
  <si>
    <t>@03__nakula Pks ini kok getol banget ingin mulangin anggota isis eks WNI, memangnya mereka mau ternak teroris tanpa mikirin hak hidup nyaman mayoritas rakyat NKRI yg menolak mrk? 😌 #TolakAnakISISKembali #AwasAntek2ISIS</t>
  </si>
  <si>
    <t>LINDUNGI ANAK ANAK EKS ISIS RT @AhlulQohwah: Di Malang anak dibully sampai patah tangan anteng, di Purworejo anak perempuan dianiaya anteng. Giliran anak ISIS suaranya kenceng.</t>
  </si>
  <si>
    <t>Ada yg ngeblok sy...apa dikira simpatisan ISIS kali ya? 😁😁😁 Sy husnudzon aja...mungkin beliau kurang familiar dengan pandangan2 saya</t>
  </si>
  <si>
    <t>RT @RadioElshinta: KPAI minta Pemerintah melindungi anak-anak WNI eks ISIS. Apa yang harus dilakukan terhadap anak anak WNI eks ISIS? SIMAK! #DiskusiInteraktifElshinta bersama Komite Nasional Peduli Anak Indonesia sekaligus Pemerhati Anak, Kusumo Priyono. #20thElshintaNewsAndTalk</t>
  </si>
  <si>
    <t>@jr_kw19 Saya setuju dengan pak Fadli Zon. Dan mendukung sepenuhnya kepada bapak untuk berangkat menemui, memindai, dan mendata eks WNI yang bergabung dengan ISIS, kemudian memulangkannya, dan siap bertanggung jawab atas resiko pemaparan ideologi radikal di Indonesia.</t>
  </si>
  <si>
    <t>@ArdianZA_099 @fadlizon Pak @prabowo kader yg begini masih mau di pertahankan? Anda sdh bagian dr pemerintahan @jokowi , berpolitik lah yg elegan kalo mau oposisi mundur lah dr kabinet. Kalo mau ikut pemerintahan yg berjalan tegurlah kader yg bloon ini @fadlizon dan ngeyel ini. ISIS koq di bela terus..</t>
  </si>
  <si>
    <t>@Boemi_Pertiwi12 Masih banyak supporter ISIS disini. Waspada..</t>
  </si>
  <si>
    <t>KPAI KEPANJANGAN DARI (KOMISI PERLINDUNGAN ANAK ISIS) SURE? RT @AhlulQohwah: Di Malang anak dibully sampai patah tangan anteng, di Purworejo anak perempuan dianiaya anteng. Giliran anak ISIS suaranya kenceng.</t>
  </si>
  <si>
    <t>@DsSupriyady @humaira979 @kumparan Ya udah didik anak anak isis di rumah anda, usul sana ke Pemerintah</t>
  </si>
  <si>
    <t>@deathbyluck13th Enak kak isis..silir...adem</t>
  </si>
  <si>
    <t>@RyoFahri 🤔pancasila hadiah dr islam ? 😂😂😂😂 Moon maap, nama panca (5) sila saja disadur dari bahasa sansekerta, lebih kearah bahasanya umat hindu dibanding islam. Kuy, ikut isis sanah, ga usah klaim pancasila hadiah islam, kagak ada bahasa arab jadi pancasila.</t>
  </si>
  <si>
    <t>@LeleRheiz @tampubolon_rado @penjagaaset ISIS itu kelompok ideologis. Dia hanya sisakan yg seideologis dgn mereka utk tetap hidup. Nah si @penjagaaset kan cuma kotoran di mata semua kubu hehehe...</t>
  </si>
  <si>
    <t>@SlametMuslim @J_Aryoko @MohammadMakruf @wahhabicc_jabar makanya saya bilang tdk sesedehana itu menghadapi anak2 isis.. apalagi "mengembalikan" doktrin yg sudah tertanam dari bertahun2 disana.. melihat sehari2 seperti apa.. krn memori dalam otak masih tersimpan.. klo yg masih bayi mungkin aman.. tp umur 8 thn keatas itu PRnya</t>
  </si>
  <si>
    <t>@Airin_NZ Mereka sudah melepaskan kewarganegaraannya dan milih jadi gerombolan teroris. Tapi negara TAMBAH BODOH, berharap mereka kembali jadi WNI. Gak dapat emaknya atau bapaknya, ANAKNYAPUN JADI. DASAR NEGARA PENGEMIS TERORIS, apa ada harta karun yang mereka bawa dari Suriah ?</t>
  </si>
  <si>
    <t>RT @lulukhamidah: Ibarat main musik, ada instrumen yg sdg dimainkan bersama. Usai melempar wacana pemulangan 600 kombatan ISIS, skrg membuka peluang mempekerjakan mantan napi teroris di BUMN. Siapakah dirigen dr orkestra kegelapan ini? What do you think guys?</t>
  </si>
  <si>
    <t>RT @budimandjatmiko: @penjagaaset Jadi nunggu kepalamu kena bom ISIS. Kapan kira2 ya?</t>
  </si>
  <si>
    <t>Hehhhh ojo melok2 isis kon yo @fransisca_ardy RT @1AmyChew: SINGAPORE - Two #Indonesian maids in #Singapore who donated money to their #ISIS boyfriends whom they met online are jailed for terrorism financing. Beware of the internet where #ISIS prey on lonely foreign workers  via @scmpnews</t>
  </si>
  <si>
    <t>..jancuuk ISIS 😠😡 RT @Galihzainur1: Sebelum Nasi Mjd Bubur Dan Semua Tinggal Derita Simak Tragedi Berdarah ini untuk Penghianat NKRI. CC: @fadlizon @KPAI_official @KomnasHAM @hnurwahid @Kemenag_RI @felixsiauw @Fahrihamzah #BasmiRadikalisme Apa Yg Bisa Kita Harapkan Dari Kepulangan #ISIS Selain Kehancuran dan Derita</t>
  </si>
  <si>
    <t>RT @Donal_golan: Pertanyaan khusus buat @Gerindra , bagaimana jika yg dialami anak-anak ini terjadi pada anak-anaknya elit partai Gerindra...?! Sibuk kali kelen buat narasi untuk menghasilkan pemulangan anak2 teroris ISIS eks WNI. 🤨🤨🤨🤨</t>
  </si>
  <si>
    <t>Panglima TNI : Observasi 238 WNI di Natuna Dinyatakan Sehat -</t>
  </si>
  <si>
    <t>@ustadtengkuzul Awas.....paham isis telah merasukinya.hati hati dgn panjul dan segala omonganya.</t>
  </si>
  <si>
    <t>@jr_kw19 Dia zonk bagian dari isis kali?</t>
  </si>
  <si>
    <t>@_haribangkit_ @ISIS_Balik_NO @DKIJakarta @aniesbaswedan Mantap inih benar2 detail</t>
  </si>
  <si>
    <t>RT @JakubPrajogo: @Yasleo8 @SahabatSaber @jokowi Oknum ISIS berperang di negara asing dan utk orang asing tanpa seijin presiden dan sudah mengkhianati amanah bangsa NKRI dapat disetarakan menjadi combatan di negara asing. Bahkan sudah menjadi pelaku terorisme international jadi biarkan didakwa dan dihukum di Suriah.</t>
  </si>
  <si>
    <t>Anak2 isis bisa dibina bla bla bla .... Yang ngomong anggota pks Kalian percaya ? 😩🤣</t>
  </si>
  <si>
    <t>RT @twitpos: Negara menolak memulangkan WNI yg telah bergabung dengan ISIS, namun keputusan tersebut menuai Pro dan Kontra. Bagaiman dengan sobat semua ?</t>
  </si>
  <si>
    <t>@kompetitormekdi @virarapf Ga tuh, jangan lancang dan jd sok tau ya cara berpikir saya kayak gmn😊 Dan jangan melebar kemana-mana dah. Gaada yg ngomongin isis dan pengantin bom dan apalah. Fokus dong sama diskusi awal. Semoga saya sama vira ga terpancing sama obrolan lain.</t>
  </si>
  <si>
    <t>@VIVAcoid Ini bisa bedain ga sih?...wni ya wni,isis ya isis..ga ada itu WNI ISIS..</t>
  </si>
  <si>
    <t>@narkosun @ganjarpranowo Masih ngurus anak eks WNI yg hijrah ke IsIs</t>
  </si>
  <si>
    <t>RT @woelannnn: @PakarLogika Semoga Presiden @jokowi menolak teroris ISIS &amp; #TolakAnakISISKembali</t>
  </si>
  <si>
    <t>RT @amat_ramlah: @N1ngW4ng1 @Airin_NZ Tolak ISIS dan mantan serta anak2nya dari negri ini</t>
  </si>
  <si>
    <t>@budimandjatmiko Omar menegaskan dia bukan ancaman bagi orang Eropa, "Mereka dulu musuh saya namun sekarang saya tinggal di tengah mereka, makan, dan minum bersama mereka. Mereka menerima saya dan memberi perhatian pada saya." Eks kombatan isis bisa insaf dan kembali ke negaranya hidup normal.</t>
  </si>
  <si>
    <t>RT @istidharto: @N1ngW4ng1 Ditambah lagi media massa yg memframing mrk anak2 WNI... defacto dan deyure mrk tlh menolak kewarganegaraan Indonesia dan gabung dgn ISIS... secara UU, mrk sudah BUKAN WNI lagi... Aku dukung #TolakAnakISISKembali #TolakPulangkanKombatanISIS #TolakWNIEksISIS</t>
  </si>
  <si>
    <t>@mohmahfudmd Dan tanya Emprop Si Kuman Veronica msh dianggap WNI atau dicabut dan tdk boleh masuk ke Indonesia spt Isisers yg ditolak oleh Jokowi?</t>
  </si>
  <si>
    <t>@DTanjung15 Enak aja FZ desak2 presiden buat mulangin anak isis Ayo kita Desak jg presiden utk kirim FZ ke suriah 😤</t>
  </si>
  <si>
    <t>@WagimanDeep @KPAI_official @ganjarpranowo Bagaimana jika tiap anggota KPAI menjadi orang tua asuh anak anak eks WNI pro ISIS,mengadopsi dan merawat mereka di rumah masing masing.</t>
  </si>
  <si>
    <t>RT @Iqbal__Kholidi: Cuplikan video ISIS yg tampilkan bocah-bocah asal Indonesia &amp; Malaysia.</t>
  </si>
  <si>
    <t>@KPAI_official KPAI kemana suara nya ttg perundungan terhadap anak skr ini, yg di magelang spe putus jari nya, di Purworejo anak perempuan di hajar tmn2 kls nya, klo anak ISIS kok suara nya kenceng bgt kalian, mana suara mu unt hal tsb ???</t>
  </si>
  <si>
    <t>RT @Zaramaya10: Aku ga ikut2 an demo pemulangan wni dr Wuhan Ak sibuk tiktok an Bangun tdr jam 5 pagi blm sisiran pula</t>
  </si>
  <si>
    <t>RT @lucky_hafner: @gadisresidu_b3 @BadjaNuswantara @ZheeOmega KPAI ga ada kerjaan cuma numpang panggung anak2 ISIS ex WNI ... kalo negara ga sudi ..so what gitu loh.</t>
  </si>
  <si>
    <t>RT @wisanggeni_084: Ngeri !!! 😱😱😱 Tugas pertama anak² yg bergabung dengan ISIS bunuh orang tua. #TolakAnakISISKembali</t>
  </si>
  <si>
    <t>@AnakKolong___ @KPAI_official Anak2 ISIS eks WNI lbh tepat...🙏</t>
  </si>
  <si>
    <t>Dear Prens.. Ga usah kaget kl PKS paling getol mulangin ISIS.. Lah wong itu semua konstituen mereka.. Dibilang teroris ngambek, tp kelakuan belain muluk.. 😂😂😂</t>
  </si>
  <si>
    <t>4. Apa benar... Semut dan lebah dapat berkerjasama dlm jumlah yg besar hanya dg kerabat dekatnya saja. Sementara, #sapiens mampu berkerjasama dg orang yg tidak dikenal utk bergabung dg #ISIS</t>
  </si>
  <si>
    <t>@RinjaniJB @soepono42 @jokowi Pak @jokowi jangan dengarkan mereka yg kontra dg keputusan bapak.. Kami mendukung bapak untuk tidak memulangakan exs wni mantan kombatan ISIS..</t>
  </si>
  <si>
    <t>RT @jawapos: Begini Skenario Kemenkes Terkait Pemulangan 238 WNI dari Natuna</t>
  </si>
  <si>
    <t>@hafidzahzah @virarapf Bersuka ria di dalam doktrin kemunduran.... Nanti kalo consent jadi penolak feminisme, undang undang yang melindungi perempuan, atau consent jadi pengantin bom atau teroris di ISIS... Yah kamu dukung ya? Yaya dengarkan pilihan perempuannya lho?</t>
  </si>
  <si>
    <t>@AhlulQohwah Komisi Perlindungan Anak ISIS meureun etamah hih</t>
  </si>
  <si>
    <t>@CNNIndonesia Mereka itu bukan WNI tapi ISIS.</t>
  </si>
  <si>
    <t>RT @NilaKencana8: Kau beri contoh trhadap Ormas Radikal diklompokmu agar gak Intoleran. Kau jinak kan trlebih dulu kaum Intoleransi di kubumu agar bisa saling mnghormati dg sesamanya. Prlu km ktahui jika dampak doktrin kesadisanTerorist ISIS gak akan bisa utk direhablitasi. #TindakTegasIntoleran</t>
  </si>
  <si>
    <t>Kau beri contoh trhadap Ormas Radikal diklompokmu agar gak Intoleran. Kau jinak kan trlebih dulu kaum Intoleransi di kubumu agar bisa saling mnghormati dg sesamanya. Prlu km ktahui jika dampak doktrin kesadisanTerorist ISIS gak akan bisa utk direhablitasi. #TindakTegasIntoleran RT @N1ngW4ng1: Maafkan.. Sy sering tdk setuju dg usulan2 partai ini. Kamu bgmn? Proses psikologis utk mrk itu rumit. Kita mampu? Hidden agenda kah? 🙄😑 #TolakAnakISISKembali ** Presiden PKS Sohibul Iman meyakini anak2 WNI eks ISIS yg dipulangkan bisa dibina kembali.</t>
  </si>
  <si>
    <t>ISIS tidak beragama !! *Hooeeekkk RT @wisanggeni_084: Ngeri !!! 😱😱😱 Tugas pertama anak² yg bergabung dengan ISIS bunuh orang tua. #TolakAnakISISKembali</t>
  </si>
  <si>
    <t>@wiradisuta @J_Aryoko @MohammadMakruf @wahhabicc_jabar Jangan sampai...😁 Sebenarnya saya, anda, mas @MohammadMakruf semuanya sependapat bahwa ideologi ISIS itu buruk, dan anggota2 ISIS itu rata2 tidak tertolong lagi....kita hanya berbeda pendapat ttg nasib anak2 mrk saja...janganlah itu dijadikan alasan utk gontok2an</t>
  </si>
  <si>
    <t>RT @FerdinandHaean2: Saya sepakat dgn Ngabalin di @akimalam_tvone bahwa Pemerintah dlm tujuan tertentu bisa mengeksekusi hukum layaknya membubarkan HTI pd tahun2 lalu. Status kewarganegaraan Anggota ISIS Eks WNI dinyatakan otomatis gugur bila sdh berperang utk asing, mk tak perlu pengadilan.</t>
  </si>
  <si>
    <t>@CNNIndonesia Kok media membolak-balik. Status mereka hari ini Eks WNI yang anggota ISIS.</t>
  </si>
  <si>
    <t>RT @republikaonline: WNI yang jalani observasi di Natuna akan dilepas dengan upacara adat setempat.</t>
  </si>
  <si>
    <t>AS adlh "bandit kelas internasional" karena trlibat dlam penjualan minyak ilegal di negara di Timur Tengah trsebut. Bahkan tindakan AS yang mengerahkan militernya guna menjaga ladang2 minyak di Suriah bagian timur dari ISIS, dianggap sebagai kamuflase.</t>
  </si>
  <si>
    <t>@ybsaw @__marzraujo @sraclafin ABJABDJWBDJWNDJSNSKDNSIZNAKNXIANSKS RINDO DE NERVOSO</t>
  </si>
  <si>
    <t>Bukannya makanannya ISIS...tanda tanya..tanda seru...titik.. RT @unclekrabbs: Gethuk, berasal dari kata di Geget karo manThuk'' yg kurang lebihnya ketika menggigit nakanan ini di pastikan sembari mengangguk2 enatah karena enyak atau karena susah di telan karena sered,tapi entsh mengapa lindri menjadi terkenal sebagai nama di belakang gethuk ini?</t>
  </si>
  <si>
    <t>RT @jawapos: 238 WNI di Natuna Dipulangkan, Ma'ruf Amin: Mereka Sudah Aman</t>
  </si>
  <si>
    <t>RT @Ubaidullah_Sdq: Alih-alih men-deradikalisasi ex ISIS, sayapun sangat ragu apakah pelaku program deradikalisasi punya kemampuan debat dan adu argumentasi dg mereka. Jangan-jangan ex ISIS ini justru yg akan menularkan virusnya.</t>
  </si>
  <si>
    <t>@fadli_zon seperti nya Anda ISIS,walaupun Akun sy di Blokir oleh Anda,sy bisa melalui @mohmahfudmd @jokowi @aniesbaswedan @Fahrihamzah @prabowo mgkn akun² di atas bisa Anda Intip,apa jaminanmu dgn Kombatan ISIS eks WNI,sampai ada ISIS msuk ke Indonesia Ku Pecahkan Kepalamu..!!! RT @jr_kw19: Sangat disayangkan knp fadli zon begitu ngototnya menginginkan Anak2 eks WNI pro ISIS dipulangkan Wooiii ... ngapain buang waktu Biaya,tenaga, ngurus bibit teroris apa gak ada kerjaan apah .. #TolakAnakISISKembali</t>
  </si>
  <si>
    <t>RT @Ari3Pras: Tugas Pertama Bunuh Orangtua! Inilah Doktrin Radikal ISIS kpd anak-anak tak berdosa. TOLAK pemulangan anak-anak ISIS ! @jokowi @mohmahfudmd @BIN_Official @Menlu_RI @PolhukamRI #TolakAnakISISKembali Retweet &amp; Comment yuk..! #TolakAnakISISKembali</t>
  </si>
  <si>
    <t>@penjagaaset Jadi nunggu kepalamu kena bom ISIS. Kapan kira2 ya?</t>
  </si>
  <si>
    <t>Benarkah Fadli zon dan Fahri Hamzah antek ISIS ? RT @UKI_djayengrono: Benerkah ini @fadlizon ? Tolong klarifikasi anda Mei 2015 menyumbang utk Pergerakan di Suriah sebesar 20.000 USD ke HASI (Hilal Ahmar Society Indonesia) yg menyalurkan Dana ke Suriah.Dana tersebut diterima oleh ANGGA DIMAS yg ternyata ANGGA DIMAS adalah Anggota Al Qaeda</t>
  </si>
  <si>
    <t>Start day hari ini mulai sarapan &amp; makan siang di office ngomongin: isis, pulang kerja ketemu kolega diskusinya: isis, diantara sela2 45 menit dijalan pulang obrolannya: isis, nunggu ngantuk ngestalk twitter TL isinya: isis</t>
  </si>
  <si>
    <t>Kemenkes Pastikan WNI dari Natuna Sehat untuk Kembali ke Masyarakat #kemenkes #Viruscorona #Wnidinatuna</t>
  </si>
  <si>
    <t>Ada apa sih koq ngotot belain orang2 yg sudah declare bergabung dg kelompok teroris ISIS? Mereka juga pergi ke sana karena menganggap pemerintah RI ini toghut. RT @kumparan: Hidayat Nur Wahid mendorong pemerintah mengkaji peluang WNI di Suriah yang tak terlibat ISIS bisa pulang ke Indonesia.</t>
  </si>
  <si>
    <t>@wahhabicc_jabar @KPAI_official Saya bisa ngerti kalo KOMNAS HAM, KPAI bicara tentang perlindungan orang-orang Eks WNI anggota ISIS da anak-anaknya, karena ini "panggung", buat mereka.</t>
  </si>
  <si>
    <t>RT @didi_armayanto: @jr_kw19 @Zulfika35354359 Saya lebih suka kalo si FZ sendiri yg milih anak ISIS eks WNI yg mo dipulangkan ke indonesia, kalo udah ketemu bawa pulang ke indonesia, semoga aja si FZ juga selamet kembali ke indonesia, nah si anak titip aja ma si FZ, biarkan dia yg ngurusin ....</t>
  </si>
  <si>
    <t>@AhlulQohwah KPAI singkatannya apa toh? Komisi Perlindungan Anak Indonesia atau Komisi Perlindungan Anak ISIS? *facepalms*</t>
  </si>
  <si>
    <t>@wiradisuta @J_Aryoko @MohammadMakruf @wahhabicc_jabar Memang itu parah, begis, kejam dsb...dan mungkin anak2 yg seperti itu memang sudah tidak tertolong. Tapi sekarang apakah ada cara untuk mencegah anak2 isis yang lain melakukan hal serupa seperti itu ketika dewasa?</t>
  </si>
  <si>
    <t>@AAR63028211 @ismail_irwan @CNNIndonesia ISIS itu Khilafah Islamiyah, tak perlu ditakuti bagi orang-orang muslim</t>
  </si>
  <si>
    <t>@senasurya53 @P3nj3l4j4h_id Semua yg agamis tampilan tapi kelakuan otak ucap ngawur pasti pendukung isis. Sama dan sebangun isi kepalanya. Kadrun</t>
  </si>
  <si>
    <t>wibu satu semester gkpapa lah ya, semester depan ngambil isis sm teman2nya.</t>
  </si>
  <si>
    <t>@MigaWempy @gunoto777 Kurang ajar nyruh2 Presiden RI Presiden gurun mirip kalifah ISIS ngaku2 negara orang</t>
  </si>
  <si>
    <t>Kelas Fiqh &amp; Ethics gw kemaren, gw sempet nanya "Pendapat Prof ttg Presiden Indonesia yg gk mau mulangin eks ISIS gmn?"</t>
  </si>
  <si>
    <t>@detikcom Menurut sy harga mati tolak isis anak dan wanita yg sdh didoktrin pokoknya selagi jokowi presiden no isis nanti presiden ganti terserah ini jelas jebakan</t>
  </si>
  <si>
    <t>#hebatnya di negeri +62 pengalihan isu Korupsi di tutupi dgn kasus Pemulangan ISIS ,,,,,!!!</t>
  </si>
  <si>
    <t>@jr_kw19 @Zulfika35354359 Saya lebih suka kalo si FZ sendiri yg milih anak ISIS eks WNI yg mo dipulangkan ke indonesia, kalo udah ketemu bawa pulang ke indonesia, semoga aja si FZ juga selamet kembali ke indonesia, nah si anak titip aja ma si FZ, biarkan dia yg ngurusin ....</t>
  </si>
  <si>
    <t>@Airin_NZ Kok ngotot banget mau dipulangkan?? Apa dia juga bagian dari isis kah yg bersiasat???</t>
  </si>
  <si>
    <t>@RizmaWidiono @KomnasHAM Mereka itu Mantan WNI dan berperang untuk negaranya ISIS ! Buat apa dipulangkan ? Ingat ya pak Komnas mereka itu MANTAN WNI</t>
  </si>
  <si>
    <t>@kondekturbus_ @ISIS_Balik_NO Beginilah kalau guru sangat dicintai murid"nya. 🥰🥰🥰🥰🥰🥰🥰</t>
  </si>
  <si>
    <t>RT @harjanto6: Menurut ane sih drpd para petinggi ributin ISAS ISIS mo pulang, mereka mending mikirin anak2 Indonesia yg berprestasi spy dpt tampil jozzz di dunia Internasional. Akhiri permainan politik yg bawa2 alasan HAM dan Agama. #TolakAnakISISKembali</t>
  </si>
  <si>
    <t>@RinjaniJB Mana HAM ???? nih seharusnya lu urus anak anak korban kekejian isis dan antek anteknya</t>
  </si>
  <si>
    <t>Buat apa mereka diterima #ISISGoToHell #ISISBukanWNI #ISIS</t>
  </si>
  <si>
    <t>WNI yang jalani observasi di Natuna akan dilepas dengan upacara adat setempat.</t>
  </si>
  <si>
    <t>Saya menduga yang teriak 2 memulangkan anak ISIS akan di bina jadi calon penganti. #TolakAnakISISKembali</t>
  </si>
  <si>
    <t>Moeldoko menegaskan : “Itu sudah sangat tegas dalam UU tentang kewarganegaraan. Ya karena mereka sendiri yang menyatakan sebagai stateless. Pembakaran paspor adalah suatu indikator" Bagaiman dng ngotot utk memulangkan ?</t>
  </si>
  <si>
    <t>@salahsambungya @KPAI_official lagi ngurus anak2 eks ISIS sohibnya</t>
  </si>
  <si>
    <t>Gaada kabarnya ap masih di indo atw di dah jd isis yyya,, RT @daraprayoga_: sini cerita</t>
  </si>
  <si>
    <t>@zakiiadham Anal-ISIS yang tajam dan terpercaya bung</t>
  </si>
  <si>
    <t>Tolak ISIS masuk Indonesia!! #ISISGoToHell #ISISBukanWNI</t>
  </si>
  <si>
    <t>@N1ngW4ng1 Kau sama dengan para pegiat ham ... Cuma ngomongin mslh ham para kombatan isis tanpa memikirkan dampak dr bicaramu.</t>
  </si>
  <si>
    <t>RT @5Y5_one_70: Lhadalah ini yg bikin kita GK se 7.. PKS setuju pemerintah buat skala prioritas pemulangan WNI trduga teroris. #TolakAnakISISKembali Jdi kalian mau Indonesia trjadi lagi teroris dimana mana? Mikiiiir ?</t>
  </si>
  <si>
    <t>RT @SriRedjeki2: @upikq22 @seruanhl @jokowi Ada anak dibully temannya, KPAI diam. Ada anak karnaval pake seragam isis dan dipersenjatai, KPAI senyap. Ada anak dg seragam sekolah ikut demo yg merusak, KPAI entah dimana. Ada anak pasukan isis Suriah yg bapaknya kalah perang, KPAI mau maksa NKRI unt. campur tangan, HALU AKUT.</t>
  </si>
  <si>
    <t>@MohammadMakruf @SlametMuslim @J_Aryoko @wahhabicc_jabar kita udah ngerti ko.. ente menganggap isis sangat baik islam nya.. parahh.. 😂😂</t>
  </si>
  <si>
    <t>RT @R_GUN4W4N: Setuju,,, Persoalan Ideologi dan Aqidah dapat berubah ketika mendapat hidayah...👍 Siapa yang jamin Kombatan ISIS akan berubah dan tidak melakukan teror/ancaman terhadap 260 Juta WNI ? Radikalisasi belum dapat diatasi, kemudian mau nambah persoalan 🙄 #AwasAntek2ISIS</t>
  </si>
  <si>
    <t>@LusiHQ @JL_Apatheia warga indonesia juga punya hak untuk menolak anggota isis. mereka sudah dengan sadar pindah kesana, ya tanggung jawab atas pilihan mereka dong. kalaupun harus tersiksa disana, ya jalanin. itu namanya tanggung jawab dengan pilihan hidup. RT @LusiHQ: WNI ANGGOTA ISIS bicara HAM? HAM masyarakat Indonesia untuk hidup tenang tolong dihargai juga ya. 1 orang dr mereka berpotensi membunuh puluhan orang. Jangan sampai mendahulukan HAM anggota ISIS dengan mengorbankan HAM warga sipil di sini.</t>
  </si>
  <si>
    <t>@AhlulQohwah anak isis itu bukan anak anak yg jadi anggota isis, anak anak yg bapaknya pergi berperang bersama isis, anaknya di tinggal di indonesia, trus terlantar, itu masih masuk akal di urus, tp yg sudah berperang bersama isis ya bukan anak anak lagi walaupun usia mareka masih anak anak</t>
  </si>
  <si>
    <t>@tubirfess Gini, mau diakui atau nggak negara itu boleh cabut hak kewarganegaraan WNI-nya kl emang mereka dirasa mengancam. Bahkan tanpa alasan hukum yg jelas. Sekarang kita ngomong ISIS loh, mereka teroris. Mau bertaruh mereka nggak bakal jd 'trainer' ISIS disini? Gue sih nggak.</t>
  </si>
  <si>
    <t>@shinichikudo991 Siapa elu @KPAI_official ngatur 2 ?🤔😝 Presiden @jokowi lebih melindingi Jutaan Anak Indonesia drpd segelintir anak2 ISIS</t>
  </si>
  <si>
    <t>RT @eko_kuntadhi: Ingat. PKS lahir dari rahim Ikhwanul Muslimin. Di Mesir dan Saudi Arabia, Ikhwanul Muslimin itu termasuk organisasi teroris. Sama kayak ISIS. Kalau sekarang orang PKS mendukung kepulangan kombatan ISIS. Ya, gak aneh. Sesama bus kota, harus saling membantu...</t>
  </si>
  <si>
    <t>@syiahgl @jokowi Pemerintah saat ini sedang mengkaji kepulangan eks ISIS, tapi warga Syiah dan Ahmadiyah tidak bisa pulang ke kampungnya. Mengungsi di negaranya sendiri</t>
  </si>
  <si>
    <t>RT @__MV_llestari__: PARA PEREMPUAN ISIS . . "Utamakan anak-anak dan perempuan..!!" itu adalah kalimat standar yg selalu kita jumpai bila bencana terjadi &amp; evakuasi di jalankan. Kalimat yang menjadi dogma dan keharusan bagi siapapun di negeri ini ketika hal buruk menimpa kehidupan kita bersama.</t>
  </si>
  <si>
    <t>RT @kondekturbus_: Happy Birthday Pak Guru..... Tiup lilinnya..... Tiup lilinnya..... Tiup lilinnya..... .........</t>
  </si>
  <si>
    <t>@N1ngW4ng1 PKS tak pernah bela anak2 dan keluarga korban di tanah air, lha kok anak2 kombatan pembunuh sadis kaya ISIS dibelain</t>
  </si>
  <si>
    <t>Kartosuro sumuk, aku kupasan Iki. Kipas e munyer, tapi isis</t>
  </si>
  <si>
    <t>@jr_kw19 Coba bung Fadli jadi ortu asuh dari beberapa anak ISIS itu, dididik dirumah sendiri yaa.. lalu Kita mau lihat berapa lama nyawa bung Fadli akan bertahan dari sayatan golok dilehernya..</t>
  </si>
  <si>
    <t>@irwanto_4li @CNNIndonesia Pasal 21 sudah pasti tidak cocok. Eks WNI sama dengan Bukan WNI. Kemungkinan Pasal 25 ya, makanya perlu dibuktikan kalo anak2 ini benar WNI.</t>
  </si>
  <si>
    <t>RT @RinjaniJB: @P3nj3l4j4h_id Jauhkan anak-anak Indonesia dari ISIS #TolakAnakISISKembali</t>
  </si>
  <si>
    <t>@bilalshinoda Ya ngga, karena seluruh WNI memang punya hak yang sama, pembedanya adalah kompetensi. Makanya harus ikuti prosedur dan kriteria yang sama yang diterapkan kepada bakal calon yang lain.</t>
  </si>
  <si>
    <t>@ind0day Nah ini baru bener harus di support Cc; @KPAI_official bukan malah ngurusin ISIS ex WNI Smngat sll dek 🤙🏾💫</t>
  </si>
  <si>
    <t>Wah...kepikiran gk klo anak2 ISIS di bawah naungan KPAI, berapa dana yg masuk tuh buat bikin program pengawasan Deradikalisasi.Mungkin ini target KPAI biar bisa ngajuan proposal klo anak2 ISIS di bawa ke indonesia RT @4Y4NKZ: Hidup adalah pilihan. Bahkan saat seorang kepala Rumah tangga memutuskan untuk berjihad sekeluarga ke negara orangpun itu adalah pilihan ingin masok sorga. Mereka bukan Korban ingat itu. Merrka itu virus yg dampaknya lbh bahaya dr Bom Nuklir. #TolakAnakISISKembali</t>
  </si>
  <si>
    <t>RT @IGANSulastrini: @jokowi Begitu juga dengan keputusan Bapak Presiden @jokowi; untuk MELESTARIKAN 260 juta Rakyat Indonesia, BUANG 600 ISIS EKS WNI sampai keakar-akarnya!!!!!!!!⭐💡🔮 #BedakanAntaraIntoleranDenganKetegasanAkurat</t>
  </si>
  <si>
    <t>@jokowi Begitu juga dengan keputusan Bapak Presiden @jokowi; untuk MELESTARIKAN 260 juta Rakyat Indonesia, BUANG 600 ISIS EKS WNI sampai keakar-akarnya!!!!!!!!⭐💡🔮 #BedakanAntaraIntoleranDenganKetegasanAkurat</t>
  </si>
  <si>
    <t>ISIS itu buatan amerika.! Kata seorang tokoh.</t>
  </si>
  <si>
    <t>RT @Ari3Pras: Selain anak2, ISIS juga gunakan kaum perempuan sbg kombatan. Mereka paham militansi perempuan bisa lebih tinggi dibanding laki2 krn perempuan lebih mengandalkan emosi, sedangkan laki2 lebih banyak gunakan logika. #TolakAnakISISKembali</t>
  </si>
  <si>
    <t>Agama di indonesia sepaham dgn pancasila Kecuali KOMUNIS,,ISIS DAN ALQAIDA</t>
  </si>
  <si>
    <t>@Jean_Aprilia97 Bukan saya mendukung isis atau eks anggora isis,tp apa masalah akan selesai disini. Mereka juga manusia yg punya hati dan perasaan yg masih punya sanak saudara d tanah kelahiranya Indonesia.saya justru kwatir akan efek negatifnya kelak</t>
  </si>
  <si>
    <t>RT @antaranews: Daftar lengkap WNI yang diobservasi, paling banyak dari Jatim.</t>
  </si>
  <si>
    <t>Di NKRI anak2 di ajarin ttang bagaimana mengenal HURUF ABJAD..ANGKA..supaya bisa bisa mengikuti jaman..tpi ISIS Mengajarkan anak2 narik pemicu senjata Untuk membunuh..inilah bedanya nanti... PAHAM</t>
  </si>
  <si>
    <t>Menurut ane sih drpd para petinggi ributin ISAS ISIS mo pulang, mereka mending mikirin anak2 Indonesia yg berprestasi spy dpt tampil jozzz di dunia Internasional. Akhiri permainan politik yg bawa2 alasan HAM dan Agama. #TolakAnakISISKembali RT @shinichikudo991: Jadi ingat anak2 WNI yg jadi korban Bom Bunuh diri. Inget juga anak2 pemain bulu tangkis yg kehilangan kesempatan berprestasi. Apakah ada yg sibuk membicarakan dan memberi solusi buat mereka? #TolakAnakISISKembali</t>
  </si>
  <si>
    <t>@AnakKolong___ @felixsiauw @mohmahfudmd @felixsiauw ini mulutnya soax, datang aja ke suriah sana, urus tuh kawan2 isis, gak usah balik ke Indonesia</t>
  </si>
  <si>
    <t>@detikcom Hati2 bagi mereka yg pengen membina jadi isis kelak di indonesia...sekali lagi hati hati</t>
  </si>
  <si>
    <t>@P3nj3l4j4h_id Tukang palak berkedok agama ISIS</t>
  </si>
  <si>
    <t>RT @BambangSBY10: bukan rahasia lagi... Isis buatan zionis dan amrik</t>
  </si>
  <si>
    <t>@wisanggeni_084 KPAI = kilafah pembela anak isis. Sudah kubilang pemerintah dan lembaga ini memeras pengusaha cina termasuk djarum untuk biaya terorisme</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</si>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</sst>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quot;/&quot;mm&quot;/&quot;yyyy&quot; &quot;hh&quot;:&quot;mm"/>
  </numFmts>
  <fonts count="3">
    <font>
      <sz val="10"/>
      <color rgb="FF000000"/>
      <name val="Arial"/>
    </font>
    <font>
      <sz val="8"/>
      <color theme="1"/>
      <name val="Droid Sans"/>
    </font>
    <font>
      <sz val="8"/>
      <color rgb="FFFFFFFF"/>
      <name val="Droid Sans"/>
    </font>
  </fonts>
  <fills count="3">
    <fill>
      <patternFill patternType="none"/>
    </fill>
    <fill>
      <patternFill patternType="gray125"/>
    </fill>
    <fill>
      <patternFill patternType="solid">
        <fgColor rgb="FF3C78D8"/>
        <bgColor rgb="FF3C78D8"/>
      </patternFill>
    </fill>
  </fills>
  <borders count="1">
    <border>
      <left/>
      <right/>
      <top/>
      <bottom/>
      <diagonal/>
    </border>
  </borders>
  <cellStyleXfs count="1">
    <xf numFmtId="0" fontId="0" fillId="0" borderId="0"/>
  </cellStyleXfs>
  <cellXfs count="4">
    <xf numFmtId="0" fontId="0" fillId="0" borderId="0" xfId="0" applyFont="1" applyAlignment="1"/>
    <xf numFmtId="0" fontId="2" fillId="2" borderId="0" xfId="0" applyFont="1" applyFill="1" applyAlignment="1">
      <alignment horizontal="center" vertical="center"/>
    </xf>
    <xf numFmtId="164" fontId="1" fillId="0" borderId="0" xfId="0" applyNumberFormat="1" applyFont="1" applyAlignment="1">
      <alignment horizontal="center" vertical="center"/>
    </xf>
    <xf numFmtId="164" fontId="1" fillId="0" borderId="0" xfId="0" applyNumberFormat="1" applyFont="1" applyAlignment="1">
      <alignment horizontal="center" vertical="center"/>
    </xf>
  </cellXfs>
  <cellStyles count="1">
    <cellStyle name="Normal" xfId="0" builtinId="0"/>
  </cellStyles>
  <dxfs count="10">
    <dxf>
      <font>
        <b val="0"/>
        <i val="0"/>
        <strike val="0"/>
        <condense val="0"/>
        <extend val="0"/>
        <outline val="0"/>
        <shadow val="0"/>
        <u val="none"/>
        <vertAlign val="baseline"/>
        <sz val="8"/>
        <color rgb="FFFFFFFF"/>
        <name val="Droid Sans"/>
        <scheme val="none"/>
      </font>
      <fill>
        <patternFill patternType="solid">
          <fgColor rgb="FF3C78D8"/>
          <bgColor rgb="FF3C78D8"/>
        </patternFill>
      </fill>
      <alignment horizontal="general" vertical="center" textRotation="0" wrapText="0" indent="0" justifyLastLine="0" shrinkToFit="0" readingOrder="0"/>
    </dxf>
    <dxf>
      <fill>
        <patternFill patternType="solid">
          <fgColor rgb="FFE8F0FE"/>
          <bgColor rgb="FFE8F0FE"/>
        </patternFill>
      </fill>
    </dxf>
    <dxf>
      <fill>
        <patternFill patternType="solid">
          <fgColor rgb="FFFFFFFF"/>
          <bgColor rgb="FFFFFFFF"/>
        </patternFill>
      </fill>
    </dxf>
    <dxf>
      <fill>
        <patternFill patternType="solid">
          <fgColor rgb="FF1155CC"/>
          <bgColor rgb="FF1155CC"/>
        </patternFill>
      </fill>
    </dxf>
    <dxf>
      <fill>
        <patternFill patternType="solid">
          <fgColor rgb="FFE8F0FE"/>
          <bgColor rgb="FFE8F0FE"/>
        </patternFill>
      </fill>
    </dxf>
    <dxf>
      <fill>
        <patternFill patternType="solid">
          <fgColor rgb="FFFFFFFF"/>
          <bgColor rgb="FFFFFFFF"/>
        </patternFill>
      </fill>
    </dxf>
    <dxf>
      <fill>
        <patternFill patternType="solid">
          <fgColor rgb="FF1155CC"/>
          <bgColor rgb="FF1155CC"/>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3">
    <tableStyle name="Twitter Archiver Logs-style" pivot="0" count="3" xr9:uid="{00000000-0011-0000-FFFF-FFFF00000000}">
      <tableStyleElement type="headerRow" dxfId="9"/>
      <tableStyleElement type="firstRowStripe" dxfId="8"/>
      <tableStyleElement type="secondRowStripe" dxfId="7"/>
    </tableStyle>
    <tableStyle name="wni,isis -filterretweets -filte-style" pivot="0" count="3" xr9:uid="{00000000-0011-0000-FFFF-FFFF01000000}">
      <tableStyleElement type="headerRow" dxfId="6"/>
      <tableStyleElement type="firstRowStripe" dxfId="5"/>
      <tableStyleElement type="secondRowStripe" dxfId="4"/>
    </tableStyle>
    <tableStyle name="wni, OR isis langid -filternews-style" pivot="0" count="3" xr9:uid="{00000000-0011-0000-FFFF-FFFF02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_3" displayName="Table_3" ref="A1:F40492" headerRowDxfId="0">
  <tableColumns count="6">
    <tableColumn id="1" xr3:uid="{00000000-0010-0000-0000-000001000000}" name="Date"/>
    <tableColumn id="2" xr3:uid="{00000000-0010-0000-0000-000002000000}" name="Screen Name"/>
    <tableColumn id="4" xr3:uid="{00000000-0010-0000-0000-000004000000}" name="Tweet Text"/>
    <tableColumn id="9" xr3:uid="{00000000-0010-0000-0000-000009000000}" name="Retweets"/>
    <tableColumn id="10" xr3:uid="{00000000-0010-0000-0000-00000A000000}" name="Favorites"/>
    <tableColumn id="12" xr3:uid="{00000000-0010-0000-0000-00000C000000}" name="Followers"/>
  </tableColumns>
  <tableStyleInfo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40492"/>
  <sheetViews>
    <sheetView tabSelected="1" workbookViewId="0">
      <pane ySplit="1" topLeftCell="A37451" activePane="bottomLeft" state="frozen"/>
      <selection pane="bottomLeft" activeCell="C37464" sqref="C37464"/>
    </sheetView>
  </sheetViews>
  <sheetFormatPr defaultColWidth="14.42578125" defaultRowHeight="15.75" customHeight="1"/>
  <cols>
    <col min="1" max="1" width="16.42578125" customWidth="1"/>
    <col min="2" max="2" width="15.85546875" customWidth="1"/>
    <col min="3" max="3" width="48.42578125" customWidth="1"/>
  </cols>
  <sheetData>
    <row r="1" spans="1:6" ht="12.75">
      <c r="A1" s="1" t="s">
        <v>0</v>
      </c>
      <c r="B1" t="s">
        <v>1</v>
      </c>
      <c r="C1" t="s">
        <v>2</v>
      </c>
      <c r="D1" t="s">
        <v>3</v>
      </c>
      <c r="E1" t="s">
        <v>4</v>
      </c>
      <c r="F1" t="s">
        <v>5</v>
      </c>
    </row>
    <row r="2" spans="1:6" ht="12.75">
      <c r="A2" s="2">
        <v>43885.775034722217</v>
      </c>
      <c r="B2" t="str">
        <f>HYPERLINK("https://twitter.com/mtnisa89","@mtnisa89")</f>
        <v>@mtnisa89</v>
      </c>
      <c r="C2" t="s">
        <v>2087</v>
      </c>
      <c r="D2">
        <v>58</v>
      </c>
      <c r="E2">
        <v>0</v>
      </c>
      <c r="F2">
        <v>71</v>
      </c>
    </row>
    <row r="3" spans="1:6" ht="12.75">
      <c r="A3" s="2">
        <v>43885.751585648148</v>
      </c>
      <c r="B3" t="str">
        <f>HYPERLINK("https://twitter.com/BillTemporo","@BillTemporo")</f>
        <v>@BillTemporo</v>
      </c>
      <c r="C3" t="s">
        <v>832</v>
      </c>
      <c r="D3">
        <v>0</v>
      </c>
      <c r="E3">
        <v>0</v>
      </c>
      <c r="F3">
        <v>11</v>
      </c>
    </row>
    <row r="4" spans="1:6" ht="12.75">
      <c r="A4" s="2">
        <v>43885.751400462963</v>
      </c>
      <c r="B4" t="str">
        <f>HYPERLINK("https://twitter.com/kompascom","@kompascom")</f>
        <v>@kompascom</v>
      </c>
      <c r="C4" t="s">
        <v>2191</v>
      </c>
      <c r="D4">
        <v>0</v>
      </c>
      <c r="E4">
        <v>0</v>
      </c>
      <c r="F4">
        <v>7510527</v>
      </c>
    </row>
    <row r="5" spans="1:6" ht="12.75">
      <c r="A5" s="2">
        <v>43885.751134259262</v>
      </c>
      <c r="B5" t="str">
        <f>HYPERLINK("https://twitter.com/cnbcindonesia","@cnbcindonesia")</f>
        <v>@cnbcindonesia</v>
      </c>
      <c r="C5" t="s">
        <v>2192</v>
      </c>
      <c r="D5">
        <v>0</v>
      </c>
      <c r="E5">
        <v>0</v>
      </c>
      <c r="F5">
        <v>30703</v>
      </c>
    </row>
    <row r="6" spans="1:6" ht="12.75">
      <c r="A6" s="2">
        <v>43885.750902777778</v>
      </c>
      <c r="B6" t="str">
        <f>HYPERLINK("https://twitter.com/awkeringin","@awkeringin")</f>
        <v>@awkeringin</v>
      </c>
      <c r="C6" t="s">
        <v>2193</v>
      </c>
      <c r="D6">
        <v>0</v>
      </c>
      <c r="E6">
        <v>0</v>
      </c>
      <c r="F6">
        <v>81</v>
      </c>
    </row>
    <row r="7" spans="1:6" ht="12.75">
      <c r="A7" s="2">
        <v>43885.750879629632</v>
      </c>
      <c r="B7" t="str">
        <f>HYPERLINK("https://twitter.com/BTrisiyo","@BTrisiyo")</f>
        <v>@BTrisiyo</v>
      </c>
      <c r="C7" t="s">
        <v>2091</v>
      </c>
      <c r="D7">
        <v>1394</v>
      </c>
      <c r="E7">
        <v>0</v>
      </c>
      <c r="F7">
        <v>271</v>
      </c>
    </row>
    <row r="8" spans="1:6" ht="12.75">
      <c r="A8" s="2">
        <v>43885.75072916667</v>
      </c>
      <c r="B8" t="str">
        <f>HYPERLINK("https://twitter.com/FaktaNew5","@FaktaNew5")</f>
        <v>@FaktaNew5</v>
      </c>
      <c r="C8" t="s">
        <v>2177</v>
      </c>
      <c r="D8">
        <v>0</v>
      </c>
      <c r="E8">
        <v>0</v>
      </c>
      <c r="F8">
        <v>178</v>
      </c>
    </row>
    <row r="9" spans="1:6" ht="12.75">
      <c r="A9" s="2">
        <v>43885.750486111108</v>
      </c>
      <c r="B9" t="str">
        <f>HYPERLINK("https://twitter.com/iNewsID","@iNewsID")</f>
        <v>@iNewsID</v>
      </c>
      <c r="C9" t="s">
        <v>2194</v>
      </c>
      <c r="D9">
        <v>0</v>
      </c>
      <c r="E9">
        <v>0</v>
      </c>
      <c r="F9">
        <v>1327</v>
      </c>
    </row>
    <row r="10" spans="1:6" ht="12.75">
      <c r="A10" s="2">
        <v>43885.750451388885</v>
      </c>
      <c r="B10" t="str">
        <f>HYPERLINK("https://twitter.com/KHJnMkT931b6xai","@KHJnMkT931b6xai")</f>
        <v>@KHJnMkT931b6xai</v>
      </c>
      <c r="C10" t="s">
        <v>738</v>
      </c>
      <c r="D10">
        <v>480</v>
      </c>
      <c r="E10">
        <v>0</v>
      </c>
      <c r="F10">
        <v>8</v>
      </c>
    </row>
    <row r="11" spans="1:6" ht="12.75">
      <c r="A11" s="2">
        <v>43885.750196759254</v>
      </c>
      <c r="B11" t="str">
        <f>HYPERLINK("https://twitter.com/neo_AnginSorga","@neo_AnginSorga")</f>
        <v>@neo_AnginSorga</v>
      </c>
      <c r="C11" t="s">
        <v>2171</v>
      </c>
      <c r="D11">
        <v>1</v>
      </c>
      <c r="E11">
        <v>0</v>
      </c>
      <c r="F11">
        <v>265</v>
      </c>
    </row>
    <row r="12" spans="1:6" ht="12.75">
      <c r="A12" s="2">
        <v>43885.750150462962</v>
      </c>
      <c r="B12" t="str">
        <f>HYPERLINK("https://twitter.com/NingKhoiruddin","@NingKhoiruddin")</f>
        <v>@NingKhoiruddin</v>
      </c>
      <c r="C12" t="s">
        <v>321</v>
      </c>
      <c r="D12">
        <v>1984</v>
      </c>
      <c r="E12">
        <v>0</v>
      </c>
      <c r="F12">
        <v>14</v>
      </c>
    </row>
    <row r="13" spans="1:6" ht="12.75">
      <c r="A13" s="2">
        <v>43885.74998842593</v>
      </c>
      <c r="B13" t="str">
        <f>HYPERLINK("https://twitter.com/Tandaseru_id","@Tandaseru_id")</f>
        <v>@Tandaseru_id</v>
      </c>
      <c r="C13" t="s">
        <v>2195</v>
      </c>
      <c r="D13">
        <v>0</v>
      </c>
      <c r="E13">
        <v>0</v>
      </c>
      <c r="F13">
        <v>537</v>
      </c>
    </row>
    <row r="14" spans="1:6" ht="12.75">
      <c r="A14" s="2">
        <v>43885.749918981484</v>
      </c>
      <c r="B14" t="str">
        <f>HYPERLINK("https://twitter.com/2PpQzY6oKm31FQ1","@2PpQzY6oKm31FQ1")</f>
        <v>@2PpQzY6oKm31FQ1</v>
      </c>
      <c r="C14" t="s">
        <v>321</v>
      </c>
      <c r="D14">
        <v>1984</v>
      </c>
      <c r="E14">
        <v>0</v>
      </c>
      <c r="F14">
        <v>163</v>
      </c>
    </row>
    <row r="15" spans="1:6" ht="12.75">
      <c r="A15" s="2">
        <v>43885.749826388885</v>
      </c>
      <c r="B15" t="str">
        <f>HYPERLINK("https://twitter.com/IbrahimMarewo1","@IbrahimMarewo1")</f>
        <v>@IbrahimMarewo1</v>
      </c>
      <c r="C15" t="s">
        <v>321</v>
      </c>
      <c r="D15">
        <v>1984</v>
      </c>
      <c r="E15">
        <v>0</v>
      </c>
      <c r="F15">
        <v>25</v>
      </c>
    </row>
    <row r="16" spans="1:6" ht="12.75">
      <c r="A16" s="2">
        <v>43885.749606481477</v>
      </c>
      <c r="B16" t="str">
        <f>HYPERLINK("https://twitter.com/axelamorio","@axelamorio")</f>
        <v>@axelamorio</v>
      </c>
      <c r="C16" t="s">
        <v>2196</v>
      </c>
      <c r="D16">
        <v>0</v>
      </c>
      <c r="E16">
        <v>0</v>
      </c>
      <c r="F16">
        <v>533</v>
      </c>
    </row>
    <row r="17" spans="1:6" ht="12.75">
      <c r="A17" s="2">
        <v>43885.749444444446</v>
      </c>
      <c r="B17" t="str">
        <f>HYPERLINK("https://twitter.com/hdksaid","@hdksaid")</f>
        <v>@hdksaid</v>
      </c>
      <c r="C17" t="s">
        <v>2128</v>
      </c>
      <c r="D17">
        <v>12</v>
      </c>
      <c r="E17">
        <v>0</v>
      </c>
      <c r="F17">
        <v>252</v>
      </c>
    </row>
    <row r="18" spans="1:6" ht="12.75">
      <c r="A18" s="2">
        <v>43885.749143518522</v>
      </c>
      <c r="B18" t="str">
        <f>HYPERLINK("https://twitter.com/badriamalewa12","@badriamalewa12")</f>
        <v>@badriamalewa12</v>
      </c>
      <c r="C18" t="s">
        <v>2197</v>
      </c>
      <c r="D18">
        <v>3</v>
      </c>
      <c r="E18">
        <v>0</v>
      </c>
      <c r="F18">
        <v>385</v>
      </c>
    </row>
    <row r="19" spans="1:6" ht="12.75">
      <c r="A19" s="2">
        <v>43885.748796296291</v>
      </c>
      <c r="B19" t="str">
        <f>HYPERLINK("https://twitter.com/Drupadianarki","@Drupadianarki")</f>
        <v>@Drupadianarki</v>
      </c>
      <c r="C19" t="s">
        <v>2190</v>
      </c>
      <c r="D19">
        <v>33</v>
      </c>
      <c r="E19">
        <v>0</v>
      </c>
      <c r="F19">
        <v>171</v>
      </c>
    </row>
    <row r="20" spans="1:6" ht="12.75">
      <c r="A20" s="2">
        <v>43885.748472222222</v>
      </c>
      <c r="B20" t="str">
        <f>HYPERLINK("https://twitter.com/noerdiani2017","@noerdiani2017")</f>
        <v>@noerdiani2017</v>
      </c>
      <c r="C20" t="s">
        <v>321</v>
      </c>
      <c r="D20">
        <v>1984</v>
      </c>
      <c r="E20">
        <v>0</v>
      </c>
      <c r="F20">
        <v>416</v>
      </c>
    </row>
    <row r="21" spans="1:6" ht="12.75">
      <c r="A21" s="2">
        <v>43885.748402777783</v>
      </c>
      <c r="B21" t="str">
        <f>HYPERLINK("https://twitter.com/ed761115","@ed761115")</f>
        <v>@ed761115</v>
      </c>
      <c r="C21" t="s">
        <v>2120</v>
      </c>
      <c r="D21">
        <v>97</v>
      </c>
      <c r="E21">
        <v>0</v>
      </c>
      <c r="F21">
        <v>754</v>
      </c>
    </row>
    <row r="22" spans="1:6" ht="12.75">
      <c r="A22" s="2">
        <v>43885.748379629629</v>
      </c>
      <c r="B22" t="str">
        <f>HYPERLINK("https://twitter.com/AAndryanto2","@AAndryanto2")</f>
        <v>@AAndryanto2</v>
      </c>
      <c r="C22" t="s">
        <v>2091</v>
      </c>
      <c r="D22">
        <v>1394</v>
      </c>
      <c r="E22">
        <v>0</v>
      </c>
      <c r="F22">
        <v>282</v>
      </c>
    </row>
    <row r="23" spans="1:6" ht="12.75">
      <c r="A23" s="2">
        <v>43885.74836805556</v>
      </c>
      <c r="B23" t="str">
        <f>HYPERLINK("https://twitter.com/kentang_somay","@kentang_somay")</f>
        <v>@kentang_somay</v>
      </c>
      <c r="C23" t="s">
        <v>2170</v>
      </c>
      <c r="D23">
        <v>14</v>
      </c>
      <c r="E23">
        <v>0</v>
      </c>
      <c r="F23">
        <v>72</v>
      </c>
    </row>
    <row r="24" spans="1:6" ht="12.75">
      <c r="A24" s="2">
        <v>43885.748344907406</v>
      </c>
      <c r="B24" t="str">
        <f t="shared" ref="B24:B25" si="0">HYPERLINK("https://twitter.com/ed761115","@ed761115")</f>
        <v>@ed761115</v>
      </c>
      <c r="C24" t="s">
        <v>2115</v>
      </c>
      <c r="D24">
        <v>105</v>
      </c>
      <c r="E24">
        <v>0</v>
      </c>
      <c r="F24">
        <v>754</v>
      </c>
    </row>
    <row r="25" spans="1:6" ht="12.75">
      <c r="A25" s="2">
        <v>43885.748194444444</v>
      </c>
      <c r="B25" t="str">
        <f t="shared" si="0"/>
        <v>@ed761115</v>
      </c>
      <c r="C25" t="s">
        <v>321</v>
      </c>
      <c r="D25">
        <v>1984</v>
      </c>
      <c r="E25">
        <v>0</v>
      </c>
      <c r="F25">
        <v>754</v>
      </c>
    </row>
    <row r="26" spans="1:6" ht="12.75">
      <c r="A26" s="2">
        <v>43885.747604166667</v>
      </c>
      <c r="B26" t="str">
        <f>HYPERLINK("https://twitter.com/7Braders","@7Braders")</f>
        <v>@7Braders</v>
      </c>
      <c r="C26" t="s">
        <v>2198</v>
      </c>
      <c r="D26">
        <v>0</v>
      </c>
      <c r="E26">
        <v>0</v>
      </c>
      <c r="F26">
        <v>47</v>
      </c>
    </row>
    <row r="27" spans="1:6" ht="12.75">
      <c r="A27" s="2">
        <v>43885.747523148151</v>
      </c>
      <c r="B27" t="str">
        <f t="shared" ref="B27:B30" si="1">HYPERLINK("https://twitter.com/waka__chang","@waka__chang")</f>
        <v>@waka__chang</v>
      </c>
      <c r="C27" t="s">
        <v>2120</v>
      </c>
      <c r="D27">
        <v>97</v>
      </c>
      <c r="E27">
        <v>0</v>
      </c>
      <c r="F27">
        <v>2390</v>
      </c>
    </row>
    <row r="28" spans="1:6" ht="12.75">
      <c r="A28" s="2">
        <v>43885.747488425928</v>
      </c>
      <c r="B28" t="str">
        <f t="shared" si="1"/>
        <v>@waka__chang</v>
      </c>
      <c r="C28" t="s">
        <v>2115</v>
      </c>
      <c r="D28">
        <v>105</v>
      </c>
      <c r="E28">
        <v>0</v>
      </c>
      <c r="F28">
        <v>2390</v>
      </c>
    </row>
    <row r="29" spans="1:6" ht="12.75">
      <c r="A29" s="2">
        <v>43885.747418981482</v>
      </c>
      <c r="B29" t="str">
        <f t="shared" si="1"/>
        <v>@waka__chang</v>
      </c>
      <c r="C29" t="s">
        <v>738</v>
      </c>
      <c r="D29">
        <v>480</v>
      </c>
      <c r="E29">
        <v>0</v>
      </c>
      <c r="F29">
        <v>2390</v>
      </c>
    </row>
    <row r="30" spans="1:6" ht="12.75">
      <c r="A30" s="2">
        <v>43885.747314814813</v>
      </c>
      <c r="B30" t="str">
        <f t="shared" si="1"/>
        <v>@waka__chang</v>
      </c>
      <c r="C30" t="s">
        <v>321</v>
      </c>
      <c r="D30">
        <v>1984</v>
      </c>
      <c r="E30">
        <v>0</v>
      </c>
      <c r="F30">
        <v>2390</v>
      </c>
    </row>
    <row r="31" spans="1:6" ht="12.75">
      <c r="A31" s="2">
        <v>43885.747233796297</v>
      </c>
      <c r="B31" t="str">
        <f>HYPERLINK("https://twitter.com/TonarinoJUGAsan","@TonarinoJUGAsan")</f>
        <v>@TonarinoJUGAsan</v>
      </c>
      <c r="C31" t="s">
        <v>2115</v>
      </c>
      <c r="D31">
        <v>105</v>
      </c>
      <c r="E31">
        <v>0</v>
      </c>
      <c r="F31">
        <v>1021</v>
      </c>
    </row>
    <row r="32" spans="1:6" ht="12.75">
      <c r="A32" s="2">
        <v>43885.746770833328</v>
      </c>
      <c r="B32" t="str">
        <f>HYPERLINK("https://twitter.com/heri_ranintaqi","@heri_ranintaqi")</f>
        <v>@heri_ranintaqi</v>
      </c>
      <c r="C32" t="s">
        <v>2170</v>
      </c>
      <c r="D32">
        <v>14</v>
      </c>
      <c r="E32">
        <v>0</v>
      </c>
      <c r="F32">
        <v>302</v>
      </c>
    </row>
    <row r="33" spans="1:6" ht="12.75">
      <c r="A33" s="2">
        <v>43885.746608796297</v>
      </c>
      <c r="B33" t="str">
        <f>HYPERLINK("https://twitter.com/TonarinoJUGAsan","@TonarinoJUGAsan")</f>
        <v>@TonarinoJUGAsan</v>
      </c>
      <c r="C33" t="s">
        <v>738</v>
      </c>
      <c r="D33">
        <v>480</v>
      </c>
      <c r="E33">
        <v>0</v>
      </c>
      <c r="F33">
        <v>1021</v>
      </c>
    </row>
    <row r="34" spans="1:6" ht="12.75">
      <c r="A34" s="2">
        <v>43885.746423611112</v>
      </c>
      <c r="B34" t="str">
        <f>HYPERLINK("https://twitter.com/ed761115","@ed761115")</f>
        <v>@ed761115</v>
      </c>
      <c r="C34" t="s">
        <v>738</v>
      </c>
      <c r="D34">
        <v>480</v>
      </c>
      <c r="E34">
        <v>0</v>
      </c>
      <c r="F34">
        <v>754</v>
      </c>
    </row>
    <row r="35" spans="1:6" ht="12.75">
      <c r="A35" s="2">
        <v>43885.746388888889</v>
      </c>
      <c r="B35" t="str">
        <f>HYPERLINK("https://twitter.com/ShijuuRama40","@ShijuuRama40")</f>
        <v>@ShijuuRama40</v>
      </c>
      <c r="C35" t="s">
        <v>2199</v>
      </c>
      <c r="D35">
        <v>0</v>
      </c>
      <c r="E35">
        <v>0</v>
      </c>
      <c r="F35">
        <v>28</v>
      </c>
    </row>
    <row r="36" spans="1:6" ht="12.75">
      <c r="A36" s="2">
        <v>43885.746203703704</v>
      </c>
      <c r="B36" t="str">
        <f>HYPERLINK("https://twitter.com/kompascom","@kompascom")</f>
        <v>@kompascom</v>
      </c>
      <c r="C36" t="s">
        <v>2200</v>
      </c>
      <c r="D36">
        <v>1</v>
      </c>
      <c r="E36">
        <v>5</v>
      </c>
      <c r="F36">
        <v>7510527</v>
      </c>
    </row>
    <row r="37" spans="1:6" ht="12.75">
      <c r="A37" s="2">
        <v>43885.746018518519</v>
      </c>
      <c r="B37" t="str">
        <f>HYPERLINK("https://twitter.com/padangekspres","@padangekspres")</f>
        <v>@padangekspres</v>
      </c>
      <c r="C37" t="s">
        <v>2201</v>
      </c>
      <c r="D37">
        <v>0</v>
      </c>
      <c r="E37">
        <v>0</v>
      </c>
      <c r="F37">
        <v>25251</v>
      </c>
    </row>
    <row r="38" spans="1:6" ht="12.75">
      <c r="A38" s="2">
        <v>43885.74591435185</v>
      </c>
      <c r="B38" t="str">
        <f>HYPERLINK("https://twitter.com/banglintas","@banglintas")</f>
        <v>@banglintas</v>
      </c>
      <c r="C38" t="s">
        <v>2177</v>
      </c>
      <c r="D38">
        <v>0</v>
      </c>
      <c r="E38">
        <v>0</v>
      </c>
      <c r="F38">
        <v>54</v>
      </c>
    </row>
    <row r="39" spans="1:6" ht="12.75">
      <c r="A39" s="2">
        <v>43885.745868055557</v>
      </c>
      <c r="B39" t="str">
        <f>HYPERLINK("https://twitter.com/kirikonosippo","@kirikonosippo")</f>
        <v>@kirikonosippo</v>
      </c>
      <c r="C39" t="s">
        <v>321</v>
      </c>
      <c r="D39">
        <v>1984</v>
      </c>
      <c r="E39">
        <v>0</v>
      </c>
      <c r="F39">
        <v>1699</v>
      </c>
    </row>
    <row r="40" spans="1:6" ht="12.75">
      <c r="A40" s="2">
        <v>43885.745636574073</v>
      </c>
      <c r="B40" t="str">
        <f>HYPERLINK("https://twitter.com/erlindadio","@erlindadio")</f>
        <v>@erlindadio</v>
      </c>
      <c r="C40" t="s">
        <v>2103</v>
      </c>
      <c r="D40">
        <v>100</v>
      </c>
      <c r="E40">
        <v>0</v>
      </c>
      <c r="F40">
        <v>53</v>
      </c>
    </row>
    <row r="41" spans="1:6" ht="12.75">
      <c r="A41" s="2">
        <v>43885.745532407411</v>
      </c>
      <c r="B41" t="str">
        <f>HYPERLINK("https://twitter.com/kouichi8","@kouichi8")</f>
        <v>@kouichi8</v>
      </c>
      <c r="C41" t="s">
        <v>321</v>
      </c>
      <c r="D41">
        <v>1984</v>
      </c>
      <c r="E41">
        <v>0</v>
      </c>
      <c r="F41">
        <v>868</v>
      </c>
    </row>
    <row r="42" spans="1:6" ht="12.75">
      <c r="A42" s="2">
        <v>43885.745416666672</v>
      </c>
      <c r="B42" t="str">
        <f>HYPERLINK("https://twitter.com/ballambinlove","@ballambinlove")</f>
        <v>@ballambinlove</v>
      </c>
      <c r="C42" t="s">
        <v>2184</v>
      </c>
      <c r="D42">
        <v>1</v>
      </c>
      <c r="E42">
        <v>0</v>
      </c>
      <c r="F42">
        <v>1013</v>
      </c>
    </row>
    <row r="43" spans="1:6" ht="12.75">
      <c r="A43" s="2">
        <v>43885.744942129633</v>
      </c>
      <c r="B43" t="str">
        <f>HYPERLINK("https://twitter.com/arjunakiriti","@arjunakiriti")</f>
        <v>@arjunakiriti</v>
      </c>
      <c r="C43" t="s">
        <v>2091</v>
      </c>
      <c r="D43">
        <v>1394</v>
      </c>
      <c r="E43">
        <v>0</v>
      </c>
      <c r="F43">
        <v>386</v>
      </c>
    </row>
    <row r="44" spans="1:6" ht="12.75">
      <c r="A44" s="2">
        <v>43885.744699074072</v>
      </c>
      <c r="B44" t="str">
        <f>HYPERLINK("https://twitter.com/okezonenews","@okezonenews")</f>
        <v>@okezonenews</v>
      </c>
      <c r="C44" t="s">
        <v>2202</v>
      </c>
      <c r="D44">
        <v>0</v>
      </c>
      <c r="E44">
        <v>0</v>
      </c>
      <c r="F44">
        <v>1743490</v>
      </c>
    </row>
    <row r="45" spans="1:6" ht="12.75">
      <c r="A45" s="2">
        <v>43885.744699074072</v>
      </c>
      <c r="B45" t="str">
        <f>HYPERLINK("https://twitter.com/Nawat_Adws","@Nawat_Adws")</f>
        <v>@Nawat_Adws</v>
      </c>
      <c r="C45" t="s">
        <v>2203</v>
      </c>
      <c r="D45">
        <v>0</v>
      </c>
      <c r="E45">
        <v>0</v>
      </c>
      <c r="F45">
        <v>1185</v>
      </c>
    </row>
    <row r="46" spans="1:6" ht="12.75">
      <c r="A46" s="2">
        <v>43885.744166666671</v>
      </c>
      <c r="B46" t="str">
        <f>HYPERLINK("https://twitter.com/teruteru_515","@teruteru_515")</f>
        <v>@teruteru_515</v>
      </c>
      <c r="C46" t="s">
        <v>738</v>
      </c>
      <c r="D46">
        <v>480</v>
      </c>
      <c r="E46">
        <v>0</v>
      </c>
      <c r="F46">
        <v>876</v>
      </c>
    </row>
    <row r="47" spans="1:6" ht="12.75">
      <c r="A47" s="2">
        <v>43885.744131944448</v>
      </c>
      <c r="B47" t="str">
        <f>HYPERLINK("https://twitter.com/banglintas","@banglintas")</f>
        <v>@banglintas</v>
      </c>
      <c r="C47" t="s">
        <v>2157</v>
      </c>
      <c r="D47">
        <v>0</v>
      </c>
      <c r="E47">
        <v>0</v>
      </c>
      <c r="F47">
        <v>54</v>
      </c>
    </row>
    <row r="48" spans="1:6" ht="12.75">
      <c r="A48" s="2">
        <v>43885.743877314817</v>
      </c>
      <c r="B48" t="str">
        <f>HYPERLINK("https://twitter.com/genosida65","@genosida65")</f>
        <v>@genosida65</v>
      </c>
      <c r="C48" t="s">
        <v>2190</v>
      </c>
      <c r="D48">
        <v>33</v>
      </c>
      <c r="E48">
        <v>0</v>
      </c>
      <c r="F48">
        <v>625</v>
      </c>
    </row>
    <row r="49" spans="1:6" ht="12.75">
      <c r="A49" s="2">
        <v>43885.743437500001</v>
      </c>
      <c r="B49" t="str">
        <f>HYPERLINK("https://twitter.com/SeputarKabinet","@SeputarKabinet")</f>
        <v>@SeputarKabinet</v>
      </c>
      <c r="C49" t="s">
        <v>2157</v>
      </c>
      <c r="D49">
        <v>0</v>
      </c>
      <c r="E49">
        <v>0</v>
      </c>
      <c r="F49">
        <v>290</v>
      </c>
    </row>
    <row r="50" spans="1:6" ht="12.75">
      <c r="A50" s="2">
        <v>43885.743113425924</v>
      </c>
      <c r="B50" t="str">
        <f>HYPERLINK("https://twitter.com/77bayoe","@77bayoe")</f>
        <v>@77bayoe</v>
      </c>
      <c r="C50" t="s">
        <v>2197</v>
      </c>
      <c r="D50">
        <v>3</v>
      </c>
      <c r="E50">
        <v>0</v>
      </c>
      <c r="F50">
        <v>2191</v>
      </c>
    </row>
    <row r="51" spans="1:6" ht="12.75">
      <c r="A51" s="2">
        <v>43885.743101851855</v>
      </c>
      <c r="B51" t="str">
        <f>HYPERLINK("https://twitter.com/mototchen","@mototchen")</f>
        <v>@mototchen</v>
      </c>
      <c r="C51" t="s">
        <v>321</v>
      </c>
      <c r="D51">
        <v>1984</v>
      </c>
      <c r="E51">
        <v>0</v>
      </c>
      <c r="F51">
        <v>579</v>
      </c>
    </row>
    <row r="52" spans="1:6" ht="12.75">
      <c r="A52" s="2">
        <v>43885.743009259255</v>
      </c>
      <c r="B52" t="str">
        <f>HYPERLINK("https://twitter.com/Oharu1149","@Oharu1149")</f>
        <v>@Oharu1149</v>
      </c>
      <c r="C52" t="s">
        <v>738</v>
      </c>
      <c r="D52">
        <v>480</v>
      </c>
      <c r="E52">
        <v>0</v>
      </c>
      <c r="F52">
        <v>280</v>
      </c>
    </row>
    <row r="53" spans="1:6" ht="12.75">
      <c r="A53" s="2">
        <v>43885.742951388893</v>
      </c>
      <c r="B53" t="str">
        <f>HYPERLINK("https://twitter.com/Mirae62981454","@Mirae62981454")</f>
        <v>@Mirae62981454</v>
      </c>
      <c r="C53" t="s">
        <v>2204</v>
      </c>
      <c r="D53">
        <v>20</v>
      </c>
      <c r="E53">
        <v>0</v>
      </c>
      <c r="F53">
        <v>398</v>
      </c>
    </row>
    <row r="54" spans="1:6" ht="12.75">
      <c r="A54" s="2">
        <v>43885.742858796293</v>
      </c>
      <c r="B54" t="str">
        <f>HYPERLINK("https://twitter.com/genosida65","@genosida65")</f>
        <v>@genosida65</v>
      </c>
      <c r="C54" t="s">
        <v>2091</v>
      </c>
      <c r="D54">
        <v>1394</v>
      </c>
      <c r="E54">
        <v>0</v>
      </c>
      <c r="F54">
        <v>625</v>
      </c>
    </row>
    <row r="55" spans="1:6" ht="12.75">
      <c r="A55" s="2">
        <v>43885.742650462962</v>
      </c>
      <c r="B55" t="str">
        <f>HYPERLINK("https://twitter.com/galcaopanuntun","@galcaopanuntun")</f>
        <v>@galcaopanuntun</v>
      </c>
      <c r="C55" t="s">
        <v>2205</v>
      </c>
      <c r="D55">
        <v>2</v>
      </c>
      <c r="E55">
        <v>0</v>
      </c>
      <c r="F55">
        <v>1338</v>
      </c>
    </row>
    <row r="56" spans="1:6" ht="12.75">
      <c r="A56" s="2">
        <v>43885.742407407408</v>
      </c>
      <c r="B56" t="str">
        <f>HYPERLINK("https://twitter.com/Metro_TV","@Metro_TV")</f>
        <v>@Metro_TV</v>
      </c>
      <c r="C56" t="s">
        <v>2206</v>
      </c>
      <c r="D56">
        <v>3</v>
      </c>
      <c r="E56">
        <v>5</v>
      </c>
      <c r="F56">
        <v>10512561</v>
      </c>
    </row>
    <row r="57" spans="1:6" ht="12.75">
      <c r="A57" s="2">
        <v>43885.742349537039</v>
      </c>
      <c r="B57" t="str">
        <f>HYPERLINK("https://twitter.com/arief_alfarezza","@arief_alfarezza")</f>
        <v>@arief_alfarezza</v>
      </c>
      <c r="C57" t="s">
        <v>2103</v>
      </c>
      <c r="D57">
        <v>100</v>
      </c>
      <c r="E57">
        <v>0</v>
      </c>
      <c r="F57">
        <v>71</v>
      </c>
    </row>
    <row r="58" spans="1:6" ht="12.75">
      <c r="A58" s="2">
        <v>43885.7421875</v>
      </c>
      <c r="B58" t="str">
        <f>HYPERLINK("https://twitter.com/smile_guys","@smile_guys")</f>
        <v>@smile_guys</v>
      </c>
      <c r="C58" t="s">
        <v>2207</v>
      </c>
      <c r="D58">
        <v>1</v>
      </c>
      <c r="E58">
        <v>0</v>
      </c>
      <c r="F58">
        <v>126</v>
      </c>
    </row>
    <row r="59" spans="1:6" ht="12.75">
      <c r="A59" s="2">
        <v>43885.742164351846</v>
      </c>
      <c r="B59" t="str">
        <f>HYPERLINK("https://twitter.com/rinduanumu","@rinduanumu")</f>
        <v>@rinduanumu</v>
      </c>
      <c r="C59" t="s">
        <v>2091</v>
      </c>
      <c r="D59">
        <v>1394</v>
      </c>
      <c r="E59">
        <v>0</v>
      </c>
      <c r="F59">
        <v>68</v>
      </c>
    </row>
    <row r="60" spans="1:6" ht="12.75">
      <c r="A60" s="2">
        <v>43885.742141203707</v>
      </c>
      <c r="B60" t="str">
        <f>HYPERLINK("https://twitter.com/S0N_2000","@S0N_2000")</f>
        <v>@S0N_2000</v>
      </c>
      <c r="C60" t="s">
        <v>2208</v>
      </c>
      <c r="D60">
        <v>0</v>
      </c>
      <c r="E60">
        <v>0</v>
      </c>
      <c r="F60">
        <v>1721</v>
      </c>
    </row>
    <row r="61" spans="1:6" ht="12.75">
      <c r="A61" s="2">
        <v>43885.741793981477</v>
      </c>
      <c r="B61" t="str">
        <f>HYPERLINK("https://twitter.com/si_Mario","@si_Mario")</f>
        <v>@si_Mario</v>
      </c>
      <c r="C61" t="s">
        <v>2209</v>
      </c>
      <c r="D61">
        <v>1</v>
      </c>
      <c r="E61">
        <v>0</v>
      </c>
      <c r="F61">
        <v>525</v>
      </c>
    </row>
    <row r="62" spans="1:6" ht="12.75">
      <c r="A62" s="2">
        <v>43885.741666666669</v>
      </c>
      <c r="B62" t="str">
        <f>HYPERLINK("https://twitter.com/tempodotco","@tempodotco")</f>
        <v>@tempodotco</v>
      </c>
      <c r="C62" t="s">
        <v>2210</v>
      </c>
      <c r="D62">
        <v>0</v>
      </c>
      <c r="E62">
        <v>2</v>
      </c>
      <c r="F62">
        <v>1710562</v>
      </c>
    </row>
    <row r="63" spans="1:6" ht="12.75">
      <c r="A63" s="2">
        <v>43885.741585648153</v>
      </c>
      <c r="B63" t="str">
        <f>HYPERLINK("https://twitter.com/angmichio","@angmichio")</f>
        <v>@angmichio</v>
      </c>
      <c r="C63" t="s">
        <v>321</v>
      </c>
      <c r="D63">
        <v>1984</v>
      </c>
      <c r="E63">
        <v>0</v>
      </c>
      <c r="F63">
        <v>518</v>
      </c>
    </row>
    <row r="64" spans="1:6" ht="12.75">
      <c r="A64" s="2">
        <v>43885.741342592592</v>
      </c>
      <c r="B64" t="str">
        <f>HYPERLINK("https://twitter.com/mkh_nuh","@mkh_nuh")</f>
        <v>@mkh_nuh</v>
      </c>
      <c r="C64" t="s">
        <v>321</v>
      </c>
      <c r="D64">
        <v>1984</v>
      </c>
      <c r="E64">
        <v>0</v>
      </c>
      <c r="F64">
        <v>81</v>
      </c>
    </row>
    <row r="65" spans="1:6" ht="12.75">
      <c r="A65" s="2">
        <v>43885.741331018522</v>
      </c>
      <c r="B65" t="str">
        <f>HYPERLINK("https://twitter.com/pradaivon","@pradaivon")</f>
        <v>@pradaivon</v>
      </c>
      <c r="C65" t="s">
        <v>2211</v>
      </c>
      <c r="D65">
        <v>0</v>
      </c>
      <c r="E65">
        <v>0</v>
      </c>
      <c r="F65">
        <v>1680</v>
      </c>
    </row>
    <row r="66" spans="1:6" ht="12.75">
      <c r="A66" s="2">
        <v>43885.741018518514</v>
      </c>
      <c r="B66" t="str">
        <f>HYPERLINK("https://twitter.com/evereeze","@evereeze")</f>
        <v>@evereeze</v>
      </c>
      <c r="C66" t="s">
        <v>2212</v>
      </c>
      <c r="D66">
        <v>2</v>
      </c>
      <c r="E66">
        <v>0</v>
      </c>
      <c r="F66">
        <v>293</v>
      </c>
    </row>
    <row r="67" spans="1:6" ht="12.75">
      <c r="A67" s="2">
        <v>43885.740115740744</v>
      </c>
      <c r="B67" t="str">
        <f>HYPERLINK("https://twitter.com/2Ailand","@2Ailand")</f>
        <v>@2Ailand</v>
      </c>
      <c r="C67" t="s">
        <v>321</v>
      </c>
      <c r="D67">
        <v>1984</v>
      </c>
      <c r="E67">
        <v>0</v>
      </c>
      <c r="F67">
        <v>41</v>
      </c>
    </row>
    <row r="68" spans="1:6" ht="12.75">
      <c r="A68" s="2">
        <v>43885.74009259259</v>
      </c>
      <c r="B68" t="str">
        <f>HYPERLINK("https://twitter.com/ahmghl","@ahmghl")</f>
        <v>@ahmghl</v>
      </c>
      <c r="C68" t="s">
        <v>2182</v>
      </c>
      <c r="D68">
        <v>7</v>
      </c>
      <c r="E68">
        <v>0</v>
      </c>
      <c r="F68">
        <v>100</v>
      </c>
    </row>
    <row r="69" spans="1:6" ht="12.75">
      <c r="A69" s="2">
        <v>43885.73982638889</v>
      </c>
      <c r="B69" t="str">
        <f>HYPERLINK("https://twitter.com/Metro_TV","@Metro_TV")</f>
        <v>@Metro_TV</v>
      </c>
      <c r="C69" t="s">
        <v>2213</v>
      </c>
      <c r="D69">
        <v>0</v>
      </c>
      <c r="E69">
        <v>5</v>
      </c>
      <c r="F69">
        <v>10512561</v>
      </c>
    </row>
    <row r="70" spans="1:6" ht="12.75">
      <c r="A70" s="2">
        <v>43885.739525462966</v>
      </c>
      <c r="B70" t="str">
        <f>HYPERLINK("https://twitter.com/ivooxid","@ivooxid")</f>
        <v>@ivooxid</v>
      </c>
      <c r="C70" t="s">
        <v>2214</v>
      </c>
      <c r="D70">
        <v>0</v>
      </c>
      <c r="E70">
        <v>0</v>
      </c>
      <c r="F70">
        <v>1426</v>
      </c>
    </row>
    <row r="71" spans="1:6" ht="12.75">
      <c r="A71" s="2">
        <v>43885.739363425921</v>
      </c>
      <c r="B71" t="str">
        <f>HYPERLINK("https://twitter.com/INSNadi","@INSNadi")</f>
        <v>@INSNadi</v>
      </c>
      <c r="C71" t="s">
        <v>2215</v>
      </c>
      <c r="D71">
        <v>0</v>
      </c>
      <c r="E71">
        <v>0</v>
      </c>
      <c r="F71">
        <v>297</v>
      </c>
    </row>
    <row r="72" spans="1:6" ht="12.75">
      <c r="A72" s="2">
        <v>43885.738518518519</v>
      </c>
      <c r="B72" t="str">
        <f>HYPERLINK("https://twitter.com/republikaonline","@republikaonline")</f>
        <v>@republikaonline</v>
      </c>
      <c r="C72" t="s">
        <v>2216</v>
      </c>
      <c r="D72">
        <v>0</v>
      </c>
      <c r="E72">
        <v>2</v>
      </c>
      <c r="F72">
        <v>1212717</v>
      </c>
    </row>
    <row r="73" spans="1:6" ht="12.75">
      <c r="A73" s="2">
        <v>43885.738333333335</v>
      </c>
      <c r="B73" t="str">
        <f>HYPERLINK("https://twitter.com/TsTsp71","@TsTsp71")</f>
        <v>@TsTsp71</v>
      </c>
      <c r="C73" t="s">
        <v>2217</v>
      </c>
      <c r="D73">
        <v>12</v>
      </c>
      <c r="E73">
        <v>0</v>
      </c>
      <c r="F73">
        <v>555</v>
      </c>
    </row>
    <row r="74" spans="1:6" ht="12.75">
      <c r="A74" s="2">
        <v>43885.738321759258</v>
      </c>
      <c r="B74" t="str">
        <f>HYPERLINK("https://twitter.com/ajengmauliaw","@ajengmauliaw")</f>
        <v>@ajengmauliaw</v>
      </c>
      <c r="C74" t="s">
        <v>2218</v>
      </c>
      <c r="D74">
        <v>0</v>
      </c>
      <c r="E74">
        <v>0</v>
      </c>
      <c r="F74">
        <v>455</v>
      </c>
    </row>
    <row r="75" spans="1:6" ht="12.75">
      <c r="A75" s="2">
        <v>43885.738032407404</v>
      </c>
      <c r="B75" t="str">
        <f>HYPERLINK("https://twitter.com/boxer3924","@boxer3924")</f>
        <v>@boxer3924</v>
      </c>
      <c r="C75" t="s">
        <v>321</v>
      </c>
      <c r="D75">
        <v>1984</v>
      </c>
      <c r="E75">
        <v>0</v>
      </c>
      <c r="F75">
        <v>239</v>
      </c>
    </row>
    <row r="76" spans="1:6" ht="12.75">
      <c r="A76" s="2">
        <v>43885.737928240742</v>
      </c>
      <c r="B76" t="str">
        <f>HYPERLINK("https://twitter.com/beatrice_health","@beatrice_health")</f>
        <v>@beatrice_health</v>
      </c>
      <c r="C76" t="s">
        <v>2219</v>
      </c>
      <c r="D76">
        <v>2</v>
      </c>
      <c r="E76">
        <v>0</v>
      </c>
      <c r="F76">
        <v>340</v>
      </c>
    </row>
    <row r="77" spans="1:6" ht="12.75">
      <c r="A77" s="2">
        <v>43885.737893518519</v>
      </c>
      <c r="B77" t="str">
        <f>HYPERLINK("https://twitter.com/RKrisbiantoro","@RKrisbiantoro")</f>
        <v>@RKrisbiantoro</v>
      </c>
      <c r="C77" t="s">
        <v>2219</v>
      </c>
      <c r="D77">
        <v>2</v>
      </c>
      <c r="E77">
        <v>0</v>
      </c>
      <c r="F77">
        <v>623</v>
      </c>
    </row>
    <row r="78" spans="1:6" ht="12.75">
      <c r="A78" s="2">
        <v>43885.737766203703</v>
      </c>
      <c r="B78" t="str">
        <f>HYPERLINK("https://twitter.com/Metro_TV","@Metro_TV")</f>
        <v>@Metro_TV</v>
      </c>
      <c r="C78" t="s">
        <v>2220</v>
      </c>
      <c r="D78">
        <v>1</v>
      </c>
      <c r="E78">
        <v>1</v>
      </c>
      <c r="F78">
        <v>10512561</v>
      </c>
    </row>
    <row r="79" spans="1:6" ht="12.75">
      <c r="A79" s="2">
        <v>43885.737581018519</v>
      </c>
      <c r="B79" t="str">
        <f>HYPERLINK("https://twitter.com/KompasTV","@KompasTV")</f>
        <v>@KompasTV</v>
      </c>
      <c r="C79" t="s">
        <v>2221</v>
      </c>
      <c r="D79">
        <v>1</v>
      </c>
      <c r="E79">
        <v>6</v>
      </c>
      <c r="F79">
        <v>2947603</v>
      </c>
    </row>
    <row r="80" spans="1:6" ht="12.75">
      <c r="A80" s="2">
        <v>43885.73741898148</v>
      </c>
      <c r="B80" t="str">
        <f>HYPERLINK("https://twitter.com/sachiko37014465","@sachiko37014465")</f>
        <v>@sachiko37014465</v>
      </c>
      <c r="C80" t="s">
        <v>321</v>
      </c>
      <c r="D80">
        <v>1984</v>
      </c>
      <c r="E80">
        <v>0</v>
      </c>
      <c r="F80">
        <v>21</v>
      </c>
    </row>
    <row r="81" spans="1:6" ht="12.75">
      <c r="A81" s="2">
        <v>43885.737326388888</v>
      </c>
      <c r="B81" t="str">
        <f>HYPERLINK("https://twitter.com/safitridewi_abd","@safitridewi_abd")</f>
        <v>@safitridewi_abd</v>
      </c>
      <c r="C81" t="s">
        <v>2222</v>
      </c>
      <c r="D81">
        <v>0</v>
      </c>
      <c r="E81">
        <v>0</v>
      </c>
      <c r="F81">
        <v>31</v>
      </c>
    </row>
    <row r="82" spans="1:6" ht="12.75">
      <c r="A82" s="2">
        <v>43885.737129629633</v>
      </c>
      <c r="B82" t="str">
        <f>HYPERLINK("https://twitter.com/zazeezet","@zazeezet")</f>
        <v>@zazeezet</v>
      </c>
      <c r="C82" t="s">
        <v>2223</v>
      </c>
      <c r="D82">
        <v>0</v>
      </c>
      <c r="E82">
        <v>0</v>
      </c>
      <c r="F82">
        <v>155</v>
      </c>
    </row>
    <row r="83" spans="1:6" ht="12.75">
      <c r="A83" s="2">
        <v>43885.736747685187</v>
      </c>
      <c r="B83" t="str">
        <f>HYPERLINK("https://twitter.com/AEPishere","@AEPishere")</f>
        <v>@AEPishere</v>
      </c>
      <c r="C83" t="s">
        <v>2091</v>
      </c>
      <c r="D83">
        <v>1394</v>
      </c>
      <c r="E83">
        <v>0</v>
      </c>
      <c r="F83">
        <v>3016</v>
      </c>
    </row>
    <row r="84" spans="1:6" ht="12.75">
      <c r="A84" s="2">
        <v>43885.736562499995</v>
      </c>
      <c r="B84" t="str">
        <f>HYPERLINK("https://twitter.com/rahminova2","@rahminova2")</f>
        <v>@rahminova2</v>
      </c>
      <c r="C84" t="s">
        <v>2180</v>
      </c>
      <c r="D84">
        <v>3</v>
      </c>
      <c r="E84">
        <v>0</v>
      </c>
      <c r="F84">
        <v>1299</v>
      </c>
    </row>
    <row r="85" spans="1:6" ht="12.75">
      <c r="A85" s="2">
        <v>43885.736122685186</v>
      </c>
      <c r="B85" t="str">
        <f>HYPERLINK("https://twitter.com/scallionzz","@scallionzz")</f>
        <v>@scallionzz</v>
      </c>
      <c r="C85" t="s">
        <v>2091</v>
      </c>
      <c r="D85">
        <v>1394</v>
      </c>
      <c r="E85">
        <v>0</v>
      </c>
      <c r="F85">
        <v>16</v>
      </c>
    </row>
    <row r="86" spans="1:6" ht="12.75">
      <c r="A86" s="2">
        <v>43885.736111111109</v>
      </c>
      <c r="B86" t="str">
        <f>HYPERLINK("https://twitter.com/hudakalimullah","@hudakalimullah")</f>
        <v>@hudakalimullah</v>
      </c>
      <c r="C86" t="s">
        <v>321</v>
      </c>
      <c r="D86">
        <v>1984</v>
      </c>
      <c r="E86">
        <v>0</v>
      </c>
      <c r="F86">
        <v>2322</v>
      </c>
    </row>
    <row r="87" spans="1:6" ht="12.75">
      <c r="A87" s="2">
        <v>43885.735972222217</v>
      </c>
      <c r="B87" t="str">
        <f>HYPERLINK("https://twitter.com/haidar_alfianti","@haidar_alfianti")</f>
        <v>@haidar_alfianti</v>
      </c>
      <c r="C87" t="s">
        <v>177</v>
      </c>
      <c r="D87">
        <v>832</v>
      </c>
      <c r="E87">
        <v>0</v>
      </c>
      <c r="F87">
        <v>44</v>
      </c>
    </row>
    <row r="88" spans="1:6" ht="12.75">
      <c r="A88" s="2">
        <v>43885.735925925925</v>
      </c>
      <c r="B88" t="str">
        <f>HYPERLINK("https://twitter.com/BirawaDewandaru","@BirawaDewandaru")</f>
        <v>@BirawaDewandaru</v>
      </c>
      <c r="C88" t="s">
        <v>2091</v>
      </c>
      <c r="D88">
        <v>1394</v>
      </c>
      <c r="E88">
        <v>0</v>
      </c>
      <c r="F88">
        <v>104</v>
      </c>
    </row>
    <row r="89" spans="1:6" ht="12.75">
      <c r="A89" s="2">
        <v>43885.735833333332</v>
      </c>
      <c r="B89" t="str">
        <f>HYPERLINK("https://twitter.com/VLqx3JQVc1euXuu","@VLqx3JQVc1euXuu")</f>
        <v>@VLqx3JQVc1euXuu</v>
      </c>
      <c r="C89" t="s">
        <v>738</v>
      </c>
      <c r="D89">
        <v>480</v>
      </c>
      <c r="E89">
        <v>0</v>
      </c>
      <c r="F89">
        <v>126</v>
      </c>
    </row>
    <row r="90" spans="1:6" ht="12.75">
      <c r="A90" s="2">
        <v>43885.735717592594</v>
      </c>
      <c r="B90" t="str">
        <f>HYPERLINK("https://twitter.com/X3xAlice","@X3xAlice")</f>
        <v>@X3xAlice</v>
      </c>
      <c r="C90" t="s">
        <v>738</v>
      </c>
      <c r="D90">
        <v>480</v>
      </c>
      <c r="E90">
        <v>0</v>
      </c>
      <c r="F90">
        <v>194</v>
      </c>
    </row>
    <row r="91" spans="1:6" ht="12.75">
      <c r="A91" s="2">
        <v>43885.735682870371</v>
      </c>
      <c r="B91" t="str">
        <f>HYPERLINK("https://twitter.com/tweetaje_aje","@tweetaje_aje")</f>
        <v>@tweetaje_aje</v>
      </c>
      <c r="C91" t="s">
        <v>2224</v>
      </c>
      <c r="D91">
        <v>3</v>
      </c>
      <c r="E91">
        <v>0</v>
      </c>
      <c r="F91">
        <v>25</v>
      </c>
    </row>
    <row r="92" spans="1:6" ht="12.75">
      <c r="A92" s="2">
        <v>43885.735532407409</v>
      </c>
      <c r="B92" t="str">
        <f>HYPERLINK("https://twitter.com/bennyjurdi","@bennyjurdi")</f>
        <v>@bennyjurdi</v>
      </c>
      <c r="C92" t="s">
        <v>2091</v>
      </c>
      <c r="D92">
        <v>1394</v>
      </c>
      <c r="E92">
        <v>0</v>
      </c>
      <c r="F92">
        <v>7670</v>
      </c>
    </row>
    <row r="93" spans="1:6" ht="12.75">
      <c r="A93" s="2">
        <v>43885.735405092593</v>
      </c>
      <c r="B93" t="str">
        <f>HYPERLINK("https://twitter.com/beatrice_health","@beatrice_health")</f>
        <v>@beatrice_health</v>
      </c>
      <c r="C93" t="s">
        <v>2205</v>
      </c>
      <c r="D93">
        <v>2</v>
      </c>
      <c r="E93">
        <v>0</v>
      </c>
      <c r="F93">
        <v>340</v>
      </c>
    </row>
    <row r="94" spans="1:6" ht="12.75">
      <c r="A94" s="2">
        <v>43885.735393518524</v>
      </c>
      <c r="B94" t="str">
        <f>HYPERLINK("https://twitter.com/cesar60967231","@cesar60967231")</f>
        <v>@cesar60967231</v>
      </c>
      <c r="C94" t="s">
        <v>738</v>
      </c>
      <c r="D94">
        <v>480</v>
      </c>
      <c r="E94">
        <v>0</v>
      </c>
      <c r="F94">
        <v>69</v>
      </c>
    </row>
    <row r="95" spans="1:6" ht="12.75">
      <c r="A95" s="2">
        <v>43885.735347222224</v>
      </c>
      <c r="B95" t="str">
        <f>HYPERLINK("https://twitter.com/AgusAwe","@AgusAwe")</f>
        <v>@AgusAwe</v>
      </c>
      <c r="C95" t="s">
        <v>2225</v>
      </c>
      <c r="D95">
        <v>0</v>
      </c>
      <c r="E95">
        <v>0</v>
      </c>
      <c r="F95">
        <v>2000</v>
      </c>
    </row>
    <row r="96" spans="1:6" ht="12.75">
      <c r="A96" s="2">
        <v>43885.735347222224</v>
      </c>
      <c r="B96" t="str">
        <f>HYPERLINK("https://twitter.com/mostradio1058fm","@mostradio1058fm")</f>
        <v>@mostradio1058fm</v>
      </c>
      <c r="C96" t="s">
        <v>2226</v>
      </c>
      <c r="D96">
        <v>2</v>
      </c>
      <c r="E96">
        <v>0</v>
      </c>
      <c r="F96">
        <v>75410</v>
      </c>
    </row>
    <row r="97" spans="1:6" ht="12.75">
      <c r="A97" s="2">
        <v>43885.735034722224</v>
      </c>
      <c r="B97" t="str">
        <f>HYPERLINK("https://twitter.com/Annapluna1219","@Annapluna1219")</f>
        <v>@Annapluna1219</v>
      </c>
      <c r="C97" t="s">
        <v>321</v>
      </c>
      <c r="D97">
        <v>1984</v>
      </c>
      <c r="E97">
        <v>0</v>
      </c>
      <c r="F97">
        <v>109</v>
      </c>
    </row>
    <row r="98" spans="1:6" ht="12.75">
      <c r="A98" s="2">
        <v>43885.734884259262</v>
      </c>
      <c r="B98" t="str">
        <f>HYPERLINK("https://twitter.com/rinduanumu","@rinduanumu")</f>
        <v>@rinduanumu</v>
      </c>
      <c r="C98" t="s">
        <v>2190</v>
      </c>
      <c r="D98">
        <v>33</v>
      </c>
      <c r="E98">
        <v>0</v>
      </c>
      <c r="F98">
        <v>68</v>
      </c>
    </row>
    <row r="99" spans="1:6" ht="12.75">
      <c r="A99" s="2">
        <v>43885.734513888892</v>
      </c>
      <c r="B99" t="str">
        <f>HYPERLINK("https://twitter.com/servantofgreed","@servantofgreed")</f>
        <v>@servantofgreed</v>
      </c>
      <c r="C99" t="s">
        <v>321</v>
      </c>
      <c r="D99">
        <v>1984</v>
      </c>
      <c r="E99">
        <v>0</v>
      </c>
      <c r="F99">
        <v>399</v>
      </c>
    </row>
    <row r="100" spans="1:6" ht="12.75">
      <c r="A100" s="2">
        <v>43885.734236111108</v>
      </c>
      <c r="B100" t="str">
        <f>HYPERLINK("https://twitter.com/flavianafeb_","@flavianafeb_")</f>
        <v>@flavianafeb_</v>
      </c>
      <c r="C100" t="s">
        <v>2091</v>
      </c>
      <c r="D100">
        <v>1394</v>
      </c>
      <c r="E100">
        <v>0</v>
      </c>
      <c r="F100">
        <v>36</v>
      </c>
    </row>
    <row r="101" spans="1:6" ht="12.75">
      <c r="A101" s="2">
        <v>43885.733877314815</v>
      </c>
      <c r="B101" t="str">
        <f>HYPERLINK("https://twitter.com/smartizen_","@smartizen_")</f>
        <v>@smartizen_</v>
      </c>
      <c r="C101" t="s">
        <v>2227</v>
      </c>
      <c r="D101">
        <v>0</v>
      </c>
      <c r="E101">
        <v>0</v>
      </c>
      <c r="F101">
        <v>1061</v>
      </c>
    </row>
    <row r="102" spans="1:6" ht="12.75">
      <c r="A102" s="2">
        <v>43885.732835648145</v>
      </c>
      <c r="B102" t="str">
        <f>HYPERLINK("https://twitter.com/TrivenaEunike","@TrivenaEunike")</f>
        <v>@TrivenaEunike</v>
      </c>
      <c r="C102" t="s">
        <v>2091</v>
      </c>
      <c r="D102">
        <v>1394</v>
      </c>
      <c r="E102">
        <v>0</v>
      </c>
      <c r="F102">
        <v>365</v>
      </c>
    </row>
    <row r="103" spans="1:6" ht="12.75">
      <c r="A103" s="2">
        <v>43885.709895833337</v>
      </c>
      <c r="B103" t="str">
        <f>HYPERLINK("https://twitter.com/BillTemporo","@BillTemporo")</f>
        <v>@BillTemporo</v>
      </c>
      <c r="C103" t="s">
        <v>889</v>
      </c>
      <c r="D103">
        <v>0</v>
      </c>
      <c r="E103">
        <v>0</v>
      </c>
      <c r="F103">
        <v>11</v>
      </c>
    </row>
    <row r="104" spans="1:6" ht="12.75">
      <c r="A104" s="2">
        <v>43885.709872685184</v>
      </c>
      <c r="B104" t="str">
        <f>HYPERLINK("https://twitter.com/AzizTukijo","@AzizTukijo")</f>
        <v>@AzizTukijo</v>
      </c>
      <c r="C104" t="s">
        <v>2170</v>
      </c>
      <c r="D104">
        <v>5</v>
      </c>
      <c r="E104">
        <v>0</v>
      </c>
      <c r="F104">
        <v>727</v>
      </c>
    </row>
    <row r="105" spans="1:6" ht="12.75">
      <c r="A105" s="2">
        <v>43885.709768518514</v>
      </c>
      <c r="B105" t="str">
        <f>HYPERLINK("https://twitter.com/CNNIDdaily","@CNNIDdaily")</f>
        <v>@CNNIDdaily</v>
      </c>
      <c r="C105" t="s">
        <v>2228</v>
      </c>
      <c r="D105">
        <v>0</v>
      </c>
      <c r="E105">
        <v>0</v>
      </c>
      <c r="F105">
        <v>118559</v>
      </c>
    </row>
    <row r="106" spans="1:6" ht="12.75">
      <c r="A106" s="2">
        <v>43885.709155092598</v>
      </c>
      <c r="B106" t="str">
        <f t="shared" ref="B106:B107" si="2">HYPERLINK("https://twitter.com/ersaardi","@ersaardi")</f>
        <v>@ersaardi</v>
      </c>
      <c r="C106" t="s">
        <v>2229</v>
      </c>
      <c r="D106">
        <v>4</v>
      </c>
      <c r="E106">
        <v>0</v>
      </c>
      <c r="F106">
        <v>197</v>
      </c>
    </row>
    <row r="107" spans="1:6" ht="12.75">
      <c r="A107" s="2">
        <v>43885.708981481483</v>
      </c>
      <c r="B107" t="str">
        <f t="shared" si="2"/>
        <v>@ersaardi</v>
      </c>
      <c r="C107" t="s">
        <v>2224</v>
      </c>
      <c r="D107">
        <v>2</v>
      </c>
      <c r="E107">
        <v>0</v>
      </c>
      <c r="F107">
        <v>197</v>
      </c>
    </row>
    <row r="108" spans="1:6" ht="12.75">
      <c r="A108" s="2">
        <v>43885.708865740744</v>
      </c>
      <c r="B108" t="str">
        <f>HYPERLINK("https://twitter.com/umar_honda","@umar_honda")</f>
        <v>@umar_honda</v>
      </c>
      <c r="C108" t="s">
        <v>2152</v>
      </c>
      <c r="D108">
        <v>8</v>
      </c>
      <c r="E108">
        <v>0</v>
      </c>
      <c r="F108">
        <v>141</v>
      </c>
    </row>
    <row r="109" spans="1:6" ht="12.75">
      <c r="A109" s="2">
        <v>43885.708553240736</v>
      </c>
      <c r="B109" t="str">
        <f>HYPERLINK("https://twitter.com/Rizal_Serank","@Rizal_Serank")</f>
        <v>@Rizal_Serank</v>
      </c>
      <c r="C109" t="s">
        <v>2230</v>
      </c>
      <c r="D109">
        <v>0</v>
      </c>
      <c r="E109">
        <v>1</v>
      </c>
      <c r="F109">
        <v>33</v>
      </c>
    </row>
    <row r="110" spans="1:6" ht="12.75">
      <c r="A110" s="2">
        <v>43885.707951388889</v>
      </c>
      <c r="B110" t="str">
        <f>HYPERLINK("https://twitter.com/marpaung913","@marpaung913")</f>
        <v>@marpaung913</v>
      </c>
      <c r="C110" t="s">
        <v>2231</v>
      </c>
      <c r="D110">
        <v>0</v>
      </c>
      <c r="E110">
        <v>0</v>
      </c>
      <c r="F110">
        <v>526</v>
      </c>
    </row>
    <row r="111" spans="1:6" ht="12.75">
      <c r="A111" s="2">
        <v>43885.707858796297</v>
      </c>
      <c r="B111" t="str">
        <f>HYPERLINK("https://twitter.com/ninanino06","@ninanino06")</f>
        <v>@ninanino06</v>
      </c>
      <c r="C111" t="s">
        <v>2091</v>
      </c>
      <c r="D111">
        <v>1368</v>
      </c>
      <c r="E111">
        <v>0</v>
      </c>
      <c r="F111">
        <v>400</v>
      </c>
    </row>
    <row r="112" spans="1:6" ht="12.75">
      <c r="A112" s="2">
        <v>43885.707199074073</v>
      </c>
      <c r="B112" t="str">
        <f>HYPERLINK("https://twitter.com/budiarto689","@budiarto689")</f>
        <v>@budiarto689</v>
      </c>
      <c r="C112" t="s">
        <v>2232</v>
      </c>
      <c r="D112">
        <v>7</v>
      </c>
      <c r="E112">
        <v>0</v>
      </c>
      <c r="F112">
        <v>2176</v>
      </c>
    </row>
    <row r="113" spans="1:6" ht="12.75">
      <c r="A113" s="2">
        <v>43885.707106481481</v>
      </c>
      <c r="B113" t="str">
        <f>HYPERLINK("https://twitter.com/MetroTVToday","@MetroTVToday")</f>
        <v>@MetroTVToday</v>
      </c>
      <c r="C113" t="s">
        <v>2233</v>
      </c>
      <c r="D113">
        <v>0</v>
      </c>
      <c r="E113">
        <v>0</v>
      </c>
      <c r="F113">
        <v>97690</v>
      </c>
    </row>
    <row r="114" spans="1:6" ht="12.75">
      <c r="A114" s="2">
        <v>43885.706770833334</v>
      </c>
      <c r="B114" t="str">
        <f>HYPERLINK("https://twitter.com/wongmlaku","@wongmlaku")</f>
        <v>@wongmlaku</v>
      </c>
      <c r="C114" t="s">
        <v>2234</v>
      </c>
      <c r="D114">
        <v>0</v>
      </c>
      <c r="E114">
        <v>0</v>
      </c>
      <c r="F114">
        <v>6212</v>
      </c>
    </row>
    <row r="115" spans="1:6" ht="12.75">
      <c r="A115" s="2">
        <v>43885.706712962958</v>
      </c>
      <c r="B115" t="str">
        <f>HYPERLINK("https://twitter.com/rahminova2","@rahminova2")</f>
        <v>@rahminova2</v>
      </c>
      <c r="C115" t="s">
        <v>2170</v>
      </c>
      <c r="D115">
        <v>5</v>
      </c>
      <c r="E115">
        <v>0</v>
      </c>
      <c r="F115">
        <v>1299</v>
      </c>
    </row>
    <row r="116" spans="1:6" ht="12.75">
      <c r="A116" s="2">
        <v>43885.706053240741</v>
      </c>
      <c r="B116" t="str">
        <f>HYPERLINK("https://twitter.com/PradityaBeni","@PradityaBeni")</f>
        <v>@PradityaBeni</v>
      </c>
      <c r="C116" t="s">
        <v>2170</v>
      </c>
      <c r="D116">
        <v>5</v>
      </c>
      <c r="E116">
        <v>0</v>
      </c>
      <c r="F116">
        <v>1292</v>
      </c>
    </row>
    <row r="117" spans="1:6" ht="12.75">
      <c r="A117" s="2">
        <v>43885.705775462964</v>
      </c>
      <c r="B117" t="str">
        <f>HYPERLINK("https://twitter.com/apaijali","@apaijali")</f>
        <v>@apaijali</v>
      </c>
      <c r="C117" t="s">
        <v>2170</v>
      </c>
      <c r="D117">
        <v>5</v>
      </c>
      <c r="E117">
        <v>0</v>
      </c>
      <c r="F117">
        <v>631</v>
      </c>
    </row>
    <row r="118" spans="1:6" ht="12.75">
      <c r="A118" s="2">
        <v>43885.705451388887</v>
      </c>
      <c r="B118" t="str">
        <f>HYPERLINK("https://twitter.com/Haji_Bajuri","@Haji_Bajuri")</f>
        <v>@Haji_Bajuri</v>
      </c>
      <c r="C118" t="s">
        <v>2170</v>
      </c>
      <c r="D118">
        <v>5</v>
      </c>
      <c r="E118">
        <v>0</v>
      </c>
      <c r="F118">
        <v>143</v>
      </c>
    </row>
    <row r="119" spans="1:6" ht="12.75">
      <c r="A119" s="2">
        <v>43885.705300925925</v>
      </c>
      <c r="B119" t="str">
        <f>HYPERLINK("https://twitter.com/Rohmadmad","@Rohmadmad")</f>
        <v>@Rohmadmad</v>
      </c>
      <c r="C119" t="s">
        <v>2235</v>
      </c>
      <c r="D119">
        <v>0</v>
      </c>
      <c r="E119">
        <v>0</v>
      </c>
      <c r="F119">
        <v>281</v>
      </c>
    </row>
    <row r="120" spans="1:6" ht="12.75">
      <c r="A120" s="2">
        <v>43885.705057870371</v>
      </c>
      <c r="B120" t="str">
        <f>HYPERLINK("https://twitter.com/kakangprabuuuuu","@kakangprabuuuuu")</f>
        <v>@kakangprabuuuuu</v>
      </c>
      <c r="C120" t="s">
        <v>2236</v>
      </c>
      <c r="D120">
        <v>0</v>
      </c>
      <c r="E120">
        <v>0</v>
      </c>
      <c r="F120">
        <v>87</v>
      </c>
    </row>
    <row r="121" spans="1:6" ht="12.75">
      <c r="A121" s="2">
        <v>43885.705034722225</v>
      </c>
      <c r="B121" t="str">
        <f>HYPERLINK("https://twitter.com/zulfikaralex","@zulfikaralex")</f>
        <v>@zulfikaralex</v>
      </c>
      <c r="C121" t="s">
        <v>2237</v>
      </c>
      <c r="D121">
        <v>0</v>
      </c>
      <c r="E121">
        <v>0</v>
      </c>
      <c r="F121">
        <v>5419</v>
      </c>
    </row>
    <row r="122" spans="1:6" ht="12.75">
      <c r="A122" s="2">
        <v>43885.705034722225</v>
      </c>
      <c r="B122" t="str">
        <f>HYPERLINK("https://twitter.com/redsquashhh","@redsquashhh")</f>
        <v>@redsquashhh</v>
      </c>
      <c r="C122" t="s">
        <v>2091</v>
      </c>
      <c r="D122">
        <v>1368</v>
      </c>
      <c r="E122">
        <v>0</v>
      </c>
      <c r="F122">
        <v>972</v>
      </c>
    </row>
    <row r="123" spans="1:6" ht="12.75">
      <c r="A123" s="2">
        <v>43885.704895833333</v>
      </c>
      <c r="B123" t="str">
        <f>HYPERLINK("https://twitter.com/suaraislamco","@suaraislamco")</f>
        <v>@suaraislamco</v>
      </c>
      <c r="C123" t="s">
        <v>2238</v>
      </c>
      <c r="D123">
        <v>0</v>
      </c>
      <c r="E123">
        <v>0</v>
      </c>
      <c r="F123">
        <v>1809</v>
      </c>
    </row>
    <row r="124" spans="1:6" ht="12.75">
      <c r="A124" s="2">
        <v>43885.704652777778</v>
      </c>
      <c r="B124" t="str">
        <f>HYPERLINK("https://twitter.com/pretty_miki","@pretty_miki")</f>
        <v>@pretty_miki</v>
      </c>
      <c r="C124" t="s">
        <v>321</v>
      </c>
      <c r="D124">
        <v>1928</v>
      </c>
      <c r="E124">
        <v>0</v>
      </c>
      <c r="F124">
        <v>700</v>
      </c>
    </row>
    <row r="125" spans="1:6" ht="12.75">
      <c r="A125" s="2">
        <v>43885.704583333332</v>
      </c>
      <c r="B125" t="str">
        <f>HYPERLINK("https://twitter.com/arwidodo","@arwidodo")</f>
        <v>@arwidodo</v>
      </c>
      <c r="C125" t="s">
        <v>2239</v>
      </c>
      <c r="D125">
        <v>5</v>
      </c>
      <c r="E125">
        <v>3</v>
      </c>
      <c r="F125">
        <v>35125</v>
      </c>
    </row>
    <row r="126" spans="1:6" ht="12.75">
      <c r="A126" s="2">
        <v>43885.704537037032</v>
      </c>
      <c r="B126" t="str">
        <f>HYPERLINK("https://twitter.com/pretty_miki","@pretty_miki")</f>
        <v>@pretty_miki</v>
      </c>
      <c r="C126" t="s">
        <v>738</v>
      </c>
      <c r="D126">
        <v>452</v>
      </c>
      <c r="E126">
        <v>0</v>
      </c>
      <c r="F126">
        <v>700</v>
      </c>
    </row>
    <row r="127" spans="1:6" ht="12.75">
      <c r="A127" s="2">
        <v>43885.704386574071</v>
      </c>
      <c r="B127" t="str">
        <f>HYPERLINK("https://twitter.com/rakhaciptam","@rakhaciptam")</f>
        <v>@rakhaciptam</v>
      </c>
      <c r="C127" t="s">
        <v>2240</v>
      </c>
      <c r="D127">
        <v>5</v>
      </c>
      <c r="E127">
        <v>0</v>
      </c>
      <c r="F127">
        <v>1210</v>
      </c>
    </row>
    <row r="128" spans="1:6" ht="12.75">
      <c r="A128" s="2">
        <v>43885.703842592593</v>
      </c>
      <c r="B128" t="str">
        <f>HYPERLINK("https://twitter.com/coffeeshopuk","@coffeeshopuk")</f>
        <v>@coffeeshopuk</v>
      </c>
      <c r="C128" t="s">
        <v>738</v>
      </c>
      <c r="D128">
        <v>452</v>
      </c>
      <c r="E128">
        <v>0</v>
      </c>
      <c r="F128">
        <v>479</v>
      </c>
    </row>
    <row r="129" spans="1:6" ht="12.75">
      <c r="A129" s="2">
        <v>43885.703796296293</v>
      </c>
      <c r="B129" t="str">
        <f>HYPERLINK("https://twitter.com/Metro_TV","@Metro_TV")</f>
        <v>@Metro_TV</v>
      </c>
      <c r="C129" t="s">
        <v>2233</v>
      </c>
      <c r="D129">
        <v>0</v>
      </c>
      <c r="E129">
        <v>0</v>
      </c>
      <c r="F129">
        <v>10512557</v>
      </c>
    </row>
    <row r="130" spans="1:6" ht="12.75">
      <c r="A130" s="2">
        <v>43885.703576388885</v>
      </c>
      <c r="B130" t="str">
        <f>HYPERLINK("https://twitter.com/PikakeMichi","@PikakeMichi")</f>
        <v>@PikakeMichi</v>
      </c>
      <c r="C130" t="s">
        <v>738</v>
      </c>
      <c r="D130">
        <v>452</v>
      </c>
      <c r="E130">
        <v>0</v>
      </c>
      <c r="F130">
        <v>182</v>
      </c>
    </row>
    <row r="131" spans="1:6" ht="12.75">
      <c r="A131" s="2">
        <v>43885.703518518523</v>
      </c>
      <c r="B131" t="str">
        <f>HYPERLINK("https://twitter.com/massmujab","@massmujab")</f>
        <v>@massmujab</v>
      </c>
      <c r="C131" t="s">
        <v>2185</v>
      </c>
      <c r="D131">
        <v>23</v>
      </c>
      <c r="E131">
        <v>0</v>
      </c>
      <c r="F131">
        <v>495</v>
      </c>
    </row>
    <row r="132" spans="1:6" ht="12.75">
      <c r="A132" s="2">
        <v>43885.703333333338</v>
      </c>
      <c r="B132" t="str">
        <f>HYPERLINK("https://twitter.com/rulsfii","@rulsfii")</f>
        <v>@rulsfii</v>
      </c>
      <c r="C132" t="s">
        <v>2241</v>
      </c>
      <c r="D132">
        <v>0</v>
      </c>
      <c r="E132">
        <v>0</v>
      </c>
      <c r="F132">
        <v>12</v>
      </c>
    </row>
    <row r="133" spans="1:6" ht="12.75">
      <c r="A133" s="2">
        <v>43885.703263888892</v>
      </c>
      <c r="B133" t="str">
        <f>HYPERLINK("https://twitter.com/kardusbox08","@kardusbox08")</f>
        <v>@kardusbox08</v>
      </c>
      <c r="C133" t="s">
        <v>2091</v>
      </c>
      <c r="D133">
        <v>1368</v>
      </c>
      <c r="E133">
        <v>0</v>
      </c>
      <c r="F133">
        <v>1612</v>
      </c>
    </row>
    <row r="134" spans="1:6" ht="12.75">
      <c r="A134" s="2">
        <v>43885.703159722223</v>
      </c>
      <c r="B134" t="str">
        <f>HYPERLINK("https://twitter.com/f_fz","@f_fz")</f>
        <v>@f_fz</v>
      </c>
      <c r="C134" t="s">
        <v>2242</v>
      </c>
      <c r="D134">
        <v>0</v>
      </c>
      <c r="E134">
        <v>0</v>
      </c>
      <c r="F134">
        <v>2307</v>
      </c>
    </row>
    <row r="135" spans="1:6" ht="12.75">
      <c r="A135" s="2">
        <v>43885.701863425929</v>
      </c>
      <c r="B135" t="str">
        <f>HYPERLINK("https://twitter.com/moeriariefs","@moeriariefs")</f>
        <v>@moeriariefs</v>
      </c>
      <c r="C135" t="s">
        <v>2243</v>
      </c>
      <c r="D135">
        <v>0</v>
      </c>
      <c r="E135">
        <v>0</v>
      </c>
      <c r="F135">
        <v>346</v>
      </c>
    </row>
    <row r="136" spans="1:6" ht="12.75">
      <c r="A136" s="2">
        <v>43885.701701388884</v>
      </c>
      <c r="B136" t="str">
        <f>HYPERLINK("https://twitter.com/asien72","@asien72")</f>
        <v>@asien72</v>
      </c>
      <c r="C136" t="s">
        <v>2244</v>
      </c>
      <c r="D136">
        <v>0</v>
      </c>
      <c r="E136">
        <v>0</v>
      </c>
      <c r="F136">
        <v>3</v>
      </c>
    </row>
    <row r="137" spans="1:6" ht="12.75">
      <c r="A137" s="2">
        <v>43885.701689814814</v>
      </c>
      <c r="B137" t="str">
        <f>HYPERLINK("https://twitter.com/anastasiaines","@anastasiaines")</f>
        <v>@anastasiaines</v>
      </c>
      <c r="C137" t="s">
        <v>2091</v>
      </c>
      <c r="D137">
        <v>1368</v>
      </c>
      <c r="E137">
        <v>0</v>
      </c>
      <c r="F137">
        <v>291</v>
      </c>
    </row>
    <row r="138" spans="1:6" ht="12.75">
      <c r="A138" s="2">
        <v>43885.701458333337</v>
      </c>
      <c r="B138" t="str">
        <f>HYPERLINK("https://twitter.com/bbagusbudii","@bbagusbudii")</f>
        <v>@bbagusbudii</v>
      </c>
      <c r="C138" t="s">
        <v>2245</v>
      </c>
      <c r="D138">
        <v>0</v>
      </c>
      <c r="E138">
        <v>0</v>
      </c>
      <c r="F138">
        <v>446</v>
      </c>
    </row>
    <row r="139" spans="1:6" ht="12.75">
      <c r="A139" s="2">
        <v>43885.701365740737</v>
      </c>
      <c r="B139" t="str">
        <f>HYPERLINK("https://twitter.com/palstraNGO","@palstraNGO")</f>
        <v>@palstraNGO</v>
      </c>
      <c r="C139" t="s">
        <v>321</v>
      </c>
      <c r="D139">
        <v>1928</v>
      </c>
      <c r="E139">
        <v>0</v>
      </c>
      <c r="F139">
        <v>9</v>
      </c>
    </row>
    <row r="140" spans="1:6" ht="12.75">
      <c r="A140" s="2">
        <v>43885.701365740737</v>
      </c>
      <c r="B140" t="str">
        <f>HYPERLINK("https://twitter.com/HiroshiDesu2019","@HiroshiDesu2019")</f>
        <v>@HiroshiDesu2019</v>
      </c>
      <c r="C140" t="s">
        <v>738</v>
      </c>
      <c r="D140">
        <v>452</v>
      </c>
      <c r="E140">
        <v>0</v>
      </c>
      <c r="F140">
        <v>842</v>
      </c>
    </row>
    <row r="141" spans="1:6" ht="12.75">
      <c r="A141" s="2">
        <v>43885.701331018514</v>
      </c>
      <c r="B141" t="str">
        <f>HYPERLINK("https://twitter.com/tanah_kusir","@tanah_kusir")</f>
        <v>@tanah_kusir</v>
      </c>
      <c r="C141" t="s">
        <v>2246</v>
      </c>
      <c r="D141">
        <v>0</v>
      </c>
      <c r="E141">
        <v>0</v>
      </c>
      <c r="F141">
        <v>33</v>
      </c>
    </row>
    <row r="142" spans="1:6" ht="12.75">
      <c r="A142" s="2">
        <v>43885.70112268519</v>
      </c>
      <c r="B142" t="str">
        <f>HYPERLINK("https://twitter.com/nyak_ih_meutuah","@nyak_ih_meutuah")</f>
        <v>@nyak_ih_meutuah</v>
      </c>
      <c r="C142" t="s">
        <v>2229</v>
      </c>
      <c r="D142">
        <v>4</v>
      </c>
      <c r="E142">
        <v>0</v>
      </c>
      <c r="F142">
        <v>1838</v>
      </c>
    </row>
    <row r="143" spans="1:6" ht="12.75">
      <c r="A143" s="2">
        <v>43885.700428240743</v>
      </c>
      <c r="B143" t="str">
        <f>HYPERLINK("https://twitter.com/naufalabdulaz_","@naufalabdulaz_")</f>
        <v>@naufalabdulaz_</v>
      </c>
      <c r="C143" t="s">
        <v>1407</v>
      </c>
      <c r="D143">
        <v>9746</v>
      </c>
      <c r="E143">
        <v>0</v>
      </c>
      <c r="F143">
        <v>236</v>
      </c>
    </row>
    <row r="144" spans="1:6" ht="12.75">
      <c r="A144" s="2">
        <v>43885.700381944444</v>
      </c>
      <c r="B144" t="str">
        <f>HYPERLINK("https://twitter.com/republikaonline","@republikaonline")</f>
        <v>@republikaonline</v>
      </c>
      <c r="C144" t="s">
        <v>2247</v>
      </c>
      <c r="D144">
        <v>1</v>
      </c>
      <c r="E144">
        <v>1</v>
      </c>
      <c r="F144">
        <v>1212674</v>
      </c>
    </row>
    <row r="145" spans="1:6" ht="12.75">
      <c r="A145" s="2">
        <v>43885.700381944444</v>
      </c>
      <c r="B145" t="str">
        <f>HYPERLINK("https://twitter.com/StevanyD","@StevanyD")</f>
        <v>@StevanyD</v>
      </c>
      <c r="C145" t="s">
        <v>2240</v>
      </c>
      <c r="D145">
        <v>5</v>
      </c>
      <c r="E145">
        <v>0</v>
      </c>
      <c r="F145">
        <v>1501</v>
      </c>
    </row>
    <row r="146" spans="1:6" ht="12.75">
      <c r="A146" s="2">
        <v>43885.700312500005</v>
      </c>
      <c r="B146" t="str">
        <f>HYPERLINK("https://twitter.com/RyanBayCan","@RyanBayCan")</f>
        <v>@RyanBayCan</v>
      </c>
      <c r="C146" t="s">
        <v>2248</v>
      </c>
      <c r="D146">
        <v>0</v>
      </c>
      <c r="E146">
        <v>5</v>
      </c>
      <c r="F146">
        <v>2941</v>
      </c>
    </row>
    <row r="147" spans="1:6" ht="12.75">
      <c r="A147" s="2">
        <v>43885.700231481482</v>
      </c>
      <c r="B147" t="str">
        <f>HYPERLINK("https://twitter.com/hamaro_id","@hamaro_id")</f>
        <v>@hamaro_id</v>
      </c>
      <c r="C147" t="s">
        <v>2229</v>
      </c>
      <c r="D147">
        <v>4</v>
      </c>
      <c r="E147">
        <v>0</v>
      </c>
      <c r="F147">
        <v>1659</v>
      </c>
    </row>
    <row r="148" spans="1:6" ht="12.75">
      <c r="A148" s="2">
        <v>43885.700150462959</v>
      </c>
      <c r="B148" t="str">
        <f>HYPERLINK("https://twitter.com/Hong_1211","@Hong_1211")</f>
        <v>@Hong_1211</v>
      </c>
      <c r="C148" t="s">
        <v>2249</v>
      </c>
      <c r="D148">
        <v>0</v>
      </c>
      <c r="E148">
        <v>1</v>
      </c>
      <c r="F148">
        <v>60</v>
      </c>
    </row>
    <row r="149" spans="1:6" ht="12.75">
      <c r="A149" s="2">
        <v>43885.700150462959</v>
      </c>
      <c r="B149" t="str">
        <f>HYPERLINK("https://twitter.com/jthomasjoko","@jthomasjoko")</f>
        <v>@jthomasjoko</v>
      </c>
      <c r="C149" t="s">
        <v>2091</v>
      </c>
      <c r="D149">
        <v>1368</v>
      </c>
      <c r="E149">
        <v>0</v>
      </c>
      <c r="F149">
        <v>611</v>
      </c>
    </row>
    <row r="150" spans="1:6" ht="12.75">
      <c r="A150" s="2">
        <v>43885.70012731482</v>
      </c>
      <c r="B150" t="str">
        <f>HYPERLINK("https://twitter.com/super_samagonka","@super_samagonka")</f>
        <v>@super_samagonka</v>
      </c>
      <c r="C150" t="s">
        <v>738</v>
      </c>
      <c r="D150">
        <v>452</v>
      </c>
      <c r="E150">
        <v>0</v>
      </c>
      <c r="F150">
        <v>223</v>
      </c>
    </row>
    <row r="151" spans="1:6" ht="12.75">
      <c r="A151" s="2">
        <v>43885.700104166666</v>
      </c>
      <c r="B151" t="str">
        <f>HYPERLINK("https://twitter.com/AnjaniJeras","@AnjaniJeras")</f>
        <v>@AnjaniJeras</v>
      </c>
      <c r="C151" t="s">
        <v>2224</v>
      </c>
      <c r="D151">
        <v>2</v>
      </c>
      <c r="E151">
        <v>0</v>
      </c>
      <c r="F151">
        <v>285</v>
      </c>
    </row>
    <row r="152" spans="1:6" ht="12.75">
      <c r="A152" s="2">
        <v>43885.699513888889</v>
      </c>
      <c r="B152" t="str">
        <f>HYPERLINK("https://twitter.com/forever_5smap","@forever_5smap")</f>
        <v>@forever_5smap</v>
      </c>
      <c r="C152" t="s">
        <v>321</v>
      </c>
      <c r="D152">
        <v>1928</v>
      </c>
      <c r="E152">
        <v>0</v>
      </c>
      <c r="F152">
        <v>992</v>
      </c>
    </row>
    <row r="153" spans="1:6" ht="12.75">
      <c r="A153" s="2">
        <v>43885.699490740742</v>
      </c>
      <c r="B153" t="str">
        <f>HYPERLINK("https://twitter.com/nugrahario_","@nugrahario_")</f>
        <v>@nugrahario_</v>
      </c>
      <c r="C153" t="s">
        <v>2091</v>
      </c>
      <c r="D153">
        <v>1368</v>
      </c>
      <c r="E153">
        <v>0</v>
      </c>
      <c r="F153">
        <v>407</v>
      </c>
    </row>
    <row r="154" spans="1:6" ht="12.75">
      <c r="A154" s="2">
        <v>43885.699340277773</v>
      </c>
      <c r="B154" t="str">
        <f>HYPERLINK("https://twitter.com/hidayat_y28","@hidayat_y28")</f>
        <v>@hidayat_y28</v>
      </c>
      <c r="C154" t="s">
        <v>2250</v>
      </c>
      <c r="D154">
        <v>0</v>
      </c>
      <c r="E154">
        <v>1</v>
      </c>
      <c r="F154">
        <v>5184</v>
      </c>
    </row>
    <row r="155" spans="1:6" ht="12.75">
      <c r="A155" s="2">
        <v>43885.698912037042</v>
      </c>
      <c r="B155" t="str">
        <f>HYPERLINK("https://twitter.com/VikingYogya","@VikingYogya")</f>
        <v>@VikingYogya</v>
      </c>
      <c r="C155" t="s">
        <v>2240</v>
      </c>
      <c r="D155">
        <v>5</v>
      </c>
      <c r="E155">
        <v>0</v>
      </c>
      <c r="F155">
        <v>24105</v>
      </c>
    </row>
    <row r="156" spans="1:6" ht="12.75">
      <c r="A156" s="2">
        <v>43885.698888888888</v>
      </c>
      <c r="B156" t="str">
        <f>HYPERLINK("https://twitter.com/4_hardiansyah","@4_hardiansyah")</f>
        <v>@4_hardiansyah</v>
      </c>
      <c r="C156" t="s">
        <v>2251</v>
      </c>
      <c r="D156">
        <v>1</v>
      </c>
      <c r="E156">
        <v>0</v>
      </c>
      <c r="F156">
        <v>850</v>
      </c>
    </row>
    <row r="157" spans="1:6" ht="12.75">
      <c r="A157" s="2">
        <v>43885.698865740742</v>
      </c>
      <c r="B157" t="str">
        <f t="shared" ref="B157:B158" si="3">HYPERLINK("https://twitter.com/adepedia","@adepedia")</f>
        <v>@adepedia</v>
      </c>
      <c r="C157" t="s">
        <v>2120</v>
      </c>
      <c r="D157">
        <v>93</v>
      </c>
      <c r="E157">
        <v>0</v>
      </c>
      <c r="F157">
        <v>1837</v>
      </c>
    </row>
    <row r="158" spans="1:6" ht="12.75">
      <c r="A158" s="2">
        <v>43885.698773148149</v>
      </c>
      <c r="B158" t="str">
        <f t="shared" si="3"/>
        <v>@adepedia</v>
      </c>
      <c r="C158" t="s">
        <v>2115</v>
      </c>
      <c r="D158">
        <v>99</v>
      </c>
      <c r="E158">
        <v>0</v>
      </c>
      <c r="F158">
        <v>1837</v>
      </c>
    </row>
    <row r="159" spans="1:6" ht="12.75">
      <c r="A159" s="2">
        <v>43885.698680555557</v>
      </c>
      <c r="B159" t="str">
        <f>HYPERLINK("https://twitter.com/HHijirikawa","@HHijirikawa")</f>
        <v>@HHijirikawa</v>
      </c>
      <c r="C159" t="s">
        <v>738</v>
      </c>
      <c r="D159">
        <v>452</v>
      </c>
      <c r="E159">
        <v>0</v>
      </c>
      <c r="F159">
        <v>14</v>
      </c>
    </row>
    <row r="160" spans="1:6" ht="12.75">
      <c r="A160" s="2">
        <v>43885.698530092588</v>
      </c>
      <c r="B160" t="str">
        <f>HYPERLINK("https://twitter.com/siputrabatubara","@siputrabatubara")</f>
        <v>@siputrabatubara</v>
      </c>
      <c r="C160" t="s">
        <v>321</v>
      </c>
      <c r="D160">
        <v>1928</v>
      </c>
      <c r="E160">
        <v>0</v>
      </c>
      <c r="F160">
        <v>3911</v>
      </c>
    </row>
    <row r="161" spans="1:6" ht="12.75">
      <c r="A161" s="2">
        <v>43885.698472222226</v>
      </c>
      <c r="B161" t="str">
        <f t="shared" ref="B161:B162" si="4">HYPERLINK("https://twitter.com/adepedia","@adepedia")</f>
        <v>@adepedia</v>
      </c>
      <c r="C161" t="s">
        <v>738</v>
      </c>
      <c r="D161">
        <v>452</v>
      </c>
      <c r="E161">
        <v>0</v>
      </c>
      <c r="F161">
        <v>1837</v>
      </c>
    </row>
    <row r="162" spans="1:6" ht="12.75">
      <c r="A162" s="2">
        <v>43885.698078703703</v>
      </c>
      <c r="B162" t="str">
        <f t="shared" si="4"/>
        <v>@adepedia</v>
      </c>
      <c r="C162" t="s">
        <v>321</v>
      </c>
      <c r="D162">
        <v>1928</v>
      </c>
      <c r="E162">
        <v>0</v>
      </c>
      <c r="F162">
        <v>1837</v>
      </c>
    </row>
    <row r="163" spans="1:6" ht="12.75">
      <c r="A163" s="2">
        <v>43885.698009259257</v>
      </c>
      <c r="B163" t="str">
        <f>HYPERLINK("https://twitter.com/HHijirikawa","@HHijirikawa")</f>
        <v>@HHijirikawa</v>
      </c>
      <c r="C163" t="s">
        <v>321</v>
      </c>
      <c r="D163">
        <v>1928</v>
      </c>
      <c r="E163">
        <v>0</v>
      </c>
      <c r="F163">
        <v>14</v>
      </c>
    </row>
    <row r="164" spans="1:6" ht="12.75">
      <c r="A164" s="2">
        <v>43885.697916666672</v>
      </c>
      <c r="B164" t="str">
        <f>HYPERLINK("https://twitter.com/idetopia","@idetopia")</f>
        <v>@idetopia</v>
      </c>
      <c r="C164" t="s">
        <v>2132</v>
      </c>
      <c r="D164">
        <v>0</v>
      </c>
      <c r="E164">
        <v>0</v>
      </c>
      <c r="F164">
        <v>88332</v>
      </c>
    </row>
    <row r="165" spans="1:6" ht="12.75">
      <c r="A165" s="2">
        <v>43885.697488425925</v>
      </c>
      <c r="B165" t="str">
        <f>HYPERLINK("https://twitter.com/nVpOGRBM7g1Fc3k","@nVpOGRBM7g1Fc3k")</f>
        <v>@nVpOGRBM7g1Fc3k</v>
      </c>
      <c r="C165" t="s">
        <v>738</v>
      </c>
      <c r="D165">
        <v>452</v>
      </c>
      <c r="E165">
        <v>0</v>
      </c>
      <c r="F165">
        <v>38</v>
      </c>
    </row>
    <row r="166" spans="1:6" ht="12.75">
      <c r="A166" s="2">
        <v>43885.697337962964</v>
      </c>
      <c r="B166" t="str">
        <f>HYPERLINK("https://twitter.com/m_no_news","@m_no_news")</f>
        <v>@m_no_news</v>
      </c>
      <c r="C166" t="s">
        <v>738</v>
      </c>
      <c r="D166">
        <v>452</v>
      </c>
      <c r="E166">
        <v>0</v>
      </c>
      <c r="F166">
        <v>388</v>
      </c>
    </row>
    <row r="167" spans="1:6" ht="12.75">
      <c r="A167" s="2">
        <v>43885.696886574078</v>
      </c>
      <c r="B167" t="str">
        <f>HYPERLINK("https://twitter.com/rifqi32bgr","@rifqi32bgr")</f>
        <v>@rifqi32bgr</v>
      </c>
      <c r="C167" t="s">
        <v>2229</v>
      </c>
      <c r="D167">
        <v>4</v>
      </c>
      <c r="E167">
        <v>0</v>
      </c>
      <c r="F167">
        <v>1328</v>
      </c>
    </row>
    <row r="168" spans="1:6" ht="12.75">
      <c r="A168" s="2">
        <v>43885.696863425925</v>
      </c>
      <c r="B168" t="str">
        <f>HYPERLINK("https://twitter.com/cagidest","@cagidest")</f>
        <v>@cagidest</v>
      </c>
      <c r="C168" t="s">
        <v>2103</v>
      </c>
      <c r="D168">
        <v>97</v>
      </c>
      <c r="E168">
        <v>0</v>
      </c>
      <c r="F168">
        <v>1027</v>
      </c>
    </row>
    <row r="169" spans="1:6" ht="12.75">
      <c r="A169" s="2">
        <v>43885.696851851855</v>
      </c>
      <c r="B169" t="str">
        <f>HYPERLINK("https://twitter.com/translatorbali","@translatorbali")</f>
        <v>@translatorbali</v>
      </c>
      <c r="C169" t="s">
        <v>2174</v>
      </c>
      <c r="D169">
        <v>1</v>
      </c>
      <c r="E169">
        <v>0</v>
      </c>
      <c r="F169">
        <v>3864</v>
      </c>
    </row>
    <row r="170" spans="1:6" ht="12.75">
      <c r="A170" s="2">
        <v>43885.696782407409</v>
      </c>
      <c r="B170" t="str">
        <f>HYPERLINK("https://twitter.com/ReanitaP","@ReanitaP")</f>
        <v>@ReanitaP</v>
      </c>
      <c r="C170" t="s">
        <v>321</v>
      </c>
      <c r="D170">
        <v>1928</v>
      </c>
      <c r="E170">
        <v>0</v>
      </c>
      <c r="F170">
        <v>500</v>
      </c>
    </row>
    <row r="171" spans="1:6" ht="12.75">
      <c r="A171" s="2">
        <v>43885.696689814809</v>
      </c>
      <c r="B171" t="str">
        <f>HYPERLINK("https://twitter.com/translatorbali","@translatorbali")</f>
        <v>@translatorbali</v>
      </c>
      <c r="C171" t="s">
        <v>2252</v>
      </c>
      <c r="D171">
        <v>1</v>
      </c>
      <c r="E171">
        <v>1</v>
      </c>
      <c r="F171">
        <v>3864</v>
      </c>
    </row>
    <row r="172" spans="1:6" ht="12.75">
      <c r="A172" s="2">
        <v>43885.696562500001</v>
      </c>
      <c r="B172" t="str">
        <f>HYPERLINK("https://twitter.com/reynoldandries1","@reynoldandries1")</f>
        <v>@reynoldandries1</v>
      </c>
      <c r="C172" t="s">
        <v>321</v>
      </c>
      <c r="D172">
        <v>1928</v>
      </c>
      <c r="E172">
        <v>0</v>
      </c>
      <c r="F172">
        <v>6233</v>
      </c>
    </row>
    <row r="173" spans="1:6" ht="12.75">
      <c r="A173" s="2">
        <v>43885.696539351848</v>
      </c>
      <c r="B173" t="str">
        <f>HYPERLINK("https://twitter.com/tempodotco","@tempodotco")</f>
        <v>@tempodotco</v>
      </c>
      <c r="C173" t="s">
        <v>2253</v>
      </c>
      <c r="D173">
        <v>4</v>
      </c>
      <c r="E173">
        <v>1</v>
      </c>
      <c r="F173">
        <v>1710508</v>
      </c>
    </row>
    <row r="174" spans="1:6" ht="12.75">
      <c r="A174" s="2">
        <v>43885.696504629625</v>
      </c>
      <c r="B174" t="str">
        <f>HYPERLINK("https://twitter.com/rifak_arzerro","@rifak_arzerro")</f>
        <v>@rifak_arzerro</v>
      </c>
      <c r="C174" t="s">
        <v>2254</v>
      </c>
      <c r="D174">
        <v>1</v>
      </c>
      <c r="E174">
        <v>0</v>
      </c>
      <c r="F174">
        <v>638</v>
      </c>
    </row>
    <row r="175" spans="1:6" ht="12.75">
      <c r="A175" s="2">
        <v>43885.696469907409</v>
      </c>
      <c r="B175" t="str">
        <f>HYPERLINK("https://twitter.com/Sandhilino","@Sandhilino")</f>
        <v>@Sandhilino</v>
      </c>
      <c r="C175" t="s">
        <v>2255</v>
      </c>
      <c r="D175">
        <v>0</v>
      </c>
      <c r="E175">
        <v>0</v>
      </c>
      <c r="F175">
        <v>261</v>
      </c>
    </row>
    <row r="176" spans="1:6" ht="12.75">
      <c r="A176" s="2">
        <v>43885.696446759262</v>
      </c>
      <c r="B176" t="str">
        <f>HYPERLINK("https://twitter.com/sumnermoon772","@sumnermoon772")</f>
        <v>@sumnermoon772</v>
      </c>
      <c r="C176" t="s">
        <v>738</v>
      </c>
      <c r="D176">
        <v>452</v>
      </c>
      <c r="E176">
        <v>0</v>
      </c>
      <c r="F176">
        <v>1</v>
      </c>
    </row>
    <row r="177" spans="1:6" ht="12.75">
      <c r="A177" s="2">
        <v>43885.69636574074</v>
      </c>
      <c r="B177" t="str">
        <f>HYPERLINK("https://twitter.com/zatyo19","@zatyo19")</f>
        <v>@zatyo19</v>
      </c>
      <c r="C177" t="s">
        <v>321</v>
      </c>
      <c r="D177">
        <v>1928</v>
      </c>
      <c r="E177">
        <v>0</v>
      </c>
      <c r="F177">
        <v>42</v>
      </c>
    </row>
    <row r="178" spans="1:6" ht="12.75">
      <c r="A178" s="2">
        <v>43885.696284722224</v>
      </c>
      <c r="B178" t="str">
        <f>HYPERLINK("https://twitter.com/tribunnews","@tribunnews")</f>
        <v>@tribunnews</v>
      </c>
      <c r="C178" t="s">
        <v>2256</v>
      </c>
      <c r="D178">
        <v>0</v>
      </c>
      <c r="E178">
        <v>1</v>
      </c>
      <c r="F178">
        <v>880235</v>
      </c>
    </row>
    <row r="179" spans="1:6" ht="12.75">
      <c r="A179" s="2">
        <v>43885.696168981478</v>
      </c>
      <c r="B179" t="str">
        <f>HYPERLINK("https://twitter.com/poco_piccolo","@poco_piccolo")</f>
        <v>@poco_piccolo</v>
      </c>
      <c r="C179" t="s">
        <v>738</v>
      </c>
      <c r="D179">
        <v>452</v>
      </c>
      <c r="E179">
        <v>0</v>
      </c>
      <c r="F179">
        <v>1695</v>
      </c>
    </row>
    <row r="180" spans="1:6" ht="12.75">
      <c r="A180" s="2">
        <v>43885.695659722223</v>
      </c>
      <c r="B180" t="str">
        <f>HYPERLINK("https://twitter.com/sudjatmiko_seto","@sudjatmiko_seto")</f>
        <v>@sudjatmiko_seto</v>
      </c>
      <c r="C180" t="s">
        <v>2152</v>
      </c>
      <c r="D180">
        <v>8</v>
      </c>
      <c r="E180">
        <v>0</v>
      </c>
      <c r="F180">
        <v>784</v>
      </c>
    </row>
    <row r="181" spans="1:6" ht="12.75">
      <c r="A181" s="2">
        <v>43885.695497685185</v>
      </c>
      <c r="B181" t="str">
        <f>HYPERLINK("https://twitter.com/cosott","@cosott")</f>
        <v>@cosott</v>
      </c>
      <c r="C181" t="s">
        <v>321</v>
      </c>
      <c r="D181">
        <v>1928</v>
      </c>
      <c r="E181">
        <v>0</v>
      </c>
      <c r="F181">
        <v>707</v>
      </c>
    </row>
    <row r="182" spans="1:6" ht="12.75">
      <c r="A182" s="2">
        <v>43885.695439814815</v>
      </c>
      <c r="B182" t="str">
        <f>HYPERLINK("https://twitter.com/udahdibilangin","@udahdibilangin")</f>
        <v>@udahdibilangin</v>
      </c>
      <c r="C182" t="s">
        <v>2091</v>
      </c>
      <c r="D182">
        <v>1368</v>
      </c>
      <c r="E182">
        <v>0</v>
      </c>
      <c r="F182">
        <v>190</v>
      </c>
    </row>
    <row r="183" spans="1:6" ht="12.75">
      <c r="A183" s="2">
        <v>43885.695208333331</v>
      </c>
      <c r="B183" t="str">
        <f>HYPERLINK("https://twitter.com/kompascom","@kompascom")</f>
        <v>@kompascom</v>
      </c>
      <c r="C183" t="s">
        <v>2257</v>
      </c>
      <c r="D183">
        <v>2</v>
      </c>
      <c r="E183">
        <v>4</v>
      </c>
      <c r="F183">
        <v>7510457</v>
      </c>
    </row>
    <row r="184" spans="1:6" ht="12.75">
      <c r="A184" s="2">
        <v>43885.695092592592</v>
      </c>
      <c r="B184" t="str">
        <f>HYPERLINK("https://twitter.com/reviel08","@reviel08")</f>
        <v>@reviel08</v>
      </c>
      <c r="C184" t="s">
        <v>2185</v>
      </c>
      <c r="D184">
        <v>23</v>
      </c>
      <c r="E184">
        <v>0</v>
      </c>
      <c r="F184">
        <v>723</v>
      </c>
    </row>
    <row r="185" spans="1:6" ht="12.75">
      <c r="A185" s="2">
        <v>43885.694872685184</v>
      </c>
      <c r="B185" t="str">
        <f>HYPERLINK("https://twitter.com/hiyasins286","@hiyasins286")</f>
        <v>@hiyasins286</v>
      </c>
      <c r="C185" t="s">
        <v>321</v>
      </c>
      <c r="D185">
        <v>1928</v>
      </c>
      <c r="E185">
        <v>0</v>
      </c>
      <c r="F185">
        <v>307</v>
      </c>
    </row>
    <row r="186" spans="1:6" ht="12.75">
      <c r="A186" s="2">
        <v>43885.694791666669</v>
      </c>
      <c r="B186" t="str">
        <f>HYPERLINK("https://twitter.com/id_aksi","@id_aksi")</f>
        <v>@id_aksi</v>
      </c>
      <c r="C186" t="s">
        <v>2167</v>
      </c>
      <c r="D186">
        <v>0</v>
      </c>
      <c r="E186">
        <v>0</v>
      </c>
      <c r="F186">
        <v>79</v>
      </c>
    </row>
    <row r="187" spans="1:6" ht="12.75">
      <c r="A187" s="2">
        <v>43885.694722222222</v>
      </c>
      <c r="B187" t="str">
        <f>HYPERLINK("https://twitter.com/yanao18725165","@yanao18725165")</f>
        <v>@yanao18725165</v>
      </c>
      <c r="C187" t="s">
        <v>321</v>
      </c>
      <c r="D187">
        <v>1928</v>
      </c>
      <c r="E187">
        <v>0</v>
      </c>
      <c r="F187">
        <v>1517</v>
      </c>
    </row>
    <row r="188" spans="1:6" ht="12.75">
      <c r="A188" s="2">
        <v>43885.694606481484</v>
      </c>
      <c r="B188" t="str">
        <f>HYPERLINK("https://twitter.com/erwitami","@erwitami")</f>
        <v>@erwitami</v>
      </c>
      <c r="C188" t="s">
        <v>2258</v>
      </c>
      <c r="D188">
        <v>1</v>
      </c>
      <c r="E188">
        <v>0</v>
      </c>
      <c r="F188">
        <v>1354</v>
      </c>
    </row>
    <row r="189" spans="1:6" ht="12.75">
      <c r="A189" s="2">
        <v>43885.694201388891</v>
      </c>
      <c r="B189" t="str">
        <f>HYPERLINK("https://twitter.com/don_rahmad","@don_rahmad")</f>
        <v>@don_rahmad</v>
      </c>
      <c r="C189" t="s">
        <v>2259</v>
      </c>
      <c r="D189">
        <v>0</v>
      </c>
      <c r="E189">
        <v>0</v>
      </c>
      <c r="F189">
        <v>495</v>
      </c>
    </row>
    <row r="190" spans="1:6" ht="12.75">
      <c r="A190" s="2">
        <v>43885.694108796291</v>
      </c>
      <c r="B190" t="str">
        <f>HYPERLINK("https://twitter.com/bamboototo","@bamboototo")</f>
        <v>@bamboototo</v>
      </c>
      <c r="C190" t="s">
        <v>321</v>
      </c>
      <c r="D190">
        <v>1928</v>
      </c>
      <c r="E190">
        <v>0</v>
      </c>
      <c r="F190">
        <v>160</v>
      </c>
    </row>
    <row r="191" spans="1:6" ht="12.75">
      <c r="A191" s="2">
        <v>43885.694027777776</v>
      </c>
      <c r="B191" t="str">
        <f>HYPERLINK("https://twitter.com/nailasolihah","@nailasolihah")</f>
        <v>@nailasolihah</v>
      </c>
      <c r="C191" t="s">
        <v>2166</v>
      </c>
      <c r="D191">
        <v>368</v>
      </c>
      <c r="E191">
        <v>0</v>
      </c>
      <c r="F191">
        <v>233</v>
      </c>
    </row>
    <row r="192" spans="1:6" ht="12.75">
      <c r="A192" s="2">
        <v>43885.693807870368</v>
      </c>
      <c r="B192" t="str">
        <f t="shared" ref="B192:B193" si="5">HYPERLINK("https://twitter.com/wow_keren","@wow_keren")</f>
        <v>@wow_keren</v>
      </c>
      <c r="C192" t="s">
        <v>2260</v>
      </c>
      <c r="D192">
        <v>0</v>
      </c>
      <c r="E192">
        <v>0</v>
      </c>
      <c r="F192">
        <v>32013</v>
      </c>
    </row>
    <row r="193" spans="1:6" ht="12.75">
      <c r="A193" s="2">
        <v>43885.693773148145</v>
      </c>
      <c r="B193" t="str">
        <f t="shared" si="5"/>
        <v>@wow_keren</v>
      </c>
      <c r="C193" t="s">
        <v>2261</v>
      </c>
      <c r="D193">
        <v>0</v>
      </c>
      <c r="E193">
        <v>0</v>
      </c>
      <c r="F193">
        <v>32013</v>
      </c>
    </row>
    <row r="194" spans="1:6" ht="12.75">
      <c r="A194" s="2">
        <v>43885.693668981483</v>
      </c>
      <c r="B194" t="str">
        <f>HYPERLINK("https://twitter.com/Metro_TV","@Metro_TV")</f>
        <v>@Metro_TV</v>
      </c>
      <c r="C194" t="s">
        <v>2262</v>
      </c>
      <c r="D194">
        <v>1</v>
      </c>
      <c r="E194">
        <v>3</v>
      </c>
      <c r="F194">
        <v>10512557</v>
      </c>
    </row>
    <row r="195" spans="1:6" ht="12.75">
      <c r="A195" s="2">
        <v>43885.693657407406</v>
      </c>
      <c r="B195" t="str">
        <f>HYPERLINK("https://twitter.com/yanao18725165","@yanao18725165")</f>
        <v>@yanao18725165</v>
      </c>
      <c r="C195" t="s">
        <v>738</v>
      </c>
      <c r="D195">
        <v>452</v>
      </c>
      <c r="E195">
        <v>0</v>
      </c>
      <c r="F195">
        <v>1517</v>
      </c>
    </row>
    <row r="196" spans="1:6" ht="12.75">
      <c r="A196" s="2">
        <v>43885.693483796298</v>
      </c>
      <c r="B196" t="str">
        <f>HYPERLINK("https://twitter.com/InggitBanyu","@InggitBanyu")</f>
        <v>@InggitBanyu</v>
      </c>
      <c r="C196" t="s">
        <v>2263</v>
      </c>
      <c r="D196">
        <v>5</v>
      </c>
      <c r="E196">
        <v>0</v>
      </c>
      <c r="F196">
        <v>1213</v>
      </c>
    </row>
    <row r="197" spans="1:6" ht="12.75">
      <c r="A197" s="2">
        <v>43885.693229166667</v>
      </c>
      <c r="B197" t="str">
        <f>HYPERLINK("https://twitter.com/100_10_0_O","@100_10_0_O")</f>
        <v>@100_10_0_O</v>
      </c>
      <c r="C197" t="s">
        <v>738</v>
      </c>
      <c r="D197">
        <v>452</v>
      </c>
      <c r="E197">
        <v>0</v>
      </c>
      <c r="F197">
        <v>81</v>
      </c>
    </row>
    <row r="198" spans="1:6" ht="12.75">
      <c r="A198" s="2">
        <v>43885.692974537036</v>
      </c>
      <c r="B198" t="str">
        <f>HYPERLINK("https://twitter.com/rifak_arzerro","@rifak_arzerro")</f>
        <v>@rifak_arzerro</v>
      </c>
      <c r="C198" t="s">
        <v>2264</v>
      </c>
      <c r="D198">
        <v>2</v>
      </c>
      <c r="E198">
        <v>0</v>
      </c>
      <c r="F198">
        <v>638</v>
      </c>
    </row>
    <row r="199" spans="1:6" ht="12.75">
      <c r="A199" s="2">
        <v>43885.692754629628</v>
      </c>
      <c r="B199" t="str">
        <f>HYPERLINK("https://twitter.com/BlorengTheCat","@BlorengTheCat")</f>
        <v>@BlorengTheCat</v>
      </c>
      <c r="C199" t="s">
        <v>2265</v>
      </c>
      <c r="D199">
        <v>0</v>
      </c>
      <c r="E199">
        <v>0</v>
      </c>
      <c r="F199">
        <v>415</v>
      </c>
    </row>
    <row r="200" spans="1:6" ht="12.75">
      <c r="A200" s="2">
        <v>43885.692650462966</v>
      </c>
      <c r="B200" t="str">
        <f t="shared" ref="B200:B201" si="6">HYPERLINK("https://twitter.com/Metro_TV","@Metro_TV")</f>
        <v>@Metro_TV</v>
      </c>
      <c r="C200" t="s">
        <v>2266</v>
      </c>
      <c r="D200">
        <v>0</v>
      </c>
      <c r="E200">
        <v>2</v>
      </c>
      <c r="F200">
        <v>10512557</v>
      </c>
    </row>
    <row r="201" spans="1:6" ht="12.75">
      <c r="A201" s="2">
        <v>43885.691504629634</v>
      </c>
      <c r="B201" t="str">
        <f t="shared" si="6"/>
        <v>@Metro_TV</v>
      </c>
      <c r="C201" t="s">
        <v>2267</v>
      </c>
      <c r="D201">
        <v>0</v>
      </c>
      <c r="E201">
        <v>5</v>
      </c>
      <c r="F201">
        <v>10512557</v>
      </c>
    </row>
    <row r="202" spans="1:6" ht="12.75">
      <c r="A202" s="2">
        <v>43885.691446759258</v>
      </c>
      <c r="B202" t="str">
        <f>HYPERLINK("https://twitter.com/ahiro53651615","@ahiro53651615")</f>
        <v>@ahiro53651615</v>
      </c>
      <c r="C202" t="s">
        <v>321</v>
      </c>
      <c r="D202">
        <v>1928</v>
      </c>
      <c r="E202">
        <v>0</v>
      </c>
      <c r="F202">
        <v>199</v>
      </c>
    </row>
    <row r="203" spans="1:6" ht="12.75">
      <c r="A203" s="2">
        <v>43885.667662037042</v>
      </c>
      <c r="B203" t="str">
        <f>HYPERLINK("https://twitter.com/MrsChilla","@MrsChilla")</f>
        <v>@MrsChilla</v>
      </c>
      <c r="C203" t="s">
        <v>2160</v>
      </c>
      <c r="D203">
        <v>2</v>
      </c>
      <c r="E203">
        <v>0</v>
      </c>
      <c r="F203">
        <v>21282</v>
      </c>
    </row>
    <row r="204" spans="1:6" ht="12.75">
      <c r="A204" s="2">
        <v>43885.667280092588</v>
      </c>
      <c r="B204" t="str">
        <f>HYPERLINK("https://twitter.com/Yessicaku","@Yessicaku")</f>
        <v>@Yessicaku</v>
      </c>
      <c r="C204" t="s">
        <v>2091</v>
      </c>
      <c r="D204">
        <v>1348</v>
      </c>
      <c r="E204">
        <v>0</v>
      </c>
      <c r="F204">
        <v>243</v>
      </c>
    </row>
    <row r="205" spans="1:6" ht="12.75">
      <c r="A205" s="2">
        <v>43885.666979166665</v>
      </c>
      <c r="B205" t="str">
        <f>HYPERLINK("https://twitter.com/ratu_adil","@ratu_adil")</f>
        <v>@ratu_adil</v>
      </c>
      <c r="C205" t="s">
        <v>2268</v>
      </c>
      <c r="D205">
        <v>14</v>
      </c>
      <c r="E205">
        <v>0</v>
      </c>
      <c r="F205">
        <v>52864</v>
      </c>
    </row>
    <row r="206" spans="1:6" ht="12.75">
      <c r="A206" s="2">
        <v>43885.666585648149</v>
      </c>
      <c r="B206" t="str">
        <f>HYPERLINK("https://twitter.com/yashshukla13199","@yashshukla13199")</f>
        <v>@yashshukla13199</v>
      </c>
      <c r="C206" t="s">
        <v>2176</v>
      </c>
      <c r="D206">
        <v>2</v>
      </c>
      <c r="E206">
        <v>0</v>
      </c>
      <c r="F206">
        <v>131</v>
      </c>
    </row>
    <row r="207" spans="1:6" ht="12.75">
      <c r="A207" s="2">
        <v>43885.665543981479</v>
      </c>
      <c r="B207" t="str">
        <f>HYPERLINK("https://twitter.com/RAhyawari","@RAhyawari")</f>
        <v>@RAhyawari</v>
      </c>
      <c r="C207" t="s">
        <v>2269</v>
      </c>
      <c r="D207">
        <v>0</v>
      </c>
      <c r="E207">
        <v>0</v>
      </c>
      <c r="F207">
        <v>491</v>
      </c>
    </row>
    <row r="208" spans="1:6" ht="12.75">
      <c r="A208" s="2">
        <v>43885.665347222224</v>
      </c>
      <c r="B208" t="str">
        <f>HYPERLINK("https://twitter.com/tatos1956","@tatos1956")</f>
        <v>@tatos1956</v>
      </c>
      <c r="C208" t="s">
        <v>2270</v>
      </c>
      <c r="D208">
        <v>0</v>
      </c>
      <c r="E208">
        <v>0</v>
      </c>
      <c r="F208">
        <v>8</v>
      </c>
    </row>
    <row r="209" spans="1:6" ht="12.75">
      <c r="A209" s="2">
        <v>43885.665243055555</v>
      </c>
      <c r="B209" t="str">
        <f>HYPERLINK("https://twitter.com/ObaiIdon","@ObaiIdon")</f>
        <v>@ObaiIdon</v>
      </c>
      <c r="C209" t="s">
        <v>2271</v>
      </c>
      <c r="D209">
        <v>0</v>
      </c>
      <c r="E209">
        <v>0</v>
      </c>
      <c r="F209">
        <v>180</v>
      </c>
    </row>
    <row r="210" spans="1:6" ht="12.75">
      <c r="A210" s="2">
        <v>43885.665173611109</v>
      </c>
      <c r="B210" t="str">
        <f>HYPERLINK("https://twitter.com/timmymalachi","@timmymalachi")</f>
        <v>@timmymalachi</v>
      </c>
      <c r="C210" t="s">
        <v>2128</v>
      </c>
      <c r="D210">
        <v>8</v>
      </c>
      <c r="E210">
        <v>0</v>
      </c>
      <c r="F210">
        <v>4074</v>
      </c>
    </row>
    <row r="211" spans="1:6" ht="12.75">
      <c r="A211" s="2">
        <v>43885.664965277778</v>
      </c>
      <c r="B211" t="str">
        <f>HYPERLINK("https://twitter.com/herik3rn","@herik3rn")</f>
        <v>@herik3rn</v>
      </c>
      <c r="C211" t="s">
        <v>321</v>
      </c>
      <c r="D211">
        <v>1877</v>
      </c>
      <c r="E211">
        <v>0</v>
      </c>
      <c r="F211">
        <v>60</v>
      </c>
    </row>
    <row r="212" spans="1:6" ht="12.75">
      <c r="A212" s="2">
        <v>43885.664907407408</v>
      </c>
      <c r="B212" t="str">
        <f>HYPERLINK("https://twitter.com/norikimu","@norikimu")</f>
        <v>@norikimu</v>
      </c>
      <c r="C212" t="s">
        <v>321</v>
      </c>
      <c r="D212">
        <v>1877</v>
      </c>
      <c r="E212">
        <v>0</v>
      </c>
      <c r="F212">
        <v>880</v>
      </c>
    </row>
    <row r="213" spans="1:6" ht="12.75">
      <c r="A213" s="2">
        <v>43885.664675925931</v>
      </c>
      <c r="B213" t="str">
        <f>HYPERLINK("https://twitter.com/PanglimaSilihw1","@PanglimaSilihw1")</f>
        <v>@PanglimaSilihw1</v>
      </c>
      <c r="C213" t="s">
        <v>2091</v>
      </c>
      <c r="D213">
        <v>1348</v>
      </c>
      <c r="E213">
        <v>0</v>
      </c>
      <c r="F213">
        <v>32</v>
      </c>
    </row>
    <row r="214" spans="1:6" ht="12.75">
      <c r="A214" s="2">
        <v>43885.664513888885</v>
      </c>
      <c r="B214" t="str">
        <f>HYPERLINK("https://twitter.com/padangkitacom","@padangkitacom")</f>
        <v>@padangkitacom</v>
      </c>
      <c r="C214" t="s">
        <v>2272</v>
      </c>
      <c r="D214">
        <v>0</v>
      </c>
      <c r="E214">
        <v>0</v>
      </c>
      <c r="F214">
        <v>18650</v>
      </c>
    </row>
    <row r="215" spans="1:6" ht="12.75">
      <c r="A215" s="2">
        <v>43885.664224537039</v>
      </c>
      <c r="B215" t="str">
        <f>HYPERLINK("https://twitter.com/DOI_JAM","@DOI_JAM")</f>
        <v>@DOI_JAM</v>
      </c>
      <c r="C215" t="s">
        <v>2128</v>
      </c>
      <c r="D215">
        <v>8</v>
      </c>
      <c r="E215">
        <v>0</v>
      </c>
      <c r="F215">
        <v>4465</v>
      </c>
    </row>
    <row r="216" spans="1:6" ht="12.75">
      <c r="A216" s="2">
        <v>43885.664097222223</v>
      </c>
      <c r="B216" t="str">
        <f>HYPERLINK("https://twitter.com/milaseptianarac","@milaseptianarac")</f>
        <v>@milaseptianarac</v>
      </c>
      <c r="C216" t="s">
        <v>2091</v>
      </c>
      <c r="D216">
        <v>1348</v>
      </c>
      <c r="E216">
        <v>0</v>
      </c>
      <c r="F216">
        <v>411</v>
      </c>
    </row>
    <row r="217" spans="1:6" ht="12.75">
      <c r="A217" s="2">
        <v>43885.663888888885</v>
      </c>
      <c r="B217" t="str">
        <f>HYPERLINK("https://twitter.com/pantau_com","@pantau_com")</f>
        <v>@pantau_com</v>
      </c>
      <c r="C217" t="s">
        <v>2273</v>
      </c>
      <c r="D217">
        <v>0</v>
      </c>
      <c r="E217">
        <v>0</v>
      </c>
      <c r="F217">
        <v>2107</v>
      </c>
    </row>
    <row r="218" spans="1:6" ht="12.75">
      <c r="A218" s="2">
        <v>43885.66337962963</v>
      </c>
      <c r="B218" t="str">
        <f>HYPERLINK("https://twitter.com/soratouminoao","@soratouminoao")</f>
        <v>@soratouminoao</v>
      </c>
      <c r="C218" t="s">
        <v>738</v>
      </c>
      <c r="D218">
        <v>434</v>
      </c>
      <c r="E218">
        <v>0</v>
      </c>
      <c r="F218">
        <v>157</v>
      </c>
    </row>
    <row r="219" spans="1:6" ht="12.75">
      <c r="A219" s="2">
        <v>43885.66337962963</v>
      </c>
      <c r="B219" t="str">
        <f>HYPERLINK("https://twitter.com/DuPouvoirDachat","@DuPouvoirDachat")</f>
        <v>@DuPouvoirDachat</v>
      </c>
      <c r="C219" t="s">
        <v>2160</v>
      </c>
      <c r="D219">
        <v>2</v>
      </c>
      <c r="E219">
        <v>0</v>
      </c>
      <c r="F219">
        <v>6306</v>
      </c>
    </row>
    <row r="220" spans="1:6" ht="12.75">
      <c r="A220" s="2">
        <v>43885.662905092591</v>
      </c>
      <c r="B220" t="str">
        <f>HYPERLINK("https://twitter.com/soratouminoao","@soratouminoao")</f>
        <v>@soratouminoao</v>
      </c>
      <c r="C220" t="s">
        <v>321</v>
      </c>
      <c r="D220">
        <v>1877</v>
      </c>
      <c r="E220">
        <v>0</v>
      </c>
      <c r="F220">
        <v>157</v>
      </c>
    </row>
    <row r="221" spans="1:6" ht="12.75">
      <c r="A221" s="2">
        <v>43885.662418981483</v>
      </c>
      <c r="B221" t="str">
        <f>HYPERLINK("https://twitter.com/LuckyyyyM","@LuckyyyyM")</f>
        <v>@LuckyyyyM</v>
      </c>
      <c r="C221" t="s">
        <v>321</v>
      </c>
      <c r="D221">
        <v>1877</v>
      </c>
      <c r="E221">
        <v>0</v>
      </c>
      <c r="F221">
        <v>371</v>
      </c>
    </row>
    <row r="222" spans="1:6" ht="12.75">
      <c r="A222" s="2">
        <v>43885.662280092598</v>
      </c>
      <c r="B222" t="str">
        <f>HYPERLINK("https://twitter.com/Santuyboi","@Santuyboi")</f>
        <v>@Santuyboi</v>
      </c>
      <c r="C222" t="s">
        <v>2164</v>
      </c>
      <c r="D222">
        <v>1</v>
      </c>
      <c r="E222">
        <v>0</v>
      </c>
      <c r="F222">
        <v>257</v>
      </c>
    </row>
    <row r="223" spans="1:6" ht="12.75">
      <c r="A223" s="2">
        <v>43885.662187499998</v>
      </c>
      <c r="B223" t="str">
        <f>HYPERLINK("https://twitter.com/ndoetch","@ndoetch")</f>
        <v>@ndoetch</v>
      </c>
      <c r="C223" t="s">
        <v>2103</v>
      </c>
      <c r="D223">
        <v>92</v>
      </c>
      <c r="E223">
        <v>0</v>
      </c>
      <c r="F223">
        <v>1289</v>
      </c>
    </row>
    <row r="224" spans="1:6" ht="12.75">
      <c r="A224" s="2">
        <v>43885.662129629629</v>
      </c>
      <c r="B224" t="str">
        <f>HYPERLINK("https://twitter.com/dkurniawan","@dkurniawan")</f>
        <v>@dkurniawan</v>
      </c>
      <c r="C224" t="s">
        <v>2274</v>
      </c>
      <c r="D224">
        <v>0</v>
      </c>
      <c r="E224">
        <v>0</v>
      </c>
      <c r="F224">
        <v>1730</v>
      </c>
    </row>
    <row r="225" spans="1:6" ht="12.75">
      <c r="A225" s="2">
        <v>43885.661469907413</v>
      </c>
      <c r="B225" t="str">
        <f>HYPERLINK("https://twitter.com/netralnews","@netralnews")</f>
        <v>@netralnews</v>
      </c>
      <c r="C225" t="s">
        <v>2275</v>
      </c>
      <c r="D225">
        <v>2</v>
      </c>
      <c r="E225">
        <v>0</v>
      </c>
      <c r="F225">
        <v>1436</v>
      </c>
    </row>
    <row r="226" spans="1:6" ht="12.75">
      <c r="A226" s="2">
        <v>43885.661423611113</v>
      </c>
      <c r="B226" t="str">
        <f>HYPERLINK("https://twitter.com/JosephineFlora","@JosephineFlora")</f>
        <v>@JosephineFlora</v>
      </c>
      <c r="C226" t="s">
        <v>2276</v>
      </c>
      <c r="D226">
        <v>0</v>
      </c>
      <c r="E226">
        <v>0</v>
      </c>
      <c r="F226">
        <v>1393</v>
      </c>
    </row>
    <row r="227" spans="1:6" ht="12.75">
      <c r="A227" s="2">
        <v>43885.661365740743</v>
      </c>
      <c r="B227" t="str">
        <f>HYPERLINK("https://twitter.com/ryuiha","@ryuiha")</f>
        <v>@ryuiha</v>
      </c>
      <c r="C227" t="s">
        <v>321</v>
      </c>
      <c r="D227">
        <v>1877</v>
      </c>
      <c r="E227">
        <v>0</v>
      </c>
      <c r="F227">
        <v>87</v>
      </c>
    </row>
    <row r="228" spans="1:6" ht="12.75">
      <c r="A228" s="2">
        <v>43885.661307870367</v>
      </c>
      <c r="B228" t="str">
        <f>HYPERLINK("https://twitter.com/cracklier","@cracklier")</f>
        <v>@cracklier</v>
      </c>
      <c r="C228" t="s">
        <v>2176</v>
      </c>
      <c r="D228">
        <v>2</v>
      </c>
      <c r="E228">
        <v>0</v>
      </c>
      <c r="F228">
        <v>7352</v>
      </c>
    </row>
    <row r="229" spans="1:6" ht="12.75">
      <c r="A229" s="2">
        <v>43885.661087962959</v>
      </c>
      <c r="B229" t="str">
        <f>HYPERLINK("https://twitter.com/MusRules","@MusRules")</f>
        <v>@MusRules</v>
      </c>
      <c r="C229" t="s">
        <v>2277</v>
      </c>
      <c r="D229">
        <v>0</v>
      </c>
      <c r="E229">
        <v>0</v>
      </c>
      <c r="F229">
        <v>947</v>
      </c>
    </row>
    <row r="230" spans="1:6" ht="12.75">
      <c r="A230" s="2">
        <v>43885.660821759258</v>
      </c>
      <c r="B230" t="str">
        <f>HYPERLINK("https://twitter.com/agustiawanjody","@agustiawanjody")</f>
        <v>@agustiawanjody</v>
      </c>
      <c r="C230" t="s">
        <v>321</v>
      </c>
      <c r="D230">
        <v>1877</v>
      </c>
      <c r="E230">
        <v>0</v>
      </c>
      <c r="F230">
        <v>5</v>
      </c>
    </row>
    <row r="231" spans="1:6" ht="12.75">
      <c r="A231" s="2">
        <v>43885.660671296297</v>
      </c>
      <c r="B231" t="str">
        <f>HYPERLINK("https://twitter.com/chisyakun","@chisyakun")</f>
        <v>@chisyakun</v>
      </c>
      <c r="C231" t="s">
        <v>321</v>
      </c>
      <c r="D231">
        <v>1877</v>
      </c>
      <c r="E231">
        <v>0</v>
      </c>
      <c r="F231">
        <v>184</v>
      </c>
    </row>
    <row r="232" spans="1:6" ht="12.75">
      <c r="A232" s="2">
        <v>43885.660532407404</v>
      </c>
      <c r="B232" t="str">
        <f>HYPERLINK("https://twitter.com/akiakiharumaki","@akiakiharumaki")</f>
        <v>@akiakiharumaki</v>
      </c>
      <c r="C232" t="s">
        <v>738</v>
      </c>
      <c r="D232">
        <v>434</v>
      </c>
      <c r="E232">
        <v>0</v>
      </c>
      <c r="F232">
        <v>177</v>
      </c>
    </row>
    <row r="233" spans="1:6" ht="12.75">
      <c r="A233" s="2">
        <v>43885.66033564815</v>
      </c>
      <c r="B233" t="str">
        <f>HYPERLINK("https://twitter.com/Beritasatu","@Beritasatu")</f>
        <v>@Beritasatu</v>
      </c>
      <c r="C233" t="s">
        <v>2278</v>
      </c>
      <c r="D233">
        <v>1</v>
      </c>
      <c r="E233">
        <v>2</v>
      </c>
      <c r="F233">
        <v>615720</v>
      </c>
    </row>
    <row r="234" spans="1:6" ht="12.75">
      <c r="A234" s="2">
        <v>43885.66002314815</v>
      </c>
      <c r="B234" t="str">
        <f>HYPERLINK("https://twitter.com/AkuRobot10","@AkuRobot10")</f>
        <v>@AkuRobot10</v>
      </c>
      <c r="C234" t="s">
        <v>2279</v>
      </c>
      <c r="D234">
        <v>0</v>
      </c>
      <c r="E234">
        <v>0</v>
      </c>
      <c r="F234">
        <v>139</v>
      </c>
    </row>
    <row r="235" spans="1:6" ht="12.75">
      <c r="A235" s="2">
        <v>43885.660011574073</v>
      </c>
      <c r="B235" t="str">
        <f>HYPERLINK("https://twitter.com/nadiahehe","@nadiahehe")</f>
        <v>@nadiahehe</v>
      </c>
      <c r="C235" t="s">
        <v>321</v>
      </c>
      <c r="D235">
        <v>1877</v>
      </c>
      <c r="E235">
        <v>0</v>
      </c>
      <c r="F235">
        <v>524</v>
      </c>
    </row>
    <row r="236" spans="1:6" ht="12.75">
      <c r="A236" s="2">
        <v>43885.659953703704</v>
      </c>
      <c r="B236" t="str">
        <f>HYPERLINK("https://twitter.com/Rp2juta","@Rp2juta")</f>
        <v>@Rp2juta</v>
      </c>
      <c r="C236" t="s">
        <v>2091</v>
      </c>
      <c r="D236">
        <v>1348</v>
      </c>
      <c r="E236">
        <v>0</v>
      </c>
      <c r="F236">
        <v>148</v>
      </c>
    </row>
    <row r="237" spans="1:6" ht="12.75">
      <c r="A237" s="2">
        <v>43885.659861111111</v>
      </c>
      <c r="B237" t="str">
        <f>HYPERLINK("https://twitter.com/VrushantM","@VrushantM")</f>
        <v>@VrushantM</v>
      </c>
      <c r="C237" t="s">
        <v>2280</v>
      </c>
      <c r="D237">
        <v>2</v>
      </c>
      <c r="E237">
        <v>5</v>
      </c>
      <c r="F237">
        <v>3585</v>
      </c>
    </row>
    <row r="238" spans="1:6" ht="12.75">
      <c r="A238" s="2">
        <v>43885.659548611111</v>
      </c>
      <c r="B238" t="str">
        <f>HYPERLINK("https://twitter.com/Abee43979446","@Abee43979446")</f>
        <v>@Abee43979446</v>
      </c>
      <c r="C238" t="s">
        <v>2281</v>
      </c>
      <c r="D238">
        <v>0</v>
      </c>
      <c r="E238">
        <v>0</v>
      </c>
      <c r="F238">
        <v>1</v>
      </c>
    </row>
    <row r="239" spans="1:6" ht="12.75">
      <c r="A239" s="2">
        <v>43885.659525462965</v>
      </c>
      <c r="B239" t="str">
        <f>HYPERLINK("https://twitter.com/shizushizu0224","@shizushizu0224")</f>
        <v>@shizushizu0224</v>
      </c>
      <c r="C239" t="s">
        <v>738</v>
      </c>
      <c r="D239">
        <v>434</v>
      </c>
      <c r="E239">
        <v>0</v>
      </c>
      <c r="F239">
        <v>315</v>
      </c>
    </row>
    <row r="240" spans="1:6" ht="12.75">
      <c r="A240" s="2">
        <v>43885.659467592588</v>
      </c>
      <c r="B240" t="str">
        <f>HYPERLINK("https://twitter.com/retno000000","@retno000000")</f>
        <v>@retno000000</v>
      </c>
      <c r="C240" t="s">
        <v>2091</v>
      </c>
      <c r="D240">
        <v>1348</v>
      </c>
      <c r="E240">
        <v>0</v>
      </c>
      <c r="F240">
        <v>9</v>
      </c>
    </row>
    <row r="241" spans="1:6" ht="12.75">
      <c r="A241" s="2">
        <v>43885.65924768518</v>
      </c>
      <c r="B241" t="str">
        <f>HYPERLINK("https://twitter.com/Yantidaryanti","@Yantidaryanti")</f>
        <v>@Yantidaryanti</v>
      </c>
      <c r="C241" t="s">
        <v>321</v>
      </c>
      <c r="D241">
        <v>1877</v>
      </c>
      <c r="E241">
        <v>0</v>
      </c>
      <c r="F241">
        <v>1427</v>
      </c>
    </row>
    <row r="242" spans="1:6" ht="12.75">
      <c r="A242" s="2">
        <v>43885.659212962964</v>
      </c>
      <c r="B242" t="str">
        <f>HYPERLINK("https://twitter.com/Reta3383","@Reta3383")</f>
        <v>@Reta3383</v>
      </c>
      <c r="C242" t="s">
        <v>2091</v>
      </c>
      <c r="D242">
        <v>1348</v>
      </c>
      <c r="E242">
        <v>0</v>
      </c>
      <c r="F242">
        <v>26</v>
      </c>
    </row>
    <row r="243" spans="1:6" ht="12.75">
      <c r="A243" s="2">
        <v>43885.659166666665</v>
      </c>
      <c r="B243" t="str">
        <f>HYPERLINK("https://twitter.com/kekekapaya","@kekekapaya")</f>
        <v>@kekekapaya</v>
      </c>
      <c r="C243" t="s">
        <v>2282</v>
      </c>
      <c r="D243">
        <v>0</v>
      </c>
      <c r="E243">
        <v>0</v>
      </c>
      <c r="F243">
        <v>63</v>
      </c>
    </row>
    <row r="244" spans="1:6" ht="12.75">
      <c r="A244" s="2">
        <v>43885.658831018518</v>
      </c>
      <c r="B244" t="str">
        <f>HYPERLINK("https://twitter.com/RoyNasu63702098","@RoyNasu63702098")</f>
        <v>@RoyNasu63702098</v>
      </c>
      <c r="C244" t="s">
        <v>2283</v>
      </c>
      <c r="D244">
        <v>1</v>
      </c>
      <c r="E244">
        <v>0</v>
      </c>
      <c r="F244">
        <v>266</v>
      </c>
    </row>
    <row r="245" spans="1:6" ht="12.75">
      <c r="A245" s="2">
        <v>43885.658796296295</v>
      </c>
      <c r="B245" t="str">
        <f>HYPERLINK("https://twitter.com/PanritaNews","@PanritaNews")</f>
        <v>@PanritaNews</v>
      </c>
      <c r="C245" t="s">
        <v>2284</v>
      </c>
      <c r="D245">
        <v>0</v>
      </c>
      <c r="E245">
        <v>0</v>
      </c>
      <c r="F245">
        <v>540</v>
      </c>
    </row>
    <row r="246" spans="1:6" ht="12.75">
      <c r="A246" s="2">
        <v>43885.658668981487</v>
      </c>
      <c r="B246" t="str">
        <f>HYPERLINK("https://twitter.com/onoda_oyanz","@onoda_oyanz")</f>
        <v>@onoda_oyanz</v>
      </c>
      <c r="C246" t="s">
        <v>321</v>
      </c>
      <c r="D246">
        <v>1877</v>
      </c>
      <c r="E246">
        <v>0</v>
      </c>
      <c r="F246">
        <v>1195</v>
      </c>
    </row>
    <row r="247" spans="1:6" ht="12.75">
      <c r="A247" s="2">
        <v>43885.658564814818</v>
      </c>
      <c r="B247" t="str">
        <f>HYPERLINK("https://twitter.com/RoyNasu63702098","@RoyNasu63702098")</f>
        <v>@RoyNasu63702098</v>
      </c>
      <c r="C247" t="s">
        <v>2285</v>
      </c>
      <c r="D247">
        <v>1</v>
      </c>
      <c r="E247">
        <v>3</v>
      </c>
      <c r="F247">
        <v>266</v>
      </c>
    </row>
    <row r="248" spans="1:6" ht="12.75">
      <c r="A248" s="2">
        <v>43885.658541666664</v>
      </c>
      <c r="B248" t="str">
        <f>HYPERLINK("https://twitter.com/umaremania87","@umaremania87")</f>
        <v>@umaremania87</v>
      </c>
      <c r="C248" t="s">
        <v>2286</v>
      </c>
      <c r="D248">
        <v>1</v>
      </c>
      <c r="E248">
        <v>0</v>
      </c>
      <c r="F248">
        <v>316</v>
      </c>
    </row>
    <row r="249" spans="1:6" ht="12.75">
      <c r="A249" s="2">
        <v>43885.658483796295</v>
      </c>
      <c r="B249" t="str">
        <f t="shared" ref="B249:B250" si="7">HYPERLINK("https://twitter.com/UmyRina","@UmyRina")</f>
        <v>@UmyRina</v>
      </c>
      <c r="C249" t="s">
        <v>2287</v>
      </c>
      <c r="D249">
        <v>0</v>
      </c>
      <c r="E249">
        <v>0</v>
      </c>
      <c r="F249">
        <v>357</v>
      </c>
    </row>
    <row r="250" spans="1:6" ht="12.75">
      <c r="A250" s="2">
        <v>43885.658483796295</v>
      </c>
      <c r="B250" t="str">
        <f t="shared" si="7"/>
        <v>@UmyRina</v>
      </c>
      <c r="C250" t="s">
        <v>2288</v>
      </c>
      <c r="D250">
        <v>0</v>
      </c>
      <c r="E250">
        <v>0</v>
      </c>
      <c r="F250">
        <v>357</v>
      </c>
    </row>
    <row r="251" spans="1:6" ht="12.75">
      <c r="A251" s="2">
        <v>43885.658113425925</v>
      </c>
      <c r="B251" t="str">
        <f>HYPERLINK("https://twitter.com/DedySuwadha","@DedySuwadha")</f>
        <v>@DedySuwadha</v>
      </c>
      <c r="C251" t="s">
        <v>2289</v>
      </c>
      <c r="D251">
        <v>0</v>
      </c>
      <c r="E251">
        <v>0</v>
      </c>
      <c r="F251">
        <v>1876</v>
      </c>
    </row>
    <row r="252" spans="1:6" ht="12.75">
      <c r="A252" s="2">
        <v>43885.657465277778</v>
      </c>
      <c r="B252" t="str">
        <f>HYPERLINK("https://twitter.com/KeyshaAdinda5","@KeyshaAdinda5")</f>
        <v>@KeyshaAdinda5</v>
      </c>
      <c r="C252" t="s">
        <v>2158</v>
      </c>
      <c r="D252">
        <v>9</v>
      </c>
      <c r="E252">
        <v>0</v>
      </c>
      <c r="F252">
        <v>4487</v>
      </c>
    </row>
    <row r="253" spans="1:6" ht="12.75">
      <c r="A253" s="2">
        <v>43885.656782407408</v>
      </c>
      <c r="B253" t="str">
        <f>HYPERLINK("https://twitter.com/LexTaxConsult","@LexTaxConsult")</f>
        <v>@LexTaxConsult</v>
      </c>
      <c r="C253" t="s">
        <v>2091</v>
      </c>
      <c r="D253">
        <v>1348</v>
      </c>
      <c r="E253">
        <v>0</v>
      </c>
      <c r="F253">
        <v>2</v>
      </c>
    </row>
    <row r="254" spans="1:6" ht="12.75">
      <c r="A254" s="2">
        <v>43885.656701388885</v>
      </c>
      <c r="B254" t="str">
        <f>HYPERLINK("https://twitter.com/r2rBhVIuCGakJwv","@r2rBhVIuCGakJwv")</f>
        <v>@r2rBhVIuCGakJwv</v>
      </c>
      <c r="C254" t="s">
        <v>321</v>
      </c>
      <c r="D254">
        <v>1877</v>
      </c>
      <c r="E254">
        <v>0</v>
      </c>
      <c r="F254">
        <v>220</v>
      </c>
    </row>
    <row r="255" spans="1:6" ht="12.75">
      <c r="A255" s="2">
        <v>43885.656666666662</v>
      </c>
      <c r="B255" t="str">
        <f>HYPERLINK("https://twitter.com/vera_a_puspita","@vera_a_puspita")</f>
        <v>@vera_a_puspita</v>
      </c>
      <c r="C255" t="s">
        <v>2290</v>
      </c>
      <c r="D255">
        <v>0</v>
      </c>
      <c r="E255">
        <v>0</v>
      </c>
      <c r="F255">
        <v>145</v>
      </c>
    </row>
    <row r="256" spans="1:6" ht="12.75">
      <c r="A256" s="2">
        <v>43885.656319444446</v>
      </c>
      <c r="B256" t="str">
        <f>HYPERLINK("https://twitter.com/Dreamcoid","@Dreamcoid")</f>
        <v>@Dreamcoid</v>
      </c>
      <c r="C256" t="s">
        <v>2291</v>
      </c>
      <c r="D256">
        <v>0</v>
      </c>
      <c r="E256">
        <v>0</v>
      </c>
      <c r="F256">
        <v>11583</v>
      </c>
    </row>
    <row r="257" spans="1:6" ht="12.75">
      <c r="A257" s="2">
        <v>43885.656296296293</v>
      </c>
      <c r="B257" t="str">
        <f>HYPERLINK("https://twitter.com/tvxq5wait","@tvxq5wait")</f>
        <v>@tvxq5wait</v>
      </c>
      <c r="C257" t="s">
        <v>738</v>
      </c>
      <c r="D257">
        <v>434</v>
      </c>
      <c r="E257">
        <v>0</v>
      </c>
      <c r="F257">
        <v>45</v>
      </c>
    </row>
    <row r="258" spans="1:6" ht="12.75">
      <c r="A258" s="2">
        <v>43885.655659722222</v>
      </c>
      <c r="B258" t="str">
        <f>HYPERLINK("https://twitter.com/joswito","@joswito")</f>
        <v>@joswito</v>
      </c>
      <c r="C258" t="s">
        <v>2292</v>
      </c>
      <c r="D258">
        <v>0</v>
      </c>
      <c r="E258">
        <v>0</v>
      </c>
      <c r="F258">
        <v>1247</v>
      </c>
    </row>
    <row r="259" spans="1:6" ht="12.75">
      <c r="A259" s="2">
        <v>43885.655601851853</v>
      </c>
      <c r="B259" t="str">
        <f>HYPERLINK("https://twitter.com/kompascom","@kompascom")</f>
        <v>@kompascom</v>
      </c>
      <c r="C259" t="s">
        <v>2293</v>
      </c>
      <c r="D259">
        <v>1</v>
      </c>
      <c r="E259">
        <v>0</v>
      </c>
      <c r="F259">
        <v>7510354</v>
      </c>
    </row>
    <row r="260" spans="1:6" ht="12.75">
      <c r="A260" s="2">
        <v>43885.655347222222</v>
      </c>
      <c r="B260" t="str">
        <f>HYPERLINK("https://twitter.com/esterfms","@esterfms")</f>
        <v>@esterfms</v>
      </c>
      <c r="C260" t="s">
        <v>321</v>
      </c>
      <c r="D260">
        <v>1877</v>
      </c>
      <c r="E260">
        <v>0</v>
      </c>
      <c r="F260">
        <v>556</v>
      </c>
    </row>
    <row r="261" spans="1:6" ht="12.75">
      <c r="A261" s="2">
        <v>43885.654826388884</v>
      </c>
      <c r="B261" t="str">
        <f>HYPERLINK("https://twitter.com/buruhmigran","@buruhmigran")</f>
        <v>@buruhmigran</v>
      </c>
      <c r="C261" t="s">
        <v>2294</v>
      </c>
      <c r="D261">
        <v>0</v>
      </c>
      <c r="E261">
        <v>0</v>
      </c>
      <c r="F261">
        <v>174</v>
      </c>
    </row>
    <row r="262" spans="1:6" ht="12.75">
      <c r="A262" s="2">
        <v>43885.654814814814</v>
      </c>
      <c r="B262" t="str">
        <f>HYPERLINK("https://twitter.com/setkabgoid","@setkabgoid")</f>
        <v>@setkabgoid</v>
      </c>
      <c r="C262" t="s">
        <v>2177</v>
      </c>
      <c r="D262">
        <v>0</v>
      </c>
      <c r="E262">
        <v>5</v>
      </c>
      <c r="F262">
        <v>1027100</v>
      </c>
    </row>
    <row r="263" spans="1:6" ht="12.75">
      <c r="A263" s="2">
        <v>43885.654664351852</v>
      </c>
      <c r="B263" t="str">
        <f>HYPERLINK("https://twitter.com/ElshintaTegal_","@ElshintaTegal_")</f>
        <v>@ElshintaTegal_</v>
      </c>
      <c r="C263" t="s">
        <v>2295</v>
      </c>
      <c r="D263">
        <v>1</v>
      </c>
      <c r="E263">
        <v>0</v>
      </c>
      <c r="F263">
        <v>33</v>
      </c>
    </row>
    <row r="264" spans="1:6" ht="12.75">
      <c r="A264" s="2">
        <v>43885.654386574075</v>
      </c>
      <c r="B264" t="str">
        <f>HYPERLINK("https://twitter.com/setkabgoid","@setkabgoid")</f>
        <v>@setkabgoid</v>
      </c>
      <c r="C264" t="s">
        <v>2157</v>
      </c>
      <c r="D264">
        <v>0</v>
      </c>
      <c r="E264">
        <v>1</v>
      </c>
      <c r="F264">
        <v>1027100</v>
      </c>
    </row>
    <row r="265" spans="1:6" ht="12.75">
      <c r="A265" s="2">
        <v>43885.653171296297</v>
      </c>
      <c r="B265" t="str">
        <f>HYPERLINK("https://twitter.com/FerdinandHaean2","@FerdinandHaean2")</f>
        <v>@FerdinandHaean2</v>
      </c>
      <c r="C265" t="s">
        <v>2296</v>
      </c>
      <c r="D265">
        <v>1</v>
      </c>
      <c r="E265">
        <v>9</v>
      </c>
      <c r="F265">
        <v>46570</v>
      </c>
    </row>
    <row r="266" spans="1:6" ht="12.75">
      <c r="A266" s="2">
        <v>43885.652905092589</v>
      </c>
      <c r="B266" t="str">
        <f t="shared" ref="B266:B267" si="8">HYPERLINK("https://twitter.com/covesiacom","@covesiacom")</f>
        <v>@covesiacom</v>
      </c>
      <c r="C266" t="s">
        <v>2297</v>
      </c>
      <c r="D266">
        <v>0</v>
      </c>
      <c r="E266">
        <v>0</v>
      </c>
      <c r="F266">
        <v>6177</v>
      </c>
    </row>
    <row r="267" spans="1:6" ht="12.75">
      <c r="A267" s="2">
        <v>43885.652870370366</v>
      </c>
      <c r="B267" t="str">
        <f t="shared" si="8"/>
        <v>@covesiacom</v>
      </c>
      <c r="C267" t="s">
        <v>2298</v>
      </c>
      <c r="D267">
        <v>0</v>
      </c>
      <c r="E267">
        <v>0</v>
      </c>
      <c r="F267">
        <v>6177</v>
      </c>
    </row>
    <row r="268" spans="1:6" ht="12.75">
      <c r="A268" s="2">
        <v>43885.652870370366</v>
      </c>
      <c r="B268" t="str">
        <f>HYPERLINK("https://twitter.com/GRLM1707","@GRLM1707")</f>
        <v>@GRLM1707</v>
      </c>
      <c r="C268" t="s">
        <v>2299</v>
      </c>
      <c r="D268">
        <v>0</v>
      </c>
      <c r="E268">
        <v>0</v>
      </c>
      <c r="F268">
        <v>4</v>
      </c>
    </row>
    <row r="269" spans="1:6" ht="12.75">
      <c r="A269" s="2">
        <v>43885.652858796297</v>
      </c>
      <c r="B269" t="str">
        <f>HYPERLINK("https://twitter.com/covesiacom","@covesiacom")</f>
        <v>@covesiacom</v>
      </c>
      <c r="C269" t="s">
        <v>2300</v>
      </c>
      <c r="D269">
        <v>0</v>
      </c>
      <c r="E269">
        <v>0</v>
      </c>
      <c r="F269">
        <v>6177</v>
      </c>
    </row>
    <row r="270" spans="1:6" ht="12.75">
      <c r="A270" s="2">
        <v>43885.652604166666</v>
      </c>
      <c r="B270" t="str">
        <f>HYPERLINK("https://twitter.com/Chi_aquarius","@Chi_aquarius")</f>
        <v>@Chi_aquarius</v>
      </c>
      <c r="C270" t="s">
        <v>321</v>
      </c>
      <c r="D270">
        <v>1877</v>
      </c>
      <c r="E270">
        <v>0</v>
      </c>
      <c r="F270">
        <v>458</v>
      </c>
    </row>
    <row r="271" spans="1:6" ht="12.75">
      <c r="A271" s="2">
        <v>43885.652581018519</v>
      </c>
      <c r="B271" t="str">
        <f>HYPERLINK("https://twitter.com/zxcvbn7531","@zxcvbn7531")</f>
        <v>@zxcvbn7531</v>
      </c>
      <c r="C271" t="s">
        <v>321</v>
      </c>
      <c r="D271">
        <v>1877</v>
      </c>
      <c r="E271">
        <v>0</v>
      </c>
      <c r="F271">
        <v>869</v>
      </c>
    </row>
    <row r="272" spans="1:6" ht="12.75">
      <c r="A272" s="2">
        <v>43885.652303240742</v>
      </c>
      <c r="B272" t="str">
        <f>HYPERLINK("https://twitter.com/thayyyyya","@thayyyyya")</f>
        <v>@thayyyyya</v>
      </c>
      <c r="C272" t="s">
        <v>2301</v>
      </c>
      <c r="D272">
        <v>0</v>
      </c>
      <c r="E272">
        <v>0</v>
      </c>
      <c r="F272">
        <v>289</v>
      </c>
    </row>
    <row r="273" spans="1:6" ht="12.75">
      <c r="A273" s="2">
        <v>43885.652303240742</v>
      </c>
      <c r="B273" t="str">
        <f>HYPERLINK("https://twitter.com/ayumisan2014","@ayumisan2014")</f>
        <v>@ayumisan2014</v>
      </c>
      <c r="C273" t="s">
        <v>321</v>
      </c>
      <c r="D273">
        <v>1877</v>
      </c>
      <c r="E273">
        <v>0</v>
      </c>
      <c r="F273">
        <v>1251</v>
      </c>
    </row>
    <row r="274" spans="1:6" ht="12.75">
      <c r="A274" s="2">
        <v>43885.652245370366</v>
      </c>
      <c r="B274" t="str">
        <f>HYPERLINK("https://twitter.com/IdriyeniI","@IdriyeniI")</f>
        <v>@IdriyeniI</v>
      </c>
      <c r="C274" t="s">
        <v>2091</v>
      </c>
      <c r="D274">
        <v>1348</v>
      </c>
      <c r="E274">
        <v>0</v>
      </c>
      <c r="F274">
        <v>1138</v>
      </c>
    </row>
    <row r="275" spans="1:6" ht="12.75">
      <c r="A275" s="2">
        <v>43885.651990740742</v>
      </c>
      <c r="B275" t="str">
        <f>HYPERLINK("https://twitter.com/tsurumaru1889","@tsurumaru1889")</f>
        <v>@tsurumaru1889</v>
      </c>
      <c r="C275" t="s">
        <v>321</v>
      </c>
      <c r="D275">
        <v>1877</v>
      </c>
      <c r="E275">
        <v>0</v>
      </c>
      <c r="F275">
        <v>129</v>
      </c>
    </row>
    <row r="276" spans="1:6" ht="12.75">
      <c r="A276" s="2">
        <v>43885.651979166665</v>
      </c>
      <c r="B276" t="str">
        <f>HYPERLINK("https://twitter.com/Ruslanuyeah","@Ruslanuyeah")</f>
        <v>@Ruslanuyeah</v>
      </c>
      <c r="C276" t="s">
        <v>2302</v>
      </c>
      <c r="D276">
        <v>5</v>
      </c>
      <c r="E276">
        <v>0</v>
      </c>
      <c r="F276">
        <v>502</v>
      </c>
    </row>
    <row r="277" spans="1:6" ht="12.75">
      <c r="A277" s="2">
        <v>43885.651886574073</v>
      </c>
      <c r="B277" t="str">
        <f>HYPERLINK("https://twitter.com/NawacitaP","@NawacitaP")</f>
        <v>@NawacitaP</v>
      </c>
      <c r="C277" t="s">
        <v>2303</v>
      </c>
      <c r="D277">
        <v>0</v>
      </c>
      <c r="E277">
        <v>0</v>
      </c>
      <c r="F277">
        <v>113</v>
      </c>
    </row>
    <row r="278" spans="1:6" ht="12.75">
      <c r="A278" s="2">
        <v>43885.651770833334</v>
      </c>
      <c r="B278" t="str">
        <f>HYPERLINK("https://twitter.com/katakinidotcom","@katakinidotcom")</f>
        <v>@katakinidotcom</v>
      </c>
      <c r="C278" t="s">
        <v>2304</v>
      </c>
      <c r="D278">
        <v>0</v>
      </c>
      <c r="E278">
        <v>0</v>
      </c>
      <c r="F278">
        <v>571</v>
      </c>
    </row>
    <row r="279" spans="1:6" ht="12.75">
      <c r="A279" s="2">
        <v>43885.65152777778</v>
      </c>
      <c r="B279" t="str">
        <f>HYPERLINK("https://twitter.com/arfstwn1307","@arfstwn1307")</f>
        <v>@arfstwn1307</v>
      </c>
      <c r="C279" t="s">
        <v>2305</v>
      </c>
      <c r="D279">
        <v>0</v>
      </c>
      <c r="E279">
        <v>0</v>
      </c>
      <c r="F279">
        <v>22</v>
      </c>
    </row>
    <row r="280" spans="1:6" ht="12.75">
      <c r="A280" s="2">
        <v>43885.65152777778</v>
      </c>
      <c r="B280" t="str">
        <f>HYPERLINK("https://twitter.com/joe_awang","@joe_awang")</f>
        <v>@joe_awang</v>
      </c>
      <c r="C280" t="s">
        <v>2103</v>
      </c>
      <c r="D280">
        <v>92</v>
      </c>
      <c r="E280">
        <v>0</v>
      </c>
      <c r="F280">
        <v>482</v>
      </c>
    </row>
    <row r="281" spans="1:6" ht="12.75">
      <c r="A281" s="2">
        <v>43885.65143518518</v>
      </c>
      <c r="B281" t="str">
        <f>HYPERLINK("https://twitter.com/MudasirRomini","@MudasirRomini")</f>
        <v>@MudasirRomini</v>
      </c>
      <c r="C281" t="s">
        <v>2306</v>
      </c>
      <c r="D281">
        <v>0</v>
      </c>
      <c r="E281">
        <v>0</v>
      </c>
      <c r="F281">
        <v>7620</v>
      </c>
    </row>
    <row r="282" spans="1:6" ht="12.75">
      <c r="A282" s="2">
        <v>43885.651354166665</v>
      </c>
      <c r="B282" t="str">
        <f>HYPERLINK("https://twitter.com/Setiaguna111","@Setiaguna111")</f>
        <v>@Setiaguna111</v>
      </c>
      <c r="C282" t="s">
        <v>2307</v>
      </c>
      <c r="D282">
        <v>0</v>
      </c>
      <c r="E282">
        <v>0</v>
      </c>
      <c r="F282">
        <v>8</v>
      </c>
    </row>
    <row r="283" spans="1:6" ht="12.75">
      <c r="A283" s="2">
        <v>43885.650729166664</v>
      </c>
      <c r="B283" t="str">
        <f>HYPERLINK("https://twitter.com/Baliantaranews","@Baliantaranews")</f>
        <v>@Baliantaranews</v>
      </c>
      <c r="C283" t="s">
        <v>2308</v>
      </c>
      <c r="D283">
        <v>1</v>
      </c>
      <c r="E283">
        <v>0</v>
      </c>
      <c r="F283">
        <v>736</v>
      </c>
    </row>
    <row r="284" spans="1:6" ht="12.75">
      <c r="A284" s="2">
        <v>43885.650671296295</v>
      </c>
      <c r="B284" t="str">
        <f>HYPERLINK("https://twitter.com/MadengIkhwnsyh","@MadengIkhwnsyh")</f>
        <v>@MadengIkhwnsyh</v>
      </c>
      <c r="C284" t="s">
        <v>2309</v>
      </c>
      <c r="D284">
        <v>0</v>
      </c>
      <c r="E284">
        <v>0</v>
      </c>
      <c r="F284">
        <v>380</v>
      </c>
    </row>
    <row r="285" spans="1:6" ht="12.75">
      <c r="A285" s="2">
        <v>43885.65042824074</v>
      </c>
      <c r="B285" t="str">
        <f>HYPERLINK("https://twitter.com/kabarpolitik","@kabarpolitik")</f>
        <v>@kabarpolitik</v>
      </c>
      <c r="C285" t="s">
        <v>2310</v>
      </c>
      <c r="D285">
        <v>0</v>
      </c>
      <c r="E285">
        <v>0</v>
      </c>
      <c r="F285">
        <v>16785</v>
      </c>
    </row>
    <row r="286" spans="1:6" ht="12.75">
      <c r="A286" s="2">
        <v>43885.650381944448</v>
      </c>
      <c r="B286" t="str">
        <f>HYPERLINK("https://twitter.com/antaranews_bali","@antaranews_bali")</f>
        <v>@antaranews_bali</v>
      </c>
      <c r="C286" t="s">
        <v>2311</v>
      </c>
      <c r="D286">
        <v>1</v>
      </c>
      <c r="E286">
        <v>0</v>
      </c>
      <c r="F286">
        <v>4927</v>
      </c>
    </row>
    <row r="287" spans="1:6" ht="12.75">
      <c r="A287" s="2">
        <v>43885.650208333333</v>
      </c>
      <c r="B287" t="str">
        <f>HYPERLINK("https://twitter.com/zkyhna_","@zkyhna_")</f>
        <v>@zkyhna_</v>
      </c>
      <c r="C287" t="s">
        <v>2312</v>
      </c>
      <c r="D287">
        <v>0</v>
      </c>
      <c r="E287">
        <v>1</v>
      </c>
      <c r="F287">
        <v>120</v>
      </c>
    </row>
    <row r="288" spans="1:6" ht="12.75">
      <c r="A288" s="2">
        <v>43885.650081018517</v>
      </c>
      <c r="B288" t="str">
        <f>HYPERLINK("https://twitter.com/kabarpol","@kabarpol")</f>
        <v>@kabarpol</v>
      </c>
      <c r="C288" t="s">
        <v>2310</v>
      </c>
      <c r="D288">
        <v>0</v>
      </c>
      <c r="E288">
        <v>0</v>
      </c>
      <c r="F288">
        <v>52</v>
      </c>
    </row>
    <row r="289" spans="1:6" ht="12.75">
      <c r="A289" s="2">
        <v>43885.650011574078</v>
      </c>
      <c r="B289" t="str">
        <f>HYPERLINK("https://twitter.com/kabarpolitik","@kabarpolitik")</f>
        <v>@kabarpolitik</v>
      </c>
      <c r="C289" t="s">
        <v>2310</v>
      </c>
      <c r="D289">
        <v>0</v>
      </c>
      <c r="E289">
        <v>0</v>
      </c>
      <c r="F289">
        <v>16785</v>
      </c>
    </row>
    <row r="290" spans="1:6" ht="12.75">
      <c r="A290" s="2">
        <v>43885.649942129632</v>
      </c>
      <c r="B290" t="str">
        <f>HYPERLINK("https://twitter.com/gestabe","@gestabe")</f>
        <v>@gestabe</v>
      </c>
      <c r="C290" t="s">
        <v>2313</v>
      </c>
      <c r="D290">
        <v>3</v>
      </c>
      <c r="E290">
        <v>0</v>
      </c>
      <c r="F290">
        <v>75</v>
      </c>
    </row>
    <row r="291" spans="1:6" ht="12.75">
      <c r="A291" s="2">
        <v>43885.648946759262</v>
      </c>
      <c r="B291" t="str">
        <f>HYPERLINK("https://twitter.com/Vendra_Deje","@Vendra_Deje")</f>
        <v>@Vendra_Deje</v>
      </c>
      <c r="C291" t="s">
        <v>2158</v>
      </c>
      <c r="D291">
        <v>9</v>
      </c>
      <c r="E291">
        <v>0</v>
      </c>
      <c r="F291">
        <v>3315</v>
      </c>
    </row>
    <row r="292" spans="1:6" ht="12.75">
      <c r="A292" s="2">
        <v>43885.64875</v>
      </c>
      <c r="B292" t="str">
        <f>HYPERLINK("https://twitter.com/d8z72h548rY1Ndl","@d8z72h548rY1Ndl")</f>
        <v>@d8z72h548rY1Ndl</v>
      </c>
      <c r="C292" t="s">
        <v>321</v>
      </c>
      <c r="D292">
        <v>1877</v>
      </c>
      <c r="E292">
        <v>0</v>
      </c>
      <c r="F292">
        <v>22</v>
      </c>
    </row>
    <row r="293" spans="1:6" ht="12.75">
      <c r="A293" s="2">
        <v>43885.648599537039</v>
      </c>
      <c r="B293" t="str">
        <f>HYPERLINK("https://twitter.com/scorsesse","@scorsesse")</f>
        <v>@scorsesse</v>
      </c>
      <c r="C293" t="s">
        <v>321</v>
      </c>
      <c r="D293">
        <v>1877</v>
      </c>
      <c r="E293">
        <v>0</v>
      </c>
      <c r="F293">
        <v>3</v>
      </c>
    </row>
    <row r="294" spans="1:6" ht="12.75">
      <c r="A294" s="2">
        <v>43885.648229166662</v>
      </c>
      <c r="B294" t="str">
        <f>HYPERLINK("https://twitter.com/sutaryabagjap","@sutaryabagjap")</f>
        <v>@sutaryabagjap</v>
      </c>
      <c r="C294" t="s">
        <v>2240</v>
      </c>
      <c r="D294">
        <v>2</v>
      </c>
      <c r="E294">
        <v>0</v>
      </c>
      <c r="F294">
        <v>816</v>
      </c>
    </row>
    <row r="295" spans="1:6" ht="12.75">
      <c r="A295" s="2">
        <v>43885.648101851853</v>
      </c>
      <c r="B295" t="str">
        <f>HYPERLINK("https://twitter.com/shintadewilr","@shintadewilr")</f>
        <v>@shintadewilr</v>
      </c>
      <c r="C295" t="s">
        <v>2091</v>
      </c>
      <c r="D295">
        <v>1348</v>
      </c>
      <c r="E295">
        <v>0</v>
      </c>
      <c r="F295">
        <v>954</v>
      </c>
    </row>
    <row r="296" spans="1:6" ht="12.75">
      <c r="A296" s="2">
        <v>43885.648101851853</v>
      </c>
      <c r="B296" t="str">
        <f>HYPERLINK("https://twitter.com/masaymo","@masaymo")</f>
        <v>@masaymo</v>
      </c>
      <c r="C296" t="s">
        <v>321</v>
      </c>
      <c r="D296">
        <v>1877</v>
      </c>
      <c r="E296">
        <v>0</v>
      </c>
      <c r="F296">
        <v>625</v>
      </c>
    </row>
    <row r="297" spans="1:6" ht="12.75">
      <c r="A297" s="2">
        <v>43885.64806712963</v>
      </c>
      <c r="B297" t="str">
        <f>HYPERLINK("https://twitter.com/6FwMR4EzbIH0auI","@6FwMR4EzbIH0auI")</f>
        <v>@6FwMR4EzbIH0auI</v>
      </c>
      <c r="C297" t="s">
        <v>738</v>
      </c>
      <c r="D297">
        <v>434</v>
      </c>
      <c r="E297">
        <v>0</v>
      </c>
      <c r="F297">
        <v>47</v>
      </c>
    </row>
    <row r="298" spans="1:6" ht="12.75">
      <c r="A298" s="2">
        <v>43885.648055555561</v>
      </c>
      <c r="B298" t="str">
        <f>HYPERLINK("https://twitter.com/GANAIX","@GANAIX")</f>
        <v>@GANAIX</v>
      </c>
      <c r="C298" t="s">
        <v>738</v>
      </c>
      <c r="D298">
        <v>434</v>
      </c>
      <c r="E298">
        <v>0</v>
      </c>
      <c r="F298">
        <v>103</v>
      </c>
    </row>
    <row r="299" spans="1:6" ht="12.75">
      <c r="A299" s="2">
        <v>43885.648009259261</v>
      </c>
      <c r="B299" t="str">
        <f>HYPERLINK("https://twitter.com/6FwMR4EzbIH0auI","@6FwMR4EzbIH0auI")</f>
        <v>@6FwMR4EzbIH0auI</v>
      </c>
      <c r="C299" t="s">
        <v>321</v>
      </c>
      <c r="D299">
        <v>1877</v>
      </c>
      <c r="E299">
        <v>0</v>
      </c>
      <c r="F299">
        <v>47</v>
      </c>
    </row>
    <row r="300" spans="1:6" ht="12.75">
      <c r="A300" s="2">
        <v>43885.647789351853</v>
      </c>
      <c r="B300" t="str">
        <f>HYPERLINK("https://twitter.com/wartaIDN","@wartaIDN")</f>
        <v>@wartaIDN</v>
      </c>
      <c r="C300" t="s">
        <v>2310</v>
      </c>
      <c r="D300">
        <v>0</v>
      </c>
      <c r="E300">
        <v>0</v>
      </c>
      <c r="F300">
        <v>7778</v>
      </c>
    </row>
    <row r="301" spans="1:6" ht="12.75">
      <c r="A301" s="2">
        <v>43885.647592592592</v>
      </c>
      <c r="B301" t="str">
        <f>HYPERLINK("https://twitter.com/Widodo731","@Widodo731")</f>
        <v>@Widodo731</v>
      </c>
      <c r="C301" t="s">
        <v>2314</v>
      </c>
      <c r="D301">
        <v>0</v>
      </c>
      <c r="E301">
        <v>0</v>
      </c>
      <c r="F301">
        <v>1288</v>
      </c>
    </row>
    <row r="302" spans="1:6" ht="12.75">
      <c r="A302" s="2">
        <v>43885.647256944445</v>
      </c>
      <c r="B302" t="str">
        <f>HYPERLINK("https://twitter.com/KompasEkonomi","@KompasEkonomi")</f>
        <v>@KompasEkonomi</v>
      </c>
      <c r="C302" t="s">
        <v>2315</v>
      </c>
      <c r="D302">
        <v>0</v>
      </c>
      <c r="E302">
        <v>0</v>
      </c>
      <c r="F302">
        <v>32810</v>
      </c>
    </row>
    <row r="303" spans="1:6" ht="12.75">
      <c r="A303" s="2">
        <v>43885.626458333332</v>
      </c>
      <c r="B303" t="str">
        <f>HYPERLINK("https://twitter.com/aritrijunianto","@aritrijunianto")</f>
        <v>@aritrijunianto</v>
      </c>
      <c r="C303" t="s">
        <v>2316</v>
      </c>
      <c r="D303">
        <v>0</v>
      </c>
      <c r="E303">
        <v>0</v>
      </c>
      <c r="F303">
        <v>3535</v>
      </c>
    </row>
    <row r="304" spans="1:6" ht="12.75">
      <c r="A304" s="2">
        <v>43885.62636574074</v>
      </c>
      <c r="B304" t="str">
        <f>HYPERLINK("https://twitter.com/wartaIDN","@wartaIDN")</f>
        <v>@wartaIDN</v>
      </c>
      <c r="C304" t="s">
        <v>2177</v>
      </c>
      <c r="D304">
        <v>0</v>
      </c>
      <c r="E304">
        <v>0</v>
      </c>
      <c r="F304">
        <v>7778</v>
      </c>
    </row>
    <row r="305" spans="1:6" ht="12.75">
      <c r="A305" s="2">
        <v>43885.626157407409</v>
      </c>
      <c r="B305" t="str">
        <f>HYPERLINK("https://twitter.com/Jokoumb64504158","@Jokoumb64504158")</f>
        <v>@Jokoumb64504158</v>
      </c>
      <c r="C305" t="s">
        <v>2317</v>
      </c>
      <c r="D305">
        <v>0</v>
      </c>
      <c r="E305">
        <v>0</v>
      </c>
      <c r="F305">
        <v>3639</v>
      </c>
    </row>
    <row r="306" spans="1:6" ht="12.75">
      <c r="A306" s="2">
        <v>43885.625960648147</v>
      </c>
      <c r="B306" t="str">
        <f>HYPERLINK("https://twitter.com/RudySt6","@RudySt6")</f>
        <v>@RudySt6</v>
      </c>
      <c r="C306" t="s">
        <v>2318</v>
      </c>
      <c r="D306">
        <v>0</v>
      </c>
      <c r="E306">
        <v>0</v>
      </c>
      <c r="F306">
        <v>360</v>
      </c>
    </row>
    <row r="307" spans="1:6" ht="12.75">
      <c r="A307" s="2">
        <v>43885.625937500001</v>
      </c>
      <c r="B307" t="str">
        <f>HYPERLINK("https://twitter.com/HBetokaw","@HBetokaw")</f>
        <v>@HBetokaw</v>
      </c>
      <c r="C307" t="s">
        <v>2319</v>
      </c>
      <c r="D307">
        <v>0</v>
      </c>
      <c r="E307">
        <v>0</v>
      </c>
      <c r="F307">
        <v>144</v>
      </c>
    </row>
    <row r="308" spans="1:6" ht="12.75">
      <c r="A308" s="2">
        <v>43885.625694444447</v>
      </c>
      <c r="B308" t="str">
        <f>HYPERLINK("https://twitter.com/the_geotimes","@the_geotimes")</f>
        <v>@the_geotimes</v>
      </c>
      <c r="C308" t="s">
        <v>2139</v>
      </c>
      <c r="D308">
        <v>0</v>
      </c>
      <c r="E308">
        <v>0</v>
      </c>
      <c r="F308">
        <v>49646</v>
      </c>
    </row>
    <row r="309" spans="1:6" ht="12.75">
      <c r="A309" s="2">
        <v>43885.625243055554</v>
      </c>
      <c r="B309" t="str">
        <f>HYPERLINK("https://twitter.com/AR7n2","@AR7n2")</f>
        <v>@AR7n2</v>
      </c>
      <c r="C309" t="s">
        <v>321</v>
      </c>
      <c r="D309">
        <v>1822</v>
      </c>
      <c r="E309">
        <v>0</v>
      </c>
      <c r="F309">
        <v>151</v>
      </c>
    </row>
    <row r="310" spans="1:6" ht="12.75">
      <c r="A310" s="2">
        <v>43885.625092592592</v>
      </c>
      <c r="B310" t="str">
        <f>HYPERLINK("https://twitter.com/Jamss2k","@Jamss2k")</f>
        <v>@Jamss2k</v>
      </c>
      <c r="C310" t="s">
        <v>321</v>
      </c>
      <c r="D310">
        <v>1822</v>
      </c>
      <c r="E310">
        <v>0</v>
      </c>
      <c r="F310">
        <v>25</v>
      </c>
    </row>
    <row r="311" spans="1:6" ht="12.75">
      <c r="A311" s="2">
        <v>43885.625081018516</v>
      </c>
      <c r="B311" t="str">
        <f>HYPERLINK("https://twitter.com/forddyce92","@forddyce92")</f>
        <v>@forddyce92</v>
      </c>
      <c r="C311" t="s">
        <v>2320</v>
      </c>
      <c r="D311">
        <v>0</v>
      </c>
      <c r="E311">
        <v>0</v>
      </c>
      <c r="F311">
        <v>26</v>
      </c>
    </row>
    <row r="312" spans="1:6" ht="12.75">
      <c r="A312" s="2">
        <v>43885.625081018516</v>
      </c>
      <c r="B312" t="str">
        <f>HYPERLINK("https://twitter.com/republikaonline","@republikaonline")</f>
        <v>@republikaonline</v>
      </c>
      <c r="C312" t="s">
        <v>2321</v>
      </c>
      <c r="D312">
        <v>0</v>
      </c>
      <c r="E312">
        <v>0</v>
      </c>
      <c r="F312">
        <v>1212626</v>
      </c>
    </row>
    <row r="313" spans="1:6" ht="12.75">
      <c r="A313" s="2">
        <v>43885.624351851853</v>
      </c>
      <c r="B313" t="str">
        <f>HYPERLINK("https://twitter.com/wow_keren","@wow_keren")</f>
        <v>@wow_keren</v>
      </c>
      <c r="C313" t="s">
        <v>2322</v>
      </c>
      <c r="D313">
        <v>0</v>
      </c>
      <c r="E313">
        <v>0</v>
      </c>
      <c r="F313">
        <v>32013</v>
      </c>
    </row>
    <row r="314" spans="1:6" ht="12.75">
      <c r="A314" s="2">
        <v>43885.623796296291</v>
      </c>
      <c r="B314" t="str">
        <f>HYPERLINK("https://twitter.com/nana040461","@nana040461")</f>
        <v>@nana040461</v>
      </c>
      <c r="C314" t="s">
        <v>2166</v>
      </c>
      <c r="D314">
        <v>361</v>
      </c>
      <c r="E314">
        <v>0</v>
      </c>
      <c r="F314">
        <v>1852</v>
      </c>
    </row>
    <row r="315" spans="1:6" ht="12.75">
      <c r="A315" s="2">
        <v>43885.623726851853</v>
      </c>
      <c r="B315" t="str">
        <f>HYPERLINK("https://twitter.com/bobabraham_","@bobabraham_")</f>
        <v>@bobabraham_</v>
      </c>
      <c r="C315" t="s">
        <v>321</v>
      </c>
      <c r="D315">
        <v>1822</v>
      </c>
      <c r="E315">
        <v>0</v>
      </c>
      <c r="F315">
        <v>231</v>
      </c>
    </row>
    <row r="316" spans="1:6" ht="12.75">
      <c r="A316" s="2">
        <v>43885.623333333337</v>
      </c>
      <c r="B316" t="str">
        <f>HYPERLINK("https://twitter.com/sakurairuminasu","@sakurairuminasu")</f>
        <v>@sakurairuminasu</v>
      </c>
      <c r="C316" t="s">
        <v>321</v>
      </c>
      <c r="D316">
        <v>1822</v>
      </c>
      <c r="E316">
        <v>0</v>
      </c>
      <c r="F316">
        <v>415</v>
      </c>
    </row>
    <row r="317" spans="1:6" ht="12.75">
      <c r="A317" s="2">
        <v>43885.623298611114</v>
      </c>
      <c r="B317" t="str">
        <f>HYPERLINK("https://twitter.com/BangPitung_AJW","@BangPitung_AJW")</f>
        <v>@BangPitung_AJW</v>
      </c>
      <c r="C317" t="s">
        <v>2152</v>
      </c>
      <c r="D317">
        <v>4</v>
      </c>
      <c r="E317">
        <v>0</v>
      </c>
      <c r="F317">
        <v>6465</v>
      </c>
    </row>
    <row r="318" spans="1:6" ht="12.75">
      <c r="A318" s="2">
        <v>43885.623148148152</v>
      </c>
      <c r="B318" t="str">
        <f>HYPERLINK("https://twitter.com/kendrajulian14","@kendrajulian14")</f>
        <v>@kendrajulian14</v>
      </c>
      <c r="C318" t="s">
        <v>2323</v>
      </c>
      <c r="D318">
        <v>5</v>
      </c>
      <c r="E318">
        <v>0</v>
      </c>
      <c r="F318">
        <v>414</v>
      </c>
    </row>
    <row r="319" spans="1:6" ht="12.75">
      <c r="A319" s="2">
        <v>43885.622916666667</v>
      </c>
      <c r="B319" t="str">
        <f>HYPERLINK("https://twitter.com/ewin8923","@ewin8923")</f>
        <v>@ewin8923</v>
      </c>
      <c r="C319" t="s">
        <v>2091</v>
      </c>
      <c r="D319">
        <v>1323</v>
      </c>
      <c r="E319">
        <v>0</v>
      </c>
      <c r="F319">
        <v>1007</v>
      </c>
    </row>
    <row r="320" spans="1:6" ht="12.75">
      <c r="A320" s="2">
        <v>43885.622766203705</v>
      </c>
      <c r="B320" t="str">
        <f>HYPERLINK("https://twitter.com/the_rman__","@the_rman__")</f>
        <v>@the_rman__</v>
      </c>
      <c r="C320" t="s">
        <v>2091</v>
      </c>
      <c r="D320">
        <v>1323</v>
      </c>
      <c r="E320">
        <v>0</v>
      </c>
      <c r="F320">
        <v>786</v>
      </c>
    </row>
    <row r="321" spans="1:6" ht="12.75">
      <c r="A321" s="2">
        <v>43885.622453703705</v>
      </c>
      <c r="B321" t="str">
        <f>HYPERLINK("https://twitter.com/letaeyong_","@letaeyong_")</f>
        <v>@letaeyong_</v>
      </c>
      <c r="C321" t="s">
        <v>2324</v>
      </c>
      <c r="D321">
        <v>3</v>
      </c>
      <c r="E321">
        <v>0</v>
      </c>
      <c r="F321">
        <v>240</v>
      </c>
    </row>
    <row r="322" spans="1:6" ht="12.75">
      <c r="A322" s="2">
        <v>43885.622407407413</v>
      </c>
      <c r="B322" t="str">
        <f>HYPERLINK("https://twitter.com/WPJ57011218","@WPJ57011218")</f>
        <v>@WPJ57011218</v>
      </c>
      <c r="C322" t="s">
        <v>738</v>
      </c>
      <c r="D322">
        <v>423</v>
      </c>
      <c r="E322">
        <v>0</v>
      </c>
      <c r="F322">
        <v>14</v>
      </c>
    </row>
    <row r="323" spans="1:6" ht="12.75">
      <c r="A323" s="2">
        <v>43885.62222222222</v>
      </c>
      <c r="B323" t="str">
        <f>HYPERLINK("https://twitter.com/tiny2bluebird","@tiny2bluebird")</f>
        <v>@tiny2bluebird</v>
      </c>
      <c r="C323" t="s">
        <v>321</v>
      </c>
      <c r="D323">
        <v>1822</v>
      </c>
      <c r="E323">
        <v>0</v>
      </c>
      <c r="F323">
        <v>1170</v>
      </c>
    </row>
    <row r="324" spans="1:6" ht="12.75">
      <c r="A324" s="2">
        <v>43885.622141203705</v>
      </c>
      <c r="B324" t="str">
        <f>HYPERLINK("https://twitter.com/katareyamanba","@katareyamanba")</f>
        <v>@katareyamanba</v>
      </c>
      <c r="C324" t="s">
        <v>321</v>
      </c>
      <c r="D324">
        <v>1822</v>
      </c>
      <c r="E324">
        <v>0</v>
      </c>
      <c r="F324">
        <v>345</v>
      </c>
    </row>
    <row r="325" spans="1:6" ht="12.75">
      <c r="A325" s="2">
        <v>43885.622013888889</v>
      </c>
      <c r="B325" t="str">
        <f>HYPERLINK("https://twitter.com/nadiaaputrik","@nadiaaputrik")</f>
        <v>@nadiaaputrik</v>
      </c>
      <c r="C325" t="s">
        <v>2325</v>
      </c>
      <c r="D325">
        <v>1</v>
      </c>
      <c r="E325">
        <v>0</v>
      </c>
      <c r="F325">
        <v>767</v>
      </c>
    </row>
    <row r="326" spans="1:6" ht="12.75">
      <c r="A326" s="2">
        <v>43885.621979166666</v>
      </c>
      <c r="B326" t="str">
        <f>HYPERLINK("https://twitter.com/vkurvina__","@vkurvina__")</f>
        <v>@vkurvina__</v>
      </c>
      <c r="C326" t="s">
        <v>2326</v>
      </c>
      <c r="D326">
        <v>0</v>
      </c>
      <c r="E326">
        <v>0</v>
      </c>
      <c r="F326">
        <v>67</v>
      </c>
    </row>
    <row r="327" spans="1:6" ht="12.75">
      <c r="A327" s="2">
        <v>43885.621979166666</v>
      </c>
      <c r="B327" t="str">
        <f>HYPERLINK("https://twitter.com/katareyamanba","@katareyamanba")</f>
        <v>@katareyamanba</v>
      </c>
      <c r="C327" t="s">
        <v>738</v>
      </c>
      <c r="D327">
        <v>423</v>
      </c>
      <c r="E327">
        <v>0</v>
      </c>
      <c r="F327">
        <v>345</v>
      </c>
    </row>
    <row r="328" spans="1:6" ht="12.75">
      <c r="A328" s="2">
        <v>43885.621886574074</v>
      </c>
      <c r="B328" t="str">
        <f>HYPERLINK("https://twitter.com/Adidinata9","@Adidinata9")</f>
        <v>@Adidinata9</v>
      </c>
      <c r="C328" t="s">
        <v>2091</v>
      </c>
      <c r="D328">
        <v>1323</v>
      </c>
      <c r="E328">
        <v>0</v>
      </c>
      <c r="F328">
        <v>12</v>
      </c>
    </row>
    <row r="329" spans="1:6" ht="12.75">
      <c r="A329" s="2">
        <v>43885.621840277774</v>
      </c>
      <c r="B329" t="str">
        <f>HYPERLINK("https://twitter.com/SuramaduJingga","@SuramaduJingga")</f>
        <v>@SuramaduJingga</v>
      </c>
      <c r="C329" t="s">
        <v>2204</v>
      </c>
      <c r="D329">
        <v>19</v>
      </c>
      <c r="E329">
        <v>0</v>
      </c>
      <c r="F329">
        <v>592</v>
      </c>
    </row>
    <row r="330" spans="1:6" ht="12.75">
      <c r="A330" s="2">
        <v>43885.621516203704</v>
      </c>
      <c r="B330" t="str">
        <f>HYPERLINK("https://twitter.com/nuripark99","@nuripark99")</f>
        <v>@nuripark99</v>
      </c>
      <c r="C330" t="s">
        <v>2327</v>
      </c>
      <c r="D330">
        <v>0</v>
      </c>
      <c r="E330">
        <v>0</v>
      </c>
      <c r="F330">
        <v>72</v>
      </c>
    </row>
    <row r="331" spans="1:6" ht="12.75">
      <c r="A331" s="2">
        <v>43885.621458333335</v>
      </c>
      <c r="B331" t="str">
        <f>HYPERLINK("https://twitter.com/sofianrohman","@sofianrohman")</f>
        <v>@sofianrohman</v>
      </c>
      <c r="C331" t="s">
        <v>2166</v>
      </c>
      <c r="D331">
        <v>361</v>
      </c>
      <c r="E331">
        <v>0</v>
      </c>
      <c r="F331">
        <v>785</v>
      </c>
    </row>
    <row r="332" spans="1:6" ht="12.75">
      <c r="A332" s="2">
        <v>43885.621377314819</v>
      </c>
      <c r="B332" t="str">
        <f>HYPERLINK("https://twitter.com/Taryn165","@Taryn165")</f>
        <v>@Taryn165</v>
      </c>
      <c r="C332" t="s">
        <v>2204</v>
      </c>
      <c r="D332">
        <v>19</v>
      </c>
      <c r="E332">
        <v>0</v>
      </c>
      <c r="F332">
        <v>824</v>
      </c>
    </row>
    <row r="333" spans="1:6" ht="12.75">
      <c r="A333" s="2">
        <v>43885.621365740742</v>
      </c>
      <c r="B333" t="str">
        <f>HYPERLINK("https://twitter.com/RadioElshinta","@RadioElshinta")</f>
        <v>@RadioElshinta</v>
      </c>
      <c r="C333" t="s">
        <v>2328</v>
      </c>
      <c r="D333">
        <v>0</v>
      </c>
      <c r="E333">
        <v>1</v>
      </c>
      <c r="F333">
        <v>3634515</v>
      </c>
    </row>
    <row r="334" spans="1:6" ht="12.75">
      <c r="A334" s="2">
        <v>43885.621053240742</v>
      </c>
      <c r="B334" t="str">
        <f>HYPERLINK("https://twitter.com/ISIS_Balik_NO","@ISIS_Balik_NO")</f>
        <v>@ISIS_Balik_NO</v>
      </c>
      <c r="C334" t="s">
        <v>2329</v>
      </c>
      <c r="D334">
        <v>164</v>
      </c>
      <c r="E334">
        <v>0</v>
      </c>
      <c r="F334">
        <v>6090</v>
      </c>
    </row>
    <row r="335" spans="1:6" ht="12.75">
      <c r="A335" s="2">
        <v>43885.62100694445</v>
      </c>
      <c r="B335" t="str">
        <f>HYPERLINK("https://twitter.com/Muhamad09147404","@Muhamad09147404")</f>
        <v>@Muhamad09147404</v>
      </c>
      <c r="C335" t="s">
        <v>2302</v>
      </c>
      <c r="D335">
        <v>2</v>
      </c>
      <c r="E335">
        <v>0</v>
      </c>
      <c r="F335">
        <v>661</v>
      </c>
    </row>
    <row r="336" spans="1:6" ht="12.75">
      <c r="A336" s="2">
        <v>43885.620879629627</v>
      </c>
      <c r="B336" t="str">
        <f t="shared" ref="B336:B337" si="9">HYPERLINK("https://twitter.com/pikiran_rakyat","@pikiran_rakyat")</f>
        <v>@pikiran_rakyat</v>
      </c>
      <c r="C336" t="s">
        <v>2330</v>
      </c>
      <c r="D336">
        <v>0</v>
      </c>
      <c r="E336">
        <v>0</v>
      </c>
      <c r="F336">
        <v>412847</v>
      </c>
    </row>
    <row r="337" spans="1:6" ht="12.75">
      <c r="A337" s="2">
        <v>43885.620868055557</v>
      </c>
      <c r="B337" t="str">
        <f t="shared" si="9"/>
        <v>@pikiran_rakyat</v>
      </c>
      <c r="C337" t="s">
        <v>2331</v>
      </c>
      <c r="D337">
        <v>0</v>
      </c>
      <c r="E337">
        <v>0</v>
      </c>
      <c r="F337">
        <v>412847</v>
      </c>
    </row>
    <row r="338" spans="1:6" ht="12.75">
      <c r="A338" s="2">
        <v>43885.620138888888</v>
      </c>
      <c r="B338" t="str">
        <f>HYPERLINK("https://twitter.com/kimrahmahwang","@kimrahmahwang")</f>
        <v>@kimrahmahwang</v>
      </c>
      <c r="C338" t="s">
        <v>2332</v>
      </c>
      <c r="D338">
        <v>3</v>
      </c>
      <c r="E338">
        <v>0</v>
      </c>
      <c r="F338">
        <v>902</v>
      </c>
    </row>
    <row r="339" spans="1:6" ht="12.75">
      <c r="A339" s="2">
        <v>43885.620023148149</v>
      </c>
      <c r="B339" t="str">
        <f>HYPERLINK("https://twitter.com/ceuvidy","@ceuvidy")</f>
        <v>@ceuvidy</v>
      </c>
      <c r="C339" t="s">
        <v>2333</v>
      </c>
      <c r="D339">
        <v>0</v>
      </c>
      <c r="E339">
        <v>0</v>
      </c>
      <c r="F339">
        <v>0</v>
      </c>
    </row>
    <row r="340" spans="1:6" ht="12.75">
      <c r="A340" s="2">
        <v>43885.619722222225</v>
      </c>
      <c r="B340" t="str">
        <f>HYPERLINK("https://twitter.com/sisimarusan","@sisimarusan")</f>
        <v>@sisimarusan</v>
      </c>
      <c r="C340" t="s">
        <v>321</v>
      </c>
      <c r="D340">
        <v>1822</v>
      </c>
      <c r="E340">
        <v>0</v>
      </c>
      <c r="F340">
        <v>981</v>
      </c>
    </row>
    <row r="341" spans="1:6" ht="12.75">
      <c r="A341" s="2">
        <v>43885.619386574079</v>
      </c>
      <c r="B341" t="str">
        <f>HYPERLINK("https://twitter.com/JohnIrwan4","@JohnIrwan4")</f>
        <v>@JohnIrwan4</v>
      </c>
      <c r="C341" t="s">
        <v>2334</v>
      </c>
      <c r="D341">
        <v>1</v>
      </c>
      <c r="E341">
        <v>0</v>
      </c>
      <c r="F341">
        <v>2419</v>
      </c>
    </row>
    <row r="342" spans="1:6" ht="12.75">
      <c r="A342" s="2">
        <v>43885.619166666671</v>
      </c>
      <c r="B342" t="str">
        <f>HYPERLINK("https://twitter.com/kaijyuumamagon","@kaijyuumamagon")</f>
        <v>@kaijyuumamagon</v>
      </c>
      <c r="C342" t="s">
        <v>321</v>
      </c>
      <c r="D342">
        <v>1822</v>
      </c>
      <c r="E342">
        <v>0</v>
      </c>
      <c r="F342">
        <v>1634</v>
      </c>
    </row>
    <row r="343" spans="1:6" ht="12.75">
      <c r="A343" s="2">
        <v>43885.619097222225</v>
      </c>
      <c r="B343" t="str">
        <f>HYPERLINK("https://twitter.com/Jokoumb64504158","@Jokoumb64504158")</f>
        <v>@Jokoumb64504158</v>
      </c>
      <c r="C343" t="s">
        <v>2335</v>
      </c>
      <c r="D343">
        <v>1</v>
      </c>
      <c r="E343">
        <v>4</v>
      </c>
      <c r="F343">
        <v>3639</v>
      </c>
    </row>
    <row r="344" spans="1:6" ht="12.75">
      <c r="A344" s="2">
        <v>43885.618923611109</v>
      </c>
      <c r="B344" t="str">
        <f>HYPERLINK("https://twitter.com/Alphadreamer","@Alphadreamer")</f>
        <v>@Alphadreamer</v>
      </c>
      <c r="C344" t="s">
        <v>2336</v>
      </c>
      <c r="D344">
        <v>0</v>
      </c>
      <c r="E344">
        <v>0</v>
      </c>
      <c r="F344">
        <v>762</v>
      </c>
    </row>
    <row r="345" spans="1:6" ht="12.75">
      <c r="A345" s="2">
        <v>43885.618923611109</v>
      </c>
      <c r="B345" t="str">
        <f>HYPERLINK("https://twitter.com/DhanyAchmad20","@DhanyAchmad20")</f>
        <v>@DhanyAchmad20</v>
      </c>
      <c r="C345" t="s">
        <v>2337</v>
      </c>
      <c r="D345">
        <v>0</v>
      </c>
      <c r="E345">
        <v>0</v>
      </c>
      <c r="F345">
        <v>0</v>
      </c>
    </row>
    <row r="346" spans="1:6" ht="12.75">
      <c r="A346" s="2">
        <v>43885.618854166663</v>
      </c>
      <c r="B346" t="str">
        <f>HYPERLINK("https://twitter.com/kakangprabuuuuu","@kakangprabuuuuu")</f>
        <v>@kakangprabuuuuu</v>
      </c>
      <c r="C346" t="s">
        <v>2338</v>
      </c>
      <c r="D346">
        <v>0</v>
      </c>
      <c r="E346">
        <v>0</v>
      </c>
      <c r="F346">
        <v>87</v>
      </c>
    </row>
    <row r="347" spans="1:6" ht="12.75">
      <c r="A347" s="2">
        <v>43885.618761574078</v>
      </c>
      <c r="B347" t="str">
        <f>HYPERLINK("https://twitter.com/GoRiauCom","@GoRiauCom")</f>
        <v>@GoRiauCom</v>
      </c>
      <c r="C347" t="s">
        <v>2339</v>
      </c>
      <c r="D347">
        <v>0</v>
      </c>
      <c r="E347">
        <v>0</v>
      </c>
      <c r="F347">
        <v>84659</v>
      </c>
    </row>
    <row r="348" spans="1:6" ht="12.75">
      <c r="A348" s="2">
        <v>43885.618703703702</v>
      </c>
      <c r="B348" t="str">
        <f>HYPERLINK("https://twitter.com/id_aksi","@id_aksi")</f>
        <v>@id_aksi</v>
      </c>
      <c r="C348" t="s">
        <v>2340</v>
      </c>
      <c r="D348">
        <v>0</v>
      </c>
      <c r="E348">
        <v>0</v>
      </c>
      <c r="F348">
        <v>79</v>
      </c>
    </row>
    <row r="349" spans="1:6" ht="12.75">
      <c r="A349" s="2">
        <v>43885.618391203709</v>
      </c>
      <c r="B349" t="str">
        <f>HYPERLINK("https://twitter.com/Morningtyas","@Morningtyas")</f>
        <v>@Morningtyas</v>
      </c>
      <c r="C349" t="s">
        <v>2341</v>
      </c>
      <c r="D349">
        <v>0</v>
      </c>
      <c r="E349">
        <v>0</v>
      </c>
      <c r="F349">
        <v>30635</v>
      </c>
    </row>
    <row r="350" spans="1:6" ht="12.75">
      <c r="A350" s="2">
        <v>43885.618356481486</v>
      </c>
      <c r="B350" t="str">
        <f>HYPERLINK("https://twitter.com/VMLagan","@VMLagan")</f>
        <v>@VMLagan</v>
      </c>
      <c r="C350" t="s">
        <v>2156</v>
      </c>
      <c r="D350">
        <v>16</v>
      </c>
      <c r="E350">
        <v>0</v>
      </c>
      <c r="F350">
        <v>7</v>
      </c>
    </row>
    <row r="351" spans="1:6" ht="12.75">
      <c r="A351" s="2">
        <v>43885.618217592593</v>
      </c>
      <c r="B351" t="str">
        <f>HYPERLINK("https://twitter.com/MayaAnggriani13","@MayaAnggriani13")</f>
        <v>@MayaAnggriani13</v>
      </c>
      <c r="C351" t="s">
        <v>2342</v>
      </c>
      <c r="D351">
        <v>4</v>
      </c>
      <c r="E351">
        <v>0</v>
      </c>
      <c r="F351">
        <v>88</v>
      </c>
    </row>
    <row r="352" spans="1:6" ht="12.75">
      <c r="A352" s="2">
        <v>43885.618113425924</v>
      </c>
      <c r="B352" t="str">
        <f>HYPERLINK("https://twitter.com/33utakichi","@33utakichi")</f>
        <v>@33utakichi</v>
      </c>
      <c r="C352" t="s">
        <v>321</v>
      </c>
      <c r="D352">
        <v>1822</v>
      </c>
      <c r="E352">
        <v>0</v>
      </c>
      <c r="F352">
        <v>764</v>
      </c>
    </row>
    <row r="353" spans="1:6" ht="12.75">
      <c r="A353" s="2">
        <v>43885.618020833332</v>
      </c>
      <c r="B353" t="str">
        <f t="shared" ref="B353:B354" si="10">HYPERLINK("https://twitter.com/ceuvidy","@ceuvidy")</f>
        <v>@ceuvidy</v>
      </c>
      <c r="C353" t="s">
        <v>2343</v>
      </c>
      <c r="D353">
        <v>0</v>
      </c>
      <c r="E353">
        <v>0</v>
      </c>
      <c r="F353">
        <v>0</v>
      </c>
    </row>
    <row r="354" spans="1:6" ht="12.75">
      <c r="A354" s="2">
        <v>43885.618009259255</v>
      </c>
      <c r="B354" t="str">
        <f t="shared" si="10"/>
        <v>@ceuvidy</v>
      </c>
      <c r="C354" t="s">
        <v>2344</v>
      </c>
      <c r="D354">
        <v>0</v>
      </c>
      <c r="E354">
        <v>0</v>
      </c>
      <c r="F354">
        <v>0</v>
      </c>
    </row>
    <row r="355" spans="1:6" ht="12.75">
      <c r="A355" s="2">
        <v>43885.617951388893</v>
      </c>
      <c r="B355" t="str">
        <f>HYPERLINK("https://twitter.com/eko2471","@eko2471")</f>
        <v>@eko2471</v>
      </c>
      <c r="C355" t="s">
        <v>2345</v>
      </c>
      <c r="D355">
        <v>0</v>
      </c>
      <c r="E355">
        <v>0</v>
      </c>
      <c r="F355">
        <v>1183</v>
      </c>
    </row>
    <row r="356" spans="1:6" ht="12.75">
      <c r="A356" s="2">
        <v>43885.617881944447</v>
      </c>
      <c r="B356" t="str">
        <f>HYPERLINK("https://twitter.com/shintaaraa_","@shintaaraa_")</f>
        <v>@shintaaraa_</v>
      </c>
      <c r="C356" t="s">
        <v>2324</v>
      </c>
      <c r="D356">
        <v>3</v>
      </c>
      <c r="E356">
        <v>0</v>
      </c>
      <c r="F356">
        <v>3383</v>
      </c>
    </row>
    <row r="357" spans="1:6" ht="12.75">
      <c r="A357" s="2">
        <v>43885.617268518516</v>
      </c>
      <c r="B357" t="str">
        <f>HYPERLINK("https://twitter.com/gher_s","@gher_s")</f>
        <v>@gher_s</v>
      </c>
      <c r="C357" t="s">
        <v>2346</v>
      </c>
      <c r="D357">
        <v>0</v>
      </c>
      <c r="E357">
        <v>3</v>
      </c>
      <c r="F357">
        <v>1033</v>
      </c>
    </row>
    <row r="358" spans="1:6" ht="12.75">
      <c r="A358" s="2">
        <v>43885.617129629631</v>
      </c>
      <c r="B358" t="str">
        <f>HYPERLINK("https://twitter.com/akkey_style","@akkey_style")</f>
        <v>@akkey_style</v>
      </c>
      <c r="C358" t="s">
        <v>321</v>
      </c>
      <c r="D358">
        <v>1822</v>
      </c>
      <c r="E358">
        <v>0</v>
      </c>
      <c r="F358">
        <v>82</v>
      </c>
    </row>
    <row r="359" spans="1:6" ht="12.75">
      <c r="A359" s="2">
        <v>43885.617037037038</v>
      </c>
      <c r="B359" t="str">
        <f>HYPERLINK("https://twitter.com/kompascom","@kompascom")</f>
        <v>@kompascom</v>
      </c>
      <c r="C359" t="s">
        <v>2347</v>
      </c>
      <c r="D359">
        <v>3</v>
      </c>
      <c r="E359">
        <v>3</v>
      </c>
      <c r="F359">
        <v>7510295</v>
      </c>
    </row>
    <row r="360" spans="1:6" ht="12.75">
      <c r="A360" s="2">
        <v>43885.616886574076</v>
      </c>
      <c r="B360" t="str">
        <f>HYPERLINK("https://twitter.com/IqbalPrawira30","@IqbalPrawira30")</f>
        <v>@IqbalPrawira30</v>
      </c>
      <c r="C360" t="s">
        <v>321</v>
      </c>
      <c r="D360">
        <v>1822</v>
      </c>
      <c r="E360">
        <v>0</v>
      </c>
      <c r="F360">
        <v>432</v>
      </c>
    </row>
    <row r="361" spans="1:6" ht="12.75">
      <c r="A361" s="2">
        <v>43885.616666666669</v>
      </c>
      <c r="B361" t="str">
        <f>HYPERLINK("https://twitter.com/SonoraFM92","@SonoraFM92")</f>
        <v>@SonoraFM92</v>
      </c>
      <c r="C361" t="s">
        <v>2114</v>
      </c>
      <c r="D361">
        <v>0</v>
      </c>
      <c r="E361">
        <v>0</v>
      </c>
      <c r="F361">
        <v>292909</v>
      </c>
    </row>
    <row r="362" spans="1:6" ht="12.75">
      <c r="A362" s="2">
        <v>43885.616203703699</v>
      </c>
      <c r="B362" t="str">
        <f>HYPERLINK("https://twitter.com/guraguradayo","@guraguradayo")</f>
        <v>@guraguradayo</v>
      </c>
      <c r="C362" t="s">
        <v>738</v>
      </c>
      <c r="D362">
        <v>423</v>
      </c>
      <c r="E362">
        <v>0</v>
      </c>
      <c r="F362">
        <v>306</v>
      </c>
    </row>
    <row r="363" spans="1:6" ht="12.75">
      <c r="A363" s="2">
        <v>43885.616122685184</v>
      </c>
      <c r="B363" t="str">
        <f>HYPERLINK("https://twitter.com/293wa2525","@293wa2525")</f>
        <v>@293wa2525</v>
      </c>
      <c r="C363" t="s">
        <v>321</v>
      </c>
      <c r="D363">
        <v>1822</v>
      </c>
      <c r="E363">
        <v>0</v>
      </c>
      <c r="F363">
        <v>2535</v>
      </c>
    </row>
    <row r="364" spans="1:6" ht="12.75">
      <c r="A364" s="2">
        <v>43885.615856481483</v>
      </c>
      <c r="B364" t="str">
        <f>HYPERLINK("https://twitter.com/how2lvmyself1st","@how2lvmyself1st")</f>
        <v>@how2lvmyself1st</v>
      </c>
      <c r="C364" t="s">
        <v>321</v>
      </c>
      <c r="D364">
        <v>1822</v>
      </c>
      <c r="E364">
        <v>0</v>
      </c>
      <c r="F364">
        <v>84</v>
      </c>
    </row>
    <row r="365" spans="1:6" ht="12.75">
      <c r="A365" s="2">
        <v>43885.615451388891</v>
      </c>
      <c r="B365" t="str">
        <f>HYPERLINK("https://twitter.com/hanvdtechnik","@hanvdtechnik")</f>
        <v>@hanvdtechnik</v>
      </c>
      <c r="C365" t="s">
        <v>2348</v>
      </c>
      <c r="D365">
        <v>6</v>
      </c>
      <c r="E365">
        <v>0</v>
      </c>
      <c r="F365">
        <v>28</v>
      </c>
    </row>
    <row r="366" spans="1:6" ht="12.75">
      <c r="A366" s="2">
        <v>43885.615208333329</v>
      </c>
      <c r="B366" t="str">
        <f>HYPERLINK("https://twitter.com/rio_shinyoku","@rio_shinyoku")</f>
        <v>@rio_shinyoku</v>
      </c>
      <c r="C366" t="s">
        <v>321</v>
      </c>
      <c r="D366">
        <v>1822</v>
      </c>
      <c r="E366">
        <v>0</v>
      </c>
      <c r="F366">
        <v>907</v>
      </c>
    </row>
    <row r="367" spans="1:6" ht="12.75">
      <c r="A367" s="2">
        <v>43885.615023148144</v>
      </c>
      <c r="B367" t="str">
        <f>HYPERLINK("https://twitter.com/kindikindex","@kindikindex")</f>
        <v>@kindikindex</v>
      </c>
      <c r="C367" t="s">
        <v>2240</v>
      </c>
      <c r="D367">
        <v>1</v>
      </c>
      <c r="E367">
        <v>0</v>
      </c>
      <c r="F367">
        <v>211</v>
      </c>
    </row>
    <row r="368" spans="1:6" ht="12.75">
      <c r="A368" s="2">
        <v>43885.614629629628</v>
      </c>
      <c r="B368" t="str">
        <f>HYPERLINK("https://twitter.com/forddyce92","@forddyce92")</f>
        <v>@forddyce92</v>
      </c>
      <c r="C368" t="s">
        <v>2349</v>
      </c>
      <c r="D368">
        <v>0</v>
      </c>
      <c r="E368">
        <v>0</v>
      </c>
      <c r="F368">
        <v>26</v>
      </c>
    </row>
    <row r="369" spans="1:6" ht="12.75">
      <c r="A369" s="2">
        <v>43885.614490740743</v>
      </c>
      <c r="B369" t="str">
        <f>HYPERLINK("https://twitter.com/edgardtaurus","@edgardtaurus")</f>
        <v>@edgardtaurus</v>
      </c>
      <c r="C369" t="s">
        <v>2091</v>
      </c>
      <c r="D369">
        <v>1323</v>
      </c>
      <c r="E369">
        <v>0</v>
      </c>
      <c r="F369">
        <v>418</v>
      </c>
    </row>
    <row r="370" spans="1:6" ht="12.75">
      <c r="A370" s="2">
        <v>43885.614375000005</v>
      </c>
      <c r="B370" t="str">
        <f>HYPERLINK("https://twitter.com/KATADATAcoid","@KATADATAcoid")</f>
        <v>@KATADATAcoid</v>
      </c>
      <c r="C370" t="s">
        <v>2350</v>
      </c>
      <c r="D370">
        <v>0</v>
      </c>
      <c r="E370">
        <v>1</v>
      </c>
      <c r="F370">
        <v>41346</v>
      </c>
    </row>
    <row r="371" spans="1:6" ht="12.75">
      <c r="A371" s="2">
        <v>43885.613946759258</v>
      </c>
      <c r="B371" t="str">
        <f>HYPERLINK("https://twitter.com/nikiwisa","@nikiwisa")</f>
        <v>@nikiwisa</v>
      </c>
      <c r="C371" t="s">
        <v>2119</v>
      </c>
      <c r="D371">
        <v>545</v>
      </c>
      <c r="E371">
        <v>0</v>
      </c>
      <c r="F371">
        <v>1</v>
      </c>
    </row>
    <row r="372" spans="1:6" ht="12.75">
      <c r="A372" s="2">
        <v>43885.613935185189</v>
      </c>
      <c r="B372" t="str">
        <f>HYPERLINK("https://twitter.com/minami15269772","@minami15269772")</f>
        <v>@minami15269772</v>
      </c>
      <c r="C372" t="s">
        <v>321</v>
      </c>
      <c r="D372">
        <v>1822</v>
      </c>
      <c r="E372">
        <v>0</v>
      </c>
      <c r="F372">
        <v>385</v>
      </c>
    </row>
    <row r="373" spans="1:6" ht="12.75">
      <c r="A373" s="2">
        <v>43885.612893518519</v>
      </c>
      <c r="B373" t="str">
        <f>HYPERLINK("https://twitter.com/wooperlife","@wooperlife")</f>
        <v>@wooperlife</v>
      </c>
      <c r="C373" t="s">
        <v>321</v>
      </c>
      <c r="D373">
        <v>1822</v>
      </c>
      <c r="E373">
        <v>0</v>
      </c>
      <c r="F373">
        <v>1247</v>
      </c>
    </row>
    <row r="374" spans="1:6" ht="12.75">
      <c r="A374" s="2">
        <v>43885.612754629634</v>
      </c>
      <c r="B374" t="str">
        <f>HYPERLINK("https://twitter.com/Kam_ma_lay","@Kam_ma_lay")</f>
        <v>@Kam_ma_lay</v>
      </c>
      <c r="C374" t="s">
        <v>321</v>
      </c>
      <c r="D374">
        <v>1822</v>
      </c>
      <c r="E374">
        <v>0</v>
      </c>
      <c r="F374">
        <v>1112</v>
      </c>
    </row>
    <row r="375" spans="1:6" ht="12.75">
      <c r="A375" s="2">
        <v>43885.612685185188</v>
      </c>
      <c r="B375" t="str">
        <f>HYPERLINK("https://twitter.com/mikogautama","@mikogautama")</f>
        <v>@mikogautama</v>
      </c>
      <c r="C375" t="s">
        <v>321</v>
      </c>
      <c r="D375">
        <v>1822</v>
      </c>
      <c r="E375">
        <v>0</v>
      </c>
      <c r="F375">
        <v>545</v>
      </c>
    </row>
    <row r="376" spans="1:6" ht="12.75">
      <c r="A376" s="2">
        <v>43885.612430555557</v>
      </c>
      <c r="B376" t="str">
        <f>HYPERLINK("https://twitter.com/okezonenews","@okezonenews")</f>
        <v>@okezonenews</v>
      </c>
      <c r="C376" t="s">
        <v>2351</v>
      </c>
      <c r="D376">
        <v>0</v>
      </c>
      <c r="E376">
        <v>1</v>
      </c>
      <c r="F376">
        <v>1743470</v>
      </c>
    </row>
    <row r="377" spans="1:6" ht="12.75">
      <c r="A377" s="2">
        <v>43885.612384259264</v>
      </c>
      <c r="B377" t="str">
        <f>HYPERLINK("https://twitter.com/Maulinaantika3","@Maulinaantika3")</f>
        <v>@Maulinaantika3</v>
      </c>
      <c r="C377" t="s">
        <v>2152</v>
      </c>
      <c r="D377">
        <v>4</v>
      </c>
      <c r="E377">
        <v>0</v>
      </c>
      <c r="F377">
        <v>4869</v>
      </c>
    </row>
    <row r="378" spans="1:6" ht="12.75">
      <c r="A378" s="2">
        <v>43885.611990740741</v>
      </c>
      <c r="B378" t="str">
        <f>HYPERLINK("https://twitter.com/pelanpelanyak","@pelanpelanyak")</f>
        <v>@pelanpelanyak</v>
      </c>
      <c r="C378" t="s">
        <v>2091</v>
      </c>
      <c r="D378">
        <v>1323</v>
      </c>
      <c r="E378">
        <v>0</v>
      </c>
      <c r="F378">
        <v>623</v>
      </c>
    </row>
    <row r="379" spans="1:6" ht="12.75">
      <c r="A379" s="2">
        <v>43885.611203703702</v>
      </c>
      <c r="B379" t="str">
        <f>HYPERLINK("https://twitter.com/mba_gita","@mba_gita")</f>
        <v>@mba_gita</v>
      </c>
      <c r="C379" t="s">
        <v>2166</v>
      </c>
      <c r="D379">
        <v>361</v>
      </c>
      <c r="E379">
        <v>0</v>
      </c>
      <c r="F379">
        <v>104</v>
      </c>
    </row>
    <row r="380" spans="1:6" ht="12.75">
      <c r="A380" s="2">
        <v>43885.610682870371</v>
      </c>
      <c r="B380" t="str">
        <f>HYPERLINK("https://twitter.com/ShatrieyoIreng","@ShatrieyoIreng")</f>
        <v>@ShatrieyoIreng</v>
      </c>
      <c r="C380" t="s">
        <v>2352</v>
      </c>
      <c r="D380">
        <v>0</v>
      </c>
      <c r="E380">
        <v>0</v>
      </c>
      <c r="F380">
        <v>638</v>
      </c>
    </row>
    <row r="381" spans="1:6" ht="12.75">
      <c r="A381" s="2">
        <v>43885.610625000001</v>
      </c>
      <c r="B381" t="str">
        <f>HYPERLINK("https://twitter.com/dohelmifasolasi","@dohelmifasolasi")</f>
        <v>@dohelmifasolasi</v>
      </c>
      <c r="C381" t="s">
        <v>2091</v>
      </c>
      <c r="D381">
        <v>1323</v>
      </c>
      <c r="E381">
        <v>0</v>
      </c>
      <c r="F381">
        <v>362</v>
      </c>
    </row>
    <row r="382" spans="1:6" ht="12.75">
      <c r="A382" s="2">
        <v>43885.610497685186</v>
      </c>
      <c r="B382" t="str">
        <f>HYPERLINK("https://twitter.com/haruklight","@haruklight")</f>
        <v>@haruklight</v>
      </c>
      <c r="C382" t="s">
        <v>321</v>
      </c>
      <c r="D382">
        <v>1822</v>
      </c>
      <c r="E382">
        <v>0</v>
      </c>
      <c r="F382">
        <v>466</v>
      </c>
    </row>
    <row r="383" spans="1:6" ht="12.75">
      <c r="A383" s="2">
        <v>43885.610069444447</v>
      </c>
      <c r="B383" t="str">
        <f>HYPERLINK("https://twitter.com/teruko1206","@teruko1206")</f>
        <v>@teruko1206</v>
      </c>
      <c r="C383" t="s">
        <v>738</v>
      </c>
      <c r="D383">
        <v>423</v>
      </c>
      <c r="E383">
        <v>0</v>
      </c>
      <c r="F383">
        <v>2446</v>
      </c>
    </row>
    <row r="384" spans="1:6" ht="12.75">
      <c r="A384" s="2">
        <v>43885.610034722224</v>
      </c>
      <c r="B384" t="str">
        <f>HYPERLINK("https://twitter.com/Beritasatu","@Beritasatu")</f>
        <v>@Beritasatu</v>
      </c>
      <c r="C384" t="s">
        <v>2353</v>
      </c>
      <c r="D384">
        <v>0</v>
      </c>
      <c r="E384">
        <v>0</v>
      </c>
      <c r="F384">
        <v>615722</v>
      </c>
    </row>
    <row r="385" spans="1:6" ht="12.75">
      <c r="A385" s="2">
        <v>43885.609895833331</v>
      </c>
      <c r="B385" t="str">
        <f>HYPERLINK("https://twitter.com/kikyrahmaaa","@kikyrahmaaa")</f>
        <v>@kikyrahmaaa</v>
      </c>
      <c r="C385" t="s">
        <v>2091</v>
      </c>
      <c r="D385">
        <v>1323</v>
      </c>
      <c r="E385">
        <v>0</v>
      </c>
      <c r="F385">
        <v>667</v>
      </c>
    </row>
    <row r="386" spans="1:6" ht="12.75">
      <c r="A386" s="2">
        <v>43885.609826388885</v>
      </c>
      <c r="B386" t="str">
        <f>HYPERLINK("https://twitter.com/Harry_goman","@Harry_goman")</f>
        <v>@Harry_goman</v>
      </c>
      <c r="C386" t="s">
        <v>2166</v>
      </c>
      <c r="D386">
        <v>361</v>
      </c>
      <c r="E386">
        <v>0</v>
      </c>
      <c r="F386">
        <v>143</v>
      </c>
    </row>
    <row r="387" spans="1:6" ht="12.75">
      <c r="A387" s="2">
        <v>43885.609803240739</v>
      </c>
      <c r="B387" t="str">
        <f>HYPERLINK("https://twitter.com/IkanAsapBara","@IkanAsapBara")</f>
        <v>@IkanAsapBara</v>
      </c>
      <c r="C387" t="s">
        <v>1865</v>
      </c>
      <c r="D387">
        <v>8</v>
      </c>
      <c r="E387">
        <v>0</v>
      </c>
      <c r="F387">
        <v>169</v>
      </c>
    </row>
    <row r="388" spans="1:6" ht="12.75">
      <c r="A388" s="2">
        <v>43885.609803240739</v>
      </c>
      <c r="B388" t="str">
        <f>HYPERLINK("https://twitter.com/ramotgun","@ramotgun")</f>
        <v>@ramotgun</v>
      </c>
      <c r="C388" t="s">
        <v>2103</v>
      </c>
      <c r="D388">
        <v>60</v>
      </c>
      <c r="E388">
        <v>0</v>
      </c>
      <c r="F388">
        <v>1690</v>
      </c>
    </row>
    <row r="389" spans="1:6" ht="12.75">
      <c r="A389" s="2">
        <v>43885.609722222223</v>
      </c>
      <c r="B389" t="str">
        <f>HYPERLINK("https://twitter.com/z_piratesrocks3","@z_piratesrocks3")</f>
        <v>@z_piratesrocks3</v>
      </c>
      <c r="C389" t="s">
        <v>738</v>
      </c>
      <c r="D389">
        <v>423</v>
      </c>
      <c r="E389">
        <v>0</v>
      </c>
      <c r="F389">
        <v>1691</v>
      </c>
    </row>
    <row r="390" spans="1:6" ht="12.75">
      <c r="A390" s="2">
        <v>43885.609629629631</v>
      </c>
      <c r="B390" t="str">
        <f>HYPERLINK("https://twitter.com/AhmadIstofi","@AhmadIstofi")</f>
        <v>@AhmadIstofi</v>
      </c>
      <c r="C390" t="s">
        <v>2166</v>
      </c>
      <c r="D390">
        <v>361</v>
      </c>
      <c r="E390">
        <v>0</v>
      </c>
      <c r="F390">
        <v>154</v>
      </c>
    </row>
    <row r="391" spans="1:6" ht="12.75">
      <c r="A391" s="2">
        <v>43885.609456018516</v>
      </c>
      <c r="B391" t="str">
        <f>HYPERLINK("https://twitter.com/abcdefaizzz","@abcdefaizzz")</f>
        <v>@abcdefaizzz</v>
      </c>
      <c r="C391" t="s">
        <v>2091</v>
      </c>
      <c r="D391">
        <v>1323</v>
      </c>
      <c r="E391">
        <v>0</v>
      </c>
      <c r="F391">
        <v>96</v>
      </c>
    </row>
    <row r="392" spans="1:6" ht="12.75">
      <c r="A392" s="2">
        <v>43885.609444444446</v>
      </c>
      <c r="B392" t="str">
        <f>HYPERLINK("https://twitter.com/airmagzcom","@airmagzcom")</f>
        <v>@airmagzcom</v>
      </c>
      <c r="C392" t="s">
        <v>2354</v>
      </c>
      <c r="D392">
        <v>0</v>
      </c>
      <c r="E392">
        <v>0</v>
      </c>
      <c r="F392">
        <v>130</v>
      </c>
    </row>
    <row r="393" spans="1:6" ht="12.75">
      <c r="A393" s="2">
        <v>43885.609317129631</v>
      </c>
      <c r="B393" t="str">
        <f>HYPERLINK("https://twitter.com/didienAZHAR","@didienAZHAR")</f>
        <v>@didienAZHAR</v>
      </c>
      <c r="C393" t="s">
        <v>2302</v>
      </c>
      <c r="D393">
        <v>2</v>
      </c>
      <c r="E393">
        <v>0</v>
      </c>
      <c r="F393">
        <v>22624</v>
      </c>
    </row>
    <row r="394" spans="1:6" ht="12.75">
      <c r="A394" s="2">
        <v>43885.609293981484</v>
      </c>
      <c r="B394" t="str">
        <f>HYPERLINK("https://twitter.com/ardynshufi","@ardynshufi")</f>
        <v>@ardynshufi</v>
      </c>
      <c r="C394" t="s">
        <v>2355</v>
      </c>
      <c r="D394">
        <v>1</v>
      </c>
      <c r="E394">
        <v>1</v>
      </c>
      <c r="F394">
        <v>4810</v>
      </c>
    </row>
    <row r="395" spans="1:6" ht="12.75">
      <c r="A395" s="2">
        <v>43885.609085648146</v>
      </c>
      <c r="B395" t="str">
        <f>HYPERLINK("https://twitter.com/RasyidAlfarabi","@RasyidAlfarabi")</f>
        <v>@RasyidAlfarabi</v>
      </c>
      <c r="C395" t="s">
        <v>738</v>
      </c>
      <c r="D395">
        <v>423</v>
      </c>
      <c r="E395">
        <v>0</v>
      </c>
      <c r="F395">
        <v>114</v>
      </c>
    </row>
    <row r="396" spans="1:6" ht="12.75">
      <c r="A396" s="2">
        <v>43885.608935185184</v>
      </c>
      <c r="B396" t="str">
        <f>HYPERLINK("https://twitter.com/indoposonline","@indoposonline")</f>
        <v>@indoposonline</v>
      </c>
      <c r="C396" t="s">
        <v>2356</v>
      </c>
      <c r="D396">
        <v>0</v>
      </c>
      <c r="E396">
        <v>0</v>
      </c>
      <c r="F396">
        <v>3563</v>
      </c>
    </row>
    <row r="397" spans="1:6" ht="12.75">
      <c r="A397" s="2">
        <v>43885.608888888892</v>
      </c>
      <c r="B397" t="str">
        <f>HYPERLINK("https://twitter.com/ReiMichie99","@ReiMichie99")</f>
        <v>@ReiMichie99</v>
      </c>
      <c r="C397" t="s">
        <v>2357</v>
      </c>
      <c r="D397">
        <v>0</v>
      </c>
      <c r="E397">
        <v>0</v>
      </c>
      <c r="F397">
        <v>12</v>
      </c>
    </row>
    <row r="398" spans="1:6" ht="12.75">
      <c r="A398" s="2">
        <v>43885.608657407407</v>
      </c>
      <c r="B398" t="str">
        <f>HYPERLINK("https://twitter.com/NVelolo","@NVelolo")</f>
        <v>@NVelolo</v>
      </c>
      <c r="C398" t="s">
        <v>2358</v>
      </c>
      <c r="D398">
        <v>0</v>
      </c>
      <c r="E398">
        <v>0</v>
      </c>
      <c r="F398">
        <v>8</v>
      </c>
    </row>
    <row r="399" spans="1:6" ht="12.75">
      <c r="A399" s="2">
        <v>43885.608576388884</v>
      </c>
      <c r="B399" t="str">
        <f>HYPERLINK("https://twitter.com/Beritasatu","@Beritasatu")</f>
        <v>@Beritasatu</v>
      </c>
      <c r="C399" t="s">
        <v>2353</v>
      </c>
      <c r="D399">
        <v>0</v>
      </c>
      <c r="E399">
        <v>0</v>
      </c>
      <c r="F399">
        <v>615722</v>
      </c>
    </row>
    <row r="400" spans="1:6" ht="12.75">
      <c r="A400" s="2">
        <v>43885.608055555553</v>
      </c>
      <c r="B400" t="str">
        <f>HYPERLINK("https://twitter.com/lonelyman","@lonelyman")</f>
        <v>@lonelyman</v>
      </c>
      <c r="C400" t="s">
        <v>321</v>
      </c>
      <c r="D400">
        <v>1822</v>
      </c>
      <c r="E400">
        <v>0</v>
      </c>
      <c r="F400">
        <v>584</v>
      </c>
    </row>
    <row r="401" spans="1:6" ht="12.75">
      <c r="A401" s="2">
        <v>43885.607800925922</v>
      </c>
      <c r="B401" t="str">
        <f>HYPERLINK("https://twitter.com/obyeto","@obyeto")</f>
        <v>@obyeto</v>
      </c>
      <c r="C401" t="s">
        <v>321</v>
      </c>
      <c r="D401">
        <v>1822</v>
      </c>
      <c r="E401">
        <v>0</v>
      </c>
      <c r="F401">
        <v>167</v>
      </c>
    </row>
    <row r="402" spans="1:6" ht="12.75">
      <c r="A402" s="2">
        <v>43885.607662037037</v>
      </c>
      <c r="B402" t="str">
        <f>HYPERLINK("https://twitter.com/BayuKhrisna14","@BayuKhrisna14")</f>
        <v>@BayuKhrisna14</v>
      </c>
      <c r="C402" t="s">
        <v>2103</v>
      </c>
      <c r="D402">
        <v>60</v>
      </c>
      <c r="E402">
        <v>0</v>
      </c>
      <c r="F402">
        <v>624</v>
      </c>
    </row>
    <row r="403" spans="1:6" ht="12.75">
      <c r="A403" s="2">
        <v>43885.584699074076</v>
      </c>
      <c r="B403" t="str">
        <f>HYPERLINK("https://twitter.com/okezonenews","@okezonenews")</f>
        <v>@okezonenews</v>
      </c>
      <c r="C403" t="s">
        <v>2359</v>
      </c>
      <c r="D403">
        <v>0</v>
      </c>
      <c r="E403">
        <v>0</v>
      </c>
      <c r="F403">
        <v>1743470</v>
      </c>
    </row>
    <row r="404" spans="1:6" ht="12.75">
      <c r="A404" s="2">
        <v>43885.584618055553</v>
      </c>
      <c r="B404" t="str">
        <f>HYPERLINK("https://twitter.com/vierda","@vierda")</f>
        <v>@vierda</v>
      </c>
      <c r="C404" t="s">
        <v>2360</v>
      </c>
      <c r="D404">
        <v>0</v>
      </c>
      <c r="E404">
        <v>0</v>
      </c>
      <c r="F404">
        <v>14677</v>
      </c>
    </row>
    <row r="405" spans="1:6" ht="12.75">
      <c r="A405" s="2">
        <v>43885.583912037036</v>
      </c>
      <c r="B405" t="str">
        <f>HYPERLINK("https://twitter.com/yennisadja","@yennisadja")</f>
        <v>@yennisadja</v>
      </c>
      <c r="C405" t="s">
        <v>2090</v>
      </c>
      <c r="D405">
        <v>32</v>
      </c>
      <c r="E405">
        <v>0</v>
      </c>
      <c r="F405">
        <v>333</v>
      </c>
    </row>
    <row r="406" spans="1:6" ht="12.75">
      <c r="A406" s="2">
        <v>43885.583877314813</v>
      </c>
      <c r="B406" t="str">
        <f>HYPERLINK("https://twitter.com/jjsoul8","@jjsoul8")</f>
        <v>@jjsoul8</v>
      </c>
      <c r="C406" t="s">
        <v>321</v>
      </c>
      <c r="D406">
        <v>1774</v>
      </c>
      <c r="E406">
        <v>0</v>
      </c>
      <c r="F406">
        <v>820</v>
      </c>
    </row>
    <row r="407" spans="1:6" ht="12.75">
      <c r="A407" s="2">
        <v>43885.58384259259</v>
      </c>
      <c r="B407" t="str">
        <f>HYPERLINK("https://twitter.com/RatHamHam","@RatHamHam")</f>
        <v>@RatHamHam</v>
      </c>
      <c r="C407" t="s">
        <v>321</v>
      </c>
      <c r="D407">
        <v>1774</v>
      </c>
      <c r="E407">
        <v>0</v>
      </c>
      <c r="F407">
        <v>986</v>
      </c>
    </row>
    <row r="408" spans="1:6" ht="12.75">
      <c r="A408" s="2">
        <v>43885.583807870367</v>
      </c>
      <c r="B408" t="str">
        <f>HYPERLINK("https://twitter.com/paspa1027","@paspa1027")</f>
        <v>@paspa1027</v>
      </c>
      <c r="C408" t="s">
        <v>738</v>
      </c>
      <c r="D408">
        <v>406</v>
      </c>
      <c r="E408">
        <v>0</v>
      </c>
      <c r="F408">
        <v>227</v>
      </c>
    </row>
    <row r="409" spans="1:6" ht="12.75">
      <c r="A409" s="2">
        <v>43885.58357638889</v>
      </c>
      <c r="B409" t="str">
        <f>HYPERLINK("https://twitter.com/endanghidayat","@endanghidayat")</f>
        <v>@endanghidayat</v>
      </c>
      <c r="C409" t="s">
        <v>2166</v>
      </c>
      <c r="D409">
        <v>353</v>
      </c>
      <c r="E409">
        <v>0</v>
      </c>
      <c r="F409">
        <v>626</v>
      </c>
    </row>
    <row r="410" spans="1:6" ht="12.75">
      <c r="A410" s="2">
        <v>43885.583252314813</v>
      </c>
      <c r="B410" t="str">
        <f>HYPERLINK("https://twitter.com/FerdyPacul","@FerdyPacul")</f>
        <v>@FerdyPacul</v>
      </c>
      <c r="C410" t="s">
        <v>2361</v>
      </c>
      <c r="D410">
        <v>0</v>
      </c>
      <c r="E410">
        <v>0</v>
      </c>
      <c r="F410">
        <v>290</v>
      </c>
    </row>
    <row r="411" spans="1:6" ht="12.75">
      <c r="A411" s="2">
        <v>43885.58321759259</v>
      </c>
      <c r="B411" t="str">
        <f>HYPERLINK("https://twitter.com/bukubukumikawa","@bukubukumikawa")</f>
        <v>@bukubukumikawa</v>
      </c>
      <c r="C411" t="s">
        <v>321</v>
      </c>
      <c r="D411">
        <v>1774</v>
      </c>
      <c r="E411">
        <v>0</v>
      </c>
      <c r="F411">
        <v>148</v>
      </c>
    </row>
    <row r="412" spans="1:6" ht="12.75">
      <c r="A412" s="2">
        <v>43885.582905092597</v>
      </c>
      <c r="B412" t="str">
        <f>HYPERLINK("https://twitter.com/gresnewsdotcom","@gresnewsdotcom")</f>
        <v>@gresnewsdotcom</v>
      </c>
      <c r="C412" t="s">
        <v>2362</v>
      </c>
      <c r="D412">
        <v>0</v>
      </c>
      <c r="E412">
        <v>0</v>
      </c>
      <c r="F412">
        <v>16720</v>
      </c>
    </row>
    <row r="413" spans="1:6" ht="12.75">
      <c r="A413" s="2">
        <v>43885.582546296297</v>
      </c>
      <c r="B413" t="str">
        <f>HYPERLINK("https://twitter.com/DuPouvoirDachat","@DuPouvoirDachat")</f>
        <v>@DuPouvoirDachat</v>
      </c>
      <c r="C413" t="s">
        <v>2363</v>
      </c>
      <c r="D413">
        <v>1</v>
      </c>
      <c r="E413">
        <v>0</v>
      </c>
      <c r="F413">
        <v>6306</v>
      </c>
    </row>
    <row r="414" spans="1:6" ht="12.75">
      <c r="A414" s="2">
        <v>43885.582418981481</v>
      </c>
      <c r="B414" t="str">
        <f>HYPERLINK("https://twitter.com/marpaung913","@marpaung913")</f>
        <v>@marpaung913</v>
      </c>
      <c r="C414" t="s">
        <v>2364</v>
      </c>
      <c r="D414">
        <v>0</v>
      </c>
      <c r="E414">
        <v>0</v>
      </c>
      <c r="F414">
        <v>526</v>
      </c>
    </row>
    <row r="415" spans="1:6" ht="12.75">
      <c r="A415" s="2">
        <v>43885.582141203704</v>
      </c>
      <c r="B415" t="str">
        <f>HYPERLINK("https://twitter.com/TlDemit","@TlDemit")</f>
        <v>@TlDemit</v>
      </c>
      <c r="C415" t="s">
        <v>2365</v>
      </c>
      <c r="D415">
        <v>0</v>
      </c>
      <c r="E415">
        <v>0</v>
      </c>
      <c r="F415">
        <v>565</v>
      </c>
    </row>
    <row r="416" spans="1:6" ht="12.75">
      <c r="A416" s="2">
        <v>43885.581666666665</v>
      </c>
      <c r="B416" t="str">
        <f>HYPERLINK("https://twitter.com/yunicSwandewy_","@yunicSwandewy_")</f>
        <v>@yunicSwandewy_</v>
      </c>
      <c r="C416" t="s">
        <v>321</v>
      </c>
      <c r="D416">
        <v>1774</v>
      </c>
      <c r="E416">
        <v>0</v>
      </c>
      <c r="F416">
        <v>736</v>
      </c>
    </row>
    <row r="417" spans="1:6" ht="12.75">
      <c r="A417" s="2">
        <v>43885.581597222219</v>
      </c>
      <c r="B417" t="str">
        <f>HYPERLINK("https://twitter.com/JoePhiyo","@JoePhiyo")</f>
        <v>@JoePhiyo</v>
      </c>
      <c r="C417" t="s">
        <v>2082</v>
      </c>
      <c r="D417">
        <v>1</v>
      </c>
      <c r="E417">
        <v>0</v>
      </c>
      <c r="F417">
        <v>2289</v>
      </c>
    </row>
    <row r="418" spans="1:6" ht="12.75">
      <c r="A418" s="2">
        <v>43885.581527777773</v>
      </c>
      <c r="B418" t="str">
        <f t="shared" ref="B418:B419" si="11">HYPERLINK("https://twitter.com/dragonquestion_","@dragonquestion_")</f>
        <v>@dragonquestion_</v>
      </c>
      <c r="C418" t="s">
        <v>2120</v>
      </c>
      <c r="D418">
        <v>89</v>
      </c>
      <c r="E418">
        <v>0</v>
      </c>
      <c r="F418">
        <v>336</v>
      </c>
    </row>
    <row r="419" spans="1:6" ht="12.75">
      <c r="A419" s="2">
        <v>43885.581493055557</v>
      </c>
      <c r="B419" t="str">
        <f t="shared" si="11"/>
        <v>@dragonquestion_</v>
      </c>
      <c r="C419" t="s">
        <v>2115</v>
      </c>
      <c r="D419">
        <v>94</v>
      </c>
      <c r="E419">
        <v>0</v>
      </c>
      <c r="F419">
        <v>336</v>
      </c>
    </row>
    <row r="420" spans="1:6" ht="12.75">
      <c r="A420" s="2">
        <v>43885.58148148148</v>
      </c>
      <c r="B420" t="str">
        <f>HYPERLINK("https://twitter.com/CokelatKeju12","@CokelatKeju12")</f>
        <v>@CokelatKeju12</v>
      </c>
      <c r="C420" t="s">
        <v>2366</v>
      </c>
      <c r="D420">
        <v>0</v>
      </c>
      <c r="E420">
        <v>0</v>
      </c>
      <c r="F420">
        <v>7</v>
      </c>
    </row>
    <row r="421" spans="1:6" ht="12.75">
      <c r="A421" s="2">
        <v>43885.581226851849</v>
      </c>
      <c r="B421" t="str">
        <f>HYPERLINK("https://twitter.com/dragonquestion_","@dragonquestion_")</f>
        <v>@dragonquestion_</v>
      </c>
      <c r="C421" t="s">
        <v>738</v>
      </c>
      <c r="D421">
        <v>406</v>
      </c>
      <c r="E421">
        <v>0</v>
      </c>
      <c r="F421">
        <v>336</v>
      </c>
    </row>
    <row r="422" spans="1:6" ht="12.75">
      <c r="A422" s="2">
        <v>43885.581018518518</v>
      </c>
      <c r="B422" t="str">
        <f>HYPERLINK("https://twitter.com/eef_heryanto","@eef_heryanto")</f>
        <v>@eef_heryanto</v>
      </c>
      <c r="C422" t="s">
        <v>2169</v>
      </c>
      <c r="D422">
        <v>7</v>
      </c>
      <c r="E422">
        <v>0</v>
      </c>
      <c r="F422">
        <v>344</v>
      </c>
    </row>
    <row r="423" spans="1:6" ht="12.75">
      <c r="A423" s="2">
        <v>43885.580972222218</v>
      </c>
      <c r="B423" t="str">
        <f>HYPERLINK("https://twitter.com/antarajatimcom","@antarajatimcom")</f>
        <v>@antarajatimcom</v>
      </c>
      <c r="C423" t="s">
        <v>2367</v>
      </c>
      <c r="D423">
        <v>0</v>
      </c>
      <c r="E423">
        <v>0</v>
      </c>
      <c r="F423">
        <v>837</v>
      </c>
    </row>
    <row r="424" spans="1:6" ht="12.75">
      <c r="A424" s="2">
        <v>43885.580879629633</v>
      </c>
      <c r="B424" t="str">
        <f>HYPERLINK("https://twitter.com/nanahapsari","@nanahapsari")</f>
        <v>@nanahapsari</v>
      </c>
      <c r="C424" t="s">
        <v>2368</v>
      </c>
      <c r="D424">
        <v>0</v>
      </c>
      <c r="E424">
        <v>0</v>
      </c>
      <c r="F424">
        <v>633</v>
      </c>
    </row>
    <row r="425" spans="1:6" ht="12.75">
      <c r="A425" s="2">
        <v>43885.580717592587</v>
      </c>
      <c r="B425" t="str">
        <f>HYPERLINK("https://twitter.com/EugeneTokio","@EugeneTokio")</f>
        <v>@EugeneTokio</v>
      </c>
      <c r="C425" t="s">
        <v>321</v>
      </c>
      <c r="D425">
        <v>1774</v>
      </c>
      <c r="E425">
        <v>0</v>
      </c>
      <c r="F425">
        <v>4171</v>
      </c>
    </row>
    <row r="426" spans="1:6" ht="12.75">
      <c r="A426" s="2">
        <v>43885.580567129626</v>
      </c>
      <c r="B426" t="str">
        <f>HYPERLINK("https://twitter.com/nanahapsari","@nanahapsari")</f>
        <v>@nanahapsari</v>
      </c>
      <c r="C426" t="s">
        <v>2369</v>
      </c>
      <c r="D426">
        <v>0</v>
      </c>
      <c r="E426">
        <v>0</v>
      </c>
      <c r="F426">
        <v>633</v>
      </c>
    </row>
    <row r="427" spans="1:6" ht="12.75">
      <c r="A427" s="2">
        <v>43885.580532407403</v>
      </c>
      <c r="B427" t="str">
        <f>HYPERLINK("https://twitter.com/followZhie","@followZhie")</f>
        <v>@followZhie</v>
      </c>
      <c r="C427" t="s">
        <v>2370</v>
      </c>
      <c r="D427">
        <v>760</v>
      </c>
      <c r="E427">
        <v>0</v>
      </c>
      <c r="F427">
        <v>745</v>
      </c>
    </row>
    <row r="428" spans="1:6" ht="12.75">
      <c r="A428" s="2">
        <v>43885.580509259264</v>
      </c>
      <c r="B428" t="str">
        <f>HYPERLINK("https://twitter.com/Addie97039280","@Addie97039280")</f>
        <v>@Addie97039280</v>
      </c>
      <c r="C428" t="s">
        <v>2371</v>
      </c>
      <c r="D428">
        <v>3</v>
      </c>
      <c r="E428">
        <v>0</v>
      </c>
      <c r="F428">
        <v>484</v>
      </c>
    </row>
    <row r="429" spans="1:6" ht="12.75">
      <c r="A429" s="2">
        <v>43885.580347222218</v>
      </c>
      <c r="B429" t="str">
        <f>HYPERLINK("https://twitter.com/Braderhood16","@Braderhood16")</f>
        <v>@Braderhood16</v>
      </c>
      <c r="C429" t="s">
        <v>2172</v>
      </c>
      <c r="D429">
        <v>5</v>
      </c>
      <c r="E429">
        <v>0</v>
      </c>
      <c r="F429">
        <v>186</v>
      </c>
    </row>
    <row r="430" spans="1:6" ht="12.75">
      <c r="A430" s="2">
        <v>43885.580335648148</v>
      </c>
      <c r="B430" t="str">
        <f>HYPERLINK("https://twitter.com/samuel_lieeem_","@samuel_lieeem_")</f>
        <v>@samuel_lieeem_</v>
      </c>
      <c r="C430" t="s">
        <v>2091</v>
      </c>
      <c r="D430">
        <v>1300</v>
      </c>
      <c r="E430">
        <v>0</v>
      </c>
      <c r="F430">
        <v>4</v>
      </c>
    </row>
    <row r="431" spans="1:6" ht="12.75">
      <c r="A431" s="2">
        <v>43885.580324074079</v>
      </c>
      <c r="B431" t="str">
        <f>HYPERLINK("https://twitter.com/followZhie","@followZhie")</f>
        <v>@followZhie</v>
      </c>
      <c r="C431" t="s">
        <v>2372</v>
      </c>
      <c r="D431">
        <v>551</v>
      </c>
      <c r="E431">
        <v>0</v>
      </c>
      <c r="F431">
        <v>745</v>
      </c>
    </row>
    <row r="432" spans="1:6" ht="12.75">
      <c r="A432" s="2">
        <v>43885.579965277779</v>
      </c>
      <c r="B432" t="str">
        <f>HYPERLINK("https://twitter.com/R13243278","@R13243278")</f>
        <v>@R13243278</v>
      </c>
      <c r="C432" t="s">
        <v>738</v>
      </c>
      <c r="D432">
        <v>406</v>
      </c>
      <c r="E432">
        <v>0</v>
      </c>
      <c r="F432">
        <v>205</v>
      </c>
    </row>
    <row r="433" spans="1:6" ht="12.75">
      <c r="A433" s="2">
        <v>43885.579791666663</v>
      </c>
      <c r="B433" t="str">
        <f>HYPERLINK("https://twitter.com/followZhie","@followZhie")</f>
        <v>@followZhie</v>
      </c>
      <c r="C433" t="s">
        <v>2373</v>
      </c>
      <c r="D433">
        <v>288</v>
      </c>
      <c r="E433">
        <v>0</v>
      </c>
      <c r="F433">
        <v>745</v>
      </c>
    </row>
    <row r="434" spans="1:6" ht="12.75">
      <c r="A434" s="2">
        <v>43885.579687500001</v>
      </c>
      <c r="B434" t="str">
        <f>HYPERLINK("https://twitter.com/MRezaforbid","@MRezaforbid")</f>
        <v>@MRezaforbid</v>
      </c>
      <c r="C434" t="s">
        <v>2374</v>
      </c>
      <c r="D434">
        <v>0</v>
      </c>
      <c r="E434">
        <v>0</v>
      </c>
      <c r="F434">
        <v>463</v>
      </c>
    </row>
    <row r="435" spans="1:6" ht="12.75">
      <c r="A435" s="2">
        <v>43885.579652777778</v>
      </c>
      <c r="B435" t="str">
        <f>HYPERLINK("https://twitter.com/hermana_t","@hermana_t")</f>
        <v>@hermana_t</v>
      </c>
      <c r="C435" t="s">
        <v>2375</v>
      </c>
      <c r="D435">
        <v>1</v>
      </c>
      <c r="E435">
        <v>1</v>
      </c>
      <c r="F435">
        <v>10634</v>
      </c>
    </row>
    <row r="436" spans="1:6" ht="12.75">
      <c r="A436" s="2">
        <v>43885.579560185186</v>
      </c>
      <c r="B436" t="str">
        <f>HYPERLINK("https://twitter.com/wow_keren","@wow_keren")</f>
        <v>@wow_keren</v>
      </c>
      <c r="C436" t="s">
        <v>2376</v>
      </c>
      <c r="D436">
        <v>0</v>
      </c>
      <c r="E436">
        <v>0</v>
      </c>
      <c r="F436">
        <v>32013</v>
      </c>
    </row>
    <row r="437" spans="1:6" ht="12.75">
      <c r="A437" s="2">
        <v>43885.57949074074</v>
      </c>
      <c r="B437" t="str">
        <f>HYPERLINK("https://twitter.com/aris_apuesto","@aris_apuesto")</f>
        <v>@aris_apuesto</v>
      </c>
      <c r="C437" t="s">
        <v>2172</v>
      </c>
      <c r="D437">
        <v>5</v>
      </c>
      <c r="E437">
        <v>0</v>
      </c>
      <c r="F437">
        <v>428</v>
      </c>
    </row>
    <row r="438" spans="1:6" ht="12.75">
      <c r="A438" s="2">
        <v>43885.579293981486</v>
      </c>
      <c r="B438" t="str">
        <f>HYPERLINK("https://twitter.com/R13243278","@R13243278")</f>
        <v>@R13243278</v>
      </c>
      <c r="C438" t="s">
        <v>321</v>
      </c>
      <c r="D438">
        <v>1774</v>
      </c>
      <c r="E438">
        <v>0</v>
      </c>
      <c r="F438">
        <v>205</v>
      </c>
    </row>
    <row r="439" spans="1:6" ht="12.75">
      <c r="A439" s="2">
        <v>43885.579155092593</v>
      </c>
      <c r="B439" t="str">
        <f>HYPERLINK("https://twitter.com/morisabaru","@morisabaru")</f>
        <v>@morisabaru</v>
      </c>
      <c r="C439" t="s">
        <v>738</v>
      </c>
      <c r="D439">
        <v>406</v>
      </c>
      <c r="E439">
        <v>0</v>
      </c>
      <c r="F439">
        <v>852</v>
      </c>
    </row>
    <row r="440" spans="1:6" ht="12.75">
      <c r="A440" s="2">
        <v>43885.579143518524</v>
      </c>
      <c r="B440" t="str">
        <f>HYPERLINK("https://twitter.com/norikazu_oya","@norikazu_oya")</f>
        <v>@norikazu_oya</v>
      </c>
      <c r="C440" t="s">
        <v>738</v>
      </c>
      <c r="D440">
        <v>406</v>
      </c>
      <c r="E440">
        <v>0</v>
      </c>
      <c r="F440">
        <v>105</v>
      </c>
    </row>
    <row r="441" spans="1:6" ht="12.75">
      <c r="A441" s="2">
        <v>43885.57913194444</v>
      </c>
      <c r="B441" t="str">
        <f>HYPERLINK("https://twitter.com/tamasaburou_A","@tamasaburou_A")</f>
        <v>@tamasaburou_A</v>
      </c>
      <c r="C441" t="s">
        <v>738</v>
      </c>
      <c r="D441">
        <v>406</v>
      </c>
      <c r="E441">
        <v>0</v>
      </c>
      <c r="F441">
        <v>462</v>
      </c>
    </row>
    <row r="442" spans="1:6" ht="12.75">
      <c r="A442" s="2">
        <v>43885.579039351855</v>
      </c>
      <c r="B442" t="str">
        <f>HYPERLINK("https://twitter.com/ih7f11","@ih7f11")</f>
        <v>@ih7f11</v>
      </c>
      <c r="C442" t="s">
        <v>321</v>
      </c>
      <c r="D442">
        <v>1774</v>
      </c>
      <c r="E442">
        <v>0</v>
      </c>
      <c r="F442">
        <v>15</v>
      </c>
    </row>
    <row r="443" spans="1:6" ht="12.75">
      <c r="A443" s="2">
        <v>43885.578981481478</v>
      </c>
      <c r="B443" t="str">
        <f>HYPERLINK("https://twitter.com/Callmehardy_","@Callmehardy_")</f>
        <v>@Callmehardy_</v>
      </c>
      <c r="C443" t="s">
        <v>2377</v>
      </c>
      <c r="D443">
        <v>0</v>
      </c>
      <c r="E443">
        <v>0</v>
      </c>
      <c r="F443">
        <v>6</v>
      </c>
    </row>
    <row r="444" spans="1:6" ht="12.75">
      <c r="A444" s="2">
        <v>43885.578935185185</v>
      </c>
      <c r="B444" t="str">
        <f>HYPERLINK("https://twitter.com/aris_apuesto","@aris_apuesto")</f>
        <v>@aris_apuesto</v>
      </c>
      <c r="C444" t="s">
        <v>321</v>
      </c>
      <c r="D444">
        <v>1774</v>
      </c>
      <c r="E444">
        <v>0</v>
      </c>
      <c r="F444">
        <v>428</v>
      </c>
    </row>
    <row r="445" spans="1:6" ht="12.75">
      <c r="A445" s="2">
        <v>43885.57849537037</v>
      </c>
      <c r="B445" t="str">
        <f>HYPERLINK("https://twitter.com/tele1962","@tele1962")</f>
        <v>@tele1962</v>
      </c>
      <c r="C445" t="s">
        <v>321</v>
      </c>
      <c r="D445">
        <v>1774</v>
      </c>
      <c r="E445">
        <v>0</v>
      </c>
      <c r="F445">
        <v>433</v>
      </c>
    </row>
    <row r="446" spans="1:6" ht="12.75">
      <c r="A446" s="2">
        <v>43885.578425925924</v>
      </c>
      <c r="B446" t="str">
        <f>HYPERLINK("https://twitter.com/followZhie","@followZhie")</f>
        <v>@followZhie</v>
      </c>
      <c r="C446" t="s">
        <v>513</v>
      </c>
      <c r="D446">
        <v>23266</v>
      </c>
      <c r="E446">
        <v>0</v>
      </c>
      <c r="F446">
        <v>745</v>
      </c>
    </row>
    <row r="447" spans="1:6" ht="12.75">
      <c r="A447" s="2">
        <v>43885.577511574069</v>
      </c>
      <c r="B447" t="str">
        <f>HYPERLINK("https://twitter.com/Lutiklekamin","@Lutiklekamin")</f>
        <v>@Lutiklekamin</v>
      </c>
      <c r="C447" t="s">
        <v>2378</v>
      </c>
      <c r="D447">
        <v>0</v>
      </c>
      <c r="E447">
        <v>0</v>
      </c>
      <c r="F447">
        <v>868</v>
      </c>
    </row>
    <row r="448" spans="1:6" ht="12.75">
      <c r="A448" s="2">
        <v>43885.576886574076</v>
      </c>
      <c r="B448" t="str">
        <f>HYPERLINK("https://twitter.com/idntimes","@idntimes")</f>
        <v>@idntimes</v>
      </c>
      <c r="C448" t="s">
        <v>2379</v>
      </c>
      <c r="D448">
        <v>0</v>
      </c>
      <c r="E448">
        <v>0</v>
      </c>
      <c r="F448">
        <v>393320</v>
      </c>
    </row>
    <row r="449" spans="1:6" ht="12.75">
      <c r="A449" s="2">
        <v>43885.576678240745</v>
      </c>
      <c r="B449" t="str">
        <f>HYPERLINK("https://twitter.com/yogapraditow","@yogapraditow")</f>
        <v>@yogapraditow</v>
      </c>
      <c r="C449" t="s">
        <v>2380</v>
      </c>
      <c r="D449">
        <v>2</v>
      </c>
      <c r="E449">
        <v>0</v>
      </c>
      <c r="F449">
        <v>411</v>
      </c>
    </row>
    <row r="450" spans="1:6" ht="12.75">
      <c r="A450" s="2">
        <v>43885.576516203699</v>
      </c>
      <c r="B450" t="str">
        <f>HYPERLINK("https://twitter.com/Orcasjp","@Orcasjp")</f>
        <v>@Orcasjp</v>
      </c>
      <c r="C450" t="s">
        <v>321</v>
      </c>
      <c r="D450">
        <v>1774</v>
      </c>
      <c r="E450">
        <v>0</v>
      </c>
      <c r="F450">
        <v>376</v>
      </c>
    </row>
    <row r="451" spans="1:6" ht="12.75">
      <c r="A451" s="2">
        <v>43885.576469907406</v>
      </c>
      <c r="B451" t="str">
        <f>HYPERLINK("https://twitter.com/Myg_santos","@Myg_santos")</f>
        <v>@Myg_santos</v>
      </c>
      <c r="C451" t="s">
        <v>2381</v>
      </c>
      <c r="D451">
        <v>0</v>
      </c>
      <c r="E451">
        <v>0</v>
      </c>
      <c r="F451">
        <v>101</v>
      </c>
    </row>
    <row r="452" spans="1:6" ht="12.75">
      <c r="A452" s="2">
        <v>43885.576423611114</v>
      </c>
      <c r="B452" t="str">
        <f>HYPERLINK("https://twitter.com/idntimes","@idntimes")</f>
        <v>@idntimes</v>
      </c>
      <c r="C452" t="s">
        <v>2382</v>
      </c>
      <c r="D452">
        <v>0</v>
      </c>
      <c r="E452">
        <v>1</v>
      </c>
      <c r="F452">
        <v>393320</v>
      </c>
    </row>
    <row r="453" spans="1:6" ht="12.75">
      <c r="A453" s="2">
        <v>43885.576053240744</v>
      </c>
      <c r="B453" t="str">
        <f>HYPERLINK("https://twitter.com/fjrlvn","@fjrlvn")</f>
        <v>@fjrlvn</v>
      </c>
      <c r="C453" t="s">
        <v>2091</v>
      </c>
      <c r="D453">
        <v>1300</v>
      </c>
      <c r="E453">
        <v>0</v>
      </c>
      <c r="F453">
        <v>283</v>
      </c>
    </row>
    <row r="454" spans="1:6" ht="12.75">
      <c r="A454" s="2">
        <v>43885.575983796298</v>
      </c>
      <c r="B454" t="str">
        <f>HYPERLINK("https://twitter.com/mediaindonesia","@mediaindonesia")</f>
        <v>@mediaindonesia</v>
      </c>
      <c r="C454" t="s">
        <v>2383</v>
      </c>
      <c r="D454">
        <v>1</v>
      </c>
      <c r="E454">
        <v>1</v>
      </c>
      <c r="F454">
        <v>1418372</v>
      </c>
    </row>
    <row r="455" spans="1:6" ht="12.75">
      <c r="A455" s="2">
        <v>43885.575833333336</v>
      </c>
      <c r="B455" t="str">
        <f>HYPERLINK("https://twitter.com/Azadin_akbar17","@Azadin_akbar17")</f>
        <v>@Azadin_akbar17</v>
      </c>
      <c r="C455" t="s">
        <v>2384</v>
      </c>
      <c r="D455">
        <v>0</v>
      </c>
      <c r="E455">
        <v>0</v>
      </c>
      <c r="F455">
        <v>255</v>
      </c>
    </row>
    <row r="456" spans="1:6" ht="12.75">
      <c r="A456" s="2">
        <v>43885.575601851851</v>
      </c>
      <c r="B456" t="str">
        <f>HYPERLINK("https://twitter.com/Tulang_Godang","@Tulang_Godang")</f>
        <v>@Tulang_Godang</v>
      </c>
      <c r="C456" t="s">
        <v>2385</v>
      </c>
      <c r="D456">
        <v>9</v>
      </c>
      <c r="E456">
        <v>0</v>
      </c>
      <c r="F456">
        <v>574</v>
      </c>
    </row>
    <row r="457" spans="1:6" ht="12.75">
      <c r="A457" s="2">
        <v>43885.575335648144</v>
      </c>
      <c r="B457" t="str">
        <f>HYPERLINK("https://twitter.com/masukanginnn","@masukanginnn")</f>
        <v>@masukanginnn</v>
      </c>
      <c r="C457" t="s">
        <v>2091</v>
      </c>
      <c r="D457">
        <v>1300</v>
      </c>
      <c r="E457">
        <v>0</v>
      </c>
      <c r="F457">
        <v>174</v>
      </c>
    </row>
    <row r="458" spans="1:6" ht="12.75">
      <c r="A458" s="2">
        <v>43885.574884259258</v>
      </c>
      <c r="B458" t="str">
        <f>HYPERLINK("https://twitter.com/Ruth_Djojoning","@Ruth_Djojoning")</f>
        <v>@Ruth_Djojoning</v>
      </c>
      <c r="C458" t="s">
        <v>2188</v>
      </c>
      <c r="D458">
        <v>6</v>
      </c>
      <c r="E458">
        <v>0</v>
      </c>
      <c r="F458">
        <v>2262</v>
      </c>
    </row>
    <row r="459" spans="1:6" ht="12.75">
      <c r="A459" s="2">
        <v>43885.574421296296</v>
      </c>
      <c r="B459" t="str">
        <f>HYPERLINK("https://twitter.com/damasdian","@damasdian")</f>
        <v>@damasdian</v>
      </c>
      <c r="C459" t="s">
        <v>2103</v>
      </c>
      <c r="D459">
        <v>52</v>
      </c>
      <c r="E459">
        <v>0</v>
      </c>
      <c r="F459">
        <v>532</v>
      </c>
    </row>
    <row r="460" spans="1:6" ht="12.75">
      <c r="A460" s="2">
        <v>43885.574212962965</v>
      </c>
      <c r="B460" t="str">
        <f>HYPERLINK("https://twitter.com/marthanirwana","@marthanirwana")</f>
        <v>@marthanirwana</v>
      </c>
      <c r="C460" t="s">
        <v>2103</v>
      </c>
      <c r="D460">
        <v>52</v>
      </c>
      <c r="E460">
        <v>0</v>
      </c>
      <c r="F460">
        <v>150</v>
      </c>
    </row>
    <row r="461" spans="1:6" ht="12.75">
      <c r="A461" s="2">
        <v>43885.574155092589</v>
      </c>
      <c r="B461" t="str">
        <f>HYPERLINK("https://twitter.com/mimiweeka","@mimiweeka")</f>
        <v>@mimiweeka</v>
      </c>
      <c r="C461" t="s">
        <v>2386</v>
      </c>
      <c r="D461">
        <v>2</v>
      </c>
      <c r="E461">
        <v>0</v>
      </c>
      <c r="F461">
        <v>451</v>
      </c>
    </row>
    <row r="462" spans="1:6" ht="12.75">
      <c r="A462" s="2">
        <v>43885.573657407411</v>
      </c>
      <c r="B462" t="str">
        <f>HYPERLINK("https://twitter.com/bebe1129pita","@bebe1129pita")</f>
        <v>@bebe1129pita</v>
      </c>
      <c r="C462" t="s">
        <v>321</v>
      </c>
      <c r="D462">
        <v>1774</v>
      </c>
      <c r="E462">
        <v>0</v>
      </c>
      <c r="F462">
        <v>848</v>
      </c>
    </row>
    <row r="463" spans="1:6" ht="12.75">
      <c r="A463" s="2">
        <v>43885.573634259257</v>
      </c>
      <c r="B463" t="str">
        <f>HYPERLINK("https://twitter.com/_wni_","@_wni_")</f>
        <v>@_wni_</v>
      </c>
      <c r="C463" t="s">
        <v>2387</v>
      </c>
      <c r="D463">
        <v>0</v>
      </c>
      <c r="E463">
        <v>0</v>
      </c>
      <c r="F463">
        <v>8</v>
      </c>
    </row>
    <row r="464" spans="1:6" ht="12.75">
      <c r="A464" s="2">
        <v>43885.573541666672</v>
      </c>
      <c r="B464" t="str">
        <f>HYPERLINK("https://twitter.com/Badutmampang1","@Badutmampang1")</f>
        <v>@Badutmampang1</v>
      </c>
      <c r="C464" t="s">
        <v>1407</v>
      </c>
      <c r="D464">
        <v>9744</v>
      </c>
      <c r="E464">
        <v>0</v>
      </c>
      <c r="F464">
        <v>19</v>
      </c>
    </row>
    <row r="465" spans="1:6" ht="12.75">
      <c r="A465" s="2">
        <v>43885.573518518519</v>
      </c>
      <c r="B465" t="str">
        <f>HYPERLINK("https://twitter.com/republikaonline","@republikaonline")</f>
        <v>@republikaonline</v>
      </c>
      <c r="C465" t="s">
        <v>2388</v>
      </c>
      <c r="D465">
        <v>2</v>
      </c>
      <c r="E465">
        <v>3</v>
      </c>
      <c r="F465">
        <v>1212594</v>
      </c>
    </row>
    <row r="466" spans="1:6" ht="12.75">
      <c r="A466" s="2">
        <v>43885.573263888888</v>
      </c>
      <c r="B466" t="str">
        <f>HYPERLINK("https://twitter.com/sayangicom","@sayangicom")</f>
        <v>@sayangicom</v>
      </c>
      <c r="C466" t="s">
        <v>2389</v>
      </c>
      <c r="D466">
        <v>0</v>
      </c>
      <c r="E466">
        <v>0</v>
      </c>
      <c r="F466">
        <v>1564</v>
      </c>
    </row>
    <row r="467" spans="1:6" ht="12.75">
      <c r="A467" s="2">
        <v>43885.573136574079</v>
      </c>
      <c r="B467" t="str">
        <f>HYPERLINK("https://twitter.com/inidozer","@inidozer")</f>
        <v>@inidozer</v>
      </c>
      <c r="C467" t="s">
        <v>2091</v>
      </c>
      <c r="D467">
        <v>1300</v>
      </c>
      <c r="E467">
        <v>0</v>
      </c>
      <c r="F467">
        <v>10</v>
      </c>
    </row>
    <row r="468" spans="1:6" ht="12.75">
      <c r="A468" s="2">
        <v>43885.572951388887</v>
      </c>
      <c r="B468" t="str">
        <f>HYPERLINK("https://twitter.com/noa21812","@noa21812")</f>
        <v>@noa21812</v>
      </c>
      <c r="C468" t="s">
        <v>738</v>
      </c>
      <c r="D468">
        <v>406</v>
      </c>
      <c r="E468">
        <v>0</v>
      </c>
      <c r="F468">
        <v>87</v>
      </c>
    </row>
    <row r="469" spans="1:6" ht="12.75">
      <c r="A469" s="2">
        <v>43885.572916666672</v>
      </c>
      <c r="B469" t="str">
        <f>HYPERLINK("https://twitter.com/korantempo","@korantempo")</f>
        <v>@korantempo</v>
      </c>
      <c r="C469" t="s">
        <v>2390</v>
      </c>
      <c r="D469">
        <v>0</v>
      </c>
      <c r="E469">
        <v>1</v>
      </c>
      <c r="F469">
        <v>1747978</v>
      </c>
    </row>
    <row r="470" spans="1:6" ht="12.75">
      <c r="A470" s="2">
        <v>43885.572905092587</v>
      </c>
      <c r="B470" t="str">
        <f>HYPERLINK("https://twitter.com/Picasso25687324","@Picasso25687324")</f>
        <v>@Picasso25687324</v>
      </c>
      <c r="C470" t="s">
        <v>321</v>
      </c>
      <c r="D470">
        <v>1774</v>
      </c>
      <c r="E470">
        <v>0</v>
      </c>
      <c r="F470">
        <v>54</v>
      </c>
    </row>
    <row r="471" spans="1:6" ht="12.75">
      <c r="A471" s="2">
        <v>43885.572858796295</v>
      </c>
      <c r="B471" t="str">
        <f>HYPERLINK("https://twitter.com/kjrikuching","@kjrikuching")</f>
        <v>@kjrikuching</v>
      </c>
      <c r="C471" t="s">
        <v>2391</v>
      </c>
      <c r="D471">
        <v>0</v>
      </c>
      <c r="E471">
        <v>0</v>
      </c>
      <c r="F471">
        <v>149</v>
      </c>
    </row>
    <row r="472" spans="1:6" ht="12.75">
      <c r="A472" s="2">
        <v>43885.572662037041</v>
      </c>
      <c r="B472" t="str">
        <f>HYPERLINK("https://twitter.com/peardefsoul","@peardefsoul")</f>
        <v>@peardefsoul</v>
      </c>
      <c r="C472" t="s">
        <v>2392</v>
      </c>
      <c r="D472">
        <v>0</v>
      </c>
      <c r="E472">
        <v>0</v>
      </c>
      <c r="F472">
        <v>444</v>
      </c>
    </row>
    <row r="473" spans="1:6" ht="12.75">
      <c r="A473" s="2">
        <v>43885.572581018518</v>
      </c>
      <c r="B473" t="str">
        <f>HYPERLINK("https://twitter.com/antaranews","@antaranews")</f>
        <v>@antaranews</v>
      </c>
      <c r="C473" t="s">
        <v>2393</v>
      </c>
      <c r="D473">
        <v>1</v>
      </c>
      <c r="E473">
        <v>0</v>
      </c>
      <c r="F473">
        <v>1104829</v>
      </c>
    </row>
    <row r="474" spans="1:6" ht="12.75">
      <c r="A474" s="2">
        <v>43885.572175925925</v>
      </c>
      <c r="B474" t="str">
        <f>HYPERLINK("https://twitter.com/wandafathoni","@wandafathoni")</f>
        <v>@wandafathoni</v>
      </c>
      <c r="C474" t="s">
        <v>321</v>
      </c>
      <c r="D474">
        <v>1774</v>
      </c>
      <c r="E474">
        <v>0</v>
      </c>
      <c r="F474">
        <v>195</v>
      </c>
    </row>
    <row r="475" spans="1:6" ht="12.75">
      <c r="A475" s="2">
        <v>43885.571851851855</v>
      </c>
      <c r="B475" t="str">
        <f>HYPERLINK("https://twitter.com/lutfihidayat83","@lutfihidayat83")</f>
        <v>@lutfihidayat83</v>
      </c>
      <c r="C475" t="s">
        <v>2263</v>
      </c>
      <c r="D475">
        <v>2</v>
      </c>
      <c r="E475">
        <v>0</v>
      </c>
      <c r="F475">
        <v>233</v>
      </c>
    </row>
    <row r="476" spans="1:6" ht="12.75">
      <c r="A476" s="2">
        <v>43885.571631944447</v>
      </c>
      <c r="B476" t="str">
        <f>HYPERLINK("https://twitter.com/Ombakperak","@Ombakperak")</f>
        <v>@Ombakperak</v>
      </c>
      <c r="C476" t="s">
        <v>321</v>
      </c>
      <c r="D476">
        <v>1774</v>
      </c>
      <c r="E476">
        <v>0</v>
      </c>
      <c r="F476">
        <v>804</v>
      </c>
    </row>
    <row r="477" spans="1:6" ht="12.75">
      <c r="A477" s="2">
        <v>43885.571203703701</v>
      </c>
      <c r="B477" t="str">
        <f>HYPERLINK("https://twitter.com/masamuneou","@masamuneou")</f>
        <v>@masamuneou</v>
      </c>
      <c r="C477" t="s">
        <v>321</v>
      </c>
      <c r="D477">
        <v>1774</v>
      </c>
      <c r="E477">
        <v>0</v>
      </c>
      <c r="F477">
        <v>287</v>
      </c>
    </row>
    <row r="478" spans="1:6" ht="12.75">
      <c r="A478" s="2">
        <v>43885.570879629631</v>
      </c>
      <c r="B478" t="str">
        <f t="shared" ref="B478:B480" si="12">HYPERLINK("https://twitter.com/Ukulelebaby","@Ukulelebaby")</f>
        <v>@Ukulelebaby</v>
      </c>
      <c r="C478" t="s">
        <v>2120</v>
      </c>
      <c r="D478">
        <v>89</v>
      </c>
      <c r="E478">
        <v>0</v>
      </c>
      <c r="F478">
        <v>381</v>
      </c>
    </row>
    <row r="479" spans="1:6" ht="12.75">
      <c r="A479" s="2">
        <v>43885.570844907408</v>
      </c>
      <c r="B479" t="str">
        <f t="shared" si="12"/>
        <v>@Ukulelebaby</v>
      </c>
      <c r="C479" t="s">
        <v>2115</v>
      </c>
      <c r="D479">
        <v>94</v>
      </c>
      <c r="E479">
        <v>0</v>
      </c>
      <c r="F479">
        <v>381</v>
      </c>
    </row>
    <row r="480" spans="1:6" ht="12.75">
      <c r="A480" s="2">
        <v>43885.570775462962</v>
      </c>
      <c r="B480" t="str">
        <f t="shared" si="12"/>
        <v>@Ukulelebaby</v>
      </c>
      <c r="C480" t="s">
        <v>738</v>
      </c>
      <c r="D480">
        <v>406</v>
      </c>
      <c r="E480">
        <v>0</v>
      </c>
      <c r="F480">
        <v>381</v>
      </c>
    </row>
    <row r="481" spans="1:6" ht="12.75">
      <c r="A481" s="2">
        <v>43885.570763888885</v>
      </c>
      <c r="B481" t="str">
        <f>HYPERLINK("https://twitter.com/tribunnews","@tribunnews")</f>
        <v>@tribunnews</v>
      </c>
      <c r="C481" t="s">
        <v>2394</v>
      </c>
      <c r="D481">
        <v>0</v>
      </c>
      <c r="E481">
        <v>2</v>
      </c>
      <c r="F481">
        <v>880101</v>
      </c>
    </row>
    <row r="482" spans="1:6" ht="12.75">
      <c r="A482" s="2">
        <v>43885.5706712963</v>
      </c>
      <c r="B482" t="str">
        <f>HYPERLINK("https://twitter.com/Ukulelebaby","@Ukulelebaby")</f>
        <v>@Ukulelebaby</v>
      </c>
      <c r="C482" t="s">
        <v>321</v>
      </c>
      <c r="D482">
        <v>1774</v>
      </c>
      <c r="E482">
        <v>0</v>
      </c>
      <c r="F482">
        <v>381</v>
      </c>
    </row>
    <row r="483" spans="1:6" ht="12.75">
      <c r="A483" s="2">
        <v>43885.570601851854</v>
      </c>
      <c r="B483" t="str">
        <f>HYPERLINK("https://twitter.com/_wni_","@_wni_")</f>
        <v>@_wni_</v>
      </c>
      <c r="C483" t="s">
        <v>2395</v>
      </c>
      <c r="D483">
        <v>0</v>
      </c>
      <c r="E483">
        <v>0</v>
      </c>
      <c r="F483">
        <v>8</v>
      </c>
    </row>
    <row r="484" spans="1:6" ht="12.75">
      <c r="A484" s="2">
        <v>43885.57</v>
      </c>
      <c r="B484" t="str">
        <f t="shared" ref="B484:B487" si="13">HYPERLINK("https://twitter.com/yuto052946","@yuto052946")</f>
        <v>@yuto052946</v>
      </c>
      <c r="C484" t="s">
        <v>2120</v>
      </c>
      <c r="D484">
        <v>89</v>
      </c>
      <c r="E484">
        <v>0</v>
      </c>
      <c r="F484">
        <v>559</v>
      </c>
    </row>
    <row r="485" spans="1:6" ht="12.75">
      <c r="A485" s="2">
        <v>43885.569965277777</v>
      </c>
      <c r="B485" t="str">
        <f t="shared" si="13"/>
        <v>@yuto052946</v>
      </c>
      <c r="C485" t="s">
        <v>2115</v>
      </c>
      <c r="D485">
        <v>94</v>
      </c>
      <c r="E485">
        <v>0</v>
      </c>
      <c r="F485">
        <v>559</v>
      </c>
    </row>
    <row r="486" spans="1:6" ht="12.75">
      <c r="A486" s="2">
        <v>43885.569907407407</v>
      </c>
      <c r="B486" t="str">
        <f t="shared" si="13"/>
        <v>@yuto052946</v>
      </c>
      <c r="C486" t="s">
        <v>738</v>
      </c>
      <c r="D486">
        <v>406</v>
      </c>
      <c r="E486">
        <v>0</v>
      </c>
      <c r="F486">
        <v>559</v>
      </c>
    </row>
    <row r="487" spans="1:6" ht="12.75">
      <c r="A487" s="2">
        <v>43885.569803240738</v>
      </c>
      <c r="B487" t="str">
        <f t="shared" si="13"/>
        <v>@yuto052946</v>
      </c>
      <c r="C487" t="s">
        <v>321</v>
      </c>
      <c r="D487">
        <v>1774</v>
      </c>
      <c r="E487">
        <v>0</v>
      </c>
      <c r="F487">
        <v>559</v>
      </c>
    </row>
    <row r="488" spans="1:6" ht="12.75">
      <c r="A488" s="2">
        <v>43885.56958333333</v>
      </c>
      <c r="B488" t="str">
        <f>HYPERLINK("https://twitter.com/didiksuharman2","@didiksuharman2")</f>
        <v>@didiksuharman2</v>
      </c>
      <c r="C488" t="s">
        <v>2396</v>
      </c>
      <c r="D488">
        <v>0</v>
      </c>
      <c r="E488">
        <v>0</v>
      </c>
      <c r="F488">
        <v>419</v>
      </c>
    </row>
    <row r="489" spans="1:6" ht="12.75">
      <c r="A489" s="2">
        <v>43885.569560185184</v>
      </c>
      <c r="B489" t="str">
        <f>HYPERLINK("https://twitter.com/gfirmandimas","@gfirmandimas")</f>
        <v>@gfirmandimas</v>
      </c>
      <c r="C489" t="s">
        <v>2397</v>
      </c>
      <c r="D489">
        <v>0</v>
      </c>
      <c r="E489">
        <v>0</v>
      </c>
      <c r="F489">
        <v>274</v>
      </c>
    </row>
    <row r="490" spans="1:6" ht="12.75">
      <c r="A490" s="2">
        <v>43885.568877314814</v>
      </c>
      <c r="B490" t="str">
        <f>HYPERLINK("https://twitter.com/nnatalia_Hu","@nnatalia_Hu")</f>
        <v>@nnatalia_Hu</v>
      </c>
      <c r="C490" t="s">
        <v>2091</v>
      </c>
      <c r="D490">
        <v>1300</v>
      </c>
      <c r="E490">
        <v>0</v>
      </c>
      <c r="F490">
        <v>368</v>
      </c>
    </row>
    <row r="491" spans="1:6" ht="12.75">
      <c r="A491" s="2">
        <v>43885.568749999999</v>
      </c>
      <c r="B491" t="str">
        <f>HYPERLINK("https://twitter.com/funny_afb","@funny_afb")</f>
        <v>@funny_afb</v>
      </c>
      <c r="C491" t="s">
        <v>2091</v>
      </c>
      <c r="D491">
        <v>1300</v>
      </c>
      <c r="E491">
        <v>0</v>
      </c>
      <c r="F491">
        <v>602</v>
      </c>
    </row>
    <row r="492" spans="1:6" ht="12.75">
      <c r="A492" s="2">
        <v>43885.568738425922</v>
      </c>
      <c r="B492" t="str">
        <f t="shared" ref="B492:B493" si="14">HYPERLINK("https://twitter.com/wni_jmsri","@wni_jmsri")</f>
        <v>@wni_jmsri</v>
      </c>
      <c r="C492" t="s">
        <v>2398</v>
      </c>
      <c r="D492">
        <v>12244</v>
      </c>
      <c r="E492">
        <v>0</v>
      </c>
      <c r="F492">
        <v>195</v>
      </c>
    </row>
    <row r="493" spans="1:6" ht="12.75">
      <c r="A493" s="2">
        <v>43885.568692129629</v>
      </c>
      <c r="B493" t="str">
        <f t="shared" si="14"/>
        <v>@wni_jmsri</v>
      </c>
      <c r="C493" t="s">
        <v>2399</v>
      </c>
      <c r="D493">
        <v>2228</v>
      </c>
      <c r="E493">
        <v>0</v>
      </c>
      <c r="F493">
        <v>195</v>
      </c>
    </row>
    <row r="494" spans="1:6" ht="12.75">
      <c r="A494" s="2">
        <v>43885.568611111114</v>
      </c>
      <c r="B494" t="str">
        <f>HYPERLINK("https://twitter.com/TARIHADID","@TARIHADID")</f>
        <v>@TARIHADID</v>
      </c>
      <c r="C494" t="s">
        <v>2091</v>
      </c>
      <c r="D494">
        <v>1300</v>
      </c>
      <c r="E494">
        <v>0</v>
      </c>
      <c r="F494">
        <v>147</v>
      </c>
    </row>
    <row r="495" spans="1:6" ht="12.75">
      <c r="A495" s="2">
        <v>43885.568611111114</v>
      </c>
      <c r="B495" t="str">
        <f>HYPERLINK("https://twitter.com/panilatte","@panilatte")</f>
        <v>@panilatte</v>
      </c>
      <c r="C495" t="s">
        <v>2400</v>
      </c>
      <c r="D495">
        <v>0</v>
      </c>
      <c r="E495">
        <v>0</v>
      </c>
      <c r="F495">
        <v>518</v>
      </c>
    </row>
    <row r="496" spans="1:6" ht="12.75">
      <c r="A496" s="2">
        <v>43885.568402777775</v>
      </c>
      <c r="B496" t="str">
        <f>HYPERLINK("https://twitter.com/hui_windy","@hui_windy")</f>
        <v>@hui_windy</v>
      </c>
      <c r="C496" t="s">
        <v>2401</v>
      </c>
      <c r="D496">
        <v>12</v>
      </c>
      <c r="E496">
        <v>0</v>
      </c>
      <c r="F496">
        <v>18</v>
      </c>
    </row>
    <row r="497" spans="1:6" ht="12.75">
      <c r="A497" s="2">
        <v>43885.568078703705</v>
      </c>
      <c r="B497" t="str">
        <f>HYPERLINK("https://twitter.com/wakaba211","@wakaba211")</f>
        <v>@wakaba211</v>
      </c>
      <c r="C497" t="s">
        <v>321</v>
      </c>
      <c r="D497">
        <v>1774</v>
      </c>
      <c r="E497">
        <v>0</v>
      </c>
      <c r="F497">
        <v>528</v>
      </c>
    </row>
    <row r="498" spans="1:6" ht="12.75">
      <c r="A498" s="2">
        <v>43885.567870370374</v>
      </c>
      <c r="B498" t="str">
        <f>HYPERLINK("https://twitter.com/Irenee_be","@Irenee_be")</f>
        <v>@Irenee_be</v>
      </c>
      <c r="C498" t="s">
        <v>2402</v>
      </c>
      <c r="D498">
        <v>0</v>
      </c>
      <c r="E498">
        <v>0</v>
      </c>
      <c r="F498">
        <v>12</v>
      </c>
    </row>
    <row r="499" spans="1:6" ht="12.75">
      <c r="A499" s="2">
        <v>43885.567800925928</v>
      </c>
      <c r="B499" t="str">
        <f>HYPERLINK("https://twitter.com/anaswongkamfung","@anaswongkamfung")</f>
        <v>@anaswongkamfung</v>
      </c>
      <c r="C499" t="s">
        <v>2403</v>
      </c>
      <c r="D499">
        <v>12</v>
      </c>
      <c r="E499">
        <v>0</v>
      </c>
      <c r="F499">
        <v>1182</v>
      </c>
    </row>
    <row r="500" spans="1:6" ht="12.75">
      <c r="A500" s="2">
        <v>43885.567615740743</v>
      </c>
      <c r="B500" t="str">
        <f>HYPERLINK("https://twitter.com/wni_jmsri","@wni_jmsri")</f>
        <v>@wni_jmsri</v>
      </c>
      <c r="C500" t="s">
        <v>2404</v>
      </c>
      <c r="D500">
        <v>4727</v>
      </c>
      <c r="E500">
        <v>0</v>
      </c>
      <c r="F500">
        <v>195</v>
      </c>
    </row>
    <row r="501" spans="1:6" ht="12.75">
      <c r="A501" s="2">
        <v>43885.567418981482</v>
      </c>
      <c r="B501" t="str">
        <f>HYPERLINK("https://twitter.com/lawanprovokator","@lawanprovokator")</f>
        <v>@lawanprovokator</v>
      </c>
      <c r="C501" t="s">
        <v>2091</v>
      </c>
      <c r="D501">
        <v>1300</v>
      </c>
      <c r="E501">
        <v>0</v>
      </c>
      <c r="F501">
        <v>222</v>
      </c>
    </row>
    <row r="502" spans="1:6" ht="12.75">
      <c r="A502" s="2">
        <v>43885.567384259259</v>
      </c>
      <c r="B502" t="str">
        <f>HYPERLINK("https://twitter.com/antaranewskepri","@antaranewskepri")</f>
        <v>@antaranewskepri</v>
      </c>
      <c r="C502" t="s">
        <v>2405</v>
      </c>
      <c r="D502">
        <v>0</v>
      </c>
      <c r="E502">
        <v>0</v>
      </c>
      <c r="F502">
        <v>1632</v>
      </c>
    </row>
    <row r="503" spans="1:6" ht="12.75">
      <c r="A503" s="2">
        <v>43885.543182870373</v>
      </c>
      <c r="B503" t="str">
        <f>HYPERLINK("https://twitter.com/dimasbramasthaa","@dimasbramasthaa")</f>
        <v>@dimasbramasthaa</v>
      </c>
      <c r="C503" t="s">
        <v>2323</v>
      </c>
      <c r="D503">
        <v>4</v>
      </c>
      <c r="E503">
        <v>0</v>
      </c>
      <c r="F503">
        <v>351</v>
      </c>
    </row>
    <row r="504" spans="1:6" ht="12.75">
      <c r="A504" s="2">
        <v>43885.543032407411</v>
      </c>
      <c r="B504" t="str">
        <f>HYPERLINK("https://twitter.com/kWQyXPvA0qWC7sD","@kWQyXPvA0qWC7sD")</f>
        <v>@kWQyXPvA0qWC7sD</v>
      </c>
      <c r="C504" t="s">
        <v>738</v>
      </c>
      <c r="D504">
        <v>384</v>
      </c>
      <c r="E504">
        <v>0</v>
      </c>
      <c r="F504">
        <v>128</v>
      </c>
    </row>
    <row r="505" spans="1:6" ht="12.75">
      <c r="A505" s="2">
        <v>43885.542939814812</v>
      </c>
      <c r="B505" t="str">
        <f>HYPERLINK("https://twitter.com/TR_Jiyi","@TR_Jiyi")</f>
        <v>@TR_Jiyi</v>
      </c>
      <c r="C505" t="s">
        <v>2406</v>
      </c>
      <c r="D505">
        <v>0</v>
      </c>
      <c r="E505">
        <v>0</v>
      </c>
      <c r="F505">
        <v>385</v>
      </c>
    </row>
    <row r="506" spans="1:6" ht="12.75">
      <c r="A506" s="2">
        <v>43885.542916666665</v>
      </c>
      <c r="B506" t="str">
        <f>HYPERLINK("https://twitter.com/Savira1030","@Savira1030")</f>
        <v>@Savira1030</v>
      </c>
      <c r="C506" t="s">
        <v>2407</v>
      </c>
      <c r="D506">
        <v>0</v>
      </c>
      <c r="E506">
        <v>0</v>
      </c>
      <c r="F506">
        <v>7261</v>
      </c>
    </row>
    <row r="507" spans="1:6" ht="12.75">
      <c r="A507" s="2">
        <v>43885.54277777778</v>
      </c>
      <c r="B507" t="str">
        <f>HYPERLINK("https://twitter.com/15_tanto","@15_tanto")</f>
        <v>@15_tanto</v>
      </c>
      <c r="C507" t="s">
        <v>2408</v>
      </c>
      <c r="D507">
        <v>0</v>
      </c>
      <c r="E507">
        <v>0</v>
      </c>
      <c r="F507">
        <v>206</v>
      </c>
    </row>
    <row r="508" spans="1:6" ht="12.75">
      <c r="A508" s="2">
        <v>43885.542743055557</v>
      </c>
      <c r="B508" t="str">
        <f>HYPERLINK("https://twitter.com/rkselvia","@rkselvia")</f>
        <v>@rkselvia</v>
      </c>
      <c r="C508" t="s">
        <v>2409</v>
      </c>
      <c r="D508">
        <v>2</v>
      </c>
      <c r="E508">
        <v>0</v>
      </c>
      <c r="F508">
        <v>43</v>
      </c>
    </row>
    <row r="509" spans="1:6" ht="12.75">
      <c r="A509" s="2">
        <v>43885.542719907404</v>
      </c>
      <c r="B509" t="str">
        <f>HYPERLINK("https://twitter.com/minhyunsc","@minhyunsc")</f>
        <v>@minhyunsc</v>
      </c>
      <c r="C509" t="s">
        <v>2409</v>
      </c>
      <c r="D509">
        <v>2</v>
      </c>
      <c r="E509">
        <v>0</v>
      </c>
      <c r="F509">
        <v>7517</v>
      </c>
    </row>
    <row r="510" spans="1:6" ht="12.75">
      <c r="A510" s="2">
        <v>43885.542685185181</v>
      </c>
      <c r="B510" t="str">
        <f>HYPERLINK("https://twitter.com/Beritasatu","@Beritasatu")</f>
        <v>@Beritasatu</v>
      </c>
      <c r="C510" t="s">
        <v>2410</v>
      </c>
      <c r="D510">
        <v>0</v>
      </c>
      <c r="E510">
        <v>0</v>
      </c>
      <c r="F510">
        <v>615700</v>
      </c>
    </row>
    <row r="511" spans="1:6" ht="12.75">
      <c r="A511" s="2">
        <v>43885.54210648148</v>
      </c>
      <c r="B511" t="str">
        <f>HYPERLINK("https://twitter.com/aiek_esthreem__","@aiek_esthreem__")</f>
        <v>@aiek_esthreem__</v>
      </c>
      <c r="C511" t="s">
        <v>2411</v>
      </c>
      <c r="D511">
        <v>1</v>
      </c>
      <c r="E511">
        <v>0</v>
      </c>
      <c r="F511">
        <v>16847</v>
      </c>
    </row>
    <row r="512" spans="1:6" ht="12.75">
      <c r="A512" s="2">
        <v>43885.54179398148</v>
      </c>
      <c r="B512" t="str">
        <f>HYPERLINK("https://twitter.com/Khanmaennn","@Khanmaennn")</f>
        <v>@Khanmaennn</v>
      </c>
      <c r="C512" t="s">
        <v>2103</v>
      </c>
      <c r="D512">
        <v>50</v>
      </c>
      <c r="E512">
        <v>0</v>
      </c>
      <c r="F512">
        <v>383</v>
      </c>
    </row>
    <row r="513" spans="1:6" ht="12.75">
      <c r="A513" s="2">
        <v>43885.541597222225</v>
      </c>
      <c r="B513" t="str">
        <f>HYPERLINK("https://twitter.com/nomadicsoul__","@nomadicsoul__")</f>
        <v>@nomadicsoul__</v>
      </c>
      <c r="C513" t="s">
        <v>2091</v>
      </c>
      <c r="D513">
        <v>1275</v>
      </c>
      <c r="E513">
        <v>0</v>
      </c>
      <c r="F513">
        <v>974</v>
      </c>
    </row>
    <row r="514" spans="1:6" ht="12.75">
      <c r="A514" s="2">
        <v>43885.541527777779</v>
      </c>
      <c r="B514" t="str">
        <f>HYPERLINK("https://twitter.com/anamelaniii","@anamelaniii")</f>
        <v>@anamelaniii</v>
      </c>
      <c r="C514" t="s">
        <v>2412</v>
      </c>
      <c r="D514">
        <v>0</v>
      </c>
      <c r="E514">
        <v>0</v>
      </c>
      <c r="F514">
        <v>2062</v>
      </c>
    </row>
    <row r="515" spans="1:6" ht="12.75">
      <c r="A515" s="2">
        <v>43885.541481481487</v>
      </c>
      <c r="B515" t="str">
        <f>HYPERLINK("https://twitter.com/pimamanggala","@pimamanggala")</f>
        <v>@pimamanggala</v>
      </c>
      <c r="C515" t="s">
        <v>1865</v>
      </c>
      <c r="D515">
        <v>3</v>
      </c>
      <c r="E515">
        <v>0</v>
      </c>
      <c r="F515">
        <v>1568</v>
      </c>
    </row>
    <row r="516" spans="1:6" ht="12.75">
      <c r="A516" s="2">
        <v>43885.541203703702</v>
      </c>
      <c r="B516" t="str">
        <f>HYPERLINK("https://twitter.com/WinarsihParis","@WinarsihParis")</f>
        <v>@WinarsihParis</v>
      </c>
      <c r="C516" t="s">
        <v>2413</v>
      </c>
      <c r="D516">
        <v>0</v>
      </c>
      <c r="E516">
        <v>0</v>
      </c>
      <c r="F516">
        <v>126</v>
      </c>
    </row>
    <row r="517" spans="1:6" ht="12.75">
      <c r="A517" s="2">
        <v>43885.540833333333</v>
      </c>
      <c r="B517" t="str">
        <f>HYPERLINK("https://twitter.com/IGNOREMYTWETS","@IGNOREMYTWETS")</f>
        <v>@IGNOREMYTWETS</v>
      </c>
      <c r="C517" t="s">
        <v>2414</v>
      </c>
      <c r="D517">
        <v>0</v>
      </c>
      <c r="E517">
        <v>0</v>
      </c>
      <c r="F517">
        <v>258</v>
      </c>
    </row>
    <row r="518" spans="1:6" ht="12.75">
      <c r="A518" s="2">
        <v>43885.540578703702</v>
      </c>
      <c r="B518" t="str">
        <f>HYPERLINK("https://twitter.com/SantriPop","@SantriPop")</f>
        <v>@SantriPop</v>
      </c>
      <c r="C518" t="s">
        <v>2158</v>
      </c>
      <c r="D518">
        <v>3</v>
      </c>
      <c r="E518">
        <v>0</v>
      </c>
      <c r="F518">
        <v>502</v>
      </c>
    </row>
    <row r="519" spans="1:6" ht="12.75">
      <c r="A519" s="2">
        <v>43885.540486111116</v>
      </c>
      <c r="B519" t="str">
        <f>HYPERLINK("https://twitter.com/curio_cherry","@curio_cherry")</f>
        <v>@curio_cherry</v>
      </c>
      <c r="C519" t="s">
        <v>2156</v>
      </c>
      <c r="D519">
        <v>10</v>
      </c>
      <c r="E519">
        <v>0</v>
      </c>
      <c r="F519">
        <v>270</v>
      </c>
    </row>
    <row r="520" spans="1:6" ht="12.75">
      <c r="A520" s="2">
        <v>43885.540462962963</v>
      </c>
      <c r="B520" t="str">
        <f>HYPERLINK("https://twitter.com/yogi_bubu","@yogi_bubu")</f>
        <v>@yogi_bubu</v>
      </c>
      <c r="C520" t="s">
        <v>2120</v>
      </c>
      <c r="D520">
        <v>86</v>
      </c>
      <c r="E520">
        <v>0</v>
      </c>
      <c r="F520">
        <v>1209</v>
      </c>
    </row>
    <row r="521" spans="1:6" ht="12.75">
      <c r="A521" s="2">
        <v>43885.540127314816</v>
      </c>
      <c r="B521" t="str">
        <f>HYPERLINK("https://twitter.com/Made_Dav","@Made_Dav")</f>
        <v>@Made_Dav</v>
      </c>
      <c r="C521" t="s">
        <v>2182</v>
      </c>
      <c r="D521">
        <v>3</v>
      </c>
      <c r="E521">
        <v>0</v>
      </c>
      <c r="F521">
        <v>226</v>
      </c>
    </row>
    <row r="522" spans="1:6" ht="12.75">
      <c r="A522" s="2">
        <v>43885.539965277778</v>
      </c>
      <c r="B522" t="str">
        <f>HYPERLINK("https://twitter.com/Etam394","@Etam394")</f>
        <v>@Etam394</v>
      </c>
      <c r="C522" t="s">
        <v>2415</v>
      </c>
      <c r="D522">
        <v>1</v>
      </c>
      <c r="E522">
        <v>2</v>
      </c>
      <c r="F522">
        <v>3884</v>
      </c>
    </row>
    <row r="523" spans="1:6" ht="12.75">
      <c r="A523" s="2">
        <v>43885.539872685185</v>
      </c>
      <c r="B523" t="str">
        <f>HYPERLINK("https://twitter.com/Aluna_Safitri","@Aluna_Safitri")</f>
        <v>@Aluna_Safitri</v>
      </c>
      <c r="C523" t="s">
        <v>2416</v>
      </c>
      <c r="D523">
        <v>0</v>
      </c>
      <c r="E523">
        <v>0</v>
      </c>
      <c r="F523">
        <v>260</v>
      </c>
    </row>
    <row r="524" spans="1:6" ht="12.75">
      <c r="A524" s="2">
        <v>43885.539872685185</v>
      </c>
      <c r="B524" t="str">
        <f>HYPERLINK("https://twitter.com/hiroshinozawa3","@hiroshinozawa3")</f>
        <v>@hiroshinozawa3</v>
      </c>
      <c r="C524" t="s">
        <v>2120</v>
      </c>
      <c r="D524">
        <v>86</v>
      </c>
      <c r="E524">
        <v>0</v>
      </c>
      <c r="F524">
        <v>169</v>
      </c>
    </row>
    <row r="525" spans="1:6" ht="12.75">
      <c r="A525" s="2">
        <v>43885.539814814816</v>
      </c>
      <c r="B525" t="str">
        <f>HYPERLINK("https://twitter.com/seuraegiya","@seuraegiya")</f>
        <v>@seuraegiya</v>
      </c>
      <c r="C525" t="s">
        <v>2417</v>
      </c>
      <c r="D525">
        <v>4</v>
      </c>
      <c r="E525">
        <v>0</v>
      </c>
      <c r="F525">
        <v>366</v>
      </c>
    </row>
    <row r="526" spans="1:6" ht="12.75">
      <c r="A526" s="2">
        <v>43885.539780092593</v>
      </c>
      <c r="B526" t="str">
        <f>HYPERLINK("https://twitter.com/gabby_gjb","@gabby_gjb")</f>
        <v>@gabby_gjb</v>
      </c>
      <c r="C526" t="s">
        <v>2418</v>
      </c>
      <c r="D526">
        <v>0</v>
      </c>
      <c r="E526">
        <v>0</v>
      </c>
      <c r="F526">
        <v>303</v>
      </c>
    </row>
    <row r="527" spans="1:6" ht="12.75">
      <c r="A527" s="2">
        <v>43885.539664351847</v>
      </c>
      <c r="B527" t="str">
        <f>HYPERLINK("https://twitter.com/hiroshinozawa3","@hiroshinozawa3")</f>
        <v>@hiroshinozawa3</v>
      </c>
      <c r="C527" t="s">
        <v>2115</v>
      </c>
      <c r="D527">
        <v>91</v>
      </c>
      <c r="E527">
        <v>0</v>
      </c>
      <c r="F527">
        <v>169</v>
      </c>
    </row>
    <row r="528" spans="1:6" ht="12.75">
      <c r="A528" s="2">
        <v>43885.539641203708</v>
      </c>
      <c r="B528" t="str">
        <f>HYPERLINK("https://twitter.com/beatrice_health","@beatrice_health")</f>
        <v>@beatrice_health</v>
      </c>
      <c r="C528" t="s">
        <v>2419</v>
      </c>
      <c r="D528">
        <v>1</v>
      </c>
      <c r="E528">
        <v>0</v>
      </c>
      <c r="F528">
        <v>331</v>
      </c>
    </row>
    <row r="529" spans="1:6" ht="12.75">
      <c r="A529" s="2">
        <v>43885.539502314816</v>
      </c>
      <c r="B529" t="str">
        <f>HYPERLINK("https://twitter.com/tempodotco","@tempodotco")</f>
        <v>@tempodotco</v>
      </c>
      <c r="C529" t="s">
        <v>2420</v>
      </c>
      <c r="D529">
        <v>1</v>
      </c>
      <c r="E529">
        <v>0</v>
      </c>
      <c r="F529">
        <v>1710358</v>
      </c>
    </row>
    <row r="530" spans="1:6" ht="12.75">
      <c r="A530" s="2">
        <v>43885.539456018523</v>
      </c>
      <c r="B530" t="str">
        <f>HYPERLINK("https://twitter.com/smartizen_","@smartizen_")</f>
        <v>@smartizen_</v>
      </c>
      <c r="C530" t="s">
        <v>2421</v>
      </c>
      <c r="D530">
        <v>0</v>
      </c>
      <c r="E530">
        <v>1</v>
      </c>
      <c r="F530">
        <v>1061</v>
      </c>
    </row>
    <row r="531" spans="1:6" ht="12.75">
      <c r="A531" s="2">
        <v>43885.539305555554</v>
      </c>
      <c r="B531" t="str">
        <f>HYPERLINK("https://twitter.com/hiroshinozawa3","@hiroshinozawa3")</f>
        <v>@hiroshinozawa3</v>
      </c>
      <c r="C531" t="s">
        <v>738</v>
      </c>
      <c r="D531">
        <v>384</v>
      </c>
      <c r="E531">
        <v>0</v>
      </c>
      <c r="F531">
        <v>169</v>
      </c>
    </row>
    <row r="532" spans="1:6" ht="12.75">
      <c r="A532" s="2">
        <v>43885.539189814815</v>
      </c>
      <c r="B532" t="str">
        <f>HYPERLINK("https://twitter.com/RismaStgg","@RismaStgg")</f>
        <v>@RismaStgg</v>
      </c>
      <c r="C532" t="s">
        <v>2091</v>
      </c>
      <c r="D532">
        <v>1275</v>
      </c>
      <c r="E532">
        <v>0</v>
      </c>
      <c r="F532">
        <v>110</v>
      </c>
    </row>
    <row r="533" spans="1:6" ht="12.75">
      <c r="A533" s="2">
        <v>43885.538981481484</v>
      </c>
      <c r="B533" t="str">
        <f>HYPERLINK("https://twitter.com/faridrenjang","@faridrenjang")</f>
        <v>@faridrenjang</v>
      </c>
      <c r="C533" t="s">
        <v>2103</v>
      </c>
      <c r="D533">
        <v>50</v>
      </c>
      <c r="E533">
        <v>0</v>
      </c>
      <c r="F533">
        <v>349</v>
      </c>
    </row>
    <row r="534" spans="1:6" ht="12.75">
      <c r="A534" s="2">
        <v>43885.538842592592</v>
      </c>
      <c r="B534" t="str">
        <f>HYPERLINK("https://twitter.com/WartaKotaTribun","@WartaKotaTribun")</f>
        <v>@WartaKotaTribun</v>
      </c>
      <c r="C534" t="s">
        <v>2422</v>
      </c>
      <c r="D534">
        <v>0</v>
      </c>
      <c r="E534">
        <v>0</v>
      </c>
      <c r="F534">
        <v>781</v>
      </c>
    </row>
    <row r="535" spans="1:6" ht="12.75">
      <c r="A535" s="2">
        <v>43885.538842592592</v>
      </c>
      <c r="B535" t="str">
        <f>HYPERLINK("https://twitter.com/smsmsmap2016","@smsmsmap2016")</f>
        <v>@smsmsmap2016</v>
      </c>
      <c r="C535" t="s">
        <v>321</v>
      </c>
      <c r="D535">
        <v>1730</v>
      </c>
      <c r="E535">
        <v>0</v>
      </c>
      <c r="F535">
        <v>1650</v>
      </c>
    </row>
    <row r="536" spans="1:6" ht="12.75">
      <c r="A536" s="2">
        <v>43885.538449074069</v>
      </c>
      <c r="B536" t="str">
        <f>HYPERLINK("https://twitter.com/sujokojiwo","@sujokojiwo")</f>
        <v>@sujokojiwo</v>
      </c>
      <c r="C536" t="s">
        <v>2182</v>
      </c>
      <c r="D536">
        <v>3</v>
      </c>
      <c r="E536">
        <v>0</v>
      </c>
      <c r="F536">
        <v>35</v>
      </c>
    </row>
    <row r="537" spans="1:6" ht="12.75">
      <c r="A537" s="2">
        <v>43885.538402777776</v>
      </c>
      <c r="B537" t="str">
        <f>HYPERLINK("https://twitter.com/witchpleaseeeee","@witchpleaseeeee")</f>
        <v>@witchpleaseeeee</v>
      </c>
      <c r="C537" t="s">
        <v>2423</v>
      </c>
      <c r="D537">
        <v>0</v>
      </c>
      <c r="E537">
        <v>0</v>
      </c>
      <c r="F537">
        <v>1</v>
      </c>
    </row>
    <row r="538" spans="1:6" ht="12.75">
      <c r="A538" s="2">
        <v>43885.538368055553</v>
      </c>
      <c r="B538" t="str">
        <f>HYPERLINK("https://twitter.com/t_8hm","@t_8hm")</f>
        <v>@t_8hm</v>
      </c>
      <c r="C538" t="s">
        <v>321</v>
      </c>
      <c r="D538">
        <v>1730</v>
      </c>
      <c r="E538">
        <v>0</v>
      </c>
      <c r="F538">
        <v>1063</v>
      </c>
    </row>
    <row r="539" spans="1:6" ht="12.75">
      <c r="A539" s="2">
        <v>43885.538229166668</v>
      </c>
      <c r="B539" t="str">
        <f>HYPERLINK("https://twitter.com/Ramaridoni","@Ramaridoni")</f>
        <v>@Ramaridoni</v>
      </c>
      <c r="C539" t="s">
        <v>2103</v>
      </c>
      <c r="D539">
        <v>50</v>
      </c>
      <c r="E539">
        <v>0</v>
      </c>
      <c r="F539">
        <v>379</v>
      </c>
    </row>
    <row r="540" spans="1:6" ht="12.75">
      <c r="A540" s="2">
        <v>43885.538124999999</v>
      </c>
      <c r="B540" t="str">
        <f>HYPERLINK("https://twitter.com/asuka1_saki","@asuka1_saki")</f>
        <v>@asuka1_saki</v>
      </c>
      <c r="C540" t="s">
        <v>321</v>
      </c>
      <c r="D540">
        <v>1730</v>
      </c>
      <c r="E540">
        <v>0</v>
      </c>
      <c r="F540">
        <v>550</v>
      </c>
    </row>
    <row r="541" spans="1:6" ht="12.75">
      <c r="A541" s="2">
        <v>43885.537615740745</v>
      </c>
      <c r="B541" t="str">
        <f>HYPERLINK("https://twitter.com/mii_nu_","@mii_nu_")</f>
        <v>@mii_nu_</v>
      </c>
      <c r="C541" t="s">
        <v>321</v>
      </c>
      <c r="D541">
        <v>1730</v>
      </c>
      <c r="E541">
        <v>0</v>
      </c>
      <c r="F541">
        <v>1051</v>
      </c>
    </row>
    <row r="542" spans="1:6" ht="12.75">
      <c r="A542" s="2">
        <v>43885.537557870368</v>
      </c>
      <c r="B542" t="str">
        <f>HYPERLINK("https://twitter.com/abebebenyam","@abebebenyam")</f>
        <v>@abebebenyam</v>
      </c>
      <c r="C542" t="s">
        <v>738</v>
      </c>
      <c r="D542">
        <v>384</v>
      </c>
      <c r="E542">
        <v>0</v>
      </c>
      <c r="F542">
        <v>431</v>
      </c>
    </row>
    <row r="543" spans="1:6" ht="12.75">
      <c r="A543" s="2">
        <v>43885.537291666667</v>
      </c>
      <c r="B543" t="str">
        <f>HYPERLINK("https://twitter.com/AditiaD59234594","@AditiaD59234594")</f>
        <v>@AditiaD59234594</v>
      </c>
      <c r="C543" t="s">
        <v>622</v>
      </c>
      <c r="D543">
        <v>1110</v>
      </c>
      <c r="E543">
        <v>0</v>
      </c>
      <c r="F543">
        <v>0</v>
      </c>
    </row>
    <row r="544" spans="1:6" ht="12.75">
      <c r="A544" s="2">
        <v>43885.537187499998</v>
      </c>
      <c r="B544" t="str">
        <f>HYPERLINK("https://twitter.com/halcyonmeraki","@halcyonmeraki")</f>
        <v>@halcyonmeraki</v>
      </c>
      <c r="C544" t="s">
        <v>2424</v>
      </c>
      <c r="D544">
        <v>0</v>
      </c>
      <c r="E544">
        <v>0</v>
      </c>
      <c r="F544">
        <v>719</v>
      </c>
    </row>
    <row r="545" spans="1:6" ht="12.75">
      <c r="A545" s="2">
        <v>43885.537118055552</v>
      </c>
      <c r="B545" t="str">
        <f>HYPERLINK("https://twitter.com/adc1408","@adc1408")</f>
        <v>@adc1408</v>
      </c>
      <c r="C545" t="s">
        <v>2182</v>
      </c>
      <c r="D545">
        <v>3</v>
      </c>
      <c r="E545">
        <v>0</v>
      </c>
      <c r="F545">
        <v>92</v>
      </c>
    </row>
    <row r="546" spans="1:6" ht="12.75">
      <c r="A546" s="2">
        <v>43885.537094907406</v>
      </c>
      <c r="B546" t="str">
        <f>HYPERLINK("https://twitter.com/wahyuutomos","@wahyuutomos")</f>
        <v>@wahyuutomos</v>
      </c>
      <c r="C546" t="s">
        <v>2156</v>
      </c>
      <c r="D546">
        <v>10</v>
      </c>
      <c r="E546">
        <v>0</v>
      </c>
      <c r="F546">
        <v>126</v>
      </c>
    </row>
    <row r="547" spans="1:6" ht="12.75">
      <c r="A547" s="2">
        <v>43885.536979166667</v>
      </c>
      <c r="B547" t="str">
        <f>HYPERLINK("https://twitter.com/projekmm","@projekmm")</f>
        <v>@projekmm</v>
      </c>
      <c r="C547" t="s">
        <v>2425</v>
      </c>
      <c r="D547">
        <v>0</v>
      </c>
      <c r="E547">
        <v>1</v>
      </c>
      <c r="F547">
        <v>1690</v>
      </c>
    </row>
    <row r="548" spans="1:6" ht="12.75">
      <c r="A548" s="2">
        <v>43885.536817129629</v>
      </c>
      <c r="B548" t="str">
        <f>HYPERLINK("https://twitter.com/JinKoplakKe4","@JinKoplakKe4")</f>
        <v>@JinKoplakKe4</v>
      </c>
      <c r="C548" t="s">
        <v>2152</v>
      </c>
      <c r="D548">
        <v>2</v>
      </c>
      <c r="E548">
        <v>0</v>
      </c>
      <c r="F548">
        <v>943</v>
      </c>
    </row>
    <row r="549" spans="1:6" ht="12.75">
      <c r="A549" s="2">
        <v>43885.536643518513</v>
      </c>
      <c r="B549" t="str">
        <f>HYPERLINK("https://twitter.com/firabaik","@firabaik")</f>
        <v>@firabaik</v>
      </c>
      <c r="C549" t="s">
        <v>2426</v>
      </c>
      <c r="D549">
        <v>4</v>
      </c>
      <c r="E549">
        <v>0</v>
      </c>
      <c r="F549">
        <v>129</v>
      </c>
    </row>
    <row r="550" spans="1:6" ht="12.75">
      <c r="A550" s="2">
        <v>43885.536446759259</v>
      </c>
      <c r="B550" t="str">
        <f>HYPERLINK("https://twitter.com/astymetaa","@astymetaa")</f>
        <v>@astymetaa</v>
      </c>
      <c r="C550" t="s">
        <v>2091</v>
      </c>
      <c r="D550">
        <v>1275</v>
      </c>
      <c r="E550">
        <v>0</v>
      </c>
      <c r="F550">
        <v>646</v>
      </c>
    </row>
    <row r="551" spans="1:6" ht="12.75">
      <c r="A551" s="2">
        <v>43885.536365740743</v>
      </c>
      <c r="B551" t="str">
        <f>HYPERLINK("https://twitter.com/Donald_LR","@Donald_LR")</f>
        <v>@Donald_LR</v>
      </c>
      <c r="C551" t="s">
        <v>2103</v>
      </c>
      <c r="D551">
        <v>50</v>
      </c>
      <c r="E551">
        <v>0</v>
      </c>
      <c r="F551">
        <v>313</v>
      </c>
    </row>
    <row r="552" spans="1:6" ht="12.75">
      <c r="A552" s="2">
        <v>43885.536307870367</v>
      </c>
      <c r="B552" t="str">
        <f>HYPERLINK("https://twitter.com/wildflower8763","@wildflower8763")</f>
        <v>@wildflower8763</v>
      </c>
      <c r="C552" t="s">
        <v>738</v>
      </c>
      <c r="D552">
        <v>384</v>
      </c>
      <c r="E552">
        <v>0</v>
      </c>
      <c r="F552">
        <v>244</v>
      </c>
    </row>
    <row r="553" spans="1:6" ht="12.75">
      <c r="A553" s="2">
        <v>43885.536192129628</v>
      </c>
      <c r="B553" t="str">
        <f>HYPERLINK("https://twitter.com/TENTORGOKIL","@TENTORGOKIL")</f>
        <v>@TENTORGOKIL</v>
      </c>
      <c r="C553" t="s">
        <v>2427</v>
      </c>
      <c r="D553">
        <v>0</v>
      </c>
      <c r="E553">
        <v>0</v>
      </c>
      <c r="F553">
        <v>15</v>
      </c>
    </row>
    <row r="554" spans="1:6" ht="12.75">
      <c r="A554" s="2">
        <v>43885.536053240736</v>
      </c>
      <c r="B554" t="str">
        <f>HYPERLINK("https://twitter.com/prajnamu","@prajnamu")</f>
        <v>@prajnamu</v>
      </c>
      <c r="C554" t="s">
        <v>2120</v>
      </c>
      <c r="D554">
        <v>86</v>
      </c>
      <c r="E554">
        <v>0</v>
      </c>
      <c r="F554">
        <v>2334</v>
      </c>
    </row>
    <row r="555" spans="1:6" ht="12.75">
      <c r="A555" s="2">
        <v>43885.535821759258</v>
      </c>
      <c r="B555" t="str">
        <f>HYPERLINK("https://twitter.com/wildflower8763","@wildflower8763")</f>
        <v>@wildflower8763</v>
      </c>
      <c r="C555" t="s">
        <v>321</v>
      </c>
      <c r="D555">
        <v>1730</v>
      </c>
      <c r="E555">
        <v>0</v>
      </c>
      <c r="F555">
        <v>244</v>
      </c>
    </row>
    <row r="556" spans="1:6" ht="12.75">
      <c r="A556" s="2">
        <v>43885.535798611112</v>
      </c>
      <c r="B556" t="str">
        <f>HYPERLINK("https://twitter.com/GoRiauCom","@GoRiauCom")</f>
        <v>@GoRiauCom</v>
      </c>
      <c r="C556" t="s">
        <v>2428</v>
      </c>
      <c r="D556">
        <v>0</v>
      </c>
      <c r="E556">
        <v>1</v>
      </c>
      <c r="F556">
        <v>84658</v>
      </c>
    </row>
    <row r="557" spans="1:6" ht="12.75">
      <c r="A557" s="2">
        <v>43885.535694444443</v>
      </c>
      <c r="B557" t="str">
        <f>HYPERLINK("https://twitter.com/fumi_rock","@fumi_rock")</f>
        <v>@fumi_rock</v>
      </c>
      <c r="C557" t="s">
        <v>738</v>
      </c>
      <c r="D557">
        <v>384</v>
      </c>
      <c r="E557">
        <v>0</v>
      </c>
      <c r="F557">
        <v>1187</v>
      </c>
    </row>
    <row r="558" spans="1:6" ht="12.75">
      <c r="A558" s="2">
        <v>43885.535578703704</v>
      </c>
      <c r="B558" t="str">
        <f>HYPERLINK("https://twitter.com/mamoharyatmo6","@mamoharyatmo6")</f>
        <v>@mamoharyatmo6</v>
      </c>
      <c r="C558" t="s">
        <v>2138</v>
      </c>
      <c r="D558">
        <v>290</v>
      </c>
      <c r="E558">
        <v>0</v>
      </c>
      <c r="F558">
        <v>30579</v>
      </c>
    </row>
    <row r="559" spans="1:6" ht="12.75">
      <c r="A559" s="2">
        <v>43885.535208333335</v>
      </c>
      <c r="B559" t="str">
        <f>HYPERLINK("https://twitter.com/praztDR","@praztDR")</f>
        <v>@praztDR</v>
      </c>
      <c r="C559" t="s">
        <v>2091</v>
      </c>
      <c r="D559">
        <v>1275</v>
      </c>
      <c r="E559">
        <v>0</v>
      </c>
      <c r="F559">
        <v>449</v>
      </c>
    </row>
    <row r="560" spans="1:6" ht="12.75">
      <c r="A560" s="2">
        <v>43885.535208333335</v>
      </c>
      <c r="B560" t="str">
        <f>HYPERLINK("https://twitter.com/IdaAyuMadeOkaA1","@IdaAyuMadeOkaA1")</f>
        <v>@IdaAyuMadeOkaA1</v>
      </c>
      <c r="C560" t="s">
        <v>2091</v>
      </c>
      <c r="D560">
        <v>1275</v>
      </c>
      <c r="E560">
        <v>0</v>
      </c>
      <c r="F560">
        <v>235</v>
      </c>
    </row>
    <row r="561" spans="1:6" ht="12.75">
      <c r="A561" s="2">
        <v>43885.534953703704</v>
      </c>
      <c r="B561" t="str">
        <f>HYPERLINK("https://twitter.com/tubirfess","@tubirfess")</f>
        <v>@tubirfess</v>
      </c>
      <c r="C561" t="s">
        <v>2429</v>
      </c>
      <c r="D561">
        <v>4</v>
      </c>
      <c r="E561">
        <v>2</v>
      </c>
      <c r="F561">
        <v>297296</v>
      </c>
    </row>
    <row r="562" spans="1:6" ht="12.75">
      <c r="A562" s="2">
        <v>43885.534907407404</v>
      </c>
      <c r="B562" t="str">
        <f>HYPERLINK("https://twitter.com/republikaonline","@republikaonline")</f>
        <v>@republikaonline</v>
      </c>
      <c r="C562" t="s">
        <v>2430</v>
      </c>
      <c r="D562">
        <v>0</v>
      </c>
      <c r="E562">
        <v>1</v>
      </c>
      <c r="F562">
        <v>1212565</v>
      </c>
    </row>
    <row r="563" spans="1:6" ht="12.75">
      <c r="A563" s="2">
        <v>43885.534872685181</v>
      </c>
      <c r="B563" t="str">
        <f>HYPERLINK("https://twitter.com/jasonchristoo","@jasonchristoo")</f>
        <v>@jasonchristoo</v>
      </c>
      <c r="C563" t="s">
        <v>2431</v>
      </c>
      <c r="D563">
        <v>0</v>
      </c>
      <c r="E563">
        <v>0</v>
      </c>
      <c r="F563">
        <v>232</v>
      </c>
    </row>
    <row r="564" spans="1:6" ht="12.75">
      <c r="A564" s="2">
        <v>43885.534409722226</v>
      </c>
      <c r="B564" t="str">
        <f>HYPERLINK("https://twitter.com/AskaraOfficial","@AskaraOfficial")</f>
        <v>@AskaraOfficial</v>
      </c>
      <c r="C564" t="s">
        <v>2432</v>
      </c>
      <c r="D564">
        <v>0</v>
      </c>
      <c r="E564">
        <v>0</v>
      </c>
      <c r="F564">
        <v>0</v>
      </c>
    </row>
    <row r="565" spans="1:6" ht="12.75">
      <c r="A565" s="2">
        <v>43885.534236111111</v>
      </c>
      <c r="B565" t="str">
        <f>HYPERLINK("https://twitter.com/NGNG0427","@NGNG0427")</f>
        <v>@NGNG0427</v>
      </c>
      <c r="C565" t="s">
        <v>321</v>
      </c>
      <c r="D565">
        <v>1730</v>
      </c>
      <c r="E565">
        <v>0</v>
      </c>
      <c r="F565">
        <v>361</v>
      </c>
    </row>
    <row r="566" spans="1:6" ht="12.75">
      <c r="A566" s="2">
        <v>43885.533715277779</v>
      </c>
      <c r="B566" t="str">
        <f>HYPERLINK("https://twitter.com/AdrielSoekarno","@AdrielSoekarno")</f>
        <v>@AdrielSoekarno</v>
      </c>
      <c r="C566" t="s">
        <v>1865</v>
      </c>
      <c r="D566">
        <v>3</v>
      </c>
      <c r="E566">
        <v>0</v>
      </c>
      <c r="F566">
        <v>1348</v>
      </c>
    </row>
    <row r="567" spans="1:6" ht="12.75">
      <c r="A567" s="2">
        <v>43885.533587962964</v>
      </c>
      <c r="B567" t="str">
        <f>HYPERLINK("https://twitter.com/RaharjaRandy","@RaharjaRandy")</f>
        <v>@RaharjaRandy</v>
      </c>
      <c r="C567" t="s">
        <v>2091</v>
      </c>
      <c r="D567">
        <v>1275</v>
      </c>
      <c r="E567">
        <v>0</v>
      </c>
      <c r="F567">
        <v>388</v>
      </c>
    </row>
    <row r="568" spans="1:6" ht="12.75">
      <c r="A568" s="2">
        <v>43885.533275462964</v>
      </c>
      <c r="B568" t="str">
        <f>HYPERLINK("https://twitter.com/Karto86768493","@Karto86768493")</f>
        <v>@Karto86768493</v>
      </c>
      <c r="C568" t="s">
        <v>2153</v>
      </c>
      <c r="D568">
        <v>372</v>
      </c>
      <c r="E568">
        <v>0</v>
      </c>
      <c r="F568">
        <v>56</v>
      </c>
    </row>
    <row r="569" spans="1:6" ht="12.75">
      <c r="A569" s="2">
        <v>43885.533136574071</v>
      </c>
      <c r="B569" t="str">
        <f>HYPERLINK("https://twitter.com/ltd_by","@ltd_by")</f>
        <v>@ltd_by</v>
      </c>
      <c r="C569" t="s">
        <v>2433</v>
      </c>
      <c r="D569">
        <v>0</v>
      </c>
      <c r="E569">
        <v>0</v>
      </c>
      <c r="F569">
        <v>447</v>
      </c>
    </row>
    <row r="570" spans="1:6" ht="12.75">
      <c r="A570" s="2">
        <v>43885.532511574071</v>
      </c>
      <c r="B570" t="str">
        <f>HYPERLINK("https://twitter.com/lu1114122","@lu1114122")</f>
        <v>@lu1114122</v>
      </c>
      <c r="C570" t="s">
        <v>2434</v>
      </c>
      <c r="D570">
        <v>14</v>
      </c>
      <c r="E570">
        <v>0</v>
      </c>
      <c r="F570">
        <v>98</v>
      </c>
    </row>
    <row r="571" spans="1:6" ht="12.75">
      <c r="A571" s="2">
        <v>43885.532488425924</v>
      </c>
      <c r="B571" t="str">
        <f>HYPERLINK("https://twitter.com/Iqbal__Kholidi","@Iqbal__Kholidi")</f>
        <v>@Iqbal__Kholidi</v>
      </c>
      <c r="C571" t="s">
        <v>2435</v>
      </c>
      <c r="D571">
        <v>3</v>
      </c>
      <c r="E571">
        <v>2</v>
      </c>
      <c r="F571">
        <v>16250</v>
      </c>
    </row>
    <row r="572" spans="1:6" ht="12.75">
      <c r="A572" s="2">
        <v>43885.532395833332</v>
      </c>
      <c r="B572" t="str">
        <f>HYPERLINK("https://twitter.com/lu1114122","@lu1114122")</f>
        <v>@lu1114122</v>
      </c>
      <c r="C572" t="s">
        <v>2436</v>
      </c>
      <c r="D572">
        <v>16</v>
      </c>
      <c r="E572">
        <v>0</v>
      </c>
      <c r="F572">
        <v>98</v>
      </c>
    </row>
    <row r="573" spans="1:6" ht="12.75">
      <c r="A573" s="2">
        <v>43885.532280092593</v>
      </c>
      <c r="B573" t="str">
        <f>HYPERLINK("https://twitter.com/bull55512102","@bull55512102")</f>
        <v>@bull55512102</v>
      </c>
      <c r="C573" t="s">
        <v>738</v>
      </c>
      <c r="D573">
        <v>384</v>
      </c>
      <c r="E573">
        <v>0</v>
      </c>
      <c r="F573">
        <v>140</v>
      </c>
    </row>
    <row r="574" spans="1:6" ht="12.75">
      <c r="A574" s="2">
        <v>43885.532222222224</v>
      </c>
      <c r="B574" t="str">
        <f>HYPERLINK("https://twitter.com/echoPiR","@echoPiR")</f>
        <v>@echoPiR</v>
      </c>
      <c r="C574" t="s">
        <v>2437</v>
      </c>
      <c r="D574">
        <v>0</v>
      </c>
      <c r="E574">
        <v>0</v>
      </c>
      <c r="F574">
        <v>156</v>
      </c>
    </row>
    <row r="575" spans="1:6" ht="12.75">
      <c r="A575" s="2">
        <v>43885.531412037039</v>
      </c>
      <c r="B575" t="str">
        <f>HYPERLINK("https://twitter.com/kanim_pamekasan","@kanim_pamekasan")</f>
        <v>@kanim_pamekasan</v>
      </c>
      <c r="C575" t="s">
        <v>2438</v>
      </c>
      <c r="D575">
        <v>0</v>
      </c>
      <c r="E575">
        <v>0</v>
      </c>
      <c r="F575">
        <v>456</v>
      </c>
    </row>
    <row r="576" spans="1:6" ht="12.75">
      <c r="A576" s="2">
        <v>43885.531307870369</v>
      </c>
      <c r="B576" t="str">
        <f>HYPERLINK("https://twitter.com/rahmantioh","@rahmantioh")</f>
        <v>@rahmantioh</v>
      </c>
      <c r="C576" t="s">
        <v>2156</v>
      </c>
      <c r="D576">
        <v>10</v>
      </c>
      <c r="E576">
        <v>0</v>
      </c>
      <c r="F576">
        <v>289</v>
      </c>
    </row>
    <row r="577" spans="1:6" ht="12.75">
      <c r="A577" s="2">
        <v>43885.530960648146</v>
      </c>
      <c r="B577" t="str">
        <f>HYPERLINK("https://twitter.com/ramadhantiya","@ramadhantiya")</f>
        <v>@ramadhantiya</v>
      </c>
      <c r="C577" t="s">
        <v>2090</v>
      </c>
      <c r="D577">
        <v>31</v>
      </c>
      <c r="E577">
        <v>0</v>
      </c>
      <c r="F577">
        <v>740</v>
      </c>
    </row>
    <row r="578" spans="1:6" ht="12.75">
      <c r="A578" s="2">
        <v>43885.5308912037</v>
      </c>
      <c r="B578" t="str">
        <f>HYPERLINK("https://twitter.com/anxietypleasego","@anxietypleasego")</f>
        <v>@anxietypleasego</v>
      </c>
      <c r="C578" t="s">
        <v>2091</v>
      </c>
      <c r="D578">
        <v>1275</v>
      </c>
      <c r="E578">
        <v>0</v>
      </c>
      <c r="F578">
        <v>97</v>
      </c>
    </row>
    <row r="579" spans="1:6" ht="12.75">
      <c r="A579" s="2">
        <v>43885.530358796299</v>
      </c>
      <c r="B579" t="str">
        <f>HYPERLINK("https://twitter.com/aguraphobian","@aguraphobian")</f>
        <v>@aguraphobian</v>
      </c>
      <c r="C579" t="s">
        <v>2439</v>
      </c>
      <c r="D579">
        <v>0</v>
      </c>
      <c r="E579">
        <v>0</v>
      </c>
      <c r="F579">
        <v>413</v>
      </c>
    </row>
    <row r="580" spans="1:6" ht="12.75">
      <c r="A580" s="2">
        <v>43885.529768518521</v>
      </c>
      <c r="B580" t="str">
        <f>HYPERLINK("https://twitter.com/antarajatimcom","@antarajatimcom")</f>
        <v>@antarajatimcom</v>
      </c>
      <c r="C580" t="s">
        <v>2440</v>
      </c>
      <c r="D580">
        <v>0</v>
      </c>
      <c r="E580">
        <v>0</v>
      </c>
      <c r="F580">
        <v>837</v>
      </c>
    </row>
    <row r="581" spans="1:6" ht="12.75">
      <c r="A581" s="2">
        <v>43885.529467592598</v>
      </c>
      <c r="B581" t="str">
        <f>HYPERLINK("https://twitter.com/kichinosuketess","@kichinosuketess")</f>
        <v>@kichinosuketess</v>
      </c>
      <c r="C581" t="s">
        <v>738</v>
      </c>
      <c r="D581">
        <v>384</v>
      </c>
      <c r="E581">
        <v>0</v>
      </c>
      <c r="F581">
        <v>113</v>
      </c>
    </row>
    <row r="582" spans="1:6" ht="12.75">
      <c r="A582" s="2">
        <v>43885.529444444444</v>
      </c>
      <c r="B582" t="str">
        <f>HYPERLINK("https://twitter.com/meryharison","@meryharison")</f>
        <v>@meryharison</v>
      </c>
      <c r="C582" t="s">
        <v>2091</v>
      </c>
      <c r="D582">
        <v>1275</v>
      </c>
      <c r="E582">
        <v>0</v>
      </c>
      <c r="F582">
        <v>1192</v>
      </c>
    </row>
    <row r="583" spans="1:6" ht="12.75">
      <c r="A583" s="2">
        <v>43885.529270833329</v>
      </c>
      <c r="B583" t="str">
        <f>HYPERLINK("https://twitter.com/myflowerpetale","@myflowerpetale")</f>
        <v>@myflowerpetale</v>
      </c>
      <c r="C583" t="s">
        <v>738</v>
      </c>
      <c r="D583">
        <v>384</v>
      </c>
      <c r="E583">
        <v>0</v>
      </c>
      <c r="F583">
        <v>450</v>
      </c>
    </row>
    <row r="584" spans="1:6" ht="12.75">
      <c r="A584" s="2">
        <v>43885.529236111106</v>
      </c>
      <c r="B584" t="str">
        <f>HYPERLINK("https://twitter.com/choirulanas95","@choirulanas95")</f>
        <v>@choirulanas95</v>
      </c>
      <c r="C584" t="s">
        <v>2441</v>
      </c>
      <c r="D584">
        <v>15</v>
      </c>
      <c r="E584">
        <v>0</v>
      </c>
      <c r="F584">
        <v>767</v>
      </c>
    </row>
    <row r="585" spans="1:6" ht="12.75">
      <c r="A585" s="2">
        <v>43885.529108796298</v>
      </c>
      <c r="B585" t="str">
        <f>HYPERLINK("https://twitter.com/yovitadias","@yovitadias")</f>
        <v>@yovitadias</v>
      </c>
      <c r="C585" t="s">
        <v>321</v>
      </c>
      <c r="D585">
        <v>1730</v>
      </c>
      <c r="E585">
        <v>0</v>
      </c>
      <c r="F585">
        <v>1146</v>
      </c>
    </row>
    <row r="586" spans="1:6" ht="12.75">
      <c r="A586" s="2">
        <v>43885.529027777782</v>
      </c>
      <c r="B586" t="str">
        <f>HYPERLINK("https://twitter.com/Rezaarliann","@Rezaarliann")</f>
        <v>@Rezaarliann</v>
      </c>
      <c r="C586" t="s">
        <v>2091</v>
      </c>
      <c r="D586">
        <v>1275</v>
      </c>
      <c r="E586">
        <v>0</v>
      </c>
      <c r="F586">
        <v>70</v>
      </c>
    </row>
    <row r="587" spans="1:6" ht="12.75">
      <c r="A587" s="2">
        <v>43885.528460648144</v>
      </c>
      <c r="B587" t="str">
        <f>HYPERLINK("https://twitter.com/Crowofdawning","@Crowofdawning")</f>
        <v>@Crowofdawning</v>
      </c>
      <c r="C587" t="s">
        <v>321</v>
      </c>
      <c r="D587">
        <v>1730</v>
      </c>
      <c r="E587">
        <v>0</v>
      </c>
      <c r="F587">
        <v>1414</v>
      </c>
    </row>
    <row r="588" spans="1:6" ht="12.75">
      <c r="A588" s="2">
        <v>43885.528437500005</v>
      </c>
      <c r="B588" t="str">
        <f>HYPERLINK("https://twitter.com/sudjiwotedjo","@sudjiwotedjo")</f>
        <v>@sudjiwotedjo</v>
      </c>
      <c r="C588" t="s">
        <v>2442</v>
      </c>
      <c r="D588">
        <v>3</v>
      </c>
      <c r="E588">
        <v>24</v>
      </c>
      <c r="F588">
        <v>1763240</v>
      </c>
    </row>
    <row r="589" spans="1:6" ht="12.75">
      <c r="A589" s="2">
        <v>43885.528124999997</v>
      </c>
      <c r="B589" t="str">
        <f>HYPERLINK("https://twitter.com/ceknricekcom_id","@ceknricekcom_id")</f>
        <v>@ceknricekcom_id</v>
      </c>
      <c r="C589" t="s">
        <v>2443</v>
      </c>
      <c r="D589">
        <v>0</v>
      </c>
      <c r="E589">
        <v>0</v>
      </c>
      <c r="F589">
        <v>29568</v>
      </c>
    </row>
    <row r="590" spans="1:6" ht="12.75">
      <c r="A590" s="2">
        <v>43885.528043981481</v>
      </c>
      <c r="B590" t="str">
        <f>HYPERLINK("https://twitter.com/ResimenRasiman","@ResimenRasiman")</f>
        <v>@ResimenRasiman</v>
      </c>
      <c r="C590" t="s">
        <v>321</v>
      </c>
      <c r="D590">
        <v>1730</v>
      </c>
      <c r="E590">
        <v>0</v>
      </c>
      <c r="F590">
        <v>699</v>
      </c>
    </row>
    <row r="591" spans="1:6" ht="12.75">
      <c r="A591" s="2">
        <v>43885.527881944443</v>
      </c>
      <c r="B591" t="str">
        <f>HYPERLINK("https://twitter.com/9205e2e91b0f49a","@9205e2e91b0f49a")</f>
        <v>@9205e2e91b0f49a</v>
      </c>
      <c r="C591" t="s">
        <v>738</v>
      </c>
      <c r="D591">
        <v>384</v>
      </c>
      <c r="E591">
        <v>0</v>
      </c>
      <c r="F591">
        <v>89</v>
      </c>
    </row>
    <row r="592" spans="1:6" ht="12.75">
      <c r="A592" s="2">
        <v>43885.527835648143</v>
      </c>
      <c r="B592" t="str">
        <f>HYPERLINK("https://twitter.com/jarroyaa","@jarroyaa")</f>
        <v>@jarroyaa</v>
      </c>
      <c r="C592" t="s">
        <v>2444</v>
      </c>
      <c r="D592">
        <v>4573</v>
      </c>
      <c r="E592">
        <v>0</v>
      </c>
      <c r="F592">
        <v>318</v>
      </c>
    </row>
    <row r="593" spans="1:6" ht="12.75">
      <c r="A593" s="2">
        <v>43885.527627314819</v>
      </c>
      <c r="B593" t="str">
        <f>HYPERLINK("https://twitter.com/Aspriel13","@Aspriel13")</f>
        <v>@Aspriel13</v>
      </c>
      <c r="C593" t="s">
        <v>2156</v>
      </c>
      <c r="D593">
        <v>10</v>
      </c>
      <c r="E593">
        <v>0</v>
      </c>
      <c r="F593">
        <v>466</v>
      </c>
    </row>
    <row r="594" spans="1:6" ht="12.75">
      <c r="A594" s="2">
        <v>43885.52743055555</v>
      </c>
      <c r="B594" t="str">
        <f>HYPERLINK("https://twitter.com/IndonesiaRAW","@IndonesiaRAW")</f>
        <v>@IndonesiaRAW</v>
      </c>
      <c r="C594" t="s">
        <v>2445</v>
      </c>
      <c r="D594">
        <v>2</v>
      </c>
      <c r="E594">
        <v>1</v>
      </c>
      <c r="F594">
        <v>201773</v>
      </c>
    </row>
    <row r="595" spans="1:6" ht="12.75">
      <c r="A595" s="2">
        <v>43885.527384259258</v>
      </c>
      <c r="B595" t="str">
        <f>HYPERLINK("https://twitter.com/budiarto689","@budiarto689")</f>
        <v>@budiarto689</v>
      </c>
      <c r="C595" t="s">
        <v>2158</v>
      </c>
      <c r="D595">
        <v>3</v>
      </c>
      <c r="E595">
        <v>0</v>
      </c>
      <c r="F595">
        <v>2176</v>
      </c>
    </row>
    <row r="596" spans="1:6" ht="12.75">
      <c r="A596" s="2">
        <v>43885.527349537035</v>
      </c>
      <c r="B596" t="str">
        <f>HYPERLINK("https://twitter.com/bangkitriambada","@bangkitriambada")</f>
        <v>@bangkitriambada</v>
      </c>
      <c r="C596" t="s">
        <v>2371</v>
      </c>
      <c r="D596">
        <v>2</v>
      </c>
      <c r="E596">
        <v>0</v>
      </c>
      <c r="F596">
        <v>201</v>
      </c>
    </row>
    <row r="597" spans="1:6" ht="12.75">
      <c r="A597" s="2">
        <v>43885.527094907404</v>
      </c>
      <c r="B597" t="str">
        <f>HYPERLINK("https://twitter.com/Kareen_Sadaf","@Kareen_Sadaf")</f>
        <v>@Kareen_Sadaf</v>
      </c>
      <c r="C597" t="s">
        <v>2158</v>
      </c>
      <c r="D597">
        <v>3</v>
      </c>
      <c r="E597">
        <v>0</v>
      </c>
      <c r="F597">
        <v>1220</v>
      </c>
    </row>
    <row r="598" spans="1:6" ht="12.75">
      <c r="A598" s="2">
        <v>43885.526944444442</v>
      </c>
      <c r="B598" t="str">
        <f>HYPERLINK("https://twitter.com/n_0ob_0O85O_0O","@n_0ob_0O85O_0O")</f>
        <v>@n_0ob_0O85O_0O</v>
      </c>
      <c r="C598" t="s">
        <v>177</v>
      </c>
      <c r="D598">
        <v>830</v>
      </c>
      <c r="E598">
        <v>0</v>
      </c>
      <c r="F598">
        <v>917</v>
      </c>
    </row>
    <row r="599" spans="1:6" ht="12.75">
      <c r="A599" s="2">
        <v>43885.526863425926</v>
      </c>
      <c r="B599" t="str">
        <f>HYPERLINK("https://twitter.com/Emirhermono","@Emirhermono")</f>
        <v>@Emirhermono</v>
      </c>
      <c r="C599" t="s">
        <v>321</v>
      </c>
      <c r="D599">
        <v>1730</v>
      </c>
      <c r="E599">
        <v>0</v>
      </c>
      <c r="F599">
        <v>2166</v>
      </c>
    </row>
    <row r="600" spans="1:6" ht="12.75">
      <c r="A600" s="2">
        <v>43885.526377314818</v>
      </c>
      <c r="B600" t="str">
        <f>HYPERLINK("https://twitter.com/FiraNSF","@FiraNSF")</f>
        <v>@FiraNSF</v>
      </c>
      <c r="C600" t="s">
        <v>2091</v>
      </c>
      <c r="D600">
        <v>1275</v>
      </c>
      <c r="E600">
        <v>0</v>
      </c>
      <c r="F600">
        <v>1307</v>
      </c>
    </row>
    <row r="601" spans="1:6" ht="12.75">
      <c r="A601" s="2">
        <v>43885.52621527778</v>
      </c>
      <c r="B601" t="str">
        <f>HYPERLINK("https://twitter.com/pimamanggala","@pimamanggala")</f>
        <v>@pimamanggala</v>
      </c>
      <c r="C601" t="s">
        <v>2441</v>
      </c>
      <c r="D601">
        <v>15</v>
      </c>
      <c r="E601">
        <v>0</v>
      </c>
      <c r="F601">
        <v>1568</v>
      </c>
    </row>
    <row r="602" spans="1:6" ht="12.75">
      <c r="A602" s="2">
        <v>43885.526087962964</v>
      </c>
      <c r="B602" t="str">
        <f>HYPERLINK("https://twitter.com/B35API","@B35API")</f>
        <v>@B35API</v>
      </c>
      <c r="C602" t="s">
        <v>2446</v>
      </c>
      <c r="D602">
        <v>0</v>
      </c>
      <c r="E602">
        <v>0</v>
      </c>
      <c r="F602">
        <v>507</v>
      </c>
    </row>
    <row r="603" spans="1:6" ht="12.75">
      <c r="A603" s="2">
        <v>43885.501250000001</v>
      </c>
      <c r="B603" t="str">
        <f>HYPERLINK("https://twitter.com/muktiadi1","@muktiadi1")</f>
        <v>@muktiadi1</v>
      </c>
      <c r="C603" t="s">
        <v>2447</v>
      </c>
      <c r="D603">
        <v>0</v>
      </c>
      <c r="E603">
        <v>0</v>
      </c>
      <c r="F603">
        <v>1245</v>
      </c>
    </row>
    <row r="604" spans="1:6" ht="12.75">
      <c r="A604" s="2">
        <v>43885.501180555555</v>
      </c>
      <c r="B604" t="str">
        <f>HYPERLINK("https://twitter.com/John_Muhan","@John_Muhan")</f>
        <v>@John_Muhan</v>
      </c>
      <c r="C604" t="s">
        <v>2103</v>
      </c>
      <c r="D604">
        <v>42</v>
      </c>
      <c r="E604">
        <v>0</v>
      </c>
      <c r="F604">
        <v>801</v>
      </c>
    </row>
    <row r="605" spans="1:6" ht="12.75">
      <c r="A605" s="2">
        <v>43885.501122685186</v>
      </c>
      <c r="B605" t="str">
        <f>HYPERLINK("https://twitter.com/nandothok","@nandothok")</f>
        <v>@nandothok</v>
      </c>
      <c r="C605" t="s">
        <v>321</v>
      </c>
      <c r="D605">
        <v>1683</v>
      </c>
      <c r="E605">
        <v>0</v>
      </c>
      <c r="F605">
        <v>333</v>
      </c>
    </row>
    <row r="606" spans="1:6" ht="12.75">
      <c r="A606" s="2">
        <v>43885.500752314816</v>
      </c>
      <c r="B606" t="str">
        <f>HYPERLINK("https://twitter.com/hevangomedd","@hevangomedd")</f>
        <v>@hevangomedd</v>
      </c>
      <c r="C606" t="s">
        <v>2091</v>
      </c>
      <c r="D606">
        <v>1241</v>
      </c>
      <c r="E606">
        <v>0</v>
      </c>
      <c r="F606">
        <v>382</v>
      </c>
    </row>
    <row r="607" spans="1:6" ht="12.75">
      <c r="A607" s="2">
        <v>43885.500509259262</v>
      </c>
      <c r="B607" t="str">
        <f>HYPERLINK("https://twitter.com/Cocolat72097827","@Cocolat72097827")</f>
        <v>@Cocolat72097827</v>
      </c>
      <c r="C607" t="s">
        <v>2448</v>
      </c>
      <c r="D607">
        <v>0</v>
      </c>
      <c r="E607">
        <v>0</v>
      </c>
      <c r="F607">
        <v>65</v>
      </c>
    </row>
    <row r="608" spans="1:6" ht="12.75">
      <c r="A608" s="2">
        <v>43885.500381944439</v>
      </c>
      <c r="B608" t="str">
        <f>HYPERLINK("https://twitter.com/Yantos91","@Yantos91")</f>
        <v>@Yantos91</v>
      </c>
      <c r="C608" t="s">
        <v>2091</v>
      </c>
      <c r="D608">
        <v>1241</v>
      </c>
      <c r="E608">
        <v>0</v>
      </c>
      <c r="F608">
        <v>30</v>
      </c>
    </row>
    <row r="609" spans="1:6" ht="12.75">
      <c r="A609" s="2">
        <v>43885.500347222223</v>
      </c>
      <c r="B609" t="str">
        <f>HYPERLINK("https://twitter.com/sakuradamotoko","@sakuradamotoko")</f>
        <v>@sakuradamotoko</v>
      </c>
      <c r="C609" t="s">
        <v>738</v>
      </c>
      <c r="D609">
        <v>359</v>
      </c>
      <c r="E609">
        <v>0</v>
      </c>
      <c r="F609">
        <v>576</v>
      </c>
    </row>
    <row r="610" spans="1:6" ht="12.75">
      <c r="A610" s="2">
        <v>43885.5002662037</v>
      </c>
      <c r="B610" t="str">
        <f>HYPERLINK("https://twitter.com/boyfery85","@boyfery85")</f>
        <v>@boyfery85</v>
      </c>
      <c r="C610" t="s">
        <v>2162</v>
      </c>
      <c r="D610">
        <v>0</v>
      </c>
      <c r="E610">
        <v>0</v>
      </c>
      <c r="F610">
        <v>124</v>
      </c>
    </row>
    <row r="611" spans="1:6" ht="12.75">
      <c r="A611" s="2">
        <v>43885.500046296293</v>
      </c>
      <c r="B611" t="str">
        <f>HYPERLINK("https://twitter.com/alineadotid","@alineadotid")</f>
        <v>@alineadotid</v>
      </c>
      <c r="C611" t="s">
        <v>2449</v>
      </c>
      <c r="D611">
        <v>0</v>
      </c>
      <c r="E611">
        <v>0</v>
      </c>
      <c r="F611">
        <v>611841</v>
      </c>
    </row>
    <row r="612" spans="1:6" ht="12.75">
      <c r="A612" s="2">
        <v>43885.5</v>
      </c>
      <c r="B612" t="str">
        <f>HYPERLINK("https://twitter.com/KompasData","@KompasData")</f>
        <v>@KompasData</v>
      </c>
      <c r="C612" t="s">
        <v>2450</v>
      </c>
      <c r="D612">
        <v>0</v>
      </c>
      <c r="E612">
        <v>0</v>
      </c>
      <c r="F612">
        <v>8527</v>
      </c>
    </row>
    <row r="613" spans="1:6" ht="12.75">
      <c r="A613" s="2">
        <v>43885.499918981484</v>
      </c>
      <c r="B613" t="str">
        <f>HYPERLINK("https://twitter.com/Chandra_lpg","@Chandra_lpg")</f>
        <v>@Chandra_lpg</v>
      </c>
      <c r="C613" t="s">
        <v>2451</v>
      </c>
      <c r="D613">
        <v>0</v>
      </c>
      <c r="E613">
        <v>0</v>
      </c>
      <c r="F613">
        <v>795</v>
      </c>
    </row>
    <row r="614" spans="1:6" ht="12.75">
      <c r="A614" s="2">
        <v>43885.499768518523</v>
      </c>
      <c r="B614" t="str">
        <f>HYPERLINK("https://twitter.com/GondesMuharrom","@GondesMuharrom")</f>
        <v>@GondesMuharrom</v>
      </c>
      <c r="C614" t="s">
        <v>2091</v>
      </c>
      <c r="D614">
        <v>1241</v>
      </c>
      <c r="E614">
        <v>0</v>
      </c>
      <c r="F614">
        <v>6</v>
      </c>
    </row>
    <row r="615" spans="1:6" ht="12.75">
      <c r="A615" s="2">
        <v>43885.499699074076</v>
      </c>
      <c r="B615" t="str">
        <f>HYPERLINK("https://twitter.com/BebasVisaID","@BebasVisaID")</f>
        <v>@BebasVisaID</v>
      </c>
      <c r="C615" t="s">
        <v>2452</v>
      </c>
      <c r="D615">
        <v>1</v>
      </c>
      <c r="E615">
        <v>0</v>
      </c>
      <c r="F615">
        <v>7910</v>
      </c>
    </row>
    <row r="616" spans="1:6" ht="12.75">
      <c r="A616" s="2">
        <v>43885.49899305556</v>
      </c>
      <c r="B616" t="str">
        <f>HYPERLINK("https://twitter.com/mudha_satriya","@mudha_satriya")</f>
        <v>@mudha_satriya</v>
      </c>
      <c r="C616" t="s">
        <v>2453</v>
      </c>
      <c r="D616">
        <v>3</v>
      </c>
      <c r="E616">
        <v>0</v>
      </c>
      <c r="F616">
        <v>1875</v>
      </c>
    </row>
    <row r="617" spans="1:6" ht="12.75">
      <c r="A617" s="2">
        <v>43885.498796296291</v>
      </c>
      <c r="B617" t="str">
        <f>HYPERLINK("https://twitter.com/Aurela_ribka","@Aurela_ribka")</f>
        <v>@Aurela_ribka</v>
      </c>
      <c r="C617" t="s">
        <v>2103</v>
      </c>
      <c r="D617">
        <v>42</v>
      </c>
      <c r="E617">
        <v>0</v>
      </c>
      <c r="F617">
        <v>660</v>
      </c>
    </row>
    <row r="618" spans="1:6" ht="12.75">
      <c r="A618" s="2">
        <v>43885.49863425926</v>
      </c>
      <c r="B618" t="str">
        <f>HYPERLINK("https://twitter.com/dillalerin__","@dillalerin__")</f>
        <v>@dillalerin__</v>
      </c>
      <c r="C618" t="s">
        <v>2138</v>
      </c>
      <c r="D618">
        <v>289</v>
      </c>
      <c r="E618">
        <v>0</v>
      </c>
      <c r="F618">
        <v>19</v>
      </c>
    </row>
    <row r="619" spans="1:6" ht="12.75">
      <c r="A619" s="2">
        <v>43885.498148148152</v>
      </c>
      <c r="B619" t="str">
        <f t="shared" ref="B619:B621" si="15">HYPERLINK("https://twitter.com/MayumiSat","@MayumiSat")</f>
        <v>@MayumiSat</v>
      </c>
      <c r="C619" t="s">
        <v>2120</v>
      </c>
      <c r="D619">
        <v>81</v>
      </c>
      <c r="E619">
        <v>0</v>
      </c>
      <c r="F619">
        <v>1590</v>
      </c>
    </row>
    <row r="620" spans="1:6" ht="12.75">
      <c r="A620" s="2">
        <v>43885.498078703706</v>
      </c>
      <c r="B620" t="str">
        <f t="shared" si="15"/>
        <v>@MayumiSat</v>
      </c>
      <c r="C620" t="s">
        <v>2115</v>
      </c>
      <c r="D620">
        <v>88</v>
      </c>
      <c r="E620">
        <v>0</v>
      </c>
      <c r="F620">
        <v>1590</v>
      </c>
    </row>
    <row r="621" spans="1:6" ht="12.75">
      <c r="A621" s="2">
        <v>43885.497881944444</v>
      </c>
      <c r="B621" t="str">
        <f t="shared" si="15"/>
        <v>@MayumiSat</v>
      </c>
      <c r="C621" t="s">
        <v>738</v>
      </c>
      <c r="D621">
        <v>359</v>
      </c>
      <c r="E621">
        <v>0</v>
      </c>
      <c r="F621">
        <v>1590</v>
      </c>
    </row>
    <row r="622" spans="1:6" ht="12.75">
      <c r="A622" s="2">
        <v>43885.497812500005</v>
      </c>
      <c r="B622" t="str">
        <f>HYPERLINK("https://twitter.com/ayuupuspit","@ayuupuspit")</f>
        <v>@ayuupuspit</v>
      </c>
      <c r="C622" t="s">
        <v>2091</v>
      </c>
      <c r="D622">
        <v>1241</v>
      </c>
      <c r="E622">
        <v>0</v>
      </c>
      <c r="F622">
        <v>288</v>
      </c>
    </row>
    <row r="623" spans="1:6" ht="12.75">
      <c r="A623" s="2">
        <v>43885.497615740736</v>
      </c>
      <c r="B623" t="str">
        <f>HYPERLINK("https://twitter.com/_maruyonko_","@_maruyonko_")</f>
        <v>@_maruyonko_</v>
      </c>
      <c r="C623" t="s">
        <v>321</v>
      </c>
      <c r="D623">
        <v>1683</v>
      </c>
      <c r="E623">
        <v>0</v>
      </c>
      <c r="F623">
        <v>1300</v>
      </c>
    </row>
    <row r="624" spans="1:6" ht="12.75">
      <c r="A624" s="2">
        <v>43885.497314814813</v>
      </c>
      <c r="B624" t="str">
        <f>HYPERLINK("https://twitter.com/MayumiSat","@MayumiSat")</f>
        <v>@MayumiSat</v>
      </c>
      <c r="C624" t="s">
        <v>321</v>
      </c>
      <c r="D624">
        <v>1683</v>
      </c>
      <c r="E624">
        <v>0</v>
      </c>
      <c r="F624">
        <v>1590</v>
      </c>
    </row>
    <row r="625" spans="1:6" ht="12.75">
      <c r="A625" s="2">
        <v>43885.49695601852</v>
      </c>
      <c r="B625" t="str">
        <f>HYPERLINK("https://twitter.com/jjfukura","@jjfukura")</f>
        <v>@jjfukura</v>
      </c>
      <c r="C625" t="s">
        <v>321</v>
      </c>
      <c r="D625">
        <v>1683</v>
      </c>
      <c r="E625">
        <v>0</v>
      </c>
      <c r="F625">
        <v>6588</v>
      </c>
    </row>
    <row r="626" spans="1:6" ht="12.75">
      <c r="A626" s="2">
        <v>43885.496886574074</v>
      </c>
      <c r="B626" t="str">
        <f>HYPERLINK("https://twitter.com/mano_csw","@mano_csw")</f>
        <v>@mano_csw</v>
      </c>
      <c r="C626" t="s">
        <v>738</v>
      </c>
      <c r="D626">
        <v>359</v>
      </c>
      <c r="E626">
        <v>0</v>
      </c>
      <c r="F626">
        <v>169</v>
      </c>
    </row>
    <row r="627" spans="1:6" ht="12.75">
      <c r="A627" s="2">
        <v>43885.496724537035</v>
      </c>
      <c r="B627" t="str">
        <f>HYPERLINK("https://twitter.com/Happy7ooss","@Happy7ooss")</f>
        <v>@Happy7ooss</v>
      </c>
      <c r="C627" t="s">
        <v>321</v>
      </c>
      <c r="D627">
        <v>1683</v>
      </c>
      <c r="E627">
        <v>0</v>
      </c>
      <c r="F627">
        <v>349</v>
      </c>
    </row>
    <row r="628" spans="1:6" ht="12.75">
      <c r="A628" s="2">
        <v>43885.496689814812</v>
      </c>
      <c r="B628" t="str">
        <f>HYPERLINK("https://twitter.com/YasuyukiHaraG","@YasuyukiHaraG")</f>
        <v>@YasuyukiHaraG</v>
      </c>
      <c r="C628" t="s">
        <v>321</v>
      </c>
      <c r="D628">
        <v>1683</v>
      </c>
      <c r="E628">
        <v>0</v>
      </c>
      <c r="F628">
        <v>79</v>
      </c>
    </row>
    <row r="629" spans="1:6" ht="12.75">
      <c r="A629" s="2">
        <v>43885.496562500004</v>
      </c>
      <c r="B629" t="str">
        <f>HYPERLINK("https://twitter.com/KontanNews","@KontanNews")</f>
        <v>@KontanNews</v>
      </c>
      <c r="C629" t="s">
        <v>2454</v>
      </c>
      <c r="D629">
        <v>0</v>
      </c>
      <c r="E629">
        <v>0</v>
      </c>
      <c r="F629">
        <v>317157</v>
      </c>
    </row>
    <row r="630" spans="1:6" ht="12.75">
      <c r="A630" s="2">
        <v>43885.496504629627</v>
      </c>
      <c r="B630" t="str">
        <f>HYPERLINK("https://twitter.com/fahbileya","@fahbileya")</f>
        <v>@fahbileya</v>
      </c>
      <c r="C630" t="s">
        <v>321</v>
      </c>
      <c r="D630">
        <v>1683</v>
      </c>
      <c r="E630">
        <v>0</v>
      </c>
      <c r="F630">
        <v>44</v>
      </c>
    </row>
    <row r="631" spans="1:6" ht="12.75">
      <c r="A631" s="2">
        <v>43885.49628472222</v>
      </c>
      <c r="B631" t="str">
        <f>HYPERLINK("https://twitter.com/marimarut","@marimarut")</f>
        <v>@marimarut</v>
      </c>
      <c r="C631" t="s">
        <v>2426</v>
      </c>
      <c r="D631">
        <v>1</v>
      </c>
      <c r="E631">
        <v>0</v>
      </c>
      <c r="F631">
        <v>527</v>
      </c>
    </row>
    <row r="632" spans="1:6" ht="12.75">
      <c r="A632" s="2">
        <v>43885.496249999997</v>
      </c>
      <c r="B632" t="str">
        <f>HYPERLINK("https://twitter.com/gl_slash","@gl_slash")</f>
        <v>@gl_slash</v>
      </c>
      <c r="C632" t="s">
        <v>321</v>
      </c>
      <c r="D632">
        <v>1683</v>
      </c>
      <c r="E632">
        <v>0</v>
      </c>
      <c r="F632">
        <v>119</v>
      </c>
    </row>
    <row r="633" spans="1:6" ht="12.75">
      <c r="A633" s="2">
        <v>43885.496203703704</v>
      </c>
      <c r="B633" t="str">
        <f>HYPERLINK("https://twitter.com/pikiran_rakyat","@pikiran_rakyat")</f>
        <v>@pikiran_rakyat</v>
      </c>
      <c r="C633" t="s">
        <v>2455</v>
      </c>
      <c r="D633">
        <v>0</v>
      </c>
      <c r="E633">
        <v>0</v>
      </c>
      <c r="F633">
        <v>412827</v>
      </c>
    </row>
    <row r="634" spans="1:6" ht="12.75">
      <c r="A634" s="2">
        <v>43885.496192129634</v>
      </c>
      <c r="B634" t="str">
        <f>HYPERLINK("https://twitter.com/gl_slash","@gl_slash")</f>
        <v>@gl_slash</v>
      </c>
      <c r="C634" t="s">
        <v>2103</v>
      </c>
      <c r="D634">
        <v>42</v>
      </c>
      <c r="E634">
        <v>0</v>
      </c>
      <c r="F634">
        <v>119</v>
      </c>
    </row>
    <row r="635" spans="1:6" ht="12.75">
      <c r="A635" s="2">
        <v>43885.496134259258</v>
      </c>
      <c r="B635" t="str">
        <f>HYPERLINK("https://twitter.com/mudha_satriya","@mudha_satriya")</f>
        <v>@mudha_satriya</v>
      </c>
      <c r="C635" t="s">
        <v>2456</v>
      </c>
      <c r="D635">
        <v>2</v>
      </c>
      <c r="E635">
        <v>0</v>
      </c>
      <c r="F635">
        <v>1875</v>
      </c>
    </row>
    <row r="636" spans="1:6" ht="12.75">
      <c r="A636" s="2">
        <v>43885.496099537035</v>
      </c>
      <c r="B636" t="str">
        <f>HYPERLINK("https://twitter.com/_Within_A_Dream","@_Within_A_Dream")</f>
        <v>@_Within_A_Dream</v>
      </c>
      <c r="C636" t="s">
        <v>321</v>
      </c>
      <c r="D636">
        <v>1683</v>
      </c>
      <c r="E636">
        <v>0</v>
      </c>
      <c r="F636">
        <v>3400</v>
      </c>
    </row>
    <row r="637" spans="1:6" ht="12.75">
      <c r="A637" s="2">
        <v>43885.495972222227</v>
      </c>
      <c r="B637" t="str">
        <f>HYPERLINK("https://twitter.com/SURYANAMR","@SURYANAMR")</f>
        <v>@SURYANAMR</v>
      </c>
      <c r="C637" t="s">
        <v>2457</v>
      </c>
      <c r="D637">
        <v>0</v>
      </c>
      <c r="E637">
        <v>0</v>
      </c>
      <c r="F637">
        <v>1255</v>
      </c>
    </row>
    <row r="638" spans="1:6" ht="12.75">
      <c r="A638" s="2">
        <v>43885.495937500003</v>
      </c>
      <c r="B638" t="str">
        <f>HYPERLINK("https://twitter.com/Halim_Ngab","@Halim_Ngab")</f>
        <v>@Halim_Ngab</v>
      </c>
      <c r="C638" t="s">
        <v>321</v>
      </c>
      <c r="D638">
        <v>1683</v>
      </c>
      <c r="E638">
        <v>0</v>
      </c>
      <c r="F638">
        <v>116</v>
      </c>
    </row>
    <row r="639" spans="1:6" ht="12.75">
      <c r="A639" s="2">
        <v>43885.495937500003</v>
      </c>
      <c r="B639" t="str">
        <f>HYPERLINK("https://twitter.com/kinkirasamurai","@kinkirasamurai")</f>
        <v>@kinkirasamurai</v>
      </c>
      <c r="C639" t="s">
        <v>738</v>
      </c>
      <c r="D639">
        <v>359</v>
      </c>
      <c r="E639">
        <v>0</v>
      </c>
      <c r="F639">
        <v>2027</v>
      </c>
    </row>
    <row r="640" spans="1:6" ht="12.75">
      <c r="A640" s="2">
        <v>43885.495879629627</v>
      </c>
      <c r="B640" t="str">
        <f>HYPERLINK("https://twitter.com/Halim_Ngab","@Halim_Ngab")</f>
        <v>@Halim_Ngab</v>
      </c>
      <c r="C640" t="s">
        <v>2103</v>
      </c>
      <c r="D640">
        <v>42</v>
      </c>
      <c r="E640">
        <v>0</v>
      </c>
      <c r="F640">
        <v>116</v>
      </c>
    </row>
    <row r="641" spans="1:6" ht="12.75">
      <c r="A641" s="2">
        <v>43885.495787037042</v>
      </c>
      <c r="B641" t="str">
        <f>HYPERLINK("https://twitter.com/hannarayliza","@hannarayliza")</f>
        <v>@hannarayliza</v>
      </c>
      <c r="C641" t="s">
        <v>2458</v>
      </c>
      <c r="D641">
        <v>0</v>
      </c>
      <c r="E641">
        <v>1</v>
      </c>
      <c r="F641">
        <v>9544</v>
      </c>
    </row>
    <row r="642" spans="1:6" ht="12.75">
      <c r="A642" s="2">
        <v>43885.495729166665</v>
      </c>
      <c r="B642" t="str">
        <f>HYPERLINK("https://twitter.com/oak_math_lee_91","@oak_math_lee_91")</f>
        <v>@oak_math_lee_91</v>
      </c>
      <c r="C642" t="s">
        <v>2459</v>
      </c>
      <c r="D642">
        <v>1</v>
      </c>
      <c r="E642">
        <v>2</v>
      </c>
      <c r="F642">
        <v>106</v>
      </c>
    </row>
    <row r="643" spans="1:6" ht="12.75">
      <c r="A643" s="2">
        <v>43885.495358796295</v>
      </c>
      <c r="B643" t="str">
        <f>HYPERLINK("https://twitter.com/gebagebag","@gebagebag")</f>
        <v>@gebagebag</v>
      </c>
      <c r="C643" t="s">
        <v>2091</v>
      </c>
      <c r="D643">
        <v>1241</v>
      </c>
      <c r="E643">
        <v>0</v>
      </c>
      <c r="F643">
        <v>16</v>
      </c>
    </row>
    <row r="644" spans="1:6" ht="12.75">
      <c r="A644" s="2">
        <v>43885.495266203703</v>
      </c>
      <c r="B644" t="str">
        <f>HYPERLINK("https://twitter.com/Antara_Jabar","@Antara_Jabar")</f>
        <v>@Antara_Jabar</v>
      </c>
      <c r="C644" t="s">
        <v>2460</v>
      </c>
      <c r="D644">
        <v>0</v>
      </c>
      <c r="E644">
        <v>0</v>
      </c>
      <c r="F644">
        <v>1585</v>
      </c>
    </row>
    <row r="645" spans="1:6" ht="12.75">
      <c r="A645" s="2">
        <v>43885.495254629626</v>
      </c>
      <c r="B645" t="str">
        <f>HYPERLINK("https://twitter.com/pitselku","@pitselku")</f>
        <v>@pitselku</v>
      </c>
      <c r="C645" t="s">
        <v>2091</v>
      </c>
      <c r="D645">
        <v>1241</v>
      </c>
      <c r="E645">
        <v>0</v>
      </c>
      <c r="F645">
        <v>4</v>
      </c>
    </row>
    <row r="646" spans="1:6" ht="12.75">
      <c r="A646" s="2">
        <v>43885.495138888888</v>
      </c>
      <c r="B646" t="str">
        <f>HYPERLINK("https://twitter.com/hay_yusse","@hay_yusse")</f>
        <v>@hay_yusse</v>
      </c>
      <c r="C646" t="s">
        <v>2103</v>
      </c>
      <c r="D646">
        <v>42</v>
      </c>
      <c r="E646">
        <v>0</v>
      </c>
      <c r="F646">
        <v>3154</v>
      </c>
    </row>
    <row r="647" spans="1:6" ht="12.75">
      <c r="A647" s="2">
        <v>43885.495034722218</v>
      </c>
      <c r="B647" t="str">
        <f>HYPERLINK("https://twitter.com/kidspayy","@kidspayy")</f>
        <v>@kidspayy</v>
      </c>
      <c r="C647" t="s">
        <v>2120</v>
      </c>
      <c r="D647">
        <v>81</v>
      </c>
      <c r="E647">
        <v>0</v>
      </c>
      <c r="F647">
        <v>483</v>
      </c>
    </row>
    <row r="648" spans="1:6" ht="12.75">
      <c r="A648" s="2">
        <v>43885.494849537034</v>
      </c>
      <c r="B648" t="str">
        <f>HYPERLINK("https://twitter.com/_therma_","@_therma_")</f>
        <v>@_therma_</v>
      </c>
      <c r="C648" t="s">
        <v>2461</v>
      </c>
      <c r="D648">
        <v>5</v>
      </c>
      <c r="E648">
        <v>0</v>
      </c>
      <c r="F648">
        <v>4536</v>
      </c>
    </row>
    <row r="649" spans="1:6" ht="12.75">
      <c r="A649" s="2">
        <v>43885.494849537034</v>
      </c>
      <c r="B649" t="str">
        <f>HYPERLINK("https://twitter.com/myl_ve","@myl_ve")</f>
        <v>@myl_ve</v>
      </c>
      <c r="C649" t="s">
        <v>738</v>
      </c>
      <c r="D649">
        <v>359</v>
      </c>
      <c r="E649">
        <v>0</v>
      </c>
      <c r="F649">
        <v>63</v>
      </c>
    </row>
    <row r="650" spans="1:6" ht="12.75">
      <c r="A650" s="2">
        <v>43885.494837962964</v>
      </c>
      <c r="B650" t="str">
        <f t="shared" ref="B650:B651" si="16">HYPERLINK("https://twitter.com/kompascom","@kompascom")</f>
        <v>@kompascom</v>
      </c>
      <c r="C650" t="s">
        <v>2462</v>
      </c>
      <c r="D650">
        <v>0</v>
      </c>
      <c r="E650">
        <v>3</v>
      </c>
      <c r="F650">
        <v>7510094</v>
      </c>
    </row>
    <row r="651" spans="1:6" ht="12.75">
      <c r="A651" s="2">
        <v>43885.494826388887</v>
      </c>
      <c r="B651" t="str">
        <f t="shared" si="16"/>
        <v>@kompascom</v>
      </c>
      <c r="C651" t="s">
        <v>2463</v>
      </c>
      <c r="D651">
        <v>1</v>
      </c>
      <c r="E651">
        <v>2</v>
      </c>
      <c r="F651">
        <v>7510094</v>
      </c>
    </row>
    <row r="652" spans="1:6" ht="12.75">
      <c r="A652" s="2">
        <v>43885.494803240741</v>
      </c>
      <c r="B652" t="str">
        <f>HYPERLINK("https://twitter.com/kidspayy","@kidspayy")</f>
        <v>@kidspayy</v>
      </c>
      <c r="C652" t="s">
        <v>321</v>
      </c>
      <c r="D652">
        <v>1683</v>
      </c>
      <c r="E652">
        <v>0</v>
      </c>
      <c r="F652">
        <v>483</v>
      </c>
    </row>
    <row r="653" spans="1:6" ht="12.75">
      <c r="A653" s="2">
        <v>43885.494606481487</v>
      </c>
      <c r="B653" t="str">
        <f>HYPERLINK("https://twitter.com/Dianadjiemunaji","@Dianadjiemunaji")</f>
        <v>@Dianadjiemunaji</v>
      </c>
      <c r="C653" t="s">
        <v>2464</v>
      </c>
      <c r="D653">
        <v>0</v>
      </c>
      <c r="E653">
        <v>0</v>
      </c>
      <c r="F653">
        <v>1568</v>
      </c>
    </row>
    <row r="654" spans="1:6" ht="12.75">
      <c r="A654" s="2">
        <v>43885.494456018518</v>
      </c>
      <c r="B654" t="str">
        <f>HYPERLINK("https://twitter.com/takuya1977411","@takuya1977411")</f>
        <v>@takuya1977411</v>
      </c>
      <c r="C654" t="s">
        <v>738</v>
      </c>
      <c r="D654">
        <v>359</v>
      </c>
      <c r="E654">
        <v>0</v>
      </c>
      <c r="F654">
        <v>28</v>
      </c>
    </row>
    <row r="655" spans="1:6" ht="12.75">
      <c r="A655" s="2">
        <v>43885.494143518517</v>
      </c>
      <c r="B655" t="str">
        <f>HYPERLINK("https://twitter.com/MirzaRayyen","@MirzaRayyen")</f>
        <v>@MirzaRayyen</v>
      </c>
      <c r="C655" t="s">
        <v>321</v>
      </c>
      <c r="D655">
        <v>1683</v>
      </c>
      <c r="E655">
        <v>0</v>
      </c>
      <c r="F655">
        <v>15</v>
      </c>
    </row>
    <row r="656" spans="1:6" ht="12.75">
      <c r="A656" s="2">
        <v>43885.494108796294</v>
      </c>
      <c r="B656" t="str">
        <f>HYPERLINK("https://twitter.com/ranggazurais","@ranggazurais")</f>
        <v>@ranggazurais</v>
      </c>
      <c r="C656" t="s">
        <v>2120</v>
      </c>
      <c r="D656">
        <v>81</v>
      </c>
      <c r="E656">
        <v>0</v>
      </c>
      <c r="F656">
        <v>369</v>
      </c>
    </row>
    <row r="657" spans="1:6" ht="12.75">
      <c r="A657" s="2">
        <v>43885.494027777779</v>
      </c>
      <c r="B657" t="str">
        <f>HYPERLINK("https://twitter.com/teguhsumantri","@teguhsumantri")</f>
        <v>@teguhsumantri</v>
      </c>
      <c r="C657" t="s">
        <v>2465</v>
      </c>
      <c r="D657">
        <v>0</v>
      </c>
      <c r="E657">
        <v>0</v>
      </c>
      <c r="F657">
        <v>170</v>
      </c>
    </row>
    <row r="658" spans="1:6" ht="12.75">
      <c r="A658" s="2">
        <v>43885.493935185186</v>
      </c>
      <c r="B658" t="str">
        <f>HYPERLINK("https://twitter.com/radenmasjerico","@radenmasjerico")</f>
        <v>@radenmasjerico</v>
      </c>
      <c r="C658" t="s">
        <v>513</v>
      </c>
      <c r="D658">
        <v>23266</v>
      </c>
      <c r="E658">
        <v>0</v>
      </c>
      <c r="F658">
        <v>258</v>
      </c>
    </row>
    <row r="659" spans="1:6" ht="12.75">
      <c r="A659" s="2">
        <v>43885.493877314817</v>
      </c>
      <c r="B659" t="str">
        <f>HYPERLINK("https://twitter.com/yosetiyanto","@yosetiyanto")</f>
        <v>@yosetiyanto</v>
      </c>
      <c r="C659" t="s">
        <v>321</v>
      </c>
      <c r="D659">
        <v>1683</v>
      </c>
      <c r="E659">
        <v>0</v>
      </c>
      <c r="F659">
        <v>202</v>
      </c>
    </row>
    <row r="660" spans="1:6" ht="12.75">
      <c r="A660" s="2">
        <v>43885.493645833332</v>
      </c>
      <c r="B660" t="str">
        <f>HYPERLINK("https://twitter.com/nadxhn","@nadxhn")</f>
        <v>@nadxhn</v>
      </c>
      <c r="C660" t="s">
        <v>2090</v>
      </c>
      <c r="D660">
        <v>30</v>
      </c>
      <c r="E660">
        <v>0</v>
      </c>
      <c r="F660">
        <v>166</v>
      </c>
    </row>
    <row r="661" spans="1:6" ht="12.75">
      <c r="A661" s="2">
        <v>43885.493321759262</v>
      </c>
      <c r="B661" t="str">
        <f>HYPERLINK("https://twitter.com/okezonenews","@okezonenews")</f>
        <v>@okezonenews</v>
      </c>
      <c r="C661" t="s">
        <v>2466</v>
      </c>
      <c r="D661">
        <v>0</v>
      </c>
      <c r="E661">
        <v>0</v>
      </c>
      <c r="F661">
        <v>1743460</v>
      </c>
    </row>
    <row r="662" spans="1:6" ht="12.75">
      <c r="A662" s="2">
        <v>43885.493321759262</v>
      </c>
      <c r="B662" t="str">
        <f>HYPERLINK("https://twitter.com/sunfflowa","@sunfflowa")</f>
        <v>@sunfflowa</v>
      </c>
      <c r="C662" t="s">
        <v>2467</v>
      </c>
      <c r="D662">
        <v>906</v>
      </c>
      <c r="E662">
        <v>0</v>
      </c>
      <c r="F662">
        <v>218</v>
      </c>
    </row>
    <row r="663" spans="1:6" ht="12.75">
      <c r="A663" s="2">
        <v>43885.493113425924</v>
      </c>
      <c r="B663" t="str">
        <f>HYPERLINK("https://twitter.com/anqmb","@anqmb")</f>
        <v>@anqmb</v>
      </c>
      <c r="C663" t="s">
        <v>321</v>
      </c>
      <c r="D663">
        <v>1683</v>
      </c>
      <c r="E663">
        <v>0</v>
      </c>
      <c r="F663">
        <v>807</v>
      </c>
    </row>
    <row r="664" spans="1:6" ht="12.75">
      <c r="A664" s="2">
        <v>43885.493020833332</v>
      </c>
      <c r="B664" t="str">
        <f>HYPERLINK("https://twitter.com/nelizsamala","@nelizsamala")</f>
        <v>@nelizsamala</v>
      </c>
      <c r="C664" t="s">
        <v>2468</v>
      </c>
      <c r="D664">
        <v>0</v>
      </c>
      <c r="E664">
        <v>0</v>
      </c>
      <c r="F664">
        <v>20</v>
      </c>
    </row>
    <row r="665" spans="1:6" ht="12.75">
      <c r="A665" s="2">
        <v>43885.493009259255</v>
      </c>
      <c r="B665" t="str">
        <f>HYPERLINK("https://twitter.com/Rifnierhy","@Rifnierhy")</f>
        <v>@Rifnierhy</v>
      </c>
      <c r="C665" t="s">
        <v>2469</v>
      </c>
      <c r="D665">
        <v>28</v>
      </c>
      <c r="E665">
        <v>0</v>
      </c>
      <c r="F665">
        <v>206</v>
      </c>
    </row>
    <row r="666" spans="1:6" ht="12.75">
      <c r="A666" s="2">
        <v>43885.492708333331</v>
      </c>
      <c r="B666" t="str">
        <f>HYPERLINK("https://twitter.com/jawapos","@jawapos")</f>
        <v>@jawapos</v>
      </c>
      <c r="C666" t="s">
        <v>2470</v>
      </c>
      <c r="D666">
        <v>2</v>
      </c>
      <c r="E666">
        <v>3</v>
      </c>
      <c r="F666">
        <v>121089</v>
      </c>
    </row>
    <row r="667" spans="1:6" ht="12.75">
      <c r="A667" s="2">
        <v>43885.492708333331</v>
      </c>
      <c r="B667" t="str">
        <f>HYPERLINK("https://twitter.com/Generiki","@Generiki")</f>
        <v>@Generiki</v>
      </c>
      <c r="C667" t="s">
        <v>738</v>
      </c>
      <c r="D667">
        <v>359</v>
      </c>
      <c r="E667">
        <v>0</v>
      </c>
      <c r="F667">
        <v>32</v>
      </c>
    </row>
    <row r="668" spans="1:6" ht="12.75">
      <c r="A668" s="2">
        <v>43885.492395833338</v>
      </c>
      <c r="B668" t="str">
        <f>HYPERLINK("https://twitter.com/nissadmynti","@nissadmynti")</f>
        <v>@nissadmynti</v>
      </c>
      <c r="C668" t="s">
        <v>2091</v>
      </c>
      <c r="D668">
        <v>1241</v>
      </c>
      <c r="E668">
        <v>0</v>
      </c>
      <c r="F668">
        <v>483</v>
      </c>
    </row>
    <row r="669" spans="1:6" ht="12.75">
      <c r="A669" s="2">
        <v>43885.492291666669</v>
      </c>
      <c r="B669" t="str">
        <f>HYPERLINK("https://twitter.com/anqmb","@anqmb")</f>
        <v>@anqmb</v>
      </c>
      <c r="C669" t="s">
        <v>738</v>
      </c>
      <c r="D669">
        <v>359</v>
      </c>
      <c r="E669">
        <v>0</v>
      </c>
      <c r="F669">
        <v>807</v>
      </c>
    </row>
    <row r="670" spans="1:6" ht="12.75">
      <c r="A670" s="2">
        <v>43885.492291666669</v>
      </c>
      <c r="B670" t="str">
        <f>HYPERLINK("https://twitter.com/BeUmigami","@BeUmigami")</f>
        <v>@BeUmigami</v>
      </c>
      <c r="C670" t="s">
        <v>738</v>
      </c>
      <c r="D670">
        <v>359</v>
      </c>
      <c r="E670">
        <v>0</v>
      </c>
      <c r="F670">
        <v>194</v>
      </c>
    </row>
    <row r="671" spans="1:6" ht="12.75">
      <c r="A671" s="2">
        <v>43885.4921875</v>
      </c>
      <c r="B671" t="str">
        <f>HYPERLINK("https://twitter.com/wni_jmsri","@wni_jmsri")</f>
        <v>@wni_jmsri</v>
      </c>
      <c r="C671" t="s">
        <v>2471</v>
      </c>
      <c r="D671">
        <v>1</v>
      </c>
      <c r="E671">
        <v>0</v>
      </c>
      <c r="F671">
        <v>195</v>
      </c>
    </row>
    <row r="672" spans="1:6" ht="12.75">
      <c r="A672" s="2">
        <v>43885.4921875</v>
      </c>
      <c r="B672" t="str">
        <f>HYPERLINK("https://twitter.com/benz_izkandar","@benz_izkandar")</f>
        <v>@benz_izkandar</v>
      </c>
      <c r="C672" t="s">
        <v>2091</v>
      </c>
      <c r="D672">
        <v>1241</v>
      </c>
      <c r="E672">
        <v>0</v>
      </c>
      <c r="F672">
        <v>198</v>
      </c>
    </row>
    <row r="673" spans="1:6" ht="12.75">
      <c r="A673" s="2">
        <v>43885.491840277777</v>
      </c>
      <c r="B673" t="str">
        <f>HYPERLINK("https://twitter.com/linTang98074883","@linTang98074883")</f>
        <v>@linTang98074883</v>
      </c>
      <c r="C673" t="s">
        <v>2472</v>
      </c>
      <c r="D673">
        <v>38</v>
      </c>
      <c r="E673">
        <v>0</v>
      </c>
      <c r="F673">
        <v>178</v>
      </c>
    </row>
    <row r="674" spans="1:6" ht="12.75">
      <c r="A674" s="2">
        <v>43885.491747685184</v>
      </c>
      <c r="B674" t="str">
        <f>HYPERLINK("https://twitter.com/andreaswidodo","@andreaswidodo")</f>
        <v>@andreaswidodo</v>
      </c>
      <c r="C674" t="s">
        <v>2473</v>
      </c>
      <c r="D674">
        <v>0</v>
      </c>
      <c r="E674">
        <v>0</v>
      </c>
      <c r="F674">
        <v>72</v>
      </c>
    </row>
    <row r="675" spans="1:6" ht="12.75">
      <c r="A675" s="2">
        <v>43885.491319444445</v>
      </c>
      <c r="B675" t="str">
        <f>HYPERLINK("https://twitter.com/Beritadotnews","@Beritadotnews")</f>
        <v>@Beritadotnews</v>
      </c>
      <c r="C675" t="s">
        <v>2474</v>
      </c>
      <c r="D675">
        <v>0</v>
      </c>
      <c r="E675">
        <v>0</v>
      </c>
      <c r="F675">
        <v>40</v>
      </c>
    </row>
    <row r="676" spans="1:6" ht="12.75">
      <c r="A676" s="2">
        <v>43885.491261574076</v>
      </c>
      <c r="B676" t="str">
        <f>HYPERLINK("https://twitter.com/beriko0214","@beriko0214")</f>
        <v>@beriko0214</v>
      </c>
      <c r="C676" t="s">
        <v>738</v>
      </c>
      <c r="D676">
        <v>359</v>
      </c>
      <c r="E676">
        <v>0</v>
      </c>
      <c r="F676">
        <v>3315</v>
      </c>
    </row>
    <row r="677" spans="1:6" ht="12.75">
      <c r="A677" s="2">
        <v>43885.490972222222</v>
      </c>
      <c r="B677" t="str">
        <f>HYPERLINK("https://twitter.com/Awal_Kembara","@Awal_Kembara")</f>
        <v>@Awal_Kembara</v>
      </c>
      <c r="C677" t="s">
        <v>321</v>
      </c>
      <c r="D677">
        <v>1683</v>
      </c>
      <c r="E677">
        <v>0</v>
      </c>
      <c r="F677">
        <v>339</v>
      </c>
    </row>
    <row r="678" spans="1:6" ht="12.75">
      <c r="A678" s="2">
        <v>43885.490775462968</v>
      </c>
      <c r="B678" t="str">
        <f>HYPERLINK("https://twitter.com/kucingJepang","@kucingJepang")</f>
        <v>@kucingJepang</v>
      </c>
      <c r="C678" t="s">
        <v>2475</v>
      </c>
      <c r="D678">
        <v>1</v>
      </c>
      <c r="E678">
        <v>0</v>
      </c>
      <c r="F678">
        <v>127</v>
      </c>
    </row>
    <row r="679" spans="1:6" ht="12.75">
      <c r="A679" s="2">
        <v>43885.490706018521</v>
      </c>
      <c r="B679" t="str">
        <f>HYPERLINK("https://twitter.com/yukarimym","@yukarimym")</f>
        <v>@yukarimym</v>
      </c>
      <c r="C679" t="s">
        <v>321</v>
      </c>
      <c r="D679">
        <v>1683</v>
      </c>
      <c r="E679">
        <v>0</v>
      </c>
      <c r="F679">
        <v>59</v>
      </c>
    </row>
    <row r="680" spans="1:6" ht="12.75">
      <c r="A680" s="2">
        <v>43885.490671296298</v>
      </c>
      <c r="B680" t="str">
        <f>HYPERLINK("https://twitter.com/yukosy","@yukosy")</f>
        <v>@yukosy</v>
      </c>
      <c r="C680" t="s">
        <v>738</v>
      </c>
      <c r="D680">
        <v>359</v>
      </c>
      <c r="E680">
        <v>0</v>
      </c>
      <c r="F680">
        <v>182</v>
      </c>
    </row>
    <row r="681" spans="1:6" ht="12.75">
      <c r="A681" s="2">
        <v>43885.490636574075</v>
      </c>
      <c r="B681" t="str">
        <f>HYPERLINK("https://twitter.com/shellasimbolon","@shellasimbolon")</f>
        <v>@shellasimbolon</v>
      </c>
      <c r="C681" t="s">
        <v>2091</v>
      </c>
      <c r="D681">
        <v>1241</v>
      </c>
      <c r="E681">
        <v>0</v>
      </c>
      <c r="F681">
        <v>1203</v>
      </c>
    </row>
    <row r="682" spans="1:6" ht="12.75">
      <c r="A682" s="2">
        <v>43885.490381944444</v>
      </c>
      <c r="B682" t="str">
        <f>HYPERLINK("https://twitter.com/arisdyan","@arisdyan")</f>
        <v>@arisdyan</v>
      </c>
      <c r="C682" t="s">
        <v>2091</v>
      </c>
      <c r="D682">
        <v>1241</v>
      </c>
      <c r="E682">
        <v>0</v>
      </c>
      <c r="F682">
        <v>311</v>
      </c>
    </row>
    <row r="683" spans="1:6" ht="12.75">
      <c r="A683" s="2">
        <v>43885.490289351852</v>
      </c>
      <c r="B683" t="str">
        <f>HYPERLINK("https://twitter.com/mocha_mdp","@mocha_mdp")</f>
        <v>@mocha_mdp</v>
      </c>
      <c r="C683" t="s">
        <v>2103</v>
      </c>
      <c r="D683">
        <v>42</v>
      </c>
      <c r="E683">
        <v>0</v>
      </c>
      <c r="F683">
        <v>333</v>
      </c>
    </row>
    <row r="684" spans="1:6" ht="12.75">
      <c r="A684" s="2">
        <v>43885.490104166667</v>
      </c>
      <c r="B684" t="str">
        <f>HYPERLINK("https://twitter.com/wni_jmsri","@wni_jmsri")</f>
        <v>@wni_jmsri</v>
      </c>
      <c r="C684" t="s">
        <v>2476</v>
      </c>
      <c r="D684">
        <v>3903</v>
      </c>
      <c r="E684">
        <v>0</v>
      </c>
      <c r="F684">
        <v>195</v>
      </c>
    </row>
    <row r="685" spans="1:6" ht="12.75">
      <c r="A685" s="2">
        <v>43885.490057870367</v>
      </c>
      <c r="B685" t="str">
        <f>HYPERLINK("https://twitter.com/ArinAristia","@ArinAristia")</f>
        <v>@ArinAristia</v>
      </c>
      <c r="C685" t="s">
        <v>2103</v>
      </c>
      <c r="D685">
        <v>42</v>
      </c>
      <c r="E685">
        <v>0</v>
      </c>
      <c r="F685">
        <v>3187</v>
      </c>
    </row>
    <row r="686" spans="1:6" ht="12.75">
      <c r="A686" s="2">
        <v>43885.490057870367</v>
      </c>
      <c r="B686" t="str">
        <f>HYPERLINK("https://twitter.com/u00martin","@u00martin")</f>
        <v>@u00martin</v>
      </c>
      <c r="C686" t="s">
        <v>321</v>
      </c>
      <c r="D686">
        <v>1683</v>
      </c>
      <c r="E686">
        <v>0</v>
      </c>
      <c r="F686">
        <v>1959</v>
      </c>
    </row>
    <row r="687" spans="1:6" ht="12.75">
      <c r="A687" s="2">
        <v>43885.490046296298</v>
      </c>
      <c r="B687" t="str">
        <f>HYPERLINK("https://twitter.com/xdiraarx","@xdiraarx")</f>
        <v>@xdiraarx</v>
      </c>
      <c r="C687" t="s">
        <v>321</v>
      </c>
      <c r="D687">
        <v>1683</v>
      </c>
      <c r="E687">
        <v>0</v>
      </c>
      <c r="F687">
        <v>299</v>
      </c>
    </row>
    <row r="688" spans="1:6" ht="12.75">
      <c r="A688" s="2">
        <v>43885.489606481482</v>
      </c>
      <c r="B688" t="str">
        <f>HYPERLINK("https://twitter.com/chill_shibuya","@chill_shibuya")</f>
        <v>@chill_shibuya</v>
      </c>
      <c r="C688" t="s">
        <v>321</v>
      </c>
      <c r="D688">
        <v>1683</v>
      </c>
      <c r="E688">
        <v>0</v>
      </c>
      <c r="F688">
        <v>981</v>
      </c>
    </row>
    <row r="689" spans="1:6" ht="12.75">
      <c r="A689" s="2">
        <v>43885.489305555559</v>
      </c>
      <c r="B689" t="str">
        <f>HYPERLINK("https://twitter.com/BennyKeef","@BennyKeef")</f>
        <v>@BennyKeef</v>
      </c>
      <c r="C689" t="s">
        <v>2103</v>
      </c>
      <c r="D689">
        <v>42</v>
      </c>
      <c r="E689">
        <v>0</v>
      </c>
      <c r="F689">
        <v>1228</v>
      </c>
    </row>
    <row r="690" spans="1:6" ht="12.75">
      <c r="A690" s="2">
        <v>43885.489305555559</v>
      </c>
      <c r="B690" t="str">
        <f>HYPERLINK("https://twitter.com/ICorleano","@ICorleano")</f>
        <v>@ICorleano</v>
      </c>
      <c r="C690" t="s">
        <v>2103</v>
      </c>
      <c r="D690">
        <v>42</v>
      </c>
      <c r="E690">
        <v>0</v>
      </c>
      <c r="F690">
        <v>1885</v>
      </c>
    </row>
    <row r="691" spans="1:6" ht="12.75">
      <c r="A691" s="2">
        <v>43885.489293981482</v>
      </c>
      <c r="B691" t="str">
        <f>HYPERLINK("https://twitter.com/anitagusbrava","@anitagusbrava")</f>
        <v>@anitagusbrava</v>
      </c>
      <c r="C691" t="s">
        <v>2477</v>
      </c>
      <c r="D691">
        <v>0</v>
      </c>
      <c r="E691">
        <v>0</v>
      </c>
      <c r="F691">
        <v>239</v>
      </c>
    </row>
    <row r="692" spans="1:6" ht="12.75">
      <c r="A692" s="2">
        <v>43885.488946759258</v>
      </c>
      <c r="B692" t="str">
        <f>HYPERLINK("https://twitter.com/BTKomar","@BTKomar")</f>
        <v>@BTKomar</v>
      </c>
      <c r="C692" t="s">
        <v>321</v>
      </c>
      <c r="D692">
        <v>1683</v>
      </c>
      <c r="E692">
        <v>0</v>
      </c>
      <c r="F692">
        <v>1016</v>
      </c>
    </row>
    <row r="693" spans="1:6" ht="12.75">
      <c r="A693" s="2">
        <v>43885.488807870366</v>
      </c>
      <c r="B693" t="str">
        <f>HYPERLINK("https://twitter.com/QyaAqifa","@QyaAqifa")</f>
        <v>@QyaAqifa</v>
      </c>
      <c r="C693" t="s">
        <v>2103</v>
      </c>
      <c r="D693">
        <v>42</v>
      </c>
      <c r="E693">
        <v>0</v>
      </c>
      <c r="F693">
        <v>134</v>
      </c>
    </row>
    <row r="694" spans="1:6" ht="12.75">
      <c r="A694" s="2">
        <v>43885.488750000004</v>
      </c>
      <c r="B694" t="str">
        <f>HYPERLINK("https://twitter.com/nadename","@nadename")</f>
        <v>@nadename</v>
      </c>
      <c r="C694" t="s">
        <v>2478</v>
      </c>
      <c r="D694">
        <v>0</v>
      </c>
      <c r="E694">
        <v>0</v>
      </c>
      <c r="F694">
        <v>272</v>
      </c>
    </row>
    <row r="695" spans="1:6" ht="12.75">
      <c r="A695" s="2">
        <v>43885.488541666666</v>
      </c>
      <c r="B695" t="str">
        <f>HYPERLINK("https://twitter.com/soleilblu","@soleilblu")</f>
        <v>@soleilblu</v>
      </c>
      <c r="C695" t="s">
        <v>2091</v>
      </c>
      <c r="D695">
        <v>1241</v>
      </c>
      <c r="E695">
        <v>0</v>
      </c>
      <c r="F695">
        <v>35</v>
      </c>
    </row>
    <row r="696" spans="1:6" ht="12.75">
      <c r="A696" s="2">
        <v>43885.488541666666</v>
      </c>
      <c r="B696" t="str">
        <f>HYPERLINK("https://twitter.com/TeamPoisoning","@TeamPoisoning")</f>
        <v>@TeamPoisoning</v>
      </c>
      <c r="C696" t="s">
        <v>2120</v>
      </c>
      <c r="D696">
        <v>81</v>
      </c>
      <c r="E696">
        <v>0</v>
      </c>
      <c r="F696">
        <v>3221</v>
      </c>
    </row>
    <row r="697" spans="1:6" ht="12.75">
      <c r="A697" s="2">
        <v>43885.488495370373</v>
      </c>
      <c r="B697" t="str">
        <f>HYPERLINK("https://twitter.com/segoroamarto_","@segoroamarto_")</f>
        <v>@segoroamarto_</v>
      </c>
      <c r="C697" t="s">
        <v>2183</v>
      </c>
      <c r="D697">
        <v>335</v>
      </c>
      <c r="E697">
        <v>0</v>
      </c>
      <c r="F697">
        <v>15</v>
      </c>
    </row>
    <row r="698" spans="1:6" ht="12.75">
      <c r="A698" s="2">
        <v>43885.48841435185</v>
      </c>
      <c r="B698" t="str">
        <f>HYPERLINK("https://twitter.com/ahonen31","@ahonen31")</f>
        <v>@ahonen31</v>
      </c>
      <c r="C698" t="s">
        <v>738</v>
      </c>
      <c r="D698">
        <v>359</v>
      </c>
      <c r="E698">
        <v>0</v>
      </c>
      <c r="F698">
        <v>5025</v>
      </c>
    </row>
    <row r="699" spans="1:6" ht="12.75">
      <c r="A699" s="2">
        <v>43885.488298611112</v>
      </c>
      <c r="B699" t="str">
        <f>HYPERLINK("https://twitter.com/wan_wanrawan","@wan_wanrawan")</f>
        <v>@wan_wanrawan</v>
      </c>
      <c r="C699" t="s">
        <v>321</v>
      </c>
      <c r="D699">
        <v>1683</v>
      </c>
      <c r="E699">
        <v>0</v>
      </c>
      <c r="F699">
        <v>1003</v>
      </c>
    </row>
    <row r="700" spans="1:6" ht="12.75">
      <c r="A700" s="2">
        <v>43885.488275462965</v>
      </c>
      <c r="B700" t="str">
        <f>HYPERLINK("https://twitter.com/kaubaptisdiriku","@kaubaptisdiriku")</f>
        <v>@kaubaptisdiriku</v>
      </c>
      <c r="C700" t="s">
        <v>2091</v>
      </c>
      <c r="D700">
        <v>1241</v>
      </c>
      <c r="E700">
        <v>0</v>
      </c>
      <c r="F700">
        <v>22</v>
      </c>
    </row>
    <row r="701" spans="1:6" ht="12.75">
      <c r="A701" s="2">
        <v>43885.488252314812</v>
      </c>
      <c r="B701" t="str">
        <f>HYPERLINK("https://twitter.com/bangnuwel","@bangnuwel")</f>
        <v>@bangnuwel</v>
      </c>
      <c r="C701" t="s">
        <v>2479</v>
      </c>
      <c r="D701">
        <v>0</v>
      </c>
      <c r="E701">
        <v>0</v>
      </c>
      <c r="F701">
        <v>274</v>
      </c>
    </row>
    <row r="702" spans="1:6" ht="12.75">
      <c r="A702" s="2">
        <v>43885.488206018519</v>
      </c>
      <c r="B702" t="str">
        <f>HYPERLINK("https://twitter.com/indrajam","@indrajam")</f>
        <v>@indrajam</v>
      </c>
      <c r="C702" t="s">
        <v>2169</v>
      </c>
      <c r="D702">
        <v>5</v>
      </c>
      <c r="E702">
        <v>0</v>
      </c>
      <c r="F702">
        <v>421</v>
      </c>
    </row>
    <row r="703" spans="1:6" ht="12.75">
      <c r="A703" s="2">
        <v>43885.459872685184</v>
      </c>
      <c r="B703" t="str">
        <f>HYPERLINK("https://twitter.com/tasya_4black","@tasya_4black")</f>
        <v>@tasya_4black</v>
      </c>
      <c r="C703" t="s">
        <v>2480</v>
      </c>
      <c r="D703">
        <v>2</v>
      </c>
      <c r="E703">
        <v>0</v>
      </c>
      <c r="F703">
        <v>87</v>
      </c>
    </row>
    <row r="704" spans="1:6" ht="12.75">
      <c r="A704" s="2">
        <v>43885.459525462968</v>
      </c>
      <c r="B704" t="str">
        <f>HYPERLINK("https://twitter.com/rjlyns_","@rjlyns_")</f>
        <v>@rjlyns_</v>
      </c>
      <c r="C704" t="s">
        <v>2481</v>
      </c>
      <c r="D704">
        <v>10</v>
      </c>
      <c r="E704">
        <v>0</v>
      </c>
      <c r="F704">
        <v>380</v>
      </c>
    </row>
    <row r="705" spans="1:6" ht="12.75">
      <c r="A705" s="2">
        <v>43885.459317129629</v>
      </c>
      <c r="B705" t="str">
        <f>HYPERLINK("https://twitter.com/Baemine98","@Baemine98")</f>
        <v>@Baemine98</v>
      </c>
      <c r="C705" t="s">
        <v>2090</v>
      </c>
      <c r="D705">
        <v>24</v>
      </c>
      <c r="E705">
        <v>0</v>
      </c>
      <c r="F705">
        <v>360</v>
      </c>
    </row>
    <row r="706" spans="1:6" ht="12.75">
      <c r="A706" s="2">
        <v>43885.459201388891</v>
      </c>
      <c r="B706" t="str">
        <f>HYPERLINK("https://twitter.com/isbhzz","@isbhzz")</f>
        <v>@isbhzz</v>
      </c>
      <c r="C706" t="s">
        <v>2091</v>
      </c>
      <c r="D706">
        <v>1186</v>
      </c>
      <c r="E706">
        <v>0</v>
      </c>
      <c r="F706">
        <v>1722</v>
      </c>
    </row>
    <row r="707" spans="1:6" ht="12.75">
      <c r="A707" s="2">
        <v>43885.457638888889</v>
      </c>
      <c r="B707" t="str">
        <f>HYPERLINK("https://twitter.com/sasbro_","@sasbro_")</f>
        <v>@sasbro_</v>
      </c>
      <c r="C707" t="s">
        <v>2091</v>
      </c>
      <c r="D707">
        <v>1186</v>
      </c>
      <c r="E707">
        <v>0</v>
      </c>
      <c r="F707">
        <v>366</v>
      </c>
    </row>
    <row r="708" spans="1:6" ht="12.75">
      <c r="A708" s="2">
        <v>43885.457349537042</v>
      </c>
      <c r="B708" t="str">
        <f>HYPERLINK("https://twitter.com/Henkurn112","@Henkurn112")</f>
        <v>@Henkurn112</v>
      </c>
      <c r="C708" t="s">
        <v>2091</v>
      </c>
      <c r="D708">
        <v>1186</v>
      </c>
      <c r="E708">
        <v>0</v>
      </c>
      <c r="F708">
        <v>0</v>
      </c>
    </row>
    <row r="709" spans="1:6" ht="12.75">
      <c r="A709" s="2">
        <v>43885.456504629634</v>
      </c>
      <c r="B709" t="str">
        <f>HYPERLINK("https://twitter.com/sasasannnnnnnnn","@sasasannnnnnnnn")</f>
        <v>@sasasannnnnnnnn</v>
      </c>
      <c r="C709" t="s">
        <v>2090</v>
      </c>
      <c r="D709">
        <v>24</v>
      </c>
      <c r="E709">
        <v>0</v>
      </c>
      <c r="F709">
        <v>143</v>
      </c>
    </row>
    <row r="710" spans="1:6" ht="12.75">
      <c r="A710" s="2">
        <v>43885.456296296295</v>
      </c>
      <c r="B710" t="str">
        <f>HYPERLINK("https://twitter.com/yasinefendi","@yasinefendi")</f>
        <v>@yasinefendi</v>
      </c>
      <c r="C710" t="s">
        <v>2482</v>
      </c>
      <c r="D710">
        <v>0</v>
      </c>
      <c r="E710">
        <v>0</v>
      </c>
      <c r="F710">
        <v>73</v>
      </c>
    </row>
    <row r="711" spans="1:6" ht="12.75">
      <c r="A711" s="2">
        <v>43885.455787037034</v>
      </c>
      <c r="B711" t="str">
        <f t="shared" ref="B711:B714" si="17">HYPERLINK("https://twitter.com/wni_jmsri","@wni_jmsri")</f>
        <v>@wni_jmsri</v>
      </c>
      <c r="C711" t="s">
        <v>2483</v>
      </c>
      <c r="D711">
        <v>7678</v>
      </c>
      <c r="E711">
        <v>0</v>
      </c>
      <c r="F711">
        <v>195</v>
      </c>
    </row>
    <row r="712" spans="1:6" ht="12.75">
      <c r="A712" s="2">
        <v>43885.455462962964</v>
      </c>
      <c r="B712" t="str">
        <f t="shared" si="17"/>
        <v>@wni_jmsri</v>
      </c>
      <c r="C712" t="s">
        <v>2484</v>
      </c>
      <c r="D712">
        <v>3</v>
      </c>
      <c r="E712">
        <v>0</v>
      </c>
      <c r="F712">
        <v>195</v>
      </c>
    </row>
    <row r="713" spans="1:6" ht="12.75">
      <c r="A713" s="2">
        <v>43885.455312499995</v>
      </c>
      <c r="B713" t="str">
        <f t="shared" si="17"/>
        <v>@wni_jmsri</v>
      </c>
      <c r="C713" t="s">
        <v>2485</v>
      </c>
      <c r="D713">
        <v>1040</v>
      </c>
      <c r="E713">
        <v>0</v>
      </c>
      <c r="F713">
        <v>195</v>
      </c>
    </row>
    <row r="714" spans="1:6" ht="12.75">
      <c r="A714" s="2">
        <v>43885.454942129625</v>
      </c>
      <c r="B714" t="str">
        <f t="shared" si="17"/>
        <v>@wni_jmsri</v>
      </c>
      <c r="C714" t="s">
        <v>2486</v>
      </c>
      <c r="D714">
        <v>478</v>
      </c>
      <c r="E714">
        <v>0</v>
      </c>
      <c r="F714">
        <v>195</v>
      </c>
    </row>
    <row r="715" spans="1:6" ht="12.75">
      <c r="A715" s="2">
        <v>43885.454583333332</v>
      </c>
      <c r="B715" t="str">
        <f>HYPERLINK("https://twitter.com/nOodabandel","@nOodabandel")</f>
        <v>@nOodabandel</v>
      </c>
      <c r="C715" t="s">
        <v>2487</v>
      </c>
      <c r="D715">
        <v>31</v>
      </c>
      <c r="E715">
        <v>0</v>
      </c>
      <c r="F715">
        <v>716</v>
      </c>
    </row>
    <row r="716" spans="1:6" ht="12.75">
      <c r="A716" s="2">
        <v>43885.454571759255</v>
      </c>
      <c r="B716" t="str">
        <f>HYPERLINK("https://twitter.com/spiderr__matrix","@spiderr__matrix")</f>
        <v>@spiderr__matrix</v>
      </c>
      <c r="C716" t="s">
        <v>2436</v>
      </c>
      <c r="D716">
        <v>7</v>
      </c>
      <c r="E716">
        <v>0</v>
      </c>
      <c r="F716">
        <v>4895</v>
      </c>
    </row>
    <row r="717" spans="1:6" ht="12.75">
      <c r="A717" s="2">
        <v>43885.454282407409</v>
      </c>
      <c r="B717" t="str">
        <f>HYPERLINK("https://twitter.com/JoeSukodim","@JoeSukodim")</f>
        <v>@JoeSukodim</v>
      </c>
      <c r="C717" t="s">
        <v>2488</v>
      </c>
      <c r="D717">
        <v>0</v>
      </c>
      <c r="E717">
        <v>0</v>
      </c>
      <c r="F717">
        <v>201</v>
      </c>
    </row>
    <row r="718" spans="1:6" ht="12.75">
      <c r="A718" s="2">
        <v>43885.454259259262</v>
      </c>
      <c r="B718" t="str">
        <f>HYPERLINK("https://twitter.com/BudiMedan5","@BudiMedan5")</f>
        <v>@BudiMedan5</v>
      </c>
      <c r="C718" t="s">
        <v>2166</v>
      </c>
      <c r="D718">
        <v>333</v>
      </c>
      <c r="E718">
        <v>0</v>
      </c>
      <c r="F718">
        <v>19</v>
      </c>
    </row>
    <row r="719" spans="1:6" ht="12.75">
      <c r="A719" s="2">
        <v>43885.454212962963</v>
      </c>
      <c r="B719" t="str">
        <f>HYPERLINK("https://twitter.com/rethamentari","@rethamentari")</f>
        <v>@rethamentari</v>
      </c>
      <c r="C719" t="s">
        <v>321</v>
      </c>
      <c r="D719">
        <v>1614</v>
      </c>
      <c r="E719">
        <v>0</v>
      </c>
      <c r="F719">
        <v>205</v>
      </c>
    </row>
    <row r="720" spans="1:6" ht="12.75">
      <c r="A720" s="2">
        <v>43885.454201388886</v>
      </c>
      <c r="B720" t="str">
        <f>HYPERLINK("https://twitter.com/berdykary","@berdykary")</f>
        <v>@berdykary</v>
      </c>
      <c r="C720" t="s">
        <v>2489</v>
      </c>
      <c r="D720">
        <v>0</v>
      </c>
      <c r="E720">
        <v>0</v>
      </c>
      <c r="F720">
        <v>44</v>
      </c>
    </row>
    <row r="721" spans="1:6" ht="12.75">
      <c r="A721" s="2">
        <v>43885.453969907408</v>
      </c>
      <c r="B721" t="str">
        <f>HYPERLINK("https://twitter.com/2littlepupa8","@2littlepupa8")</f>
        <v>@2littlepupa8</v>
      </c>
      <c r="C721" t="s">
        <v>321</v>
      </c>
      <c r="D721">
        <v>1614</v>
      </c>
      <c r="E721">
        <v>0</v>
      </c>
      <c r="F721">
        <v>635</v>
      </c>
    </row>
    <row r="722" spans="1:6" ht="12.75">
      <c r="A722" s="2">
        <v>43885.453888888893</v>
      </c>
      <c r="B722" t="str">
        <f>HYPERLINK("https://twitter.com/kumamondowji","@kumamondowji")</f>
        <v>@kumamondowji</v>
      </c>
      <c r="C722" t="s">
        <v>321</v>
      </c>
      <c r="D722">
        <v>1614</v>
      </c>
      <c r="E722">
        <v>0</v>
      </c>
      <c r="F722">
        <v>387</v>
      </c>
    </row>
    <row r="723" spans="1:6" ht="12.75">
      <c r="A723" s="2">
        <v>43885.453692129631</v>
      </c>
      <c r="B723" t="str">
        <f>HYPERLINK("https://twitter.com/AnfieldAryyo","@AnfieldAryyo")</f>
        <v>@AnfieldAryyo</v>
      </c>
      <c r="C723" t="s">
        <v>2436</v>
      </c>
      <c r="D723">
        <v>7</v>
      </c>
      <c r="E723">
        <v>0</v>
      </c>
      <c r="F723">
        <v>2513</v>
      </c>
    </row>
    <row r="724" spans="1:6" ht="12.75">
      <c r="A724" s="2">
        <v>43885.453576388885</v>
      </c>
      <c r="B724" t="str">
        <f>HYPERLINK("https://twitter.com/andrzhein","@andrzhein")</f>
        <v>@andrzhein</v>
      </c>
      <c r="C724" t="s">
        <v>2490</v>
      </c>
      <c r="D724">
        <v>1</v>
      </c>
      <c r="E724">
        <v>0</v>
      </c>
      <c r="F724">
        <v>736</v>
      </c>
    </row>
    <row r="725" spans="1:6" ht="12.75">
      <c r="A725" s="2">
        <v>43885.453460648147</v>
      </c>
      <c r="B725" t="str">
        <f>HYPERLINK("https://twitter.com/antaranews","@antaranews")</f>
        <v>@antaranews</v>
      </c>
      <c r="C725" t="s">
        <v>2491</v>
      </c>
      <c r="D725">
        <v>1</v>
      </c>
      <c r="E725">
        <v>2</v>
      </c>
      <c r="F725">
        <v>1104777</v>
      </c>
    </row>
    <row r="726" spans="1:6" ht="12.75">
      <c r="A726" s="2">
        <v>43885.453414351854</v>
      </c>
      <c r="B726" t="str">
        <f>HYPERLINK("https://twitter.com/pec70309907","@pec70309907")</f>
        <v>@pec70309907</v>
      </c>
      <c r="C726" t="s">
        <v>738</v>
      </c>
      <c r="D726">
        <v>324</v>
      </c>
      <c r="E726">
        <v>0</v>
      </c>
      <c r="F726">
        <v>555</v>
      </c>
    </row>
    <row r="727" spans="1:6" ht="12.75">
      <c r="A727" s="2">
        <v>43885.453252314815</v>
      </c>
      <c r="B727" t="str">
        <f>HYPERLINK("https://twitter.com/purbaningarum","@purbaningarum")</f>
        <v>@purbaningarum</v>
      </c>
      <c r="C727" t="s">
        <v>2091</v>
      </c>
      <c r="D727">
        <v>1186</v>
      </c>
      <c r="E727">
        <v>0</v>
      </c>
      <c r="F727">
        <v>53</v>
      </c>
    </row>
    <row r="728" spans="1:6" ht="12.75">
      <c r="A728" s="2">
        <v>43885.452581018515</v>
      </c>
      <c r="B728" t="str">
        <f>HYPERLINK("https://twitter.com/bmbgst","@bmbgst")</f>
        <v>@bmbgst</v>
      </c>
      <c r="C728" t="s">
        <v>2166</v>
      </c>
      <c r="D728">
        <v>333</v>
      </c>
      <c r="E728">
        <v>0</v>
      </c>
      <c r="F728">
        <v>569</v>
      </c>
    </row>
    <row r="729" spans="1:6" ht="12.75">
      <c r="A729" s="2">
        <v>43885.452453703707</v>
      </c>
      <c r="B729" t="str">
        <f>HYPERLINK("https://twitter.com/GV2y5YTuWZssg0j","@GV2y5YTuWZssg0j")</f>
        <v>@GV2y5YTuWZssg0j</v>
      </c>
      <c r="C729" t="s">
        <v>321</v>
      </c>
      <c r="D729">
        <v>1614</v>
      </c>
      <c r="E729">
        <v>0</v>
      </c>
      <c r="F729">
        <v>29</v>
      </c>
    </row>
    <row r="730" spans="1:6" ht="12.75">
      <c r="A730" s="2">
        <v>43885.452199074076</v>
      </c>
      <c r="B730" t="str">
        <f>HYPERLINK("https://twitter.com/boskuhirata","@boskuhirata")</f>
        <v>@boskuhirata</v>
      </c>
      <c r="C730" t="s">
        <v>2091</v>
      </c>
      <c r="D730">
        <v>1186</v>
      </c>
      <c r="E730">
        <v>0</v>
      </c>
      <c r="F730">
        <v>8</v>
      </c>
    </row>
    <row r="731" spans="1:6" ht="12.75">
      <c r="A731" s="2">
        <v>43885.452106481476</v>
      </c>
      <c r="B731" t="str">
        <f>HYPERLINK("https://twitter.com/Xaver25761586","@Xaver25761586")</f>
        <v>@Xaver25761586</v>
      </c>
      <c r="C731" t="s">
        <v>2436</v>
      </c>
      <c r="D731">
        <v>7</v>
      </c>
      <c r="E731">
        <v>0</v>
      </c>
      <c r="F731">
        <v>540</v>
      </c>
    </row>
    <row r="732" spans="1:6" ht="12.75">
      <c r="A732" s="2">
        <v>43885.452094907407</v>
      </c>
      <c r="B732" t="str">
        <f>HYPERLINK("https://twitter.com/palinggantenk","@palinggantenk")</f>
        <v>@palinggantenk</v>
      </c>
      <c r="C732" t="s">
        <v>2091</v>
      </c>
      <c r="D732">
        <v>1186</v>
      </c>
      <c r="E732">
        <v>0</v>
      </c>
      <c r="F732">
        <v>536</v>
      </c>
    </row>
    <row r="733" spans="1:6" ht="12.75">
      <c r="A733" s="2">
        <v>43885.452013888891</v>
      </c>
      <c r="B733" t="str">
        <f>HYPERLINK("https://twitter.com/Xaver25761586","@Xaver25761586")</f>
        <v>@Xaver25761586</v>
      </c>
      <c r="C733" t="s">
        <v>2091</v>
      </c>
      <c r="D733">
        <v>1186</v>
      </c>
      <c r="E733">
        <v>0</v>
      </c>
      <c r="F733">
        <v>540</v>
      </c>
    </row>
    <row r="734" spans="1:6" ht="12.75">
      <c r="A734" s="2">
        <v>43885.45175925926</v>
      </c>
      <c r="B734" t="str">
        <f>HYPERLINK("https://twitter.com/Standupwrongway","@Standupwrongway")</f>
        <v>@Standupwrongway</v>
      </c>
      <c r="C734" t="s">
        <v>321</v>
      </c>
      <c r="D734">
        <v>1614</v>
      </c>
      <c r="E734">
        <v>0</v>
      </c>
      <c r="F734">
        <v>3714</v>
      </c>
    </row>
    <row r="735" spans="1:6" ht="12.75">
      <c r="A735" s="2">
        <v>43885.451192129629</v>
      </c>
      <c r="B735" t="str">
        <f>HYPERLINK("https://twitter.com/toro704","@toro704")</f>
        <v>@toro704</v>
      </c>
      <c r="C735" t="s">
        <v>738</v>
      </c>
      <c r="D735">
        <v>324</v>
      </c>
      <c r="E735">
        <v>0</v>
      </c>
      <c r="F735">
        <v>14</v>
      </c>
    </row>
    <row r="736" spans="1:6" ht="12.75">
      <c r="A736" s="2">
        <v>43885.451168981483</v>
      </c>
      <c r="B736" t="str">
        <f>HYPERLINK("https://twitter.com/27AdamPeter","@27AdamPeter")</f>
        <v>@27AdamPeter</v>
      </c>
      <c r="C736" t="s">
        <v>321</v>
      </c>
      <c r="D736">
        <v>1614</v>
      </c>
      <c r="E736">
        <v>0</v>
      </c>
      <c r="F736">
        <v>207</v>
      </c>
    </row>
    <row r="737" spans="1:6" ht="12.75">
      <c r="A737" s="2">
        <v>43885.451145833329</v>
      </c>
      <c r="B737" t="str">
        <f>HYPERLINK("https://twitter.com/saeful_amry","@saeful_amry")</f>
        <v>@saeful_amry</v>
      </c>
      <c r="C737" t="s">
        <v>2492</v>
      </c>
      <c r="D737">
        <v>2</v>
      </c>
      <c r="E737">
        <v>0</v>
      </c>
      <c r="F737">
        <v>134</v>
      </c>
    </row>
    <row r="738" spans="1:6" ht="12.75">
      <c r="A738" s="2">
        <v>43885.450972222221</v>
      </c>
      <c r="B738" t="str">
        <f>HYPERLINK("https://twitter.com/JAP_2018","@JAP_2018")</f>
        <v>@JAP_2018</v>
      </c>
      <c r="C738" t="s">
        <v>321</v>
      </c>
      <c r="D738">
        <v>1614</v>
      </c>
      <c r="E738">
        <v>0</v>
      </c>
      <c r="F738">
        <v>1012</v>
      </c>
    </row>
    <row r="739" spans="1:6" ht="12.75">
      <c r="A739" s="2">
        <v>43885.450289351851</v>
      </c>
      <c r="B739" t="str">
        <f>HYPERLINK("https://twitter.com/akukecil__","@akukecil__")</f>
        <v>@akukecil__</v>
      </c>
      <c r="C739" t="s">
        <v>2091</v>
      </c>
      <c r="D739">
        <v>1186</v>
      </c>
      <c r="E739">
        <v>0</v>
      </c>
      <c r="F739">
        <v>48</v>
      </c>
    </row>
    <row r="740" spans="1:6" ht="12.75">
      <c r="A740" s="2">
        <v>43885.450150462959</v>
      </c>
      <c r="B740" t="str">
        <f>HYPERLINK("https://twitter.com/achilIesei","@achilIesei")</f>
        <v>@achilIesei</v>
      </c>
      <c r="C740" t="s">
        <v>2493</v>
      </c>
      <c r="D740">
        <v>0</v>
      </c>
      <c r="E740">
        <v>0</v>
      </c>
      <c r="F740">
        <v>1104</v>
      </c>
    </row>
    <row r="741" spans="1:6" ht="12.75">
      <c r="A741" s="2">
        <v>43885.449872685189</v>
      </c>
      <c r="B741" t="str">
        <f>HYPERLINK("https://twitter.com/meikhaefghijklm","@meikhaefghijklm")</f>
        <v>@meikhaefghijklm</v>
      </c>
      <c r="C741" t="s">
        <v>321</v>
      </c>
      <c r="D741">
        <v>1614</v>
      </c>
      <c r="E741">
        <v>0</v>
      </c>
      <c r="F741">
        <v>18</v>
      </c>
    </row>
    <row r="742" spans="1:6" ht="12.75">
      <c r="A742" s="2">
        <v>43885.449699074074</v>
      </c>
      <c r="B742" t="str">
        <f>HYPERLINK("https://twitter.com/FHBites","@FHBites")</f>
        <v>@FHBites</v>
      </c>
      <c r="C742" t="s">
        <v>738</v>
      </c>
      <c r="D742">
        <v>324</v>
      </c>
      <c r="E742">
        <v>0</v>
      </c>
      <c r="F742">
        <v>72</v>
      </c>
    </row>
    <row r="743" spans="1:6" ht="12.75">
      <c r="A743" s="2">
        <v>43885.449606481481</v>
      </c>
      <c r="B743" t="str">
        <f>HYPERLINK("https://twitter.com/bayuvirgian","@bayuvirgian")</f>
        <v>@bayuvirgian</v>
      </c>
      <c r="C743" t="s">
        <v>2091</v>
      </c>
      <c r="D743">
        <v>1186</v>
      </c>
      <c r="E743">
        <v>0</v>
      </c>
      <c r="F743">
        <v>457</v>
      </c>
    </row>
    <row r="744" spans="1:6" ht="12.75">
      <c r="A744" s="2">
        <v>43885.449594907404</v>
      </c>
      <c r="B744" t="str">
        <f>HYPERLINK("https://twitter.com/Im_that2","@Im_that2")</f>
        <v>@Im_that2</v>
      </c>
      <c r="C744" t="s">
        <v>2494</v>
      </c>
      <c r="D744">
        <v>0</v>
      </c>
      <c r="E744">
        <v>0</v>
      </c>
      <c r="F744">
        <v>16</v>
      </c>
    </row>
    <row r="745" spans="1:6" ht="12.75">
      <c r="A745" s="2">
        <v>43885.449363425927</v>
      </c>
      <c r="B745" t="str">
        <f t="shared" ref="B745:B746" si="18">HYPERLINK("https://twitter.com/andisarinahrri","@andisarinahrri")</f>
        <v>@andisarinahrri</v>
      </c>
      <c r="C745" t="s">
        <v>2495</v>
      </c>
      <c r="D745">
        <v>3</v>
      </c>
      <c r="E745">
        <v>0</v>
      </c>
      <c r="F745">
        <v>3140</v>
      </c>
    </row>
    <row r="746" spans="1:6" ht="12.75">
      <c r="A746" s="2">
        <v>43885.449074074073</v>
      </c>
      <c r="B746" t="str">
        <f t="shared" si="18"/>
        <v>@andisarinahrri</v>
      </c>
      <c r="C746" t="s">
        <v>2496</v>
      </c>
      <c r="D746">
        <v>3</v>
      </c>
      <c r="E746">
        <v>0</v>
      </c>
      <c r="F746">
        <v>3140</v>
      </c>
    </row>
    <row r="747" spans="1:6" ht="12.75">
      <c r="A747" s="2">
        <v>43885.448854166665</v>
      </c>
      <c r="B747" t="str">
        <f>HYPERLINK("https://twitter.com/mahmara","@mahmara")</f>
        <v>@mahmara</v>
      </c>
      <c r="C747" t="s">
        <v>2188</v>
      </c>
      <c r="D747">
        <v>5</v>
      </c>
      <c r="E747">
        <v>0</v>
      </c>
      <c r="F747">
        <v>2209</v>
      </c>
    </row>
    <row r="748" spans="1:6" ht="12.75">
      <c r="A748" s="2">
        <v>43885.448831018519</v>
      </c>
      <c r="B748" t="str">
        <f>HYPERLINK("https://twitter.com/Hendrick215","@Hendrick215")</f>
        <v>@Hendrick215</v>
      </c>
      <c r="C748" t="s">
        <v>2091</v>
      </c>
      <c r="D748">
        <v>1186</v>
      </c>
      <c r="E748">
        <v>0</v>
      </c>
      <c r="F748">
        <v>126</v>
      </c>
    </row>
    <row r="749" spans="1:6" ht="12.75">
      <c r="A749" s="2">
        <v>43885.448483796295</v>
      </c>
      <c r="B749" t="str">
        <f>HYPERLINK("https://twitter.com/afrizaltuu","@afrizaltuu")</f>
        <v>@afrizaltuu</v>
      </c>
      <c r="C749" t="s">
        <v>321</v>
      </c>
      <c r="D749">
        <v>1614</v>
      </c>
      <c r="E749">
        <v>0</v>
      </c>
      <c r="F749">
        <v>11</v>
      </c>
    </row>
    <row r="750" spans="1:6" ht="12.75">
      <c r="A750" s="2">
        <v>43885.448009259257</v>
      </c>
      <c r="B750" t="str">
        <f>HYPERLINK("https://twitter.com/KontanNews","@KontanNews")</f>
        <v>@KontanNews</v>
      </c>
      <c r="C750" t="s">
        <v>2497</v>
      </c>
      <c r="D750">
        <v>1</v>
      </c>
      <c r="E750">
        <v>0</v>
      </c>
      <c r="F750">
        <v>317153</v>
      </c>
    </row>
    <row r="751" spans="1:6" ht="12.75">
      <c r="A751" s="2">
        <v>43885.447916666672</v>
      </c>
      <c r="B751" t="str">
        <f>HYPERLINK("https://twitter.com/charleshonoris","@charleshonoris")</f>
        <v>@charleshonoris</v>
      </c>
      <c r="C751" t="s">
        <v>2498</v>
      </c>
      <c r="D751">
        <v>0</v>
      </c>
      <c r="E751">
        <v>0</v>
      </c>
      <c r="F751">
        <v>2039</v>
      </c>
    </row>
    <row r="752" spans="1:6" ht="12.75">
      <c r="A752" s="2">
        <v>43885.447708333333</v>
      </c>
      <c r="B752" t="str">
        <f>HYPERLINK("https://twitter.com/ami79333771","@ami79333771")</f>
        <v>@ami79333771</v>
      </c>
      <c r="C752" t="s">
        <v>321</v>
      </c>
      <c r="D752">
        <v>1614</v>
      </c>
      <c r="E752">
        <v>0</v>
      </c>
      <c r="F752">
        <v>281</v>
      </c>
    </row>
    <row r="753" spans="1:6" ht="12.75">
      <c r="A753" s="2">
        <v>43885.447662037041</v>
      </c>
      <c r="B753" t="str">
        <f>HYPERLINK("https://twitter.com/Laduni_Sadja","@Laduni_Sadja")</f>
        <v>@Laduni_Sadja</v>
      </c>
      <c r="C753" t="s">
        <v>2499</v>
      </c>
      <c r="D753">
        <v>0</v>
      </c>
      <c r="E753">
        <v>0</v>
      </c>
      <c r="F753">
        <v>1178</v>
      </c>
    </row>
    <row r="754" spans="1:6" ht="12.75">
      <c r="A754" s="2">
        <v>43885.447581018518</v>
      </c>
      <c r="B754" t="str">
        <f>HYPERLINK("https://twitter.com/meganovetrishka","@meganovetrishka")</f>
        <v>@meganovetrishka</v>
      </c>
      <c r="C754" t="s">
        <v>2500</v>
      </c>
      <c r="D754">
        <v>0</v>
      </c>
      <c r="E754">
        <v>0</v>
      </c>
      <c r="F754">
        <v>1505</v>
      </c>
    </row>
    <row r="755" spans="1:6" ht="12.75">
      <c r="A755" s="2">
        <v>43885.447118055556</v>
      </c>
      <c r="B755" t="str">
        <f>HYPERLINK("https://twitter.com/MohdAfz83174294","@MohdAfz83174294")</f>
        <v>@MohdAfz83174294</v>
      </c>
      <c r="C755" t="s">
        <v>2501</v>
      </c>
      <c r="D755">
        <v>0</v>
      </c>
      <c r="E755">
        <v>1</v>
      </c>
      <c r="F755">
        <v>52</v>
      </c>
    </row>
    <row r="756" spans="1:6" ht="12.75">
      <c r="A756" s="2">
        <v>43885.446296296301</v>
      </c>
      <c r="B756" t="str">
        <f>HYPERLINK("https://twitter.com/_PR0FES0NG","@_PR0FES0NG")</f>
        <v>@_PR0FES0NG</v>
      </c>
      <c r="C756" t="s">
        <v>2185</v>
      </c>
      <c r="D756">
        <v>16</v>
      </c>
      <c r="E756">
        <v>0</v>
      </c>
      <c r="F756">
        <v>2136</v>
      </c>
    </row>
    <row r="757" spans="1:6" ht="12.75">
      <c r="A757" s="2">
        <v>43885.446215277778</v>
      </c>
      <c r="B757" t="str">
        <f>HYPERLINK("https://twitter.com/makassarterkini","@makassarterkini")</f>
        <v>@makassarterkini</v>
      </c>
      <c r="C757" t="s">
        <v>2502</v>
      </c>
      <c r="D757">
        <v>0</v>
      </c>
      <c r="E757">
        <v>0</v>
      </c>
      <c r="F757">
        <v>9593</v>
      </c>
    </row>
    <row r="758" spans="1:6" ht="12.75">
      <c r="A758" s="2">
        <v>43885.44599537037</v>
      </c>
      <c r="B758" t="str">
        <f>HYPERLINK("https://twitter.com/chrstngiooo_","@chrstngiooo_")</f>
        <v>@chrstngiooo_</v>
      </c>
      <c r="C758" t="s">
        <v>2091</v>
      </c>
      <c r="D758">
        <v>1186</v>
      </c>
      <c r="E758">
        <v>0</v>
      </c>
      <c r="F758">
        <v>66</v>
      </c>
    </row>
    <row r="759" spans="1:6" ht="12.75">
      <c r="A759" s="2">
        <v>43885.445763888885</v>
      </c>
      <c r="B759" t="str">
        <f>HYPERLINK("https://twitter.com/SiapaDongHayo","@SiapaDongHayo")</f>
        <v>@SiapaDongHayo</v>
      </c>
      <c r="C759" t="s">
        <v>321</v>
      </c>
      <c r="D759">
        <v>1614</v>
      </c>
      <c r="E759">
        <v>0</v>
      </c>
      <c r="F759">
        <v>114</v>
      </c>
    </row>
    <row r="760" spans="1:6" ht="12.75">
      <c r="A760" s="2">
        <v>43885.445451388892</v>
      </c>
      <c r="B760" t="str">
        <f>HYPERLINK("https://twitter.com/FransiscusTs","@FransiscusTs")</f>
        <v>@FransiscusTs</v>
      </c>
      <c r="C760" t="s">
        <v>2091</v>
      </c>
      <c r="D760">
        <v>1186</v>
      </c>
      <c r="E760">
        <v>0</v>
      </c>
      <c r="F760">
        <v>785</v>
      </c>
    </row>
    <row r="761" spans="1:6" ht="12.75">
      <c r="A761" s="2">
        <v>43885.445115740746</v>
      </c>
      <c r="B761" t="str">
        <f>HYPERLINK("https://twitter.com/ZoneVenomWar","@ZoneVenomWar")</f>
        <v>@ZoneVenomWar</v>
      </c>
      <c r="C761" t="s">
        <v>2436</v>
      </c>
      <c r="D761">
        <v>7</v>
      </c>
      <c r="E761">
        <v>0</v>
      </c>
      <c r="F761">
        <v>1637</v>
      </c>
    </row>
    <row r="762" spans="1:6" ht="12.75">
      <c r="A762" s="2">
        <v>43885.445092592592</v>
      </c>
      <c r="B762" t="str">
        <f>HYPERLINK("https://twitter.com/al_djay","@al_djay")</f>
        <v>@al_djay</v>
      </c>
      <c r="C762" t="s">
        <v>321</v>
      </c>
      <c r="D762">
        <v>1614</v>
      </c>
      <c r="E762">
        <v>0</v>
      </c>
      <c r="F762">
        <v>17</v>
      </c>
    </row>
    <row r="763" spans="1:6" ht="12.75">
      <c r="A763" s="2">
        <v>43885.444861111115</v>
      </c>
      <c r="B763" t="str">
        <f>HYPERLINK("https://twitter.com/imspydearman","@imspydearman")</f>
        <v>@imspydearman</v>
      </c>
      <c r="C763" t="s">
        <v>2503</v>
      </c>
      <c r="D763">
        <v>0</v>
      </c>
      <c r="E763">
        <v>0</v>
      </c>
      <c r="F763">
        <v>417</v>
      </c>
    </row>
    <row r="764" spans="1:6" ht="12.75">
      <c r="A764" s="2">
        <v>43885.444490740745</v>
      </c>
      <c r="B764" t="str">
        <f>HYPERLINK("https://twitter.com/R4CHM4_2103","@R4CHM4_2103")</f>
        <v>@R4CHM4_2103</v>
      </c>
      <c r="C764" t="s">
        <v>2185</v>
      </c>
      <c r="D764">
        <v>16</v>
      </c>
      <c r="E764">
        <v>0</v>
      </c>
      <c r="F764">
        <v>795</v>
      </c>
    </row>
    <row r="765" spans="1:6" ht="12.75">
      <c r="A765" s="2">
        <v>43885.444224537037</v>
      </c>
      <c r="B765" t="str">
        <f>HYPERLINK("https://twitter.com/iqbalwlyddn","@iqbalwlyddn")</f>
        <v>@iqbalwlyddn</v>
      </c>
      <c r="C765" t="s">
        <v>321</v>
      </c>
      <c r="D765">
        <v>1614</v>
      </c>
      <c r="E765">
        <v>0</v>
      </c>
      <c r="F765">
        <v>238</v>
      </c>
    </row>
    <row r="766" spans="1:6" ht="12.75">
      <c r="A766" s="2">
        <v>43885.444050925929</v>
      </c>
      <c r="B766" t="str">
        <f>HYPERLINK("https://twitter.com/heiibulbdog","@heiibulbdog")</f>
        <v>@heiibulbdog</v>
      </c>
      <c r="C766" t="s">
        <v>2091</v>
      </c>
      <c r="D766">
        <v>1186</v>
      </c>
      <c r="E766">
        <v>0</v>
      </c>
      <c r="F766">
        <v>197</v>
      </c>
    </row>
    <row r="767" spans="1:6" ht="12.75">
      <c r="A767" s="2">
        <v>43885.444016203706</v>
      </c>
      <c r="B767" t="str">
        <f>HYPERLINK("https://twitter.com/7eC7qAPu5fnhmdi","@7eC7qAPu5fnhmdi")</f>
        <v>@7eC7qAPu5fnhmdi</v>
      </c>
      <c r="C767" t="s">
        <v>738</v>
      </c>
      <c r="D767">
        <v>324</v>
      </c>
      <c r="E767">
        <v>0</v>
      </c>
      <c r="F767">
        <v>52</v>
      </c>
    </row>
    <row r="768" spans="1:6" ht="12.75">
      <c r="A768" s="2">
        <v>43885.443599537037</v>
      </c>
      <c r="B768" t="str">
        <f>HYPERLINK("https://twitter.com/blumennnnn","@blumennnnn")</f>
        <v>@blumennnnn</v>
      </c>
      <c r="C768" t="s">
        <v>1407</v>
      </c>
      <c r="D768">
        <v>9742</v>
      </c>
      <c r="E768">
        <v>0</v>
      </c>
      <c r="F768">
        <v>644</v>
      </c>
    </row>
    <row r="769" spans="1:6" ht="12.75">
      <c r="A769" s="2">
        <v>43885.443020833336</v>
      </c>
      <c r="B769" t="str">
        <f>HYPERLINK("https://twitter.com/Adjiap92","@Adjiap92")</f>
        <v>@Adjiap92</v>
      </c>
      <c r="C769" t="s">
        <v>2091</v>
      </c>
      <c r="D769">
        <v>1186</v>
      </c>
      <c r="E769">
        <v>0</v>
      </c>
      <c r="F769">
        <v>9</v>
      </c>
    </row>
    <row r="770" spans="1:6" ht="12.75">
      <c r="A770" s="2">
        <v>43885.442395833335</v>
      </c>
      <c r="B770" t="str">
        <f>HYPERLINK("https://twitter.com/jyf_99","@jyf_99")</f>
        <v>@jyf_99</v>
      </c>
      <c r="C770" t="s">
        <v>2504</v>
      </c>
      <c r="D770">
        <v>0</v>
      </c>
      <c r="E770">
        <v>0</v>
      </c>
      <c r="F770">
        <v>49</v>
      </c>
    </row>
    <row r="771" spans="1:6" ht="12.75">
      <c r="A771" s="2">
        <v>43885.442210648151</v>
      </c>
      <c r="B771" t="str">
        <f>HYPERLINK("https://twitter.com/Gunma_VR46","@Gunma_VR46")</f>
        <v>@Gunma_VR46</v>
      </c>
      <c r="C771" t="s">
        <v>321</v>
      </c>
      <c r="D771">
        <v>1614</v>
      </c>
      <c r="E771">
        <v>0</v>
      </c>
      <c r="F771">
        <v>498</v>
      </c>
    </row>
    <row r="772" spans="1:6" ht="12.75">
      <c r="A772" s="2">
        <v>43885.442048611112</v>
      </c>
      <c r="B772" t="str">
        <f>HYPERLINK("https://twitter.com/iz_wni","@iz_wni")</f>
        <v>@iz_wni</v>
      </c>
      <c r="C772" t="s">
        <v>2505</v>
      </c>
      <c r="D772">
        <v>9459</v>
      </c>
      <c r="E772">
        <v>0</v>
      </c>
      <c r="F772">
        <v>84</v>
      </c>
    </row>
    <row r="773" spans="1:6" ht="12.75">
      <c r="A773" s="2">
        <v>43885.441863425927</v>
      </c>
      <c r="B773" t="str">
        <f>HYPERLINK("https://twitter.com/Firmanbudianap2","@Firmanbudianap2")</f>
        <v>@Firmanbudianap2</v>
      </c>
      <c r="C773" t="s">
        <v>2492</v>
      </c>
      <c r="D773">
        <v>2</v>
      </c>
      <c r="E773">
        <v>0</v>
      </c>
      <c r="F773">
        <v>158</v>
      </c>
    </row>
    <row r="774" spans="1:6" ht="12.75">
      <c r="A774" s="2">
        <v>43885.441504629634</v>
      </c>
      <c r="B774" t="str">
        <f>HYPERLINK("https://twitter.com/AdrianPILI1409","@AdrianPILI1409")</f>
        <v>@AdrianPILI1409</v>
      </c>
      <c r="C774" t="s">
        <v>2091</v>
      </c>
      <c r="D774">
        <v>1186</v>
      </c>
      <c r="E774">
        <v>0</v>
      </c>
      <c r="F774">
        <v>51</v>
      </c>
    </row>
    <row r="775" spans="1:6" ht="12.75">
      <c r="A775" s="2">
        <v>43885.44149305555</v>
      </c>
      <c r="B775" t="str">
        <f>HYPERLINK("https://twitter.com/evereeze","@evereeze")</f>
        <v>@evereeze</v>
      </c>
      <c r="C775" t="s">
        <v>2506</v>
      </c>
      <c r="D775">
        <v>1</v>
      </c>
      <c r="E775">
        <v>0</v>
      </c>
      <c r="F775">
        <v>293</v>
      </c>
    </row>
    <row r="776" spans="1:6" ht="12.75">
      <c r="A776" s="2">
        <v>43885.441412037035</v>
      </c>
      <c r="B776" t="str">
        <f>HYPERLINK("https://twitter.com/irfanrhtg","@irfanrhtg")</f>
        <v>@irfanrhtg</v>
      </c>
      <c r="C776" t="s">
        <v>2507</v>
      </c>
      <c r="D776">
        <v>0</v>
      </c>
      <c r="E776">
        <v>0</v>
      </c>
      <c r="F776">
        <v>521</v>
      </c>
    </row>
    <row r="777" spans="1:6" ht="12.75">
      <c r="A777" s="2">
        <v>43885.440995370373</v>
      </c>
      <c r="B777" t="str">
        <f>HYPERLINK("https://twitter.com/kompascom","@kompascom")</f>
        <v>@kompascom</v>
      </c>
      <c r="C777" t="s">
        <v>2508</v>
      </c>
      <c r="D777">
        <v>2</v>
      </c>
      <c r="E777">
        <v>8</v>
      </c>
      <c r="F777">
        <v>7510003</v>
      </c>
    </row>
    <row r="778" spans="1:6" ht="12.75">
      <c r="A778" s="2">
        <v>43885.440983796296</v>
      </c>
      <c r="B778" t="str">
        <f>HYPERLINK("https://twitter.com/kibooool","@kibooool")</f>
        <v>@kibooool</v>
      </c>
      <c r="C778" t="s">
        <v>2091</v>
      </c>
      <c r="D778">
        <v>1186</v>
      </c>
      <c r="E778">
        <v>0</v>
      </c>
      <c r="F778">
        <v>229</v>
      </c>
    </row>
    <row r="779" spans="1:6" ht="12.75">
      <c r="A779" s="2">
        <v>43885.440925925926</v>
      </c>
      <c r="B779" t="str">
        <f>HYPERLINK("https://twitter.com/sikecilmarmut","@sikecilmarmut")</f>
        <v>@sikecilmarmut</v>
      </c>
      <c r="C779" t="s">
        <v>2509</v>
      </c>
      <c r="D779">
        <v>144</v>
      </c>
      <c r="E779">
        <v>0</v>
      </c>
      <c r="F779">
        <v>2237</v>
      </c>
    </row>
    <row r="780" spans="1:6" ht="12.75">
      <c r="A780" s="2">
        <v>43885.440914351857</v>
      </c>
      <c r="B780" t="str">
        <f>HYPERLINK("https://twitter.com/h_lkst","@h_lkst")</f>
        <v>@h_lkst</v>
      </c>
      <c r="C780" t="s">
        <v>2091</v>
      </c>
      <c r="D780">
        <v>1186</v>
      </c>
      <c r="E780">
        <v>0</v>
      </c>
      <c r="F780">
        <v>161</v>
      </c>
    </row>
    <row r="781" spans="1:6" ht="12.75">
      <c r="A781" s="2">
        <v>43885.440335648149</v>
      </c>
      <c r="B781" t="str">
        <f>HYPERLINK("https://twitter.com/sikecilmarmut","@sikecilmarmut")</f>
        <v>@sikecilmarmut</v>
      </c>
      <c r="C781" t="s">
        <v>2183</v>
      </c>
      <c r="D781">
        <v>334</v>
      </c>
      <c r="E781">
        <v>0</v>
      </c>
      <c r="F781">
        <v>2237</v>
      </c>
    </row>
    <row r="782" spans="1:6" ht="12.75">
      <c r="A782" s="2">
        <v>43885.440196759257</v>
      </c>
      <c r="B782" t="str">
        <f>HYPERLINK("https://twitter.com/meinarita_metta","@meinarita_metta")</f>
        <v>@meinarita_metta</v>
      </c>
      <c r="C782" t="s">
        <v>2091</v>
      </c>
      <c r="D782">
        <v>1186</v>
      </c>
      <c r="E782">
        <v>0</v>
      </c>
      <c r="F782">
        <v>648</v>
      </c>
    </row>
    <row r="783" spans="1:6" ht="12.75">
      <c r="A783" s="2">
        <v>43885.439942129626</v>
      </c>
      <c r="B783" t="str">
        <f>HYPERLINK("https://twitter.com/Susanto13895819","@Susanto13895819")</f>
        <v>@Susanto13895819</v>
      </c>
      <c r="C783" t="s">
        <v>2091</v>
      </c>
      <c r="D783">
        <v>1186</v>
      </c>
      <c r="E783">
        <v>0</v>
      </c>
      <c r="F783">
        <v>435</v>
      </c>
    </row>
    <row r="784" spans="1:6" ht="12.75">
      <c r="A784" s="2">
        <v>43885.439768518518</v>
      </c>
      <c r="B784" t="str">
        <f>HYPERLINK("https://twitter.com/CumiCue","@CumiCue")</f>
        <v>@CumiCue</v>
      </c>
      <c r="C784" t="s">
        <v>2436</v>
      </c>
      <c r="D784">
        <v>7</v>
      </c>
      <c r="E784">
        <v>0</v>
      </c>
      <c r="F784">
        <v>4451</v>
      </c>
    </row>
    <row r="785" spans="1:6" ht="12.75">
      <c r="A785" s="2">
        <v>43885.439444444448</v>
      </c>
      <c r="B785" t="str">
        <f>HYPERLINK("https://twitter.com/Hendra27122013","@Hendra27122013")</f>
        <v>@Hendra27122013</v>
      </c>
      <c r="C785" t="s">
        <v>2151</v>
      </c>
      <c r="D785">
        <v>16</v>
      </c>
      <c r="E785">
        <v>0</v>
      </c>
      <c r="F785">
        <v>562</v>
      </c>
    </row>
    <row r="786" spans="1:6" ht="12.75">
      <c r="A786" s="2">
        <v>43885.439409722225</v>
      </c>
      <c r="B786" t="str">
        <f>HYPERLINK("https://twitter.com/langitjingga21","@langitjingga21")</f>
        <v>@langitjingga21</v>
      </c>
      <c r="C786" t="s">
        <v>2091</v>
      </c>
      <c r="D786">
        <v>1186</v>
      </c>
      <c r="E786">
        <v>0</v>
      </c>
      <c r="F786">
        <v>1</v>
      </c>
    </row>
    <row r="787" spans="1:6" ht="12.75">
      <c r="A787" s="2">
        <v>43885.439375000002</v>
      </c>
      <c r="B787" t="str">
        <f>HYPERLINK("https://twitter.com/sasanquarius","@sasanquarius")</f>
        <v>@sasanquarius</v>
      </c>
      <c r="C787" t="s">
        <v>2417</v>
      </c>
      <c r="D787">
        <v>3</v>
      </c>
      <c r="E787">
        <v>0</v>
      </c>
      <c r="F787">
        <v>816</v>
      </c>
    </row>
    <row r="788" spans="1:6" ht="12.75">
      <c r="A788" s="2">
        <v>43885.439143518517</v>
      </c>
      <c r="B788" t="str">
        <f>HYPERLINK("https://twitter.com/cendollisasi","@cendollisasi")</f>
        <v>@cendollisasi</v>
      </c>
      <c r="C788" t="s">
        <v>2510</v>
      </c>
      <c r="D788">
        <v>0</v>
      </c>
      <c r="E788">
        <v>0</v>
      </c>
      <c r="F788">
        <v>35</v>
      </c>
    </row>
    <row r="789" spans="1:6" ht="12.75">
      <c r="A789" s="2">
        <v>43885.43913194444</v>
      </c>
      <c r="B789" t="str">
        <f>HYPERLINK("https://twitter.com/IvanRT05","@IvanRT05")</f>
        <v>@IvanRT05</v>
      </c>
      <c r="C789" t="s">
        <v>2511</v>
      </c>
      <c r="D789">
        <v>0</v>
      </c>
      <c r="E789">
        <v>0</v>
      </c>
      <c r="F789">
        <v>654</v>
      </c>
    </row>
    <row r="790" spans="1:6" ht="12.75">
      <c r="A790" s="2">
        <v>43885.439074074078</v>
      </c>
      <c r="B790" t="str">
        <f>HYPERLINK("https://twitter.com/Ansfrdaa","@Ansfrdaa")</f>
        <v>@Ansfrdaa</v>
      </c>
      <c r="C790" t="s">
        <v>2091</v>
      </c>
      <c r="D790">
        <v>1186</v>
      </c>
      <c r="E790">
        <v>0</v>
      </c>
      <c r="F790">
        <v>477</v>
      </c>
    </row>
    <row r="791" spans="1:6" ht="12.75">
      <c r="A791" s="2">
        <v>43885.438807870371</v>
      </c>
      <c r="B791" t="str">
        <f>HYPERLINK("https://twitter.com/takobekoneko","@takobekoneko")</f>
        <v>@takobekoneko</v>
      </c>
      <c r="C791" t="s">
        <v>321</v>
      </c>
      <c r="D791">
        <v>1614</v>
      </c>
      <c r="E791">
        <v>0</v>
      </c>
      <c r="F791">
        <v>515</v>
      </c>
    </row>
    <row r="792" spans="1:6" ht="12.75">
      <c r="A792" s="2">
        <v>43885.438726851848</v>
      </c>
      <c r="B792" t="str">
        <f>HYPERLINK("https://twitter.com/kumamondowji","@kumamondowji")</f>
        <v>@kumamondowji</v>
      </c>
      <c r="C792" t="s">
        <v>738</v>
      </c>
      <c r="D792">
        <v>324</v>
      </c>
      <c r="E792">
        <v>0</v>
      </c>
      <c r="F792">
        <v>387</v>
      </c>
    </row>
    <row r="793" spans="1:6" ht="12.75">
      <c r="A793" s="2">
        <v>43885.438530092593</v>
      </c>
      <c r="B793" t="str">
        <f>HYPERLINK("https://twitter.com/Jall_brandan","@Jall_brandan")</f>
        <v>@Jall_brandan</v>
      </c>
      <c r="C793" t="s">
        <v>321</v>
      </c>
      <c r="D793">
        <v>1614</v>
      </c>
      <c r="E793">
        <v>0</v>
      </c>
      <c r="F793">
        <v>2471</v>
      </c>
    </row>
    <row r="794" spans="1:6" ht="12.75">
      <c r="A794" s="2">
        <v>43885.438333333332</v>
      </c>
      <c r="B794" t="str">
        <f>HYPERLINK("https://twitter.com/ip80267806","@ip80267806")</f>
        <v>@ip80267806</v>
      </c>
      <c r="C794" t="s">
        <v>321</v>
      </c>
      <c r="D794">
        <v>1614</v>
      </c>
      <c r="E794">
        <v>0</v>
      </c>
      <c r="F794">
        <v>5</v>
      </c>
    </row>
    <row r="795" spans="1:6" ht="12.75">
      <c r="A795" s="2">
        <v>43885.438159722224</v>
      </c>
      <c r="B795" t="str">
        <f>HYPERLINK("https://twitter.com/ayhi28","@ayhi28")</f>
        <v>@ayhi28</v>
      </c>
      <c r="C795" t="s">
        <v>2091</v>
      </c>
      <c r="D795">
        <v>1186</v>
      </c>
      <c r="E795">
        <v>0</v>
      </c>
      <c r="F795">
        <v>482</v>
      </c>
    </row>
    <row r="796" spans="1:6" ht="12.75">
      <c r="A796" s="2">
        <v>43885.437824074077</v>
      </c>
      <c r="B796" t="str">
        <f>HYPERLINK("https://twitter.com/plashing","@plashing")</f>
        <v>@plashing</v>
      </c>
      <c r="C796" t="s">
        <v>738</v>
      </c>
      <c r="D796">
        <v>324</v>
      </c>
      <c r="E796">
        <v>0</v>
      </c>
      <c r="F796">
        <v>99</v>
      </c>
    </row>
    <row r="797" spans="1:6" ht="12.75">
      <c r="A797" s="2">
        <v>43885.437673611115</v>
      </c>
      <c r="B797" t="str">
        <f>HYPERLINK("https://twitter.com/ZheeOmega","@ZheeOmega")</f>
        <v>@ZheeOmega</v>
      </c>
      <c r="C797" t="s">
        <v>321</v>
      </c>
      <c r="D797">
        <v>1614</v>
      </c>
      <c r="E797">
        <v>0</v>
      </c>
      <c r="F797">
        <v>17761</v>
      </c>
    </row>
    <row r="798" spans="1:6" ht="12.75">
      <c r="A798" s="2">
        <v>43885.4375</v>
      </c>
      <c r="B798" t="str">
        <f>HYPERLINK("https://twitter.com/islamlib","@islamlib")</f>
        <v>@islamlib</v>
      </c>
      <c r="C798" t="s">
        <v>2140</v>
      </c>
      <c r="D798">
        <v>1</v>
      </c>
      <c r="E798">
        <v>2</v>
      </c>
      <c r="F798">
        <v>14306</v>
      </c>
    </row>
    <row r="799" spans="1:6" ht="12.75">
      <c r="A799" s="2">
        <v>43885.4372337963</v>
      </c>
      <c r="B799" t="str">
        <f>HYPERLINK("https://twitter.com/rock_ryu","@rock_ryu")</f>
        <v>@rock_ryu</v>
      </c>
      <c r="C799" t="s">
        <v>2153</v>
      </c>
      <c r="D799">
        <v>370</v>
      </c>
      <c r="E799">
        <v>0</v>
      </c>
      <c r="F799">
        <v>49</v>
      </c>
    </row>
    <row r="800" spans="1:6" ht="12.75">
      <c r="A800" s="2">
        <v>43885.4372337963</v>
      </c>
      <c r="B800" t="str">
        <f>HYPERLINK("https://twitter.com/OmarTara_2","@OmarTara_2")</f>
        <v>@OmarTara_2</v>
      </c>
      <c r="C800" t="s">
        <v>2172</v>
      </c>
      <c r="D800">
        <v>3</v>
      </c>
      <c r="E800">
        <v>0</v>
      </c>
      <c r="F800">
        <v>244</v>
      </c>
    </row>
    <row r="801" spans="1:6" ht="12.75">
      <c r="A801" s="2">
        <v>43885.436944444446</v>
      </c>
      <c r="B801" t="str">
        <f>HYPERLINK("https://twitter.com/errysober","@errysober")</f>
        <v>@errysober</v>
      </c>
      <c r="C801" t="s">
        <v>2091</v>
      </c>
      <c r="D801">
        <v>1186</v>
      </c>
      <c r="E801">
        <v>0</v>
      </c>
      <c r="F801">
        <v>109</v>
      </c>
    </row>
    <row r="802" spans="1:6" ht="12.75">
      <c r="A802" s="2">
        <v>43885.436932870369</v>
      </c>
      <c r="B802" t="str">
        <f>HYPERLINK("https://twitter.com/achzam_prabu","@achzam_prabu")</f>
        <v>@achzam_prabu</v>
      </c>
      <c r="C802" t="s">
        <v>2436</v>
      </c>
      <c r="D802">
        <v>7</v>
      </c>
      <c r="E802">
        <v>0</v>
      </c>
      <c r="F802">
        <v>4870</v>
      </c>
    </row>
    <row r="803" spans="1:6" ht="12.75">
      <c r="A803" s="2">
        <v>43885.418194444443</v>
      </c>
      <c r="B803" t="str">
        <f>HYPERLINK("https://twitter.com/rsangg_","@rsangg_")</f>
        <v>@rsangg_</v>
      </c>
      <c r="C803" t="s">
        <v>2091</v>
      </c>
      <c r="D803">
        <v>1121</v>
      </c>
      <c r="E803">
        <v>0</v>
      </c>
      <c r="F803">
        <v>2476</v>
      </c>
    </row>
    <row r="804" spans="1:6" ht="12.75">
      <c r="A804" s="2">
        <v>43885.418182870373</v>
      </c>
      <c r="B804" t="str">
        <f>HYPERLINK("https://twitter.com/Rh_Kurniawan","@Rh_Kurniawan")</f>
        <v>@Rh_Kurniawan</v>
      </c>
      <c r="C804" t="s">
        <v>321</v>
      </c>
      <c r="D804">
        <v>1564</v>
      </c>
      <c r="E804">
        <v>0</v>
      </c>
      <c r="F804">
        <v>325</v>
      </c>
    </row>
    <row r="805" spans="1:6" ht="12.75">
      <c r="A805" s="2">
        <v>43885.418009259258</v>
      </c>
      <c r="B805" t="str">
        <f>HYPERLINK("https://twitter.com/stevanustand789","@stevanustand789")</f>
        <v>@stevanustand789</v>
      </c>
      <c r="C805" t="s">
        <v>321</v>
      </c>
      <c r="D805">
        <v>1564</v>
      </c>
      <c r="E805">
        <v>0</v>
      </c>
      <c r="F805">
        <v>2242</v>
      </c>
    </row>
    <row r="806" spans="1:6" ht="12.75">
      <c r="A806" s="2">
        <v>43885.417847222227</v>
      </c>
      <c r="B806" t="str">
        <f>HYPERLINK("https://twitter.com/wni_jmsri","@wni_jmsri")</f>
        <v>@wni_jmsri</v>
      </c>
      <c r="C806" t="s">
        <v>2512</v>
      </c>
      <c r="D806">
        <v>26</v>
      </c>
      <c r="E806">
        <v>0</v>
      </c>
      <c r="F806">
        <v>194</v>
      </c>
    </row>
    <row r="807" spans="1:6" ht="12.75">
      <c r="A807" s="2">
        <v>43885.41783564815</v>
      </c>
      <c r="B807" t="str">
        <f>HYPERLINK("https://twitter.com/yutakun123","@yutakun123")</f>
        <v>@yutakun123</v>
      </c>
      <c r="C807" t="s">
        <v>321</v>
      </c>
      <c r="D807">
        <v>1564</v>
      </c>
      <c r="E807">
        <v>0</v>
      </c>
      <c r="F807">
        <v>216</v>
      </c>
    </row>
    <row r="808" spans="1:6" ht="12.75">
      <c r="A808" s="2">
        <v>43885.417662037042</v>
      </c>
      <c r="B808" t="str">
        <f t="shared" ref="B808:B809" si="19">HYPERLINK("https://twitter.com/cao58020","@cao58020")</f>
        <v>@cao58020</v>
      </c>
      <c r="C808" t="s">
        <v>2120</v>
      </c>
      <c r="D808">
        <v>71</v>
      </c>
      <c r="E808">
        <v>0</v>
      </c>
      <c r="F808">
        <v>2699</v>
      </c>
    </row>
    <row r="809" spans="1:6" ht="12.75">
      <c r="A809" s="2">
        <v>43885.417615740742</v>
      </c>
      <c r="B809" t="str">
        <f t="shared" si="19"/>
        <v>@cao58020</v>
      </c>
      <c r="C809" t="s">
        <v>2115</v>
      </c>
      <c r="D809">
        <v>80</v>
      </c>
      <c r="E809">
        <v>0</v>
      </c>
      <c r="F809">
        <v>2699</v>
      </c>
    </row>
    <row r="810" spans="1:6" ht="12.75">
      <c r="A810" s="2">
        <v>43885.417326388888</v>
      </c>
      <c r="B810" t="str">
        <f>HYPERLINK("https://twitter.com/ztw868992","@ztw868992")</f>
        <v>@ztw868992</v>
      </c>
      <c r="C810" t="s">
        <v>2513</v>
      </c>
      <c r="D810">
        <v>4</v>
      </c>
      <c r="E810">
        <v>0</v>
      </c>
      <c r="F810">
        <v>3503</v>
      </c>
    </row>
    <row r="811" spans="1:6" ht="12.75">
      <c r="A811" s="2">
        <v>43885.417256944449</v>
      </c>
      <c r="B811" t="str">
        <f>HYPERLINK("https://twitter.com/cao58020","@cao58020")</f>
        <v>@cao58020</v>
      </c>
      <c r="C811" t="s">
        <v>738</v>
      </c>
      <c r="D811">
        <v>307</v>
      </c>
      <c r="E811">
        <v>0</v>
      </c>
      <c r="F811">
        <v>2699</v>
      </c>
    </row>
    <row r="812" spans="1:6" ht="12.75">
      <c r="A812" s="2">
        <v>43885.417233796295</v>
      </c>
      <c r="B812" t="str">
        <f>HYPERLINK("https://twitter.com/iwan_suji","@iwan_suji")</f>
        <v>@iwan_suji</v>
      </c>
      <c r="C812" t="s">
        <v>2514</v>
      </c>
      <c r="D812">
        <v>0</v>
      </c>
      <c r="E812">
        <v>0</v>
      </c>
      <c r="F812">
        <v>1251</v>
      </c>
    </row>
    <row r="813" spans="1:6" ht="12.75">
      <c r="A813" s="2">
        <v>43885.41710648148</v>
      </c>
      <c r="B813" t="str">
        <f>HYPERLINK("https://twitter.com/SeiraMili7","@SeiraMili7")</f>
        <v>@SeiraMili7</v>
      </c>
      <c r="C813" t="s">
        <v>2515</v>
      </c>
      <c r="D813">
        <v>1</v>
      </c>
      <c r="E813">
        <v>0</v>
      </c>
      <c r="F813">
        <v>198</v>
      </c>
    </row>
    <row r="814" spans="1:6" ht="12.75">
      <c r="A814" s="2">
        <v>43885.417048611111</v>
      </c>
      <c r="B814" t="str">
        <f>HYPERLINK("https://twitter.com/cao58020","@cao58020")</f>
        <v>@cao58020</v>
      </c>
      <c r="C814" t="s">
        <v>321</v>
      </c>
      <c r="D814">
        <v>1564</v>
      </c>
      <c r="E814">
        <v>0</v>
      </c>
      <c r="F814">
        <v>2699</v>
      </c>
    </row>
    <row r="815" spans="1:6" ht="12.75">
      <c r="A815" s="2">
        <v>43885.416967592595</v>
      </c>
      <c r="B815" t="str">
        <f>HYPERLINK("https://twitter.com/RKAwan_54","@RKAwan_54")</f>
        <v>@RKAwan_54</v>
      </c>
      <c r="C815" t="s">
        <v>2516</v>
      </c>
      <c r="D815">
        <v>0</v>
      </c>
      <c r="E815">
        <v>0</v>
      </c>
      <c r="F815">
        <v>116</v>
      </c>
    </row>
    <row r="816" spans="1:6" ht="12.75">
      <c r="A816" s="2">
        <v>43885.416921296295</v>
      </c>
      <c r="B816" t="str">
        <f>HYPERLINK("https://twitter.com/Berita7dotid","@Berita7dotid")</f>
        <v>@Berita7dotid</v>
      </c>
      <c r="C816" t="s">
        <v>2517</v>
      </c>
      <c r="D816">
        <v>0</v>
      </c>
      <c r="E816">
        <v>0</v>
      </c>
      <c r="F816">
        <v>2556</v>
      </c>
    </row>
    <row r="817" spans="1:6" ht="12.75">
      <c r="A817" s="2">
        <v>43885.416817129633</v>
      </c>
      <c r="B817" t="str">
        <f>HYPERLINK("https://twitter.com/dini279","@dini279")</f>
        <v>@dini279</v>
      </c>
      <c r="C817" t="s">
        <v>2090</v>
      </c>
      <c r="D817">
        <v>20</v>
      </c>
      <c r="E817">
        <v>0</v>
      </c>
      <c r="F817">
        <v>449</v>
      </c>
    </row>
    <row r="818" spans="1:6" ht="12.75">
      <c r="A818" s="2">
        <v>43885.416377314818</v>
      </c>
      <c r="B818" t="str">
        <f>HYPERLINK("https://twitter.com/JinggaKamu","@JinggaKamu")</f>
        <v>@JinggaKamu</v>
      </c>
      <c r="C818" t="s">
        <v>321</v>
      </c>
      <c r="D818">
        <v>1564</v>
      </c>
      <c r="E818">
        <v>0</v>
      </c>
      <c r="F818">
        <v>6</v>
      </c>
    </row>
    <row r="819" spans="1:6" ht="12.75">
      <c r="A819" s="2">
        <v>43885.416203703702</v>
      </c>
      <c r="B819" t="str">
        <f>HYPERLINK("https://twitter.com/browniekimmy","@browniekimmy")</f>
        <v>@browniekimmy</v>
      </c>
      <c r="C819" t="s">
        <v>2518</v>
      </c>
      <c r="D819">
        <v>0</v>
      </c>
      <c r="E819">
        <v>0</v>
      </c>
      <c r="F819">
        <v>60</v>
      </c>
    </row>
    <row r="820" spans="1:6" ht="12.75">
      <c r="A820" s="2">
        <v>43885.41611111111</v>
      </c>
      <c r="B820" t="str">
        <f>HYPERLINK("https://twitter.com/arilestari61","@arilestari61")</f>
        <v>@arilestari61</v>
      </c>
      <c r="C820" t="s">
        <v>2519</v>
      </c>
      <c r="D820">
        <v>0</v>
      </c>
      <c r="E820">
        <v>0</v>
      </c>
      <c r="F820">
        <v>7120</v>
      </c>
    </row>
    <row r="821" spans="1:6" ht="12.75">
      <c r="A821" s="2">
        <v>43885.415972222225</v>
      </c>
      <c r="B821" t="str">
        <f t="shared" ref="B821:B823" si="20">HYPERLINK("https://twitter.com/itashix","@itashix")</f>
        <v>@itashix</v>
      </c>
      <c r="C821" t="s">
        <v>2120</v>
      </c>
      <c r="D821">
        <v>71</v>
      </c>
      <c r="E821">
        <v>0</v>
      </c>
      <c r="F821">
        <v>3784</v>
      </c>
    </row>
    <row r="822" spans="1:6" ht="12.75">
      <c r="A822" s="2">
        <v>43885.415937500002</v>
      </c>
      <c r="B822" t="str">
        <f t="shared" si="20"/>
        <v>@itashix</v>
      </c>
      <c r="C822" t="s">
        <v>2115</v>
      </c>
      <c r="D822">
        <v>80</v>
      </c>
      <c r="E822">
        <v>0</v>
      </c>
      <c r="F822">
        <v>3784</v>
      </c>
    </row>
    <row r="823" spans="1:6" ht="12.75">
      <c r="A823" s="2">
        <v>43885.415868055556</v>
      </c>
      <c r="B823" t="str">
        <f t="shared" si="20"/>
        <v>@itashix</v>
      </c>
      <c r="C823" t="s">
        <v>738</v>
      </c>
      <c r="D823">
        <v>307</v>
      </c>
      <c r="E823">
        <v>0</v>
      </c>
      <c r="F823">
        <v>3784</v>
      </c>
    </row>
    <row r="824" spans="1:6" ht="12.75">
      <c r="A824" s="2">
        <v>43885.415844907402</v>
      </c>
      <c r="B824" t="str">
        <f>HYPERLINK("https://twitter.com/ztw868992","@ztw868992")</f>
        <v>@ztw868992</v>
      </c>
      <c r="C824" t="s">
        <v>2520</v>
      </c>
      <c r="D824">
        <v>374</v>
      </c>
      <c r="E824">
        <v>0</v>
      </c>
      <c r="F824">
        <v>3503</v>
      </c>
    </row>
    <row r="825" spans="1:6" ht="12.75">
      <c r="A825" s="2">
        <v>43885.415775462963</v>
      </c>
      <c r="B825" t="str">
        <f>HYPERLINK("https://twitter.com/fajar_ardi7","@fajar_ardi7")</f>
        <v>@fajar_ardi7</v>
      </c>
      <c r="C825" t="s">
        <v>2091</v>
      </c>
      <c r="D825">
        <v>1121</v>
      </c>
      <c r="E825">
        <v>0</v>
      </c>
      <c r="F825">
        <v>1451</v>
      </c>
    </row>
    <row r="826" spans="1:6" ht="12.75">
      <c r="A826" s="2">
        <v>43885.415752314817</v>
      </c>
      <c r="B826" t="str">
        <f>HYPERLINK("https://twitter.com/itashix","@itashix")</f>
        <v>@itashix</v>
      </c>
      <c r="C826" t="s">
        <v>321</v>
      </c>
      <c r="D826">
        <v>1564</v>
      </c>
      <c r="E826">
        <v>0</v>
      </c>
      <c r="F826">
        <v>3784</v>
      </c>
    </row>
    <row r="827" spans="1:6" ht="12.75">
      <c r="A827" s="2">
        <v>43885.415578703702</v>
      </c>
      <c r="B827" t="str">
        <f>HYPERLINK("https://twitter.com/IwanIra52242711","@IwanIra52242711")</f>
        <v>@IwanIra52242711</v>
      </c>
      <c r="C827" t="s">
        <v>321</v>
      </c>
      <c r="D827">
        <v>1564</v>
      </c>
      <c r="E827">
        <v>0</v>
      </c>
      <c r="F827">
        <v>8</v>
      </c>
    </row>
    <row r="828" spans="1:6" ht="12.75">
      <c r="A828" s="2">
        <v>43885.415474537032</v>
      </c>
      <c r="B828" t="str">
        <f>HYPERLINK("https://twitter.com/umemomosakura0","@umemomosakura0")</f>
        <v>@umemomosakura0</v>
      </c>
      <c r="C828" t="s">
        <v>321</v>
      </c>
      <c r="D828">
        <v>1564</v>
      </c>
      <c r="E828">
        <v>0</v>
      </c>
      <c r="F828">
        <v>2392</v>
      </c>
    </row>
    <row r="829" spans="1:6" ht="12.75">
      <c r="A829" s="2">
        <v>43885.415462962963</v>
      </c>
      <c r="B829" t="str">
        <f>HYPERLINK("https://twitter.com/TjoaAdiPrasetio","@TjoaAdiPrasetio")</f>
        <v>@TjoaAdiPrasetio</v>
      </c>
      <c r="C829" t="s">
        <v>2091</v>
      </c>
      <c r="D829">
        <v>1121</v>
      </c>
      <c r="E829">
        <v>0</v>
      </c>
      <c r="F829">
        <v>217</v>
      </c>
    </row>
    <row r="830" spans="1:6" ht="12.75">
      <c r="A830" s="2">
        <v>43885.41541666667</v>
      </c>
      <c r="B830" t="str">
        <f>HYPERLINK("https://twitter.com/6TW3bpRy2Hc0q0l","@6TW3bpRy2Hc0q0l")</f>
        <v>@6TW3bpRy2Hc0q0l</v>
      </c>
      <c r="C830" t="s">
        <v>738</v>
      </c>
      <c r="D830">
        <v>307</v>
      </c>
      <c r="E830">
        <v>0</v>
      </c>
      <c r="F830">
        <v>395</v>
      </c>
    </row>
    <row r="831" spans="1:6" ht="12.75">
      <c r="A831" s="2">
        <v>43885.415138888886</v>
      </c>
      <c r="B831" t="str">
        <f>HYPERLINK("https://twitter.com/fee_ly1910","@fee_ly1910")</f>
        <v>@fee_ly1910</v>
      </c>
      <c r="C831" t="s">
        <v>2521</v>
      </c>
      <c r="D831">
        <v>0</v>
      </c>
      <c r="E831">
        <v>0</v>
      </c>
      <c r="F831">
        <v>46</v>
      </c>
    </row>
    <row r="832" spans="1:6" ht="12.75">
      <c r="A832" s="2">
        <v>43885.415127314816</v>
      </c>
      <c r="B832" t="str">
        <f>HYPERLINK("https://twitter.com/TB1min100pwr","@TB1min100pwr")</f>
        <v>@TB1min100pwr</v>
      </c>
      <c r="C832" t="s">
        <v>321</v>
      </c>
      <c r="D832">
        <v>1564</v>
      </c>
      <c r="E832">
        <v>0</v>
      </c>
      <c r="F832">
        <v>747</v>
      </c>
    </row>
    <row r="833" spans="1:6" ht="12.75">
      <c r="A833" s="2">
        <v>43885.41479166667</v>
      </c>
      <c r="B833" t="str">
        <f>HYPERLINK("https://twitter.com/rmassrgs","@rmassrgs")</f>
        <v>@rmassrgs</v>
      </c>
      <c r="C833" t="s">
        <v>321</v>
      </c>
      <c r="D833">
        <v>1564</v>
      </c>
      <c r="E833">
        <v>0</v>
      </c>
      <c r="F833">
        <v>166</v>
      </c>
    </row>
    <row r="834" spans="1:6" ht="12.75">
      <c r="A834" s="2">
        <v>43885.414780092593</v>
      </c>
      <c r="B834" t="str">
        <f>HYPERLINK("https://twitter.com/Ikahermaa","@Ikahermaa")</f>
        <v>@Ikahermaa</v>
      </c>
      <c r="C834" t="s">
        <v>2091</v>
      </c>
      <c r="D834">
        <v>1121</v>
      </c>
      <c r="E834">
        <v>0</v>
      </c>
      <c r="F834">
        <v>400</v>
      </c>
    </row>
    <row r="835" spans="1:6" ht="12.75">
      <c r="A835" s="2">
        <v>43885.414687500001</v>
      </c>
      <c r="B835" t="str">
        <f>HYPERLINK("https://twitter.com/auliasoebardi","@auliasoebardi")</f>
        <v>@auliasoebardi</v>
      </c>
      <c r="C835" t="s">
        <v>2091</v>
      </c>
      <c r="D835">
        <v>1121</v>
      </c>
      <c r="E835">
        <v>0</v>
      </c>
      <c r="F835">
        <v>1575</v>
      </c>
    </row>
    <row r="836" spans="1:6" ht="12.75">
      <c r="A836" s="2">
        <v>43885.414641203708</v>
      </c>
      <c r="B836" t="str">
        <f>HYPERLINK("https://twitter.com/ARROWGENJI","@ARROWGENJI")</f>
        <v>@ARROWGENJI</v>
      </c>
      <c r="C836" t="s">
        <v>738</v>
      </c>
      <c r="D836">
        <v>307</v>
      </c>
      <c r="E836">
        <v>0</v>
      </c>
      <c r="F836">
        <v>179</v>
      </c>
    </row>
    <row r="837" spans="1:6" ht="12.75">
      <c r="A837" s="2">
        <v>43885.414618055554</v>
      </c>
      <c r="B837" t="str">
        <f>HYPERLINK("https://twitter.com/kurotan50501","@kurotan50501")</f>
        <v>@kurotan50501</v>
      </c>
      <c r="C837" t="s">
        <v>738</v>
      </c>
      <c r="D837">
        <v>307</v>
      </c>
      <c r="E837">
        <v>0</v>
      </c>
      <c r="F837">
        <v>7</v>
      </c>
    </row>
    <row r="838" spans="1:6" ht="12.75">
      <c r="A838" s="2">
        <v>43885.414502314816</v>
      </c>
      <c r="B838" t="str">
        <f t="shared" ref="B838:B839" si="21">HYPERLINK("https://twitter.com/MENANGCURANGKAU","@MENANGCURANGKAU")</f>
        <v>@MENANGCURANGKAU</v>
      </c>
      <c r="C838" t="s">
        <v>738</v>
      </c>
      <c r="D838">
        <v>307</v>
      </c>
      <c r="E838">
        <v>0</v>
      </c>
      <c r="F838">
        <v>1536</v>
      </c>
    </row>
    <row r="839" spans="1:6" ht="12.75">
      <c r="A839" s="2">
        <v>43885.414212962962</v>
      </c>
      <c r="B839" t="str">
        <f t="shared" si="21"/>
        <v>@MENANGCURANGKAU</v>
      </c>
      <c r="C839" t="s">
        <v>321</v>
      </c>
      <c r="D839">
        <v>1564</v>
      </c>
      <c r="E839">
        <v>0</v>
      </c>
      <c r="F839">
        <v>1536</v>
      </c>
    </row>
    <row r="840" spans="1:6" ht="12.75">
      <c r="A840" s="2">
        <v>43885.41407407407</v>
      </c>
      <c r="B840" t="str">
        <f>HYPERLINK("https://twitter.com/yoris_ab","@yoris_ab")</f>
        <v>@yoris_ab</v>
      </c>
      <c r="C840" t="s">
        <v>2522</v>
      </c>
      <c r="D840">
        <v>0</v>
      </c>
      <c r="E840">
        <v>1</v>
      </c>
      <c r="F840">
        <v>1701</v>
      </c>
    </row>
    <row r="841" spans="1:6" ht="12.75">
      <c r="A841" s="2">
        <v>43885.41405092593</v>
      </c>
      <c r="B841" t="str">
        <f>HYPERLINK("https://twitter.com/tempodotco","@tempodotco")</f>
        <v>@tempodotco</v>
      </c>
      <c r="C841" t="s">
        <v>2523</v>
      </c>
      <c r="D841">
        <v>0</v>
      </c>
      <c r="E841">
        <v>0</v>
      </c>
      <c r="F841">
        <v>1710185</v>
      </c>
    </row>
    <row r="842" spans="1:6" ht="12.75">
      <c r="A842" s="2">
        <v>43885.414027777777</v>
      </c>
      <c r="B842" t="str">
        <f>HYPERLINK("https://twitter.com/churume106","@churume106")</f>
        <v>@churume106</v>
      </c>
      <c r="C842" t="s">
        <v>738</v>
      </c>
      <c r="D842">
        <v>307</v>
      </c>
      <c r="E842">
        <v>0</v>
      </c>
      <c r="F842">
        <v>2031</v>
      </c>
    </row>
    <row r="843" spans="1:6" ht="12.75">
      <c r="A843" s="2">
        <v>43885.413912037038</v>
      </c>
      <c r="B843" t="str">
        <f>HYPERLINK("https://twitter.com/faizfaoezi","@faizfaoezi")</f>
        <v>@faizfaoezi</v>
      </c>
      <c r="C843" t="s">
        <v>2091</v>
      </c>
      <c r="D843">
        <v>1121</v>
      </c>
      <c r="E843">
        <v>0</v>
      </c>
      <c r="F843">
        <v>541</v>
      </c>
    </row>
    <row r="844" spans="1:6" ht="12.75">
      <c r="A844" s="2">
        <v>43885.41342592593</v>
      </c>
      <c r="B844" t="str">
        <f>HYPERLINK("https://twitter.com/nobuta52","@nobuta52")</f>
        <v>@nobuta52</v>
      </c>
      <c r="C844" t="s">
        <v>738</v>
      </c>
      <c r="D844">
        <v>307</v>
      </c>
      <c r="E844">
        <v>0</v>
      </c>
      <c r="F844">
        <v>53</v>
      </c>
    </row>
    <row r="845" spans="1:6" ht="12.75">
      <c r="A845" s="2">
        <v>43885.413298611107</v>
      </c>
      <c r="B845" t="str">
        <f>HYPERLINK("https://twitter.com/monikaboedianto","@monikaboedianto")</f>
        <v>@monikaboedianto</v>
      </c>
      <c r="C845" t="s">
        <v>2091</v>
      </c>
      <c r="D845">
        <v>1121</v>
      </c>
      <c r="E845">
        <v>0</v>
      </c>
      <c r="F845">
        <v>121</v>
      </c>
    </row>
    <row r="846" spans="1:6" ht="12.75">
      <c r="A846" s="2">
        <v>43885.413148148145</v>
      </c>
      <c r="B846" t="str">
        <f>HYPERLINK("https://twitter.com/Niachooo","@Niachooo")</f>
        <v>@Niachooo</v>
      </c>
      <c r="C846" t="s">
        <v>2524</v>
      </c>
      <c r="D846">
        <v>1</v>
      </c>
      <c r="E846">
        <v>0</v>
      </c>
      <c r="F846">
        <v>4</v>
      </c>
    </row>
    <row r="847" spans="1:6" ht="12.75">
      <c r="A847" s="2">
        <v>43885.413032407407</v>
      </c>
      <c r="B847" t="str">
        <f>HYPERLINK("https://twitter.com/majisyafii","@majisyafii")</f>
        <v>@majisyafii</v>
      </c>
      <c r="C847" t="s">
        <v>2091</v>
      </c>
      <c r="D847">
        <v>1121</v>
      </c>
      <c r="E847">
        <v>0</v>
      </c>
      <c r="F847">
        <v>2099</v>
      </c>
    </row>
    <row r="848" spans="1:6" ht="12.75">
      <c r="A848" s="2">
        <v>43885.413020833337</v>
      </c>
      <c r="B848" t="str">
        <f>HYPERLINK("https://twitter.com/SetyaAndreansy1","@SetyaAndreansy1")</f>
        <v>@SetyaAndreansy1</v>
      </c>
      <c r="C848" t="s">
        <v>321</v>
      </c>
      <c r="D848">
        <v>1564</v>
      </c>
      <c r="E848">
        <v>0</v>
      </c>
      <c r="F848">
        <v>104</v>
      </c>
    </row>
    <row r="849" spans="1:6" ht="12.75">
      <c r="A849" s="2">
        <v>43885.412835648152</v>
      </c>
      <c r="B849" t="str">
        <f>HYPERLINK("https://twitter.com/Aksnow_27","@Aksnow_27")</f>
        <v>@Aksnow_27</v>
      </c>
      <c r="C849" t="s">
        <v>2091</v>
      </c>
      <c r="D849">
        <v>1121</v>
      </c>
      <c r="E849">
        <v>0</v>
      </c>
      <c r="F849">
        <v>115</v>
      </c>
    </row>
    <row r="850" spans="1:6" ht="12.75">
      <c r="A850" s="2">
        <v>43885.412719907406</v>
      </c>
      <c r="B850" t="str">
        <f>HYPERLINK("https://twitter.com/AtsukoSoufeliz","@AtsukoSoufeliz")</f>
        <v>@AtsukoSoufeliz</v>
      </c>
      <c r="C850" t="s">
        <v>2115</v>
      </c>
      <c r="D850">
        <v>80</v>
      </c>
      <c r="E850">
        <v>0</v>
      </c>
      <c r="F850">
        <v>81</v>
      </c>
    </row>
    <row r="851" spans="1:6" ht="12.75">
      <c r="A851" s="2">
        <v>43885.412349537037</v>
      </c>
      <c r="B851" t="str">
        <f>HYPERLINK("https://twitter.com/mikeandi4","@mikeandi4")</f>
        <v>@mikeandi4</v>
      </c>
      <c r="C851" t="s">
        <v>2166</v>
      </c>
      <c r="D851">
        <v>317</v>
      </c>
      <c r="E851">
        <v>0</v>
      </c>
      <c r="F851">
        <v>390</v>
      </c>
    </row>
    <row r="852" spans="1:6" ht="12.75">
      <c r="A852" s="2">
        <v>43885.412048611106</v>
      </c>
      <c r="B852" t="str">
        <f>HYPERLINK("https://twitter.com/YQ7mxbQVyz3Q1E4","@YQ7mxbQVyz3Q1E4")</f>
        <v>@YQ7mxbQVyz3Q1E4</v>
      </c>
      <c r="C852" t="s">
        <v>321</v>
      </c>
      <c r="D852">
        <v>1564</v>
      </c>
      <c r="E852">
        <v>0</v>
      </c>
      <c r="F852">
        <v>627</v>
      </c>
    </row>
    <row r="853" spans="1:6" ht="12.75">
      <c r="A853" s="2">
        <v>43885.41201388889</v>
      </c>
      <c r="B853" t="str">
        <f>HYPERLINK("https://twitter.com/rinichan02","@rinichan02")</f>
        <v>@rinichan02</v>
      </c>
      <c r="C853" t="s">
        <v>2525</v>
      </c>
      <c r="D853">
        <v>1</v>
      </c>
      <c r="E853">
        <v>0</v>
      </c>
      <c r="F853">
        <v>2848</v>
      </c>
    </row>
    <row r="854" spans="1:6" ht="12.75">
      <c r="A854" s="2">
        <v>43885.411851851852</v>
      </c>
      <c r="B854" t="str">
        <f>HYPERLINK("https://twitter.com/DheBo06","@DheBo06")</f>
        <v>@DheBo06</v>
      </c>
      <c r="C854" t="s">
        <v>321</v>
      </c>
      <c r="D854">
        <v>1564</v>
      </c>
      <c r="E854">
        <v>0</v>
      </c>
      <c r="F854">
        <v>572</v>
      </c>
    </row>
    <row r="855" spans="1:6" ht="12.75">
      <c r="A855" s="2">
        <v>43885.411828703705</v>
      </c>
      <c r="B855" t="str">
        <f>HYPERLINK("https://twitter.com/defikaaufa","@defikaaufa")</f>
        <v>@defikaaufa</v>
      </c>
      <c r="C855" t="s">
        <v>2138</v>
      </c>
      <c r="D855">
        <v>286</v>
      </c>
      <c r="E855">
        <v>0</v>
      </c>
      <c r="F855">
        <v>662</v>
      </c>
    </row>
    <row r="856" spans="1:6" ht="12.75">
      <c r="A856" s="2">
        <v>43885.41170138889</v>
      </c>
      <c r="B856" t="str">
        <f>HYPERLINK("https://twitter.com/amahareiji","@amahareiji")</f>
        <v>@amahareiji</v>
      </c>
      <c r="C856" t="s">
        <v>2526</v>
      </c>
      <c r="D856">
        <v>0</v>
      </c>
      <c r="E856">
        <v>0</v>
      </c>
      <c r="F856">
        <v>350</v>
      </c>
    </row>
    <row r="857" spans="1:6" ht="12.75">
      <c r="A857" s="2">
        <v>43885.411504629628</v>
      </c>
      <c r="B857" t="str">
        <f>HYPERLINK("https://twitter.com/KBurger79","@KBurger79")</f>
        <v>@KBurger79</v>
      </c>
      <c r="C857" t="s">
        <v>2527</v>
      </c>
      <c r="D857">
        <v>16</v>
      </c>
      <c r="E857">
        <v>0</v>
      </c>
      <c r="F857">
        <v>711</v>
      </c>
    </row>
    <row r="858" spans="1:6" ht="12.75">
      <c r="A858" s="2">
        <v>43885.411469907413</v>
      </c>
      <c r="B858" t="str">
        <f>HYPERLINK("https://twitter.com/oinkdenguik","@oinkdenguik")</f>
        <v>@oinkdenguik</v>
      </c>
      <c r="C858" t="s">
        <v>2091</v>
      </c>
      <c r="D858">
        <v>1121</v>
      </c>
      <c r="E858">
        <v>0</v>
      </c>
      <c r="F858">
        <v>369</v>
      </c>
    </row>
    <row r="859" spans="1:6" ht="12.75">
      <c r="A859" s="2">
        <v>43885.411423611113</v>
      </c>
      <c r="B859" t="str">
        <f>HYPERLINK("https://twitter.com/RomelihSuhairi","@RomelihSuhairi")</f>
        <v>@RomelihSuhairi</v>
      </c>
      <c r="C859" t="s">
        <v>321</v>
      </c>
      <c r="D859">
        <v>1564</v>
      </c>
      <c r="E859">
        <v>0</v>
      </c>
      <c r="F859">
        <v>458</v>
      </c>
    </row>
    <row r="860" spans="1:6" ht="12.75">
      <c r="A860" s="2">
        <v>43885.411192129628</v>
      </c>
      <c r="B860" t="str">
        <f>HYPERLINK("https://twitter.com/alfista2019","@alfista2019")</f>
        <v>@alfista2019</v>
      </c>
      <c r="C860" t="s">
        <v>738</v>
      </c>
      <c r="D860">
        <v>307</v>
      </c>
      <c r="E860">
        <v>0</v>
      </c>
      <c r="F860">
        <v>147</v>
      </c>
    </row>
    <row r="861" spans="1:6" ht="12.75">
      <c r="A861" s="2">
        <v>43885.411180555559</v>
      </c>
      <c r="B861" t="str">
        <f>HYPERLINK("https://twitter.com/adirachmatsaleh","@adirachmatsaleh")</f>
        <v>@adirachmatsaleh</v>
      </c>
      <c r="C861" t="s">
        <v>2091</v>
      </c>
      <c r="D861">
        <v>1121</v>
      </c>
      <c r="E861">
        <v>0</v>
      </c>
      <c r="F861">
        <v>146</v>
      </c>
    </row>
    <row r="862" spans="1:6" ht="12.75">
      <c r="A862" s="2">
        <v>43885.411099537036</v>
      </c>
      <c r="B862" t="str">
        <f>HYPERLINK("https://twitter.com/alfista2019","@alfista2019")</f>
        <v>@alfista2019</v>
      </c>
      <c r="C862" t="s">
        <v>2120</v>
      </c>
      <c r="D862">
        <v>71</v>
      </c>
      <c r="E862">
        <v>0</v>
      </c>
      <c r="F862">
        <v>147</v>
      </c>
    </row>
    <row r="863" spans="1:6" ht="12.75">
      <c r="A863" s="2">
        <v>43885.410231481481</v>
      </c>
      <c r="B863" t="str">
        <f>HYPERLINK("https://twitter.com/_ymchk_","@_ymchk_")</f>
        <v>@_ymchk_</v>
      </c>
      <c r="C863" t="s">
        <v>738</v>
      </c>
      <c r="D863">
        <v>307</v>
      </c>
      <c r="E863">
        <v>0</v>
      </c>
      <c r="F863">
        <v>338</v>
      </c>
    </row>
    <row r="864" spans="1:6" ht="12.75">
      <c r="A864" s="2">
        <v>43885.410208333335</v>
      </c>
      <c r="B864" t="str">
        <f>HYPERLINK("https://twitter.com/_2352125909402","@_2352125909402")</f>
        <v>@_2352125909402</v>
      </c>
      <c r="C864" t="s">
        <v>738</v>
      </c>
      <c r="D864">
        <v>307</v>
      </c>
      <c r="E864">
        <v>0</v>
      </c>
      <c r="F864">
        <v>91</v>
      </c>
    </row>
    <row r="865" spans="1:6" ht="12.75">
      <c r="A865" s="2">
        <v>43885.410138888888</v>
      </c>
      <c r="B865" t="str">
        <f>HYPERLINK("https://twitter.com/kodokburik10","@kodokburik10")</f>
        <v>@kodokburik10</v>
      </c>
      <c r="C865" t="s">
        <v>2528</v>
      </c>
      <c r="D865">
        <v>0</v>
      </c>
      <c r="E865">
        <v>0</v>
      </c>
      <c r="F865">
        <v>0</v>
      </c>
    </row>
    <row r="866" spans="1:6" ht="12.75">
      <c r="A866" s="2">
        <v>43885.410011574073</v>
      </c>
      <c r="B866" t="str">
        <f>HYPERLINK("https://twitter.com/amahareiji","@amahareiji")</f>
        <v>@amahareiji</v>
      </c>
      <c r="C866" t="s">
        <v>321</v>
      </c>
      <c r="D866">
        <v>1564</v>
      </c>
      <c r="E866">
        <v>0</v>
      </c>
      <c r="F866">
        <v>350</v>
      </c>
    </row>
    <row r="867" spans="1:6" ht="12.75">
      <c r="A867" s="2">
        <v>43885.41</v>
      </c>
      <c r="B867" t="str">
        <f>HYPERLINK("https://twitter.com/MZianu","@MZianu")</f>
        <v>@MZianu</v>
      </c>
      <c r="C867" t="s">
        <v>2138</v>
      </c>
      <c r="D867">
        <v>286</v>
      </c>
      <c r="E867">
        <v>0</v>
      </c>
      <c r="F867">
        <v>449</v>
      </c>
    </row>
    <row r="868" spans="1:6" ht="12.75">
      <c r="A868" s="2">
        <v>43885.409780092596</v>
      </c>
      <c r="B868" t="str">
        <f>HYPERLINK("https://twitter.com/jawapos","@jawapos")</f>
        <v>@jawapos</v>
      </c>
      <c r="C868" t="s">
        <v>2415</v>
      </c>
      <c r="D868">
        <v>1</v>
      </c>
      <c r="E868">
        <v>0</v>
      </c>
      <c r="F868">
        <v>121031</v>
      </c>
    </row>
    <row r="869" spans="1:6" ht="12.75">
      <c r="A869" s="2">
        <v>43885.409560185188</v>
      </c>
      <c r="B869" t="str">
        <f>HYPERLINK("https://twitter.com/Eduardsinaga4","@Eduardsinaga4")</f>
        <v>@Eduardsinaga4</v>
      </c>
      <c r="C869" t="s">
        <v>2091</v>
      </c>
      <c r="D869">
        <v>1121</v>
      </c>
      <c r="E869">
        <v>0</v>
      </c>
      <c r="F869">
        <v>48</v>
      </c>
    </row>
    <row r="870" spans="1:6" ht="12.75">
      <c r="A870" s="2">
        <v>43885.409363425926</v>
      </c>
      <c r="B870" t="str">
        <f>HYPERLINK("https://twitter.com/halpurwanto","@halpurwanto")</f>
        <v>@halpurwanto</v>
      </c>
      <c r="C870" t="s">
        <v>2166</v>
      </c>
      <c r="D870">
        <v>317</v>
      </c>
      <c r="E870">
        <v>0</v>
      </c>
      <c r="F870">
        <v>676</v>
      </c>
    </row>
    <row r="871" spans="1:6" ht="12.75">
      <c r="A871" s="2">
        <v>43885.409351851849</v>
      </c>
      <c r="B871" t="str">
        <f>HYPERLINK("https://twitter.com/budhartono","@budhartono")</f>
        <v>@budhartono</v>
      </c>
      <c r="C871" t="s">
        <v>2091</v>
      </c>
      <c r="D871">
        <v>1121</v>
      </c>
      <c r="E871">
        <v>0</v>
      </c>
      <c r="F871">
        <v>545</v>
      </c>
    </row>
    <row r="872" spans="1:6" ht="12.75">
      <c r="A872" s="2">
        <v>43885.409270833334</v>
      </c>
      <c r="B872" t="str">
        <f>HYPERLINK("https://twitter.com/macanasia84","@macanasia84")</f>
        <v>@macanasia84</v>
      </c>
      <c r="C872" t="s">
        <v>321</v>
      </c>
      <c r="D872">
        <v>1564</v>
      </c>
      <c r="E872">
        <v>0</v>
      </c>
      <c r="F872">
        <v>1576</v>
      </c>
    </row>
    <row r="873" spans="1:6" ht="12.75">
      <c r="A873" s="2">
        <v>43885.409178240741</v>
      </c>
      <c r="B873" t="str">
        <f>HYPERLINK("https://twitter.com/RizkiR4madani","@RizkiR4madani")</f>
        <v>@RizkiR4madani</v>
      </c>
      <c r="C873" t="s">
        <v>2091</v>
      </c>
      <c r="D873">
        <v>1121</v>
      </c>
      <c r="E873">
        <v>0</v>
      </c>
      <c r="F873">
        <v>3897</v>
      </c>
    </row>
    <row r="874" spans="1:6" ht="12.75">
      <c r="A874" s="2">
        <v>43885.408912037034</v>
      </c>
      <c r="B874" t="str">
        <f>HYPERLINK("https://twitter.com/oktaviaaad","@oktaviaaad")</f>
        <v>@oktaviaaad</v>
      </c>
      <c r="C874" t="s">
        <v>2091</v>
      </c>
      <c r="D874">
        <v>1121</v>
      </c>
      <c r="E874">
        <v>0</v>
      </c>
      <c r="F874">
        <v>301</v>
      </c>
    </row>
    <row r="875" spans="1:6" ht="12.75">
      <c r="A875" s="2">
        <v>43885.408715277779</v>
      </c>
      <c r="B875" t="str">
        <f>HYPERLINK("https://twitter.com/KBurger79","@KBurger79")</f>
        <v>@KBurger79</v>
      </c>
      <c r="C875" t="s">
        <v>2529</v>
      </c>
      <c r="D875">
        <v>14</v>
      </c>
      <c r="E875">
        <v>0</v>
      </c>
      <c r="F875">
        <v>711</v>
      </c>
    </row>
    <row r="876" spans="1:6" ht="12.75">
      <c r="A876" s="2">
        <v>43885.408541666664</v>
      </c>
      <c r="B876" t="str">
        <f>HYPERLINK("https://twitter.com/syella_jilbob4","@syella_jilbob4")</f>
        <v>@syella_jilbob4</v>
      </c>
      <c r="C876" t="s">
        <v>2187</v>
      </c>
      <c r="D876">
        <v>2</v>
      </c>
      <c r="E876">
        <v>0</v>
      </c>
      <c r="F876">
        <v>1426</v>
      </c>
    </row>
    <row r="877" spans="1:6" ht="12.75">
      <c r="A877" s="2">
        <v>43885.408368055556</v>
      </c>
      <c r="B877" t="str">
        <f>HYPERLINK("https://twitter.com/Q0rZwLSXxBGcDUT","@Q0rZwLSXxBGcDUT")</f>
        <v>@Q0rZwLSXxBGcDUT</v>
      </c>
      <c r="C877" t="s">
        <v>321</v>
      </c>
      <c r="D877">
        <v>1564</v>
      </c>
      <c r="E877">
        <v>0</v>
      </c>
      <c r="F877">
        <v>9</v>
      </c>
    </row>
    <row r="878" spans="1:6" ht="12.75">
      <c r="A878" s="2">
        <v>43885.408090277779</v>
      </c>
      <c r="B878" t="str">
        <f>HYPERLINK("https://twitter.com/BorneoWolf","@BorneoWolf")</f>
        <v>@BorneoWolf</v>
      </c>
      <c r="C878" t="s">
        <v>2091</v>
      </c>
      <c r="D878">
        <v>1121</v>
      </c>
      <c r="E878">
        <v>0</v>
      </c>
      <c r="F878">
        <v>5</v>
      </c>
    </row>
    <row r="879" spans="1:6" ht="12.75">
      <c r="A879" s="2">
        <v>43885.408067129625</v>
      </c>
      <c r="B879" t="str">
        <f>HYPERLINK("https://twitter.com/keikikiki","@keikikiki")</f>
        <v>@keikikiki</v>
      </c>
      <c r="C879" t="s">
        <v>321</v>
      </c>
      <c r="D879">
        <v>1564</v>
      </c>
      <c r="E879">
        <v>0</v>
      </c>
      <c r="F879">
        <v>852</v>
      </c>
    </row>
    <row r="880" spans="1:6" ht="12.75">
      <c r="A880" s="2">
        <v>43885.407696759255</v>
      </c>
      <c r="B880" t="str">
        <f>HYPERLINK("https://twitter.com/Tan2Id","@Tan2Id")</f>
        <v>@Tan2Id</v>
      </c>
      <c r="C880" t="s">
        <v>2166</v>
      </c>
      <c r="D880">
        <v>317</v>
      </c>
      <c r="E880">
        <v>0</v>
      </c>
      <c r="F880">
        <v>1174</v>
      </c>
    </row>
    <row r="881" spans="1:6" ht="12.75">
      <c r="A881" s="2">
        <v>43885.407581018517</v>
      </c>
      <c r="B881" t="str">
        <f>HYPERLINK("https://twitter.com/algifari_winer","@algifari_winer")</f>
        <v>@algifari_winer</v>
      </c>
      <c r="C881" t="s">
        <v>2530</v>
      </c>
      <c r="D881">
        <v>0</v>
      </c>
      <c r="E881">
        <v>0</v>
      </c>
      <c r="F881">
        <v>4398</v>
      </c>
    </row>
    <row r="882" spans="1:6" ht="12.75">
      <c r="A882" s="2">
        <v>43885.407430555555</v>
      </c>
      <c r="B882" t="str">
        <f>HYPERLINK("https://twitter.com/tribunus2","@tribunus2")</f>
        <v>@tribunus2</v>
      </c>
      <c r="C882" t="s">
        <v>2165</v>
      </c>
      <c r="D882">
        <v>104</v>
      </c>
      <c r="E882">
        <v>0</v>
      </c>
      <c r="F882">
        <v>3344</v>
      </c>
    </row>
    <row r="883" spans="1:6" ht="12.75">
      <c r="A883" s="2">
        <v>43885.407337962963</v>
      </c>
      <c r="B883" t="str">
        <f>HYPERLINK("https://twitter.com/Alfiansyahfahri","@Alfiansyahfahri")</f>
        <v>@Alfiansyahfahri</v>
      </c>
      <c r="C883" t="s">
        <v>2091</v>
      </c>
      <c r="D883">
        <v>1121</v>
      </c>
      <c r="E883">
        <v>0</v>
      </c>
      <c r="F883">
        <v>1566</v>
      </c>
    </row>
    <row r="884" spans="1:6" ht="12.75">
      <c r="A884" s="2">
        <v>43885.407314814816</v>
      </c>
      <c r="B884" t="str">
        <f>HYPERLINK("https://twitter.com/EW7iIag3GGBf5Vd","@EW7iIag3GGBf5Vd")</f>
        <v>@EW7iIag3GGBf5Vd</v>
      </c>
      <c r="C884" t="s">
        <v>321</v>
      </c>
      <c r="D884">
        <v>1564</v>
      </c>
      <c r="E884">
        <v>0</v>
      </c>
      <c r="F884">
        <v>37</v>
      </c>
    </row>
    <row r="885" spans="1:6" ht="12.75">
      <c r="A885" s="2">
        <v>43885.406863425931</v>
      </c>
      <c r="B885" t="str">
        <f>HYPERLINK("https://twitter.com/syellla_lagiii","@syellla_lagiii")</f>
        <v>@syellla_lagiii</v>
      </c>
      <c r="C885" t="s">
        <v>2531</v>
      </c>
      <c r="D885">
        <v>2</v>
      </c>
      <c r="E885">
        <v>3</v>
      </c>
      <c r="F885">
        <v>68</v>
      </c>
    </row>
    <row r="886" spans="1:6" ht="12.75">
      <c r="A886" s="2">
        <v>43885.406631944439</v>
      </c>
      <c r="B886" t="str">
        <f>HYPERLINK("https://twitter.com/ArilGuci","@ArilGuci")</f>
        <v>@ArilGuci</v>
      </c>
      <c r="C886" t="s">
        <v>2527</v>
      </c>
      <c r="D886">
        <v>16</v>
      </c>
      <c r="E886">
        <v>0</v>
      </c>
      <c r="F886">
        <v>312</v>
      </c>
    </row>
    <row r="887" spans="1:6" ht="12.75">
      <c r="A887" s="2">
        <v>43885.406631944439</v>
      </c>
      <c r="B887" t="str">
        <f>HYPERLINK("https://twitter.com/Tan2Id","@Tan2Id")</f>
        <v>@Tan2Id</v>
      </c>
      <c r="C887" t="s">
        <v>321</v>
      </c>
      <c r="D887">
        <v>1564</v>
      </c>
      <c r="E887">
        <v>0</v>
      </c>
      <c r="F887">
        <v>1174</v>
      </c>
    </row>
    <row r="888" spans="1:6" ht="12.75">
      <c r="A888" s="2">
        <v>43885.405949074076</v>
      </c>
      <c r="B888" t="str">
        <f>HYPERLINK("https://twitter.com/Ardikad36","@Ardikad36")</f>
        <v>@Ardikad36</v>
      </c>
      <c r="C888" t="s">
        <v>2166</v>
      </c>
      <c r="D888">
        <v>317</v>
      </c>
      <c r="E888">
        <v>0</v>
      </c>
      <c r="F888">
        <v>424</v>
      </c>
    </row>
    <row r="889" spans="1:6" ht="12.75">
      <c r="A889" s="2">
        <v>43885.405729166669</v>
      </c>
      <c r="B889" t="str">
        <f>HYPERLINK("https://twitter.com/Qraybatavia3","@Qraybatavia3")</f>
        <v>@Qraybatavia3</v>
      </c>
      <c r="C889" t="s">
        <v>2186</v>
      </c>
      <c r="D889">
        <v>7</v>
      </c>
      <c r="E889">
        <v>0</v>
      </c>
      <c r="F889">
        <v>270</v>
      </c>
    </row>
    <row r="890" spans="1:6" ht="12.75">
      <c r="A890" s="2">
        <v>43885.405486111107</v>
      </c>
      <c r="B890" t="str">
        <f>HYPERLINK("https://twitter.com/a9us90","@a9us90")</f>
        <v>@a9us90</v>
      </c>
      <c r="C890" t="s">
        <v>2166</v>
      </c>
      <c r="D890">
        <v>317</v>
      </c>
      <c r="E890">
        <v>0</v>
      </c>
      <c r="F890">
        <v>49</v>
      </c>
    </row>
    <row r="891" spans="1:6" ht="12.75">
      <c r="A891" s="2">
        <v>43885.404953703706</v>
      </c>
      <c r="B891" t="str">
        <f>HYPERLINK("https://twitter.com/green3420","@green3420")</f>
        <v>@green3420</v>
      </c>
      <c r="C891" t="s">
        <v>738</v>
      </c>
      <c r="D891">
        <v>307</v>
      </c>
      <c r="E891">
        <v>0</v>
      </c>
      <c r="F891">
        <v>1714</v>
      </c>
    </row>
    <row r="892" spans="1:6" ht="12.75">
      <c r="A892" s="2">
        <v>43885.404722222222</v>
      </c>
      <c r="B892" t="str">
        <f>HYPERLINK("https://twitter.com/intansavhyraa","@intansavhyraa")</f>
        <v>@intansavhyraa</v>
      </c>
      <c r="C892" t="s">
        <v>2166</v>
      </c>
      <c r="D892">
        <v>317</v>
      </c>
      <c r="E892">
        <v>0</v>
      </c>
      <c r="F892">
        <v>866</v>
      </c>
    </row>
    <row r="893" spans="1:6" ht="12.75">
      <c r="A893" s="2">
        <v>43885.40415509259</v>
      </c>
      <c r="B893" t="str">
        <f>HYPERLINK("https://twitter.com/fiskaaw","@fiskaaw")</f>
        <v>@fiskaaw</v>
      </c>
      <c r="C893" t="s">
        <v>2091</v>
      </c>
      <c r="D893">
        <v>1121</v>
      </c>
      <c r="E893">
        <v>0</v>
      </c>
      <c r="F893">
        <v>640</v>
      </c>
    </row>
    <row r="894" spans="1:6" ht="12.75">
      <c r="A894" s="2">
        <v>43885.404097222221</v>
      </c>
      <c r="B894" t="str">
        <f>HYPERLINK("https://twitter.com/fiestaradio_","@fiestaradio_")</f>
        <v>@fiestaradio_</v>
      </c>
      <c r="C894" t="s">
        <v>2532</v>
      </c>
      <c r="D894">
        <v>0</v>
      </c>
      <c r="E894">
        <v>0</v>
      </c>
      <c r="F894">
        <v>2065</v>
      </c>
    </row>
    <row r="895" spans="1:6" ht="12.75">
      <c r="A895" s="2">
        <v>43885.40347222222</v>
      </c>
      <c r="B895" t="str">
        <f>HYPERLINK("https://twitter.com/HappiestCountry","@HappiestCountry")</f>
        <v>@HappiestCountry</v>
      </c>
      <c r="C895" t="s">
        <v>321</v>
      </c>
      <c r="D895">
        <v>1564</v>
      </c>
      <c r="E895">
        <v>0</v>
      </c>
      <c r="F895">
        <v>449</v>
      </c>
    </row>
    <row r="896" spans="1:6" ht="12.75">
      <c r="A896" s="2">
        <v>43885.403310185182</v>
      </c>
      <c r="B896" t="str">
        <f>HYPERLINK("https://twitter.com/bron_aja","@bron_aja")</f>
        <v>@bron_aja</v>
      </c>
      <c r="C896" t="s">
        <v>2091</v>
      </c>
      <c r="D896">
        <v>1121</v>
      </c>
      <c r="E896">
        <v>0</v>
      </c>
      <c r="F896">
        <v>224</v>
      </c>
    </row>
    <row r="897" spans="1:6" ht="12.75">
      <c r="A897" s="2">
        <v>43885.402962962966</v>
      </c>
      <c r="B897" t="str">
        <f>HYPERLINK("https://twitter.com/Andrehehanussa","@Andrehehanussa")</f>
        <v>@Andrehehanussa</v>
      </c>
      <c r="C897" t="s">
        <v>321</v>
      </c>
      <c r="D897">
        <v>1564</v>
      </c>
      <c r="E897">
        <v>0</v>
      </c>
      <c r="F897">
        <v>12459</v>
      </c>
    </row>
    <row r="898" spans="1:6" ht="12.75">
      <c r="A898" s="2">
        <v>43885.401979166665</v>
      </c>
      <c r="B898" t="str">
        <f>HYPERLINK("https://twitter.com/peybil","@peybil")</f>
        <v>@peybil</v>
      </c>
      <c r="C898" t="s">
        <v>2533</v>
      </c>
      <c r="D898">
        <v>0</v>
      </c>
      <c r="E898">
        <v>0</v>
      </c>
      <c r="F898">
        <v>1</v>
      </c>
    </row>
    <row r="899" spans="1:6" ht="12.75">
      <c r="A899" s="2">
        <v>43885.401712962965</v>
      </c>
      <c r="B899" t="str">
        <f>HYPERLINK("https://twitter.com/mamimumemo22222","@mamimumemo22222")</f>
        <v>@mamimumemo22222</v>
      </c>
      <c r="C899" t="s">
        <v>738</v>
      </c>
      <c r="D899">
        <v>307</v>
      </c>
      <c r="E899">
        <v>0</v>
      </c>
      <c r="F899">
        <v>49</v>
      </c>
    </row>
    <row r="900" spans="1:6" ht="12.75">
      <c r="A900" s="2">
        <v>43885.40116898148</v>
      </c>
      <c r="B900" t="str">
        <f>HYPERLINK("https://twitter.com/nabilapey","@nabilapey")</f>
        <v>@nabilapey</v>
      </c>
      <c r="C900" t="s">
        <v>2534</v>
      </c>
      <c r="D900">
        <v>0</v>
      </c>
      <c r="E900">
        <v>1</v>
      </c>
      <c r="F900">
        <v>1</v>
      </c>
    </row>
    <row r="901" spans="1:6" ht="12.75">
      <c r="A901" s="2">
        <v>43885.401134259257</v>
      </c>
      <c r="B901" t="str">
        <f>HYPERLINK("https://twitter.com/1PpPC4Bt9QSrJDG","@1PpPC4Bt9QSrJDG")</f>
        <v>@1PpPC4Bt9QSrJDG</v>
      </c>
      <c r="C901" t="s">
        <v>738</v>
      </c>
      <c r="D901">
        <v>307</v>
      </c>
      <c r="E901">
        <v>0</v>
      </c>
      <c r="F901">
        <v>140</v>
      </c>
    </row>
    <row r="902" spans="1:6" ht="12.75">
      <c r="A902" s="2">
        <v>43885.400937500002</v>
      </c>
      <c r="B902" t="str">
        <f>HYPERLINK("https://twitter.com/indigo010","@indigo010")</f>
        <v>@indigo010</v>
      </c>
      <c r="C902" t="s">
        <v>738</v>
      </c>
      <c r="D902">
        <v>307</v>
      </c>
      <c r="E902">
        <v>0</v>
      </c>
      <c r="F902">
        <v>339</v>
      </c>
    </row>
    <row r="903" spans="1:6" ht="12.75">
      <c r="A903" s="2">
        <v>43885.376539351855</v>
      </c>
      <c r="B903" t="str">
        <f>HYPERLINK("https://twitter.com/Renold67","@Renold67")</f>
        <v>@Renold67</v>
      </c>
      <c r="C903" t="s">
        <v>2091</v>
      </c>
      <c r="D903">
        <v>1042</v>
      </c>
      <c r="E903">
        <v>0</v>
      </c>
      <c r="F903">
        <v>46</v>
      </c>
    </row>
    <row r="904" spans="1:6" ht="12.75">
      <c r="A904" s="2">
        <v>43885.376377314809</v>
      </c>
      <c r="B904" t="str">
        <f>HYPERLINK("https://twitter.com/jabangtetuko001","@jabangtetuko001")</f>
        <v>@jabangtetuko001</v>
      </c>
      <c r="C904" t="s">
        <v>2535</v>
      </c>
      <c r="D904">
        <v>0</v>
      </c>
      <c r="E904">
        <v>0</v>
      </c>
      <c r="F904">
        <v>411</v>
      </c>
    </row>
    <row r="905" spans="1:6" ht="12.75">
      <c r="A905" s="2">
        <v>43885.37636574074</v>
      </c>
      <c r="B905" t="str">
        <f>HYPERLINK("https://twitter.com/zaki1897","@zaki1897")</f>
        <v>@zaki1897</v>
      </c>
      <c r="C905" t="s">
        <v>2091</v>
      </c>
      <c r="D905">
        <v>1042</v>
      </c>
      <c r="E905">
        <v>0</v>
      </c>
      <c r="F905">
        <v>535</v>
      </c>
    </row>
    <row r="906" spans="1:6" ht="12.75">
      <c r="A906" s="2">
        <v>43885.37635416667</v>
      </c>
      <c r="B906" t="str">
        <f>HYPERLINK("https://twitter.com/woonaini","@woonaini")</f>
        <v>@woonaini</v>
      </c>
      <c r="C906" t="s">
        <v>2090</v>
      </c>
      <c r="D906">
        <v>11</v>
      </c>
      <c r="E906">
        <v>0</v>
      </c>
      <c r="F906">
        <v>2043</v>
      </c>
    </row>
    <row r="907" spans="1:6" ht="12.75">
      <c r="A907" s="2">
        <v>43885.376331018517</v>
      </c>
      <c r="B907" t="str">
        <f>HYPERLINK("https://twitter.com/heyssaws","@heyssaws")</f>
        <v>@heyssaws</v>
      </c>
      <c r="C907" t="s">
        <v>2536</v>
      </c>
      <c r="D907">
        <v>0</v>
      </c>
      <c r="E907">
        <v>0</v>
      </c>
      <c r="F907">
        <v>206</v>
      </c>
    </row>
    <row r="908" spans="1:6" ht="12.75">
      <c r="A908" s="2">
        <v>43885.376307870371</v>
      </c>
      <c r="B908" t="str">
        <f>HYPERLINK("https://twitter.com/Yeyen41020695","@Yeyen41020695")</f>
        <v>@Yeyen41020695</v>
      </c>
      <c r="C908" t="s">
        <v>2537</v>
      </c>
      <c r="D908">
        <v>0</v>
      </c>
      <c r="E908">
        <v>0</v>
      </c>
      <c r="F908">
        <v>1499</v>
      </c>
    </row>
    <row r="909" spans="1:6" ht="12.75">
      <c r="A909" s="2">
        <v>43885.376157407409</v>
      </c>
      <c r="B909" t="str">
        <f>HYPERLINK("https://twitter.com/Ita_Icupuchino","@Ita_Icupuchino")</f>
        <v>@Ita_Icupuchino</v>
      </c>
      <c r="C909" t="s">
        <v>2091</v>
      </c>
      <c r="D909">
        <v>1042</v>
      </c>
      <c r="E909">
        <v>0</v>
      </c>
      <c r="F909">
        <v>513</v>
      </c>
    </row>
    <row r="910" spans="1:6" ht="12.75">
      <c r="A910" s="2">
        <v>43885.375972222224</v>
      </c>
      <c r="B910" t="str">
        <f>HYPERLINK("https://twitter.com/Hhykoh","@Hhykoh")</f>
        <v>@Hhykoh</v>
      </c>
      <c r="C910" t="s">
        <v>2090</v>
      </c>
      <c r="D910">
        <v>11</v>
      </c>
      <c r="E910">
        <v>0</v>
      </c>
      <c r="F910">
        <v>179</v>
      </c>
    </row>
    <row r="911" spans="1:6" ht="12.75">
      <c r="A911" s="2">
        <v>43885.375902777778</v>
      </c>
      <c r="B911" t="str">
        <f>HYPERLINK("https://twitter.com/RendySaputra185","@RendySaputra185")</f>
        <v>@RendySaputra185</v>
      </c>
      <c r="C911" t="s">
        <v>2091</v>
      </c>
      <c r="D911">
        <v>1042</v>
      </c>
      <c r="E911">
        <v>0</v>
      </c>
      <c r="F911">
        <v>125</v>
      </c>
    </row>
    <row r="912" spans="1:6" ht="12.75">
      <c r="A912" s="2">
        <v>43885.375868055555</v>
      </c>
      <c r="B912" t="str">
        <f>HYPERLINK("https://twitter.com/rafsa_08","@rafsa_08")</f>
        <v>@rafsa_08</v>
      </c>
      <c r="C912" t="s">
        <v>2527</v>
      </c>
      <c r="D912">
        <v>14</v>
      </c>
      <c r="E912">
        <v>0</v>
      </c>
      <c r="F912">
        <v>416</v>
      </c>
    </row>
    <row r="913" spans="1:6" ht="12.75">
      <c r="A913" s="2">
        <v>43885.375416666662</v>
      </c>
      <c r="B913" t="str">
        <f>HYPERLINK("https://twitter.com/chytmr","@chytmr")</f>
        <v>@chytmr</v>
      </c>
      <c r="C913" t="s">
        <v>321</v>
      </c>
      <c r="D913">
        <v>1506</v>
      </c>
      <c r="E913">
        <v>0</v>
      </c>
      <c r="F913">
        <v>79</v>
      </c>
    </row>
    <row r="914" spans="1:6" ht="12.75">
      <c r="A914" s="2">
        <v>43885.3753125</v>
      </c>
      <c r="B914" t="str">
        <f>HYPERLINK("https://twitter.com/ISIS_Balik_NO","@ISIS_Balik_NO")</f>
        <v>@ISIS_Balik_NO</v>
      </c>
      <c r="C914" t="s">
        <v>2538</v>
      </c>
      <c r="D914">
        <v>0</v>
      </c>
      <c r="E914">
        <v>0</v>
      </c>
      <c r="F914">
        <v>6091</v>
      </c>
    </row>
    <row r="915" spans="1:6" ht="12.75">
      <c r="A915" s="2">
        <v>43885.375162037039</v>
      </c>
      <c r="B915" t="str">
        <f>HYPERLINK("https://twitter.com/Lalampa2","@Lalampa2")</f>
        <v>@Lalampa2</v>
      </c>
      <c r="C915" t="s">
        <v>321</v>
      </c>
      <c r="D915">
        <v>1506</v>
      </c>
      <c r="E915">
        <v>0</v>
      </c>
      <c r="F915">
        <v>470</v>
      </c>
    </row>
    <row r="916" spans="1:6" ht="12.75">
      <c r="A916" s="2">
        <v>43885.375138888892</v>
      </c>
      <c r="B916" t="str">
        <f>HYPERLINK("https://twitter.com/Irpan_haris","@Irpan_haris")</f>
        <v>@Irpan_haris</v>
      </c>
      <c r="C916" t="s">
        <v>321</v>
      </c>
      <c r="D916">
        <v>1506</v>
      </c>
      <c r="E916">
        <v>0</v>
      </c>
      <c r="F916">
        <v>799</v>
      </c>
    </row>
    <row r="917" spans="1:6" ht="12.75">
      <c r="A917" s="2">
        <v>43885.37462962963</v>
      </c>
      <c r="B917" t="str">
        <f>HYPERLINK("https://twitter.com/artiktik","@artiktik")</f>
        <v>@artiktik</v>
      </c>
      <c r="C917" t="s">
        <v>2090</v>
      </c>
      <c r="D917">
        <v>11</v>
      </c>
      <c r="E917">
        <v>0</v>
      </c>
      <c r="F917">
        <v>319</v>
      </c>
    </row>
    <row r="918" spans="1:6" ht="12.75">
      <c r="A918" s="2">
        <v>43885.374583333338</v>
      </c>
      <c r="B918" t="str">
        <f>HYPERLINK("https://twitter.com/Kiyeb85","@Kiyeb85")</f>
        <v>@Kiyeb85</v>
      </c>
      <c r="C918" t="s">
        <v>2091</v>
      </c>
      <c r="D918">
        <v>1042</v>
      </c>
      <c r="E918">
        <v>0</v>
      </c>
      <c r="F918">
        <v>230</v>
      </c>
    </row>
    <row r="919" spans="1:6" ht="12.75">
      <c r="A919" s="2">
        <v>43885.374467592592</v>
      </c>
      <c r="B919" t="str">
        <f>HYPERLINK("https://twitter.com/MisranKhan","@MisranKhan")</f>
        <v>@MisranKhan</v>
      </c>
      <c r="C919" t="s">
        <v>321</v>
      </c>
      <c r="D919">
        <v>1506</v>
      </c>
      <c r="E919">
        <v>0</v>
      </c>
      <c r="F919">
        <v>1015</v>
      </c>
    </row>
    <row r="920" spans="1:6" ht="12.75">
      <c r="A920" s="2">
        <v>43885.374467592592</v>
      </c>
      <c r="B920" t="str">
        <f>HYPERLINK("https://twitter.com/RajaDewAQ666","@RajaDewAQ666")</f>
        <v>@RajaDewAQ666</v>
      </c>
      <c r="C920" t="s">
        <v>2539</v>
      </c>
      <c r="D920">
        <v>1</v>
      </c>
      <c r="E920">
        <v>0</v>
      </c>
      <c r="F920">
        <v>4870</v>
      </c>
    </row>
    <row r="921" spans="1:6" ht="12.75">
      <c r="A921" s="2">
        <v>43885.374085648145</v>
      </c>
      <c r="B921" t="str">
        <f>HYPERLINK("https://twitter.com/DubesWakanda","@DubesWakanda")</f>
        <v>@DubesWakanda</v>
      </c>
      <c r="C921" t="s">
        <v>2091</v>
      </c>
      <c r="D921">
        <v>1042</v>
      </c>
      <c r="E921">
        <v>0</v>
      </c>
      <c r="F921">
        <v>1418</v>
      </c>
    </row>
    <row r="922" spans="1:6" ht="12.75">
      <c r="A922" s="2">
        <v>43885.373796296291</v>
      </c>
      <c r="B922" t="str">
        <f>HYPERLINK("https://twitter.com/Yeyen41020695","@Yeyen41020695")</f>
        <v>@Yeyen41020695</v>
      </c>
      <c r="C922" t="s">
        <v>2540</v>
      </c>
      <c r="D922">
        <v>0</v>
      </c>
      <c r="E922">
        <v>2</v>
      </c>
      <c r="F922">
        <v>1499</v>
      </c>
    </row>
    <row r="923" spans="1:6" ht="12.75">
      <c r="A923" s="2">
        <v>43885.37364583333</v>
      </c>
      <c r="B923" t="str">
        <f>HYPERLINK("https://twitter.com/bluebruno1","@bluebruno1")</f>
        <v>@bluebruno1</v>
      </c>
      <c r="C923" t="s">
        <v>738</v>
      </c>
      <c r="D923">
        <v>276</v>
      </c>
      <c r="E923">
        <v>0</v>
      </c>
      <c r="F923">
        <v>94</v>
      </c>
    </row>
    <row r="924" spans="1:6" ht="12.75">
      <c r="A924" s="2">
        <v>43885.373587962968</v>
      </c>
      <c r="B924" t="str">
        <f>HYPERLINK("https://twitter.com/mulyantiHPras","@mulyantiHPras")</f>
        <v>@mulyantiHPras</v>
      </c>
      <c r="C924" t="s">
        <v>2541</v>
      </c>
      <c r="D924">
        <v>0</v>
      </c>
      <c r="E924">
        <v>0</v>
      </c>
      <c r="F924">
        <v>7</v>
      </c>
    </row>
    <row r="925" spans="1:6" ht="12.75">
      <c r="A925" s="2">
        <v>43885.37327546296</v>
      </c>
      <c r="B925" t="str">
        <f>HYPERLINK("https://twitter.com/MTwiteeer","@MTwiteeer")</f>
        <v>@MTwiteeer</v>
      </c>
      <c r="C925" t="s">
        <v>2542</v>
      </c>
      <c r="D925">
        <v>5</v>
      </c>
      <c r="E925">
        <v>0</v>
      </c>
      <c r="F925">
        <v>3</v>
      </c>
    </row>
    <row r="926" spans="1:6" ht="12.75">
      <c r="A926" s="2">
        <v>43885.373252314814</v>
      </c>
      <c r="B926" t="str">
        <f>HYPERLINK("https://twitter.com/irzalfd","@irzalfd")</f>
        <v>@irzalfd</v>
      </c>
      <c r="C926" t="s">
        <v>2091</v>
      </c>
      <c r="D926">
        <v>1042</v>
      </c>
      <c r="E926">
        <v>0</v>
      </c>
      <c r="F926">
        <v>312</v>
      </c>
    </row>
    <row r="927" spans="1:6" ht="12.75">
      <c r="A927" s="2">
        <v>43885.373182870375</v>
      </c>
      <c r="B927" t="str">
        <f>HYPERLINK("https://twitter.com/Carren_K","@Carren_K")</f>
        <v>@Carren_K</v>
      </c>
      <c r="C927" t="s">
        <v>738</v>
      </c>
      <c r="D927">
        <v>276</v>
      </c>
      <c r="E927">
        <v>0</v>
      </c>
      <c r="F927">
        <v>457</v>
      </c>
    </row>
    <row r="928" spans="1:6" ht="12.75">
      <c r="A928" s="2">
        <v>43885.373055555552</v>
      </c>
      <c r="B928" t="str">
        <f>HYPERLINK("https://twitter.com/darip860","@darip860")</f>
        <v>@darip860</v>
      </c>
      <c r="C928" t="s">
        <v>2091</v>
      </c>
      <c r="D928">
        <v>1042</v>
      </c>
      <c r="E928">
        <v>0</v>
      </c>
      <c r="F928">
        <v>223</v>
      </c>
    </row>
    <row r="929" spans="1:6" ht="12.75">
      <c r="A929" s="2">
        <v>43885.37295138889</v>
      </c>
      <c r="B929" t="str">
        <f>HYPERLINK("https://twitter.com/jesostro","@jesostro")</f>
        <v>@jesostro</v>
      </c>
      <c r="C929" t="s">
        <v>2543</v>
      </c>
      <c r="D929">
        <v>0</v>
      </c>
      <c r="E929">
        <v>0</v>
      </c>
      <c r="F929">
        <v>17</v>
      </c>
    </row>
    <row r="930" spans="1:6" ht="12.75">
      <c r="A930" s="2">
        <v>43885.372789351852</v>
      </c>
      <c r="B930" t="str">
        <f>HYPERLINK("https://twitter.com/sipiday_","@sipiday_")</f>
        <v>@sipiday_</v>
      </c>
      <c r="C930" t="s">
        <v>2091</v>
      </c>
      <c r="D930">
        <v>1042</v>
      </c>
      <c r="E930">
        <v>0</v>
      </c>
      <c r="F930">
        <v>307</v>
      </c>
    </row>
    <row r="931" spans="1:6" ht="12.75">
      <c r="A931" s="2">
        <v>43885.372673611113</v>
      </c>
      <c r="B931" t="str">
        <f t="shared" ref="B931:B933" si="22">HYPERLINK("https://twitter.com/westinghouse565","@westinghouse565")</f>
        <v>@westinghouse565</v>
      </c>
      <c r="C931" t="s">
        <v>2120</v>
      </c>
      <c r="D931">
        <v>64</v>
      </c>
      <c r="E931">
        <v>0</v>
      </c>
      <c r="F931">
        <v>4010</v>
      </c>
    </row>
    <row r="932" spans="1:6" ht="12.75">
      <c r="A932" s="2">
        <v>43885.37263888889</v>
      </c>
      <c r="B932" t="str">
        <f t="shared" si="22"/>
        <v>@westinghouse565</v>
      </c>
      <c r="C932" t="s">
        <v>2115</v>
      </c>
      <c r="D932">
        <v>73</v>
      </c>
      <c r="E932">
        <v>0</v>
      </c>
      <c r="F932">
        <v>4010</v>
      </c>
    </row>
    <row r="933" spans="1:6" ht="12.75">
      <c r="A933" s="2">
        <v>43885.372534722221</v>
      </c>
      <c r="B933" t="str">
        <f t="shared" si="22"/>
        <v>@westinghouse565</v>
      </c>
      <c r="C933" t="s">
        <v>738</v>
      </c>
      <c r="D933">
        <v>276</v>
      </c>
      <c r="E933">
        <v>0</v>
      </c>
      <c r="F933">
        <v>4010</v>
      </c>
    </row>
    <row r="934" spans="1:6" ht="12.75">
      <c r="A934" s="2">
        <v>43885.372245370367</v>
      </c>
      <c r="B934" t="str">
        <f>HYPERLINK("https://twitter.com/_masdim","@_masdim")</f>
        <v>@_masdim</v>
      </c>
      <c r="C934" t="s">
        <v>2091</v>
      </c>
      <c r="D934">
        <v>1042</v>
      </c>
      <c r="E934">
        <v>0</v>
      </c>
      <c r="F934">
        <v>529</v>
      </c>
    </row>
    <row r="935" spans="1:6" ht="12.75">
      <c r="A935" s="2">
        <v>43885.372210648144</v>
      </c>
      <c r="B935" t="str">
        <f>HYPERLINK("https://twitter.com/andrianadian80","@andrianadian80")</f>
        <v>@andrianadian80</v>
      </c>
      <c r="C935" t="s">
        <v>2166</v>
      </c>
      <c r="D935">
        <v>293</v>
      </c>
      <c r="E935">
        <v>0</v>
      </c>
      <c r="F935">
        <v>427</v>
      </c>
    </row>
    <row r="936" spans="1:6" ht="12.75">
      <c r="A936" s="2">
        <v>43885.372060185182</v>
      </c>
      <c r="B936" t="str">
        <f>HYPERLINK("https://twitter.com/Tity_TuitTuit","@Tity_TuitTuit")</f>
        <v>@Tity_TuitTuit</v>
      </c>
      <c r="C936" t="s">
        <v>2544</v>
      </c>
      <c r="D936">
        <v>2</v>
      </c>
      <c r="E936">
        <v>0</v>
      </c>
      <c r="F936">
        <v>161</v>
      </c>
    </row>
    <row r="937" spans="1:6" ht="12.75">
      <c r="A937" s="2">
        <v>43885.37195601852</v>
      </c>
      <c r="B937" t="str">
        <f>HYPERLINK("https://twitter.com/harisdmazhar77","@harisdmazhar77")</f>
        <v>@harisdmazhar77</v>
      </c>
      <c r="C937" t="s">
        <v>321</v>
      </c>
      <c r="D937">
        <v>1506</v>
      </c>
      <c r="E937">
        <v>0</v>
      </c>
      <c r="F937">
        <v>335</v>
      </c>
    </row>
    <row r="938" spans="1:6" ht="12.75">
      <c r="A938" s="2">
        <v>43885.371851851851</v>
      </c>
      <c r="B938" t="str">
        <f>HYPERLINK("https://twitter.com/SapawargaSby","@SapawargaSby")</f>
        <v>@SapawargaSby</v>
      </c>
      <c r="C938" t="s">
        <v>2545</v>
      </c>
      <c r="D938">
        <v>0</v>
      </c>
      <c r="E938">
        <v>0</v>
      </c>
      <c r="F938">
        <v>71987</v>
      </c>
    </row>
    <row r="939" spans="1:6" ht="12.75">
      <c r="A939" s="2">
        <v>43885.371689814812</v>
      </c>
      <c r="B939" t="str">
        <f>HYPERLINK("https://twitter.com/dewi_darmawati","@dewi_darmawati")</f>
        <v>@dewi_darmawati</v>
      </c>
      <c r="C939" t="s">
        <v>2546</v>
      </c>
      <c r="D939">
        <v>2</v>
      </c>
      <c r="E939">
        <v>0</v>
      </c>
      <c r="F939">
        <v>4217</v>
      </c>
    </row>
    <row r="940" spans="1:6" ht="12.75">
      <c r="A940" s="2">
        <v>43885.371608796297</v>
      </c>
      <c r="B940" t="str">
        <f>HYPERLINK("https://twitter.com/aiek_esthreem__","@aiek_esthreem__")</f>
        <v>@aiek_esthreem__</v>
      </c>
      <c r="C940" t="s">
        <v>2547</v>
      </c>
      <c r="D940">
        <v>2</v>
      </c>
      <c r="E940">
        <v>5</v>
      </c>
      <c r="F940">
        <v>16841</v>
      </c>
    </row>
    <row r="941" spans="1:6" ht="12.75">
      <c r="A941" s="2">
        <v>43885.371249999997</v>
      </c>
      <c r="B941" t="str">
        <f>HYPERLINK("https://twitter.com/tadius_d","@tadius_d")</f>
        <v>@tadius_d</v>
      </c>
      <c r="C941" t="s">
        <v>2091</v>
      </c>
      <c r="D941">
        <v>1042</v>
      </c>
      <c r="E941">
        <v>0</v>
      </c>
      <c r="F941">
        <v>23</v>
      </c>
    </row>
    <row r="942" spans="1:6" ht="12.75">
      <c r="A942" s="2">
        <v>43885.371157407411</v>
      </c>
      <c r="B942" t="str">
        <f>HYPERLINK("https://twitter.com/VeargoHent","@VeargoHent")</f>
        <v>@VeargoHent</v>
      </c>
      <c r="C942" t="s">
        <v>2091</v>
      </c>
      <c r="D942">
        <v>1042</v>
      </c>
      <c r="E942">
        <v>0</v>
      </c>
      <c r="F942">
        <v>135</v>
      </c>
    </row>
    <row r="943" spans="1:6" ht="12.75">
      <c r="A943" s="2">
        <v>43885.371145833335</v>
      </c>
      <c r="B943" t="str">
        <f>HYPERLINK("https://twitter.com/ABudima68828545","@ABudima68828545")</f>
        <v>@ABudima68828545</v>
      </c>
      <c r="C943" t="s">
        <v>2166</v>
      </c>
      <c r="D943">
        <v>293</v>
      </c>
      <c r="E943">
        <v>0</v>
      </c>
      <c r="F943">
        <v>269</v>
      </c>
    </row>
    <row r="944" spans="1:6" ht="12.75">
      <c r="A944" s="2">
        <v>43885.371145833335</v>
      </c>
      <c r="B944" t="str">
        <f>HYPERLINK("https://twitter.com/RahmatTopa","@RahmatTopa")</f>
        <v>@RahmatTopa</v>
      </c>
      <c r="C944" t="s">
        <v>2091</v>
      </c>
      <c r="D944">
        <v>1042</v>
      </c>
      <c r="E944">
        <v>0</v>
      </c>
      <c r="F944">
        <v>364</v>
      </c>
    </row>
    <row r="945" spans="1:6" ht="12.75">
      <c r="A945" s="2">
        <v>43885.371111111112</v>
      </c>
      <c r="B945" t="str">
        <f>HYPERLINK("https://twitter.com/gilang_MP","@gilang_MP")</f>
        <v>@gilang_MP</v>
      </c>
      <c r="C945" t="s">
        <v>2091</v>
      </c>
      <c r="D945">
        <v>1042</v>
      </c>
      <c r="E945">
        <v>0</v>
      </c>
      <c r="F945">
        <v>167</v>
      </c>
    </row>
    <row r="946" spans="1:6" ht="12.75">
      <c r="A946" s="2">
        <v>43885.371041666665</v>
      </c>
      <c r="B946" t="str">
        <f>HYPERLINK("https://twitter.com/aozoratoame","@aozoratoame")</f>
        <v>@aozoratoame</v>
      </c>
      <c r="C946" t="s">
        <v>738</v>
      </c>
      <c r="D946">
        <v>276</v>
      </c>
      <c r="E946">
        <v>0</v>
      </c>
      <c r="F946">
        <v>758</v>
      </c>
    </row>
    <row r="947" spans="1:6" ht="12.75">
      <c r="A947" s="2">
        <v>43885.370659722219</v>
      </c>
      <c r="B947" t="str">
        <f>HYPERLINK("https://twitter.com/enrigo_mom","@enrigo_mom")</f>
        <v>@enrigo_mom</v>
      </c>
      <c r="C947" t="s">
        <v>321</v>
      </c>
      <c r="D947">
        <v>1506</v>
      </c>
      <c r="E947">
        <v>0</v>
      </c>
      <c r="F947">
        <v>4107</v>
      </c>
    </row>
    <row r="948" spans="1:6" ht="12.75">
      <c r="A948" s="2">
        <v>43885.370393518519</v>
      </c>
      <c r="B948" t="str">
        <f>HYPERLINK("https://twitter.com/soepono42","@soepono42")</f>
        <v>@soepono42</v>
      </c>
      <c r="C948" t="s">
        <v>2527</v>
      </c>
      <c r="D948">
        <v>14</v>
      </c>
      <c r="E948">
        <v>0</v>
      </c>
      <c r="F948">
        <v>1229</v>
      </c>
    </row>
    <row r="949" spans="1:6" ht="12.75">
      <c r="A949" s="2">
        <v>43885.370289351849</v>
      </c>
      <c r="B949" t="str">
        <f>HYPERLINK("https://twitter.com/iwanridw2603","@iwanridw2603")</f>
        <v>@iwanridw2603</v>
      </c>
      <c r="C949" t="s">
        <v>2166</v>
      </c>
      <c r="D949">
        <v>293</v>
      </c>
      <c r="E949">
        <v>0</v>
      </c>
      <c r="F949">
        <v>836</v>
      </c>
    </row>
    <row r="950" spans="1:6" ht="12.75">
      <c r="A950" s="2">
        <v>43885.369930555556</v>
      </c>
      <c r="B950" t="str">
        <f>HYPERLINK("https://twitter.com/Woon2Brothers","@Woon2Brothers")</f>
        <v>@Woon2Brothers</v>
      </c>
      <c r="C950" t="s">
        <v>321</v>
      </c>
      <c r="D950">
        <v>1506</v>
      </c>
      <c r="E950">
        <v>0</v>
      </c>
      <c r="F950">
        <v>412</v>
      </c>
    </row>
    <row r="951" spans="1:6" ht="12.75">
      <c r="A951" s="2">
        <v>43885.36991898148</v>
      </c>
      <c r="B951" t="str">
        <f>HYPERLINK("https://twitter.com/Bangsaindo_","@Bangsaindo_")</f>
        <v>@Bangsaindo_</v>
      </c>
      <c r="C951" t="s">
        <v>2543</v>
      </c>
      <c r="D951">
        <v>0</v>
      </c>
      <c r="E951">
        <v>0</v>
      </c>
      <c r="F951">
        <v>68</v>
      </c>
    </row>
    <row r="952" spans="1:6" ht="12.75">
      <c r="A952" s="2">
        <v>43885.369826388887</v>
      </c>
      <c r="B952" t="str">
        <f>HYPERLINK("https://twitter.com/basaja20","@basaja20")</f>
        <v>@basaja20</v>
      </c>
      <c r="C952" t="s">
        <v>2513</v>
      </c>
      <c r="D952">
        <v>3</v>
      </c>
      <c r="E952">
        <v>0</v>
      </c>
      <c r="F952">
        <v>1555</v>
      </c>
    </row>
    <row r="953" spans="1:6" ht="12.75">
      <c r="A953" s="2">
        <v>43885.369583333333</v>
      </c>
      <c r="B953" t="str">
        <f>HYPERLINK("https://twitter.com/TE27toreno","@TE27toreno")</f>
        <v>@TE27toreno</v>
      </c>
      <c r="C953" t="s">
        <v>738</v>
      </c>
      <c r="D953">
        <v>276</v>
      </c>
      <c r="E953">
        <v>0</v>
      </c>
      <c r="F953">
        <v>1476</v>
      </c>
    </row>
    <row r="954" spans="1:6" ht="12.75">
      <c r="A954" s="2">
        <v>43885.369432870371</v>
      </c>
      <c r="B954" t="str">
        <f>HYPERLINK("https://twitter.com/nyok_nino","@nyok_nino")</f>
        <v>@nyok_nino</v>
      </c>
      <c r="C954" t="s">
        <v>2091</v>
      </c>
      <c r="D954">
        <v>1042</v>
      </c>
      <c r="E954">
        <v>0</v>
      </c>
      <c r="F954">
        <v>528</v>
      </c>
    </row>
    <row r="955" spans="1:6" ht="12.75">
      <c r="A955" s="2">
        <v>43885.369201388894</v>
      </c>
      <c r="B955" t="str">
        <f>HYPERLINK("https://twitter.com/FebyFoasa","@FebyFoasa")</f>
        <v>@FebyFoasa</v>
      </c>
      <c r="C955" t="s">
        <v>2513</v>
      </c>
      <c r="D955">
        <v>3</v>
      </c>
      <c r="E955">
        <v>0</v>
      </c>
      <c r="F955">
        <v>2521</v>
      </c>
    </row>
    <row r="956" spans="1:6" ht="12.75">
      <c r="A956" s="2">
        <v>43885.368761574078</v>
      </c>
      <c r="B956" t="str">
        <f>HYPERLINK("https://twitter.com/rhinocerosandro","@rhinocerosandro")</f>
        <v>@rhinocerosandro</v>
      </c>
      <c r="C956" t="s">
        <v>2091</v>
      </c>
      <c r="D956">
        <v>1042</v>
      </c>
      <c r="E956">
        <v>0</v>
      </c>
      <c r="F956">
        <v>64</v>
      </c>
    </row>
    <row r="957" spans="1:6" ht="12.75">
      <c r="A957" s="2">
        <v>43885.368530092594</v>
      </c>
      <c r="B957" t="str">
        <f>HYPERLINK("https://twitter.com/TakueiAya","@TakueiAya")</f>
        <v>@TakueiAya</v>
      </c>
      <c r="C957" t="s">
        <v>321</v>
      </c>
      <c r="D957">
        <v>1506</v>
      </c>
      <c r="E957">
        <v>0</v>
      </c>
      <c r="F957">
        <v>112</v>
      </c>
    </row>
    <row r="958" spans="1:6" ht="12.75">
      <c r="A958" s="2">
        <v>43885.368518518517</v>
      </c>
      <c r="B958" t="str">
        <f>HYPERLINK("https://twitter.com/RajaDewAQ666","@RajaDewAQ666")</f>
        <v>@RajaDewAQ666</v>
      </c>
      <c r="C958" t="s">
        <v>2548</v>
      </c>
      <c r="D958">
        <v>1</v>
      </c>
      <c r="E958">
        <v>3</v>
      </c>
      <c r="F958">
        <v>4870</v>
      </c>
    </row>
    <row r="959" spans="1:6" ht="12.75">
      <c r="A959" s="2">
        <v>43885.368321759262</v>
      </c>
      <c r="B959" t="str">
        <f>HYPERLINK("https://twitter.com/Z_hilakunali","@Z_hilakunali")</f>
        <v>@Z_hilakunali</v>
      </c>
      <c r="C959" t="s">
        <v>738</v>
      </c>
      <c r="D959">
        <v>276</v>
      </c>
      <c r="E959">
        <v>0</v>
      </c>
      <c r="F959">
        <v>55</v>
      </c>
    </row>
    <row r="960" spans="1:6" ht="12.75">
      <c r="A960" s="2">
        <v>43885.368287037039</v>
      </c>
      <c r="B960" t="str">
        <f>HYPERLINK("https://twitter.com/Evi76067581","@Evi76067581")</f>
        <v>@Evi76067581</v>
      </c>
      <c r="C960" t="s">
        <v>321</v>
      </c>
      <c r="D960">
        <v>1506</v>
      </c>
      <c r="E960">
        <v>0</v>
      </c>
      <c r="F960">
        <v>74</v>
      </c>
    </row>
    <row r="961" spans="1:6" ht="12.75">
      <c r="A961" s="2">
        <v>43885.36818287037</v>
      </c>
      <c r="B961" t="str">
        <f>HYPERLINK("https://twitter.com/amyazmi","@amyazmi")</f>
        <v>@amyazmi</v>
      </c>
      <c r="C961" t="s">
        <v>738</v>
      </c>
      <c r="D961">
        <v>276</v>
      </c>
      <c r="E961">
        <v>0</v>
      </c>
      <c r="F961">
        <v>547</v>
      </c>
    </row>
    <row r="962" spans="1:6" ht="12.75">
      <c r="A962" s="2">
        <v>43885.367986111116</v>
      </c>
      <c r="B962" t="str">
        <f>HYPERLINK("https://twitter.com/Dhonykurniawan9","@Dhonykurniawan9")</f>
        <v>@Dhonykurniawan9</v>
      </c>
      <c r="C962" t="s">
        <v>2091</v>
      </c>
      <c r="D962">
        <v>1042</v>
      </c>
      <c r="E962">
        <v>0</v>
      </c>
      <c r="F962">
        <v>25</v>
      </c>
    </row>
    <row r="963" spans="1:6" ht="12.75">
      <c r="A963" s="2">
        <v>43885.367928240739</v>
      </c>
      <c r="B963" t="str">
        <f>HYPERLINK("https://twitter.com/yudhapati88","@yudhapati88")</f>
        <v>@yudhapati88</v>
      </c>
      <c r="C963" t="s">
        <v>2091</v>
      </c>
      <c r="D963">
        <v>1042</v>
      </c>
      <c r="E963">
        <v>0</v>
      </c>
      <c r="F963">
        <v>3418</v>
      </c>
    </row>
    <row r="964" spans="1:6" ht="12.75">
      <c r="A964" s="2">
        <v>43885.367905092593</v>
      </c>
      <c r="B964" t="str">
        <f>HYPERLINK("https://twitter.com/Nindaryzm","@Nindaryzm")</f>
        <v>@Nindaryzm</v>
      </c>
      <c r="C964" t="s">
        <v>2091</v>
      </c>
      <c r="D964">
        <v>1042</v>
      </c>
      <c r="E964">
        <v>0</v>
      </c>
      <c r="F964">
        <v>461</v>
      </c>
    </row>
    <row r="965" spans="1:6" ht="12.75">
      <c r="A965" s="2">
        <v>43885.367743055554</v>
      </c>
      <c r="B965" t="str">
        <f>HYPERLINK("https://twitter.com/erisiaastrology","@erisiaastrology")</f>
        <v>@erisiaastrology</v>
      </c>
      <c r="C965" t="s">
        <v>738</v>
      </c>
      <c r="D965">
        <v>276</v>
      </c>
      <c r="E965">
        <v>0</v>
      </c>
      <c r="F965">
        <v>780</v>
      </c>
    </row>
    <row r="966" spans="1:6" ht="12.75">
      <c r="A966" s="2">
        <v>43885.367708333331</v>
      </c>
      <c r="B966" t="str">
        <f>HYPERLINK("https://twitter.com/sintakaoka99","@sintakaoka99")</f>
        <v>@sintakaoka99</v>
      </c>
      <c r="C966" t="s">
        <v>738</v>
      </c>
      <c r="D966">
        <v>276</v>
      </c>
      <c r="E966">
        <v>0</v>
      </c>
      <c r="F966">
        <v>454</v>
      </c>
    </row>
    <row r="967" spans="1:6" ht="12.75">
      <c r="A967" s="2">
        <v>43885.367442129631</v>
      </c>
      <c r="B967" t="str">
        <f t="shared" ref="B967:B969" si="23">HYPERLINK("https://twitter.com/zCLfzql4iJe7weN","@zCLfzql4iJe7weN")</f>
        <v>@zCLfzql4iJe7weN</v>
      </c>
      <c r="C967" t="s">
        <v>2120</v>
      </c>
      <c r="D967">
        <v>64</v>
      </c>
      <c r="E967">
        <v>0</v>
      </c>
      <c r="F967">
        <v>980</v>
      </c>
    </row>
    <row r="968" spans="1:6" ht="12.75">
      <c r="A968" s="2">
        <v>43885.367349537039</v>
      </c>
      <c r="B968" t="str">
        <f t="shared" si="23"/>
        <v>@zCLfzql4iJe7weN</v>
      </c>
      <c r="C968" t="s">
        <v>2115</v>
      </c>
      <c r="D968">
        <v>73</v>
      </c>
      <c r="E968">
        <v>0</v>
      </c>
      <c r="F968">
        <v>980</v>
      </c>
    </row>
    <row r="969" spans="1:6" ht="12.75">
      <c r="A969" s="2">
        <v>43885.367245370369</v>
      </c>
      <c r="B969" t="str">
        <f t="shared" si="23"/>
        <v>@zCLfzql4iJe7weN</v>
      </c>
      <c r="C969" t="s">
        <v>738</v>
      </c>
      <c r="D969">
        <v>276</v>
      </c>
      <c r="E969">
        <v>0</v>
      </c>
      <c r="F969">
        <v>980</v>
      </c>
    </row>
    <row r="970" spans="1:6" ht="12.75">
      <c r="A970" s="2">
        <v>43885.367106481484</v>
      </c>
      <c r="B970" t="str">
        <f>HYPERLINK("https://twitter.com/pOKTAhontaz","@pOKTAhontaz")</f>
        <v>@pOKTAhontaz</v>
      </c>
      <c r="C970" t="s">
        <v>2091</v>
      </c>
      <c r="D970">
        <v>1042</v>
      </c>
      <c r="E970">
        <v>0</v>
      </c>
      <c r="F970">
        <v>93</v>
      </c>
    </row>
    <row r="971" spans="1:6" ht="12.75">
      <c r="A971" s="2">
        <v>43885.367106481484</v>
      </c>
      <c r="B971" t="str">
        <f>HYPERLINK("https://twitter.com/putdheaval","@putdheaval")</f>
        <v>@putdheaval</v>
      </c>
      <c r="C971" t="s">
        <v>321</v>
      </c>
      <c r="D971">
        <v>1506</v>
      </c>
      <c r="E971">
        <v>0</v>
      </c>
      <c r="F971">
        <v>195</v>
      </c>
    </row>
    <row r="972" spans="1:6" ht="12.75">
      <c r="A972" s="2">
        <v>43885.367083333331</v>
      </c>
      <c r="B972" t="str">
        <f>HYPERLINK("https://twitter.com/zCLfzql4iJe7weN","@zCLfzql4iJe7weN")</f>
        <v>@zCLfzql4iJe7weN</v>
      </c>
      <c r="C972" t="s">
        <v>321</v>
      </c>
      <c r="D972">
        <v>1506</v>
      </c>
      <c r="E972">
        <v>0</v>
      </c>
      <c r="F972">
        <v>980</v>
      </c>
    </row>
    <row r="973" spans="1:6" ht="12.75">
      <c r="A973" s="2">
        <v>43885.366956018523</v>
      </c>
      <c r="B973" t="str">
        <f>HYPERLINK("https://twitter.com/Rapida27072142","@Rapida27072142")</f>
        <v>@Rapida27072142</v>
      </c>
      <c r="C973" t="s">
        <v>2091</v>
      </c>
      <c r="D973">
        <v>1042</v>
      </c>
      <c r="E973">
        <v>0</v>
      </c>
      <c r="F973">
        <v>6</v>
      </c>
    </row>
    <row r="974" spans="1:6" ht="12.75">
      <c r="A974" s="2">
        <v>43885.366909722223</v>
      </c>
      <c r="B974" t="str">
        <f>HYPERLINK("https://twitter.com/rajivgaluh","@rajivgaluh")</f>
        <v>@rajivgaluh</v>
      </c>
      <c r="C974" t="s">
        <v>2138</v>
      </c>
      <c r="D974">
        <v>281</v>
      </c>
      <c r="E974">
        <v>0</v>
      </c>
      <c r="F974">
        <v>2017</v>
      </c>
    </row>
    <row r="975" spans="1:6" ht="12.75">
      <c r="A975" s="2">
        <v>43885.366909722223</v>
      </c>
      <c r="B975" t="str">
        <f>HYPERLINK("https://twitter.com/faisaldahlan","@faisaldahlan")</f>
        <v>@faisaldahlan</v>
      </c>
      <c r="C975" t="s">
        <v>2091</v>
      </c>
      <c r="D975">
        <v>1042</v>
      </c>
      <c r="E975">
        <v>0</v>
      </c>
      <c r="F975">
        <v>97</v>
      </c>
    </row>
    <row r="976" spans="1:6" ht="12.75">
      <c r="A976" s="2">
        <v>43885.366724537038</v>
      </c>
      <c r="B976" t="str">
        <f>HYPERLINK("https://twitter.com/nisrinaadr","@nisrinaadr")</f>
        <v>@nisrinaadr</v>
      </c>
      <c r="C976" t="s">
        <v>738</v>
      </c>
      <c r="D976">
        <v>276</v>
      </c>
      <c r="E976">
        <v>0</v>
      </c>
      <c r="F976">
        <v>1311</v>
      </c>
    </row>
    <row r="977" spans="1:6" ht="12.75">
      <c r="A977" s="2">
        <v>43885.366631944446</v>
      </c>
      <c r="B977" t="str">
        <f>HYPERLINK("https://twitter.com/bisjaknews","@bisjaknews")</f>
        <v>@bisjaknews</v>
      </c>
      <c r="C977" t="s">
        <v>2549</v>
      </c>
      <c r="D977">
        <v>0</v>
      </c>
      <c r="E977">
        <v>0</v>
      </c>
      <c r="F977">
        <v>93</v>
      </c>
    </row>
    <row r="978" spans="1:6" ht="12.75">
      <c r="A978" s="2">
        <v>43885.366273148145</v>
      </c>
      <c r="B978" t="str">
        <f>HYPERLINK("https://twitter.com/AbusyikLumiek","@AbusyikLumiek")</f>
        <v>@AbusyikLumiek</v>
      </c>
      <c r="C978" t="s">
        <v>2166</v>
      </c>
      <c r="D978">
        <v>293</v>
      </c>
      <c r="E978">
        <v>0</v>
      </c>
      <c r="F978">
        <v>399</v>
      </c>
    </row>
    <row r="979" spans="1:6" ht="12.75">
      <c r="A979" s="2">
        <v>43885.366238425922</v>
      </c>
      <c r="B979" t="str">
        <f>HYPERLINK("https://twitter.com/ylchaniago","@ylchaniago")</f>
        <v>@ylchaniago</v>
      </c>
      <c r="C979" t="s">
        <v>2550</v>
      </c>
      <c r="D979">
        <v>2</v>
      </c>
      <c r="E979">
        <v>0</v>
      </c>
      <c r="F979">
        <v>5375</v>
      </c>
    </row>
    <row r="980" spans="1:6" ht="12.75">
      <c r="A980" s="2">
        <v>43885.366122685184</v>
      </c>
      <c r="B980" t="str">
        <f>HYPERLINK("https://twitter.com/OmangTrisna_","@OmangTrisna_")</f>
        <v>@OmangTrisna_</v>
      </c>
      <c r="C980" t="s">
        <v>2091</v>
      </c>
      <c r="D980">
        <v>1042</v>
      </c>
      <c r="E980">
        <v>0</v>
      </c>
      <c r="F980">
        <v>250</v>
      </c>
    </row>
    <row r="981" spans="1:6" ht="12.75">
      <c r="A981" s="2">
        <v>43885.365856481483</v>
      </c>
      <c r="B981" t="str">
        <f>HYPERLINK("https://twitter.com/airnation","@airnation")</f>
        <v>@airnation</v>
      </c>
      <c r="C981" t="s">
        <v>321</v>
      </c>
      <c r="D981">
        <v>1506</v>
      </c>
      <c r="E981">
        <v>0</v>
      </c>
      <c r="F981">
        <v>22</v>
      </c>
    </row>
    <row r="982" spans="1:6" ht="12.75">
      <c r="A982" s="2">
        <v>43885.365740740745</v>
      </c>
      <c r="B982" t="str">
        <f>HYPERLINK("https://twitter.com/NgkongRoses","@NgkongRoses")</f>
        <v>@NgkongRoses</v>
      </c>
      <c r="C982" t="s">
        <v>2513</v>
      </c>
      <c r="D982">
        <v>3</v>
      </c>
      <c r="E982">
        <v>0</v>
      </c>
      <c r="F982">
        <v>9252</v>
      </c>
    </row>
    <row r="983" spans="1:6" ht="12.75">
      <c r="A983" s="2">
        <v>43885.36555555556</v>
      </c>
      <c r="B983" t="str">
        <f>HYPERLINK("https://twitter.com/zikrifadillah89","@zikrifadillah89")</f>
        <v>@zikrifadillah89</v>
      </c>
      <c r="C983" t="s">
        <v>321</v>
      </c>
      <c r="D983">
        <v>1506</v>
      </c>
      <c r="E983">
        <v>0</v>
      </c>
      <c r="F983">
        <v>33</v>
      </c>
    </row>
    <row r="984" spans="1:6" ht="12.75">
      <c r="A984" s="2">
        <v>43885.365324074075</v>
      </c>
      <c r="B984" t="str">
        <f>HYPERLINK("https://twitter.com/yudi_078","@yudi_078")</f>
        <v>@yudi_078</v>
      </c>
      <c r="C984" t="s">
        <v>2091</v>
      </c>
      <c r="D984">
        <v>1042</v>
      </c>
      <c r="E984">
        <v>0</v>
      </c>
      <c r="F984">
        <v>1318</v>
      </c>
    </row>
    <row r="985" spans="1:6" ht="12.75">
      <c r="A985" s="2">
        <v>43885.364907407406</v>
      </c>
      <c r="B985" t="str">
        <f>HYPERLINK("https://twitter.com/sonia_kazu","@sonia_kazu")</f>
        <v>@sonia_kazu</v>
      </c>
      <c r="C985" t="s">
        <v>321</v>
      </c>
      <c r="D985">
        <v>1506</v>
      </c>
      <c r="E985">
        <v>0</v>
      </c>
      <c r="F985">
        <v>562</v>
      </c>
    </row>
    <row r="986" spans="1:6" ht="12.75">
      <c r="A986" s="2">
        <v>43885.364907407406</v>
      </c>
      <c r="B986" t="str">
        <f>HYPERLINK("https://twitter.com/SahertianDaisy","@SahertianDaisy")</f>
        <v>@SahertianDaisy</v>
      </c>
      <c r="C986" t="s">
        <v>2091</v>
      </c>
      <c r="D986">
        <v>1042</v>
      </c>
      <c r="E986">
        <v>0</v>
      </c>
      <c r="F986">
        <v>55</v>
      </c>
    </row>
    <row r="987" spans="1:6" ht="12.75">
      <c r="A987" s="2">
        <v>43885.364618055552</v>
      </c>
      <c r="B987" t="str">
        <f>HYPERLINK("https://twitter.com/galamedianews","@galamedianews")</f>
        <v>@galamedianews</v>
      </c>
      <c r="C987" t="s">
        <v>2551</v>
      </c>
      <c r="D987">
        <v>0</v>
      </c>
      <c r="E987">
        <v>0</v>
      </c>
      <c r="F987">
        <v>13766</v>
      </c>
    </row>
    <row r="988" spans="1:6" ht="12.75">
      <c r="A988" s="2">
        <v>43885.364583333328</v>
      </c>
      <c r="B988" t="str">
        <f>HYPERLINK("https://twitter.com/idetopia","@idetopia")</f>
        <v>@idetopia</v>
      </c>
      <c r="C988" t="s">
        <v>2140</v>
      </c>
      <c r="D988">
        <v>0</v>
      </c>
      <c r="E988">
        <v>1</v>
      </c>
      <c r="F988">
        <v>88329</v>
      </c>
    </row>
    <row r="989" spans="1:6" ht="12.75">
      <c r="A989" s="2">
        <v>43885.364502314813</v>
      </c>
      <c r="B989" t="str">
        <f>HYPERLINK("https://twitter.com/cao58020","@cao58020")</f>
        <v>@cao58020</v>
      </c>
      <c r="C989" t="s">
        <v>738</v>
      </c>
      <c r="D989">
        <v>276</v>
      </c>
      <c r="E989">
        <v>0</v>
      </c>
      <c r="F989">
        <v>2699</v>
      </c>
    </row>
    <row r="990" spans="1:6" ht="12.75">
      <c r="A990" s="2">
        <v>43885.364363425921</v>
      </c>
      <c r="B990" t="str">
        <f t="shared" ref="B990:B991" si="24">HYPERLINK("https://twitter.com/s_sofah","@s_sofah")</f>
        <v>@s_sofah</v>
      </c>
      <c r="C990" t="s">
        <v>738</v>
      </c>
      <c r="D990">
        <v>276</v>
      </c>
      <c r="E990">
        <v>0</v>
      </c>
      <c r="F990">
        <v>176</v>
      </c>
    </row>
    <row r="991" spans="1:6" ht="12.75">
      <c r="A991" s="2">
        <v>43885.363912037035</v>
      </c>
      <c r="B991" t="str">
        <f t="shared" si="24"/>
        <v>@s_sofah</v>
      </c>
      <c r="C991" t="s">
        <v>321</v>
      </c>
      <c r="D991">
        <v>1506</v>
      </c>
      <c r="E991">
        <v>0</v>
      </c>
      <c r="F991">
        <v>176</v>
      </c>
    </row>
    <row r="992" spans="1:6" ht="12.75">
      <c r="A992" s="2">
        <v>43885.363773148143</v>
      </c>
      <c r="B992" t="str">
        <f>HYPERLINK("https://twitter.com/vannymoonti","@vannymoonti")</f>
        <v>@vannymoonti</v>
      </c>
      <c r="C992" t="s">
        <v>2091</v>
      </c>
      <c r="D992">
        <v>1042</v>
      </c>
      <c r="E992">
        <v>0</v>
      </c>
      <c r="F992">
        <v>386</v>
      </c>
    </row>
    <row r="993" spans="1:6" ht="12.75">
      <c r="A993" s="2">
        <v>43885.363240740742</v>
      </c>
      <c r="B993" t="str">
        <f>HYPERLINK("https://twitter.com/cimfairy","@cimfairy")</f>
        <v>@cimfairy</v>
      </c>
      <c r="C993" t="s">
        <v>2090</v>
      </c>
      <c r="D993">
        <v>11</v>
      </c>
      <c r="E993">
        <v>0</v>
      </c>
      <c r="F993">
        <v>228</v>
      </c>
    </row>
    <row r="994" spans="1:6" ht="12.75">
      <c r="A994" s="2">
        <v>43885.36319444445</v>
      </c>
      <c r="B994" t="str">
        <f>HYPERLINK("https://twitter.com/otephhh","@otephhh")</f>
        <v>@otephhh</v>
      </c>
      <c r="C994" t="s">
        <v>2091</v>
      </c>
      <c r="D994">
        <v>1042</v>
      </c>
      <c r="E994">
        <v>0</v>
      </c>
      <c r="F994">
        <v>364</v>
      </c>
    </row>
    <row r="995" spans="1:6" ht="12.75">
      <c r="A995" s="2">
        <v>43885.363182870366</v>
      </c>
      <c r="B995" t="str">
        <f>HYPERLINK("https://twitter.com/EPras92","@EPras92")</f>
        <v>@EPras92</v>
      </c>
      <c r="C995" t="s">
        <v>2151</v>
      </c>
      <c r="D995">
        <v>13</v>
      </c>
      <c r="E995">
        <v>0</v>
      </c>
      <c r="F995">
        <v>593</v>
      </c>
    </row>
    <row r="996" spans="1:6" ht="12.75">
      <c r="A996" s="2">
        <v>43885.362581018519</v>
      </c>
      <c r="B996" t="str">
        <f>HYPERLINK("https://twitter.com/Mygyuwies","@Mygyuwies")</f>
        <v>@Mygyuwies</v>
      </c>
      <c r="C996" t="s">
        <v>2552</v>
      </c>
      <c r="D996">
        <v>1</v>
      </c>
      <c r="E996">
        <v>0</v>
      </c>
      <c r="F996">
        <v>540</v>
      </c>
    </row>
    <row r="997" spans="1:6" ht="12.75">
      <c r="A997" s="2">
        <v>43885.362476851849</v>
      </c>
      <c r="B997" t="str">
        <f>HYPERLINK("https://twitter.com/inHyuk_ELFINA","@inHyuk_ELFINA")</f>
        <v>@inHyuk_ELFINA</v>
      </c>
      <c r="C997" t="s">
        <v>2090</v>
      </c>
      <c r="D997">
        <v>11</v>
      </c>
      <c r="E997">
        <v>0</v>
      </c>
      <c r="F997">
        <v>74</v>
      </c>
    </row>
    <row r="998" spans="1:6" ht="12.75">
      <c r="A998" s="2">
        <v>43885.36237268518</v>
      </c>
      <c r="B998" t="str">
        <f>HYPERLINK("https://twitter.com/RintaroWatanabe","@RintaroWatanabe")</f>
        <v>@RintaroWatanabe</v>
      </c>
      <c r="C998" t="s">
        <v>738</v>
      </c>
      <c r="D998">
        <v>276</v>
      </c>
      <c r="E998">
        <v>0</v>
      </c>
      <c r="F998">
        <v>8014</v>
      </c>
    </row>
    <row r="999" spans="1:6" ht="12.75">
      <c r="A999" s="2">
        <v>43885.362361111111</v>
      </c>
      <c r="B999" t="str">
        <f>HYPERLINK("https://twitter.com/Rock7214","@Rock7214")</f>
        <v>@Rock7214</v>
      </c>
      <c r="C999" t="s">
        <v>2091</v>
      </c>
      <c r="D999">
        <v>1042</v>
      </c>
      <c r="E999">
        <v>0</v>
      </c>
      <c r="F999">
        <v>19</v>
      </c>
    </row>
    <row r="1000" spans="1:6" ht="12.75">
      <c r="A1000" s="2">
        <v>43885.362361111111</v>
      </c>
      <c r="B1000" t="str">
        <f>HYPERLINK("https://twitter.com/ampiyampi","@ampiyampi")</f>
        <v>@ampiyampi</v>
      </c>
      <c r="C1000" t="s">
        <v>2115</v>
      </c>
      <c r="D1000">
        <v>73</v>
      </c>
      <c r="E1000">
        <v>0</v>
      </c>
      <c r="F1000">
        <v>415</v>
      </c>
    </row>
    <row r="1001" spans="1:6" ht="12.75">
      <c r="A1001" s="2">
        <v>43885.362337962964</v>
      </c>
      <c r="B1001" t="str">
        <f>HYPERLINK("https://twitter.com/angelmaximilan","@angelmaximilan")</f>
        <v>@angelmaximilan</v>
      </c>
      <c r="C1001" t="s">
        <v>2091</v>
      </c>
      <c r="D1001">
        <v>1042</v>
      </c>
      <c r="E1001">
        <v>0</v>
      </c>
      <c r="F1001">
        <v>6264</v>
      </c>
    </row>
    <row r="1002" spans="1:6" ht="12.75">
      <c r="A1002" s="2">
        <v>43885.362013888887</v>
      </c>
      <c r="B1002" t="str">
        <f>HYPERLINK("https://twitter.com/Anthony888889","@Anthony888889")</f>
        <v>@Anthony888889</v>
      </c>
      <c r="C1002" t="s">
        <v>2091</v>
      </c>
      <c r="D1002">
        <v>1042</v>
      </c>
      <c r="E1002">
        <v>0</v>
      </c>
      <c r="F1002">
        <v>66</v>
      </c>
    </row>
    <row r="1003" spans="1:6" ht="12.75">
      <c r="A1003" s="2">
        <v>43885.334907407407</v>
      </c>
      <c r="B1003" t="str">
        <f>HYPERLINK("https://twitter.com/897asy","@897asy")</f>
        <v>@897asy</v>
      </c>
      <c r="C1003" t="s">
        <v>321</v>
      </c>
      <c r="D1003">
        <v>1458</v>
      </c>
      <c r="E1003">
        <v>0</v>
      </c>
      <c r="F1003">
        <v>296</v>
      </c>
    </row>
    <row r="1004" spans="1:6" ht="12.75">
      <c r="A1004" s="2">
        <v>43885.334745370375</v>
      </c>
      <c r="B1004" t="str">
        <f>HYPERLINK("https://twitter.com/AcmMubdi","@AcmMubdi")</f>
        <v>@AcmMubdi</v>
      </c>
      <c r="C1004" t="s">
        <v>2091</v>
      </c>
      <c r="D1004">
        <v>959</v>
      </c>
      <c r="E1004">
        <v>0</v>
      </c>
      <c r="F1004">
        <v>78</v>
      </c>
    </row>
    <row r="1005" spans="1:6" ht="12.75">
      <c r="A1005" s="2">
        <v>43885.334733796291</v>
      </c>
      <c r="B1005" t="str">
        <f>HYPERLINK("https://twitter.com/sutarjo65","@sutarjo65")</f>
        <v>@sutarjo65</v>
      </c>
      <c r="C1005" t="s">
        <v>2553</v>
      </c>
      <c r="D1005">
        <v>1</v>
      </c>
      <c r="E1005">
        <v>0</v>
      </c>
      <c r="F1005">
        <v>28</v>
      </c>
    </row>
    <row r="1006" spans="1:6" ht="12.75">
      <c r="A1006" s="2">
        <v>43885.334004629629</v>
      </c>
      <c r="B1006" t="str">
        <f>HYPERLINK("https://twitter.com/harakatuna","@harakatuna")</f>
        <v>@harakatuna</v>
      </c>
      <c r="C1006" t="s">
        <v>2554</v>
      </c>
      <c r="D1006">
        <v>0</v>
      </c>
      <c r="E1006">
        <v>0</v>
      </c>
      <c r="F1006">
        <v>409</v>
      </c>
    </row>
    <row r="1007" spans="1:6" ht="12.75">
      <c r="A1007" s="2">
        <v>43885.333738425921</v>
      </c>
      <c r="B1007" t="str">
        <f>HYPERLINK("https://twitter.com/OelxFFdLSRWJBh8","@OelxFFdLSRWJBh8")</f>
        <v>@OelxFFdLSRWJBh8</v>
      </c>
      <c r="C1007" t="s">
        <v>738</v>
      </c>
      <c r="D1007">
        <v>242</v>
      </c>
      <c r="E1007">
        <v>0</v>
      </c>
      <c r="F1007">
        <v>66</v>
      </c>
    </row>
    <row r="1008" spans="1:6" ht="12.75">
      <c r="A1008" s="2">
        <v>43885.333668981482</v>
      </c>
      <c r="B1008" t="str">
        <f>HYPERLINK("https://twitter.com/peceltahu","@peceltahu")</f>
        <v>@peceltahu</v>
      </c>
      <c r="C1008" t="s">
        <v>2091</v>
      </c>
      <c r="D1008">
        <v>959</v>
      </c>
      <c r="E1008">
        <v>0</v>
      </c>
      <c r="F1008">
        <v>327</v>
      </c>
    </row>
    <row r="1009" spans="1:6" ht="12.75">
      <c r="A1009" s="2">
        <v>43885.333645833336</v>
      </c>
      <c r="B1009" t="str">
        <f>HYPERLINK("https://twitter.com/avatarcs999","@avatarcs999")</f>
        <v>@avatarcs999</v>
      </c>
      <c r="C1009" t="s">
        <v>321</v>
      </c>
      <c r="D1009">
        <v>1458</v>
      </c>
      <c r="E1009">
        <v>0</v>
      </c>
      <c r="F1009">
        <v>2213</v>
      </c>
    </row>
    <row r="1010" spans="1:6" ht="12.75">
      <c r="A1010" s="2">
        <v>43885.333356481482</v>
      </c>
      <c r="B1010" t="str">
        <f>HYPERLINK("https://twitter.com/rmol_id","@rmol_id")</f>
        <v>@rmol_id</v>
      </c>
      <c r="C1010" t="s">
        <v>2555</v>
      </c>
      <c r="D1010">
        <v>0</v>
      </c>
      <c r="E1010">
        <v>0</v>
      </c>
      <c r="F1010">
        <v>164924</v>
      </c>
    </row>
    <row r="1011" spans="1:6" ht="12.75">
      <c r="A1011" s="2">
        <v>43885.333009259259</v>
      </c>
      <c r="B1011" t="str">
        <f>HYPERLINK("https://twitter.com/EKaranggo","@EKaranggo")</f>
        <v>@EKaranggo</v>
      </c>
      <c r="C1011" t="s">
        <v>2529</v>
      </c>
      <c r="D1011">
        <v>13</v>
      </c>
      <c r="E1011">
        <v>0</v>
      </c>
      <c r="F1011">
        <v>1122</v>
      </c>
    </row>
    <row r="1012" spans="1:6" ht="12.75">
      <c r="A1012" s="2">
        <v>43885.332986111112</v>
      </c>
      <c r="B1012" t="str">
        <f>HYPERLINK("https://twitter.com/luluh8","@luluh8")</f>
        <v>@luluh8</v>
      </c>
      <c r="C1012" t="s">
        <v>2091</v>
      </c>
      <c r="D1012">
        <v>959</v>
      </c>
      <c r="E1012">
        <v>0</v>
      </c>
      <c r="F1012">
        <v>531</v>
      </c>
    </row>
    <row r="1013" spans="1:6" ht="12.75">
      <c r="A1013" s="2">
        <v>43885.332627314812</v>
      </c>
      <c r="B1013" t="str">
        <f>HYPERLINK("https://twitter.com/bangkitriambada","@bangkitriambada")</f>
        <v>@bangkitriambada</v>
      </c>
      <c r="C1013" t="s">
        <v>2556</v>
      </c>
      <c r="D1013">
        <v>1</v>
      </c>
      <c r="E1013">
        <v>0</v>
      </c>
      <c r="F1013">
        <v>201</v>
      </c>
    </row>
    <row r="1014" spans="1:6" ht="12.75">
      <c r="A1014" s="2">
        <v>43885.331782407404</v>
      </c>
      <c r="B1014" t="str">
        <f>HYPERLINK("https://twitter.com/zulrizkii","@zulrizkii")</f>
        <v>@zulrizkii</v>
      </c>
      <c r="C1014" t="s">
        <v>2120</v>
      </c>
      <c r="D1014">
        <v>61</v>
      </c>
      <c r="E1014">
        <v>0</v>
      </c>
      <c r="F1014">
        <v>809</v>
      </c>
    </row>
    <row r="1015" spans="1:6" ht="12.75">
      <c r="A1015" s="2">
        <v>43885.331782407404</v>
      </c>
      <c r="B1015" t="str">
        <f>HYPERLINK("https://twitter.com/RudySt6","@RudySt6")</f>
        <v>@RudySt6</v>
      </c>
      <c r="C1015" t="s">
        <v>2557</v>
      </c>
      <c r="D1015">
        <v>2</v>
      </c>
      <c r="E1015">
        <v>0</v>
      </c>
      <c r="F1015">
        <v>360</v>
      </c>
    </row>
    <row r="1016" spans="1:6" ht="12.75">
      <c r="A1016" s="2">
        <v>43885.331747685181</v>
      </c>
      <c r="B1016" t="str">
        <f>HYPERLINK("https://twitter.com/zulrizkii","@zulrizkii")</f>
        <v>@zulrizkii</v>
      </c>
      <c r="C1016" t="s">
        <v>2115</v>
      </c>
      <c r="D1016">
        <v>69</v>
      </c>
      <c r="E1016">
        <v>0</v>
      </c>
      <c r="F1016">
        <v>809</v>
      </c>
    </row>
    <row r="1017" spans="1:6" ht="12.75">
      <c r="A1017" s="2">
        <v>43885.331631944442</v>
      </c>
      <c r="B1017" t="str">
        <f>HYPERLINK("https://twitter.com/bisnisindgroup","@bisnisindgroup")</f>
        <v>@bisnisindgroup</v>
      </c>
      <c r="C1017" t="s">
        <v>2558</v>
      </c>
      <c r="D1017">
        <v>0</v>
      </c>
      <c r="E1017">
        <v>0</v>
      </c>
      <c r="F1017">
        <v>7343</v>
      </c>
    </row>
    <row r="1018" spans="1:6" ht="12.75">
      <c r="A1018" s="2">
        <v>43885.331620370373</v>
      </c>
      <c r="B1018" t="str">
        <f>HYPERLINK("https://twitter.com/Bisniscom","@Bisniscom")</f>
        <v>@Bisniscom</v>
      </c>
      <c r="C1018" t="s">
        <v>2558</v>
      </c>
      <c r="D1018">
        <v>1</v>
      </c>
      <c r="E1018">
        <v>0</v>
      </c>
      <c r="F1018">
        <v>993317</v>
      </c>
    </row>
    <row r="1019" spans="1:6" ht="12.75">
      <c r="A1019" s="2">
        <v>43885.331550925926</v>
      </c>
      <c r="B1019" t="str">
        <f t="shared" ref="B1019:B1020" si="25">HYPERLINK("https://twitter.com/zulrizkii","@zulrizkii")</f>
        <v>@zulrizkii</v>
      </c>
      <c r="C1019" t="s">
        <v>738</v>
      </c>
      <c r="D1019">
        <v>242</v>
      </c>
      <c r="E1019">
        <v>0</v>
      </c>
      <c r="F1019">
        <v>809</v>
      </c>
    </row>
    <row r="1020" spans="1:6" ht="12.75">
      <c r="A1020" s="2">
        <v>43885.331377314811</v>
      </c>
      <c r="B1020" t="str">
        <f t="shared" si="25"/>
        <v>@zulrizkii</v>
      </c>
      <c r="C1020" t="s">
        <v>321</v>
      </c>
      <c r="D1020">
        <v>1458</v>
      </c>
      <c r="E1020">
        <v>0</v>
      </c>
      <c r="F1020">
        <v>809</v>
      </c>
    </row>
    <row r="1021" spans="1:6" ht="12.75">
      <c r="A1021" s="2">
        <v>43885.331307870365</v>
      </c>
      <c r="B1021" t="str">
        <f>HYPERLINK("https://twitter.com/prakadot","@prakadot")</f>
        <v>@prakadot</v>
      </c>
      <c r="C1021" t="s">
        <v>2481</v>
      </c>
      <c r="D1021">
        <v>8</v>
      </c>
      <c r="E1021">
        <v>0</v>
      </c>
      <c r="F1021">
        <v>3</v>
      </c>
    </row>
    <row r="1022" spans="1:6" ht="12.75">
      <c r="A1022" s="2">
        <v>43885.33121527778</v>
      </c>
      <c r="B1022" t="str">
        <f>HYPERLINK("https://twitter.com/KenWatchaporn","@KenWatchaporn")</f>
        <v>@KenWatchaporn</v>
      </c>
      <c r="C1022" t="s">
        <v>2559</v>
      </c>
      <c r="D1022">
        <v>0</v>
      </c>
      <c r="E1022">
        <v>1</v>
      </c>
      <c r="F1022">
        <v>182</v>
      </c>
    </row>
    <row r="1023" spans="1:6" ht="12.75">
      <c r="A1023" s="2">
        <v>43885.331203703703</v>
      </c>
      <c r="B1023" t="str">
        <f>HYPERLINK("https://twitter.com/HUMAN_RES3","@HUMAN_RES3")</f>
        <v>@HUMAN_RES3</v>
      </c>
      <c r="C1023" t="s">
        <v>2557</v>
      </c>
      <c r="D1023">
        <v>2</v>
      </c>
      <c r="E1023">
        <v>0</v>
      </c>
      <c r="F1023">
        <v>88</v>
      </c>
    </row>
    <row r="1024" spans="1:6" ht="12.75">
      <c r="A1024" s="2">
        <v>43885.331192129626</v>
      </c>
      <c r="B1024" t="str">
        <f>HYPERLINK("https://twitter.com/nona_oifat","@nona_oifat")</f>
        <v>@nona_oifat</v>
      </c>
      <c r="C1024" t="s">
        <v>2529</v>
      </c>
      <c r="D1024">
        <v>13</v>
      </c>
      <c r="E1024">
        <v>0</v>
      </c>
      <c r="F1024">
        <v>465</v>
      </c>
    </row>
    <row r="1025" spans="1:6" ht="12.75">
      <c r="A1025" s="2">
        <v>43885.330949074079</v>
      </c>
      <c r="B1025" t="str">
        <f>HYPERLINK("https://twitter.com/vcar1982","@vcar1982")</f>
        <v>@vcar1982</v>
      </c>
      <c r="C1025" t="s">
        <v>2461</v>
      </c>
      <c r="D1025">
        <v>2</v>
      </c>
      <c r="E1025">
        <v>0</v>
      </c>
      <c r="F1025">
        <v>493</v>
      </c>
    </row>
    <row r="1026" spans="1:6" ht="12.75">
      <c r="A1026" s="2">
        <v>43885.33084490741</v>
      </c>
      <c r="B1026" t="str">
        <f>HYPERLINK("https://twitter.com/Biantz","@Biantz")</f>
        <v>@Biantz</v>
      </c>
      <c r="C1026" t="s">
        <v>2091</v>
      </c>
      <c r="D1026">
        <v>959</v>
      </c>
      <c r="E1026">
        <v>0</v>
      </c>
      <c r="F1026">
        <v>260</v>
      </c>
    </row>
    <row r="1027" spans="1:6" ht="12.75">
      <c r="A1027" s="2">
        <v>43885.330625000002</v>
      </c>
      <c r="B1027" t="str">
        <f>HYPERLINK("https://twitter.com/inko_exd","@inko_exd")</f>
        <v>@inko_exd</v>
      </c>
      <c r="C1027" t="s">
        <v>738</v>
      </c>
      <c r="D1027">
        <v>242</v>
      </c>
      <c r="E1027">
        <v>0</v>
      </c>
      <c r="F1027">
        <v>642</v>
      </c>
    </row>
    <row r="1028" spans="1:6" ht="12.75">
      <c r="A1028" s="2">
        <v>43885.330509259264</v>
      </c>
      <c r="B1028" t="str">
        <f>HYPERLINK("https://twitter.com/bornINmalang","@bornINmalang")</f>
        <v>@bornINmalang</v>
      </c>
      <c r="C1028" t="s">
        <v>2560</v>
      </c>
      <c r="D1028">
        <v>0</v>
      </c>
      <c r="E1028">
        <v>0</v>
      </c>
      <c r="F1028">
        <v>360</v>
      </c>
    </row>
    <row r="1029" spans="1:6" ht="12.75">
      <c r="A1029" s="2">
        <v>43885.329872685186</v>
      </c>
      <c r="B1029" t="str">
        <f>HYPERLINK("https://twitter.com/rmol_id","@rmol_id")</f>
        <v>@rmol_id</v>
      </c>
      <c r="C1029" t="s">
        <v>2561</v>
      </c>
      <c r="D1029">
        <v>2</v>
      </c>
      <c r="E1029">
        <v>2</v>
      </c>
      <c r="F1029">
        <v>164924</v>
      </c>
    </row>
    <row r="1030" spans="1:6" ht="12.75">
      <c r="A1030" s="2">
        <v>43885.329722222217</v>
      </c>
      <c r="B1030" t="str">
        <f>HYPERLINK("https://twitter.com/SOnthefire","@SOnthefire")</f>
        <v>@SOnthefire</v>
      </c>
      <c r="C1030" t="s">
        <v>321</v>
      </c>
      <c r="D1030">
        <v>1458</v>
      </c>
      <c r="E1030">
        <v>0</v>
      </c>
      <c r="F1030">
        <v>33</v>
      </c>
    </row>
    <row r="1031" spans="1:6" ht="12.75">
      <c r="A1031" s="2">
        <v>43885.329710648148</v>
      </c>
      <c r="B1031" t="str">
        <f>HYPERLINK("https://twitter.com/Anengdalu","@Anengdalu")</f>
        <v>@Anengdalu</v>
      </c>
      <c r="C1031" t="s">
        <v>2091</v>
      </c>
      <c r="D1031">
        <v>959</v>
      </c>
      <c r="E1031">
        <v>0</v>
      </c>
      <c r="F1031">
        <v>537</v>
      </c>
    </row>
    <row r="1032" spans="1:6" ht="12.75">
      <c r="A1032" s="2">
        <v>43885.329236111109</v>
      </c>
      <c r="B1032" t="str">
        <f>HYPERLINK("https://twitter.com/jiroshiba","@jiroshiba")</f>
        <v>@jiroshiba</v>
      </c>
      <c r="C1032" t="s">
        <v>738</v>
      </c>
      <c r="D1032">
        <v>242</v>
      </c>
      <c r="E1032">
        <v>0</v>
      </c>
      <c r="F1032">
        <v>235</v>
      </c>
    </row>
    <row r="1033" spans="1:6" ht="12.75">
      <c r="A1033" s="2">
        <v>43885.328958333332</v>
      </c>
      <c r="B1033" t="str">
        <f>HYPERLINK("https://twitter.com/hputrantoadi","@hputrantoadi")</f>
        <v>@hputrantoadi</v>
      </c>
      <c r="C1033" t="s">
        <v>2562</v>
      </c>
      <c r="D1033">
        <v>0</v>
      </c>
      <c r="E1033">
        <v>0</v>
      </c>
      <c r="F1033">
        <v>1879</v>
      </c>
    </row>
    <row r="1034" spans="1:6" ht="12.75">
      <c r="A1034" s="2">
        <v>43885.328935185185</v>
      </c>
      <c r="B1034" t="str">
        <f>HYPERLINK("https://twitter.com/catoer_ndp","@catoer_ndp")</f>
        <v>@catoer_ndp</v>
      </c>
      <c r="C1034" t="s">
        <v>2091</v>
      </c>
      <c r="D1034">
        <v>959</v>
      </c>
      <c r="E1034">
        <v>0</v>
      </c>
      <c r="F1034">
        <v>1226</v>
      </c>
    </row>
    <row r="1035" spans="1:6" ht="12.75">
      <c r="A1035" s="2">
        <v>43885.328784722224</v>
      </c>
      <c r="B1035" t="str">
        <f>HYPERLINK("https://twitter.com/terako_123","@terako_123")</f>
        <v>@terako_123</v>
      </c>
      <c r="C1035" t="s">
        <v>2120</v>
      </c>
      <c r="D1035">
        <v>61</v>
      </c>
      <c r="E1035">
        <v>0</v>
      </c>
      <c r="F1035">
        <v>511</v>
      </c>
    </row>
    <row r="1036" spans="1:6" ht="12.75">
      <c r="A1036" s="2">
        <v>43885.328784722224</v>
      </c>
      <c r="B1036" t="str">
        <f>HYPERLINK("https://twitter.com/AnnaMahdalena4","@AnnaMahdalena4")</f>
        <v>@AnnaMahdalena4</v>
      </c>
      <c r="C1036" t="s">
        <v>321</v>
      </c>
      <c r="D1036">
        <v>1458</v>
      </c>
      <c r="E1036">
        <v>0</v>
      </c>
      <c r="F1036">
        <v>253</v>
      </c>
    </row>
    <row r="1037" spans="1:6" ht="12.75">
      <c r="A1037" s="2">
        <v>43885.328726851847</v>
      </c>
      <c r="B1037" t="str">
        <f>HYPERLINK("https://twitter.com/terako_123","@terako_123")</f>
        <v>@terako_123</v>
      </c>
      <c r="C1037" t="s">
        <v>2115</v>
      </c>
      <c r="D1037">
        <v>69</v>
      </c>
      <c r="E1037">
        <v>0</v>
      </c>
      <c r="F1037">
        <v>511</v>
      </c>
    </row>
    <row r="1038" spans="1:6" ht="12.75">
      <c r="A1038" s="2">
        <v>43885.328622685185</v>
      </c>
      <c r="B1038" t="str">
        <f>HYPERLINK("https://twitter.com/mediaindonesia","@mediaindonesia")</f>
        <v>@mediaindonesia</v>
      </c>
      <c r="C1038" t="s">
        <v>2563</v>
      </c>
      <c r="D1038">
        <v>1</v>
      </c>
      <c r="E1038">
        <v>2</v>
      </c>
      <c r="F1038">
        <v>1418297</v>
      </c>
    </row>
    <row r="1039" spans="1:6" ht="12.75">
      <c r="A1039" s="2">
        <v>43885.328518518523</v>
      </c>
      <c r="B1039" t="str">
        <f>HYPERLINK("https://twitter.com/mitim","@mitim")</f>
        <v>@mitim</v>
      </c>
      <c r="C1039" t="s">
        <v>738</v>
      </c>
      <c r="D1039">
        <v>242</v>
      </c>
      <c r="E1039">
        <v>0</v>
      </c>
      <c r="F1039">
        <v>412</v>
      </c>
    </row>
    <row r="1040" spans="1:6" ht="12.75">
      <c r="A1040" s="2">
        <v>43885.32849537037</v>
      </c>
      <c r="B1040" t="str">
        <f>HYPERLINK("https://twitter.com/terako_123","@terako_123")</f>
        <v>@terako_123</v>
      </c>
      <c r="C1040" t="s">
        <v>738</v>
      </c>
      <c r="D1040">
        <v>242</v>
      </c>
      <c r="E1040">
        <v>0</v>
      </c>
      <c r="F1040">
        <v>511</v>
      </c>
    </row>
    <row r="1041" spans="1:6" ht="12.75">
      <c r="A1041" s="2">
        <v>43885.328449074077</v>
      </c>
      <c r="B1041" t="str">
        <f>HYPERLINK("https://twitter.com/tebumutiara72","@tebumutiara72")</f>
        <v>@tebumutiara72</v>
      </c>
      <c r="C1041" t="s">
        <v>2091</v>
      </c>
      <c r="D1041">
        <v>959</v>
      </c>
      <c r="E1041">
        <v>0</v>
      </c>
      <c r="F1041">
        <v>840</v>
      </c>
    </row>
    <row r="1042" spans="1:6" ht="12.75">
      <c r="A1042" s="2">
        <v>43885.328229166669</v>
      </c>
      <c r="B1042" t="str">
        <f>HYPERLINK("https://twitter.com/terako_123","@terako_123")</f>
        <v>@terako_123</v>
      </c>
      <c r="C1042" t="s">
        <v>321</v>
      </c>
      <c r="D1042">
        <v>1458</v>
      </c>
      <c r="E1042">
        <v>0</v>
      </c>
      <c r="F1042">
        <v>511</v>
      </c>
    </row>
    <row r="1043" spans="1:6" ht="12.75">
      <c r="A1043" s="2">
        <v>43885.328159722223</v>
      </c>
      <c r="B1043" t="str">
        <f>HYPERLINK("https://twitter.com/houmi1970","@houmi1970")</f>
        <v>@houmi1970</v>
      </c>
      <c r="C1043" t="s">
        <v>2120</v>
      </c>
      <c r="D1043">
        <v>61</v>
      </c>
      <c r="E1043">
        <v>0</v>
      </c>
      <c r="F1043">
        <v>712</v>
      </c>
    </row>
    <row r="1044" spans="1:6" ht="12.75">
      <c r="A1044" s="2">
        <v>43885.328020833331</v>
      </c>
      <c r="B1044" t="str">
        <f>HYPERLINK("https://twitter.com/nona_oifat","@nona_oifat")</f>
        <v>@nona_oifat</v>
      </c>
      <c r="C1044" t="s">
        <v>2181</v>
      </c>
      <c r="D1044">
        <v>8</v>
      </c>
      <c r="E1044">
        <v>0</v>
      </c>
      <c r="F1044">
        <v>465</v>
      </c>
    </row>
    <row r="1045" spans="1:6" ht="12.75">
      <c r="A1045" s="2">
        <v>43885.327928240746</v>
      </c>
      <c r="B1045" t="str">
        <f>HYPERLINK("https://twitter.com/houmi1970","@houmi1970")</f>
        <v>@houmi1970</v>
      </c>
      <c r="C1045" t="s">
        <v>2115</v>
      </c>
      <c r="D1045">
        <v>69</v>
      </c>
      <c r="E1045">
        <v>0</v>
      </c>
      <c r="F1045">
        <v>712</v>
      </c>
    </row>
    <row r="1046" spans="1:6" ht="12.75">
      <c r="A1046" s="2">
        <v>43885.327453703707</v>
      </c>
      <c r="B1046" t="str">
        <f>HYPERLINK("https://twitter.com/osakadaisuki22","@osakadaisuki22")</f>
        <v>@osakadaisuki22</v>
      </c>
      <c r="C1046" t="s">
        <v>321</v>
      </c>
      <c r="D1046">
        <v>1458</v>
      </c>
      <c r="E1046">
        <v>0</v>
      </c>
      <c r="F1046">
        <v>1214</v>
      </c>
    </row>
    <row r="1047" spans="1:6" ht="12.75">
      <c r="A1047" s="2">
        <v>43885.327268518522</v>
      </c>
      <c r="B1047" t="str">
        <f>HYPERLINK("https://twitter.com/houmi1970","@houmi1970")</f>
        <v>@houmi1970</v>
      </c>
      <c r="C1047" t="s">
        <v>738</v>
      </c>
      <c r="D1047">
        <v>242</v>
      </c>
      <c r="E1047">
        <v>0</v>
      </c>
      <c r="F1047">
        <v>712</v>
      </c>
    </row>
    <row r="1048" spans="1:6" ht="12.75">
      <c r="A1048" s="2">
        <v>43885.327141203699</v>
      </c>
      <c r="B1048" t="str">
        <f>HYPERLINK("https://twitter.com/ariflukmanbdg","@ariflukmanbdg")</f>
        <v>@ariflukmanbdg</v>
      </c>
      <c r="C1048" t="s">
        <v>2564</v>
      </c>
      <c r="D1048">
        <v>0</v>
      </c>
      <c r="E1048">
        <v>0</v>
      </c>
      <c r="F1048">
        <v>693</v>
      </c>
    </row>
    <row r="1049" spans="1:6" ht="12.75">
      <c r="A1049" s="2">
        <v>43885.327048611114</v>
      </c>
      <c r="B1049" t="str">
        <f>HYPERLINK("https://twitter.com/KomangJimmy","@KomangJimmy")</f>
        <v>@KomangJimmy</v>
      </c>
      <c r="C1049" t="s">
        <v>2565</v>
      </c>
      <c r="D1049">
        <v>0</v>
      </c>
      <c r="E1049">
        <v>0</v>
      </c>
      <c r="F1049">
        <v>57</v>
      </c>
    </row>
    <row r="1050" spans="1:6" ht="12.75">
      <c r="A1050" s="2">
        <v>43885.326898148152</v>
      </c>
      <c r="B1050" t="str">
        <f>HYPERLINK("https://twitter.com/geloraco","@geloraco")</f>
        <v>@geloraco</v>
      </c>
      <c r="C1050" t="s">
        <v>2288</v>
      </c>
      <c r="D1050">
        <v>0</v>
      </c>
      <c r="E1050">
        <v>6</v>
      </c>
      <c r="F1050">
        <v>101682</v>
      </c>
    </row>
    <row r="1051" spans="1:6" ht="12.75">
      <c r="A1051" s="2">
        <v>43885.326597222222</v>
      </c>
      <c r="B1051" t="str">
        <f>HYPERLINK("https://twitter.com/bagaswa32317478","@bagaswa32317478")</f>
        <v>@bagaswa32317478</v>
      </c>
      <c r="C1051" t="s">
        <v>2091</v>
      </c>
      <c r="D1051">
        <v>959</v>
      </c>
      <c r="E1051">
        <v>0</v>
      </c>
      <c r="F1051">
        <v>21</v>
      </c>
    </row>
    <row r="1052" spans="1:6" ht="12.75">
      <c r="A1052" s="2">
        <v>43885.32649305556</v>
      </c>
      <c r="B1052" t="str">
        <f>HYPERLINK("https://twitter.com/jasmineraissa","@jasmineraissa")</f>
        <v>@jasmineraissa</v>
      </c>
      <c r="C1052" t="s">
        <v>2091</v>
      </c>
      <c r="D1052">
        <v>959</v>
      </c>
      <c r="E1052">
        <v>0</v>
      </c>
      <c r="F1052">
        <v>418</v>
      </c>
    </row>
    <row r="1053" spans="1:6" ht="12.75">
      <c r="A1053" s="2">
        <v>43885.326342592598</v>
      </c>
      <c r="B1053" t="str">
        <f>HYPERLINK("https://twitter.com/Erick_Lubis","@Erick_Lubis")</f>
        <v>@Erick_Lubis</v>
      </c>
      <c r="C1053" t="s">
        <v>2091</v>
      </c>
      <c r="D1053">
        <v>959</v>
      </c>
      <c r="E1053">
        <v>0</v>
      </c>
      <c r="F1053">
        <v>100</v>
      </c>
    </row>
    <row r="1054" spans="1:6" ht="12.75">
      <c r="A1054" s="2">
        <v>43885.326006944444</v>
      </c>
      <c r="B1054" t="str">
        <f>HYPERLINK("https://twitter.com/aldipu","@aldipu")</f>
        <v>@aldipu</v>
      </c>
      <c r="C1054" t="s">
        <v>2434</v>
      </c>
      <c r="D1054">
        <v>9</v>
      </c>
      <c r="E1054">
        <v>0</v>
      </c>
      <c r="F1054">
        <v>541</v>
      </c>
    </row>
    <row r="1055" spans="1:6" ht="12.75">
      <c r="A1055" s="2">
        <v>43885.325833333336</v>
      </c>
      <c r="B1055" t="str">
        <f>HYPERLINK("https://twitter.com/nonjeland","@nonjeland")</f>
        <v>@nonjeland</v>
      </c>
      <c r="C1055" t="s">
        <v>738</v>
      </c>
      <c r="D1055">
        <v>242</v>
      </c>
      <c r="E1055">
        <v>0</v>
      </c>
      <c r="F1055">
        <v>1850</v>
      </c>
    </row>
    <row r="1056" spans="1:6" ht="12.75">
      <c r="A1056" s="2">
        <v>43885.325671296298</v>
      </c>
      <c r="B1056" t="str">
        <f>HYPERLINK("https://twitter.com/taisaitarou","@taisaitarou")</f>
        <v>@taisaitarou</v>
      </c>
      <c r="C1056" t="s">
        <v>321</v>
      </c>
      <c r="D1056">
        <v>1458</v>
      </c>
      <c r="E1056">
        <v>0</v>
      </c>
      <c r="F1056">
        <v>1966</v>
      </c>
    </row>
    <row r="1057" spans="1:6" ht="12.75">
      <c r="A1057" s="2">
        <v>43885.325636574074</v>
      </c>
      <c r="B1057" t="str">
        <f>HYPERLINK("https://twitter.com/BatubaraFahreza","@BatubaraFahreza")</f>
        <v>@BatubaraFahreza</v>
      </c>
      <c r="C1057" t="s">
        <v>2166</v>
      </c>
      <c r="D1057">
        <v>279</v>
      </c>
      <c r="E1057">
        <v>0</v>
      </c>
      <c r="F1057">
        <v>618</v>
      </c>
    </row>
    <row r="1058" spans="1:6" ht="12.75">
      <c r="A1058" s="2">
        <v>43885.325462962966</v>
      </c>
      <c r="B1058" t="str">
        <f>HYPERLINK("https://twitter.com/donosrom","@donosrom")</f>
        <v>@donosrom</v>
      </c>
      <c r="C1058" t="s">
        <v>2166</v>
      </c>
      <c r="D1058">
        <v>279</v>
      </c>
      <c r="E1058">
        <v>0</v>
      </c>
      <c r="F1058">
        <v>353</v>
      </c>
    </row>
    <row r="1059" spans="1:6" ht="12.75">
      <c r="A1059" s="2">
        <v>43885.324942129635</v>
      </c>
      <c r="B1059" t="str">
        <f>HYPERLINK("https://twitter.com/hermana_t","@hermana_t")</f>
        <v>@hermana_t</v>
      </c>
      <c r="C1059" t="s">
        <v>2566</v>
      </c>
      <c r="D1059">
        <v>2</v>
      </c>
      <c r="E1059">
        <v>6</v>
      </c>
      <c r="F1059">
        <v>10627</v>
      </c>
    </row>
    <row r="1060" spans="1:6" ht="12.75">
      <c r="A1060" s="2">
        <v>43885.324780092589</v>
      </c>
      <c r="B1060" t="str">
        <f>HYPERLINK("https://twitter.com/doielogy","@doielogy")</f>
        <v>@doielogy</v>
      </c>
      <c r="C1060" t="s">
        <v>321</v>
      </c>
      <c r="D1060">
        <v>1458</v>
      </c>
      <c r="E1060">
        <v>0</v>
      </c>
      <c r="F1060">
        <v>765</v>
      </c>
    </row>
    <row r="1061" spans="1:6" ht="12.75">
      <c r="A1061" s="2">
        <v>43885.324687500004</v>
      </c>
      <c r="B1061" t="str">
        <f>HYPERLINK("https://twitter.com/SatpolBjn","@SatpolBjn")</f>
        <v>@SatpolBjn</v>
      </c>
      <c r="C1061" t="s">
        <v>177</v>
      </c>
      <c r="D1061">
        <v>828</v>
      </c>
      <c r="E1061">
        <v>0</v>
      </c>
      <c r="F1061">
        <v>355</v>
      </c>
    </row>
    <row r="1062" spans="1:6" ht="12.75">
      <c r="A1062" s="2">
        <v>43885.324212962965</v>
      </c>
      <c r="B1062" t="str">
        <f>HYPERLINK("https://twitter.com/taisaitarou","@taisaitarou")</f>
        <v>@taisaitarou</v>
      </c>
      <c r="C1062" t="s">
        <v>738</v>
      </c>
      <c r="D1062">
        <v>242</v>
      </c>
      <c r="E1062">
        <v>0</v>
      </c>
      <c r="F1062">
        <v>1966</v>
      </c>
    </row>
    <row r="1063" spans="1:6" ht="12.75">
      <c r="A1063" s="2">
        <v>43885.324189814812</v>
      </c>
      <c r="B1063" t="str">
        <f>HYPERLINK("https://twitter.com/bangbinn","@bangbinn")</f>
        <v>@bangbinn</v>
      </c>
      <c r="C1063" t="s">
        <v>2091</v>
      </c>
      <c r="D1063">
        <v>959</v>
      </c>
      <c r="E1063">
        <v>0</v>
      </c>
      <c r="F1063">
        <v>303</v>
      </c>
    </row>
    <row r="1064" spans="1:6" ht="12.75">
      <c r="A1064" s="2">
        <v>43885.323564814811</v>
      </c>
      <c r="B1064" t="str">
        <f>HYPERLINK("https://twitter.com/kao0902","@kao0902")</f>
        <v>@kao0902</v>
      </c>
      <c r="C1064" t="s">
        <v>738</v>
      </c>
      <c r="D1064">
        <v>242</v>
      </c>
      <c r="E1064">
        <v>0</v>
      </c>
      <c r="F1064">
        <v>2383</v>
      </c>
    </row>
    <row r="1065" spans="1:6" ht="12.75">
      <c r="A1065" s="2">
        <v>43885.32335648148</v>
      </c>
      <c r="B1065" t="str">
        <f>HYPERLINK("https://twitter.com/amirsyahoke","@amirsyahoke")</f>
        <v>@amirsyahoke</v>
      </c>
      <c r="C1065" t="s">
        <v>2567</v>
      </c>
      <c r="D1065">
        <v>0</v>
      </c>
      <c r="E1065">
        <v>0</v>
      </c>
      <c r="F1065">
        <v>440</v>
      </c>
    </row>
    <row r="1066" spans="1:6" ht="12.75">
      <c r="A1066" s="2">
        <v>43885.322094907402</v>
      </c>
      <c r="B1066" t="str">
        <f t="shared" ref="B1066:B1067" si="26">HYPERLINK("https://twitter.com/susiyukichi","@susiyukichi")</f>
        <v>@susiyukichi</v>
      </c>
      <c r="C1066" t="s">
        <v>738</v>
      </c>
      <c r="D1066">
        <v>242</v>
      </c>
      <c r="E1066">
        <v>0</v>
      </c>
      <c r="F1066">
        <v>509</v>
      </c>
    </row>
    <row r="1067" spans="1:6" ht="12.75">
      <c r="A1067" s="2">
        <v>43885.321956018517</v>
      </c>
      <c r="B1067" t="str">
        <f t="shared" si="26"/>
        <v>@susiyukichi</v>
      </c>
      <c r="C1067" t="s">
        <v>321</v>
      </c>
      <c r="D1067">
        <v>1458</v>
      </c>
      <c r="E1067">
        <v>0</v>
      </c>
      <c r="F1067">
        <v>509</v>
      </c>
    </row>
    <row r="1068" spans="1:6" ht="12.75">
      <c r="A1068" s="2">
        <v>43885.321921296301</v>
      </c>
      <c r="B1068" t="str">
        <f>HYPERLINK("https://twitter.com/betty_sibarani","@betty_sibarani")</f>
        <v>@betty_sibarani</v>
      </c>
      <c r="C1068" t="s">
        <v>2091</v>
      </c>
      <c r="D1068">
        <v>959</v>
      </c>
      <c r="E1068">
        <v>0</v>
      </c>
      <c r="F1068">
        <v>48</v>
      </c>
    </row>
    <row r="1069" spans="1:6" ht="12.75">
      <c r="A1069" s="2">
        <v>43885.321793981479</v>
      </c>
      <c r="B1069" t="str">
        <f>HYPERLINK("https://twitter.com/Novirana1","@Novirana1")</f>
        <v>@Novirana1</v>
      </c>
      <c r="C1069" t="s">
        <v>2529</v>
      </c>
      <c r="D1069">
        <v>13</v>
      </c>
      <c r="E1069">
        <v>0</v>
      </c>
      <c r="F1069">
        <v>534</v>
      </c>
    </row>
    <row r="1070" spans="1:6" ht="12.75">
      <c r="A1070" s="2">
        <v>43885.321782407409</v>
      </c>
      <c r="B1070" t="str">
        <f>HYPERLINK("https://twitter.com/geloraco","@geloraco")</f>
        <v>@geloraco</v>
      </c>
      <c r="C1070" t="s">
        <v>2568</v>
      </c>
      <c r="D1070">
        <v>0</v>
      </c>
      <c r="E1070">
        <v>5</v>
      </c>
      <c r="F1070">
        <v>101682</v>
      </c>
    </row>
    <row r="1071" spans="1:6" ht="12.75">
      <c r="A1071" s="2">
        <v>43885.321516203709</v>
      </c>
      <c r="B1071" t="str">
        <f>HYPERLINK("https://twitter.com/RahmanCFi","@RahmanCFi")</f>
        <v>@RahmanCFi</v>
      </c>
      <c r="C1071" t="s">
        <v>738</v>
      </c>
      <c r="D1071">
        <v>242</v>
      </c>
      <c r="E1071">
        <v>0</v>
      </c>
      <c r="F1071">
        <v>1637</v>
      </c>
    </row>
    <row r="1072" spans="1:6" ht="12.75">
      <c r="A1072" s="2">
        <v>43885.321261574078</v>
      </c>
      <c r="B1072" t="str">
        <f>HYPERLINK("https://twitter.com/Prabowobhp","@Prabowobhp")</f>
        <v>@Prabowobhp</v>
      </c>
      <c r="C1072" t="s">
        <v>2091</v>
      </c>
      <c r="D1072">
        <v>959</v>
      </c>
      <c r="E1072">
        <v>0</v>
      </c>
      <c r="F1072">
        <v>727</v>
      </c>
    </row>
    <row r="1073" spans="1:6" ht="12.75">
      <c r="A1073" s="2">
        <v>43885.321030092593</v>
      </c>
      <c r="B1073" t="str">
        <f>HYPERLINK("https://twitter.com/FrauNicoleHB","@FrauNicoleHB")</f>
        <v>@FrauNicoleHB</v>
      </c>
      <c r="C1073" t="s">
        <v>2569</v>
      </c>
      <c r="D1073">
        <v>1</v>
      </c>
      <c r="E1073">
        <v>0</v>
      </c>
      <c r="F1073">
        <v>950</v>
      </c>
    </row>
    <row r="1074" spans="1:6" ht="12.75">
      <c r="A1074" s="2">
        <v>43885.320856481485</v>
      </c>
      <c r="B1074" t="str">
        <f>HYPERLINK("https://twitter.com/ahmadhabibiesal","@ahmadhabibiesal")</f>
        <v>@ahmadhabibiesal</v>
      </c>
      <c r="C1074" t="s">
        <v>2091</v>
      </c>
      <c r="D1074">
        <v>959</v>
      </c>
      <c r="E1074">
        <v>0</v>
      </c>
      <c r="F1074">
        <v>562</v>
      </c>
    </row>
    <row r="1075" spans="1:6" ht="12.75">
      <c r="A1075" s="2">
        <v>43885.320798611108</v>
      </c>
      <c r="B1075" t="str">
        <f>HYPERLINK("https://twitter.com/inoinor1215","@inoinor1215")</f>
        <v>@inoinor1215</v>
      </c>
      <c r="C1075" t="s">
        <v>321</v>
      </c>
      <c r="D1075">
        <v>1458</v>
      </c>
      <c r="E1075">
        <v>0</v>
      </c>
      <c r="F1075">
        <v>1123</v>
      </c>
    </row>
    <row r="1076" spans="1:6" ht="12.75">
      <c r="A1076" s="2">
        <v>43885.320625</v>
      </c>
      <c r="B1076" t="str">
        <f>HYPERLINK("https://twitter.com/Alie_Fahnoor","@Alie_Fahnoor")</f>
        <v>@Alie_Fahnoor</v>
      </c>
      <c r="C1076" t="s">
        <v>2181</v>
      </c>
      <c r="D1076">
        <v>8</v>
      </c>
      <c r="E1076">
        <v>0</v>
      </c>
      <c r="F1076">
        <v>441</v>
      </c>
    </row>
    <row r="1077" spans="1:6" ht="12.75">
      <c r="A1077" s="2">
        <v>43885.320497685185</v>
      </c>
      <c r="B1077" t="str">
        <f>HYPERLINK("https://twitter.com/antarabiz","@antarabiz")</f>
        <v>@antarabiz</v>
      </c>
      <c r="C1077" t="s">
        <v>2570</v>
      </c>
      <c r="D1077">
        <v>0</v>
      </c>
      <c r="E1077">
        <v>0</v>
      </c>
      <c r="F1077">
        <v>28</v>
      </c>
    </row>
    <row r="1078" spans="1:6" ht="12.75">
      <c r="A1078" s="2">
        <v>43885.32030092593</v>
      </c>
      <c r="B1078" t="str">
        <f>HYPERLINK("https://twitter.com/Srisuma70479654","@Srisuma70479654")</f>
        <v>@Srisuma70479654</v>
      </c>
      <c r="C1078" t="s">
        <v>2091</v>
      </c>
      <c r="D1078">
        <v>959</v>
      </c>
      <c r="E1078">
        <v>0</v>
      </c>
      <c r="F1078">
        <v>3</v>
      </c>
    </row>
    <row r="1079" spans="1:6" ht="12.75">
      <c r="A1079" s="2">
        <v>43885.320243055554</v>
      </c>
      <c r="B1079" t="str">
        <f>HYPERLINK("https://twitter.com/venniyaqr","@venniyaqr")</f>
        <v>@venniyaqr</v>
      </c>
      <c r="C1079" t="s">
        <v>2571</v>
      </c>
      <c r="D1079">
        <v>0</v>
      </c>
      <c r="E1079">
        <v>0</v>
      </c>
      <c r="F1079">
        <v>683</v>
      </c>
    </row>
    <row r="1080" spans="1:6" ht="12.75">
      <c r="A1080" s="2">
        <v>43885.320162037038</v>
      </c>
      <c r="B1080" t="str">
        <f>HYPERLINK("https://twitter.com/sunan_darayi","@sunan_darayi")</f>
        <v>@sunan_darayi</v>
      </c>
      <c r="C1080" t="s">
        <v>2166</v>
      </c>
      <c r="D1080">
        <v>279</v>
      </c>
      <c r="E1080">
        <v>0</v>
      </c>
      <c r="F1080">
        <v>318</v>
      </c>
    </row>
    <row r="1081" spans="1:6" ht="12.75">
      <c r="A1081" s="2">
        <v>43885.320127314815</v>
      </c>
      <c r="B1081" t="str">
        <f>HYPERLINK("https://twitter.com/wni_jmsri","@wni_jmsri")</f>
        <v>@wni_jmsri</v>
      </c>
      <c r="C1081" t="s">
        <v>2572</v>
      </c>
      <c r="D1081">
        <v>306</v>
      </c>
      <c r="E1081">
        <v>0</v>
      </c>
      <c r="F1081">
        <v>194</v>
      </c>
    </row>
    <row r="1082" spans="1:6" ht="12.75">
      <c r="A1082" s="2">
        <v>43885.319988425923</v>
      </c>
      <c r="B1082" t="str">
        <f>HYPERLINK("https://twitter.com/Adamdar21591740","@Adamdar21591740")</f>
        <v>@Adamdar21591740</v>
      </c>
      <c r="C1082" t="s">
        <v>2527</v>
      </c>
      <c r="D1082">
        <v>10</v>
      </c>
      <c r="E1082">
        <v>0</v>
      </c>
      <c r="F1082">
        <v>134</v>
      </c>
    </row>
    <row r="1083" spans="1:6" ht="12.75">
      <c r="A1083" s="2">
        <v>43885.3199537037</v>
      </c>
      <c r="B1083" t="str">
        <f>HYPERLINK("https://twitter.com/Ida48939133","@Ida48939133")</f>
        <v>@Ida48939133</v>
      </c>
      <c r="C1083" t="s">
        <v>2091</v>
      </c>
      <c r="D1083">
        <v>959</v>
      </c>
      <c r="E1083">
        <v>0</v>
      </c>
      <c r="F1083">
        <v>1</v>
      </c>
    </row>
    <row r="1084" spans="1:6" ht="12.75">
      <c r="A1084" s="2">
        <v>43885.319872685184</v>
      </c>
      <c r="B1084" t="str">
        <f>HYPERLINK("https://twitter.com/ahmadhabibiesal","@ahmadhabibiesal")</f>
        <v>@ahmadhabibiesal</v>
      </c>
      <c r="C1084" t="s">
        <v>321</v>
      </c>
      <c r="D1084">
        <v>1458</v>
      </c>
      <c r="E1084">
        <v>0</v>
      </c>
      <c r="F1084">
        <v>562</v>
      </c>
    </row>
    <row r="1085" spans="1:6" ht="12.75">
      <c r="A1085" s="2">
        <v>43885.319814814815</v>
      </c>
      <c r="B1085" t="str">
        <f>HYPERLINK("https://twitter.com/GED0NG","@GED0NG")</f>
        <v>@GED0NG</v>
      </c>
      <c r="C1085" t="s">
        <v>2573</v>
      </c>
      <c r="D1085">
        <v>1</v>
      </c>
      <c r="E1085">
        <v>1</v>
      </c>
      <c r="F1085">
        <v>56</v>
      </c>
    </row>
    <row r="1086" spans="1:6" ht="12.75">
      <c r="A1086" s="2">
        <v>43885.319745370369</v>
      </c>
      <c r="B1086" t="str">
        <f>HYPERLINK("https://twitter.com/off__vie","@off__vie")</f>
        <v>@off__vie</v>
      </c>
      <c r="C1086" t="s">
        <v>321</v>
      </c>
      <c r="D1086">
        <v>1458</v>
      </c>
      <c r="E1086">
        <v>0</v>
      </c>
      <c r="F1086">
        <v>603</v>
      </c>
    </row>
    <row r="1087" spans="1:6" ht="12.75">
      <c r="A1087" s="2">
        <v>43885.31967592593</v>
      </c>
      <c r="B1087" t="str">
        <f>HYPERLINK("https://twitter.com/anggiazai","@anggiazai")</f>
        <v>@anggiazai</v>
      </c>
      <c r="C1087" t="s">
        <v>2574</v>
      </c>
      <c r="D1087">
        <v>0</v>
      </c>
      <c r="E1087">
        <v>0</v>
      </c>
      <c r="F1087">
        <v>616</v>
      </c>
    </row>
    <row r="1088" spans="1:6" ht="12.75">
      <c r="A1088" s="2">
        <v>43885.319270833337</v>
      </c>
      <c r="B1088" t="str">
        <f>HYPERLINK("https://twitter.com/madevaaa","@madevaaa")</f>
        <v>@madevaaa</v>
      </c>
      <c r="C1088" t="s">
        <v>321</v>
      </c>
      <c r="D1088">
        <v>1458</v>
      </c>
      <c r="E1088">
        <v>0</v>
      </c>
      <c r="F1088">
        <v>230</v>
      </c>
    </row>
    <row r="1089" spans="1:6" ht="12.75">
      <c r="A1089" s="2">
        <v>43885.318773148145</v>
      </c>
      <c r="B1089" t="str">
        <f>HYPERLINK("https://twitter.com/azis_nudin","@azis_nudin")</f>
        <v>@azis_nudin</v>
      </c>
      <c r="C1089" t="s">
        <v>2481</v>
      </c>
      <c r="D1089">
        <v>8</v>
      </c>
      <c r="E1089">
        <v>0</v>
      </c>
      <c r="F1089">
        <v>31</v>
      </c>
    </row>
    <row r="1090" spans="1:6" ht="12.75">
      <c r="A1090" s="2">
        <v>43885.318749999999</v>
      </c>
      <c r="B1090" t="str">
        <f>HYPERLINK("https://twitter.com/roni_prastiawan","@roni_prastiawan")</f>
        <v>@roni_prastiawan</v>
      </c>
      <c r="C1090" t="s">
        <v>2520</v>
      </c>
      <c r="D1090">
        <v>373</v>
      </c>
      <c r="E1090">
        <v>0</v>
      </c>
      <c r="F1090">
        <v>263</v>
      </c>
    </row>
    <row r="1091" spans="1:6" ht="12.75">
      <c r="A1091" s="2">
        <v>43885.318344907406</v>
      </c>
      <c r="B1091" t="str">
        <f>HYPERLINK("https://twitter.com/heru_hermawan06","@heru_hermawan06")</f>
        <v>@heru_hermawan06</v>
      </c>
      <c r="C1091" t="s">
        <v>321</v>
      </c>
      <c r="D1091">
        <v>1458</v>
      </c>
      <c r="E1091">
        <v>0</v>
      </c>
      <c r="F1091">
        <v>254</v>
      </c>
    </row>
    <row r="1092" spans="1:6" ht="12.75">
      <c r="A1092" s="2">
        <v>43885.318252314813</v>
      </c>
      <c r="B1092" t="str">
        <f>HYPERLINK("https://twitter.com/mukt10","@mukt10")</f>
        <v>@mukt10</v>
      </c>
      <c r="C1092" t="s">
        <v>2166</v>
      </c>
      <c r="D1092">
        <v>279</v>
      </c>
      <c r="E1092">
        <v>0</v>
      </c>
      <c r="F1092">
        <v>381</v>
      </c>
    </row>
    <row r="1093" spans="1:6" ht="12.75">
      <c r="A1093" s="2">
        <v>43885.31821759259</v>
      </c>
      <c r="B1093" t="str">
        <f>HYPERLINK("https://twitter.com/naufalnianwar","@naufalnianwar")</f>
        <v>@naufalnianwar</v>
      </c>
      <c r="C1093" t="s">
        <v>2091</v>
      </c>
      <c r="D1093">
        <v>959</v>
      </c>
      <c r="E1093">
        <v>0</v>
      </c>
      <c r="F1093">
        <v>335</v>
      </c>
    </row>
    <row r="1094" spans="1:6" ht="12.75">
      <c r="A1094" s="2">
        <v>43885.318090277782</v>
      </c>
      <c r="B1094" t="str">
        <f>HYPERLINK("https://twitter.com/aenega","@aenega")</f>
        <v>@aenega</v>
      </c>
      <c r="C1094" t="s">
        <v>321</v>
      </c>
      <c r="D1094">
        <v>1458</v>
      </c>
      <c r="E1094">
        <v>0</v>
      </c>
      <c r="F1094">
        <v>438</v>
      </c>
    </row>
    <row r="1095" spans="1:6" ht="12.75">
      <c r="A1095" s="2">
        <v>43885.317789351851</v>
      </c>
      <c r="B1095" t="str">
        <f>HYPERLINK("https://twitter.com/SofyanMHasan2","@SofyanMHasan2")</f>
        <v>@SofyanMHasan2</v>
      </c>
      <c r="C1095" t="s">
        <v>321</v>
      </c>
      <c r="D1095">
        <v>1458</v>
      </c>
      <c r="E1095">
        <v>0</v>
      </c>
      <c r="F1095">
        <v>250</v>
      </c>
    </row>
    <row r="1096" spans="1:6" ht="12.75">
      <c r="A1096" s="2">
        <v>43885.317627314813</v>
      </c>
      <c r="B1096" t="str">
        <f>HYPERLINK("https://twitter.com/malta_kk","@malta_kk")</f>
        <v>@malta_kk</v>
      </c>
      <c r="C1096" t="s">
        <v>321</v>
      </c>
      <c r="D1096">
        <v>1458</v>
      </c>
      <c r="E1096">
        <v>0</v>
      </c>
      <c r="F1096">
        <v>14</v>
      </c>
    </row>
    <row r="1097" spans="1:6" ht="12.75">
      <c r="A1097" s="2">
        <v>43885.317569444444</v>
      </c>
      <c r="B1097" t="str">
        <f>HYPERLINK("https://twitter.com/wni_jmsri","@wni_jmsri")</f>
        <v>@wni_jmsri</v>
      </c>
      <c r="C1097" t="s">
        <v>2575</v>
      </c>
      <c r="D1097">
        <v>1553</v>
      </c>
      <c r="E1097">
        <v>0</v>
      </c>
      <c r="F1097">
        <v>194</v>
      </c>
    </row>
    <row r="1098" spans="1:6" ht="12.75">
      <c r="A1098" s="2">
        <v>43885.317418981482</v>
      </c>
      <c r="B1098" t="str">
        <f t="shared" ref="B1098:B1099" si="27">HYPERLINK("https://twitter.com/zainaalariefin","@zainaalariefin")</f>
        <v>@zainaalariefin</v>
      </c>
      <c r="C1098" t="s">
        <v>2576</v>
      </c>
      <c r="D1098">
        <v>7</v>
      </c>
      <c r="E1098">
        <v>0</v>
      </c>
      <c r="F1098">
        <v>364</v>
      </c>
    </row>
    <row r="1099" spans="1:6" ht="12.75">
      <c r="A1099" s="2">
        <v>43885.317094907412</v>
      </c>
      <c r="B1099" t="str">
        <f t="shared" si="27"/>
        <v>@zainaalariefin</v>
      </c>
      <c r="C1099" t="s">
        <v>2527</v>
      </c>
      <c r="D1099">
        <v>10</v>
      </c>
      <c r="E1099">
        <v>0</v>
      </c>
      <c r="F1099">
        <v>364</v>
      </c>
    </row>
    <row r="1100" spans="1:6" ht="12.75">
      <c r="A1100" s="2">
        <v>43885.316655092596</v>
      </c>
      <c r="B1100" t="str">
        <f>HYPERLINK("https://twitter.com/Noorofiq2","@Noorofiq2")</f>
        <v>@Noorofiq2</v>
      </c>
      <c r="C1100" t="s">
        <v>2153</v>
      </c>
      <c r="D1100">
        <v>368</v>
      </c>
      <c r="E1100">
        <v>0</v>
      </c>
      <c r="F1100">
        <v>48</v>
      </c>
    </row>
    <row r="1101" spans="1:6" ht="12.75">
      <c r="A1101" s="2">
        <v>43885.316574074073</v>
      </c>
      <c r="B1101" t="str">
        <f>HYPERLINK("https://twitter.com/ariopmbd","@ariopmbd")</f>
        <v>@ariopmbd</v>
      </c>
      <c r="C1101" t="s">
        <v>2091</v>
      </c>
      <c r="D1101">
        <v>959</v>
      </c>
      <c r="E1101">
        <v>0</v>
      </c>
      <c r="F1101">
        <v>239</v>
      </c>
    </row>
    <row r="1102" spans="1:6" ht="12.75">
      <c r="A1102" s="2">
        <v>43885.316423611112</v>
      </c>
      <c r="B1102" t="str">
        <f>HYPERLINK("https://twitter.com/wni_jmsri","@wni_jmsri")</f>
        <v>@wni_jmsri</v>
      </c>
      <c r="C1102" t="s">
        <v>2577</v>
      </c>
      <c r="D1102">
        <v>6796</v>
      </c>
      <c r="E1102">
        <v>0</v>
      </c>
      <c r="F1102">
        <v>194</v>
      </c>
    </row>
    <row r="1103" spans="1:6" ht="12.75">
      <c r="A1103" s="2">
        <v>43885.293182870373</v>
      </c>
      <c r="B1103" t="str">
        <f>HYPERLINK("https://twitter.com/negeriala_ala","@negeriala_ala")</f>
        <v>@negeriala_ala</v>
      </c>
      <c r="C1103" t="s">
        <v>2578</v>
      </c>
      <c r="D1103">
        <v>5</v>
      </c>
      <c r="E1103">
        <v>0</v>
      </c>
      <c r="F1103">
        <v>1256</v>
      </c>
    </row>
    <row r="1104" spans="1:6" ht="12.75">
      <c r="A1104" s="2">
        <v>43885.293020833335</v>
      </c>
      <c r="B1104" t="str">
        <f>HYPERLINK("https://twitter.com/Ekotelur","@Ekotelur")</f>
        <v>@Ekotelur</v>
      </c>
      <c r="C1104" t="s">
        <v>321</v>
      </c>
      <c r="D1104">
        <v>1397</v>
      </c>
      <c r="E1104">
        <v>0</v>
      </c>
      <c r="F1104">
        <v>279</v>
      </c>
    </row>
    <row r="1105" spans="1:6" ht="12.75">
      <c r="A1105" s="2">
        <v>43885.292951388888</v>
      </c>
      <c r="B1105" t="str">
        <f>HYPERLINK("https://twitter.com/kanbe1","@kanbe1")</f>
        <v>@kanbe1</v>
      </c>
      <c r="C1105" t="s">
        <v>738</v>
      </c>
      <c r="D1105">
        <v>204</v>
      </c>
      <c r="E1105">
        <v>0</v>
      </c>
      <c r="F1105">
        <v>90</v>
      </c>
    </row>
    <row r="1106" spans="1:6" ht="12.75">
      <c r="A1106" s="2">
        <v>43885.292719907404</v>
      </c>
      <c r="B1106" t="str">
        <f>HYPERLINK("https://twitter.com/Merry70459633","@Merry70459633")</f>
        <v>@Merry70459633</v>
      </c>
      <c r="C1106" t="s">
        <v>2579</v>
      </c>
      <c r="D1106">
        <v>0</v>
      </c>
      <c r="E1106">
        <v>0</v>
      </c>
      <c r="F1106">
        <v>1</v>
      </c>
    </row>
    <row r="1107" spans="1:6" ht="12.75">
      <c r="A1107" s="2">
        <v>43885.292210648149</v>
      </c>
      <c r="B1107" t="str">
        <f>HYPERLINK("https://twitter.com/rs1m01976","@rs1m01976")</f>
        <v>@rs1m01976</v>
      </c>
      <c r="C1107" t="s">
        <v>321</v>
      </c>
      <c r="D1107">
        <v>1397</v>
      </c>
      <c r="E1107">
        <v>0</v>
      </c>
      <c r="F1107">
        <v>1415</v>
      </c>
    </row>
    <row r="1108" spans="1:6" ht="12.75">
      <c r="A1108" s="2">
        <v>43885.292129629626</v>
      </c>
      <c r="B1108" t="str">
        <f>HYPERLINK("https://twitter.com/hamajyo1","@hamajyo1")</f>
        <v>@hamajyo1</v>
      </c>
      <c r="C1108" t="s">
        <v>321</v>
      </c>
      <c r="D1108">
        <v>1397</v>
      </c>
      <c r="E1108">
        <v>0</v>
      </c>
      <c r="F1108">
        <v>1733</v>
      </c>
    </row>
    <row r="1109" spans="1:6" ht="12.75">
      <c r="A1109" s="2">
        <v>43885.292083333334</v>
      </c>
      <c r="B1109" t="str">
        <f>HYPERLINK("https://twitter.com/lailaalmuf","@lailaalmuf")</f>
        <v>@lailaalmuf</v>
      </c>
      <c r="C1109" t="s">
        <v>2580</v>
      </c>
      <c r="D1109">
        <v>1</v>
      </c>
      <c r="E1109">
        <v>0</v>
      </c>
      <c r="F1109">
        <v>227</v>
      </c>
    </row>
    <row r="1110" spans="1:6" ht="12.75">
      <c r="A1110" s="2">
        <v>43885.291574074072</v>
      </c>
      <c r="B1110" t="str">
        <f>HYPERLINK("https://twitter.com/massstara","@massstara")</f>
        <v>@massstara</v>
      </c>
      <c r="C1110" t="s">
        <v>2091</v>
      </c>
      <c r="D1110">
        <v>920</v>
      </c>
      <c r="E1110">
        <v>0</v>
      </c>
      <c r="F1110">
        <v>3557</v>
      </c>
    </row>
    <row r="1111" spans="1:6" ht="12.75">
      <c r="A1111" s="2">
        <v>43885.291527777779</v>
      </c>
      <c r="B1111" t="str">
        <f>HYPERLINK("https://twitter.com/wakas_agi","@wakas_agi")</f>
        <v>@wakas_agi</v>
      </c>
      <c r="C1111" t="s">
        <v>2115</v>
      </c>
      <c r="D1111">
        <v>62</v>
      </c>
      <c r="E1111">
        <v>0</v>
      </c>
      <c r="F1111">
        <v>2844</v>
      </c>
    </row>
    <row r="1112" spans="1:6" ht="12.75">
      <c r="A1112" s="2">
        <v>43885.290960648148</v>
      </c>
      <c r="B1112" t="str">
        <f>HYPERLINK("https://twitter.com/Losegkrewel","@Losegkrewel")</f>
        <v>@Losegkrewel</v>
      </c>
      <c r="C1112" t="s">
        <v>2091</v>
      </c>
      <c r="D1112">
        <v>920</v>
      </c>
      <c r="E1112">
        <v>0</v>
      </c>
      <c r="F1112">
        <v>2872</v>
      </c>
    </row>
    <row r="1113" spans="1:6" ht="12.75">
      <c r="A1113" s="2">
        <v>43885.290763888886</v>
      </c>
      <c r="B1113" t="str">
        <f>HYPERLINK("https://twitter.com/islan_muhammad","@islan_muhammad")</f>
        <v>@islan_muhammad</v>
      </c>
      <c r="C1113" t="s">
        <v>2434</v>
      </c>
      <c r="D1113">
        <v>8</v>
      </c>
      <c r="E1113">
        <v>0</v>
      </c>
      <c r="F1113">
        <v>35</v>
      </c>
    </row>
    <row r="1114" spans="1:6" ht="12.75">
      <c r="A1114" s="2">
        <v>43885.290578703702</v>
      </c>
      <c r="B1114" t="str">
        <f>HYPERLINK("https://twitter.com/Logangster61","@Logangster61")</f>
        <v>@Logangster61</v>
      </c>
      <c r="C1114" t="s">
        <v>2581</v>
      </c>
      <c r="D1114">
        <v>0</v>
      </c>
      <c r="E1114">
        <v>0</v>
      </c>
      <c r="F1114">
        <v>0</v>
      </c>
    </row>
    <row r="1115" spans="1:6" ht="12.75">
      <c r="A1115" s="2">
        <v>43885.290405092594</v>
      </c>
      <c r="B1115" t="str">
        <f>HYPERLINK("https://twitter.com/sorotnews","@sorotnews")</f>
        <v>@sorotnews</v>
      </c>
      <c r="C1115" t="s">
        <v>2582</v>
      </c>
      <c r="D1115">
        <v>1</v>
      </c>
      <c r="E1115">
        <v>1</v>
      </c>
      <c r="F1115">
        <v>3681</v>
      </c>
    </row>
    <row r="1116" spans="1:6" ht="12.75">
      <c r="A1116" s="2">
        <v>43885.29006944444</v>
      </c>
      <c r="B1116" t="str">
        <f>HYPERLINK("https://twitter.com/lordkrasak","@lordkrasak")</f>
        <v>@lordkrasak</v>
      </c>
      <c r="C1116" t="s">
        <v>2091</v>
      </c>
      <c r="D1116">
        <v>920</v>
      </c>
      <c r="E1116">
        <v>0</v>
      </c>
      <c r="F1116">
        <v>293</v>
      </c>
    </row>
    <row r="1117" spans="1:6" ht="12.75">
      <c r="A1117" s="2">
        <v>43885.290046296301</v>
      </c>
      <c r="B1117" t="str">
        <f>HYPERLINK("https://twitter.com/carbuncle2016","@carbuncle2016")</f>
        <v>@carbuncle2016</v>
      </c>
      <c r="C1117" t="s">
        <v>738</v>
      </c>
      <c r="D1117">
        <v>204</v>
      </c>
      <c r="E1117">
        <v>0</v>
      </c>
      <c r="F1117">
        <v>97</v>
      </c>
    </row>
    <row r="1118" spans="1:6" ht="12.75">
      <c r="A1118" s="2">
        <v>43885.289976851855</v>
      </c>
      <c r="B1118" t="str">
        <f>HYPERLINK("https://twitter.com/shapriyono","@shapriyono")</f>
        <v>@shapriyono</v>
      </c>
      <c r="C1118" t="s">
        <v>2527</v>
      </c>
      <c r="D1118">
        <v>4</v>
      </c>
      <c r="E1118">
        <v>0</v>
      </c>
      <c r="F1118">
        <v>2221</v>
      </c>
    </row>
    <row r="1119" spans="1:6" ht="12.75">
      <c r="A1119" s="2">
        <v>43885.289317129631</v>
      </c>
      <c r="B1119" t="str">
        <f>HYPERLINK("https://twitter.com/Bang_Jarwo99","@Bang_Jarwo99")</f>
        <v>@Bang_Jarwo99</v>
      </c>
      <c r="C1119" t="s">
        <v>321</v>
      </c>
      <c r="D1119">
        <v>1397</v>
      </c>
      <c r="E1119">
        <v>0</v>
      </c>
      <c r="F1119">
        <v>273</v>
      </c>
    </row>
    <row r="1120" spans="1:6" ht="12.75">
      <c r="A1120" s="2">
        <v>43885.289236111115</v>
      </c>
      <c r="B1120" t="str">
        <f>HYPERLINK("https://twitter.com/departementstor","@departementstor")</f>
        <v>@departementstor</v>
      </c>
      <c r="C1120" t="s">
        <v>2091</v>
      </c>
      <c r="D1120">
        <v>920</v>
      </c>
      <c r="E1120">
        <v>0</v>
      </c>
      <c r="F1120">
        <v>71</v>
      </c>
    </row>
    <row r="1121" spans="1:6" ht="12.75">
      <c r="A1121" s="2">
        <v>43885.28905092593</v>
      </c>
      <c r="B1121" t="str">
        <f>HYPERLINK("https://twitter.com/AsyuratunNisa","@AsyuratunNisa")</f>
        <v>@AsyuratunNisa</v>
      </c>
      <c r="C1121" t="s">
        <v>2583</v>
      </c>
      <c r="D1121">
        <v>0</v>
      </c>
      <c r="E1121">
        <v>0</v>
      </c>
      <c r="F1121">
        <v>249</v>
      </c>
    </row>
    <row r="1122" spans="1:6" ht="12.75">
      <c r="A1122" s="2">
        <v>43885.288287037038</v>
      </c>
      <c r="B1122" t="str">
        <f>HYPERLINK("https://twitter.com/defcnva","@defcnva")</f>
        <v>@defcnva</v>
      </c>
      <c r="C1122" t="s">
        <v>321</v>
      </c>
      <c r="D1122">
        <v>1397</v>
      </c>
      <c r="E1122">
        <v>0</v>
      </c>
      <c r="F1122">
        <v>375</v>
      </c>
    </row>
    <row r="1123" spans="1:6" ht="12.75">
      <c r="A1123" s="2">
        <v>43885.288090277776</v>
      </c>
      <c r="B1123" t="str">
        <f>HYPERLINK("https://twitter.com/dedi_stanz","@dedi_stanz")</f>
        <v>@dedi_stanz</v>
      </c>
      <c r="C1123" t="s">
        <v>2153</v>
      </c>
      <c r="D1123">
        <v>367</v>
      </c>
      <c r="E1123">
        <v>0</v>
      </c>
      <c r="F1123">
        <v>126</v>
      </c>
    </row>
    <row r="1124" spans="1:6" ht="12.75">
      <c r="A1124" s="2">
        <v>43885.287847222222</v>
      </c>
      <c r="B1124" t="str">
        <f>HYPERLINK("https://twitter.com/PrayudhaRangga","@PrayudhaRangga")</f>
        <v>@PrayudhaRangga</v>
      </c>
      <c r="C1124" t="s">
        <v>2584</v>
      </c>
      <c r="D1124">
        <v>0</v>
      </c>
      <c r="E1124">
        <v>0</v>
      </c>
      <c r="F1124">
        <v>80</v>
      </c>
    </row>
    <row r="1125" spans="1:6" ht="12.75">
      <c r="A1125" s="2">
        <v>43885.287777777776</v>
      </c>
      <c r="B1125" t="str">
        <f>HYPERLINK("https://twitter.com/dagangku","@dagangku")</f>
        <v>@dagangku</v>
      </c>
      <c r="C1125" t="s">
        <v>2585</v>
      </c>
      <c r="D1125">
        <v>0</v>
      </c>
      <c r="E1125">
        <v>0</v>
      </c>
      <c r="F1125">
        <v>220</v>
      </c>
    </row>
    <row r="1126" spans="1:6" ht="12.75">
      <c r="A1126" s="2">
        <v>43885.287731481483</v>
      </c>
      <c r="B1126" t="str">
        <f>HYPERLINK("https://twitter.com/ulilagi","@ulilagi")</f>
        <v>@ulilagi</v>
      </c>
      <c r="C1126" t="s">
        <v>321</v>
      </c>
      <c r="D1126">
        <v>1397</v>
      </c>
      <c r="E1126">
        <v>0</v>
      </c>
      <c r="F1126">
        <v>201</v>
      </c>
    </row>
    <row r="1127" spans="1:6" ht="12.75">
      <c r="A1127" s="2">
        <v>43885.287511574075</v>
      </c>
      <c r="B1127" t="str">
        <f>HYPERLINK("https://twitter.com/erinsnote","@erinsnote")</f>
        <v>@erinsnote</v>
      </c>
      <c r="C1127" t="s">
        <v>2288</v>
      </c>
      <c r="D1127">
        <v>0</v>
      </c>
      <c r="E1127">
        <v>0</v>
      </c>
      <c r="F1127">
        <v>1846</v>
      </c>
    </row>
    <row r="1128" spans="1:6" ht="12.75">
      <c r="A1128" s="2">
        <v>43885.287222222221</v>
      </c>
      <c r="B1128" t="str">
        <f>HYPERLINK("https://twitter.com/aryazavi","@aryazavi")</f>
        <v>@aryazavi</v>
      </c>
      <c r="C1128" t="s">
        <v>2091</v>
      </c>
      <c r="D1128">
        <v>920</v>
      </c>
      <c r="E1128">
        <v>0</v>
      </c>
      <c r="F1128">
        <v>128</v>
      </c>
    </row>
    <row r="1129" spans="1:6" ht="12.75">
      <c r="A1129" s="2">
        <v>43885.287025462967</v>
      </c>
      <c r="B1129" t="str">
        <f>HYPERLINK("https://twitter.com/septiza_id","@septiza_id")</f>
        <v>@septiza_id</v>
      </c>
      <c r="C1129" t="s">
        <v>321</v>
      </c>
      <c r="D1129">
        <v>1397</v>
      </c>
      <c r="E1129">
        <v>0</v>
      </c>
      <c r="F1129">
        <v>599</v>
      </c>
    </row>
    <row r="1130" spans="1:6" ht="12.75">
      <c r="A1130" s="2">
        <v>43885.286909722221</v>
      </c>
      <c r="B1130" t="str">
        <f>HYPERLINK("https://twitter.com/RianAbdiPanges1","@RianAbdiPanges1")</f>
        <v>@RianAbdiPanges1</v>
      </c>
      <c r="C1130" t="s">
        <v>2091</v>
      </c>
      <c r="D1130">
        <v>920</v>
      </c>
      <c r="E1130">
        <v>0</v>
      </c>
      <c r="F1130">
        <v>322</v>
      </c>
    </row>
    <row r="1131" spans="1:6" ht="12.75">
      <c r="A1131" s="2">
        <v>43885.286863425921</v>
      </c>
      <c r="B1131" t="str">
        <f>HYPERLINK("https://twitter.com/roses_aes","@roses_aes")</f>
        <v>@roses_aes</v>
      </c>
      <c r="C1131" t="s">
        <v>1407</v>
      </c>
      <c r="D1131">
        <v>9741</v>
      </c>
      <c r="E1131">
        <v>0</v>
      </c>
      <c r="F1131">
        <v>447</v>
      </c>
    </row>
    <row r="1132" spans="1:6" ht="12.75">
      <c r="A1132" s="2">
        <v>43885.286782407406</v>
      </c>
      <c r="B1132" t="str">
        <f>HYPERLINK("https://twitter.com/isa_wiwibang","@isa_wiwibang")</f>
        <v>@isa_wiwibang</v>
      </c>
      <c r="C1132" t="s">
        <v>2586</v>
      </c>
      <c r="D1132">
        <v>0</v>
      </c>
      <c r="E1132">
        <v>0</v>
      </c>
      <c r="F1132">
        <v>364</v>
      </c>
    </row>
    <row r="1133" spans="1:6" ht="12.75">
      <c r="A1133" s="2">
        <v>43885.286412037036</v>
      </c>
      <c r="B1133" t="str">
        <f>HYPERLINK("https://twitter.com/ibuedey","@ibuedey")</f>
        <v>@ibuedey</v>
      </c>
      <c r="C1133" t="s">
        <v>321</v>
      </c>
      <c r="D1133">
        <v>1397</v>
      </c>
      <c r="E1133">
        <v>0</v>
      </c>
      <c r="F1133">
        <v>1409</v>
      </c>
    </row>
    <row r="1134" spans="1:6" ht="12.75">
      <c r="A1134" s="2">
        <v>43885.286412037036</v>
      </c>
      <c r="B1134" t="str">
        <f>HYPERLINK("https://twitter.com/SemaneiD","@SemaneiD")</f>
        <v>@SemaneiD</v>
      </c>
      <c r="C1134" t="s">
        <v>2529</v>
      </c>
      <c r="D1134">
        <v>1</v>
      </c>
      <c r="E1134">
        <v>0</v>
      </c>
      <c r="F1134">
        <v>300</v>
      </c>
    </row>
    <row r="1135" spans="1:6" ht="12.75">
      <c r="A1135" s="2">
        <v>43885.28634259259</v>
      </c>
      <c r="B1135" t="str">
        <f>HYPERLINK("https://twitter.com/the_schloss","@the_schloss")</f>
        <v>@the_schloss</v>
      </c>
      <c r="C1135" t="s">
        <v>2527</v>
      </c>
      <c r="D1135">
        <v>4</v>
      </c>
      <c r="E1135">
        <v>0</v>
      </c>
      <c r="F1135">
        <v>551</v>
      </c>
    </row>
    <row r="1136" spans="1:6" ht="12.75">
      <c r="A1136" s="2">
        <v>43885.286296296297</v>
      </c>
      <c r="B1136" t="str">
        <f>HYPERLINK("https://twitter.com/Arfa_Manaf","@Arfa_Manaf")</f>
        <v>@Arfa_Manaf</v>
      </c>
      <c r="C1136" t="s">
        <v>321</v>
      </c>
      <c r="D1136">
        <v>1397</v>
      </c>
      <c r="E1136">
        <v>0</v>
      </c>
      <c r="F1136">
        <v>87</v>
      </c>
    </row>
    <row r="1137" spans="1:6" ht="12.75">
      <c r="A1137" s="2">
        <v>43885.286180555559</v>
      </c>
      <c r="B1137" t="str">
        <f>HYPERLINK("https://twitter.com/id_designer","@id_designer")</f>
        <v>@id_designer</v>
      </c>
      <c r="C1137" t="s">
        <v>321</v>
      </c>
      <c r="D1137">
        <v>1397</v>
      </c>
      <c r="E1137">
        <v>0</v>
      </c>
      <c r="F1137">
        <v>362</v>
      </c>
    </row>
    <row r="1138" spans="1:6" ht="12.75">
      <c r="A1138" s="2">
        <v>43885.286168981482</v>
      </c>
      <c r="B1138" t="str">
        <f>HYPERLINK("https://twitter.com/hnurwahid","@hnurwahid")</f>
        <v>@hnurwahid</v>
      </c>
      <c r="C1138" t="s">
        <v>2587</v>
      </c>
      <c r="D1138">
        <v>1</v>
      </c>
      <c r="E1138">
        <v>8</v>
      </c>
      <c r="F1138">
        <v>1336072</v>
      </c>
    </row>
    <row r="1139" spans="1:6" ht="12.75">
      <c r="A1139" s="2">
        <v>43885.286053240736</v>
      </c>
      <c r="B1139" t="str">
        <f>HYPERLINK("https://twitter.com/x_indomaret_x","@x_indomaret_x")</f>
        <v>@x_indomaret_x</v>
      </c>
      <c r="C1139" t="s">
        <v>2091</v>
      </c>
      <c r="D1139">
        <v>920</v>
      </c>
      <c r="E1139">
        <v>0</v>
      </c>
      <c r="F1139">
        <v>72</v>
      </c>
    </row>
    <row r="1140" spans="1:6" ht="12.75">
      <c r="A1140" s="2">
        <v>43885.286053240736</v>
      </c>
      <c r="B1140" t="str">
        <f>HYPERLINK("https://twitter.com/IwanNurwulan","@IwanNurwulan")</f>
        <v>@IwanNurwulan</v>
      </c>
      <c r="C1140" t="s">
        <v>321</v>
      </c>
      <c r="D1140">
        <v>1397</v>
      </c>
      <c r="E1140">
        <v>0</v>
      </c>
      <c r="F1140">
        <v>41</v>
      </c>
    </row>
    <row r="1141" spans="1:6" ht="12.75">
      <c r="A1141" s="2">
        <v>43885.285740740743</v>
      </c>
      <c r="B1141" t="str">
        <f>HYPERLINK("https://twitter.com/vibeom","@vibeom")</f>
        <v>@vibeom</v>
      </c>
      <c r="C1141" t="s">
        <v>2120</v>
      </c>
      <c r="D1141">
        <v>55</v>
      </c>
      <c r="E1141">
        <v>0</v>
      </c>
      <c r="F1141">
        <v>788</v>
      </c>
    </row>
    <row r="1142" spans="1:6" ht="12.75">
      <c r="A1142" s="2">
        <v>43885.285578703704</v>
      </c>
      <c r="B1142" t="str">
        <f>HYPERLINK("https://twitter.com/raihanaditya86","@raihanaditya86")</f>
        <v>@raihanaditya86</v>
      </c>
      <c r="C1142" t="s">
        <v>321</v>
      </c>
      <c r="D1142">
        <v>1397</v>
      </c>
      <c r="E1142">
        <v>0</v>
      </c>
      <c r="F1142">
        <v>32</v>
      </c>
    </row>
    <row r="1143" spans="1:6" ht="12.75">
      <c r="A1143" s="2">
        <v>43885.285578703704</v>
      </c>
      <c r="B1143" t="str">
        <f>HYPERLINK("https://twitter.com/vibeom","@vibeom")</f>
        <v>@vibeom</v>
      </c>
      <c r="C1143" t="s">
        <v>2115</v>
      </c>
      <c r="D1143">
        <v>62</v>
      </c>
      <c r="E1143">
        <v>0</v>
      </c>
      <c r="F1143">
        <v>788</v>
      </c>
    </row>
    <row r="1144" spans="1:6" ht="12.75">
      <c r="A1144" s="2">
        <v>43885.285497685181</v>
      </c>
      <c r="B1144" t="str">
        <f>HYPERLINK("https://twitter.com/alfarose87","@alfarose87")</f>
        <v>@alfarose87</v>
      </c>
      <c r="C1144" t="s">
        <v>2588</v>
      </c>
      <c r="D1144">
        <v>0</v>
      </c>
      <c r="E1144">
        <v>0</v>
      </c>
      <c r="F1144">
        <v>73</v>
      </c>
    </row>
    <row r="1145" spans="1:6" ht="12.75">
      <c r="A1145" s="2">
        <v>43885.285393518519</v>
      </c>
      <c r="B1145" t="str">
        <f>HYPERLINK("https://twitter.com/penjagamalam29","@penjagamalam29")</f>
        <v>@penjagamalam29</v>
      </c>
      <c r="C1145" t="s">
        <v>321</v>
      </c>
      <c r="D1145">
        <v>1397</v>
      </c>
      <c r="E1145">
        <v>0</v>
      </c>
      <c r="F1145">
        <v>125</v>
      </c>
    </row>
    <row r="1146" spans="1:6" ht="12.75">
      <c r="A1146" s="2">
        <v>43885.285162037035</v>
      </c>
      <c r="B1146" t="str">
        <f>HYPERLINK("https://twitter.com/SammyWakatobi","@SammyWakatobi")</f>
        <v>@SammyWakatobi</v>
      </c>
      <c r="C1146" t="s">
        <v>2589</v>
      </c>
      <c r="D1146">
        <v>0</v>
      </c>
      <c r="E1146">
        <v>0</v>
      </c>
      <c r="F1146">
        <v>229</v>
      </c>
    </row>
    <row r="1147" spans="1:6" ht="12.75">
      <c r="A1147" s="2">
        <v>43885.285081018519</v>
      </c>
      <c r="B1147" t="str">
        <f>HYPERLINK("https://twitter.com/vibeom","@vibeom")</f>
        <v>@vibeom</v>
      </c>
      <c r="C1147" t="s">
        <v>738</v>
      </c>
      <c r="D1147">
        <v>204</v>
      </c>
      <c r="E1147">
        <v>0</v>
      </c>
      <c r="F1147">
        <v>788</v>
      </c>
    </row>
    <row r="1148" spans="1:6" ht="12.75">
      <c r="A1148" s="2">
        <v>43885.284918981481</v>
      </c>
      <c r="B1148" t="str">
        <f>HYPERLINK("https://twitter.com/SemaneiD","@SemaneiD")</f>
        <v>@SemaneiD</v>
      </c>
      <c r="C1148" t="s">
        <v>2527</v>
      </c>
      <c r="D1148">
        <v>4</v>
      </c>
      <c r="E1148">
        <v>0</v>
      </c>
      <c r="F1148">
        <v>300</v>
      </c>
    </row>
    <row r="1149" spans="1:6" ht="12.75">
      <c r="A1149" s="2">
        <v>43885.284872685181</v>
      </c>
      <c r="B1149" t="str">
        <f>HYPERLINK("https://twitter.com/uthe12340","@uthe12340")</f>
        <v>@uthe12340</v>
      </c>
      <c r="C1149" t="s">
        <v>321</v>
      </c>
      <c r="D1149">
        <v>1397</v>
      </c>
      <c r="E1149">
        <v>0</v>
      </c>
      <c r="F1149">
        <v>138</v>
      </c>
    </row>
    <row r="1150" spans="1:6" ht="12.75">
      <c r="A1150" s="2">
        <v>43885.28398148148</v>
      </c>
      <c r="B1150" t="str">
        <f>HYPERLINK("https://twitter.com/Heri_aja","@Heri_aja")</f>
        <v>@Heri_aja</v>
      </c>
      <c r="C1150" t="s">
        <v>2091</v>
      </c>
      <c r="D1150">
        <v>920</v>
      </c>
      <c r="E1150">
        <v>0</v>
      </c>
      <c r="F1150">
        <v>1696</v>
      </c>
    </row>
    <row r="1151" spans="1:6" ht="12.75">
      <c r="A1151" s="2">
        <v>43885.283622685187</v>
      </c>
      <c r="B1151" t="str">
        <f>HYPERLINK("https://twitter.com/3_devout","@3_devout")</f>
        <v>@3_devout</v>
      </c>
      <c r="C1151" t="s">
        <v>2091</v>
      </c>
      <c r="D1151">
        <v>920</v>
      </c>
      <c r="E1151">
        <v>0</v>
      </c>
      <c r="F1151">
        <v>1056</v>
      </c>
    </row>
    <row r="1152" spans="1:6" ht="12.75">
      <c r="A1152" s="2">
        <v>43885.283553240741</v>
      </c>
      <c r="B1152" t="str">
        <f>HYPERLINK("https://twitter.com/vibeom","@vibeom")</f>
        <v>@vibeom</v>
      </c>
      <c r="C1152" t="s">
        <v>321</v>
      </c>
      <c r="D1152">
        <v>1397</v>
      </c>
      <c r="E1152">
        <v>0</v>
      </c>
      <c r="F1152">
        <v>788</v>
      </c>
    </row>
    <row r="1153" spans="1:6" ht="12.75">
      <c r="A1153" s="2">
        <v>43885.283541666664</v>
      </c>
      <c r="B1153" t="str">
        <f>HYPERLINK("https://twitter.com/Girinaldi88","@Girinaldi88")</f>
        <v>@Girinaldi88</v>
      </c>
      <c r="C1153" t="s">
        <v>2590</v>
      </c>
      <c r="D1153">
        <v>5</v>
      </c>
      <c r="E1153">
        <v>0</v>
      </c>
      <c r="F1153">
        <v>1452</v>
      </c>
    </row>
    <row r="1154" spans="1:6" ht="12.75">
      <c r="A1154" s="2">
        <v>43885.283518518518</v>
      </c>
      <c r="B1154" t="str">
        <f>HYPERLINK("https://twitter.com/nrc25","@nrc25")</f>
        <v>@nrc25</v>
      </c>
      <c r="C1154" t="s">
        <v>738</v>
      </c>
      <c r="D1154">
        <v>204</v>
      </c>
      <c r="E1154">
        <v>0</v>
      </c>
      <c r="F1154">
        <v>52</v>
      </c>
    </row>
    <row r="1155" spans="1:6" ht="12.75">
      <c r="A1155" s="2">
        <v>43885.283506944441</v>
      </c>
      <c r="B1155" t="str">
        <f t="shared" ref="B1155:B1156" si="28">HYPERLINK("https://twitter.com/teeagernet","@teeagernet")</f>
        <v>@teeagernet</v>
      </c>
      <c r="C1155" t="s">
        <v>2120</v>
      </c>
      <c r="D1155">
        <v>55</v>
      </c>
      <c r="E1155">
        <v>0</v>
      </c>
      <c r="F1155">
        <v>1786</v>
      </c>
    </row>
    <row r="1156" spans="1:6" ht="12.75">
      <c r="A1156" s="2">
        <v>43885.283460648148</v>
      </c>
      <c r="B1156" t="str">
        <f t="shared" si="28"/>
        <v>@teeagernet</v>
      </c>
      <c r="C1156" t="s">
        <v>2115</v>
      </c>
      <c r="D1156">
        <v>62</v>
      </c>
      <c r="E1156">
        <v>0</v>
      </c>
      <c r="F1156">
        <v>1786</v>
      </c>
    </row>
    <row r="1157" spans="1:6" ht="12.75">
      <c r="A1157" s="2">
        <v>43885.283356481479</v>
      </c>
      <c r="B1157" t="str">
        <f>HYPERLINK("https://twitter.com/toogenochaya1","@toogenochaya1")</f>
        <v>@toogenochaya1</v>
      </c>
      <c r="C1157" t="s">
        <v>738</v>
      </c>
      <c r="D1157">
        <v>204</v>
      </c>
      <c r="E1157">
        <v>0</v>
      </c>
      <c r="F1157">
        <v>1468</v>
      </c>
    </row>
    <row r="1158" spans="1:6" ht="12.75">
      <c r="A1158" s="2">
        <v>43885.283356481479</v>
      </c>
      <c r="B1158" t="str">
        <f t="shared" ref="B1158:B1159" si="29">HYPERLINK("https://twitter.com/teeagernet","@teeagernet")</f>
        <v>@teeagernet</v>
      </c>
      <c r="C1158" t="s">
        <v>738</v>
      </c>
      <c r="D1158">
        <v>204</v>
      </c>
      <c r="E1158">
        <v>0</v>
      </c>
      <c r="F1158">
        <v>1786</v>
      </c>
    </row>
    <row r="1159" spans="1:6" ht="12.75">
      <c r="A1159" s="2">
        <v>43885.283194444448</v>
      </c>
      <c r="B1159" t="str">
        <f t="shared" si="29"/>
        <v>@teeagernet</v>
      </c>
      <c r="C1159" t="s">
        <v>321</v>
      </c>
      <c r="D1159">
        <v>1397</v>
      </c>
      <c r="E1159">
        <v>0</v>
      </c>
      <c r="F1159">
        <v>1786</v>
      </c>
    </row>
    <row r="1160" spans="1:6" ht="12.75">
      <c r="A1160" s="2">
        <v>43885.282997685186</v>
      </c>
      <c r="B1160" t="str">
        <f>HYPERLINK("https://twitter.com/zuriswanfajri","@zuriswanfajri")</f>
        <v>@zuriswanfajri</v>
      </c>
      <c r="C1160" t="s">
        <v>2590</v>
      </c>
      <c r="D1160">
        <v>5</v>
      </c>
      <c r="E1160">
        <v>0</v>
      </c>
      <c r="F1160">
        <v>4423</v>
      </c>
    </row>
    <row r="1161" spans="1:6" ht="12.75">
      <c r="A1161" s="2">
        <v>43885.282893518517</v>
      </c>
      <c r="B1161" t="str">
        <f>HYPERLINK("https://twitter.com/Usaha_jujur","@Usaha_jujur")</f>
        <v>@Usaha_jujur</v>
      </c>
      <c r="C1161" t="s">
        <v>2138</v>
      </c>
      <c r="D1161">
        <v>274</v>
      </c>
      <c r="E1161">
        <v>0</v>
      </c>
      <c r="F1161">
        <v>75</v>
      </c>
    </row>
    <row r="1162" spans="1:6" ht="12.75">
      <c r="A1162" s="2">
        <v>43885.282233796301</v>
      </c>
      <c r="B1162" t="str">
        <f>HYPERLINK("https://twitter.com/seiru_sale","@seiru_sale")</f>
        <v>@seiru_sale</v>
      </c>
      <c r="C1162" t="s">
        <v>738</v>
      </c>
      <c r="D1162">
        <v>204</v>
      </c>
      <c r="E1162">
        <v>0</v>
      </c>
      <c r="F1162">
        <v>617</v>
      </c>
    </row>
    <row r="1163" spans="1:6" ht="12.75">
      <c r="A1163" s="2">
        <v>43885.282129629632</v>
      </c>
      <c r="B1163" t="str">
        <f>HYPERLINK("https://twitter.com/onik_beomkyu","@onik_beomkyu")</f>
        <v>@onik_beomkyu</v>
      </c>
      <c r="C1163" t="s">
        <v>2138</v>
      </c>
      <c r="D1163">
        <v>274</v>
      </c>
      <c r="E1163">
        <v>0</v>
      </c>
      <c r="F1163">
        <v>542</v>
      </c>
    </row>
    <row r="1164" spans="1:6" ht="12.75">
      <c r="A1164" s="2">
        <v>43885.282106481478</v>
      </c>
      <c r="B1164" t="str">
        <f>HYPERLINK("https://twitter.com/SMuksin1","@SMuksin1")</f>
        <v>@SMuksin1</v>
      </c>
      <c r="C1164" t="s">
        <v>2166</v>
      </c>
      <c r="D1164">
        <v>264</v>
      </c>
      <c r="E1164">
        <v>0</v>
      </c>
      <c r="F1164">
        <v>11</v>
      </c>
    </row>
    <row r="1165" spans="1:6" ht="12.75">
      <c r="A1165" s="2">
        <v>43885.282083333332</v>
      </c>
      <c r="B1165" t="str">
        <f>HYPERLINK("https://twitter.com/Jazz24632","@Jazz24632")</f>
        <v>@Jazz24632</v>
      </c>
      <c r="C1165" t="s">
        <v>2091</v>
      </c>
      <c r="D1165">
        <v>920</v>
      </c>
      <c r="E1165">
        <v>0</v>
      </c>
      <c r="F1165">
        <v>455</v>
      </c>
    </row>
    <row r="1166" spans="1:6" ht="12.75">
      <c r="A1166" s="2">
        <v>43885.282013888893</v>
      </c>
      <c r="B1166" t="str">
        <f>HYPERLINK("https://twitter.com/go_go_newguinea","@go_go_newguinea")</f>
        <v>@go_go_newguinea</v>
      </c>
      <c r="C1166" t="s">
        <v>321</v>
      </c>
      <c r="D1166">
        <v>1397</v>
      </c>
      <c r="E1166">
        <v>0</v>
      </c>
      <c r="F1166">
        <v>1192</v>
      </c>
    </row>
    <row r="1167" spans="1:6" ht="12.75">
      <c r="A1167" s="2">
        <v>43885.281574074077</v>
      </c>
      <c r="B1167" t="str">
        <f>HYPERLINK("https://twitter.com/ARuleMelancholy","@ARuleMelancholy")</f>
        <v>@ARuleMelancholy</v>
      </c>
      <c r="C1167" t="s">
        <v>2166</v>
      </c>
      <c r="D1167">
        <v>264</v>
      </c>
      <c r="E1167">
        <v>0</v>
      </c>
      <c r="F1167">
        <v>223</v>
      </c>
    </row>
    <row r="1168" spans="1:6" ht="12.75">
      <c r="A1168" s="2">
        <v>43885.281273148154</v>
      </c>
      <c r="B1168" t="str">
        <f>HYPERLINK("https://twitter.com/rmol_id","@rmol_id")</f>
        <v>@rmol_id</v>
      </c>
      <c r="C1168" t="s">
        <v>2591</v>
      </c>
      <c r="D1168">
        <v>4</v>
      </c>
      <c r="E1168">
        <v>7</v>
      </c>
      <c r="F1168">
        <v>164907</v>
      </c>
    </row>
    <row r="1169" spans="1:6" ht="12.75">
      <c r="A1169" s="2">
        <v>43885.281145833331</v>
      </c>
      <c r="B1169" t="str">
        <f>HYPERLINK("https://twitter.com/mippo1","@mippo1")</f>
        <v>@mippo1</v>
      </c>
      <c r="C1169" t="s">
        <v>738</v>
      </c>
      <c r="D1169">
        <v>204</v>
      </c>
      <c r="E1169">
        <v>0</v>
      </c>
      <c r="F1169">
        <v>32</v>
      </c>
    </row>
    <row r="1170" spans="1:6" ht="12.75">
      <c r="A1170" s="2">
        <v>43885.280590277776</v>
      </c>
      <c r="B1170" t="str">
        <f>HYPERLINK("https://twitter.com/sousuke_c","@sousuke_c")</f>
        <v>@sousuke_c</v>
      </c>
      <c r="C1170" t="s">
        <v>738</v>
      </c>
      <c r="D1170">
        <v>204</v>
      </c>
      <c r="E1170">
        <v>0</v>
      </c>
      <c r="F1170">
        <v>2718</v>
      </c>
    </row>
    <row r="1171" spans="1:6" ht="12.75">
      <c r="A1171" s="2">
        <v>43885.280590277776</v>
      </c>
      <c r="B1171" t="str">
        <f>HYPERLINK("https://twitter.com/triaraayuu","@triaraayuu")</f>
        <v>@triaraayuu</v>
      </c>
      <c r="C1171" t="s">
        <v>321</v>
      </c>
      <c r="D1171">
        <v>1397</v>
      </c>
      <c r="E1171">
        <v>0</v>
      </c>
      <c r="F1171">
        <v>76</v>
      </c>
    </row>
    <row r="1172" spans="1:6" ht="12.75">
      <c r="A1172" s="2">
        <v>43885.279687499999</v>
      </c>
      <c r="B1172" t="str">
        <f>HYPERLINK("https://twitter.com/muzakir100","@muzakir100")</f>
        <v>@muzakir100</v>
      </c>
      <c r="C1172" t="s">
        <v>2166</v>
      </c>
      <c r="D1172">
        <v>264</v>
      </c>
      <c r="E1172">
        <v>0</v>
      </c>
      <c r="F1172">
        <v>342</v>
      </c>
    </row>
    <row r="1173" spans="1:6" ht="12.75">
      <c r="A1173" s="2">
        <v>43885.279490740737</v>
      </c>
      <c r="B1173" t="str">
        <f>HYPERLINK("https://twitter.com/DaraNastiandari","@DaraNastiandari")</f>
        <v>@DaraNastiandari</v>
      </c>
      <c r="C1173" t="s">
        <v>321</v>
      </c>
      <c r="D1173">
        <v>1397</v>
      </c>
      <c r="E1173">
        <v>0</v>
      </c>
      <c r="F1173">
        <v>1196</v>
      </c>
    </row>
    <row r="1174" spans="1:6" ht="12.75">
      <c r="A1174" s="2">
        <v>43885.279236111106</v>
      </c>
      <c r="B1174" t="str">
        <f>HYPERLINK("https://twitter.com/maro9inch","@maro9inch")</f>
        <v>@maro9inch</v>
      </c>
      <c r="C1174" t="s">
        <v>738</v>
      </c>
      <c r="D1174">
        <v>204</v>
      </c>
      <c r="E1174">
        <v>0</v>
      </c>
      <c r="F1174">
        <v>910</v>
      </c>
    </row>
    <row r="1175" spans="1:6" ht="12.75">
      <c r="A1175" s="2">
        <v>43885.279027777782</v>
      </c>
      <c r="B1175" t="str">
        <f>HYPERLINK("https://twitter.com/alfarizi_rafi","@alfarizi_rafi")</f>
        <v>@alfarizi_rafi</v>
      </c>
      <c r="C1175" t="s">
        <v>321</v>
      </c>
      <c r="D1175">
        <v>1397</v>
      </c>
      <c r="E1175">
        <v>0</v>
      </c>
      <c r="F1175">
        <v>408</v>
      </c>
    </row>
    <row r="1176" spans="1:6" ht="12.75">
      <c r="A1176" s="2">
        <v>43885.279004629629</v>
      </c>
      <c r="B1176" t="str">
        <f>HYPERLINK("https://twitter.com/mikson_berutu","@mikson_berutu")</f>
        <v>@mikson_berutu</v>
      </c>
      <c r="C1176" t="s">
        <v>2091</v>
      </c>
      <c r="D1176">
        <v>920</v>
      </c>
      <c r="E1176">
        <v>0</v>
      </c>
      <c r="F1176">
        <v>627</v>
      </c>
    </row>
    <row r="1177" spans="1:6" ht="12.75">
      <c r="A1177" s="2">
        <v>43885.278935185182</v>
      </c>
      <c r="B1177" t="str">
        <f>HYPERLINK("https://twitter.com/triaraayuu","@triaraayuu")</f>
        <v>@triaraayuu</v>
      </c>
      <c r="C1177" t="s">
        <v>738</v>
      </c>
      <c r="D1177">
        <v>204</v>
      </c>
      <c r="E1177">
        <v>0</v>
      </c>
      <c r="F1177">
        <v>76</v>
      </c>
    </row>
    <row r="1178" spans="1:6" ht="12.75">
      <c r="A1178" s="2">
        <v>43885.278842592597</v>
      </c>
      <c r="B1178" t="str">
        <f>HYPERLINK("https://twitter.com/faishalNF","@faishalNF")</f>
        <v>@faishalNF</v>
      </c>
      <c r="C1178" t="s">
        <v>2166</v>
      </c>
      <c r="D1178">
        <v>264</v>
      </c>
      <c r="E1178">
        <v>0</v>
      </c>
      <c r="F1178">
        <v>100</v>
      </c>
    </row>
    <row r="1179" spans="1:6" ht="12.75">
      <c r="A1179" s="2">
        <v>43885.278055555551</v>
      </c>
      <c r="B1179" t="str">
        <f>HYPERLINK("https://twitter.com/arief_iboy","@arief_iboy")</f>
        <v>@arief_iboy</v>
      </c>
      <c r="C1179" t="s">
        <v>2091</v>
      </c>
      <c r="D1179">
        <v>920</v>
      </c>
      <c r="E1179">
        <v>0</v>
      </c>
      <c r="F1179">
        <v>160</v>
      </c>
    </row>
    <row r="1180" spans="1:6" ht="12.75">
      <c r="A1180" s="2">
        <v>43885.277627314819</v>
      </c>
      <c r="B1180" t="str">
        <f>HYPERLINK("https://twitter.com/_Thiscreamynasi","@_Thiscreamynasi")</f>
        <v>@_Thiscreamynasi</v>
      </c>
      <c r="C1180" t="s">
        <v>2592</v>
      </c>
      <c r="D1180">
        <v>0</v>
      </c>
      <c r="E1180">
        <v>1</v>
      </c>
      <c r="F1180">
        <v>1102</v>
      </c>
    </row>
    <row r="1181" spans="1:6" ht="12.75">
      <c r="A1181" s="2">
        <v>43885.277615740742</v>
      </c>
      <c r="B1181" t="str">
        <f>HYPERLINK("https://twitter.com/hartanto_mas","@hartanto_mas")</f>
        <v>@hartanto_mas</v>
      </c>
      <c r="C1181" t="s">
        <v>321</v>
      </c>
      <c r="D1181">
        <v>1397</v>
      </c>
      <c r="E1181">
        <v>0</v>
      </c>
      <c r="F1181">
        <v>1047</v>
      </c>
    </row>
    <row r="1182" spans="1:6" ht="12.75">
      <c r="A1182" s="2">
        <v>43885.277395833335</v>
      </c>
      <c r="B1182" t="str">
        <f>HYPERLINK("https://twitter.com/hadibonerz","@hadibonerz")</f>
        <v>@hadibonerz</v>
      </c>
      <c r="C1182" t="s">
        <v>321</v>
      </c>
      <c r="D1182">
        <v>1397</v>
      </c>
      <c r="E1182">
        <v>0</v>
      </c>
      <c r="F1182">
        <v>418</v>
      </c>
    </row>
    <row r="1183" spans="1:6" ht="12.75">
      <c r="A1183" s="2">
        <v>43885.276979166665</v>
      </c>
      <c r="B1183" t="str">
        <f>HYPERLINK("https://twitter.com/nerinerimama","@nerinerimama")</f>
        <v>@nerinerimama</v>
      </c>
      <c r="C1183" t="s">
        <v>738</v>
      </c>
      <c r="D1183">
        <v>204</v>
      </c>
      <c r="E1183">
        <v>0</v>
      </c>
      <c r="F1183">
        <v>559</v>
      </c>
    </row>
    <row r="1184" spans="1:6" ht="12.75">
      <c r="A1184" s="2">
        <v>43885.276932870373</v>
      </c>
      <c r="B1184" t="str">
        <f>HYPERLINK("https://twitter.com/punanko","@punanko")</f>
        <v>@punanko</v>
      </c>
      <c r="C1184" t="s">
        <v>738</v>
      </c>
      <c r="D1184">
        <v>204</v>
      </c>
      <c r="E1184">
        <v>0</v>
      </c>
      <c r="F1184">
        <v>2729</v>
      </c>
    </row>
    <row r="1185" spans="1:6" ht="12.75">
      <c r="A1185" s="2">
        <v>43885.276643518519</v>
      </c>
      <c r="B1185" t="str">
        <f>HYPERLINK("https://twitter.com/RadenPurba3","@RadenPurba3")</f>
        <v>@RadenPurba3</v>
      </c>
      <c r="C1185" t="s">
        <v>2186</v>
      </c>
      <c r="D1185">
        <v>5</v>
      </c>
      <c r="E1185">
        <v>0</v>
      </c>
      <c r="F1185">
        <v>38</v>
      </c>
    </row>
    <row r="1186" spans="1:6" ht="12.75">
      <c r="A1186" s="2">
        <v>43885.276331018518</v>
      </c>
      <c r="B1186" t="str">
        <f>HYPERLINK("https://twitter.com/McNogueira01","@McNogueira01")</f>
        <v>@McNogueira01</v>
      </c>
      <c r="C1186" t="s">
        <v>2593</v>
      </c>
      <c r="D1186">
        <v>0</v>
      </c>
      <c r="E1186">
        <v>0</v>
      </c>
      <c r="F1186">
        <v>1305</v>
      </c>
    </row>
    <row r="1187" spans="1:6" ht="12.75">
      <c r="A1187" s="2">
        <v>43885.276284722218</v>
      </c>
      <c r="B1187" t="str">
        <f>HYPERLINK("https://twitter.com/ises2208","@ises2208")</f>
        <v>@ises2208</v>
      </c>
      <c r="C1187" t="s">
        <v>2181</v>
      </c>
      <c r="D1187">
        <v>4</v>
      </c>
      <c r="E1187">
        <v>0</v>
      </c>
      <c r="F1187">
        <v>62</v>
      </c>
    </row>
    <row r="1188" spans="1:6" ht="12.75">
      <c r="A1188" s="2">
        <v>43885.275821759264</v>
      </c>
      <c r="B1188" t="str">
        <f>HYPERLINK("https://twitter.com/SofaJok","@SofaJok")</f>
        <v>@SofaJok</v>
      </c>
      <c r="C1188" t="s">
        <v>321</v>
      </c>
      <c r="D1188">
        <v>1397</v>
      </c>
      <c r="E1188">
        <v>0</v>
      </c>
      <c r="F1188">
        <v>50</v>
      </c>
    </row>
    <row r="1189" spans="1:6" ht="12.75">
      <c r="A1189" s="2">
        <v>43885.275474537033</v>
      </c>
      <c r="B1189" t="str">
        <f>HYPERLINK("https://twitter.com/UstadzDawkins","@UstadzDawkins")</f>
        <v>@UstadzDawkins</v>
      </c>
      <c r="C1189" t="s">
        <v>2594</v>
      </c>
      <c r="D1189">
        <v>1</v>
      </c>
      <c r="E1189">
        <v>1</v>
      </c>
      <c r="F1189">
        <v>74</v>
      </c>
    </row>
    <row r="1190" spans="1:6" ht="12.75">
      <c r="A1190" s="2">
        <v>43885.275196759263</v>
      </c>
      <c r="B1190" t="str">
        <f>HYPERLINK("https://twitter.com/hemaviton99","@hemaviton99")</f>
        <v>@hemaviton99</v>
      </c>
      <c r="C1190" t="s">
        <v>2595</v>
      </c>
      <c r="D1190">
        <v>2</v>
      </c>
      <c r="E1190">
        <v>0</v>
      </c>
      <c r="F1190">
        <v>4685</v>
      </c>
    </row>
    <row r="1191" spans="1:6" ht="12.75">
      <c r="A1191" s="2">
        <v>43885.274456018524</v>
      </c>
      <c r="B1191" t="str">
        <f>HYPERLINK("https://twitter.com/HVwAjbNNfy2oQZb","@HVwAjbNNfy2oQZb")</f>
        <v>@HVwAjbNNfy2oQZb</v>
      </c>
      <c r="C1191" t="s">
        <v>738</v>
      </c>
      <c r="D1191">
        <v>204</v>
      </c>
      <c r="E1191">
        <v>0</v>
      </c>
      <c r="F1191">
        <v>65</v>
      </c>
    </row>
    <row r="1192" spans="1:6" ht="12.75">
      <c r="A1192" s="2">
        <v>43885.27443287037</v>
      </c>
      <c r="B1192" t="str">
        <f>HYPERLINK("https://twitter.com/AdeAnnie1","@AdeAnnie1")</f>
        <v>@AdeAnnie1</v>
      </c>
      <c r="C1192" t="s">
        <v>2166</v>
      </c>
      <c r="D1192">
        <v>264</v>
      </c>
      <c r="E1192">
        <v>0</v>
      </c>
      <c r="F1192">
        <v>4295</v>
      </c>
    </row>
    <row r="1193" spans="1:6" ht="12.75">
      <c r="A1193" s="2">
        <v>43885.274305555555</v>
      </c>
      <c r="B1193" t="str">
        <f>HYPERLINK("https://twitter.com/agung_nusanjaya","@agung_nusanjaya")</f>
        <v>@agung_nusanjaya</v>
      </c>
      <c r="C1193" t="s">
        <v>2596</v>
      </c>
      <c r="D1193">
        <v>0</v>
      </c>
      <c r="E1193">
        <v>0</v>
      </c>
      <c r="F1193">
        <v>757</v>
      </c>
    </row>
    <row r="1194" spans="1:6" ht="12.75">
      <c r="A1194" s="2">
        <v>43885.273923611108</v>
      </c>
      <c r="B1194" t="str">
        <f>HYPERLINK("https://twitter.com/indraalfarius","@indraalfarius")</f>
        <v>@indraalfarius</v>
      </c>
      <c r="C1194" t="s">
        <v>2166</v>
      </c>
      <c r="D1194">
        <v>264</v>
      </c>
      <c r="E1194">
        <v>0</v>
      </c>
      <c r="F1194">
        <v>689</v>
      </c>
    </row>
    <row r="1195" spans="1:6" ht="12.75">
      <c r="A1195" s="2">
        <v>43885.273692129631</v>
      </c>
      <c r="B1195" t="str">
        <f>HYPERLINK("https://twitter.com/agussusenoitonk","@agussusenoitonk")</f>
        <v>@agussusenoitonk</v>
      </c>
      <c r="C1195" t="s">
        <v>321</v>
      </c>
      <c r="D1195">
        <v>1397</v>
      </c>
      <c r="E1195">
        <v>0</v>
      </c>
      <c r="F1195">
        <v>2022</v>
      </c>
    </row>
    <row r="1196" spans="1:6" ht="12.75">
      <c r="A1196" s="2">
        <v>43885.273599537039</v>
      </c>
      <c r="B1196" t="str">
        <f>HYPERLINK("https://twitter.com/roystonsta9931","@roystonsta9931")</f>
        <v>@roystonsta9931</v>
      </c>
      <c r="C1196" t="s">
        <v>2597</v>
      </c>
      <c r="D1196">
        <v>0</v>
      </c>
      <c r="E1196">
        <v>0</v>
      </c>
      <c r="F1196">
        <v>153</v>
      </c>
    </row>
    <row r="1197" spans="1:6" ht="12.75">
      <c r="A1197" s="2">
        <v>43885.273310185185</v>
      </c>
      <c r="B1197" t="str">
        <f>HYPERLINK("https://twitter.com/shinderera0035","@shinderera0035")</f>
        <v>@shinderera0035</v>
      </c>
      <c r="C1197" t="s">
        <v>738</v>
      </c>
      <c r="D1197">
        <v>204</v>
      </c>
      <c r="E1197">
        <v>0</v>
      </c>
      <c r="F1197">
        <v>291</v>
      </c>
    </row>
    <row r="1198" spans="1:6" ht="12.75">
      <c r="A1198" s="2">
        <v>43885.273113425923</v>
      </c>
      <c r="B1198" t="str">
        <f>HYPERLINK("https://twitter.com/ali_nurlah","@ali_nurlah")</f>
        <v>@ali_nurlah</v>
      </c>
      <c r="C1198" t="s">
        <v>2166</v>
      </c>
      <c r="D1198">
        <v>264</v>
      </c>
      <c r="E1198">
        <v>0</v>
      </c>
      <c r="F1198">
        <v>1146</v>
      </c>
    </row>
    <row r="1199" spans="1:6" ht="12.75">
      <c r="A1199" s="2">
        <v>43885.273020833338</v>
      </c>
      <c r="B1199" t="str">
        <f>HYPERLINK("https://twitter.com/Faylasalle2","@Faylasalle2")</f>
        <v>@Faylasalle2</v>
      </c>
      <c r="C1199" t="s">
        <v>2590</v>
      </c>
      <c r="D1199">
        <v>5</v>
      </c>
      <c r="E1199">
        <v>0</v>
      </c>
      <c r="F1199">
        <v>514</v>
      </c>
    </row>
    <row r="1200" spans="1:6" ht="12.75">
      <c r="A1200" s="2">
        <v>43885.272974537038</v>
      </c>
      <c r="B1200" t="str">
        <f>HYPERLINK("https://twitter.com/DenizeBurach","@DenizeBurach")</f>
        <v>@DenizeBurach</v>
      </c>
      <c r="C1200" t="s">
        <v>2598</v>
      </c>
      <c r="D1200">
        <v>0</v>
      </c>
      <c r="E1200">
        <v>0</v>
      </c>
      <c r="F1200">
        <v>2323</v>
      </c>
    </row>
    <row r="1201" spans="1:6" ht="12.75">
      <c r="A1201" s="2">
        <v>43885.272858796292</v>
      </c>
      <c r="B1201" t="str">
        <f>HYPERLINK("https://twitter.com/retweeterer_","@retweeterer_")</f>
        <v>@retweeterer_</v>
      </c>
      <c r="C1201" t="s">
        <v>321</v>
      </c>
      <c r="D1201">
        <v>1397</v>
      </c>
      <c r="E1201">
        <v>0</v>
      </c>
      <c r="F1201">
        <v>368</v>
      </c>
    </row>
    <row r="1202" spans="1:6" ht="12.75">
      <c r="A1202" s="2">
        <v>43885.272743055553</v>
      </c>
      <c r="B1202" t="str">
        <f>HYPERLINK("https://twitter.com/iktrktrgucci141","@iktrktrgucci141")</f>
        <v>@iktrktrgucci141</v>
      </c>
      <c r="C1202" t="s">
        <v>738</v>
      </c>
      <c r="D1202">
        <v>204</v>
      </c>
      <c r="E1202">
        <v>0</v>
      </c>
      <c r="F1202">
        <v>1225</v>
      </c>
    </row>
    <row r="1203" spans="1:6" ht="12.75">
      <c r="A1203" s="2">
        <v>43885.251516203702</v>
      </c>
      <c r="B1203" t="str">
        <f>HYPERLINK("https://twitter.com/AhmadALKAF6","@AhmadALKAF6")</f>
        <v>@AhmadALKAF6</v>
      </c>
      <c r="C1203" t="s">
        <v>2166</v>
      </c>
      <c r="D1203">
        <v>243</v>
      </c>
      <c r="E1203">
        <v>0</v>
      </c>
      <c r="F1203">
        <v>109</v>
      </c>
    </row>
    <row r="1204" spans="1:6" ht="12.75">
      <c r="A1204" s="2">
        <v>43885.251388888893</v>
      </c>
      <c r="B1204" t="str">
        <f>HYPERLINK("https://twitter.com/Mengasciniym","@Mengasciniym")</f>
        <v>@Mengasciniym</v>
      </c>
      <c r="C1204" t="s">
        <v>738</v>
      </c>
      <c r="D1204">
        <v>168</v>
      </c>
      <c r="E1204">
        <v>0</v>
      </c>
      <c r="F1204">
        <v>40</v>
      </c>
    </row>
    <row r="1205" spans="1:6" ht="12.75">
      <c r="A1205" s="2">
        <v>43885.250960648147</v>
      </c>
      <c r="B1205" t="str">
        <f>HYPERLINK("https://twitter.com/hadian0211","@hadian0211")</f>
        <v>@hadian0211</v>
      </c>
      <c r="C1205" t="s">
        <v>2166</v>
      </c>
      <c r="D1205">
        <v>243</v>
      </c>
      <c r="E1205">
        <v>0</v>
      </c>
      <c r="F1205">
        <v>15</v>
      </c>
    </row>
    <row r="1206" spans="1:6" ht="12.75">
      <c r="A1206" s="2">
        <v>43885.250659722224</v>
      </c>
      <c r="B1206" t="str">
        <f>HYPERLINK("https://twitter.com/MurakamiShouzi","@MurakamiShouzi")</f>
        <v>@MurakamiShouzi</v>
      </c>
      <c r="C1206" t="s">
        <v>738</v>
      </c>
      <c r="D1206">
        <v>168</v>
      </c>
      <c r="E1206">
        <v>0</v>
      </c>
      <c r="F1206">
        <v>56</v>
      </c>
    </row>
    <row r="1207" spans="1:6" ht="12.75">
      <c r="A1207" s="2">
        <v>43885.249374999999</v>
      </c>
      <c r="B1207" t="str">
        <f>HYPERLINK("https://twitter.com/everblue1970","@everblue1970")</f>
        <v>@everblue1970</v>
      </c>
      <c r="C1207" t="s">
        <v>2115</v>
      </c>
      <c r="D1207">
        <v>56</v>
      </c>
      <c r="E1207">
        <v>0</v>
      </c>
      <c r="F1207">
        <v>265</v>
      </c>
    </row>
    <row r="1208" spans="1:6" ht="12.75">
      <c r="A1208" s="2">
        <v>43885.249120370368</v>
      </c>
      <c r="B1208" t="str">
        <f>HYPERLINK("https://twitter.com/tm_arief","@tm_arief")</f>
        <v>@tm_arief</v>
      </c>
      <c r="C1208" t="s">
        <v>321</v>
      </c>
      <c r="D1208">
        <v>1342</v>
      </c>
      <c r="E1208">
        <v>0</v>
      </c>
      <c r="F1208">
        <v>50</v>
      </c>
    </row>
    <row r="1209" spans="1:6" ht="12.75">
      <c r="A1209" s="2">
        <v>43885.248541666668</v>
      </c>
      <c r="B1209" t="str">
        <f t="shared" ref="B1209:B1210" si="30">HYPERLINK("https://twitter.com/bebe1129pita","@bebe1129pita")</f>
        <v>@bebe1129pita</v>
      </c>
      <c r="C1209" t="s">
        <v>2115</v>
      </c>
      <c r="D1209">
        <v>56</v>
      </c>
      <c r="E1209">
        <v>0</v>
      </c>
      <c r="F1209">
        <v>849</v>
      </c>
    </row>
    <row r="1210" spans="1:6" ht="12.75">
      <c r="A1210" s="2">
        <v>43885.248148148152</v>
      </c>
      <c r="B1210" t="str">
        <f t="shared" si="30"/>
        <v>@bebe1129pita</v>
      </c>
      <c r="C1210" t="s">
        <v>738</v>
      </c>
      <c r="D1210">
        <v>168</v>
      </c>
      <c r="E1210">
        <v>0</v>
      </c>
      <c r="F1210">
        <v>849</v>
      </c>
    </row>
    <row r="1211" spans="1:6" ht="12.75">
      <c r="A1211" s="2">
        <v>43885.247337962966</v>
      </c>
      <c r="B1211" t="str">
        <f>HYPERLINK("https://twitter.com/hayachineusuyu1","@hayachineusuyu1")</f>
        <v>@hayachineusuyu1</v>
      </c>
      <c r="C1211" t="s">
        <v>738</v>
      </c>
      <c r="D1211">
        <v>168</v>
      </c>
      <c r="E1211">
        <v>0</v>
      </c>
      <c r="F1211">
        <v>1658</v>
      </c>
    </row>
    <row r="1212" spans="1:6" ht="12.75">
      <c r="A1212" s="2">
        <v>43885.247118055559</v>
      </c>
      <c r="B1212" t="str">
        <f>HYPERLINK("https://twitter.com/cfm_mc21","@cfm_mc21")</f>
        <v>@cfm_mc21</v>
      </c>
      <c r="C1212" t="s">
        <v>738</v>
      </c>
      <c r="D1212">
        <v>168</v>
      </c>
      <c r="E1212">
        <v>0</v>
      </c>
      <c r="F1212">
        <v>745</v>
      </c>
    </row>
    <row r="1213" spans="1:6" ht="12.75">
      <c r="A1213" s="2">
        <v>43885.246504629627</v>
      </c>
      <c r="B1213" t="str">
        <f>HYPERLINK("https://twitter.com/indiraDharma","@indiraDharma")</f>
        <v>@indiraDharma</v>
      </c>
      <c r="C1213" t="s">
        <v>2599</v>
      </c>
      <c r="D1213">
        <v>0</v>
      </c>
      <c r="E1213">
        <v>0</v>
      </c>
      <c r="F1213">
        <v>1396</v>
      </c>
    </row>
    <row r="1214" spans="1:6" ht="12.75">
      <c r="A1214" s="2">
        <v>43885.246446759258</v>
      </c>
      <c r="B1214" t="str">
        <f>HYPERLINK("https://twitter.com/NUGROS13","@NUGROS13")</f>
        <v>@NUGROS13</v>
      </c>
      <c r="C1214" t="s">
        <v>2166</v>
      </c>
      <c r="D1214">
        <v>243</v>
      </c>
      <c r="E1214">
        <v>0</v>
      </c>
      <c r="F1214">
        <v>829</v>
      </c>
    </row>
    <row r="1215" spans="1:6" ht="12.75">
      <c r="A1215" s="2">
        <v>43885.246261574073</v>
      </c>
      <c r="B1215" t="str">
        <f>HYPERLINK("https://twitter.com/Bravo_19PAS","@Bravo_19PAS")</f>
        <v>@Bravo_19PAS</v>
      </c>
      <c r="C1215" t="s">
        <v>2166</v>
      </c>
      <c r="D1215">
        <v>243</v>
      </c>
      <c r="E1215">
        <v>0</v>
      </c>
      <c r="F1215">
        <v>4117</v>
      </c>
    </row>
    <row r="1216" spans="1:6" ht="12.75">
      <c r="A1216" s="2">
        <v>43885.244872685187</v>
      </c>
      <c r="B1216" t="str">
        <f>HYPERLINK("https://twitter.com/LaelaAmien","@LaelaAmien")</f>
        <v>@LaelaAmien</v>
      </c>
      <c r="C1216" t="s">
        <v>2434</v>
      </c>
      <c r="D1216">
        <v>7</v>
      </c>
      <c r="E1216">
        <v>0</v>
      </c>
      <c r="F1216">
        <v>806</v>
      </c>
    </row>
    <row r="1217" spans="1:6" ht="12.75">
      <c r="A1217" s="2">
        <v>43885.244479166664</v>
      </c>
      <c r="B1217" t="str">
        <f>HYPERLINK("https://twitter.com/Faryandi1","@Faryandi1")</f>
        <v>@Faryandi1</v>
      </c>
      <c r="C1217" t="s">
        <v>321</v>
      </c>
      <c r="D1217">
        <v>1342</v>
      </c>
      <c r="E1217">
        <v>0</v>
      </c>
      <c r="F1217">
        <v>16</v>
      </c>
    </row>
    <row r="1218" spans="1:6" ht="12.75">
      <c r="A1218" s="2">
        <v>43885.244409722218</v>
      </c>
      <c r="B1218" t="str">
        <f>HYPERLINK("https://twitter.com/kazuhat","@kazuhat")</f>
        <v>@kazuhat</v>
      </c>
      <c r="C1218" t="s">
        <v>738</v>
      </c>
      <c r="D1218">
        <v>168</v>
      </c>
      <c r="E1218">
        <v>0</v>
      </c>
      <c r="F1218">
        <v>383</v>
      </c>
    </row>
    <row r="1219" spans="1:6" ht="12.75">
      <c r="A1219" s="2">
        <v>43885.243807870371</v>
      </c>
      <c r="B1219" t="str">
        <f t="shared" ref="B1219:B1220" si="31">HYPERLINK("https://twitter.com/oP5lQMwpEeTL6ov","@oP5lQMwpEeTL6ov")</f>
        <v>@oP5lQMwpEeTL6ov</v>
      </c>
      <c r="C1219" t="s">
        <v>2115</v>
      </c>
      <c r="D1219">
        <v>56</v>
      </c>
      <c r="E1219">
        <v>0</v>
      </c>
      <c r="F1219">
        <v>244</v>
      </c>
    </row>
    <row r="1220" spans="1:6" ht="12.75">
      <c r="A1220" s="2">
        <v>43885.243668981479</v>
      </c>
      <c r="B1220" t="str">
        <f t="shared" si="31"/>
        <v>@oP5lQMwpEeTL6ov</v>
      </c>
      <c r="C1220" t="s">
        <v>321</v>
      </c>
      <c r="D1220">
        <v>1342</v>
      </c>
      <c r="E1220">
        <v>0</v>
      </c>
      <c r="F1220">
        <v>244</v>
      </c>
    </row>
    <row r="1221" spans="1:6" ht="12.75">
      <c r="A1221" s="2">
        <v>43885.243576388893</v>
      </c>
      <c r="B1221" t="str">
        <f>HYPERLINK("https://twitter.com/dimkaka_kaka95","@dimkaka_kaka95")</f>
        <v>@dimkaka_kaka95</v>
      </c>
      <c r="C1221" t="s">
        <v>2166</v>
      </c>
      <c r="D1221">
        <v>243</v>
      </c>
      <c r="E1221">
        <v>0</v>
      </c>
      <c r="F1221">
        <v>210</v>
      </c>
    </row>
    <row r="1222" spans="1:6" ht="12.75">
      <c r="A1222" s="2">
        <v>43885.24319444444</v>
      </c>
      <c r="B1222" t="str">
        <f>HYPERLINK("https://twitter.com/konyokeisyuke","@konyokeisyuke")</f>
        <v>@konyokeisyuke</v>
      </c>
      <c r="C1222" t="s">
        <v>738</v>
      </c>
      <c r="D1222">
        <v>168</v>
      </c>
      <c r="E1222">
        <v>0</v>
      </c>
      <c r="F1222">
        <v>241</v>
      </c>
    </row>
    <row r="1223" spans="1:6" ht="12.75">
      <c r="A1223" s="2">
        <v>43885.243148148147</v>
      </c>
      <c r="B1223" t="str">
        <f>HYPERLINK("https://twitter.com/LaurensioAbram","@LaurensioAbram")</f>
        <v>@LaurensioAbram</v>
      </c>
      <c r="C1223" t="s">
        <v>2600</v>
      </c>
      <c r="D1223">
        <v>25</v>
      </c>
      <c r="E1223">
        <v>0</v>
      </c>
      <c r="F1223">
        <v>253</v>
      </c>
    </row>
    <row r="1224" spans="1:6" ht="12.75">
      <c r="A1224" s="2">
        <v>43885.2424537037</v>
      </c>
      <c r="B1224" t="str">
        <f>HYPERLINK("https://twitter.com/1Kxoqe5xIQU7Srx","@1Kxoqe5xIQU7Srx")</f>
        <v>@1Kxoqe5xIQU7Srx</v>
      </c>
      <c r="C1224" t="s">
        <v>738</v>
      </c>
      <c r="D1224">
        <v>168</v>
      </c>
      <c r="E1224">
        <v>0</v>
      </c>
      <c r="F1224">
        <v>165</v>
      </c>
    </row>
    <row r="1225" spans="1:6" ht="12.75">
      <c r="A1225" s="2">
        <v>43885.242060185185</v>
      </c>
      <c r="B1225" t="str">
        <f>HYPERLINK("https://twitter.com/ripanikoto74","@ripanikoto74")</f>
        <v>@ripanikoto74</v>
      </c>
      <c r="C1225" t="s">
        <v>321</v>
      </c>
      <c r="D1225">
        <v>1342</v>
      </c>
      <c r="E1225">
        <v>0</v>
      </c>
      <c r="F1225">
        <v>326</v>
      </c>
    </row>
    <row r="1226" spans="1:6" ht="12.75">
      <c r="A1226" s="2">
        <v>43885.241655092592</v>
      </c>
      <c r="B1226" t="str">
        <f>HYPERLINK("https://twitter.com/oP5lQMwpEeTL6ov","@oP5lQMwpEeTL6ov")</f>
        <v>@oP5lQMwpEeTL6ov</v>
      </c>
      <c r="C1226" t="s">
        <v>738</v>
      </c>
      <c r="D1226">
        <v>168</v>
      </c>
      <c r="E1226">
        <v>0</v>
      </c>
      <c r="F1226">
        <v>244</v>
      </c>
    </row>
    <row r="1227" spans="1:6" ht="12.75">
      <c r="A1227" s="2">
        <v>43885.24155092593</v>
      </c>
      <c r="B1227" t="str">
        <f t="shared" ref="B1227:B1228" si="32">HYPERLINK("https://twitter.com/hideronaudo","@hideronaudo")</f>
        <v>@hideronaudo</v>
      </c>
      <c r="C1227" t="s">
        <v>2115</v>
      </c>
      <c r="D1227">
        <v>56</v>
      </c>
      <c r="E1227">
        <v>0</v>
      </c>
      <c r="F1227">
        <v>1250</v>
      </c>
    </row>
    <row r="1228" spans="1:6" ht="12.75">
      <c r="A1228" s="2">
        <v>43885.24118055556</v>
      </c>
      <c r="B1228" t="str">
        <f t="shared" si="32"/>
        <v>@hideronaudo</v>
      </c>
      <c r="C1228" t="s">
        <v>738</v>
      </c>
      <c r="D1228">
        <v>168</v>
      </c>
      <c r="E1228">
        <v>0</v>
      </c>
      <c r="F1228">
        <v>1250</v>
      </c>
    </row>
    <row r="1229" spans="1:6" ht="12.75">
      <c r="A1229" s="2">
        <v>43885.241064814814</v>
      </c>
      <c r="B1229" t="str">
        <f>HYPERLINK("https://twitter.com/BustamyKarmen","@BustamyKarmen")</f>
        <v>@BustamyKarmen</v>
      </c>
      <c r="C1229" t="s">
        <v>2601</v>
      </c>
      <c r="D1229">
        <v>0</v>
      </c>
      <c r="E1229">
        <v>0</v>
      </c>
      <c r="F1229">
        <v>0</v>
      </c>
    </row>
    <row r="1230" spans="1:6" ht="12.75">
      <c r="A1230" s="2">
        <v>43885.241041666668</v>
      </c>
      <c r="B1230" t="str">
        <f>HYPERLINK("https://twitter.com/ranioktaviani92","@ranioktaviani92")</f>
        <v>@ranioktaviani92</v>
      </c>
      <c r="C1230" t="s">
        <v>2089</v>
      </c>
      <c r="D1230">
        <v>0</v>
      </c>
      <c r="E1230">
        <v>0</v>
      </c>
      <c r="F1230">
        <v>24</v>
      </c>
    </row>
    <row r="1231" spans="1:6" ht="12.75">
      <c r="A1231" s="2">
        <v>43885.240902777776</v>
      </c>
      <c r="B1231" t="str">
        <f>HYPERLINK("https://twitter.com/otamendl_kym","@otamendl_kym")</f>
        <v>@otamendl_kym</v>
      </c>
      <c r="C1231" t="s">
        <v>738</v>
      </c>
      <c r="D1231">
        <v>168</v>
      </c>
      <c r="E1231">
        <v>0</v>
      </c>
      <c r="F1231">
        <v>125</v>
      </c>
    </row>
    <row r="1232" spans="1:6" ht="12.75">
      <c r="A1232" s="2">
        <v>43885.240682870368</v>
      </c>
      <c r="B1232" t="str">
        <f>HYPERLINK("https://twitter.com/AbdullahBanjari","@AbdullahBanjari")</f>
        <v>@AbdullahBanjari</v>
      </c>
      <c r="C1232" t="s">
        <v>2166</v>
      </c>
      <c r="D1232">
        <v>243</v>
      </c>
      <c r="E1232">
        <v>0</v>
      </c>
      <c r="F1232">
        <v>171</v>
      </c>
    </row>
    <row r="1233" spans="1:6" ht="12.75">
      <c r="A1233" s="2">
        <v>43885.240659722222</v>
      </c>
      <c r="B1233" t="str">
        <f>HYPERLINK("https://twitter.com/Take22571888","@Take22571888")</f>
        <v>@Take22571888</v>
      </c>
      <c r="C1233" t="s">
        <v>738</v>
      </c>
      <c r="D1233">
        <v>168</v>
      </c>
      <c r="E1233">
        <v>0</v>
      </c>
      <c r="F1233">
        <v>632</v>
      </c>
    </row>
    <row r="1234" spans="1:6" ht="12.75">
      <c r="A1234" s="2">
        <v>43885.240173611106</v>
      </c>
      <c r="B1234" t="str">
        <f>HYPERLINK("https://twitter.com/aria_kamandanu","@aria_kamandanu")</f>
        <v>@aria_kamandanu</v>
      </c>
      <c r="C1234" t="s">
        <v>2166</v>
      </c>
      <c r="D1234">
        <v>243</v>
      </c>
      <c r="E1234">
        <v>0</v>
      </c>
      <c r="F1234">
        <v>99</v>
      </c>
    </row>
    <row r="1235" spans="1:6" ht="12.75">
      <c r="A1235" s="2">
        <v>43885.240127314813</v>
      </c>
      <c r="B1235" t="str">
        <f>HYPERLINK("https://twitter.com/Usmanul2","@Usmanul2")</f>
        <v>@Usmanul2</v>
      </c>
      <c r="C1235" t="s">
        <v>321</v>
      </c>
      <c r="D1235">
        <v>1342</v>
      </c>
      <c r="E1235">
        <v>0</v>
      </c>
      <c r="F1235">
        <v>47</v>
      </c>
    </row>
    <row r="1236" spans="1:6" ht="12.75">
      <c r="A1236" s="2">
        <v>43885.239155092597</v>
      </c>
      <c r="B1236" t="str">
        <f>HYPERLINK("https://twitter.com/KavindraOemar","@KavindraOemar")</f>
        <v>@KavindraOemar</v>
      </c>
      <c r="C1236" t="s">
        <v>2120</v>
      </c>
      <c r="D1236">
        <v>51</v>
      </c>
      <c r="E1236">
        <v>0</v>
      </c>
      <c r="F1236">
        <v>3691</v>
      </c>
    </row>
    <row r="1237" spans="1:6" ht="12.75">
      <c r="A1237" s="2">
        <v>43885.238958333328</v>
      </c>
      <c r="B1237" t="str">
        <f>HYPERLINK("https://twitter.com/lon3cat","@lon3cat")</f>
        <v>@lon3cat</v>
      </c>
      <c r="C1237" t="s">
        <v>321</v>
      </c>
      <c r="D1237">
        <v>1342</v>
      </c>
      <c r="E1237">
        <v>0</v>
      </c>
      <c r="F1237">
        <v>974</v>
      </c>
    </row>
    <row r="1238" spans="1:6" ht="12.75">
      <c r="A1238" s="2">
        <v>43885.238946759258</v>
      </c>
      <c r="B1238" t="str">
        <f>HYPERLINK("https://twitter.com/Sir__md","@Sir__md")</f>
        <v>@Sir__md</v>
      </c>
      <c r="C1238" t="s">
        <v>2602</v>
      </c>
      <c r="D1238">
        <v>0</v>
      </c>
      <c r="E1238">
        <v>2</v>
      </c>
      <c r="F1238">
        <v>23303</v>
      </c>
    </row>
    <row r="1239" spans="1:6" ht="12.75">
      <c r="A1239" s="2">
        <v>43885.238946759258</v>
      </c>
      <c r="B1239" t="str">
        <f>HYPERLINK("https://twitter.com/KavindraOemar","@KavindraOemar")</f>
        <v>@KavindraOemar</v>
      </c>
      <c r="C1239" t="s">
        <v>738</v>
      </c>
      <c r="D1239">
        <v>168</v>
      </c>
      <c r="E1239">
        <v>0</v>
      </c>
      <c r="F1239">
        <v>3691</v>
      </c>
    </row>
    <row r="1240" spans="1:6" ht="12.75">
      <c r="A1240" s="2">
        <v>43885.238923611112</v>
      </c>
      <c r="B1240" t="str">
        <f>HYPERLINK("https://twitter.com/agungmyID","@agungmyID")</f>
        <v>@agungmyID</v>
      </c>
      <c r="C1240" t="s">
        <v>321</v>
      </c>
      <c r="D1240">
        <v>1342</v>
      </c>
      <c r="E1240">
        <v>0</v>
      </c>
      <c r="F1240">
        <v>387</v>
      </c>
    </row>
    <row r="1241" spans="1:6" ht="12.75">
      <c r="A1241" s="2">
        <v>43885.238738425927</v>
      </c>
      <c r="B1241" t="str">
        <f>HYPERLINK("https://twitter.com/KavindraOemar","@KavindraOemar")</f>
        <v>@KavindraOemar</v>
      </c>
      <c r="C1241" t="s">
        <v>321</v>
      </c>
      <c r="D1241">
        <v>1342</v>
      </c>
      <c r="E1241">
        <v>0</v>
      </c>
      <c r="F1241">
        <v>3691</v>
      </c>
    </row>
    <row r="1242" spans="1:6" ht="12.75">
      <c r="A1242" s="2">
        <v>43885.238182870366</v>
      </c>
      <c r="B1242" t="str">
        <f>HYPERLINK("https://twitter.com/ekopurwanto83","@ekopurwanto83")</f>
        <v>@ekopurwanto83</v>
      </c>
      <c r="C1242" t="s">
        <v>321</v>
      </c>
      <c r="D1242">
        <v>1342</v>
      </c>
      <c r="E1242">
        <v>0</v>
      </c>
      <c r="F1242">
        <v>76</v>
      </c>
    </row>
    <row r="1243" spans="1:6" ht="12.75">
      <c r="A1243" s="2">
        <v>43885.237824074073</v>
      </c>
      <c r="B1243" t="str">
        <f>HYPERLINK("https://twitter.com/rusdi8181","@rusdi8181")</f>
        <v>@rusdi8181</v>
      </c>
      <c r="C1243" t="s">
        <v>2091</v>
      </c>
      <c r="D1243">
        <v>895</v>
      </c>
      <c r="E1243">
        <v>0</v>
      </c>
      <c r="F1243">
        <v>1029</v>
      </c>
    </row>
    <row r="1244" spans="1:6" ht="12.75">
      <c r="A1244" s="2">
        <v>43885.236944444448</v>
      </c>
      <c r="B1244" t="str">
        <f>HYPERLINK("https://twitter.com/KawamuraSachiko","@KawamuraSachiko")</f>
        <v>@KawamuraSachiko</v>
      </c>
      <c r="C1244" t="s">
        <v>321</v>
      </c>
      <c r="D1244">
        <v>1342</v>
      </c>
      <c r="E1244">
        <v>0</v>
      </c>
      <c r="F1244">
        <v>225</v>
      </c>
    </row>
    <row r="1245" spans="1:6" ht="12.75">
      <c r="A1245" s="2">
        <v>43885.236793981487</v>
      </c>
      <c r="B1245" t="str">
        <f>HYPERLINK("https://twitter.com/TiaraNovita20","@TiaraNovita20")</f>
        <v>@TiaraNovita20</v>
      </c>
      <c r="C1245" t="s">
        <v>177</v>
      </c>
      <c r="D1245">
        <v>827</v>
      </c>
      <c r="E1245">
        <v>0</v>
      </c>
      <c r="F1245">
        <v>654</v>
      </c>
    </row>
    <row r="1246" spans="1:6" ht="12.75">
      <c r="A1246" s="2">
        <v>43885.236516203702</v>
      </c>
      <c r="B1246" t="str">
        <f>HYPERLINK("https://twitter.com/Medan9408","@Medan9408")</f>
        <v>@Medan9408</v>
      </c>
      <c r="C1246" t="s">
        <v>2091</v>
      </c>
      <c r="D1246">
        <v>895</v>
      </c>
      <c r="E1246">
        <v>0</v>
      </c>
      <c r="F1246">
        <v>7237</v>
      </c>
    </row>
    <row r="1247" spans="1:6" ht="12.75">
      <c r="A1247" s="2">
        <v>43885.236122685186</v>
      </c>
      <c r="B1247" t="str">
        <f>HYPERLINK("https://twitter.com/achingjpl","@achingjpl")</f>
        <v>@achingjpl</v>
      </c>
      <c r="C1247" t="s">
        <v>2603</v>
      </c>
      <c r="D1247">
        <v>1</v>
      </c>
      <c r="E1247">
        <v>0</v>
      </c>
      <c r="F1247">
        <v>315</v>
      </c>
    </row>
    <row r="1248" spans="1:6" ht="12.75">
      <c r="A1248" s="2">
        <v>43885.235844907409</v>
      </c>
      <c r="B1248" t="str">
        <f>HYPERLINK("https://twitter.com/jin_bou","@jin_bou")</f>
        <v>@jin_bou</v>
      </c>
      <c r="C1248" t="s">
        <v>738</v>
      </c>
      <c r="D1248">
        <v>168</v>
      </c>
      <c r="E1248">
        <v>0</v>
      </c>
      <c r="F1248">
        <v>1227</v>
      </c>
    </row>
    <row r="1249" spans="1:6" ht="12.75">
      <c r="A1249" s="2">
        <v>43885.234861111108</v>
      </c>
      <c r="B1249" t="str">
        <f>HYPERLINK("https://twitter.com/achingjpl","@achingjpl")</f>
        <v>@achingjpl</v>
      </c>
      <c r="C1249" t="s">
        <v>2604</v>
      </c>
      <c r="D1249">
        <v>1</v>
      </c>
      <c r="E1249">
        <v>0</v>
      </c>
      <c r="F1249">
        <v>315</v>
      </c>
    </row>
    <row r="1250" spans="1:6" ht="12.75">
      <c r="A1250" s="2">
        <v>43885.234236111108</v>
      </c>
      <c r="B1250" t="str">
        <f>HYPERLINK("https://twitter.com/0rMckpp3jNaK9pM","@0rMckpp3jNaK9pM")</f>
        <v>@0rMckpp3jNaK9pM</v>
      </c>
      <c r="C1250" t="s">
        <v>738</v>
      </c>
      <c r="D1250">
        <v>168</v>
      </c>
      <c r="E1250">
        <v>0</v>
      </c>
      <c r="F1250">
        <v>57</v>
      </c>
    </row>
    <row r="1251" spans="1:6" ht="12.75">
      <c r="A1251" s="2">
        <v>43885.233969907407</v>
      </c>
      <c r="B1251" t="str">
        <f>HYPERLINK("https://twitter.com/sG2HKcGFDqjOWat","@sG2HKcGFDqjOWat")</f>
        <v>@sG2HKcGFDqjOWat</v>
      </c>
      <c r="C1251" t="s">
        <v>321</v>
      </c>
      <c r="D1251">
        <v>1342</v>
      </c>
      <c r="E1251">
        <v>0</v>
      </c>
      <c r="F1251">
        <v>882</v>
      </c>
    </row>
    <row r="1252" spans="1:6" ht="12.75">
      <c r="A1252" s="2">
        <v>43885.233888888892</v>
      </c>
      <c r="B1252" t="str">
        <f>HYPERLINK("https://twitter.com/translatorbali","@translatorbali")</f>
        <v>@translatorbali</v>
      </c>
      <c r="C1252" t="s">
        <v>2605</v>
      </c>
      <c r="D1252">
        <v>1</v>
      </c>
      <c r="E1252">
        <v>0</v>
      </c>
      <c r="F1252">
        <v>3865</v>
      </c>
    </row>
    <row r="1253" spans="1:6" ht="12.75">
      <c r="A1253" s="2">
        <v>43885.233877314815</v>
      </c>
      <c r="B1253" t="str">
        <f>HYPERLINK("https://twitter.com/BIndrawati","@BIndrawati")</f>
        <v>@BIndrawati</v>
      </c>
      <c r="C1253" t="s">
        <v>2091</v>
      </c>
      <c r="D1253">
        <v>895</v>
      </c>
      <c r="E1253">
        <v>0</v>
      </c>
      <c r="F1253">
        <v>414</v>
      </c>
    </row>
    <row r="1254" spans="1:6" ht="12.75">
      <c r="A1254" s="2">
        <v>43885.233761574069</v>
      </c>
      <c r="B1254" t="str">
        <f>HYPERLINK("https://twitter.com/translatorbali","@translatorbali")</f>
        <v>@translatorbali</v>
      </c>
      <c r="C1254" t="s">
        <v>2606</v>
      </c>
      <c r="D1254">
        <v>1</v>
      </c>
      <c r="E1254">
        <v>1</v>
      </c>
      <c r="F1254">
        <v>3865</v>
      </c>
    </row>
    <row r="1255" spans="1:6" ht="12.75">
      <c r="A1255" s="2">
        <v>43885.233564814815</v>
      </c>
      <c r="B1255" t="str">
        <f>HYPERLINK("https://twitter.com/badir03","@badir03")</f>
        <v>@badir03</v>
      </c>
      <c r="C1255" t="s">
        <v>2166</v>
      </c>
      <c r="D1255">
        <v>243</v>
      </c>
      <c r="E1255">
        <v>0</v>
      </c>
      <c r="F1255">
        <v>270</v>
      </c>
    </row>
    <row r="1256" spans="1:6" ht="12.75">
      <c r="A1256" s="2">
        <v>43885.232662037037</v>
      </c>
      <c r="B1256" t="str">
        <f>HYPERLINK("https://twitter.com/darmajasa","@darmajasa")</f>
        <v>@darmajasa</v>
      </c>
      <c r="C1256" t="s">
        <v>2166</v>
      </c>
      <c r="D1256">
        <v>243</v>
      </c>
      <c r="E1256">
        <v>0</v>
      </c>
      <c r="F1256">
        <v>436</v>
      </c>
    </row>
    <row r="1257" spans="1:6" ht="12.75">
      <c r="A1257" s="2">
        <v>43885.232546296298</v>
      </c>
      <c r="B1257" t="str">
        <f>HYPERLINK("https://twitter.com/RsRs26767107","@RsRs26767107")</f>
        <v>@RsRs26767107</v>
      </c>
      <c r="C1257" t="s">
        <v>2091</v>
      </c>
      <c r="D1257">
        <v>895</v>
      </c>
      <c r="E1257">
        <v>0</v>
      </c>
      <c r="F1257">
        <v>26</v>
      </c>
    </row>
    <row r="1258" spans="1:6" ht="12.75">
      <c r="A1258" s="2">
        <v>43885.232175925921</v>
      </c>
      <c r="B1258" t="str">
        <f>HYPERLINK("https://twitter.com/adefaizin99","@adefaizin99")</f>
        <v>@adefaizin99</v>
      </c>
      <c r="C1258" t="s">
        <v>2153</v>
      </c>
      <c r="D1258">
        <v>364</v>
      </c>
      <c r="E1258">
        <v>0</v>
      </c>
      <c r="F1258">
        <v>56</v>
      </c>
    </row>
    <row r="1259" spans="1:6" ht="12.75">
      <c r="A1259" s="2">
        <v>43885.231145833328</v>
      </c>
      <c r="B1259" t="str">
        <f>HYPERLINK("https://twitter.com/meymeeymeeey","@meymeeymeeey")</f>
        <v>@meymeeymeeey</v>
      </c>
      <c r="C1259" t="s">
        <v>738</v>
      </c>
      <c r="D1259">
        <v>168</v>
      </c>
      <c r="E1259">
        <v>0</v>
      </c>
      <c r="F1259">
        <v>26</v>
      </c>
    </row>
    <row r="1260" spans="1:6" ht="12.75">
      <c r="A1260" s="2">
        <v>43885.230057870373</v>
      </c>
      <c r="B1260" t="str">
        <f>HYPERLINK("https://twitter.com/herman1702","@herman1702")</f>
        <v>@herman1702</v>
      </c>
      <c r="C1260" t="s">
        <v>2434</v>
      </c>
      <c r="D1260">
        <v>7</v>
      </c>
      <c r="E1260">
        <v>0</v>
      </c>
      <c r="F1260">
        <v>192</v>
      </c>
    </row>
    <row r="1261" spans="1:6" ht="12.75">
      <c r="A1261" s="2">
        <v>43885.229768518519</v>
      </c>
      <c r="B1261" t="str">
        <f>HYPERLINK("https://twitter.com/DesyaPurnama2","@DesyaPurnama2")</f>
        <v>@DesyaPurnama2</v>
      </c>
      <c r="C1261" t="s">
        <v>2166</v>
      </c>
      <c r="D1261">
        <v>243</v>
      </c>
      <c r="E1261">
        <v>0</v>
      </c>
      <c r="F1261">
        <v>322</v>
      </c>
    </row>
    <row r="1262" spans="1:6" ht="12.75">
      <c r="A1262" s="2">
        <v>43885.229733796295</v>
      </c>
      <c r="B1262" t="str">
        <f>HYPERLINK("https://twitter.com/WinWinardi2","@WinWinardi2")</f>
        <v>@WinWinardi2</v>
      </c>
      <c r="C1262" t="s">
        <v>2091</v>
      </c>
      <c r="D1262">
        <v>895</v>
      </c>
      <c r="E1262">
        <v>0</v>
      </c>
      <c r="F1262">
        <v>402</v>
      </c>
    </row>
    <row r="1263" spans="1:6" ht="12.75">
      <c r="A1263" s="2">
        <v>43885.229699074072</v>
      </c>
      <c r="B1263" t="str">
        <f>HYPERLINK("https://twitter.com/artiningrum","@artiningrum")</f>
        <v>@artiningrum</v>
      </c>
      <c r="C1263" t="s">
        <v>2091</v>
      </c>
      <c r="D1263">
        <v>895</v>
      </c>
      <c r="E1263">
        <v>0</v>
      </c>
      <c r="F1263">
        <v>226</v>
      </c>
    </row>
    <row r="1264" spans="1:6" ht="12.75">
      <c r="A1264" s="2">
        <v>43885.229166666672</v>
      </c>
      <c r="B1264" t="str">
        <f>HYPERLINK("https://twitter.com/MeTubeID","@MeTubeID")</f>
        <v>@MeTubeID</v>
      </c>
      <c r="C1264" t="s">
        <v>2104</v>
      </c>
      <c r="D1264">
        <v>0</v>
      </c>
      <c r="E1264">
        <v>0</v>
      </c>
      <c r="F1264">
        <v>6305</v>
      </c>
    </row>
    <row r="1265" spans="1:6" ht="12.75">
      <c r="A1265" s="2">
        <v>43885.228229166663</v>
      </c>
      <c r="B1265" t="str">
        <f>HYPERLINK("https://twitter.com/igaragaran","@igaragaran")</f>
        <v>@igaragaran</v>
      </c>
      <c r="C1265" t="s">
        <v>2120</v>
      </c>
      <c r="D1265">
        <v>51</v>
      </c>
      <c r="E1265">
        <v>0</v>
      </c>
      <c r="F1265">
        <v>223</v>
      </c>
    </row>
    <row r="1266" spans="1:6" ht="12.75">
      <c r="A1266" s="2">
        <v>43885.228206018517</v>
      </c>
      <c r="B1266" t="str">
        <f>HYPERLINK("https://twitter.com/imokinwoah","@imokinwoah")</f>
        <v>@imokinwoah</v>
      </c>
      <c r="C1266" t="s">
        <v>2091</v>
      </c>
      <c r="D1266">
        <v>895</v>
      </c>
      <c r="E1266">
        <v>0</v>
      </c>
      <c r="F1266">
        <v>262</v>
      </c>
    </row>
    <row r="1267" spans="1:6" ht="12.75">
      <c r="A1267" s="2">
        <v>43885.228206018517</v>
      </c>
      <c r="B1267" t="str">
        <f t="shared" ref="B1267:B1268" si="33">HYPERLINK("https://twitter.com/igaragaran","@igaragaran")</f>
        <v>@igaragaran</v>
      </c>
      <c r="C1267" t="s">
        <v>2115</v>
      </c>
      <c r="D1267">
        <v>56</v>
      </c>
      <c r="E1267">
        <v>0</v>
      </c>
      <c r="F1267">
        <v>223</v>
      </c>
    </row>
    <row r="1268" spans="1:6" ht="12.75">
      <c r="A1268" s="2">
        <v>43885.228032407409</v>
      </c>
      <c r="B1268" t="str">
        <f t="shared" si="33"/>
        <v>@igaragaran</v>
      </c>
      <c r="C1268" t="s">
        <v>738</v>
      </c>
      <c r="D1268">
        <v>168</v>
      </c>
      <c r="E1268">
        <v>0</v>
      </c>
      <c r="F1268">
        <v>223</v>
      </c>
    </row>
    <row r="1269" spans="1:6" ht="12.75">
      <c r="A1269" s="2">
        <v>43885.227847222224</v>
      </c>
      <c r="B1269" t="str">
        <f>HYPERLINK("https://twitter.com/as_Smr","@as_Smr")</f>
        <v>@as_Smr</v>
      </c>
      <c r="C1269" t="s">
        <v>2091</v>
      </c>
      <c r="D1269">
        <v>895</v>
      </c>
      <c r="E1269">
        <v>0</v>
      </c>
      <c r="F1269">
        <v>133</v>
      </c>
    </row>
    <row r="1270" spans="1:6" ht="12.75">
      <c r="A1270" s="2">
        <v>43885.227094907408</v>
      </c>
      <c r="B1270" t="str">
        <f t="shared" ref="B1270:B1271" si="34">HYPERLINK("https://twitter.com/Tuturprazz","@Tuturprazz")</f>
        <v>@Tuturprazz</v>
      </c>
      <c r="C1270" t="s">
        <v>2120</v>
      </c>
      <c r="D1270">
        <v>51</v>
      </c>
      <c r="E1270">
        <v>0</v>
      </c>
      <c r="F1270">
        <v>1207</v>
      </c>
    </row>
    <row r="1271" spans="1:6" ht="12.75">
      <c r="A1271" s="2">
        <v>43885.227037037039</v>
      </c>
      <c r="B1271" t="str">
        <f t="shared" si="34"/>
        <v>@Tuturprazz</v>
      </c>
      <c r="C1271" t="s">
        <v>2115</v>
      </c>
      <c r="D1271">
        <v>56</v>
      </c>
      <c r="E1271">
        <v>0</v>
      </c>
      <c r="F1271">
        <v>1207</v>
      </c>
    </row>
    <row r="1272" spans="1:6" ht="12.75">
      <c r="A1272" s="2">
        <v>43885.226956018523</v>
      </c>
      <c r="B1272" t="str">
        <f>HYPERLINK("https://twitter.com/jmertani","@jmertani")</f>
        <v>@jmertani</v>
      </c>
      <c r="C1272" t="s">
        <v>2166</v>
      </c>
      <c r="D1272">
        <v>243</v>
      </c>
      <c r="E1272">
        <v>0</v>
      </c>
      <c r="F1272">
        <v>226</v>
      </c>
    </row>
    <row r="1273" spans="1:6" ht="12.75">
      <c r="A1273" s="2">
        <v>43885.226944444439</v>
      </c>
      <c r="B1273" t="str">
        <f>HYPERLINK("https://twitter.com/Tuturprazz","@Tuturprazz")</f>
        <v>@Tuturprazz</v>
      </c>
      <c r="C1273" t="s">
        <v>738</v>
      </c>
      <c r="D1273">
        <v>168</v>
      </c>
      <c r="E1273">
        <v>0</v>
      </c>
      <c r="F1273">
        <v>1207</v>
      </c>
    </row>
    <row r="1274" spans="1:6" ht="12.75">
      <c r="A1274" s="2">
        <v>43885.226724537039</v>
      </c>
      <c r="B1274" t="str">
        <f>HYPERLINK("https://twitter.com/yohandewa","@yohandewa")</f>
        <v>@yohandewa</v>
      </c>
      <c r="C1274" t="s">
        <v>2607</v>
      </c>
      <c r="D1274">
        <v>0</v>
      </c>
      <c r="E1274">
        <v>1</v>
      </c>
      <c r="F1274">
        <v>3342</v>
      </c>
    </row>
    <row r="1275" spans="1:6" ht="12.75">
      <c r="A1275" s="2">
        <v>43885.226689814815</v>
      </c>
      <c r="B1275" t="str">
        <f>HYPERLINK("https://twitter.com/maGbOCQIHYKQifl","@maGbOCQIHYKQifl")</f>
        <v>@maGbOCQIHYKQifl</v>
      </c>
      <c r="C1275" t="s">
        <v>738</v>
      </c>
      <c r="D1275">
        <v>168</v>
      </c>
      <c r="E1275">
        <v>0</v>
      </c>
      <c r="F1275">
        <v>14</v>
      </c>
    </row>
    <row r="1276" spans="1:6" ht="12.75">
      <c r="A1276" s="2">
        <v>43885.226087962961</v>
      </c>
      <c r="B1276" t="str">
        <f>HYPERLINK("https://twitter.com/miemaneki","@miemaneki")</f>
        <v>@miemaneki</v>
      </c>
      <c r="C1276" t="s">
        <v>738</v>
      </c>
      <c r="D1276">
        <v>168</v>
      </c>
      <c r="E1276">
        <v>0</v>
      </c>
      <c r="F1276">
        <v>699</v>
      </c>
    </row>
    <row r="1277" spans="1:6" ht="12.75">
      <c r="A1277" s="2">
        <v>43885.225972222222</v>
      </c>
      <c r="B1277" t="str">
        <f>HYPERLINK("https://twitter.com/HardyEmcd","@HardyEmcd")</f>
        <v>@HardyEmcd</v>
      </c>
      <c r="C1277" t="s">
        <v>321</v>
      </c>
      <c r="D1277">
        <v>1342</v>
      </c>
      <c r="E1277">
        <v>0</v>
      </c>
      <c r="F1277">
        <v>599</v>
      </c>
    </row>
    <row r="1278" spans="1:6" ht="12.75">
      <c r="A1278" s="2">
        <v>43885.225740740745</v>
      </c>
      <c r="B1278" t="str">
        <f>HYPERLINK("https://twitter.com/SH13725006","@SH13725006")</f>
        <v>@SH13725006</v>
      </c>
      <c r="C1278" t="s">
        <v>2115</v>
      </c>
      <c r="D1278">
        <v>56</v>
      </c>
      <c r="E1278">
        <v>0</v>
      </c>
      <c r="F1278">
        <v>323</v>
      </c>
    </row>
    <row r="1279" spans="1:6" ht="12.75">
      <c r="A1279" s="2">
        <v>43885.225590277776</v>
      </c>
      <c r="B1279" t="str">
        <f>HYPERLINK("https://twitter.com/tewur666","@tewur666")</f>
        <v>@tewur666</v>
      </c>
      <c r="C1279" t="s">
        <v>2091</v>
      </c>
      <c r="D1279">
        <v>895</v>
      </c>
      <c r="E1279">
        <v>0</v>
      </c>
      <c r="F1279">
        <v>501</v>
      </c>
    </row>
    <row r="1280" spans="1:6" ht="12.75">
      <c r="A1280" s="2">
        <v>43885.22555555556</v>
      </c>
      <c r="B1280" t="str">
        <f>HYPERLINK("https://twitter.com/SH13725006","@SH13725006")</f>
        <v>@SH13725006</v>
      </c>
      <c r="C1280" t="s">
        <v>738</v>
      </c>
      <c r="D1280">
        <v>168</v>
      </c>
      <c r="E1280">
        <v>0</v>
      </c>
      <c r="F1280">
        <v>323</v>
      </c>
    </row>
    <row r="1281" spans="1:6" ht="12.75">
      <c r="A1281" s="2">
        <v>43885.225486111114</v>
      </c>
      <c r="B1281" t="str">
        <f>HYPERLINK("https://twitter.com/indrafirdaus","@indrafirdaus")</f>
        <v>@indrafirdaus</v>
      </c>
      <c r="C1281" t="s">
        <v>2608</v>
      </c>
      <c r="D1281">
        <v>0</v>
      </c>
      <c r="E1281">
        <v>0</v>
      </c>
      <c r="F1281">
        <v>487</v>
      </c>
    </row>
    <row r="1282" spans="1:6" ht="12.75">
      <c r="A1282" s="2">
        <v>43885.22519675926</v>
      </c>
      <c r="B1282" t="str">
        <f>HYPERLINK("https://twitter.com/koji1231arai","@koji1231arai")</f>
        <v>@koji1231arai</v>
      </c>
      <c r="C1282" t="s">
        <v>738</v>
      </c>
      <c r="D1282">
        <v>168</v>
      </c>
      <c r="E1282">
        <v>0</v>
      </c>
      <c r="F1282">
        <v>691</v>
      </c>
    </row>
    <row r="1283" spans="1:6" ht="12.75">
      <c r="A1283" s="2">
        <v>43885.225046296298</v>
      </c>
      <c r="B1283" t="str">
        <f>HYPERLINK("https://twitter.com/MAliSubhan2","@MAliSubhan2")</f>
        <v>@MAliSubhan2</v>
      </c>
      <c r="C1283" t="s">
        <v>2600</v>
      </c>
      <c r="D1283">
        <v>25</v>
      </c>
      <c r="E1283">
        <v>0</v>
      </c>
      <c r="F1283">
        <v>1183</v>
      </c>
    </row>
    <row r="1284" spans="1:6" ht="12.75">
      <c r="A1284" s="2">
        <v>43885.22383101852</v>
      </c>
      <c r="B1284" t="str">
        <f>HYPERLINK("https://twitter.com/KangmasRoho","@KangmasRoho")</f>
        <v>@KangmasRoho</v>
      </c>
      <c r="C1284" t="s">
        <v>2481</v>
      </c>
      <c r="D1284">
        <v>3</v>
      </c>
      <c r="E1284">
        <v>0</v>
      </c>
      <c r="F1284">
        <v>27</v>
      </c>
    </row>
    <row r="1285" spans="1:6" ht="12.75">
      <c r="A1285" s="2">
        <v>43885.223773148144</v>
      </c>
      <c r="B1285" t="str">
        <f>HYPERLINK("https://twitter.com/Tuturprazz","@Tuturprazz")</f>
        <v>@Tuturprazz</v>
      </c>
      <c r="C1285" t="s">
        <v>321</v>
      </c>
      <c r="D1285">
        <v>1342</v>
      </c>
      <c r="E1285">
        <v>0</v>
      </c>
      <c r="F1285">
        <v>1207</v>
      </c>
    </row>
    <row r="1286" spans="1:6" ht="12.75">
      <c r="A1286" s="2">
        <v>43885.223634259259</v>
      </c>
      <c r="B1286" t="str">
        <f>HYPERLINK("https://twitter.com/faridz_rasyid","@faridz_rasyid")</f>
        <v>@faridz_rasyid</v>
      </c>
      <c r="C1286" t="s">
        <v>2091</v>
      </c>
      <c r="D1286">
        <v>895</v>
      </c>
      <c r="E1286">
        <v>0</v>
      </c>
      <c r="F1286">
        <v>602</v>
      </c>
    </row>
    <row r="1287" spans="1:6" ht="12.75">
      <c r="A1287" s="2">
        <v>43885.223495370374</v>
      </c>
      <c r="B1287" t="str">
        <f>HYPERLINK("https://twitter.com/iniaku_windy","@iniaku_windy")</f>
        <v>@iniaku_windy</v>
      </c>
      <c r="C1287" t="s">
        <v>2609</v>
      </c>
      <c r="D1287">
        <v>1</v>
      </c>
      <c r="E1287">
        <v>0</v>
      </c>
      <c r="F1287">
        <v>79</v>
      </c>
    </row>
    <row r="1288" spans="1:6" ht="12.75">
      <c r="A1288" s="2">
        <v>43885.223391203705</v>
      </c>
      <c r="B1288" t="str">
        <f>HYPERLINK("https://twitter.com/Harrio_dwi","@Harrio_dwi")</f>
        <v>@Harrio_dwi</v>
      </c>
      <c r="C1288" t="s">
        <v>321</v>
      </c>
      <c r="D1288">
        <v>1342</v>
      </c>
      <c r="E1288">
        <v>0</v>
      </c>
      <c r="F1288">
        <v>298</v>
      </c>
    </row>
    <row r="1289" spans="1:6" ht="12.75">
      <c r="A1289" s="2">
        <v>43885.222627314812</v>
      </c>
      <c r="B1289" t="str">
        <f>HYPERLINK("https://twitter.com/CaturMoestakim","@CaturMoestakim")</f>
        <v>@CaturMoestakim</v>
      </c>
      <c r="C1289" t="s">
        <v>321</v>
      </c>
      <c r="D1289">
        <v>1342</v>
      </c>
      <c r="E1289">
        <v>0</v>
      </c>
      <c r="F1289">
        <v>37</v>
      </c>
    </row>
    <row r="1290" spans="1:6" ht="12.75">
      <c r="A1290" s="2">
        <v>43885.222407407404</v>
      </c>
      <c r="B1290" t="str">
        <f>HYPERLINK("https://twitter.com/sabakusare","@sabakusare")</f>
        <v>@sabakusare</v>
      </c>
      <c r="C1290" t="s">
        <v>738</v>
      </c>
      <c r="D1290">
        <v>168</v>
      </c>
      <c r="E1290">
        <v>0</v>
      </c>
      <c r="F1290">
        <v>633</v>
      </c>
    </row>
    <row r="1291" spans="1:6" ht="12.75">
      <c r="A1291" s="2">
        <v>43885.221041666664</v>
      </c>
      <c r="B1291" t="str">
        <f>HYPERLINK("https://twitter.com/slidingkick","@slidingkick")</f>
        <v>@slidingkick</v>
      </c>
      <c r="C1291" t="s">
        <v>738</v>
      </c>
      <c r="D1291">
        <v>168</v>
      </c>
      <c r="E1291">
        <v>0</v>
      </c>
      <c r="F1291">
        <v>1429</v>
      </c>
    </row>
    <row r="1292" spans="1:6" ht="12.75">
      <c r="A1292" s="2">
        <v>43885.221030092594</v>
      </c>
      <c r="B1292" t="str">
        <f>HYPERLINK("https://twitter.com/berita_enak","@berita_enak")</f>
        <v>@berita_enak</v>
      </c>
      <c r="C1292" t="s">
        <v>2610</v>
      </c>
      <c r="D1292">
        <v>0</v>
      </c>
      <c r="E1292">
        <v>0</v>
      </c>
      <c r="F1292">
        <v>21</v>
      </c>
    </row>
    <row r="1293" spans="1:6" ht="12.75">
      <c r="A1293" s="2">
        <v>43885.220821759256</v>
      </c>
      <c r="B1293" t="str">
        <f>HYPERLINK("https://twitter.com/dewi_darmawati","@dewi_darmawati")</f>
        <v>@dewi_darmawati</v>
      </c>
      <c r="C1293" t="s">
        <v>2091</v>
      </c>
      <c r="D1293">
        <v>895</v>
      </c>
      <c r="E1293">
        <v>0</v>
      </c>
      <c r="F1293">
        <v>4217</v>
      </c>
    </row>
    <row r="1294" spans="1:6" ht="12.75">
      <c r="A1294" s="2">
        <v>43885.220451388886</v>
      </c>
      <c r="B1294" t="str">
        <f>HYPERLINK("https://twitter.com/PrideIndonesia","@PrideIndonesia")</f>
        <v>@PrideIndonesia</v>
      </c>
      <c r="C1294" t="s">
        <v>2091</v>
      </c>
      <c r="D1294">
        <v>895</v>
      </c>
      <c r="E1294">
        <v>0</v>
      </c>
      <c r="F1294">
        <v>852</v>
      </c>
    </row>
    <row r="1295" spans="1:6" ht="12.75">
      <c r="A1295" s="2">
        <v>43885.220324074078</v>
      </c>
      <c r="B1295" t="str">
        <f t="shared" ref="B1295:B1296" si="35">HYPERLINK("https://twitter.com/mamaangie9","@mamaangie9")</f>
        <v>@mamaangie9</v>
      </c>
      <c r="C1295" t="s">
        <v>321</v>
      </c>
      <c r="D1295">
        <v>1342</v>
      </c>
      <c r="E1295">
        <v>0</v>
      </c>
      <c r="F1295">
        <v>130</v>
      </c>
    </row>
    <row r="1296" spans="1:6" ht="12.75">
      <c r="A1296" s="2">
        <v>43885.219502314816</v>
      </c>
      <c r="B1296" t="str">
        <f t="shared" si="35"/>
        <v>@mamaangie9</v>
      </c>
      <c r="C1296" t="s">
        <v>2166</v>
      </c>
      <c r="D1296">
        <v>243</v>
      </c>
      <c r="E1296">
        <v>0</v>
      </c>
      <c r="F1296">
        <v>130</v>
      </c>
    </row>
    <row r="1297" spans="1:6" ht="12.75">
      <c r="A1297" s="2">
        <v>43885.219097222223</v>
      </c>
      <c r="B1297" t="str">
        <f>HYPERLINK("https://twitter.com/apreiskagilang","@apreiskagilang")</f>
        <v>@apreiskagilang</v>
      </c>
      <c r="C1297" t="s">
        <v>321</v>
      </c>
      <c r="D1297">
        <v>1342</v>
      </c>
      <c r="E1297">
        <v>0</v>
      </c>
      <c r="F1297">
        <v>1242</v>
      </c>
    </row>
    <row r="1298" spans="1:6" ht="12.75">
      <c r="A1298" s="2">
        <v>43885.218298611115</v>
      </c>
      <c r="B1298" t="str">
        <f>HYPERLINK("https://twitter.com/NaylaOktaviani2","@NaylaOktaviani2")</f>
        <v>@NaylaOktaviani2</v>
      </c>
      <c r="C1298" t="s">
        <v>321</v>
      </c>
      <c r="D1298">
        <v>1342</v>
      </c>
      <c r="E1298">
        <v>0</v>
      </c>
      <c r="F1298">
        <v>222</v>
      </c>
    </row>
    <row r="1299" spans="1:6" ht="12.75">
      <c r="A1299" s="2">
        <v>43885.218263888892</v>
      </c>
      <c r="B1299" t="str">
        <f>HYPERLINK("https://twitter.com/akairofit","@akairofit")</f>
        <v>@akairofit</v>
      </c>
      <c r="C1299" t="s">
        <v>2120</v>
      </c>
      <c r="D1299">
        <v>51</v>
      </c>
      <c r="E1299">
        <v>0</v>
      </c>
      <c r="F1299">
        <v>431</v>
      </c>
    </row>
    <row r="1300" spans="1:6" ht="12.75">
      <c r="A1300" s="2">
        <v>43885.217627314814</v>
      </c>
      <c r="B1300" t="str">
        <f>HYPERLINK("https://twitter.com/arixid","@arixid")</f>
        <v>@arixid</v>
      </c>
      <c r="C1300" t="s">
        <v>321</v>
      </c>
      <c r="D1300">
        <v>1342</v>
      </c>
      <c r="E1300">
        <v>0</v>
      </c>
      <c r="F1300">
        <v>60</v>
      </c>
    </row>
    <row r="1301" spans="1:6" ht="12.75">
      <c r="A1301" s="2">
        <v>43885.21711805556</v>
      </c>
      <c r="B1301" t="str">
        <f>HYPERLINK("https://twitter.com/bd_toro","@bd_toro")</f>
        <v>@bd_toro</v>
      </c>
      <c r="C1301" t="s">
        <v>321</v>
      </c>
      <c r="D1301">
        <v>1342</v>
      </c>
      <c r="E1301">
        <v>0</v>
      </c>
      <c r="F1301">
        <v>241</v>
      </c>
    </row>
    <row r="1302" spans="1:6" ht="12.75">
      <c r="A1302" s="2">
        <v>43885.216956018514</v>
      </c>
      <c r="B1302" t="str">
        <f>HYPERLINK("https://twitter.com/lentera","@lentera")</f>
        <v>@lentera</v>
      </c>
      <c r="C1302" t="s">
        <v>2481</v>
      </c>
      <c r="D1302">
        <v>3</v>
      </c>
      <c r="E1302">
        <v>0</v>
      </c>
      <c r="F1302">
        <v>1620</v>
      </c>
    </row>
    <row r="1303" spans="1:6" ht="12.75">
      <c r="A1303" s="2">
        <v>43885.209837962961</v>
      </c>
      <c r="B1303" t="str">
        <f>HYPERLINK("https://twitter.com/BiLLYKHAERUDIN","@BiLLYKHAERUDIN")</f>
        <v>@BiLLYKHAERUDIN</v>
      </c>
      <c r="C1303" t="s">
        <v>2481</v>
      </c>
      <c r="D1303">
        <v>1</v>
      </c>
      <c r="E1303">
        <v>0</v>
      </c>
      <c r="F1303">
        <v>51808</v>
      </c>
    </row>
    <row r="1304" spans="1:6" ht="12.75">
      <c r="A1304" s="2">
        <v>43885.209791666668</v>
      </c>
      <c r="B1304" t="str">
        <f>HYPERLINK("https://twitter.com/Asep19721","@Asep19721")</f>
        <v>@Asep19721</v>
      </c>
      <c r="C1304" t="s">
        <v>2434</v>
      </c>
      <c r="D1304">
        <v>2</v>
      </c>
      <c r="E1304">
        <v>0</v>
      </c>
      <c r="F1304">
        <v>158</v>
      </c>
    </row>
    <row r="1305" spans="1:6" ht="12.75">
      <c r="A1305" s="2">
        <v>43885.209131944444</v>
      </c>
      <c r="B1305" t="str">
        <f>HYPERLINK("https://twitter.com/NanitAditya","@NanitAditya")</f>
        <v>@NanitAditya</v>
      </c>
      <c r="C1305" t="s">
        <v>321</v>
      </c>
      <c r="D1305">
        <v>1311</v>
      </c>
      <c r="E1305">
        <v>0</v>
      </c>
      <c r="F1305">
        <v>42</v>
      </c>
    </row>
    <row r="1306" spans="1:6" ht="12.75">
      <c r="A1306" s="2">
        <v>43885.207881944443</v>
      </c>
      <c r="B1306" t="str">
        <f>HYPERLINK("https://twitter.com/Asep19721","@Asep19721")</f>
        <v>@Asep19721</v>
      </c>
      <c r="C1306" t="s">
        <v>2166</v>
      </c>
      <c r="D1306">
        <v>225</v>
      </c>
      <c r="E1306">
        <v>0</v>
      </c>
      <c r="F1306">
        <v>158</v>
      </c>
    </row>
    <row r="1307" spans="1:6" ht="12.75">
      <c r="A1307" s="2">
        <v>43885.207523148143</v>
      </c>
      <c r="B1307" t="str">
        <f>HYPERLINK("https://twitter.com/YWijatmoko","@YWijatmoko")</f>
        <v>@YWijatmoko</v>
      </c>
      <c r="C1307" t="s">
        <v>2166</v>
      </c>
      <c r="D1307">
        <v>225</v>
      </c>
      <c r="E1307">
        <v>0</v>
      </c>
      <c r="F1307">
        <v>1600</v>
      </c>
    </row>
    <row r="1308" spans="1:6" ht="12.75">
      <c r="A1308" s="2">
        <v>43885.207314814819</v>
      </c>
      <c r="B1308" t="str">
        <f>HYPERLINK("https://twitter.com/gandung_dan","@gandung_dan")</f>
        <v>@gandung_dan</v>
      </c>
      <c r="C1308" t="s">
        <v>2091</v>
      </c>
      <c r="D1308">
        <v>873</v>
      </c>
      <c r="E1308">
        <v>0</v>
      </c>
      <c r="F1308">
        <v>156</v>
      </c>
    </row>
    <row r="1309" spans="1:6" ht="12.75">
      <c r="A1309" s="2">
        <v>43885.20694444445</v>
      </c>
      <c r="B1309" t="str">
        <f>HYPERLINK("https://twitter.com/sakurasiratama","@sakurasiratama")</f>
        <v>@sakurasiratama</v>
      </c>
      <c r="C1309" t="s">
        <v>738</v>
      </c>
      <c r="D1309">
        <v>138</v>
      </c>
      <c r="E1309">
        <v>0</v>
      </c>
      <c r="F1309">
        <v>863</v>
      </c>
    </row>
    <row r="1310" spans="1:6" ht="12.75">
      <c r="A1310" s="2">
        <v>43885.206712962958</v>
      </c>
      <c r="B1310" t="str">
        <f>HYPERLINK("https://twitter.com/Paijo73712077","@Paijo73712077")</f>
        <v>@Paijo73712077</v>
      </c>
      <c r="C1310" t="s">
        <v>321</v>
      </c>
      <c r="D1310">
        <v>1311</v>
      </c>
      <c r="E1310">
        <v>0</v>
      </c>
      <c r="F1310">
        <v>51</v>
      </c>
    </row>
    <row r="1311" spans="1:6" ht="12.75">
      <c r="A1311" s="2">
        <v>43885.206493055557</v>
      </c>
      <c r="B1311" t="str">
        <f>HYPERLINK("https://twitter.com/LaJoef","@LaJoef")</f>
        <v>@LaJoef</v>
      </c>
      <c r="C1311" t="s">
        <v>2434</v>
      </c>
      <c r="D1311">
        <v>2</v>
      </c>
      <c r="E1311">
        <v>0</v>
      </c>
      <c r="F1311">
        <v>612</v>
      </c>
    </row>
    <row r="1312" spans="1:6" ht="12.75">
      <c r="A1312" s="2">
        <v>43885.205960648149</v>
      </c>
      <c r="B1312" t="str">
        <f>HYPERLINK("https://twitter.com/frncsxvr1907","@frncsxvr1907")</f>
        <v>@frncsxvr1907</v>
      </c>
      <c r="C1312" t="s">
        <v>2091</v>
      </c>
      <c r="D1312">
        <v>873</v>
      </c>
      <c r="E1312">
        <v>0</v>
      </c>
      <c r="F1312">
        <v>212</v>
      </c>
    </row>
    <row r="1313" spans="1:6" ht="12.75">
      <c r="A1313" s="2">
        <v>43885.205914351856</v>
      </c>
      <c r="B1313" t="str">
        <f>HYPERLINK("https://twitter.com/mkmetal2011","@mkmetal2011")</f>
        <v>@mkmetal2011</v>
      </c>
      <c r="C1313" t="s">
        <v>738</v>
      </c>
      <c r="D1313">
        <v>138</v>
      </c>
      <c r="E1313">
        <v>0</v>
      </c>
      <c r="F1313">
        <v>1797</v>
      </c>
    </row>
    <row r="1314" spans="1:6" ht="12.75">
      <c r="A1314" s="2">
        <v>43885.205601851849</v>
      </c>
      <c r="B1314" t="str">
        <f>HYPERLINK("https://twitter.com/Edipurw61113168","@Edipurw61113168")</f>
        <v>@Edipurw61113168</v>
      </c>
      <c r="C1314" t="s">
        <v>2576</v>
      </c>
      <c r="D1314">
        <v>4</v>
      </c>
      <c r="E1314">
        <v>0</v>
      </c>
      <c r="F1314">
        <v>1301</v>
      </c>
    </row>
    <row r="1315" spans="1:6" ht="12.75">
      <c r="A1315" s="2">
        <v>43885.205462962964</v>
      </c>
      <c r="B1315" t="str">
        <f>HYPERLINK("https://twitter.com/Tdasuwan","@Tdasuwan")</f>
        <v>@Tdasuwan</v>
      </c>
      <c r="C1315" t="s">
        <v>738</v>
      </c>
      <c r="D1315">
        <v>138</v>
      </c>
      <c r="E1315">
        <v>0</v>
      </c>
      <c r="F1315">
        <v>372</v>
      </c>
    </row>
    <row r="1316" spans="1:6" ht="12.75">
      <c r="A1316" s="2">
        <v>43885.202557870369</v>
      </c>
      <c r="B1316" t="str">
        <f>HYPERLINK("https://twitter.com/HRS212_","@HRS212_")</f>
        <v>@HRS212_</v>
      </c>
      <c r="C1316" t="s">
        <v>2576</v>
      </c>
      <c r="D1316">
        <v>4</v>
      </c>
      <c r="E1316">
        <v>0</v>
      </c>
      <c r="F1316">
        <v>672</v>
      </c>
    </row>
    <row r="1317" spans="1:6" ht="12.75">
      <c r="A1317" s="2">
        <v>43885.20248842593</v>
      </c>
      <c r="B1317" t="str">
        <f>HYPERLINK("https://twitter.com/comiyamayo","@comiyamayo")</f>
        <v>@comiyamayo</v>
      </c>
      <c r="C1317" t="s">
        <v>738</v>
      </c>
      <c r="D1317">
        <v>138</v>
      </c>
      <c r="E1317">
        <v>0</v>
      </c>
      <c r="F1317">
        <v>107</v>
      </c>
    </row>
    <row r="1318" spans="1:6" ht="12.75">
      <c r="A1318" s="2">
        <v>43885.202314814815</v>
      </c>
      <c r="B1318" t="str">
        <f>HYPERLINK("https://twitter.com/AhmadMizlie","@AhmadMizlie")</f>
        <v>@AhmadMizlie</v>
      </c>
      <c r="C1318" t="s">
        <v>321</v>
      </c>
      <c r="D1318">
        <v>1311</v>
      </c>
      <c r="E1318">
        <v>0</v>
      </c>
      <c r="F1318">
        <v>62</v>
      </c>
    </row>
    <row r="1319" spans="1:6" ht="12.75">
      <c r="A1319" s="2">
        <v>43885.202291666668</v>
      </c>
      <c r="B1319" t="str">
        <f>HYPERLINK("https://twitter.com/yusdiusman","@yusdiusman")</f>
        <v>@yusdiusman</v>
      </c>
      <c r="C1319" t="s">
        <v>2611</v>
      </c>
      <c r="D1319">
        <v>2</v>
      </c>
      <c r="E1319">
        <v>2</v>
      </c>
      <c r="F1319">
        <v>3739</v>
      </c>
    </row>
    <row r="1320" spans="1:6" ht="12.75">
      <c r="A1320" s="2">
        <v>43885.201145833329</v>
      </c>
      <c r="B1320" t="str">
        <f>HYPERLINK("https://twitter.com/FatimaRapany","@FatimaRapany")</f>
        <v>@FatimaRapany</v>
      </c>
      <c r="C1320" t="s">
        <v>2612</v>
      </c>
      <c r="D1320">
        <v>0</v>
      </c>
      <c r="E1320">
        <v>1</v>
      </c>
      <c r="F1320">
        <v>135</v>
      </c>
    </row>
    <row r="1321" spans="1:6" ht="12.75">
      <c r="A1321" s="2">
        <v>43885.200069444443</v>
      </c>
      <c r="B1321" t="str">
        <f>HYPERLINK("https://twitter.com/eric_joo1","@eric_joo1")</f>
        <v>@eric_joo1</v>
      </c>
      <c r="C1321" t="s">
        <v>2576</v>
      </c>
      <c r="D1321">
        <v>4</v>
      </c>
      <c r="E1321">
        <v>0</v>
      </c>
      <c r="F1321">
        <v>89</v>
      </c>
    </row>
    <row r="1322" spans="1:6" ht="12.75">
      <c r="A1322" s="2">
        <v>43885.199884259258</v>
      </c>
      <c r="B1322" t="str">
        <f>HYPERLINK("https://twitter.com/sopansantun55","@sopansantun55")</f>
        <v>@sopansantun55</v>
      </c>
      <c r="C1322" t="s">
        <v>2091</v>
      </c>
      <c r="D1322">
        <v>873</v>
      </c>
      <c r="E1322">
        <v>0</v>
      </c>
      <c r="F1322">
        <v>529</v>
      </c>
    </row>
    <row r="1323" spans="1:6" ht="12.75">
      <c r="A1323" s="2">
        <v>43885.198287037041</v>
      </c>
      <c r="B1323" t="str">
        <f>HYPERLINK("https://twitter.com/edithzafirah","@edithzafirah")</f>
        <v>@edithzafirah</v>
      </c>
      <c r="C1323" t="s">
        <v>321</v>
      </c>
      <c r="D1323">
        <v>1311</v>
      </c>
      <c r="E1323">
        <v>0</v>
      </c>
      <c r="F1323">
        <v>305</v>
      </c>
    </row>
    <row r="1324" spans="1:6" ht="12.75">
      <c r="A1324" s="2">
        <v>43885.198275462964</v>
      </c>
      <c r="B1324" t="str">
        <f>HYPERLINK("https://twitter.com/shimazt","@shimazt")</f>
        <v>@shimazt</v>
      </c>
      <c r="C1324" t="s">
        <v>738</v>
      </c>
      <c r="D1324">
        <v>138</v>
      </c>
      <c r="E1324">
        <v>0</v>
      </c>
      <c r="F1324">
        <v>23</v>
      </c>
    </row>
    <row r="1325" spans="1:6" ht="12.75">
      <c r="A1325" s="2">
        <v>43885.198136574079</v>
      </c>
      <c r="B1325" t="str">
        <f>HYPERLINK("https://twitter.com/BebeSakura","@BebeSakura")</f>
        <v>@BebeSakura</v>
      </c>
      <c r="C1325" t="s">
        <v>738</v>
      </c>
      <c r="D1325">
        <v>138</v>
      </c>
      <c r="E1325">
        <v>0</v>
      </c>
      <c r="F1325">
        <v>1656</v>
      </c>
    </row>
    <row r="1326" spans="1:6" ht="12.75">
      <c r="A1326" s="2">
        <v>43885.197870370372</v>
      </c>
      <c r="B1326" t="str">
        <f>HYPERLINK("https://twitter.com/parsurama4","@parsurama4")</f>
        <v>@parsurama4</v>
      </c>
      <c r="C1326" t="s">
        <v>2613</v>
      </c>
      <c r="D1326">
        <v>0</v>
      </c>
      <c r="E1326">
        <v>0</v>
      </c>
      <c r="F1326">
        <v>226</v>
      </c>
    </row>
    <row r="1327" spans="1:6" ht="12.75">
      <c r="A1327" s="2">
        <v>43885.197662037041</v>
      </c>
      <c r="B1327" t="str">
        <f>HYPERLINK("https://twitter.com/Tinta60446377","@Tinta60446377")</f>
        <v>@Tinta60446377</v>
      </c>
      <c r="C1327" t="s">
        <v>2153</v>
      </c>
      <c r="D1327">
        <v>363</v>
      </c>
      <c r="E1327">
        <v>0</v>
      </c>
      <c r="F1327">
        <v>97</v>
      </c>
    </row>
    <row r="1328" spans="1:6" ht="12.75">
      <c r="A1328" s="2">
        <v>43885.197025462963</v>
      </c>
      <c r="B1328" t="str">
        <f>HYPERLINK("https://twitter.com/kainayala46","@kainayala46")</f>
        <v>@kainayala46</v>
      </c>
      <c r="C1328" t="s">
        <v>2166</v>
      </c>
      <c r="D1328">
        <v>225</v>
      </c>
      <c r="E1328">
        <v>0</v>
      </c>
      <c r="F1328">
        <v>385</v>
      </c>
    </row>
    <row r="1329" spans="1:6" ht="12.75">
      <c r="A1329" s="2">
        <v>43885.196909722217</v>
      </c>
      <c r="B1329" t="str">
        <f>HYPERLINK("https://twitter.com/dooF_barG","@dooF_barG")</f>
        <v>@dooF_barG</v>
      </c>
      <c r="C1329" t="s">
        <v>2091</v>
      </c>
      <c r="D1329">
        <v>873</v>
      </c>
      <c r="E1329">
        <v>0</v>
      </c>
      <c r="F1329">
        <v>60</v>
      </c>
    </row>
    <row r="1330" spans="1:6" ht="12.75">
      <c r="A1330" s="2">
        <v>43885.196770833332</v>
      </c>
      <c r="B1330" t="str">
        <f>HYPERLINK("https://twitter.com/MrSol54252546","@MrSol54252546")</f>
        <v>@MrSol54252546</v>
      </c>
      <c r="C1330" t="s">
        <v>2091</v>
      </c>
      <c r="D1330">
        <v>873</v>
      </c>
      <c r="E1330">
        <v>0</v>
      </c>
      <c r="F1330">
        <v>61</v>
      </c>
    </row>
    <row r="1331" spans="1:6" ht="12.75">
      <c r="A1331" s="2">
        <v>43885.196412037039</v>
      </c>
      <c r="B1331" t="str">
        <f>HYPERLINK("https://twitter.com/hariankompas","@hariankompas")</f>
        <v>@hariankompas</v>
      </c>
      <c r="C1331" t="s">
        <v>2614</v>
      </c>
      <c r="D1331">
        <v>1</v>
      </c>
      <c r="E1331">
        <v>2</v>
      </c>
      <c r="F1331">
        <v>787160</v>
      </c>
    </row>
    <row r="1332" spans="1:6" ht="12.75">
      <c r="A1332" s="2">
        <v>43885.196296296301</v>
      </c>
      <c r="B1332" t="str">
        <f t="shared" ref="B1332:B1333" si="36">HYPERLINK("https://twitter.com/ozeyan99","@ozeyan99")</f>
        <v>@ozeyan99</v>
      </c>
      <c r="C1332" t="s">
        <v>2120</v>
      </c>
      <c r="D1332">
        <v>47</v>
      </c>
      <c r="E1332">
        <v>0</v>
      </c>
      <c r="F1332">
        <v>749</v>
      </c>
    </row>
    <row r="1333" spans="1:6" ht="12.75">
      <c r="A1333" s="2">
        <v>43885.196018518516</v>
      </c>
      <c r="B1333" t="str">
        <f t="shared" si="36"/>
        <v>@ozeyan99</v>
      </c>
      <c r="C1333" t="s">
        <v>2115</v>
      </c>
      <c r="D1333">
        <v>49</v>
      </c>
      <c r="E1333">
        <v>0</v>
      </c>
      <c r="F1333">
        <v>749</v>
      </c>
    </row>
    <row r="1334" spans="1:6" ht="12.75">
      <c r="A1334" s="2">
        <v>43885.19599537037</v>
      </c>
      <c r="B1334" t="str">
        <f>HYPERLINK("https://twitter.com/musurifu","@musurifu")</f>
        <v>@musurifu</v>
      </c>
      <c r="C1334" t="s">
        <v>321</v>
      </c>
      <c r="D1334">
        <v>1311</v>
      </c>
      <c r="E1334">
        <v>0</v>
      </c>
      <c r="F1334">
        <v>994</v>
      </c>
    </row>
    <row r="1335" spans="1:6" ht="12.75">
      <c r="A1335" s="2">
        <v>43885.19532407407</v>
      </c>
      <c r="B1335" t="str">
        <f>HYPERLINK("https://twitter.com/ozeyan99","@ozeyan99")</f>
        <v>@ozeyan99</v>
      </c>
      <c r="C1335" t="s">
        <v>738</v>
      </c>
      <c r="D1335">
        <v>138</v>
      </c>
      <c r="E1335">
        <v>0</v>
      </c>
      <c r="F1335">
        <v>749</v>
      </c>
    </row>
    <row r="1336" spans="1:6" ht="12.75">
      <c r="A1336" s="2">
        <v>43885.195219907408</v>
      </c>
      <c r="B1336" t="str">
        <f>HYPERLINK("https://twitter.com/deuxpe","@deuxpe")</f>
        <v>@deuxpe</v>
      </c>
      <c r="C1336" t="s">
        <v>2166</v>
      </c>
      <c r="D1336">
        <v>225</v>
      </c>
      <c r="E1336">
        <v>0</v>
      </c>
      <c r="F1336">
        <v>173</v>
      </c>
    </row>
    <row r="1337" spans="1:6" ht="12.75">
      <c r="A1337" s="2">
        <v>43885.195092592592</v>
      </c>
      <c r="B1337" t="str">
        <f>HYPERLINK("https://twitter.com/Dha_Yudha78","@Dha_Yudha78")</f>
        <v>@Dha_Yudha78</v>
      </c>
      <c r="C1337" t="s">
        <v>321</v>
      </c>
      <c r="D1337">
        <v>1311</v>
      </c>
      <c r="E1337">
        <v>0</v>
      </c>
      <c r="F1337">
        <v>226</v>
      </c>
    </row>
    <row r="1338" spans="1:6" ht="12.75">
      <c r="A1338" s="2">
        <v>43885.194456018522</v>
      </c>
      <c r="B1338" t="str">
        <f>HYPERLINK("https://twitter.com/rmol_id","@rmol_id")</f>
        <v>@rmol_id</v>
      </c>
      <c r="C1338" t="s">
        <v>2615</v>
      </c>
      <c r="D1338">
        <v>4</v>
      </c>
      <c r="E1338">
        <v>5</v>
      </c>
      <c r="F1338">
        <v>164882</v>
      </c>
    </row>
    <row r="1339" spans="1:6" ht="12.75">
      <c r="A1339" s="2">
        <v>43885.193877314814</v>
      </c>
      <c r="B1339" t="str">
        <f>HYPERLINK("https://twitter.com/jjsengui","@jjsengui")</f>
        <v>@jjsengui</v>
      </c>
      <c r="C1339" t="s">
        <v>2188</v>
      </c>
      <c r="D1339">
        <v>4</v>
      </c>
      <c r="E1339">
        <v>0</v>
      </c>
      <c r="F1339">
        <v>842</v>
      </c>
    </row>
    <row r="1340" spans="1:6" ht="12.75">
      <c r="A1340" s="2">
        <v>43885.192997685182</v>
      </c>
      <c r="B1340" t="str">
        <f>HYPERLINK("https://twitter.com/partaipeli","@partaipeli")</f>
        <v>@partaipeli</v>
      </c>
      <c r="C1340" t="s">
        <v>2151</v>
      </c>
      <c r="D1340">
        <v>9</v>
      </c>
      <c r="E1340">
        <v>0</v>
      </c>
      <c r="F1340">
        <v>314</v>
      </c>
    </row>
    <row r="1341" spans="1:6" ht="12.75">
      <c r="A1341" s="2">
        <v>43885.192337962959</v>
      </c>
      <c r="B1341" t="str">
        <f>HYPERLINK("https://twitter.com/isokozo69","@isokozo69")</f>
        <v>@isokozo69</v>
      </c>
      <c r="C1341" t="s">
        <v>738</v>
      </c>
      <c r="D1341">
        <v>138</v>
      </c>
      <c r="E1341">
        <v>0</v>
      </c>
      <c r="F1341">
        <v>505</v>
      </c>
    </row>
    <row r="1342" spans="1:6" ht="12.75">
      <c r="A1342" s="2">
        <v>43885.19</v>
      </c>
      <c r="B1342" t="str">
        <f>HYPERLINK("https://twitter.com/Iyink7","@Iyink7")</f>
        <v>@Iyink7</v>
      </c>
      <c r="C1342" t="s">
        <v>2091</v>
      </c>
      <c r="D1342">
        <v>873</v>
      </c>
      <c r="E1342">
        <v>0</v>
      </c>
      <c r="F1342">
        <v>2406</v>
      </c>
    </row>
    <row r="1343" spans="1:6" ht="12.75">
      <c r="A1343" s="2">
        <v>43885.189432870371</v>
      </c>
      <c r="B1343" t="str">
        <f>HYPERLINK("https://twitter.com/MVVZ3","@MVVZ3")</f>
        <v>@MVVZ3</v>
      </c>
      <c r="C1343" t="s">
        <v>2616</v>
      </c>
      <c r="D1343">
        <v>14</v>
      </c>
      <c r="E1343">
        <v>0</v>
      </c>
      <c r="F1343">
        <v>1052</v>
      </c>
    </row>
    <row r="1344" spans="1:6" ht="12.75">
      <c r="A1344" s="2">
        <v>43885.189375000002</v>
      </c>
      <c r="B1344" t="str">
        <f>HYPERLINK("https://twitter.com/AcepWaluyo","@AcepWaluyo")</f>
        <v>@AcepWaluyo</v>
      </c>
      <c r="C1344" t="s">
        <v>2186</v>
      </c>
      <c r="D1344">
        <v>4</v>
      </c>
      <c r="E1344">
        <v>0</v>
      </c>
      <c r="F1344">
        <v>185</v>
      </c>
    </row>
    <row r="1345" spans="1:6" ht="12.75">
      <c r="A1345" s="2">
        <v>43885.188784722224</v>
      </c>
      <c r="B1345" t="str">
        <f>HYPERLINK("https://twitter.com/antonchriss","@antonchriss")</f>
        <v>@antonchriss</v>
      </c>
      <c r="C1345" t="s">
        <v>321</v>
      </c>
      <c r="D1345">
        <v>1311</v>
      </c>
      <c r="E1345">
        <v>0</v>
      </c>
      <c r="F1345">
        <v>176</v>
      </c>
    </row>
    <row r="1346" spans="1:6" ht="12.75">
      <c r="A1346" s="2">
        <v>43885.187245370369</v>
      </c>
      <c r="B1346" t="str">
        <f>HYPERLINK("https://twitter.com/jkomejina","@jkomejina")</f>
        <v>@jkomejina</v>
      </c>
      <c r="C1346" t="s">
        <v>738</v>
      </c>
      <c r="D1346">
        <v>138</v>
      </c>
      <c r="E1346">
        <v>0</v>
      </c>
      <c r="F1346">
        <v>1431</v>
      </c>
    </row>
    <row r="1347" spans="1:6" ht="12.75">
      <c r="A1347" s="2">
        <v>43885.187071759261</v>
      </c>
      <c r="B1347" t="str">
        <f>HYPERLINK("https://twitter.com/11111hiromorinn","@11111hiromorinn")</f>
        <v>@11111hiromorinn</v>
      </c>
      <c r="C1347" t="s">
        <v>321</v>
      </c>
      <c r="D1347">
        <v>1311</v>
      </c>
      <c r="E1347">
        <v>0</v>
      </c>
      <c r="F1347">
        <v>784</v>
      </c>
    </row>
    <row r="1348" spans="1:6" ht="12.75">
      <c r="A1348" s="2">
        <v>43885.187060185184</v>
      </c>
      <c r="B1348" t="str">
        <f>HYPERLINK("https://twitter.com/isis_ghost","@isis_ghost")</f>
        <v>@isis_ghost</v>
      </c>
      <c r="C1348" t="s">
        <v>2617</v>
      </c>
      <c r="D1348">
        <v>0</v>
      </c>
      <c r="E1348">
        <v>0</v>
      </c>
      <c r="F1348">
        <v>5729</v>
      </c>
    </row>
    <row r="1349" spans="1:6" ht="12.75">
      <c r="A1349" s="2">
        <v>43885.186724537038</v>
      </c>
      <c r="B1349" t="str">
        <f>HYPERLINK("https://twitter.com/indocafe_1","@indocafe_1")</f>
        <v>@indocafe_1</v>
      </c>
      <c r="C1349" t="s">
        <v>2091</v>
      </c>
      <c r="D1349">
        <v>873</v>
      </c>
      <c r="E1349">
        <v>0</v>
      </c>
      <c r="F1349">
        <v>284</v>
      </c>
    </row>
    <row r="1350" spans="1:6" ht="12.75">
      <c r="A1350" s="2">
        <v>43885.185937499999</v>
      </c>
      <c r="B1350" t="str">
        <f>HYPERLINK("https://twitter.com/kazfull","@kazfull")</f>
        <v>@kazfull</v>
      </c>
      <c r="C1350" t="s">
        <v>738</v>
      </c>
      <c r="D1350">
        <v>138</v>
      </c>
      <c r="E1350">
        <v>0</v>
      </c>
      <c r="F1350">
        <v>708</v>
      </c>
    </row>
    <row r="1351" spans="1:6" ht="12.75">
      <c r="A1351" s="2">
        <v>43885.185474537036</v>
      </c>
      <c r="B1351" t="str">
        <f>HYPERLINK("https://twitter.com/miku87546277","@miku87546277")</f>
        <v>@miku87546277</v>
      </c>
      <c r="C1351" t="s">
        <v>738</v>
      </c>
      <c r="D1351">
        <v>138</v>
      </c>
      <c r="E1351">
        <v>0</v>
      </c>
      <c r="F1351">
        <v>267</v>
      </c>
    </row>
    <row r="1352" spans="1:6" ht="12.75">
      <c r="A1352" s="2">
        <v>43885.184571759259</v>
      </c>
      <c r="B1352" t="str">
        <f>HYPERLINK("https://twitter.com/alirochmadi","@alirochmadi")</f>
        <v>@alirochmadi</v>
      </c>
      <c r="C1352" t="s">
        <v>2166</v>
      </c>
      <c r="D1352">
        <v>225</v>
      </c>
      <c r="E1352">
        <v>0</v>
      </c>
      <c r="F1352">
        <v>107</v>
      </c>
    </row>
    <row r="1353" spans="1:6" ht="12.75">
      <c r="A1353" s="2">
        <v>43885.183761574073</v>
      </c>
      <c r="B1353" t="str">
        <f>HYPERLINK("https://twitter.com/HRS212_","@HRS212_")</f>
        <v>@HRS212_</v>
      </c>
      <c r="C1353" t="s">
        <v>321</v>
      </c>
      <c r="D1353">
        <v>1311</v>
      </c>
      <c r="E1353">
        <v>0</v>
      </c>
      <c r="F1353">
        <v>672</v>
      </c>
    </row>
    <row r="1354" spans="1:6" ht="12.75">
      <c r="A1354" s="2">
        <v>43885.181261574078</v>
      </c>
      <c r="B1354" t="str">
        <f>HYPERLINK("https://twitter.com/konta1900","@konta1900")</f>
        <v>@konta1900</v>
      </c>
      <c r="C1354" t="s">
        <v>321</v>
      </c>
      <c r="D1354">
        <v>1311</v>
      </c>
      <c r="E1354">
        <v>0</v>
      </c>
      <c r="F1354">
        <v>1519</v>
      </c>
    </row>
    <row r="1355" spans="1:6" ht="12.75">
      <c r="A1355" s="2">
        <v>43885.181157407409</v>
      </c>
      <c r="B1355" t="str">
        <f>HYPERLINK("https://twitter.com/Noname30958307","@Noname30958307")</f>
        <v>@Noname30958307</v>
      </c>
      <c r="C1355" t="s">
        <v>2166</v>
      </c>
      <c r="D1355">
        <v>225</v>
      </c>
      <c r="E1355">
        <v>0</v>
      </c>
      <c r="F1355">
        <v>77</v>
      </c>
    </row>
    <row r="1356" spans="1:6" ht="12.75">
      <c r="A1356" s="2">
        <v>43885.179641203707</v>
      </c>
      <c r="B1356" t="str">
        <f>HYPERLINK("https://twitter.com/Wayang67913537","@Wayang67913537")</f>
        <v>@Wayang67913537</v>
      </c>
      <c r="C1356" t="s">
        <v>738</v>
      </c>
      <c r="D1356">
        <v>138</v>
      </c>
      <c r="E1356">
        <v>0</v>
      </c>
      <c r="F1356">
        <v>63</v>
      </c>
    </row>
    <row r="1357" spans="1:6" ht="12.75">
      <c r="A1357" s="2">
        <v>43885.179548611108</v>
      </c>
      <c r="B1357" t="str">
        <f>HYPERLINK("https://twitter.com/chikuwabu100","@chikuwabu100")</f>
        <v>@chikuwabu100</v>
      </c>
      <c r="C1357" t="s">
        <v>738</v>
      </c>
      <c r="D1357">
        <v>138</v>
      </c>
      <c r="E1357">
        <v>0</v>
      </c>
      <c r="F1357">
        <v>3306</v>
      </c>
    </row>
    <row r="1358" spans="1:6" ht="12.75">
      <c r="A1358" s="2">
        <v>43885.179456018523</v>
      </c>
      <c r="B1358" t="str">
        <f>HYPERLINK("https://twitter.com/Wayang67913537","@Wayang67913537")</f>
        <v>@Wayang67913537</v>
      </c>
      <c r="C1358" t="s">
        <v>321</v>
      </c>
      <c r="D1358">
        <v>1311</v>
      </c>
      <c r="E1358">
        <v>0</v>
      </c>
      <c r="F1358">
        <v>63</v>
      </c>
    </row>
    <row r="1359" spans="1:6" ht="12.75">
      <c r="A1359" s="2">
        <v>43885.17931712963</v>
      </c>
      <c r="B1359" t="str">
        <f t="shared" ref="B1359:B1361" si="37">HYPERLINK("https://twitter.com/samarikura","@samarikura")</f>
        <v>@samarikura</v>
      </c>
      <c r="C1359" t="s">
        <v>2120</v>
      </c>
      <c r="D1359">
        <v>47</v>
      </c>
      <c r="E1359">
        <v>0</v>
      </c>
      <c r="F1359">
        <v>2183</v>
      </c>
    </row>
    <row r="1360" spans="1:6" ht="12.75">
      <c r="A1360" s="2">
        <v>43885.179270833338</v>
      </c>
      <c r="B1360" t="str">
        <f t="shared" si="37"/>
        <v>@samarikura</v>
      </c>
      <c r="C1360" t="s">
        <v>2115</v>
      </c>
      <c r="D1360">
        <v>49</v>
      </c>
      <c r="E1360">
        <v>0</v>
      </c>
      <c r="F1360">
        <v>2183</v>
      </c>
    </row>
    <row r="1361" spans="1:6" ht="12.75">
      <c r="A1361" s="2">
        <v>43885.179074074069</v>
      </c>
      <c r="B1361" t="str">
        <f t="shared" si="37"/>
        <v>@samarikura</v>
      </c>
      <c r="C1361" t="s">
        <v>738</v>
      </c>
      <c r="D1361">
        <v>138</v>
      </c>
      <c r="E1361">
        <v>0</v>
      </c>
      <c r="F1361">
        <v>2183</v>
      </c>
    </row>
    <row r="1362" spans="1:6" ht="12.75">
      <c r="A1362" s="2">
        <v>43885.17895833333</v>
      </c>
      <c r="B1362" t="str">
        <f>HYPERLINK("https://twitter.com/NgilmuKantiLaku","@NgilmuKantiLaku")</f>
        <v>@NgilmuKantiLaku</v>
      </c>
      <c r="C1362" t="s">
        <v>321</v>
      </c>
      <c r="D1362">
        <v>1311</v>
      </c>
      <c r="E1362">
        <v>0</v>
      </c>
      <c r="F1362">
        <v>475</v>
      </c>
    </row>
    <row r="1363" spans="1:6" ht="12.75">
      <c r="A1363" s="2">
        <v>43885.178888888884</v>
      </c>
      <c r="B1363" t="str">
        <f>HYPERLINK("https://twitter.com/HaloBCA","@HaloBCA")</f>
        <v>@HaloBCA</v>
      </c>
      <c r="C1363" t="s">
        <v>2618</v>
      </c>
      <c r="D1363">
        <v>0</v>
      </c>
      <c r="E1363">
        <v>0</v>
      </c>
      <c r="F1363">
        <v>231720</v>
      </c>
    </row>
    <row r="1364" spans="1:6" ht="12.75">
      <c r="A1364" s="2">
        <v>43885.178807870368</v>
      </c>
      <c r="B1364" t="str">
        <f>HYPERLINK("https://twitter.com/samarikura","@samarikura")</f>
        <v>@samarikura</v>
      </c>
      <c r="C1364" t="s">
        <v>321</v>
      </c>
      <c r="D1364">
        <v>1311</v>
      </c>
      <c r="E1364">
        <v>0</v>
      </c>
      <c r="F1364">
        <v>2183</v>
      </c>
    </row>
    <row r="1365" spans="1:6" ht="12.75">
      <c r="A1365" s="2">
        <v>43885.178113425922</v>
      </c>
      <c r="B1365" t="str">
        <f>HYPERLINK("https://twitter.com/udapilliang","@udapilliang")</f>
        <v>@udapilliang</v>
      </c>
      <c r="C1365" t="s">
        <v>2619</v>
      </c>
      <c r="D1365">
        <v>1</v>
      </c>
      <c r="E1365">
        <v>0</v>
      </c>
      <c r="F1365">
        <v>553</v>
      </c>
    </row>
    <row r="1366" spans="1:6" ht="12.75">
      <c r="A1366" s="2">
        <v>43885.177974537037</v>
      </c>
      <c r="B1366" t="str">
        <f>HYPERLINK("https://twitter.com/shouske","@shouske")</f>
        <v>@shouske</v>
      </c>
      <c r="C1366" t="s">
        <v>321</v>
      </c>
      <c r="D1366">
        <v>1311</v>
      </c>
      <c r="E1366">
        <v>0</v>
      </c>
      <c r="F1366">
        <v>500</v>
      </c>
    </row>
    <row r="1367" spans="1:6" ht="12.75">
      <c r="A1367" s="2">
        <v>43885.176932870367</v>
      </c>
      <c r="B1367" t="str">
        <f>HYPERLINK("https://twitter.com/chr1ss7","@chr1ss7")</f>
        <v>@chr1ss7</v>
      </c>
      <c r="C1367" t="s">
        <v>2620</v>
      </c>
      <c r="D1367">
        <v>0</v>
      </c>
      <c r="E1367">
        <v>0</v>
      </c>
      <c r="F1367">
        <v>429</v>
      </c>
    </row>
    <row r="1368" spans="1:6" ht="12.75">
      <c r="A1368" s="2">
        <v>43885.176412037035</v>
      </c>
      <c r="B1368" t="str">
        <f>HYPERLINK("https://twitter.com/dayafter_412","@dayafter_412")</f>
        <v>@dayafter_412</v>
      </c>
      <c r="C1368" t="s">
        <v>321</v>
      </c>
      <c r="D1368">
        <v>1311</v>
      </c>
      <c r="E1368">
        <v>0</v>
      </c>
      <c r="F1368">
        <v>333</v>
      </c>
    </row>
    <row r="1369" spans="1:6" ht="12.75">
      <c r="A1369" s="2">
        <v>43885.176238425927</v>
      </c>
      <c r="B1369" t="str">
        <f>HYPERLINK("https://twitter.com/jeffri_alfa69","@jeffri_alfa69")</f>
        <v>@jeffri_alfa69</v>
      </c>
      <c r="C1369" t="s">
        <v>321</v>
      </c>
      <c r="D1369">
        <v>1311</v>
      </c>
      <c r="E1369">
        <v>0</v>
      </c>
      <c r="F1369">
        <v>158</v>
      </c>
    </row>
    <row r="1370" spans="1:6" ht="12.75">
      <c r="A1370" s="2">
        <v>43885.174108796295</v>
      </c>
      <c r="B1370" t="str">
        <f>HYPERLINK("https://twitter.com/ROROMENDUT","@ROROMENDUT")</f>
        <v>@ROROMENDUT</v>
      </c>
      <c r="C1370" t="s">
        <v>2091</v>
      </c>
      <c r="D1370">
        <v>873</v>
      </c>
      <c r="E1370">
        <v>0</v>
      </c>
      <c r="F1370">
        <v>63</v>
      </c>
    </row>
    <row r="1371" spans="1:6" ht="12.75">
      <c r="A1371" s="2">
        <v>43885.173981481479</v>
      </c>
      <c r="B1371" t="str">
        <f>HYPERLINK("https://twitter.com/lsm_mrtbt_sumut","@lsm_mrtbt_sumut")</f>
        <v>@lsm_mrtbt_sumut</v>
      </c>
      <c r="C1371" t="s">
        <v>2621</v>
      </c>
      <c r="D1371">
        <v>0</v>
      </c>
      <c r="E1371">
        <v>0</v>
      </c>
      <c r="F1371">
        <v>126</v>
      </c>
    </row>
    <row r="1372" spans="1:6" ht="12.75">
      <c r="A1372" s="2">
        <v>43885.173981481479</v>
      </c>
      <c r="B1372" t="str">
        <f>HYPERLINK("https://twitter.com/utamanewscom","@utamanewscom")</f>
        <v>@utamanewscom</v>
      </c>
      <c r="C1372" t="s">
        <v>2621</v>
      </c>
      <c r="D1372">
        <v>0</v>
      </c>
      <c r="E1372">
        <v>0</v>
      </c>
      <c r="F1372">
        <v>957</v>
      </c>
    </row>
    <row r="1373" spans="1:6" ht="12.75">
      <c r="A1373" s="2">
        <v>43885.173761574071</v>
      </c>
      <c r="B1373" t="str">
        <f>HYPERLINK("https://twitter.com/dinisatashya","@dinisatashya")</f>
        <v>@dinisatashya</v>
      </c>
      <c r="C1373" t="s">
        <v>2091</v>
      </c>
      <c r="D1373">
        <v>873</v>
      </c>
      <c r="E1373">
        <v>0</v>
      </c>
      <c r="F1373">
        <v>692</v>
      </c>
    </row>
    <row r="1374" spans="1:6" ht="12.75">
      <c r="A1374" s="2">
        <v>43885.17150462963</v>
      </c>
      <c r="B1374" t="str">
        <f>HYPERLINK("https://twitter.com/Gwaluh","@Gwaluh")</f>
        <v>@Gwaluh</v>
      </c>
      <c r="C1374" t="s">
        <v>321</v>
      </c>
      <c r="D1374">
        <v>1311</v>
      </c>
      <c r="E1374">
        <v>0</v>
      </c>
      <c r="F1374">
        <v>567</v>
      </c>
    </row>
    <row r="1375" spans="1:6" ht="12.75">
      <c r="A1375" s="2">
        <v>43885.168124999997</v>
      </c>
      <c r="B1375" t="str">
        <f>HYPERLINK("https://twitter.com/BillTemporo","@BillTemporo")</f>
        <v>@BillTemporo</v>
      </c>
      <c r="C1375" t="s">
        <v>832</v>
      </c>
      <c r="D1375">
        <v>0</v>
      </c>
      <c r="E1375">
        <v>0</v>
      </c>
      <c r="F1375">
        <v>11</v>
      </c>
    </row>
    <row r="1376" spans="1:6" ht="12.75">
      <c r="A1376" s="2">
        <v>43885.16810185185</v>
      </c>
      <c r="B1376" t="str">
        <f>HYPERLINK("https://twitter.com/newworldorder24","@newworldorder24")</f>
        <v>@newworldorder24</v>
      </c>
      <c r="C1376" t="s">
        <v>2120</v>
      </c>
      <c r="D1376">
        <v>44</v>
      </c>
      <c r="E1376">
        <v>0</v>
      </c>
      <c r="F1376">
        <v>463</v>
      </c>
    </row>
    <row r="1377" spans="1:6" ht="12.75">
      <c r="A1377" s="2">
        <v>43885.167986111112</v>
      </c>
      <c r="B1377" t="str">
        <f>HYPERLINK("https://twitter.com/bambang_hesti","@bambang_hesti")</f>
        <v>@bambang_hesti</v>
      </c>
      <c r="C1377" t="s">
        <v>2622</v>
      </c>
      <c r="D1377">
        <v>0</v>
      </c>
      <c r="E1377">
        <v>0</v>
      </c>
      <c r="F1377">
        <v>15</v>
      </c>
    </row>
    <row r="1378" spans="1:6" ht="12.75">
      <c r="A1378" s="2">
        <v>43885.167974537035</v>
      </c>
      <c r="B1378" t="str">
        <f t="shared" ref="B1378:B1379" si="38">HYPERLINK("https://twitter.com/newworldorder24","@newworldorder24")</f>
        <v>@newworldorder24</v>
      </c>
      <c r="C1378" t="s">
        <v>2115</v>
      </c>
      <c r="D1378">
        <v>46</v>
      </c>
      <c r="E1378">
        <v>0</v>
      </c>
      <c r="F1378">
        <v>463</v>
      </c>
    </row>
    <row r="1379" spans="1:6" ht="12.75">
      <c r="A1379" s="2">
        <v>43885.167534722219</v>
      </c>
      <c r="B1379" t="str">
        <f t="shared" si="38"/>
        <v>@newworldorder24</v>
      </c>
      <c r="C1379" t="s">
        <v>738</v>
      </c>
      <c r="D1379">
        <v>122</v>
      </c>
      <c r="E1379">
        <v>0</v>
      </c>
      <c r="F1379">
        <v>463</v>
      </c>
    </row>
    <row r="1380" spans="1:6" ht="12.75">
      <c r="A1380" s="2">
        <v>43885.166446759264</v>
      </c>
      <c r="B1380" t="str">
        <f>HYPERLINK("https://twitter.com/trinsna1044","@trinsna1044")</f>
        <v>@trinsna1044</v>
      </c>
      <c r="C1380" t="s">
        <v>2623</v>
      </c>
      <c r="D1380">
        <v>0</v>
      </c>
      <c r="E1380">
        <v>0</v>
      </c>
      <c r="F1380">
        <v>151</v>
      </c>
    </row>
    <row r="1381" spans="1:6" ht="12.75">
      <c r="A1381" s="2">
        <v>43885.16606481481</v>
      </c>
      <c r="B1381" t="str">
        <f>HYPERLINK("https://twitter.com/Untung52643485","@Untung52643485")</f>
        <v>@Untung52643485</v>
      </c>
      <c r="C1381" t="s">
        <v>2091</v>
      </c>
      <c r="D1381">
        <v>861</v>
      </c>
      <c r="E1381">
        <v>0</v>
      </c>
      <c r="F1381">
        <v>71</v>
      </c>
    </row>
    <row r="1382" spans="1:6" ht="12.75">
      <c r="A1382" s="2">
        <v>43885.164918981478</v>
      </c>
      <c r="B1382" t="str">
        <f>HYPERLINK("https://twitter.com/moriinfo","@moriinfo")</f>
        <v>@moriinfo</v>
      </c>
      <c r="C1382" t="s">
        <v>738</v>
      </c>
      <c r="D1382">
        <v>122</v>
      </c>
      <c r="E1382">
        <v>0</v>
      </c>
      <c r="F1382">
        <v>1103</v>
      </c>
    </row>
    <row r="1383" spans="1:6" ht="12.75">
      <c r="A1383" s="2">
        <v>43885.164826388893</v>
      </c>
      <c r="B1383" t="str">
        <f>HYPERLINK("https://twitter.com/KoalaBelantara","@KoalaBelantara")</f>
        <v>@KoalaBelantara</v>
      </c>
      <c r="C1383" t="s">
        <v>321</v>
      </c>
      <c r="D1383">
        <v>1292</v>
      </c>
      <c r="E1383">
        <v>0</v>
      </c>
      <c r="F1383">
        <v>1419</v>
      </c>
    </row>
    <row r="1384" spans="1:6" ht="12.75">
      <c r="A1384" s="2">
        <v>43885.163368055553</v>
      </c>
      <c r="B1384" t="str">
        <f>HYPERLINK("https://twitter.com/kip13392274","@kip13392274")</f>
        <v>@kip13392274</v>
      </c>
      <c r="C1384" t="s">
        <v>2166</v>
      </c>
      <c r="D1384">
        <v>215</v>
      </c>
      <c r="E1384">
        <v>0</v>
      </c>
      <c r="F1384">
        <v>140</v>
      </c>
    </row>
    <row r="1385" spans="1:6" ht="12.75">
      <c r="A1385" s="2">
        <v>43885.162951388891</v>
      </c>
      <c r="B1385" t="str">
        <f>HYPERLINK("https://twitter.com/hanychand","@hanychand")</f>
        <v>@hanychand</v>
      </c>
      <c r="C1385" t="s">
        <v>321</v>
      </c>
      <c r="D1385">
        <v>1292</v>
      </c>
      <c r="E1385">
        <v>0</v>
      </c>
      <c r="F1385">
        <v>31</v>
      </c>
    </row>
    <row r="1386" spans="1:6" ht="12.75">
      <c r="A1386" s="2">
        <v>43885.162256944444</v>
      </c>
      <c r="B1386" t="str">
        <f>HYPERLINK("https://twitter.com/bangjoya","@bangjoya")</f>
        <v>@bangjoya</v>
      </c>
      <c r="C1386" t="s">
        <v>2091</v>
      </c>
      <c r="D1386">
        <v>861</v>
      </c>
      <c r="E1386">
        <v>0</v>
      </c>
      <c r="F1386">
        <v>742</v>
      </c>
    </row>
    <row r="1387" spans="1:6" ht="12.75">
      <c r="A1387" s="2">
        <v>43885.161805555559</v>
      </c>
      <c r="B1387" t="str">
        <f>HYPERLINK("https://twitter.com/setyosby","@setyosby")</f>
        <v>@setyosby</v>
      </c>
      <c r="C1387" t="s">
        <v>321</v>
      </c>
      <c r="D1387">
        <v>1292</v>
      </c>
      <c r="E1387">
        <v>0</v>
      </c>
      <c r="F1387">
        <v>1937</v>
      </c>
    </row>
    <row r="1388" spans="1:6" ht="12.75">
      <c r="A1388" s="2">
        <v>43885.161770833336</v>
      </c>
      <c r="B1388" t="str">
        <f t="shared" ref="B1388:B1389" si="39">HYPERLINK("https://twitter.com/ecodaren","@ecodaren")</f>
        <v>@ecodaren</v>
      </c>
      <c r="C1388" t="s">
        <v>321</v>
      </c>
      <c r="D1388">
        <v>1292</v>
      </c>
      <c r="E1388">
        <v>0</v>
      </c>
      <c r="F1388">
        <v>3411</v>
      </c>
    </row>
    <row r="1389" spans="1:6" ht="12.75">
      <c r="A1389" s="2">
        <v>43885.161608796298</v>
      </c>
      <c r="B1389" t="str">
        <f t="shared" si="39"/>
        <v>@ecodaren</v>
      </c>
      <c r="C1389" t="s">
        <v>738</v>
      </c>
      <c r="D1389">
        <v>122</v>
      </c>
      <c r="E1389">
        <v>0</v>
      </c>
      <c r="F1389">
        <v>3411</v>
      </c>
    </row>
    <row r="1390" spans="1:6" ht="12.75">
      <c r="A1390" s="2">
        <v>43885.161006944443</v>
      </c>
      <c r="B1390" t="str">
        <f>HYPERLINK("https://twitter.com/yusdiusman","@yusdiusman")</f>
        <v>@yusdiusman</v>
      </c>
      <c r="C1390" t="s">
        <v>321</v>
      </c>
      <c r="D1390">
        <v>1292</v>
      </c>
      <c r="E1390">
        <v>0</v>
      </c>
      <c r="F1390">
        <v>3738</v>
      </c>
    </row>
    <row r="1391" spans="1:6" ht="12.75">
      <c r="A1391" s="2">
        <v>43885.160879629635</v>
      </c>
      <c r="B1391" t="str">
        <f>HYPERLINK("https://twitter.com/AfrizaMunaf","@AfrizaMunaf")</f>
        <v>@AfrizaMunaf</v>
      </c>
      <c r="C1391" t="s">
        <v>2166</v>
      </c>
      <c r="D1391">
        <v>215</v>
      </c>
      <c r="E1391">
        <v>0</v>
      </c>
      <c r="F1391">
        <v>697</v>
      </c>
    </row>
    <row r="1392" spans="1:6" ht="12.75">
      <c r="A1392" s="2">
        <v>43885.159097222218</v>
      </c>
      <c r="B1392" t="str">
        <f>HYPERLINK("https://twitter.com/yumikunkun","@yumikunkun")</f>
        <v>@yumikunkun</v>
      </c>
      <c r="C1392" t="s">
        <v>321</v>
      </c>
      <c r="D1392">
        <v>1292</v>
      </c>
      <c r="E1392">
        <v>0</v>
      </c>
      <c r="F1392">
        <v>97</v>
      </c>
    </row>
    <row r="1393" spans="1:6" ht="12.75">
      <c r="A1393" s="2">
        <v>43885.158796296295</v>
      </c>
      <c r="B1393" t="str">
        <f>HYPERLINK("https://twitter.com/Edipurw61113168","@Edipurw61113168")</f>
        <v>@Edipurw61113168</v>
      </c>
      <c r="C1393" t="s">
        <v>321</v>
      </c>
      <c r="D1393">
        <v>1292</v>
      </c>
      <c r="E1393">
        <v>0</v>
      </c>
      <c r="F1393">
        <v>1301</v>
      </c>
    </row>
    <row r="1394" spans="1:6" ht="12.75">
      <c r="A1394" s="2">
        <v>43885.158310185187</v>
      </c>
      <c r="B1394" t="str">
        <f>HYPERLINK("https://twitter.com/xmrjulianx","@xmrjulianx")</f>
        <v>@xmrjulianx</v>
      </c>
      <c r="C1394" t="s">
        <v>321</v>
      </c>
      <c r="D1394">
        <v>1292</v>
      </c>
      <c r="E1394">
        <v>0</v>
      </c>
      <c r="F1394">
        <v>41</v>
      </c>
    </row>
    <row r="1395" spans="1:6" ht="12.75">
      <c r="A1395" s="2">
        <v>43885.157557870371</v>
      </c>
      <c r="B1395" t="str">
        <f>HYPERLINK("https://twitter.com/konauzumaki","@konauzumaki")</f>
        <v>@konauzumaki</v>
      </c>
      <c r="C1395" t="s">
        <v>738</v>
      </c>
      <c r="D1395">
        <v>122</v>
      </c>
      <c r="E1395">
        <v>0</v>
      </c>
      <c r="F1395">
        <v>991</v>
      </c>
    </row>
    <row r="1396" spans="1:6" ht="12.75">
      <c r="A1396" s="2">
        <v>43885.15724537037</v>
      </c>
      <c r="B1396" t="str">
        <f>HYPERLINK("https://twitter.com/pure_blue_water","@pure_blue_water")</f>
        <v>@pure_blue_water</v>
      </c>
      <c r="C1396" t="s">
        <v>321</v>
      </c>
      <c r="D1396">
        <v>1292</v>
      </c>
      <c r="E1396">
        <v>0</v>
      </c>
      <c r="F1396">
        <v>682</v>
      </c>
    </row>
    <row r="1397" spans="1:6" ht="12.75">
      <c r="A1397" s="2">
        <v>43885.156087962961</v>
      </c>
      <c r="B1397" t="str">
        <f>HYPERLINK("https://twitter.com/Panal_medan9","@Panal_medan9")</f>
        <v>@Panal_medan9</v>
      </c>
      <c r="C1397" t="s">
        <v>2091</v>
      </c>
      <c r="D1397">
        <v>861</v>
      </c>
      <c r="E1397">
        <v>0</v>
      </c>
      <c r="F1397">
        <v>1254</v>
      </c>
    </row>
    <row r="1398" spans="1:6" ht="12.75">
      <c r="A1398" s="2">
        <v>43885.155844907407</v>
      </c>
      <c r="B1398" t="str">
        <f>HYPERLINK("https://twitter.com/pure_blue_water","@pure_blue_water")</f>
        <v>@pure_blue_water</v>
      </c>
      <c r="C1398" t="s">
        <v>738</v>
      </c>
      <c r="D1398">
        <v>122</v>
      </c>
      <c r="E1398">
        <v>0</v>
      </c>
      <c r="F1398">
        <v>682</v>
      </c>
    </row>
    <row r="1399" spans="1:6" ht="12.75">
      <c r="A1399" s="2">
        <v>43885.155150462961</v>
      </c>
      <c r="B1399" t="str">
        <f>HYPERLINK("https://twitter.com/konauzumaki","@konauzumaki")</f>
        <v>@konauzumaki</v>
      </c>
      <c r="C1399" t="s">
        <v>321</v>
      </c>
      <c r="D1399">
        <v>1292</v>
      </c>
      <c r="E1399">
        <v>0</v>
      </c>
      <c r="F1399">
        <v>991</v>
      </c>
    </row>
    <row r="1400" spans="1:6" ht="12.75">
      <c r="A1400" s="2">
        <v>43885.151782407411</v>
      </c>
      <c r="B1400" t="str">
        <f>HYPERLINK("https://twitter.com/akitsu19","@akitsu19")</f>
        <v>@akitsu19</v>
      </c>
      <c r="C1400" t="s">
        <v>738</v>
      </c>
      <c r="D1400">
        <v>122</v>
      </c>
      <c r="E1400">
        <v>0</v>
      </c>
      <c r="F1400">
        <v>469</v>
      </c>
    </row>
    <row r="1401" spans="1:6" ht="12.75">
      <c r="A1401" s="2">
        <v>43885.150636574079</v>
      </c>
      <c r="B1401" t="str">
        <f>HYPERLINK("https://twitter.com/nuridahayat1275","@nuridahayat1275")</f>
        <v>@nuridahayat1275</v>
      </c>
      <c r="C1401" t="s">
        <v>321</v>
      </c>
      <c r="D1401">
        <v>1292</v>
      </c>
      <c r="E1401">
        <v>0</v>
      </c>
      <c r="F1401">
        <v>148</v>
      </c>
    </row>
    <row r="1402" spans="1:6" ht="12.75">
      <c r="A1402" s="2">
        <v>43885.150335648148</v>
      </c>
      <c r="B1402" t="str">
        <f>HYPERLINK("https://twitter.com/Sunanlawu5","@Sunanlawu5")</f>
        <v>@Sunanlawu5</v>
      </c>
      <c r="C1402" t="s">
        <v>321</v>
      </c>
      <c r="D1402">
        <v>1292</v>
      </c>
      <c r="E1402">
        <v>0</v>
      </c>
      <c r="F1402">
        <v>35</v>
      </c>
    </row>
    <row r="1403" spans="1:6" ht="12.75">
      <c r="A1403" s="2">
        <v>43885.150266203702</v>
      </c>
      <c r="B1403" t="str">
        <f>HYPERLINK("https://twitter.com/Kazzu89","@Kazzu89")</f>
        <v>@Kazzu89</v>
      </c>
      <c r="C1403" t="s">
        <v>2624</v>
      </c>
      <c r="D1403">
        <v>0</v>
      </c>
      <c r="E1403">
        <v>0</v>
      </c>
      <c r="F1403">
        <v>357</v>
      </c>
    </row>
    <row r="1404" spans="1:6" ht="12.75">
      <c r="A1404" s="2">
        <v>43885.149768518517</v>
      </c>
      <c r="B1404" t="str">
        <f>HYPERLINK("https://twitter.com/hnremark","@hnremark")</f>
        <v>@hnremark</v>
      </c>
      <c r="C1404" t="s">
        <v>738</v>
      </c>
      <c r="D1404">
        <v>122</v>
      </c>
      <c r="E1404">
        <v>0</v>
      </c>
      <c r="F1404">
        <v>415</v>
      </c>
    </row>
    <row r="1405" spans="1:6" ht="12.75">
      <c r="A1405" s="2">
        <v>43885.149618055555</v>
      </c>
      <c r="B1405" t="str">
        <f>HYPERLINK("https://twitter.com/EvieWilade2","@EvieWilade2")</f>
        <v>@EvieWilade2</v>
      </c>
      <c r="C1405" t="s">
        <v>2091</v>
      </c>
      <c r="D1405">
        <v>861</v>
      </c>
      <c r="E1405">
        <v>0</v>
      </c>
      <c r="F1405">
        <v>5</v>
      </c>
    </row>
    <row r="1406" spans="1:6" ht="12.75">
      <c r="A1406" s="2">
        <v>43885.148969907408</v>
      </c>
      <c r="B1406" t="str">
        <f>HYPERLINK("https://twitter.com/sazamaru","@sazamaru")</f>
        <v>@sazamaru</v>
      </c>
      <c r="C1406" t="s">
        <v>2120</v>
      </c>
      <c r="D1406">
        <v>44</v>
      </c>
      <c r="E1406">
        <v>0</v>
      </c>
      <c r="F1406">
        <v>3771</v>
      </c>
    </row>
    <row r="1407" spans="1:6" ht="12.75">
      <c r="A1407" s="2">
        <v>43885.148414351846</v>
      </c>
      <c r="B1407" t="str">
        <f>HYPERLINK("https://twitter.com/Samy74998196","@Samy74998196")</f>
        <v>@Samy74998196</v>
      </c>
      <c r="C1407" t="s">
        <v>2625</v>
      </c>
      <c r="D1407">
        <v>20</v>
      </c>
      <c r="E1407">
        <v>0</v>
      </c>
      <c r="F1407">
        <v>10</v>
      </c>
    </row>
    <row r="1408" spans="1:6" ht="12.75">
      <c r="A1408" s="2">
        <v>43885.148125</v>
      </c>
      <c r="B1408" t="str">
        <f>HYPERLINK("https://twitter.com/GalihGieloof","@GalihGieloof")</f>
        <v>@GalihGieloof</v>
      </c>
      <c r="C1408" t="s">
        <v>321</v>
      </c>
      <c r="D1408">
        <v>1292</v>
      </c>
      <c r="E1408">
        <v>0</v>
      </c>
      <c r="F1408">
        <v>272</v>
      </c>
    </row>
    <row r="1409" spans="1:6" ht="12.75">
      <c r="A1409" s="2">
        <v>43885.147627314815</v>
      </c>
      <c r="B1409" t="str">
        <f>HYPERLINK("https://twitter.com/sazamaru","@sazamaru")</f>
        <v>@sazamaru</v>
      </c>
      <c r="C1409" t="s">
        <v>321</v>
      </c>
      <c r="D1409">
        <v>1292</v>
      </c>
      <c r="E1409">
        <v>0</v>
      </c>
      <c r="F1409">
        <v>3771</v>
      </c>
    </row>
    <row r="1410" spans="1:6" ht="12.75">
      <c r="A1410" s="2">
        <v>43885.147210648152</v>
      </c>
      <c r="B1410" t="str">
        <f>HYPERLINK("https://twitter.com/BillTemporo","@BillTemporo")</f>
        <v>@BillTemporo</v>
      </c>
      <c r="C1410" t="s">
        <v>2092</v>
      </c>
      <c r="D1410">
        <v>0</v>
      </c>
      <c r="E1410">
        <v>0</v>
      </c>
      <c r="F1410">
        <v>11</v>
      </c>
    </row>
    <row r="1411" spans="1:6" ht="12.75">
      <c r="A1411" s="2">
        <v>43885.147048611107</v>
      </c>
      <c r="B1411" t="str">
        <f>HYPERLINK("https://twitter.com/miyagichubu","@miyagichubu")</f>
        <v>@miyagichubu</v>
      </c>
      <c r="C1411" t="s">
        <v>321</v>
      </c>
      <c r="D1411">
        <v>1292</v>
      </c>
      <c r="E1411">
        <v>0</v>
      </c>
      <c r="F1411">
        <v>734</v>
      </c>
    </row>
    <row r="1412" spans="1:6" ht="12.75">
      <c r="A1412" s="2">
        <v>43885.146539351852</v>
      </c>
      <c r="B1412" t="str">
        <f>HYPERLINK("https://twitter.com/yumi347","@yumi347")</f>
        <v>@yumi347</v>
      </c>
      <c r="C1412" t="s">
        <v>2115</v>
      </c>
      <c r="D1412">
        <v>46</v>
      </c>
      <c r="E1412">
        <v>0</v>
      </c>
      <c r="F1412">
        <v>979</v>
      </c>
    </row>
    <row r="1413" spans="1:6" ht="12.75">
      <c r="A1413" s="2">
        <v>43885.145983796298</v>
      </c>
      <c r="B1413" t="str">
        <f>HYPERLINK("https://twitter.com/RisingS08790350","@RisingS08790350")</f>
        <v>@RisingS08790350</v>
      </c>
      <c r="C1413" t="s">
        <v>2626</v>
      </c>
      <c r="D1413">
        <v>0</v>
      </c>
      <c r="E1413">
        <v>0</v>
      </c>
      <c r="F1413">
        <v>102</v>
      </c>
    </row>
    <row r="1414" spans="1:6" ht="12.75">
      <c r="A1414" s="2">
        <v>43885.145729166667</v>
      </c>
      <c r="B1414" t="str">
        <f t="shared" ref="B1414:B1415" si="40">HYPERLINK("https://twitter.com/putrimarsellina","@putrimarsellina")</f>
        <v>@putrimarsellina</v>
      </c>
      <c r="C1414" t="s">
        <v>2627</v>
      </c>
      <c r="D1414">
        <v>4</v>
      </c>
      <c r="E1414">
        <v>0</v>
      </c>
      <c r="F1414">
        <v>457</v>
      </c>
    </row>
    <row r="1415" spans="1:6" ht="12.75">
      <c r="A1415" s="2">
        <v>43885.145289351851</v>
      </c>
      <c r="B1415" t="str">
        <f t="shared" si="40"/>
        <v>@putrimarsellina</v>
      </c>
      <c r="C1415" t="s">
        <v>2091</v>
      </c>
      <c r="D1415">
        <v>861</v>
      </c>
      <c r="E1415">
        <v>0</v>
      </c>
      <c r="F1415">
        <v>457</v>
      </c>
    </row>
    <row r="1416" spans="1:6" ht="12.75">
      <c r="A1416" s="2">
        <v>43885.145266203705</v>
      </c>
      <c r="B1416" t="str">
        <f t="shared" ref="B1416:B1418" si="41">HYPERLINK("https://twitter.com/kaokou11","@kaokou11")</f>
        <v>@kaokou11</v>
      </c>
      <c r="C1416" t="s">
        <v>2120</v>
      </c>
      <c r="D1416">
        <v>44</v>
      </c>
      <c r="E1416">
        <v>0</v>
      </c>
      <c r="F1416">
        <v>26953</v>
      </c>
    </row>
    <row r="1417" spans="1:6" ht="12.75">
      <c r="A1417" s="2">
        <v>43885.145208333328</v>
      </c>
      <c r="B1417" t="str">
        <f t="shared" si="41"/>
        <v>@kaokou11</v>
      </c>
      <c r="C1417" t="s">
        <v>2115</v>
      </c>
      <c r="D1417">
        <v>46</v>
      </c>
      <c r="E1417">
        <v>0</v>
      </c>
      <c r="F1417">
        <v>26953</v>
      </c>
    </row>
    <row r="1418" spans="1:6" ht="12.75">
      <c r="A1418" s="2">
        <v>43885.14472222222</v>
      </c>
      <c r="B1418" t="str">
        <f t="shared" si="41"/>
        <v>@kaokou11</v>
      </c>
      <c r="C1418" t="s">
        <v>738</v>
      </c>
      <c r="D1418">
        <v>122</v>
      </c>
      <c r="E1418">
        <v>0</v>
      </c>
      <c r="F1418">
        <v>26953</v>
      </c>
    </row>
    <row r="1419" spans="1:6" ht="12.75">
      <c r="A1419" s="2">
        <v>43885.144155092596</v>
      </c>
      <c r="B1419" t="str">
        <f>HYPERLINK("https://twitter.com/ArbeitSozialJap","@ArbeitSozialJap")</f>
        <v>@ArbeitSozialJap</v>
      </c>
      <c r="C1419" t="s">
        <v>321</v>
      </c>
      <c r="D1419">
        <v>1292</v>
      </c>
      <c r="E1419">
        <v>0</v>
      </c>
      <c r="F1419">
        <v>144</v>
      </c>
    </row>
    <row r="1420" spans="1:6" ht="12.75">
      <c r="A1420" s="2">
        <v>43885.143969907411</v>
      </c>
      <c r="B1420" t="str">
        <f>HYPERLINK("https://twitter.com/kaokou11","@kaokou11")</f>
        <v>@kaokou11</v>
      </c>
      <c r="C1420" t="s">
        <v>321</v>
      </c>
      <c r="D1420">
        <v>1292</v>
      </c>
      <c r="E1420">
        <v>0</v>
      </c>
      <c r="F1420">
        <v>26953</v>
      </c>
    </row>
    <row r="1421" spans="1:6" ht="12.75">
      <c r="A1421" s="2">
        <v>43885.14261574074</v>
      </c>
      <c r="B1421" t="str">
        <f>HYPERLINK("https://twitter.com/SJ74NP","@SJ74NP")</f>
        <v>@SJ74NP</v>
      </c>
      <c r="C1421" t="s">
        <v>738</v>
      </c>
      <c r="D1421">
        <v>122</v>
      </c>
      <c r="E1421">
        <v>0</v>
      </c>
      <c r="F1421">
        <v>670</v>
      </c>
    </row>
    <row r="1422" spans="1:6" ht="12.75">
      <c r="A1422" s="2">
        <v>43885.142546296294</v>
      </c>
      <c r="B1422" t="str">
        <f>HYPERLINK("https://twitter.com/bluehole0pass","@bluehole0pass")</f>
        <v>@bluehole0pass</v>
      </c>
      <c r="C1422" t="s">
        <v>738</v>
      </c>
      <c r="D1422">
        <v>122</v>
      </c>
      <c r="E1422">
        <v>0</v>
      </c>
      <c r="F1422">
        <v>37</v>
      </c>
    </row>
    <row r="1423" spans="1:6" ht="12.75">
      <c r="A1423" s="2">
        <v>43885.142291666663</v>
      </c>
      <c r="B1423" t="str">
        <f>HYPERLINK("https://twitter.com/Kami_BukanRobot","@Kami_BukanRobot")</f>
        <v>@Kami_BukanRobot</v>
      </c>
      <c r="C1423" t="s">
        <v>321</v>
      </c>
      <c r="D1423">
        <v>1292</v>
      </c>
      <c r="E1423">
        <v>0</v>
      </c>
      <c r="F1423">
        <v>248</v>
      </c>
    </row>
    <row r="1424" spans="1:6" ht="12.75">
      <c r="A1424" s="2">
        <v>43885.140335648146</v>
      </c>
      <c r="B1424" t="str">
        <f>HYPERLINK("https://twitter.com/gadisresidu_b3","@gadisresidu_b3")</f>
        <v>@gadisresidu_b3</v>
      </c>
      <c r="C1424" t="s">
        <v>2628</v>
      </c>
      <c r="D1424">
        <v>0</v>
      </c>
      <c r="E1424">
        <v>3</v>
      </c>
      <c r="F1424">
        <v>2095</v>
      </c>
    </row>
    <row r="1425" spans="1:6" ht="12.75">
      <c r="A1425" s="2">
        <v>43885.137210648143</v>
      </c>
      <c r="B1425" t="str">
        <f>HYPERLINK("https://twitter.com/adenvgraha","@adenvgraha")</f>
        <v>@adenvgraha</v>
      </c>
      <c r="C1425" t="s">
        <v>2629</v>
      </c>
      <c r="D1425">
        <v>0</v>
      </c>
      <c r="E1425">
        <v>0</v>
      </c>
      <c r="F1425">
        <v>34</v>
      </c>
    </row>
    <row r="1426" spans="1:6" ht="12.75">
      <c r="A1426" s="2">
        <v>43885.136689814812</v>
      </c>
      <c r="B1426" t="str">
        <f>HYPERLINK("https://twitter.com/ReiMichie99","@ReiMichie99")</f>
        <v>@ReiMichie99</v>
      </c>
      <c r="C1426" t="s">
        <v>2630</v>
      </c>
      <c r="D1426">
        <v>0</v>
      </c>
      <c r="E1426">
        <v>0</v>
      </c>
      <c r="F1426">
        <v>12</v>
      </c>
    </row>
    <row r="1427" spans="1:6" ht="12.75">
      <c r="A1427" s="2">
        <v>43885.135636574079</v>
      </c>
      <c r="B1427" t="str">
        <f>HYPERLINK("https://twitter.com/Arieandriyan","@Arieandriyan")</f>
        <v>@Arieandriyan</v>
      </c>
      <c r="C1427" t="s">
        <v>321</v>
      </c>
      <c r="D1427">
        <v>1292</v>
      </c>
      <c r="E1427">
        <v>0</v>
      </c>
      <c r="F1427">
        <v>284</v>
      </c>
    </row>
    <row r="1428" spans="1:6" ht="12.75">
      <c r="A1428" s="2">
        <v>43885.135416666672</v>
      </c>
      <c r="B1428" t="str">
        <f>HYPERLINK("https://twitter.com/mitaappp","@mitaappp")</f>
        <v>@mitaappp</v>
      </c>
      <c r="C1428" t="s">
        <v>2631</v>
      </c>
      <c r="D1428">
        <v>0</v>
      </c>
      <c r="E1428">
        <v>0</v>
      </c>
      <c r="F1428">
        <v>22</v>
      </c>
    </row>
    <row r="1429" spans="1:6" ht="12.75">
      <c r="A1429" s="2">
        <v>43885.134108796294</v>
      </c>
      <c r="B1429" t="str">
        <f>HYPERLINK("https://twitter.com/DesihW","@DesihW")</f>
        <v>@DesihW</v>
      </c>
      <c r="C1429" t="s">
        <v>2091</v>
      </c>
      <c r="D1429">
        <v>861</v>
      </c>
      <c r="E1429">
        <v>0</v>
      </c>
      <c r="F1429">
        <v>81</v>
      </c>
    </row>
    <row r="1430" spans="1:6" ht="12.75">
      <c r="A1430" s="2">
        <v>43885.132407407407</v>
      </c>
      <c r="B1430" t="str">
        <f>HYPERLINK("https://twitter.com/Isis_Vcouto","@Isis_Vcouto")</f>
        <v>@Isis_Vcouto</v>
      </c>
      <c r="C1430" t="s">
        <v>2632</v>
      </c>
      <c r="D1430">
        <v>0</v>
      </c>
      <c r="E1430">
        <v>0</v>
      </c>
      <c r="F1430">
        <v>2500</v>
      </c>
    </row>
    <row r="1431" spans="1:6" ht="12.75">
      <c r="A1431" s="2">
        <v>43885.128854166665</v>
      </c>
      <c r="B1431" t="str">
        <f>HYPERLINK("https://twitter.com/Hiradarkknight","@Hiradarkknight")</f>
        <v>@Hiradarkknight</v>
      </c>
      <c r="C1431" t="s">
        <v>738</v>
      </c>
      <c r="D1431">
        <v>122</v>
      </c>
      <c r="E1431">
        <v>0</v>
      </c>
      <c r="F1431">
        <v>389</v>
      </c>
    </row>
    <row r="1432" spans="1:6" ht="12.75">
      <c r="A1432" s="2">
        <v>43885.128368055557</v>
      </c>
      <c r="B1432" t="str">
        <f>HYPERLINK("https://twitter.com/jeydi___","@jeydi___")</f>
        <v>@jeydi___</v>
      </c>
      <c r="C1432" t="s">
        <v>321</v>
      </c>
      <c r="D1432">
        <v>1292</v>
      </c>
      <c r="E1432">
        <v>0</v>
      </c>
      <c r="F1432">
        <v>210</v>
      </c>
    </row>
    <row r="1433" spans="1:6" ht="12.75">
      <c r="A1433" s="2">
        <v>43885.127071759256</v>
      </c>
      <c r="B1433" t="str">
        <f>HYPERLINK("https://twitter.com/black13side","@black13side")</f>
        <v>@black13side</v>
      </c>
      <c r="C1433" t="s">
        <v>321</v>
      </c>
      <c r="D1433">
        <v>1292</v>
      </c>
      <c r="E1433">
        <v>0</v>
      </c>
      <c r="F1433">
        <v>623</v>
      </c>
    </row>
    <row r="1434" spans="1:6" ht="12.75">
      <c r="A1434" s="2">
        <v>43885.126423611116</v>
      </c>
      <c r="B1434" t="str">
        <f>HYPERLINK("https://twitter.com/BillTemporo","@BillTemporo")</f>
        <v>@BillTemporo</v>
      </c>
      <c r="C1434" t="s">
        <v>889</v>
      </c>
      <c r="D1434">
        <v>0</v>
      </c>
      <c r="E1434">
        <v>0</v>
      </c>
      <c r="F1434">
        <v>11</v>
      </c>
    </row>
    <row r="1435" spans="1:6" ht="12.75">
      <c r="A1435" s="2">
        <v>43885.123784722222</v>
      </c>
      <c r="B1435" t="str">
        <f>HYPERLINK("https://twitter.com/Official_OGI","@Official_OGI")</f>
        <v>@Official_OGI</v>
      </c>
      <c r="C1435" t="s">
        <v>2166</v>
      </c>
      <c r="D1435">
        <v>210</v>
      </c>
      <c r="E1435">
        <v>0</v>
      </c>
      <c r="F1435">
        <v>1123</v>
      </c>
    </row>
    <row r="1436" spans="1:6" ht="12.75">
      <c r="A1436" s="2">
        <v>43885.12332175926</v>
      </c>
      <c r="B1436" t="str">
        <f t="shared" ref="B1436:B1438" si="42">HYPERLINK("https://twitter.com/andri_wae1","@andri_wae1")</f>
        <v>@andri_wae1</v>
      </c>
      <c r="C1436" t="s">
        <v>2120</v>
      </c>
      <c r="D1436">
        <v>41</v>
      </c>
      <c r="E1436">
        <v>0</v>
      </c>
      <c r="F1436">
        <v>578</v>
      </c>
    </row>
    <row r="1437" spans="1:6" ht="12.75">
      <c r="A1437" s="2">
        <v>43885.123182870375</v>
      </c>
      <c r="B1437" t="str">
        <f t="shared" si="42"/>
        <v>@andri_wae1</v>
      </c>
      <c r="C1437" t="s">
        <v>2115</v>
      </c>
      <c r="D1437">
        <v>43</v>
      </c>
      <c r="E1437">
        <v>0</v>
      </c>
      <c r="F1437">
        <v>578</v>
      </c>
    </row>
    <row r="1438" spans="1:6" ht="12.75">
      <c r="A1438" s="2">
        <v>43885.122928240744</v>
      </c>
      <c r="B1438" t="str">
        <f t="shared" si="42"/>
        <v>@andri_wae1</v>
      </c>
      <c r="C1438" t="s">
        <v>738</v>
      </c>
      <c r="D1438">
        <v>111</v>
      </c>
      <c r="E1438">
        <v>0</v>
      </c>
      <c r="F1438">
        <v>578</v>
      </c>
    </row>
    <row r="1439" spans="1:6" ht="12.75">
      <c r="A1439" s="2">
        <v>43885.122916666667</v>
      </c>
      <c r="B1439" t="str">
        <f>HYPERLINK("https://twitter.com/nurkhafidhi","@nurkhafidhi")</f>
        <v>@nurkhafidhi</v>
      </c>
      <c r="C1439" t="s">
        <v>2166</v>
      </c>
      <c r="D1439">
        <v>210</v>
      </c>
      <c r="E1439">
        <v>0</v>
      </c>
      <c r="F1439">
        <v>159</v>
      </c>
    </row>
    <row r="1440" spans="1:6" ht="12.75">
      <c r="A1440" s="2">
        <v>43885.122870370367</v>
      </c>
      <c r="B1440" t="str">
        <f>HYPERLINK("https://twitter.com/oktorinaldoo","@oktorinaldoo")</f>
        <v>@oktorinaldoo</v>
      </c>
      <c r="C1440" t="s">
        <v>321</v>
      </c>
      <c r="D1440">
        <v>1271</v>
      </c>
      <c r="E1440">
        <v>0</v>
      </c>
      <c r="F1440">
        <v>65</v>
      </c>
    </row>
    <row r="1441" spans="1:6" ht="12.75">
      <c r="A1441" s="2">
        <v>43885.12228009259</v>
      </c>
      <c r="B1441" t="str">
        <f>HYPERLINK("https://twitter.com/andri_wae1","@andri_wae1")</f>
        <v>@andri_wae1</v>
      </c>
      <c r="C1441" t="s">
        <v>321</v>
      </c>
      <c r="D1441">
        <v>1271</v>
      </c>
      <c r="E1441">
        <v>0</v>
      </c>
      <c r="F1441">
        <v>578</v>
      </c>
    </row>
    <row r="1442" spans="1:6" ht="12.75">
      <c r="A1442" s="2">
        <v>43885.12195601852</v>
      </c>
      <c r="B1442" t="str">
        <f>HYPERLINK("https://twitter.com/Fian_BoysSan","@Fian_BoysSan")</f>
        <v>@Fian_BoysSan</v>
      </c>
      <c r="C1442" t="s">
        <v>2091</v>
      </c>
      <c r="D1442">
        <v>854</v>
      </c>
      <c r="E1442">
        <v>0</v>
      </c>
      <c r="F1442">
        <v>440</v>
      </c>
    </row>
    <row r="1443" spans="1:6" ht="12.75">
      <c r="A1443" s="2">
        <v>43885.121111111112</v>
      </c>
      <c r="B1443" t="str">
        <f>HYPERLINK("https://twitter.com/JhondoexlxG","@JhondoexlxG")</f>
        <v>@JhondoexlxG</v>
      </c>
      <c r="C1443" t="s">
        <v>2633</v>
      </c>
      <c r="D1443">
        <v>0</v>
      </c>
      <c r="E1443">
        <v>1</v>
      </c>
      <c r="F1443">
        <v>447</v>
      </c>
    </row>
    <row r="1444" spans="1:6" ht="12.75">
      <c r="A1444" s="2">
        <v>43885.120740740742</v>
      </c>
      <c r="B1444" t="str">
        <f>HYPERLINK("https://twitter.com/KakWiwit","@KakWiwit")</f>
        <v>@KakWiwit</v>
      </c>
      <c r="C1444" t="s">
        <v>2634</v>
      </c>
      <c r="D1444">
        <v>0</v>
      </c>
      <c r="E1444">
        <v>0</v>
      </c>
      <c r="F1444">
        <v>1927</v>
      </c>
    </row>
    <row r="1445" spans="1:6" ht="12.75">
      <c r="A1445" s="2">
        <v>43885.119884259257</v>
      </c>
      <c r="B1445" t="str">
        <f>HYPERLINK("https://twitter.com/_therma_","@_therma_")</f>
        <v>@_therma_</v>
      </c>
      <c r="C1445" t="s">
        <v>321</v>
      </c>
      <c r="D1445">
        <v>1271</v>
      </c>
      <c r="E1445">
        <v>0</v>
      </c>
      <c r="F1445">
        <v>4532</v>
      </c>
    </row>
    <row r="1446" spans="1:6" ht="12.75">
      <c r="A1446" s="2">
        <v>43885.118368055555</v>
      </c>
      <c r="B1446" t="str">
        <f>HYPERLINK("https://twitter.com/panjings","@panjings")</f>
        <v>@panjings</v>
      </c>
      <c r="C1446" t="s">
        <v>321</v>
      </c>
      <c r="D1446">
        <v>1271</v>
      </c>
      <c r="E1446">
        <v>0</v>
      </c>
      <c r="F1446">
        <v>111</v>
      </c>
    </row>
    <row r="1447" spans="1:6" ht="12.75">
      <c r="A1447" s="2">
        <v>43885.118136574078</v>
      </c>
      <c r="B1447" t="str">
        <f>HYPERLINK("https://twitter.com/mahendra_afriza","@mahendra_afriza")</f>
        <v>@mahendra_afriza</v>
      </c>
      <c r="C1447" t="s">
        <v>321</v>
      </c>
      <c r="D1447">
        <v>1271</v>
      </c>
      <c r="E1447">
        <v>0</v>
      </c>
      <c r="F1447">
        <v>14</v>
      </c>
    </row>
    <row r="1448" spans="1:6" ht="12.75">
      <c r="A1448" s="2">
        <v>43885.117777777778</v>
      </c>
      <c r="B1448" t="str">
        <f>HYPERLINK("https://twitter.com/57555M","@57555M")</f>
        <v>@57555M</v>
      </c>
      <c r="C1448" t="s">
        <v>321</v>
      </c>
      <c r="D1448">
        <v>1271</v>
      </c>
      <c r="E1448">
        <v>0</v>
      </c>
      <c r="F1448">
        <v>1130</v>
      </c>
    </row>
    <row r="1449" spans="1:6" ht="12.75">
      <c r="A1449" s="2">
        <v>43885.115543981483</v>
      </c>
      <c r="B1449" t="str">
        <f>HYPERLINK("https://twitter.com/instantproblem","@instantproblem")</f>
        <v>@instantproblem</v>
      </c>
      <c r="C1449" t="s">
        <v>321</v>
      </c>
      <c r="D1449">
        <v>1271</v>
      </c>
      <c r="E1449">
        <v>0</v>
      </c>
      <c r="F1449">
        <v>57</v>
      </c>
    </row>
    <row r="1450" spans="1:6" ht="12.75">
      <c r="A1450" s="2">
        <v>43885.114166666666</v>
      </c>
      <c r="B1450" t="str">
        <f>HYPERLINK("https://twitter.com/muggleAlmd","@muggleAlmd")</f>
        <v>@muggleAlmd</v>
      </c>
      <c r="C1450" t="s">
        <v>2635</v>
      </c>
      <c r="D1450">
        <v>0</v>
      </c>
      <c r="E1450">
        <v>0</v>
      </c>
      <c r="F1450">
        <v>100</v>
      </c>
    </row>
    <row r="1451" spans="1:6" ht="12.75">
      <c r="A1451" s="2">
        <v>43885.112233796295</v>
      </c>
      <c r="B1451" t="str">
        <f t="shared" ref="B1451:B1454" si="43">HYPERLINK("https://twitter.com/miharja_ozzy","@miharja_ozzy")</f>
        <v>@miharja_ozzy</v>
      </c>
      <c r="C1451" t="s">
        <v>321</v>
      </c>
      <c r="D1451">
        <v>1271</v>
      </c>
      <c r="E1451">
        <v>0</v>
      </c>
      <c r="F1451">
        <v>51</v>
      </c>
    </row>
    <row r="1452" spans="1:6" ht="12.75">
      <c r="A1452" s="2">
        <v>43885.112037037034</v>
      </c>
      <c r="B1452" t="str">
        <f t="shared" si="43"/>
        <v>@miharja_ozzy</v>
      </c>
      <c r="C1452" t="s">
        <v>738</v>
      </c>
      <c r="D1452">
        <v>111</v>
      </c>
      <c r="E1452">
        <v>0</v>
      </c>
      <c r="F1452">
        <v>51</v>
      </c>
    </row>
    <row r="1453" spans="1:6" ht="12.75">
      <c r="A1453" s="2">
        <v>43885.111944444448</v>
      </c>
      <c r="B1453" t="str">
        <f t="shared" si="43"/>
        <v>@miharja_ozzy</v>
      </c>
      <c r="C1453" t="s">
        <v>2115</v>
      </c>
      <c r="D1453">
        <v>43</v>
      </c>
      <c r="E1453">
        <v>0</v>
      </c>
      <c r="F1453">
        <v>51</v>
      </c>
    </row>
    <row r="1454" spans="1:6" ht="12.75">
      <c r="A1454" s="2">
        <v>43885.111898148149</v>
      </c>
      <c r="B1454" t="str">
        <f t="shared" si="43"/>
        <v>@miharja_ozzy</v>
      </c>
      <c r="C1454" t="s">
        <v>2120</v>
      </c>
      <c r="D1454">
        <v>41</v>
      </c>
      <c r="E1454">
        <v>0</v>
      </c>
      <c r="F1454">
        <v>51</v>
      </c>
    </row>
    <row r="1455" spans="1:6" ht="12.75">
      <c r="A1455" s="2">
        <v>43885.11137731481</v>
      </c>
      <c r="B1455" t="str">
        <f>HYPERLINK("https://twitter.com/Arjunaswara2","@Arjunaswara2")</f>
        <v>@Arjunaswara2</v>
      </c>
      <c r="C1455" t="s">
        <v>321</v>
      </c>
      <c r="D1455">
        <v>1271</v>
      </c>
      <c r="E1455">
        <v>0</v>
      </c>
      <c r="F1455">
        <v>52</v>
      </c>
    </row>
    <row r="1456" spans="1:6" ht="12.75">
      <c r="A1456" s="2">
        <v>43885.111331018517</v>
      </c>
      <c r="B1456" t="str">
        <f>HYPERLINK("https://twitter.com/AhmadIrman9","@AhmadIrman9")</f>
        <v>@AhmadIrman9</v>
      </c>
      <c r="C1456" t="s">
        <v>2636</v>
      </c>
      <c r="D1456">
        <v>2279</v>
      </c>
      <c r="E1456">
        <v>0</v>
      </c>
      <c r="F1456">
        <v>1</v>
      </c>
    </row>
    <row r="1457" spans="1:6" ht="12.75">
      <c r="A1457" s="2">
        <v>43885.110787037032</v>
      </c>
      <c r="B1457" t="str">
        <f>HYPERLINK("https://twitter.com/nurdesthi","@nurdesthi")</f>
        <v>@nurdesthi</v>
      </c>
      <c r="C1457" t="s">
        <v>321</v>
      </c>
      <c r="D1457">
        <v>1271</v>
      </c>
      <c r="E1457">
        <v>0</v>
      </c>
      <c r="F1457">
        <v>493</v>
      </c>
    </row>
    <row r="1458" spans="1:6" ht="12.75">
      <c r="A1458" s="2">
        <v>43885.109756944439</v>
      </c>
      <c r="B1458" t="str">
        <f>HYPERLINK("https://twitter.com/arfanalfikyy","@arfanalfikyy")</f>
        <v>@arfanalfikyy</v>
      </c>
      <c r="C1458" t="s">
        <v>321</v>
      </c>
      <c r="D1458">
        <v>1271</v>
      </c>
      <c r="E1458">
        <v>0</v>
      </c>
      <c r="F1458">
        <v>4</v>
      </c>
    </row>
    <row r="1459" spans="1:6" ht="12.75">
      <c r="A1459" s="2">
        <v>43885.108865740738</v>
      </c>
      <c r="B1459" t="str">
        <f>HYPERLINK("https://twitter.com/aryokendhil1","@aryokendhil1")</f>
        <v>@aryokendhil1</v>
      </c>
      <c r="C1459" t="s">
        <v>2637</v>
      </c>
      <c r="D1459">
        <v>20</v>
      </c>
      <c r="E1459">
        <v>0</v>
      </c>
      <c r="F1459">
        <v>192</v>
      </c>
    </row>
    <row r="1460" spans="1:6" ht="12.75">
      <c r="A1460" s="2">
        <v>43885.10864583333</v>
      </c>
      <c r="B1460" t="str">
        <f>HYPERLINK("https://twitter.com/turquoise_7blue","@turquoise_7blue")</f>
        <v>@turquoise_7blue</v>
      </c>
      <c r="C1460" t="s">
        <v>738</v>
      </c>
      <c r="D1460">
        <v>111</v>
      </c>
      <c r="E1460">
        <v>0</v>
      </c>
      <c r="F1460">
        <v>714</v>
      </c>
    </row>
    <row r="1461" spans="1:6" ht="12.75">
      <c r="A1461" s="2">
        <v>43885.107685185183</v>
      </c>
      <c r="B1461" t="str">
        <f>HYPERLINK("https://twitter.com/AttarKarhan","@AttarKarhan")</f>
        <v>@AttarKarhan</v>
      </c>
      <c r="C1461" t="s">
        <v>2186</v>
      </c>
      <c r="D1461">
        <v>2</v>
      </c>
      <c r="E1461">
        <v>0</v>
      </c>
      <c r="F1461">
        <v>123</v>
      </c>
    </row>
    <row r="1462" spans="1:6" ht="12.75">
      <c r="A1462" s="2">
        <v>43885.107395833329</v>
      </c>
      <c r="B1462" t="str">
        <f>HYPERLINK("https://twitter.com/_ayubudi","@_ayubudi")</f>
        <v>@_ayubudi</v>
      </c>
      <c r="C1462" t="s">
        <v>2091</v>
      </c>
      <c r="D1462">
        <v>854</v>
      </c>
      <c r="E1462">
        <v>0</v>
      </c>
      <c r="F1462">
        <v>302</v>
      </c>
    </row>
    <row r="1463" spans="1:6" ht="12.75">
      <c r="A1463" s="2">
        <v>43885.105671296296</v>
      </c>
      <c r="B1463" t="str">
        <f>HYPERLINK("https://twitter.com/ityou","@ityou")</f>
        <v>@ityou</v>
      </c>
      <c r="C1463" t="s">
        <v>738</v>
      </c>
      <c r="D1463">
        <v>111</v>
      </c>
      <c r="E1463">
        <v>0</v>
      </c>
      <c r="F1463">
        <v>972</v>
      </c>
    </row>
    <row r="1464" spans="1:6" ht="12.75">
      <c r="A1464" s="2">
        <v>43885.103738425925</v>
      </c>
      <c r="B1464" t="str">
        <f>HYPERLINK("https://twitter.com/YunusAntares","@YunusAntares")</f>
        <v>@YunusAntares</v>
      </c>
      <c r="C1464" t="s">
        <v>2166</v>
      </c>
      <c r="D1464">
        <v>210</v>
      </c>
      <c r="E1464">
        <v>0</v>
      </c>
      <c r="F1464">
        <v>411</v>
      </c>
    </row>
    <row r="1465" spans="1:6" ht="12.75">
      <c r="A1465" s="2">
        <v>43885.101875</v>
      </c>
      <c r="B1465" t="str">
        <f>HYPERLINK("https://twitter.com/fachri_kh","@fachri_kh")</f>
        <v>@fachri_kh</v>
      </c>
      <c r="C1465" t="s">
        <v>321</v>
      </c>
      <c r="D1465">
        <v>1271</v>
      </c>
      <c r="E1465">
        <v>0</v>
      </c>
      <c r="F1465">
        <v>4146</v>
      </c>
    </row>
    <row r="1466" spans="1:6" ht="12.75">
      <c r="A1466" s="2">
        <v>43885.101782407408</v>
      </c>
      <c r="B1466" t="str">
        <f>HYPERLINK("https://twitter.com/Miss_Rebella","@Miss_Rebella")</f>
        <v>@Miss_Rebella</v>
      </c>
      <c r="C1466" t="s">
        <v>2186</v>
      </c>
      <c r="D1466">
        <v>2</v>
      </c>
      <c r="E1466">
        <v>0</v>
      </c>
      <c r="F1466">
        <v>478</v>
      </c>
    </row>
    <row r="1467" spans="1:6" ht="12.75">
      <c r="A1467" s="2">
        <v>43885.101319444446</v>
      </c>
      <c r="B1467" t="str">
        <f>HYPERLINK("https://twitter.com/haiujos","@haiujos")</f>
        <v>@haiujos</v>
      </c>
      <c r="C1467" t="s">
        <v>321</v>
      </c>
      <c r="D1467">
        <v>1271</v>
      </c>
      <c r="E1467">
        <v>0</v>
      </c>
      <c r="F1467">
        <v>252</v>
      </c>
    </row>
    <row r="1468" spans="1:6" ht="12.75">
      <c r="A1468" s="2">
        <v>43885.100995370369</v>
      </c>
      <c r="B1468" t="str">
        <f>HYPERLINK("https://twitter.com/thaillakamillee","@thaillakamillee")</f>
        <v>@thaillakamillee</v>
      </c>
      <c r="C1468" t="s">
        <v>2638</v>
      </c>
      <c r="D1468">
        <v>0</v>
      </c>
      <c r="E1468">
        <v>0</v>
      </c>
      <c r="F1468">
        <v>226</v>
      </c>
    </row>
    <row r="1469" spans="1:6" ht="12.75">
      <c r="A1469" s="2">
        <v>43885.099016203705</v>
      </c>
      <c r="B1469" t="str">
        <f>HYPERLINK("https://twitter.com/Superunkwn","@Superunkwn")</f>
        <v>@Superunkwn</v>
      </c>
      <c r="C1469" t="s">
        <v>321</v>
      </c>
      <c r="D1469">
        <v>1271</v>
      </c>
      <c r="E1469">
        <v>0</v>
      </c>
      <c r="F1469">
        <v>561</v>
      </c>
    </row>
    <row r="1470" spans="1:6" ht="12.75">
      <c r="A1470" s="2">
        <v>43885.098414351851</v>
      </c>
      <c r="B1470" t="str">
        <f>HYPERLINK("https://twitter.com/cempala","@cempala")</f>
        <v>@cempala</v>
      </c>
      <c r="C1470" t="s">
        <v>2639</v>
      </c>
      <c r="D1470">
        <v>2</v>
      </c>
      <c r="E1470">
        <v>2</v>
      </c>
      <c r="F1470">
        <v>4344</v>
      </c>
    </row>
    <row r="1471" spans="1:6" ht="12.75">
      <c r="A1471" s="2">
        <v>43885.098252314812</v>
      </c>
      <c r="B1471" t="str">
        <f>HYPERLINK("https://twitter.com/su7loo","@su7loo")</f>
        <v>@su7loo</v>
      </c>
      <c r="C1471" t="s">
        <v>2091</v>
      </c>
      <c r="D1471">
        <v>854</v>
      </c>
      <c r="E1471">
        <v>0</v>
      </c>
      <c r="F1471">
        <v>1165</v>
      </c>
    </row>
    <row r="1472" spans="1:6" ht="12.75">
      <c r="A1472" s="2">
        <v>43885.098067129627</v>
      </c>
      <c r="B1472" t="str">
        <f>HYPERLINK("https://twitter.com/3y4n9putr1","@3y4n9putr1")</f>
        <v>@3y4n9putr1</v>
      </c>
      <c r="C1472" t="s">
        <v>2640</v>
      </c>
      <c r="D1472">
        <v>4</v>
      </c>
      <c r="E1472">
        <v>0</v>
      </c>
      <c r="F1472">
        <v>2881</v>
      </c>
    </row>
    <row r="1473" spans="1:6" ht="12.75">
      <c r="A1473" s="2">
        <v>43885.097615740742</v>
      </c>
      <c r="B1473" t="str">
        <f>HYPERLINK("https://twitter.com/Ndrews1162011","@Ndrews1162011")</f>
        <v>@Ndrews1162011</v>
      </c>
      <c r="C1473" t="s">
        <v>2641</v>
      </c>
      <c r="D1473">
        <v>0</v>
      </c>
      <c r="E1473">
        <v>0</v>
      </c>
      <c r="F1473">
        <v>1154</v>
      </c>
    </row>
    <row r="1474" spans="1:6" ht="12.75">
      <c r="A1474" s="2">
        <v>43885.096944444449</v>
      </c>
      <c r="B1474" t="str">
        <f>HYPERLINK("https://twitter.com/celendier","@celendier")</f>
        <v>@celendier</v>
      </c>
      <c r="C1474" t="s">
        <v>321</v>
      </c>
      <c r="D1474">
        <v>1271</v>
      </c>
      <c r="E1474">
        <v>0</v>
      </c>
      <c r="F1474">
        <v>6</v>
      </c>
    </row>
    <row r="1475" spans="1:6" ht="12.75">
      <c r="A1475" s="2">
        <v>43885.096875000003</v>
      </c>
      <c r="B1475" t="str">
        <f>HYPERLINK("https://twitter.com/Tumakninnah","@Tumakninnah")</f>
        <v>@Tumakninnah</v>
      </c>
      <c r="C1475" t="s">
        <v>321</v>
      </c>
      <c r="D1475">
        <v>1271</v>
      </c>
      <c r="E1475">
        <v>0</v>
      </c>
      <c r="F1475">
        <v>350</v>
      </c>
    </row>
    <row r="1476" spans="1:6" ht="12.75">
      <c r="A1476" s="2">
        <v>43885.096400462964</v>
      </c>
      <c r="B1476" t="str">
        <f>HYPERLINK("https://twitter.com/cnlubis","@cnlubis")</f>
        <v>@cnlubis</v>
      </c>
      <c r="C1476" t="s">
        <v>2091</v>
      </c>
      <c r="D1476">
        <v>854</v>
      </c>
      <c r="E1476">
        <v>0</v>
      </c>
      <c r="F1476">
        <v>367</v>
      </c>
    </row>
    <row r="1477" spans="1:6" ht="12.75">
      <c r="A1477" s="2">
        <v>43885.095289351855</v>
      </c>
      <c r="B1477" t="str">
        <f>HYPERLINK("https://twitter.com/merahputih_id_","@merahputih_id_")</f>
        <v>@merahputih_id_</v>
      </c>
      <c r="C1477" t="s">
        <v>2084</v>
      </c>
      <c r="D1477">
        <v>0</v>
      </c>
      <c r="E1477">
        <v>0</v>
      </c>
      <c r="F1477">
        <v>76</v>
      </c>
    </row>
    <row r="1478" spans="1:6" ht="12.75">
      <c r="A1478" s="2">
        <v>43885.09373842593</v>
      </c>
      <c r="B1478" t="str">
        <f>HYPERLINK("https://twitter.com/vendy_25","@vendy_25")</f>
        <v>@vendy_25</v>
      </c>
      <c r="C1478" t="s">
        <v>738</v>
      </c>
      <c r="D1478">
        <v>111</v>
      </c>
      <c r="E1478">
        <v>0</v>
      </c>
      <c r="F1478">
        <v>234</v>
      </c>
    </row>
    <row r="1479" spans="1:6" ht="12.75">
      <c r="A1479" s="2">
        <v>43885.093043981484</v>
      </c>
      <c r="B1479" t="str">
        <f>HYPERLINK("https://twitter.com/Kenja_mode_","@Kenja_mode_")</f>
        <v>@Kenja_mode_</v>
      </c>
      <c r="C1479" t="s">
        <v>738</v>
      </c>
      <c r="D1479">
        <v>111</v>
      </c>
      <c r="E1479">
        <v>0</v>
      </c>
      <c r="F1479">
        <v>130</v>
      </c>
    </row>
    <row r="1480" spans="1:6" ht="12.75">
      <c r="A1480" s="2">
        <v>43885.091550925921</v>
      </c>
      <c r="B1480" t="str">
        <f>HYPERLINK("https://twitter.com/enjang_as","@enjang_as")</f>
        <v>@enjang_as</v>
      </c>
      <c r="C1480" t="s">
        <v>321</v>
      </c>
      <c r="D1480">
        <v>1271</v>
      </c>
      <c r="E1480">
        <v>0</v>
      </c>
      <c r="F1480">
        <v>812</v>
      </c>
    </row>
    <row r="1481" spans="1:6" ht="12.75">
      <c r="A1481" s="2">
        <v>43885.090324074074</v>
      </c>
      <c r="B1481" t="str">
        <f>HYPERLINK("https://twitter.com/carpediemwinnrz","@carpediemwinnrz")</f>
        <v>@carpediemwinnrz</v>
      </c>
      <c r="C1481" t="s">
        <v>2642</v>
      </c>
      <c r="D1481">
        <v>1</v>
      </c>
      <c r="E1481">
        <v>0</v>
      </c>
      <c r="F1481">
        <v>187</v>
      </c>
    </row>
    <row r="1482" spans="1:6" ht="12.75">
      <c r="A1482" s="2">
        <v>43885.089444444442</v>
      </c>
      <c r="B1482" t="str">
        <f>HYPERLINK("https://twitter.com/AEPishere","@AEPishere")</f>
        <v>@AEPishere</v>
      </c>
      <c r="C1482" t="s">
        <v>2643</v>
      </c>
      <c r="D1482">
        <v>3</v>
      </c>
      <c r="E1482">
        <v>0</v>
      </c>
      <c r="F1482">
        <v>3015</v>
      </c>
    </row>
    <row r="1483" spans="1:6" ht="12.75">
      <c r="A1483" s="2">
        <v>43885.088356481487</v>
      </c>
      <c r="B1483" t="str">
        <f>HYPERLINK("https://twitter.com/alwifadhillaa","@alwifadhillaa")</f>
        <v>@alwifadhillaa</v>
      </c>
      <c r="C1483" t="s">
        <v>321</v>
      </c>
      <c r="D1483">
        <v>1271</v>
      </c>
      <c r="E1483">
        <v>0</v>
      </c>
      <c r="F1483">
        <v>85</v>
      </c>
    </row>
    <row r="1484" spans="1:6" ht="12.75">
      <c r="A1484" s="2">
        <v>43885.087719907402</v>
      </c>
      <c r="B1484" t="str">
        <f>HYPERLINK("https://twitter.com/cracklingclack","@cracklingclack")</f>
        <v>@cracklingclack</v>
      </c>
      <c r="C1484" t="s">
        <v>2091</v>
      </c>
      <c r="D1484">
        <v>854</v>
      </c>
      <c r="E1484">
        <v>0</v>
      </c>
      <c r="F1484">
        <v>671</v>
      </c>
    </row>
    <row r="1485" spans="1:6" ht="12.75">
      <c r="A1485" s="2">
        <v>43885.085983796293</v>
      </c>
      <c r="B1485" t="str">
        <f>HYPERLINK("https://twitter.com/PuncakVila","@PuncakVila")</f>
        <v>@PuncakVila</v>
      </c>
      <c r="C1485" t="s">
        <v>321</v>
      </c>
      <c r="D1485">
        <v>1271</v>
      </c>
      <c r="E1485">
        <v>0</v>
      </c>
      <c r="F1485">
        <v>106</v>
      </c>
    </row>
    <row r="1486" spans="1:6" ht="12.75">
      <c r="A1486" s="2">
        <v>43885.085532407407</v>
      </c>
      <c r="B1486" t="str">
        <f>HYPERLINK("https://twitter.com/sunshineee_1999","@sunshineee_1999")</f>
        <v>@sunshineee_1999</v>
      </c>
      <c r="C1486" t="s">
        <v>2644</v>
      </c>
      <c r="D1486">
        <v>0</v>
      </c>
      <c r="E1486">
        <v>0</v>
      </c>
      <c r="F1486">
        <v>2</v>
      </c>
    </row>
    <row r="1487" spans="1:6" ht="12.75">
      <c r="A1487" s="2">
        <v>43885.084097222221</v>
      </c>
      <c r="B1487" t="str">
        <f>HYPERLINK("https://twitter.com/chandrawirasanj","@chandrawirasanj")</f>
        <v>@chandrawirasanj</v>
      </c>
      <c r="C1487" t="s">
        <v>2091</v>
      </c>
      <c r="D1487">
        <v>848</v>
      </c>
      <c r="E1487">
        <v>0</v>
      </c>
      <c r="F1487">
        <v>21</v>
      </c>
    </row>
    <row r="1488" spans="1:6" ht="12.75">
      <c r="A1488" s="2">
        <v>43885.083611111113</v>
      </c>
      <c r="B1488" t="str">
        <f>HYPERLINK("https://twitter.com/AutoAdsJa","@AutoAdsJa")</f>
        <v>@AutoAdsJa</v>
      </c>
      <c r="C1488" t="s">
        <v>2645</v>
      </c>
      <c r="D1488">
        <v>0</v>
      </c>
      <c r="E1488">
        <v>0</v>
      </c>
      <c r="F1488">
        <v>540</v>
      </c>
    </row>
    <row r="1489" spans="1:6" ht="12.75">
      <c r="A1489" s="2">
        <v>43885.082650462966</v>
      </c>
      <c r="B1489" t="str">
        <f>HYPERLINK("https://twitter.com/Soim_Maskur","@Soim_Maskur")</f>
        <v>@Soim_Maskur</v>
      </c>
      <c r="C1489" t="s">
        <v>2091</v>
      </c>
      <c r="D1489">
        <v>848</v>
      </c>
      <c r="E1489">
        <v>0</v>
      </c>
      <c r="F1489">
        <v>52</v>
      </c>
    </row>
    <row r="1490" spans="1:6" ht="12.75">
      <c r="A1490" s="2">
        <v>43885.082256944443</v>
      </c>
      <c r="B1490" t="str">
        <f>HYPERLINK("https://twitter.com/panjimao","@panjimao")</f>
        <v>@panjimao</v>
      </c>
      <c r="C1490" t="s">
        <v>321</v>
      </c>
      <c r="D1490">
        <v>1249</v>
      </c>
      <c r="E1490">
        <v>0</v>
      </c>
      <c r="F1490">
        <v>387</v>
      </c>
    </row>
    <row r="1491" spans="1:6" ht="12.75">
      <c r="A1491" s="2">
        <v>43885.079687500001</v>
      </c>
      <c r="B1491" t="str">
        <f>HYPERLINK("https://twitter.com/EnoLope","@EnoLope")</f>
        <v>@EnoLope</v>
      </c>
      <c r="C1491" t="s">
        <v>2625</v>
      </c>
      <c r="D1491">
        <v>19</v>
      </c>
      <c r="E1491">
        <v>0</v>
      </c>
      <c r="F1491">
        <v>14570</v>
      </c>
    </row>
    <row r="1492" spans="1:6" ht="12.75">
      <c r="A1492" s="2">
        <v>43885.078171296293</v>
      </c>
      <c r="B1492" t="str">
        <f>HYPERLINK("https://twitter.com/indahshofamarwa","@indahshofamarwa")</f>
        <v>@indahshofamarwa</v>
      </c>
      <c r="C1492" t="s">
        <v>2115</v>
      </c>
      <c r="D1492">
        <v>41</v>
      </c>
      <c r="E1492">
        <v>0</v>
      </c>
      <c r="F1492">
        <v>0</v>
      </c>
    </row>
    <row r="1493" spans="1:6" ht="12.75">
      <c r="A1493" s="2">
        <v>43885.077800925923</v>
      </c>
      <c r="B1493" t="str">
        <f>HYPERLINK("https://twitter.com/tribunusbarat","@tribunusbarat")</f>
        <v>@tribunusbarat</v>
      </c>
      <c r="C1493" t="s">
        <v>2640</v>
      </c>
      <c r="D1493">
        <v>3</v>
      </c>
      <c r="E1493">
        <v>0</v>
      </c>
      <c r="F1493">
        <v>1064</v>
      </c>
    </row>
    <row r="1494" spans="1:6" ht="12.75">
      <c r="A1494" s="2">
        <v>43885.077731481477</v>
      </c>
      <c r="B1494" t="str">
        <f>HYPERLINK("https://twitter.com/indahshofamarwa","@indahshofamarwa")</f>
        <v>@indahshofamarwa</v>
      </c>
      <c r="C1494" t="s">
        <v>2120</v>
      </c>
      <c r="D1494">
        <v>39</v>
      </c>
      <c r="E1494">
        <v>0</v>
      </c>
      <c r="F1494">
        <v>0</v>
      </c>
    </row>
    <row r="1495" spans="1:6" ht="12.75">
      <c r="A1495" s="2">
        <v>43885.07711805556</v>
      </c>
      <c r="B1495" t="str">
        <f>HYPERLINK("https://twitter.com/mamethRH","@mamethRH")</f>
        <v>@mamethRH</v>
      </c>
      <c r="C1495" t="s">
        <v>2166</v>
      </c>
      <c r="D1495">
        <v>205</v>
      </c>
      <c r="E1495">
        <v>0</v>
      </c>
      <c r="F1495">
        <v>531</v>
      </c>
    </row>
    <row r="1496" spans="1:6" ht="12.75">
      <c r="A1496" s="2">
        <v>43885.076053240744</v>
      </c>
      <c r="B1496" t="str">
        <f>HYPERLINK("https://twitter.com/casteanoz","@casteanoz")</f>
        <v>@casteanoz</v>
      </c>
      <c r="C1496" t="s">
        <v>2091</v>
      </c>
      <c r="D1496">
        <v>848</v>
      </c>
      <c r="E1496">
        <v>0</v>
      </c>
      <c r="F1496">
        <v>286</v>
      </c>
    </row>
    <row r="1497" spans="1:6" ht="12.75">
      <c r="A1497" s="2">
        <v>43885.074999999997</v>
      </c>
      <c r="B1497" t="str">
        <f>HYPERLINK("https://twitter.com/in_hoping","@in_hoping")</f>
        <v>@in_hoping</v>
      </c>
      <c r="C1497" t="s">
        <v>2091</v>
      </c>
      <c r="D1497">
        <v>848</v>
      </c>
      <c r="E1497">
        <v>0</v>
      </c>
      <c r="F1497">
        <v>218</v>
      </c>
    </row>
    <row r="1498" spans="1:6" ht="12.75">
      <c r="A1498" s="2">
        <v>43885.074988425928</v>
      </c>
      <c r="B1498" t="str">
        <f>HYPERLINK("https://twitter.com/luidarryl","@luidarryl")</f>
        <v>@luidarryl</v>
      </c>
      <c r="C1498" t="s">
        <v>2091</v>
      </c>
      <c r="D1498">
        <v>848</v>
      </c>
      <c r="E1498">
        <v>0</v>
      </c>
      <c r="F1498">
        <v>22</v>
      </c>
    </row>
    <row r="1499" spans="1:6" ht="12.75">
      <c r="A1499" s="2">
        <v>43885.074756944443</v>
      </c>
      <c r="B1499" t="str">
        <f>HYPERLINK("https://twitter.com/dedisetiawan30","@dedisetiawan30")</f>
        <v>@dedisetiawan30</v>
      </c>
      <c r="C1499" t="s">
        <v>2188</v>
      </c>
      <c r="D1499">
        <v>2</v>
      </c>
      <c r="E1499">
        <v>0</v>
      </c>
      <c r="F1499">
        <v>343</v>
      </c>
    </row>
    <row r="1500" spans="1:6" ht="12.75">
      <c r="A1500" s="2">
        <v>43885.073634259257</v>
      </c>
      <c r="B1500" t="str">
        <f t="shared" ref="B1500:B1501" si="44">HYPERLINK("https://twitter.com/Viet_jp_white","@Viet_jp_white")</f>
        <v>@Viet_jp_white</v>
      </c>
      <c r="C1500" t="s">
        <v>2115</v>
      </c>
      <c r="D1500">
        <v>41</v>
      </c>
      <c r="E1500">
        <v>0</v>
      </c>
      <c r="F1500">
        <v>848</v>
      </c>
    </row>
    <row r="1501" spans="1:6" ht="12.75">
      <c r="A1501" s="2">
        <v>43885.073449074072</v>
      </c>
      <c r="B1501" t="str">
        <f t="shared" si="44"/>
        <v>@Viet_jp_white</v>
      </c>
      <c r="C1501" t="s">
        <v>738</v>
      </c>
      <c r="D1501">
        <v>105</v>
      </c>
      <c r="E1501">
        <v>0</v>
      </c>
      <c r="F1501">
        <v>848</v>
      </c>
    </row>
    <row r="1502" spans="1:6" ht="12.75">
      <c r="A1502" s="2">
        <v>43885.07303240741</v>
      </c>
      <c r="B1502" t="str">
        <f>HYPERLINK("https://twitter.com/rustitour","@rustitour")</f>
        <v>@rustitour</v>
      </c>
      <c r="C1502" t="s">
        <v>2131</v>
      </c>
      <c r="D1502">
        <v>0</v>
      </c>
      <c r="E1502">
        <v>0</v>
      </c>
      <c r="F1502">
        <v>1</v>
      </c>
    </row>
    <row r="1503" spans="1:6" ht="12.75">
      <c r="A1503" s="2">
        <v>43885.072905092587</v>
      </c>
      <c r="B1503" t="str">
        <f>HYPERLINK("https://twitter.com/KarenaBenar","@KarenaBenar")</f>
        <v>@KarenaBenar</v>
      </c>
      <c r="C1503" t="s">
        <v>321</v>
      </c>
      <c r="D1503">
        <v>1249</v>
      </c>
      <c r="E1503">
        <v>0</v>
      </c>
      <c r="F1503">
        <v>43</v>
      </c>
    </row>
    <row r="1504" spans="1:6" ht="12.75">
      <c r="A1504" s="2">
        <v>43885.071909722217</v>
      </c>
      <c r="B1504" t="str">
        <f>HYPERLINK("https://twitter.com/Yulifahriah1","@Yulifahriah1")</f>
        <v>@Yulifahriah1</v>
      </c>
      <c r="C1504" t="s">
        <v>321</v>
      </c>
      <c r="D1504">
        <v>1249</v>
      </c>
      <c r="E1504">
        <v>0</v>
      </c>
      <c r="F1504">
        <v>231</v>
      </c>
    </row>
    <row r="1505" spans="1:6" ht="12.75">
      <c r="A1505" s="2">
        <v>43885.071631944447</v>
      </c>
      <c r="B1505" t="str">
        <f>HYPERLINK("https://twitter.com/tsaniyatss","@tsaniyatss")</f>
        <v>@tsaniyatss</v>
      </c>
      <c r="C1505" t="s">
        <v>2444</v>
      </c>
      <c r="D1505">
        <v>4576</v>
      </c>
      <c r="E1505">
        <v>0</v>
      </c>
      <c r="F1505">
        <v>447</v>
      </c>
    </row>
    <row r="1506" spans="1:6" ht="12.75">
      <c r="A1506" s="2">
        <v>43885.071562500001</v>
      </c>
      <c r="B1506" t="str">
        <f>HYPERLINK("https://twitter.com/suitan174","@suitan174")</f>
        <v>@suitan174</v>
      </c>
      <c r="C1506" t="s">
        <v>738</v>
      </c>
      <c r="D1506">
        <v>105</v>
      </c>
      <c r="E1506">
        <v>0</v>
      </c>
      <c r="F1506">
        <v>1290</v>
      </c>
    </row>
    <row r="1507" spans="1:6" ht="12.75">
      <c r="A1507" s="2">
        <v>43885.070081018523</v>
      </c>
      <c r="B1507" t="str">
        <f>HYPERLINK("https://twitter.com/Ndrews1162011","@Ndrews1162011")</f>
        <v>@Ndrews1162011</v>
      </c>
      <c r="C1507" t="s">
        <v>2646</v>
      </c>
      <c r="D1507">
        <v>0</v>
      </c>
      <c r="E1507">
        <v>0</v>
      </c>
      <c r="F1507">
        <v>1154</v>
      </c>
    </row>
    <row r="1508" spans="1:6" ht="12.75">
      <c r="A1508" s="2">
        <v>43885.069351851853</v>
      </c>
      <c r="B1508" t="str">
        <f>HYPERLINK("https://twitter.com/dEyy_smi","@dEyy_smi")</f>
        <v>@dEyy_smi</v>
      </c>
      <c r="C1508" t="s">
        <v>2647</v>
      </c>
      <c r="D1508">
        <v>0</v>
      </c>
      <c r="E1508">
        <v>0</v>
      </c>
      <c r="F1508">
        <v>42</v>
      </c>
    </row>
    <row r="1509" spans="1:6" ht="12.75">
      <c r="A1509" s="2">
        <v>43885.068749999999</v>
      </c>
      <c r="B1509" t="str">
        <f>HYPERLINK("https://twitter.com/Rizal_Valen76","@Rizal_Valen76")</f>
        <v>@Rizal_Valen76</v>
      </c>
      <c r="C1509" t="s">
        <v>2091</v>
      </c>
      <c r="D1509">
        <v>848</v>
      </c>
      <c r="E1509">
        <v>0</v>
      </c>
      <c r="F1509">
        <v>2815</v>
      </c>
    </row>
    <row r="1510" spans="1:6" ht="12.75">
      <c r="A1510" s="2">
        <v>43885.068159722221</v>
      </c>
      <c r="B1510" t="str">
        <f>HYPERLINK("https://twitter.com/MasfarGazali","@MasfarGazali")</f>
        <v>@MasfarGazali</v>
      </c>
      <c r="C1510" t="s">
        <v>2166</v>
      </c>
      <c r="D1510">
        <v>205</v>
      </c>
      <c r="E1510">
        <v>0</v>
      </c>
      <c r="F1510">
        <v>1959</v>
      </c>
    </row>
    <row r="1511" spans="1:6" ht="12.75">
      <c r="A1511" s="2">
        <v>43885.067488425921</v>
      </c>
      <c r="B1511" t="str">
        <f>HYPERLINK("https://twitter.com/JanganFollowCuk","@JanganFollowCuk")</f>
        <v>@JanganFollowCuk</v>
      </c>
      <c r="C1511" t="s">
        <v>2648</v>
      </c>
      <c r="D1511">
        <v>0</v>
      </c>
      <c r="E1511">
        <v>0</v>
      </c>
      <c r="F1511">
        <v>434</v>
      </c>
    </row>
    <row r="1512" spans="1:6" ht="12.75">
      <c r="A1512" s="2">
        <v>43885.067395833335</v>
      </c>
      <c r="B1512" t="str">
        <f>HYPERLINK("https://twitter.com/fandy5758","@fandy5758")</f>
        <v>@fandy5758</v>
      </c>
      <c r="C1512" t="s">
        <v>321</v>
      </c>
      <c r="D1512">
        <v>1249</v>
      </c>
      <c r="E1512">
        <v>0</v>
      </c>
      <c r="F1512">
        <v>60</v>
      </c>
    </row>
    <row r="1513" spans="1:6" ht="12.75">
      <c r="A1513" s="2">
        <v>43885.065995370373</v>
      </c>
      <c r="B1513" t="str">
        <f>HYPERLINK("https://twitter.com/Yusuferyy","@Yusuferyy")</f>
        <v>@Yusuferyy</v>
      </c>
      <c r="C1513" t="s">
        <v>321</v>
      </c>
      <c r="D1513">
        <v>1249</v>
      </c>
      <c r="E1513">
        <v>0</v>
      </c>
      <c r="F1513">
        <v>92</v>
      </c>
    </row>
    <row r="1514" spans="1:6" ht="12.75">
      <c r="A1514" s="2">
        <v>43885.065358796295</v>
      </c>
      <c r="B1514" t="str">
        <f>HYPERLINK("https://twitter.com/iepouel","@iepouel")</f>
        <v>@iepouel</v>
      </c>
      <c r="C1514" t="s">
        <v>321</v>
      </c>
      <c r="D1514">
        <v>1249</v>
      </c>
      <c r="E1514">
        <v>0</v>
      </c>
      <c r="F1514">
        <v>223</v>
      </c>
    </row>
    <row r="1515" spans="1:6" ht="12.75">
      <c r="A1515" s="2">
        <v>43885.064872685187</v>
      </c>
      <c r="B1515" t="str">
        <f>HYPERLINK("https://twitter.com/tiaraadeliani","@tiaraadeliani")</f>
        <v>@tiaraadeliani</v>
      </c>
      <c r="C1515" t="s">
        <v>2091</v>
      </c>
      <c r="D1515">
        <v>848</v>
      </c>
      <c r="E1515">
        <v>0</v>
      </c>
      <c r="F1515">
        <v>490</v>
      </c>
    </row>
    <row r="1516" spans="1:6" ht="12.75">
      <c r="A1516" s="2">
        <v>43885.064837962964</v>
      </c>
      <c r="B1516" t="str">
        <f>HYPERLINK("https://twitter.com/Iuneserenade","@Iuneserenade")</f>
        <v>@Iuneserenade</v>
      </c>
      <c r="C1516" t="s">
        <v>2091</v>
      </c>
      <c r="D1516">
        <v>848</v>
      </c>
      <c r="E1516">
        <v>0</v>
      </c>
      <c r="F1516">
        <v>228</v>
      </c>
    </row>
    <row r="1517" spans="1:6" ht="12.75">
      <c r="A1517" s="2">
        <v>43885.063935185186</v>
      </c>
      <c r="B1517" t="str">
        <f>HYPERLINK("https://twitter.com/NartoWiro","@NartoWiro")</f>
        <v>@NartoWiro</v>
      </c>
      <c r="C1517" t="s">
        <v>2091</v>
      </c>
      <c r="D1517">
        <v>848</v>
      </c>
      <c r="E1517">
        <v>0</v>
      </c>
      <c r="F1517">
        <v>5</v>
      </c>
    </row>
    <row r="1518" spans="1:6" ht="12.75">
      <c r="A1518" s="2">
        <v>43885.063310185185</v>
      </c>
      <c r="B1518" t="str">
        <f>HYPERLINK("https://twitter.com/faturrachman0","@faturrachman0")</f>
        <v>@faturrachman0</v>
      </c>
      <c r="C1518" t="s">
        <v>321</v>
      </c>
      <c r="D1518">
        <v>1249</v>
      </c>
      <c r="E1518">
        <v>0</v>
      </c>
      <c r="F1518">
        <v>285</v>
      </c>
    </row>
    <row r="1519" spans="1:6" ht="12.75">
      <c r="A1519" s="2">
        <v>43885.06322916667</v>
      </c>
      <c r="B1519" t="str">
        <f>HYPERLINK("https://twitter.com/justkicau","@justkicau")</f>
        <v>@justkicau</v>
      </c>
      <c r="C1519" t="s">
        <v>2091</v>
      </c>
      <c r="D1519">
        <v>848</v>
      </c>
      <c r="E1519">
        <v>0</v>
      </c>
      <c r="F1519">
        <v>469</v>
      </c>
    </row>
    <row r="1520" spans="1:6" ht="12.75">
      <c r="A1520" s="2">
        <v>43885.063078703708</v>
      </c>
      <c r="B1520" t="str">
        <f>HYPERLINK("https://twitter.com/indahshofamarwa","@indahshofamarwa")</f>
        <v>@indahshofamarwa</v>
      </c>
      <c r="C1520" t="s">
        <v>321</v>
      </c>
      <c r="D1520">
        <v>1249</v>
      </c>
      <c r="E1520">
        <v>0</v>
      </c>
      <c r="F1520">
        <v>0</v>
      </c>
    </row>
    <row r="1521" spans="1:6" ht="12.75">
      <c r="A1521" s="2">
        <v>43885.062280092592</v>
      </c>
      <c r="B1521" t="str">
        <f>HYPERLINK("https://twitter.com/presidentyrex","@presidentyrex")</f>
        <v>@presidentyrex</v>
      </c>
      <c r="C1521" t="s">
        <v>2649</v>
      </c>
      <c r="D1521">
        <v>0</v>
      </c>
      <c r="E1521">
        <v>0</v>
      </c>
      <c r="F1521">
        <v>337</v>
      </c>
    </row>
    <row r="1522" spans="1:6" ht="12.75">
      <c r="A1522" s="2">
        <v>43885.062013888892</v>
      </c>
      <c r="B1522" t="str">
        <f>HYPERLINK("https://twitter.com/sea9sky9","@sea9sky9")</f>
        <v>@sea9sky9</v>
      </c>
      <c r="C1522" t="s">
        <v>2650</v>
      </c>
      <c r="D1522">
        <v>0</v>
      </c>
      <c r="E1522">
        <v>0</v>
      </c>
      <c r="F1522">
        <v>58</v>
      </c>
    </row>
    <row r="1523" spans="1:6" ht="12.75">
      <c r="A1523" s="2">
        <v>43885.060196759259</v>
      </c>
      <c r="B1523" t="str">
        <f>HYPERLINK("https://twitter.com/randualit","@randualit")</f>
        <v>@randualit</v>
      </c>
      <c r="C1523" t="s">
        <v>2091</v>
      </c>
      <c r="D1523">
        <v>848</v>
      </c>
      <c r="E1523">
        <v>0</v>
      </c>
      <c r="F1523">
        <v>7535</v>
      </c>
    </row>
    <row r="1524" spans="1:6" ht="12.75">
      <c r="A1524" s="2">
        <v>43885.059189814812</v>
      </c>
      <c r="B1524" t="str">
        <f>HYPERLINK("https://twitter.com/whitysky04","@whitysky04")</f>
        <v>@whitysky04</v>
      </c>
      <c r="C1524" t="s">
        <v>2651</v>
      </c>
      <c r="D1524">
        <v>0</v>
      </c>
      <c r="E1524">
        <v>0</v>
      </c>
      <c r="F1524">
        <v>1549</v>
      </c>
    </row>
    <row r="1525" spans="1:6" ht="12.75">
      <c r="A1525" s="2">
        <v>43885.059108796297</v>
      </c>
      <c r="B1525" t="str">
        <f>HYPERLINK("https://twitter.com/vanxxi77","@vanxxi77")</f>
        <v>@vanxxi77</v>
      </c>
      <c r="C1525" t="s">
        <v>2091</v>
      </c>
      <c r="D1525">
        <v>848</v>
      </c>
      <c r="E1525">
        <v>0</v>
      </c>
      <c r="F1525">
        <v>10</v>
      </c>
    </row>
    <row r="1526" spans="1:6" ht="12.75">
      <c r="A1526" s="2">
        <v>43885.058738425927</v>
      </c>
      <c r="B1526" t="str">
        <f>HYPERLINK("https://twitter.com/ISIS_Balik_NO","@ISIS_Balik_NO")</f>
        <v>@ISIS_Balik_NO</v>
      </c>
      <c r="C1526" t="s">
        <v>2091</v>
      </c>
      <c r="D1526">
        <v>848</v>
      </c>
      <c r="E1526">
        <v>0</v>
      </c>
      <c r="F1526">
        <v>6114</v>
      </c>
    </row>
    <row r="1527" spans="1:6" ht="12.75">
      <c r="A1527" s="2">
        <v>43885.058564814812</v>
      </c>
      <c r="B1527" t="str">
        <f>HYPERLINK("https://twitter.com/alvicooll","@alvicooll")</f>
        <v>@alvicooll</v>
      </c>
      <c r="C1527" t="s">
        <v>2166</v>
      </c>
      <c r="D1527">
        <v>205</v>
      </c>
      <c r="E1527">
        <v>0</v>
      </c>
      <c r="F1527">
        <v>395</v>
      </c>
    </row>
    <row r="1528" spans="1:6" ht="12.75">
      <c r="A1528" s="2">
        <v>43885.058090277773</v>
      </c>
      <c r="B1528" t="str">
        <f>HYPERLINK("https://twitter.com/mundsir","@mundsir")</f>
        <v>@mundsir</v>
      </c>
      <c r="C1528" t="s">
        <v>2166</v>
      </c>
      <c r="D1528">
        <v>205</v>
      </c>
      <c r="E1528">
        <v>0</v>
      </c>
      <c r="F1528">
        <v>70</v>
      </c>
    </row>
    <row r="1529" spans="1:6" ht="12.75">
      <c r="A1529" s="2">
        <v>43885.057384259257</v>
      </c>
      <c r="B1529" t="str">
        <f>HYPERLINK("https://twitter.com/titanrahadian","@titanrahadian")</f>
        <v>@titanrahadian</v>
      </c>
      <c r="C1529" t="s">
        <v>321</v>
      </c>
      <c r="D1529">
        <v>1249</v>
      </c>
      <c r="E1529">
        <v>0</v>
      </c>
      <c r="F1529">
        <v>1177</v>
      </c>
    </row>
    <row r="1530" spans="1:6" ht="12.75">
      <c r="A1530" s="2">
        <v>43885.057164351849</v>
      </c>
      <c r="B1530" t="str">
        <f>HYPERLINK("https://twitter.com/yasssi9","@yasssi9")</f>
        <v>@yasssi9</v>
      </c>
      <c r="C1530" t="s">
        <v>2091</v>
      </c>
      <c r="D1530">
        <v>848</v>
      </c>
      <c r="E1530">
        <v>0</v>
      </c>
      <c r="F1530">
        <v>2</v>
      </c>
    </row>
    <row r="1531" spans="1:6" ht="12.75">
      <c r="A1531" s="2">
        <v>43885.057037037041</v>
      </c>
      <c r="B1531" t="str">
        <f>HYPERLINK("https://twitter.com/ChicPurple2","@ChicPurple2")</f>
        <v>@ChicPurple2</v>
      </c>
      <c r="C1531" t="s">
        <v>321</v>
      </c>
      <c r="D1531">
        <v>1249</v>
      </c>
      <c r="E1531">
        <v>0</v>
      </c>
      <c r="F1531">
        <v>9</v>
      </c>
    </row>
    <row r="1532" spans="1:6" ht="12.75">
      <c r="A1532" s="2">
        <v>43885.054537037038</v>
      </c>
      <c r="B1532" t="str">
        <f>HYPERLINK("https://twitter.com/sambelroaa","@sambelroaa")</f>
        <v>@sambelroaa</v>
      </c>
      <c r="C1532" t="s">
        <v>2652</v>
      </c>
      <c r="D1532">
        <v>0</v>
      </c>
      <c r="E1532">
        <v>0</v>
      </c>
      <c r="F1532">
        <v>167</v>
      </c>
    </row>
    <row r="1533" spans="1:6" ht="12.75">
      <c r="A1533" s="2">
        <v>43885.053773148145</v>
      </c>
      <c r="B1533" t="str">
        <f>HYPERLINK("https://twitter.com/ANDRxHRMWN","@ANDRxHRMWN")</f>
        <v>@ANDRxHRMWN</v>
      </c>
      <c r="C1533" t="s">
        <v>321</v>
      </c>
      <c r="D1533">
        <v>1249</v>
      </c>
      <c r="E1533">
        <v>0</v>
      </c>
      <c r="F1533">
        <v>426</v>
      </c>
    </row>
    <row r="1534" spans="1:6" ht="12.75">
      <c r="A1534" s="2">
        <v>43885.053460648152</v>
      </c>
      <c r="B1534" t="str">
        <f>HYPERLINK("https://twitter.com/tiaramaharyuni","@tiaramaharyuni")</f>
        <v>@tiaramaharyuni</v>
      </c>
      <c r="C1534" t="s">
        <v>2091</v>
      </c>
      <c r="D1534">
        <v>848</v>
      </c>
      <c r="E1534">
        <v>0</v>
      </c>
      <c r="F1534">
        <v>890</v>
      </c>
    </row>
    <row r="1535" spans="1:6" ht="12.75">
      <c r="A1535" s="2">
        <v>43885.053298611107</v>
      </c>
      <c r="B1535" t="str">
        <f>HYPERLINK("https://twitter.com/T3TT1R14","@T3TT1R14")</f>
        <v>@T3TT1R14</v>
      </c>
      <c r="C1535" t="s">
        <v>2653</v>
      </c>
      <c r="D1535">
        <v>6</v>
      </c>
      <c r="E1535">
        <v>0</v>
      </c>
      <c r="F1535">
        <v>135</v>
      </c>
    </row>
    <row r="1536" spans="1:6" ht="12.75">
      <c r="A1536" s="2">
        <v>43885.052986111114</v>
      </c>
      <c r="B1536" t="str">
        <f>HYPERLINK("https://twitter.com/sambelroaa","@sambelroaa")</f>
        <v>@sambelroaa</v>
      </c>
      <c r="C1536" t="s">
        <v>2654</v>
      </c>
      <c r="D1536">
        <v>0</v>
      </c>
      <c r="E1536">
        <v>0</v>
      </c>
      <c r="F1536">
        <v>167</v>
      </c>
    </row>
    <row r="1537" spans="1:6" ht="12.75">
      <c r="A1537" s="2">
        <v>43885.051574074074</v>
      </c>
      <c r="B1537" t="str">
        <f>HYPERLINK("https://twitter.com/ISIS_Balik_NO","@ISIS_Balik_NO")</f>
        <v>@ISIS_Balik_NO</v>
      </c>
      <c r="C1537" t="s">
        <v>2655</v>
      </c>
      <c r="D1537">
        <v>0</v>
      </c>
      <c r="E1537">
        <v>1</v>
      </c>
      <c r="F1537">
        <v>6114</v>
      </c>
    </row>
    <row r="1538" spans="1:6" ht="12.75">
      <c r="A1538" s="2">
        <v>43885.051469907412</v>
      </c>
      <c r="B1538" t="str">
        <f>HYPERLINK("https://twitter.com/HeriCombo","@HeriCombo")</f>
        <v>@HeriCombo</v>
      </c>
      <c r="C1538" t="s">
        <v>2091</v>
      </c>
      <c r="D1538">
        <v>848</v>
      </c>
      <c r="E1538">
        <v>0</v>
      </c>
      <c r="F1538">
        <v>332</v>
      </c>
    </row>
    <row r="1539" spans="1:6" ht="12.75">
      <c r="A1539" s="2">
        <v>43885.051469907412</v>
      </c>
      <c r="B1539" t="str">
        <f>HYPERLINK("https://twitter.com/Ndrews1162011","@Ndrews1162011")</f>
        <v>@Ndrews1162011</v>
      </c>
      <c r="C1539" t="s">
        <v>2656</v>
      </c>
      <c r="D1539">
        <v>0</v>
      </c>
      <c r="E1539">
        <v>0</v>
      </c>
      <c r="F1539">
        <v>1154</v>
      </c>
    </row>
    <row r="1540" spans="1:6" ht="12.75">
      <c r="A1540" s="2">
        <v>43885.051215277781</v>
      </c>
      <c r="B1540" t="str">
        <f>HYPERLINK("https://twitter.com/Jaga_indonesia1","@Jaga_indonesia1")</f>
        <v>@Jaga_indonesia1</v>
      </c>
      <c r="C1540" t="s">
        <v>2091</v>
      </c>
      <c r="D1540">
        <v>848</v>
      </c>
      <c r="E1540">
        <v>0</v>
      </c>
      <c r="F1540">
        <v>760</v>
      </c>
    </row>
    <row r="1541" spans="1:6" ht="12.75">
      <c r="A1541" s="2">
        <v>43885.050937499997</v>
      </c>
      <c r="B1541" t="str">
        <f>HYPERLINK("https://twitter.com/chittpbabw","@chittpbabw")</f>
        <v>@chittpbabw</v>
      </c>
      <c r="C1541" t="s">
        <v>2657</v>
      </c>
      <c r="D1541">
        <v>0</v>
      </c>
      <c r="E1541">
        <v>0</v>
      </c>
      <c r="F1541">
        <v>826</v>
      </c>
    </row>
    <row r="1542" spans="1:6" ht="12.75">
      <c r="A1542" s="2">
        <v>43885.049791666665</v>
      </c>
      <c r="B1542" t="str">
        <f>HYPERLINK("https://twitter.com/azpalkthea","@azpalkthea")</f>
        <v>@azpalkthea</v>
      </c>
      <c r="C1542" t="s">
        <v>2091</v>
      </c>
      <c r="D1542">
        <v>848</v>
      </c>
      <c r="E1542">
        <v>0</v>
      </c>
      <c r="F1542">
        <v>2207</v>
      </c>
    </row>
    <row r="1543" spans="1:6" ht="12.75">
      <c r="A1543" s="2">
        <v>43885.049375000002</v>
      </c>
      <c r="B1543" t="str">
        <f>HYPERLINK("https://twitter.com/AndiAriezky","@AndiAriezky")</f>
        <v>@AndiAriezky</v>
      </c>
      <c r="C1543" t="s">
        <v>321</v>
      </c>
      <c r="D1543">
        <v>1249</v>
      </c>
      <c r="E1543">
        <v>0</v>
      </c>
      <c r="F1543">
        <v>214</v>
      </c>
    </row>
    <row r="1544" spans="1:6" ht="12.75">
      <c r="A1544" s="2">
        <v>43885.049375000002</v>
      </c>
      <c r="B1544" t="str">
        <f>HYPERLINK("https://twitter.com/filosofiksi","@filosofiksi")</f>
        <v>@filosofiksi</v>
      </c>
      <c r="C1544" t="s">
        <v>2138</v>
      </c>
      <c r="D1544">
        <v>272</v>
      </c>
      <c r="E1544">
        <v>0</v>
      </c>
      <c r="F1544">
        <v>2239</v>
      </c>
    </row>
    <row r="1545" spans="1:6" ht="12.75">
      <c r="A1545" s="2">
        <v>43885.049293981487</v>
      </c>
      <c r="B1545" t="str">
        <f>HYPERLINK("https://twitter.com/azpalkthea","@azpalkthea")</f>
        <v>@azpalkthea</v>
      </c>
      <c r="C1545" t="s">
        <v>2138</v>
      </c>
      <c r="D1545">
        <v>272</v>
      </c>
      <c r="E1545">
        <v>0</v>
      </c>
      <c r="F1545">
        <v>2207</v>
      </c>
    </row>
    <row r="1546" spans="1:6" ht="12.75">
      <c r="A1546" s="2">
        <v>43885.049074074079</v>
      </c>
      <c r="B1546" t="str">
        <f>HYPERLINK("https://twitter.com/kowa_99","@kowa_99")</f>
        <v>@kowa_99</v>
      </c>
      <c r="C1546" t="s">
        <v>2091</v>
      </c>
      <c r="D1546">
        <v>848</v>
      </c>
      <c r="E1546">
        <v>0</v>
      </c>
      <c r="F1546">
        <v>276</v>
      </c>
    </row>
    <row r="1547" spans="1:6" ht="12.75">
      <c r="A1547" s="2">
        <v>43885.048888888894</v>
      </c>
      <c r="B1547" t="str">
        <f>HYPERLINK("https://twitter.com/SlamatNKRI","@SlamatNKRI")</f>
        <v>@SlamatNKRI</v>
      </c>
      <c r="C1547" t="s">
        <v>2091</v>
      </c>
      <c r="D1547">
        <v>848</v>
      </c>
      <c r="E1547">
        <v>0</v>
      </c>
      <c r="F1547">
        <v>110</v>
      </c>
    </row>
    <row r="1548" spans="1:6" ht="12.75">
      <c r="A1548" s="2">
        <v>43885.048645833333</v>
      </c>
      <c r="B1548" t="str">
        <f>HYPERLINK("https://twitter.com/desasugihwaras","@desasugihwaras")</f>
        <v>@desasugihwaras</v>
      </c>
      <c r="C1548" t="s">
        <v>177</v>
      </c>
      <c r="D1548">
        <v>826</v>
      </c>
      <c r="E1548">
        <v>0</v>
      </c>
      <c r="F1548">
        <v>167</v>
      </c>
    </row>
    <row r="1549" spans="1:6" ht="12.75">
      <c r="A1549" s="2">
        <v>43885.048321759255</v>
      </c>
      <c r="B1549" t="str">
        <f>HYPERLINK("https://twitter.com/ISIS_Balik_NO","@ISIS_Balik_NO")</f>
        <v>@ISIS_Balik_NO</v>
      </c>
      <c r="C1549" t="s">
        <v>2658</v>
      </c>
      <c r="D1549">
        <v>408</v>
      </c>
      <c r="E1549">
        <v>0</v>
      </c>
      <c r="F1549">
        <v>6114</v>
      </c>
    </row>
    <row r="1550" spans="1:6" ht="12.75">
      <c r="A1550" s="2">
        <v>43885.047395833331</v>
      </c>
      <c r="B1550" t="str">
        <f>HYPERLINK("https://twitter.com/BayuKhrisna14","@BayuKhrisna14")</f>
        <v>@BayuKhrisna14</v>
      </c>
      <c r="C1550" t="s">
        <v>2659</v>
      </c>
      <c r="D1550">
        <v>20</v>
      </c>
      <c r="E1550">
        <v>0</v>
      </c>
      <c r="F1550">
        <v>624</v>
      </c>
    </row>
    <row r="1551" spans="1:6" ht="12.75">
      <c r="A1551" s="2">
        <v>43885.047280092593</v>
      </c>
      <c r="B1551" t="str">
        <f>HYPERLINK("https://twitter.com/bayuarisandi","@bayuarisandi")</f>
        <v>@bayuarisandi</v>
      </c>
      <c r="C1551" t="s">
        <v>2091</v>
      </c>
      <c r="D1551">
        <v>848</v>
      </c>
      <c r="E1551">
        <v>0</v>
      </c>
      <c r="F1551">
        <v>685</v>
      </c>
    </row>
    <row r="1552" spans="1:6" ht="12.75">
      <c r="A1552" s="2">
        <v>43885.047129629631</v>
      </c>
      <c r="B1552" t="str">
        <f>HYPERLINK("https://twitter.com/GozaliEdwin","@GozaliEdwin")</f>
        <v>@GozaliEdwin</v>
      </c>
      <c r="C1552" t="s">
        <v>2232</v>
      </c>
      <c r="D1552">
        <v>6</v>
      </c>
      <c r="E1552">
        <v>0</v>
      </c>
      <c r="F1552">
        <v>67</v>
      </c>
    </row>
    <row r="1553" spans="1:6" ht="12.75">
      <c r="A1553" s="2">
        <v>43885.047106481477</v>
      </c>
      <c r="B1553" t="str">
        <f>HYPERLINK("https://twitter.com/JIMMYRO13266566","@JIMMYRO13266566")</f>
        <v>@JIMMYRO13266566</v>
      </c>
      <c r="C1553" t="s">
        <v>321</v>
      </c>
      <c r="D1553">
        <v>1249</v>
      </c>
      <c r="E1553">
        <v>0</v>
      </c>
      <c r="F1553">
        <v>109</v>
      </c>
    </row>
    <row r="1554" spans="1:6" ht="12.75">
      <c r="A1554" s="2">
        <v>43885.047071759254</v>
      </c>
      <c r="B1554" t="str">
        <f>HYPERLINK("https://twitter.com/ajeeysaka","@ajeeysaka")</f>
        <v>@ajeeysaka</v>
      </c>
      <c r="C1554" t="s">
        <v>2091</v>
      </c>
      <c r="D1554">
        <v>848</v>
      </c>
      <c r="E1554">
        <v>0</v>
      </c>
      <c r="F1554">
        <v>751</v>
      </c>
    </row>
    <row r="1555" spans="1:6" ht="12.75">
      <c r="A1555" s="2">
        <v>43885.046423611115</v>
      </c>
      <c r="B1555" t="str">
        <f>HYPERLINK("https://twitter.com/Kadalgurun1990","@Kadalgurun1990")</f>
        <v>@Kadalgurun1990</v>
      </c>
      <c r="C1555" t="s">
        <v>2660</v>
      </c>
      <c r="D1555">
        <v>0</v>
      </c>
      <c r="E1555">
        <v>1</v>
      </c>
      <c r="F1555">
        <v>418</v>
      </c>
    </row>
    <row r="1556" spans="1:6" ht="12.75">
      <c r="A1556" s="2">
        <v>43885.044479166667</v>
      </c>
      <c r="B1556" t="str">
        <f>HYPERLINK("https://twitter.com/mcdevx","@mcdevx")</f>
        <v>@mcdevx</v>
      </c>
      <c r="C1556" t="s">
        <v>2166</v>
      </c>
      <c r="D1556">
        <v>205</v>
      </c>
      <c r="E1556">
        <v>0</v>
      </c>
      <c r="F1556">
        <v>434</v>
      </c>
    </row>
    <row r="1557" spans="1:6" ht="12.75">
      <c r="A1557" s="2">
        <v>43885.04415509259</v>
      </c>
      <c r="B1557" t="str">
        <f>HYPERLINK("https://twitter.com/brother_morrow","@brother_morrow")</f>
        <v>@brother_morrow</v>
      </c>
      <c r="C1557" t="s">
        <v>2091</v>
      </c>
      <c r="D1557">
        <v>848</v>
      </c>
      <c r="E1557">
        <v>0</v>
      </c>
      <c r="F1557">
        <v>381</v>
      </c>
    </row>
    <row r="1558" spans="1:6" ht="12.75">
      <c r="A1558" s="2">
        <v>43885.043587962966</v>
      </c>
      <c r="B1558" t="str">
        <f>HYPERLINK("https://twitter.com/APalestin42","@APalestin42")</f>
        <v>@APalestin42</v>
      </c>
      <c r="C1558" t="s">
        <v>2091</v>
      </c>
      <c r="D1558">
        <v>848</v>
      </c>
      <c r="E1558">
        <v>0</v>
      </c>
      <c r="F1558">
        <v>275</v>
      </c>
    </row>
    <row r="1559" spans="1:6" ht="12.75">
      <c r="A1559" s="2">
        <v>43885.043506944443</v>
      </c>
      <c r="B1559" t="str">
        <f>HYPERLINK("https://twitter.com/m3rcya_4nton","@m3rcya_4nton")</f>
        <v>@m3rcya_4nton</v>
      </c>
      <c r="C1559" t="s">
        <v>2091</v>
      </c>
      <c r="D1559">
        <v>848</v>
      </c>
      <c r="E1559">
        <v>0</v>
      </c>
      <c r="F1559">
        <v>251</v>
      </c>
    </row>
    <row r="1560" spans="1:6" ht="12.75">
      <c r="A1560" s="2">
        <v>43885.043379629627</v>
      </c>
      <c r="B1560" t="str">
        <f>HYPERLINK("https://twitter.com/yoshiro0303","@yoshiro0303")</f>
        <v>@yoshiro0303</v>
      </c>
      <c r="C1560" t="s">
        <v>2120</v>
      </c>
      <c r="D1560">
        <v>39</v>
      </c>
      <c r="E1560">
        <v>0</v>
      </c>
      <c r="F1560">
        <v>645</v>
      </c>
    </row>
    <row r="1561" spans="1:6" ht="12.75">
      <c r="A1561" s="2">
        <v>43885.043043981481</v>
      </c>
      <c r="B1561" t="str">
        <f>HYPERLINK("https://twitter.com/mcdevx","@mcdevx")</f>
        <v>@mcdevx</v>
      </c>
      <c r="C1561" t="s">
        <v>321</v>
      </c>
      <c r="D1561">
        <v>1230</v>
      </c>
      <c r="E1561">
        <v>0</v>
      </c>
      <c r="F1561">
        <v>434</v>
      </c>
    </row>
    <row r="1562" spans="1:6" ht="12.75">
      <c r="A1562" s="2">
        <v>43885.042662037042</v>
      </c>
      <c r="B1562" t="str">
        <f>HYPERLINK("https://twitter.com/yoshiro0303","@yoshiro0303")</f>
        <v>@yoshiro0303</v>
      </c>
      <c r="C1562" t="s">
        <v>738</v>
      </c>
      <c r="D1562">
        <v>100</v>
      </c>
      <c r="E1562">
        <v>0</v>
      </c>
      <c r="F1562">
        <v>645</v>
      </c>
    </row>
    <row r="1563" spans="1:6" ht="12.75">
      <c r="A1563" s="2">
        <v>43885.042187500003</v>
      </c>
      <c r="B1563" t="str">
        <f>HYPERLINK("https://twitter.com/Jchengky1","@Jchengky1")</f>
        <v>@Jchengky1</v>
      </c>
      <c r="C1563" t="s">
        <v>2091</v>
      </c>
      <c r="D1563">
        <v>819</v>
      </c>
      <c r="E1563">
        <v>0</v>
      </c>
      <c r="F1563">
        <v>196</v>
      </c>
    </row>
    <row r="1564" spans="1:6" ht="12.75">
      <c r="A1564" s="2">
        <v>43885.04184027778</v>
      </c>
      <c r="B1564" t="str">
        <f>HYPERLINK("https://twitter.com/satyaapermana","@satyaapermana")</f>
        <v>@satyaapermana</v>
      </c>
      <c r="C1564" t="s">
        <v>321</v>
      </c>
      <c r="D1564">
        <v>1230</v>
      </c>
      <c r="E1564">
        <v>0</v>
      </c>
      <c r="F1564">
        <v>1011</v>
      </c>
    </row>
    <row r="1565" spans="1:6" ht="12.75">
      <c r="A1565" s="2">
        <v>43885.04115740741</v>
      </c>
      <c r="B1565" t="str">
        <f>HYPERLINK("https://twitter.com/nyoro_TAO","@nyoro_TAO")</f>
        <v>@nyoro_TAO</v>
      </c>
      <c r="C1565" t="s">
        <v>738</v>
      </c>
      <c r="D1565">
        <v>100</v>
      </c>
      <c r="E1565">
        <v>0</v>
      </c>
      <c r="F1565">
        <v>559</v>
      </c>
    </row>
    <row r="1566" spans="1:6" ht="12.75">
      <c r="A1566" s="2">
        <v>43885.040520833332</v>
      </c>
      <c r="B1566" t="str">
        <f>HYPERLINK("https://twitter.com/Dadodad59834626","@Dadodad59834626")</f>
        <v>@Dadodad59834626</v>
      </c>
      <c r="C1566" t="s">
        <v>321</v>
      </c>
      <c r="D1566">
        <v>1230</v>
      </c>
      <c r="E1566">
        <v>0</v>
      </c>
      <c r="F1566">
        <v>129</v>
      </c>
    </row>
    <row r="1567" spans="1:6" ht="12.75">
      <c r="A1567" s="2">
        <v>43885.039861111116</v>
      </c>
      <c r="B1567" t="str">
        <f>HYPERLINK("https://twitter.com/revolutia","@revolutia")</f>
        <v>@revolutia</v>
      </c>
      <c r="C1567" t="s">
        <v>321</v>
      </c>
      <c r="D1567">
        <v>1230</v>
      </c>
      <c r="E1567">
        <v>0</v>
      </c>
      <c r="F1567">
        <v>24537</v>
      </c>
    </row>
    <row r="1568" spans="1:6" ht="12.75">
      <c r="A1568" s="2">
        <v>43885.039652777778</v>
      </c>
      <c r="B1568" t="str">
        <f>HYPERLINK("https://twitter.com/DediBinBuchori","@DediBinBuchori")</f>
        <v>@DediBinBuchori</v>
      </c>
      <c r="C1568" t="s">
        <v>321</v>
      </c>
      <c r="D1568">
        <v>1230</v>
      </c>
      <c r="E1568">
        <v>0</v>
      </c>
      <c r="F1568">
        <v>501</v>
      </c>
    </row>
    <row r="1569" spans="1:6" ht="12.75">
      <c r="A1569" s="2">
        <v>43885.038981481484</v>
      </c>
      <c r="B1569" t="str">
        <f>HYPERLINK("https://twitter.com/kaankahfi","@kaankahfi")</f>
        <v>@kaankahfi</v>
      </c>
      <c r="C1569" t="s">
        <v>321</v>
      </c>
      <c r="D1569">
        <v>1230</v>
      </c>
      <c r="E1569">
        <v>0</v>
      </c>
      <c r="F1569">
        <v>3734</v>
      </c>
    </row>
    <row r="1570" spans="1:6" ht="12.75">
      <c r="A1570" s="2">
        <v>43885.038761574076</v>
      </c>
      <c r="B1570" t="str">
        <f>HYPERLINK("https://twitter.com/bkuntjoro","@bkuntjoro")</f>
        <v>@bkuntjoro</v>
      </c>
      <c r="C1570" t="s">
        <v>2091</v>
      </c>
      <c r="D1570">
        <v>819</v>
      </c>
      <c r="E1570">
        <v>0</v>
      </c>
      <c r="F1570">
        <v>485</v>
      </c>
    </row>
    <row r="1571" spans="1:6" ht="12.75">
      <c r="A1571" s="2">
        <v>43885.0387037037</v>
      </c>
      <c r="B1571" t="str">
        <f t="shared" ref="B1571:B1572" si="45">HYPERLINK("https://twitter.com/mama7620035","@mama7620035")</f>
        <v>@mama7620035</v>
      </c>
      <c r="C1571" t="s">
        <v>2120</v>
      </c>
      <c r="D1571">
        <v>36</v>
      </c>
      <c r="E1571">
        <v>0</v>
      </c>
      <c r="F1571">
        <v>751</v>
      </c>
    </row>
    <row r="1572" spans="1:6" ht="12.75">
      <c r="A1572" s="2">
        <v>43885.038344907407</v>
      </c>
      <c r="B1572" t="str">
        <f t="shared" si="45"/>
        <v>@mama7620035</v>
      </c>
      <c r="C1572" t="s">
        <v>2115</v>
      </c>
      <c r="D1572">
        <v>38</v>
      </c>
      <c r="E1572">
        <v>0</v>
      </c>
      <c r="F1572">
        <v>751</v>
      </c>
    </row>
    <row r="1573" spans="1:6" ht="12.75">
      <c r="A1573" s="2">
        <v>43885.038078703699</v>
      </c>
      <c r="B1573" t="str">
        <f>HYPERLINK("https://twitter.com/efendi_rahardi","@efendi_rahardi")</f>
        <v>@efendi_rahardi</v>
      </c>
      <c r="C1573" t="s">
        <v>321</v>
      </c>
      <c r="D1573">
        <v>1230</v>
      </c>
      <c r="E1573">
        <v>0</v>
      </c>
      <c r="F1573">
        <v>13</v>
      </c>
    </row>
    <row r="1574" spans="1:6" ht="12.75">
      <c r="A1574" s="2">
        <v>43885.037870370375</v>
      </c>
      <c r="B1574" t="str">
        <f>HYPERLINK("https://twitter.com/Rudraksha7","@Rudraksha7")</f>
        <v>@Rudraksha7</v>
      </c>
      <c r="C1574" t="s">
        <v>2661</v>
      </c>
      <c r="D1574">
        <v>0</v>
      </c>
      <c r="E1574">
        <v>0</v>
      </c>
      <c r="F1574">
        <v>10</v>
      </c>
    </row>
    <row r="1575" spans="1:6" ht="12.75">
      <c r="A1575" s="2">
        <v>43885.037638888884</v>
      </c>
      <c r="B1575" t="str">
        <f>HYPERLINK("https://twitter.com/ariiibraahim","@ariiibraahim")</f>
        <v>@ariiibraahim</v>
      </c>
      <c r="C1575" t="s">
        <v>2662</v>
      </c>
      <c r="D1575">
        <v>0</v>
      </c>
      <c r="E1575">
        <v>0</v>
      </c>
      <c r="F1575">
        <v>6</v>
      </c>
    </row>
    <row r="1576" spans="1:6" ht="12.75">
      <c r="A1576" s="2">
        <v>43885.037546296298</v>
      </c>
      <c r="B1576" t="str">
        <f>HYPERLINK("https://twitter.com/bhaja27","@bhaja27")</f>
        <v>@bhaja27</v>
      </c>
      <c r="C1576" t="s">
        <v>321</v>
      </c>
      <c r="D1576">
        <v>1230</v>
      </c>
      <c r="E1576">
        <v>0</v>
      </c>
      <c r="F1576">
        <v>751</v>
      </c>
    </row>
    <row r="1577" spans="1:6" ht="12.75">
      <c r="A1577" s="2">
        <v>43885.037233796298</v>
      </c>
      <c r="B1577" t="str">
        <f>HYPERLINK("https://twitter.com/mama7620035","@mama7620035")</f>
        <v>@mama7620035</v>
      </c>
      <c r="C1577" t="s">
        <v>321</v>
      </c>
      <c r="D1577">
        <v>1230</v>
      </c>
      <c r="E1577">
        <v>0</v>
      </c>
      <c r="F1577">
        <v>751</v>
      </c>
    </row>
    <row r="1578" spans="1:6" ht="12.75">
      <c r="A1578" s="2">
        <v>43885.037199074075</v>
      </c>
      <c r="B1578" t="str">
        <f>HYPERLINK("https://twitter.com/mudha_satriya","@mudha_satriya")</f>
        <v>@mudha_satriya</v>
      </c>
      <c r="C1578" t="s">
        <v>2653</v>
      </c>
      <c r="D1578">
        <v>5</v>
      </c>
      <c r="E1578">
        <v>0</v>
      </c>
      <c r="F1578">
        <v>1876</v>
      </c>
    </row>
    <row r="1579" spans="1:6" ht="12.75">
      <c r="A1579" s="2">
        <v>43885.037118055552</v>
      </c>
      <c r="B1579" t="str">
        <f>HYPERLINK("https://twitter.com/mourninggift","@mourninggift")</f>
        <v>@mourninggift</v>
      </c>
      <c r="C1579" t="s">
        <v>2663</v>
      </c>
      <c r="D1579">
        <v>0</v>
      </c>
      <c r="E1579">
        <v>0</v>
      </c>
      <c r="F1579">
        <v>0</v>
      </c>
    </row>
    <row r="1580" spans="1:6" ht="12.75">
      <c r="A1580" s="2">
        <v>43885.037048611106</v>
      </c>
      <c r="B1580" t="str">
        <f>HYPERLINK("https://twitter.com/mama7620035","@mama7620035")</f>
        <v>@mama7620035</v>
      </c>
      <c r="C1580" t="s">
        <v>738</v>
      </c>
      <c r="D1580">
        <v>100</v>
      </c>
      <c r="E1580">
        <v>0</v>
      </c>
      <c r="F1580">
        <v>751</v>
      </c>
    </row>
    <row r="1581" spans="1:6" ht="12.75">
      <c r="A1581" s="2">
        <v>43885.036469907413</v>
      </c>
      <c r="B1581" t="str">
        <f>HYPERLINK("https://twitter.com/putragaruda27","@putragaruda27")</f>
        <v>@putragaruda27</v>
      </c>
      <c r="C1581" t="s">
        <v>2166</v>
      </c>
      <c r="D1581">
        <v>191</v>
      </c>
      <c r="E1581">
        <v>0</v>
      </c>
      <c r="F1581">
        <v>5740</v>
      </c>
    </row>
    <row r="1582" spans="1:6" ht="12.75">
      <c r="A1582" s="2">
        <v>43885.036377314813</v>
      </c>
      <c r="B1582" t="str">
        <f>HYPERLINK("https://twitter.com/LiLaLvinn","@LiLaLvinn")</f>
        <v>@LiLaLvinn</v>
      </c>
      <c r="C1582" t="s">
        <v>2138</v>
      </c>
      <c r="D1582">
        <v>268</v>
      </c>
      <c r="E1582">
        <v>0</v>
      </c>
      <c r="F1582">
        <v>238</v>
      </c>
    </row>
    <row r="1583" spans="1:6" ht="12.75">
      <c r="A1583" s="2">
        <v>43885.036215277782</v>
      </c>
      <c r="B1583" t="str">
        <f>HYPERLINK("https://twitter.com/8ab2cad1a73d4fe","@8ab2cad1a73d4fe")</f>
        <v>@8ab2cad1a73d4fe</v>
      </c>
      <c r="C1583" t="s">
        <v>321</v>
      </c>
      <c r="D1583">
        <v>1230</v>
      </c>
      <c r="E1583">
        <v>0</v>
      </c>
      <c r="F1583">
        <v>466</v>
      </c>
    </row>
    <row r="1584" spans="1:6" ht="12.75">
      <c r="A1584" s="2">
        <v>43885.034305555557</v>
      </c>
      <c r="B1584" t="str">
        <f>HYPERLINK("https://twitter.com/anggihawawi","@anggihawawi")</f>
        <v>@anggihawawi</v>
      </c>
      <c r="C1584" t="s">
        <v>2091</v>
      </c>
      <c r="D1584">
        <v>819</v>
      </c>
      <c r="E1584">
        <v>0</v>
      </c>
      <c r="F1584">
        <v>18</v>
      </c>
    </row>
    <row r="1585" spans="1:6" ht="12.75">
      <c r="A1585" s="2">
        <v>43885.033726851849</v>
      </c>
      <c r="B1585" t="str">
        <f>HYPERLINK("https://twitter.com/herlambang_tan","@herlambang_tan")</f>
        <v>@herlambang_tan</v>
      </c>
      <c r="C1585" t="s">
        <v>2091</v>
      </c>
      <c r="D1585">
        <v>819</v>
      </c>
      <c r="E1585">
        <v>0</v>
      </c>
      <c r="F1585">
        <v>2374</v>
      </c>
    </row>
    <row r="1586" spans="1:6" ht="12.75">
      <c r="A1586" s="2">
        <v>43885.033437499995</v>
      </c>
      <c r="B1586" t="str">
        <f>HYPERLINK("https://twitter.com/Gladiator_MT","@Gladiator_MT")</f>
        <v>@Gladiator_MT</v>
      </c>
      <c r="C1586" t="s">
        <v>2664</v>
      </c>
      <c r="D1586">
        <v>0</v>
      </c>
      <c r="E1586">
        <v>0</v>
      </c>
      <c r="F1586">
        <v>59</v>
      </c>
    </row>
    <row r="1587" spans="1:6" ht="12.75">
      <c r="A1587" s="2">
        <v>43885.032708333332</v>
      </c>
      <c r="B1587" t="str">
        <f>HYPERLINK("https://twitter.com/binczar","@binczar")</f>
        <v>@binczar</v>
      </c>
      <c r="C1587" t="s">
        <v>2091</v>
      </c>
      <c r="D1587">
        <v>819</v>
      </c>
      <c r="E1587">
        <v>0</v>
      </c>
      <c r="F1587">
        <v>341</v>
      </c>
    </row>
    <row r="1588" spans="1:6" ht="12.75">
      <c r="A1588" s="2">
        <v>43885.032569444447</v>
      </c>
      <c r="B1588" t="str">
        <f>HYPERLINK("https://twitter.com/Mss_Mubiey","@Mss_Mubiey")</f>
        <v>@Mss_Mubiey</v>
      </c>
      <c r="C1588" t="s">
        <v>2665</v>
      </c>
      <c r="D1588">
        <v>0</v>
      </c>
      <c r="E1588">
        <v>1</v>
      </c>
      <c r="F1588">
        <v>1115</v>
      </c>
    </row>
    <row r="1589" spans="1:6" ht="12.75">
      <c r="A1589" s="2">
        <v>43885.032476851848</v>
      </c>
      <c r="B1589" t="str">
        <f>HYPERLINK("https://twitter.com/farajnassar_","@farajnassar_")</f>
        <v>@farajnassar_</v>
      </c>
      <c r="C1589" t="s">
        <v>2091</v>
      </c>
      <c r="D1589">
        <v>819</v>
      </c>
      <c r="E1589">
        <v>0</v>
      </c>
      <c r="F1589">
        <v>593</v>
      </c>
    </row>
    <row r="1590" spans="1:6" ht="12.75">
      <c r="A1590" s="2">
        <v>43885.031539351854</v>
      </c>
      <c r="B1590" t="str">
        <f>HYPERLINK("https://twitter.com/sahattuatobing1","@sahattuatobing1")</f>
        <v>@sahattuatobing1</v>
      </c>
      <c r="C1590" t="s">
        <v>2091</v>
      </c>
      <c r="D1590">
        <v>819</v>
      </c>
      <c r="E1590">
        <v>0</v>
      </c>
      <c r="F1590">
        <v>1564</v>
      </c>
    </row>
    <row r="1591" spans="1:6" ht="12.75">
      <c r="A1591" s="2">
        <v>43885.031493055554</v>
      </c>
      <c r="B1591" t="str">
        <f>HYPERLINK("https://twitter.com/neraka_jarum","@neraka_jarum")</f>
        <v>@neraka_jarum</v>
      </c>
      <c r="C1591" t="s">
        <v>2166</v>
      </c>
      <c r="D1591">
        <v>191</v>
      </c>
      <c r="E1591">
        <v>0</v>
      </c>
      <c r="F1591">
        <v>374</v>
      </c>
    </row>
    <row r="1592" spans="1:6" ht="12.75">
      <c r="A1592" s="2">
        <v>43885.031215277777</v>
      </c>
      <c r="B1592" t="str">
        <f>HYPERLINK("https://twitter.com/ajeeysaka","@ajeeysaka")</f>
        <v>@ajeeysaka</v>
      </c>
      <c r="C1592" t="s">
        <v>2232</v>
      </c>
      <c r="D1592">
        <v>5</v>
      </c>
      <c r="E1592">
        <v>0</v>
      </c>
      <c r="F1592">
        <v>750</v>
      </c>
    </row>
    <row r="1593" spans="1:6" ht="12.75">
      <c r="A1593" s="2">
        <v>43885.031145833331</v>
      </c>
      <c r="B1593" t="str">
        <f>HYPERLINK("https://twitter.com/shuheinakagawa","@shuheinakagawa")</f>
        <v>@shuheinakagawa</v>
      </c>
      <c r="C1593" t="s">
        <v>738</v>
      </c>
      <c r="D1593">
        <v>100</v>
      </c>
      <c r="E1593">
        <v>0</v>
      </c>
      <c r="F1593">
        <v>816</v>
      </c>
    </row>
    <row r="1594" spans="1:6" ht="12.75">
      <c r="A1594" s="2">
        <v>43885.030810185184</v>
      </c>
      <c r="B1594" t="str">
        <f>HYPERLINK("https://twitter.com/photojunkies","@photojunkies")</f>
        <v>@photojunkies</v>
      </c>
      <c r="C1594" t="s">
        <v>2091</v>
      </c>
      <c r="D1594">
        <v>819</v>
      </c>
      <c r="E1594">
        <v>0</v>
      </c>
      <c r="F1594">
        <v>373</v>
      </c>
    </row>
    <row r="1595" spans="1:6" ht="12.75">
      <c r="A1595" s="2">
        <v>43885.030717592592</v>
      </c>
      <c r="B1595" t="str">
        <f>HYPERLINK("https://twitter.com/daraaadil709","@daraaadil709")</f>
        <v>@daraaadil709</v>
      </c>
      <c r="C1595" t="s">
        <v>2666</v>
      </c>
      <c r="D1595">
        <v>0</v>
      </c>
      <c r="E1595">
        <v>0</v>
      </c>
      <c r="F1595">
        <v>81</v>
      </c>
    </row>
    <row r="1596" spans="1:6" ht="12.75">
      <c r="A1596" s="2">
        <v>43885.030486111107</v>
      </c>
      <c r="B1596" t="str">
        <f>HYPERLINK("https://twitter.com/Ia5O0","@Ia5O0")</f>
        <v>@Ia5O0</v>
      </c>
      <c r="C1596" t="s">
        <v>738</v>
      </c>
      <c r="D1596">
        <v>100</v>
      </c>
      <c r="E1596">
        <v>0</v>
      </c>
      <c r="F1596">
        <v>524</v>
      </c>
    </row>
    <row r="1597" spans="1:6" ht="12.75">
      <c r="A1597" s="2">
        <v>43885.030289351853</v>
      </c>
      <c r="B1597" t="str">
        <f>HYPERLINK("https://twitter.com/zupatista","@zupatista")</f>
        <v>@zupatista</v>
      </c>
      <c r="C1597" t="s">
        <v>2166</v>
      </c>
      <c r="D1597">
        <v>191</v>
      </c>
      <c r="E1597">
        <v>0</v>
      </c>
      <c r="F1597">
        <v>80</v>
      </c>
    </row>
    <row r="1598" spans="1:6" ht="12.75">
      <c r="A1598" s="2">
        <v>43885.03024305556</v>
      </c>
      <c r="B1598" t="str">
        <f>HYPERLINK("https://twitter.com/2dibukaB","@2dibukaB")</f>
        <v>@2dibukaB</v>
      </c>
      <c r="C1598" t="s">
        <v>2166</v>
      </c>
      <c r="D1598">
        <v>191</v>
      </c>
      <c r="E1598">
        <v>0</v>
      </c>
      <c r="F1598">
        <v>1528</v>
      </c>
    </row>
    <row r="1599" spans="1:6" ht="12.75">
      <c r="A1599" s="2">
        <v>43885.03019675926</v>
      </c>
      <c r="B1599" t="str">
        <f>HYPERLINK("https://twitter.com/zupatista","@zupatista")</f>
        <v>@zupatista</v>
      </c>
      <c r="C1599" t="s">
        <v>321</v>
      </c>
      <c r="D1599">
        <v>1230</v>
      </c>
      <c r="E1599">
        <v>0</v>
      </c>
      <c r="F1599">
        <v>80</v>
      </c>
    </row>
    <row r="1600" spans="1:6" ht="12.75">
      <c r="A1600" s="2">
        <v>43885.029374999998</v>
      </c>
      <c r="B1600" t="str">
        <f>HYPERLINK("https://twitter.com/Cj_dw","@Cj_dw")</f>
        <v>@Cj_dw</v>
      </c>
      <c r="C1600" t="s">
        <v>2091</v>
      </c>
      <c r="D1600">
        <v>819</v>
      </c>
      <c r="E1600">
        <v>0</v>
      </c>
      <c r="F1600">
        <v>646</v>
      </c>
    </row>
    <row r="1601" spans="1:6" ht="12.75">
      <c r="A1601" s="2">
        <v>43885.029004629629</v>
      </c>
      <c r="B1601" t="str">
        <f>HYPERLINK("https://twitter.com/ndaru_wardani","@ndaru_wardani")</f>
        <v>@ndaru_wardani</v>
      </c>
      <c r="C1601" t="s">
        <v>2091</v>
      </c>
      <c r="D1601">
        <v>819</v>
      </c>
      <c r="E1601">
        <v>0</v>
      </c>
      <c r="F1601">
        <v>282</v>
      </c>
    </row>
    <row r="1602" spans="1:6" ht="12.75">
      <c r="A1602" s="2">
        <v>43885.028668981482</v>
      </c>
      <c r="B1602" t="str">
        <f>HYPERLINK("https://twitter.com/Abetkabled","@Abetkabled")</f>
        <v>@Abetkabled</v>
      </c>
      <c r="C1602" t="s">
        <v>2091</v>
      </c>
      <c r="D1602">
        <v>819</v>
      </c>
      <c r="E1602">
        <v>0</v>
      </c>
      <c r="F1602">
        <v>416</v>
      </c>
    </row>
    <row r="1603" spans="1:6" ht="12.75">
      <c r="A1603" s="2">
        <v>43885.028402777782</v>
      </c>
      <c r="B1603" t="str">
        <f>HYPERLINK("https://twitter.com/singgihk8","@singgihk8")</f>
        <v>@singgihk8</v>
      </c>
      <c r="C1603" t="s">
        <v>2091</v>
      </c>
      <c r="D1603">
        <v>819</v>
      </c>
      <c r="E1603">
        <v>0</v>
      </c>
      <c r="F1603">
        <v>1480</v>
      </c>
    </row>
    <row r="1604" spans="1:6" ht="12.75">
      <c r="A1604" s="2">
        <v>43885.027569444443</v>
      </c>
      <c r="B1604" t="str">
        <f>HYPERLINK("https://twitter.com/litaaja","@litaaja")</f>
        <v>@litaaja</v>
      </c>
      <c r="C1604" t="s">
        <v>2667</v>
      </c>
      <c r="D1604">
        <v>0</v>
      </c>
      <c r="E1604">
        <v>0</v>
      </c>
      <c r="F1604">
        <v>1925</v>
      </c>
    </row>
    <row r="1605" spans="1:6" ht="12.75">
      <c r="A1605" s="2">
        <v>43885.027314814812</v>
      </c>
      <c r="B1605" t="str">
        <f>HYPERLINK("https://twitter.com/Asep67855065","@Asep67855065")</f>
        <v>@Asep67855065</v>
      </c>
      <c r="C1605" t="s">
        <v>321</v>
      </c>
      <c r="D1605">
        <v>1230</v>
      </c>
      <c r="E1605">
        <v>0</v>
      </c>
      <c r="F1605">
        <v>15</v>
      </c>
    </row>
    <row r="1606" spans="1:6" ht="12.75">
      <c r="A1606" s="2">
        <v>43885.026689814811</v>
      </c>
      <c r="B1606" t="str">
        <f>HYPERLINK("https://twitter.com/kopitoba","@kopitoba")</f>
        <v>@kopitoba</v>
      </c>
      <c r="C1606" t="s">
        <v>2138</v>
      </c>
      <c r="D1606">
        <v>268</v>
      </c>
      <c r="E1606">
        <v>0</v>
      </c>
      <c r="F1606">
        <v>315</v>
      </c>
    </row>
    <row r="1607" spans="1:6" ht="12.75">
      <c r="A1607" s="2">
        <v>43885.026539351849</v>
      </c>
      <c r="B1607" t="str">
        <f>HYPERLINK("https://twitter.com/farhan_A86","@farhan_A86")</f>
        <v>@farhan_A86</v>
      </c>
      <c r="C1607" t="s">
        <v>321</v>
      </c>
      <c r="D1607">
        <v>1230</v>
      </c>
      <c r="E1607">
        <v>0</v>
      </c>
      <c r="F1607">
        <v>243</v>
      </c>
    </row>
    <row r="1608" spans="1:6" ht="12.75">
      <c r="A1608" s="2">
        <v>43885.026307870372</v>
      </c>
      <c r="B1608" t="str">
        <f>HYPERLINK("https://twitter.com/mikaharyadi","@mikaharyadi")</f>
        <v>@mikaharyadi</v>
      </c>
      <c r="C1608" t="s">
        <v>321</v>
      </c>
      <c r="D1608">
        <v>1230</v>
      </c>
      <c r="E1608">
        <v>0</v>
      </c>
      <c r="F1608">
        <v>25</v>
      </c>
    </row>
    <row r="1609" spans="1:6" ht="12.75">
      <c r="A1609" s="2">
        <v>43885.026064814811</v>
      </c>
      <c r="B1609" t="str">
        <f>HYPERLINK("https://twitter.com/ndaru_wardani","@ndaru_wardani")</f>
        <v>@ndaru_wardani</v>
      </c>
      <c r="C1609" t="s">
        <v>2151</v>
      </c>
      <c r="D1609">
        <v>8</v>
      </c>
      <c r="E1609">
        <v>0</v>
      </c>
      <c r="F1609">
        <v>282</v>
      </c>
    </row>
    <row r="1610" spans="1:6" ht="12.75">
      <c r="A1610" s="2">
        <v>43885.025844907403</v>
      </c>
      <c r="B1610" t="str">
        <f>HYPERLINK("https://twitter.com/upilitilia","@upilitilia")</f>
        <v>@upilitilia</v>
      </c>
      <c r="C1610" t="s">
        <v>2668</v>
      </c>
      <c r="D1610">
        <v>0</v>
      </c>
      <c r="E1610">
        <v>1</v>
      </c>
      <c r="F1610">
        <v>2436</v>
      </c>
    </row>
    <row r="1611" spans="1:6" ht="12.75">
      <c r="A1611" s="2">
        <v>43885.025752314818</v>
      </c>
      <c r="B1611" t="str">
        <f>HYPERLINK("https://twitter.com/yohanapon","@yohanapon")</f>
        <v>@yohanapon</v>
      </c>
      <c r="C1611" t="s">
        <v>321</v>
      </c>
      <c r="D1611">
        <v>1230</v>
      </c>
      <c r="E1611">
        <v>0</v>
      </c>
      <c r="F1611">
        <v>461</v>
      </c>
    </row>
    <row r="1612" spans="1:6" ht="12.75">
      <c r="A1612" s="2">
        <v>43885.024050925931</v>
      </c>
      <c r="B1612" t="str">
        <f>HYPERLINK("https://twitter.com/UjKomar","@UjKomar")</f>
        <v>@UjKomar</v>
      </c>
      <c r="C1612" t="s">
        <v>2091</v>
      </c>
      <c r="D1612">
        <v>819</v>
      </c>
      <c r="E1612">
        <v>0</v>
      </c>
      <c r="F1612">
        <v>1169</v>
      </c>
    </row>
    <row r="1613" spans="1:6" ht="12.75">
      <c r="A1613" s="2">
        <v>43885.023865740739</v>
      </c>
      <c r="B1613" t="str">
        <f>HYPERLINK("https://twitter.com/driver_jakarta3","@driver_jakarta3")</f>
        <v>@driver_jakarta3</v>
      </c>
      <c r="C1613" t="s">
        <v>2188</v>
      </c>
      <c r="D1613">
        <v>1</v>
      </c>
      <c r="E1613">
        <v>0</v>
      </c>
      <c r="F1613">
        <v>1338</v>
      </c>
    </row>
    <row r="1614" spans="1:6" ht="12.75">
      <c r="A1614" s="2">
        <v>43885.023564814815</v>
      </c>
      <c r="B1614" t="str">
        <f>HYPERLINK("https://twitter.com/ISIS_Balik_NO","@ISIS_Balik_NO")</f>
        <v>@ISIS_Balik_NO</v>
      </c>
      <c r="C1614" t="s">
        <v>2669</v>
      </c>
      <c r="D1614">
        <v>0</v>
      </c>
      <c r="E1614">
        <v>0</v>
      </c>
      <c r="F1614">
        <v>6113</v>
      </c>
    </row>
    <row r="1615" spans="1:6" ht="12.75">
      <c r="A1615" s="2">
        <v>43885.022650462968</v>
      </c>
      <c r="B1615" t="str">
        <f>HYPERLINK("https://twitter.com/arbewe","@arbewe")</f>
        <v>@arbewe</v>
      </c>
      <c r="C1615" t="s">
        <v>2670</v>
      </c>
      <c r="D1615">
        <v>0</v>
      </c>
      <c r="E1615">
        <v>0</v>
      </c>
      <c r="F1615">
        <v>249</v>
      </c>
    </row>
    <row r="1616" spans="1:6" ht="12.75">
      <c r="A1616" s="2">
        <v>43885.021840277783</v>
      </c>
      <c r="B1616" t="str">
        <f>HYPERLINK("https://twitter.com/ISIS_Balik_NO","@ISIS_Balik_NO")</f>
        <v>@ISIS_Balik_NO</v>
      </c>
      <c r="C1616" t="s">
        <v>2671</v>
      </c>
      <c r="D1616">
        <v>0</v>
      </c>
      <c r="E1616">
        <v>2</v>
      </c>
      <c r="F1616">
        <v>6113</v>
      </c>
    </row>
    <row r="1617" spans="1:6" ht="12.75">
      <c r="A1617" s="2">
        <v>43885.021134259259</v>
      </c>
      <c r="B1617" t="str">
        <f>HYPERLINK("https://twitter.com/majisyafii","@majisyafii")</f>
        <v>@majisyafii</v>
      </c>
      <c r="C1617" t="s">
        <v>2232</v>
      </c>
      <c r="D1617">
        <v>5</v>
      </c>
      <c r="E1617">
        <v>0</v>
      </c>
      <c r="F1617">
        <v>2093</v>
      </c>
    </row>
    <row r="1618" spans="1:6" ht="12.75">
      <c r="A1618" s="2">
        <v>43885.02065972222</v>
      </c>
      <c r="B1618" t="str">
        <f t="shared" ref="B1618:B1619" si="46">HYPERLINK("https://twitter.com/ISIS_Balik_NO","@ISIS_Balik_NO")</f>
        <v>@ISIS_Balik_NO</v>
      </c>
      <c r="C1618" t="s">
        <v>2672</v>
      </c>
      <c r="D1618">
        <v>260</v>
      </c>
      <c r="E1618">
        <v>0</v>
      </c>
      <c r="F1618">
        <v>6113</v>
      </c>
    </row>
    <row r="1619" spans="1:6" ht="12.75">
      <c r="A1619" s="2">
        <v>43885.020625000005</v>
      </c>
      <c r="B1619" t="str">
        <f t="shared" si="46"/>
        <v>@ISIS_Balik_NO</v>
      </c>
      <c r="C1619" t="s">
        <v>2673</v>
      </c>
      <c r="D1619">
        <v>5</v>
      </c>
      <c r="E1619">
        <v>0</v>
      </c>
      <c r="F1619">
        <v>6113</v>
      </c>
    </row>
    <row r="1620" spans="1:6" ht="12.75">
      <c r="A1620" s="2">
        <v>43885.020405092597</v>
      </c>
      <c r="B1620" t="str">
        <f>HYPERLINK("https://twitter.com/joen_boy","@joen_boy")</f>
        <v>@joen_boy</v>
      </c>
      <c r="C1620" t="s">
        <v>2166</v>
      </c>
      <c r="D1620">
        <v>191</v>
      </c>
      <c r="E1620">
        <v>0</v>
      </c>
      <c r="F1620">
        <v>46</v>
      </c>
    </row>
    <row r="1621" spans="1:6" ht="12.75">
      <c r="A1621" s="2">
        <v>43885.020312499997</v>
      </c>
      <c r="B1621" t="str">
        <f>HYPERLINK("https://twitter.com/NurdinAhmadi","@NurdinAhmadi")</f>
        <v>@NurdinAhmadi</v>
      </c>
      <c r="C1621" t="s">
        <v>2091</v>
      </c>
      <c r="D1621">
        <v>819</v>
      </c>
      <c r="E1621">
        <v>0</v>
      </c>
      <c r="F1621">
        <v>198</v>
      </c>
    </row>
    <row r="1622" spans="1:6" ht="12.75">
      <c r="A1622" s="2">
        <v>43885.020127314812</v>
      </c>
      <c r="B1622" t="str">
        <f>HYPERLINK("https://twitter.com/awanskunk","@awanskunk")</f>
        <v>@awanskunk</v>
      </c>
      <c r="C1622" t="s">
        <v>321</v>
      </c>
      <c r="D1622">
        <v>1230</v>
      </c>
      <c r="E1622">
        <v>0</v>
      </c>
      <c r="F1622">
        <v>633</v>
      </c>
    </row>
    <row r="1623" spans="1:6" ht="12.75">
      <c r="A1623" s="2">
        <v>43885.020046296297</v>
      </c>
      <c r="B1623" t="str">
        <f>HYPERLINK("https://twitter.com/Gunma_VR46","@Gunma_VR46")</f>
        <v>@Gunma_VR46</v>
      </c>
      <c r="C1623" t="s">
        <v>738</v>
      </c>
      <c r="D1623">
        <v>100</v>
      </c>
      <c r="E1623">
        <v>0</v>
      </c>
      <c r="F1623">
        <v>497</v>
      </c>
    </row>
    <row r="1624" spans="1:6" ht="12.75">
      <c r="A1624" s="2">
        <v>43885.020034722227</v>
      </c>
      <c r="B1624" t="str">
        <f>HYPERLINK("https://twitter.com/UQ2w1","@UQ2w1")</f>
        <v>@UQ2w1</v>
      </c>
      <c r="C1624" t="s">
        <v>738</v>
      </c>
      <c r="D1624">
        <v>100</v>
      </c>
      <c r="E1624">
        <v>0</v>
      </c>
      <c r="F1624">
        <v>85</v>
      </c>
    </row>
    <row r="1625" spans="1:6" ht="12.75">
      <c r="A1625" s="2">
        <v>43885.019837962958</v>
      </c>
      <c r="B1625" t="str">
        <f>HYPERLINK("https://twitter.com/Gm_boanK","@Gm_boanK")</f>
        <v>@Gm_boanK</v>
      </c>
      <c r="C1625" t="s">
        <v>321</v>
      </c>
      <c r="D1625">
        <v>1230</v>
      </c>
      <c r="E1625">
        <v>0</v>
      </c>
      <c r="F1625">
        <v>219</v>
      </c>
    </row>
    <row r="1626" spans="1:6" ht="12.75">
      <c r="A1626" s="2">
        <v>43885.019791666666</v>
      </c>
      <c r="B1626" t="str">
        <f>HYPERLINK("https://twitter.com/KepengenLagi","@KepengenLagi")</f>
        <v>@KepengenLagi</v>
      </c>
      <c r="C1626" t="s">
        <v>2674</v>
      </c>
      <c r="D1626">
        <v>93</v>
      </c>
      <c r="E1626">
        <v>0</v>
      </c>
      <c r="F1626">
        <v>41</v>
      </c>
    </row>
    <row r="1627" spans="1:6" ht="12.75">
      <c r="A1627" s="2">
        <v>43885.019652777773</v>
      </c>
      <c r="B1627" t="str">
        <f>HYPERLINK("https://twitter.com/gianko_81","@gianko_81")</f>
        <v>@gianko_81</v>
      </c>
      <c r="C1627" t="s">
        <v>2115</v>
      </c>
      <c r="D1627">
        <v>38</v>
      </c>
      <c r="E1627">
        <v>0</v>
      </c>
      <c r="F1627">
        <v>174</v>
      </c>
    </row>
    <row r="1628" spans="1:6" ht="12.75">
      <c r="A1628" s="2">
        <v>43885.019537037035</v>
      </c>
      <c r="B1628" t="str">
        <f>HYPERLINK("https://twitter.com/takahiroohara","@takahiroohara")</f>
        <v>@takahiroohara</v>
      </c>
      <c r="C1628" t="s">
        <v>738</v>
      </c>
      <c r="D1628">
        <v>100</v>
      </c>
      <c r="E1628">
        <v>0</v>
      </c>
      <c r="F1628">
        <v>155</v>
      </c>
    </row>
    <row r="1629" spans="1:6" ht="12.75">
      <c r="A1629" s="2">
        <v>43885.019027777773</v>
      </c>
      <c r="B1629" t="str">
        <f>HYPERLINK("https://twitter.com/Krishna38730338","@Krishna38730338")</f>
        <v>@Krishna38730338</v>
      </c>
      <c r="C1629" t="s">
        <v>2675</v>
      </c>
      <c r="D1629">
        <v>0</v>
      </c>
      <c r="E1629">
        <v>0</v>
      </c>
      <c r="F1629">
        <v>60</v>
      </c>
    </row>
    <row r="1630" spans="1:6" ht="12.75">
      <c r="A1630" s="2">
        <v>43885.018888888888</v>
      </c>
      <c r="B1630" t="str">
        <f>HYPERLINK("https://twitter.com/Ryo_koumei_m","@Ryo_koumei_m")</f>
        <v>@Ryo_koumei_m</v>
      </c>
      <c r="C1630" t="s">
        <v>738</v>
      </c>
      <c r="D1630">
        <v>100</v>
      </c>
      <c r="E1630">
        <v>0</v>
      </c>
      <c r="F1630">
        <v>2285</v>
      </c>
    </row>
    <row r="1631" spans="1:6" ht="12.75">
      <c r="A1631" s="2">
        <v>43885.018194444448</v>
      </c>
      <c r="B1631" t="str">
        <f>HYPERLINK("https://twitter.com/Rhiyo75Tuama","@Rhiyo75Tuama")</f>
        <v>@Rhiyo75Tuama</v>
      </c>
      <c r="C1631" t="s">
        <v>2091</v>
      </c>
      <c r="D1631">
        <v>819</v>
      </c>
      <c r="E1631">
        <v>0</v>
      </c>
      <c r="F1631">
        <v>66</v>
      </c>
    </row>
    <row r="1632" spans="1:6" ht="12.75">
      <c r="A1632" s="2">
        <v>43885.017835648148</v>
      </c>
      <c r="B1632" t="str">
        <f>HYPERLINK("https://twitter.com/robirusnadi","@robirusnadi")</f>
        <v>@robirusnadi</v>
      </c>
      <c r="C1632" t="s">
        <v>321</v>
      </c>
      <c r="D1632">
        <v>1230</v>
      </c>
      <c r="E1632">
        <v>0</v>
      </c>
      <c r="F1632">
        <v>188</v>
      </c>
    </row>
    <row r="1633" spans="1:6" ht="12.75">
      <c r="A1633" s="2">
        <v>43885.017523148148</v>
      </c>
      <c r="B1633" t="str">
        <f>HYPERLINK("https://twitter.com/_oi_chan","@_oi_chan")</f>
        <v>@_oi_chan</v>
      </c>
      <c r="C1633" t="s">
        <v>738</v>
      </c>
      <c r="D1633">
        <v>100</v>
      </c>
      <c r="E1633">
        <v>0</v>
      </c>
      <c r="F1633">
        <v>1857</v>
      </c>
    </row>
    <row r="1634" spans="1:6" ht="12.75">
      <c r="A1634" s="2">
        <v>43885.017430555556</v>
      </c>
      <c r="B1634" t="str">
        <f>HYPERLINK("https://twitter.com/77bayoe","@77bayoe")</f>
        <v>@77bayoe</v>
      </c>
      <c r="C1634" t="s">
        <v>2676</v>
      </c>
      <c r="D1634">
        <v>16</v>
      </c>
      <c r="E1634">
        <v>0</v>
      </c>
      <c r="F1634">
        <v>2183</v>
      </c>
    </row>
    <row r="1635" spans="1:6" ht="12.75">
      <c r="A1635" s="2">
        <v>43885.017384259263</v>
      </c>
      <c r="B1635" t="str">
        <f>HYPERLINK("https://twitter.com/unillaN","@unillaN")</f>
        <v>@unillaN</v>
      </c>
      <c r="C1635" t="s">
        <v>738</v>
      </c>
      <c r="D1635">
        <v>100</v>
      </c>
      <c r="E1635">
        <v>0</v>
      </c>
      <c r="F1635">
        <v>547</v>
      </c>
    </row>
    <row r="1636" spans="1:6" ht="12.75">
      <c r="A1636" s="2">
        <v>43885.017118055555</v>
      </c>
      <c r="B1636" t="str">
        <f>HYPERLINK("https://twitter.com/fukukittykobe","@fukukittykobe")</f>
        <v>@fukukittykobe</v>
      </c>
      <c r="C1636" t="s">
        <v>321</v>
      </c>
      <c r="D1636">
        <v>1230</v>
      </c>
      <c r="E1636">
        <v>0</v>
      </c>
      <c r="F1636">
        <v>729</v>
      </c>
    </row>
    <row r="1637" spans="1:6" ht="12.75">
      <c r="A1637" s="2">
        <v>43885.017071759255</v>
      </c>
      <c r="B1637" t="str">
        <f>HYPERLINK("https://twitter.com/arwensalimjo","@arwensalimjo")</f>
        <v>@arwensalimjo</v>
      </c>
      <c r="C1637" t="s">
        <v>2091</v>
      </c>
      <c r="D1637">
        <v>819</v>
      </c>
      <c r="E1637">
        <v>0</v>
      </c>
      <c r="F1637">
        <v>134</v>
      </c>
    </row>
    <row r="1638" spans="1:6" ht="12.75">
      <c r="A1638" s="2">
        <v>43885.016018518523</v>
      </c>
      <c r="B1638" t="str">
        <f>HYPERLINK("https://twitter.com/ezaahong","@ezaahong")</f>
        <v>@ezaahong</v>
      </c>
      <c r="C1638" t="s">
        <v>321</v>
      </c>
      <c r="D1638">
        <v>1230</v>
      </c>
      <c r="E1638">
        <v>0</v>
      </c>
      <c r="F1638">
        <v>105</v>
      </c>
    </row>
    <row r="1639" spans="1:6" ht="12.75">
      <c r="A1639" s="2">
        <v>43885.015567129631</v>
      </c>
      <c r="B1639" t="str">
        <f>HYPERLINK("https://twitter.com/FFseiji","@FFseiji")</f>
        <v>@FFseiji</v>
      </c>
      <c r="C1639" t="s">
        <v>738</v>
      </c>
      <c r="D1639">
        <v>100</v>
      </c>
      <c r="E1639">
        <v>0</v>
      </c>
      <c r="F1639">
        <v>114</v>
      </c>
    </row>
    <row r="1640" spans="1:6" ht="12.75">
      <c r="A1640" s="2">
        <v>43885.015370370369</v>
      </c>
      <c r="B1640" t="str">
        <f>HYPERLINK("https://twitter.com/becak125cc","@becak125cc")</f>
        <v>@becak125cc</v>
      </c>
      <c r="C1640" t="s">
        <v>2472</v>
      </c>
      <c r="D1640">
        <v>37</v>
      </c>
      <c r="E1640">
        <v>0</v>
      </c>
      <c r="F1640">
        <v>523</v>
      </c>
    </row>
    <row r="1641" spans="1:6" ht="12.75">
      <c r="A1641" s="2">
        <v>43885.0152662037</v>
      </c>
      <c r="B1641" t="str">
        <f>HYPERLINK("https://twitter.com/tree_0104","@tree_0104")</f>
        <v>@tree_0104</v>
      </c>
      <c r="C1641" t="s">
        <v>738</v>
      </c>
      <c r="D1641">
        <v>100</v>
      </c>
      <c r="E1641">
        <v>0</v>
      </c>
      <c r="F1641">
        <v>4598</v>
      </c>
    </row>
    <row r="1642" spans="1:6" ht="12.75">
      <c r="A1642" s="2">
        <v>43885.014976851853</v>
      </c>
      <c r="B1642" t="str">
        <f>HYPERLINK("https://twitter.com/unko_yori_unko","@unko_yori_unko")</f>
        <v>@unko_yori_unko</v>
      </c>
      <c r="C1642" t="s">
        <v>321</v>
      </c>
      <c r="D1642">
        <v>1230</v>
      </c>
      <c r="E1642">
        <v>0</v>
      </c>
      <c r="F1642">
        <v>19</v>
      </c>
    </row>
    <row r="1643" spans="1:6" ht="12.75">
      <c r="A1643" s="2">
        <v>43885.01489583333</v>
      </c>
      <c r="B1643" t="str">
        <f>HYPERLINK("https://twitter.com/Baqoroh69","@Baqoroh69")</f>
        <v>@Baqoroh69</v>
      </c>
      <c r="C1643" t="s">
        <v>2677</v>
      </c>
      <c r="D1643">
        <v>0</v>
      </c>
      <c r="E1643">
        <v>0</v>
      </c>
      <c r="F1643">
        <v>128</v>
      </c>
    </row>
    <row r="1644" spans="1:6" ht="12.75">
      <c r="A1644" s="2">
        <v>43885.014849537038</v>
      </c>
      <c r="B1644" t="str">
        <f>HYPERLINK("https://twitter.com/scivowd","@scivowd")</f>
        <v>@scivowd</v>
      </c>
      <c r="C1644" t="s">
        <v>2091</v>
      </c>
      <c r="D1644">
        <v>819</v>
      </c>
      <c r="E1644">
        <v>0</v>
      </c>
      <c r="F1644">
        <v>284</v>
      </c>
    </row>
    <row r="1645" spans="1:6" ht="12.75">
      <c r="A1645" s="2">
        <v>43885.014826388884</v>
      </c>
      <c r="B1645" t="str">
        <f>HYPERLINK("https://twitter.com/JohnIrwan4","@JohnIrwan4")</f>
        <v>@JohnIrwan4</v>
      </c>
      <c r="C1645" t="s">
        <v>2232</v>
      </c>
      <c r="D1645">
        <v>5</v>
      </c>
      <c r="E1645">
        <v>0</v>
      </c>
      <c r="F1645">
        <v>2412</v>
      </c>
    </row>
    <row r="1646" spans="1:6" ht="12.75">
      <c r="A1646" s="2">
        <v>43885.014247685191</v>
      </c>
      <c r="B1646" t="str">
        <f>HYPERLINK("https://twitter.com/Sifudan_mora","@Sifudan_mora")</f>
        <v>@Sifudan_mora</v>
      </c>
      <c r="C1646" t="s">
        <v>2678</v>
      </c>
      <c r="D1646">
        <v>1</v>
      </c>
      <c r="E1646">
        <v>1</v>
      </c>
      <c r="F1646">
        <v>2031</v>
      </c>
    </row>
    <row r="1647" spans="1:6" ht="12.75">
      <c r="A1647" s="2">
        <v>43885.014062499999</v>
      </c>
      <c r="B1647" t="str">
        <f>HYPERLINK("https://twitter.com/NaoremMc","@NaoremMc")</f>
        <v>@NaoremMc</v>
      </c>
      <c r="C1647" t="s">
        <v>2679</v>
      </c>
      <c r="D1647">
        <v>0</v>
      </c>
      <c r="E1647">
        <v>0</v>
      </c>
      <c r="F1647">
        <v>10</v>
      </c>
    </row>
    <row r="1648" spans="1:6" ht="12.75">
      <c r="A1648" s="2">
        <v>43885.013437500005</v>
      </c>
      <c r="B1648" t="str">
        <f>HYPERLINK("https://twitter.com/ismayapalapa","@ismayapalapa")</f>
        <v>@ismayapalapa</v>
      </c>
      <c r="C1648" t="s">
        <v>2147</v>
      </c>
      <c r="D1648">
        <v>591</v>
      </c>
      <c r="E1648">
        <v>0</v>
      </c>
      <c r="F1648">
        <v>9</v>
      </c>
    </row>
    <row r="1649" spans="1:6" ht="12.75">
      <c r="A1649" s="2">
        <v>43885.013402777782</v>
      </c>
      <c r="B1649" t="str">
        <f>HYPERLINK("https://twitter.com/IpungLombok","@IpungLombok")</f>
        <v>@IpungLombok</v>
      </c>
      <c r="C1649" t="s">
        <v>321</v>
      </c>
      <c r="D1649">
        <v>1230</v>
      </c>
      <c r="E1649">
        <v>0</v>
      </c>
      <c r="F1649">
        <v>15042</v>
      </c>
    </row>
    <row r="1650" spans="1:6" ht="12.75">
      <c r="A1650" s="2">
        <v>43885.013275462959</v>
      </c>
      <c r="B1650" t="str">
        <f>HYPERLINK("https://twitter.com/muthialoh","@muthialoh")</f>
        <v>@muthialoh</v>
      </c>
      <c r="C1650" t="s">
        <v>321</v>
      </c>
      <c r="D1650">
        <v>1230</v>
      </c>
      <c r="E1650">
        <v>0</v>
      </c>
      <c r="F1650">
        <v>23</v>
      </c>
    </row>
    <row r="1651" spans="1:6" ht="12.75">
      <c r="A1651" s="2">
        <v>43885.012708333335</v>
      </c>
      <c r="B1651" t="str">
        <f>HYPERLINK("https://twitter.com/KacongWage","@KacongWage")</f>
        <v>@KacongWage</v>
      </c>
      <c r="C1651" t="s">
        <v>2166</v>
      </c>
      <c r="D1651">
        <v>191</v>
      </c>
      <c r="E1651">
        <v>0</v>
      </c>
      <c r="F1651">
        <v>74</v>
      </c>
    </row>
    <row r="1652" spans="1:6" ht="12.75">
      <c r="A1652" s="2">
        <v>43885.012696759259</v>
      </c>
      <c r="B1652" t="str">
        <f>HYPERLINK("https://twitter.com/eunicaa","@eunicaa")</f>
        <v>@eunicaa</v>
      </c>
      <c r="C1652" t="s">
        <v>321</v>
      </c>
      <c r="D1652">
        <v>1230</v>
      </c>
      <c r="E1652">
        <v>0</v>
      </c>
      <c r="F1652">
        <v>312</v>
      </c>
    </row>
    <row r="1653" spans="1:6" ht="12.75">
      <c r="A1653" s="2">
        <v>43885.012453703705</v>
      </c>
      <c r="B1653" t="str">
        <f>HYPERLINK("https://twitter.com/gibahnikmat","@gibahnikmat")</f>
        <v>@gibahnikmat</v>
      </c>
      <c r="C1653" t="s">
        <v>2091</v>
      </c>
      <c r="D1653">
        <v>819</v>
      </c>
      <c r="E1653">
        <v>0</v>
      </c>
      <c r="F1653">
        <v>22</v>
      </c>
    </row>
    <row r="1654" spans="1:6" ht="12.75">
      <c r="A1654" s="2">
        <v>43885.012337962966</v>
      </c>
      <c r="B1654" t="str">
        <f>HYPERLINK("https://twitter.com/angrab","@angrab")</f>
        <v>@angrab</v>
      </c>
      <c r="C1654" t="s">
        <v>2680</v>
      </c>
      <c r="D1654">
        <v>0</v>
      </c>
      <c r="E1654">
        <v>0</v>
      </c>
      <c r="F1654">
        <v>319</v>
      </c>
    </row>
    <row r="1655" spans="1:6" ht="12.75">
      <c r="A1655" s="2">
        <v>43885.011412037042</v>
      </c>
      <c r="B1655" t="str">
        <f>HYPERLINK("https://twitter.com/theooyoga","@theooyoga")</f>
        <v>@theooyoga</v>
      </c>
      <c r="C1655" t="s">
        <v>2091</v>
      </c>
      <c r="D1655">
        <v>819</v>
      </c>
      <c r="E1655">
        <v>0</v>
      </c>
      <c r="F1655">
        <v>24</v>
      </c>
    </row>
    <row r="1656" spans="1:6" ht="12.75">
      <c r="A1656" s="2">
        <v>43885.011296296296</v>
      </c>
      <c r="B1656" t="str">
        <f>HYPERLINK("https://twitter.com/amexcahndeso","@amexcahndeso")</f>
        <v>@amexcahndeso</v>
      </c>
      <c r="C1656" t="s">
        <v>2091</v>
      </c>
      <c r="D1656">
        <v>819</v>
      </c>
      <c r="E1656">
        <v>0</v>
      </c>
      <c r="F1656">
        <v>609</v>
      </c>
    </row>
    <row r="1657" spans="1:6" ht="12.75">
      <c r="A1657" s="2">
        <v>43885.010983796295</v>
      </c>
      <c r="B1657" t="str">
        <f>HYPERLINK("https://twitter.com/SydSalesman","@SydSalesman")</f>
        <v>@SydSalesman</v>
      </c>
      <c r="C1657" t="s">
        <v>2600</v>
      </c>
      <c r="D1657">
        <v>21</v>
      </c>
      <c r="E1657">
        <v>0</v>
      </c>
      <c r="F1657">
        <v>6272</v>
      </c>
    </row>
    <row r="1658" spans="1:6" ht="12.75">
      <c r="A1658" s="2">
        <v>43885.010787037041</v>
      </c>
      <c r="B1658" t="str">
        <f>HYPERLINK("https://twitter.com/suwarnocr","@suwarnocr")</f>
        <v>@suwarnocr</v>
      </c>
      <c r="C1658" t="s">
        <v>2091</v>
      </c>
      <c r="D1658">
        <v>819</v>
      </c>
      <c r="E1658">
        <v>0</v>
      </c>
      <c r="F1658">
        <v>127</v>
      </c>
    </row>
    <row r="1659" spans="1:6" ht="12.75">
      <c r="A1659" s="2">
        <v>43885.010648148149</v>
      </c>
      <c r="B1659" t="str">
        <f>HYPERLINK("https://twitter.com/echochuspuri","@echochuspuri")</f>
        <v>@echochuspuri</v>
      </c>
      <c r="C1659" t="s">
        <v>2166</v>
      </c>
      <c r="D1659">
        <v>191</v>
      </c>
      <c r="E1659">
        <v>0</v>
      </c>
      <c r="F1659">
        <v>241</v>
      </c>
    </row>
    <row r="1660" spans="1:6" ht="12.75">
      <c r="A1660" s="2">
        <v>43885.010104166664</v>
      </c>
      <c r="B1660" t="str">
        <f>HYPERLINK("https://twitter.com/boysmathew","@boysmathew")</f>
        <v>@boysmathew</v>
      </c>
      <c r="C1660" t="s">
        <v>2166</v>
      </c>
      <c r="D1660">
        <v>191</v>
      </c>
      <c r="E1660">
        <v>0</v>
      </c>
      <c r="F1660">
        <v>119</v>
      </c>
    </row>
    <row r="1661" spans="1:6" ht="12.75">
      <c r="A1661" s="2">
        <v>43885.001342592594</v>
      </c>
      <c r="B1661" t="str">
        <f>HYPERLINK("https://twitter.com/auliarsm","@auliarsm")</f>
        <v>@auliarsm</v>
      </c>
      <c r="C1661" t="s">
        <v>2138</v>
      </c>
      <c r="D1661">
        <v>266</v>
      </c>
      <c r="E1661">
        <v>0</v>
      </c>
      <c r="F1661">
        <v>894</v>
      </c>
    </row>
    <row r="1662" spans="1:6" ht="12.75">
      <c r="A1662" s="2">
        <v>43885.001134259262</v>
      </c>
      <c r="B1662" t="str">
        <f>HYPERLINK("https://twitter.com/Nirmala6819","@Nirmala6819")</f>
        <v>@Nirmala6819</v>
      </c>
      <c r="C1662" t="s">
        <v>2681</v>
      </c>
      <c r="D1662">
        <v>1</v>
      </c>
      <c r="E1662">
        <v>0</v>
      </c>
      <c r="F1662">
        <v>1070</v>
      </c>
    </row>
    <row r="1663" spans="1:6" ht="12.75">
      <c r="A1663" s="2">
        <v>43885.000474537039</v>
      </c>
      <c r="B1663" t="str">
        <f>HYPERLINK("https://twitter.com/iim666","@iim666")</f>
        <v>@iim666</v>
      </c>
      <c r="C1663" t="s">
        <v>2166</v>
      </c>
      <c r="D1663">
        <v>178</v>
      </c>
      <c r="E1663">
        <v>0</v>
      </c>
      <c r="F1663">
        <v>320</v>
      </c>
    </row>
    <row r="1664" spans="1:6" ht="12.75">
      <c r="A1664" s="2">
        <v>43884.999826388885</v>
      </c>
      <c r="B1664" t="str">
        <f>HYPERLINK("https://twitter.com/Theworo1","@Theworo1")</f>
        <v>@Theworo1</v>
      </c>
      <c r="C1664" t="s">
        <v>2682</v>
      </c>
      <c r="D1664">
        <v>15</v>
      </c>
      <c r="E1664">
        <v>0</v>
      </c>
      <c r="F1664">
        <v>722</v>
      </c>
    </row>
    <row r="1665" spans="1:6" ht="12.75">
      <c r="A1665" s="2">
        <v>43884.999768518523</v>
      </c>
      <c r="B1665" t="str">
        <f>HYPERLINK("https://twitter.com/kyginthesky","@kyginthesky")</f>
        <v>@kyginthesky</v>
      </c>
      <c r="C1665" t="s">
        <v>2163</v>
      </c>
      <c r="D1665">
        <v>1</v>
      </c>
      <c r="E1665">
        <v>0</v>
      </c>
      <c r="F1665">
        <v>595</v>
      </c>
    </row>
    <row r="1666" spans="1:6" ht="12.75">
      <c r="A1666" s="2">
        <v>43884.9996875</v>
      </c>
      <c r="B1666" t="str">
        <f>HYPERLINK("https://twitter.com/padjar8","@padjar8")</f>
        <v>@padjar8</v>
      </c>
      <c r="C1666" t="s">
        <v>2091</v>
      </c>
      <c r="D1666">
        <v>780</v>
      </c>
      <c r="E1666">
        <v>0</v>
      </c>
      <c r="F1666">
        <v>653</v>
      </c>
    </row>
    <row r="1667" spans="1:6" ht="12.75">
      <c r="A1667" s="2">
        <v>43884.999675925923</v>
      </c>
      <c r="B1667" t="str">
        <f>HYPERLINK("https://twitter.com/HendraZandi","@HendraZandi")</f>
        <v>@HendraZandi</v>
      </c>
      <c r="C1667" t="s">
        <v>2166</v>
      </c>
      <c r="D1667">
        <v>178</v>
      </c>
      <c r="E1667">
        <v>0</v>
      </c>
      <c r="F1667">
        <v>848</v>
      </c>
    </row>
    <row r="1668" spans="1:6" ht="12.75">
      <c r="A1668" s="2">
        <v>43884.999444444446</v>
      </c>
      <c r="B1668" t="str">
        <f>HYPERLINK("https://twitter.com/fragfragile","@fragfragile")</f>
        <v>@fragfragile</v>
      </c>
      <c r="C1668" t="s">
        <v>738</v>
      </c>
      <c r="D1668">
        <v>87</v>
      </c>
      <c r="E1668">
        <v>0</v>
      </c>
      <c r="F1668">
        <v>313</v>
      </c>
    </row>
    <row r="1669" spans="1:6" ht="12.75">
      <c r="A1669" s="2">
        <v>43884.999074074076</v>
      </c>
      <c r="B1669" t="str">
        <f>HYPERLINK("https://twitter.com/gus55177350","@gus55177350")</f>
        <v>@gus55177350</v>
      </c>
      <c r="C1669" t="s">
        <v>2600</v>
      </c>
      <c r="D1669">
        <v>19</v>
      </c>
      <c r="E1669">
        <v>0</v>
      </c>
      <c r="F1669">
        <v>41</v>
      </c>
    </row>
    <row r="1670" spans="1:6" ht="12.75">
      <c r="A1670" s="2">
        <v>43884.998831018514</v>
      </c>
      <c r="B1670" t="str">
        <f>HYPERLINK("https://twitter.com/Ferry13602224","@Ferry13602224")</f>
        <v>@Ferry13602224</v>
      </c>
      <c r="C1670" t="s">
        <v>2091</v>
      </c>
      <c r="D1670">
        <v>780</v>
      </c>
      <c r="E1670">
        <v>0</v>
      </c>
      <c r="F1670">
        <v>415</v>
      </c>
    </row>
    <row r="1671" spans="1:6" ht="12.75">
      <c r="A1671" s="2">
        <v>43884.998101851852</v>
      </c>
      <c r="B1671" t="str">
        <f>HYPERLINK("https://twitter.com/didi_armayanto","@didi_armayanto")</f>
        <v>@didi_armayanto</v>
      </c>
      <c r="C1671" t="s">
        <v>2683</v>
      </c>
      <c r="D1671">
        <v>0</v>
      </c>
      <c r="E1671">
        <v>0</v>
      </c>
      <c r="F1671">
        <v>4724</v>
      </c>
    </row>
    <row r="1672" spans="1:6" ht="12.75">
      <c r="A1672" s="2">
        <v>43884.997939814813</v>
      </c>
      <c r="B1672" t="str">
        <f>HYPERLINK("https://twitter.com/becak125cc","@becak125cc")</f>
        <v>@becak125cc</v>
      </c>
      <c r="C1672" t="s">
        <v>2674</v>
      </c>
      <c r="D1672">
        <v>92</v>
      </c>
      <c r="E1672">
        <v>0</v>
      </c>
      <c r="F1672">
        <v>523</v>
      </c>
    </row>
    <row r="1673" spans="1:6" ht="12.75">
      <c r="A1673" s="2">
        <v>43884.997800925921</v>
      </c>
      <c r="B1673" t="str">
        <f>HYPERLINK("https://twitter.com/officialFilza24","@officialFilza24")</f>
        <v>@officialFilza24</v>
      </c>
      <c r="C1673" t="s">
        <v>321</v>
      </c>
      <c r="D1673">
        <v>1190</v>
      </c>
      <c r="E1673">
        <v>0</v>
      </c>
      <c r="F1673">
        <v>244</v>
      </c>
    </row>
    <row r="1674" spans="1:6" ht="12.75">
      <c r="A1674" s="2">
        <v>43884.997777777782</v>
      </c>
      <c r="B1674" t="str">
        <f>HYPERLINK("https://twitter.com/psakuntala","@psakuntala")</f>
        <v>@psakuntala</v>
      </c>
      <c r="C1674" t="s">
        <v>2091</v>
      </c>
      <c r="D1674">
        <v>780</v>
      </c>
      <c r="E1674">
        <v>0</v>
      </c>
      <c r="F1674">
        <v>540</v>
      </c>
    </row>
    <row r="1675" spans="1:6" ht="12.75">
      <c r="A1675" s="2">
        <v>43884.997685185182</v>
      </c>
      <c r="B1675" t="str">
        <f>HYPERLINK("https://twitter.com/77bayoe","@77bayoe")</f>
        <v>@77bayoe</v>
      </c>
      <c r="C1675" t="s">
        <v>2600</v>
      </c>
      <c r="D1675">
        <v>19</v>
      </c>
      <c r="E1675">
        <v>0</v>
      </c>
      <c r="F1675">
        <v>2183</v>
      </c>
    </row>
    <row r="1676" spans="1:6" ht="12.75">
      <c r="A1676" s="2">
        <v>43884.997534722221</v>
      </c>
      <c r="B1676" t="str">
        <f>HYPERLINK("https://twitter.com/zuriswanfajri","@zuriswanfajri")</f>
        <v>@zuriswanfajri</v>
      </c>
      <c r="C1676" t="s">
        <v>2166</v>
      </c>
      <c r="D1676">
        <v>178</v>
      </c>
      <c r="E1676">
        <v>0</v>
      </c>
      <c r="F1676">
        <v>4423</v>
      </c>
    </row>
    <row r="1677" spans="1:6" ht="12.75">
      <c r="A1677" s="2">
        <v>43884.997187500005</v>
      </c>
      <c r="B1677" t="str">
        <f>HYPERLINK("https://twitter.com/Ahfau001","@Ahfau001")</f>
        <v>@Ahfau001</v>
      </c>
      <c r="C1677" t="s">
        <v>2166</v>
      </c>
      <c r="D1677">
        <v>178</v>
      </c>
      <c r="E1677">
        <v>0</v>
      </c>
      <c r="F1677">
        <v>565</v>
      </c>
    </row>
    <row r="1678" spans="1:6" ht="12.75">
      <c r="A1678" s="2">
        <v>43884.99690972222</v>
      </c>
      <c r="B1678" t="str">
        <f>HYPERLINK("https://twitter.com/Krishna38730338","@Krishna38730338")</f>
        <v>@Krishna38730338</v>
      </c>
      <c r="C1678" t="s">
        <v>2684</v>
      </c>
      <c r="D1678">
        <v>0</v>
      </c>
      <c r="E1678">
        <v>0</v>
      </c>
      <c r="F1678">
        <v>59</v>
      </c>
    </row>
    <row r="1679" spans="1:6" ht="12.75">
      <c r="A1679" s="2">
        <v>43884.996874999997</v>
      </c>
      <c r="B1679" t="str">
        <f>HYPERLINK("https://twitter.com/Duta_Hidayat","@Duta_Hidayat")</f>
        <v>@Duta_Hidayat</v>
      </c>
      <c r="C1679" t="s">
        <v>321</v>
      </c>
      <c r="D1679">
        <v>1190</v>
      </c>
      <c r="E1679">
        <v>0</v>
      </c>
      <c r="F1679">
        <v>215</v>
      </c>
    </row>
    <row r="1680" spans="1:6" ht="12.75">
      <c r="A1680" s="2">
        <v>43884.996435185181</v>
      </c>
      <c r="B1680" t="str">
        <f>HYPERLINK("https://twitter.com/Dadodad59834626","@Dadodad59834626")</f>
        <v>@Dadodad59834626</v>
      </c>
      <c r="C1680" t="s">
        <v>2166</v>
      </c>
      <c r="D1680">
        <v>178</v>
      </c>
      <c r="E1680">
        <v>0</v>
      </c>
      <c r="F1680">
        <v>129</v>
      </c>
    </row>
    <row r="1681" spans="1:6" ht="12.75">
      <c r="A1681" s="2">
        <v>43884.99590277778</v>
      </c>
      <c r="B1681" t="str">
        <f>HYPERLINK("https://twitter.com/doyokijay","@doyokijay")</f>
        <v>@doyokijay</v>
      </c>
      <c r="C1681" t="s">
        <v>2685</v>
      </c>
      <c r="D1681">
        <v>2</v>
      </c>
      <c r="E1681">
        <v>0</v>
      </c>
      <c r="F1681">
        <v>309</v>
      </c>
    </row>
    <row r="1682" spans="1:6" ht="12.75">
      <c r="A1682" s="2">
        <v>43884.995868055557</v>
      </c>
      <c r="B1682" t="str">
        <f>HYPERLINK("https://twitter.com/fadlizon","@fadlizon")</f>
        <v>@fadlizon</v>
      </c>
      <c r="C1682" t="s">
        <v>2166</v>
      </c>
      <c r="D1682">
        <v>178</v>
      </c>
      <c r="E1682">
        <v>0</v>
      </c>
      <c r="F1682">
        <v>1387289</v>
      </c>
    </row>
    <row r="1683" spans="1:6" ht="12.75">
      <c r="A1683" s="2">
        <v>43884.995486111111</v>
      </c>
      <c r="B1683" t="str">
        <f>HYPERLINK("https://twitter.com/marthaliajess","@marthaliajess")</f>
        <v>@marthaliajess</v>
      </c>
      <c r="C1683" t="s">
        <v>2091</v>
      </c>
      <c r="D1683">
        <v>780</v>
      </c>
      <c r="E1683">
        <v>0</v>
      </c>
      <c r="F1683">
        <v>834</v>
      </c>
    </row>
    <row r="1684" spans="1:6" ht="12.75">
      <c r="A1684" s="2">
        <v>43884.995428240742</v>
      </c>
      <c r="B1684" t="str">
        <f>HYPERLINK("https://twitter.com/ISIS_Balik_NO","@ISIS_Balik_NO")</f>
        <v>@ISIS_Balik_NO</v>
      </c>
      <c r="C1684" t="s">
        <v>2686</v>
      </c>
      <c r="D1684">
        <v>0</v>
      </c>
      <c r="E1684">
        <v>0</v>
      </c>
      <c r="F1684">
        <v>6113</v>
      </c>
    </row>
    <row r="1685" spans="1:6" ht="12.75">
      <c r="A1685" s="2">
        <v>43884.99496527778</v>
      </c>
      <c r="B1685" t="str">
        <f>HYPERLINK("https://twitter.com/Vers_chub","@Vers_chub")</f>
        <v>@Vers_chub</v>
      </c>
      <c r="C1685" t="s">
        <v>2091</v>
      </c>
      <c r="D1685">
        <v>780</v>
      </c>
      <c r="E1685">
        <v>0</v>
      </c>
      <c r="F1685">
        <v>530</v>
      </c>
    </row>
    <row r="1686" spans="1:6" ht="12.75">
      <c r="A1686" s="2">
        <v>43884.99486111111</v>
      </c>
      <c r="B1686" t="str">
        <f>HYPERLINK("https://twitter.com/ozonpry","@ozonpry")</f>
        <v>@ozonpry</v>
      </c>
      <c r="C1686" t="s">
        <v>321</v>
      </c>
      <c r="D1686">
        <v>1190</v>
      </c>
      <c r="E1686">
        <v>0</v>
      </c>
      <c r="F1686">
        <v>115</v>
      </c>
    </row>
    <row r="1687" spans="1:6" ht="12.75">
      <c r="A1687" s="2">
        <v>43884.994212962964</v>
      </c>
      <c r="B1687" t="str">
        <f>HYPERLINK("https://twitter.com/dergrosenjoe135","@dergrosenjoe135")</f>
        <v>@dergrosenjoe135</v>
      </c>
      <c r="C1687" t="s">
        <v>2091</v>
      </c>
      <c r="D1687">
        <v>780</v>
      </c>
      <c r="E1687">
        <v>0</v>
      </c>
      <c r="F1687">
        <v>2590</v>
      </c>
    </row>
    <row r="1688" spans="1:6" ht="12.75">
      <c r="A1688" s="2">
        <v>43884.992627314816</v>
      </c>
      <c r="B1688" t="str">
        <f>HYPERLINK("https://twitter.com/oscarcekidot","@oscarcekidot")</f>
        <v>@oscarcekidot</v>
      </c>
      <c r="C1688" t="s">
        <v>2091</v>
      </c>
      <c r="D1688">
        <v>780</v>
      </c>
      <c r="E1688">
        <v>0</v>
      </c>
      <c r="F1688">
        <v>143</v>
      </c>
    </row>
    <row r="1689" spans="1:6" ht="12.75">
      <c r="A1689" s="2">
        <v>43884.992395833338</v>
      </c>
      <c r="B1689" t="str">
        <f>HYPERLINK("https://twitter.com/AdjieNusantara","@AdjieNusantara")</f>
        <v>@AdjieNusantara</v>
      </c>
      <c r="C1689" t="s">
        <v>321</v>
      </c>
      <c r="D1689">
        <v>1190</v>
      </c>
      <c r="E1689">
        <v>0</v>
      </c>
      <c r="F1689">
        <v>198</v>
      </c>
    </row>
    <row r="1690" spans="1:6" ht="12.75">
      <c r="A1690" s="2">
        <v>43884.991666666669</v>
      </c>
      <c r="B1690" t="str">
        <f>HYPERLINK("https://twitter.com/Keynaara2","@Keynaara2")</f>
        <v>@Keynaara2</v>
      </c>
      <c r="C1690" t="s">
        <v>2091</v>
      </c>
      <c r="D1690">
        <v>780</v>
      </c>
      <c r="E1690">
        <v>0</v>
      </c>
      <c r="F1690">
        <v>233</v>
      </c>
    </row>
    <row r="1691" spans="1:6" ht="12.75">
      <c r="A1691" s="2">
        <v>43884.991597222222</v>
      </c>
      <c r="B1691" t="str">
        <f>HYPERLINK("https://twitter.com/arfanalfikyy","@arfanalfikyy")</f>
        <v>@arfanalfikyy</v>
      </c>
      <c r="C1691" t="s">
        <v>2687</v>
      </c>
      <c r="D1691">
        <v>1</v>
      </c>
      <c r="E1691">
        <v>1</v>
      </c>
      <c r="F1691">
        <v>1</v>
      </c>
    </row>
    <row r="1692" spans="1:6" ht="12.75">
      <c r="A1692" s="2">
        <v>43884.991319444445</v>
      </c>
      <c r="B1692" t="str">
        <f>HYPERLINK("https://twitter.com/AdeCand65866045","@AdeCand65866045")</f>
        <v>@AdeCand65866045</v>
      </c>
      <c r="C1692" t="s">
        <v>2166</v>
      </c>
      <c r="D1692">
        <v>178</v>
      </c>
      <c r="E1692">
        <v>0</v>
      </c>
      <c r="F1692">
        <v>158</v>
      </c>
    </row>
    <row r="1693" spans="1:6" ht="12.75">
      <c r="A1693" s="2">
        <v>43884.991261574076</v>
      </c>
      <c r="B1693" t="str">
        <f>HYPERLINK("https://twitter.com/Bewolf_new","@Bewolf_new")</f>
        <v>@Bewolf_new</v>
      </c>
      <c r="C1693" t="s">
        <v>2166</v>
      </c>
      <c r="D1693">
        <v>178</v>
      </c>
      <c r="E1693">
        <v>0</v>
      </c>
      <c r="F1693">
        <v>256</v>
      </c>
    </row>
    <row r="1694" spans="1:6" ht="12.75">
      <c r="A1694" s="2">
        <v>43884.990486111114</v>
      </c>
      <c r="B1694" t="str">
        <f>HYPERLINK("https://twitter.com/johanesagung","@johanesagung")</f>
        <v>@johanesagung</v>
      </c>
      <c r="C1694" t="s">
        <v>2091</v>
      </c>
      <c r="D1694">
        <v>780</v>
      </c>
      <c r="E1694">
        <v>0</v>
      </c>
      <c r="F1694">
        <v>547</v>
      </c>
    </row>
    <row r="1695" spans="1:6" ht="12.75">
      <c r="A1695" s="2">
        <v>43884.99009259259</v>
      </c>
      <c r="B1695" t="str">
        <f>HYPERLINK("https://twitter.com/taiounao","@taiounao")</f>
        <v>@taiounao</v>
      </c>
      <c r="C1695" t="s">
        <v>2688</v>
      </c>
      <c r="D1695">
        <v>0</v>
      </c>
      <c r="E1695">
        <v>1</v>
      </c>
      <c r="F1695">
        <v>543</v>
      </c>
    </row>
    <row r="1696" spans="1:6" ht="12.75">
      <c r="A1696" s="2">
        <v>43884.990069444444</v>
      </c>
      <c r="B1696" t="str">
        <f>HYPERLINK("https://twitter.com/daffayulianto","@daffayulianto")</f>
        <v>@daffayulianto</v>
      </c>
      <c r="C1696" t="s">
        <v>321</v>
      </c>
      <c r="D1696">
        <v>1190</v>
      </c>
      <c r="E1696">
        <v>0</v>
      </c>
      <c r="F1696">
        <v>75</v>
      </c>
    </row>
    <row r="1697" spans="1:6" ht="12.75">
      <c r="A1697" s="2">
        <v>43884.989722222221</v>
      </c>
      <c r="B1697" t="str">
        <f>HYPERLINK("https://twitter.com/mohammadanz","@mohammadanz")</f>
        <v>@mohammadanz</v>
      </c>
      <c r="C1697" t="s">
        <v>321</v>
      </c>
      <c r="D1697">
        <v>1190</v>
      </c>
      <c r="E1697">
        <v>0</v>
      </c>
      <c r="F1697">
        <v>33</v>
      </c>
    </row>
    <row r="1698" spans="1:6" ht="12.75">
      <c r="A1698" s="2">
        <v>43884.989675925928</v>
      </c>
      <c r="B1698" t="str">
        <f>HYPERLINK("https://twitter.com/jhoninta_depari","@jhoninta_depari")</f>
        <v>@jhoninta_depari</v>
      </c>
      <c r="C1698" t="s">
        <v>2091</v>
      </c>
      <c r="D1698">
        <v>780</v>
      </c>
      <c r="E1698">
        <v>0</v>
      </c>
      <c r="F1698">
        <v>684</v>
      </c>
    </row>
    <row r="1699" spans="1:6" ht="12.75">
      <c r="A1699" s="2">
        <v>43884.98946759259</v>
      </c>
      <c r="B1699" t="str">
        <f>HYPERLINK("https://twitter.com/zulvaryan","@zulvaryan")</f>
        <v>@zulvaryan</v>
      </c>
      <c r="C1699" t="s">
        <v>321</v>
      </c>
      <c r="D1699">
        <v>1190</v>
      </c>
      <c r="E1699">
        <v>0</v>
      </c>
      <c r="F1699">
        <v>1837</v>
      </c>
    </row>
    <row r="1700" spans="1:6" ht="12.75">
      <c r="A1700" s="2">
        <v>43884.989328703705</v>
      </c>
      <c r="B1700" t="str">
        <f>HYPERLINK("https://twitter.com/dwifakhria","@dwifakhria")</f>
        <v>@dwifakhria</v>
      </c>
      <c r="C1700" t="s">
        <v>2091</v>
      </c>
      <c r="D1700">
        <v>780</v>
      </c>
      <c r="E1700">
        <v>0</v>
      </c>
      <c r="F1700">
        <v>168</v>
      </c>
    </row>
    <row r="1701" spans="1:6" ht="12.75">
      <c r="A1701" s="2">
        <v>43884.988865740743</v>
      </c>
      <c r="B1701" t="str">
        <f>HYPERLINK("https://twitter.com/awan_essence","@awan_essence")</f>
        <v>@awan_essence</v>
      </c>
      <c r="C1701" t="s">
        <v>321</v>
      </c>
      <c r="D1701">
        <v>1190</v>
      </c>
      <c r="E1701">
        <v>0</v>
      </c>
      <c r="F1701">
        <v>84</v>
      </c>
    </row>
    <row r="1702" spans="1:6" ht="12.75">
      <c r="A1702" s="2">
        <v>43884.988668981481</v>
      </c>
      <c r="B1702" t="str">
        <f>HYPERLINK("https://twitter.com/sophyan0506","@sophyan0506")</f>
        <v>@sophyan0506</v>
      </c>
      <c r="C1702" t="s">
        <v>321</v>
      </c>
      <c r="D1702">
        <v>1190</v>
      </c>
      <c r="E1702">
        <v>0</v>
      </c>
      <c r="F1702">
        <v>1109</v>
      </c>
    </row>
    <row r="1703" spans="1:6" ht="12.75">
      <c r="A1703" s="2">
        <v>43884.988275462965</v>
      </c>
      <c r="B1703" t="str">
        <f>HYPERLINK("https://twitter.com/dtm_armansyah","@dtm_armansyah")</f>
        <v>@dtm_armansyah</v>
      </c>
      <c r="C1703" t="s">
        <v>321</v>
      </c>
      <c r="D1703">
        <v>1190</v>
      </c>
      <c r="E1703">
        <v>0</v>
      </c>
      <c r="F1703">
        <v>12</v>
      </c>
    </row>
    <row r="1704" spans="1:6" ht="12.75">
      <c r="A1704" s="2">
        <v>43884.987708333334</v>
      </c>
      <c r="B1704" t="str">
        <f>HYPERLINK("https://twitter.com/rickyzen20","@rickyzen20")</f>
        <v>@rickyzen20</v>
      </c>
      <c r="C1704" t="s">
        <v>2166</v>
      </c>
      <c r="D1704">
        <v>178</v>
      </c>
      <c r="E1704">
        <v>0</v>
      </c>
      <c r="F1704">
        <v>265</v>
      </c>
    </row>
    <row r="1705" spans="1:6" ht="12.75">
      <c r="A1705" s="2">
        <v>43884.987557870365</v>
      </c>
      <c r="B1705" t="str">
        <f>HYPERLINK("https://twitter.com/putra_nofi","@putra_nofi")</f>
        <v>@putra_nofi</v>
      </c>
      <c r="C1705" t="s">
        <v>321</v>
      </c>
      <c r="D1705">
        <v>1190</v>
      </c>
      <c r="E1705">
        <v>0</v>
      </c>
      <c r="F1705">
        <v>737</v>
      </c>
    </row>
    <row r="1706" spans="1:6" ht="12.75">
      <c r="A1706" s="2">
        <v>43884.987349537041</v>
      </c>
      <c r="B1706" t="str">
        <f>HYPERLINK("https://twitter.com/esya8official","@esya8official")</f>
        <v>@esya8official</v>
      </c>
      <c r="C1706" t="s">
        <v>2151</v>
      </c>
      <c r="D1706">
        <v>5</v>
      </c>
      <c r="E1706">
        <v>0</v>
      </c>
      <c r="F1706">
        <v>463</v>
      </c>
    </row>
    <row r="1707" spans="1:6" ht="12.75">
      <c r="A1707" s="2">
        <v>43884.987291666665</v>
      </c>
      <c r="B1707" t="str">
        <f>HYPERLINK("https://twitter.com/77bayoe","@77bayoe")</f>
        <v>@77bayoe</v>
      </c>
      <c r="C1707" t="s">
        <v>2674</v>
      </c>
      <c r="D1707">
        <v>92</v>
      </c>
      <c r="E1707">
        <v>0</v>
      </c>
      <c r="F1707">
        <v>2183</v>
      </c>
    </row>
    <row r="1708" spans="1:6" ht="12.75">
      <c r="A1708" s="2">
        <v>43884.986956018518</v>
      </c>
      <c r="B1708" t="str">
        <f>HYPERLINK("https://twitter.com/printer_dr","@printer_dr")</f>
        <v>@printer_dr</v>
      </c>
      <c r="C1708" t="s">
        <v>321</v>
      </c>
      <c r="D1708">
        <v>1190</v>
      </c>
      <c r="E1708">
        <v>0</v>
      </c>
      <c r="F1708">
        <v>2030</v>
      </c>
    </row>
    <row r="1709" spans="1:6" ht="12.75">
      <c r="A1709" s="2">
        <v>43884.986898148149</v>
      </c>
      <c r="B1709" t="str">
        <f>HYPERLINK("https://twitter.com/ayu_wandirae","@ayu_wandirae")</f>
        <v>@ayu_wandirae</v>
      </c>
      <c r="C1709" t="s">
        <v>2091</v>
      </c>
      <c r="D1709">
        <v>780</v>
      </c>
      <c r="E1709">
        <v>0</v>
      </c>
      <c r="F1709">
        <v>776</v>
      </c>
    </row>
    <row r="1710" spans="1:6" ht="12.75">
      <c r="A1710" s="2">
        <v>43884.986805555556</v>
      </c>
      <c r="B1710" t="str">
        <f>HYPERLINK("https://twitter.com/Abizar64","@Abizar64")</f>
        <v>@Abizar64</v>
      </c>
      <c r="C1710" t="s">
        <v>2689</v>
      </c>
      <c r="D1710">
        <v>0</v>
      </c>
      <c r="E1710">
        <v>0</v>
      </c>
      <c r="F1710">
        <v>692</v>
      </c>
    </row>
    <row r="1711" spans="1:6" ht="12.75">
      <c r="A1711" s="2">
        <v>43884.986030092594</v>
      </c>
      <c r="B1711" t="str">
        <f>HYPERLINK("https://twitter.com/orangbener","@orangbener")</f>
        <v>@orangbener</v>
      </c>
      <c r="C1711" t="s">
        <v>321</v>
      </c>
      <c r="D1711">
        <v>1190</v>
      </c>
      <c r="E1711">
        <v>0</v>
      </c>
      <c r="F1711">
        <v>467</v>
      </c>
    </row>
    <row r="1712" spans="1:6" ht="12.75">
      <c r="A1712" s="2">
        <v>43884.985879629632</v>
      </c>
      <c r="B1712" t="str">
        <f>HYPERLINK("https://twitter.com/OsmanHardjojo","@OsmanHardjojo")</f>
        <v>@OsmanHardjojo</v>
      </c>
      <c r="C1712" t="s">
        <v>2091</v>
      </c>
      <c r="D1712">
        <v>780</v>
      </c>
      <c r="E1712">
        <v>0</v>
      </c>
      <c r="F1712">
        <v>172</v>
      </c>
    </row>
    <row r="1713" spans="1:6" ht="12.75">
      <c r="A1713" s="2">
        <v>43884.984918981485</v>
      </c>
      <c r="B1713" t="str">
        <f>HYPERLINK("https://twitter.com/ariefmarone","@ariefmarone")</f>
        <v>@ariefmarone</v>
      </c>
      <c r="C1713" t="s">
        <v>2126</v>
      </c>
      <c r="D1713">
        <v>2819</v>
      </c>
      <c r="E1713">
        <v>0</v>
      </c>
      <c r="F1713">
        <v>405</v>
      </c>
    </row>
    <row r="1714" spans="1:6" ht="12.75">
      <c r="A1714" s="2">
        <v>43884.984525462962</v>
      </c>
      <c r="B1714" t="str">
        <f>HYPERLINK("https://twitter.com/CirvelTheRed","@CirvelTheRed")</f>
        <v>@CirvelTheRed</v>
      </c>
      <c r="C1714" t="s">
        <v>2091</v>
      </c>
      <c r="D1714">
        <v>780</v>
      </c>
      <c r="E1714">
        <v>0</v>
      </c>
      <c r="F1714">
        <v>152</v>
      </c>
    </row>
    <row r="1715" spans="1:6" ht="12.75">
      <c r="A1715" s="2">
        <v>43884.983946759261</v>
      </c>
      <c r="B1715" t="str">
        <f>HYPERLINK("https://twitter.com/AdhangMuntaha","@AdhangMuntaha")</f>
        <v>@AdhangMuntaha</v>
      </c>
      <c r="C1715" t="s">
        <v>2690</v>
      </c>
      <c r="D1715">
        <v>0</v>
      </c>
      <c r="E1715">
        <v>0</v>
      </c>
      <c r="F1715">
        <v>277</v>
      </c>
    </row>
    <row r="1716" spans="1:6" ht="12.75">
      <c r="A1716" s="2">
        <v>43884.983935185184</v>
      </c>
      <c r="B1716" t="str">
        <f>HYPERLINK("https://twitter.com/esya8official","@esya8official")</f>
        <v>@esya8official</v>
      </c>
      <c r="C1716" t="s">
        <v>2091</v>
      </c>
      <c r="D1716">
        <v>780</v>
      </c>
      <c r="E1716">
        <v>0</v>
      </c>
      <c r="F1716">
        <v>463</v>
      </c>
    </row>
    <row r="1717" spans="1:6" ht="12.75">
      <c r="A1717" s="2">
        <v>43884.983865740738</v>
      </c>
      <c r="B1717" t="str">
        <f>HYPERLINK("https://twitter.com/falukmankim","@falukmankim")</f>
        <v>@falukmankim</v>
      </c>
      <c r="C1717" t="s">
        <v>2091</v>
      </c>
      <c r="D1717">
        <v>780</v>
      </c>
      <c r="E1717">
        <v>0</v>
      </c>
      <c r="F1717">
        <v>235</v>
      </c>
    </row>
    <row r="1718" spans="1:6" ht="12.75">
      <c r="A1718" s="2">
        <v>43884.983773148153</v>
      </c>
      <c r="B1718" t="str">
        <f>HYPERLINK("https://twitter.com/sailoreast","@sailoreast")</f>
        <v>@sailoreast</v>
      </c>
      <c r="C1718" t="s">
        <v>2091</v>
      </c>
      <c r="D1718">
        <v>780</v>
      </c>
      <c r="E1718">
        <v>0</v>
      </c>
      <c r="F1718">
        <v>1710</v>
      </c>
    </row>
    <row r="1719" spans="1:6" ht="12.75">
      <c r="A1719" s="2">
        <v>43884.983206018514</v>
      </c>
      <c r="B1719" t="str">
        <f>HYPERLINK("https://twitter.com/AnakKolong___","@AnakKolong___")</f>
        <v>@AnakKolong___</v>
      </c>
      <c r="C1719" t="s">
        <v>2674</v>
      </c>
      <c r="D1719">
        <v>92</v>
      </c>
      <c r="E1719">
        <v>0</v>
      </c>
      <c r="F1719">
        <v>6730</v>
      </c>
    </row>
    <row r="1720" spans="1:6" ht="12.75">
      <c r="A1720" s="2">
        <v>43884.983136574076</v>
      </c>
      <c r="B1720" t="str">
        <f>HYPERLINK("https://twitter.com/JacksoniSnaga","@JacksoniSnaga")</f>
        <v>@JacksoniSnaga</v>
      </c>
      <c r="C1720" t="s">
        <v>2091</v>
      </c>
      <c r="D1720">
        <v>780</v>
      </c>
      <c r="E1720">
        <v>0</v>
      </c>
      <c r="F1720">
        <v>3546</v>
      </c>
    </row>
    <row r="1721" spans="1:6" ht="12.75">
      <c r="A1721" s="2">
        <v>43884.983113425929</v>
      </c>
      <c r="B1721" t="str">
        <f>HYPERLINK("https://twitter.com/bluesuspect","@bluesuspect")</f>
        <v>@bluesuspect</v>
      </c>
      <c r="C1721" t="s">
        <v>321</v>
      </c>
      <c r="D1721">
        <v>1190</v>
      </c>
      <c r="E1721">
        <v>0</v>
      </c>
      <c r="F1721">
        <v>454</v>
      </c>
    </row>
    <row r="1722" spans="1:6" ht="12.75">
      <c r="A1722" s="2">
        <v>43884.982997685191</v>
      </c>
      <c r="B1722" t="str">
        <f>HYPERLINK("https://twitter.com/rayansahel1","@rayansahel1")</f>
        <v>@rayansahel1</v>
      </c>
      <c r="C1722" t="s">
        <v>321</v>
      </c>
      <c r="D1722">
        <v>1190</v>
      </c>
      <c r="E1722">
        <v>0</v>
      </c>
      <c r="F1722">
        <v>134</v>
      </c>
    </row>
    <row r="1723" spans="1:6" ht="12.75">
      <c r="A1723" s="2">
        <v>43884.982847222222</v>
      </c>
      <c r="B1723" t="str">
        <f>HYPERLINK("https://twitter.com/orangbener","@orangbener")</f>
        <v>@orangbener</v>
      </c>
      <c r="C1723" t="s">
        <v>2166</v>
      </c>
      <c r="D1723">
        <v>178</v>
      </c>
      <c r="E1723">
        <v>0</v>
      </c>
      <c r="F1723">
        <v>467</v>
      </c>
    </row>
    <row r="1724" spans="1:6" ht="12.75">
      <c r="A1724" s="2">
        <v>43884.982060185182</v>
      </c>
      <c r="B1724" t="str">
        <f>HYPERLINK("https://twitter.com/nimidnec","@nimidnec")</f>
        <v>@nimidnec</v>
      </c>
      <c r="C1724" t="s">
        <v>2091</v>
      </c>
      <c r="D1724">
        <v>780</v>
      </c>
      <c r="E1724">
        <v>0</v>
      </c>
      <c r="F1724">
        <v>1066</v>
      </c>
    </row>
    <row r="1725" spans="1:6" ht="12.75">
      <c r="A1725" s="2">
        <v>43884.981736111113</v>
      </c>
      <c r="B1725" t="str">
        <f>HYPERLINK("https://twitter.com/hedyst","@hedyst")</f>
        <v>@hedyst</v>
      </c>
      <c r="C1725" t="s">
        <v>2091</v>
      </c>
      <c r="D1725">
        <v>780</v>
      </c>
      <c r="E1725">
        <v>0</v>
      </c>
      <c r="F1725">
        <v>138</v>
      </c>
    </row>
    <row r="1726" spans="1:6" ht="12.75">
      <c r="A1726" s="2">
        <v>43884.981400462959</v>
      </c>
      <c r="B1726" t="str">
        <f>HYPERLINK("https://twitter.com/AlHijaz46792964","@AlHijaz46792964")</f>
        <v>@AlHijaz46792964</v>
      </c>
      <c r="C1726" t="s">
        <v>321</v>
      </c>
      <c r="D1726">
        <v>1190</v>
      </c>
      <c r="E1726">
        <v>0</v>
      </c>
      <c r="F1726">
        <v>325</v>
      </c>
    </row>
    <row r="1727" spans="1:6" ht="12.75">
      <c r="A1727" s="2">
        <v>43884.98128472222</v>
      </c>
      <c r="B1727" t="str">
        <f>HYPERLINK("https://twitter.com/frida_rahardjo","@frida_rahardjo")</f>
        <v>@frida_rahardjo</v>
      </c>
      <c r="C1727" t="s">
        <v>2691</v>
      </c>
      <c r="D1727">
        <v>22</v>
      </c>
      <c r="E1727">
        <v>0</v>
      </c>
      <c r="F1727">
        <v>1449</v>
      </c>
    </row>
    <row r="1728" spans="1:6" ht="12.75">
      <c r="A1728" s="2">
        <v>43884.980752314819</v>
      </c>
      <c r="B1728" t="str">
        <f>HYPERLINK("https://twitter.com/ZNarasoma","@ZNarasoma")</f>
        <v>@ZNarasoma</v>
      </c>
      <c r="C1728" t="s">
        <v>2091</v>
      </c>
      <c r="D1728">
        <v>780</v>
      </c>
      <c r="E1728">
        <v>0</v>
      </c>
      <c r="F1728">
        <v>6</v>
      </c>
    </row>
    <row r="1729" spans="1:6" ht="12.75">
      <c r="A1729" s="2">
        <v>43884.980486111112</v>
      </c>
      <c r="B1729" t="str">
        <f>HYPERLINK("https://twitter.com/aisyahnrf","@aisyahnrf")</f>
        <v>@aisyahnrf</v>
      </c>
      <c r="C1729" t="s">
        <v>2692</v>
      </c>
      <c r="D1729">
        <v>2051</v>
      </c>
      <c r="E1729">
        <v>0</v>
      </c>
      <c r="F1729">
        <v>16</v>
      </c>
    </row>
    <row r="1730" spans="1:6" ht="12.75">
      <c r="A1730" s="2">
        <v>43884.979976851857</v>
      </c>
      <c r="B1730" t="str">
        <f>HYPERLINK("https://twitter.com/AkangEi","@AkangEi")</f>
        <v>@AkangEi</v>
      </c>
      <c r="C1730" t="s">
        <v>321</v>
      </c>
      <c r="D1730">
        <v>1190</v>
      </c>
      <c r="E1730">
        <v>0</v>
      </c>
      <c r="F1730">
        <v>514</v>
      </c>
    </row>
    <row r="1731" spans="1:6" ht="12.75">
      <c r="A1731" s="2">
        <v>43884.979942129634</v>
      </c>
      <c r="B1731" t="str">
        <f>HYPERLINK("https://twitter.com/amirsyahoke","@amirsyahoke")</f>
        <v>@amirsyahoke</v>
      </c>
      <c r="C1731" t="s">
        <v>2693</v>
      </c>
      <c r="D1731">
        <v>0</v>
      </c>
      <c r="E1731">
        <v>0</v>
      </c>
      <c r="F1731">
        <v>440</v>
      </c>
    </row>
    <row r="1732" spans="1:6" ht="12.75">
      <c r="A1732" s="2">
        <v>43884.97965277778</v>
      </c>
      <c r="B1732" t="str">
        <f>HYPERLINK("https://twitter.com/singgihk8","@singgihk8")</f>
        <v>@singgihk8</v>
      </c>
      <c r="C1732" t="s">
        <v>321</v>
      </c>
      <c r="D1732">
        <v>1190</v>
      </c>
      <c r="E1732">
        <v>0</v>
      </c>
      <c r="F1732">
        <v>1479</v>
      </c>
    </row>
    <row r="1733" spans="1:6" ht="12.75">
      <c r="A1733" s="2">
        <v>43884.97956018518</v>
      </c>
      <c r="B1733" t="str">
        <f>HYPERLINK("https://twitter.com/nimidnec","@nimidnec")</f>
        <v>@nimidnec</v>
      </c>
      <c r="C1733" t="s">
        <v>2542</v>
      </c>
      <c r="D1733">
        <v>4</v>
      </c>
      <c r="E1733">
        <v>0</v>
      </c>
      <c r="F1733">
        <v>1066</v>
      </c>
    </row>
    <row r="1734" spans="1:6" ht="12.75">
      <c r="A1734" s="2">
        <v>43884.979513888888</v>
      </c>
      <c r="B1734" t="str">
        <f>HYPERLINK("https://twitter.com/MBilalY","@MBilalY")</f>
        <v>@MBilalY</v>
      </c>
      <c r="C1734" t="s">
        <v>2694</v>
      </c>
      <c r="D1734">
        <v>1</v>
      </c>
      <c r="E1734">
        <v>0</v>
      </c>
      <c r="F1734">
        <v>518</v>
      </c>
    </row>
    <row r="1735" spans="1:6" ht="12.75">
      <c r="A1735" s="2">
        <v>43884.979409722218</v>
      </c>
      <c r="B1735" t="str">
        <f>HYPERLINK("https://twitter.com/BaniSukra","@BaniSukra")</f>
        <v>@BaniSukra</v>
      </c>
      <c r="C1735" t="s">
        <v>2091</v>
      </c>
      <c r="D1735">
        <v>780</v>
      </c>
      <c r="E1735">
        <v>0</v>
      </c>
      <c r="F1735">
        <v>20</v>
      </c>
    </row>
    <row r="1736" spans="1:6" ht="12.75">
      <c r="A1736" s="2">
        <v>43884.979398148149</v>
      </c>
      <c r="B1736" t="str">
        <f>HYPERLINK("https://twitter.com/engleeinter","@engleeinter")</f>
        <v>@engleeinter</v>
      </c>
      <c r="C1736" t="s">
        <v>321</v>
      </c>
      <c r="D1736">
        <v>1190</v>
      </c>
      <c r="E1736">
        <v>0</v>
      </c>
      <c r="F1736">
        <v>865</v>
      </c>
    </row>
    <row r="1737" spans="1:6" ht="12.75">
      <c r="A1737" s="2">
        <v>43884.979189814811</v>
      </c>
      <c r="B1737" t="str">
        <f>HYPERLINK("https://twitter.com/nori051233","@nori051233")</f>
        <v>@nori051233</v>
      </c>
      <c r="C1737" t="s">
        <v>738</v>
      </c>
      <c r="D1737">
        <v>87</v>
      </c>
      <c r="E1737">
        <v>0</v>
      </c>
      <c r="F1737">
        <v>95</v>
      </c>
    </row>
    <row r="1738" spans="1:6" ht="12.75">
      <c r="A1738" s="2">
        <v>43884.978981481487</v>
      </c>
      <c r="B1738" t="str">
        <f>HYPERLINK("https://twitter.com/Fadlyrenal","@Fadlyrenal")</f>
        <v>@Fadlyrenal</v>
      </c>
      <c r="C1738" t="s">
        <v>321</v>
      </c>
      <c r="D1738">
        <v>1190</v>
      </c>
      <c r="E1738">
        <v>0</v>
      </c>
      <c r="F1738">
        <v>383</v>
      </c>
    </row>
    <row r="1739" spans="1:6" ht="12.75">
      <c r="A1739" s="2">
        <v>43884.97892361111</v>
      </c>
      <c r="B1739" t="str">
        <f>HYPERLINK("https://twitter.com/hobisunmi","@hobisunmi")</f>
        <v>@hobisunmi</v>
      </c>
      <c r="C1739" t="s">
        <v>2695</v>
      </c>
      <c r="D1739">
        <v>0</v>
      </c>
      <c r="E1739">
        <v>0</v>
      </c>
      <c r="F1739">
        <v>6337</v>
      </c>
    </row>
    <row r="1740" spans="1:6" ht="12.75">
      <c r="A1740" s="2">
        <v>43884.978888888887</v>
      </c>
      <c r="B1740" t="str">
        <f>HYPERLINK("https://twitter.com/Peatland_Boy","@Peatland_Boy")</f>
        <v>@Peatland_Boy</v>
      </c>
      <c r="C1740" t="s">
        <v>2696</v>
      </c>
      <c r="D1740">
        <v>0</v>
      </c>
      <c r="E1740">
        <v>0</v>
      </c>
      <c r="F1740">
        <v>279</v>
      </c>
    </row>
    <row r="1741" spans="1:6" ht="12.75">
      <c r="A1741" s="2">
        <v>43884.978831018518</v>
      </c>
      <c r="B1741" t="str">
        <f>HYPERLINK("https://twitter.com/u00martin","@u00martin")</f>
        <v>@u00martin</v>
      </c>
      <c r="C1741" t="s">
        <v>738</v>
      </c>
      <c r="D1741">
        <v>87</v>
      </c>
      <c r="E1741">
        <v>0</v>
      </c>
      <c r="F1741">
        <v>1962</v>
      </c>
    </row>
    <row r="1742" spans="1:6" ht="12.75">
      <c r="A1742" s="2">
        <v>43884.978449074071</v>
      </c>
      <c r="B1742" t="str">
        <f>HYPERLINK("https://twitter.com/Salman49672464","@Salman49672464")</f>
        <v>@Salman49672464</v>
      </c>
      <c r="C1742" t="s">
        <v>2166</v>
      </c>
      <c r="D1742">
        <v>178</v>
      </c>
      <c r="E1742">
        <v>0</v>
      </c>
      <c r="F1742">
        <v>1120</v>
      </c>
    </row>
    <row r="1743" spans="1:6" ht="12.75">
      <c r="A1743" s="2">
        <v>43884.978101851855</v>
      </c>
      <c r="B1743" t="str">
        <f>HYPERLINK("https://twitter.com/GRLM1707","@GRLM1707")</f>
        <v>@GRLM1707</v>
      </c>
      <c r="C1743" t="s">
        <v>2697</v>
      </c>
      <c r="D1743">
        <v>0</v>
      </c>
      <c r="E1743">
        <v>0</v>
      </c>
      <c r="F1743">
        <v>3</v>
      </c>
    </row>
    <row r="1744" spans="1:6" ht="12.75">
      <c r="A1744" s="2">
        <v>43884.977592592593</v>
      </c>
      <c r="B1744" t="str">
        <f>HYPERLINK("https://twitter.com/ridho_donjuan","@ridho_donjuan")</f>
        <v>@ridho_donjuan</v>
      </c>
      <c r="C1744" t="s">
        <v>321</v>
      </c>
      <c r="D1744">
        <v>1190</v>
      </c>
      <c r="E1744">
        <v>0</v>
      </c>
      <c r="F1744">
        <v>574</v>
      </c>
    </row>
    <row r="1745" spans="1:6" ht="12.75">
      <c r="A1745" s="2">
        <v>43884.976504629631</v>
      </c>
      <c r="B1745" t="str">
        <f>HYPERLINK("https://twitter.com/LeBrekele","@LeBrekele")</f>
        <v>@LeBrekele</v>
      </c>
      <c r="C1745" t="s">
        <v>2698</v>
      </c>
      <c r="D1745">
        <v>0</v>
      </c>
      <c r="E1745">
        <v>0</v>
      </c>
      <c r="F1745">
        <v>1117</v>
      </c>
    </row>
    <row r="1746" spans="1:6" ht="12.75">
      <c r="A1746" s="2">
        <v>43884.976423611108</v>
      </c>
      <c r="B1746" t="str">
        <f>HYPERLINK("https://twitter.com/herySbahri","@herySbahri")</f>
        <v>@herySbahri</v>
      </c>
      <c r="C1746" t="s">
        <v>2091</v>
      </c>
      <c r="D1746">
        <v>780</v>
      </c>
      <c r="E1746">
        <v>0</v>
      </c>
      <c r="F1746">
        <v>1540</v>
      </c>
    </row>
    <row r="1747" spans="1:6" ht="12.75">
      <c r="A1747" s="2">
        <v>43884.976273148146</v>
      </c>
      <c r="B1747" t="str">
        <f>HYPERLINK("https://twitter.com/laperkaliloh","@laperkaliloh")</f>
        <v>@laperkaliloh</v>
      </c>
      <c r="C1747" t="s">
        <v>2091</v>
      </c>
      <c r="D1747">
        <v>780</v>
      </c>
      <c r="E1747">
        <v>0</v>
      </c>
      <c r="F1747">
        <v>1674</v>
      </c>
    </row>
    <row r="1748" spans="1:6" ht="12.75">
      <c r="A1748" s="2">
        <v>43884.975682870368</v>
      </c>
      <c r="B1748" t="str">
        <f>HYPERLINK("https://twitter.com/bathikmadriim","@bathikmadriim")</f>
        <v>@bathikmadriim</v>
      </c>
      <c r="C1748" t="s">
        <v>321</v>
      </c>
      <c r="D1748">
        <v>1190</v>
      </c>
      <c r="E1748">
        <v>0</v>
      </c>
      <c r="F1748">
        <v>99</v>
      </c>
    </row>
    <row r="1749" spans="1:6" ht="12.75">
      <c r="A1749" s="2">
        <v>43884.975648148145</v>
      </c>
      <c r="B1749" t="str">
        <f>HYPERLINK("https://twitter.com/JokesOnUBats","@JokesOnUBats")</f>
        <v>@JokesOnUBats</v>
      </c>
      <c r="C1749" t="s">
        <v>2699</v>
      </c>
      <c r="D1749">
        <v>0</v>
      </c>
      <c r="E1749">
        <v>0</v>
      </c>
      <c r="F1749">
        <v>236</v>
      </c>
    </row>
    <row r="1750" spans="1:6" ht="12.75">
      <c r="A1750" s="2">
        <v>43884.97556712963</v>
      </c>
      <c r="B1750" t="str">
        <f>HYPERLINK("https://twitter.com/Ambok79634519","@Ambok79634519")</f>
        <v>@Ambok79634519</v>
      </c>
      <c r="C1750" t="s">
        <v>2166</v>
      </c>
      <c r="D1750">
        <v>178</v>
      </c>
      <c r="E1750">
        <v>0</v>
      </c>
      <c r="F1750">
        <v>645</v>
      </c>
    </row>
    <row r="1751" spans="1:6" ht="12.75">
      <c r="A1751" s="2">
        <v>43884.975162037037</v>
      </c>
      <c r="B1751" t="str">
        <f>HYPERLINK("https://twitter.com/Ahmadira5","@Ahmadira5")</f>
        <v>@Ahmadira5</v>
      </c>
      <c r="C1751" t="s">
        <v>321</v>
      </c>
      <c r="D1751">
        <v>1190</v>
      </c>
      <c r="E1751">
        <v>0</v>
      </c>
      <c r="F1751">
        <v>155</v>
      </c>
    </row>
    <row r="1752" spans="1:6" ht="12.75">
      <c r="A1752" s="2">
        <v>43884.975127314814</v>
      </c>
      <c r="B1752" t="str">
        <f>HYPERLINK("https://twitter.com/Budhe_bonthot","@Budhe_bonthot")</f>
        <v>@Budhe_bonthot</v>
      </c>
      <c r="C1752" t="s">
        <v>321</v>
      </c>
      <c r="D1752">
        <v>1190</v>
      </c>
      <c r="E1752">
        <v>0</v>
      </c>
      <c r="F1752">
        <v>103</v>
      </c>
    </row>
    <row r="1753" spans="1:6" ht="12.75">
      <c r="A1753" s="2">
        <v>43884.974629629629</v>
      </c>
      <c r="B1753" t="str">
        <f>HYPERLINK("https://twitter.com/boymantong","@boymantong")</f>
        <v>@boymantong</v>
      </c>
      <c r="C1753" t="s">
        <v>321</v>
      </c>
      <c r="D1753">
        <v>1190</v>
      </c>
      <c r="E1753">
        <v>0</v>
      </c>
      <c r="F1753">
        <v>206</v>
      </c>
    </row>
    <row r="1754" spans="1:6" ht="12.75">
      <c r="A1754" s="2">
        <v>43884.974363425921</v>
      </c>
      <c r="B1754" t="str">
        <f>HYPERLINK("https://twitter.com/febrina12345678","@febrina12345678")</f>
        <v>@febrina12345678</v>
      </c>
      <c r="C1754" t="s">
        <v>2091</v>
      </c>
      <c r="D1754">
        <v>780</v>
      </c>
      <c r="E1754">
        <v>0</v>
      </c>
      <c r="F1754">
        <v>422</v>
      </c>
    </row>
    <row r="1755" spans="1:6" ht="12.75">
      <c r="A1755" s="2">
        <v>43884.973981481482</v>
      </c>
      <c r="B1755" t="str">
        <f>HYPERLINK("https://twitter.com/fikrinugraha","@fikrinugraha")</f>
        <v>@fikrinugraha</v>
      </c>
      <c r="C1755" t="s">
        <v>2091</v>
      </c>
      <c r="D1755">
        <v>780</v>
      </c>
      <c r="E1755">
        <v>0</v>
      </c>
      <c r="F1755">
        <v>587</v>
      </c>
    </row>
    <row r="1756" spans="1:6" ht="12.75">
      <c r="A1756" s="2">
        <v>43884.97351851852</v>
      </c>
      <c r="B1756" t="str">
        <f>HYPERLINK("https://twitter.com/ddragonogardd","@ddragonogardd")</f>
        <v>@ddragonogardd</v>
      </c>
      <c r="C1756" t="s">
        <v>2091</v>
      </c>
      <c r="D1756">
        <v>780</v>
      </c>
      <c r="E1756">
        <v>0</v>
      </c>
      <c r="F1756">
        <v>2637</v>
      </c>
    </row>
    <row r="1757" spans="1:6" ht="12.75">
      <c r="A1757" s="2">
        <v>43884.973495370374</v>
      </c>
      <c r="B1757" t="str">
        <f>HYPERLINK("https://twitter.com/evanfajrin","@evanfajrin")</f>
        <v>@evanfajrin</v>
      </c>
      <c r="C1757" t="s">
        <v>321</v>
      </c>
      <c r="D1757">
        <v>1190</v>
      </c>
      <c r="E1757">
        <v>0</v>
      </c>
      <c r="F1757">
        <v>377</v>
      </c>
    </row>
    <row r="1758" spans="1:6" ht="12.75">
      <c r="A1758" s="2">
        <v>43884.973414351851</v>
      </c>
      <c r="B1758" t="str">
        <f>HYPERLINK("https://twitter.com/cottonbuds_7","@cottonbuds_7")</f>
        <v>@cottonbuds_7</v>
      </c>
      <c r="C1758" t="s">
        <v>2091</v>
      </c>
      <c r="D1758">
        <v>780</v>
      </c>
      <c r="E1758">
        <v>0</v>
      </c>
      <c r="F1758">
        <v>10658</v>
      </c>
    </row>
    <row r="1759" spans="1:6" ht="12.75">
      <c r="A1759" s="2">
        <v>43884.973113425927</v>
      </c>
      <c r="B1759" t="str">
        <f>HYPERLINK("https://twitter.com/artiningrum","@artiningrum")</f>
        <v>@artiningrum</v>
      </c>
      <c r="C1759" t="s">
        <v>2653</v>
      </c>
      <c r="D1759">
        <v>3</v>
      </c>
      <c r="E1759">
        <v>0</v>
      </c>
      <c r="F1759">
        <v>226</v>
      </c>
    </row>
    <row r="1760" spans="1:6" ht="12.75">
      <c r="A1760" s="2">
        <v>43884.97278935185</v>
      </c>
      <c r="B1760" t="str">
        <f>HYPERLINK("https://twitter.com/Jumadi52056989","@Jumadi52056989")</f>
        <v>@Jumadi52056989</v>
      </c>
      <c r="C1760" t="s">
        <v>2091</v>
      </c>
      <c r="D1760">
        <v>780</v>
      </c>
      <c r="E1760">
        <v>0</v>
      </c>
      <c r="F1760">
        <v>32</v>
      </c>
    </row>
    <row r="1761" spans="1:6" ht="12.75">
      <c r="A1761" s="2">
        <v>43884.959861111114</v>
      </c>
      <c r="B1761" t="str">
        <f>HYPERLINK("https://twitter.com/stefanusdedans","@stefanusdedans")</f>
        <v>@stefanusdedans</v>
      </c>
      <c r="C1761" t="s">
        <v>2091</v>
      </c>
      <c r="D1761">
        <v>733</v>
      </c>
      <c r="E1761">
        <v>0</v>
      </c>
      <c r="F1761">
        <v>30</v>
      </c>
    </row>
    <row r="1762" spans="1:6" ht="12.75">
      <c r="A1762" s="2">
        <v>43884.959641203706</v>
      </c>
      <c r="B1762" t="str">
        <f>HYPERLINK("https://twitter.com/A_Rosjandy","@A_Rosjandy")</f>
        <v>@A_Rosjandy</v>
      </c>
      <c r="C1762" t="s">
        <v>2600</v>
      </c>
      <c r="D1762">
        <v>16</v>
      </c>
      <c r="E1762">
        <v>0</v>
      </c>
      <c r="F1762">
        <v>250</v>
      </c>
    </row>
    <row r="1763" spans="1:6" ht="12.75">
      <c r="A1763" s="2">
        <v>43884.959490740745</v>
      </c>
      <c r="B1763" t="str">
        <f>HYPERLINK("https://twitter.com/adriankusaihir1","@adriankusaihir1")</f>
        <v>@adriankusaihir1</v>
      </c>
      <c r="C1763" t="s">
        <v>2700</v>
      </c>
      <c r="D1763">
        <v>0</v>
      </c>
      <c r="E1763">
        <v>0</v>
      </c>
      <c r="F1763">
        <v>110</v>
      </c>
    </row>
    <row r="1764" spans="1:6" ht="12.75">
      <c r="A1764" s="2">
        <v>43884.959374999999</v>
      </c>
      <c r="B1764" t="str">
        <f>HYPERLINK("https://twitter.com/octagel","@octagel")</f>
        <v>@octagel</v>
      </c>
      <c r="C1764" t="s">
        <v>321</v>
      </c>
      <c r="D1764">
        <v>1132</v>
      </c>
      <c r="E1764">
        <v>0</v>
      </c>
      <c r="F1764">
        <v>80</v>
      </c>
    </row>
    <row r="1765" spans="1:6" ht="12.75">
      <c r="A1765" s="2">
        <v>43884.95925925926</v>
      </c>
      <c r="B1765" t="str">
        <f>HYPERLINK("https://twitter.com/DonMaulo","@DonMaulo")</f>
        <v>@DonMaulo</v>
      </c>
      <c r="C1765" t="s">
        <v>321</v>
      </c>
      <c r="D1765">
        <v>1132</v>
      </c>
      <c r="E1765">
        <v>0</v>
      </c>
      <c r="F1765">
        <v>251</v>
      </c>
    </row>
    <row r="1766" spans="1:6" ht="12.75">
      <c r="A1766" s="2">
        <v>43884.959120370375</v>
      </c>
      <c r="B1766" t="str">
        <f>HYPERLINK("https://twitter.com/rinichan02","@rinichan02")</f>
        <v>@rinichan02</v>
      </c>
      <c r="C1766" t="s">
        <v>321</v>
      </c>
      <c r="D1766">
        <v>1132</v>
      </c>
      <c r="E1766">
        <v>0</v>
      </c>
      <c r="F1766">
        <v>2846</v>
      </c>
    </row>
    <row r="1767" spans="1:6" ht="12.75">
      <c r="A1767" s="2">
        <v>43884.958703703705</v>
      </c>
      <c r="B1767" t="str">
        <f>HYPERLINK("https://twitter.com/ysrb","@ysrb")</f>
        <v>@ysrb</v>
      </c>
      <c r="C1767" t="s">
        <v>2091</v>
      </c>
      <c r="D1767">
        <v>733</v>
      </c>
      <c r="E1767">
        <v>0</v>
      </c>
      <c r="F1767">
        <v>428</v>
      </c>
    </row>
    <row r="1768" spans="1:6" ht="12.75">
      <c r="A1768" s="2">
        <v>43884.958391203705</v>
      </c>
      <c r="B1768" t="str">
        <f>HYPERLINK("https://twitter.com/tioharimurtie","@tioharimurtie")</f>
        <v>@tioharimurtie</v>
      </c>
      <c r="C1768" t="s">
        <v>2091</v>
      </c>
      <c r="D1768">
        <v>733</v>
      </c>
      <c r="E1768">
        <v>0</v>
      </c>
      <c r="F1768">
        <v>3629</v>
      </c>
    </row>
    <row r="1769" spans="1:6" ht="12.75">
      <c r="A1769" s="2">
        <v>43884.958356481482</v>
      </c>
      <c r="B1769" t="str">
        <f>HYPERLINK("https://twitter.com/namaguatuh","@namaguatuh")</f>
        <v>@namaguatuh</v>
      </c>
      <c r="C1769" t="s">
        <v>321</v>
      </c>
      <c r="D1769">
        <v>1132</v>
      </c>
      <c r="E1769">
        <v>0</v>
      </c>
      <c r="F1769">
        <v>174</v>
      </c>
    </row>
    <row r="1770" spans="1:6" ht="12.75">
      <c r="A1770" s="2">
        <v>43884.958055555559</v>
      </c>
      <c r="B1770" t="str">
        <f>HYPERLINK("https://twitter.com/twpuyang","@twpuyang")</f>
        <v>@twpuyang</v>
      </c>
      <c r="C1770" t="s">
        <v>321</v>
      </c>
      <c r="D1770">
        <v>1132</v>
      </c>
      <c r="E1770">
        <v>0</v>
      </c>
      <c r="F1770">
        <v>179</v>
      </c>
    </row>
    <row r="1771" spans="1:6" ht="12.75">
      <c r="A1771" s="2">
        <v>43884.958032407405</v>
      </c>
      <c r="B1771" t="str">
        <f>HYPERLINK("https://twitter.com/GazaVanLie7","@GazaVanLie7")</f>
        <v>@GazaVanLie7</v>
      </c>
      <c r="C1771" t="s">
        <v>321</v>
      </c>
      <c r="D1771">
        <v>1132</v>
      </c>
      <c r="E1771">
        <v>0</v>
      </c>
      <c r="F1771">
        <v>1762</v>
      </c>
    </row>
    <row r="1772" spans="1:6" ht="12.75">
      <c r="A1772" s="2">
        <v>43884.958032407405</v>
      </c>
      <c r="B1772" t="str">
        <f>HYPERLINK("https://twitter.com/arbysoemandoyo","@arbysoemandoyo")</f>
        <v>@arbysoemandoyo</v>
      </c>
      <c r="C1772" t="s">
        <v>321</v>
      </c>
      <c r="D1772">
        <v>1132</v>
      </c>
      <c r="E1772">
        <v>0</v>
      </c>
      <c r="F1772">
        <v>339</v>
      </c>
    </row>
    <row r="1773" spans="1:6" ht="12.75">
      <c r="A1773" s="2">
        <v>43884.957974537036</v>
      </c>
      <c r="B1773" t="str">
        <f>HYPERLINK("https://twitter.com/robiharyadi86","@robiharyadi86")</f>
        <v>@robiharyadi86</v>
      </c>
      <c r="C1773" t="s">
        <v>321</v>
      </c>
      <c r="D1773">
        <v>1132</v>
      </c>
      <c r="E1773">
        <v>0</v>
      </c>
      <c r="F1773">
        <v>104</v>
      </c>
    </row>
    <row r="1774" spans="1:6" ht="12.75">
      <c r="A1774" s="2">
        <v>43884.957719907412</v>
      </c>
      <c r="B1774" t="str">
        <f>HYPERLINK("https://twitter.com/DeddyPriok","@DeddyPriok")</f>
        <v>@DeddyPriok</v>
      </c>
      <c r="C1774" t="s">
        <v>2166</v>
      </c>
      <c r="D1774">
        <v>151</v>
      </c>
      <c r="E1774">
        <v>0</v>
      </c>
      <c r="F1774">
        <v>1061</v>
      </c>
    </row>
    <row r="1775" spans="1:6" ht="12.75">
      <c r="A1775" s="2">
        <v>43884.957685185189</v>
      </c>
      <c r="B1775" t="str">
        <f>HYPERLINK("https://twitter.com/juspri_mn","@juspri_mn")</f>
        <v>@juspri_mn</v>
      </c>
      <c r="C1775" t="s">
        <v>2701</v>
      </c>
      <c r="D1775">
        <v>0</v>
      </c>
      <c r="E1775">
        <v>0</v>
      </c>
      <c r="F1775">
        <v>812</v>
      </c>
    </row>
    <row r="1776" spans="1:6" ht="12.75">
      <c r="A1776" s="2">
        <v>43884.95758101852</v>
      </c>
      <c r="B1776" t="str">
        <f>HYPERLINK("https://twitter.com/wiraalgama","@wiraalgama")</f>
        <v>@wiraalgama</v>
      </c>
      <c r="C1776" t="s">
        <v>321</v>
      </c>
      <c r="D1776">
        <v>1132</v>
      </c>
      <c r="E1776">
        <v>0</v>
      </c>
      <c r="F1776">
        <v>9</v>
      </c>
    </row>
    <row r="1777" spans="1:6" ht="12.75">
      <c r="A1777" s="2">
        <v>43884.957187499997</v>
      </c>
      <c r="B1777" t="str">
        <f>HYPERLINK("https://twitter.com/yasboy","@yasboy")</f>
        <v>@yasboy</v>
      </c>
      <c r="C1777" t="s">
        <v>321</v>
      </c>
      <c r="D1777">
        <v>1132</v>
      </c>
      <c r="E1777">
        <v>0</v>
      </c>
      <c r="F1777">
        <v>2032</v>
      </c>
    </row>
    <row r="1778" spans="1:6" ht="12.75">
      <c r="A1778" s="2">
        <v>43884.956990740742</v>
      </c>
      <c r="B1778" t="str">
        <f>HYPERLINK("https://twitter.com/Memosastra4","@Memosastra4")</f>
        <v>@Memosastra4</v>
      </c>
      <c r="C1778" t="s">
        <v>321</v>
      </c>
      <c r="D1778">
        <v>1132</v>
      </c>
      <c r="E1778">
        <v>0</v>
      </c>
      <c r="F1778">
        <v>80</v>
      </c>
    </row>
    <row r="1779" spans="1:6" ht="12.75">
      <c r="A1779" s="2">
        <v>43884.956886574073</v>
      </c>
      <c r="B1779" t="str">
        <f>HYPERLINK("https://twitter.com/thomas7suherman","@thomas7suherman")</f>
        <v>@thomas7suherman</v>
      </c>
      <c r="C1779" t="s">
        <v>2091</v>
      </c>
      <c r="D1779">
        <v>733</v>
      </c>
      <c r="E1779">
        <v>0</v>
      </c>
      <c r="F1779">
        <v>2016</v>
      </c>
    </row>
    <row r="1780" spans="1:6" ht="12.75">
      <c r="A1780" s="2">
        <v>43884.956863425927</v>
      </c>
      <c r="B1780" t="str">
        <f>HYPERLINK("https://twitter.com/rafimaryudwika","@rafimaryudwika")</f>
        <v>@rafimaryudwika</v>
      </c>
      <c r="C1780" t="s">
        <v>2091</v>
      </c>
      <c r="D1780">
        <v>733</v>
      </c>
      <c r="E1780">
        <v>0</v>
      </c>
      <c r="F1780">
        <v>109</v>
      </c>
    </row>
    <row r="1781" spans="1:6" ht="12.75">
      <c r="A1781" s="2">
        <v>43884.956817129627</v>
      </c>
      <c r="B1781" t="str">
        <f>HYPERLINK("https://twitter.com/AkmalAlBintany","@AkmalAlBintany")</f>
        <v>@AkmalAlBintany</v>
      </c>
      <c r="C1781" t="s">
        <v>2166</v>
      </c>
      <c r="D1781">
        <v>151</v>
      </c>
      <c r="E1781">
        <v>0</v>
      </c>
      <c r="F1781">
        <v>11</v>
      </c>
    </row>
    <row r="1782" spans="1:6" ht="12.75">
      <c r="A1782" s="2">
        <v>43884.956388888888</v>
      </c>
      <c r="B1782" t="str">
        <f>HYPERLINK("https://twitter.com/andi_lalaa","@andi_lalaa")</f>
        <v>@andi_lalaa</v>
      </c>
      <c r="C1782" t="s">
        <v>321</v>
      </c>
      <c r="D1782">
        <v>1132</v>
      </c>
      <c r="E1782">
        <v>0</v>
      </c>
      <c r="F1782">
        <v>883</v>
      </c>
    </row>
    <row r="1783" spans="1:6" ht="12.75">
      <c r="A1783" s="2">
        <v>43884.956342592588</v>
      </c>
      <c r="B1783" t="str">
        <f>HYPERLINK("https://twitter.com/raisaadj","@raisaadj")</f>
        <v>@raisaadj</v>
      </c>
      <c r="C1783" t="s">
        <v>2091</v>
      </c>
      <c r="D1783">
        <v>733</v>
      </c>
      <c r="E1783">
        <v>0</v>
      </c>
      <c r="F1783">
        <v>588</v>
      </c>
    </row>
    <row r="1784" spans="1:6" ht="12.75">
      <c r="A1784" s="2">
        <v>43884.956203703703</v>
      </c>
      <c r="B1784" t="str">
        <f>HYPERLINK("https://twitter.com/KongReds","@KongReds")</f>
        <v>@KongReds</v>
      </c>
      <c r="C1784" t="s">
        <v>2600</v>
      </c>
      <c r="D1784">
        <v>16</v>
      </c>
      <c r="E1784">
        <v>0</v>
      </c>
      <c r="F1784">
        <v>1094</v>
      </c>
    </row>
    <row r="1785" spans="1:6" ht="12.75">
      <c r="A1785" s="2">
        <v>43884.955995370372</v>
      </c>
      <c r="B1785" t="str">
        <f>HYPERLINK("https://twitter.com/TONZ6","@TONZ6")</f>
        <v>@TONZ6</v>
      </c>
      <c r="C1785" t="s">
        <v>2091</v>
      </c>
      <c r="D1785">
        <v>733</v>
      </c>
      <c r="E1785">
        <v>0</v>
      </c>
      <c r="F1785">
        <v>108</v>
      </c>
    </row>
    <row r="1786" spans="1:6" ht="12.75">
      <c r="A1786" s="2">
        <v>43884.955578703702</v>
      </c>
      <c r="B1786" t="str">
        <f>HYPERLINK("https://twitter.com/KompolSyafii","@KompolSyafii")</f>
        <v>@KompolSyafii</v>
      </c>
      <c r="C1786" t="s">
        <v>2091</v>
      </c>
      <c r="D1786">
        <v>733</v>
      </c>
      <c r="E1786">
        <v>0</v>
      </c>
      <c r="F1786">
        <v>48</v>
      </c>
    </row>
    <row r="1787" spans="1:6" ht="12.75">
      <c r="A1787" s="2">
        <v>43884.955497685187</v>
      </c>
      <c r="B1787" t="str">
        <f>HYPERLINK("https://twitter.com/RestuSi82492155","@RestuSi82492155")</f>
        <v>@RestuSi82492155</v>
      </c>
      <c r="C1787" t="s">
        <v>2702</v>
      </c>
      <c r="D1787">
        <v>359</v>
      </c>
      <c r="E1787">
        <v>0</v>
      </c>
      <c r="F1787">
        <v>2</v>
      </c>
    </row>
    <row r="1788" spans="1:6" ht="12.75">
      <c r="A1788" s="2">
        <v>43884.955405092594</v>
      </c>
      <c r="B1788" t="str">
        <f>HYPERLINK("https://twitter.com/LeBrekele","@LeBrekele")</f>
        <v>@LeBrekele</v>
      </c>
      <c r="C1788" t="s">
        <v>2703</v>
      </c>
      <c r="D1788">
        <v>0</v>
      </c>
      <c r="E1788">
        <v>0</v>
      </c>
      <c r="F1788">
        <v>1117</v>
      </c>
    </row>
    <row r="1789" spans="1:6" ht="12.75">
      <c r="A1789" s="2">
        <v>43884.95512731481</v>
      </c>
      <c r="B1789" t="str">
        <f>HYPERLINK("https://twitter.com/ziggystardawn","@ziggystardawn")</f>
        <v>@ziggystardawn</v>
      </c>
      <c r="C1789" t="s">
        <v>2704</v>
      </c>
      <c r="D1789">
        <v>0</v>
      </c>
      <c r="E1789">
        <v>1</v>
      </c>
      <c r="F1789">
        <v>768</v>
      </c>
    </row>
    <row r="1790" spans="1:6" ht="12.75">
      <c r="A1790" s="2">
        <v>43884.955023148148</v>
      </c>
      <c r="B1790" t="str">
        <f>HYPERLINK("https://twitter.com/keo_billy","@keo_billy")</f>
        <v>@keo_billy</v>
      </c>
      <c r="C1790" t="s">
        <v>321</v>
      </c>
      <c r="D1790">
        <v>1132</v>
      </c>
      <c r="E1790">
        <v>0</v>
      </c>
      <c r="F1790">
        <v>977</v>
      </c>
    </row>
    <row r="1791" spans="1:6" ht="12.75">
      <c r="A1791" s="2">
        <v>43884.954733796301</v>
      </c>
      <c r="B1791" t="str">
        <f>HYPERLINK("https://twitter.com/jmyjimmy","@jmyjimmy")</f>
        <v>@jmyjimmy</v>
      </c>
      <c r="C1791" t="s">
        <v>2091</v>
      </c>
      <c r="D1791">
        <v>733</v>
      </c>
      <c r="E1791">
        <v>0</v>
      </c>
      <c r="F1791">
        <v>201</v>
      </c>
    </row>
    <row r="1792" spans="1:6" ht="12.75">
      <c r="A1792" s="2">
        <v>43884.954467592594</v>
      </c>
      <c r="B1792" t="str">
        <f>HYPERLINK("https://twitter.com/rofvyard","@rofvyard")</f>
        <v>@rofvyard</v>
      </c>
      <c r="C1792" t="s">
        <v>321</v>
      </c>
      <c r="D1792">
        <v>1132</v>
      </c>
      <c r="E1792">
        <v>0</v>
      </c>
      <c r="F1792">
        <v>379</v>
      </c>
    </row>
    <row r="1793" spans="1:6" ht="12.75">
      <c r="A1793" s="2">
        <v>43884.954409722224</v>
      </c>
      <c r="B1793" t="str">
        <f>HYPERLINK("https://twitter.com/NanPaf","@NanPaf")</f>
        <v>@NanPaf</v>
      </c>
      <c r="C1793" t="s">
        <v>2091</v>
      </c>
      <c r="D1793">
        <v>733</v>
      </c>
      <c r="E1793">
        <v>0</v>
      </c>
      <c r="F1793">
        <v>558</v>
      </c>
    </row>
    <row r="1794" spans="1:6" ht="12.75">
      <c r="A1794" s="2">
        <v>43884.954201388886</v>
      </c>
      <c r="B1794" t="str">
        <f>HYPERLINK("https://twitter.com/edysumar","@edysumar")</f>
        <v>@edysumar</v>
      </c>
      <c r="C1794" t="s">
        <v>2166</v>
      </c>
      <c r="D1794">
        <v>151</v>
      </c>
      <c r="E1794">
        <v>0</v>
      </c>
      <c r="F1794">
        <v>580</v>
      </c>
    </row>
    <row r="1795" spans="1:6" ht="12.75">
      <c r="A1795" s="2">
        <v>43884.953946759255</v>
      </c>
      <c r="B1795" t="str">
        <f>HYPERLINK("https://twitter.com/BudiRahadian5","@BudiRahadian5")</f>
        <v>@BudiRahadian5</v>
      </c>
      <c r="C1795" t="s">
        <v>2091</v>
      </c>
      <c r="D1795">
        <v>733</v>
      </c>
      <c r="E1795">
        <v>0</v>
      </c>
      <c r="F1795">
        <v>1296</v>
      </c>
    </row>
    <row r="1796" spans="1:6" ht="12.75">
      <c r="A1796" s="2">
        <v>43884.953935185185</v>
      </c>
      <c r="B1796" t="str">
        <f>HYPERLINK("https://twitter.com/papersky8","@papersky8")</f>
        <v>@papersky8</v>
      </c>
      <c r="C1796" t="s">
        <v>2705</v>
      </c>
      <c r="D1796">
        <v>1</v>
      </c>
      <c r="E1796">
        <v>0</v>
      </c>
      <c r="F1796">
        <v>969</v>
      </c>
    </row>
    <row r="1797" spans="1:6" ht="12.75">
      <c r="A1797" s="2">
        <v>43884.953923611116</v>
      </c>
      <c r="B1797" t="str">
        <f>HYPERLINK("https://twitter.com/dududidambam","@dududidambam")</f>
        <v>@dududidambam</v>
      </c>
      <c r="C1797" t="s">
        <v>2091</v>
      </c>
      <c r="D1797">
        <v>733</v>
      </c>
      <c r="E1797">
        <v>0</v>
      </c>
      <c r="F1797">
        <v>2</v>
      </c>
    </row>
    <row r="1798" spans="1:6" ht="12.75">
      <c r="A1798" s="2">
        <v>43884.953784722224</v>
      </c>
      <c r="B1798" t="str">
        <f>HYPERLINK("https://twitter.com/veraagustian_","@veraagustian_")</f>
        <v>@veraagustian_</v>
      </c>
      <c r="C1798" t="s">
        <v>321</v>
      </c>
      <c r="D1798">
        <v>1132</v>
      </c>
      <c r="E1798">
        <v>0</v>
      </c>
      <c r="F1798">
        <v>3026</v>
      </c>
    </row>
    <row r="1799" spans="1:6" ht="12.75">
      <c r="A1799" s="2">
        <v>43884.953726851847</v>
      </c>
      <c r="B1799" t="str">
        <f>HYPERLINK("https://twitter.com/efsapz","@efsapz")</f>
        <v>@efsapz</v>
      </c>
      <c r="C1799" t="s">
        <v>321</v>
      </c>
      <c r="D1799">
        <v>1132</v>
      </c>
      <c r="E1799">
        <v>0</v>
      </c>
      <c r="F1799">
        <v>181</v>
      </c>
    </row>
    <row r="1800" spans="1:6" ht="12.75">
      <c r="A1800" s="2">
        <v>43884.953182870369</v>
      </c>
      <c r="B1800" t="str">
        <f>HYPERLINK("https://twitter.com/Hendra27122013","@Hendra27122013")</f>
        <v>@Hendra27122013</v>
      </c>
      <c r="C1800" t="s">
        <v>2542</v>
      </c>
      <c r="D1800">
        <v>3</v>
      </c>
      <c r="E1800">
        <v>0</v>
      </c>
      <c r="F1800">
        <v>560</v>
      </c>
    </row>
    <row r="1801" spans="1:6" ht="12.75">
      <c r="A1801" s="2">
        <v>43884.952974537038</v>
      </c>
      <c r="B1801" t="str">
        <f>HYPERLINK("https://twitter.com/Tulang_Godang","@Tulang_Godang")</f>
        <v>@Tulang_Godang</v>
      </c>
      <c r="C1801" t="s">
        <v>2091</v>
      </c>
      <c r="D1801">
        <v>733</v>
      </c>
      <c r="E1801">
        <v>0</v>
      </c>
      <c r="F1801">
        <v>574</v>
      </c>
    </row>
    <row r="1802" spans="1:6" ht="12.75">
      <c r="A1802" s="2">
        <v>43884.9528125</v>
      </c>
      <c r="B1802" t="str">
        <f>HYPERLINK("https://twitter.com/ttrzw","@ttrzw")</f>
        <v>@ttrzw</v>
      </c>
      <c r="C1802" t="s">
        <v>321</v>
      </c>
      <c r="D1802">
        <v>1132</v>
      </c>
      <c r="E1802">
        <v>0</v>
      </c>
      <c r="F1802">
        <v>892</v>
      </c>
    </row>
    <row r="1803" spans="1:6" ht="12.75">
      <c r="A1803" s="2">
        <v>43884.9528125</v>
      </c>
      <c r="B1803" t="str">
        <f>HYPERLINK("https://twitter.com/dubie_tina","@dubie_tina")</f>
        <v>@dubie_tina</v>
      </c>
      <c r="C1803" t="s">
        <v>2600</v>
      </c>
      <c r="D1803">
        <v>16</v>
      </c>
      <c r="E1803">
        <v>0</v>
      </c>
      <c r="F1803">
        <v>1045</v>
      </c>
    </row>
    <row r="1804" spans="1:6" ht="12.75">
      <c r="A1804" s="2">
        <v>43884.952523148153</v>
      </c>
      <c r="B1804" t="str">
        <f t="shared" ref="B1804:B1805" si="47">HYPERLINK("https://twitter.com/ncuhidorowoni","@ncuhidorowoni")</f>
        <v>@ncuhidorowoni</v>
      </c>
      <c r="C1804" t="s">
        <v>2120</v>
      </c>
      <c r="D1804">
        <v>34</v>
      </c>
      <c r="E1804">
        <v>0</v>
      </c>
      <c r="F1804">
        <v>271</v>
      </c>
    </row>
    <row r="1805" spans="1:6" ht="12.75">
      <c r="A1805" s="2">
        <v>43884.952465277776</v>
      </c>
      <c r="B1805" t="str">
        <f t="shared" si="47"/>
        <v>@ncuhidorowoni</v>
      </c>
      <c r="C1805" t="s">
        <v>2115</v>
      </c>
      <c r="D1805">
        <v>31</v>
      </c>
      <c r="E1805">
        <v>0</v>
      </c>
      <c r="F1805">
        <v>271</v>
      </c>
    </row>
    <row r="1806" spans="1:6" ht="12.75">
      <c r="A1806" s="2">
        <v>43884.952430555553</v>
      </c>
      <c r="B1806" t="str">
        <f>HYPERLINK("https://twitter.com/DidinMu53631004","@DidinMu53631004")</f>
        <v>@DidinMu53631004</v>
      </c>
      <c r="C1806" t="s">
        <v>2600</v>
      </c>
      <c r="D1806">
        <v>16</v>
      </c>
      <c r="E1806">
        <v>0</v>
      </c>
      <c r="F1806">
        <v>120</v>
      </c>
    </row>
    <row r="1807" spans="1:6" ht="12.75">
      <c r="A1807" s="2">
        <v>43884.952361111107</v>
      </c>
      <c r="B1807" t="str">
        <f>HYPERLINK("https://twitter.com/Bennyboegiz","@Bennyboegiz")</f>
        <v>@Bennyboegiz</v>
      </c>
      <c r="C1807" t="s">
        <v>2600</v>
      </c>
      <c r="D1807">
        <v>16</v>
      </c>
      <c r="E1807">
        <v>0</v>
      </c>
      <c r="F1807">
        <v>975</v>
      </c>
    </row>
    <row r="1808" spans="1:6" ht="12.75">
      <c r="A1808" s="2">
        <v>43884.952361111107</v>
      </c>
      <c r="B1808" t="str">
        <f>HYPERLINK("https://twitter.com/Sorasachi__","@Sorasachi__")</f>
        <v>@Sorasachi__</v>
      </c>
      <c r="C1808" t="s">
        <v>2600</v>
      </c>
      <c r="D1808">
        <v>16</v>
      </c>
      <c r="E1808">
        <v>0</v>
      </c>
      <c r="F1808">
        <v>3442</v>
      </c>
    </row>
    <row r="1809" spans="1:6" ht="12.75">
      <c r="A1809" s="2">
        <v>43884.952361111107</v>
      </c>
      <c r="B1809" t="str">
        <f>HYPERLINK("https://twitter.com/Centreforward4","@Centreforward4")</f>
        <v>@Centreforward4</v>
      </c>
      <c r="C1809" t="s">
        <v>2706</v>
      </c>
      <c r="D1809">
        <v>0</v>
      </c>
      <c r="E1809">
        <v>0</v>
      </c>
      <c r="F1809">
        <v>6</v>
      </c>
    </row>
    <row r="1810" spans="1:6" ht="12.75">
      <c r="A1810" s="2">
        <v>43884.952361111107</v>
      </c>
      <c r="B1810" t="str">
        <f t="shared" ref="B1810:B1811" si="48">HYPERLINK("https://twitter.com/ncuhidorowoni","@ncuhidorowoni")</f>
        <v>@ncuhidorowoni</v>
      </c>
      <c r="C1810" t="s">
        <v>738</v>
      </c>
      <c r="D1810">
        <v>80</v>
      </c>
      <c r="E1810">
        <v>0</v>
      </c>
      <c r="F1810">
        <v>271</v>
      </c>
    </row>
    <row r="1811" spans="1:6" ht="12.75">
      <c r="A1811" s="2">
        <v>43884.951608796298</v>
      </c>
      <c r="B1811" t="str">
        <f t="shared" si="48"/>
        <v>@ncuhidorowoni</v>
      </c>
      <c r="C1811" t="s">
        <v>321</v>
      </c>
      <c r="D1811">
        <v>1132</v>
      </c>
      <c r="E1811">
        <v>0</v>
      </c>
      <c r="F1811">
        <v>271</v>
      </c>
    </row>
    <row r="1812" spans="1:6" ht="12.75">
      <c r="A1812" s="2">
        <v>43884.95140046296</v>
      </c>
      <c r="B1812" t="str">
        <f>HYPERLINK("https://twitter.com/viskaya","@viskaya")</f>
        <v>@viskaya</v>
      </c>
      <c r="C1812" t="s">
        <v>2166</v>
      </c>
      <c r="D1812">
        <v>151</v>
      </c>
      <c r="E1812">
        <v>0</v>
      </c>
      <c r="F1812">
        <v>776</v>
      </c>
    </row>
    <row r="1813" spans="1:6" ht="12.75">
      <c r="A1813" s="2">
        <v>43884.951331018514</v>
      </c>
      <c r="B1813" t="str">
        <f>HYPERLINK("https://twitter.com/WilsAryana","@WilsAryana")</f>
        <v>@WilsAryana</v>
      </c>
      <c r="C1813" t="s">
        <v>2707</v>
      </c>
      <c r="D1813">
        <v>0</v>
      </c>
      <c r="E1813">
        <v>0</v>
      </c>
      <c r="F1813">
        <v>839</v>
      </c>
    </row>
    <row r="1814" spans="1:6" ht="12.75">
      <c r="A1814" s="2">
        <v>43884.951203703706</v>
      </c>
      <c r="B1814" t="str">
        <f>HYPERLINK("https://twitter.com/viskaya","@viskaya")</f>
        <v>@viskaya</v>
      </c>
      <c r="C1814" t="s">
        <v>321</v>
      </c>
      <c r="D1814">
        <v>1132</v>
      </c>
      <c r="E1814">
        <v>0</v>
      </c>
      <c r="F1814">
        <v>776</v>
      </c>
    </row>
    <row r="1815" spans="1:6" ht="12.75">
      <c r="A1815" s="2">
        <v>43884.951180555552</v>
      </c>
      <c r="B1815" t="str">
        <f>HYPERLINK("https://twitter.com/RyanRNugroho","@RyanRNugroho")</f>
        <v>@RyanRNugroho</v>
      </c>
      <c r="C1815" t="s">
        <v>321</v>
      </c>
      <c r="D1815">
        <v>1132</v>
      </c>
      <c r="E1815">
        <v>0</v>
      </c>
      <c r="F1815">
        <v>1396</v>
      </c>
    </row>
    <row r="1816" spans="1:6" ht="12.75">
      <c r="A1816" s="2">
        <v>43884.95112268519</v>
      </c>
      <c r="B1816" t="str">
        <f>HYPERLINK("https://twitter.com/fadjriramadhan","@fadjriramadhan")</f>
        <v>@fadjriramadhan</v>
      </c>
      <c r="C1816" t="s">
        <v>321</v>
      </c>
      <c r="D1816">
        <v>1132</v>
      </c>
      <c r="E1816">
        <v>0</v>
      </c>
      <c r="F1816">
        <v>324</v>
      </c>
    </row>
    <row r="1817" spans="1:6" ht="12.75">
      <c r="A1817" s="2">
        <v>43884.950682870374</v>
      </c>
      <c r="B1817" t="str">
        <f>HYPERLINK("https://twitter.com/sashimieater","@sashimieater")</f>
        <v>@sashimieater</v>
      </c>
      <c r="C1817" t="s">
        <v>2708</v>
      </c>
      <c r="D1817">
        <v>0</v>
      </c>
      <c r="E1817">
        <v>0</v>
      </c>
      <c r="F1817">
        <v>241</v>
      </c>
    </row>
    <row r="1818" spans="1:6" ht="12.75">
      <c r="A1818" s="2">
        <v>43884.950486111113</v>
      </c>
      <c r="B1818" t="str">
        <f>HYPERLINK("https://twitter.com/fatih_haziq","@fatih_haziq")</f>
        <v>@fatih_haziq</v>
      </c>
      <c r="C1818" t="s">
        <v>2709</v>
      </c>
      <c r="D1818">
        <v>6</v>
      </c>
      <c r="E1818">
        <v>0</v>
      </c>
      <c r="F1818">
        <v>359</v>
      </c>
    </row>
    <row r="1819" spans="1:6" ht="12.75">
      <c r="A1819" s="2">
        <v>43884.950300925921</v>
      </c>
      <c r="B1819" t="str">
        <f>HYPERLINK("https://twitter.com/TokUrang","@TokUrang")</f>
        <v>@TokUrang</v>
      </c>
      <c r="C1819" t="s">
        <v>2091</v>
      </c>
      <c r="D1819">
        <v>733</v>
      </c>
      <c r="E1819">
        <v>0</v>
      </c>
      <c r="F1819">
        <v>1171</v>
      </c>
    </row>
    <row r="1820" spans="1:6" ht="12.75">
      <c r="A1820" s="2">
        <v>43884.950277777782</v>
      </c>
      <c r="B1820" t="str">
        <f>HYPERLINK("https://twitter.com/5News_Pati","@5News_Pati")</f>
        <v>@5News_Pati</v>
      </c>
      <c r="C1820" t="s">
        <v>2710</v>
      </c>
      <c r="D1820">
        <v>0</v>
      </c>
      <c r="E1820">
        <v>0</v>
      </c>
      <c r="F1820">
        <v>71</v>
      </c>
    </row>
    <row r="1821" spans="1:6" ht="12.75">
      <c r="A1821" s="2">
        <v>43884.950219907405</v>
      </c>
      <c r="B1821" t="str">
        <f>HYPERLINK("https://twitter.com/tfq_firdaus","@tfq_firdaus")</f>
        <v>@tfq_firdaus</v>
      </c>
      <c r="C1821" t="s">
        <v>321</v>
      </c>
      <c r="D1821">
        <v>1132</v>
      </c>
      <c r="E1821">
        <v>0</v>
      </c>
      <c r="F1821">
        <v>1006</v>
      </c>
    </row>
    <row r="1822" spans="1:6" ht="12.75">
      <c r="A1822" s="2">
        <v>43884.949849537035</v>
      </c>
      <c r="B1822" t="str">
        <f>HYPERLINK("https://twitter.com/fajar_ronal","@fajar_ronal")</f>
        <v>@fajar_ronal</v>
      </c>
      <c r="C1822" t="s">
        <v>321</v>
      </c>
      <c r="D1822">
        <v>1132</v>
      </c>
      <c r="E1822">
        <v>0</v>
      </c>
      <c r="F1822">
        <v>618</v>
      </c>
    </row>
    <row r="1823" spans="1:6" ht="12.75">
      <c r="A1823" s="2">
        <v>43884.949803240743</v>
      </c>
      <c r="B1823" t="str">
        <f>HYPERLINK("https://twitter.com/WilsAryana","@WilsAryana")</f>
        <v>@WilsAryana</v>
      </c>
      <c r="C1823" t="s">
        <v>321</v>
      </c>
      <c r="D1823">
        <v>1132</v>
      </c>
      <c r="E1823">
        <v>0</v>
      </c>
      <c r="F1823">
        <v>839</v>
      </c>
    </row>
    <row r="1824" spans="1:6" ht="12.75">
      <c r="A1824" s="2">
        <v>43884.949803240743</v>
      </c>
      <c r="B1824" t="str">
        <f>HYPERLINK("https://twitter.com/wicaksono_fajar","@wicaksono_fajar")</f>
        <v>@wicaksono_fajar</v>
      </c>
      <c r="C1824" t="s">
        <v>2091</v>
      </c>
      <c r="D1824">
        <v>733</v>
      </c>
      <c r="E1824">
        <v>0</v>
      </c>
      <c r="F1824">
        <v>371</v>
      </c>
    </row>
    <row r="1825" spans="1:6" ht="12.75">
      <c r="A1825" s="2">
        <v>43884.949537037042</v>
      </c>
      <c r="B1825" t="str">
        <f>HYPERLINK("https://twitter.com/Michael79820241","@Michael79820241")</f>
        <v>@Michael79820241</v>
      </c>
      <c r="C1825" t="s">
        <v>2091</v>
      </c>
      <c r="D1825">
        <v>733</v>
      </c>
      <c r="E1825">
        <v>0</v>
      </c>
      <c r="F1825">
        <v>107</v>
      </c>
    </row>
    <row r="1826" spans="1:6" ht="12.75">
      <c r="A1826" s="2">
        <v>43884.949525462958</v>
      </c>
      <c r="B1826" t="str">
        <f>HYPERLINK("https://twitter.com/saroesoe","@saroesoe")</f>
        <v>@saroesoe</v>
      </c>
      <c r="C1826" t="s">
        <v>2091</v>
      </c>
      <c r="D1826">
        <v>733</v>
      </c>
      <c r="E1826">
        <v>0</v>
      </c>
      <c r="F1826">
        <v>652</v>
      </c>
    </row>
    <row r="1827" spans="1:6" ht="12.75">
      <c r="A1827" s="2">
        <v>43884.949513888889</v>
      </c>
      <c r="B1827" t="str">
        <f>HYPERLINK("https://twitter.com/Yanputr28633198","@Yanputr28633198")</f>
        <v>@Yanputr28633198</v>
      </c>
      <c r="C1827" t="s">
        <v>321</v>
      </c>
      <c r="D1827">
        <v>1132</v>
      </c>
      <c r="E1827">
        <v>0</v>
      </c>
      <c r="F1827">
        <v>6</v>
      </c>
    </row>
    <row r="1828" spans="1:6" ht="12.75">
      <c r="A1828" s="2">
        <v>43884.94940972222</v>
      </c>
      <c r="B1828" t="str">
        <f>HYPERLINK("https://twitter.com/yan___na","@yan___na")</f>
        <v>@yan___na</v>
      </c>
      <c r="C1828" t="s">
        <v>321</v>
      </c>
      <c r="D1828">
        <v>1132</v>
      </c>
      <c r="E1828">
        <v>0</v>
      </c>
      <c r="F1828">
        <v>306</v>
      </c>
    </row>
    <row r="1829" spans="1:6" ht="12.75">
      <c r="A1829" s="2">
        <v>43884.94939814815</v>
      </c>
      <c r="B1829" t="str">
        <f>HYPERLINK("https://twitter.com/UngeAgatha","@UngeAgatha")</f>
        <v>@UngeAgatha</v>
      </c>
      <c r="C1829" t="s">
        <v>2600</v>
      </c>
      <c r="D1829">
        <v>16</v>
      </c>
      <c r="E1829">
        <v>0</v>
      </c>
      <c r="F1829">
        <v>267</v>
      </c>
    </row>
    <row r="1830" spans="1:6" ht="12.75">
      <c r="A1830" s="2">
        <v>43884.948877314819</v>
      </c>
      <c r="B1830" t="str">
        <f>HYPERLINK("https://twitter.com/alfiinny","@alfiinny")</f>
        <v>@alfiinny</v>
      </c>
      <c r="C1830" t="s">
        <v>321</v>
      </c>
      <c r="D1830">
        <v>1132</v>
      </c>
      <c r="E1830">
        <v>0</v>
      </c>
      <c r="F1830">
        <v>7</v>
      </c>
    </row>
    <row r="1831" spans="1:6" ht="12.75">
      <c r="A1831" s="2">
        <v>43884.948391203703</v>
      </c>
      <c r="B1831" t="str">
        <f>HYPERLINK("https://twitter.com/dananto_ambar","@dananto_ambar")</f>
        <v>@dananto_ambar</v>
      </c>
      <c r="C1831" t="s">
        <v>321</v>
      </c>
      <c r="D1831">
        <v>1132</v>
      </c>
      <c r="E1831">
        <v>0</v>
      </c>
      <c r="F1831">
        <v>203</v>
      </c>
    </row>
    <row r="1832" spans="1:6" ht="12.75">
      <c r="A1832" s="2">
        <v>43884.94831018518</v>
      </c>
      <c r="B1832" t="str">
        <f>HYPERLINK("https://twitter.com/Pradnand","@Pradnand")</f>
        <v>@Pradnand</v>
      </c>
      <c r="C1832" t="s">
        <v>2091</v>
      </c>
      <c r="D1832">
        <v>733</v>
      </c>
      <c r="E1832">
        <v>0</v>
      </c>
      <c r="F1832">
        <v>624</v>
      </c>
    </row>
    <row r="1833" spans="1:6" ht="12.75">
      <c r="A1833" s="2">
        <v>43884.948240740741</v>
      </c>
      <c r="B1833" t="str">
        <f>HYPERLINK("https://twitter.com/Acil11147618","@Acil11147618")</f>
        <v>@Acil11147618</v>
      </c>
      <c r="C1833" t="s">
        <v>2616</v>
      </c>
      <c r="D1833">
        <v>11</v>
      </c>
      <c r="E1833">
        <v>0</v>
      </c>
      <c r="F1833">
        <v>118</v>
      </c>
    </row>
    <row r="1834" spans="1:6" ht="12.75">
      <c r="A1834" s="2">
        <v>43884.948136574079</v>
      </c>
      <c r="B1834" t="str">
        <f>HYPERLINK("https://twitter.com/aull_udell","@aull_udell")</f>
        <v>@aull_udell</v>
      </c>
      <c r="C1834" t="s">
        <v>321</v>
      </c>
      <c r="D1834">
        <v>1132</v>
      </c>
      <c r="E1834">
        <v>0</v>
      </c>
      <c r="F1834">
        <v>443</v>
      </c>
    </row>
    <row r="1835" spans="1:6" ht="12.75">
      <c r="A1835" s="2">
        <v>43884.948078703703</v>
      </c>
      <c r="B1835" t="str">
        <f>HYPERLINK("https://twitter.com/ratuode","@ratuode")</f>
        <v>@ratuode</v>
      </c>
      <c r="C1835" t="s">
        <v>321</v>
      </c>
      <c r="D1835">
        <v>1132</v>
      </c>
      <c r="E1835">
        <v>0</v>
      </c>
      <c r="F1835">
        <v>674</v>
      </c>
    </row>
    <row r="1836" spans="1:6" ht="12.75">
      <c r="A1836" s="2">
        <v>43884.947997685187</v>
      </c>
      <c r="B1836" t="str">
        <f>HYPERLINK("https://twitter.com/atirah09_","@atirah09_")</f>
        <v>@atirah09_</v>
      </c>
      <c r="C1836" t="s">
        <v>2711</v>
      </c>
      <c r="D1836">
        <v>200</v>
      </c>
      <c r="E1836">
        <v>0</v>
      </c>
      <c r="F1836">
        <v>408</v>
      </c>
    </row>
    <row r="1837" spans="1:6" ht="12.75">
      <c r="A1837" s="2">
        <v>43884.947777777779</v>
      </c>
      <c r="B1837" t="str">
        <f>HYPERLINK("https://twitter.com/GoMudif","@GoMudif")</f>
        <v>@GoMudif</v>
      </c>
      <c r="C1837" t="s">
        <v>2616</v>
      </c>
      <c r="D1837">
        <v>11</v>
      </c>
      <c r="E1837">
        <v>0</v>
      </c>
      <c r="F1837">
        <v>151</v>
      </c>
    </row>
    <row r="1838" spans="1:6" ht="12.75">
      <c r="A1838" s="2">
        <v>43884.947743055556</v>
      </c>
      <c r="B1838" t="str">
        <f>HYPERLINK("https://twitter.com/waieentiou","@waieentiou")</f>
        <v>@waieentiou</v>
      </c>
      <c r="C1838" t="s">
        <v>2166</v>
      </c>
      <c r="D1838">
        <v>151</v>
      </c>
      <c r="E1838">
        <v>0</v>
      </c>
      <c r="F1838">
        <v>231</v>
      </c>
    </row>
    <row r="1839" spans="1:6" ht="12.75">
      <c r="A1839" s="2">
        <v>43884.947731481487</v>
      </c>
      <c r="B1839" t="str">
        <f>HYPERLINK("https://twitter.com/pikaa_chuuuuu","@pikaa_chuuuuu")</f>
        <v>@pikaa_chuuuuu</v>
      </c>
      <c r="C1839" t="s">
        <v>2091</v>
      </c>
      <c r="D1839">
        <v>733</v>
      </c>
      <c r="E1839">
        <v>0</v>
      </c>
      <c r="F1839">
        <v>304</v>
      </c>
    </row>
    <row r="1840" spans="1:6" ht="12.75">
      <c r="A1840" s="2">
        <v>43884.947708333333</v>
      </c>
      <c r="B1840" t="str">
        <f>HYPERLINK("https://twitter.com/Ikhsanliterally","@Ikhsanliterally")</f>
        <v>@Ikhsanliterally</v>
      </c>
      <c r="C1840" t="s">
        <v>321</v>
      </c>
      <c r="D1840">
        <v>1132</v>
      </c>
      <c r="E1840">
        <v>0</v>
      </c>
      <c r="F1840">
        <v>297</v>
      </c>
    </row>
    <row r="1841" spans="1:6" ht="12.75">
      <c r="A1841" s="2">
        <v>43884.947418981479</v>
      </c>
      <c r="B1841" t="str">
        <f>HYPERLINK("https://twitter.com/sufrizal88","@sufrizal88")</f>
        <v>@sufrizal88</v>
      </c>
      <c r="C1841" t="s">
        <v>321</v>
      </c>
      <c r="D1841">
        <v>1132</v>
      </c>
      <c r="E1841">
        <v>0</v>
      </c>
      <c r="F1841">
        <v>153</v>
      </c>
    </row>
    <row r="1842" spans="1:6" ht="12.75">
      <c r="A1842" s="2">
        <v>43884.94740740741</v>
      </c>
      <c r="B1842" t="str">
        <f>HYPERLINK("https://twitter.com/Airlangga_yuda","@Airlangga_yuda")</f>
        <v>@Airlangga_yuda</v>
      </c>
      <c r="C1842" t="s">
        <v>2600</v>
      </c>
      <c r="D1842">
        <v>16</v>
      </c>
      <c r="E1842">
        <v>0</v>
      </c>
      <c r="F1842">
        <v>977</v>
      </c>
    </row>
    <row r="1843" spans="1:6" ht="12.75">
      <c r="A1843" s="2">
        <v>43884.94666666667</v>
      </c>
      <c r="B1843" t="str">
        <f>HYPERLINK("https://twitter.com/RickoRahmat3","@RickoRahmat3")</f>
        <v>@RickoRahmat3</v>
      </c>
      <c r="C1843" t="s">
        <v>321</v>
      </c>
      <c r="D1843">
        <v>1132</v>
      </c>
      <c r="E1843">
        <v>0</v>
      </c>
      <c r="F1843">
        <v>25</v>
      </c>
    </row>
    <row r="1844" spans="1:6" ht="12.75">
      <c r="A1844" s="2">
        <v>43884.946458333332</v>
      </c>
      <c r="B1844" t="str">
        <f>HYPERLINK("https://twitter.com/Hamdali37agusg2","@Hamdali37agusg2")</f>
        <v>@Hamdali37agusg2</v>
      </c>
      <c r="C1844" t="s">
        <v>321</v>
      </c>
      <c r="D1844">
        <v>1132</v>
      </c>
      <c r="E1844">
        <v>0</v>
      </c>
      <c r="F1844">
        <v>35</v>
      </c>
    </row>
    <row r="1845" spans="1:6" ht="12.75">
      <c r="A1845" s="2">
        <v>43884.946435185186</v>
      </c>
      <c r="B1845" t="str">
        <f t="shared" ref="B1845:B1846" si="49">HYPERLINK("https://twitter.com/Arif_Kachef","@Arif_Kachef")</f>
        <v>@Arif_Kachef</v>
      </c>
      <c r="C1845" t="s">
        <v>2120</v>
      </c>
      <c r="D1845">
        <v>34</v>
      </c>
      <c r="E1845">
        <v>0</v>
      </c>
      <c r="F1845">
        <v>419</v>
      </c>
    </row>
    <row r="1846" spans="1:6" ht="12.75">
      <c r="A1846" s="2">
        <v>43884.946296296301</v>
      </c>
      <c r="B1846" t="str">
        <f t="shared" si="49"/>
        <v>@Arif_Kachef</v>
      </c>
      <c r="C1846" t="s">
        <v>2115</v>
      </c>
      <c r="D1846">
        <v>31</v>
      </c>
      <c r="E1846">
        <v>0</v>
      </c>
      <c r="F1846">
        <v>419</v>
      </c>
    </row>
    <row r="1847" spans="1:6" ht="12.75">
      <c r="A1847" s="2">
        <v>43884.946261574078</v>
      </c>
      <c r="B1847" t="str">
        <f>HYPERLINK("https://twitter.com/J0ker_Boker","@J0ker_Boker")</f>
        <v>@J0ker_Boker</v>
      </c>
      <c r="C1847" t="s">
        <v>321</v>
      </c>
      <c r="D1847">
        <v>1132</v>
      </c>
      <c r="E1847">
        <v>0</v>
      </c>
      <c r="F1847">
        <v>59</v>
      </c>
    </row>
    <row r="1848" spans="1:6" ht="12.75">
      <c r="A1848" s="2">
        <v>43884.946076388893</v>
      </c>
      <c r="B1848" t="str">
        <f>HYPERLINK("https://twitter.com/AlifLam11686062","@AlifLam11686062")</f>
        <v>@AlifLam11686062</v>
      </c>
      <c r="C1848" t="s">
        <v>321</v>
      </c>
      <c r="D1848">
        <v>1132</v>
      </c>
      <c r="E1848">
        <v>0</v>
      </c>
      <c r="F1848">
        <v>264</v>
      </c>
    </row>
    <row r="1849" spans="1:6" ht="12.75">
      <c r="A1849" s="2">
        <v>43884.945844907408</v>
      </c>
      <c r="B1849" t="str">
        <f>HYPERLINK("https://twitter.com/heyaditia","@heyaditia")</f>
        <v>@heyaditia</v>
      </c>
      <c r="C1849" t="s">
        <v>321</v>
      </c>
      <c r="D1849">
        <v>1132</v>
      </c>
      <c r="E1849">
        <v>0</v>
      </c>
      <c r="F1849">
        <v>837</v>
      </c>
    </row>
    <row r="1850" spans="1:6" ht="12.75">
      <c r="A1850" s="2">
        <v>43884.945775462962</v>
      </c>
      <c r="B1850" t="str">
        <f>HYPERLINK("https://twitter.com/Arif_Kachef","@Arif_Kachef")</f>
        <v>@Arif_Kachef</v>
      </c>
      <c r="C1850" t="s">
        <v>738</v>
      </c>
      <c r="D1850">
        <v>80</v>
      </c>
      <c r="E1850">
        <v>0</v>
      </c>
      <c r="F1850">
        <v>419</v>
      </c>
    </row>
    <row r="1851" spans="1:6" ht="12.75">
      <c r="A1851" s="2">
        <v>43884.945370370369</v>
      </c>
      <c r="B1851" t="str">
        <f>HYPERLINK("https://twitter.com/wisnuarieee","@wisnuarieee")</f>
        <v>@wisnuarieee</v>
      </c>
      <c r="C1851" t="s">
        <v>321</v>
      </c>
      <c r="D1851">
        <v>1132</v>
      </c>
      <c r="E1851">
        <v>0</v>
      </c>
      <c r="F1851">
        <v>430</v>
      </c>
    </row>
    <row r="1852" spans="1:6" ht="12.75">
      <c r="A1852" s="2">
        <v>43884.945231481484</v>
      </c>
      <c r="B1852" t="str">
        <f>HYPERLINK("https://twitter.com/MohMans45469273","@MohMans45469273")</f>
        <v>@MohMans45469273</v>
      </c>
      <c r="C1852" t="s">
        <v>2166</v>
      </c>
      <c r="D1852">
        <v>151</v>
      </c>
      <c r="E1852">
        <v>0</v>
      </c>
      <c r="F1852">
        <v>765</v>
      </c>
    </row>
    <row r="1853" spans="1:6" ht="12.75">
      <c r="A1853" s="2">
        <v>43884.945023148146</v>
      </c>
      <c r="B1853" t="str">
        <f>HYPERLINK("https://twitter.com/mahdionrust","@mahdionrust")</f>
        <v>@mahdionrust</v>
      </c>
      <c r="C1853" t="s">
        <v>321</v>
      </c>
      <c r="D1853">
        <v>1132</v>
      </c>
      <c r="E1853">
        <v>0</v>
      </c>
      <c r="F1853">
        <v>101</v>
      </c>
    </row>
    <row r="1854" spans="1:6" ht="12.75">
      <c r="A1854" s="2">
        <v>43884.944988425923</v>
      </c>
      <c r="B1854" t="str">
        <f>HYPERLINK("https://twitter.com/Arif_Kachef","@Arif_Kachef")</f>
        <v>@Arif_Kachef</v>
      </c>
      <c r="C1854" t="s">
        <v>321</v>
      </c>
      <c r="D1854">
        <v>1132</v>
      </c>
      <c r="E1854">
        <v>0</v>
      </c>
      <c r="F1854">
        <v>419</v>
      </c>
    </row>
    <row r="1855" spans="1:6" ht="12.75">
      <c r="A1855" s="2">
        <v>43884.944930555561</v>
      </c>
      <c r="B1855" t="str">
        <f>HYPERLINK("https://twitter.com/ZlatemT","@ZlatemT")</f>
        <v>@ZlatemT</v>
      </c>
      <c r="C1855" t="s">
        <v>321</v>
      </c>
      <c r="D1855">
        <v>1132</v>
      </c>
      <c r="E1855">
        <v>0</v>
      </c>
      <c r="F1855">
        <v>455</v>
      </c>
    </row>
    <row r="1856" spans="1:6" ht="12.75">
      <c r="A1856" s="2">
        <v>43884.944930555561</v>
      </c>
      <c r="B1856" t="str">
        <f>HYPERLINK("https://twitter.com/mhdluthfihsb","@mhdluthfihsb")</f>
        <v>@mhdluthfihsb</v>
      </c>
      <c r="C1856" t="s">
        <v>321</v>
      </c>
      <c r="D1856">
        <v>1132</v>
      </c>
      <c r="E1856">
        <v>0</v>
      </c>
      <c r="F1856">
        <v>15</v>
      </c>
    </row>
    <row r="1857" spans="1:6" ht="12.75">
      <c r="A1857" s="2">
        <v>43884.944710648153</v>
      </c>
      <c r="B1857" t="str">
        <f>HYPERLINK("https://twitter.com/CikalJsp","@CikalJsp")</f>
        <v>@CikalJsp</v>
      </c>
      <c r="C1857" t="s">
        <v>2166</v>
      </c>
      <c r="D1857">
        <v>151</v>
      </c>
      <c r="E1857">
        <v>0</v>
      </c>
      <c r="F1857">
        <v>166</v>
      </c>
    </row>
    <row r="1858" spans="1:6" ht="12.75">
      <c r="A1858" s="2">
        <v>43884.94462962963</v>
      </c>
      <c r="B1858" t="str">
        <f>HYPERLINK("https://twitter.com/Ali_Siregar1","@Ali_Siregar1")</f>
        <v>@Ali_Siregar1</v>
      </c>
      <c r="C1858" t="s">
        <v>321</v>
      </c>
      <c r="D1858">
        <v>1132</v>
      </c>
      <c r="E1858">
        <v>0</v>
      </c>
      <c r="F1858">
        <v>577</v>
      </c>
    </row>
    <row r="1859" spans="1:6" ht="12.75">
      <c r="A1859" s="2">
        <v>43884.944560185184</v>
      </c>
      <c r="B1859" t="str">
        <f>HYPERLINK("https://twitter.com/D34nR","@D34nR")</f>
        <v>@D34nR</v>
      </c>
      <c r="C1859" t="s">
        <v>321</v>
      </c>
      <c r="D1859">
        <v>1132</v>
      </c>
      <c r="E1859">
        <v>0</v>
      </c>
      <c r="F1859">
        <v>936</v>
      </c>
    </row>
    <row r="1860" spans="1:6" ht="12.75">
      <c r="A1860" s="2">
        <v>43884.918287037042</v>
      </c>
      <c r="B1860" t="str">
        <f>HYPERLINK("https://twitter.com/Ranok89","@Ranok89")</f>
        <v>@Ranok89</v>
      </c>
      <c r="C1860" t="s">
        <v>2091</v>
      </c>
      <c r="D1860">
        <v>673</v>
      </c>
      <c r="E1860">
        <v>0</v>
      </c>
      <c r="F1860">
        <v>6</v>
      </c>
    </row>
    <row r="1861" spans="1:6" ht="12.75">
      <c r="A1861" s="2">
        <v>43884.917766203704</v>
      </c>
      <c r="B1861" t="str">
        <f>HYPERLINK("https://twitter.com/BangkitPribumi","@BangkitPribumi")</f>
        <v>@BangkitPribumi</v>
      </c>
      <c r="C1861" t="s">
        <v>2616</v>
      </c>
      <c r="D1861">
        <v>7</v>
      </c>
      <c r="E1861">
        <v>0</v>
      </c>
      <c r="F1861">
        <v>781</v>
      </c>
    </row>
    <row r="1862" spans="1:6" ht="12.75">
      <c r="A1862" s="2">
        <v>43884.917766203704</v>
      </c>
      <c r="B1862" t="str">
        <f>HYPERLINK("https://twitter.com/KompasTV","@KompasTV")</f>
        <v>@KompasTV</v>
      </c>
      <c r="C1862" t="s">
        <v>2712</v>
      </c>
      <c r="D1862">
        <v>0</v>
      </c>
      <c r="E1862">
        <v>1</v>
      </c>
      <c r="F1862">
        <v>2946964</v>
      </c>
    </row>
    <row r="1863" spans="1:6" ht="12.75">
      <c r="A1863" s="2">
        <v>43884.917719907404</v>
      </c>
      <c r="B1863" t="str">
        <f>HYPERLINK("https://twitter.com/miocans","@miocans")</f>
        <v>@miocans</v>
      </c>
      <c r="C1863" t="s">
        <v>321</v>
      </c>
      <c r="D1863">
        <v>1029</v>
      </c>
      <c r="E1863">
        <v>0</v>
      </c>
      <c r="F1863">
        <v>1009</v>
      </c>
    </row>
    <row r="1864" spans="1:6" ht="12.75">
      <c r="A1864" s="2">
        <v>43884.917395833334</v>
      </c>
      <c r="B1864" t="str">
        <f>HYPERLINK("https://twitter.com/RKrisbiantoro","@RKrisbiantoro")</f>
        <v>@RKrisbiantoro</v>
      </c>
      <c r="C1864" t="s">
        <v>2091</v>
      </c>
      <c r="D1864">
        <v>673</v>
      </c>
      <c r="E1864">
        <v>0</v>
      </c>
      <c r="F1864">
        <v>621</v>
      </c>
    </row>
    <row r="1865" spans="1:6" ht="12.75">
      <c r="A1865" s="2">
        <v>43884.917256944449</v>
      </c>
      <c r="B1865" t="str">
        <f>HYPERLINK("https://twitter.com/BudiyanaDesani","@BudiyanaDesani")</f>
        <v>@BudiyanaDesani</v>
      </c>
      <c r="C1865" t="s">
        <v>2713</v>
      </c>
      <c r="D1865">
        <v>0</v>
      </c>
      <c r="E1865">
        <v>0</v>
      </c>
      <c r="F1865">
        <v>6</v>
      </c>
    </row>
    <row r="1866" spans="1:6" ht="12.75">
      <c r="A1866" s="2">
        <v>43884.917233796295</v>
      </c>
      <c r="B1866" t="str">
        <f>HYPERLINK("https://twitter.com/MoffersYesaya","@MoffersYesaya")</f>
        <v>@MoffersYesaya</v>
      </c>
      <c r="C1866" t="s">
        <v>2714</v>
      </c>
      <c r="D1866">
        <v>0</v>
      </c>
      <c r="E1866">
        <v>0</v>
      </c>
      <c r="F1866">
        <v>32</v>
      </c>
    </row>
    <row r="1867" spans="1:6" ht="12.75">
      <c r="A1867" s="2">
        <v>43884.917210648149</v>
      </c>
      <c r="B1867" t="str">
        <f>HYPERLINK("https://twitter.com/Reiwa_Rei","@Reiwa_Rei")</f>
        <v>@Reiwa_Rei</v>
      </c>
      <c r="C1867" t="s">
        <v>738</v>
      </c>
      <c r="D1867">
        <v>74</v>
      </c>
      <c r="E1867">
        <v>0</v>
      </c>
      <c r="F1867">
        <v>1717</v>
      </c>
    </row>
    <row r="1868" spans="1:6" ht="12.75">
      <c r="A1868" s="2">
        <v>43884.91715277778</v>
      </c>
      <c r="B1868" t="str">
        <f>HYPERLINK("https://twitter.com/boykebro71","@boykebro71")</f>
        <v>@boykebro71</v>
      </c>
      <c r="C1868" t="s">
        <v>321</v>
      </c>
      <c r="D1868">
        <v>1029</v>
      </c>
      <c r="E1868">
        <v>0</v>
      </c>
      <c r="F1868">
        <v>17</v>
      </c>
    </row>
    <row r="1869" spans="1:6" ht="12.75">
      <c r="A1869" s="2">
        <v>43884.916921296295</v>
      </c>
      <c r="B1869" t="str">
        <f>HYPERLINK("https://twitter.com/dannydhe","@dannydhe")</f>
        <v>@dannydhe</v>
      </c>
      <c r="C1869" t="s">
        <v>321</v>
      </c>
      <c r="D1869">
        <v>1029</v>
      </c>
      <c r="E1869">
        <v>0</v>
      </c>
      <c r="F1869">
        <v>3483</v>
      </c>
    </row>
    <row r="1870" spans="1:6" ht="12.75">
      <c r="A1870" s="2">
        <v>43884.916817129633</v>
      </c>
      <c r="B1870" t="str">
        <f>HYPERLINK("https://twitter.com/kim_jong_unch","@kim_jong_unch")</f>
        <v>@kim_jong_unch</v>
      </c>
      <c r="C1870" t="s">
        <v>321</v>
      </c>
      <c r="D1870">
        <v>1029</v>
      </c>
      <c r="E1870">
        <v>0</v>
      </c>
      <c r="F1870">
        <v>185</v>
      </c>
    </row>
    <row r="1871" spans="1:6" ht="12.75">
      <c r="A1871" s="2">
        <v>43884.916666666672</v>
      </c>
      <c r="B1871" t="str">
        <f>HYPERLINK("https://twitter.com/ReyzaIJP","@ReyzaIJP")</f>
        <v>@ReyzaIJP</v>
      </c>
      <c r="C1871" t="s">
        <v>2091</v>
      </c>
      <c r="D1871">
        <v>673</v>
      </c>
      <c r="E1871">
        <v>0</v>
      </c>
      <c r="F1871">
        <v>458</v>
      </c>
    </row>
    <row r="1872" spans="1:6" ht="12.75">
      <c r="A1872" s="2">
        <v>43884.916666666672</v>
      </c>
      <c r="B1872" t="str">
        <f>HYPERLINK("https://twitter.com/thelma_rpt","@thelma_rpt")</f>
        <v>@thelma_rpt</v>
      </c>
      <c r="C1872" t="s">
        <v>2385</v>
      </c>
      <c r="D1872">
        <v>7</v>
      </c>
      <c r="E1872">
        <v>0</v>
      </c>
      <c r="F1872">
        <v>73</v>
      </c>
    </row>
    <row r="1873" spans="1:6" ht="12.75">
      <c r="A1873" s="2">
        <v>43884.916655092587</v>
      </c>
      <c r="B1873" t="str">
        <f>HYPERLINK("https://twitter.com/hadenberg_ryan","@hadenberg_ryan")</f>
        <v>@hadenberg_ryan</v>
      </c>
      <c r="C1873" t="s">
        <v>2091</v>
      </c>
      <c r="D1873">
        <v>673</v>
      </c>
      <c r="E1873">
        <v>0</v>
      </c>
      <c r="F1873">
        <v>254</v>
      </c>
    </row>
    <row r="1874" spans="1:6" ht="12.75">
      <c r="A1874" s="2">
        <v>43884.916631944448</v>
      </c>
      <c r="B1874" t="str">
        <f>HYPERLINK("https://twitter.com/sonnysetia","@sonnysetia")</f>
        <v>@sonnysetia</v>
      </c>
      <c r="C1874" t="s">
        <v>321</v>
      </c>
      <c r="D1874">
        <v>1029</v>
      </c>
      <c r="E1874">
        <v>0</v>
      </c>
      <c r="F1874">
        <v>2384</v>
      </c>
    </row>
    <row r="1875" spans="1:6" ht="12.75">
      <c r="A1875" s="2">
        <v>43884.915995370371</v>
      </c>
      <c r="B1875" t="str">
        <f>HYPERLINK("https://twitter.com/pujas79","@pujas79")</f>
        <v>@pujas79</v>
      </c>
      <c r="C1875" t="s">
        <v>321</v>
      </c>
      <c r="D1875">
        <v>1029</v>
      </c>
      <c r="E1875">
        <v>0</v>
      </c>
      <c r="F1875">
        <v>39</v>
      </c>
    </row>
    <row r="1876" spans="1:6" ht="12.75">
      <c r="A1876" s="2">
        <v>43884.915983796294</v>
      </c>
      <c r="B1876" t="str">
        <f>HYPERLINK("https://twitter.com/bang_qfly","@bang_qfly")</f>
        <v>@bang_qfly</v>
      </c>
      <c r="C1876" t="s">
        <v>321</v>
      </c>
      <c r="D1876">
        <v>1029</v>
      </c>
      <c r="E1876">
        <v>0</v>
      </c>
      <c r="F1876">
        <v>439</v>
      </c>
    </row>
    <row r="1877" spans="1:6" ht="12.75">
      <c r="A1877" s="2">
        <v>43884.915532407409</v>
      </c>
      <c r="B1877" t="str">
        <f>HYPERLINK("https://twitter.com/nadrpalupi","@nadrpalupi")</f>
        <v>@nadrpalupi</v>
      </c>
      <c r="C1877" t="s">
        <v>2091</v>
      </c>
      <c r="D1877">
        <v>673</v>
      </c>
      <c r="E1877">
        <v>0</v>
      </c>
      <c r="F1877">
        <v>1232</v>
      </c>
    </row>
    <row r="1878" spans="1:6" ht="12.75">
      <c r="A1878" s="2">
        <v>43884.915254629625</v>
      </c>
      <c r="B1878" t="str">
        <f>HYPERLINK("https://twitter.com/samwan_like_u","@samwan_like_u")</f>
        <v>@samwan_like_u</v>
      </c>
      <c r="C1878" t="s">
        <v>2166</v>
      </c>
      <c r="D1878">
        <v>123</v>
      </c>
      <c r="E1878">
        <v>0</v>
      </c>
      <c r="F1878">
        <v>95</v>
      </c>
    </row>
    <row r="1879" spans="1:6" ht="12.75">
      <c r="A1879" s="2">
        <v>43884.915231481486</v>
      </c>
      <c r="B1879" t="str">
        <f>HYPERLINK("https://twitter.com/danmardot","@danmardot")</f>
        <v>@danmardot</v>
      </c>
      <c r="C1879" t="s">
        <v>2715</v>
      </c>
      <c r="D1879">
        <v>1</v>
      </c>
      <c r="E1879">
        <v>0</v>
      </c>
      <c r="F1879">
        <v>339</v>
      </c>
    </row>
    <row r="1880" spans="1:6" ht="12.75">
      <c r="A1880" s="2">
        <v>43884.915185185186</v>
      </c>
      <c r="B1880" t="str">
        <f>HYPERLINK("https://twitter.com/mizzkamalia19","@mizzkamalia19")</f>
        <v>@mizzkamalia19</v>
      </c>
      <c r="C1880" t="s">
        <v>2716</v>
      </c>
      <c r="D1880">
        <v>23</v>
      </c>
      <c r="E1880">
        <v>0</v>
      </c>
      <c r="F1880">
        <v>287</v>
      </c>
    </row>
    <row r="1881" spans="1:6" ht="12.75">
      <c r="A1881" s="2">
        <v>43884.915011574078</v>
      </c>
      <c r="B1881" t="str">
        <f>HYPERLINK("https://twitter.com/sorotnews","@sorotnews")</f>
        <v>@sorotnews</v>
      </c>
      <c r="C1881" t="s">
        <v>2717</v>
      </c>
      <c r="D1881">
        <v>0</v>
      </c>
      <c r="E1881">
        <v>2</v>
      </c>
      <c r="F1881">
        <v>3675</v>
      </c>
    </row>
    <row r="1882" spans="1:6" ht="12.75">
      <c r="A1882" s="2">
        <v>43884.914803240739</v>
      </c>
      <c r="B1882" t="str">
        <f>HYPERLINK("https://twitter.com/Adindaayuns1","@Adindaayuns1")</f>
        <v>@Adindaayuns1</v>
      </c>
      <c r="C1882" t="s">
        <v>2718</v>
      </c>
      <c r="D1882">
        <v>0</v>
      </c>
      <c r="E1882">
        <v>0</v>
      </c>
      <c r="F1882">
        <v>25</v>
      </c>
    </row>
    <row r="1883" spans="1:6" ht="12.75">
      <c r="A1883" s="2">
        <v>43884.914652777778</v>
      </c>
      <c r="B1883" t="str">
        <f>HYPERLINK("https://twitter.com/iwakuratatsuki","@iwakuratatsuki")</f>
        <v>@iwakuratatsuki</v>
      </c>
      <c r="C1883" t="s">
        <v>738</v>
      </c>
      <c r="D1883">
        <v>74</v>
      </c>
      <c r="E1883">
        <v>0</v>
      </c>
      <c r="F1883">
        <v>146</v>
      </c>
    </row>
    <row r="1884" spans="1:6" ht="12.75">
      <c r="A1884" s="2">
        <v>43884.914560185185</v>
      </c>
      <c r="B1884" t="str">
        <f>HYPERLINK("https://twitter.com/ediome","@ediome")</f>
        <v>@ediome</v>
      </c>
      <c r="C1884" t="s">
        <v>321</v>
      </c>
      <c r="D1884">
        <v>1029</v>
      </c>
      <c r="E1884">
        <v>0</v>
      </c>
      <c r="F1884">
        <v>281</v>
      </c>
    </row>
    <row r="1885" spans="1:6" ht="12.75">
      <c r="A1885" s="2">
        <v>43884.914513888885</v>
      </c>
      <c r="B1885" t="str">
        <f>HYPERLINK("https://twitter.com/bimboopz","@bimboopz")</f>
        <v>@bimboopz</v>
      </c>
      <c r="C1885" t="s">
        <v>2719</v>
      </c>
      <c r="D1885">
        <v>0</v>
      </c>
      <c r="E1885">
        <v>0</v>
      </c>
      <c r="F1885">
        <v>1317</v>
      </c>
    </row>
    <row r="1886" spans="1:6" ht="12.75">
      <c r="A1886" s="2">
        <v>43884.914386574077</v>
      </c>
      <c r="B1886" t="str">
        <f>HYPERLINK("https://twitter.com/jarjayjar","@jarjayjar")</f>
        <v>@jarjayjar</v>
      </c>
      <c r="C1886" t="s">
        <v>321</v>
      </c>
      <c r="D1886">
        <v>1029</v>
      </c>
      <c r="E1886">
        <v>0</v>
      </c>
      <c r="F1886">
        <v>754</v>
      </c>
    </row>
    <row r="1887" spans="1:6" ht="12.75">
      <c r="A1887" s="2">
        <v>43884.914375</v>
      </c>
      <c r="B1887" t="str">
        <f>HYPERLINK("https://twitter.com/pemburu_kampret","@pemburu_kampret")</f>
        <v>@pemburu_kampret</v>
      </c>
      <c r="C1887" t="s">
        <v>2720</v>
      </c>
      <c r="D1887">
        <v>0</v>
      </c>
      <c r="E1887">
        <v>0</v>
      </c>
      <c r="F1887">
        <v>105</v>
      </c>
    </row>
    <row r="1888" spans="1:6" ht="12.75">
      <c r="A1888" s="2">
        <v>43884.913900462961</v>
      </c>
      <c r="B1888" t="str">
        <f>HYPERLINK("https://twitter.com/bywhid","@bywhid")</f>
        <v>@bywhid</v>
      </c>
      <c r="C1888" t="s">
        <v>321</v>
      </c>
      <c r="D1888">
        <v>1029</v>
      </c>
      <c r="E1888">
        <v>0</v>
      </c>
      <c r="F1888">
        <v>11</v>
      </c>
    </row>
    <row r="1889" spans="1:6" ht="12.75">
      <c r="A1889" s="2">
        <v>43884.913865740746</v>
      </c>
      <c r="B1889" t="str">
        <f>HYPERLINK("https://twitter.com/MoffersYesaya","@MoffersYesaya")</f>
        <v>@MoffersYesaya</v>
      </c>
      <c r="C1889" t="s">
        <v>2721</v>
      </c>
      <c r="D1889">
        <v>0</v>
      </c>
      <c r="E1889">
        <v>0</v>
      </c>
      <c r="F1889">
        <v>32</v>
      </c>
    </row>
    <row r="1890" spans="1:6" ht="12.75">
      <c r="A1890" s="2">
        <v>43884.913807870369</v>
      </c>
      <c r="B1890" t="str">
        <f>HYPERLINK("https://twitter.com/ard192826514","@ard192826514")</f>
        <v>@ard192826514</v>
      </c>
      <c r="C1890" t="s">
        <v>2091</v>
      </c>
      <c r="D1890">
        <v>673</v>
      </c>
      <c r="E1890">
        <v>0</v>
      </c>
      <c r="F1890">
        <v>11</v>
      </c>
    </row>
    <row r="1891" spans="1:6" ht="12.75">
      <c r="A1891" s="2">
        <v>43884.913599537038</v>
      </c>
      <c r="B1891" t="str">
        <f>HYPERLINK("https://twitter.com/sdewih","@sdewih")</f>
        <v>@sdewih</v>
      </c>
      <c r="C1891" t="s">
        <v>2166</v>
      </c>
      <c r="D1891">
        <v>123</v>
      </c>
      <c r="E1891">
        <v>0</v>
      </c>
      <c r="F1891">
        <v>26</v>
      </c>
    </row>
    <row r="1892" spans="1:6" ht="12.75">
      <c r="A1892" s="2">
        <v>43884.913587962961</v>
      </c>
      <c r="B1892" t="str">
        <f>HYPERLINK("https://twitter.com/KangAzzev","@KangAzzev")</f>
        <v>@KangAzzev</v>
      </c>
      <c r="C1892" t="s">
        <v>2091</v>
      </c>
      <c r="D1892">
        <v>673</v>
      </c>
      <c r="E1892">
        <v>0</v>
      </c>
      <c r="F1892">
        <v>737</v>
      </c>
    </row>
    <row r="1893" spans="1:6" ht="12.75">
      <c r="A1893" s="2">
        <v>43884.91337962963</v>
      </c>
      <c r="B1893" t="str">
        <f>HYPERLINK("https://twitter.com/LauraFadillah1","@LauraFadillah1")</f>
        <v>@LauraFadillah1</v>
      </c>
      <c r="C1893" t="s">
        <v>2616</v>
      </c>
      <c r="D1893">
        <v>7</v>
      </c>
      <c r="E1893">
        <v>0</v>
      </c>
      <c r="F1893">
        <v>413</v>
      </c>
    </row>
    <row r="1894" spans="1:6" ht="12.75">
      <c r="A1894" s="2">
        <v>43884.913229166668</v>
      </c>
      <c r="B1894" t="str">
        <f>HYPERLINK("https://twitter.com/AkharRumput","@AkharRumput")</f>
        <v>@AkharRumput</v>
      </c>
      <c r="C1894" t="s">
        <v>2120</v>
      </c>
      <c r="D1894">
        <v>29</v>
      </c>
      <c r="E1894">
        <v>0</v>
      </c>
      <c r="F1894">
        <v>633</v>
      </c>
    </row>
    <row r="1895" spans="1:6" ht="12.75">
      <c r="A1895" s="2">
        <v>43884.913124999999</v>
      </c>
      <c r="B1895" t="str">
        <f>HYPERLINK("https://twitter.com/imshanz11","@imshanz11")</f>
        <v>@imshanz11</v>
      </c>
      <c r="C1895" t="s">
        <v>2091</v>
      </c>
      <c r="D1895">
        <v>673</v>
      </c>
      <c r="E1895">
        <v>0</v>
      </c>
      <c r="F1895">
        <v>7</v>
      </c>
    </row>
    <row r="1896" spans="1:6" ht="12.75">
      <c r="A1896" s="2">
        <v>43884.913090277776</v>
      </c>
      <c r="B1896" t="str">
        <f>HYPERLINK("https://twitter.com/AkharRumput","@AkharRumput")</f>
        <v>@AkharRumput</v>
      </c>
      <c r="C1896" t="s">
        <v>2115</v>
      </c>
      <c r="D1896">
        <v>27</v>
      </c>
      <c r="E1896">
        <v>0</v>
      </c>
      <c r="F1896">
        <v>633</v>
      </c>
    </row>
    <row r="1897" spans="1:6" ht="12.75">
      <c r="A1897" s="2">
        <v>43884.91300925926</v>
      </c>
      <c r="B1897" t="str">
        <f>HYPERLINK("https://twitter.com/zainuri_1922","@zainuri_1922")</f>
        <v>@zainuri_1922</v>
      </c>
      <c r="C1897" t="s">
        <v>2722</v>
      </c>
      <c r="D1897">
        <v>0</v>
      </c>
      <c r="E1897">
        <v>0</v>
      </c>
      <c r="F1897">
        <v>1113</v>
      </c>
    </row>
    <row r="1898" spans="1:6" ht="12.75">
      <c r="A1898" s="2">
        <v>43884.91300925926</v>
      </c>
      <c r="B1898" t="str">
        <f>HYPERLINK("https://twitter.com/redo43214292","@redo43214292")</f>
        <v>@redo43214292</v>
      </c>
      <c r="C1898" t="s">
        <v>2166</v>
      </c>
      <c r="D1898">
        <v>123</v>
      </c>
      <c r="E1898">
        <v>0</v>
      </c>
      <c r="F1898">
        <v>382</v>
      </c>
    </row>
    <row r="1899" spans="1:6" ht="12.75">
      <c r="A1899" s="2">
        <v>43884.912824074076</v>
      </c>
      <c r="B1899" t="str">
        <f>HYPERLINK("https://twitter.com/GbdJayakarta","@GbdJayakarta")</f>
        <v>@GbdJayakarta</v>
      </c>
      <c r="C1899" t="s">
        <v>321</v>
      </c>
      <c r="D1899">
        <v>1029</v>
      </c>
      <c r="E1899">
        <v>0</v>
      </c>
      <c r="F1899">
        <v>260</v>
      </c>
    </row>
    <row r="1900" spans="1:6" ht="12.75">
      <c r="A1900" s="2">
        <v>43884.912731481483</v>
      </c>
      <c r="B1900" t="str">
        <f>HYPERLINK("https://twitter.com/AkharRumput","@AkharRumput")</f>
        <v>@AkharRumput</v>
      </c>
      <c r="C1900" t="s">
        <v>738</v>
      </c>
      <c r="D1900">
        <v>74</v>
      </c>
      <c r="E1900">
        <v>0</v>
      </c>
      <c r="F1900">
        <v>633</v>
      </c>
    </row>
    <row r="1901" spans="1:6" ht="12.75">
      <c r="A1901" s="2">
        <v>43884.912557870368</v>
      </c>
      <c r="B1901" t="str">
        <f>HYPERLINK("https://twitter.com/ferryirawanac","@ferryirawanac")</f>
        <v>@ferryirawanac</v>
      </c>
      <c r="C1901" t="s">
        <v>321</v>
      </c>
      <c r="D1901">
        <v>1029</v>
      </c>
      <c r="E1901">
        <v>0</v>
      </c>
      <c r="F1901">
        <v>171</v>
      </c>
    </row>
    <row r="1902" spans="1:6" ht="12.75">
      <c r="A1902" s="2">
        <v>43884.912534722222</v>
      </c>
      <c r="B1902" t="str">
        <f>HYPERLINK("https://twitter.com/ah_uwakk","@ah_uwakk")</f>
        <v>@ah_uwakk</v>
      </c>
      <c r="C1902" t="s">
        <v>2166</v>
      </c>
      <c r="D1902">
        <v>123</v>
      </c>
      <c r="E1902">
        <v>0</v>
      </c>
      <c r="F1902">
        <v>297</v>
      </c>
    </row>
    <row r="1903" spans="1:6" ht="12.75">
      <c r="A1903" s="2">
        <v>43884.912523148145</v>
      </c>
      <c r="B1903" t="str">
        <f>HYPERLINK("https://twitter.com/Afzon_Dakka","@Afzon_Dakka")</f>
        <v>@Afzon_Dakka</v>
      </c>
      <c r="C1903" t="s">
        <v>2091</v>
      </c>
      <c r="D1903">
        <v>673</v>
      </c>
      <c r="E1903">
        <v>0</v>
      </c>
      <c r="F1903">
        <v>1395</v>
      </c>
    </row>
    <row r="1904" spans="1:6" ht="12.75">
      <c r="A1904" s="2">
        <v>43884.91233796296</v>
      </c>
      <c r="B1904" t="str">
        <f>HYPERLINK("https://twitter.com/Hali__lintar","@Hali__lintar")</f>
        <v>@Hali__lintar</v>
      </c>
      <c r="C1904" t="s">
        <v>2091</v>
      </c>
      <c r="D1904">
        <v>673</v>
      </c>
      <c r="E1904">
        <v>0</v>
      </c>
      <c r="F1904">
        <v>9301</v>
      </c>
    </row>
    <row r="1905" spans="1:6" ht="12.75">
      <c r="A1905" s="2">
        <v>43884.912280092598</v>
      </c>
      <c r="B1905" t="str">
        <f>HYPERLINK("https://twitter.com/AkharRumput","@AkharRumput")</f>
        <v>@AkharRumput</v>
      </c>
      <c r="C1905" t="s">
        <v>321</v>
      </c>
      <c r="D1905">
        <v>1029</v>
      </c>
      <c r="E1905">
        <v>0</v>
      </c>
      <c r="F1905">
        <v>633</v>
      </c>
    </row>
    <row r="1906" spans="1:6" ht="12.75">
      <c r="A1906" s="2">
        <v>43884.912164351852</v>
      </c>
      <c r="B1906" t="str">
        <f>HYPERLINK("https://twitter.com/RezaMrc786","@RezaMrc786")</f>
        <v>@RezaMrc786</v>
      </c>
      <c r="C1906" t="s">
        <v>321</v>
      </c>
      <c r="D1906">
        <v>1029</v>
      </c>
      <c r="E1906">
        <v>0</v>
      </c>
      <c r="F1906">
        <v>292</v>
      </c>
    </row>
    <row r="1907" spans="1:6" ht="12.75">
      <c r="A1907" s="2">
        <v>43884.912118055552</v>
      </c>
      <c r="B1907" t="str">
        <f>HYPERLINK("https://twitter.com/kakakanebo","@kakakanebo")</f>
        <v>@kakakanebo</v>
      </c>
      <c r="C1907" t="s">
        <v>2091</v>
      </c>
      <c r="D1907">
        <v>673</v>
      </c>
      <c r="E1907">
        <v>0</v>
      </c>
      <c r="F1907">
        <v>170</v>
      </c>
    </row>
    <row r="1908" spans="1:6" ht="12.75">
      <c r="A1908" s="2">
        <v>43884.911851851852</v>
      </c>
      <c r="B1908" t="str">
        <f>HYPERLINK("https://twitter.com/voel01","@voel01")</f>
        <v>@voel01</v>
      </c>
      <c r="C1908" t="s">
        <v>321</v>
      </c>
      <c r="D1908">
        <v>1029</v>
      </c>
      <c r="E1908">
        <v>0</v>
      </c>
      <c r="F1908">
        <v>235</v>
      </c>
    </row>
    <row r="1909" spans="1:6" ht="12.75">
      <c r="A1909" s="2">
        <v>43884.911736111113</v>
      </c>
      <c r="B1909" t="str">
        <f>HYPERLINK("https://twitter.com/ibnupurna","@ibnupurna")</f>
        <v>@ibnupurna</v>
      </c>
      <c r="C1909" t="s">
        <v>2723</v>
      </c>
      <c r="D1909">
        <v>1</v>
      </c>
      <c r="E1909">
        <v>1</v>
      </c>
      <c r="F1909">
        <v>5948</v>
      </c>
    </row>
    <row r="1910" spans="1:6" ht="12.75">
      <c r="A1910" s="2">
        <v>43884.911562499998</v>
      </c>
      <c r="B1910" t="str">
        <f t="shared" ref="B1910:B1911" si="50">HYPERLINK("https://twitter.com/ommzk","@ommzk")</f>
        <v>@ommzk</v>
      </c>
      <c r="C1910" t="s">
        <v>2120</v>
      </c>
      <c r="D1910">
        <v>29</v>
      </c>
      <c r="E1910">
        <v>0</v>
      </c>
      <c r="F1910">
        <v>1477</v>
      </c>
    </row>
    <row r="1911" spans="1:6" ht="12.75">
      <c r="A1911" s="2">
        <v>43884.911435185189</v>
      </c>
      <c r="B1911" t="str">
        <f t="shared" si="50"/>
        <v>@ommzk</v>
      </c>
      <c r="C1911" t="s">
        <v>321</v>
      </c>
      <c r="D1911">
        <v>1029</v>
      </c>
      <c r="E1911">
        <v>0</v>
      </c>
      <c r="F1911">
        <v>1477</v>
      </c>
    </row>
    <row r="1912" spans="1:6" ht="12.75">
      <c r="A1912" s="2">
        <v>43884.910995370374</v>
      </c>
      <c r="B1912" t="str">
        <f>HYPERLINK("https://twitter.com/cacingcauuu","@cacingcauuu")</f>
        <v>@cacingcauuu</v>
      </c>
      <c r="C1912" t="s">
        <v>321</v>
      </c>
      <c r="D1912">
        <v>1029</v>
      </c>
      <c r="E1912">
        <v>0</v>
      </c>
      <c r="F1912">
        <v>119</v>
      </c>
    </row>
    <row r="1913" spans="1:6" ht="12.75">
      <c r="A1913" s="2">
        <v>43884.910856481481</v>
      </c>
      <c r="B1913" t="str">
        <f>HYPERLINK("https://twitter.com/SayidRidho","@SayidRidho")</f>
        <v>@SayidRidho</v>
      </c>
      <c r="C1913" t="s">
        <v>2091</v>
      </c>
      <c r="D1913">
        <v>673</v>
      </c>
      <c r="E1913">
        <v>0</v>
      </c>
      <c r="F1913">
        <v>573</v>
      </c>
    </row>
    <row r="1914" spans="1:6" ht="12.75">
      <c r="A1914" s="2">
        <v>43884.910833333328</v>
      </c>
      <c r="B1914" t="str">
        <f>HYPERLINK("https://twitter.com/JiuOppa","@JiuOppa")</f>
        <v>@JiuOppa</v>
      </c>
      <c r="C1914" t="s">
        <v>2091</v>
      </c>
      <c r="D1914">
        <v>673</v>
      </c>
      <c r="E1914">
        <v>0</v>
      </c>
      <c r="F1914">
        <v>783</v>
      </c>
    </row>
    <row r="1915" spans="1:6" ht="12.75">
      <c r="A1915" s="2">
        <v>43884.910810185189</v>
      </c>
      <c r="B1915" t="str">
        <f>HYPERLINK("https://twitter.com/KienAnd_","@KienAnd_")</f>
        <v>@KienAnd_</v>
      </c>
      <c r="C1915" t="s">
        <v>2724</v>
      </c>
      <c r="D1915">
        <v>0</v>
      </c>
      <c r="E1915">
        <v>2</v>
      </c>
      <c r="F1915">
        <v>13427</v>
      </c>
    </row>
    <row r="1916" spans="1:6" ht="12.75">
      <c r="A1916" s="2">
        <v>43884.910740740743</v>
      </c>
      <c r="B1916" t="str">
        <f>HYPERLINK("https://twitter.com/dedikurniawans5","@dedikurniawans5")</f>
        <v>@dedikurniawans5</v>
      </c>
      <c r="C1916" t="s">
        <v>321</v>
      </c>
      <c r="D1916">
        <v>1029</v>
      </c>
      <c r="E1916">
        <v>0</v>
      </c>
      <c r="F1916">
        <v>61</v>
      </c>
    </row>
    <row r="1917" spans="1:6" ht="12.75">
      <c r="A1917" s="2">
        <v>43884.910486111112</v>
      </c>
      <c r="B1917" t="str">
        <f>HYPERLINK("https://twitter.com/anisanirwana4","@anisanirwana4")</f>
        <v>@anisanirwana4</v>
      </c>
      <c r="C1917" t="s">
        <v>2091</v>
      </c>
      <c r="D1917">
        <v>673</v>
      </c>
      <c r="E1917">
        <v>0</v>
      </c>
      <c r="F1917">
        <v>103</v>
      </c>
    </row>
    <row r="1918" spans="1:6" ht="12.75">
      <c r="A1918" s="2">
        <v>43884.910393518519</v>
      </c>
      <c r="B1918" t="str">
        <f>HYPERLINK("https://twitter.com/KecilFiersa","@KecilFiersa")</f>
        <v>@KecilFiersa</v>
      </c>
      <c r="C1918" t="s">
        <v>2720</v>
      </c>
      <c r="D1918">
        <v>0</v>
      </c>
      <c r="E1918">
        <v>0</v>
      </c>
      <c r="F1918">
        <v>6</v>
      </c>
    </row>
    <row r="1919" spans="1:6" ht="12.75">
      <c r="A1919" s="2">
        <v>43884.909664351857</v>
      </c>
      <c r="B1919" t="str">
        <f t="shared" ref="B1919:B1920" si="51">HYPERLINK("https://twitter.com/D03Wi","@D03Wi")</f>
        <v>@D03Wi</v>
      </c>
      <c r="C1919" t="s">
        <v>2120</v>
      </c>
      <c r="D1919">
        <v>29</v>
      </c>
      <c r="E1919">
        <v>0</v>
      </c>
      <c r="F1919">
        <v>149</v>
      </c>
    </row>
    <row r="1920" spans="1:6" ht="12.75">
      <c r="A1920" s="2">
        <v>43884.909641203703</v>
      </c>
      <c r="B1920" t="str">
        <f t="shared" si="51"/>
        <v>@D03Wi</v>
      </c>
      <c r="C1920" t="s">
        <v>2115</v>
      </c>
      <c r="D1920">
        <v>27</v>
      </c>
      <c r="E1920">
        <v>0</v>
      </c>
      <c r="F1920">
        <v>149</v>
      </c>
    </row>
    <row r="1921" spans="1:6" ht="12.75">
      <c r="A1921" s="2">
        <v>43884.909629629634</v>
      </c>
      <c r="B1921" t="str">
        <f>HYPERLINK("https://twitter.com/FeriPurwo","@FeriPurwo")</f>
        <v>@FeriPurwo</v>
      </c>
      <c r="C1921" t="s">
        <v>2725</v>
      </c>
      <c r="D1921">
        <v>0</v>
      </c>
      <c r="E1921">
        <v>0</v>
      </c>
      <c r="F1921">
        <v>17208</v>
      </c>
    </row>
    <row r="1922" spans="1:6" ht="12.75">
      <c r="A1922" s="2">
        <v>43884.909594907411</v>
      </c>
      <c r="B1922" t="str">
        <f>HYPERLINK("https://twitter.com/Dewisusanto7","@Dewisusanto7")</f>
        <v>@Dewisusanto7</v>
      </c>
      <c r="C1922" t="s">
        <v>2091</v>
      </c>
      <c r="D1922">
        <v>673</v>
      </c>
      <c r="E1922">
        <v>0</v>
      </c>
      <c r="F1922">
        <v>529</v>
      </c>
    </row>
    <row r="1923" spans="1:6" ht="12.75">
      <c r="A1923" s="2">
        <v>43884.909571759257</v>
      </c>
      <c r="B1923" t="str">
        <f>HYPERLINK("https://twitter.com/PuputDrmwn","@PuputDrmwn")</f>
        <v>@PuputDrmwn</v>
      </c>
      <c r="C1923" t="s">
        <v>321</v>
      </c>
      <c r="D1923">
        <v>1029</v>
      </c>
      <c r="E1923">
        <v>0</v>
      </c>
      <c r="F1923">
        <v>7</v>
      </c>
    </row>
    <row r="1924" spans="1:6" ht="12.75">
      <c r="A1924" s="2">
        <v>43884.909444444449</v>
      </c>
      <c r="B1924" t="str">
        <f>HYPERLINK("https://twitter.com/princekit17","@princekit17")</f>
        <v>@princekit17</v>
      </c>
      <c r="C1924" t="s">
        <v>2726</v>
      </c>
      <c r="D1924">
        <v>0</v>
      </c>
      <c r="E1924">
        <v>0</v>
      </c>
      <c r="F1924">
        <v>1033</v>
      </c>
    </row>
    <row r="1925" spans="1:6" ht="12.75">
      <c r="A1925" s="2">
        <v>43884.909444444449</v>
      </c>
      <c r="B1925" t="str">
        <f>HYPERLINK("https://twitter.com/AriyaniGus","@AriyaniGus")</f>
        <v>@AriyaniGus</v>
      </c>
      <c r="C1925" t="s">
        <v>321</v>
      </c>
      <c r="D1925">
        <v>1029</v>
      </c>
      <c r="E1925">
        <v>0</v>
      </c>
      <c r="F1925">
        <v>533</v>
      </c>
    </row>
    <row r="1926" spans="1:6" ht="12.75">
      <c r="A1926" s="2">
        <v>43884.909386574072</v>
      </c>
      <c r="B1926" t="str">
        <f>HYPERLINK("https://twitter.com/BramMaulana12","@BramMaulana12")</f>
        <v>@BramMaulana12</v>
      </c>
      <c r="C1926" t="s">
        <v>2727</v>
      </c>
      <c r="D1926">
        <v>0</v>
      </c>
      <c r="E1926">
        <v>0</v>
      </c>
      <c r="F1926">
        <v>17</v>
      </c>
    </row>
    <row r="1927" spans="1:6" ht="12.75">
      <c r="A1927" s="2">
        <v>43884.90929398148</v>
      </c>
      <c r="B1927" t="str">
        <f>HYPERLINK("https://twitter.com/D03Wi","@D03Wi")</f>
        <v>@D03Wi</v>
      </c>
      <c r="C1927" t="s">
        <v>738</v>
      </c>
      <c r="D1927">
        <v>74</v>
      </c>
      <c r="E1927">
        <v>0</v>
      </c>
      <c r="F1927">
        <v>149</v>
      </c>
    </row>
    <row r="1928" spans="1:6" ht="12.75">
      <c r="A1928" s="2">
        <v>43884.908993055556</v>
      </c>
      <c r="B1928" t="str">
        <f>HYPERLINK("https://twitter.com/winsprins","@winsprins")</f>
        <v>@winsprins</v>
      </c>
      <c r="C1928" t="s">
        <v>2091</v>
      </c>
      <c r="D1928">
        <v>673</v>
      </c>
      <c r="E1928">
        <v>0</v>
      </c>
      <c r="F1928">
        <v>15</v>
      </c>
    </row>
    <row r="1929" spans="1:6" ht="12.75">
      <c r="A1929" s="2">
        <v>43884.90892361111</v>
      </c>
      <c r="B1929" t="str">
        <f>HYPERLINK("https://twitter.com/willlarney","@willlarney")</f>
        <v>@willlarney</v>
      </c>
      <c r="C1929" t="s">
        <v>2728</v>
      </c>
      <c r="D1929">
        <v>1</v>
      </c>
      <c r="E1929">
        <v>0</v>
      </c>
      <c r="F1929">
        <v>489</v>
      </c>
    </row>
    <row r="1930" spans="1:6" ht="12.75">
      <c r="A1930" s="2">
        <v>43884.908888888887</v>
      </c>
      <c r="B1930" t="str">
        <f>HYPERLINK("https://twitter.com/D03Wi","@D03Wi")</f>
        <v>@D03Wi</v>
      </c>
      <c r="C1930" t="s">
        <v>321</v>
      </c>
      <c r="D1930">
        <v>1029</v>
      </c>
      <c r="E1930">
        <v>0</v>
      </c>
      <c r="F1930">
        <v>149</v>
      </c>
    </row>
    <row r="1931" spans="1:6" ht="12.75">
      <c r="A1931" s="2">
        <v>43884.908888888887</v>
      </c>
      <c r="B1931" t="str">
        <f>HYPERLINK("https://twitter.com/retoinggg","@retoinggg")</f>
        <v>@retoinggg</v>
      </c>
      <c r="C1931" t="s">
        <v>321</v>
      </c>
      <c r="D1931">
        <v>1029</v>
      </c>
      <c r="E1931">
        <v>0</v>
      </c>
      <c r="F1931">
        <v>294</v>
      </c>
    </row>
    <row r="1932" spans="1:6" ht="12.75">
      <c r="A1932" s="2">
        <v>43884.908692129626</v>
      </c>
      <c r="B1932" t="str">
        <f>HYPERLINK("https://twitter.com/Dewa93716095","@Dewa93716095")</f>
        <v>@Dewa93716095</v>
      </c>
      <c r="C1932" t="s">
        <v>2729</v>
      </c>
      <c r="D1932">
        <v>0</v>
      </c>
      <c r="E1932">
        <v>1</v>
      </c>
      <c r="F1932">
        <v>1449</v>
      </c>
    </row>
    <row r="1933" spans="1:6" ht="12.75">
      <c r="A1933" s="2">
        <v>43884.908391203702</v>
      </c>
      <c r="B1933" t="str">
        <f>HYPERLINK("https://twitter.com/MeongEmpus","@MeongEmpus")</f>
        <v>@MeongEmpus</v>
      </c>
      <c r="C1933" t="s">
        <v>321</v>
      </c>
      <c r="D1933">
        <v>1029</v>
      </c>
      <c r="E1933">
        <v>0</v>
      </c>
      <c r="F1933">
        <v>622</v>
      </c>
    </row>
    <row r="1934" spans="1:6" ht="12.75">
      <c r="A1934" s="2">
        <v>43884.907962962963</v>
      </c>
      <c r="B1934" t="str">
        <f>HYPERLINK("https://twitter.com/beautydyah","@beautydyah")</f>
        <v>@beautydyah</v>
      </c>
      <c r="C1934" t="s">
        <v>2115</v>
      </c>
      <c r="D1934">
        <v>27</v>
      </c>
      <c r="E1934">
        <v>0</v>
      </c>
      <c r="F1934">
        <v>3394</v>
      </c>
    </row>
    <row r="1935" spans="1:6" ht="12.75">
      <c r="A1935" s="2">
        <v>43884.907858796301</v>
      </c>
      <c r="B1935" t="str">
        <f>HYPERLINK("https://twitter.com/Alexand39364677","@Alexand39364677")</f>
        <v>@Alexand39364677</v>
      </c>
      <c r="C1935" t="s">
        <v>2091</v>
      </c>
      <c r="D1935">
        <v>673</v>
      </c>
      <c r="E1935">
        <v>0</v>
      </c>
      <c r="F1935">
        <v>6</v>
      </c>
    </row>
    <row r="1936" spans="1:6" ht="12.75">
      <c r="A1936" s="2">
        <v>43884.907777777778</v>
      </c>
      <c r="B1936" t="str">
        <f>HYPERLINK("https://twitter.com/beautydyah","@beautydyah")</f>
        <v>@beautydyah</v>
      </c>
      <c r="C1936" t="s">
        <v>738</v>
      </c>
      <c r="D1936">
        <v>74</v>
      </c>
      <c r="E1936">
        <v>0</v>
      </c>
      <c r="F1936">
        <v>3394</v>
      </c>
    </row>
    <row r="1937" spans="1:6" ht="12.75">
      <c r="A1937" s="2">
        <v>43884.907627314809</v>
      </c>
      <c r="B1937" t="str">
        <f>HYPERLINK("https://twitter.com/Maskelik5","@Maskelik5")</f>
        <v>@Maskelik5</v>
      </c>
      <c r="C1937" t="s">
        <v>2120</v>
      </c>
      <c r="D1937">
        <v>29</v>
      </c>
      <c r="E1937">
        <v>0</v>
      </c>
      <c r="F1937">
        <v>97</v>
      </c>
    </row>
    <row r="1938" spans="1:6" ht="12.75">
      <c r="A1938" s="2">
        <v>43884.907557870371</v>
      </c>
      <c r="B1938" t="str">
        <f>HYPERLINK("https://twitter.com/purwoto_sugeng","@purwoto_sugeng")</f>
        <v>@purwoto_sugeng</v>
      </c>
      <c r="C1938" t="s">
        <v>2166</v>
      </c>
      <c r="D1938">
        <v>123</v>
      </c>
      <c r="E1938">
        <v>0</v>
      </c>
      <c r="F1938">
        <v>142</v>
      </c>
    </row>
    <row r="1939" spans="1:6" ht="12.75">
      <c r="A1939" s="2">
        <v>43884.907534722224</v>
      </c>
      <c r="B1939" t="str">
        <f>HYPERLINK("https://twitter.com/Maskelik5","@Maskelik5")</f>
        <v>@Maskelik5</v>
      </c>
      <c r="C1939" t="s">
        <v>2115</v>
      </c>
      <c r="D1939">
        <v>27</v>
      </c>
      <c r="E1939">
        <v>0</v>
      </c>
      <c r="F1939">
        <v>97</v>
      </c>
    </row>
    <row r="1940" spans="1:6" ht="12.75">
      <c r="A1940" s="2">
        <v>43884.907511574071</v>
      </c>
      <c r="B1940" t="str">
        <f>HYPERLINK("https://twitter.com/Anto75408129","@Anto75408129")</f>
        <v>@Anto75408129</v>
      </c>
      <c r="C1940" t="s">
        <v>321</v>
      </c>
      <c r="D1940">
        <v>1029</v>
      </c>
      <c r="E1940">
        <v>0</v>
      </c>
      <c r="F1940">
        <v>131</v>
      </c>
    </row>
    <row r="1941" spans="1:6" ht="12.75">
      <c r="A1941" s="2">
        <v>43884.907442129625</v>
      </c>
      <c r="B1941" t="str">
        <f>HYPERLINK("https://twitter.com/astevafa","@astevafa")</f>
        <v>@astevafa</v>
      </c>
      <c r="C1941" t="s">
        <v>321</v>
      </c>
      <c r="D1941">
        <v>1029</v>
      </c>
      <c r="E1941">
        <v>0</v>
      </c>
      <c r="F1941">
        <v>105</v>
      </c>
    </row>
    <row r="1942" spans="1:6" ht="12.75">
      <c r="A1942" s="2">
        <v>43884.907442129625</v>
      </c>
      <c r="B1942" t="str">
        <f>HYPERLINK("https://twitter.com/rawonPinguin","@rawonPinguin")</f>
        <v>@rawonPinguin</v>
      </c>
      <c r="C1942" t="s">
        <v>2091</v>
      </c>
      <c r="D1942">
        <v>673</v>
      </c>
      <c r="E1942">
        <v>0</v>
      </c>
      <c r="F1942">
        <v>5</v>
      </c>
    </row>
    <row r="1943" spans="1:6" ht="12.75">
      <c r="A1943" s="2">
        <v>43884.907430555555</v>
      </c>
      <c r="B1943" t="str">
        <f>HYPERLINK("https://twitter.com/RezimAmburadul","@RezimAmburadul")</f>
        <v>@RezimAmburadul</v>
      </c>
      <c r="C1943" t="s">
        <v>2166</v>
      </c>
      <c r="D1943">
        <v>123</v>
      </c>
      <c r="E1943">
        <v>0</v>
      </c>
      <c r="F1943">
        <v>735</v>
      </c>
    </row>
    <row r="1944" spans="1:6" ht="12.75">
      <c r="A1944" s="2">
        <v>43884.907395833332</v>
      </c>
      <c r="B1944" t="str">
        <f>HYPERLINK("https://twitter.com/beautydyah","@beautydyah")</f>
        <v>@beautydyah</v>
      </c>
      <c r="C1944" t="s">
        <v>321</v>
      </c>
      <c r="D1944">
        <v>1029</v>
      </c>
      <c r="E1944">
        <v>0</v>
      </c>
      <c r="F1944">
        <v>3394</v>
      </c>
    </row>
    <row r="1945" spans="1:6" ht="12.75">
      <c r="A1945" s="2">
        <v>43884.90725694444</v>
      </c>
      <c r="B1945" t="str">
        <f>HYPERLINK("https://twitter.com/Maskelik5","@Maskelik5")</f>
        <v>@Maskelik5</v>
      </c>
      <c r="C1945" t="s">
        <v>738</v>
      </c>
      <c r="D1945">
        <v>74</v>
      </c>
      <c r="E1945">
        <v>0</v>
      </c>
      <c r="F1945">
        <v>97</v>
      </c>
    </row>
    <row r="1946" spans="1:6" ht="12.75">
      <c r="A1946" s="2">
        <v>43884.907222222224</v>
      </c>
      <c r="B1946" t="str">
        <f>HYPERLINK("https://twitter.com/cyberbangsa","@cyberbangsa")</f>
        <v>@cyberbangsa</v>
      </c>
      <c r="C1946" t="s">
        <v>2730</v>
      </c>
      <c r="D1946">
        <v>0</v>
      </c>
      <c r="E1946">
        <v>0</v>
      </c>
      <c r="F1946">
        <v>109</v>
      </c>
    </row>
    <row r="1947" spans="1:6" ht="12.75">
      <c r="A1947" s="2">
        <v>43884.906875000001</v>
      </c>
      <c r="B1947" t="str">
        <f>HYPERLINK("https://twitter.com/Maskelik5","@Maskelik5")</f>
        <v>@Maskelik5</v>
      </c>
      <c r="C1947" t="s">
        <v>321</v>
      </c>
      <c r="D1947">
        <v>1029</v>
      </c>
      <c r="E1947">
        <v>0</v>
      </c>
      <c r="F1947">
        <v>97</v>
      </c>
    </row>
    <row r="1948" spans="1:6" ht="12.75">
      <c r="A1948" s="2">
        <v>43884.906747685185</v>
      </c>
      <c r="B1948" t="str">
        <f>HYPERLINK("https://twitter.com/soniaaa_____","@soniaaa_____")</f>
        <v>@soniaaa_____</v>
      </c>
      <c r="C1948" t="s">
        <v>2731</v>
      </c>
      <c r="D1948">
        <v>0</v>
      </c>
      <c r="E1948">
        <v>0</v>
      </c>
      <c r="F1948">
        <v>388</v>
      </c>
    </row>
    <row r="1949" spans="1:6" ht="12.75">
      <c r="A1949" s="2">
        <v>43884.906388888892</v>
      </c>
      <c r="B1949" t="str">
        <f>HYPERLINK("https://twitter.com/AnnaVLee","@AnnaVLee")</f>
        <v>@AnnaVLee</v>
      </c>
      <c r="C1949" t="s">
        <v>2091</v>
      </c>
      <c r="D1949">
        <v>673</v>
      </c>
      <c r="E1949">
        <v>0</v>
      </c>
      <c r="F1949">
        <v>174</v>
      </c>
    </row>
    <row r="1950" spans="1:6" ht="12.75">
      <c r="A1950" s="2">
        <v>43884.906157407408</v>
      </c>
      <c r="B1950" t="str">
        <f>HYPERLINK("https://twitter.com/hellowid","@hellowid")</f>
        <v>@hellowid</v>
      </c>
      <c r="C1950" t="s">
        <v>738</v>
      </c>
      <c r="D1950">
        <v>74</v>
      </c>
      <c r="E1950">
        <v>0</v>
      </c>
      <c r="F1950">
        <v>1236</v>
      </c>
    </row>
    <row r="1951" spans="1:6" ht="12.75">
      <c r="A1951" s="2">
        <v>43884.906099537038</v>
      </c>
      <c r="B1951" t="str">
        <f>HYPERLINK("https://twitter.com/ridwanbasridar1","@ridwanbasridar1")</f>
        <v>@ridwanbasridar1</v>
      </c>
      <c r="C1951" t="s">
        <v>321</v>
      </c>
      <c r="D1951">
        <v>1029</v>
      </c>
      <c r="E1951">
        <v>0</v>
      </c>
      <c r="F1951">
        <v>390</v>
      </c>
    </row>
    <row r="1952" spans="1:6" ht="12.75">
      <c r="A1952" s="2">
        <v>43884.905717592592</v>
      </c>
      <c r="B1952" t="str">
        <f>HYPERLINK("https://twitter.com/akt_se","@akt_se")</f>
        <v>@akt_se</v>
      </c>
      <c r="C1952" t="s">
        <v>2153</v>
      </c>
      <c r="D1952">
        <v>357</v>
      </c>
      <c r="E1952">
        <v>0</v>
      </c>
      <c r="F1952">
        <v>487</v>
      </c>
    </row>
    <row r="1953" spans="1:6" ht="12.75">
      <c r="A1953" s="2">
        <v>43884.905636574069</v>
      </c>
      <c r="B1953" t="str">
        <f>HYPERLINK("https://twitter.com/wisangg48776020","@wisangg48776020")</f>
        <v>@wisangg48776020</v>
      </c>
      <c r="C1953" t="s">
        <v>2091</v>
      </c>
      <c r="D1953">
        <v>673</v>
      </c>
      <c r="E1953">
        <v>0</v>
      </c>
      <c r="F1953">
        <v>22</v>
      </c>
    </row>
    <row r="1954" spans="1:6" ht="12.75">
      <c r="A1954" s="2">
        <v>43884.905416666668</v>
      </c>
      <c r="B1954" t="str">
        <f>HYPERLINK("https://twitter.com/DavidPardosi7","@DavidPardosi7")</f>
        <v>@DavidPardosi7</v>
      </c>
      <c r="C1954" t="s">
        <v>2732</v>
      </c>
      <c r="D1954">
        <v>0</v>
      </c>
      <c r="E1954">
        <v>0</v>
      </c>
      <c r="F1954">
        <v>590</v>
      </c>
    </row>
    <row r="1955" spans="1:6" ht="12.75">
      <c r="A1955" s="2">
        <v>43884.904930555553</v>
      </c>
      <c r="B1955" t="str">
        <f>HYPERLINK("https://twitter.com/fanywd","@fanywd")</f>
        <v>@fanywd</v>
      </c>
      <c r="C1955" t="s">
        <v>321</v>
      </c>
      <c r="D1955">
        <v>1029</v>
      </c>
      <c r="E1955">
        <v>0</v>
      </c>
      <c r="F1955">
        <v>58</v>
      </c>
    </row>
    <row r="1956" spans="1:6" ht="12.75">
      <c r="A1956" s="2">
        <v>43884.90488425926</v>
      </c>
      <c r="B1956" t="str">
        <f>HYPERLINK("https://twitter.com/maulanarezaaa","@maulanarezaaa")</f>
        <v>@maulanarezaaa</v>
      </c>
      <c r="C1956" t="s">
        <v>321</v>
      </c>
      <c r="D1956">
        <v>1029</v>
      </c>
      <c r="E1956">
        <v>0</v>
      </c>
      <c r="F1956">
        <v>1290</v>
      </c>
    </row>
    <row r="1957" spans="1:6" ht="12.75">
      <c r="A1957" s="2">
        <v>43884.876550925925</v>
      </c>
      <c r="B1957" t="str">
        <f>HYPERLINK("https://twitter.com/andotulong","@andotulong")</f>
        <v>@andotulong</v>
      </c>
      <c r="C1957" t="s">
        <v>2091</v>
      </c>
      <c r="D1957">
        <v>611</v>
      </c>
      <c r="E1957">
        <v>0</v>
      </c>
      <c r="F1957">
        <v>978</v>
      </c>
    </row>
    <row r="1958" spans="1:6" ht="12.75">
      <c r="A1958" s="2">
        <v>43884.876516203702</v>
      </c>
      <c r="B1958" t="str">
        <f>HYPERLINK("https://twitter.com/SEBLAK_MUMET","@SEBLAK_MUMET")</f>
        <v>@SEBLAK_MUMET</v>
      </c>
      <c r="C1958" t="s">
        <v>2733</v>
      </c>
      <c r="D1958">
        <v>0</v>
      </c>
      <c r="E1958">
        <v>0</v>
      </c>
      <c r="F1958">
        <v>1268</v>
      </c>
    </row>
    <row r="1959" spans="1:6" ht="12.75">
      <c r="A1959" s="2">
        <v>43884.876423611116</v>
      </c>
      <c r="B1959" t="str">
        <f>HYPERLINK("https://twitter.com/aloelarum","@aloelarum")</f>
        <v>@aloelarum</v>
      </c>
      <c r="C1959" t="s">
        <v>321</v>
      </c>
      <c r="D1959">
        <v>910</v>
      </c>
      <c r="E1959">
        <v>0</v>
      </c>
      <c r="F1959">
        <v>78</v>
      </c>
    </row>
    <row r="1960" spans="1:6" ht="12.75">
      <c r="A1960" s="2">
        <v>43884.876388888893</v>
      </c>
      <c r="B1960" t="str">
        <f>HYPERLINK("https://twitter.com/integrity160171","@integrity160171")</f>
        <v>@integrity160171</v>
      </c>
      <c r="C1960" t="s">
        <v>2166</v>
      </c>
      <c r="D1960">
        <v>80</v>
      </c>
      <c r="E1960">
        <v>0</v>
      </c>
      <c r="F1960">
        <v>493</v>
      </c>
    </row>
    <row r="1961" spans="1:6" ht="12.75">
      <c r="A1961" s="2">
        <v>43884.876388888893</v>
      </c>
      <c r="B1961" t="str">
        <f>HYPERLINK("https://twitter.com/haerumang","@haerumang")</f>
        <v>@haerumang</v>
      </c>
      <c r="C1961" t="s">
        <v>2734</v>
      </c>
      <c r="D1961">
        <v>0</v>
      </c>
      <c r="E1961">
        <v>0</v>
      </c>
      <c r="F1961">
        <v>11</v>
      </c>
    </row>
    <row r="1962" spans="1:6" ht="12.75">
      <c r="A1962" s="2">
        <v>43884.876377314809</v>
      </c>
      <c r="B1962" t="str">
        <f>HYPERLINK("https://twitter.com/katatodaycom","@katatodaycom")</f>
        <v>@katatodaycom</v>
      </c>
      <c r="C1962" t="s">
        <v>2717</v>
      </c>
      <c r="D1962">
        <v>0</v>
      </c>
      <c r="E1962">
        <v>0</v>
      </c>
      <c r="F1962">
        <v>1112</v>
      </c>
    </row>
    <row r="1963" spans="1:6" ht="12.75">
      <c r="A1963" s="2">
        <v>43884.876342592594</v>
      </c>
      <c r="B1963" t="str">
        <f>HYPERLINK("https://twitter.com/DakwahOnline114","@DakwahOnline114")</f>
        <v>@DakwahOnline114</v>
      </c>
      <c r="C1963" t="s">
        <v>321</v>
      </c>
      <c r="D1963">
        <v>910</v>
      </c>
      <c r="E1963">
        <v>0</v>
      </c>
      <c r="F1963">
        <v>1091</v>
      </c>
    </row>
    <row r="1964" spans="1:6" ht="12.75">
      <c r="A1964" s="2">
        <v>43884.876261574071</v>
      </c>
      <c r="B1964" t="str">
        <f>HYPERLINK("https://twitter.com/anjarpoo","@anjarpoo")</f>
        <v>@anjarpoo</v>
      </c>
      <c r="C1964" t="s">
        <v>2735</v>
      </c>
      <c r="D1964">
        <v>0</v>
      </c>
      <c r="E1964">
        <v>0</v>
      </c>
      <c r="F1964">
        <v>294</v>
      </c>
    </row>
    <row r="1965" spans="1:6" ht="12.75">
      <c r="A1965" s="2">
        <v>43884.876250000001</v>
      </c>
      <c r="B1965" t="str">
        <f>HYPERLINK("https://twitter.com/winterofjohnny","@winterofjohnny")</f>
        <v>@winterofjohnny</v>
      </c>
      <c r="C1965" t="s">
        <v>2736</v>
      </c>
      <c r="D1965">
        <v>0</v>
      </c>
      <c r="E1965">
        <v>0</v>
      </c>
      <c r="F1965">
        <v>88</v>
      </c>
    </row>
    <row r="1966" spans="1:6" ht="12.75">
      <c r="A1966" s="2">
        <v>43884.875590277778</v>
      </c>
      <c r="B1966" t="str">
        <f>HYPERLINK("https://twitter.com/SEBLAK_MUMET","@SEBLAK_MUMET")</f>
        <v>@SEBLAK_MUMET</v>
      </c>
      <c r="C1966" t="s">
        <v>2737</v>
      </c>
      <c r="D1966">
        <v>0</v>
      </c>
      <c r="E1966">
        <v>0</v>
      </c>
      <c r="F1966">
        <v>1268</v>
      </c>
    </row>
    <row r="1967" spans="1:6" ht="12.75">
      <c r="A1967" s="2">
        <v>43884.875567129631</v>
      </c>
      <c r="B1967" t="str">
        <f>HYPERLINK("https://twitter.com/Windanugraha99","@Windanugraha99")</f>
        <v>@Windanugraha99</v>
      </c>
      <c r="C1967" t="s">
        <v>321</v>
      </c>
      <c r="D1967">
        <v>910</v>
      </c>
      <c r="E1967">
        <v>0</v>
      </c>
      <c r="F1967">
        <v>1317</v>
      </c>
    </row>
    <row r="1968" spans="1:6" ht="12.75">
      <c r="A1968" s="2">
        <v>43884.875127314815</v>
      </c>
      <c r="B1968" t="str">
        <f>HYPERLINK("https://twitter.com/Nugerahhaa","@Nugerahhaa")</f>
        <v>@Nugerahhaa</v>
      </c>
      <c r="C1968" t="s">
        <v>2091</v>
      </c>
      <c r="D1968">
        <v>611</v>
      </c>
      <c r="E1968">
        <v>0</v>
      </c>
      <c r="F1968">
        <v>472</v>
      </c>
    </row>
    <row r="1969" spans="1:6" ht="12.75">
      <c r="A1969" s="2">
        <v>43884.874722222223</v>
      </c>
      <c r="B1969" t="str">
        <f>HYPERLINK("https://twitter.com/Fatma17639687","@Fatma17639687")</f>
        <v>@Fatma17639687</v>
      </c>
      <c r="C1969" t="s">
        <v>2138</v>
      </c>
      <c r="D1969">
        <v>267</v>
      </c>
      <c r="E1969">
        <v>0</v>
      </c>
      <c r="F1969">
        <v>5</v>
      </c>
    </row>
    <row r="1970" spans="1:6" ht="12.75">
      <c r="A1970" s="2">
        <v>43884.874699074076</v>
      </c>
      <c r="B1970" t="str">
        <f>HYPERLINK("https://twitter.com/dirhand","@dirhand")</f>
        <v>@dirhand</v>
      </c>
      <c r="C1970" t="s">
        <v>321</v>
      </c>
      <c r="D1970">
        <v>910</v>
      </c>
      <c r="E1970">
        <v>0</v>
      </c>
      <c r="F1970">
        <v>322</v>
      </c>
    </row>
    <row r="1971" spans="1:6" ht="12.75">
      <c r="A1971" s="2">
        <v>43884.874560185184</v>
      </c>
      <c r="B1971" t="str">
        <f>HYPERLINK("https://twitter.com/santuuykupi","@santuuykupi")</f>
        <v>@santuuykupi</v>
      </c>
      <c r="C1971" t="s">
        <v>2232</v>
      </c>
      <c r="D1971">
        <v>2</v>
      </c>
      <c r="E1971">
        <v>0</v>
      </c>
      <c r="F1971">
        <v>1654</v>
      </c>
    </row>
    <row r="1972" spans="1:6" ht="12.75">
      <c r="A1972" s="2">
        <v>43884.874421296292</v>
      </c>
      <c r="B1972" t="str">
        <f>HYPERLINK("https://twitter.com/LuwitaEmilly878","@LuwitaEmilly878")</f>
        <v>@LuwitaEmilly878</v>
      </c>
      <c r="C1972" t="s">
        <v>2738</v>
      </c>
      <c r="D1972">
        <v>0</v>
      </c>
      <c r="E1972">
        <v>0</v>
      </c>
      <c r="F1972">
        <v>11766</v>
      </c>
    </row>
    <row r="1973" spans="1:6" ht="12.75">
      <c r="A1973" s="2">
        <v>43884.874386574069</v>
      </c>
      <c r="B1973" t="str">
        <f>HYPERLINK("https://twitter.com/hariantoagus","@hariantoagus")</f>
        <v>@hariantoagus</v>
      </c>
      <c r="C1973" t="s">
        <v>321</v>
      </c>
      <c r="D1973">
        <v>910</v>
      </c>
      <c r="E1973">
        <v>0</v>
      </c>
      <c r="F1973">
        <v>256</v>
      </c>
    </row>
    <row r="1974" spans="1:6" ht="12.75">
      <c r="A1974" s="2">
        <v>43884.87431712963</v>
      </c>
      <c r="B1974" t="str">
        <f>HYPERLINK("https://twitter.com/kecenganmu","@kecenganmu")</f>
        <v>@kecenganmu</v>
      </c>
      <c r="C1974" t="s">
        <v>2091</v>
      </c>
      <c r="D1974">
        <v>611</v>
      </c>
      <c r="E1974">
        <v>0</v>
      </c>
      <c r="F1974">
        <v>647</v>
      </c>
    </row>
    <row r="1975" spans="1:6" ht="12.75">
      <c r="A1975" s="2">
        <v>43884.874212962968</v>
      </c>
      <c r="B1975" t="str">
        <f>HYPERLINK("https://twitter.com/TukangFiber","@TukangFiber")</f>
        <v>@TukangFiber</v>
      </c>
      <c r="C1975" t="s">
        <v>321</v>
      </c>
      <c r="D1975">
        <v>910</v>
      </c>
      <c r="E1975">
        <v>0</v>
      </c>
      <c r="F1975">
        <v>8935</v>
      </c>
    </row>
    <row r="1976" spans="1:6" ht="12.75">
      <c r="A1976" s="2">
        <v>43884.874143518522</v>
      </c>
      <c r="B1976" t="str">
        <f>HYPERLINK("https://twitter.com/rari_rarin","@rari_rarin")</f>
        <v>@rari_rarin</v>
      </c>
      <c r="C1976" t="s">
        <v>2166</v>
      </c>
      <c r="D1976">
        <v>80</v>
      </c>
      <c r="E1976">
        <v>0</v>
      </c>
      <c r="F1976">
        <v>319</v>
      </c>
    </row>
    <row r="1977" spans="1:6" ht="12.75">
      <c r="A1977" s="2">
        <v>43884.874016203699</v>
      </c>
      <c r="B1977" t="str">
        <f>HYPERLINK("https://twitter.com/BgawanKusuma","@BgawanKusuma")</f>
        <v>@BgawanKusuma</v>
      </c>
      <c r="C1977" t="s">
        <v>2138</v>
      </c>
      <c r="D1977">
        <v>267</v>
      </c>
      <c r="E1977">
        <v>0</v>
      </c>
      <c r="F1977">
        <v>1129</v>
      </c>
    </row>
    <row r="1978" spans="1:6" ht="12.75">
      <c r="A1978" s="2">
        <v>43884.873981481476</v>
      </c>
      <c r="B1978" t="str">
        <f>HYPERLINK("https://twitter.com/imansalahin_put","@imansalahin_put")</f>
        <v>@imansalahin_put</v>
      </c>
      <c r="C1978" t="s">
        <v>321</v>
      </c>
      <c r="D1978">
        <v>910</v>
      </c>
      <c r="E1978">
        <v>0</v>
      </c>
      <c r="F1978">
        <v>869</v>
      </c>
    </row>
    <row r="1979" spans="1:6" ht="12.75">
      <c r="A1979" s="2">
        <v>43884.873692129629</v>
      </c>
      <c r="B1979" t="str">
        <f>HYPERLINK("https://twitter.com/goodkristof","@goodkristof")</f>
        <v>@goodkristof</v>
      </c>
      <c r="C1979" t="s">
        <v>321</v>
      </c>
      <c r="D1979">
        <v>910</v>
      </c>
      <c r="E1979">
        <v>0</v>
      </c>
      <c r="F1979">
        <v>76</v>
      </c>
    </row>
    <row r="1980" spans="1:6" ht="12.75">
      <c r="A1980" s="2">
        <v>43884.873576388884</v>
      </c>
      <c r="B1980" t="str">
        <f>HYPERLINK("https://twitter.com/windasiburian","@windasiburian")</f>
        <v>@windasiburian</v>
      </c>
      <c r="C1980" t="s">
        <v>177</v>
      </c>
      <c r="D1980">
        <v>825</v>
      </c>
      <c r="E1980">
        <v>0</v>
      </c>
      <c r="F1980">
        <v>213</v>
      </c>
    </row>
    <row r="1981" spans="1:6" ht="12.75">
      <c r="A1981" s="2">
        <v>43884.873495370368</v>
      </c>
      <c r="B1981" t="str">
        <f>HYPERLINK("https://twitter.com/vera_goeltom","@vera_goeltom")</f>
        <v>@vera_goeltom</v>
      </c>
      <c r="C1981" t="s">
        <v>2091</v>
      </c>
      <c r="D1981">
        <v>611</v>
      </c>
      <c r="E1981">
        <v>0</v>
      </c>
      <c r="F1981">
        <v>108</v>
      </c>
    </row>
    <row r="1982" spans="1:6" ht="12.75">
      <c r="A1982" s="2">
        <v>43884.873229166667</v>
      </c>
      <c r="B1982" t="str">
        <f>HYPERLINK("https://twitter.com/cycloneopropana","@cycloneopropana")</f>
        <v>@cycloneopropana</v>
      </c>
      <c r="C1982" t="s">
        <v>321</v>
      </c>
      <c r="D1982">
        <v>910</v>
      </c>
      <c r="E1982">
        <v>0</v>
      </c>
      <c r="F1982">
        <v>28</v>
      </c>
    </row>
    <row r="1983" spans="1:6" ht="12.75">
      <c r="A1983" s="2">
        <v>43884.872974537036</v>
      </c>
      <c r="B1983" t="str">
        <f>HYPERLINK("https://twitter.com/togarerwins24","@togarerwins24")</f>
        <v>@togarerwins24</v>
      </c>
      <c r="C1983" t="s">
        <v>2739</v>
      </c>
      <c r="D1983">
        <v>1</v>
      </c>
      <c r="E1983">
        <v>0</v>
      </c>
      <c r="F1983">
        <v>638</v>
      </c>
    </row>
    <row r="1984" spans="1:6" ht="12.75">
      <c r="A1984" s="2">
        <v>43884.87263888889</v>
      </c>
      <c r="B1984" t="str">
        <f>HYPERLINK("https://twitter.com/ortsasybur","@ortsasybur")</f>
        <v>@ortsasybur</v>
      </c>
      <c r="C1984" t="s">
        <v>321</v>
      </c>
      <c r="D1984">
        <v>910</v>
      </c>
      <c r="E1984">
        <v>0</v>
      </c>
      <c r="F1984">
        <v>269</v>
      </c>
    </row>
    <row r="1985" spans="1:6" ht="12.75">
      <c r="A1985" s="2">
        <v>43884.872627314813</v>
      </c>
      <c r="B1985" t="str">
        <f>HYPERLINK("https://twitter.com/mr_bubble_","@mr_bubble_")</f>
        <v>@mr_bubble_</v>
      </c>
      <c r="C1985" t="s">
        <v>2091</v>
      </c>
      <c r="D1985">
        <v>611</v>
      </c>
      <c r="E1985">
        <v>0</v>
      </c>
      <c r="F1985">
        <v>2395</v>
      </c>
    </row>
    <row r="1986" spans="1:6" ht="12.75">
      <c r="A1986" s="2">
        <v>43884.872523148151</v>
      </c>
      <c r="B1986" t="str">
        <f>HYPERLINK("https://twitter.com/a_daud_ppnp","@a_daud_ppnp")</f>
        <v>@a_daud_ppnp</v>
      </c>
      <c r="C1986" t="s">
        <v>2166</v>
      </c>
      <c r="D1986">
        <v>80</v>
      </c>
      <c r="E1986">
        <v>0</v>
      </c>
      <c r="F1986">
        <v>135</v>
      </c>
    </row>
    <row r="1987" spans="1:6" ht="12.75">
      <c r="A1987" s="2">
        <v>43884.872488425928</v>
      </c>
      <c r="B1987" t="str">
        <f>HYPERLINK("https://twitter.com/didionadi","@didionadi")</f>
        <v>@didionadi</v>
      </c>
      <c r="C1987" t="s">
        <v>2091</v>
      </c>
      <c r="D1987">
        <v>611</v>
      </c>
      <c r="E1987">
        <v>0</v>
      </c>
      <c r="F1987">
        <v>2</v>
      </c>
    </row>
    <row r="1988" spans="1:6" ht="12.75">
      <c r="A1988" s="2">
        <v>43884.872303240743</v>
      </c>
      <c r="B1988" t="str">
        <f>HYPERLINK("https://twitter.com/deaironi","@deaironi")</f>
        <v>@deaironi</v>
      </c>
      <c r="C1988" t="s">
        <v>321</v>
      </c>
      <c r="D1988">
        <v>910</v>
      </c>
      <c r="E1988">
        <v>0</v>
      </c>
      <c r="F1988">
        <v>116</v>
      </c>
    </row>
    <row r="1989" spans="1:6" ht="12.75">
      <c r="A1989" s="2">
        <v>43884.87222222222</v>
      </c>
      <c r="B1989" t="str">
        <f>HYPERLINK("https://twitter.com/Anti_Kacung","@Anti_Kacung")</f>
        <v>@Anti_Kacung</v>
      </c>
      <c r="C1989" t="s">
        <v>2166</v>
      </c>
      <c r="D1989">
        <v>80</v>
      </c>
      <c r="E1989">
        <v>0</v>
      </c>
      <c r="F1989">
        <v>254</v>
      </c>
    </row>
    <row r="1990" spans="1:6" ht="12.75">
      <c r="A1990" s="2">
        <v>43884.871840277774</v>
      </c>
      <c r="B1990" t="str">
        <f>HYPERLINK("https://twitter.com/AqidaJamal","@AqidaJamal")</f>
        <v>@AqidaJamal</v>
      </c>
      <c r="C1990" t="s">
        <v>321</v>
      </c>
      <c r="D1990">
        <v>910</v>
      </c>
      <c r="E1990">
        <v>0</v>
      </c>
      <c r="F1990">
        <v>366</v>
      </c>
    </row>
    <row r="1991" spans="1:6" ht="12.75">
      <c r="A1991" s="2">
        <v>43884.871631944443</v>
      </c>
      <c r="B1991" t="str">
        <f>HYPERLINK("https://twitter.com/RajaMandiri70","@RajaMandiri70")</f>
        <v>@RajaMandiri70</v>
      </c>
      <c r="C1991" t="s">
        <v>321</v>
      </c>
      <c r="D1991">
        <v>910</v>
      </c>
      <c r="E1991">
        <v>0</v>
      </c>
      <c r="F1991">
        <v>476</v>
      </c>
    </row>
    <row r="1992" spans="1:6" ht="12.75">
      <c r="A1992" s="2">
        <v>43884.871574074074</v>
      </c>
      <c r="B1992" t="str">
        <f>HYPERLINK("https://twitter.com/muhlisinImron","@muhlisinImron")</f>
        <v>@muhlisinImron</v>
      </c>
      <c r="C1992" t="s">
        <v>321</v>
      </c>
      <c r="D1992">
        <v>910</v>
      </c>
      <c r="E1992">
        <v>0</v>
      </c>
      <c r="F1992">
        <v>158</v>
      </c>
    </row>
    <row r="1993" spans="1:6" ht="12.75">
      <c r="A1993" s="2">
        <v>43884.871539351851</v>
      </c>
      <c r="B1993" t="str">
        <f>HYPERLINK("https://twitter.com/EyeyiMahza","@EyeyiMahza")</f>
        <v>@EyeyiMahza</v>
      </c>
      <c r="C1993" t="s">
        <v>321</v>
      </c>
      <c r="D1993">
        <v>910</v>
      </c>
      <c r="E1993">
        <v>0</v>
      </c>
      <c r="F1993">
        <v>233</v>
      </c>
    </row>
    <row r="1994" spans="1:6" ht="12.75">
      <c r="A1994" s="2">
        <v>43884.871481481481</v>
      </c>
      <c r="B1994" t="str">
        <f>HYPERLINK("https://twitter.com/Wongjaw99685558","@Wongjaw99685558")</f>
        <v>@Wongjaw99685558</v>
      </c>
      <c r="C1994" t="s">
        <v>2091</v>
      </c>
      <c r="D1994">
        <v>611</v>
      </c>
      <c r="E1994">
        <v>0</v>
      </c>
      <c r="F1994">
        <v>3571</v>
      </c>
    </row>
    <row r="1995" spans="1:6" ht="12.75">
      <c r="A1995" s="2">
        <v>43884.871435185181</v>
      </c>
      <c r="B1995" t="str">
        <f>HYPERLINK("https://twitter.com/JavaraaEthnic","@JavaraaEthnic")</f>
        <v>@JavaraaEthnic</v>
      </c>
      <c r="C1995" t="s">
        <v>321</v>
      </c>
      <c r="D1995">
        <v>910</v>
      </c>
      <c r="E1995">
        <v>0</v>
      </c>
      <c r="F1995">
        <v>232</v>
      </c>
    </row>
    <row r="1996" spans="1:6" ht="12.75">
      <c r="A1996" s="2">
        <v>43884.871145833335</v>
      </c>
      <c r="B1996" t="str">
        <f>HYPERLINK("https://twitter.com/ArbeitSozialJap","@ArbeitSozialJap")</f>
        <v>@ArbeitSozialJap</v>
      </c>
      <c r="C1996" t="s">
        <v>738</v>
      </c>
      <c r="D1996">
        <v>61</v>
      </c>
      <c r="E1996">
        <v>0</v>
      </c>
      <c r="F1996">
        <v>144</v>
      </c>
    </row>
    <row r="1997" spans="1:6" ht="12.75">
      <c r="A1997" s="2">
        <v>43884.870972222227</v>
      </c>
      <c r="B1997" t="str">
        <f>HYPERLINK("https://twitter.com/AcehSelatanSatu","@AcehSelatanSatu")</f>
        <v>@AcehSelatanSatu</v>
      </c>
      <c r="C1997" t="s">
        <v>2166</v>
      </c>
      <c r="D1997">
        <v>80</v>
      </c>
      <c r="E1997">
        <v>0</v>
      </c>
      <c r="F1997">
        <v>15092</v>
      </c>
    </row>
    <row r="1998" spans="1:6" ht="12.75">
      <c r="A1998" s="2">
        <v>43884.870763888888</v>
      </c>
      <c r="B1998" t="str">
        <f>HYPERLINK("https://twitter.com/bukuberbagi100","@bukuberbagi100")</f>
        <v>@bukuberbagi100</v>
      </c>
      <c r="C1998" t="s">
        <v>2166</v>
      </c>
      <c r="D1998">
        <v>80</v>
      </c>
      <c r="E1998">
        <v>0</v>
      </c>
      <c r="F1998">
        <v>125</v>
      </c>
    </row>
    <row r="1999" spans="1:6" ht="12.75">
      <c r="A1999" s="2">
        <v>43884.870752314819</v>
      </c>
      <c r="B1999" t="str">
        <f>HYPERLINK("https://twitter.com/DARGOMBES7373","@DARGOMBES7373")</f>
        <v>@DARGOMBES7373</v>
      </c>
      <c r="C1999" t="s">
        <v>2138</v>
      </c>
      <c r="D1999">
        <v>267</v>
      </c>
      <c r="E1999">
        <v>0</v>
      </c>
      <c r="F1999">
        <v>676</v>
      </c>
    </row>
    <row r="2000" spans="1:6" ht="12.75">
      <c r="A2000" s="2">
        <v>43884.870717592596</v>
      </c>
      <c r="B2000" t="str">
        <f>HYPERLINK("https://twitter.com/Sonillionaire","@Sonillionaire")</f>
        <v>@Sonillionaire</v>
      </c>
      <c r="C2000" t="s">
        <v>321</v>
      </c>
      <c r="D2000">
        <v>910</v>
      </c>
      <c r="E2000">
        <v>0</v>
      </c>
      <c r="F2000">
        <v>491</v>
      </c>
    </row>
    <row r="2001" spans="1:6" ht="12.75">
      <c r="A2001" s="2">
        <v>43884.870694444442</v>
      </c>
      <c r="B2001" t="str">
        <f>HYPERLINK("https://twitter.com/ejha__","@ejha__")</f>
        <v>@ejha__</v>
      </c>
      <c r="C2001" t="s">
        <v>2091</v>
      </c>
      <c r="D2001">
        <v>611</v>
      </c>
      <c r="E2001">
        <v>0</v>
      </c>
      <c r="F2001">
        <v>592</v>
      </c>
    </row>
    <row r="2002" spans="1:6" ht="12.75">
      <c r="A2002" s="2">
        <v>43884.870474537034</v>
      </c>
      <c r="B2002" t="str">
        <f>HYPERLINK("https://twitter.com/ariyadiaugust","@ariyadiaugust")</f>
        <v>@ariyadiaugust</v>
      </c>
      <c r="C2002" t="s">
        <v>321</v>
      </c>
      <c r="D2002">
        <v>910</v>
      </c>
      <c r="E2002">
        <v>0</v>
      </c>
      <c r="F2002">
        <v>544</v>
      </c>
    </row>
    <row r="2003" spans="1:6" ht="12.75">
      <c r="A2003" s="2">
        <v>43884.870081018518</v>
      </c>
      <c r="B2003" t="str">
        <f>HYPERLINK("https://twitter.com/Adampuri3","@Adampuri3")</f>
        <v>@Adampuri3</v>
      </c>
      <c r="C2003" t="s">
        <v>2740</v>
      </c>
      <c r="D2003">
        <v>0</v>
      </c>
      <c r="E2003">
        <v>0</v>
      </c>
      <c r="F2003">
        <v>56</v>
      </c>
    </row>
    <row r="2004" spans="1:6" ht="12.75">
      <c r="A2004" s="2">
        <v>43884.869999999995</v>
      </c>
      <c r="B2004" t="str">
        <f>HYPERLINK("https://twitter.com/Faylasalle2","@Faylasalle2")</f>
        <v>@Faylasalle2</v>
      </c>
      <c r="C2004" t="s">
        <v>2153</v>
      </c>
      <c r="D2004">
        <v>351</v>
      </c>
      <c r="E2004">
        <v>0</v>
      </c>
      <c r="F2004">
        <v>514</v>
      </c>
    </row>
    <row r="2005" spans="1:6" ht="12.75">
      <c r="A2005" s="2">
        <v>43884.86986111111</v>
      </c>
      <c r="B2005" t="str">
        <f>HYPERLINK("https://twitter.com/NazarSampit","@NazarSampit")</f>
        <v>@NazarSampit</v>
      </c>
      <c r="C2005" t="s">
        <v>2153</v>
      </c>
      <c r="D2005">
        <v>351</v>
      </c>
      <c r="E2005">
        <v>0</v>
      </c>
      <c r="F2005">
        <v>101</v>
      </c>
    </row>
    <row r="2006" spans="1:6" ht="12.75">
      <c r="A2006" s="2">
        <v>43884.869756944448</v>
      </c>
      <c r="B2006" t="str">
        <f>HYPERLINK("https://twitter.com/crzywahaha","@crzywahaha")</f>
        <v>@crzywahaha</v>
      </c>
      <c r="C2006" t="s">
        <v>2088</v>
      </c>
      <c r="D2006">
        <v>16107</v>
      </c>
      <c r="E2006">
        <v>0</v>
      </c>
      <c r="F2006">
        <v>25</v>
      </c>
    </row>
    <row r="2007" spans="1:6" ht="12.75">
      <c r="A2007" s="2">
        <v>43884.869675925926</v>
      </c>
      <c r="B2007" t="str">
        <f>HYPERLINK("https://twitter.com/Lord_Sakto","@Lord_Sakto")</f>
        <v>@Lord_Sakto</v>
      </c>
      <c r="C2007" t="s">
        <v>2166</v>
      </c>
      <c r="D2007">
        <v>80</v>
      </c>
      <c r="E2007">
        <v>0</v>
      </c>
      <c r="F2007">
        <v>2809</v>
      </c>
    </row>
    <row r="2008" spans="1:6" ht="12.75">
      <c r="A2008" s="2">
        <v>43884.869444444441</v>
      </c>
      <c r="B2008" t="str">
        <f>HYPERLINK("https://twitter.com/Sasungkaryahoo1","@Sasungkaryahoo1")</f>
        <v>@Sasungkaryahoo1</v>
      </c>
      <c r="C2008" t="s">
        <v>321</v>
      </c>
      <c r="D2008">
        <v>910</v>
      </c>
      <c r="E2008">
        <v>0</v>
      </c>
      <c r="F2008">
        <v>248</v>
      </c>
    </row>
    <row r="2009" spans="1:6" ht="12.75">
      <c r="A2009" s="2">
        <v>43884.869351851856</v>
      </c>
      <c r="B2009" t="str">
        <f>HYPERLINK("https://twitter.com/sakabato9","@sakabato9")</f>
        <v>@sakabato9</v>
      </c>
      <c r="C2009" t="s">
        <v>2166</v>
      </c>
      <c r="D2009">
        <v>80</v>
      </c>
      <c r="E2009">
        <v>0</v>
      </c>
      <c r="F2009">
        <v>472</v>
      </c>
    </row>
    <row r="2010" spans="1:6" ht="12.75">
      <c r="A2010" s="2">
        <v>43884.869259259256</v>
      </c>
      <c r="B2010" t="str">
        <f>HYPERLINK("https://twitter.com/TinusIam","@TinusIam")</f>
        <v>@TinusIam</v>
      </c>
      <c r="C2010" t="s">
        <v>2091</v>
      </c>
      <c r="D2010">
        <v>611</v>
      </c>
      <c r="E2010">
        <v>0</v>
      </c>
      <c r="F2010">
        <v>388</v>
      </c>
    </row>
    <row r="2011" spans="1:6" ht="12.75">
      <c r="A2011" s="2">
        <v>43884.869004629625</v>
      </c>
      <c r="B2011" t="str">
        <f>HYPERLINK("https://twitter.com/GedeUbung","@GedeUbung")</f>
        <v>@GedeUbung</v>
      </c>
      <c r="C2011" t="s">
        <v>321</v>
      </c>
      <c r="D2011">
        <v>910</v>
      </c>
      <c r="E2011">
        <v>0</v>
      </c>
      <c r="F2011">
        <v>100</v>
      </c>
    </row>
    <row r="2012" spans="1:6" ht="12.75">
      <c r="A2012" s="2">
        <v>43884.868981481486</v>
      </c>
      <c r="B2012" t="str">
        <f>HYPERLINK("https://twitter.com/tikamurti","@tikamurti")</f>
        <v>@tikamurti</v>
      </c>
      <c r="C2012" t="s">
        <v>2091</v>
      </c>
      <c r="D2012">
        <v>611</v>
      </c>
      <c r="E2012">
        <v>0</v>
      </c>
      <c r="F2012">
        <v>644</v>
      </c>
    </row>
    <row r="2013" spans="1:6" ht="12.75">
      <c r="A2013" s="2">
        <v>43884.868842592594</v>
      </c>
      <c r="B2013" t="str">
        <f>HYPERLINK("https://twitter.com/LaelaAmien","@LaelaAmien")</f>
        <v>@LaelaAmien</v>
      </c>
      <c r="C2013" t="s">
        <v>2166</v>
      </c>
      <c r="D2013">
        <v>80</v>
      </c>
      <c r="E2013">
        <v>0</v>
      </c>
      <c r="F2013">
        <v>808</v>
      </c>
    </row>
    <row r="2014" spans="1:6" ht="12.75">
      <c r="A2014" s="2">
        <v>43884.868796296301</v>
      </c>
      <c r="B2014" t="str">
        <f t="shared" ref="B2014:B2015" si="52">HYPERLINK("https://twitter.com/trinugroho162","@trinugroho162")</f>
        <v>@trinugroho162</v>
      </c>
      <c r="C2014" t="s">
        <v>2120</v>
      </c>
      <c r="D2014">
        <v>23</v>
      </c>
      <c r="E2014">
        <v>0</v>
      </c>
      <c r="F2014">
        <v>1684</v>
      </c>
    </row>
    <row r="2015" spans="1:6" ht="12.75">
      <c r="A2015" s="2">
        <v>43884.868715277778</v>
      </c>
      <c r="B2015" t="str">
        <f t="shared" si="52"/>
        <v>@trinugroho162</v>
      </c>
      <c r="C2015" t="s">
        <v>2115</v>
      </c>
      <c r="D2015">
        <v>21</v>
      </c>
      <c r="E2015">
        <v>0</v>
      </c>
      <c r="F2015">
        <v>1684</v>
      </c>
    </row>
    <row r="2016" spans="1:6" ht="12.75">
      <c r="A2016" s="2">
        <v>43884.868692129632</v>
      </c>
      <c r="B2016" t="str">
        <f>HYPERLINK("https://twitter.com/vobonations","@vobonations")</f>
        <v>@vobonations</v>
      </c>
      <c r="C2016" t="s">
        <v>2741</v>
      </c>
      <c r="D2016">
        <v>0</v>
      </c>
      <c r="E2016">
        <v>0</v>
      </c>
      <c r="F2016">
        <v>61</v>
      </c>
    </row>
    <row r="2017" spans="1:6" ht="12.75">
      <c r="A2017" s="2">
        <v>43884.868506944447</v>
      </c>
      <c r="B2017" t="str">
        <f>HYPERLINK("https://twitter.com/trinugroho162","@trinugroho162")</f>
        <v>@trinugroho162</v>
      </c>
      <c r="C2017" t="s">
        <v>738</v>
      </c>
      <c r="D2017">
        <v>61</v>
      </c>
      <c r="E2017">
        <v>0</v>
      </c>
      <c r="F2017">
        <v>1684</v>
      </c>
    </row>
    <row r="2018" spans="1:6" ht="12.75">
      <c r="A2018" s="2">
        <v>43884.868148148147</v>
      </c>
      <c r="B2018" t="str">
        <f>HYPERLINK("https://twitter.com/Svastya","@Svastya")</f>
        <v>@Svastya</v>
      </c>
      <c r="C2018" t="s">
        <v>2091</v>
      </c>
      <c r="D2018">
        <v>611</v>
      </c>
      <c r="E2018">
        <v>0</v>
      </c>
      <c r="F2018">
        <v>81</v>
      </c>
    </row>
    <row r="2019" spans="1:6" ht="12.75">
      <c r="A2019" s="2">
        <v>43884.868113425924</v>
      </c>
      <c r="B2019" t="str">
        <f>HYPERLINK("https://twitter.com/Aq64987848","@Aq64987848")</f>
        <v>@Aq64987848</v>
      </c>
      <c r="C2019" t="s">
        <v>321</v>
      </c>
      <c r="D2019">
        <v>910</v>
      </c>
      <c r="E2019">
        <v>0</v>
      </c>
      <c r="F2019">
        <v>136</v>
      </c>
    </row>
    <row r="2020" spans="1:6" ht="12.75">
      <c r="A2020" s="2">
        <v>43884.868032407408</v>
      </c>
      <c r="B2020" t="str">
        <f>HYPERLINK("https://twitter.com/SaveArchipelago","@SaveArchipelago")</f>
        <v>@SaveArchipelago</v>
      </c>
      <c r="C2020" t="s">
        <v>2166</v>
      </c>
      <c r="D2020">
        <v>80</v>
      </c>
      <c r="E2020">
        <v>0</v>
      </c>
      <c r="F2020">
        <v>609</v>
      </c>
    </row>
    <row r="2021" spans="1:6" ht="12.75">
      <c r="A2021" s="2">
        <v>43884.867766203708</v>
      </c>
      <c r="B2021" t="str">
        <f>HYPERLINK("https://twitter.com/LegiCijo","@LegiCijo")</f>
        <v>@LegiCijo</v>
      </c>
      <c r="C2021" t="s">
        <v>321</v>
      </c>
      <c r="D2021">
        <v>910</v>
      </c>
      <c r="E2021">
        <v>0</v>
      </c>
      <c r="F2021">
        <v>320</v>
      </c>
    </row>
    <row r="2022" spans="1:6" ht="12.75">
      <c r="A2022" s="2">
        <v>43884.867708333331</v>
      </c>
      <c r="B2022" t="str">
        <f>HYPERLINK("https://twitter.com/jacktherock5","@jacktherock5")</f>
        <v>@jacktherock5</v>
      </c>
      <c r="C2022" t="s">
        <v>2742</v>
      </c>
      <c r="D2022">
        <v>0</v>
      </c>
      <c r="E2022">
        <v>0</v>
      </c>
      <c r="F2022">
        <v>377</v>
      </c>
    </row>
    <row r="2023" spans="1:6" ht="12.75">
      <c r="A2023" s="2">
        <v>43884.86755787037</v>
      </c>
      <c r="B2023" t="str">
        <f>HYPERLINK("https://twitter.com/kkvrindhavan","@kkvrindhavan")</f>
        <v>@kkvrindhavan</v>
      </c>
      <c r="C2023" t="s">
        <v>2166</v>
      </c>
      <c r="D2023">
        <v>80</v>
      </c>
      <c r="E2023">
        <v>0</v>
      </c>
      <c r="F2023">
        <v>1723</v>
      </c>
    </row>
    <row r="2024" spans="1:6" ht="12.75">
      <c r="A2024" s="2">
        <v>43884.867511574077</v>
      </c>
      <c r="B2024" t="str">
        <f>HYPERLINK("https://twitter.com/AlvaroZoell99","@AlvaroZoell99")</f>
        <v>@AlvaroZoell99</v>
      </c>
      <c r="C2024" t="s">
        <v>2138</v>
      </c>
      <c r="D2024">
        <v>267</v>
      </c>
      <c r="E2024">
        <v>0</v>
      </c>
      <c r="F2024">
        <v>453</v>
      </c>
    </row>
    <row r="2025" spans="1:6" ht="12.75">
      <c r="A2025" s="2">
        <v>43884.867430555554</v>
      </c>
      <c r="B2025" t="str">
        <f>HYPERLINK("https://twitter.com/dwiewibawanto","@dwiewibawanto")</f>
        <v>@dwiewibawanto</v>
      </c>
      <c r="C2025" t="s">
        <v>321</v>
      </c>
      <c r="D2025">
        <v>910</v>
      </c>
      <c r="E2025">
        <v>0</v>
      </c>
      <c r="F2025">
        <v>346</v>
      </c>
    </row>
    <row r="2026" spans="1:6" ht="12.75">
      <c r="A2026" s="2">
        <v>43884.867361111115</v>
      </c>
      <c r="B2026" t="str">
        <f t="shared" ref="B2026:B2027" si="53">HYPERLINK("https://twitter.com/trinugroho162","@trinugroho162")</f>
        <v>@trinugroho162</v>
      </c>
      <c r="C2026" t="s">
        <v>321</v>
      </c>
      <c r="D2026">
        <v>910</v>
      </c>
      <c r="E2026">
        <v>0</v>
      </c>
      <c r="F2026">
        <v>1684</v>
      </c>
    </row>
    <row r="2027" spans="1:6" ht="12.75">
      <c r="A2027" s="2">
        <v>43884.86719907407</v>
      </c>
      <c r="B2027" t="str">
        <f t="shared" si="53"/>
        <v>@trinugroho162</v>
      </c>
      <c r="C2027" t="s">
        <v>2166</v>
      </c>
      <c r="D2027">
        <v>80</v>
      </c>
      <c r="E2027">
        <v>0</v>
      </c>
      <c r="F2027">
        <v>1684</v>
      </c>
    </row>
    <row r="2028" spans="1:6" ht="12.75">
      <c r="A2028" s="2">
        <v>43884.867094907408</v>
      </c>
      <c r="B2028" t="str">
        <f>HYPERLINK("https://twitter.com/naruto31002259","@naruto31002259")</f>
        <v>@naruto31002259</v>
      </c>
      <c r="C2028" t="s">
        <v>738</v>
      </c>
      <c r="D2028">
        <v>61</v>
      </c>
      <c r="E2028">
        <v>0</v>
      </c>
      <c r="F2028">
        <v>1674</v>
      </c>
    </row>
    <row r="2029" spans="1:6" ht="12.75">
      <c r="A2029" s="2">
        <v>43884.866678240738</v>
      </c>
      <c r="B2029" t="str">
        <f>HYPERLINK("https://twitter.com/henrysimanjun13","@henrysimanjun13")</f>
        <v>@henrysimanjun13</v>
      </c>
      <c r="C2029" t="s">
        <v>2743</v>
      </c>
      <c r="D2029">
        <v>0</v>
      </c>
      <c r="E2029">
        <v>0</v>
      </c>
      <c r="F2029">
        <v>0</v>
      </c>
    </row>
    <row r="2030" spans="1:6" ht="12.75">
      <c r="A2030" s="2">
        <v>43884.866527777776</v>
      </c>
      <c r="B2030" t="str">
        <f>HYPERLINK("https://twitter.com/CepOmes","@CepOmes")</f>
        <v>@CepOmes</v>
      </c>
      <c r="C2030" t="s">
        <v>321</v>
      </c>
      <c r="D2030">
        <v>910</v>
      </c>
      <c r="E2030">
        <v>0</v>
      </c>
      <c r="F2030">
        <v>803</v>
      </c>
    </row>
    <row r="2031" spans="1:6" ht="12.75">
      <c r="A2031" s="2">
        <v>43884.866319444445</v>
      </c>
      <c r="B2031" t="str">
        <f>HYPERLINK("https://twitter.com/sakabato9","@sakabato9")</f>
        <v>@sakabato9</v>
      </c>
      <c r="C2031" t="s">
        <v>321</v>
      </c>
      <c r="D2031">
        <v>910</v>
      </c>
      <c r="E2031">
        <v>0</v>
      </c>
      <c r="F2031">
        <v>472</v>
      </c>
    </row>
    <row r="2032" spans="1:6" ht="12.75">
      <c r="A2032" s="2">
        <v>43884.866296296299</v>
      </c>
      <c r="B2032" t="str">
        <f>HYPERLINK("https://twitter.com/naruto31002259","@naruto31002259")</f>
        <v>@naruto31002259</v>
      </c>
      <c r="C2032" t="s">
        <v>321</v>
      </c>
      <c r="D2032">
        <v>910</v>
      </c>
      <c r="E2032">
        <v>0</v>
      </c>
      <c r="F2032">
        <v>1674</v>
      </c>
    </row>
    <row r="2033" spans="1:6" ht="12.75">
      <c r="A2033" s="2">
        <v>43884.866168981476</v>
      </c>
      <c r="B2033" t="str">
        <f>HYPERLINK("https://twitter.com/korbanpejabat","@korbanpejabat")</f>
        <v>@korbanpejabat</v>
      </c>
      <c r="C2033" t="s">
        <v>2744</v>
      </c>
      <c r="D2033">
        <v>22</v>
      </c>
      <c r="E2033">
        <v>0</v>
      </c>
      <c r="F2033">
        <v>722</v>
      </c>
    </row>
    <row r="2034" spans="1:6" ht="12.75">
      <c r="A2034" s="2">
        <v>43884.865578703699</v>
      </c>
      <c r="B2034" t="str">
        <f>HYPERLINK("https://twitter.com/beautiaa","@beautiaa")</f>
        <v>@beautiaa</v>
      </c>
      <c r="C2034" t="s">
        <v>2745</v>
      </c>
      <c r="D2034">
        <v>12260</v>
      </c>
      <c r="E2034">
        <v>0</v>
      </c>
      <c r="F2034">
        <v>367</v>
      </c>
    </row>
    <row r="2035" spans="1:6" ht="12.75">
      <c r="A2035" s="2">
        <v>43884.865497685183</v>
      </c>
      <c r="B2035" t="str">
        <f>HYPERLINK("https://twitter.com/Hari_Budiman22","@Hari_Budiman22")</f>
        <v>@Hari_Budiman22</v>
      </c>
      <c r="C2035" t="s">
        <v>321</v>
      </c>
      <c r="D2035">
        <v>910</v>
      </c>
      <c r="E2035">
        <v>0</v>
      </c>
      <c r="F2035">
        <v>570</v>
      </c>
    </row>
    <row r="2036" spans="1:6" ht="12.75">
      <c r="A2036" s="2">
        <v>43884.865497685183</v>
      </c>
      <c r="B2036" t="str">
        <f>HYPERLINK("https://twitter.com/Yogi1517","@Yogi1517")</f>
        <v>@Yogi1517</v>
      </c>
      <c r="C2036" t="s">
        <v>2091</v>
      </c>
      <c r="D2036">
        <v>611</v>
      </c>
      <c r="E2036">
        <v>0</v>
      </c>
      <c r="F2036">
        <v>12</v>
      </c>
    </row>
    <row r="2037" spans="1:6" ht="12.75">
      <c r="A2037" s="2">
        <v>43884.865381944444</v>
      </c>
      <c r="B2037" t="str">
        <f>HYPERLINK("https://twitter.com/Iglar3","@Iglar3")</f>
        <v>@Iglar3</v>
      </c>
      <c r="C2037" t="s">
        <v>2091</v>
      </c>
      <c r="D2037">
        <v>611</v>
      </c>
      <c r="E2037">
        <v>0</v>
      </c>
      <c r="F2037">
        <v>16</v>
      </c>
    </row>
    <row r="2038" spans="1:6" ht="12.75">
      <c r="A2038" s="2">
        <v>43884.865127314813</v>
      </c>
      <c r="B2038" t="str">
        <f>HYPERLINK("https://twitter.com/ferizandra","@ferizandra")</f>
        <v>@ferizandra</v>
      </c>
      <c r="C2038" t="s">
        <v>321</v>
      </c>
      <c r="D2038">
        <v>910</v>
      </c>
      <c r="E2038">
        <v>0</v>
      </c>
      <c r="F2038">
        <v>8074</v>
      </c>
    </row>
    <row r="2039" spans="1:6" ht="12.75">
      <c r="A2039" s="2">
        <v>43884.864965277782</v>
      </c>
      <c r="B2039" t="str">
        <f>HYPERLINK("https://twitter.com/joklutuk","@joklutuk")</f>
        <v>@joklutuk</v>
      </c>
      <c r="C2039" t="s">
        <v>2091</v>
      </c>
      <c r="D2039">
        <v>611</v>
      </c>
      <c r="E2039">
        <v>0</v>
      </c>
      <c r="F2039">
        <v>3</v>
      </c>
    </row>
    <row r="2040" spans="1:6" ht="12.75">
      <c r="A2040" s="2">
        <v>43884.864930555559</v>
      </c>
      <c r="B2040" t="str">
        <f>HYPERLINK("https://twitter.com/mdkoir","@mdkoir")</f>
        <v>@mdkoir</v>
      </c>
      <c r="C2040" t="s">
        <v>2166</v>
      </c>
      <c r="D2040">
        <v>80</v>
      </c>
      <c r="E2040">
        <v>0</v>
      </c>
      <c r="F2040">
        <v>524</v>
      </c>
    </row>
    <row r="2041" spans="1:6" ht="12.75">
      <c r="A2041" s="2">
        <v>43884.864768518513</v>
      </c>
      <c r="B2041" t="str">
        <f>HYPERLINK("https://twitter.com/Juveid2","@Juveid2")</f>
        <v>@Juveid2</v>
      </c>
      <c r="C2041" t="s">
        <v>2746</v>
      </c>
      <c r="D2041">
        <v>0</v>
      </c>
      <c r="E2041">
        <v>0</v>
      </c>
      <c r="F2041">
        <v>93</v>
      </c>
    </row>
    <row r="2042" spans="1:6" ht="12.75">
      <c r="A2042" s="2">
        <v>43884.864699074074</v>
      </c>
      <c r="B2042" t="str">
        <f>HYPERLINK("https://twitter.com/teguhwiyono","@teguhwiyono")</f>
        <v>@teguhwiyono</v>
      </c>
      <c r="C2042" t="s">
        <v>2166</v>
      </c>
      <c r="D2042">
        <v>80</v>
      </c>
      <c r="E2042">
        <v>0</v>
      </c>
      <c r="F2042">
        <v>222</v>
      </c>
    </row>
    <row r="2043" spans="1:6" ht="12.75">
      <c r="A2043" s="2">
        <v>43884.864421296297</v>
      </c>
      <c r="B2043" t="str">
        <f>HYPERLINK("https://twitter.com/rahminova2","@rahminova2")</f>
        <v>@rahminova2</v>
      </c>
      <c r="C2043" t="s">
        <v>2166</v>
      </c>
      <c r="D2043">
        <v>80</v>
      </c>
      <c r="E2043">
        <v>0</v>
      </c>
      <c r="F2043">
        <v>1297</v>
      </c>
    </row>
    <row r="2044" spans="1:6" ht="12.75">
      <c r="A2044" s="2">
        <v>43884.86440972222</v>
      </c>
      <c r="B2044" t="str">
        <f>HYPERLINK("https://twitter.com/elan_ghusma","@elan_ghusma")</f>
        <v>@elan_ghusma</v>
      </c>
      <c r="C2044" t="s">
        <v>2166</v>
      </c>
      <c r="D2044">
        <v>80</v>
      </c>
      <c r="E2044">
        <v>0</v>
      </c>
      <c r="F2044">
        <v>3568</v>
      </c>
    </row>
    <row r="2045" spans="1:6" ht="12.75">
      <c r="A2045" s="2">
        <v>43884.864375000005</v>
      </c>
      <c r="B2045" t="str">
        <f>HYPERLINK("https://twitter.com/lamsie_jan","@lamsie_jan")</f>
        <v>@lamsie_jan</v>
      </c>
      <c r="C2045" t="s">
        <v>321</v>
      </c>
      <c r="D2045">
        <v>910</v>
      </c>
      <c r="E2045">
        <v>0</v>
      </c>
      <c r="F2045">
        <v>731</v>
      </c>
    </row>
    <row r="2046" spans="1:6" ht="12.75">
      <c r="A2046" s="2">
        <v>43884.863773148143</v>
      </c>
      <c r="B2046" t="str">
        <f>HYPERLINK("https://twitter.com/novelmartian","@novelmartian")</f>
        <v>@novelmartian</v>
      </c>
      <c r="C2046" t="s">
        <v>321</v>
      </c>
      <c r="D2046">
        <v>910</v>
      </c>
      <c r="E2046">
        <v>0</v>
      </c>
      <c r="F2046">
        <v>24</v>
      </c>
    </row>
    <row r="2047" spans="1:6" ht="12.75">
      <c r="A2047" s="2">
        <v>43884.863738425927</v>
      </c>
      <c r="B2047" t="str">
        <f>HYPERLINK("https://twitter.com/EkiAgusM","@EkiAgusM")</f>
        <v>@EkiAgusM</v>
      </c>
      <c r="C2047" t="s">
        <v>321</v>
      </c>
      <c r="D2047">
        <v>910</v>
      </c>
      <c r="E2047">
        <v>0</v>
      </c>
      <c r="F2047">
        <v>408</v>
      </c>
    </row>
    <row r="2048" spans="1:6" ht="12.75">
      <c r="A2048" s="2">
        <v>43884.863668981481</v>
      </c>
      <c r="B2048" t="str">
        <f>HYPERLINK("https://twitter.com/itscaptbitjh","@itscaptbitjh")</f>
        <v>@itscaptbitjh</v>
      </c>
      <c r="C2048" t="s">
        <v>2747</v>
      </c>
      <c r="D2048">
        <v>0</v>
      </c>
      <c r="E2048">
        <v>0</v>
      </c>
      <c r="F2048">
        <v>151</v>
      </c>
    </row>
    <row r="2049" spans="1:6" ht="12.75">
      <c r="A2049" s="2">
        <v>43884.863576388889</v>
      </c>
      <c r="B2049" t="str">
        <f>HYPERLINK("https://twitter.com/Hali__lintar","@Hali__lintar")</f>
        <v>@Hali__lintar</v>
      </c>
      <c r="C2049" t="s">
        <v>2138</v>
      </c>
      <c r="D2049">
        <v>267</v>
      </c>
      <c r="E2049">
        <v>0</v>
      </c>
      <c r="F2049">
        <v>9301</v>
      </c>
    </row>
    <row r="2050" spans="1:6" ht="12.75">
      <c r="A2050" s="2">
        <v>43884.863437499997</v>
      </c>
      <c r="B2050" t="str">
        <f>HYPERLINK("https://twitter.com/choniby","@choniby")</f>
        <v>@choniby</v>
      </c>
      <c r="C2050" t="s">
        <v>2138</v>
      </c>
      <c r="D2050">
        <v>267</v>
      </c>
      <c r="E2050">
        <v>0</v>
      </c>
      <c r="F2050">
        <v>280</v>
      </c>
    </row>
    <row r="2051" spans="1:6" ht="12.75">
      <c r="A2051" s="2">
        <v>43884.863437499997</v>
      </c>
      <c r="B2051" t="str">
        <f>HYPERLINK("https://twitter.com/bloekoetoeq","@bloekoetoeq")</f>
        <v>@bloekoetoeq</v>
      </c>
      <c r="C2051" t="s">
        <v>321</v>
      </c>
      <c r="D2051">
        <v>910</v>
      </c>
      <c r="E2051">
        <v>0</v>
      </c>
      <c r="F2051">
        <v>471</v>
      </c>
    </row>
    <row r="2052" spans="1:6" ht="12.75">
      <c r="A2052" s="2">
        <v>43884.863402777773</v>
      </c>
      <c r="B2052" t="str">
        <f>HYPERLINK("https://twitter.com/nana040461","@nana040461")</f>
        <v>@nana040461</v>
      </c>
      <c r="C2052" t="s">
        <v>321</v>
      </c>
      <c r="D2052">
        <v>910</v>
      </c>
      <c r="E2052">
        <v>0</v>
      </c>
      <c r="F2052">
        <v>1851</v>
      </c>
    </row>
    <row r="2053" spans="1:6" ht="12.75">
      <c r="A2053" s="2">
        <v>43884.863263888888</v>
      </c>
      <c r="B2053" t="str">
        <f>HYPERLINK("https://twitter.com/a4f87bdda1c54c0","@a4f87bdda1c54c0")</f>
        <v>@a4f87bdda1c54c0</v>
      </c>
      <c r="C2053" t="s">
        <v>321</v>
      </c>
      <c r="D2053">
        <v>910</v>
      </c>
      <c r="E2053">
        <v>0</v>
      </c>
      <c r="F2053">
        <v>1249</v>
      </c>
    </row>
    <row r="2054" spans="1:6" ht="12.75">
      <c r="A2054" s="2">
        <v>43884.863171296296</v>
      </c>
      <c r="B2054" t="str">
        <f>HYPERLINK("https://twitter.com/tetti_rachmi","@tetti_rachmi")</f>
        <v>@tetti_rachmi</v>
      </c>
      <c r="C2054" t="s">
        <v>2748</v>
      </c>
      <c r="D2054">
        <v>7</v>
      </c>
      <c r="E2054">
        <v>0</v>
      </c>
      <c r="F2054">
        <v>259</v>
      </c>
    </row>
    <row r="2055" spans="1:6" ht="12.75">
      <c r="A2055" s="2">
        <v>43884.863078703704</v>
      </c>
      <c r="B2055" t="str">
        <f>HYPERLINK("https://twitter.com/ark_yz","@ark_yz")</f>
        <v>@ark_yz</v>
      </c>
      <c r="C2055" t="s">
        <v>738</v>
      </c>
      <c r="D2055">
        <v>61</v>
      </c>
      <c r="E2055">
        <v>0</v>
      </c>
      <c r="F2055">
        <v>644</v>
      </c>
    </row>
    <row r="2056" spans="1:6" ht="12.75">
      <c r="A2056" s="2">
        <v>43884.862939814819</v>
      </c>
      <c r="B2056" t="str">
        <f>HYPERLINK("https://twitter.com/Amirmasoom131","@Amirmasoom131")</f>
        <v>@Amirmasoom131</v>
      </c>
      <c r="C2056" t="s">
        <v>2749</v>
      </c>
      <c r="D2056">
        <v>0</v>
      </c>
      <c r="E2056">
        <v>0</v>
      </c>
      <c r="F2056">
        <v>473</v>
      </c>
    </row>
    <row r="2057" spans="1:6" ht="12.75">
      <c r="A2057" s="2">
        <v>43884.834907407407</v>
      </c>
      <c r="B2057" t="str">
        <f>HYPERLINK("https://twitter.com/AlvaroZoell99","@AlvaroZoell99")</f>
        <v>@AlvaroZoell99</v>
      </c>
      <c r="C2057" t="s">
        <v>2750</v>
      </c>
      <c r="D2057">
        <v>19</v>
      </c>
      <c r="E2057">
        <v>0</v>
      </c>
      <c r="F2057">
        <v>453</v>
      </c>
    </row>
    <row r="2058" spans="1:6" ht="12.75">
      <c r="A2058" s="2">
        <v>43884.834710648152</v>
      </c>
      <c r="B2058" t="str">
        <f>HYPERLINK("https://twitter.com/zusuf","@zusuf")</f>
        <v>@zusuf</v>
      </c>
      <c r="C2058" t="s">
        <v>321</v>
      </c>
      <c r="D2058">
        <v>764</v>
      </c>
      <c r="E2058">
        <v>0</v>
      </c>
      <c r="F2058">
        <v>220</v>
      </c>
    </row>
    <row r="2059" spans="1:6" ht="12.75">
      <c r="A2059" s="2">
        <v>43884.834699074076</v>
      </c>
      <c r="B2059" t="str">
        <f>HYPERLINK("https://twitter.com/lissaaaaas","@lissaaaaas")</f>
        <v>@lissaaaaas</v>
      </c>
      <c r="C2059" t="s">
        <v>2751</v>
      </c>
      <c r="D2059">
        <v>0</v>
      </c>
      <c r="E2059">
        <v>0</v>
      </c>
      <c r="F2059">
        <v>276</v>
      </c>
    </row>
    <row r="2060" spans="1:6" ht="12.75">
      <c r="A2060" s="2">
        <v>43884.834606481483</v>
      </c>
      <c r="B2060" t="str">
        <f>HYPERLINK("https://twitter.com/paqi_liverpool","@paqi_liverpool")</f>
        <v>@paqi_liverpool</v>
      </c>
      <c r="C2060" t="s">
        <v>321</v>
      </c>
      <c r="D2060">
        <v>764</v>
      </c>
      <c r="E2060">
        <v>0</v>
      </c>
      <c r="F2060">
        <v>217</v>
      </c>
    </row>
    <row r="2061" spans="1:6" ht="12.75">
      <c r="A2061" s="2">
        <v>43884.83457175926</v>
      </c>
      <c r="B2061" t="str">
        <f>HYPERLINK("https://twitter.com/inggitprill","@inggitprill")</f>
        <v>@inggitprill</v>
      </c>
      <c r="C2061" t="s">
        <v>2091</v>
      </c>
      <c r="D2061">
        <v>543</v>
      </c>
      <c r="E2061">
        <v>0</v>
      </c>
      <c r="F2061">
        <v>671</v>
      </c>
    </row>
    <row r="2062" spans="1:6" ht="12.75">
      <c r="A2062" s="2">
        <v>43884.834293981483</v>
      </c>
      <c r="B2062" t="str">
        <f>HYPERLINK("https://twitter.com/ubicilembuuu","@ubicilembuuu")</f>
        <v>@ubicilembuuu</v>
      </c>
      <c r="C2062" t="s">
        <v>2091</v>
      </c>
      <c r="D2062">
        <v>543</v>
      </c>
      <c r="E2062">
        <v>0</v>
      </c>
      <c r="F2062">
        <v>1118</v>
      </c>
    </row>
    <row r="2063" spans="1:6" ht="12.75">
      <c r="A2063" s="2">
        <v>43884.834143518514</v>
      </c>
      <c r="B2063" t="str">
        <f>HYPERLINK("https://twitter.com/eben_heizer","@eben_heizer")</f>
        <v>@eben_heizer</v>
      </c>
      <c r="C2063" t="s">
        <v>2752</v>
      </c>
      <c r="D2063">
        <v>3</v>
      </c>
      <c r="E2063">
        <v>0</v>
      </c>
      <c r="F2063">
        <v>1617</v>
      </c>
    </row>
    <row r="2064" spans="1:6" ht="12.75">
      <c r="A2064" s="2">
        <v>43884.833981481483</v>
      </c>
      <c r="B2064" t="str">
        <f>HYPERLINK("https://twitter.com/moyazizah","@moyazizah")</f>
        <v>@moyazizah</v>
      </c>
      <c r="C2064" t="s">
        <v>321</v>
      </c>
      <c r="D2064">
        <v>764</v>
      </c>
      <c r="E2064">
        <v>0</v>
      </c>
      <c r="F2064">
        <v>25</v>
      </c>
    </row>
    <row r="2065" spans="1:6" ht="12.75">
      <c r="A2065" s="2">
        <v>43884.833912037036</v>
      </c>
      <c r="B2065" t="str">
        <f>HYPERLINK("https://twitter.com/Penangkalnegat1","@Penangkalnegat1")</f>
        <v>@Penangkalnegat1</v>
      </c>
      <c r="C2065" t="s">
        <v>2091</v>
      </c>
      <c r="D2065">
        <v>543</v>
      </c>
      <c r="E2065">
        <v>0</v>
      </c>
      <c r="F2065">
        <v>340</v>
      </c>
    </row>
    <row r="2066" spans="1:6" ht="12.75">
      <c r="A2066" s="2">
        <v>43884.833877314813</v>
      </c>
      <c r="B2066" t="str">
        <f>HYPERLINK("https://twitter.com/etikwahyu","@etikwahyu")</f>
        <v>@etikwahyu</v>
      </c>
      <c r="C2066" t="s">
        <v>321</v>
      </c>
      <c r="D2066">
        <v>764</v>
      </c>
      <c r="E2066">
        <v>0</v>
      </c>
      <c r="F2066">
        <v>581</v>
      </c>
    </row>
    <row r="2067" spans="1:6" ht="12.75">
      <c r="A2067" s="2">
        <v>43884.833854166667</v>
      </c>
      <c r="B2067" t="str">
        <f>HYPERLINK("https://twitter.com/rochanluvlalala","@rochanluvlalala")</f>
        <v>@rochanluvlalala</v>
      </c>
      <c r="C2067" t="s">
        <v>2138</v>
      </c>
      <c r="D2067">
        <v>248</v>
      </c>
      <c r="E2067">
        <v>0</v>
      </c>
      <c r="F2067">
        <v>3031</v>
      </c>
    </row>
    <row r="2068" spans="1:6" ht="12.75">
      <c r="A2068" s="2">
        <v>43884.833831018521</v>
      </c>
      <c r="B2068" t="str">
        <f>HYPERLINK("https://twitter.com/sandal_djephitz","@sandal_djephitz")</f>
        <v>@sandal_djephitz</v>
      </c>
      <c r="C2068" t="s">
        <v>2091</v>
      </c>
      <c r="D2068">
        <v>543</v>
      </c>
      <c r="E2068">
        <v>0</v>
      </c>
      <c r="F2068">
        <v>20</v>
      </c>
    </row>
    <row r="2069" spans="1:6" ht="12.75">
      <c r="A2069" s="2">
        <v>43884.833831018521</v>
      </c>
      <c r="B2069" t="str">
        <f>HYPERLINK("https://twitter.com/yuyunrahma07","@yuyunrahma07")</f>
        <v>@yuyunrahma07</v>
      </c>
      <c r="C2069" t="s">
        <v>2091</v>
      </c>
      <c r="D2069">
        <v>543</v>
      </c>
      <c r="E2069">
        <v>0</v>
      </c>
      <c r="F2069">
        <v>499</v>
      </c>
    </row>
    <row r="2070" spans="1:6" ht="12.75">
      <c r="A2070" s="2">
        <v>43884.833750000005</v>
      </c>
      <c r="B2070" t="str">
        <f>HYPERLINK("https://twitter.com/dodi_ahmad07","@dodi_ahmad07")</f>
        <v>@dodi_ahmad07</v>
      </c>
      <c r="C2070" t="s">
        <v>2752</v>
      </c>
      <c r="D2070">
        <v>3</v>
      </c>
      <c r="E2070">
        <v>0</v>
      </c>
      <c r="F2070">
        <v>628</v>
      </c>
    </row>
    <row r="2071" spans="1:6" ht="12.75">
      <c r="A2071" s="2">
        <v>43884.833611111113</v>
      </c>
      <c r="B2071" t="str">
        <f>HYPERLINK("https://twitter.com/sayvul","@sayvul")</f>
        <v>@sayvul</v>
      </c>
      <c r="C2071" t="s">
        <v>2138</v>
      </c>
      <c r="D2071">
        <v>248</v>
      </c>
      <c r="E2071">
        <v>0</v>
      </c>
      <c r="F2071">
        <v>386</v>
      </c>
    </row>
    <row r="2072" spans="1:6" ht="12.75">
      <c r="A2072" s="2">
        <v>43884.833587962959</v>
      </c>
      <c r="B2072" t="str">
        <f>HYPERLINK("https://twitter.com/erhancandra","@erhancandra")</f>
        <v>@erhancandra</v>
      </c>
      <c r="C2072" t="s">
        <v>321</v>
      </c>
      <c r="D2072">
        <v>764</v>
      </c>
      <c r="E2072">
        <v>0</v>
      </c>
      <c r="F2072">
        <v>603</v>
      </c>
    </row>
    <row r="2073" spans="1:6" ht="12.75">
      <c r="A2073" s="2">
        <v>43884.833414351851</v>
      </c>
      <c r="B2073" t="str">
        <f>HYPERLINK("https://twitter.com/purirohermawan","@purirohermawan")</f>
        <v>@purirohermawan</v>
      </c>
      <c r="C2073" t="s">
        <v>2752</v>
      </c>
      <c r="D2073">
        <v>3</v>
      </c>
      <c r="E2073">
        <v>0</v>
      </c>
      <c r="F2073">
        <v>225</v>
      </c>
    </row>
    <row r="2074" spans="1:6" ht="12.75">
      <c r="A2074" s="2">
        <v>43884.833009259259</v>
      </c>
      <c r="B2074" t="str">
        <f>HYPERLINK("https://twitter.com/wangchuliching","@wangchuliching")</f>
        <v>@wangchuliching</v>
      </c>
      <c r="C2074" t="s">
        <v>2166</v>
      </c>
      <c r="D2074">
        <v>35</v>
      </c>
      <c r="E2074">
        <v>0</v>
      </c>
      <c r="F2074">
        <v>1259</v>
      </c>
    </row>
    <row r="2075" spans="1:6" ht="12.75">
      <c r="A2075" s="2">
        <v>43884.832997685182</v>
      </c>
      <c r="B2075" t="str">
        <f>HYPERLINK("https://twitter.com/arieparikesit","@arieparikesit")</f>
        <v>@arieparikesit</v>
      </c>
      <c r="C2075" t="s">
        <v>321</v>
      </c>
      <c r="D2075">
        <v>764</v>
      </c>
      <c r="E2075">
        <v>0</v>
      </c>
      <c r="F2075">
        <v>148327</v>
      </c>
    </row>
    <row r="2076" spans="1:6" ht="12.75">
      <c r="A2076" s="2">
        <v>43884.832870370374</v>
      </c>
      <c r="B2076" t="str">
        <f>HYPERLINK("https://twitter.com/taufannurcahyo","@taufannurcahyo")</f>
        <v>@taufannurcahyo</v>
      </c>
      <c r="C2076" t="s">
        <v>321</v>
      </c>
      <c r="D2076">
        <v>764</v>
      </c>
      <c r="E2076">
        <v>0</v>
      </c>
      <c r="F2076">
        <v>354</v>
      </c>
    </row>
    <row r="2077" spans="1:6" ht="12.75">
      <c r="A2077" s="2">
        <v>43884.832627314812</v>
      </c>
      <c r="B2077" t="str">
        <f>HYPERLINK("https://twitter.com/Youthee3","@Youthee3")</f>
        <v>@Youthee3</v>
      </c>
      <c r="C2077" t="s">
        <v>321</v>
      </c>
      <c r="D2077">
        <v>764</v>
      </c>
      <c r="E2077">
        <v>0</v>
      </c>
      <c r="F2077">
        <v>68</v>
      </c>
    </row>
    <row r="2078" spans="1:6" ht="12.75">
      <c r="A2078" s="2">
        <v>43884.832569444443</v>
      </c>
      <c r="B2078" t="str">
        <f>HYPERLINK("https://twitter.com/Chaca01909935","@Chaca01909935")</f>
        <v>@Chaca01909935</v>
      </c>
      <c r="C2078" t="s">
        <v>2138</v>
      </c>
      <c r="D2078">
        <v>248</v>
      </c>
      <c r="E2078">
        <v>0</v>
      </c>
      <c r="F2078">
        <v>3</v>
      </c>
    </row>
    <row r="2079" spans="1:6" ht="12.75">
      <c r="A2079" s="2">
        <v>43884.832569444443</v>
      </c>
      <c r="B2079" t="str">
        <f>HYPERLINK("https://twitter.com/Edihart41829477","@Edihart41829477")</f>
        <v>@Edihart41829477</v>
      </c>
      <c r="C2079" t="s">
        <v>2153</v>
      </c>
      <c r="D2079">
        <v>343</v>
      </c>
      <c r="E2079">
        <v>0</v>
      </c>
      <c r="F2079">
        <v>114</v>
      </c>
    </row>
    <row r="2080" spans="1:6" ht="12.75">
      <c r="A2080" s="2">
        <v>43884.832546296297</v>
      </c>
      <c r="B2080" t="str">
        <f>HYPERLINK("https://twitter.com/kopitoba","@kopitoba")</f>
        <v>@kopitoba</v>
      </c>
      <c r="C2080" t="s">
        <v>2091</v>
      </c>
      <c r="D2080">
        <v>543</v>
      </c>
      <c r="E2080">
        <v>0</v>
      </c>
      <c r="F2080">
        <v>315</v>
      </c>
    </row>
    <row r="2081" spans="1:6" ht="12.75">
      <c r="A2081" s="2">
        <v>43884.832523148143</v>
      </c>
      <c r="B2081" t="str">
        <f t="shared" ref="B2081:B2082" si="54">HYPERLINK("https://twitter.com/Youthee3","@Youthee3")</f>
        <v>@Youthee3</v>
      </c>
      <c r="C2081" t="s">
        <v>738</v>
      </c>
      <c r="D2081">
        <v>48</v>
      </c>
      <c r="E2081">
        <v>0</v>
      </c>
      <c r="F2081">
        <v>68</v>
      </c>
    </row>
    <row r="2082" spans="1:6" ht="12.75">
      <c r="A2082" s="2">
        <v>43884.832453703704</v>
      </c>
      <c r="B2082" t="str">
        <f t="shared" si="54"/>
        <v>@Youthee3</v>
      </c>
      <c r="C2082" t="s">
        <v>2115</v>
      </c>
      <c r="D2082">
        <v>19</v>
      </c>
      <c r="E2082">
        <v>0</v>
      </c>
      <c r="F2082">
        <v>68</v>
      </c>
    </row>
    <row r="2083" spans="1:6" ht="12.75">
      <c r="A2083" s="2">
        <v>43884.832129629634</v>
      </c>
      <c r="B2083" t="str">
        <f>HYPERLINK("https://twitter.com/aguscosmo","@aguscosmo")</f>
        <v>@aguscosmo</v>
      </c>
      <c r="C2083" t="s">
        <v>2091</v>
      </c>
      <c r="D2083">
        <v>543</v>
      </c>
      <c r="E2083">
        <v>0</v>
      </c>
      <c r="F2083">
        <v>312</v>
      </c>
    </row>
    <row r="2084" spans="1:6" ht="12.75">
      <c r="A2084" s="2">
        <v>43884.832083333335</v>
      </c>
      <c r="B2084" t="str">
        <f>HYPERLINK("https://twitter.com/JadiLebih","@JadiLebih")</f>
        <v>@JadiLebih</v>
      </c>
      <c r="C2084" t="s">
        <v>321</v>
      </c>
      <c r="D2084">
        <v>764</v>
      </c>
      <c r="E2084">
        <v>0</v>
      </c>
      <c r="F2084">
        <v>886</v>
      </c>
    </row>
    <row r="2085" spans="1:6" ht="12.75">
      <c r="A2085" s="2">
        <v>43884.83194444445</v>
      </c>
      <c r="B2085" t="str">
        <f>HYPERLINK("https://twitter.com/rsarahyu","@rsarahyu")</f>
        <v>@rsarahyu</v>
      </c>
      <c r="C2085" t="s">
        <v>321</v>
      </c>
      <c r="D2085">
        <v>764</v>
      </c>
      <c r="E2085">
        <v>0</v>
      </c>
      <c r="F2085">
        <v>23</v>
      </c>
    </row>
    <row r="2086" spans="1:6" ht="12.75">
      <c r="A2086" s="2">
        <v>43884.831770833334</v>
      </c>
      <c r="B2086" t="str">
        <f>HYPERLINK("https://twitter.com/jon1_14","@jon1_14")</f>
        <v>@jon1_14</v>
      </c>
      <c r="C2086" t="s">
        <v>2091</v>
      </c>
      <c r="D2086">
        <v>543</v>
      </c>
      <c r="E2086">
        <v>0</v>
      </c>
      <c r="F2086">
        <v>140</v>
      </c>
    </row>
    <row r="2087" spans="1:6" ht="12.75">
      <c r="A2087" s="2">
        <v>43884.83148148148</v>
      </c>
      <c r="B2087" t="str">
        <f>HYPERLINK("https://twitter.com/adimassapta","@adimassapta")</f>
        <v>@adimassapta</v>
      </c>
      <c r="C2087" t="s">
        <v>2753</v>
      </c>
      <c r="D2087">
        <v>7</v>
      </c>
      <c r="E2087">
        <v>0</v>
      </c>
      <c r="F2087">
        <v>67</v>
      </c>
    </row>
    <row r="2088" spans="1:6" ht="12.75">
      <c r="A2088" s="2">
        <v>43884.831435185188</v>
      </c>
      <c r="B2088" t="str">
        <f>HYPERLINK("https://twitter.com/KH4P03R","@KH4P03R")</f>
        <v>@KH4P03R</v>
      </c>
      <c r="C2088" t="s">
        <v>2091</v>
      </c>
      <c r="D2088">
        <v>543</v>
      </c>
      <c r="E2088">
        <v>0</v>
      </c>
      <c r="F2088">
        <v>1376</v>
      </c>
    </row>
    <row r="2089" spans="1:6" ht="12.75">
      <c r="A2089" s="2">
        <v>43884.831331018519</v>
      </c>
      <c r="B2089" t="str">
        <f>HYPERLINK("https://twitter.com/AryaWBPinatih47","@AryaWBPinatih47")</f>
        <v>@AryaWBPinatih47</v>
      </c>
      <c r="C2089" t="s">
        <v>321</v>
      </c>
      <c r="D2089">
        <v>764</v>
      </c>
      <c r="E2089">
        <v>0</v>
      </c>
      <c r="F2089">
        <v>2328</v>
      </c>
    </row>
    <row r="2090" spans="1:6" ht="12.75">
      <c r="A2090" s="2">
        <v>43884.831319444449</v>
      </c>
      <c r="B2090" t="str">
        <f>HYPERLINK("https://twitter.com/kasiyanto82","@kasiyanto82")</f>
        <v>@kasiyanto82</v>
      </c>
      <c r="C2090" t="s">
        <v>2091</v>
      </c>
      <c r="D2090">
        <v>543</v>
      </c>
      <c r="E2090">
        <v>0</v>
      </c>
      <c r="F2090">
        <v>1694</v>
      </c>
    </row>
    <row r="2091" spans="1:6" ht="12.75">
      <c r="A2091" s="2">
        <v>43884.831273148149</v>
      </c>
      <c r="B2091" t="str">
        <f>HYPERLINK("https://twitter.com/sultanalfathir","@sultanalfathir")</f>
        <v>@sultanalfathir</v>
      </c>
      <c r="C2091" t="s">
        <v>2754</v>
      </c>
      <c r="D2091">
        <v>0</v>
      </c>
      <c r="E2091">
        <v>0</v>
      </c>
      <c r="F2091">
        <v>119</v>
      </c>
    </row>
    <row r="2092" spans="1:6" ht="12.75">
      <c r="A2092" s="2">
        <v>43884.831273148149</v>
      </c>
      <c r="B2092" t="str">
        <f>HYPERLINK("https://twitter.com/kompascom","@kompascom")</f>
        <v>@kompascom</v>
      </c>
      <c r="C2092" t="s">
        <v>2755</v>
      </c>
      <c r="D2092">
        <v>3</v>
      </c>
      <c r="E2092">
        <v>9</v>
      </c>
      <c r="F2092">
        <v>7509160</v>
      </c>
    </row>
    <row r="2093" spans="1:6" ht="12.75">
      <c r="A2093" s="2">
        <v>43884.831250000003</v>
      </c>
      <c r="B2093" t="str">
        <f>HYPERLINK("https://twitter.com/AjikWah","@AjikWah")</f>
        <v>@AjikWah</v>
      </c>
      <c r="C2093" t="s">
        <v>2091</v>
      </c>
      <c r="D2093">
        <v>543</v>
      </c>
      <c r="E2093">
        <v>0</v>
      </c>
      <c r="F2093">
        <v>1186</v>
      </c>
    </row>
    <row r="2094" spans="1:6" ht="12.75">
      <c r="A2094" s="2">
        <v>43884.831250000003</v>
      </c>
      <c r="B2094" t="str">
        <f>HYPERLINK("https://twitter.com/jon1_14","@jon1_14")</f>
        <v>@jon1_14</v>
      </c>
      <c r="C2094" t="s">
        <v>2756</v>
      </c>
      <c r="D2094">
        <v>63</v>
      </c>
      <c r="E2094">
        <v>0</v>
      </c>
      <c r="F2094">
        <v>140</v>
      </c>
    </row>
    <row r="2095" spans="1:6" ht="12.75">
      <c r="A2095" s="2">
        <v>43884.83116898148</v>
      </c>
      <c r="B2095" t="str">
        <f>HYPERLINK("https://twitter.com/dteleer","@dteleer")</f>
        <v>@dteleer</v>
      </c>
      <c r="C2095" t="s">
        <v>2091</v>
      </c>
      <c r="D2095">
        <v>543</v>
      </c>
      <c r="E2095">
        <v>0</v>
      </c>
      <c r="F2095">
        <v>3649</v>
      </c>
    </row>
    <row r="2096" spans="1:6" ht="12.75">
      <c r="A2096" s="2">
        <v>43884.831076388888</v>
      </c>
      <c r="B2096" t="str">
        <f>HYPERLINK("https://twitter.com/Ulama_Sangean","@Ulama_Sangean")</f>
        <v>@Ulama_Sangean</v>
      </c>
      <c r="C2096" t="s">
        <v>2138</v>
      </c>
      <c r="D2096">
        <v>248</v>
      </c>
      <c r="E2096">
        <v>0</v>
      </c>
      <c r="F2096">
        <v>732</v>
      </c>
    </row>
    <row r="2097" spans="1:6" ht="12.75">
      <c r="A2097" s="2">
        <v>43884.831076388888</v>
      </c>
      <c r="B2097" t="str">
        <f>HYPERLINK("https://twitter.com/jovicohalim70","@jovicohalim70")</f>
        <v>@jovicohalim70</v>
      </c>
      <c r="C2097" t="s">
        <v>2138</v>
      </c>
      <c r="D2097">
        <v>248</v>
      </c>
      <c r="E2097">
        <v>0</v>
      </c>
      <c r="F2097">
        <v>115</v>
      </c>
    </row>
    <row r="2098" spans="1:6" ht="12.75">
      <c r="A2098" s="2">
        <v>43884.830949074079</v>
      </c>
      <c r="B2098" t="str">
        <f>HYPERLINK("https://twitter.com/Namnam_dohyon","@Namnam_dohyon")</f>
        <v>@Namnam_dohyon</v>
      </c>
      <c r="C2098" t="s">
        <v>2757</v>
      </c>
      <c r="D2098">
        <v>1</v>
      </c>
      <c r="E2098">
        <v>0</v>
      </c>
      <c r="F2098">
        <v>40</v>
      </c>
    </row>
    <row r="2099" spans="1:6" ht="12.75">
      <c r="A2099" s="2">
        <v>43884.830752314811</v>
      </c>
      <c r="B2099" t="str">
        <f>HYPERLINK("https://twitter.com/pujyhartono","@pujyhartono")</f>
        <v>@pujyhartono</v>
      </c>
      <c r="C2099" t="s">
        <v>321</v>
      </c>
      <c r="D2099">
        <v>764</v>
      </c>
      <c r="E2099">
        <v>0</v>
      </c>
      <c r="F2099">
        <v>412</v>
      </c>
    </row>
    <row r="2100" spans="1:6" ht="12.75">
      <c r="A2100" s="2">
        <v>43884.830601851849</v>
      </c>
      <c r="B2100" t="str">
        <f>HYPERLINK("https://twitter.com/yang_cerah","@yang_cerah")</f>
        <v>@yang_cerah</v>
      </c>
      <c r="C2100" t="s">
        <v>321</v>
      </c>
      <c r="D2100">
        <v>764</v>
      </c>
      <c r="E2100">
        <v>0</v>
      </c>
      <c r="F2100">
        <v>164</v>
      </c>
    </row>
    <row r="2101" spans="1:6" ht="12.75">
      <c r="A2101" s="2">
        <v>43884.830543981487</v>
      </c>
      <c r="B2101" t="str">
        <f>HYPERLINK("https://twitter.com/harunmasikuh","@harunmasikuh")</f>
        <v>@harunmasikuh</v>
      </c>
      <c r="C2101" t="s">
        <v>321</v>
      </c>
      <c r="D2101">
        <v>764</v>
      </c>
      <c r="E2101">
        <v>0</v>
      </c>
      <c r="F2101">
        <v>688</v>
      </c>
    </row>
    <row r="2102" spans="1:6" ht="12.75">
      <c r="A2102" s="2">
        <v>43884.830370370371</v>
      </c>
      <c r="B2102" t="str">
        <f>HYPERLINK("https://twitter.com/FMaramin","@FMaramin")</f>
        <v>@FMaramin</v>
      </c>
      <c r="C2102" t="s">
        <v>2091</v>
      </c>
      <c r="D2102">
        <v>543</v>
      </c>
      <c r="E2102">
        <v>0</v>
      </c>
      <c r="F2102">
        <v>45</v>
      </c>
    </row>
    <row r="2103" spans="1:6" ht="12.75">
      <c r="A2103" s="2">
        <v>43884.830324074079</v>
      </c>
      <c r="B2103" t="str">
        <f>HYPERLINK("https://twitter.com/NiaArmiani17","@NiaArmiani17")</f>
        <v>@NiaArmiani17</v>
      </c>
      <c r="C2103" t="s">
        <v>321</v>
      </c>
      <c r="D2103">
        <v>764</v>
      </c>
      <c r="E2103">
        <v>0</v>
      </c>
      <c r="F2103">
        <v>188</v>
      </c>
    </row>
    <row r="2104" spans="1:6" ht="12.75">
      <c r="A2104" s="2">
        <v>43884.830011574071</v>
      </c>
      <c r="B2104" t="str">
        <f>HYPERLINK("https://twitter.com/Panjipriut","@Panjipriut")</f>
        <v>@Panjipriut</v>
      </c>
      <c r="C2104" t="s">
        <v>321</v>
      </c>
      <c r="D2104">
        <v>764</v>
      </c>
      <c r="E2104">
        <v>0</v>
      </c>
      <c r="F2104">
        <v>417</v>
      </c>
    </row>
    <row r="2105" spans="1:6" ht="12.75">
      <c r="A2105" s="2">
        <v>43884.829826388886</v>
      </c>
      <c r="B2105" t="str">
        <f>HYPERLINK("https://twitter.com/jon1_14","@jon1_14")</f>
        <v>@jon1_14</v>
      </c>
      <c r="C2105" t="s">
        <v>2138</v>
      </c>
      <c r="D2105">
        <v>248</v>
      </c>
      <c r="E2105">
        <v>0</v>
      </c>
      <c r="F2105">
        <v>140</v>
      </c>
    </row>
    <row r="2106" spans="1:6" ht="12.75">
      <c r="A2106" s="2">
        <v>43884.82980324074</v>
      </c>
      <c r="B2106" t="str">
        <f>HYPERLINK("https://twitter.com/prayudimas","@prayudimas")</f>
        <v>@prayudimas</v>
      </c>
      <c r="C2106" t="s">
        <v>2091</v>
      </c>
      <c r="D2106">
        <v>543</v>
      </c>
      <c r="E2106">
        <v>0</v>
      </c>
      <c r="F2106">
        <v>121</v>
      </c>
    </row>
    <row r="2107" spans="1:6" ht="12.75">
      <c r="A2107" s="2">
        <v>43884.829780092594</v>
      </c>
      <c r="B2107" t="str">
        <f>HYPERLINK("https://twitter.com/belongtome_ndh","@belongtome_ndh")</f>
        <v>@belongtome_ndh</v>
      </c>
      <c r="C2107" t="s">
        <v>2758</v>
      </c>
      <c r="D2107">
        <v>1</v>
      </c>
      <c r="E2107">
        <v>1</v>
      </c>
      <c r="F2107">
        <v>153</v>
      </c>
    </row>
    <row r="2108" spans="1:6" ht="12.75">
      <c r="A2108" s="2">
        <v>43884.829664351855</v>
      </c>
      <c r="B2108" t="str">
        <f>HYPERLINK("https://twitter.com/lilibakaragmai1","@lilibakaragmai1")</f>
        <v>@lilibakaragmai1</v>
      </c>
      <c r="C2108" t="s">
        <v>2091</v>
      </c>
      <c r="D2108">
        <v>543</v>
      </c>
      <c r="E2108">
        <v>0</v>
      </c>
      <c r="F2108">
        <v>1</v>
      </c>
    </row>
    <row r="2109" spans="1:6" ht="12.75">
      <c r="A2109" s="2">
        <v>43884.829467592594</v>
      </c>
      <c r="B2109" t="str">
        <f>HYPERLINK("https://twitter.com/oaSereniTY906","@oaSereniTY906")</f>
        <v>@oaSereniTY906</v>
      </c>
      <c r="C2109" t="s">
        <v>2091</v>
      </c>
      <c r="D2109">
        <v>543</v>
      </c>
      <c r="E2109">
        <v>0</v>
      </c>
      <c r="F2109">
        <v>17</v>
      </c>
    </row>
    <row r="2110" spans="1:6" ht="12.75">
      <c r="A2110" s="2">
        <v>43884.829467592594</v>
      </c>
      <c r="B2110" t="str">
        <f>HYPERLINK("https://twitter.com/Kelapa78550483","@Kelapa78550483")</f>
        <v>@Kelapa78550483</v>
      </c>
      <c r="C2110" t="s">
        <v>2091</v>
      </c>
      <c r="D2110">
        <v>543</v>
      </c>
      <c r="E2110">
        <v>0</v>
      </c>
      <c r="F2110">
        <v>86</v>
      </c>
    </row>
    <row r="2111" spans="1:6" ht="12.75">
      <c r="A2111" s="2">
        <v>43884.829305555555</v>
      </c>
      <c r="B2111" t="str">
        <f>HYPERLINK("https://twitter.com/PikekSalah","@PikekSalah")</f>
        <v>@PikekSalah</v>
      </c>
      <c r="C2111" t="s">
        <v>2166</v>
      </c>
      <c r="D2111">
        <v>35</v>
      </c>
      <c r="E2111">
        <v>0</v>
      </c>
      <c r="F2111">
        <v>145</v>
      </c>
    </row>
    <row r="2112" spans="1:6" ht="12.75">
      <c r="A2112" s="2">
        <v>43884.829085648147</v>
      </c>
      <c r="B2112" t="str">
        <f>HYPERLINK("https://twitter.com/Halusin_as1","@Halusin_as1")</f>
        <v>@Halusin_as1</v>
      </c>
      <c r="C2112" t="s">
        <v>321</v>
      </c>
      <c r="D2112">
        <v>764</v>
      </c>
      <c r="E2112">
        <v>0</v>
      </c>
      <c r="F2112">
        <v>163</v>
      </c>
    </row>
    <row r="2113" spans="1:6" ht="12.75">
      <c r="A2113" s="2">
        <v>43884.829074074078</v>
      </c>
      <c r="B2113" t="str">
        <f>HYPERLINK("https://twitter.com/PenyairRadikal","@PenyairRadikal")</f>
        <v>@PenyairRadikal</v>
      </c>
      <c r="C2113" t="s">
        <v>321</v>
      </c>
      <c r="D2113">
        <v>764</v>
      </c>
      <c r="E2113">
        <v>0</v>
      </c>
      <c r="F2113">
        <v>104</v>
      </c>
    </row>
    <row r="2114" spans="1:6" ht="12.75">
      <c r="A2114" s="2">
        <v>43884.828958333332</v>
      </c>
      <c r="B2114" t="str">
        <f>HYPERLINK("https://twitter.com/january266","@january266")</f>
        <v>@january266</v>
      </c>
      <c r="C2114" t="s">
        <v>2138</v>
      </c>
      <c r="D2114">
        <v>248</v>
      </c>
      <c r="E2114">
        <v>0</v>
      </c>
      <c r="F2114">
        <v>116</v>
      </c>
    </row>
    <row r="2115" spans="1:6" ht="12.75">
      <c r="A2115" s="2">
        <v>43884.828657407408</v>
      </c>
      <c r="B2115" t="str">
        <f>HYPERLINK("https://twitter.com/mangtrisna64","@mangtrisna64")</f>
        <v>@mangtrisna64</v>
      </c>
      <c r="C2115" t="s">
        <v>321</v>
      </c>
      <c r="D2115">
        <v>764</v>
      </c>
      <c r="E2115">
        <v>0</v>
      </c>
      <c r="F2115">
        <v>5</v>
      </c>
    </row>
    <row r="2116" spans="1:6" ht="12.75">
      <c r="A2116" s="2">
        <v>43884.828645833331</v>
      </c>
      <c r="B2116" t="str">
        <f>HYPERLINK("https://twitter.com/taufikaboe","@taufikaboe")</f>
        <v>@taufikaboe</v>
      </c>
      <c r="C2116" t="s">
        <v>2166</v>
      </c>
      <c r="D2116">
        <v>35</v>
      </c>
      <c r="E2116">
        <v>0</v>
      </c>
      <c r="F2116">
        <v>51</v>
      </c>
    </row>
    <row r="2117" spans="1:6" ht="12.75">
      <c r="A2117" s="2">
        <v>43884.828587962962</v>
      </c>
      <c r="B2117" t="str">
        <f>HYPERLINK("https://twitter.com/im_henlie80","@im_henlie80")</f>
        <v>@im_henlie80</v>
      </c>
      <c r="C2117" t="s">
        <v>2472</v>
      </c>
      <c r="D2117">
        <v>33</v>
      </c>
      <c r="E2117">
        <v>0</v>
      </c>
      <c r="F2117">
        <v>42</v>
      </c>
    </row>
    <row r="2118" spans="1:6" ht="12.75">
      <c r="A2118" s="2">
        <v>43884.828564814816</v>
      </c>
      <c r="B2118" t="str">
        <f>HYPERLINK("https://twitter.com/risckytama_","@risckytama_")</f>
        <v>@risckytama_</v>
      </c>
      <c r="C2118" t="s">
        <v>321</v>
      </c>
      <c r="D2118">
        <v>764</v>
      </c>
      <c r="E2118">
        <v>0</v>
      </c>
      <c r="F2118">
        <v>3499</v>
      </c>
    </row>
    <row r="2119" spans="1:6" ht="12.75">
      <c r="A2119" s="2">
        <v>43884.828553240739</v>
      </c>
      <c r="B2119" t="str">
        <f>HYPERLINK("https://twitter.com/Regga__","@Regga__")</f>
        <v>@Regga__</v>
      </c>
      <c r="C2119" t="s">
        <v>321</v>
      </c>
      <c r="D2119">
        <v>764</v>
      </c>
      <c r="E2119">
        <v>0</v>
      </c>
      <c r="F2119">
        <v>654</v>
      </c>
    </row>
    <row r="2120" spans="1:6" ht="12.75">
      <c r="A2120" s="2">
        <v>43884.828530092593</v>
      </c>
      <c r="B2120" t="str">
        <f>HYPERLINK("https://twitter.com/taufikaboe","@taufikaboe")</f>
        <v>@taufikaboe</v>
      </c>
      <c r="C2120" t="s">
        <v>321</v>
      </c>
      <c r="D2120">
        <v>764</v>
      </c>
      <c r="E2120">
        <v>0</v>
      </c>
      <c r="F2120">
        <v>51</v>
      </c>
    </row>
    <row r="2121" spans="1:6" ht="12.75">
      <c r="A2121" s="2">
        <v>43884.828379629631</v>
      </c>
      <c r="B2121" t="str">
        <f>HYPERLINK("https://twitter.com/shabirun_husnum","@shabirun_husnum")</f>
        <v>@shabirun_husnum</v>
      </c>
      <c r="C2121" t="s">
        <v>2759</v>
      </c>
      <c r="D2121">
        <v>0</v>
      </c>
      <c r="E2121">
        <v>1</v>
      </c>
      <c r="F2121">
        <v>378</v>
      </c>
    </row>
    <row r="2122" spans="1:6" ht="12.75">
      <c r="A2122" s="2">
        <v>43884.828333333338</v>
      </c>
      <c r="B2122" t="str">
        <f>HYPERLINK("https://twitter.com/muzakir100","@muzakir100")</f>
        <v>@muzakir100</v>
      </c>
      <c r="C2122" t="s">
        <v>738</v>
      </c>
      <c r="D2122">
        <v>48</v>
      </c>
      <c r="E2122">
        <v>0</v>
      </c>
      <c r="F2122">
        <v>342</v>
      </c>
    </row>
    <row r="2123" spans="1:6" ht="12.75">
      <c r="A2123" s="2">
        <v>43884.828090277777</v>
      </c>
      <c r="B2123" t="str">
        <f>HYPERLINK("https://twitter.com/rickyzen20","@rickyzen20")</f>
        <v>@rickyzen20</v>
      </c>
      <c r="C2123" t="s">
        <v>321</v>
      </c>
      <c r="D2123">
        <v>764</v>
      </c>
      <c r="E2123">
        <v>0</v>
      </c>
      <c r="F2123">
        <v>265</v>
      </c>
    </row>
    <row r="2124" spans="1:6" ht="12.75">
      <c r="A2124" s="2">
        <v>43884.828067129631</v>
      </c>
      <c r="B2124" t="str">
        <f>HYPERLINK("https://twitter.com/K71Dean","@K71Dean")</f>
        <v>@K71Dean</v>
      </c>
      <c r="C2124" t="s">
        <v>321</v>
      </c>
      <c r="D2124">
        <v>764</v>
      </c>
      <c r="E2124">
        <v>0</v>
      </c>
      <c r="F2124">
        <v>14</v>
      </c>
    </row>
    <row r="2125" spans="1:6" ht="12.75">
      <c r="A2125" s="2">
        <v>43884.82775462963</v>
      </c>
      <c r="B2125" t="str">
        <f>HYPERLINK("https://twitter.com/AiniKatia","@AiniKatia")</f>
        <v>@AiniKatia</v>
      </c>
      <c r="C2125" t="s">
        <v>321</v>
      </c>
      <c r="D2125">
        <v>764</v>
      </c>
      <c r="E2125">
        <v>0</v>
      </c>
      <c r="F2125">
        <v>197</v>
      </c>
    </row>
    <row r="2126" spans="1:6" ht="12.75">
      <c r="A2126" s="2">
        <v>43884.827731481477</v>
      </c>
      <c r="B2126" t="str">
        <f>HYPERLINK("https://twitter.com/dafid_f","@dafid_f")</f>
        <v>@dafid_f</v>
      </c>
      <c r="C2126" t="s">
        <v>2760</v>
      </c>
      <c r="D2126">
        <v>0</v>
      </c>
      <c r="E2126">
        <v>0</v>
      </c>
      <c r="F2126">
        <v>188</v>
      </c>
    </row>
    <row r="2127" spans="1:6" ht="12.75">
      <c r="A2127" s="2">
        <v>43884.827685185184</v>
      </c>
      <c r="B2127" t="str">
        <f>HYPERLINK("https://twitter.com/YeanyHK","@YeanyHK")</f>
        <v>@YeanyHK</v>
      </c>
      <c r="C2127" t="s">
        <v>321</v>
      </c>
      <c r="D2127">
        <v>764</v>
      </c>
      <c r="E2127">
        <v>0</v>
      </c>
      <c r="F2127">
        <v>43</v>
      </c>
    </row>
    <row r="2128" spans="1:6" ht="12.75">
      <c r="A2128" s="2">
        <v>43884.827685185184</v>
      </c>
      <c r="B2128" t="str">
        <f>HYPERLINK("https://twitter.com/TomoLovejoy","@TomoLovejoy")</f>
        <v>@TomoLovejoy</v>
      </c>
      <c r="C2128" t="s">
        <v>321</v>
      </c>
      <c r="D2128">
        <v>764</v>
      </c>
      <c r="E2128">
        <v>0</v>
      </c>
      <c r="F2128">
        <v>175</v>
      </c>
    </row>
    <row r="2129" spans="1:6" ht="12.75">
      <c r="A2129" s="2">
        <v>43884.827534722222</v>
      </c>
      <c r="B2129" t="str">
        <f>HYPERLINK("https://twitter.com/miss_tek","@miss_tek")</f>
        <v>@miss_tek</v>
      </c>
      <c r="C2129" t="s">
        <v>2166</v>
      </c>
      <c r="D2129">
        <v>35</v>
      </c>
      <c r="E2129">
        <v>0</v>
      </c>
      <c r="F2129">
        <v>1022</v>
      </c>
    </row>
    <row r="2130" spans="1:6" ht="12.75">
      <c r="A2130" s="2">
        <v>43884.827303240745</v>
      </c>
      <c r="B2130" t="str">
        <f>HYPERLINK("https://twitter.com/klikanggaran","@klikanggaran")</f>
        <v>@klikanggaran</v>
      </c>
      <c r="C2130" t="s">
        <v>2761</v>
      </c>
      <c r="D2130">
        <v>0</v>
      </c>
      <c r="E2130">
        <v>0</v>
      </c>
      <c r="F2130">
        <v>171</v>
      </c>
    </row>
    <row r="2131" spans="1:6" ht="12.75">
      <c r="A2131" s="2">
        <v>43884.827245370368</v>
      </c>
      <c r="B2131" t="str">
        <f>HYPERLINK("https://twitter.com/muzakir100","@muzakir100")</f>
        <v>@muzakir100</v>
      </c>
      <c r="C2131" t="s">
        <v>321</v>
      </c>
      <c r="D2131">
        <v>764</v>
      </c>
      <c r="E2131">
        <v>0</v>
      </c>
      <c r="F2131">
        <v>342</v>
      </c>
    </row>
    <row r="2132" spans="1:6" ht="12.75">
      <c r="A2132" s="2">
        <v>43884.827210648145</v>
      </c>
      <c r="B2132" t="str">
        <f>HYPERLINK("https://twitter.com/MzRoel","@MzRoel")</f>
        <v>@MzRoel</v>
      </c>
      <c r="C2132" t="s">
        <v>321</v>
      </c>
      <c r="D2132">
        <v>764</v>
      </c>
      <c r="E2132">
        <v>0</v>
      </c>
      <c r="F2132">
        <v>524</v>
      </c>
    </row>
    <row r="2133" spans="1:6" ht="12.75">
      <c r="A2133" s="2">
        <v>43884.827152777776</v>
      </c>
      <c r="B2133" t="str">
        <f>HYPERLINK("https://twitter.com/bindunada","@bindunada")</f>
        <v>@bindunada</v>
      </c>
      <c r="C2133" t="s">
        <v>321</v>
      </c>
      <c r="D2133">
        <v>764</v>
      </c>
      <c r="E2133">
        <v>0</v>
      </c>
      <c r="F2133">
        <v>1059</v>
      </c>
    </row>
    <row r="2134" spans="1:6" ht="12.75">
      <c r="A2134" s="2">
        <v>43884.82712962963</v>
      </c>
      <c r="B2134" t="str">
        <f>HYPERLINK("https://twitter.com/indomieslerakuh","@indomieslerakuh")</f>
        <v>@indomieslerakuh</v>
      </c>
      <c r="C2134" t="s">
        <v>2091</v>
      </c>
      <c r="D2134">
        <v>543</v>
      </c>
      <c r="E2134">
        <v>0</v>
      </c>
      <c r="F2134">
        <v>149</v>
      </c>
    </row>
    <row r="2135" spans="1:6" ht="12.75">
      <c r="A2135" s="2">
        <v>43884.827094907407</v>
      </c>
      <c r="B2135" t="str">
        <f>HYPERLINK("https://twitter.com/LilianAnggarini","@LilianAnggarini")</f>
        <v>@LilianAnggarini</v>
      </c>
      <c r="C2135" t="s">
        <v>321</v>
      </c>
      <c r="D2135">
        <v>764</v>
      </c>
      <c r="E2135">
        <v>0</v>
      </c>
      <c r="F2135">
        <v>501</v>
      </c>
    </row>
    <row r="2136" spans="1:6" ht="12.75">
      <c r="A2136" s="2">
        <v>43884.827083333337</v>
      </c>
      <c r="B2136" t="str">
        <f>HYPERLINK("https://twitter.com/poetiput","@poetiput")</f>
        <v>@poetiput</v>
      </c>
      <c r="C2136" t="s">
        <v>321</v>
      </c>
      <c r="D2136">
        <v>764</v>
      </c>
      <c r="E2136">
        <v>0</v>
      </c>
      <c r="F2136">
        <v>313</v>
      </c>
    </row>
    <row r="2137" spans="1:6" ht="12.75">
      <c r="A2137" s="2">
        <v>43884.826967592591</v>
      </c>
      <c r="B2137" t="str">
        <f>HYPERLINK("https://twitter.com/Flanelmann","@Flanelmann")</f>
        <v>@Flanelmann</v>
      </c>
      <c r="C2137" t="s">
        <v>2091</v>
      </c>
      <c r="D2137">
        <v>543</v>
      </c>
      <c r="E2137">
        <v>0</v>
      </c>
      <c r="F2137">
        <v>75</v>
      </c>
    </row>
    <row r="2138" spans="1:6" ht="12.75">
      <c r="A2138" s="2">
        <v>43884.826574074075</v>
      </c>
      <c r="B2138" t="str">
        <f>HYPERLINK("https://twitter.com/randialfatih1","@randialfatih1")</f>
        <v>@randialfatih1</v>
      </c>
      <c r="C2138" t="s">
        <v>321</v>
      </c>
      <c r="D2138">
        <v>764</v>
      </c>
      <c r="E2138">
        <v>0</v>
      </c>
      <c r="F2138">
        <v>228</v>
      </c>
    </row>
    <row r="2139" spans="1:6" ht="12.75">
      <c r="A2139" s="2">
        <v>43884.826249999998</v>
      </c>
      <c r="B2139" t="str">
        <f>HYPERLINK("https://twitter.com/hanungrahmawan","@hanungrahmawan")</f>
        <v>@hanungrahmawan</v>
      </c>
      <c r="C2139" t="s">
        <v>321</v>
      </c>
      <c r="D2139">
        <v>764</v>
      </c>
      <c r="E2139">
        <v>0</v>
      </c>
      <c r="F2139">
        <v>235</v>
      </c>
    </row>
    <row r="2140" spans="1:6" ht="12.75">
      <c r="A2140" s="2">
        <v>43884.825937500005</v>
      </c>
      <c r="B2140" t="str">
        <f>HYPERLINK("https://twitter.com/Winar11046769","@Winar11046769")</f>
        <v>@Winar11046769</v>
      </c>
      <c r="C2140" t="s">
        <v>2166</v>
      </c>
      <c r="D2140">
        <v>35</v>
      </c>
      <c r="E2140">
        <v>0</v>
      </c>
      <c r="F2140">
        <v>402</v>
      </c>
    </row>
    <row r="2141" spans="1:6" ht="12.75">
      <c r="A2141" s="2">
        <v>43884.825891203705</v>
      </c>
      <c r="B2141" t="str">
        <f>HYPERLINK("https://twitter.com/JMandiri01","@JMandiri01")</f>
        <v>@JMandiri01</v>
      </c>
      <c r="C2141" t="s">
        <v>2138</v>
      </c>
      <c r="D2141">
        <v>248</v>
      </c>
      <c r="E2141">
        <v>0</v>
      </c>
      <c r="F2141">
        <v>2253</v>
      </c>
    </row>
    <row r="2142" spans="1:6" ht="12.75">
      <c r="A2142" s="2">
        <v>43884.825636574074</v>
      </c>
      <c r="B2142" t="str">
        <f>HYPERLINK("https://twitter.com/niaztri","@niaztri")</f>
        <v>@niaztri</v>
      </c>
      <c r="C2142" t="s">
        <v>2091</v>
      </c>
      <c r="D2142">
        <v>543</v>
      </c>
      <c r="E2142">
        <v>0</v>
      </c>
      <c r="F2142">
        <v>12</v>
      </c>
    </row>
    <row r="2143" spans="1:6" ht="12.75">
      <c r="A2143" s="2">
        <v>43884.825601851851</v>
      </c>
      <c r="B2143" t="str">
        <f>HYPERLINK("https://twitter.com/Saydewa1","@Saydewa1")</f>
        <v>@Saydewa1</v>
      </c>
      <c r="C2143" t="s">
        <v>321</v>
      </c>
      <c r="D2143">
        <v>764</v>
      </c>
      <c r="E2143">
        <v>0</v>
      </c>
      <c r="F2143">
        <v>106</v>
      </c>
    </row>
    <row r="2144" spans="1:6" ht="12.75">
      <c r="A2144" s="2">
        <v>43884.825578703705</v>
      </c>
      <c r="B2144" t="str">
        <f>HYPERLINK("https://twitter.com/ilmazidnaWTC","@ilmazidnaWTC")</f>
        <v>@ilmazidnaWTC</v>
      </c>
      <c r="C2144" t="s">
        <v>2091</v>
      </c>
      <c r="D2144">
        <v>543</v>
      </c>
      <c r="E2144">
        <v>0</v>
      </c>
      <c r="F2144">
        <v>2492</v>
      </c>
    </row>
    <row r="2145" spans="1:6" ht="12.75">
      <c r="A2145" s="2">
        <v>43884.825266203705</v>
      </c>
      <c r="B2145" t="str">
        <f>HYPERLINK("https://twitter.com/bpriady","@bpriady")</f>
        <v>@bpriady</v>
      </c>
      <c r="C2145" t="s">
        <v>2091</v>
      </c>
      <c r="D2145">
        <v>543</v>
      </c>
      <c r="E2145">
        <v>0</v>
      </c>
      <c r="F2145">
        <v>597</v>
      </c>
    </row>
    <row r="2146" spans="1:6" ht="12.75">
      <c r="A2146" s="2">
        <v>43884.824965277774</v>
      </c>
      <c r="B2146" t="str">
        <f>HYPERLINK("https://twitter.com/silo_bagendit","@silo_bagendit")</f>
        <v>@silo_bagendit</v>
      </c>
      <c r="C2146" t="s">
        <v>321</v>
      </c>
      <c r="D2146">
        <v>764</v>
      </c>
      <c r="E2146">
        <v>0</v>
      </c>
      <c r="F2146">
        <v>344</v>
      </c>
    </row>
    <row r="2147" spans="1:6" ht="12.75">
      <c r="A2147" s="2">
        <v>43884.824722222227</v>
      </c>
      <c r="B2147" t="str">
        <f t="shared" ref="B2147:B2148" si="55">HYPERLINK("https://twitter.com/Addarul1","@Addarul1")</f>
        <v>@Addarul1</v>
      </c>
      <c r="C2147" t="s">
        <v>321</v>
      </c>
      <c r="D2147">
        <v>764</v>
      </c>
      <c r="E2147">
        <v>0</v>
      </c>
      <c r="F2147">
        <v>4724</v>
      </c>
    </row>
    <row r="2148" spans="1:6" ht="12.75">
      <c r="A2148" s="2">
        <v>43884.824374999997</v>
      </c>
      <c r="B2148" t="str">
        <f t="shared" si="55"/>
        <v>@Addarul1</v>
      </c>
      <c r="C2148" t="s">
        <v>2166</v>
      </c>
      <c r="D2148">
        <v>35</v>
      </c>
      <c r="E2148">
        <v>0</v>
      </c>
      <c r="F2148">
        <v>4724</v>
      </c>
    </row>
    <row r="2149" spans="1:6" ht="12.75">
      <c r="A2149" s="2">
        <v>43884.82435185185</v>
      </c>
      <c r="B2149" t="str">
        <f>HYPERLINK("https://twitter.com/ccpsugiono","@ccpsugiono")</f>
        <v>@ccpsugiono</v>
      </c>
      <c r="C2149" t="s">
        <v>321</v>
      </c>
      <c r="D2149">
        <v>764</v>
      </c>
      <c r="E2149">
        <v>0</v>
      </c>
      <c r="F2149">
        <v>685</v>
      </c>
    </row>
    <row r="2150" spans="1:6" ht="12.75">
      <c r="A2150" s="2">
        <v>43884.824189814812</v>
      </c>
      <c r="B2150" t="str">
        <f>HYPERLINK("https://twitter.com/MalinParmato7","@MalinParmato7")</f>
        <v>@MalinParmato7</v>
      </c>
      <c r="C2150" t="s">
        <v>321</v>
      </c>
      <c r="D2150">
        <v>764</v>
      </c>
      <c r="E2150">
        <v>0</v>
      </c>
      <c r="F2150">
        <v>275</v>
      </c>
    </row>
    <row r="2151" spans="1:6" ht="12.75">
      <c r="A2151" s="2">
        <v>43884.823912037042</v>
      </c>
      <c r="B2151" t="str">
        <f>HYPERLINK("https://twitter.com/namsaeinwho","@namsaeinwho")</f>
        <v>@namsaeinwho</v>
      </c>
      <c r="C2151" t="s">
        <v>321</v>
      </c>
      <c r="D2151">
        <v>764</v>
      </c>
      <c r="E2151">
        <v>0</v>
      </c>
      <c r="F2151">
        <v>109</v>
      </c>
    </row>
    <row r="2152" spans="1:6" ht="12.75">
      <c r="A2152" s="2">
        <v>43884.823854166665</v>
      </c>
      <c r="B2152" t="str">
        <f>HYPERLINK("https://twitter.com/CahayaBaktiGraf","@CahayaBaktiGraf")</f>
        <v>@CahayaBaktiGraf</v>
      </c>
      <c r="C2152" t="s">
        <v>2762</v>
      </c>
      <c r="D2152">
        <v>0</v>
      </c>
      <c r="E2152">
        <v>0</v>
      </c>
      <c r="F2152">
        <v>977</v>
      </c>
    </row>
    <row r="2153" spans="1:6" ht="12.75">
      <c r="A2153" s="2">
        <v>43884.823749999996</v>
      </c>
      <c r="B2153" t="str">
        <f>HYPERLINK("https://twitter.com/rindakoban","@rindakoban")</f>
        <v>@rindakoban</v>
      </c>
      <c r="C2153" t="s">
        <v>2091</v>
      </c>
      <c r="D2153">
        <v>543</v>
      </c>
      <c r="E2153">
        <v>0</v>
      </c>
      <c r="F2153">
        <v>218</v>
      </c>
    </row>
    <row r="2154" spans="1:6" ht="12.75">
      <c r="A2154" s="2">
        <v>43884.823495370365</v>
      </c>
      <c r="B2154" t="str">
        <f>HYPERLINK("https://twitter.com/sirrosoajalikum","@sirrosoajalikum")</f>
        <v>@sirrosoajalikum</v>
      </c>
      <c r="C2154" t="s">
        <v>321</v>
      </c>
      <c r="D2154">
        <v>764</v>
      </c>
      <c r="E2154">
        <v>0</v>
      </c>
      <c r="F2154">
        <v>348</v>
      </c>
    </row>
    <row r="2155" spans="1:6" ht="12.75">
      <c r="A2155" s="2">
        <v>43884.823460648149</v>
      </c>
      <c r="B2155" t="str">
        <f>HYPERLINK("https://twitter.com/superdficial","@superdficial")</f>
        <v>@superdficial</v>
      </c>
      <c r="C2155" t="s">
        <v>321</v>
      </c>
      <c r="D2155">
        <v>764</v>
      </c>
      <c r="E2155">
        <v>0</v>
      </c>
      <c r="F2155">
        <v>59</v>
      </c>
    </row>
    <row r="2156" spans="1:6" ht="12.75">
      <c r="A2156" s="2">
        <v>43884.823425925926</v>
      </c>
      <c r="B2156" t="str">
        <f>HYPERLINK("https://twitter.com/IgnasAribowo","@IgnasAribowo")</f>
        <v>@IgnasAribowo</v>
      </c>
      <c r="C2156" t="s">
        <v>2091</v>
      </c>
      <c r="D2156">
        <v>543</v>
      </c>
      <c r="E2156">
        <v>0</v>
      </c>
      <c r="F2156">
        <v>177</v>
      </c>
    </row>
    <row r="2157" spans="1:6" ht="12.75">
      <c r="A2157" s="2">
        <v>43884.793229166666</v>
      </c>
      <c r="B2157" t="str">
        <f>HYPERLINK("https://twitter.com/FernaldyRizky11","@FernaldyRizky11")</f>
        <v>@FernaldyRizky11</v>
      </c>
      <c r="C2157" t="s">
        <v>2763</v>
      </c>
      <c r="D2157">
        <v>22</v>
      </c>
      <c r="E2157">
        <v>0</v>
      </c>
      <c r="F2157">
        <v>101</v>
      </c>
    </row>
    <row r="2158" spans="1:6" ht="12.75">
      <c r="A2158" s="2">
        <v>43884.793067129634</v>
      </c>
      <c r="B2158" t="str">
        <f>HYPERLINK("https://twitter.com/AnakKolong___","@AnakKolong___")</f>
        <v>@AnakKolong___</v>
      </c>
      <c r="C2158" t="s">
        <v>2640</v>
      </c>
      <c r="D2158">
        <v>1</v>
      </c>
      <c r="E2158">
        <v>0</v>
      </c>
      <c r="F2158">
        <v>6670</v>
      </c>
    </row>
    <row r="2159" spans="1:6" ht="12.75">
      <c r="A2159" s="2">
        <v>43884.79283564815</v>
      </c>
      <c r="B2159" t="str">
        <f>HYPERLINK("https://twitter.com/klelur028","@klelur028")</f>
        <v>@klelur028</v>
      </c>
      <c r="C2159" t="s">
        <v>2764</v>
      </c>
      <c r="D2159">
        <v>1</v>
      </c>
      <c r="E2159">
        <v>1</v>
      </c>
      <c r="F2159">
        <v>3635</v>
      </c>
    </row>
    <row r="2160" spans="1:6" ht="12.75">
      <c r="A2160" s="2">
        <v>43884.792812500003</v>
      </c>
      <c r="B2160" t="str">
        <f>HYPERLINK("https://twitter.com/MVVZ3","@MVVZ3")</f>
        <v>@MVVZ3</v>
      </c>
      <c r="C2160" t="s">
        <v>321</v>
      </c>
      <c r="D2160">
        <v>582</v>
      </c>
      <c r="E2160">
        <v>0</v>
      </c>
      <c r="F2160">
        <v>1051</v>
      </c>
    </row>
    <row r="2161" spans="1:6" ht="12.75">
      <c r="A2161" s="2">
        <v>43884.792604166665</v>
      </c>
      <c r="B2161" t="str">
        <f>HYPERLINK("https://twitter.com/Barid_Ardhi","@Barid_Ardhi")</f>
        <v>@Barid_Ardhi</v>
      </c>
      <c r="C2161" t="s">
        <v>321</v>
      </c>
      <c r="D2161">
        <v>582</v>
      </c>
      <c r="E2161">
        <v>0</v>
      </c>
      <c r="F2161">
        <v>180</v>
      </c>
    </row>
    <row r="2162" spans="1:6" ht="12.75">
      <c r="A2162" s="2">
        <v>43884.792499999996</v>
      </c>
      <c r="B2162" t="str">
        <f>HYPERLINK("https://twitter.com/Hazeskw","@Hazeskw")</f>
        <v>@Hazeskw</v>
      </c>
      <c r="C2162" t="s">
        <v>2765</v>
      </c>
      <c r="D2162">
        <v>1</v>
      </c>
      <c r="E2162">
        <v>0</v>
      </c>
      <c r="F2162">
        <v>549</v>
      </c>
    </row>
    <row r="2163" spans="1:6" ht="12.75">
      <c r="A2163" s="2">
        <v>43884.792268518519</v>
      </c>
      <c r="B2163" t="str">
        <f>HYPERLINK("https://twitter.com/Adisupriadiii","@Adisupriadiii")</f>
        <v>@Adisupriadiii</v>
      </c>
      <c r="C2163" t="s">
        <v>321</v>
      </c>
      <c r="D2163">
        <v>582</v>
      </c>
      <c r="E2163">
        <v>0</v>
      </c>
      <c r="F2163">
        <v>51</v>
      </c>
    </row>
    <row r="2164" spans="1:6" ht="12.75">
      <c r="A2164" s="2">
        <v>43884.792118055557</v>
      </c>
      <c r="B2164" t="str">
        <f>HYPERLINK("https://twitter.com/SunardiGiman1","@SunardiGiman1")</f>
        <v>@SunardiGiman1</v>
      </c>
      <c r="C2164" t="s">
        <v>321</v>
      </c>
      <c r="D2164">
        <v>582</v>
      </c>
      <c r="E2164">
        <v>0</v>
      </c>
      <c r="F2164">
        <v>1073</v>
      </c>
    </row>
    <row r="2165" spans="1:6" ht="12.75">
      <c r="A2165" s="2">
        <v>43884.792083333334</v>
      </c>
      <c r="B2165" t="str">
        <f>HYPERLINK("https://twitter.com/meidy_ns","@meidy_ns")</f>
        <v>@meidy_ns</v>
      </c>
      <c r="C2165" t="s">
        <v>2091</v>
      </c>
      <c r="D2165">
        <v>454</v>
      </c>
      <c r="E2165">
        <v>0</v>
      </c>
      <c r="F2165">
        <v>149</v>
      </c>
    </row>
    <row r="2166" spans="1:6" ht="12.75">
      <c r="A2166" s="2">
        <v>43884.791967592595</v>
      </c>
      <c r="B2166" t="str">
        <f>HYPERLINK("https://twitter.com/Ambyar86844374","@Ambyar86844374")</f>
        <v>@Ambyar86844374</v>
      </c>
      <c r="C2166" t="s">
        <v>2766</v>
      </c>
      <c r="D2166">
        <v>231</v>
      </c>
      <c r="E2166">
        <v>0</v>
      </c>
      <c r="F2166">
        <v>186</v>
      </c>
    </row>
    <row r="2167" spans="1:6" ht="12.75">
      <c r="A2167" s="2">
        <v>43884.791898148149</v>
      </c>
      <c r="B2167" t="str">
        <f>HYPERLINK("https://twitter.com/HZanzami","@HZanzami")</f>
        <v>@HZanzami</v>
      </c>
      <c r="C2167" t="s">
        <v>321</v>
      </c>
      <c r="D2167">
        <v>582</v>
      </c>
      <c r="E2167">
        <v>0</v>
      </c>
      <c r="F2167">
        <v>331</v>
      </c>
    </row>
    <row r="2168" spans="1:6" ht="12.75">
      <c r="A2168" s="2">
        <v>43884.79184027778</v>
      </c>
      <c r="B2168" t="str">
        <f>HYPERLINK("https://twitter.com/Alqadrie_iffah","@Alqadrie_iffah")</f>
        <v>@Alqadrie_iffah</v>
      </c>
      <c r="C2168" t="s">
        <v>2767</v>
      </c>
      <c r="D2168">
        <v>4</v>
      </c>
      <c r="E2168">
        <v>0</v>
      </c>
      <c r="F2168">
        <v>50</v>
      </c>
    </row>
    <row r="2169" spans="1:6" ht="12.75">
      <c r="A2169" s="2">
        <v>43884.791238425925</v>
      </c>
      <c r="B2169" t="str">
        <f>HYPERLINK("https://twitter.com/gopras79","@gopras79")</f>
        <v>@gopras79</v>
      </c>
      <c r="C2169" t="s">
        <v>2091</v>
      </c>
      <c r="D2169">
        <v>454</v>
      </c>
      <c r="E2169">
        <v>0</v>
      </c>
      <c r="F2169">
        <v>45</v>
      </c>
    </row>
    <row r="2170" spans="1:6" ht="12.75">
      <c r="A2170" s="2">
        <v>43884.791006944448</v>
      </c>
      <c r="B2170" t="str">
        <f>HYPERLINK("https://twitter.com/ayiep_nano2","@ayiep_nano2")</f>
        <v>@ayiep_nano2</v>
      </c>
      <c r="C2170" t="s">
        <v>321</v>
      </c>
      <c r="D2170">
        <v>582</v>
      </c>
      <c r="E2170">
        <v>0</v>
      </c>
      <c r="F2170">
        <v>74</v>
      </c>
    </row>
    <row r="2171" spans="1:6" ht="12.75">
      <c r="A2171" s="2">
        <v>43884.790925925925</v>
      </c>
      <c r="B2171" t="str">
        <f>HYPERLINK("https://twitter.com/Dragon51570897","@Dragon51570897")</f>
        <v>@Dragon51570897</v>
      </c>
      <c r="C2171" t="s">
        <v>2768</v>
      </c>
      <c r="D2171">
        <v>84</v>
      </c>
      <c r="E2171">
        <v>0</v>
      </c>
      <c r="F2171">
        <v>10</v>
      </c>
    </row>
    <row r="2172" spans="1:6" ht="12.75">
      <c r="A2172" s="2">
        <v>43884.790891203702</v>
      </c>
      <c r="B2172" t="str">
        <f>HYPERLINK("https://twitter.com/DearReAkSe","@DearReAkSe")</f>
        <v>@DearReAkSe</v>
      </c>
      <c r="C2172" t="s">
        <v>321</v>
      </c>
      <c r="D2172">
        <v>582</v>
      </c>
      <c r="E2172">
        <v>0</v>
      </c>
      <c r="F2172">
        <v>336</v>
      </c>
    </row>
    <row r="2173" spans="1:6" ht="12.75">
      <c r="A2173" s="2">
        <v>43884.790810185186</v>
      </c>
      <c r="B2173" t="str">
        <f>HYPERLINK("https://twitter.com/Niteshs0717","@Niteshs0717")</f>
        <v>@Niteshs0717</v>
      </c>
      <c r="C2173" t="s">
        <v>2769</v>
      </c>
      <c r="D2173">
        <v>0</v>
      </c>
      <c r="E2173">
        <v>0</v>
      </c>
      <c r="F2173">
        <v>7</v>
      </c>
    </row>
    <row r="2174" spans="1:6" ht="12.75">
      <c r="A2174" s="2">
        <v>43884.790810185186</v>
      </c>
      <c r="B2174" t="str">
        <f>HYPERLINK("https://twitter.com/Hamruniahmad","@Hamruniahmad")</f>
        <v>@Hamruniahmad</v>
      </c>
      <c r="C2174" t="s">
        <v>2153</v>
      </c>
      <c r="D2174">
        <v>337</v>
      </c>
      <c r="E2174">
        <v>0</v>
      </c>
      <c r="F2174">
        <v>834</v>
      </c>
    </row>
    <row r="2175" spans="1:6" ht="12.75">
      <c r="A2175" s="2">
        <v>43884.79042824074</v>
      </c>
      <c r="B2175" t="str">
        <f>HYPERLINK("https://twitter.com/aiuaieaio","@aiuaieaio")</f>
        <v>@aiuaieaio</v>
      </c>
      <c r="C2175" t="s">
        <v>2770</v>
      </c>
      <c r="D2175">
        <v>0</v>
      </c>
      <c r="E2175">
        <v>0</v>
      </c>
      <c r="F2175">
        <v>427</v>
      </c>
    </row>
    <row r="2176" spans="1:6" ht="12.75">
      <c r="A2176" s="2">
        <v>43884.790335648147</v>
      </c>
      <c r="B2176" t="str">
        <f>HYPERLINK("https://twitter.com/daniasrtk","@daniasrtk")</f>
        <v>@daniasrtk</v>
      </c>
      <c r="C2176" t="s">
        <v>2091</v>
      </c>
      <c r="D2176">
        <v>454</v>
      </c>
      <c r="E2176">
        <v>0</v>
      </c>
      <c r="F2176">
        <v>536</v>
      </c>
    </row>
    <row r="2177" spans="1:6" ht="12.75">
      <c r="A2177" s="2">
        <v>43884.790324074071</v>
      </c>
      <c r="B2177" t="str">
        <f>HYPERLINK("https://twitter.com/dendafs","@dendafs")</f>
        <v>@dendafs</v>
      </c>
      <c r="C2177" t="s">
        <v>321</v>
      </c>
      <c r="D2177">
        <v>582</v>
      </c>
      <c r="E2177">
        <v>0</v>
      </c>
      <c r="F2177">
        <v>424</v>
      </c>
    </row>
    <row r="2178" spans="1:6" ht="12.75">
      <c r="A2178" s="2">
        <v>43884.789976851855</v>
      </c>
      <c r="B2178" t="str">
        <f t="shared" ref="B2178:B2179" si="56">HYPERLINK("https://twitter.com/niningasih","@niningasih")</f>
        <v>@niningasih</v>
      </c>
      <c r="C2178" t="s">
        <v>2120</v>
      </c>
      <c r="D2178">
        <v>11</v>
      </c>
      <c r="E2178">
        <v>0</v>
      </c>
      <c r="F2178">
        <v>1160</v>
      </c>
    </row>
    <row r="2179" spans="1:6" ht="12.75">
      <c r="A2179" s="2">
        <v>43884.789918981478</v>
      </c>
      <c r="B2179" t="str">
        <f t="shared" si="56"/>
        <v>@niningasih</v>
      </c>
      <c r="C2179" t="s">
        <v>2115</v>
      </c>
      <c r="D2179">
        <v>11</v>
      </c>
      <c r="E2179">
        <v>0</v>
      </c>
      <c r="F2179">
        <v>1160</v>
      </c>
    </row>
    <row r="2180" spans="1:6" ht="12.75">
      <c r="A2180" s="2">
        <v>43884.789722222224</v>
      </c>
      <c r="B2180" t="str">
        <f>HYPERLINK("https://twitter.com/Zahrafaiza","@Zahrafaiza")</f>
        <v>@Zahrafaiza</v>
      </c>
      <c r="C2180" t="s">
        <v>321</v>
      </c>
      <c r="D2180">
        <v>582</v>
      </c>
      <c r="E2180">
        <v>0</v>
      </c>
      <c r="F2180">
        <v>354</v>
      </c>
    </row>
    <row r="2181" spans="1:6" ht="12.75">
      <c r="A2181" s="2">
        <v>43884.789490740739</v>
      </c>
      <c r="B2181" t="str">
        <f>HYPERLINK("https://twitter.com/niningasih","@niningasih")</f>
        <v>@niningasih</v>
      </c>
      <c r="C2181" t="s">
        <v>738</v>
      </c>
      <c r="D2181">
        <v>30</v>
      </c>
      <c r="E2181">
        <v>0</v>
      </c>
      <c r="F2181">
        <v>1160</v>
      </c>
    </row>
    <row r="2182" spans="1:6" ht="12.75">
      <c r="A2182" s="2">
        <v>43884.789189814815</v>
      </c>
      <c r="B2182" t="str">
        <f>HYPERLINK("https://twitter.com/wiwiedsya","@wiwiedsya")</f>
        <v>@wiwiedsya</v>
      </c>
      <c r="C2182" t="s">
        <v>321</v>
      </c>
      <c r="D2182">
        <v>582</v>
      </c>
      <c r="E2182">
        <v>0</v>
      </c>
      <c r="F2182">
        <v>807</v>
      </c>
    </row>
    <row r="2183" spans="1:6" ht="12.75">
      <c r="A2183" s="2">
        <v>43884.789097222223</v>
      </c>
      <c r="B2183" t="str">
        <f>HYPERLINK("https://twitter.com/niningasih","@niningasih")</f>
        <v>@niningasih</v>
      </c>
      <c r="C2183" t="s">
        <v>321</v>
      </c>
      <c r="D2183">
        <v>582</v>
      </c>
      <c r="E2183">
        <v>0</v>
      </c>
      <c r="F2183">
        <v>1160</v>
      </c>
    </row>
    <row r="2184" spans="1:6" ht="12.75">
      <c r="A2184" s="2">
        <v>43884.788981481484</v>
      </c>
      <c r="B2184" t="str">
        <f>HYPERLINK("https://twitter.com/PJustitia7","@PJustitia7")</f>
        <v>@PJustitia7</v>
      </c>
      <c r="C2184" t="s">
        <v>2771</v>
      </c>
      <c r="D2184">
        <v>0</v>
      </c>
      <c r="E2184">
        <v>1</v>
      </c>
      <c r="F2184">
        <v>701</v>
      </c>
    </row>
    <row r="2185" spans="1:6" ht="12.75">
      <c r="A2185" s="2">
        <v>43884.788969907408</v>
      </c>
      <c r="B2185" t="str">
        <f>HYPERLINK("https://twitter.com/nandafilosofia","@nandafilosofia")</f>
        <v>@nandafilosofia</v>
      </c>
      <c r="C2185" t="s">
        <v>321</v>
      </c>
      <c r="D2185">
        <v>582</v>
      </c>
      <c r="E2185">
        <v>0</v>
      </c>
      <c r="F2185">
        <v>509</v>
      </c>
    </row>
    <row r="2186" spans="1:6" ht="12.75">
      <c r="A2186" s="2">
        <v>43884.788958333331</v>
      </c>
      <c r="B2186" t="str">
        <f>HYPERLINK("https://twitter.com/fierazor","@fierazor")</f>
        <v>@fierazor</v>
      </c>
      <c r="C2186" t="s">
        <v>321</v>
      </c>
      <c r="D2186">
        <v>582</v>
      </c>
      <c r="E2186">
        <v>0</v>
      </c>
      <c r="F2186">
        <v>549</v>
      </c>
    </row>
    <row r="2187" spans="1:6" ht="12.75">
      <c r="A2187" s="2">
        <v>43884.788645833338</v>
      </c>
      <c r="B2187" t="str">
        <f>HYPERLINK("https://twitter.com/addygembel","@addygembel")</f>
        <v>@addygembel</v>
      </c>
      <c r="C2187" t="s">
        <v>321</v>
      </c>
      <c r="D2187">
        <v>582</v>
      </c>
      <c r="E2187">
        <v>0</v>
      </c>
      <c r="F2187">
        <v>13286</v>
      </c>
    </row>
    <row r="2188" spans="1:6" ht="12.75">
      <c r="A2188" s="2">
        <v>43884.788518518515</v>
      </c>
      <c r="B2188" t="str">
        <f>HYPERLINK("https://twitter.com/armangn8","@armangn8")</f>
        <v>@armangn8</v>
      </c>
      <c r="C2188" t="s">
        <v>321</v>
      </c>
      <c r="D2188">
        <v>582</v>
      </c>
      <c r="E2188">
        <v>0</v>
      </c>
      <c r="F2188">
        <v>2986</v>
      </c>
    </row>
    <row r="2189" spans="1:6" ht="12.75">
      <c r="A2189" s="2">
        <v>43884.788495370369</v>
      </c>
      <c r="B2189" t="str">
        <f>HYPERLINK("https://twitter.com/KhianiEllin","@KhianiEllin")</f>
        <v>@KhianiEllin</v>
      </c>
      <c r="C2189" t="s">
        <v>2772</v>
      </c>
      <c r="D2189">
        <v>6</v>
      </c>
      <c r="E2189">
        <v>0</v>
      </c>
      <c r="F2189">
        <v>118</v>
      </c>
    </row>
    <row r="2190" spans="1:6" ht="12.75">
      <c r="A2190" s="2">
        <v>43884.788495370369</v>
      </c>
      <c r="B2190" t="str">
        <f>HYPERLINK("https://twitter.com/v4jr4","@v4jr4")</f>
        <v>@v4jr4</v>
      </c>
      <c r="C2190" t="s">
        <v>2091</v>
      </c>
      <c r="D2190">
        <v>454</v>
      </c>
      <c r="E2190">
        <v>0</v>
      </c>
      <c r="F2190">
        <v>697</v>
      </c>
    </row>
    <row r="2191" spans="1:6" ht="12.75">
      <c r="A2191" s="2">
        <v>43884.78842592593</v>
      </c>
      <c r="B2191" t="str">
        <f>HYPERLINK("https://twitter.com/ridhoanres","@ridhoanres")</f>
        <v>@ridhoanres</v>
      </c>
      <c r="C2191" t="s">
        <v>738</v>
      </c>
      <c r="D2191">
        <v>30</v>
      </c>
      <c r="E2191">
        <v>0</v>
      </c>
      <c r="F2191">
        <v>1041</v>
      </c>
    </row>
    <row r="2192" spans="1:6" ht="12.75">
      <c r="A2192" s="2">
        <v>43884.788287037038</v>
      </c>
      <c r="B2192" t="str">
        <f>HYPERLINK("https://twitter.com/toromingo","@toromingo")</f>
        <v>@toromingo</v>
      </c>
      <c r="C2192" t="s">
        <v>321</v>
      </c>
      <c r="D2192">
        <v>582</v>
      </c>
      <c r="E2192">
        <v>0</v>
      </c>
      <c r="F2192">
        <v>318</v>
      </c>
    </row>
    <row r="2193" spans="1:6" ht="12.75">
      <c r="A2193" s="2">
        <v>43884.788194444445</v>
      </c>
      <c r="B2193" t="str">
        <f>HYPERLINK("https://twitter.com/ridhoanres","@ridhoanres")</f>
        <v>@ridhoanres</v>
      </c>
      <c r="C2193" t="s">
        <v>321</v>
      </c>
      <c r="D2193">
        <v>582</v>
      </c>
      <c r="E2193">
        <v>0</v>
      </c>
      <c r="F2193">
        <v>1041</v>
      </c>
    </row>
    <row r="2194" spans="1:6" ht="12.75">
      <c r="A2194" s="2">
        <v>43884.788182870368</v>
      </c>
      <c r="B2194" t="str">
        <f>HYPERLINK("https://twitter.com/triharjunodanny","@triharjunodanny")</f>
        <v>@triharjunodanny</v>
      </c>
      <c r="C2194" t="s">
        <v>2091</v>
      </c>
      <c r="D2194">
        <v>454</v>
      </c>
      <c r="E2194">
        <v>0</v>
      </c>
      <c r="F2194">
        <v>185</v>
      </c>
    </row>
    <row r="2195" spans="1:6" ht="12.75">
      <c r="A2195" s="2">
        <v>43884.788032407407</v>
      </c>
      <c r="B2195" t="str">
        <f>HYPERLINK("https://twitter.com/nickskullnick","@nickskullnick")</f>
        <v>@nickskullnick</v>
      </c>
      <c r="C2195" t="s">
        <v>2756</v>
      </c>
      <c r="D2195">
        <v>59</v>
      </c>
      <c r="E2195">
        <v>0</v>
      </c>
      <c r="F2195">
        <v>308</v>
      </c>
    </row>
    <row r="2196" spans="1:6" ht="12.75">
      <c r="A2196" s="2">
        <v>43884.787835648152</v>
      </c>
      <c r="B2196" t="str">
        <f>HYPERLINK("https://twitter.com/GodblessBabeh","@GodblessBabeh")</f>
        <v>@GodblessBabeh</v>
      </c>
      <c r="C2196" t="s">
        <v>321</v>
      </c>
      <c r="D2196">
        <v>582</v>
      </c>
      <c r="E2196">
        <v>0</v>
      </c>
      <c r="F2196">
        <v>324</v>
      </c>
    </row>
    <row r="2197" spans="1:6" ht="12.75">
      <c r="A2197" s="2">
        <v>43884.787731481483</v>
      </c>
      <c r="B2197" t="str">
        <f>HYPERLINK("https://twitter.com/eggggsie","@eggggsie")</f>
        <v>@eggggsie</v>
      </c>
      <c r="C2197" t="s">
        <v>2120</v>
      </c>
      <c r="D2197">
        <v>11</v>
      </c>
      <c r="E2197">
        <v>0</v>
      </c>
      <c r="F2197">
        <v>10953</v>
      </c>
    </row>
    <row r="2198" spans="1:6" ht="12.75">
      <c r="A2198" s="2">
        <v>43884.787731481483</v>
      </c>
      <c r="B2198" t="str">
        <f>HYPERLINK("https://twitter.com/TediteaTedi","@TediteaTedi")</f>
        <v>@TediteaTedi</v>
      </c>
      <c r="C2198" t="s">
        <v>321</v>
      </c>
      <c r="D2198">
        <v>582</v>
      </c>
      <c r="E2198">
        <v>0</v>
      </c>
      <c r="F2198">
        <v>65</v>
      </c>
    </row>
    <row r="2199" spans="1:6" ht="12.75">
      <c r="A2199" s="2">
        <v>43884.78769675926</v>
      </c>
      <c r="B2199" t="str">
        <f>HYPERLINK("https://twitter.com/eggggsie","@eggggsie")</f>
        <v>@eggggsie</v>
      </c>
      <c r="C2199" t="s">
        <v>2115</v>
      </c>
      <c r="D2199">
        <v>11</v>
      </c>
      <c r="E2199">
        <v>0</v>
      </c>
      <c r="F2199">
        <v>10953</v>
      </c>
    </row>
    <row r="2200" spans="1:6" ht="12.75">
      <c r="A2200" s="2">
        <v>43884.787581018521</v>
      </c>
      <c r="B2200" t="str">
        <f>HYPERLINK("https://twitter.com/IAkurat","@IAkurat")</f>
        <v>@IAkurat</v>
      </c>
      <c r="C2200" t="s">
        <v>2773</v>
      </c>
      <c r="D2200">
        <v>0</v>
      </c>
      <c r="E2200">
        <v>0</v>
      </c>
      <c r="F2200">
        <v>239</v>
      </c>
    </row>
    <row r="2201" spans="1:6" ht="12.75">
      <c r="A2201" s="2">
        <v>43884.787557870368</v>
      </c>
      <c r="B2201" t="str">
        <f>HYPERLINK("https://twitter.com/eggggsie","@eggggsie")</f>
        <v>@eggggsie</v>
      </c>
      <c r="C2201" t="s">
        <v>738</v>
      </c>
      <c r="D2201">
        <v>30</v>
      </c>
      <c r="E2201">
        <v>0</v>
      </c>
      <c r="F2201">
        <v>10953</v>
      </c>
    </row>
    <row r="2202" spans="1:6" ht="12.75">
      <c r="A2202" s="2">
        <v>43884.787210648152</v>
      </c>
      <c r="B2202" t="str">
        <f>HYPERLINK("https://twitter.com/lunatrava_","@lunatrava_")</f>
        <v>@lunatrava_</v>
      </c>
      <c r="C2202" t="s">
        <v>321</v>
      </c>
      <c r="D2202">
        <v>582</v>
      </c>
      <c r="E2202">
        <v>0</v>
      </c>
      <c r="F2202">
        <v>24</v>
      </c>
    </row>
    <row r="2203" spans="1:6" ht="12.75">
      <c r="A2203" s="2">
        <v>43884.787199074075</v>
      </c>
      <c r="B2203" t="str">
        <f>HYPERLINK("https://twitter.com/eggggsie","@eggggsie")</f>
        <v>@eggggsie</v>
      </c>
      <c r="C2203" t="s">
        <v>321</v>
      </c>
      <c r="D2203">
        <v>582</v>
      </c>
      <c r="E2203">
        <v>0</v>
      </c>
      <c r="F2203">
        <v>10953</v>
      </c>
    </row>
    <row r="2204" spans="1:6" ht="12.75">
      <c r="A2204" s="2">
        <v>43884.787152777775</v>
      </c>
      <c r="B2204" t="str">
        <f>HYPERLINK("https://twitter.com/DarmaChrisdian","@DarmaChrisdian")</f>
        <v>@DarmaChrisdian</v>
      </c>
      <c r="C2204" t="s">
        <v>321</v>
      </c>
      <c r="D2204">
        <v>582</v>
      </c>
      <c r="E2204">
        <v>0</v>
      </c>
      <c r="F2204">
        <v>258</v>
      </c>
    </row>
    <row r="2205" spans="1:6" ht="12.75">
      <c r="A2205" s="2">
        <v>43884.786516203705</v>
      </c>
      <c r="B2205" t="str">
        <f>HYPERLINK("https://twitter.com/Sastidevi2","@Sastidevi2")</f>
        <v>@Sastidevi2</v>
      </c>
      <c r="C2205" t="s">
        <v>321</v>
      </c>
      <c r="D2205">
        <v>582</v>
      </c>
      <c r="E2205">
        <v>0</v>
      </c>
      <c r="F2205">
        <v>165</v>
      </c>
    </row>
    <row r="2206" spans="1:6" ht="12.75">
      <c r="A2206" s="2">
        <v>43884.786319444444</v>
      </c>
      <c r="B2206" t="str">
        <f>HYPERLINK("https://twitter.com/soullufthansa","@soullufthansa")</f>
        <v>@soullufthansa</v>
      </c>
      <c r="C2206" t="s">
        <v>321</v>
      </c>
      <c r="D2206">
        <v>582</v>
      </c>
      <c r="E2206">
        <v>0</v>
      </c>
      <c r="F2206">
        <v>835</v>
      </c>
    </row>
    <row r="2207" spans="1:6" ht="12.75">
      <c r="A2207" s="2">
        <v>43884.786319444444</v>
      </c>
      <c r="B2207" t="str">
        <f>HYPERLINK("https://twitter.com/rio_ayong","@rio_ayong")</f>
        <v>@rio_ayong</v>
      </c>
      <c r="C2207" t="s">
        <v>2766</v>
      </c>
      <c r="D2207">
        <v>231</v>
      </c>
      <c r="E2207">
        <v>0</v>
      </c>
      <c r="F2207">
        <v>219</v>
      </c>
    </row>
    <row r="2208" spans="1:6" ht="12.75">
      <c r="A2208" s="2">
        <v>43884.786215277782</v>
      </c>
      <c r="B2208" t="str">
        <f>HYPERLINK("https://twitter.com/yashint_","@yashint_")</f>
        <v>@yashint_</v>
      </c>
      <c r="C2208" t="s">
        <v>321</v>
      </c>
      <c r="D2208">
        <v>582</v>
      </c>
      <c r="E2208">
        <v>0</v>
      </c>
      <c r="F2208">
        <v>287</v>
      </c>
    </row>
    <row r="2209" spans="1:6" ht="12.75">
      <c r="A2209" s="2">
        <v>43884.785983796297</v>
      </c>
      <c r="B2209" t="str">
        <f>HYPERLINK("https://twitter.com/Novannrizky1","@Novannrizky1")</f>
        <v>@Novannrizky1</v>
      </c>
      <c r="C2209" t="s">
        <v>321</v>
      </c>
      <c r="D2209">
        <v>582</v>
      </c>
      <c r="E2209">
        <v>0</v>
      </c>
      <c r="F2209">
        <v>13</v>
      </c>
    </row>
    <row r="2210" spans="1:6" ht="12.75">
      <c r="A2210" s="2">
        <v>43884.785960648151</v>
      </c>
      <c r="B2210" t="str">
        <f>HYPERLINK("https://twitter.com/arifpri4","@arifpri4")</f>
        <v>@arifpri4</v>
      </c>
      <c r="C2210" t="s">
        <v>2091</v>
      </c>
      <c r="D2210">
        <v>454</v>
      </c>
      <c r="E2210">
        <v>0</v>
      </c>
      <c r="F2210">
        <v>56</v>
      </c>
    </row>
    <row r="2211" spans="1:6" ht="12.75">
      <c r="A2211" s="2">
        <v>43884.785798611112</v>
      </c>
      <c r="B2211" t="str">
        <f>HYPERLINK("https://twitter.com/sxftbxi","@sxftbxi")</f>
        <v>@sxftbxi</v>
      </c>
      <c r="C2211" t="s">
        <v>2774</v>
      </c>
      <c r="D2211">
        <v>0</v>
      </c>
      <c r="E2211">
        <v>0</v>
      </c>
      <c r="F2211">
        <v>2978</v>
      </c>
    </row>
    <row r="2212" spans="1:6" ht="12.75">
      <c r="A2212" s="2">
        <v>43884.785775462966</v>
      </c>
      <c r="B2212" t="str">
        <f>HYPERLINK("https://twitter.com/BongSofie","@BongSofie")</f>
        <v>@BongSofie</v>
      </c>
      <c r="C2212" t="s">
        <v>321</v>
      </c>
      <c r="D2212">
        <v>582</v>
      </c>
      <c r="E2212">
        <v>0</v>
      </c>
      <c r="F2212">
        <v>352</v>
      </c>
    </row>
    <row r="2213" spans="1:6" ht="12.75">
      <c r="A2213" s="2">
        <v>43884.785740740743</v>
      </c>
      <c r="B2213" t="str">
        <f>HYPERLINK("https://twitter.com/VERIAASRI","@VERIAASRI")</f>
        <v>@VERIAASRI</v>
      </c>
      <c r="C2213" t="s">
        <v>321</v>
      </c>
      <c r="D2213">
        <v>582</v>
      </c>
      <c r="E2213">
        <v>0</v>
      </c>
      <c r="F2213">
        <v>1425</v>
      </c>
    </row>
    <row r="2214" spans="1:6" ht="12.75">
      <c r="A2214" s="2">
        <v>43884.785717592589</v>
      </c>
      <c r="B2214" t="str">
        <f>HYPERLINK("https://twitter.com/riswand3238","@riswand3238")</f>
        <v>@riswand3238</v>
      </c>
      <c r="C2214" t="s">
        <v>321</v>
      </c>
      <c r="D2214">
        <v>582</v>
      </c>
      <c r="E2214">
        <v>0</v>
      </c>
      <c r="F2214">
        <v>54</v>
      </c>
    </row>
    <row r="2215" spans="1:6" ht="12.75">
      <c r="A2215" s="2">
        <v>43884.785428240742</v>
      </c>
      <c r="B2215" t="str">
        <f>HYPERLINK("https://twitter.com/lovelyhomie","@lovelyhomie")</f>
        <v>@lovelyhomie</v>
      </c>
      <c r="C2215" t="s">
        <v>2091</v>
      </c>
      <c r="D2215">
        <v>454</v>
      </c>
      <c r="E2215">
        <v>0</v>
      </c>
      <c r="F2215">
        <v>38</v>
      </c>
    </row>
    <row r="2216" spans="1:6" ht="12.75">
      <c r="A2216" s="2">
        <v>43884.785277777773</v>
      </c>
      <c r="B2216" t="str">
        <f>HYPERLINK("https://twitter.com/Ramdhan1980","@Ramdhan1980")</f>
        <v>@Ramdhan1980</v>
      </c>
      <c r="C2216" t="s">
        <v>2091</v>
      </c>
      <c r="D2216">
        <v>454</v>
      </c>
      <c r="E2216">
        <v>0</v>
      </c>
      <c r="F2216">
        <v>55</v>
      </c>
    </row>
    <row r="2217" spans="1:6" ht="12.75">
      <c r="A2217" s="2">
        <v>43884.78524305555</v>
      </c>
      <c r="B2217" t="str">
        <f>HYPERLINK("https://twitter.com/gendengforefer","@gendengforefer")</f>
        <v>@gendengforefer</v>
      </c>
      <c r="C2217" t="s">
        <v>2091</v>
      </c>
      <c r="D2217">
        <v>454</v>
      </c>
      <c r="E2217">
        <v>0</v>
      </c>
      <c r="F2217">
        <v>379</v>
      </c>
    </row>
    <row r="2218" spans="1:6" ht="12.75">
      <c r="A2218" s="2">
        <v>43884.78502314815</v>
      </c>
      <c r="B2218" t="str">
        <f>HYPERLINK("https://twitter.com/dade_fdr","@dade_fdr")</f>
        <v>@dade_fdr</v>
      </c>
      <c r="C2218" t="s">
        <v>321</v>
      </c>
      <c r="D2218">
        <v>582</v>
      </c>
      <c r="E2218">
        <v>0</v>
      </c>
      <c r="F2218">
        <v>186</v>
      </c>
    </row>
    <row r="2219" spans="1:6" ht="12.75">
      <c r="A2219" s="2">
        <v>43884.784895833334</v>
      </c>
      <c r="B2219" t="str">
        <f>HYPERLINK("https://twitter.com/sanjayanuriman","@sanjayanuriman")</f>
        <v>@sanjayanuriman</v>
      </c>
      <c r="C2219" t="s">
        <v>2775</v>
      </c>
      <c r="D2219">
        <v>0</v>
      </c>
      <c r="E2219">
        <v>0</v>
      </c>
      <c r="F2219">
        <v>1066</v>
      </c>
    </row>
    <row r="2220" spans="1:6" ht="12.75">
      <c r="A2220" s="2">
        <v>43884.784745370373</v>
      </c>
      <c r="B2220" t="str">
        <f>HYPERLINK("https://twitter.com/kondekturbus_","@kondekturbus_")</f>
        <v>@kondekturbus_</v>
      </c>
      <c r="C2220" t="s">
        <v>321</v>
      </c>
      <c r="D2220">
        <v>582</v>
      </c>
      <c r="E2220">
        <v>0</v>
      </c>
      <c r="F2220">
        <v>14206</v>
      </c>
    </row>
    <row r="2221" spans="1:6" ht="12.75">
      <c r="A2221" s="2">
        <v>43884.784594907411</v>
      </c>
      <c r="B2221" t="str">
        <f>HYPERLINK("https://twitter.com/aihaibaraq","@aihaibaraq")</f>
        <v>@aihaibaraq</v>
      </c>
      <c r="C2221" t="s">
        <v>2115</v>
      </c>
      <c r="D2221">
        <v>11</v>
      </c>
      <c r="E2221">
        <v>0</v>
      </c>
      <c r="F2221">
        <v>244</v>
      </c>
    </row>
    <row r="2222" spans="1:6" ht="12.75">
      <c r="A2222" s="2">
        <v>43884.784513888888</v>
      </c>
      <c r="B2222" t="str">
        <f>HYPERLINK("https://twitter.com/kopiganja","@kopiganja")</f>
        <v>@kopiganja</v>
      </c>
      <c r="C2222" t="s">
        <v>321</v>
      </c>
      <c r="D2222">
        <v>582</v>
      </c>
      <c r="E2222">
        <v>0</v>
      </c>
      <c r="F2222">
        <v>112061</v>
      </c>
    </row>
    <row r="2223" spans="1:6" ht="12.75">
      <c r="A2223" s="2">
        <v>43884.784502314811</v>
      </c>
      <c r="B2223" t="str">
        <f>HYPERLINK("https://twitter.com/aihaibaraq","@aihaibaraq")</f>
        <v>@aihaibaraq</v>
      </c>
      <c r="C2223" t="s">
        <v>738</v>
      </c>
      <c r="D2223">
        <v>30</v>
      </c>
      <c r="E2223">
        <v>0</v>
      </c>
      <c r="F2223">
        <v>244</v>
      </c>
    </row>
    <row r="2224" spans="1:6" ht="12.75">
      <c r="A2224" s="2">
        <v>43884.784490740742</v>
      </c>
      <c r="B2224" t="str">
        <f>HYPERLINK("https://twitter.com/mirazh_me","@mirazh_me")</f>
        <v>@mirazh_me</v>
      </c>
      <c r="C2224" t="s">
        <v>738</v>
      </c>
      <c r="D2224">
        <v>30</v>
      </c>
      <c r="E2224">
        <v>0</v>
      </c>
      <c r="F2224">
        <v>6187</v>
      </c>
    </row>
    <row r="2225" spans="1:6" ht="12.75">
      <c r="A2225" s="2">
        <v>43884.784467592588</v>
      </c>
      <c r="B2225" t="str">
        <f>HYPERLINK("https://twitter.com/RikaMastyatami1","@RikaMastyatami1")</f>
        <v>@RikaMastyatami1</v>
      </c>
      <c r="C2225" t="s">
        <v>321</v>
      </c>
      <c r="D2225">
        <v>582</v>
      </c>
      <c r="E2225">
        <v>0</v>
      </c>
      <c r="F2225">
        <v>254</v>
      </c>
    </row>
    <row r="2226" spans="1:6" ht="12.75">
      <c r="A2226" s="2">
        <v>43884.78429398148</v>
      </c>
      <c r="B2226" t="str">
        <f>HYPERLINK("https://twitter.com/mirazh_me","@mirazh_me")</f>
        <v>@mirazh_me</v>
      </c>
      <c r="C2226" t="s">
        <v>321</v>
      </c>
      <c r="D2226">
        <v>582</v>
      </c>
      <c r="E2226">
        <v>0</v>
      </c>
      <c r="F2226">
        <v>6187</v>
      </c>
    </row>
    <row r="2227" spans="1:6" ht="12.75">
      <c r="A2227" s="2">
        <v>43884.78424768518</v>
      </c>
      <c r="B2227" t="str">
        <f>HYPERLINK("https://twitter.com/raplee","@raplee")</f>
        <v>@raplee</v>
      </c>
      <c r="C2227" t="s">
        <v>2091</v>
      </c>
      <c r="D2227">
        <v>454</v>
      </c>
      <c r="E2227">
        <v>0</v>
      </c>
      <c r="F2227">
        <v>1226</v>
      </c>
    </row>
    <row r="2228" spans="1:6" ht="12.75">
      <c r="A2228" s="2">
        <v>43884.784097222218</v>
      </c>
      <c r="B2228" t="str">
        <f>HYPERLINK("https://twitter.com/andromedacull","@andromedacull")</f>
        <v>@andromedacull</v>
      </c>
      <c r="C2228" t="s">
        <v>321</v>
      </c>
      <c r="D2228">
        <v>582</v>
      </c>
      <c r="E2228">
        <v>0</v>
      </c>
      <c r="F2228">
        <v>142</v>
      </c>
    </row>
    <row r="2229" spans="1:6" ht="12.75">
      <c r="A2229" s="2">
        <v>43884.78396990741</v>
      </c>
      <c r="B2229" t="str">
        <f>HYPERLINK("https://twitter.com/ariemessi","@ariemessi")</f>
        <v>@ariemessi</v>
      </c>
      <c r="C2229" t="s">
        <v>2091</v>
      </c>
      <c r="D2229">
        <v>454</v>
      </c>
      <c r="E2229">
        <v>0</v>
      </c>
      <c r="F2229">
        <v>375</v>
      </c>
    </row>
    <row r="2230" spans="1:6" ht="12.75">
      <c r="A2230" s="2">
        <v>43884.783958333333</v>
      </c>
      <c r="B2230" t="str">
        <f>HYPERLINK("https://twitter.com/EL_Atheos","@EL_Atheos")</f>
        <v>@EL_Atheos</v>
      </c>
      <c r="C2230" t="s">
        <v>2776</v>
      </c>
      <c r="D2230">
        <v>2</v>
      </c>
      <c r="E2230">
        <v>0</v>
      </c>
      <c r="F2230">
        <v>2477</v>
      </c>
    </row>
    <row r="2231" spans="1:6" ht="12.75">
      <c r="A2231" s="2">
        <v>43884.783958333333</v>
      </c>
      <c r="B2231" t="str">
        <f>HYPERLINK("https://twitter.com/ImeldaTheQueen","@ImeldaTheQueen")</f>
        <v>@ImeldaTheQueen</v>
      </c>
      <c r="C2231" t="s">
        <v>2777</v>
      </c>
      <c r="D2231">
        <v>4</v>
      </c>
      <c r="E2231">
        <v>0</v>
      </c>
      <c r="F2231">
        <v>379</v>
      </c>
    </row>
    <row r="2232" spans="1:6" ht="12.75">
      <c r="A2232" s="2">
        <v>43884.783888888887</v>
      </c>
      <c r="B2232" t="str">
        <f>HYPERLINK("https://twitter.com/zen10294831","@zen10294831")</f>
        <v>@zen10294831</v>
      </c>
      <c r="C2232" t="s">
        <v>321</v>
      </c>
      <c r="D2232">
        <v>582</v>
      </c>
      <c r="E2232">
        <v>0</v>
      </c>
      <c r="F2232">
        <v>20</v>
      </c>
    </row>
    <row r="2233" spans="1:6" ht="12.75">
      <c r="A2233" s="2">
        <v>43884.78329861111</v>
      </c>
      <c r="B2233" t="str">
        <f>HYPERLINK("https://twitter.com/Roudhotulfitria","@Roudhotulfitria")</f>
        <v>@Roudhotulfitria</v>
      </c>
      <c r="C2233" t="s">
        <v>321</v>
      </c>
      <c r="D2233">
        <v>582</v>
      </c>
      <c r="E2233">
        <v>0</v>
      </c>
      <c r="F2233">
        <v>150</v>
      </c>
    </row>
    <row r="2234" spans="1:6" ht="12.75">
      <c r="A2234" s="2">
        <v>43884.783263888894</v>
      </c>
      <c r="B2234" t="str">
        <f>HYPERLINK("https://twitter.com/zahrafitrin","@zahrafitrin")</f>
        <v>@zahrafitrin</v>
      </c>
      <c r="C2234" t="s">
        <v>321</v>
      </c>
      <c r="D2234">
        <v>582</v>
      </c>
      <c r="E2234">
        <v>0</v>
      </c>
      <c r="F2234">
        <v>136</v>
      </c>
    </row>
    <row r="2235" spans="1:6" ht="12.75">
      <c r="A2235" s="2">
        <v>43884.783229166671</v>
      </c>
      <c r="B2235" t="str">
        <f>HYPERLINK("https://twitter.com/encikfarid","@encikfarid")</f>
        <v>@encikfarid</v>
      </c>
      <c r="C2235" t="s">
        <v>321</v>
      </c>
      <c r="D2235">
        <v>582</v>
      </c>
      <c r="E2235">
        <v>0</v>
      </c>
      <c r="F2235">
        <v>851</v>
      </c>
    </row>
    <row r="2236" spans="1:6" ht="12.75">
      <c r="A2236" s="2">
        <v>43884.783159722225</v>
      </c>
      <c r="B2236" t="str">
        <f>HYPERLINK("https://twitter.com/dim_bleak13","@dim_bleak13")</f>
        <v>@dim_bleak13</v>
      </c>
      <c r="C2236" t="s">
        <v>2766</v>
      </c>
      <c r="D2236">
        <v>231</v>
      </c>
      <c r="E2236">
        <v>0</v>
      </c>
      <c r="F2236">
        <v>106</v>
      </c>
    </row>
    <row r="2237" spans="1:6" ht="12.75">
      <c r="A2237" s="2">
        <v>43884.783078703702</v>
      </c>
      <c r="B2237" t="str">
        <f>HYPERLINK("https://twitter.com/meidy_ns","@meidy_ns")</f>
        <v>@meidy_ns</v>
      </c>
      <c r="C2237" t="s">
        <v>2766</v>
      </c>
      <c r="D2237">
        <v>231</v>
      </c>
      <c r="E2237">
        <v>0</v>
      </c>
      <c r="F2237">
        <v>149</v>
      </c>
    </row>
    <row r="2238" spans="1:6" ht="12.75">
      <c r="A2238" s="2">
        <v>43884.782777777778</v>
      </c>
      <c r="B2238" t="str">
        <f>HYPERLINK("https://twitter.com/aihaibaraq","@aihaibaraq")</f>
        <v>@aihaibaraq</v>
      </c>
      <c r="C2238" t="s">
        <v>321</v>
      </c>
      <c r="D2238">
        <v>582</v>
      </c>
      <c r="E2238">
        <v>0</v>
      </c>
      <c r="F2238">
        <v>244</v>
      </c>
    </row>
    <row r="2239" spans="1:6" ht="12.75">
      <c r="A2239" s="2">
        <v>43884.782754629632</v>
      </c>
      <c r="B2239" t="str">
        <f>HYPERLINK("https://twitter.com/Koleeekdol","@Koleeekdol")</f>
        <v>@Koleeekdol</v>
      </c>
      <c r="C2239" t="s">
        <v>321</v>
      </c>
      <c r="D2239">
        <v>582</v>
      </c>
      <c r="E2239">
        <v>0</v>
      </c>
      <c r="F2239">
        <v>26</v>
      </c>
    </row>
    <row r="2240" spans="1:6" ht="12.75">
      <c r="A2240" s="2">
        <v>43884.782418981486</v>
      </c>
      <c r="B2240" t="str">
        <f>HYPERLINK("https://twitter.com/Infoacehtimur1","@Infoacehtimur1")</f>
        <v>@Infoacehtimur1</v>
      </c>
      <c r="C2240" t="s">
        <v>2778</v>
      </c>
      <c r="D2240">
        <v>0</v>
      </c>
      <c r="E2240">
        <v>0</v>
      </c>
      <c r="F2240">
        <v>48</v>
      </c>
    </row>
    <row r="2241" spans="1:6" ht="12.75">
      <c r="A2241" s="2">
        <v>43884.782326388886</v>
      </c>
      <c r="B2241" t="str">
        <f>HYPERLINK("https://twitter.com/fabianohoho","@fabianohoho")</f>
        <v>@fabianohoho</v>
      </c>
      <c r="C2241" t="s">
        <v>2091</v>
      </c>
      <c r="D2241">
        <v>454</v>
      </c>
      <c r="E2241">
        <v>0</v>
      </c>
      <c r="F2241">
        <v>311</v>
      </c>
    </row>
    <row r="2242" spans="1:6" ht="12.75">
      <c r="A2242" s="2">
        <v>43884.781805555554</v>
      </c>
      <c r="B2242" t="str">
        <f>HYPERLINK("https://twitter.com/akmalmursid1","@akmalmursid1")</f>
        <v>@akmalmursid1</v>
      </c>
      <c r="C2242" t="s">
        <v>2091</v>
      </c>
      <c r="D2242">
        <v>454</v>
      </c>
      <c r="E2242">
        <v>0</v>
      </c>
      <c r="F2242">
        <v>82</v>
      </c>
    </row>
    <row r="2243" spans="1:6" ht="12.75">
      <c r="A2243" s="2">
        <v>43884.781793981485</v>
      </c>
      <c r="B2243" t="str">
        <f>HYPERLINK("https://twitter.com/kuwungkuwung1","@kuwungkuwung1")</f>
        <v>@kuwungkuwung1</v>
      </c>
      <c r="C2243" t="s">
        <v>738</v>
      </c>
      <c r="D2243">
        <v>30</v>
      </c>
      <c r="E2243">
        <v>0</v>
      </c>
      <c r="F2243">
        <v>119</v>
      </c>
    </row>
    <row r="2244" spans="1:6" ht="12.75">
      <c r="A2244" s="2">
        <v>43884.7815625</v>
      </c>
      <c r="B2244" t="str">
        <f>HYPERLINK("https://twitter.com/YusufSo90734482","@YusufSo90734482")</f>
        <v>@YusufSo90734482</v>
      </c>
      <c r="C2244" t="s">
        <v>321</v>
      </c>
      <c r="D2244">
        <v>582</v>
      </c>
      <c r="E2244">
        <v>0</v>
      </c>
      <c r="F2244">
        <v>682</v>
      </c>
    </row>
    <row r="2245" spans="1:6" ht="12.75">
      <c r="A2245" s="2">
        <v>43884.781296296293</v>
      </c>
      <c r="B2245" t="str">
        <f>HYPERLINK("https://twitter.com/LSinarap","@LSinarap")</f>
        <v>@LSinarap</v>
      </c>
      <c r="C2245" t="s">
        <v>321</v>
      </c>
      <c r="D2245">
        <v>582</v>
      </c>
      <c r="E2245">
        <v>0</v>
      </c>
      <c r="F2245">
        <v>53</v>
      </c>
    </row>
    <row r="2246" spans="1:6" ht="12.75">
      <c r="A2246" s="2">
        <v>43884.781284722223</v>
      </c>
      <c r="B2246" t="str">
        <f>HYPERLINK("https://twitter.com/Jevri_09","@Jevri_09")</f>
        <v>@Jevri_09</v>
      </c>
      <c r="C2246" t="s">
        <v>321</v>
      </c>
      <c r="D2246">
        <v>582</v>
      </c>
      <c r="E2246">
        <v>0</v>
      </c>
      <c r="F2246">
        <v>2070</v>
      </c>
    </row>
    <row r="2247" spans="1:6" ht="12.75">
      <c r="A2247" s="2">
        <v>43884.781215277777</v>
      </c>
      <c r="B2247" t="str">
        <f>HYPERLINK("https://twitter.com/Sjaechu","@Sjaechu")</f>
        <v>@Sjaechu</v>
      </c>
      <c r="C2247" t="s">
        <v>321</v>
      </c>
      <c r="D2247">
        <v>582</v>
      </c>
      <c r="E2247">
        <v>0</v>
      </c>
      <c r="F2247">
        <v>5785</v>
      </c>
    </row>
    <row r="2248" spans="1:6" ht="12.75">
      <c r="A2248" s="2">
        <v>43884.781145833331</v>
      </c>
      <c r="B2248" t="str">
        <f>HYPERLINK("https://twitter.com/IzulV3","@IzulV3")</f>
        <v>@IzulV3</v>
      </c>
      <c r="C2248" t="s">
        <v>321</v>
      </c>
      <c r="D2248">
        <v>582</v>
      </c>
      <c r="E2248">
        <v>0</v>
      </c>
      <c r="F2248">
        <v>1154</v>
      </c>
    </row>
    <row r="2249" spans="1:6" ht="12.75">
      <c r="A2249" s="2">
        <v>43884.781122685185</v>
      </c>
      <c r="B2249" t="str">
        <f>HYPERLINK("https://twitter.com/Aldo42128251","@Aldo42128251")</f>
        <v>@Aldo42128251</v>
      </c>
      <c r="C2249" t="s">
        <v>321</v>
      </c>
      <c r="D2249">
        <v>582</v>
      </c>
      <c r="E2249">
        <v>0</v>
      </c>
      <c r="F2249">
        <v>237</v>
      </c>
    </row>
    <row r="2250" spans="1:6" ht="12.75">
      <c r="A2250" s="2">
        <v>43884.781041666662</v>
      </c>
      <c r="B2250" t="str">
        <f>HYPERLINK("https://twitter.com/rahmateffendi__","@rahmateffendi__")</f>
        <v>@rahmateffendi__</v>
      </c>
      <c r="C2250" t="s">
        <v>321</v>
      </c>
      <c r="D2250">
        <v>582</v>
      </c>
      <c r="E2250">
        <v>0</v>
      </c>
      <c r="F2250">
        <v>1995</v>
      </c>
    </row>
    <row r="2251" spans="1:6" ht="12.75">
      <c r="A2251" s="2">
        <v>43884.781041666662</v>
      </c>
      <c r="B2251" t="str">
        <f>HYPERLINK("https://twitter.com/muchiddin3","@muchiddin3")</f>
        <v>@muchiddin3</v>
      </c>
      <c r="C2251" t="s">
        <v>321</v>
      </c>
      <c r="D2251">
        <v>582</v>
      </c>
      <c r="E2251">
        <v>0</v>
      </c>
      <c r="F2251">
        <v>17</v>
      </c>
    </row>
    <row r="2252" spans="1:6" ht="12.75">
      <c r="A2252" s="2">
        <v>43884.7808912037</v>
      </c>
      <c r="B2252" t="str">
        <f>HYPERLINK("https://twitter.com/Abudzar45580865","@Abudzar45580865")</f>
        <v>@Abudzar45580865</v>
      </c>
      <c r="C2252" t="s">
        <v>321</v>
      </c>
      <c r="D2252">
        <v>582</v>
      </c>
      <c r="E2252">
        <v>0</v>
      </c>
      <c r="F2252">
        <v>1061</v>
      </c>
    </row>
    <row r="2253" spans="1:6" ht="12.75">
      <c r="A2253" s="2">
        <v>43884.780706018515</v>
      </c>
      <c r="B2253" t="str">
        <f>HYPERLINK("https://twitter.com/ndu_tech","@ndu_tech")</f>
        <v>@ndu_tech</v>
      </c>
      <c r="C2253" t="s">
        <v>321</v>
      </c>
      <c r="D2253">
        <v>582</v>
      </c>
      <c r="E2253">
        <v>0</v>
      </c>
      <c r="F2253">
        <v>294</v>
      </c>
    </row>
    <row r="2254" spans="1:6" ht="12.75">
      <c r="A2254" s="2">
        <v>43884.780636574069</v>
      </c>
      <c r="B2254" t="str">
        <f>HYPERLINK("https://twitter.com/NotADonJuan","@NotADonJuan")</f>
        <v>@NotADonJuan</v>
      </c>
      <c r="C2254" t="s">
        <v>2091</v>
      </c>
      <c r="D2254">
        <v>454</v>
      </c>
      <c r="E2254">
        <v>0</v>
      </c>
      <c r="F2254">
        <v>151</v>
      </c>
    </row>
    <row r="2255" spans="1:6" ht="12.75">
      <c r="A2255" s="2">
        <v>43884.780601851853</v>
      </c>
      <c r="B2255" t="str">
        <f>HYPERLINK("https://twitter.com/churchbackyard","@churchbackyard")</f>
        <v>@churchbackyard</v>
      </c>
      <c r="C2255" t="s">
        <v>321</v>
      </c>
      <c r="D2255">
        <v>582</v>
      </c>
      <c r="E2255">
        <v>0</v>
      </c>
      <c r="F2255">
        <v>23</v>
      </c>
    </row>
    <row r="2256" spans="1:6" ht="12.75">
      <c r="A2256" s="2">
        <v>43884.78052083333</v>
      </c>
      <c r="B2256" t="str">
        <f>HYPERLINK("https://twitter.com/skyjava","@skyjava")</f>
        <v>@skyjava</v>
      </c>
      <c r="C2256" t="s">
        <v>321</v>
      </c>
      <c r="D2256">
        <v>582</v>
      </c>
      <c r="E2256">
        <v>0</v>
      </c>
      <c r="F2256">
        <v>57</v>
      </c>
    </row>
    <row r="2257" spans="1:6" ht="12.75">
      <c r="A2257" s="2">
        <v>43884.751527777778</v>
      </c>
      <c r="B2257" t="str">
        <f>HYPERLINK("https://twitter.com/ariev_rawk","@ariev_rawk")</f>
        <v>@ariev_rawk</v>
      </c>
      <c r="C2257" t="s">
        <v>321</v>
      </c>
      <c r="D2257">
        <v>348</v>
      </c>
      <c r="E2257">
        <v>0</v>
      </c>
      <c r="F2257">
        <v>30</v>
      </c>
    </row>
    <row r="2258" spans="1:6" ht="12.75">
      <c r="A2258" s="2">
        <v>43884.751458333332</v>
      </c>
      <c r="B2258" t="str">
        <f>HYPERLINK("https://twitter.com/nuraliaamir","@nuraliaamir")</f>
        <v>@nuraliaamir</v>
      </c>
      <c r="C2258" t="s">
        <v>2779</v>
      </c>
      <c r="D2258">
        <v>0</v>
      </c>
      <c r="E2258">
        <v>0</v>
      </c>
      <c r="F2258">
        <v>155</v>
      </c>
    </row>
    <row r="2259" spans="1:6" ht="12.75">
      <c r="A2259" s="2">
        <v>43884.75135416667</v>
      </c>
      <c r="B2259" t="str">
        <f>HYPERLINK("https://twitter.com/mukhamadmaskur","@mukhamadmaskur")</f>
        <v>@mukhamadmaskur</v>
      </c>
      <c r="C2259" t="s">
        <v>321</v>
      </c>
      <c r="D2259">
        <v>348</v>
      </c>
      <c r="E2259">
        <v>0</v>
      </c>
      <c r="F2259">
        <v>293</v>
      </c>
    </row>
    <row r="2260" spans="1:6" ht="12.75">
      <c r="A2260" s="2">
        <v>43884.75135416667</v>
      </c>
      <c r="B2260" t="str">
        <f>HYPERLINK("https://twitter.com/arieftata01","@arieftata01")</f>
        <v>@arieftata01</v>
      </c>
      <c r="C2260" t="s">
        <v>321</v>
      </c>
      <c r="D2260">
        <v>348</v>
      </c>
      <c r="E2260">
        <v>0</v>
      </c>
      <c r="F2260">
        <v>99</v>
      </c>
    </row>
    <row r="2261" spans="1:6" ht="12.75">
      <c r="A2261" s="2">
        <v>43884.751238425924</v>
      </c>
      <c r="B2261" t="str">
        <f>HYPERLINK("https://twitter.com/mpitryani","@mpitryani")</f>
        <v>@mpitryani</v>
      </c>
      <c r="C2261" t="s">
        <v>321</v>
      </c>
      <c r="D2261">
        <v>348</v>
      </c>
      <c r="E2261">
        <v>0</v>
      </c>
      <c r="F2261">
        <v>234</v>
      </c>
    </row>
    <row r="2262" spans="1:6" ht="12.75">
      <c r="A2262" s="2">
        <v>43884.751192129625</v>
      </c>
      <c r="B2262" t="str">
        <f>HYPERLINK("https://twitter.com/piyyopocco","@piyyopocco")</f>
        <v>@piyyopocco</v>
      </c>
      <c r="C2262" t="s">
        <v>2091</v>
      </c>
      <c r="D2262">
        <v>401</v>
      </c>
      <c r="E2262">
        <v>0</v>
      </c>
      <c r="F2262">
        <v>11</v>
      </c>
    </row>
    <row r="2263" spans="1:6" ht="12.75">
      <c r="A2263" s="2">
        <v>43884.751145833332</v>
      </c>
      <c r="B2263" t="str">
        <f>HYPERLINK("https://twitter.com/Ferry92754797","@Ferry92754797")</f>
        <v>@Ferry92754797</v>
      </c>
      <c r="C2263" t="s">
        <v>2766</v>
      </c>
      <c r="D2263">
        <v>215</v>
      </c>
      <c r="E2263">
        <v>0</v>
      </c>
      <c r="F2263">
        <v>85</v>
      </c>
    </row>
    <row r="2264" spans="1:6" ht="12.75">
      <c r="A2264" s="2">
        <v>43884.750914351855</v>
      </c>
      <c r="B2264" t="str">
        <f>HYPERLINK("https://twitter.com/haryantohari","@haryantohari")</f>
        <v>@haryantohari</v>
      </c>
      <c r="C2264" t="s">
        <v>2780</v>
      </c>
      <c r="D2264">
        <v>1</v>
      </c>
      <c r="E2264">
        <v>0</v>
      </c>
      <c r="F2264">
        <v>33</v>
      </c>
    </row>
    <row r="2265" spans="1:6" ht="12.75">
      <c r="A2265" s="2">
        <v>43884.750902777778</v>
      </c>
      <c r="B2265" t="str">
        <f>HYPERLINK("https://twitter.com/Masdjodi1","@Masdjodi1")</f>
        <v>@Masdjodi1</v>
      </c>
      <c r="C2265" t="s">
        <v>321</v>
      </c>
      <c r="D2265">
        <v>348</v>
      </c>
      <c r="E2265">
        <v>0</v>
      </c>
      <c r="F2265">
        <v>694</v>
      </c>
    </row>
    <row r="2266" spans="1:6" ht="12.75">
      <c r="A2266" s="2">
        <v>43884.750810185185</v>
      </c>
      <c r="B2266" t="str">
        <f>HYPERLINK("https://twitter.com/dssynb","@dssynb")</f>
        <v>@dssynb</v>
      </c>
      <c r="C2266" t="s">
        <v>321</v>
      </c>
      <c r="D2266">
        <v>348</v>
      </c>
      <c r="E2266">
        <v>0</v>
      </c>
      <c r="F2266">
        <v>808</v>
      </c>
    </row>
    <row r="2267" spans="1:6" ht="12.75">
      <c r="A2267" s="2">
        <v>43884.750763888893</v>
      </c>
      <c r="B2267" t="str">
        <f>HYPERLINK("https://twitter.com/Jodohhehe","@Jodohhehe")</f>
        <v>@Jodohhehe</v>
      </c>
      <c r="C2267" t="s">
        <v>321</v>
      </c>
      <c r="D2267">
        <v>348</v>
      </c>
      <c r="E2267">
        <v>0</v>
      </c>
      <c r="F2267">
        <v>876</v>
      </c>
    </row>
    <row r="2268" spans="1:6" ht="12.75">
      <c r="A2268" s="2">
        <v>43884.750752314816</v>
      </c>
      <c r="B2268" t="str">
        <f>HYPERLINK("https://twitter.com/BobbySrn","@BobbySrn")</f>
        <v>@BobbySrn</v>
      </c>
      <c r="C2268" t="s">
        <v>321</v>
      </c>
      <c r="D2268">
        <v>348</v>
      </c>
      <c r="E2268">
        <v>0</v>
      </c>
      <c r="F2268">
        <v>84</v>
      </c>
    </row>
    <row r="2269" spans="1:6" ht="12.75">
      <c r="A2269" s="2">
        <v>43884.750717592593</v>
      </c>
      <c r="B2269" t="str">
        <f>HYPERLINK("https://twitter.com/Jono_Fortunate","@Jono_Fortunate")</f>
        <v>@Jono_Fortunate</v>
      </c>
      <c r="C2269" t="s">
        <v>2091</v>
      </c>
      <c r="D2269">
        <v>401</v>
      </c>
      <c r="E2269">
        <v>0</v>
      </c>
      <c r="F2269">
        <v>564</v>
      </c>
    </row>
    <row r="2270" spans="1:6" ht="12.75">
      <c r="A2270" s="2">
        <v>43884.750578703708</v>
      </c>
      <c r="B2270" t="str">
        <f>HYPERLINK("https://twitter.com/yuka_dondondon","@yuka_dondondon")</f>
        <v>@yuka_dondondon</v>
      </c>
      <c r="C2270" t="s">
        <v>738</v>
      </c>
      <c r="D2270">
        <v>14</v>
      </c>
      <c r="E2270">
        <v>0</v>
      </c>
      <c r="F2270">
        <v>456</v>
      </c>
    </row>
    <row r="2271" spans="1:6" ht="12.75">
      <c r="A2271" s="2">
        <v>43884.750532407408</v>
      </c>
      <c r="B2271" t="str">
        <f>HYPERLINK("https://twitter.com/shaunloo1315","@shaunloo1315")</f>
        <v>@shaunloo1315</v>
      </c>
      <c r="C2271" t="s">
        <v>2781</v>
      </c>
      <c r="D2271">
        <v>0</v>
      </c>
      <c r="E2271">
        <v>0</v>
      </c>
      <c r="F2271">
        <v>11</v>
      </c>
    </row>
    <row r="2272" spans="1:6" ht="12.75">
      <c r="A2272" s="2">
        <v>43884.750069444446</v>
      </c>
      <c r="B2272" t="str">
        <f>HYPERLINK("https://twitter.com/maswido81163196","@maswido81163196")</f>
        <v>@maswido81163196</v>
      </c>
      <c r="C2272" t="s">
        <v>2153</v>
      </c>
      <c r="D2272">
        <v>332</v>
      </c>
      <c r="E2272">
        <v>0</v>
      </c>
      <c r="F2272">
        <v>264</v>
      </c>
    </row>
    <row r="2273" spans="1:6" ht="12.75">
      <c r="A2273" s="2">
        <v>43884.750046296293</v>
      </c>
      <c r="B2273" t="str">
        <f>HYPERLINK("https://twitter.com/Ags_P31","@Ags_P31")</f>
        <v>@Ags_P31</v>
      </c>
      <c r="C2273" t="s">
        <v>321</v>
      </c>
      <c r="D2273">
        <v>348</v>
      </c>
      <c r="E2273">
        <v>0</v>
      </c>
      <c r="F2273">
        <v>151</v>
      </c>
    </row>
    <row r="2274" spans="1:6" ht="12.75">
      <c r="A2274" s="2">
        <v>43884.750023148154</v>
      </c>
      <c r="B2274" t="str">
        <f>HYPERLINK("https://twitter.com/Dandhy_Laksono","@Dandhy_Laksono")</f>
        <v>@Dandhy_Laksono</v>
      </c>
      <c r="C2274" t="s">
        <v>321</v>
      </c>
      <c r="D2274">
        <v>348</v>
      </c>
      <c r="E2274">
        <v>0</v>
      </c>
      <c r="F2274">
        <v>131899</v>
      </c>
    </row>
    <row r="2275" spans="1:6" ht="12.75">
      <c r="A2275" s="2">
        <v>43884.749907407408</v>
      </c>
      <c r="B2275" t="str">
        <f>HYPERLINK("https://twitter.com/peter_shearer","@peter_shearer")</f>
        <v>@peter_shearer</v>
      </c>
      <c r="C2275" t="s">
        <v>2091</v>
      </c>
      <c r="D2275">
        <v>401</v>
      </c>
      <c r="E2275">
        <v>0</v>
      </c>
      <c r="F2275">
        <v>2091</v>
      </c>
    </row>
    <row r="2276" spans="1:6" ht="12.75">
      <c r="A2276" s="2">
        <v>43884.749826388885</v>
      </c>
      <c r="B2276" t="str">
        <f>HYPERLINK("https://twitter.com/Iswanti13239799","@Iswanti13239799")</f>
        <v>@Iswanti13239799</v>
      </c>
      <c r="C2276" t="s">
        <v>2766</v>
      </c>
      <c r="D2276">
        <v>215</v>
      </c>
      <c r="E2276">
        <v>0</v>
      </c>
      <c r="F2276">
        <v>0</v>
      </c>
    </row>
    <row r="2277" spans="1:6" ht="12.75">
      <c r="A2277" s="2">
        <v>43884.749710648146</v>
      </c>
      <c r="B2277" t="str">
        <f>HYPERLINK("https://twitter.com/suara_gang","@suara_gang")</f>
        <v>@suara_gang</v>
      </c>
      <c r="C2277" t="s">
        <v>2091</v>
      </c>
      <c r="D2277">
        <v>401</v>
      </c>
      <c r="E2277">
        <v>0</v>
      </c>
      <c r="F2277">
        <v>1120</v>
      </c>
    </row>
    <row r="2278" spans="1:6" ht="12.75">
      <c r="A2278" s="2">
        <v>43884.749421296292</v>
      </c>
      <c r="B2278" t="str">
        <f>HYPERLINK("https://twitter.com/RusdiwanIksan","@RusdiwanIksan")</f>
        <v>@RusdiwanIksan</v>
      </c>
      <c r="C2278" t="s">
        <v>2091</v>
      </c>
      <c r="D2278">
        <v>401</v>
      </c>
      <c r="E2278">
        <v>0</v>
      </c>
      <c r="F2278">
        <v>55</v>
      </c>
    </row>
    <row r="2279" spans="1:6" ht="12.75">
      <c r="A2279" s="2">
        <v>43884.749259259261</v>
      </c>
      <c r="B2279" t="str">
        <f>HYPERLINK("https://twitter.com/bapaeta","@bapaeta")</f>
        <v>@bapaeta</v>
      </c>
      <c r="C2279" t="s">
        <v>321</v>
      </c>
      <c r="D2279">
        <v>348</v>
      </c>
      <c r="E2279">
        <v>0</v>
      </c>
      <c r="F2279">
        <v>301</v>
      </c>
    </row>
    <row r="2280" spans="1:6" ht="12.75">
      <c r="A2280" s="2">
        <v>43884.748900462961</v>
      </c>
      <c r="B2280" t="str">
        <f>HYPERLINK("https://twitter.com/idntimes","@idntimes")</f>
        <v>@idntimes</v>
      </c>
      <c r="C2280" t="s">
        <v>2782</v>
      </c>
      <c r="D2280">
        <v>0</v>
      </c>
      <c r="E2280">
        <v>0</v>
      </c>
      <c r="F2280">
        <v>393254</v>
      </c>
    </row>
    <row r="2281" spans="1:6" ht="12.75">
      <c r="A2281" s="2">
        <v>43884.748888888891</v>
      </c>
      <c r="B2281" t="str">
        <f>HYPERLINK("https://twitter.com/ari_popeye","@ari_popeye")</f>
        <v>@ari_popeye</v>
      </c>
      <c r="C2281" t="s">
        <v>2783</v>
      </c>
      <c r="D2281">
        <v>0</v>
      </c>
      <c r="E2281">
        <v>0</v>
      </c>
      <c r="F2281">
        <v>178</v>
      </c>
    </row>
    <row r="2282" spans="1:6" ht="12.75">
      <c r="A2282" s="2">
        <v>43884.748807870375</v>
      </c>
      <c r="B2282" t="str">
        <f>HYPERLINK("https://twitter.com/afnfahmi","@afnfahmi")</f>
        <v>@afnfahmi</v>
      </c>
      <c r="C2282" t="s">
        <v>2784</v>
      </c>
      <c r="D2282">
        <v>1</v>
      </c>
      <c r="E2282">
        <v>0</v>
      </c>
      <c r="F2282">
        <v>490</v>
      </c>
    </row>
    <row r="2283" spans="1:6" ht="12.75">
      <c r="A2283" s="2">
        <v>43884.748726851853</v>
      </c>
      <c r="B2283" t="str">
        <f>HYPERLINK("https://twitter.com/LisaAmartatara3","@LisaAmartatara3")</f>
        <v>@LisaAmartatara3</v>
      </c>
      <c r="C2283" t="s">
        <v>738</v>
      </c>
      <c r="D2283">
        <v>14</v>
      </c>
      <c r="E2283">
        <v>0</v>
      </c>
      <c r="F2283">
        <v>52780</v>
      </c>
    </row>
    <row r="2284" spans="1:6" ht="12.75">
      <c r="A2284" s="2">
        <v>43884.748553240745</v>
      </c>
      <c r="B2284" t="str">
        <f>HYPERLINK("https://twitter.com/faarrrhrdns","@faarrrhrdns")</f>
        <v>@faarrrhrdns</v>
      </c>
      <c r="C2284" t="s">
        <v>321</v>
      </c>
      <c r="D2284">
        <v>348</v>
      </c>
      <c r="E2284">
        <v>0</v>
      </c>
      <c r="F2284">
        <v>340</v>
      </c>
    </row>
    <row r="2285" spans="1:6" ht="12.75">
      <c r="A2285" s="2">
        <v>43884.748518518521</v>
      </c>
      <c r="B2285" t="str">
        <f>HYPERLINK("https://twitter.com/LisaAmartatara3","@LisaAmartatara3")</f>
        <v>@LisaAmartatara3</v>
      </c>
      <c r="C2285" t="s">
        <v>321</v>
      </c>
      <c r="D2285">
        <v>348</v>
      </c>
      <c r="E2285">
        <v>0</v>
      </c>
      <c r="F2285">
        <v>52780</v>
      </c>
    </row>
    <row r="2286" spans="1:6" ht="12.75">
      <c r="A2286" s="2">
        <v>43884.748402777783</v>
      </c>
      <c r="B2286" t="str">
        <f>HYPERLINK("https://twitter.com/hendra235","@hendra235")</f>
        <v>@hendra235</v>
      </c>
      <c r="C2286" t="s">
        <v>2766</v>
      </c>
      <c r="D2286">
        <v>215</v>
      </c>
      <c r="E2286">
        <v>0</v>
      </c>
      <c r="F2286">
        <v>295</v>
      </c>
    </row>
    <row r="2287" spans="1:6" ht="12.75">
      <c r="A2287" s="2">
        <v>43884.748391203699</v>
      </c>
      <c r="B2287" t="str">
        <f>HYPERLINK("https://twitter.com/visitortwt1","@visitortwt1")</f>
        <v>@visitortwt1</v>
      </c>
      <c r="C2287" t="s">
        <v>2785</v>
      </c>
      <c r="D2287">
        <v>2</v>
      </c>
      <c r="E2287">
        <v>0</v>
      </c>
      <c r="F2287">
        <v>363</v>
      </c>
    </row>
    <row r="2288" spans="1:6" ht="12.75">
      <c r="A2288" s="2">
        <v>43884.748310185183</v>
      </c>
      <c r="B2288" t="str">
        <f>HYPERLINK("https://twitter.com/dillaaskw","@dillaaskw")</f>
        <v>@dillaaskw</v>
      </c>
      <c r="C2288" t="s">
        <v>738</v>
      </c>
      <c r="D2288">
        <v>14</v>
      </c>
      <c r="E2288">
        <v>0</v>
      </c>
      <c r="F2288">
        <v>287</v>
      </c>
    </row>
    <row r="2289" spans="1:6" ht="12.75">
      <c r="A2289" s="2">
        <v>43884.748217592598</v>
      </c>
      <c r="B2289" t="str">
        <f>HYPERLINK("https://twitter.com/setiawanh46","@setiawanh46")</f>
        <v>@setiawanh46</v>
      </c>
      <c r="C2289" t="s">
        <v>2766</v>
      </c>
      <c r="D2289">
        <v>215</v>
      </c>
      <c r="E2289">
        <v>0</v>
      </c>
      <c r="F2289">
        <v>1909</v>
      </c>
    </row>
    <row r="2290" spans="1:6" ht="12.75">
      <c r="A2290" s="2">
        <v>43884.748148148152</v>
      </c>
      <c r="B2290" t="str">
        <f>HYPERLINK("https://twitter.com/SumaHan65560614","@SumaHan65560614")</f>
        <v>@SumaHan65560614</v>
      </c>
      <c r="C2290" t="s">
        <v>321</v>
      </c>
      <c r="D2290">
        <v>348</v>
      </c>
      <c r="E2290">
        <v>0</v>
      </c>
      <c r="F2290">
        <v>63</v>
      </c>
    </row>
    <row r="2291" spans="1:6" ht="12.75">
      <c r="A2291" s="2">
        <v>43884.748101851852</v>
      </c>
      <c r="B2291" t="str">
        <f>HYPERLINK("https://twitter.com/intandewirtn","@intandewirtn")</f>
        <v>@intandewirtn</v>
      </c>
      <c r="C2291" t="s">
        <v>321</v>
      </c>
      <c r="D2291">
        <v>348</v>
      </c>
      <c r="E2291">
        <v>0</v>
      </c>
      <c r="F2291">
        <v>492</v>
      </c>
    </row>
    <row r="2292" spans="1:6" ht="12.75">
      <c r="A2292" s="2">
        <v>43884.748043981483</v>
      </c>
      <c r="B2292" t="str">
        <f>HYPERLINK("https://twitter.com/kirdun_97","@kirdun_97")</f>
        <v>@kirdun_97</v>
      </c>
      <c r="C2292" t="s">
        <v>321</v>
      </c>
      <c r="D2292">
        <v>348</v>
      </c>
      <c r="E2292">
        <v>0</v>
      </c>
      <c r="F2292">
        <v>285</v>
      </c>
    </row>
    <row r="2293" spans="1:6" ht="12.75">
      <c r="A2293" s="2">
        <v>43884.747928240744</v>
      </c>
      <c r="B2293" t="str">
        <f>HYPERLINK("https://twitter.com/motherofstar1","@motherofstar1")</f>
        <v>@motherofstar1</v>
      </c>
      <c r="C2293" t="s">
        <v>321</v>
      </c>
      <c r="D2293">
        <v>348</v>
      </c>
      <c r="E2293">
        <v>0</v>
      </c>
      <c r="F2293">
        <v>915</v>
      </c>
    </row>
    <row r="2294" spans="1:6" ht="12.75">
      <c r="A2294" s="2">
        <v>43884.747476851851</v>
      </c>
      <c r="B2294" t="str">
        <f>HYPERLINK("https://twitter.com/Pakde688668","@Pakde688668")</f>
        <v>@Pakde688668</v>
      </c>
      <c r="C2294" t="s">
        <v>2472</v>
      </c>
      <c r="D2294">
        <v>31</v>
      </c>
      <c r="E2294">
        <v>0</v>
      </c>
      <c r="F2294">
        <v>201</v>
      </c>
    </row>
    <row r="2295" spans="1:6" ht="12.75">
      <c r="A2295" s="2">
        <v>43884.747465277775</v>
      </c>
      <c r="B2295" t="str">
        <f>HYPERLINK("https://twitter.com/1radi2","@1radi2")</f>
        <v>@1radi2</v>
      </c>
      <c r="C2295" t="s">
        <v>321</v>
      </c>
      <c r="D2295">
        <v>348</v>
      </c>
      <c r="E2295">
        <v>0</v>
      </c>
      <c r="F2295">
        <v>10478</v>
      </c>
    </row>
    <row r="2296" spans="1:6" ht="12.75">
      <c r="A2296" s="2">
        <v>43884.747118055559</v>
      </c>
      <c r="B2296" t="str">
        <f>HYPERLINK("https://twitter.com/lena_vilian","@lena_vilian")</f>
        <v>@lena_vilian</v>
      </c>
      <c r="C2296" t="s">
        <v>2786</v>
      </c>
      <c r="D2296">
        <v>0</v>
      </c>
      <c r="E2296">
        <v>0</v>
      </c>
      <c r="F2296">
        <v>156</v>
      </c>
    </row>
    <row r="2297" spans="1:6" ht="12.75">
      <c r="A2297" s="2">
        <v>43884.747083333335</v>
      </c>
      <c r="B2297" t="str">
        <f>HYPERLINK("https://twitter.com/WonderFact2","@WonderFact2")</f>
        <v>@WonderFact2</v>
      </c>
      <c r="C2297" t="s">
        <v>2787</v>
      </c>
      <c r="D2297">
        <v>0</v>
      </c>
      <c r="E2297">
        <v>0</v>
      </c>
      <c r="F2297">
        <v>3</v>
      </c>
    </row>
    <row r="2298" spans="1:6" ht="12.75">
      <c r="A2298" s="2">
        <v>43884.747071759259</v>
      </c>
      <c r="B2298" t="str">
        <f>HYPERLINK("https://twitter.com/tinybee83","@tinybee83")</f>
        <v>@tinybee83</v>
      </c>
      <c r="C2298" t="s">
        <v>2091</v>
      </c>
      <c r="D2298">
        <v>401</v>
      </c>
      <c r="E2298">
        <v>0</v>
      </c>
      <c r="F2298">
        <v>159</v>
      </c>
    </row>
    <row r="2299" spans="1:6" ht="12.75">
      <c r="A2299" s="2">
        <v>43884.746990740736</v>
      </c>
      <c r="B2299" t="str">
        <f>HYPERLINK("https://twitter.com/hendra235","@hendra235")</f>
        <v>@hendra235</v>
      </c>
      <c r="C2299" t="s">
        <v>2091</v>
      </c>
      <c r="D2299">
        <v>401</v>
      </c>
      <c r="E2299">
        <v>0</v>
      </c>
      <c r="F2299">
        <v>295</v>
      </c>
    </row>
    <row r="2300" spans="1:6" ht="12.75">
      <c r="A2300" s="2">
        <v>43884.746782407412</v>
      </c>
      <c r="B2300" t="str">
        <f>HYPERLINK("https://twitter.com/blackdevil0986","@blackdevil0986")</f>
        <v>@blackdevil0986</v>
      </c>
      <c r="C2300" t="s">
        <v>2091</v>
      </c>
      <c r="D2300">
        <v>401</v>
      </c>
      <c r="E2300">
        <v>0</v>
      </c>
      <c r="F2300">
        <v>13</v>
      </c>
    </row>
    <row r="2301" spans="1:6" ht="12.75">
      <c r="A2301" s="2">
        <v>43884.746631944443</v>
      </c>
      <c r="B2301" t="str">
        <f t="shared" ref="B2301:B2302" si="57">HYPERLINK("https://twitter.com/InfosuporterID","@InfosuporterID")</f>
        <v>@InfosuporterID</v>
      </c>
      <c r="C2301" t="s">
        <v>2788</v>
      </c>
      <c r="D2301">
        <v>1</v>
      </c>
      <c r="E2301">
        <v>1</v>
      </c>
      <c r="F2301">
        <v>20407</v>
      </c>
    </row>
    <row r="2302" spans="1:6" ht="12.75">
      <c r="A2302" s="2">
        <v>43884.746620370366</v>
      </c>
      <c r="B2302" t="str">
        <f t="shared" si="57"/>
        <v>@InfosuporterID</v>
      </c>
      <c r="C2302" t="s">
        <v>2789</v>
      </c>
      <c r="D2302">
        <v>0</v>
      </c>
      <c r="E2302">
        <v>1</v>
      </c>
      <c r="F2302">
        <v>20407</v>
      </c>
    </row>
    <row r="2303" spans="1:6" ht="12.75">
      <c r="A2303" s="2">
        <v>43884.746400462958</v>
      </c>
      <c r="B2303" t="str">
        <f>HYPERLINK("https://twitter.com/TweetSyarif","@TweetSyarif")</f>
        <v>@TweetSyarif</v>
      </c>
      <c r="C2303" t="s">
        <v>2091</v>
      </c>
      <c r="D2303">
        <v>401</v>
      </c>
      <c r="E2303">
        <v>0</v>
      </c>
      <c r="F2303">
        <v>3644</v>
      </c>
    </row>
    <row r="2304" spans="1:6" ht="12.75">
      <c r="A2304" s="2">
        <v>43884.746122685188</v>
      </c>
      <c r="B2304" t="str">
        <f>HYPERLINK("https://twitter.com/AwakMedanCoy","@AwakMedanCoy")</f>
        <v>@AwakMedanCoy</v>
      </c>
      <c r="C2304" t="s">
        <v>321</v>
      </c>
      <c r="D2304">
        <v>348</v>
      </c>
      <c r="E2304">
        <v>0</v>
      </c>
      <c r="F2304">
        <v>4202</v>
      </c>
    </row>
    <row r="2305" spans="1:6" ht="12.75">
      <c r="A2305" s="2">
        <v>43884.74591435185</v>
      </c>
      <c r="B2305" t="str">
        <f>HYPERLINK("https://twitter.com/cekmint_sabang","@cekmint_sabang")</f>
        <v>@cekmint_sabang</v>
      </c>
      <c r="C2305" t="s">
        <v>2790</v>
      </c>
      <c r="D2305">
        <v>1</v>
      </c>
      <c r="E2305">
        <v>0</v>
      </c>
      <c r="F2305">
        <v>311</v>
      </c>
    </row>
    <row r="2306" spans="1:6" ht="12.75">
      <c r="A2306" s="2">
        <v>43884.745729166665</v>
      </c>
      <c r="B2306" t="str">
        <f>HYPERLINK("https://twitter.com/notacoffeebreak","@notacoffeebreak")</f>
        <v>@notacoffeebreak</v>
      </c>
      <c r="C2306" t="s">
        <v>2091</v>
      </c>
      <c r="D2306">
        <v>401</v>
      </c>
      <c r="E2306">
        <v>0</v>
      </c>
      <c r="F2306">
        <v>595</v>
      </c>
    </row>
    <row r="2307" spans="1:6" ht="12.75">
      <c r="A2307" s="2">
        <v>43884.745486111111</v>
      </c>
      <c r="B2307" t="str">
        <f>HYPERLINK("https://twitter.com/freddymencury","@freddymencury")</f>
        <v>@freddymencury</v>
      </c>
      <c r="C2307" t="s">
        <v>321</v>
      </c>
      <c r="D2307">
        <v>348</v>
      </c>
      <c r="E2307">
        <v>0</v>
      </c>
      <c r="F2307">
        <v>349</v>
      </c>
    </row>
    <row r="2308" spans="1:6" ht="12.75">
      <c r="A2308" s="2">
        <v>43884.745451388888</v>
      </c>
      <c r="B2308" t="str">
        <f>HYPERLINK("https://twitter.com/harakatuna","@harakatuna")</f>
        <v>@harakatuna</v>
      </c>
      <c r="C2308" t="s">
        <v>2791</v>
      </c>
      <c r="D2308">
        <v>0</v>
      </c>
      <c r="E2308">
        <v>0</v>
      </c>
      <c r="F2308">
        <v>409</v>
      </c>
    </row>
    <row r="2309" spans="1:6" ht="12.75">
      <c r="A2309" s="2">
        <v>43884.745347222226</v>
      </c>
      <c r="B2309" t="str">
        <f>HYPERLINK("https://twitter.com/owalahyowes_","@owalahyowes_")</f>
        <v>@owalahyowes_</v>
      </c>
      <c r="C2309" t="s">
        <v>321</v>
      </c>
      <c r="D2309">
        <v>348</v>
      </c>
      <c r="E2309">
        <v>0</v>
      </c>
      <c r="F2309">
        <v>37</v>
      </c>
    </row>
    <row r="2310" spans="1:6" ht="12.75">
      <c r="A2310" s="2">
        <v>43884.745289351849</v>
      </c>
      <c r="B2310" t="str">
        <f>HYPERLINK("https://twitter.com/yoko1_1_1","@yoko1_1_1")</f>
        <v>@yoko1_1_1</v>
      </c>
      <c r="C2310" t="s">
        <v>321</v>
      </c>
      <c r="D2310">
        <v>348</v>
      </c>
      <c r="E2310">
        <v>0</v>
      </c>
      <c r="F2310">
        <v>809</v>
      </c>
    </row>
    <row r="2311" spans="1:6" ht="12.75">
      <c r="A2311" s="2">
        <v>43884.745150462964</v>
      </c>
      <c r="B2311" t="str">
        <f>HYPERLINK("https://twitter.com/Pakde688668","@Pakde688668")</f>
        <v>@Pakde688668</v>
      </c>
      <c r="C2311" t="s">
        <v>2766</v>
      </c>
      <c r="D2311">
        <v>215</v>
      </c>
      <c r="E2311">
        <v>0</v>
      </c>
      <c r="F2311">
        <v>201</v>
      </c>
    </row>
    <row r="2312" spans="1:6" ht="12.75">
      <c r="A2312" s="2">
        <v>43884.744988425926</v>
      </c>
      <c r="B2312" t="str">
        <f>HYPERLINK("https://twitter.com/roomyhidayat","@roomyhidayat")</f>
        <v>@roomyhidayat</v>
      </c>
      <c r="C2312" t="s">
        <v>321</v>
      </c>
      <c r="D2312">
        <v>348</v>
      </c>
      <c r="E2312">
        <v>0</v>
      </c>
      <c r="F2312">
        <v>551</v>
      </c>
    </row>
    <row r="2313" spans="1:6" ht="12.75">
      <c r="A2313" s="2">
        <v>43884.744583333333</v>
      </c>
      <c r="B2313" t="str">
        <f>HYPERLINK("https://twitter.com/Penerawang_09","@Penerawang_09")</f>
        <v>@Penerawang_09</v>
      </c>
      <c r="C2313" t="s">
        <v>321</v>
      </c>
      <c r="D2313">
        <v>348</v>
      </c>
      <c r="E2313">
        <v>0</v>
      </c>
      <c r="F2313">
        <v>281</v>
      </c>
    </row>
    <row r="2314" spans="1:6" ht="12.75">
      <c r="A2314" s="2">
        <v>43884.744421296295</v>
      </c>
      <c r="B2314" t="str">
        <f>HYPERLINK("https://twitter.com/Irfansyaah95","@Irfansyaah95")</f>
        <v>@Irfansyaah95</v>
      </c>
      <c r="C2314" t="s">
        <v>321</v>
      </c>
      <c r="D2314">
        <v>348</v>
      </c>
      <c r="E2314">
        <v>0</v>
      </c>
      <c r="F2314">
        <v>2132</v>
      </c>
    </row>
    <row r="2315" spans="1:6" ht="12.75">
      <c r="A2315" s="2">
        <v>43884.744224537033</v>
      </c>
      <c r="B2315" t="str">
        <f>HYPERLINK("https://twitter.com/irvansyaah12","@irvansyaah12")</f>
        <v>@irvansyaah12</v>
      </c>
      <c r="C2315" t="s">
        <v>321</v>
      </c>
      <c r="D2315">
        <v>348</v>
      </c>
      <c r="E2315">
        <v>0</v>
      </c>
      <c r="F2315">
        <v>1160</v>
      </c>
    </row>
    <row r="2316" spans="1:6" ht="12.75">
      <c r="A2316" s="2">
        <v>43884.744097222225</v>
      </c>
      <c r="B2316" t="str">
        <f>HYPERLINK("https://twitter.com/sardiridwan78","@sardiridwan78")</f>
        <v>@sardiridwan78</v>
      </c>
      <c r="C2316" t="s">
        <v>321</v>
      </c>
      <c r="D2316">
        <v>348</v>
      </c>
      <c r="E2316">
        <v>0</v>
      </c>
      <c r="F2316">
        <v>1641</v>
      </c>
    </row>
    <row r="2317" spans="1:6" ht="12.75">
      <c r="A2317" s="2">
        <v>43884.743981481486</v>
      </c>
      <c r="B2317" t="str">
        <f>HYPERLINK("https://twitter.com/kato82","@kato82")</f>
        <v>@kato82</v>
      </c>
      <c r="C2317" t="s">
        <v>321</v>
      </c>
      <c r="D2317">
        <v>348</v>
      </c>
      <c r="E2317">
        <v>0</v>
      </c>
      <c r="F2317">
        <v>1645</v>
      </c>
    </row>
    <row r="2318" spans="1:6" ht="12.75">
      <c r="A2318" s="2">
        <v>43884.743969907402</v>
      </c>
      <c r="B2318" t="str">
        <f>HYPERLINK("https://twitter.com/dewanurcahya88","@dewanurcahya88")</f>
        <v>@dewanurcahya88</v>
      </c>
      <c r="C2318" t="s">
        <v>2792</v>
      </c>
      <c r="D2318">
        <v>0</v>
      </c>
      <c r="E2318">
        <v>0</v>
      </c>
      <c r="F2318">
        <v>102</v>
      </c>
    </row>
    <row r="2319" spans="1:6" ht="12.75">
      <c r="A2319" s="2">
        <v>43884.743726851855</v>
      </c>
      <c r="B2319" t="str">
        <f>HYPERLINK("https://twitter.com/roon3651","@roon3651")</f>
        <v>@roon3651</v>
      </c>
      <c r="C2319" t="s">
        <v>321</v>
      </c>
      <c r="D2319">
        <v>348</v>
      </c>
      <c r="E2319">
        <v>0</v>
      </c>
      <c r="F2319">
        <v>390</v>
      </c>
    </row>
    <row r="2320" spans="1:6" ht="12.75">
      <c r="A2320" s="2">
        <v>43884.743645833332</v>
      </c>
      <c r="B2320" t="str">
        <f>HYPERLINK("https://twitter.com/kevinque_","@kevinque_")</f>
        <v>@kevinque_</v>
      </c>
      <c r="C2320" t="s">
        <v>2091</v>
      </c>
      <c r="D2320">
        <v>401</v>
      </c>
      <c r="E2320">
        <v>0</v>
      </c>
      <c r="F2320">
        <v>1164</v>
      </c>
    </row>
    <row r="2321" spans="1:6" ht="12.75">
      <c r="A2321" s="2">
        <v>43884.743622685186</v>
      </c>
      <c r="B2321" t="str">
        <f>HYPERLINK("https://twitter.com/wni_jmsri","@wni_jmsri")</f>
        <v>@wni_jmsri</v>
      </c>
      <c r="C2321" t="s">
        <v>2793</v>
      </c>
      <c r="D2321">
        <v>99</v>
      </c>
      <c r="E2321">
        <v>0</v>
      </c>
      <c r="F2321">
        <v>196</v>
      </c>
    </row>
    <row r="2322" spans="1:6" ht="12.75">
      <c r="A2322" s="2">
        <v>43884.743437500001</v>
      </c>
      <c r="B2322" t="str">
        <f>HYPERLINK("https://twitter.com/adibssiraj","@adibssiraj")</f>
        <v>@adibssiraj</v>
      </c>
      <c r="C2322" t="s">
        <v>321</v>
      </c>
      <c r="D2322">
        <v>348</v>
      </c>
      <c r="E2322">
        <v>0</v>
      </c>
      <c r="F2322">
        <v>738</v>
      </c>
    </row>
    <row r="2323" spans="1:6" ht="12.75">
      <c r="A2323" s="2">
        <v>43884.743391203709</v>
      </c>
      <c r="B2323" t="str">
        <f>HYPERLINK("https://twitter.com/hay_yusse","@hay_yusse")</f>
        <v>@hay_yusse</v>
      </c>
      <c r="C2323" t="s">
        <v>321</v>
      </c>
      <c r="D2323">
        <v>348</v>
      </c>
      <c r="E2323">
        <v>0</v>
      </c>
      <c r="F2323">
        <v>3153</v>
      </c>
    </row>
    <row r="2324" spans="1:6" ht="12.75">
      <c r="A2324" s="2">
        <v>43884.743298611109</v>
      </c>
      <c r="B2324" t="str">
        <f>HYPERLINK("https://twitter.com/dimasbiscuits","@dimasbiscuits")</f>
        <v>@dimasbiscuits</v>
      </c>
      <c r="C2324" t="s">
        <v>321</v>
      </c>
      <c r="D2324">
        <v>348</v>
      </c>
      <c r="E2324">
        <v>0</v>
      </c>
      <c r="F2324">
        <v>335</v>
      </c>
    </row>
    <row r="2325" spans="1:6" ht="12.75">
      <c r="A2325" s="2">
        <v>43884.743275462963</v>
      </c>
      <c r="B2325" t="str">
        <f>HYPERLINK("https://twitter.com/sarahglandosch","@sarahglandosch")</f>
        <v>@sarahglandosch</v>
      </c>
      <c r="C2325" t="s">
        <v>2091</v>
      </c>
      <c r="D2325">
        <v>401</v>
      </c>
      <c r="E2325">
        <v>0</v>
      </c>
      <c r="F2325">
        <v>2265</v>
      </c>
    </row>
    <row r="2326" spans="1:6" ht="12.75">
      <c r="A2326" s="2">
        <v>43884.74318287037</v>
      </c>
      <c r="B2326" t="str">
        <f>HYPERLINK("https://twitter.com/haphapidun","@haphapidun")</f>
        <v>@haphapidun</v>
      </c>
      <c r="C2326" t="s">
        <v>321</v>
      </c>
      <c r="D2326">
        <v>348</v>
      </c>
      <c r="E2326">
        <v>0</v>
      </c>
      <c r="F2326">
        <v>73</v>
      </c>
    </row>
    <row r="2327" spans="1:6" ht="12.75">
      <c r="A2327" s="2">
        <v>43884.742754629631</v>
      </c>
      <c r="B2327" t="str">
        <f>HYPERLINK("https://twitter.com/fattyadi","@fattyadi")</f>
        <v>@fattyadi</v>
      </c>
      <c r="C2327" t="s">
        <v>321</v>
      </c>
      <c r="D2327">
        <v>348</v>
      </c>
      <c r="E2327">
        <v>0</v>
      </c>
      <c r="F2327">
        <v>333</v>
      </c>
    </row>
    <row r="2328" spans="1:6" ht="12.75">
      <c r="A2328" s="2">
        <v>43884.742696759262</v>
      </c>
      <c r="B2328" t="str">
        <f>HYPERLINK("https://twitter.com/JesseFrederick","@JesseFrederick")</f>
        <v>@JesseFrederick</v>
      </c>
      <c r="C2328" t="s">
        <v>321</v>
      </c>
      <c r="D2328">
        <v>348</v>
      </c>
      <c r="E2328">
        <v>0</v>
      </c>
      <c r="F2328">
        <v>1903</v>
      </c>
    </row>
    <row r="2329" spans="1:6" ht="12.75">
      <c r="A2329" s="2">
        <v>43884.742673611108</v>
      </c>
      <c r="B2329" t="str">
        <f>HYPERLINK("https://twitter.com/IgnatiusAryono","@IgnatiusAryono")</f>
        <v>@IgnatiusAryono</v>
      </c>
      <c r="C2329" t="s">
        <v>321</v>
      </c>
      <c r="D2329">
        <v>348</v>
      </c>
      <c r="E2329">
        <v>0</v>
      </c>
      <c r="F2329">
        <v>786</v>
      </c>
    </row>
    <row r="2330" spans="1:6" ht="12.75">
      <c r="A2330" s="2">
        <v>43884.742465277777</v>
      </c>
      <c r="B2330" t="str">
        <f>HYPERLINK("https://twitter.com/ImeldaTheQueen","@ImeldaTheQueen")</f>
        <v>@ImeldaTheQueen</v>
      </c>
      <c r="C2330" t="s">
        <v>2766</v>
      </c>
      <c r="D2330">
        <v>215</v>
      </c>
      <c r="E2330">
        <v>0</v>
      </c>
      <c r="F2330">
        <v>379</v>
      </c>
    </row>
    <row r="2331" spans="1:6" ht="12.75">
      <c r="A2331" s="2">
        <v>43884.742268518516</v>
      </c>
      <c r="B2331" t="str">
        <f>HYPERLINK("https://twitter.com/ekacangg_","@ekacangg_")</f>
        <v>@ekacangg_</v>
      </c>
      <c r="C2331" t="s">
        <v>321</v>
      </c>
      <c r="D2331">
        <v>348</v>
      </c>
      <c r="E2331">
        <v>0</v>
      </c>
      <c r="F2331">
        <v>120</v>
      </c>
    </row>
    <row r="2332" spans="1:6" ht="12.75">
      <c r="A2332" s="2">
        <v>43884.742164351846</v>
      </c>
      <c r="B2332" t="str">
        <f>HYPERLINK("https://twitter.com/maswuranto","@maswuranto")</f>
        <v>@maswuranto</v>
      </c>
      <c r="C2332" t="s">
        <v>2091</v>
      </c>
      <c r="D2332">
        <v>401</v>
      </c>
      <c r="E2332">
        <v>0</v>
      </c>
      <c r="F2332">
        <v>162</v>
      </c>
    </row>
    <row r="2333" spans="1:6" ht="12.75">
      <c r="A2333" s="2">
        <v>43884.742037037038</v>
      </c>
      <c r="B2333" t="str">
        <f>HYPERLINK("https://twitter.com/WWursita","@WWursita")</f>
        <v>@WWursita</v>
      </c>
      <c r="C2333" t="s">
        <v>2766</v>
      </c>
      <c r="D2333">
        <v>215</v>
      </c>
      <c r="E2333">
        <v>0</v>
      </c>
      <c r="F2333">
        <v>85</v>
      </c>
    </row>
    <row r="2334" spans="1:6" ht="12.75">
      <c r="A2334" s="2">
        <v>43884.741909722223</v>
      </c>
      <c r="B2334" t="str">
        <f>HYPERLINK("https://twitter.com/flyfluffy","@flyfluffy")</f>
        <v>@flyfluffy</v>
      </c>
      <c r="C2334" t="s">
        <v>2091</v>
      </c>
      <c r="D2334">
        <v>401</v>
      </c>
      <c r="E2334">
        <v>0</v>
      </c>
      <c r="F2334">
        <v>569</v>
      </c>
    </row>
    <row r="2335" spans="1:6" ht="12.75">
      <c r="A2335" s="2">
        <v>43884.741875</v>
      </c>
      <c r="B2335" t="str">
        <f>HYPERLINK("https://twitter.com/najwaUWUshihab","@najwaUWUshihab")</f>
        <v>@najwaUWUshihab</v>
      </c>
      <c r="C2335" t="s">
        <v>321</v>
      </c>
      <c r="D2335">
        <v>348</v>
      </c>
      <c r="E2335">
        <v>0</v>
      </c>
      <c r="F2335">
        <v>265</v>
      </c>
    </row>
    <row r="2336" spans="1:6" ht="12.75">
      <c r="A2336" s="2">
        <v>43884.741805555561</v>
      </c>
      <c r="B2336" t="str">
        <f>HYPERLINK("https://twitter.com/yusuf_superman","@yusuf_superman")</f>
        <v>@yusuf_superman</v>
      </c>
      <c r="C2336" t="s">
        <v>2091</v>
      </c>
      <c r="D2336">
        <v>401</v>
      </c>
      <c r="E2336">
        <v>0</v>
      </c>
      <c r="F2336">
        <v>263</v>
      </c>
    </row>
    <row r="2337" spans="1:6" ht="12.75">
      <c r="A2337" s="2">
        <v>43884.741747685184</v>
      </c>
      <c r="B2337" t="str">
        <f>HYPERLINK("https://twitter.com/mbahgondrong02","@mbahgondrong02")</f>
        <v>@mbahgondrong02</v>
      </c>
      <c r="C2337" t="s">
        <v>2091</v>
      </c>
      <c r="D2337">
        <v>401</v>
      </c>
      <c r="E2337">
        <v>0</v>
      </c>
      <c r="F2337">
        <v>49</v>
      </c>
    </row>
    <row r="2338" spans="1:6" ht="12.75">
      <c r="A2338" s="2">
        <v>43884.741655092592</v>
      </c>
      <c r="B2338" t="str">
        <f>HYPERLINK("https://twitter.com/tuakacaptikus","@tuakacaptikus")</f>
        <v>@tuakacaptikus</v>
      </c>
      <c r="C2338" t="s">
        <v>321</v>
      </c>
      <c r="D2338">
        <v>348</v>
      </c>
      <c r="E2338">
        <v>0</v>
      </c>
      <c r="F2338">
        <v>246</v>
      </c>
    </row>
    <row r="2339" spans="1:6" ht="12.75">
      <c r="A2339" s="2">
        <v>43884.741539351853</v>
      </c>
      <c r="B2339" t="str">
        <f>HYPERLINK("https://twitter.com/shiro_clover","@shiro_clover")</f>
        <v>@shiro_clover</v>
      </c>
      <c r="C2339" t="s">
        <v>321</v>
      </c>
      <c r="D2339">
        <v>348</v>
      </c>
      <c r="E2339">
        <v>0</v>
      </c>
      <c r="F2339">
        <v>907</v>
      </c>
    </row>
    <row r="2340" spans="1:6" ht="12.75">
      <c r="A2340" s="2">
        <v>43884.741527777776</v>
      </c>
      <c r="B2340" t="str">
        <f>HYPERLINK("https://twitter.com/setiawan7314","@setiawan7314")</f>
        <v>@setiawan7314</v>
      </c>
      <c r="C2340" t="s">
        <v>321</v>
      </c>
      <c r="D2340">
        <v>348</v>
      </c>
      <c r="E2340">
        <v>0</v>
      </c>
      <c r="F2340">
        <v>153</v>
      </c>
    </row>
    <row r="2341" spans="1:6" ht="12.75">
      <c r="A2341" s="2">
        <v>43884.741064814814</v>
      </c>
      <c r="B2341" t="str">
        <f>HYPERLINK("https://twitter.com/saImonskinroll","@saImonskinroll")</f>
        <v>@saImonskinroll</v>
      </c>
      <c r="C2341" t="s">
        <v>321</v>
      </c>
      <c r="D2341">
        <v>348</v>
      </c>
      <c r="E2341">
        <v>0</v>
      </c>
      <c r="F2341">
        <v>330</v>
      </c>
    </row>
    <row r="2342" spans="1:6" ht="12.75">
      <c r="A2342" s="2">
        <v>43884.740879629629</v>
      </c>
      <c r="B2342" t="str">
        <f>HYPERLINK("https://twitter.com/suciiinadilla","@suciiinadilla")</f>
        <v>@suciiinadilla</v>
      </c>
      <c r="C2342" t="s">
        <v>321</v>
      </c>
      <c r="D2342">
        <v>348</v>
      </c>
      <c r="E2342">
        <v>0</v>
      </c>
      <c r="F2342">
        <v>1012</v>
      </c>
    </row>
    <row r="2343" spans="1:6" ht="12.75">
      <c r="A2343" s="2">
        <v>43884.740763888884</v>
      </c>
      <c r="B2343" t="str">
        <f>HYPERLINK("https://twitter.com/Arifin2Zainal","@Arifin2Zainal")</f>
        <v>@Arifin2Zainal</v>
      </c>
      <c r="C2343" t="s">
        <v>321</v>
      </c>
      <c r="D2343">
        <v>348</v>
      </c>
      <c r="E2343">
        <v>0</v>
      </c>
      <c r="F2343">
        <v>1853</v>
      </c>
    </row>
    <row r="2344" spans="1:6" ht="12.75">
      <c r="A2344" s="2">
        <v>43884.740752314814</v>
      </c>
      <c r="B2344" t="str">
        <f>HYPERLINK("https://twitter.com/kawakamitakeru","@kawakamitakeru")</f>
        <v>@kawakamitakeru</v>
      </c>
      <c r="C2344" t="s">
        <v>738</v>
      </c>
      <c r="D2344">
        <v>14</v>
      </c>
      <c r="E2344">
        <v>0</v>
      </c>
      <c r="F2344">
        <v>301</v>
      </c>
    </row>
    <row r="2345" spans="1:6" ht="12.75">
      <c r="A2345" s="2">
        <v>43884.740740740745</v>
      </c>
      <c r="B2345" t="str">
        <f>HYPERLINK("https://twitter.com/Lusy897","@Lusy897")</f>
        <v>@Lusy897</v>
      </c>
      <c r="C2345" t="s">
        <v>321</v>
      </c>
      <c r="D2345">
        <v>348</v>
      </c>
      <c r="E2345">
        <v>0</v>
      </c>
      <c r="F2345">
        <v>1921</v>
      </c>
    </row>
    <row r="2346" spans="1:6" ht="12.75">
      <c r="A2346" s="2">
        <v>43884.740520833337</v>
      </c>
      <c r="B2346" t="str">
        <f>HYPERLINK("https://twitter.com/ferian_amri","@ferian_amri")</f>
        <v>@ferian_amri</v>
      </c>
      <c r="C2346" t="s">
        <v>321</v>
      </c>
      <c r="D2346">
        <v>348</v>
      </c>
      <c r="E2346">
        <v>0</v>
      </c>
      <c r="F2346">
        <v>544</v>
      </c>
    </row>
    <row r="2347" spans="1:6" ht="12.75">
      <c r="A2347" s="2">
        <v>43884.740520833337</v>
      </c>
      <c r="B2347" t="str">
        <f>HYPERLINK("https://twitter.com/ihangawanjye","@ihangawanjye")</f>
        <v>@ihangawanjye</v>
      </c>
      <c r="C2347" t="s">
        <v>2794</v>
      </c>
      <c r="D2347">
        <v>765</v>
      </c>
      <c r="E2347">
        <v>0</v>
      </c>
      <c r="F2347">
        <v>306</v>
      </c>
    </row>
    <row r="2348" spans="1:6" ht="12.75">
      <c r="A2348" s="2">
        <v>43884.74050925926</v>
      </c>
      <c r="B2348" t="str">
        <f>HYPERLINK("https://twitter.com/reyhanp4","@reyhanp4")</f>
        <v>@reyhanp4</v>
      </c>
      <c r="C2348" t="s">
        <v>321</v>
      </c>
      <c r="D2348">
        <v>348</v>
      </c>
      <c r="E2348">
        <v>0</v>
      </c>
      <c r="F2348">
        <v>185</v>
      </c>
    </row>
    <row r="2349" spans="1:6" ht="12.75">
      <c r="A2349" s="2">
        <v>43884.740497685183</v>
      </c>
      <c r="B2349" t="str">
        <f>HYPERLINK("https://twitter.com/AbdillahManu","@AbdillahManu")</f>
        <v>@AbdillahManu</v>
      </c>
      <c r="C2349" t="s">
        <v>321</v>
      </c>
      <c r="D2349">
        <v>348</v>
      </c>
      <c r="E2349">
        <v>0</v>
      </c>
      <c r="F2349">
        <v>12</v>
      </c>
    </row>
    <row r="2350" spans="1:6" ht="12.75">
      <c r="A2350" s="2">
        <v>43884.740474537037</v>
      </c>
      <c r="B2350" t="str">
        <f>HYPERLINK("https://twitter.com/frsfauzan","@frsfauzan")</f>
        <v>@frsfauzan</v>
      </c>
      <c r="C2350" t="s">
        <v>321</v>
      </c>
      <c r="D2350">
        <v>348</v>
      </c>
      <c r="E2350">
        <v>0</v>
      </c>
      <c r="F2350">
        <v>1014</v>
      </c>
    </row>
    <row r="2351" spans="1:6" ht="12.75">
      <c r="A2351" s="2">
        <v>43884.740300925929</v>
      </c>
      <c r="B2351" t="str">
        <f>HYPERLINK("https://twitter.com/Gunadi84380182","@Gunadi84380182")</f>
        <v>@Gunadi84380182</v>
      </c>
      <c r="C2351" t="s">
        <v>2795</v>
      </c>
      <c r="D2351">
        <v>0</v>
      </c>
      <c r="E2351">
        <v>0</v>
      </c>
      <c r="F2351">
        <v>72</v>
      </c>
    </row>
    <row r="2352" spans="1:6" ht="12.75">
      <c r="A2352" s="2">
        <v>43884.739641203705</v>
      </c>
      <c r="B2352" t="str">
        <f>HYPERLINK("https://twitter.com/kurnava_tya","@kurnava_tya")</f>
        <v>@kurnava_tya</v>
      </c>
      <c r="C2352" t="s">
        <v>2091</v>
      </c>
      <c r="D2352">
        <v>401</v>
      </c>
      <c r="E2352">
        <v>0</v>
      </c>
      <c r="F2352">
        <v>2</v>
      </c>
    </row>
    <row r="2353" spans="1:6" ht="12.75">
      <c r="A2353" s="2">
        <v>43884.739317129628</v>
      </c>
      <c r="B2353" t="str">
        <f>HYPERLINK("https://twitter.com/WawaSiti","@WawaSiti")</f>
        <v>@WawaSiti</v>
      </c>
      <c r="C2353" t="s">
        <v>2766</v>
      </c>
      <c r="D2353">
        <v>215</v>
      </c>
      <c r="E2353">
        <v>0</v>
      </c>
      <c r="F2353">
        <v>219</v>
      </c>
    </row>
    <row r="2354" spans="1:6" ht="12.75">
      <c r="A2354" s="2">
        <v>43884.739131944443</v>
      </c>
      <c r="B2354" t="str">
        <f>HYPERLINK("https://twitter.com/khands07","@khands07")</f>
        <v>@khands07</v>
      </c>
      <c r="C2354" t="s">
        <v>321</v>
      </c>
      <c r="D2354">
        <v>348</v>
      </c>
      <c r="E2354">
        <v>0</v>
      </c>
      <c r="F2354">
        <v>38</v>
      </c>
    </row>
    <row r="2355" spans="1:6" ht="12.75">
      <c r="A2355" s="2">
        <v>43884.738981481481</v>
      </c>
      <c r="B2355" t="str">
        <f>HYPERLINK("https://twitter.com/BangGodham","@BangGodham")</f>
        <v>@BangGodham</v>
      </c>
      <c r="C2355" t="s">
        <v>321</v>
      </c>
      <c r="D2355">
        <v>348</v>
      </c>
      <c r="E2355">
        <v>0</v>
      </c>
      <c r="F2355">
        <v>938</v>
      </c>
    </row>
    <row r="2356" spans="1:6" ht="12.75">
      <c r="A2356" s="2">
        <v>43884.738726851851</v>
      </c>
      <c r="B2356" t="str">
        <f>HYPERLINK("https://twitter.com/sehaluitu","@sehaluitu")</f>
        <v>@sehaluitu</v>
      </c>
      <c r="C2356" t="s">
        <v>2796</v>
      </c>
      <c r="D2356">
        <v>0</v>
      </c>
      <c r="E2356">
        <v>0</v>
      </c>
      <c r="F2356">
        <v>58</v>
      </c>
    </row>
    <row r="2357" spans="1:6" ht="12.75">
      <c r="A2357" s="2">
        <v>43884.70988425926</v>
      </c>
      <c r="B2357" t="str">
        <f>HYPERLINK("https://twitter.com/kerupvk","@kerupvk")</f>
        <v>@kerupvk</v>
      </c>
      <c r="C2357" t="s">
        <v>321</v>
      </c>
      <c r="D2357">
        <v>146</v>
      </c>
      <c r="E2357">
        <v>0</v>
      </c>
      <c r="F2357">
        <v>11041</v>
      </c>
    </row>
    <row r="2358" spans="1:6" ht="12.75">
      <c r="A2358" s="2">
        <v>43884.709687499999</v>
      </c>
      <c r="B2358" t="str">
        <f>HYPERLINK("https://twitter.com/pradanikribow","@pradanikribow")</f>
        <v>@pradanikribow</v>
      </c>
      <c r="C2358" t="s">
        <v>321</v>
      </c>
      <c r="D2358">
        <v>146</v>
      </c>
      <c r="E2358">
        <v>0</v>
      </c>
      <c r="F2358">
        <v>186</v>
      </c>
    </row>
    <row r="2359" spans="1:6" ht="12.75">
      <c r="A2359" s="2">
        <v>43884.709560185191</v>
      </c>
      <c r="B2359" t="str">
        <f>HYPERLINK("https://twitter.com/bernadgh","@bernadgh")</f>
        <v>@bernadgh</v>
      </c>
      <c r="C2359" t="s">
        <v>2797</v>
      </c>
      <c r="D2359">
        <v>0</v>
      </c>
      <c r="E2359">
        <v>0</v>
      </c>
      <c r="F2359">
        <v>1796</v>
      </c>
    </row>
    <row r="2360" spans="1:6" ht="12.75">
      <c r="A2360" s="2">
        <v>43884.709432870368</v>
      </c>
      <c r="B2360" t="str">
        <f>HYPERLINK("https://twitter.com/aacchhyy","@aacchhyy")</f>
        <v>@aacchhyy</v>
      </c>
      <c r="C2360" t="s">
        <v>321</v>
      </c>
      <c r="D2360">
        <v>146</v>
      </c>
      <c r="E2360">
        <v>0</v>
      </c>
      <c r="F2360">
        <v>563</v>
      </c>
    </row>
    <row r="2361" spans="1:6" ht="12.75">
      <c r="A2361" s="2">
        <v>43884.709421296298</v>
      </c>
      <c r="B2361" t="str">
        <f>HYPERLINK("https://twitter.com/annynoey","@annynoey")</f>
        <v>@annynoey</v>
      </c>
      <c r="C2361" t="s">
        <v>321</v>
      </c>
      <c r="D2361">
        <v>146</v>
      </c>
      <c r="E2361">
        <v>0</v>
      </c>
      <c r="F2361">
        <v>344</v>
      </c>
    </row>
    <row r="2362" spans="1:6" ht="12.75">
      <c r="A2362" s="2">
        <v>43884.709386574075</v>
      </c>
      <c r="B2362" t="str">
        <f>HYPERLINK("https://twitter.com/timmymalachi","@timmymalachi")</f>
        <v>@timmymalachi</v>
      </c>
      <c r="C2362" t="s">
        <v>2091</v>
      </c>
      <c r="D2362">
        <v>329</v>
      </c>
      <c r="E2362">
        <v>0</v>
      </c>
      <c r="F2362">
        <v>4059</v>
      </c>
    </row>
    <row r="2363" spans="1:6" ht="12.75">
      <c r="A2363" s="2">
        <v>43884.709282407406</v>
      </c>
      <c r="B2363" t="str">
        <f>HYPERLINK("https://twitter.com/1onerid","@1onerid")</f>
        <v>@1onerid</v>
      </c>
      <c r="C2363" t="s">
        <v>321</v>
      </c>
      <c r="D2363">
        <v>146</v>
      </c>
      <c r="E2363">
        <v>0</v>
      </c>
      <c r="F2363">
        <v>342</v>
      </c>
    </row>
    <row r="2364" spans="1:6" ht="12.75">
      <c r="A2364" s="2">
        <v>43884.709247685183</v>
      </c>
      <c r="B2364" t="str">
        <f>HYPERLINK("https://twitter.com/HPeridia","@HPeridia")</f>
        <v>@HPeridia</v>
      </c>
      <c r="C2364" t="s">
        <v>2091</v>
      </c>
      <c r="D2364">
        <v>329</v>
      </c>
      <c r="E2364">
        <v>0</v>
      </c>
      <c r="F2364">
        <v>667</v>
      </c>
    </row>
    <row r="2365" spans="1:6" ht="12.75">
      <c r="A2365" s="2">
        <v>43884.709155092598</v>
      </c>
      <c r="B2365" t="str">
        <f>HYPERLINK("https://twitter.com/romlahasana","@romlahasana")</f>
        <v>@romlahasana</v>
      </c>
      <c r="C2365" t="s">
        <v>2798</v>
      </c>
      <c r="D2365">
        <v>0</v>
      </c>
      <c r="E2365">
        <v>0</v>
      </c>
      <c r="F2365">
        <v>108</v>
      </c>
    </row>
    <row r="2366" spans="1:6" ht="12.75">
      <c r="A2366" s="2">
        <v>43884.70888888889</v>
      </c>
      <c r="B2366" t="str">
        <f>HYPERLINK("https://twitter.com/yoshi_sudarso","@yoshi_sudarso")</f>
        <v>@yoshi_sudarso</v>
      </c>
      <c r="C2366" t="s">
        <v>321</v>
      </c>
      <c r="D2366">
        <v>146</v>
      </c>
      <c r="E2366">
        <v>0</v>
      </c>
      <c r="F2366">
        <v>80601</v>
      </c>
    </row>
    <row r="2367" spans="1:6" ht="12.75">
      <c r="A2367" s="2">
        <v>43884.708807870367</v>
      </c>
      <c r="B2367" t="str">
        <f>HYPERLINK("https://twitter.com/BiemLugiek","@BiemLugiek")</f>
        <v>@BiemLugiek</v>
      </c>
      <c r="C2367" t="s">
        <v>2766</v>
      </c>
      <c r="D2367">
        <v>190</v>
      </c>
      <c r="E2367">
        <v>0</v>
      </c>
      <c r="F2367">
        <v>131</v>
      </c>
    </row>
    <row r="2368" spans="1:6" ht="12.75">
      <c r="A2368" s="2">
        <v>43884.708703703705</v>
      </c>
      <c r="B2368" t="str">
        <f>HYPERLINK("https://twitter.com/Qnnie203","@Qnnie203")</f>
        <v>@Qnnie203</v>
      </c>
      <c r="C2368" t="s">
        <v>321</v>
      </c>
      <c r="D2368">
        <v>146</v>
      </c>
      <c r="E2368">
        <v>0</v>
      </c>
      <c r="F2368">
        <v>436</v>
      </c>
    </row>
    <row r="2369" spans="1:6" ht="12.75">
      <c r="A2369" s="2">
        <v>43884.708518518513</v>
      </c>
      <c r="B2369" t="str">
        <f>HYPERLINK("https://twitter.com/forbtsjiminie","@forbtsjiminie")</f>
        <v>@forbtsjiminie</v>
      </c>
      <c r="C2369" t="s">
        <v>321</v>
      </c>
      <c r="D2369">
        <v>146</v>
      </c>
      <c r="E2369">
        <v>0</v>
      </c>
      <c r="F2369">
        <v>90</v>
      </c>
    </row>
    <row r="2370" spans="1:6" ht="12.75">
      <c r="A2370" s="2">
        <v>43884.708483796298</v>
      </c>
      <c r="B2370" t="str">
        <f>HYPERLINK("https://twitter.com/BentenkNKRI","@BentenkNKRI")</f>
        <v>@BentenkNKRI</v>
      </c>
      <c r="C2370" t="s">
        <v>2091</v>
      </c>
      <c r="D2370">
        <v>329</v>
      </c>
      <c r="E2370">
        <v>0</v>
      </c>
      <c r="F2370">
        <v>1376</v>
      </c>
    </row>
    <row r="2371" spans="1:6" ht="12.75">
      <c r="A2371" s="2">
        <v>43884.708437499998</v>
      </c>
      <c r="B2371" t="str">
        <f>HYPERLINK("https://twitter.com/helmiyosrihaska","@helmiyosrihaska")</f>
        <v>@helmiyosrihaska</v>
      </c>
      <c r="C2371" t="s">
        <v>321</v>
      </c>
      <c r="D2371">
        <v>146</v>
      </c>
      <c r="E2371">
        <v>0</v>
      </c>
      <c r="F2371">
        <v>15</v>
      </c>
    </row>
    <row r="2372" spans="1:6" ht="12.75">
      <c r="A2372" s="2">
        <v>43884.708391203705</v>
      </c>
      <c r="B2372" t="str">
        <f>HYPERLINK("https://twitter.com/RuSoet118","@RuSoet118")</f>
        <v>@RuSoet118</v>
      </c>
      <c r="C2372" t="s">
        <v>2766</v>
      </c>
      <c r="D2372">
        <v>190</v>
      </c>
      <c r="E2372">
        <v>0</v>
      </c>
      <c r="F2372">
        <v>65</v>
      </c>
    </row>
    <row r="2373" spans="1:6" ht="12.75">
      <c r="A2373" s="2">
        <v>43884.707743055551</v>
      </c>
      <c r="B2373" t="str">
        <f>HYPERLINK("https://twitter.com/AriefAnarya","@AriefAnarya")</f>
        <v>@AriefAnarya</v>
      </c>
      <c r="C2373" t="s">
        <v>2091</v>
      </c>
      <c r="D2373">
        <v>329</v>
      </c>
      <c r="E2373">
        <v>0</v>
      </c>
      <c r="F2373">
        <v>2758</v>
      </c>
    </row>
    <row r="2374" spans="1:6" ht="12.75">
      <c r="A2374" s="2">
        <v>43884.707719907412</v>
      </c>
      <c r="B2374" t="str">
        <f>HYPERLINK("https://twitter.com/bapakhamil","@bapakhamil")</f>
        <v>@bapakhamil</v>
      </c>
      <c r="C2374" t="s">
        <v>2799</v>
      </c>
      <c r="D2374">
        <v>0</v>
      </c>
      <c r="E2374">
        <v>0</v>
      </c>
      <c r="F2374">
        <v>48</v>
      </c>
    </row>
    <row r="2375" spans="1:6" ht="12.75">
      <c r="A2375" s="2">
        <v>43884.707696759258</v>
      </c>
      <c r="B2375" t="str">
        <f>HYPERLINK("https://twitter.com/w_agahari","@w_agahari")</f>
        <v>@w_agahari</v>
      </c>
      <c r="C2375" t="s">
        <v>321</v>
      </c>
      <c r="D2375">
        <v>146</v>
      </c>
      <c r="E2375">
        <v>0</v>
      </c>
      <c r="F2375">
        <v>1152</v>
      </c>
    </row>
    <row r="2376" spans="1:6" ht="12.75">
      <c r="A2376" s="2">
        <v>43884.70758101852</v>
      </c>
      <c r="B2376" t="str">
        <f>HYPERLINK("https://twitter.com/Hottbowls","@Hottbowls")</f>
        <v>@Hottbowls</v>
      </c>
      <c r="C2376" t="s">
        <v>321</v>
      </c>
      <c r="D2376">
        <v>146</v>
      </c>
      <c r="E2376">
        <v>0</v>
      </c>
      <c r="F2376">
        <v>373</v>
      </c>
    </row>
    <row r="2377" spans="1:6" ht="12.75">
      <c r="A2377" s="2">
        <v>43884.707546296297</v>
      </c>
      <c r="B2377" t="str">
        <f>HYPERLINK("https://twitter.com/Marsuci6","@Marsuci6")</f>
        <v>@Marsuci6</v>
      </c>
      <c r="C2377" t="s">
        <v>2800</v>
      </c>
      <c r="D2377">
        <v>0</v>
      </c>
      <c r="E2377">
        <v>0</v>
      </c>
      <c r="F2377">
        <v>411</v>
      </c>
    </row>
    <row r="2378" spans="1:6" ht="12.75">
      <c r="A2378" s="2">
        <v>43884.707465277781</v>
      </c>
      <c r="B2378" t="str">
        <f>HYPERLINK("https://twitter.com/chyntia_dh","@chyntia_dh")</f>
        <v>@chyntia_dh</v>
      </c>
      <c r="C2378" t="s">
        <v>321</v>
      </c>
      <c r="D2378">
        <v>146</v>
      </c>
      <c r="E2378">
        <v>0</v>
      </c>
      <c r="F2378">
        <v>693</v>
      </c>
    </row>
    <row r="2379" spans="1:6" ht="12.75">
      <c r="A2379" s="2">
        <v>43884.707187499997</v>
      </c>
      <c r="B2379" t="str">
        <f>HYPERLINK("https://twitter.com/waybongkeng","@waybongkeng")</f>
        <v>@waybongkeng</v>
      </c>
      <c r="C2379" t="s">
        <v>321</v>
      </c>
      <c r="D2379">
        <v>146</v>
      </c>
      <c r="E2379">
        <v>0</v>
      </c>
      <c r="F2379">
        <v>239</v>
      </c>
    </row>
    <row r="2380" spans="1:6" ht="12.75">
      <c r="A2380" s="2">
        <v>43884.707175925927</v>
      </c>
      <c r="B2380" t="str">
        <f>HYPERLINK("https://twitter.com/farlydiaa","@farlydiaa")</f>
        <v>@farlydiaa</v>
      </c>
      <c r="C2380" t="s">
        <v>2091</v>
      </c>
      <c r="D2380">
        <v>329</v>
      </c>
      <c r="E2380">
        <v>0</v>
      </c>
      <c r="F2380">
        <v>1072</v>
      </c>
    </row>
    <row r="2381" spans="1:6" ht="12.75">
      <c r="A2381" s="2">
        <v>43884.70716435185</v>
      </c>
      <c r="B2381" t="str">
        <f>HYPERLINK("https://twitter.com/sabiilaazkaa","@sabiilaazkaa")</f>
        <v>@sabiilaazkaa</v>
      </c>
      <c r="C2381" t="s">
        <v>321</v>
      </c>
      <c r="D2381">
        <v>146</v>
      </c>
      <c r="E2381">
        <v>0</v>
      </c>
      <c r="F2381">
        <v>235</v>
      </c>
    </row>
    <row r="2382" spans="1:6" ht="12.75">
      <c r="A2382" s="2">
        <v>43884.707048611112</v>
      </c>
      <c r="B2382" t="str">
        <f>HYPERLINK("https://twitter.com/ABudiarsah","@ABudiarsah")</f>
        <v>@ABudiarsah</v>
      </c>
      <c r="C2382" t="s">
        <v>321</v>
      </c>
      <c r="D2382">
        <v>146</v>
      </c>
      <c r="E2382">
        <v>0</v>
      </c>
      <c r="F2382">
        <v>40</v>
      </c>
    </row>
    <row r="2383" spans="1:6" ht="12.75">
      <c r="A2383" s="2">
        <v>43884.706493055557</v>
      </c>
      <c r="B2383" t="str">
        <f>HYPERLINK("https://twitter.com/graace27","@graace27")</f>
        <v>@graace27</v>
      </c>
      <c r="C2383" t="s">
        <v>321</v>
      </c>
      <c r="D2383">
        <v>146</v>
      </c>
      <c r="E2383">
        <v>0</v>
      </c>
      <c r="F2383">
        <v>616</v>
      </c>
    </row>
    <row r="2384" spans="1:6" ht="12.75">
      <c r="A2384" s="2">
        <v>43884.706469907411</v>
      </c>
      <c r="B2384" t="str">
        <f>HYPERLINK("https://twitter.com/Yusufwi1","@Yusufwi1")</f>
        <v>@Yusufwi1</v>
      </c>
      <c r="C2384" t="s">
        <v>2801</v>
      </c>
      <c r="D2384">
        <v>4</v>
      </c>
      <c r="E2384">
        <v>0</v>
      </c>
      <c r="F2384">
        <v>8</v>
      </c>
    </row>
    <row r="2385" spans="1:6" ht="12.75">
      <c r="A2385" s="2">
        <v>43884.706446759257</v>
      </c>
      <c r="B2385" t="str">
        <f>HYPERLINK("https://twitter.com/sudarmadji_nico","@sudarmadji_nico")</f>
        <v>@sudarmadji_nico</v>
      </c>
      <c r="C2385" t="s">
        <v>321</v>
      </c>
      <c r="D2385">
        <v>146</v>
      </c>
      <c r="E2385">
        <v>0</v>
      </c>
      <c r="F2385">
        <v>471</v>
      </c>
    </row>
    <row r="2386" spans="1:6" ht="12.75">
      <c r="A2386" s="2">
        <v>43884.706435185188</v>
      </c>
      <c r="B2386" t="str">
        <f>HYPERLINK("https://twitter.com/faizalkauri","@faizalkauri")</f>
        <v>@faizalkauri</v>
      </c>
      <c r="C2386" t="s">
        <v>2802</v>
      </c>
      <c r="D2386">
        <v>0</v>
      </c>
      <c r="E2386">
        <v>0</v>
      </c>
      <c r="F2386">
        <v>382</v>
      </c>
    </row>
    <row r="2387" spans="1:6" ht="12.75">
      <c r="A2387" s="2">
        <v>43884.706423611111</v>
      </c>
      <c r="B2387" t="str">
        <f>HYPERLINK("https://twitter.com/Gerybudiman2","@Gerybudiman2")</f>
        <v>@Gerybudiman2</v>
      </c>
      <c r="C2387" t="s">
        <v>321</v>
      </c>
      <c r="D2387">
        <v>146</v>
      </c>
      <c r="E2387">
        <v>0</v>
      </c>
      <c r="F2387">
        <v>57</v>
      </c>
    </row>
    <row r="2388" spans="1:6" ht="12.75">
      <c r="A2388" s="2">
        <v>43884.706354166672</v>
      </c>
      <c r="B2388" t="str">
        <f>HYPERLINK("https://twitter.com/romdansindu","@romdansindu")</f>
        <v>@romdansindu</v>
      </c>
      <c r="C2388" t="s">
        <v>321</v>
      </c>
      <c r="D2388">
        <v>146</v>
      </c>
      <c r="E2388">
        <v>0</v>
      </c>
      <c r="F2388">
        <v>299</v>
      </c>
    </row>
    <row r="2389" spans="1:6" ht="12.75">
      <c r="A2389" s="2">
        <v>43884.70621527778</v>
      </c>
      <c r="B2389" t="str">
        <f>HYPERLINK("https://twitter.com/shelloshelly","@shelloshelly")</f>
        <v>@shelloshelly</v>
      </c>
      <c r="C2389" t="s">
        <v>321</v>
      </c>
      <c r="D2389">
        <v>146</v>
      </c>
      <c r="E2389">
        <v>0</v>
      </c>
      <c r="F2389">
        <v>28</v>
      </c>
    </row>
    <row r="2390" spans="1:6" ht="12.75">
      <c r="A2390" s="2">
        <v>43884.706203703703</v>
      </c>
      <c r="B2390" t="str">
        <f>HYPERLINK("https://twitter.com/Dra_satria","@Dra_satria")</f>
        <v>@Dra_satria</v>
      </c>
      <c r="C2390" t="s">
        <v>321</v>
      </c>
      <c r="D2390">
        <v>146</v>
      </c>
      <c r="E2390">
        <v>0</v>
      </c>
      <c r="F2390">
        <v>1491</v>
      </c>
    </row>
    <row r="2391" spans="1:6" ht="12.75">
      <c r="A2391" s="2">
        <v>43884.706030092595</v>
      </c>
      <c r="B2391" t="str">
        <f>HYPERLINK("https://twitter.com/dhrxkvlfk","@dhrxkvlfk")</f>
        <v>@dhrxkvlfk</v>
      </c>
      <c r="C2391" t="s">
        <v>321</v>
      </c>
      <c r="D2391">
        <v>146</v>
      </c>
      <c r="E2391">
        <v>0</v>
      </c>
      <c r="F2391">
        <v>35</v>
      </c>
    </row>
    <row r="2392" spans="1:6" ht="12.75">
      <c r="A2392" s="2">
        <v>43884.705983796295</v>
      </c>
      <c r="B2392" t="str">
        <f>HYPERLINK("https://twitter.com/HelmiR__","@HelmiR__")</f>
        <v>@HelmiR__</v>
      </c>
      <c r="C2392" t="s">
        <v>321</v>
      </c>
      <c r="D2392">
        <v>146</v>
      </c>
      <c r="E2392">
        <v>0</v>
      </c>
      <c r="F2392">
        <v>292</v>
      </c>
    </row>
    <row r="2393" spans="1:6" ht="12.75">
      <c r="A2393" s="2">
        <v>43884.705937499995</v>
      </c>
      <c r="B2393" t="str">
        <f>HYPERLINK("https://twitter.com/Yayan0628","@Yayan0628")</f>
        <v>@Yayan0628</v>
      </c>
      <c r="C2393" t="s">
        <v>321</v>
      </c>
      <c r="D2393">
        <v>146</v>
      </c>
      <c r="E2393">
        <v>0</v>
      </c>
      <c r="F2393">
        <v>2260</v>
      </c>
    </row>
    <row r="2394" spans="1:6" ht="12.75">
      <c r="A2394" s="2">
        <v>43884.70585648148</v>
      </c>
      <c r="B2394" t="str">
        <f>HYPERLINK("https://twitter.com/Bambangarbi","@Bambangarbi")</f>
        <v>@Bambangarbi</v>
      </c>
      <c r="C2394" t="s">
        <v>321</v>
      </c>
      <c r="D2394">
        <v>146</v>
      </c>
      <c r="E2394">
        <v>0</v>
      </c>
      <c r="F2394">
        <v>334</v>
      </c>
    </row>
    <row r="2395" spans="1:6" ht="12.75">
      <c r="A2395" s="2">
        <v>43884.705821759257</v>
      </c>
      <c r="B2395" t="str">
        <f>HYPERLINK("https://twitter.com/imamsarodjo","@imamsarodjo")</f>
        <v>@imamsarodjo</v>
      </c>
      <c r="C2395" t="s">
        <v>321</v>
      </c>
      <c r="D2395">
        <v>146</v>
      </c>
      <c r="E2395">
        <v>0</v>
      </c>
      <c r="F2395">
        <v>635</v>
      </c>
    </row>
    <row r="2396" spans="1:6" ht="12.75">
      <c r="A2396" s="2">
        <v>43884.70579861111</v>
      </c>
      <c r="B2396" t="str">
        <f>HYPERLINK("https://twitter.com/idn_update","@idn_update")</f>
        <v>@idn_update</v>
      </c>
      <c r="C2396" t="s">
        <v>2803</v>
      </c>
      <c r="D2396">
        <v>0</v>
      </c>
      <c r="E2396">
        <v>0</v>
      </c>
      <c r="F2396">
        <v>674</v>
      </c>
    </row>
    <row r="2397" spans="1:6" ht="12.75">
      <c r="A2397" s="2">
        <v>43884.705775462964</v>
      </c>
      <c r="B2397" t="str">
        <f>HYPERLINK("https://twitter.com/Ferry92754797","@Ferry92754797")</f>
        <v>@Ferry92754797</v>
      </c>
      <c r="C2397" t="s">
        <v>2091</v>
      </c>
      <c r="D2397">
        <v>329</v>
      </c>
      <c r="E2397">
        <v>0</v>
      </c>
      <c r="F2397">
        <v>85</v>
      </c>
    </row>
    <row r="2398" spans="1:6" ht="12.75">
      <c r="A2398" s="2">
        <v>43884.705752314811</v>
      </c>
      <c r="B2398" t="str">
        <f>HYPERLINK("https://twitter.com/erlanggakusumah","@erlanggakusumah")</f>
        <v>@erlanggakusumah</v>
      </c>
      <c r="C2398" t="s">
        <v>321</v>
      </c>
      <c r="D2398">
        <v>146</v>
      </c>
      <c r="E2398">
        <v>0</v>
      </c>
      <c r="F2398">
        <v>690</v>
      </c>
    </row>
    <row r="2399" spans="1:6" ht="12.75">
      <c r="A2399" s="2">
        <v>43884.705752314811</v>
      </c>
      <c r="B2399" t="str">
        <f>HYPERLINK("https://twitter.com/dorandae_il","@dorandae_il")</f>
        <v>@dorandae_il</v>
      </c>
      <c r="C2399" t="s">
        <v>2091</v>
      </c>
      <c r="D2399">
        <v>329</v>
      </c>
      <c r="E2399">
        <v>0</v>
      </c>
      <c r="F2399">
        <v>1402</v>
      </c>
    </row>
    <row r="2400" spans="1:6" ht="12.75">
      <c r="A2400" s="2">
        <v>43884.705682870372</v>
      </c>
      <c r="B2400" t="str">
        <f>HYPERLINK("https://twitter.com/yunitasuijan","@yunitasuijan")</f>
        <v>@yunitasuijan</v>
      </c>
      <c r="C2400" t="s">
        <v>321</v>
      </c>
      <c r="D2400">
        <v>146</v>
      </c>
      <c r="E2400">
        <v>0</v>
      </c>
      <c r="F2400">
        <v>976</v>
      </c>
    </row>
    <row r="2401" spans="1:6" ht="12.75">
      <c r="A2401" s="2">
        <v>43884.705682870372</v>
      </c>
      <c r="B2401" t="str">
        <f>HYPERLINK("https://twitter.com/SugengTan","@SugengTan")</f>
        <v>@SugengTan</v>
      </c>
      <c r="C2401" t="s">
        <v>2766</v>
      </c>
      <c r="D2401">
        <v>190</v>
      </c>
      <c r="E2401">
        <v>0</v>
      </c>
      <c r="F2401">
        <v>150</v>
      </c>
    </row>
    <row r="2402" spans="1:6" ht="12.75">
      <c r="A2402" s="2">
        <v>43884.705532407403</v>
      </c>
      <c r="B2402" t="str">
        <f>HYPERLINK("https://twitter.com/mangmamet","@mangmamet")</f>
        <v>@mangmamet</v>
      </c>
      <c r="C2402" t="s">
        <v>513</v>
      </c>
      <c r="D2402">
        <v>23267</v>
      </c>
      <c r="E2402">
        <v>0</v>
      </c>
      <c r="F2402">
        <v>15</v>
      </c>
    </row>
    <row r="2403" spans="1:6" ht="12.75">
      <c r="A2403" s="2">
        <v>43884.705509259264</v>
      </c>
      <c r="B2403" t="str">
        <f>HYPERLINK("https://twitter.com/DhHeavenonearth","@DhHeavenonearth")</f>
        <v>@DhHeavenonearth</v>
      </c>
      <c r="C2403" t="s">
        <v>2091</v>
      </c>
      <c r="D2403">
        <v>329</v>
      </c>
      <c r="E2403">
        <v>0</v>
      </c>
      <c r="F2403">
        <v>64</v>
      </c>
    </row>
    <row r="2404" spans="1:6" ht="12.75">
      <c r="A2404" s="2">
        <v>43884.705439814818</v>
      </c>
      <c r="B2404" t="str">
        <f>HYPERLINK("https://twitter.com/del4nz","@del4nz")</f>
        <v>@del4nz</v>
      </c>
      <c r="C2404" t="s">
        <v>321</v>
      </c>
      <c r="D2404">
        <v>146</v>
      </c>
      <c r="E2404">
        <v>0</v>
      </c>
      <c r="F2404">
        <v>943</v>
      </c>
    </row>
    <row r="2405" spans="1:6" ht="12.75">
      <c r="A2405" s="2">
        <v>43884.705347222218</v>
      </c>
      <c r="B2405" t="str">
        <f>HYPERLINK("https://twitter.com/dexlaba","@dexlaba")</f>
        <v>@dexlaba</v>
      </c>
      <c r="C2405" t="s">
        <v>321</v>
      </c>
      <c r="D2405">
        <v>146</v>
      </c>
      <c r="E2405">
        <v>0</v>
      </c>
      <c r="F2405">
        <v>206</v>
      </c>
    </row>
    <row r="2406" spans="1:6" ht="12.75">
      <c r="A2406" s="2">
        <v>43884.705254629633</v>
      </c>
      <c r="B2406" t="str">
        <f>HYPERLINK("https://twitter.com/maulanaibn","@maulanaibn")</f>
        <v>@maulanaibn</v>
      </c>
      <c r="C2406" t="s">
        <v>321</v>
      </c>
      <c r="D2406">
        <v>146</v>
      </c>
      <c r="E2406">
        <v>0</v>
      </c>
      <c r="F2406">
        <v>211</v>
      </c>
    </row>
    <row r="2407" spans="1:6" ht="12.75">
      <c r="A2407" s="2">
        <v>43884.70521990741</v>
      </c>
      <c r="B2407" t="str">
        <f>HYPERLINK("https://twitter.com/gembira683101","@gembira683101")</f>
        <v>@gembira683101</v>
      </c>
      <c r="C2407" t="s">
        <v>2091</v>
      </c>
      <c r="D2407">
        <v>329</v>
      </c>
      <c r="E2407">
        <v>0</v>
      </c>
      <c r="F2407">
        <v>227</v>
      </c>
    </row>
    <row r="2408" spans="1:6" ht="12.75">
      <c r="A2408" s="2">
        <v>43884.705046296294</v>
      </c>
      <c r="B2408" t="str">
        <f>HYPERLINK("https://twitter.com/Irul_Khai","@Irul_Khai")</f>
        <v>@Irul_Khai</v>
      </c>
      <c r="C2408" t="s">
        <v>321</v>
      </c>
      <c r="D2408">
        <v>146</v>
      </c>
      <c r="E2408">
        <v>0</v>
      </c>
      <c r="F2408">
        <v>458</v>
      </c>
    </row>
    <row r="2409" spans="1:6" ht="12.75">
      <c r="A2409" s="2">
        <v>43884.704895833333</v>
      </c>
      <c r="B2409" t="str">
        <f>HYPERLINK("https://twitter.com/ammarmariti","@ammarmariti")</f>
        <v>@ammarmariti</v>
      </c>
      <c r="C2409" t="s">
        <v>2716</v>
      </c>
      <c r="D2409">
        <v>22</v>
      </c>
      <c r="E2409">
        <v>0</v>
      </c>
      <c r="F2409">
        <v>287</v>
      </c>
    </row>
    <row r="2410" spans="1:6" ht="12.75">
      <c r="A2410" s="2">
        <v>43884.704895833333</v>
      </c>
      <c r="B2410" t="str">
        <f>HYPERLINK("https://twitter.com/SajakLintasan","@SajakLintasan")</f>
        <v>@SajakLintasan</v>
      </c>
      <c r="C2410" t="s">
        <v>2766</v>
      </c>
      <c r="D2410">
        <v>190</v>
      </c>
      <c r="E2410">
        <v>0</v>
      </c>
      <c r="F2410">
        <v>663</v>
      </c>
    </row>
    <row r="2411" spans="1:6" ht="12.75">
      <c r="A2411" s="2">
        <v>43884.704421296294</v>
      </c>
      <c r="B2411" t="str">
        <f>HYPERLINK("https://twitter.com/Indrake6Magus","@Indrake6Magus")</f>
        <v>@Indrake6Magus</v>
      </c>
      <c r="C2411" t="s">
        <v>321</v>
      </c>
      <c r="D2411">
        <v>146</v>
      </c>
      <c r="E2411">
        <v>0</v>
      </c>
      <c r="F2411">
        <v>14</v>
      </c>
    </row>
    <row r="2412" spans="1:6" ht="12.75">
      <c r="A2412" s="2">
        <v>43884.704328703709</v>
      </c>
      <c r="B2412" t="str">
        <f>HYPERLINK("https://twitter.com/DhiaHardianti","@DhiaHardianti")</f>
        <v>@DhiaHardianti</v>
      </c>
      <c r="C2412" t="s">
        <v>321</v>
      </c>
      <c r="D2412">
        <v>146</v>
      </c>
      <c r="E2412">
        <v>0</v>
      </c>
      <c r="F2412">
        <v>718</v>
      </c>
    </row>
    <row r="2413" spans="1:6" ht="12.75">
      <c r="A2413" s="2">
        <v>43884.704270833332</v>
      </c>
      <c r="B2413" t="str">
        <f>HYPERLINK("https://twitter.com/rubiavianto","@rubiavianto")</f>
        <v>@rubiavianto</v>
      </c>
      <c r="C2413" t="s">
        <v>2091</v>
      </c>
      <c r="D2413">
        <v>329</v>
      </c>
      <c r="E2413">
        <v>0</v>
      </c>
      <c r="F2413">
        <v>3141</v>
      </c>
    </row>
    <row r="2414" spans="1:6" ht="12.75">
      <c r="A2414" s="2">
        <v>43884.704270833332</v>
      </c>
      <c r="B2414" t="str">
        <f>HYPERLINK("https://twitter.com/muhabdur","@muhabdur")</f>
        <v>@muhabdur</v>
      </c>
      <c r="C2414" t="s">
        <v>321</v>
      </c>
      <c r="D2414">
        <v>146</v>
      </c>
      <c r="E2414">
        <v>0</v>
      </c>
      <c r="F2414">
        <v>308</v>
      </c>
    </row>
    <row r="2415" spans="1:6" ht="12.75">
      <c r="A2415" s="2">
        <v>43884.704201388886</v>
      </c>
      <c r="B2415" t="str">
        <f>HYPERLINK("https://twitter.com/cahadiyat","@cahadiyat")</f>
        <v>@cahadiyat</v>
      </c>
      <c r="C2415" t="s">
        <v>321</v>
      </c>
      <c r="D2415">
        <v>146</v>
      </c>
      <c r="E2415">
        <v>0</v>
      </c>
      <c r="F2415">
        <v>692</v>
      </c>
    </row>
    <row r="2416" spans="1:6" ht="12.75">
      <c r="A2416" s="2">
        <v>43884.70417824074</v>
      </c>
      <c r="B2416" t="str">
        <f>HYPERLINK("https://twitter.com/xslfnx","@xslfnx")</f>
        <v>@xslfnx</v>
      </c>
      <c r="C2416" t="s">
        <v>2091</v>
      </c>
      <c r="D2416">
        <v>329</v>
      </c>
      <c r="E2416">
        <v>0</v>
      </c>
      <c r="F2416">
        <v>8386</v>
      </c>
    </row>
    <row r="2417" spans="1:6" ht="12.75">
      <c r="A2417" s="2">
        <v>43884.704166666663</v>
      </c>
      <c r="B2417" t="str">
        <f>HYPERLINK("https://twitter.com/heapmemory","@heapmemory")</f>
        <v>@heapmemory</v>
      </c>
      <c r="C2417" t="s">
        <v>321</v>
      </c>
      <c r="D2417">
        <v>146</v>
      </c>
      <c r="E2417">
        <v>0</v>
      </c>
      <c r="F2417">
        <v>33</v>
      </c>
    </row>
    <row r="2418" spans="1:6" ht="12.75">
      <c r="A2418" s="2">
        <v>43884.704097222224</v>
      </c>
      <c r="B2418" t="str">
        <f>HYPERLINK("https://twitter.com/bayuagni_","@bayuagni_")</f>
        <v>@bayuagni_</v>
      </c>
      <c r="C2418" t="s">
        <v>321</v>
      </c>
      <c r="D2418">
        <v>146</v>
      </c>
      <c r="E2418">
        <v>0</v>
      </c>
      <c r="F2418">
        <v>1735</v>
      </c>
    </row>
    <row r="2419" spans="1:6" ht="12.75">
      <c r="A2419" s="2">
        <v>43884.703993055555</v>
      </c>
      <c r="B2419" t="str">
        <f>HYPERLINK("https://twitter.com/Marsuci6","@Marsuci6")</f>
        <v>@Marsuci6</v>
      </c>
      <c r="C2419" t="s">
        <v>2804</v>
      </c>
      <c r="D2419">
        <v>0</v>
      </c>
      <c r="E2419">
        <v>0</v>
      </c>
      <c r="F2419">
        <v>411</v>
      </c>
    </row>
    <row r="2420" spans="1:6" ht="12.75">
      <c r="A2420" s="2">
        <v>43884.703923611116</v>
      </c>
      <c r="B2420" t="str">
        <f>HYPERLINK("https://twitter.com/onlyaidee","@onlyaidee")</f>
        <v>@onlyaidee</v>
      </c>
      <c r="C2420" t="s">
        <v>321</v>
      </c>
      <c r="D2420">
        <v>146</v>
      </c>
      <c r="E2420">
        <v>0</v>
      </c>
      <c r="F2420">
        <v>783</v>
      </c>
    </row>
    <row r="2421" spans="1:6" ht="12.75">
      <c r="A2421" s="2">
        <v>43884.703912037032</v>
      </c>
      <c r="B2421" t="str">
        <f>HYPERLINK("https://twitter.com/arian70","@arian70")</f>
        <v>@arian70</v>
      </c>
      <c r="C2421" t="s">
        <v>2268</v>
      </c>
      <c r="D2421">
        <v>13</v>
      </c>
      <c r="E2421">
        <v>0</v>
      </c>
      <c r="F2421">
        <v>66</v>
      </c>
    </row>
    <row r="2422" spans="1:6" ht="12.75">
      <c r="A2422" s="2">
        <v>43884.703784722224</v>
      </c>
      <c r="B2422" t="str">
        <f>HYPERLINK("https://twitter.com/KeyshaAdinda5","@KeyshaAdinda5")</f>
        <v>@KeyshaAdinda5</v>
      </c>
      <c r="C2422" t="s">
        <v>2766</v>
      </c>
      <c r="D2422">
        <v>190</v>
      </c>
      <c r="E2422">
        <v>0</v>
      </c>
      <c r="F2422">
        <v>4441</v>
      </c>
    </row>
    <row r="2423" spans="1:6" ht="12.75">
      <c r="A2423" s="2">
        <v>43884.703553240739</v>
      </c>
      <c r="B2423" t="str">
        <f>HYPERLINK("https://twitter.com/bimochris","@bimochris")</f>
        <v>@bimochris</v>
      </c>
      <c r="C2423" t="s">
        <v>2805</v>
      </c>
      <c r="D2423">
        <v>0</v>
      </c>
      <c r="E2423">
        <v>0</v>
      </c>
      <c r="F2423">
        <v>216</v>
      </c>
    </row>
    <row r="2424" spans="1:6" ht="12.75">
      <c r="A2424" s="2">
        <v>43884.703472222223</v>
      </c>
      <c r="B2424" t="str">
        <f>HYPERLINK("https://twitter.com/onlyforseungwoo","@onlyforseungwoo")</f>
        <v>@onlyforseungwoo</v>
      </c>
      <c r="C2424" t="s">
        <v>2806</v>
      </c>
      <c r="D2424">
        <v>0</v>
      </c>
      <c r="E2424">
        <v>0</v>
      </c>
      <c r="F2424">
        <v>641</v>
      </c>
    </row>
    <row r="2425" spans="1:6" ht="12.75">
      <c r="A2425" s="2">
        <v>43884.703368055554</v>
      </c>
      <c r="B2425" t="str">
        <f>HYPERLINK("https://twitter.com/sampissss","@sampissss")</f>
        <v>@sampissss</v>
      </c>
      <c r="C2425" t="s">
        <v>2091</v>
      </c>
      <c r="D2425">
        <v>329</v>
      </c>
      <c r="E2425">
        <v>0</v>
      </c>
      <c r="F2425">
        <v>595</v>
      </c>
    </row>
    <row r="2426" spans="1:6" ht="12.75">
      <c r="A2426" s="2">
        <v>43884.703356481477</v>
      </c>
      <c r="B2426" t="str">
        <f>HYPERLINK("https://twitter.com/sultanalfathir","@sultanalfathir")</f>
        <v>@sultanalfathir</v>
      </c>
      <c r="C2426" t="s">
        <v>2807</v>
      </c>
      <c r="D2426">
        <v>0</v>
      </c>
      <c r="E2426">
        <v>0</v>
      </c>
      <c r="F2426">
        <v>119</v>
      </c>
    </row>
    <row r="2427" spans="1:6" ht="12.75">
      <c r="A2427" s="2">
        <v>43884.703287037039</v>
      </c>
      <c r="B2427" t="str">
        <f>HYPERLINK("https://twitter.com/AnangmarufAf","@AnangmarufAf")</f>
        <v>@AnangmarufAf</v>
      </c>
      <c r="C2427" t="s">
        <v>321</v>
      </c>
      <c r="D2427">
        <v>146</v>
      </c>
      <c r="E2427">
        <v>0</v>
      </c>
      <c r="F2427">
        <v>542</v>
      </c>
    </row>
    <row r="2428" spans="1:6" ht="12.75">
      <c r="A2428" s="2">
        <v>43884.703229166669</v>
      </c>
      <c r="B2428" t="str">
        <f>HYPERLINK("https://twitter.com/thaufanmalaka","@thaufanmalaka")</f>
        <v>@thaufanmalaka</v>
      </c>
      <c r="C2428" t="s">
        <v>321</v>
      </c>
      <c r="D2428">
        <v>146</v>
      </c>
      <c r="E2428">
        <v>0</v>
      </c>
      <c r="F2428">
        <v>796</v>
      </c>
    </row>
    <row r="2429" spans="1:6" ht="12.75">
      <c r="A2429" s="2">
        <v>43884.703159722223</v>
      </c>
      <c r="B2429" t="str">
        <f>HYPERLINK("https://twitter.com/YunardiS","@YunardiS")</f>
        <v>@YunardiS</v>
      </c>
      <c r="C2429" t="s">
        <v>321</v>
      </c>
      <c r="D2429">
        <v>146</v>
      </c>
      <c r="E2429">
        <v>0</v>
      </c>
      <c r="F2429">
        <v>166</v>
      </c>
    </row>
    <row r="2430" spans="1:6" ht="12.75">
      <c r="A2430" s="2">
        <v>43884.703078703707</v>
      </c>
      <c r="B2430" t="str">
        <f>HYPERLINK("https://twitter.com/ahmad_harry","@ahmad_harry")</f>
        <v>@ahmad_harry</v>
      </c>
      <c r="C2430" t="s">
        <v>2643</v>
      </c>
      <c r="D2430">
        <v>2</v>
      </c>
      <c r="E2430">
        <v>0</v>
      </c>
      <c r="F2430">
        <v>1286</v>
      </c>
    </row>
    <row r="2431" spans="1:6" ht="12.75">
      <c r="A2431" s="2">
        <v>43884.703043981484</v>
      </c>
      <c r="B2431" t="str">
        <f>HYPERLINK("https://twitter.com/gusty_saputraa","@gusty_saputraa")</f>
        <v>@gusty_saputraa</v>
      </c>
      <c r="C2431" t="s">
        <v>321</v>
      </c>
      <c r="D2431">
        <v>146</v>
      </c>
      <c r="E2431">
        <v>0</v>
      </c>
      <c r="F2431">
        <v>260</v>
      </c>
    </row>
    <row r="2432" spans="1:6" ht="12.75">
      <c r="A2432" s="2">
        <v>43884.702939814815</v>
      </c>
      <c r="B2432" t="str">
        <f>HYPERLINK("https://twitter.com/jengsri_ss","@jengsri_ss")</f>
        <v>@jengsri_ss</v>
      </c>
      <c r="C2432" t="s">
        <v>321</v>
      </c>
      <c r="D2432">
        <v>146</v>
      </c>
      <c r="E2432">
        <v>0</v>
      </c>
      <c r="F2432">
        <v>352</v>
      </c>
    </row>
    <row r="2433" spans="1:6" ht="12.75">
      <c r="A2433" s="2">
        <v>43884.702557870369</v>
      </c>
      <c r="B2433" t="str">
        <f>HYPERLINK("https://twitter.com/RakjatDjelataaa","@RakjatDjelataaa")</f>
        <v>@RakjatDjelataaa</v>
      </c>
      <c r="C2433" t="s">
        <v>321</v>
      </c>
      <c r="D2433">
        <v>146</v>
      </c>
      <c r="E2433">
        <v>0</v>
      </c>
      <c r="F2433">
        <v>382</v>
      </c>
    </row>
    <row r="2434" spans="1:6" ht="12.75">
      <c r="A2434" s="2">
        <v>43884.702476851853</v>
      </c>
      <c r="B2434" t="str">
        <f>HYPERLINK("https://twitter.com/bidik_misil","@bidik_misil")</f>
        <v>@bidik_misil</v>
      </c>
      <c r="C2434" t="s">
        <v>321</v>
      </c>
      <c r="D2434">
        <v>146</v>
      </c>
      <c r="E2434">
        <v>0</v>
      </c>
      <c r="F2434">
        <v>118</v>
      </c>
    </row>
    <row r="2435" spans="1:6" ht="12.75">
      <c r="A2435" s="2">
        <v>43884.702430555553</v>
      </c>
      <c r="B2435" t="str">
        <f>HYPERLINK("https://twitter.com/eki_fitra","@eki_fitra")</f>
        <v>@eki_fitra</v>
      </c>
      <c r="C2435" t="s">
        <v>321</v>
      </c>
      <c r="D2435">
        <v>146</v>
      </c>
      <c r="E2435">
        <v>0</v>
      </c>
      <c r="F2435">
        <v>382</v>
      </c>
    </row>
    <row r="2436" spans="1:6" ht="12.75">
      <c r="A2436" s="2">
        <v>43884.702372685184</v>
      </c>
      <c r="B2436" t="str">
        <f>HYPERLINK("https://twitter.com/iiRmmmaa","@iiRmmmaa")</f>
        <v>@iiRmmmaa</v>
      </c>
      <c r="C2436" t="s">
        <v>321</v>
      </c>
      <c r="D2436">
        <v>146</v>
      </c>
      <c r="E2436">
        <v>0</v>
      </c>
      <c r="F2436">
        <v>351</v>
      </c>
    </row>
    <row r="2437" spans="1:6" ht="12.75">
      <c r="A2437" s="2">
        <v>43884.702349537038</v>
      </c>
      <c r="B2437" t="str">
        <f>HYPERLINK("https://twitter.com/anisaintan__","@anisaintan__")</f>
        <v>@anisaintan__</v>
      </c>
      <c r="C2437" t="s">
        <v>2766</v>
      </c>
      <c r="D2437">
        <v>190</v>
      </c>
      <c r="E2437">
        <v>0</v>
      </c>
      <c r="F2437">
        <v>313</v>
      </c>
    </row>
    <row r="2438" spans="1:6" ht="12.75">
      <c r="A2438" s="2">
        <v>43884.702326388884</v>
      </c>
      <c r="B2438" t="str">
        <f>HYPERLINK("https://twitter.com/hapineshaiueo","@hapineshaiueo")</f>
        <v>@hapineshaiueo</v>
      </c>
      <c r="C2438" t="s">
        <v>321</v>
      </c>
      <c r="D2438">
        <v>146</v>
      </c>
      <c r="E2438">
        <v>0</v>
      </c>
      <c r="F2438">
        <v>17</v>
      </c>
    </row>
    <row r="2439" spans="1:6" ht="12.75">
      <c r="A2439" s="2">
        <v>43884.702222222222</v>
      </c>
      <c r="B2439" t="str">
        <f>HYPERLINK("https://twitter.com/blackpink828","@blackpink828")</f>
        <v>@blackpink828</v>
      </c>
      <c r="C2439" t="s">
        <v>321</v>
      </c>
      <c r="D2439">
        <v>146</v>
      </c>
      <c r="E2439">
        <v>0</v>
      </c>
      <c r="F2439">
        <v>2835</v>
      </c>
    </row>
    <row r="2440" spans="1:6" ht="12.75">
      <c r="A2440" s="2">
        <v>43884.702199074076</v>
      </c>
      <c r="B2440" t="str">
        <f>HYPERLINK("https://twitter.com/eiga_K","@eiga_K")</f>
        <v>@eiga_K</v>
      </c>
      <c r="C2440" t="s">
        <v>321</v>
      </c>
      <c r="D2440">
        <v>146</v>
      </c>
      <c r="E2440">
        <v>0</v>
      </c>
      <c r="F2440">
        <v>192</v>
      </c>
    </row>
    <row r="2441" spans="1:6" ht="12.75">
      <c r="A2441" s="2">
        <v>43884.702175925922</v>
      </c>
      <c r="B2441" t="str">
        <f>HYPERLINK("https://twitter.com/ttheworld_","@ttheworld_")</f>
        <v>@ttheworld_</v>
      </c>
      <c r="C2441" t="s">
        <v>2808</v>
      </c>
      <c r="D2441">
        <v>0</v>
      </c>
      <c r="E2441">
        <v>0</v>
      </c>
      <c r="F2441">
        <v>114</v>
      </c>
    </row>
    <row r="2442" spans="1:6" ht="12.75">
      <c r="A2442" s="2">
        <v>43884.701990740738</v>
      </c>
      <c r="B2442" t="str">
        <f>HYPERLINK("https://twitter.com/brigita_raissa","@brigita_raissa")</f>
        <v>@brigita_raissa</v>
      </c>
      <c r="C2442" t="s">
        <v>321</v>
      </c>
      <c r="D2442">
        <v>146</v>
      </c>
      <c r="E2442">
        <v>0</v>
      </c>
      <c r="F2442">
        <v>698</v>
      </c>
    </row>
    <row r="2443" spans="1:6" ht="12.75">
      <c r="A2443" s="2">
        <v>43884.701990740738</v>
      </c>
      <c r="B2443" t="str">
        <f>HYPERLINK("https://twitter.com/Nezhea_Thann","@Nezhea_Thann")</f>
        <v>@Nezhea_Thann</v>
      </c>
      <c r="C2443" t="s">
        <v>2627</v>
      </c>
      <c r="D2443">
        <v>1</v>
      </c>
      <c r="E2443">
        <v>0</v>
      </c>
      <c r="F2443">
        <v>3573</v>
      </c>
    </row>
    <row r="2444" spans="1:6" ht="12.75">
      <c r="A2444" s="2">
        <v>43884.701944444445</v>
      </c>
      <c r="B2444" t="str">
        <f>HYPERLINK("https://twitter.com/LFC_BanBan","@LFC_BanBan")</f>
        <v>@LFC_BanBan</v>
      </c>
      <c r="C2444" t="s">
        <v>321</v>
      </c>
      <c r="D2444">
        <v>146</v>
      </c>
      <c r="E2444">
        <v>0</v>
      </c>
      <c r="F2444">
        <v>31</v>
      </c>
    </row>
    <row r="2445" spans="1:6" ht="12.75">
      <c r="A2445" s="2">
        <v>43884.701863425929</v>
      </c>
      <c r="B2445" t="str">
        <f>HYPERLINK("https://twitter.com/IbhamJ","@IbhamJ")</f>
        <v>@IbhamJ</v>
      </c>
      <c r="C2445" t="s">
        <v>321</v>
      </c>
      <c r="D2445">
        <v>146</v>
      </c>
      <c r="E2445">
        <v>0</v>
      </c>
      <c r="F2445">
        <v>767</v>
      </c>
    </row>
    <row r="2446" spans="1:6" ht="12.75">
      <c r="A2446" s="2">
        <v>43884.701689814814</v>
      </c>
      <c r="B2446" t="str">
        <f>HYPERLINK("https://twitter.com/JamesKatuuk","@JamesKatuuk")</f>
        <v>@JamesKatuuk</v>
      </c>
      <c r="C2446" t="s">
        <v>2766</v>
      </c>
      <c r="D2446">
        <v>190</v>
      </c>
      <c r="E2446">
        <v>0</v>
      </c>
      <c r="F2446">
        <v>5486</v>
      </c>
    </row>
    <row r="2447" spans="1:6" ht="12.75">
      <c r="A2447" s="2">
        <v>43884.701678240745</v>
      </c>
      <c r="B2447" t="str">
        <f>HYPERLINK("https://twitter.com/imsocoldeu","@imsocoldeu")</f>
        <v>@imsocoldeu</v>
      </c>
      <c r="C2447" t="s">
        <v>321</v>
      </c>
      <c r="D2447">
        <v>146</v>
      </c>
      <c r="E2447">
        <v>0</v>
      </c>
      <c r="F2447">
        <v>124</v>
      </c>
    </row>
    <row r="2448" spans="1:6" ht="12.75">
      <c r="A2448" s="2">
        <v>43884.701678240745</v>
      </c>
      <c r="B2448" t="str">
        <f>HYPERLINK("https://twitter.com/ratnadian_p","@ratnadian_p")</f>
        <v>@ratnadian_p</v>
      </c>
      <c r="C2448" t="s">
        <v>321</v>
      </c>
      <c r="D2448">
        <v>146</v>
      </c>
      <c r="E2448">
        <v>0</v>
      </c>
      <c r="F2448">
        <v>201</v>
      </c>
    </row>
    <row r="2449" spans="1:6" ht="12.75">
      <c r="A2449" s="2">
        <v>43884.701562499999</v>
      </c>
      <c r="B2449" t="str">
        <f>HYPERLINK("https://twitter.com/nazuchan","@nazuchan")</f>
        <v>@nazuchan</v>
      </c>
      <c r="C2449" t="s">
        <v>321</v>
      </c>
      <c r="D2449">
        <v>146</v>
      </c>
      <c r="E2449">
        <v>0</v>
      </c>
      <c r="F2449">
        <v>250</v>
      </c>
    </row>
    <row r="2450" spans="1:6" ht="12.75">
      <c r="A2450" s="2">
        <v>43884.701550925922</v>
      </c>
      <c r="B2450" t="str">
        <f>HYPERLINK("https://twitter.com/putetetet","@putetetet")</f>
        <v>@putetetet</v>
      </c>
      <c r="C2450" t="s">
        <v>321</v>
      </c>
      <c r="D2450">
        <v>146</v>
      </c>
      <c r="E2450">
        <v>0</v>
      </c>
      <c r="F2450">
        <v>310</v>
      </c>
    </row>
    <row r="2451" spans="1:6" ht="12.75">
      <c r="A2451" s="2">
        <v>43884.701527777783</v>
      </c>
      <c r="B2451" t="str">
        <f>HYPERLINK("https://twitter.com/ddefelly_","@ddefelly_")</f>
        <v>@ddefelly_</v>
      </c>
      <c r="C2451" t="s">
        <v>321</v>
      </c>
      <c r="D2451">
        <v>146</v>
      </c>
      <c r="E2451">
        <v>0</v>
      </c>
      <c r="F2451">
        <v>525</v>
      </c>
    </row>
    <row r="2452" spans="1:6" ht="12.75">
      <c r="A2452" s="2">
        <v>43884.701481481483</v>
      </c>
      <c r="B2452" t="str">
        <f>HYPERLINK("https://twitter.com/sanikomputer_id","@sanikomputer_id")</f>
        <v>@sanikomputer_id</v>
      </c>
      <c r="C2452" t="s">
        <v>321</v>
      </c>
      <c r="D2452">
        <v>146</v>
      </c>
      <c r="E2452">
        <v>0</v>
      </c>
      <c r="F2452">
        <v>574</v>
      </c>
    </row>
    <row r="2453" spans="1:6" ht="12.75">
      <c r="A2453" s="2">
        <v>43884.701388888891</v>
      </c>
      <c r="B2453" t="str">
        <f>HYPERLINK("https://twitter.com/Paolo95954454","@Paolo95954454")</f>
        <v>@Paolo95954454</v>
      </c>
      <c r="C2453" t="s">
        <v>2809</v>
      </c>
      <c r="D2453">
        <v>0</v>
      </c>
      <c r="E2453">
        <v>0</v>
      </c>
      <c r="F2453">
        <v>16</v>
      </c>
    </row>
    <row r="2454" spans="1:6" ht="12.75">
      <c r="A2454" s="2">
        <v>43884.701365740737</v>
      </c>
      <c r="B2454" t="str">
        <f>HYPERLINK("https://twitter.com/Arinsusanti36","@Arinsusanti36")</f>
        <v>@Arinsusanti36</v>
      </c>
      <c r="C2454" t="s">
        <v>2091</v>
      </c>
      <c r="D2454">
        <v>329</v>
      </c>
      <c r="E2454">
        <v>0</v>
      </c>
      <c r="F2454">
        <v>246</v>
      </c>
    </row>
    <row r="2455" spans="1:6" ht="12.75">
      <c r="A2455" s="2">
        <v>43884.701354166667</v>
      </c>
      <c r="B2455" t="str">
        <f>HYPERLINK("https://twitter.com/imnotapizza","@imnotapizza")</f>
        <v>@imnotapizza</v>
      </c>
      <c r="C2455" t="s">
        <v>321</v>
      </c>
      <c r="D2455">
        <v>146</v>
      </c>
      <c r="E2455">
        <v>0</v>
      </c>
      <c r="F2455">
        <v>2445</v>
      </c>
    </row>
    <row r="2456" spans="1:6" ht="12.75">
      <c r="A2456" s="2">
        <v>43884.701284722221</v>
      </c>
      <c r="B2456" t="str">
        <f>HYPERLINK("https://twitter.com/virdamansur","@virdamansur")</f>
        <v>@virdamansur</v>
      </c>
      <c r="C2456" t="s">
        <v>2773</v>
      </c>
      <c r="D2456">
        <v>0</v>
      </c>
      <c r="E2456">
        <v>0</v>
      </c>
      <c r="F2456">
        <v>251</v>
      </c>
    </row>
    <row r="2457" spans="1:6" ht="12.75">
      <c r="A2457" s="2">
        <v>43884.66814814815</v>
      </c>
      <c r="B2457" t="str">
        <f>HYPERLINK("https://twitter.com/ISIS_Balik_NO","@ISIS_Balik_NO")</f>
        <v>@ISIS_Balik_NO</v>
      </c>
      <c r="C2457" t="s">
        <v>2810</v>
      </c>
      <c r="D2457">
        <v>0</v>
      </c>
      <c r="E2457">
        <v>0</v>
      </c>
      <c r="F2457">
        <v>6112</v>
      </c>
    </row>
    <row r="2458" spans="1:6" ht="12.75">
      <c r="A2458" s="2">
        <v>43884.667928240742</v>
      </c>
      <c r="B2458" t="str">
        <f>HYPERLINK("https://twitter.com/Gignesia","@Gignesia")</f>
        <v>@Gignesia</v>
      </c>
      <c r="C2458" t="s">
        <v>321</v>
      </c>
      <c r="D2458">
        <v>2</v>
      </c>
      <c r="E2458">
        <v>0</v>
      </c>
      <c r="F2458">
        <v>572</v>
      </c>
    </row>
    <row r="2459" spans="1:6" ht="12.75">
      <c r="A2459" s="2">
        <v>43884.667766203704</v>
      </c>
      <c r="B2459" t="str">
        <f>HYPERLINK("https://twitter.com/Arie_Argon","@Arie_Argon")</f>
        <v>@Arie_Argon</v>
      </c>
      <c r="C2459" t="s">
        <v>2091</v>
      </c>
      <c r="D2459">
        <v>269</v>
      </c>
      <c r="E2459">
        <v>0</v>
      </c>
      <c r="F2459">
        <v>297</v>
      </c>
    </row>
    <row r="2460" spans="1:6" ht="12.75">
      <c r="A2460" s="2">
        <v>43884.667719907404</v>
      </c>
      <c r="B2460" t="str">
        <f>HYPERLINK("https://twitter.com/hemaviton99","@hemaviton99")</f>
        <v>@hemaviton99</v>
      </c>
      <c r="C2460" t="s">
        <v>2811</v>
      </c>
      <c r="D2460">
        <v>1</v>
      </c>
      <c r="E2460">
        <v>0</v>
      </c>
      <c r="F2460">
        <v>4629</v>
      </c>
    </row>
    <row r="2461" spans="1:6" ht="12.75">
      <c r="A2461" s="2">
        <v>43884.667638888888</v>
      </c>
      <c r="B2461" t="str">
        <f>HYPERLINK("https://twitter.com/yvonetandiarak","@yvonetandiarak")</f>
        <v>@yvonetandiarak</v>
      </c>
      <c r="C2461" t="s">
        <v>2766</v>
      </c>
      <c r="D2461">
        <v>152</v>
      </c>
      <c r="E2461">
        <v>0</v>
      </c>
      <c r="F2461">
        <v>4093</v>
      </c>
    </row>
    <row r="2462" spans="1:6" ht="12.75">
      <c r="A2462" s="2">
        <v>43884.667511574073</v>
      </c>
      <c r="B2462" t="str">
        <f>HYPERLINK("https://twitter.com/sweethellena","@sweethellena")</f>
        <v>@sweethellena</v>
      </c>
      <c r="C2462" t="s">
        <v>321</v>
      </c>
      <c r="D2462">
        <v>2</v>
      </c>
      <c r="E2462">
        <v>0</v>
      </c>
      <c r="F2462">
        <v>6159</v>
      </c>
    </row>
    <row r="2463" spans="1:6" ht="12.75">
      <c r="A2463" s="2">
        <v>43884.667268518519</v>
      </c>
      <c r="B2463" t="str">
        <f>HYPERLINK("https://twitter.com/GfPlat","@GfPlat")</f>
        <v>@GfPlat</v>
      </c>
      <c r="C2463" t="s">
        <v>2691</v>
      </c>
      <c r="D2463">
        <v>12</v>
      </c>
      <c r="E2463">
        <v>0</v>
      </c>
      <c r="F2463">
        <v>2148</v>
      </c>
    </row>
    <row r="2464" spans="1:6" ht="12.75">
      <c r="A2464" s="2">
        <v>43884.667187500003</v>
      </c>
      <c r="B2464" t="str">
        <f>HYPERLINK("https://twitter.com/ISIS_Balik_NO","@ISIS_Balik_NO")</f>
        <v>@ISIS_Balik_NO</v>
      </c>
      <c r="C2464" t="s">
        <v>2812</v>
      </c>
      <c r="D2464">
        <v>1</v>
      </c>
      <c r="E2464">
        <v>0</v>
      </c>
      <c r="F2464">
        <v>6112</v>
      </c>
    </row>
    <row r="2465" spans="1:6" ht="12.75">
      <c r="A2465" s="2">
        <v>43884.666585648149</v>
      </c>
      <c r="B2465" t="str">
        <f>HYPERLINK("https://twitter.com/AkuRobot10","@AkuRobot10")</f>
        <v>@AkuRobot10</v>
      </c>
      <c r="C2465" t="s">
        <v>2091</v>
      </c>
      <c r="D2465">
        <v>269</v>
      </c>
      <c r="E2465">
        <v>0</v>
      </c>
      <c r="F2465">
        <v>143</v>
      </c>
    </row>
    <row r="2466" spans="1:6" ht="12.75">
      <c r="A2466" s="2">
        <v>43884.666562500002</v>
      </c>
      <c r="B2466" t="str">
        <f>HYPERLINK("https://twitter.com/Iyink7","@Iyink7")</f>
        <v>@Iyink7</v>
      </c>
      <c r="C2466" t="s">
        <v>2766</v>
      </c>
      <c r="D2466">
        <v>152</v>
      </c>
      <c r="E2466">
        <v>0</v>
      </c>
      <c r="F2466">
        <v>2387</v>
      </c>
    </row>
    <row r="2467" spans="1:6" ht="12.75">
      <c r="A2467" s="2">
        <v>43884.666481481487</v>
      </c>
      <c r="B2467" t="str">
        <f>HYPERLINK("https://twitter.com/Haryant39257605","@Haryant39257605")</f>
        <v>@Haryant39257605</v>
      </c>
      <c r="C2467" t="s">
        <v>2093</v>
      </c>
      <c r="D2467">
        <v>16</v>
      </c>
      <c r="E2467">
        <v>0</v>
      </c>
      <c r="F2467">
        <v>0</v>
      </c>
    </row>
    <row r="2468" spans="1:6" ht="12.75">
      <c r="A2468" s="2">
        <v>43884.666435185187</v>
      </c>
      <c r="B2468" t="str">
        <f>HYPERLINK("https://twitter.com/abcaustralia_id","@abcaustralia_id")</f>
        <v>@abcaustralia_id</v>
      </c>
      <c r="C2468" t="s">
        <v>2813</v>
      </c>
      <c r="D2468">
        <v>2</v>
      </c>
      <c r="E2468">
        <v>1</v>
      </c>
      <c r="F2468">
        <v>2664</v>
      </c>
    </row>
    <row r="2469" spans="1:6" ht="12.75">
      <c r="A2469" s="2">
        <v>43884.666249999995</v>
      </c>
      <c r="B2469" t="str">
        <f>HYPERLINK("https://twitter.com/hayanaqu","@hayanaqu")</f>
        <v>@hayanaqu</v>
      </c>
      <c r="C2469" t="s">
        <v>2814</v>
      </c>
      <c r="D2469">
        <v>0</v>
      </c>
      <c r="E2469">
        <v>0</v>
      </c>
      <c r="F2469">
        <v>71</v>
      </c>
    </row>
    <row r="2470" spans="1:6" ht="12.75">
      <c r="A2470" s="2">
        <v>43884.666099537033</v>
      </c>
      <c r="B2470" t="str">
        <f>HYPERLINK("https://twitter.com/miswanto80","@miswanto80")</f>
        <v>@miswanto80</v>
      </c>
      <c r="C2470" t="s">
        <v>2091</v>
      </c>
      <c r="D2470">
        <v>269</v>
      </c>
      <c r="E2470">
        <v>0</v>
      </c>
      <c r="F2470">
        <v>2980</v>
      </c>
    </row>
    <row r="2471" spans="1:6" ht="12.75">
      <c r="A2471" s="2">
        <v>43884.666006944448</v>
      </c>
      <c r="B2471" t="str">
        <f>HYPERLINK("https://twitter.com/ISIS_Balik_NO","@ISIS_Balik_NO")</f>
        <v>@ISIS_Balik_NO</v>
      </c>
      <c r="C2471" t="s">
        <v>2815</v>
      </c>
      <c r="D2471">
        <v>0</v>
      </c>
      <c r="E2471">
        <v>0</v>
      </c>
      <c r="F2471">
        <v>6112</v>
      </c>
    </row>
    <row r="2472" spans="1:6" ht="12.75">
      <c r="A2472" s="2">
        <v>43884.665289351848</v>
      </c>
      <c r="B2472" t="str">
        <f>HYPERLINK("https://twitter.com/dayak7","@dayak7")</f>
        <v>@dayak7</v>
      </c>
      <c r="C2472" t="s">
        <v>2766</v>
      </c>
      <c r="D2472">
        <v>152</v>
      </c>
      <c r="E2472">
        <v>0</v>
      </c>
      <c r="F2472">
        <v>52</v>
      </c>
    </row>
    <row r="2473" spans="1:6" ht="12.75">
      <c r="A2473" s="2">
        <v>43884.665208333332</v>
      </c>
      <c r="B2473" t="str">
        <f>HYPERLINK("https://twitter.com/andy36302704","@andy36302704")</f>
        <v>@andy36302704</v>
      </c>
      <c r="C2473" t="s">
        <v>2091</v>
      </c>
      <c r="D2473">
        <v>269</v>
      </c>
      <c r="E2473">
        <v>0</v>
      </c>
      <c r="F2473">
        <v>93</v>
      </c>
    </row>
    <row r="2474" spans="1:6" ht="12.75">
      <c r="A2474" s="2">
        <v>43884.664444444439</v>
      </c>
      <c r="B2474" t="str">
        <f>HYPERLINK("https://twitter.com/Haryant39257605","@Haryant39257605")</f>
        <v>@Haryant39257605</v>
      </c>
      <c r="C2474" t="s">
        <v>2472</v>
      </c>
      <c r="D2474">
        <v>25</v>
      </c>
      <c r="E2474">
        <v>0</v>
      </c>
      <c r="F2474">
        <v>0</v>
      </c>
    </row>
    <row r="2475" spans="1:6" ht="12.75">
      <c r="A2475" s="2">
        <v>43884.664189814815</v>
      </c>
      <c r="B2475" t="str">
        <f>HYPERLINK("https://twitter.com/Jalakovic","@Jalakovic")</f>
        <v>@Jalakovic</v>
      </c>
      <c r="C2475" t="s">
        <v>2816</v>
      </c>
      <c r="D2475">
        <v>1</v>
      </c>
      <c r="E2475">
        <v>1</v>
      </c>
      <c r="F2475">
        <v>37</v>
      </c>
    </row>
    <row r="2476" spans="1:6" ht="12.75">
      <c r="A2476" s="2">
        <v>43884.663888888885</v>
      </c>
      <c r="B2476" t="str">
        <f>HYPERLINK("https://twitter.com/DIRA_0302","@DIRA_0302")</f>
        <v>@DIRA_0302</v>
      </c>
      <c r="C2476" t="s">
        <v>2091</v>
      </c>
      <c r="D2476">
        <v>269</v>
      </c>
      <c r="E2476">
        <v>0</v>
      </c>
      <c r="F2476">
        <v>818</v>
      </c>
    </row>
    <row r="2477" spans="1:6" ht="12.75">
      <c r="A2477" s="2">
        <v>43884.663217592592</v>
      </c>
      <c r="B2477" t="str">
        <f>HYPERLINK("https://twitter.com/zenoldgonzalez","@zenoldgonzalez")</f>
        <v>@zenoldgonzalez</v>
      </c>
      <c r="C2477" t="s">
        <v>2153</v>
      </c>
      <c r="D2477">
        <v>321</v>
      </c>
      <c r="E2477">
        <v>0</v>
      </c>
      <c r="F2477">
        <v>1958</v>
      </c>
    </row>
    <row r="2478" spans="1:6" ht="12.75">
      <c r="A2478" s="2">
        <v>43884.66300925926</v>
      </c>
      <c r="B2478" t="str">
        <f>HYPERLINK("https://twitter.com/ISIS_Balik_NO","@ISIS_Balik_NO")</f>
        <v>@ISIS_Balik_NO</v>
      </c>
      <c r="C2478" t="s">
        <v>2817</v>
      </c>
      <c r="D2478">
        <v>0</v>
      </c>
      <c r="E2478">
        <v>0</v>
      </c>
      <c r="F2478">
        <v>6112</v>
      </c>
    </row>
    <row r="2479" spans="1:6" ht="12.75">
      <c r="A2479" s="2">
        <v>43884.662731481483</v>
      </c>
      <c r="B2479" t="str">
        <f>HYPERLINK("https://twitter.com/sapetahni","@sapetahni")</f>
        <v>@sapetahni</v>
      </c>
      <c r="C2479" t="s">
        <v>2818</v>
      </c>
      <c r="D2479">
        <v>0</v>
      </c>
      <c r="E2479">
        <v>0</v>
      </c>
      <c r="F2479">
        <v>1993</v>
      </c>
    </row>
    <row r="2480" spans="1:6" ht="12.75">
      <c r="A2480" s="2">
        <v>43884.662615740745</v>
      </c>
      <c r="B2480" t="str">
        <f>HYPERLINK("https://twitter.com/mocona22","@mocona22")</f>
        <v>@mocona22</v>
      </c>
      <c r="C2480" t="s">
        <v>2819</v>
      </c>
      <c r="D2480">
        <v>0</v>
      </c>
      <c r="E2480">
        <v>0</v>
      </c>
      <c r="F2480">
        <v>192</v>
      </c>
    </row>
    <row r="2481" spans="1:6" ht="12.75">
      <c r="A2481" s="2">
        <v>43884.662025462967</v>
      </c>
      <c r="B2481" t="str">
        <f>HYPERLINK("https://twitter.com/Dafrosty","@Dafrosty")</f>
        <v>@Dafrosty</v>
      </c>
      <c r="C2481" t="s">
        <v>2716</v>
      </c>
      <c r="D2481">
        <v>20</v>
      </c>
      <c r="E2481">
        <v>0</v>
      </c>
      <c r="F2481">
        <v>931</v>
      </c>
    </row>
    <row r="2482" spans="1:6" ht="12.75">
      <c r="A2482" s="2">
        <v>43884.661782407406</v>
      </c>
      <c r="B2482" t="str">
        <f>HYPERLINK("https://twitter.com/YoungGu49306826","@YoungGu49306826")</f>
        <v>@YoungGu49306826</v>
      </c>
      <c r="C2482" t="s">
        <v>2091</v>
      </c>
      <c r="D2482">
        <v>269</v>
      </c>
      <c r="E2482">
        <v>0</v>
      </c>
      <c r="F2482">
        <v>1050</v>
      </c>
    </row>
    <row r="2483" spans="1:6" ht="12.75">
      <c r="A2483" s="2">
        <v>43884.661736111113</v>
      </c>
      <c r="B2483" t="str">
        <f>HYPERLINK("https://twitter.com/ISIS_Balik_NO","@ISIS_Balik_NO")</f>
        <v>@ISIS_Balik_NO</v>
      </c>
      <c r="C2483" t="s">
        <v>2820</v>
      </c>
      <c r="D2483">
        <v>0</v>
      </c>
      <c r="E2483">
        <v>0</v>
      </c>
      <c r="F2483">
        <v>6112</v>
      </c>
    </row>
    <row r="2484" spans="1:6" ht="12.75">
      <c r="A2484" s="2">
        <v>43884.66170138889</v>
      </c>
      <c r="B2484" t="str">
        <f>HYPERLINK("https://twitter.com/maskusumo","@maskusumo")</f>
        <v>@maskusumo</v>
      </c>
      <c r="C2484" t="s">
        <v>2091</v>
      </c>
      <c r="D2484">
        <v>269</v>
      </c>
      <c r="E2484">
        <v>0</v>
      </c>
      <c r="F2484">
        <v>5224</v>
      </c>
    </row>
    <row r="2485" spans="1:6" ht="12.75">
      <c r="A2485" s="2">
        <v>43884.661608796298</v>
      </c>
      <c r="B2485" t="str">
        <f>HYPERLINK("https://twitter.com/beatrice_health","@beatrice_health")</f>
        <v>@beatrice_health</v>
      </c>
      <c r="C2485" t="s">
        <v>2821</v>
      </c>
      <c r="D2485">
        <v>1</v>
      </c>
      <c r="E2485">
        <v>0</v>
      </c>
      <c r="F2485">
        <v>307</v>
      </c>
    </row>
    <row r="2486" spans="1:6" ht="12.75">
      <c r="A2486" s="2">
        <v>43884.661574074074</v>
      </c>
      <c r="B2486" t="str">
        <f>HYPERLINK("https://twitter.com/AgusSetiawanAr4","@AgusSetiawanAr4")</f>
        <v>@AgusSetiawanAr4</v>
      </c>
      <c r="C2486" t="s">
        <v>2822</v>
      </c>
      <c r="D2486">
        <v>1</v>
      </c>
      <c r="E2486">
        <v>0</v>
      </c>
      <c r="F2486">
        <v>21</v>
      </c>
    </row>
    <row r="2487" spans="1:6" ht="12.75">
      <c r="A2487" s="2">
        <v>43884.661250000005</v>
      </c>
      <c r="B2487" t="str">
        <f>HYPERLINK("https://twitter.com/rabutuhfollower","@rabutuhfollower")</f>
        <v>@rabutuhfollower</v>
      </c>
      <c r="C2487" t="s">
        <v>2091</v>
      </c>
      <c r="D2487">
        <v>269</v>
      </c>
      <c r="E2487">
        <v>0</v>
      </c>
      <c r="F2487">
        <v>312</v>
      </c>
    </row>
    <row r="2488" spans="1:6" ht="12.75">
      <c r="A2488" s="2">
        <v>43884.661215277782</v>
      </c>
      <c r="B2488" t="str">
        <f>HYPERLINK("https://twitter.com/sihargeol","@sihargeol")</f>
        <v>@sihargeol</v>
      </c>
      <c r="C2488" t="s">
        <v>2472</v>
      </c>
      <c r="D2488">
        <v>25</v>
      </c>
      <c r="E2488">
        <v>0</v>
      </c>
      <c r="F2488">
        <v>584</v>
      </c>
    </row>
    <row r="2489" spans="1:6" ht="12.75">
      <c r="A2489" s="2">
        <v>43884.661122685182</v>
      </c>
      <c r="B2489" t="str">
        <f>HYPERLINK("https://twitter.com/pandamuter","@pandamuter")</f>
        <v>@pandamuter</v>
      </c>
      <c r="C2489" t="s">
        <v>2091</v>
      </c>
      <c r="D2489">
        <v>269</v>
      </c>
      <c r="E2489">
        <v>0</v>
      </c>
      <c r="F2489">
        <v>11</v>
      </c>
    </row>
    <row r="2490" spans="1:6" ht="12.75">
      <c r="A2490" s="2">
        <v>43884.660891203705</v>
      </c>
      <c r="B2490" t="str">
        <f>HYPERLINK("https://twitter.com/Nio174","@Nio174")</f>
        <v>@Nio174</v>
      </c>
      <c r="C2490" t="s">
        <v>2091</v>
      </c>
      <c r="D2490">
        <v>269</v>
      </c>
      <c r="E2490">
        <v>0</v>
      </c>
      <c r="F2490">
        <v>11</v>
      </c>
    </row>
    <row r="2491" spans="1:6" ht="12.75">
      <c r="A2491" s="2">
        <v>43884.660601851851</v>
      </c>
      <c r="B2491" t="str">
        <f>HYPERLINK("https://twitter.com/lssxlf","@lssxlf")</f>
        <v>@lssxlf</v>
      </c>
      <c r="C2491" t="s">
        <v>2823</v>
      </c>
      <c r="D2491">
        <v>0</v>
      </c>
      <c r="E2491">
        <v>0</v>
      </c>
      <c r="F2491">
        <v>1196</v>
      </c>
    </row>
    <row r="2492" spans="1:6" ht="12.75">
      <c r="A2492" s="2">
        <v>43884.660393518519</v>
      </c>
      <c r="B2492" t="str">
        <f>HYPERLINK("https://twitter.com/masbejosaputra","@masbejosaputra")</f>
        <v>@masbejosaputra</v>
      </c>
      <c r="C2492" t="s">
        <v>2091</v>
      </c>
      <c r="D2492">
        <v>269</v>
      </c>
      <c r="E2492">
        <v>0</v>
      </c>
      <c r="F2492">
        <v>81</v>
      </c>
    </row>
    <row r="2493" spans="1:6" ht="12.75">
      <c r="A2493" s="2">
        <v>43884.660104166665</v>
      </c>
      <c r="B2493" t="str">
        <f>HYPERLINK("https://twitter.com/fadlier","@fadlier")</f>
        <v>@fadlier</v>
      </c>
      <c r="C2493" t="s">
        <v>2824</v>
      </c>
      <c r="D2493">
        <v>9</v>
      </c>
      <c r="E2493">
        <v>0</v>
      </c>
      <c r="F2493">
        <v>254</v>
      </c>
    </row>
    <row r="2494" spans="1:6" ht="12.75">
      <c r="A2494" s="2">
        <v>43884.659687499996</v>
      </c>
      <c r="B2494" t="str">
        <f>HYPERLINK("https://twitter.com/SydSalesman","@SydSalesman")</f>
        <v>@SydSalesman</v>
      </c>
      <c r="C2494" t="s">
        <v>2472</v>
      </c>
      <c r="D2494">
        <v>25</v>
      </c>
      <c r="E2494">
        <v>0</v>
      </c>
      <c r="F2494">
        <v>6272</v>
      </c>
    </row>
    <row r="2495" spans="1:6" ht="12.75">
      <c r="A2495" s="2">
        <v>43884.658877314811</v>
      </c>
      <c r="B2495" t="str">
        <f>HYPERLINK("https://twitter.com/Just__JeJe","@Just__JeJe")</f>
        <v>@Just__JeJe</v>
      </c>
      <c r="C2495" t="s">
        <v>2091</v>
      </c>
      <c r="D2495">
        <v>269</v>
      </c>
      <c r="E2495">
        <v>0</v>
      </c>
      <c r="F2495">
        <v>174</v>
      </c>
    </row>
    <row r="2496" spans="1:6" ht="12.75">
      <c r="A2496" s="2">
        <v>43884.658831018518</v>
      </c>
      <c r="B2496" t="str">
        <f>HYPERLINK("https://twitter.com/fridakusumap","@fridakusumap")</f>
        <v>@fridakusumap</v>
      </c>
      <c r="C2496" t="s">
        <v>2766</v>
      </c>
      <c r="D2496">
        <v>152</v>
      </c>
      <c r="E2496">
        <v>0</v>
      </c>
      <c r="F2496">
        <v>402</v>
      </c>
    </row>
    <row r="2497" spans="1:6" ht="12.75">
      <c r="A2497" s="2">
        <v>43884.658483796295</v>
      </c>
      <c r="B2497" t="str">
        <f>HYPERLINK("https://twitter.com/Haryant39257605","@Haryant39257605")</f>
        <v>@Haryant39257605</v>
      </c>
      <c r="C2497" t="s">
        <v>2766</v>
      </c>
      <c r="D2497">
        <v>152</v>
      </c>
      <c r="E2497">
        <v>0</v>
      </c>
      <c r="F2497">
        <v>0</v>
      </c>
    </row>
    <row r="2498" spans="1:6" ht="12.75">
      <c r="A2498" s="2">
        <v>43884.658009259263</v>
      </c>
      <c r="B2498" t="str">
        <f>HYPERLINK("https://twitter.com/ivanchristi3","@ivanchristi3")</f>
        <v>@ivanchristi3</v>
      </c>
      <c r="C2498" t="s">
        <v>2825</v>
      </c>
      <c r="D2498">
        <v>0</v>
      </c>
      <c r="E2498">
        <v>2</v>
      </c>
      <c r="F2498">
        <v>1930</v>
      </c>
    </row>
    <row r="2499" spans="1:6" ht="12.75">
      <c r="A2499" s="2">
        <v>43884.658009259263</v>
      </c>
      <c r="B2499" t="str">
        <f>HYPERLINK("https://twitter.com/antio888","@antio888")</f>
        <v>@antio888</v>
      </c>
      <c r="C2499" t="s">
        <v>2826</v>
      </c>
      <c r="D2499">
        <v>0</v>
      </c>
      <c r="E2499">
        <v>0</v>
      </c>
      <c r="F2499">
        <v>70</v>
      </c>
    </row>
    <row r="2500" spans="1:6" ht="12.75">
      <c r="A2500" s="2">
        <v>43884.657939814817</v>
      </c>
      <c r="B2500" t="str">
        <f>HYPERLINK("https://twitter.com/RsRs26767107","@RsRs26767107")</f>
        <v>@RsRs26767107</v>
      </c>
      <c r="C2500" t="s">
        <v>2766</v>
      </c>
      <c r="D2500">
        <v>152</v>
      </c>
      <c r="E2500">
        <v>0</v>
      </c>
      <c r="F2500">
        <v>26</v>
      </c>
    </row>
    <row r="2501" spans="1:6" ht="12.75">
      <c r="A2501" s="2">
        <v>43884.65788194444</v>
      </c>
      <c r="B2501" t="str">
        <f>HYPERLINK("https://twitter.com/watipp","@watipp")</f>
        <v>@watipp</v>
      </c>
      <c r="C2501" t="s">
        <v>2827</v>
      </c>
      <c r="D2501">
        <v>0</v>
      </c>
      <c r="E2501">
        <v>0</v>
      </c>
      <c r="F2501">
        <v>274</v>
      </c>
    </row>
    <row r="2502" spans="1:6" ht="12.75">
      <c r="A2502" s="2">
        <v>43884.657754629632</v>
      </c>
      <c r="B2502" t="str">
        <f>HYPERLINK("https://twitter.com/camelia_oh","@camelia_oh")</f>
        <v>@camelia_oh</v>
      </c>
      <c r="C2502" t="s">
        <v>2828</v>
      </c>
      <c r="D2502">
        <v>0</v>
      </c>
      <c r="E2502">
        <v>0</v>
      </c>
      <c r="F2502">
        <v>905</v>
      </c>
    </row>
    <row r="2503" spans="1:6" ht="12.75">
      <c r="A2503" s="2">
        <v>43884.65724537037</v>
      </c>
      <c r="B2503" t="str">
        <f>HYPERLINK("https://twitter.com/UjiGt","@UjiGt")</f>
        <v>@UjiGt</v>
      </c>
      <c r="C2503" t="s">
        <v>2766</v>
      </c>
      <c r="D2503">
        <v>152</v>
      </c>
      <c r="E2503">
        <v>0</v>
      </c>
      <c r="F2503">
        <v>816</v>
      </c>
    </row>
    <row r="2504" spans="1:6" ht="12.75">
      <c r="A2504" s="2">
        <v>43884.657129629632</v>
      </c>
      <c r="B2504" t="str">
        <f>HYPERLINK("https://twitter.com/AnugrahArgaS6","@AnugrahArgaS6")</f>
        <v>@AnugrahArgaS6</v>
      </c>
      <c r="C2504" t="s">
        <v>2091</v>
      </c>
      <c r="D2504">
        <v>269</v>
      </c>
      <c r="E2504">
        <v>0</v>
      </c>
      <c r="F2504">
        <v>130</v>
      </c>
    </row>
    <row r="2505" spans="1:6" ht="12.75">
      <c r="A2505" s="2">
        <v>43884.656805555554</v>
      </c>
      <c r="B2505" t="str">
        <f>HYPERLINK("https://twitter.com/marni_marsum","@marni_marsum")</f>
        <v>@marni_marsum</v>
      </c>
      <c r="C2505" t="s">
        <v>2829</v>
      </c>
      <c r="D2505">
        <v>0</v>
      </c>
      <c r="E2505">
        <v>0</v>
      </c>
      <c r="F2505">
        <v>7</v>
      </c>
    </row>
    <row r="2506" spans="1:6" ht="12.75">
      <c r="A2506" s="2">
        <v>43884.6566087963</v>
      </c>
      <c r="B2506" t="str">
        <f>HYPERLINK("https://twitter.com/AriestaRiico","@AriestaRiico")</f>
        <v>@AriestaRiico</v>
      </c>
      <c r="C2506" t="s">
        <v>2766</v>
      </c>
      <c r="D2506">
        <v>152</v>
      </c>
      <c r="E2506">
        <v>0</v>
      </c>
      <c r="F2506">
        <v>7527</v>
      </c>
    </row>
    <row r="2507" spans="1:6" ht="12.75">
      <c r="A2507" s="2">
        <v>43884.656342592592</v>
      </c>
      <c r="B2507" t="str">
        <f>HYPERLINK("https://twitter.com/icblues","@icblues")</f>
        <v>@icblues</v>
      </c>
      <c r="C2507" t="s">
        <v>2830</v>
      </c>
      <c r="D2507">
        <v>0</v>
      </c>
      <c r="E2507">
        <v>0</v>
      </c>
      <c r="F2507">
        <v>3796</v>
      </c>
    </row>
    <row r="2508" spans="1:6" ht="12.75">
      <c r="A2508" s="2">
        <v>43884.656192129631</v>
      </c>
      <c r="B2508" t="str">
        <f>HYPERLINK("https://twitter.com/no_micin99","@no_micin99")</f>
        <v>@no_micin99</v>
      </c>
      <c r="C2508" t="s">
        <v>2091</v>
      </c>
      <c r="D2508">
        <v>269</v>
      </c>
      <c r="E2508">
        <v>0</v>
      </c>
      <c r="F2508">
        <v>1806</v>
      </c>
    </row>
    <row r="2509" spans="1:6" ht="12.75">
      <c r="A2509" s="2">
        <v>43884.6559837963</v>
      </c>
      <c r="B2509" t="str">
        <f>HYPERLINK("https://twitter.com/RFauzy5","@RFauzy5")</f>
        <v>@RFauzy5</v>
      </c>
      <c r="C2509" t="s">
        <v>2153</v>
      </c>
      <c r="D2509">
        <v>321</v>
      </c>
      <c r="E2509">
        <v>0</v>
      </c>
      <c r="F2509">
        <v>2478</v>
      </c>
    </row>
    <row r="2510" spans="1:6" ht="12.75">
      <c r="A2510" s="2">
        <v>43884.655821759261</v>
      </c>
      <c r="B2510" t="str">
        <f>HYPERLINK("https://twitter.com/Widiantoro","@Widiantoro")</f>
        <v>@Widiantoro</v>
      </c>
      <c r="C2510" t="s">
        <v>2091</v>
      </c>
      <c r="D2510">
        <v>269</v>
      </c>
      <c r="E2510">
        <v>0</v>
      </c>
      <c r="F2510">
        <v>206</v>
      </c>
    </row>
    <row r="2511" spans="1:6" ht="12.75">
      <c r="A2511" s="2">
        <v>43884.655578703707</v>
      </c>
      <c r="B2511" t="str">
        <f>HYPERLINK("https://twitter.com/dopepamin","@dopepamin")</f>
        <v>@dopepamin</v>
      </c>
      <c r="C2511" t="s">
        <v>2766</v>
      </c>
      <c r="D2511">
        <v>152</v>
      </c>
      <c r="E2511">
        <v>0</v>
      </c>
      <c r="F2511">
        <v>14</v>
      </c>
    </row>
    <row r="2512" spans="1:6" ht="12.75">
      <c r="A2512" s="2">
        <v>43884.655289351853</v>
      </c>
      <c r="B2512" t="str">
        <f>HYPERLINK("https://twitter.com/Iyink7","@Iyink7")</f>
        <v>@Iyink7</v>
      </c>
      <c r="C2512" t="s">
        <v>2756</v>
      </c>
      <c r="D2512">
        <v>50</v>
      </c>
      <c r="E2512">
        <v>0</v>
      </c>
      <c r="F2512">
        <v>2387</v>
      </c>
    </row>
    <row r="2513" spans="1:6" ht="12.75">
      <c r="A2513" s="2">
        <v>43884.654745370368</v>
      </c>
      <c r="B2513" t="str">
        <f>HYPERLINK("https://twitter.com/ValintCasper","@ValintCasper")</f>
        <v>@ValintCasper</v>
      </c>
      <c r="C2513" t="s">
        <v>2831</v>
      </c>
      <c r="D2513">
        <v>0</v>
      </c>
      <c r="E2513">
        <v>0</v>
      </c>
      <c r="F2513">
        <v>372</v>
      </c>
    </row>
    <row r="2514" spans="1:6" ht="12.75">
      <c r="A2514" s="2">
        <v>43884.654722222222</v>
      </c>
      <c r="B2514" t="str">
        <f>HYPERLINK("https://twitter.com/mautauajadeih","@mautauajadeih")</f>
        <v>@mautauajadeih</v>
      </c>
      <c r="C2514" t="s">
        <v>2091</v>
      </c>
      <c r="D2514">
        <v>269</v>
      </c>
      <c r="E2514">
        <v>0</v>
      </c>
      <c r="F2514">
        <v>2</v>
      </c>
    </row>
    <row r="2515" spans="1:6" ht="12.75">
      <c r="A2515" s="2">
        <v>43884.654537037037</v>
      </c>
      <c r="B2515" t="str">
        <f>HYPERLINK("https://twitter.com/rubiavianto","@rubiavianto")</f>
        <v>@rubiavianto</v>
      </c>
      <c r="C2515" t="s">
        <v>2756</v>
      </c>
      <c r="D2515">
        <v>50</v>
      </c>
      <c r="E2515">
        <v>0</v>
      </c>
      <c r="F2515">
        <v>3139</v>
      </c>
    </row>
    <row r="2516" spans="1:6" ht="12.75">
      <c r="A2516" s="2">
        <v>43884.654409722221</v>
      </c>
      <c r="B2516" t="str">
        <f>HYPERLINK("https://twitter.com/MAlexandriet","@MAlexandriet")</f>
        <v>@MAlexandriet</v>
      </c>
      <c r="C2516" t="s">
        <v>2091</v>
      </c>
      <c r="D2516">
        <v>269</v>
      </c>
      <c r="E2516">
        <v>0</v>
      </c>
      <c r="F2516">
        <v>199</v>
      </c>
    </row>
    <row r="2517" spans="1:6" ht="12.75">
      <c r="A2517" s="2">
        <v>43884.654027777782</v>
      </c>
      <c r="B2517" t="str">
        <f>HYPERLINK("https://twitter.com/dump9x","@dump9x")</f>
        <v>@dump9x</v>
      </c>
      <c r="C2517" t="s">
        <v>2766</v>
      </c>
      <c r="D2517">
        <v>152</v>
      </c>
      <c r="E2517">
        <v>0</v>
      </c>
      <c r="F2517">
        <v>314</v>
      </c>
    </row>
    <row r="2518" spans="1:6" ht="12.75">
      <c r="A2518" s="2">
        <v>43884.654016203705</v>
      </c>
      <c r="B2518" t="str">
        <f>HYPERLINK("https://twitter.com/wartapoLitik","@wartapoLitik")</f>
        <v>@wartapoLitik</v>
      </c>
      <c r="C2518" t="s">
        <v>2824</v>
      </c>
      <c r="D2518">
        <v>9</v>
      </c>
      <c r="E2518">
        <v>0</v>
      </c>
      <c r="F2518">
        <v>73872</v>
      </c>
    </row>
    <row r="2519" spans="1:6" ht="12.75">
      <c r="A2519" s="2">
        <v>43884.653240740736</v>
      </c>
      <c r="B2519" t="str">
        <f>HYPERLINK("https://twitter.com/faroukhaq","@faroukhaq")</f>
        <v>@faroukhaq</v>
      </c>
      <c r="C2519" t="s">
        <v>2832</v>
      </c>
      <c r="D2519">
        <v>1</v>
      </c>
      <c r="E2519">
        <v>0</v>
      </c>
      <c r="F2519">
        <v>940</v>
      </c>
    </row>
    <row r="2520" spans="1:6" ht="12.75">
      <c r="A2520" s="2">
        <v>43884.652997685189</v>
      </c>
      <c r="B2520" t="str">
        <f>HYPERLINK("https://twitter.com/iskandarAKA27","@iskandarAKA27")</f>
        <v>@iskandarAKA27</v>
      </c>
      <c r="C2520" t="s">
        <v>2472</v>
      </c>
      <c r="D2520">
        <v>25</v>
      </c>
      <c r="E2520">
        <v>0</v>
      </c>
      <c r="F2520">
        <v>1505</v>
      </c>
    </row>
    <row r="2521" spans="1:6" ht="12.75">
      <c r="A2521" s="2">
        <v>43884.652349537035</v>
      </c>
      <c r="B2521" t="str">
        <f>HYPERLINK("https://twitter.com/grakasiwi_","@grakasiwi_")</f>
        <v>@grakasiwi_</v>
      </c>
      <c r="C2521" t="s">
        <v>2766</v>
      </c>
      <c r="D2521">
        <v>152</v>
      </c>
      <c r="E2521">
        <v>0</v>
      </c>
      <c r="F2521">
        <v>283</v>
      </c>
    </row>
    <row r="2522" spans="1:6" ht="12.75">
      <c r="A2522" s="2">
        <v>43884.650543981479</v>
      </c>
      <c r="B2522" t="str">
        <f>HYPERLINK("https://twitter.com/YRadianto","@YRadianto")</f>
        <v>@YRadianto</v>
      </c>
      <c r="C2522" t="s">
        <v>2472</v>
      </c>
      <c r="D2522">
        <v>25</v>
      </c>
      <c r="E2522">
        <v>0</v>
      </c>
      <c r="F2522">
        <v>28404</v>
      </c>
    </row>
    <row r="2523" spans="1:6" ht="12.75">
      <c r="A2523" s="2">
        <v>43884.65043981481</v>
      </c>
      <c r="B2523" t="str">
        <f>HYPERLINK("https://twitter.com/21Lai21","@21Lai21")</f>
        <v>@21Lai21</v>
      </c>
      <c r="C2523" t="s">
        <v>2091</v>
      </c>
      <c r="D2523">
        <v>269</v>
      </c>
      <c r="E2523">
        <v>0</v>
      </c>
      <c r="F2523">
        <v>293</v>
      </c>
    </row>
    <row r="2524" spans="1:6" ht="12.75">
      <c r="A2524" s="2">
        <v>43884.650416666671</v>
      </c>
      <c r="B2524" t="str">
        <f>HYPERLINK("https://twitter.com/moesa_jp02","@moesa_jp02")</f>
        <v>@moesa_jp02</v>
      </c>
      <c r="C2524" t="s">
        <v>2833</v>
      </c>
      <c r="D2524">
        <v>0</v>
      </c>
      <c r="E2524">
        <v>0</v>
      </c>
      <c r="F2524">
        <v>1398</v>
      </c>
    </row>
    <row r="2525" spans="1:6" ht="12.75">
      <c r="A2525" s="2">
        <v>43884.650335648148</v>
      </c>
      <c r="B2525" t="str">
        <f>HYPERLINK("https://twitter.com/aladintea70","@aladintea70")</f>
        <v>@aladintea70</v>
      </c>
      <c r="C2525" t="s">
        <v>2093</v>
      </c>
      <c r="D2525">
        <v>16</v>
      </c>
      <c r="E2525">
        <v>0</v>
      </c>
      <c r="F2525">
        <v>910</v>
      </c>
    </row>
    <row r="2526" spans="1:6" ht="12.75">
      <c r="A2526" s="2">
        <v>43884.650300925925</v>
      </c>
      <c r="B2526" t="str">
        <f>HYPERLINK("https://twitter.com/odmumdo","@odmumdo")</f>
        <v>@odmumdo</v>
      </c>
      <c r="C2526" t="s">
        <v>2834</v>
      </c>
      <c r="D2526">
        <v>0</v>
      </c>
      <c r="E2526">
        <v>1</v>
      </c>
      <c r="F2526">
        <v>0</v>
      </c>
    </row>
    <row r="2527" spans="1:6" ht="12.75">
      <c r="A2527" s="2">
        <v>43884.650057870371</v>
      </c>
      <c r="B2527" t="str">
        <f>HYPERLINK("https://twitter.com/MZubir_ID","@MZubir_ID")</f>
        <v>@MZubir_ID</v>
      </c>
      <c r="C2527" t="s">
        <v>2835</v>
      </c>
      <c r="D2527">
        <v>0</v>
      </c>
      <c r="E2527">
        <v>0</v>
      </c>
      <c r="F2527">
        <v>5864</v>
      </c>
    </row>
    <row r="2528" spans="1:6" ht="12.75">
      <c r="A2528" s="2">
        <v>43884.649305555555</v>
      </c>
      <c r="B2528" t="str">
        <f>HYPERLINK("https://twitter.com/anton_sukisno","@anton_sukisno")</f>
        <v>@anton_sukisno</v>
      </c>
      <c r="C2528" t="s">
        <v>2836</v>
      </c>
      <c r="D2528">
        <v>0</v>
      </c>
      <c r="E2528">
        <v>0</v>
      </c>
      <c r="F2528">
        <v>7</v>
      </c>
    </row>
    <row r="2529" spans="1:6" ht="12.75">
      <c r="A2529" s="2">
        <v>43884.648564814815</v>
      </c>
      <c r="B2529" t="str">
        <f>HYPERLINK("https://twitter.com/James_Aibon","@James_Aibon")</f>
        <v>@James_Aibon</v>
      </c>
      <c r="C2529" t="s">
        <v>2093</v>
      </c>
      <c r="D2529">
        <v>16</v>
      </c>
      <c r="E2529">
        <v>0</v>
      </c>
      <c r="F2529">
        <v>1218</v>
      </c>
    </row>
    <row r="2530" spans="1:6" ht="12.75">
      <c r="A2530" s="2">
        <v>43884.648101851853</v>
      </c>
      <c r="B2530" t="str">
        <f>HYPERLINK("https://twitter.com/Amadea312","@Amadea312")</f>
        <v>@Amadea312</v>
      </c>
      <c r="C2530" t="s">
        <v>2091</v>
      </c>
      <c r="D2530">
        <v>269</v>
      </c>
      <c r="E2530">
        <v>0</v>
      </c>
      <c r="F2530">
        <v>1213</v>
      </c>
    </row>
    <row r="2531" spans="1:6" ht="12.75">
      <c r="A2531" s="2">
        <v>43884.647986111115</v>
      </c>
      <c r="B2531" t="str">
        <f>HYPERLINK("https://twitter.com/aprimndptr","@aprimndptr")</f>
        <v>@aprimndptr</v>
      </c>
      <c r="C2531" t="s">
        <v>2766</v>
      </c>
      <c r="D2531">
        <v>152</v>
      </c>
      <c r="E2531">
        <v>0</v>
      </c>
      <c r="F2531">
        <v>94</v>
      </c>
    </row>
    <row r="2532" spans="1:6" ht="12.75">
      <c r="A2532" s="2">
        <v>43884.647719907407</v>
      </c>
      <c r="B2532" t="str">
        <f>HYPERLINK("https://twitter.com/PapoKikok","@PapoKikok")</f>
        <v>@PapoKikok</v>
      </c>
      <c r="C2532" t="s">
        <v>2093</v>
      </c>
      <c r="D2532">
        <v>16</v>
      </c>
      <c r="E2532">
        <v>0</v>
      </c>
      <c r="F2532">
        <v>94</v>
      </c>
    </row>
    <row r="2533" spans="1:6" ht="12.75">
      <c r="A2533" s="2">
        <v>43884.647499999999</v>
      </c>
      <c r="B2533" t="str">
        <f>HYPERLINK("https://twitter.com/christi_88","@christi_88")</f>
        <v>@christi_88</v>
      </c>
      <c r="C2533" t="s">
        <v>2091</v>
      </c>
      <c r="D2533">
        <v>269</v>
      </c>
      <c r="E2533">
        <v>0</v>
      </c>
      <c r="F2533">
        <v>35</v>
      </c>
    </row>
    <row r="2534" spans="1:6" ht="12.75">
      <c r="A2534" s="2">
        <v>43884.647002314814</v>
      </c>
      <c r="B2534" t="str">
        <f>HYPERLINK("https://twitter.com/hanssakti","@hanssakti")</f>
        <v>@hanssakti</v>
      </c>
      <c r="C2534" t="s">
        <v>2766</v>
      </c>
      <c r="D2534">
        <v>152</v>
      </c>
      <c r="E2534">
        <v>0</v>
      </c>
      <c r="F2534">
        <v>99</v>
      </c>
    </row>
    <row r="2535" spans="1:6" ht="12.75">
      <c r="A2535" s="2">
        <v>43884.64675925926</v>
      </c>
      <c r="B2535" t="str">
        <f>HYPERLINK("https://twitter.com/CeriaSinom","@CeriaSinom")</f>
        <v>@CeriaSinom</v>
      </c>
      <c r="C2535" t="s">
        <v>2091</v>
      </c>
      <c r="D2535">
        <v>269</v>
      </c>
      <c r="E2535">
        <v>0</v>
      </c>
      <c r="F2535">
        <v>141</v>
      </c>
    </row>
    <row r="2536" spans="1:6" ht="12.75">
      <c r="A2536" s="2">
        <v>43884.646527777775</v>
      </c>
      <c r="B2536" t="str">
        <f>HYPERLINK("https://twitter.com/veronicadewi01","@veronicadewi01")</f>
        <v>@veronicadewi01</v>
      </c>
      <c r="C2536" t="s">
        <v>2091</v>
      </c>
      <c r="D2536">
        <v>269</v>
      </c>
      <c r="E2536">
        <v>0</v>
      </c>
      <c r="F2536">
        <v>28</v>
      </c>
    </row>
    <row r="2537" spans="1:6" ht="12.75">
      <c r="A2537" s="2">
        <v>43884.646180555559</v>
      </c>
      <c r="B2537" t="str">
        <f>HYPERLINK("https://twitter.com/agustin_sastra","@agustin_sastra")</f>
        <v>@agustin_sastra</v>
      </c>
      <c r="C2537" t="s">
        <v>2091</v>
      </c>
      <c r="D2537">
        <v>269</v>
      </c>
      <c r="E2537">
        <v>0</v>
      </c>
      <c r="F2537">
        <v>539</v>
      </c>
    </row>
    <row r="2538" spans="1:6" ht="12.75">
      <c r="A2538" s="2">
        <v>43884.645983796298</v>
      </c>
      <c r="B2538" t="str">
        <f>HYPERLINK("https://twitter.com/Pengalana3","@Pengalana3")</f>
        <v>@Pengalana3</v>
      </c>
      <c r="C2538" t="s">
        <v>2837</v>
      </c>
      <c r="D2538">
        <v>0</v>
      </c>
      <c r="E2538">
        <v>0</v>
      </c>
      <c r="F2538">
        <v>1</v>
      </c>
    </row>
    <row r="2539" spans="1:6" ht="12.75">
      <c r="A2539" s="2">
        <v>43884.645162037035</v>
      </c>
      <c r="B2539" t="str">
        <f>HYPERLINK("https://twitter.com/antarabiz","@antarabiz")</f>
        <v>@antarabiz</v>
      </c>
      <c r="C2539" t="s">
        <v>2838</v>
      </c>
      <c r="D2539">
        <v>0</v>
      </c>
      <c r="E2539">
        <v>0</v>
      </c>
      <c r="F2539">
        <v>28</v>
      </c>
    </row>
    <row r="2540" spans="1:6" ht="12.75">
      <c r="A2540" s="2">
        <v>43884.645104166666</v>
      </c>
      <c r="B2540" t="str">
        <f>HYPERLINK("https://twitter.com/AMassardhi","@AMassardhi")</f>
        <v>@AMassardhi</v>
      </c>
      <c r="C2540" t="s">
        <v>177</v>
      </c>
      <c r="D2540">
        <v>825</v>
      </c>
      <c r="E2540">
        <v>0</v>
      </c>
      <c r="F2540">
        <v>58</v>
      </c>
    </row>
    <row r="2541" spans="1:6" ht="12.75">
      <c r="A2541" s="2">
        <v>43884.645034722227</v>
      </c>
      <c r="B2541" t="str">
        <f>HYPERLINK("https://twitter.com/sylviarosalina","@sylviarosalina")</f>
        <v>@sylviarosalina</v>
      </c>
      <c r="C2541" t="s">
        <v>2839</v>
      </c>
      <c r="D2541">
        <v>0</v>
      </c>
      <c r="E2541">
        <v>0</v>
      </c>
      <c r="F2541">
        <v>453</v>
      </c>
    </row>
    <row r="2542" spans="1:6" ht="12.75">
      <c r="A2542" s="2">
        <v>43884.644884259258</v>
      </c>
      <c r="B2542" t="str">
        <f>HYPERLINK("https://twitter.com/shilesoon","@shilesoon")</f>
        <v>@shilesoon</v>
      </c>
      <c r="C2542" t="s">
        <v>2091</v>
      </c>
      <c r="D2542">
        <v>269</v>
      </c>
      <c r="E2542">
        <v>0</v>
      </c>
      <c r="F2542">
        <v>11</v>
      </c>
    </row>
    <row r="2543" spans="1:6" ht="12.75">
      <c r="A2543" s="2">
        <v>43884.644571759258</v>
      </c>
      <c r="B2543" t="str">
        <f>HYPERLINK("https://twitter.com/marissagunawan9","@marissagunawan9")</f>
        <v>@marissagunawan9</v>
      </c>
      <c r="C2543" t="s">
        <v>2840</v>
      </c>
      <c r="D2543">
        <v>0</v>
      </c>
      <c r="E2543">
        <v>0</v>
      </c>
      <c r="F2543">
        <v>467</v>
      </c>
    </row>
    <row r="2544" spans="1:6" ht="12.75">
      <c r="A2544" s="2">
        <v>43884.644050925926</v>
      </c>
      <c r="B2544" t="str">
        <f>HYPERLINK("https://twitter.com/luphalp","@luphalp")</f>
        <v>@luphalp</v>
      </c>
      <c r="C2544" t="s">
        <v>2766</v>
      </c>
      <c r="D2544">
        <v>152</v>
      </c>
      <c r="E2544">
        <v>0</v>
      </c>
      <c r="F2544">
        <v>53</v>
      </c>
    </row>
    <row r="2545" spans="1:6" ht="12.75">
      <c r="A2545" s="2">
        <v>43884.643958333334</v>
      </c>
      <c r="B2545" t="str">
        <f>HYPERLINK("https://twitter.com/rs1m01976","@rs1m01976")</f>
        <v>@rs1m01976</v>
      </c>
      <c r="C2545" t="s">
        <v>2093</v>
      </c>
      <c r="D2545">
        <v>16</v>
      </c>
      <c r="E2545">
        <v>0</v>
      </c>
      <c r="F2545">
        <v>1415</v>
      </c>
    </row>
    <row r="2546" spans="1:6" ht="12.75">
      <c r="A2546" s="2">
        <v>43884.643946759257</v>
      </c>
      <c r="B2546" t="str">
        <f>HYPERLINK("https://twitter.com/jumadi097","@jumadi097")</f>
        <v>@jumadi097</v>
      </c>
      <c r="C2546" t="s">
        <v>2091</v>
      </c>
      <c r="D2546">
        <v>269</v>
      </c>
      <c r="E2546">
        <v>0</v>
      </c>
      <c r="F2546">
        <v>1019</v>
      </c>
    </row>
    <row r="2547" spans="1:6" ht="12.75">
      <c r="A2547" s="2">
        <v>43884.643842592588</v>
      </c>
      <c r="B2547" t="str">
        <f>HYPERLINK("https://twitter.com/DNegriku","@DNegriku")</f>
        <v>@DNegriku</v>
      </c>
      <c r="C2547" t="s">
        <v>2841</v>
      </c>
      <c r="D2547">
        <v>19</v>
      </c>
      <c r="E2547">
        <v>0</v>
      </c>
      <c r="F2547">
        <v>88</v>
      </c>
    </row>
    <row r="2548" spans="1:6" ht="12.75">
      <c r="A2548" s="2">
        <v>43884.643611111111</v>
      </c>
      <c r="B2548" t="str">
        <f>HYPERLINK("https://twitter.com/MichaelHarto77","@MichaelHarto77")</f>
        <v>@MichaelHarto77</v>
      </c>
      <c r="C2548" t="s">
        <v>2091</v>
      </c>
      <c r="D2548">
        <v>269</v>
      </c>
      <c r="E2548">
        <v>0</v>
      </c>
      <c r="F2548">
        <v>4566</v>
      </c>
    </row>
    <row r="2549" spans="1:6" ht="12.75">
      <c r="A2549" s="2">
        <v>43884.643587962964</v>
      </c>
      <c r="B2549" t="str">
        <f>HYPERLINK("https://twitter.com/citrausdy17","@citrausdy17")</f>
        <v>@citrausdy17</v>
      </c>
      <c r="C2549" t="s">
        <v>2842</v>
      </c>
      <c r="D2549">
        <v>0</v>
      </c>
      <c r="E2549">
        <v>0</v>
      </c>
      <c r="F2549">
        <v>404</v>
      </c>
    </row>
    <row r="2550" spans="1:6" ht="12.75">
      <c r="A2550" s="2">
        <v>43884.643564814818</v>
      </c>
      <c r="B2550" t="str">
        <f>HYPERLINK("https://twitter.com/dearest_ade","@dearest_ade")</f>
        <v>@dearest_ade</v>
      </c>
      <c r="C2550" t="s">
        <v>2091</v>
      </c>
      <c r="D2550">
        <v>269</v>
      </c>
      <c r="E2550">
        <v>0</v>
      </c>
      <c r="F2550">
        <v>58</v>
      </c>
    </row>
    <row r="2551" spans="1:6" ht="12.75">
      <c r="A2551" s="2">
        <v>43884.643229166672</v>
      </c>
      <c r="B2551" t="str">
        <f>HYPERLINK("https://twitter.com/PartBurungGalak","@PartBurungGalak")</f>
        <v>@PartBurungGalak</v>
      </c>
      <c r="C2551" t="s">
        <v>2091</v>
      </c>
      <c r="D2551">
        <v>269</v>
      </c>
      <c r="E2551">
        <v>0</v>
      </c>
      <c r="F2551">
        <v>7032</v>
      </c>
    </row>
    <row r="2552" spans="1:6" ht="12.75">
      <c r="A2552" s="2">
        <v>43884.642916666664</v>
      </c>
      <c r="B2552" t="str">
        <f>HYPERLINK("https://twitter.com/ErsatKera","@ErsatKera")</f>
        <v>@ErsatKera</v>
      </c>
      <c r="C2552" t="s">
        <v>2843</v>
      </c>
      <c r="D2552">
        <v>0</v>
      </c>
      <c r="E2552">
        <v>0</v>
      </c>
      <c r="F2552">
        <v>310</v>
      </c>
    </row>
    <row r="2553" spans="1:6" ht="12.75">
      <c r="A2553" s="2">
        <v>43884.641782407409</v>
      </c>
      <c r="B2553" t="str">
        <f>HYPERLINK("https://twitter.com/tatianatopia","@tatianatopia")</f>
        <v>@tatianatopia</v>
      </c>
      <c r="C2553" t="s">
        <v>2091</v>
      </c>
      <c r="D2553">
        <v>269</v>
      </c>
      <c r="E2553">
        <v>0</v>
      </c>
      <c r="F2553">
        <v>10</v>
      </c>
    </row>
    <row r="2554" spans="1:6" ht="12.75">
      <c r="A2554" s="2">
        <v>43884.641296296293</v>
      </c>
      <c r="B2554" t="str">
        <f>HYPERLINK("https://twitter.com/ParmonanganRaja","@ParmonanganRaja")</f>
        <v>@ParmonanganRaja</v>
      </c>
      <c r="C2554" t="s">
        <v>2766</v>
      </c>
      <c r="D2554">
        <v>152</v>
      </c>
      <c r="E2554">
        <v>0</v>
      </c>
      <c r="F2554">
        <v>183</v>
      </c>
    </row>
    <row r="2555" spans="1:6" ht="12.75">
      <c r="A2555" s="2">
        <v>43884.641284722224</v>
      </c>
      <c r="B2555" t="str">
        <f>HYPERLINK("https://twitter.com/Nezhea_Thann","@Nezhea_Thann")</f>
        <v>@Nezhea_Thann</v>
      </c>
      <c r="C2555" t="s">
        <v>2091</v>
      </c>
      <c r="D2555">
        <v>269</v>
      </c>
      <c r="E2555">
        <v>0</v>
      </c>
      <c r="F2555">
        <v>3570</v>
      </c>
    </row>
    <row r="2556" spans="1:6" ht="12.75">
      <c r="A2556" s="2">
        <v>43884.641215277778</v>
      </c>
      <c r="B2556" t="str">
        <f>HYPERLINK("https://twitter.com/tyo_Nugr0z","@tyo_Nugr0z")</f>
        <v>@tyo_Nugr0z</v>
      </c>
      <c r="C2556" t="s">
        <v>2691</v>
      </c>
      <c r="D2556">
        <v>12</v>
      </c>
      <c r="E2556">
        <v>0</v>
      </c>
      <c r="F2556">
        <v>323</v>
      </c>
    </row>
    <row r="2557" spans="1:6" ht="12.75">
      <c r="A2557" s="2">
        <v>43884.626620370371</v>
      </c>
      <c r="B2557" t="str">
        <f>HYPERLINK("https://twitter.com/Ariewidyas","@Ariewidyas")</f>
        <v>@Ariewidyas</v>
      </c>
      <c r="C2557" t="s">
        <v>2091</v>
      </c>
      <c r="D2557">
        <v>215</v>
      </c>
      <c r="E2557">
        <v>0</v>
      </c>
      <c r="F2557">
        <v>137</v>
      </c>
    </row>
    <row r="2558" spans="1:6" ht="12.75">
      <c r="A2558" s="2">
        <v>43884.626435185186</v>
      </c>
      <c r="B2558" t="str">
        <f>HYPERLINK("https://twitter.com/joe_uruha","@joe_uruha")</f>
        <v>@joe_uruha</v>
      </c>
      <c r="C2558" t="s">
        <v>2091</v>
      </c>
      <c r="D2558">
        <v>215</v>
      </c>
      <c r="E2558">
        <v>0</v>
      </c>
      <c r="F2558">
        <v>41</v>
      </c>
    </row>
    <row r="2559" spans="1:6" ht="12.75">
      <c r="A2559" s="2">
        <v>43884.626377314809</v>
      </c>
      <c r="B2559" t="str">
        <f>HYPERLINK("https://twitter.com/antosoeyono","@antosoeyono")</f>
        <v>@antosoeyono</v>
      </c>
      <c r="C2559" t="s">
        <v>2766</v>
      </c>
      <c r="D2559">
        <v>127</v>
      </c>
      <c r="E2559">
        <v>0</v>
      </c>
      <c r="F2559">
        <v>548</v>
      </c>
    </row>
    <row r="2560" spans="1:6" ht="12.75">
      <c r="A2560" s="2">
        <v>43884.625949074078</v>
      </c>
      <c r="B2560" t="str">
        <f>HYPERLINK("https://twitter.com/Baemine98","@Baemine98")</f>
        <v>@Baemine98</v>
      </c>
      <c r="C2560" t="s">
        <v>2844</v>
      </c>
      <c r="D2560">
        <v>0</v>
      </c>
      <c r="E2560">
        <v>0</v>
      </c>
      <c r="F2560">
        <v>360</v>
      </c>
    </row>
    <row r="2561" spans="1:6" ht="12.75">
      <c r="A2561" s="2">
        <v>43884.625868055555</v>
      </c>
      <c r="B2561" t="str">
        <f>HYPERLINK("https://twitter.com/SeeHandy","@SeeHandy")</f>
        <v>@SeeHandy</v>
      </c>
      <c r="C2561" t="s">
        <v>2766</v>
      </c>
      <c r="D2561">
        <v>127</v>
      </c>
      <c r="E2561">
        <v>0</v>
      </c>
      <c r="F2561">
        <v>814</v>
      </c>
    </row>
    <row r="2562" spans="1:6" ht="12.75">
      <c r="A2562" s="2">
        <v>43884.625833333332</v>
      </c>
      <c r="B2562" t="str">
        <f>HYPERLINK("https://twitter.com/chillinaris","@chillinaris")</f>
        <v>@chillinaris</v>
      </c>
      <c r="C2562" t="s">
        <v>2845</v>
      </c>
      <c r="D2562">
        <v>0</v>
      </c>
      <c r="E2562">
        <v>1</v>
      </c>
      <c r="F2562">
        <v>37311</v>
      </c>
    </row>
    <row r="2563" spans="1:6" ht="12.75">
      <c r="A2563" s="2">
        <v>43884.625694444447</v>
      </c>
      <c r="B2563" t="str">
        <f>HYPERLINK("https://twitter.com/the_geotimes","@the_geotimes")</f>
        <v>@the_geotimes</v>
      </c>
      <c r="C2563" t="s">
        <v>2139</v>
      </c>
      <c r="D2563">
        <v>0</v>
      </c>
      <c r="E2563">
        <v>0</v>
      </c>
      <c r="F2563">
        <v>49630</v>
      </c>
    </row>
    <row r="2564" spans="1:6" ht="12.75">
      <c r="A2564" s="2">
        <v>43884.625555555554</v>
      </c>
      <c r="B2564" t="str">
        <f>HYPERLINK("https://twitter.com/elzaindra","@elzaindra")</f>
        <v>@elzaindra</v>
      </c>
      <c r="C2564" t="s">
        <v>2766</v>
      </c>
      <c r="D2564">
        <v>127</v>
      </c>
      <c r="E2564">
        <v>0</v>
      </c>
      <c r="F2564">
        <v>384</v>
      </c>
    </row>
    <row r="2565" spans="1:6" ht="12.75">
      <c r="A2565" s="2">
        <v>43884.625219907408</v>
      </c>
      <c r="B2565" t="str">
        <f>HYPERLINK("https://twitter.com/rs1m01976","@rs1m01976")</f>
        <v>@rs1m01976</v>
      </c>
      <c r="C2565" t="s">
        <v>2091</v>
      </c>
      <c r="D2565">
        <v>215</v>
      </c>
      <c r="E2565">
        <v>0</v>
      </c>
      <c r="F2565">
        <v>1415</v>
      </c>
    </row>
    <row r="2566" spans="1:6" ht="12.75">
      <c r="A2566" s="2">
        <v>43884.625</v>
      </c>
      <c r="B2566" t="str">
        <f>HYPERLINK("https://twitter.com/tvOneNews","@tvOneNews")</f>
        <v>@tvOneNews</v>
      </c>
      <c r="C2566" t="s">
        <v>2846</v>
      </c>
      <c r="D2566">
        <v>0</v>
      </c>
      <c r="E2566">
        <v>1</v>
      </c>
      <c r="F2566">
        <v>8719259</v>
      </c>
    </row>
    <row r="2567" spans="1:6" ht="12.75">
      <c r="A2567" s="2">
        <v>43884.624421296292</v>
      </c>
      <c r="B2567" t="str">
        <f>HYPERLINK("https://twitter.com/Santo_idn","@Santo_idn")</f>
        <v>@Santo_idn</v>
      </c>
      <c r="C2567" t="s">
        <v>2091</v>
      </c>
      <c r="D2567">
        <v>215</v>
      </c>
      <c r="E2567">
        <v>0</v>
      </c>
      <c r="F2567">
        <v>547</v>
      </c>
    </row>
    <row r="2568" spans="1:6" ht="12.75">
      <c r="A2568" s="2">
        <v>43884.62394675926</v>
      </c>
      <c r="B2568" t="str">
        <f>HYPERLINK("https://twitter.com/windywn2","@windywn2")</f>
        <v>@windywn2</v>
      </c>
      <c r="C2568" t="s">
        <v>1407</v>
      </c>
      <c r="D2568">
        <v>9744</v>
      </c>
      <c r="E2568">
        <v>0</v>
      </c>
      <c r="F2568">
        <v>10</v>
      </c>
    </row>
    <row r="2569" spans="1:6" ht="12.75">
      <c r="A2569" s="2">
        <v>43884.623703703706</v>
      </c>
      <c r="B2569" t="str">
        <f>HYPERLINK("https://twitter.com/Winarto31406922","@Winarto31406922")</f>
        <v>@Winarto31406922</v>
      </c>
      <c r="C2569" t="s">
        <v>2847</v>
      </c>
      <c r="D2569">
        <v>0</v>
      </c>
      <c r="E2569">
        <v>0</v>
      </c>
      <c r="F2569">
        <v>0</v>
      </c>
    </row>
    <row r="2570" spans="1:6" ht="12.75">
      <c r="A2570" s="2">
        <v>43884.623483796298</v>
      </c>
      <c r="B2570" t="str">
        <f>HYPERLINK("https://twitter.com/hemaviton99","@hemaviton99")</f>
        <v>@hemaviton99</v>
      </c>
      <c r="C2570" t="s">
        <v>2113</v>
      </c>
      <c r="D2570">
        <v>1</v>
      </c>
      <c r="E2570">
        <v>0</v>
      </c>
      <c r="F2570">
        <v>4626</v>
      </c>
    </row>
    <row r="2571" spans="1:6" ht="12.75">
      <c r="A2571" s="2">
        <v>43884.623402777783</v>
      </c>
      <c r="B2571" t="str">
        <f>HYPERLINK("https://twitter.com/ingridgloria","@ingridgloria")</f>
        <v>@ingridgloria</v>
      </c>
      <c r="C2571" t="s">
        <v>2091</v>
      </c>
      <c r="D2571">
        <v>215</v>
      </c>
      <c r="E2571">
        <v>0</v>
      </c>
      <c r="F2571">
        <v>453</v>
      </c>
    </row>
    <row r="2572" spans="1:6" ht="12.75">
      <c r="A2572" s="2">
        <v>43884.623078703706</v>
      </c>
      <c r="B2572" t="str">
        <f>HYPERLINK("https://twitter.com/77bayoe","@77bayoe")</f>
        <v>@77bayoe</v>
      </c>
      <c r="C2572" t="s">
        <v>2542</v>
      </c>
      <c r="D2572">
        <v>2</v>
      </c>
      <c r="E2572">
        <v>0</v>
      </c>
      <c r="F2572">
        <v>2184</v>
      </c>
    </row>
    <row r="2573" spans="1:6" ht="12.75">
      <c r="A2573" s="2">
        <v>43884.622743055559</v>
      </c>
      <c r="B2573" t="str">
        <f>HYPERLINK("https://twitter.com/san_san79","@san_san79")</f>
        <v>@san_san79</v>
      </c>
      <c r="C2573" t="s">
        <v>2091</v>
      </c>
      <c r="D2573">
        <v>215</v>
      </c>
      <c r="E2573">
        <v>0</v>
      </c>
      <c r="F2573">
        <v>1475</v>
      </c>
    </row>
    <row r="2574" spans="1:6" ht="12.75">
      <c r="A2574" s="2">
        <v>43884.621377314819</v>
      </c>
      <c r="B2574" t="str">
        <f>HYPERLINK("https://twitter.com/tribunjabar","@tribunjabar")</f>
        <v>@tribunjabar</v>
      </c>
      <c r="C2574" t="s">
        <v>2848</v>
      </c>
      <c r="D2574">
        <v>0</v>
      </c>
      <c r="E2574">
        <v>0</v>
      </c>
      <c r="F2574">
        <v>63112</v>
      </c>
    </row>
    <row r="2575" spans="1:6" ht="12.75">
      <c r="A2575" s="2">
        <v>43884.621331018519</v>
      </c>
      <c r="B2575" t="str">
        <f>HYPERLINK("https://twitter.com/edysumar","@edysumar")</f>
        <v>@edysumar</v>
      </c>
      <c r="C2575" t="s">
        <v>2153</v>
      </c>
      <c r="D2575">
        <v>318</v>
      </c>
      <c r="E2575">
        <v>0</v>
      </c>
      <c r="F2575">
        <v>580</v>
      </c>
    </row>
    <row r="2576" spans="1:6" ht="12.75">
      <c r="A2576" s="2">
        <v>43884.621203703704</v>
      </c>
      <c r="B2576" t="str">
        <f>HYPERLINK("https://twitter.com/Nkrikuindonesi8","@Nkrikuindonesi8")</f>
        <v>@Nkrikuindonesi8</v>
      </c>
      <c r="C2576" t="s">
        <v>2849</v>
      </c>
      <c r="D2576">
        <v>0</v>
      </c>
      <c r="E2576">
        <v>0</v>
      </c>
      <c r="F2576">
        <v>132</v>
      </c>
    </row>
    <row r="2577" spans="1:6" ht="12.75">
      <c r="A2577" s="2">
        <v>43884.621134259258</v>
      </c>
      <c r="B2577" t="str">
        <f>HYPERLINK("https://twitter.com/ingridgloria","@ingridgloria")</f>
        <v>@ingridgloria</v>
      </c>
      <c r="C2577" t="s">
        <v>2766</v>
      </c>
      <c r="D2577">
        <v>127</v>
      </c>
      <c r="E2577">
        <v>0</v>
      </c>
      <c r="F2577">
        <v>453</v>
      </c>
    </row>
    <row r="2578" spans="1:6" ht="12.75">
      <c r="A2578" s="2">
        <v>43884.620092592595</v>
      </c>
      <c r="B2578" t="str">
        <f>HYPERLINK("https://twitter.com/DedyNad_id","@DedyNad_id")</f>
        <v>@DedyNad_id</v>
      </c>
      <c r="C2578" t="s">
        <v>2165</v>
      </c>
      <c r="D2578">
        <v>99</v>
      </c>
      <c r="E2578">
        <v>0</v>
      </c>
      <c r="F2578">
        <v>3812</v>
      </c>
    </row>
    <row r="2579" spans="1:6" ht="12.75">
      <c r="A2579" s="2">
        <v>43884.619768518518</v>
      </c>
      <c r="B2579" t="str">
        <f>HYPERLINK("https://twitter.com/SydSalesman","@SydSalesman")</f>
        <v>@SydSalesman</v>
      </c>
      <c r="C2579" t="s">
        <v>2850</v>
      </c>
      <c r="D2579">
        <v>0</v>
      </c>
      <c r="E2579">
        <v>0</v>
      </c>
      <c r="F2579">
        <v>6272</v>
      </c>
    </row>
    <row r="2580" spans="1:6" ht="12.75">
      <c r="A2580" s="2">
        <v>43884.619733796295</v>
      </c>
      <c r="B2580" t="str">
        <f>HYPERLINK("https://twitter.com/eddy_AS_111","@eddy_AS_111")</f>
        <v>@eddy_AS_111</v>
      </c>
      <c r="C2580" t="s">
        <v>2091</v>
      </c>
      <c r="D2580">
        <v>215</v>
      </c>
      <c r="E2580">
        <v>0</v>
      </c>
      <c r="F2580">
        <v>206</v>
      </c>
    </row>
    <row r="2581" spans="1:6" ht="12.75">
      <c r="A2581" s="2">
        <v>43884.619490740741</v>
      </c>
      <c r="B2581" t="str">
        <f>HYPERLINK("https://twitter.com/___RcdBstrd____","@___RcdBstrd____")</f>
        <v>@___RcdBstrd____</v>
      </c>
      <c r="C2581" t="s">
        <v>2091</v>
      </c>
      <c r="D2581">
        <v>215</v>
      </c>
      <c r="E2581">
        <v>0</v>
      </c>
      <c r="F2581">
        <v>573</v>
      </c>
    </row>
    <row r="2582" spans="1:6" ht="12.75">
      <c r="A2582" s="2">
        <v>43884.619444444441</v>
      </c>
      <c r="B2582" t="str">
        <f>HYPERLINK("https://twitter.com/reyliberty26","@reyliberty26")</f>
        <v>@reyliberty26</v>
      </c>
      <c r="C2582" t="s">
        <v>2851</v>
      </c>
      <c r="D2582">
        <v>0</v>
      </c>
      <c r="E2582">
        <v>0</v>
      </c>
      <c r="F2582">
        <v>0</v>
      </c>
    </row>
    <row r="2583" spans="1:6" ht="12.75">
      <c r="A2583" s="2">
        <v>43884.618680555555</v>
      </c>
      <c r="B2583" t="str">
        <f t="shared" ref="B2583:B2584" si="58">HYPERLINK("https://twitter.com/ISIS_Balik_NO","@ISIS_Balik_NO")</f>
        <v>@ISIS_Balik_NO</v>
      </c>
      <c r="C2583" t="s">
        <v>2852</v>
      </c>
      <c r="D2583">
        <v>0</v>
      </c>
      <c r="E2583">
        <v>0</v>
      </c>
      <c r="F2583">
        <v>6112</v>
      </c>
    </row>
    <row r="2584" spans="1:6" ht="12.75">
      <c r="A2584" s="2">
        <v>43884.618043981478</v>
      </c>
      <c r="B2584" t="str">
        <f t="shared" si="58"/>
        <v>@ISIS_Balik_NO</v>
      </c>
      <c r="C2584" t="s">
        <v>2853</v>
      </c>
      <c r="D2584">
        <v>49</v>
      </c>
      <c r="E2584">
        <v>0</v>
      </c>
      <c r="F2584">
        <v>6112</v>
      </c>
    </row>
    <row r="2585" spans="1:6" ht="12.75">
      <c r="A2585" s="2">
        <v>43884.617939814816</v>
      </c>
      <c r="B2585" t="str">
        <f>HYPERLINK("https://twitter.com/royrohadi99","@royrohadi99")</f>
        <v>@royrohadi99</v>
      </c>
      <c r="C2585" t="s">
        <v>2153</v>
      </c>
      <c r="D2585">
        <v>318</v>
      </c>
      <c r="E2585">
        <v>0</v>
      </c>
      <c r="F2585">
        <v>19</v>
      </c>
    </row>
    <row r="2586" spans="1:6" ht="12.75">
      <c r="A2586" s="2">
        <v>43884.617812500001</v>
      </c>
      <c r="B2586" t="str">
        <f>HYPERLINK("https://twitter.com/AnomanRadikal","@AnomanRadikal")</f>
        <v>@AnomanRadikal</v>
      </c>
      <c r="C2586" t="s">
        <v>2154</v>
      </c>
      <c r="D2586">
        <v>60</v>
      </c>
      <c r="E2586">
        <v>0</v>
      </c>
      <c r="F2586">
        <v>373</v>
      </c>
    </row>
    <row r="2587" spans="1:6" ht="12.75">
      <c r="A2587" s="2">
        <v>43884.617569444439</v>
      </c>
      <c r="B2587" t="str">
        <f>HYPERLINK("https://twitter.com/3aroswrong3","@3aroswrong3")</f>
        <v>@3aroswrong3</v>
      </c>
      <c r="C2587" t="s">
        <v>2091</v>
      </c>
      <c r="D2587">
        <v>215</v>
      </c>
      <c r="E2587">
        <v>0</v>
      </c>
      <c r="F2587">
        <v>163</v>
      </c>
    </row>
    <row r="2588" spans="1:6" ht="12.75">
      <c r="A2588" s="2">
        <v>43884.616666666669</v>
      </c>
      <c r="B2588" t="str">
        <f>HYPERLINK("https://twitter.com/SonoraFM92","@SonoraFM92")</f>
        <v>@SonoraFM92</v>
      </c>
      <c r="C2588" t="s">
        <v>2114</v>
      </c>
      <c r="D2588">
        <v>1</v>
      </c>
      <c r="E2588">
        <v>1</v>
      </c>
      <c r="F2588">
        <v>292874</v>
      </c>
    </row>
    <row r="2589" spans="1:6" ht="12.75">
      <c r="A2589" s="2">
        <v>43884.615891203706</v>
      </c>
      <c r="B2589" t="str">
        <f>HYPERLINK("https://twitter.com/garen188","@garen188")</f>
        <v>@garen188</v>
      </c>
      <c r="C2589" t="s">
        <v>2091</v>
      </c>
      <c r="D2589">
        <v>215</v>
      </c>
      <c r="E2589">
        <v>0</v>
      </c>
      <c r="F2589">
        <v>27</v>
      </c>
    </row>
    <row r="2590" spans="1:6" ht="12.75">
      <c r="A2590" s="2">
        <v>43884.615868055553</v>
      </c>
      <c r="B2590" t="str">
        <f>HYPERLINK("https://twitter.com/_kusno","@_kusno")</f>
        <v>@_kusno</v>
      </c>
      <c r="C2590" t="s">
        <v>2091</v>
      </c>
      <c r="D2590">
        <v>215</v>
      </c>
      <c r="E2590">
        <v>0</v>
      </c>
      <c r="F2590">
        <v>2310</v>
      </c>
    </row>
    <row r="2591" spans="1:6" ht="12.75">
      <c r="A2591" s="2">
        <v>43884.615752314814</v>
      </c>
      <c r="B2591" t="str">
        <f>HYPERLINK("https://twitter.com/sorot45","@sorot45")</f>
        <v>@sorot45</v>
      </c>
      <c r="C2591" t="s">
        <v>2854</v>
      </c>
      <c r="D2591">
        <v>0</v>
      </c>
      <c r="E2591">
        <v>0</v>
      </c>
      <c r="F2591">
        <v>11</v>
      </c>
    </row>
    <row r="2592" spans="1:6" ht="12.75">
      <c r="A2592" s="2">
        <v>43884.615381944444</v>
      </c>
      <c r="B2592" t="str">
        <f>HYPERLINK("https://twitter.com/nandasaragih3","@nandasaragih3")</f>
        <v>@nandasaragih3</v>
      </c>
      <c r="C2592" t="s">
        <v>2091</v>
      </c>
      <c r="D2592">
        <v>215</v>
      </c>
      <c r="E2592">
        <v>0</v>
      </c>
      <c r="F2592">
        <v>216</v>
      </c>
    </row>
    <row r="2593" spans="1:6" ht="12.75">
      <c r="A2593" s="2">
        <v>43884.614918981482</v>
      </c>
      <c r="B2593" t="str">
        <f>HYPERLINK("https://twitter.com/Hanggoro721","@Hanggoro721")</f>
        <v>@Hanggoro721</v>
      </c>
      <c r="C2593" t="s">
        <v>2091</v>
      </c>
      <c r="D2593">
        <v>215</v>
      </c>
      <c r="E2593">
        <v>0</v>
      </c>
      <c r="F2593">
        <v>824</v>
      </c>
    </row>
    <row r="2594" spans="1:6" ht="12.75">
      <c r="A2594" s="2">
        <v>43884.61482638889</v>
      </c>
      <c r="B2594" t="str">
        <f>HYPERLINK("https://twitter.com/Handi08322267","@Handi08322267")</f>
        <v>@Handi08322267</v>
      </c>
      <c r="C2594" t="s">
        <v>2091</v>
      </c>
      <c r="D2594">
        <v>215</v>
      </c>
      <c r="E2594">
        <v>0</v>
      </c>
      <c r="F2594">
        <v>5545</v>
      </c>
    </row>
    <row r="2595" spans="1:6" ht="12.75">
      <c r="A2595" s="2">
        <v>43884.614247685182</v>
      </c>
      <c r="B2595" t="str">
        <f>HYPERLINK("https://twitter.com/peleTANPA_r","@peleTANPA_r")</f>
        <v>@peleTANPA_r</v>
      </c>
      <c r="C2595" t="s">
        <v>2091</v>
      </c>
      <c r="D2595">
        <v>215</v>
      </c>
      <c r="E2595">
        <v>0</v>
      </c>
      <c r="F2595">
        <v>2312</v>
      </c>
    </row>
    <row r="2596" spans="1:6" ht="12.75">
      <c r="A2596" s="2">
        <v>43884.613888888889</v>
      </c>
      <c r="B2596" t="str">
        <f>HYPERLINK("https://twitter.com/Hashifahizz","@Hashifahizz")</f>
        <v>@Hashifahizz</v>
      </c>
      <c r="C2596" t="s">
        <v>2766</v>
      </c>
      <c r="D2596">
        <v>127</v>
      </c>
      <c r="E2596">
        <v>0</v>
      </c>
      <c r="F2596">
        <v>594</v>
      </c>
    </row>
    <row r="2597" spans="1:6" ht="12.75">
      <c r="A2597" s="2">
        <v>43884.613715277781</v>
      </c>
      <c r="B2597" t="str">
        <f>HYPERLINK("https://twitter.com/khumfrunk","@khumfrunk")</f>
        <v>@khumfrunk</v>
      </c>
      <c r="C2597" t="s">
        <v>2091</v>
      </c>
      <c r="D2597">
        <v>215</v>
      </c>
      <c r="E2597">
        <v>0</v>
      </c>
      <c r="F2597">
        <v>449</v>
      </c>
    </row>
    <row r="2598" spans="1:6" ht="12.75">
      <c r="A2598" s="2">
        <v>43884.613645833335</v>
      </c>
      <c r="B2598" t="str">
        <f>HYPERLINK("https://twitter.com/jr_kw19","@jr_kw19")</f>
        <v>@jr_kw19</v>
      </c>
      <c r="C2598" t="s">
        <v>2093</v>
      </c>
      <c r="D2598">
        <v>11</v>
      </c>
      <c r="E2598">
        <v>0</v>
      </c>
      <c r="F2598">
        <v>40147</v>
      </c>
    </row>
    <row r="2599" spans="1:6" ht="12.75">
      <c r="A2599" s="2">
        <v>43884.613333333335</v>
      </c>
      <c r="B2599" t="str">
        <f>HYPERLINK("https://twitter.com/poledimple","@poledimple")</f>
        <v>@poledimple</v>
      </c>
      <c r="C2599" t="s">
        <v>2766</v>
      </c>
      <c r="D2599">
        <v>127</v>
      </c>
      <c r="E2599">
        <v>0</v>
      </c>
      <c r="F2599">
        <v>99</v>
      </c>
    </row>
    <row r="2600" spans="1:6" ht="12.75">
      <c r="A2600" s="2">
        <v>43884.613136574073</v>
      </c>
      <c r="B2600" t="str">
        <f>HYPERLINK("https://twitter.com/MahinFatavit","@MahinFatavit")</f>
        <v>@MahinFatavit</v>
      </c>
      <c r="C2600" t="s">
        <v>2091</v>
      </c>
      <c r="D2600">
        <v>215</v>
      </c>
      <c r="E2600">
        <v>0</v>
      </c>
      <c r="F2600">
        <v>5973</v>
      </c>
    </row>
    <row r="2601" spans="1:6" ht="12.75">
      <c r="A2601" s="2">
        <v>43884.612557870365</v>
      </c>
      <c r="B2601" t="str">
        <f>HYPERLINK("https://twitter.com/ryuhanggar","@ryuhanggar")</f>
        <v>@ryuhanggar</v>
      </c>
      <c r="C2601" t="s">
        <v>2091</v>
      </c>
      <c r="D2601">
        <v>215</v>
      </c>
      <c r="E2601">
        <v>0</v>
      </c>
      <c r="F2601">
        <v>26</v>
      </c>
    </row>
    <row r="2602" spans="1:6" ht="12.75">
      <c r="A2602" s="2">
        <v>43884.612210648149</v>
      </c>
      <c r="B2602" t="str">
        <f>HYPERLINK("https://twitter.com/77bayoe","@77bayoe")</f>
        <v>@77bayoe</v>
      </c>
      <c r="C2602" t="s">
        <v>2091</v>
      </c>
      <c r="D2602">
        <v>215</v>
      </c>
      <c r="E2602">
        <v>0</v>
      </c>
      <c r="F2602">
        <v>2184</v>
      </c>
    </row>
    <row r="2603" spans="1:6" ht="12.75">
      <c r="A2603" s="2">
        <v>43884.612187499995</v>
      </c>
      <c r="B2603" t="str">
        <f>HYPERLINK("https://twitter.com/wirowiro2013","@wirowiro2013")</f>
        <v>@wirowiro2013</v>
      </c>
      <c r="C2603" t="s">
        <v>2153</v>
      </c>
      <c r="D2603">
        <v>318</v>
      </c>
      <c r="E2603">
        <v>0</v>
      </c>
      <c r="F2603">
        <v>1964</v>
      </c>
    </row>
    <row r="2604" spans="1:6" ht="12.75">
      <c r="A2604" s="2">
        <v>43884.611956018518</v>
      </c>
      <c r="B2604" t="str">
        <f>HYPERLINK("https://twitter.com/Alrumy5","@Alrumy5")</f>
        <v>@Alrumy5</v>
      </c>
      <c r="C2604" t="s">
        <v>2091</v>
      </c>
      <c r="D2604">
        <v>215</v>
      </c>
      <c r="E2604">
        <v>0</v>
      </c>
      <c r="F2604">
        <v>181</v>
      </c>
    </row>
    <row r="2605" spans="1:6" ht="12.75">
      <c r="A2605" s="2">
        <v>43884.611712962964</v>
      </c>
      <c r="B2605" t="str">
        <f>HYPERLINK("https://twitter.com/veavayusx","@veavayusx")</f>
        <v>@veavayusx</v>
      </c>
      <c r="C2605" t="s">
        <v>513</v>
      </c>
      <c r="D2605">
        <v>23266</v>
      </c>
      <c r="E2605">
        <v>0</v>
      </c>
      <c r="F2605">
        <v>2218</v>
      </c>
    </row>
    <row r="2606" spans="1:6" ht="12.75">
      <c r="A2606" s="2">
        <v>43884.611666666664</v>
      </c>
      <c r="B2606" t="str">
        <f>HYPERLINK("https://twitter.com/Lugahonsolum","@Lugahonsolum")</f>
        <v>@Lugahonsolum</v>
      </c>
      <c r="C2606" t="s">
        <v>2091</v>
      </c>
      <c r="D2606">
        <v>215</v>
      </c>
      <c r="E2606">
        <v>0</v>
      </c>
      <c r="F2606">
        <v>1136</v>
      </c>
    </row>
    <row r="2607" spans="1:6" ht="12.75">
      <c r="A2607" s="2">
        <v>43884.611608796295</v>
      </c>
      <c r="B2607" t="str">
        <f>HYPERLINK("https://twitter.com/becak125cc","@becak125cc")</f>
        <v>@becak125cc</v>
      </c>
      <c r="C2607" t="s">
        <v>2093</v>
      </c>
      <c r="D2607">
        <v>11</v>
      </c>
      <c r="E2607">
        <v>0</v>
      </c>
      <c r="F2607">
        <v>521</v>
      </c>
    </row>
    <row r="2608" spans="1:6" ht="12.75">
      <c r="A2608" s="2">
        <v>43884.610902777778</v>
      </c>
      <c r="B2608" t="str">
        <f>HYPERLINK("https://twitter.com/NAbimanyu14","@NAbimanyu14")</f>
        <v>@NAbimanyu14</v>
      </c>
      <c r="C2608" t="s">
        <v>2093</v>
      </c>
      <c r="D2608">
        <v>11</v>
      </c>
      <c r="E2608">
        <v>0</v>
      </c>
      <c r="F2608">
        <v>635</v>
      </c>
    </row>
    <row r="2609" spans="1:6" ht="12.75">
      <c r="A2609" s="2">
        <v>43884.610902777778</v>
      </c>
      <c r="B2609" t="str">
        <f>HYPERLINK("https://twitter.com/RyanDarsudi","@RyanDarsudi")</f>
        <v>@RyanDarsudi</v>
      </c>
      <c r="C2609" t="s">
        <v>2855</v>
      </c>
      <c r="D2609">
        <v>0</v>
      </c>
      <c r="E2609">
        <v>0</v>
      </c>
      <c r="F2609">
        <v>354</v>
      </c>
    </row>
    <row r="2610" spans="1:6" ht="12.75">
      <c r="A2610" s="2">
        <v>43884.61010416667</v>
      </c>
      <c r="B2610" t="str">
        <f>HYPERLINK("https://twitter.com/otwbrow","@otwbrow")</f>
        <v>@otwbrow</v>
      </c>
      <c r="C2610" t="s">
        <v>2766</v>
      </c>
      <c r="D2610">
        <v>127</v>
      </c>
      <c r="E2610">
        <v>0</v>
      </c>
      <c r="F2610">
        <v>57</v>
      </c>
    </row>
    <row r="2611" spans="1:6" ht="12.75">
      <c r="A2611" s="2">
        <v>43884.61005787037</v>
      </c>
      <c r="B2611" t="str">
        <f>HYPERLINK("https://twitter.com/NAbimanyu14","@NAbimanyu14")</f>
        <v>@NAbimanyu14</v>
      </c>
      <c r="C2611" t="s">
        <v>2750</v>
      </c>
      <c r="D2611">
        <v>14</v>
      </c>
      <c r="E2611">
        <v>0</v>
      </c>
      <c r="F2611">
        <v>635</v>
      </c>
    </row>
    <row r="2612" spans="1:6" ht="12.75">
      <c r="A2612" s="2">
        <v>43884.609710648147</v>
      </c>
      <c r="B2612" t="str">
        <f>HYPERLINK("https://twitter.com/heeru310","@heeru310")</f>
        <v>@heeru310</v>
      </c>
      <c r="C2612" t="s">
        <v>2091</v>
      </c>
      <c r="D2612">
        <v>215</v>
      </c>
      <c r="E2612">
        <v>0</v>
      </c>
      <c r="F2612">
        <v>1690</v>
      </c>
    </row>
    <row r="2613" spans="1:6" ht="12.75">
      <c r="A2613" s="2">
        <v>43884.609560185185</v>
      </c>
      <c r="B2613" t="str">
        <f>HYPERLINK("https://twitter.com/Alfiansyahfahri","@Alfiansyahfahri")</f>
        <v>@Alfiansyahfahri</v>
      </c>
      <c r="C2613" t="s">
        <v>2856</v>
      </c>
      <c r="D2613">
        <v>0</v>
      </c>
      <c r="E2613">
        <v>0</v>
      </c>
      <c r="F2613">
        <v>1564</v>
      </c>
    </row>
    <row r="2614" spans="1:6" ht="12.75">
      <c r="A2614" s="2">
        <v>43884.609270833331</v>
      </c>
      <c r="B2614" t="str">
        <f>HYPERLINK("https://twitter.com/ang3lyogini","@ang3lyogini")</f>
        <v>@ang3lyogini</v>
      </c>
      <c r="C2614" t="s">
        <v>2766</v>
      </c>
      <c r="D2614">
        <v>127</v>
      </c>
      <c r="E2614">
        <v>0</v>
      </c>
      <c r="F2614">
        <v>96</v>
      </c>
    </row>
    <row r="2615" spans="1:6" ht="12.75">
      <c r="A2615" s="2">
        <v>43884.608912037038</v>
      </c>
      <c r="B2615" t="str">
        <f>HYPERLINK("https://twitter.com/Adampuri3","@Adampuri3")</f>
        <v>@Adampuri3</v>
      </c>
      <c r="C2615" t="s">
        <v>2857</v>
      </c>
      <c r="D2615">
        <v>0</v>
      </c>
      <c r="E2615">
        <v>1</v>
      </c>
      <c r="F2615">
        <v>56</v>
      </c>
    </row>
    <row r="2616" spans="1:6" ht="12.75">
      <c r="A2616" s="2">
        <v>43884.60837962963</v>
      </c>
      <c r="B2616" t="str">
        <f>HYPERLINK("https://twitter.com/sena71126","@sena71126")</f>
        <v>@sena71126</v>
      </c>
      <c r="C2616" t="s">
        <v>2153</v>
      </c>
      <c r="D2616">
        <v>318</v>
      </c>
      <c r="E2616">
        <v>0</v>
      </c>
      <c r="F2616">
        <v>583</v>
      </c>
    </row>
    <row r="2617" spans="1:6" ht="12.75">
      <c r="A2617" s="2">
        <v>43884.608148148152</v>
      </c>
      <c r="B2617" t="str">
        <f>HYPERLINK("https://twitter.com/BuReTe_2","@BuReTe_2")</f>
        <v>@BuReTe_2</v>
      </c>
      <c r="C2617" t="s">
        <v>2153</v>
      </c>
      <c r="D2617">
        <v>318</v>
      </c>
      <c r="E2617">
        <v>0</v>
      </c>
      <c r="F2617">
        <v>1086</v>
      </c>
    </row>
    <row r="2618" spans="1:6" ht="12.75">
      <c r="A2618" s="2">
        <v>43884.607939814814</v>
      </c>
      <c r="B2618" t="str">
        <f>HYPERLINK("https://twitter.com/Napen21","@Napen21")</f>
        <v>@Napen21</v>
      </c>
      <c r="C2618" t="s">
        <v>2766</v>
      </c>
      <c r="D2618">
        <v>127</v>
      </c>
      <c r="E2618">
        <v>0</v>
      </c>
      <c r="F2618">
        <v>2278</v>
      </c>
    </row>
    <row r="2619" spans="1:6" ht="12.75">
      <c r="A2619" s="2">
        <v>43884.607314814813</v>
      </c>
      <c r="B2619" t="str">
        <f>HYPERLINK("https://twitter.com/SATRIAN09792416","@SATRIAN09792416")</f>
        <v>@SATRIAN09792416</v>
      </c>
      <c r="C2619" t="s">
        <v>2858</v>
      </c>
      <c r="D2619">
        <v>0</v>
      </c>
      <c r="E2619">
        <v>2</v>
      </c>
      <c r="F2619">
        <v>1370</v>
      </c>
    </row>
    <row r="2620" spans="1:6" ht="12.75">
      <c r="A2620" s="2">
        <v>43884.607037037036</v>
      </c>
      <c r="B2620" t="str">
        <f>HYPERLINK("https://twitter.com/Joker39331614","@Joker39331614")</f>
        <v>@Joker39331614</v>
      </c>
      <c r="C2620" t="s">
        <v>2773</v>
      </c>
      <c r="D2620">
        <v>0</v>
      </c>
      <c r="E2620">
        <v>0</v>
      </c>
      <c r="F2620">
        <v>6</v>
      </c>
    </row>
    <row r="2621" spans="1:6" ht="12.75">
      <c r="A2621" s="2">
        <v>43884.607025462959</v>
      </c>
      <c r="B2621" t="str">
        <f>HYPERLINK("https://twitter.com/Sunarti25231614","@Sunarti25231614")</f>
        <v>@Sunarti25231614</v>
      </c>
      <c r="C2621" t="s">
        <v>2153</v>
      </c>
      <c r="D2621">
        <v>318</v>
      </c>
      <c r="E2621">
        <v>0</v>
      </c>
      <c r="F2621">
        <v>99</v>
      </c>
    </row>
    <row r="2622" spans="1:6" ht="12.75">
      <c r="A2622" s="2">
        <v>43884.606979166667</v>
      </c>
      <c r="B2622" t="str">
        <f>HYPERLINK("https://twitter.com/Leoherlambang12","@Leoherlambang12")</f>
        <v>@Leoherlambang12</v>
      </c>
      <c r="C2622" t="s">
        <v>2091</v>
      </c>
      <c r="D2622">
        <v>215</v>
      </c>
      <c r="E2622">
        <v>0</v>
      </c>
      <c r="F2622">
        <v>79</v>
      </c>
    </row>
    <row r="2623" spans="1:6" ht="12.75">
      <c r="A2623" s="2">
        <v>43884.606909722221</v>
      </c>
      <c r="B2623" t="str">
        <f>HYPERLINK("https://twitter.com/becak125cc","@becak125cc")</f>
        <v>@becak125cc</v>
      </c>
      <c r="C2623" t="s">
        <v>2091</v>
      </c>
      <c r="D2623">
        <v>215</v>
      </c>
      <c r="E2623">
        <v>0</v>
      </c>
      <c r="F2623">
        <v>521</v>
      </c>
    </row>
    <row r="2624" spans="1:6" ht="12.75">
      <c r="A2624" s="2">
        <v>43884.606886574074</v>
      </c>
      <c r="B2624" t="str">
        <f>HYPERLINK("https://twitter.com/fandy18058347","@fandy18058347")</f>
        <v>@fandy18058347</v>
      </c>
      <c r="C2624" t="s">
        <v>2091</v>
      </c>
      <c r="D2624">
        <v>215</v>
      </c>
      <c r="E2624">
        <v>0</v>
      </c>
      <c r="F2624">
        <v>217</v>
      </c>
    </row>
    <row r="2625" spans="1:6" ht="12.75">
      <c r="A2625" s="2">
        <v>43884.606423611112</v>
      </c>
      <c r="B2625" t="str">
        <f>HYPERLINK("https://twitter.com/nenirossanti","@nenirossanti")</f>
        <v>@nenirossanti</v>
      </c>
      <c r="C2625" t="s">
        <v>2091</v>
      </c>
      <c r="D2625">
        <v>215</v>
      </c>
      <c r="E2625">
        <v>0</v>
      </c>
      <c r="F2625">
        <v>65</v>
      </c>
    </row>
    <row r="2626" spans="1:6" ht="12.75">
      <c r="A2626" s="2">
        <v>43884.605937500004</v>
      </c>
      <c r="B2626" t="str">
        <f>HYPERLINK("https://twitter.com/BorneoWolf","@BorneoWolf")</f>
        <v>@BorneoWolf</v>
      </c>
      <c r="C2626" t="s">
        <v>2859</v>
      </c>
      <c r="D2626">
        <v>0</v>
      </c>
      <c r="E2626">
        <v>0</v>
      </c>
      <c r="F2626">
        <v>5</v>
      </c>
    </row>
    <row r="2627" spans="1:6" ht="12.75">
      <c r="A2627" s="2">
        <v>43884.605486111112</v>
      </c>
      <c r="B2627" t="str">
        <f>HYPERLINK("https://twitter.com/RezanHayon","@RezanHayon")</f>
        <v>@RezanHayon</v>
      </c>
      <c r="C2627" t="s">
        <v>2091</v>
      </c>
      <c r="D2627">
        <v>215</v>
      </c>
      <c r="E2627">
        <v>0</v>
      </c>
      <c r="F2627">
        <v>1152</v>
      </c>
    </row>
    <row r="2628" spans="1:6" ht="12.75">
      <c r="A2628" s="2">
        <v>43884.605451388888</v>
      </c>
      <c r="B2628" t="str">
        <f>HYPERLINK("https://twitter.com/Emyrdzakwan23","@Emyrdzakwan23")</f>
        <v>@Emyrdzakwan23</v>
      </c>
      <c r="C2628" t="s">
        <v>2766</v>
      </c>
      <c r="D2628">
        <v>127</v>
      </c>
      <c r="E2628">
        <v>0</v>
      </c>
      <c r="F2628">
        <v>14</v>
      </c>
    </row>
    <row r="2629" spans="1:6" ht="12.75">
      <c r="A2629" s="2">
        <v>43884.605312500003</v>
      </c>
      <c r="B2629" t="str">
        <f>HYPERLINK("https://twitter.com/haro_arnold","@haro_arnold")</f>
        <v>@haro_arnold</v>
      </c>
      <c r="C2629" t="s">
        <v>1490</v>
      </c>
      <c r="D2629">
        <v>3</v>
      </c>
      <c r="E2629">
        <v>0</v>
      </c>
      <c r="F2629">
        <v>4568</v>
      </c>
    </row>
    <row r="2630" spans="1:6" ht="12.75">
      <c r="A2630" s="2">
        <v>43884.60528935185</v>
      </c>
      <c r="B2630" t="str">
        <f>HYPERLINK("https://twitter.com/arjuno_ireng01","@arjuno_ireng01")</f>
        <v>@arjuno_ireng01</v>
      </c>
      <c r="C2630" t="s">
        <v>2091</v>
      </c>
      <c r="D2630">
        <v>215</v>
      </c>
      <c r="E2630">
        <v>0</v>
      </c>
      <c r="F2630">
        <v>10513</v>
      </c>
    </row>
    <row r="2631" spans="1:6" ht="12.75">
      <c r="A2631" s="2">
        <v>43884.605057870373</v>
      </c>
      <c r="B2631" t="str">
        <f>HYPERLINK("https://twitter.com/HenkMizell","@HenkMizell")</f>
        <v>@HenkMizell</v>
      </c>
      <c r="C2631" t="s">
        <v>2860</v>
      </c>
      <c r="D2631">
        <v>0</v>
      </c>
      <c r="E2631">
        <v>1</v>
      </c>
      <c r="F2631">
        <v>21</v>
      </c>
    </row>
    <row r="2632" spans="1:6" ht="12.75">
      <c r="A2632" s="2">
        <v>43884.604895833334</v>
      </c>
      <c r="B2632" t="str">
        <f>HYPERLINK("https://twitter.com/SgMarthin","@SgMarthin")</f>
        <v>@SgMarthin</v>
      </c>
      <c r="C2632" t="s">
        <v>2091</v>
      </c>
      <c r="D2632">
        <v>215</v>
      </c>
      <c r="E2632">
        <v>0</v>
      </c>
      <c r="F2632">
        <v>571</v>
      </c>
    </row>
    <row r="2633" spans="1:6" ht="12.75">
      <c r="A2633" s="2">
        <v>43884.604861111111</v>
      </c>
      <c r="B2633" t="str">
        <f>HYPERLINK("https://twitter.com/tvOneNews","@tvOneNews")</f>
        <v>@tvOneNews</v>
      </c>
      <c r="C2633" t="s">
        <v>2861</v>
      </c>
      <c r="D2633">
        <v>0</v>
      </c>
      <c r="E2633">
        <v>7</v>
      </c>
      <c r="F2633">
        <v>8719259</v>
      </c>
    </row>
    <row r="2634" spans="1:6" ht="12.75">
      <c r="A2634" s="2">
        <v>43884.604722222226</v>
      </c>
      <c r="B2634" t="str">
        <f>HYPERLINK("https://twitter.com/_sukimin","@_sukimin")</f>
        <v>@_sukimin</v>
      </c>
      <c r="C2634" t="s">
        <v>2702</v>
      </c>
      <c r="D2634">
        <v>358</v>
      </c>
      <c r="E2634">
        <v>0</v>
      </c>
      <c r="F2634">
        <v>242</v>
      </c>
    </row>
    <row r="2635" spans="1:6" ht="12.75">
      <c r="A2635" s="2">
        <v>43884.604687500003</v>
      </c>
      <c r="B2635" t="str">
        <f>HYPERLINK("https://twitter.com/Nezhea_Thann","@Nezhea_Thann")</f>
        <v>@Nezhea_Thann</v>
      </c>
      <c r="C2635" t="s">
        <v>2766</v>
      </c>
      <c r="D2635">
        <v>127</v>
      </c>
      <c r="E2635">
        <v>0</v>
      </c>
      <c r="F2635">
        <v>3568</v>
      </c>
    </row>
    <row r="2636" spans="1:6" ht="12.75">
      <c r="A2636" s="2">
        <v>43884.604664351849</v>
      </c>
      <c r="B2636" t="str">
        <f>HYPERLINK("https://twitter.com/Afzon_Dakka","@Afzon_Dakka")</f>
        <v>@Afzon_Dakka</v>
      </c>
      <c r="C2636" t="s">
        <v>2862</v>
      </c>
      <c r="D2636">
        <v>3</v>
      </c>
      <c r="E2636">
        <v>0</v>
      </c>
      <c r="F2636">
        <v>1395</v>
      </c>
    </row>
    <row r="2637" spans="1:6" ht="12.75">
      <c r="A2637" s="2">
        <v>43884.604583333334</v>
      </c>
      <c r="B2637" t="str">
        <f>HYPERLINK("https://twitter.com/BorneoWolf","@BorneoWolf")</f>
        <v>@BorneoWolf</v>
      </c>
      <c r="C2637" t="s">
        <v>2756</v>
      </c>
      <c r="D2637">
        <v>48</v>
      </c>
      <c r="E2637">
        <v>0</v>
      </c>
      <c r="F2637">
        <v>5</v>
      </c>
    </row>
    <row r="2638" spans="1:6" ht="12.75">
      <c r="A2638" s="2">
        <v>43884.604525462964</v>
      </c>
      <c r="B2638" t="str">
        <f>HYPERLINK("https://twitter.com/_enteLLehem","@_enteLLehem")</f>
        <v>@_enteLLehem</v>
      </c>
      <c r="C2638" t="s">
        <v>2863</v>
      </c>
      <c r="D2638">
        <v>1</v>
      </c>
      <c r="E2638">
        <v>0</v>
      </c>
      <c r="F2638">
        <v>1091</v>
      </c>
    </row>
    <row r="2639" spans="1:6" ht="12.75">
      <c r="A2639" s="2">
        <v>43884.604502314818</v>
      </c>
      <c r="B2639" t="str">
        <f>HYPERLINK("https://twitter.com/BaliHanafi","@BaliHanafi")</f>
        <v>@BaliHanafi</v>
      </c>
      <c r="C2639" t="s">
        <v>2864</v>
      </c>
      <c r="D2639">
        <v>336</v>
      </c>
      <c r="E2639">
        <v>0</v>
      </c>
      <c r="F2639">
        <v>402</v>
      </c>
    </row>
    <row r="2640" spans="1:6" ht="12.75">
      <c r="A2640" s="2">
        <v>43884.604409722218</v>
      </c>
      <c r="B2640" t="str">
        <f>HYPERLINK("https://twitter.com/RelawanNusanta1","@RelawanNusanta1")</f>
        <v>@RelawanNusanta1</v>
      </c>
      <c r="C2640" t="s">
        <v>2091</v>
      </c>
      <c r="D2640">
        <v>215</v>
      </c>
      <c r="E2640">
        <v>0</v>
      </c>
      <c r="F2640">
        <v>1260</v>
      </c>
    </row>
    <row r="2641" spans="1:6" ht="12.75">
      <c r="A2641" s="2">
        <v>43884.604270833333</v>
      </c>
      <c r="B2641" t="str">
        <f>HYPERLINK("https://twitter.com/HariMulyawan50","@HariMulyawan50")</f>
        <v>@HariMulyawan50</v>
      </c>
      <c r="C2641" t="s">
        <v>2091</v>
      </c>
      <c r="D2641">
        <v>215</v>
      </c>
      <c r="E2641">
        <v>0</v>
      </c>
      <c r="F2641">
        <v>59</v>
      </c>
    </row>
    <row r="2642" spans="1:6" ht="12.75">
      <c r="A2642" s="2">
        <v>43884.604178240741</v>
      </c>
      <c r="B2642" t="str">
        <f>HYPERLINK("https://twitter.com/yudi732002","@yudi732002")</f>
        <v>@yudi732002</v>
      </c>
      <c r="C2642" t="s">
        <v>2091</v>
      </c>
      <c r="D2642">
        <v>215</v>
      </c>
      <c r="E2642">
        <v>0</v>
      </c>
      <c r="F2642">
        <v>635</v>
      </c>
    </row>
    <row r="2643" spans="1:6" ht="12.75">
      <c r="A2643" s="2">
        <v>43884.604085648149</v>
      </c>
      <c r="B2643" t="str">
        <f>HYPERLINK("https://twitter.com/helmisalsaa","@helmisalsaa")</f>
        <v>@helmisalsaa</v>
      </c>
      <c r="C2643" t="s">
        <v>2865</v>
      </c>
      <c r="D2643">
        <v>0</v>
      </c>
      <c r="E2643">
        <v>0</v>
      </c>
      <c r="F2643">
        <v>779</v>
      </c>
    </row>
    <row r="2644" spans="1:6" ht="12.75">
      <c r="A2644" s="2">
        <v>43884.604050925926</v>
      </c>
      <c r="B2644" t="str">
        <f>HYPERLINK("https://twitter.com/widjajana","@widjajana")</f>
        <v>@widjajana</v>
      </c>
      <c r="C2644" t="s">
        <v>2268</v>
      </c>
      <c r="D2644">
        <v>11</v>
      </c>
      <c r="E2644">
        <v>0</v>
      </c>
      <c r="F2644">
        <v>52</v>
      </c>
    </row>
    <row r="2645" spans="1:6" ht="12.75">
      <c r="A2645" s="2">
        <v>43884.604050925926</v>
      </c>
      <c r="B2645" t="str">
        <f>HYPERLINK("https://twitter.com/oskadrun","@oskadrun")</f>
        <v>@oskadrun</v>
      </c>
      <c r="C2645" t="s">
        <v>2472</v>
      </c>
      <c r="D2645">
        <v>17</v>
      </c>
      <c r="E2645">
        <v>0</v>
      </c>
      <c r="F2645">
        <v>878</v>
      </c>
    </row>
    <row r="2646" spans="1:6" ht="12.75">
      <c r="A2646" s="2">
        <v>43884.604027777779</v>
      </c>
      <c r="B2646" t="str">
        <f>HYPERLINK("https://twitter.com/salendra18","@salendra18")</f>
        <v>@salendra18</v>
      </c>
      <c r="C2646" t="s">
        <v>2866</v>
      </c>
      <c r="D2646">
        <v>0</v>
      </c>
      <c r="E2646">
        <v>0</v>
      </c>
      <c r="F2646">
        <v>2464</v>
      </c>
    </row>
    <row r="2647" spans="1:6" ht="12.75">
      <c r="A2647" s="2">
        <v>43884.603946759264</v>
      </c>
      <c r="B2647" t="str">
        <f>HYPERLINK("https://twitter.com/TakanaJuo6","@TakanaJuo6")</f>
        <v>@TakanaJuo6</v>
      </c>
      <c r="C2647" t="s">
        <v>2867</v>
      </c>
      <c r="D2647">
        <v>1</v>
      </c>
      <c r="E2647">
        <v>1</v>
      </c>
      <c r="F2647">
        <v>10</v>
      </c>
    </row>
    <row r="2648" spans="1:6" ht="12.75">
      <c r="A2648" s="2">
        <v>43884.603715277779</v>
      </c>
      <c r="B2648" t="str">
        <f>HYPERLINK("https://twitter.com/antonsky33","@antonsky33")</f>
        <v>@antonsky33</v>
      </c>
      <c r="C2648" t="s">
        <v>2091</v>
      </c>
      <c r="D2648">
        <v>215</v>
      </c>
      <c r="E2648">
        <v>0</v>
      </c>
      <c r="F2648">
        <v>13</v>
      </c>
    </row>
    <row r="2649" spans="1:6" ht="12.75">
      <c r="A2649" s="2">
        <v>43884.603668981479</v>
      </c>
      <c r="B2649" t="str">
        <f>HYPERLINK("https://twitter.com/poncokarso","@poncokarso")</f>
        <v>@poncokarso</v>
      </c>
      <c r="C2649" t="s">
        <v>2093</v>
      </c>
      <c r="D2649">
        <v>11</v>
      </c>
      <c r="E2649">
        <v>0</v>
      </c>
      <c r="F2649">
        <v>1124</v>
      </c>
    </row>
    <row r="2650" spans="1:6" ht="12.75">
      <c r="A2650" s="2">
        <v>43884.603599537033</v>
      </c>
      <c r="B2650" t="str">
        <f>HYPERLINK("https://twitter.com/Nadarevan1","@Nadarevan1")</f>
        <v>@Nadarevan1</v>
      </c>
      <c r="C2650" t="s">
        <v>2091</v>
      </c>
      <c r="D2650">
        <v>215</v>
      </c>
      <c r="E2650">
        <v>0</v>
      </c>
      <c r="F2650">
        <v>71</v>
      </c>
    </row>
    <row r="2651" spans="1:6" ht="12.75">
      <c r="A2651" s="2">
        <v>43884.603495370371</v>
      </c>
      <c r="B2651" t="str">
        <f>HYPERLINK("https://twitter.com/dodi_ahmad07","@dodi_ahmad07")</f>
        <v>@dodi_ahmad07</v>
      </c>
      <c r="C2651" t="s">
        <v>2766</v>
      </c>
      <c r="D2651">
        <v>127</v>
      </c>
      <c r="E2651">
        <v>0</v>
      </c>
      <c r="F2651">
        <v>626</v>
      </c>
    </row>
    <row r="2652" spans="1:6" ht="12.75">
      <c r="A2652" s="2">
        <v>43884.602847222224</v>
      </c>
      <c r="B2652" t="str">
        <f>HYPERLINK("https://twitter.com/dwi_thile","@dwi_thile")</f>
        <v>@dwi_thile</v>
      </c>
      <c r="C2652" t="s">
        <v>2091</v>
      </c>
      <c r="D2652">
        <v>215</v>
      </c>
      <c r="E2652">
        <v>0</v>
      </c>
      <c r="F2652">
        <v>174</v>
      </c>
    </row>
    <row r="2653" spans="1:6" ht="12.75">
      <c r="A2653" s="2">
        <v>43884.602766203709</v>
      </c>
      <c r="B2653" t="str">
        <f>HYPERLINK("https://twitter.com/Tyaswidiastt","@Tyaswidiastt")</f>
        <v>@Tyaswidiastt</v>
      </c>
      <c r="C2653" t="s">
        <v>2091</v>
      </c>
      <c r="D2653">
        <v>215</v>
      </c>
      <c r="E2653">
        <v>0</v>
      </c>
      <c r="F2653">
        <v>562</v>
      </c>
    </row>
    <row r="2654" spans="1:6" ht="12.75">
      <c r="A2654" s="2">
        <v>43884.602754629625</v>
      </c>
      <c r="B2654" t="str">
        <f>HYPERLINK("https://twitter.com/SirSanndy","@SirSanndy")</f>
        <v>@SirSanndy</v>
      </c>
      <c r="C2654" t="s">
        <v>2868</v>
      </c>
      <c r="D2654">
        <v>1</v>
      </c>
      <c r="E2654">
        <v>0</v>
      </c>
      <c r="F2654">
        <v>601</v>
      </c>
    </row>
    <row r="2655" spans="1:6" ht="12.75">
      <c r="A2655" s="2">
        <v>43884.602731481486</v>
      </c>
      <c r="B2655" t="str">
        <f>HYPERLINK("https://twitter.com/PenjajahJ","@PenjajahJ")</f>
        <v>@PenjajahJ</v>
      </c>
      <c r="C2655" t="s">
        <v>2472</v>
      </c>
      <c r="D2655">
        <v>17</v>
      </c>
      <c r="E2655">
        <v>0</v>
      </c>
      <c r="F2655">
        <v>1547</v>
      </c>
    </row>
    <row r="2656" spans="1:6" ht="12.75">
      <c r="A2656" s="2">
        <v>43884.602384259255</v>
      </c>
      <c r="B2656" t="str">
        <f>HYPERLINK("https://twitter.com/quuqiilaa","@quuqiilaa")</f>
        <v>@quuqiilaa</v>
      </c>
      <c r="C2656" t="s">
        <v>2766</v>
      </c>
      <c r="D2656">
        <v>127</v>
      </c>
      <c r="E2656">
        <v>0</v>
      </c>
      <c r="F2656">
        <v>2914</v>
      </c>
    </row>
    <row r="2657" spans="1:6" ht="12.75">
      <c r="A2657" s="2">
        <v>43884.584907407407</v>
      </c>
      <c r="B2657" t="str">
        <f>HYPERLINK("https://twitter.com/HanyaRindu19","@HanyaRindu19")</f>
        <v>@HanyaRindu19</v>
      </c>
      <c r="C2657" t="s">
        <v>2091</v>
      </c>
      <c r="D2657">
        <v>151</v>
      </c>
      <c r="E2657">
        <v>0</v>
      </c>
      <c r="F2657">
        <v>63</v>
      </c>
    </row>
    <row r="2658" spans="1:6" ht="12.75">
      <c r="A2658" s="2">
        <v>43884.584826388891</v>
      </c>
      <c r="B2658" t="str">
        <f>HYPERLINK("https://twitter.com/BillTemporo","@BillTemporo")</f>
        <v>@BillTemporo</v>
      </c>
      <c r="C2658" t="s">
        <v>832</v>
      </c>
      <c r="D2658">
        <v>0</v>
      </c>
      <c r="E2658">
        <v>0</v>
      </c>
      <c r="F2658">
        <v>11</v>
      </c>
    </row>
    <row r="2659" spans="1:6" ht="12.75">
      <c r="A2659" s="2">
        <v>43884.584456018521</v>
      </c>
      <c r="B2659" t="str">
        <f>HYPERLINK("https://twitter.com/imanhidayat1280","@imanhidayat1280")</f>
        <v>@imanhidayat1280</v>
      </c>
      <c r="C2659" t="s">
        <v>2766</v>
      </c>
      <c r="D2659">
        <v>99</v>
      </c>
      <c r="E2659">
        <v>0</v>
      </c>
      <c r="F2659">
        <v>608</v>
      </c>
    </row>
    <row r="2660" spans="1:6" ht="12.75">
      <c r="A2660" s="2">
        <v>43884.584340277783</v>
      </c>
      <c r="B2660" t="str">
        <f>HYPERLINK("https://twitter.com/anandkarga","@anandkarga")</f>
        <v>@anandkarga</v>
      </c>
      <c r="C2660" t="s">
        <v>2869</v>
      </c>
      <c r="D2660">
        <v>0</v>
      </c>
      <c r="E2660">
        <v>0</v>
      </c>
      <c r="F2660">
        <v>459</v>
      </c>
    </row>
    <row r="2661" spans="1:6" ht="12.75">
      <c r="A2661" s="2">
        <v>43884.584201388891</v>
      </c>
      <c r="B2661" t="str">
        <f>HYPERLINK("https://twitter.com/MSjohirin","@MSjohirin")</f>
        <v>@MSjohirin</v>
      </c>
      <c r="C2661" t="s">
        <v>2870</v>
      </c>
      <c r="D2661">
        <v>0</v>
      </c>
      <c r="E2661">
        <v>0</v>
      </c>
      <c r="F2661">
        <v>4628</v>
      </c>
    </row>
    <row r="2662" spans="1:6" ht="12.75">
      <c r="A2662" s="2">
        <v>43884.583668981482</v>
      </c>
      <c r="B2662" t="str">
        <f>HYPERLINK("https://twitter.com/HilmyFarid3","@HilmyFarid3")</f>
        <v>@HilmyFarid3</v>
      </c>
      <c r="C2662" t="s">
        <v>2472</v>
      </c>
      <c r="D2662">
        <v>13</v>
      </c>
      <c r="E2662">
        <v>0</v>
      </c>
      <c r="F2662">
        <v>6</v>
      </c>
    </row>
    <row r="2663" spans="1:6" ht="12.75">
      <c r="A2663" s="2">
        <v>43884.583437499998</v>
      </c>
      <c r="B2663" t="str">
        <f>HYPERLINK("https://twitter.com/AdrianR3Y","@AdrianR3Y")</f>
        <v>@AdrianR3Y</v>
      </c>
      <c r="C2663" t="s">
        <v>2091</v>
      </c>
      <c r="D2663">
        <v>151</v>
      </c>
      <c r="E2663">
        <v>0</v>
      </c>
      <c r="F2663">
        <v>2180</v>
      </c>
    </row>
    <row r="2664" spans="1:6" ht="12.75">
      <c r="A2664" s="2">
        <v>43884.583425925928</v>
      </c>
      <c r="B2664" t="str">
        <f>HYPERLINK("https://twitter.com/Onta_buluk","@Onta_buluk")</f>
        <v>@Onta_buluk</v>
      </c>
      <c r="C2664" t="s">
        <v>2691</v>
      </c>
      <c r="D2664">
        <v>9</v>
      </c>
      <c r="E2664">
        <v>0</v>
      </c>
      <c r="F2664">
        <v>3601</v>
      </c>
    </row>
    <row r="2665" spans="1:6" ht="12.75">
      <c r="A2665" s="2">
        <v>43884.583252314813</v>
      </c>
      <c r="B2665" t="str">
        <f>HYPERLINK("https://twitter.com/ntrahman2013","@ntrahman2013")</f>
        <v>@ntrahman2013</v>
      </c>
      <c r="C2665" t="s">
        <v>2091</v>
      </c>
      <c r="D2665">
        <v>151</v>
      </c>
      <c r="E2665">
        <v>0</v>
      </c>
      <c r="F2665">
        <v>1792</v>
      </c>
    </row>
    <row r="2666" spans="1:6" ht="12.75">
      <c r="A2666" s="2">
        <v>43884.583078703705</v>
      </c>
      <c r="B2666" t="str">
        <f>HYPERLINK("https://twitter.com/HaiRangerPink","@HaiRangerPink")</f>
        <v>@HaiRangerPink</v>
      </c>
      <c r="C2666" t="s">
        <v>2091</v>
      </c>
      <c r="D2666">
        <v>151</v>
      </c>
      <c r="E2666">
        <v>0</v>
      </c>
      <c r="F2666">
        <v>107</v>
      </c>
    </row>
    <row r="2667" spans="1:6" ht="12.75">
      <c r="A2667" s="2">
        <v>43884.581678240742</v>
      </c>
      <c r="B2667" t="str">
        <f>HYPERLINK("https://twitter.com/aisya_goohan","@aisya_goohan")</f>
        <v>@aisya_goohan</v>
      </c>
      <c r="C2667" t="s">
        <v>2091</v>
      </c>
      <c r="D2667">
        <v>151</v>
      </c>
      <c r="E2667">
        <v>0</v>
      </c>
      <c r="F2667">
        <v>243</v>
      </c>
    </row>
    <row r="2668" spans="1:6" ht="12.75">
      <c r="A2668" s="2">
        <v>43884.581365740742</v>
      </c>
      <c r="B2668" t="str">
        <f>HYPERLINK("https://twitter.com/ambar7475","@ambar7475")</f>
        <v>@ambar7475</v>
      </c>
      <c r="C2668" t="s">
        <v>2091</v>
      </c>
      <c r="D2668">
        <v>151</v>
      </c>
      <c r="E2668">
        <v>0</v>
      </c>
      <c r="F2668">
        <v>2133</v>
      </c>
    </row>
    <row r="2669" spans="1:6" ht="12.75">
      <c r="A2669" s="2">
        <v>43884.581354166672</v>
      </c>
      <c r="B2669" t="str">
        <f>HYPERLINK("https://twitter.com/dhaniel07","@dhaniel07")</f>
        <v>@dhaniel07</v>
      </c>
      <c r="C2669" t="s">
        <v>2091</v>
      </c>
      <c r="D2669">
        <v>151</v>
      </c>
      <c r="E2669">
        <v>0</v>
      </c>
      <c r="F2669">
        <v>121</v>
      </c>
    </row>
    <row r="2670" spans="1:6" ht="12.75">
      <c r="A2670" s="2">
        <v>43884.581354166672</v>
      </c>
      <c r="B2670" t="str">
        <f>HYPERLINK("https://twitter.com/Bilunginocent","@Bilunginocent")</f>
        <v>@Bilunginocent</v>
      </c>
      <c r="C2670" t="s">
        <v>2871</v>
      </c>
      <c r="D2670">
        <v>0</v>
      </c>
      <c r="E2670">
        <v>1</v>
      </c>
      <c r="F2670">
        <v>314</v>
      </c>
    </row>
    <row r="2671" spans="1:6" ht="12.75">
      <c r="A2671" s="2">
        <v>43884.581319444449</v>
      </c>
      <c r="B2671" t="str">
        <f>HYPERLINK("https://twitter.com/ranggapoejangga","@ranggapoejangga")</f>
        <v>@ranggapoejangga</v>
      </c>
      <c r="C2671" t="s">
        <v>2091</v>
      </c>
      <c r="D2671">
        <v>151</v>
      </c>
      <c r="E2671">
        <v>0</v>
      </c>
      <c r="F2671">
        <v>281</v>
      </c>
    </row>
    <row r="2672" spans="1:6" ht="12.75">
      <c r="A2672" s="2">
        <v>43884.58121527778</v>
      </c>
      <c r="B2672" t="str">
        <f>HYPERLINK("https://twitter.com/aisyahnjm","@aisyahnjm")</f>
        <v>@aisyahnjm</v>
      </c>
      <c r="C2672" t="s">
        <v>1407</v>
      </c>
      <c r="D2672">
        <v>9744</v>
      </c>
      <c r="E2672">
        <v>0</v>
      </c>
      <c r="F2672">
        <v>14</v>
      </c>
    </row>
    <row r="2673" spans="1:6" ht="12.75">
      <c r="A2673" s="2">
        <v>43884.581180555557</v>
      </c>
      <c r="B2673" t="str">
        <f>HYPERLINK("https://twitter.com/KBRI_Bangkok","@KBRI_Bangkok")</f>
        <v>@KBRI_Bangkok</v>
      </c>
      <c r="C2673" t="s">
        <v>2872</v>
      </c>
      <c r="D2673">
        <v>0</v>
      </c>
      <c r="E2673">
        <v>0</v>
      </c>
      <c r="F2673">
        <v>3890</v>
      </c>
    </row>
    <row r="2674" spans="1:6" ht="12.75">
      <c r="A2674" s="2">
        <v>43884.58085648148</v>
      </c>
      <c r="B2674" t="str">
        <f>HYPERLINK("https://twitter.com/kitabaiktau","@kitabaiktau")</f>
        <v>@kitabaiktau</v>
      </c>
      <c r="C2674" t="s">
        <v>2766</v>
      </c>
      <c r="D2674">
        <v>99</v>
      </c>
      <c r="E2674">
        <v>0</v>
      </c>
      <c r="F2674">
        <v>24</v>
      </c>
    </row>
    <row r="2675" spans="1:6" ht="12.75">
      <c r="A2675" s="2">
        <v>43884.580520833333</v>
      </c>
      <c r="B2675" t="str">
        <f>HYPERLINK("https://twitter.com/almuslimun_imm","@almuslimun_imm")</f>
        <v>@almuslimun_imm</v>
      </c>
      <c r="C2675" t="s">
        <v>2134</v>
      </c>
      <c r="D2675">
        <v>994</v>
      </c>
      <c r="E2675">
        <v>0</v>
      </c>
      <c r="F2675">
        <v>1203</v>
      </c>
    </row>
    <row r="2676" spans="1:6" ht="12.75">
      <c r="A2676" s="2">
        <v>43884.58017361111</v>
      </c>
      <c r="B2676" t="str">
        <f>HYPERLINK("https://twitter.com/Novirana1","@Novirana1")</f>
        <v>@Novirana1</v>
      </c>
      <c r="C2676" t="s">
        <v>2824</v>
      </c>
      <c r="D2676">
        <v>7</v>
      </c>
      <c r="E2676">
        <v>0</v>
      </c>
      <c r="F2676">
        <v>534</v>
      </c>
    </row>
    <row r="2677" spans="1:6" ht="12.75">
      <c r="A2677" s="2">
        <v>43884.580104166671</v>
      </c>
      <c r="B2677" t="str">
        <f>HYPERLINK("https://twitter.com/zazaputih","@zazaputih")</f>
        <v>@zazaputih</v>
      </c>
      <c r="C2677" t="s">
        <v>2091</v>
      </c>
      <c r="D2677">
        <v>151</v>
      </c>
      <c r="E2677">
        <v>0</v>
      </c>
      <c r="F2677">
        <v>43</v>
      </c>
    </row>
    <row r="2678" spans="1:6" ht="12.75">
      <c r="A2678" s="2">
        <v>43884.579618055555</v>
      </c>
      <c r="B2678" t="str">
        <f>HYPERLINK("https://twitter.com/ade_r70","@ade_r70")</f>
        <v>@ade_r70</v>
      </c>
      <c r="C2678" t="s">
        <v>2873</v>
      </c>
      <c r="D2678">
        <v>1</v>
      </c>
      <c r="E2678">
        <v>0</v>
      </c>
      <c r="F2678">
        <v>558</v>
      </c>
    </row>
    <row r="2679" spans="1:6" ht="12.75">
      <c r="A2679" s="2">
        <v>43884.579583333332</v>
      </c>
      <c r="B2679" t="str">
        <f>HYPERLINK("https://twitter.com/Tha_mieee","@Tha_mieee")</f>
        <v>@Tha_mieee</v>
      </c>
      <c r="C2679" t="s">
        <v>2091</v>
      </c>
      <c r="D2679">
        <v>151</v>
      </c>
      <c r="E2679">
        <v>0</v>
      </c>
      <c r="F2679">
        <v>4529</v>
      </c>
    </row>
    <row r="2680" spans="1:6" ht="12.75">
      <c r="A2680" s="2">
        <v>43884.579571759255</v>
      </c>
      <c r="B2680" t="str">
        <f>HYPERLINK("https://twitter.com/salty24h","@salty24h")</f>
        <v>@salty24h</v>
      </c>
      <c r="C2680" t="s">
        <v>2874</v>
      </c>
      <c r="D2680">
        <v>0</v>
      </c>
      <c r="E2680">
        <v>0</v>
      </c>
      <c r="F2680">
        <v>6478</v>
      </c>
    </row>
    <row r="2681" spans="1:6" ht="12.75">
      <c r="A2681" s="2">
        <v>43884.579074074078</v>
      </c>
      <c r="B2681" t="str">
        <f>HYPERLINK("https://twitter.com/AisSyariif","@AisSyariif")</f>
        <v>@AisSyariif</v>
      </c>
      <c r="C2681" t="s">
        <v>2091</v>
      </c>
      <c r="D2681">
        <v>151</v>
      </c>
      <c r="E2681">
        <v>0</v>
      </c>
      <c r="F2681">
        <v>873</v>
      </c>
    </row>
    <row r="2682" spans="1:6" ht="12.75">
      <c r="A2682" s="2">
        <v>43884.578599537039</v>
      </c>
      <c r="B2682" t="str">
        <f>HYPERLINK("https://twitter.com/ArdiansyahIvan","@ArdiansyahIvan")</f>
        <v>@ArdiansyahIvan</v>
      </c>
      <c r="C2682" t="s">
        <v>2091</v>
      </c>
      <c r="D2682">
        <v>151</v>
      </c>
      <c r="E2682">
        <v>0</v>
      </c>
      <c r="F2682">
        <v>1222</v>
      </c>
    </row>
    <row r="2683" spans="1:6" ht="12.75">
      <c r="A2683" s="2">
        <v>43884.578506944439</v>
      </c>
      <c r="B2683" t="str">
        <f>HYPERLINK("https://twitter.com/avianto08","@avianto08")</f>
        <v>@avianto08</v>
      </c>
      <c r="C2683" t="s">
        <v>2756</v>
      </c>
      <c r="D2683">
        <v>45</v>
      </c>
      <c r="E2683">
        <v>0</v>
      </c>
      <c r="F2683">
        <v>214</v>
      </c>
    </row>
    <row r="2684" spans="1:6" ht="12.75">
      <c r="A2684" s="2">
        <v>43884.577905092592</v>
      </c>
      <c r="B2684" t="str">
        <f>HYPERLINK("https://twitter.com/AnakKolong___","@AnakKolong___")</f>
        <v>@AnakKolong___</v>
      </c>
      <c r="C2684" t="s">
        <v>2862</v>
      </c>
      <c r="D2684">
        <v>2</v>
      </c>
      <c r="E2684">
        <v>0</v>
      </c>
      <c r="F2684">
        <v>6647</v>
      </c>
    </row>
    <row r="2685" spans="1:6" ht="12.75">
      <c r="A2685" s="2">
        <v>43884.5777662037</v>
      </c>
      <c r="B2685" t="str">
        <f>HYPERLINK("https://twitter.com/Mukhammad_Alim","@Mukhammad_Alim")</f>
        <v>@Mukhammad_Alim</v>
      </c>
      <c r="C2685" t="s">
        <v>2875</v>
      </c>
      <c r="D2685">
        <v>0</v>
      </c>
      <c r="E2685">
        <v>0</v>
      </c>
      <c r="F2685">
        <v>296</v>
      </c>
    </row>
    <row r="2686" spans="1:6" ht="12.75">
      <c r="A2686" s="2">
        <v>43884.57775462963</v>
      </c>
      <c r="B2686" t="str">
        <f>HYPERLINK("https://twitter.com/ekopriyobondowo","@ekopriyobondowo")</f>
        <v>@ekopriyobondowo</v>
      </c>
      <c r="C2686" t="s">
        <v>2472</v>
      </c>
      <c r="D2686">
        <v>13</v>
      </c>
      <c r="E2686">
        <v>0</v>
      </c>
      <c r="F2686">
        <v>30</v>
      </c>
    </row>
    <row r="2687" spans="1:6" ht="12.75">
      <c r="A2687" s="2">
        <v>43884.577430555553</v>
      </c>
      <c r="B2687" t="str">
        <f>HYPERLINK("https://twitter.com/7endralKad_run","@7endralKad_run")</f>
        <v>@7endralKad_run</v>
      </c>
      <c r="C2687" t="s">
        <v>2691</v>
      </c>
      <c r="D2687">
        <v>9</v>
      </c>
      <c r="E2687">
        <v>0</v>
      </c>
      <c r="F2687">
        <v>585</v>
      </c>
    </row>
    <row r="2688" spans="1:6" ht="12.75">
      <c r="A2688" s="2">
        <v>43884.577372685184</v>
      </c>
      <c r="B2688" t="str">
        <f>HYPERLINK("https://twitter.com/Tarachanaxel","@Tarachanaxel")</f>
        <v>@Tarachanaxel</v>
      </c>
      <c r="C2688" t="s">
        <v>2091</v>
      </c>
      <c r="D2688">
        <v>151</v>
      </c>
      <c r="E2688">
        <v>0</v>
      </c>
      <c r="F2688">
        <v>1083</v>
      </c>
    </row>
    <row r="2689" spans="1:6" ht="12.75">
      <c r="A2689" s="2">
        <v>43884.577060185184</v>
      </c>
      <c r="B2689" t="str">
        <f>HYPERLINK("https://twitter.com/eywglike","@eywglike")</f>
        <v>@eywglike</v>
      </c>
      <c r="C2689" t="s">
        <v>2756</v>
      </c>
      <c r="D2689">
        <v>45</v>
      </c>
      <c r="E2689">
        <v>0</v>
      </c>
      <c r="F2689">
        <v>19</v>
      </c>
    </row>
    <row r="2690" spans="1:6" ht="12.75">
      <c r="A2690" s="2">
        <v>43884.576874999999</v>
      </c>
      <c r="B2690" t="str">
        <f>HYPERLINK("https://twitter.com/Ferry13602224","@Ferry13602224")</f>
        <v>@Ferry13602224</v>
      </c>
      <c r="C2690" t="s">
        <v>2766</v>
      </c>
      <c r="D2690">
        <v>99</v>
      </c>
      <c r="E2690">
        <v>0</v>
      </c>
      <c r="F2690">
        <v>410</v>
      </c>
    </row>
    <row r="2691" spans="1:6" ht="12.75">
      <c r="A2691" s="2">
        <v>43884.576851851853</v>
      </c>
      <c r="B2691" t="str">
        <f>HYPERLINK("https://twitter.com/avianto08","@avianto08")</f>
        <v>@avianto08</v>
      </c>
      <c r="C2691" t="s">
        <v>2766</v>
      </c>
      <c r="D2691">
        <v>99</v>
      </c>
      <c r="E2691">
        <v>0</v>
      </c>
      <c r="F2691">
        <v>214</v>
      </c>
    </row>
    <row r="2692" spans="1:6" ht="12.75">
      <c r="A2692" s="2">
        <v>43884.576782407406</v>
      </c>
      <c r="B2692" t="str">
        <f>HYPERLINK("https://twitter.com/samhudibae","@samhudibae")</f>
        <v>@samhudibae</v>
      </c>
      <c r="C2692" t="s">
        <v>2691</v>
      </c>
      <c r="D2692">
        <v>9</v>
      </c>
      <c r="E2692">
        <v>0</v>
      </c>
      <c r="F2692">
        <v>3536</v>
      </c>
    </row>
    <row r="2693" spans="1:6" ht="12.75">
      <c r="A2693" s="2">
        <v>43884.576747685191</v>
      </c>
      <c r="B2693" t="str">
        <f>HYPERLINK("https://twitter.com/AnakKolong___","@AnakKolong___")</f>
        <v>@AnakKolong___</v>
      </c>
      <c r="C2693" t="s">
        <v>2876</v>
      </c>
      <c r="D2693">
        <v>1</v>
      </c>
      <c r="E2693">
        <v>0</v>
      </c>
      <c r="F2693">
        <v>6647</v>
      </c>
    </row>
    <row r="2694" spans="1:6" ht="12.75">
      <c r="A2694" s="2">
        <v>43884.576562499999</v>
      </c>
      <c r="B2694" t="str">
        <f>HYPERLINK("https://twitter.com/samhudibae","@samhudibae")</f>
        <v>@samhudibae</v>
      </c>
      <c r="C2694" t="s">
        <v>2472</v>
      </c>
      <c r="D2694">
        <v>13</v>
      </c>
      <c r="E2694">
        <v>0</v>
      </c>
      <c r="F2694">
        <v>3536</v>
      </c>
    </row>
    <row r="2695" spans="1:6" ht="12.75">
      <c r="A2695" s="2">
        <v>43884.576168981483</v>
      </c>
      <c r="B2695" t="str">
        <f>HYPERLINK("https://twitter.com/Bilunginocent","@Bilunginocent")</f>
        <v>@Bilunginocent</v>
      </c>
      <c r="C2695" t="s">
        <v>2877</v>
      </c>
      <c r="D2695">
        <v>0</v>
      </c>
      <c r="E2695">
        <v>3</v>
      </c>
      <c r="F2695">
        <v>314</v>
      </c>
    </row>
    <row r="2696" spans="1:6" ht="12.75">
      <c r="A2696" s="2">
        <v>43884.57612268519</v>
      </c>
      <c r="B2696" t="str">
        <f>HYPERLINK("https://twitter.com/Irenecutemom","@Irenecutemom")</f>
        <v>@Irenecutemom</v>
      </c>
      <c r="C2696" t="s">
        <v>2091</v>
      </c>
      <c r="D2696">
        <v>151</v>
      </c>
      <c r="E2696">
        <v>0</v>
      </c>
      <c r="F2696">
        <v>14874</v>
      </c>
    </row>
    <row r="2697" spans="1:6" ht="12.75">
      <c r="A2697" s="2">
        <v>43884.575983796298</v>
      </c>
      <c r="B2697" t="str">
        <f>HYPERLINK("https://twitter.com/Bilunginocent","@Bilunginocent")</f>
        <v>@Bilunginocent</v>
      </c>
      <c r="C2697" t="s">
        <v>2878</v>
      </c>
      <c r="D2697">
        <v>0</v>
      </c>
      <c r="E2697">
        <v>2</v>
      </c>
      <c r="F2697">
        <v>314</v>
      </c>
    </row>
    <row r="2698" spans="1:6" ht="12.75">
      <c r="A2698" s="2">
        <v>43884.575381944444</v>
      </c>
      <c r="B2698" t="str">
        <f>HYPERLINK("https://twitter.com/Indones1a_ku","@Indones1a_ku")</f>
        <v>@Indones1a_ku</v>
      </c>
      <c r="C2698" t="s">
        <v>2879</v>
      </c>
      <c r="D2698">
        <v>0</v>
      </c>
      <c r="E2698">
        <v>0</v>
      </c>
      <c r="F2698">
        <v>112</v>
      </c>
    </row>
    <row r="2699" spans="1:6" ht="12.75">
      <c r="A2699" s="2">
        <v>43884.575219907405</v>
      </c>
      <c r="B2699" t="str">
        <f>HYPERLINK("https://twitter.com/tjahtngina","@tjahtngina")</f>
        <v>@tjahtngina</v>
      </c>
      <c r="C2699" t="s">
        <v>2093</v>
      </c>
      <c r="D2699">
        <v>5</v>
      </c>
      <c r="E2699">
        <v>0</v>
      </c>
      <c r="F2699">
        <v>368</v>
      </c>
    </row>
    <row r="2700" spans="1:6" ht="12.75">
      <c r="A2700" s="2">
        <v>43884.575162037036</v>
      </c>
      <c r="B2700" t="str">
        <f>HYPERLINK("https://twitter.com/Corona47575261","@Corona47575261")</f>
        <v>@Corona47575261</v>
      </c>
      <c r="C2700" t="s">
        <v>2093</v>
      </c>
      <c r="D2700">
        <v>5</v>
      </c>
      <c r="E2700">
        <v>0</v>
      </c>
      <c r="F2700">
        <v>192</v>
      </c>
    </row>
    <row r="2701" spans="1:6" ht="12.75">
      <c r="A2701" s="2">
        <v>43884.575092592597</v>
      </c>
      <c r="B2701" t="str">
        <f>HYPERLINK("https://twitter.com/sandy_liem","@sandy_liem")</f>
        <v>@sandy_liem</v>
      </c>
      <c r="C2701" t="s">
        <v>2091</v>
      </c>
      <c r="D2701">
        <v>151</v>
      </c>
      <c r="E2701">
        <v>0</v>
      </c>
      <c r="F2701">
        <v>3092</v>
      </c>
    </row>
    <row r="2702" spans="1:6" ht="12.75">
      <c r="A2702" s="2">
        <v>43884.57508101852</v>
      </c>
      <c r="B2702" t="str">
        <f>HYPERLINK("https://twitter.com/Fariyantogmail1","@Fariyantogmail1")</f>
        <v>@Fariyantogmail1</v>
      </c>
      <c r="C2702" t="s">
        <v>2153</v>
      </c>
      <c r="D2702">
        <v>307</v>
      </c>
      <c r="E2702">
        <v>0</v>
      </c>
      <c r="F2702">
        <v>653</v>
      </c>
    </row>
    <row r="2703" spans="1:6" ht="12.75">
      <c r="A2703" s="2">
        <v>43884.574884259258</v>
      </c>
      <c r="B2703" t="str">
        <f>HYPERLINK("https://twitter.com/samhudibae","@samhudibae")</f>
        <v>@samhudibae</v>
      </c>
      <c r="C2703" t="s">
        <v>2750</v>
      </c>
      <c r="D2703">
        <v>9</v>
      </c>
      <c r="E2703">
        <v>0</v>
      </c>
      <c r="F2703">
        <v>3536</v>
      </c>
    </row>
    <row r="2704" spans="1:6" ht="12.75">
      <c r="A2704" s="2">
        <v>43884.574826388889</v>
      </c>
      <c r="B2704" t="str">
        <f>HYPERLINK("https://twitter.com/Astrypratiwi8","@Astrypratiwi8")</f>
        <v>@Astrypratiwi8</v>
      </c>
      <c r="C2704" t="s">
        <v>2756</v>
      </c>
      <c r="D2704">
        <v>45</v>
      </c>
      <c r="E2704">
        <v>0</v>
      </c>
      <c r="F2704">
        <v>2</v>
      </c>
    </row>
    <row r="2705" spans="1:6" ht="12.75">
      <c r="A2705" s="2">
        <v>43884.57440972222</v>
      </c>
      <c r="B2705" t="str">
        <f>HYPERLINK("https://twitter.com/eywglike","@eywglike")</f>
        <v>@eywglike</v>
      </c>
      <c r="C2705" t="s">
        <v>2091</v>
      </c>
      <c r="D2705">
        <v>151</v>
      </c>
      <c r="E2705">
        <v>0</v>
      </c>
      <c r="F2705">
        <v>19</v>
      </c>
    </row>
    <row r="2706" spans="1:6" ht="12.75">
      <c r="A2706" s="2">
        <v>43884.574374999997</v>
      </c>
      <c r="B2706" t="str">
        <f>HYPERLINK("https://twitter.com/Ulama_Sangean","@Ulama_Sangean")</f>
        <v>@Ulama_Sangean</v>
      </c>
      <c r="C2706" t="s">
        <v>2880</v>
      </c>
      <c r="D2706">
        <v>31</v>
      </c>
      <c r="E2706">
        <v>0</v>
      </c>
      <c r="F2706">
        <v>732</v>
      </c>
    </row>
    <row r="2707" spans="1:6" ht="12.75">
      <c r="A2707" s="2">
        <v>43884.574363425927</v>
      </c>
      <c r="B2707" t="str">
        <f>HYPERLINK("https://twitter.com/Remansky","@Remansky")</f>
        <v>@Remansky</v>
      </c>
      <c r="C2707" t="s">
        <v>2091</v>
      </c>
      <c r="D2707">
        <v>151</v>
      </c>
      <c r="E2707">
        <v>0</v>
      </c>
      <c r="F2707">
        <v>167</v>
      </c>
    </row>
    <row r="2708" spans="1:6" ht="12.75">
      <c r="A2708" s="2">
        <v>43884.574247685188</v>
      </c>
      <c r="B2708" t="str">
        <f>HYPERLINK("https://twitter.com/Onta_buluk","@Onta_buluk")</f>
        <v>@Onta_buluk</v>
      </c>
      <c r="C2708" t="s">
        <v>2091</v>
      </c>
      <c r="D2708">
        <v>151</v>
      </c>
      <c r="E2708">
        <v>0</v>
      </c>
      <c r="F2708">
        <v>3601</v>
      </c>
    </row>
    <row r="2709" spans="1:6" ht="12.75">
      <c r="A2709" s="2">
        <v>43884.574236111112</v>
      </c>
      <c r="B2709" t="str">
        <f>HYPERLINK("https://twitter.com/KadrunHunter99","@KadrunHunter99")</f>
        <v>@KadrunHunter99</v>
      </c>
      <c r="C2709" t="s">
        <v>2093</v>
      </c>
      <c r="D2709">
        <v>5</v>
      </c>
      <c r="E2709">
        <v>0</v>
      </c>
      <c r="F2709">
        <v>4053</v>
      </c>
    </row>
    <row r="2710" spans="1:6" ht="12.75">
      <c r="A2710" s="2">
        <v>43884.572615740741</v>
      </c>
      <c r="B2710" t="str">
        <f>HYPERLINK("https://twitter.com/TokUrang","@TokUrang")</f>
        <v>@TokUrang</v>
      </c>
      <c r="C2710" t="s">
        <v>2766</v>
      </c>
      <c r="D2710">
        <v>99</v>
      </c>
      <c r="E2710">
        <v>0</v>
      </c>
      <c r="F2710">
        <v>1148</v>
      </c>
    </row>
    <row r="2711" spans="1:6" ht="12.75">
      <c r="A2711" s="2">
        <v>43884.572581018518</v>
      </c>
      <c r="B2711" t="str">
        <f>HYPERLINK("https://twitter.com/DodolNabi","@DodolNabi")</f>
        <v>@DodolNabi</v>
      </c>
      <c r="C2711" t="s">
        <v>2091</v>
      </c>
      <c r="D2711">
        <v>151</v>
      </c>
      <c r="E2711">
        <v>0</v>
      </c>
      <c r="F2711">
        <v>337</v>
      </c>
    </row>
    <row r="2712" spans="1:6" ht="12.75">
      <c r="A2712" s="2">
        <v>43884.572349537033</v>
      </c>
      <c r="B2712" t="str">
        <f>HYPERLINK("https://twitter.com/MbaViia","@MbaViia")</f>
        <v>@MbaViia</v>
      </c>
      <c r="C2712" t="s">
        <v>2472</v>
      </c>
      <c r="D2712">
        <v>13</v>
      </c>
      <c r="E2712">
        <v>0</v>
      </c>
      <c r="F2712">
        <v>157</v>
      </c>
    </row>
    <row r="2713" spans="1:6" ht="12.75">
      <c r="A2713" s="2">
        <v>43884.572268518517</v>
      </c>
      <c r="B2713" t="str">
        <f>HYPERLINK("https://twitter.com/margaretaputr13","@margaretaputr13")</f>
        <v>@margaretaputr13</v>
      </c>
      <c r="C2713" t="s">
        <v>2881</v>
      </c>
      <c r="D2713">
        <v>12</v>
      </c>
      <c r="E2713">
        <v>0</v>
      </c>
      <c r="F2713">
        <v>380</v>
      </c>
    </row>
    <row r="2714" spans="1:6" ht="12.75">
      <c r="A2714" s="2">
        <v>43884.572094907402</v>
      </c>
      <c r="B2714" t="str">
        <f>HYPERLINK("https://twitter.com/MbaViia","@MbaViia")</f>
        <v>@MbaViia</v>
      </c>
      <c r="C2714" t="s">
        <v>2766</v>
      </c>
      <c r="D2714">
        <v>99</v>
      </c>
      <c r="E2714">
        <v>0</v>
      </c>
      <c r="F2714">
        <v>157</v>
      </c>
    </row>
    <row r="2715" spans="1:6" ht="12.75">
      <c r="A2715" s="2">
        <v>43884.571956018517</v>
      </c>
      <c r="B2715" t="str">
        <f>HYPERLINK("https://twitter.com/nareswari_ray","@nareswari_ray")</f>
        <v>@nareswari_ray</v>
      </c>
      <c r="C2715" t="s">
        <v>2091</v>
      </c>
      <c r="D2715">
        <v>151</v>
      </c>
      <c r="E2715">
        <v>0</v>
      </c>
      <c r="F2715">
        <v>24</v>
      </c>
    </row>
    <row r="2716" spans="1:6" ht="12.75">
      <c r="A2716" s="2">
        <v>43884.571782407409</v>
      </c>
      <c r="B2716" t="str">
        <f>HYPERLINK("https://twitter.com/BorayFrans","@BorayFrans")</f>
        <v>@BorayFrans</v>
      </c>
      <c r="C2716" t="s">
        <v>2881</v>
      </c>
      <c r="D2716">
        <v>12</v>
      </c>
      <c r="E2716">
        <v>0</v>
      </c>
      <c r="F2716">
        <v>173</v>
      </c>
    </row>
    <row r="2717" spans="1:6" ht="12.75">
      <c r="A2717" s="2">
        <v>43884.571770833332</v>
      </c>
      <c r="B2717" t="str">
        <f>HYPERLINK("https://twitter.com/wzek3","@wzek3")</f>
        <v>@wzek3</v>
      </c>
      <c r="C2717" t="s">
        <v>2882</v>
      </c>
      <c r="D2717">
        <v>0</v>
      </c>
      <c r="E2717">
        <v>0</v>
      </c>
      <c r="F2717">
        <v>2</v>
      </c>
    </row>
    <row r="2718" spans="1:6" ht="12.75">
      <c r="A2718" s="2">
        <v>43884.571539351848</v>
      </c>
      <c r="B2718" t="str">
        <f>HYPERLINK("https://twitter.com/DoanxYadi","@DoanxYadi")</f>
        <v>@DoanxYadi</v>
      </c>
      <c r="C2718" t="s">
        <v>2091</v>
      </c>
      <c r="D2718">
        <v>151</v>
      </c>
      <c r="E2718">
        <v>0</v>
      </c>
      <c r="F2718">
        <v>104</v>
      </c>
    </row>
    <row r="2719" spans="1:6" ht="12.75">
      <c r="A2719" s="2">
        <v>43884.571423611109</v>
      </c>
      <c r="B2719" t="str">
        <f>HYPERLINK("https://twitter.com/lord_sbt","@lord_sbt")</f>
        <v>@lord_sbt</v>
      </c>
      <c r="C2719" t="s">
        <v>2091</v>
      </c>
      <c r="D2719">
        <v>151</v>
      </c>
      <c r="E2719">
        <v>0</v>
      </c>
      <c r="F2719">
        <v>710</v>
      </c>
    </row>
    <row r="2720" spans="1:6" ht="12.75">
      <c r="A2720" s="2">
        <v>43884.571006944447</v>
      </c>
      <c r="B2720" t="str">
        <f>HYPERLINK("https://twitter.com/jheavenhome","@jheavenhome")</f>
        <v>@jheavenhome</v>
      </c>
      <c r="C2720" t="s">
        <v>2880</v>
      </c>
      <c r="D2720">
        <v>31</v>
      </c>
      <c r="E2720">
        <v>0</v>
      </c>
      <c r="F2720">
        <v>2613</v>
      </c>
    </row>
    <row r="2721" spans="1:6" ht="12.75">
      <c r="A2721" s="2">
        <v>43884.57099537037</v>
      </c>
      <c r="B2721" t="str">
        <f>HYPERLINK("https://twitter.com/RiWabatik","@RiWabatik")</f>
        <v>@RiWabatik</v>
      </c>
      <c r="C2721" t="s">
        <v>2091</v>
      </c>
      <c r="D2721">
        <v>151</v>
      </c>
      <c r="E2721">
        <v>0</v>
      </c>
      <c r="F2721">
        <v>1388</v>
      </c>
    </row>
    <row r="2722" spans="1:6" ht="12.75">
      <c r="A2722" s="2">
        <v>43884.570717592593</v>
      </c>
      <c r="B2722" t="str">
        <f>HYPERLINK("https://twitter.com/bpriady","@bpriady")</f>
        <v>@bpriady</v>
      </c>
      <c r="C2722" t="s">
        <v>2542</v>
      </c>
      <c r="D2722">
        <v>1</v>
      </c>
      <c r="E2722">
        <v>0</v>
      </c>
      <c r="F2722">
        <v>599</v>
      </c>
    </row>
    <row r="2723" spans="1:6" ht="12.75">
      <c r="A2723" s="2">
        <v>43884.570208333331</v>
      </c>
      <c r="B2723" t="str">
        <f>HYPERLINK("https://twitter.com/aliandotcomm","@aliandotcomm")</f>
        <v>@aliandotcomm</v>
      </c>
      <c r="C2723" t="s">
        <v>2153</v>
      </c>
      <c r="D2723">
        <v>307</v>
      </c>
      <c r="E2723">
        <v>0</v>
      </c>
      <c r="F2723">
        <v>418</v>
      </c>
    </row>
    <row r="2724" spans="1:6" ht="12.75">
      <c r="A2724" s="2">
        <v>43884.570185185185</v>
      </c>
      <c r="B2724" t="str">
        <f>HYPERLINK("https://twitter.com/sigitkng","@sigitkng")</f>
        <v>@sigitkng</v>
      </c>
      <c r="C2724" t="s">
        <v>2091</v>
      </c>
      <c r="D2724">
        <v>151</v>
      </c>
      <c r="E2724">
        <v>0</v>
      </c>
      <c r="F2724">
        <v>9</v>
      </c>
    </row>
    <row r="2725" spans="1:6" ht="12.75">
      <c r="A2725" s="2">
        <v>43884.570104166662</v>
      </c>
      <c r="B2725" t="str">
        <f>HYPERLINK("https://twitter.com/Fifirisma1","@Fifirisma1")</f>
        <v>@Fifirisma1</v>
      </c>
      <c r="C2725" t="s">
        <v>2883</v>
      </c>
      <c r="D2725">
        <v>0</v>
      </c>
      <c r="E2725">
        <v>1</v>
      </c>
      <c r="F2725">
        <v>51</v>
      </c>
    </row>
    <row r="2726" spans="1:6" ht="12.75">
      <c r="A2726" s="2">
        <v>43884.569884259261</v>
      </c>
      <c r="B2726" t="str">
        <f>HYPERLINK("https://twitter.com/insomniasl33p","@insomniasl33p")</f>
        <v>@insomniasl33p</v>
      </c>
      <c r="C2726" t="s">
        <v>2766</v>
      </c>
      <c r="D2726">
        <v>99</v>
      </c>
      <c r="E2726">
        <v>0</v>
      </c>
      <c r="F2726">
        <v>80</v>
      </c>
    </row>
    <row r="2727" spans="1:6" ht="12.75">
      <c r="A2727" s="2">
        <v>43884.569756944446</v>
      </c>
      <c r="B2727" t="str">
        <f>HYPERLINK("https://twitter.com/PojokNU","@PojokNU")</f>
        <v>@PojokNU</v>
      </c>
      <c r="C2727" t="s">
        <v>2554</v>
      </c>
      <c r="D2727">
        <v>0</v>
      </c>
      <c r="E2727">
        <v>0</v>
      </c>
      <c r="F2727">
        <v>701</v>
      </c>
    </row>
    <row r="2728" spans="1:6" ht="12.75">
      <c r="A2728" s="2">
        <v>43884.569756944446</v>
      </c>
      <c r="B2728" t="str">
        <f>HYPERLINK("https://twitter.com/dwirama89009610","@dwirama89009610")</f>
        <v>@dwirama89009610</v>
      </c>
      <c r="C2728" t="s">
        <v>2091</v>
      </c>
      <c r="D2728">
        <v>151</v>
      </c>
      <c r="E2728">
        <v>0</v>
      </c>
      <c r="F2728">
        <v>203</v>
      </c>
    </row>
    <row r="2729" spans="1:6" ht="12.75">
      <c r="A2729" s="2">
        <v>43884.569745370369</v>
      </c>
      <c r="B2729" t="str">
        <f>HYPERLINK("https://twitter.com/PojokNU","@PojokNU")</f>
        <v>@PojokNU</v>
      </c>
      <c r="C2729" t="s">
        <v>2791</v>
      </c>
      <c r="D2729">
        <v>0</v>
      </c>
      <c r="E2729">
        <v>0</v>
      </c>
      <c r="F2729">
        <v>701</v>
      </c>
    </row>
    <row r="2730" spans="1:6" ht="12.75">
      <c r="A2730" s="2">
        <v>43884.569699074069</v>
      </c>
      <c r="B2730" t="str">
        <f>HYPERLINK("https://twitter.com/aqlugu","@aqlugu")</f>
        <v>@aqlugu</v>
      </c>
      <c r="C2730" t="s">
        <v>2766</v>
      </c>
      <c r="D2730">
        <v>99</v>
      </c>
      <c r="E2730">
        <v>0</v>
      </c>
      <c r="F2730">
        <v>21</v>
      </c>
    </row>
    <row r="2731" spans="1:6" ht="12.75">
      <c r="A2731" s="2">
        <v>43884.569444444445</v>
      </c>
      <c r="B2731" t="str">
        <f>HYPERLINK("https://twitter.com/samhudibae","@samhudibae")</f>
        <v>@samhudibae</v>
      </c>
      <c r="C2731" t="s">
        <v>2884</v>
      </c>
      <c r="D2731">
        <v>5</v>
      </c>
      <c r="E2731">
        <v>4</v>
      </c>
      <c r="F2731">
        <v>3536</v>
      </c>
    </row>
    <row r="2732" spans="1:6" ht="12.75">
      <c r="A2732" s="2">
        <v>43884.569050925929</v>
      </c>
      <c r="B2732" t="str">
        <f>HYPERLINK("https://twitter.com/syrahmaa288","@syrahmaa288")</f>
        <v>@syrahmaa288</v>
      </c>
      <c r="C2732" t="s">
        <v>2091</v>
      </c>
      <c r="D2732">
        <v>151</v>
      </c>
      <c r="E2732">
        <v>0</v>
      </c>
      <c r="F2732">
        <v>1427</v>
      </c>
    </row>
    <row r="2733" spans="1:6" ht="12.75">
      <c r="A2733" s="2">
        <v>43884.569027777776</v>
      </c>
      <c r="B2733" t="str">
        <f>HYPERLINK("https://twitter.com/dwirama89009610","@dwirama89009610")</f>
        <v>@dwirama89009610</v>
      </c>
      <c r="C2733" t="s">
        <v>2881</v>
      </c>
      <c r="D2733">
        <v>12</v>
      </c>
      <c r="E2733">
        <v>0</v>
      </c>
      <c r="F2733">
        <v>203</v>
      </c>
    </row>
    <row r="2734" spans="1:6" ht="12.75">
      <c r="A2734" s="2">
        <v>43884.568437499998</v>
      </c>
      <c r="B2734" t="str">
        <f>HYPERLINK("https://twitter.com/silaturahmi03","@silaturahmi03")</f>
        <v>@silaturahmi03</v>
      </c>
      <c r="C2734" t="s">
        <v>2153</v>
      </c>
      <c r="D2734">
        <v>307</v>
      </c>
      <c r="E2734">
        <v>0</v>
      </c>
      <c r="F2734">
        <v>174</v>
      </c>
    </row>
    <row r="2735" spans="1:6" ht="12.75">
      <c r="A2735" s="2">
        <v>43884.568356481483</v>
      </c>
      <c r="B2735" t="str">
        <f>HYPERLINK("https://twitter.com/blackpink828","@blackpink828")</f>
        <v>@blackpink828</v>
      </c>
      <c r="C2735" t="s">
        <v>2091</v>
      </c>
      <c r="D2735">
        <v>151</v>
      </c>
      <c r="E2735">
        <v>0</v>
      </c>
      <c r="F2735">
        <v>2834</v>
      </c>
    </row>
    <row r="2736" spans="1:6" ht="12.75">
      <c r="A2736" s="2">
        <v>43884.568275462967</v>
      </c>
      <c r="B2736" t="str">
        <f>HYPERLINK("https://twitter.com/AmstrongBiring","@AmstrongBiring")</f>
        <v>@AmstrongBiring</v>
      </c>
      <c r="C2736" t="s">
        <v>2091</v>
      </c>
      <c r="D2736">
        <v>151</v>
      </c>
      <c r="E2736">
        <v>0</v>
      </c>
      <c r="F2736">
        <v>1972</v>
      </c>
    </row>
    <row r="2737" spans="1:6" ht="12.75">
      <c r="A2737" s="2">
        <v>43884.567858796298</v>
      </c>
      <c r="B2737" t="str">
        <f>HYPERLINK("https://twitter.com/devimanda5","@devimanda5")</f>
        <v>@devimanda5</v>
      </c>
      <c r="C2737" t="s">
        <v>2881</v>
      </c>
      <c r="D2737">
        <v>12</v>
      </c>
      <c r="E2737">
        <v>0</v>
      </c>
      <c r="F2737">
        <v>158</v>
      </c>
    </row>
    <row r="2738" spans="1:6" ht="12.75">
      <c r="A2738" s="2">
        <v>43884.567673611113</v>
      </c>
      <c r="B2738" t="str">
        <f>HYPERLINK("https://twitter.com/SamiLtari","@SamiLtari")</f>
        <v>@SamiLtari</v>
      </c>
      <c r="C2738" t="s">
        <v>2091</v>
      </c>
      <c r="D2738">
        <v>151</v>
      </c>
      <c r="E2738">
        <v>0</v>
      </c>
      <c r="F2738">
        <v>2</v>
      </c>
    </row>
    <row r="2739" spans="1:6" ht="12.75">
      <c r="A2739" s="2">
        <v>43884.56759259259</v>
      </c>
      <c r="B2739" t="str">
        <f>HYPERLINK("https://twitter.com/AlHijaz46792964","@AlHijaz46792964")</f>
        <v>@AlHijaz46792964</v>
      </c>
      <c r="C2739" t="s">
        <v>2153</v>
      </c>
      <c r="D2739">
        <v>307</v>
      </c>
      <c r="E2739">
        <v>0</v>
      </c>
      <c r="F2739">
        <v>325</v>
      </c>
    </row>
    <row r="2740" spans="1:6" ht="12.75">
      <c r="A2740" s="2">
        <v>43884.567210648151</v>
      </c>
      <c r="B2740" t="str">
        <f>HYPERLINK("https://twitter.com/Ryanppradana1","@Ryanppradana1")</f>
        <v>@Ryanppradana1</v>
      </c>
      <c r="C2740" t="s">
        <v>2091</v>
      </c>
      <c r="D2740">
        <v>151</v>
      </c>
      <c r="E2740">
        <v>0</v>
      </c>
      <c r="F2740">
        <v>49</v>
      </c>
    </row>
    <row r="2741" spans="1:6" ht="12.75">
      <c r="A2741" s="2">
        <v>43884.566967592589</v>
      </c>
      <c r="B2741" t="str">
        <f>HYPERLINK("https://twitter.com/auliya_imn_sh","@auliya_imn_sh")</f>
        <v>@auliya_imn_sh</v>
      </c>
      <c r="C2741" t="s">
        <v>2885</v>
      </c>
      <c r="D2741">
        <v>0</v>
      </c>
      <c r="E2741">
        <v>0</v>
      </c>
      <c r="F2741">
        <v>74</v>
      </c>
    </row>
    <row r="2742" spans="1:6" ht="12.75">
      <c r="A2742" s="2">
        <v>43884.566875000004</v>
      </c>
      <c r="B2742" t="str">
        <f t="shared" ref="B2742:B2743" si="59">HYPERLINK("https://twitter.com/DjuniharTeguh","@DjuniharTeguh")</f>
        <v>@DjuniharTeguh</v>
      </c>
      <c r="C2742" t="s">
        <v>2766</v>
      </c>
      <c r="D2742">
        <v>99</v>
      </c>
      <c r="E2742">
        <v>0</v>
      </c>
      <c r="F2742">
        <v>35</v>
      </c>
    </row>
    <row r="2743" spans="1:6" ht="12.75">
      <c r="A2743" s="2">
        <v>43884.566828703704</v>
      </c>
      <c r="B2743" t="str">
        <f t="shared" si="59"/>
        <v>@DjuniharTeguh</v>
      </c>
      <c r="C2743" t="s">
        <v>2756</v>
      </c>
      <c r="D2743">
        <v>45</v>
      </c>
      <c r="E2743">
        <v>0</v>
      </c>
      <c r="F2743">
        <v>35</v>
      </c>
    </row>
    <row r="2744" spans="1:6" ht="12.75">
      <c r="A2744" s="2">
        <v>43884.566701388889</v>
      </c>
      <c r="B2744" t="str">
        <f>HYPERLINK("https://twitter.com/and1deR1s","@and1deR1s")</f>
        <v>@and1deR1s</v>
      </c>
      <c r="C2744" t="s">
        <v>2091</v>
      </c>
      <c r="D2744">
        <v>151</v>
      </c>
      <c r="E2744">
        <v>0</v>
      </c>
      <c r="F2744">
        <v>4516</v>
      </c>
    </row>
    <row r="2745" spans="1:6" ht="12.75">
      <c r="A2745" s="2">
        <v>43884.566342592589</v>
      </c>
      <c r="B2745" t="str">
        <f t="shared" ref="B2745:B2746" si="60">HYPERLINK("https://twitter.com/devimanda5","@devimanda5")</f>
        <v>@devimanda5</v>
      </c>
      <c r="C2745" t="s">
        <v>2091</v>
      </c>
      <c r="D2745">
        <v>151</v>
      </c>
      <c r="E2745">
        <v>0</v>
      </c>
      <c r="F2745">
        <v>158</v>
      </c>
    </row>
    <row r="2746" spans="1:6" ht="12.75">
      <c r="A2746" s="2">
        <v>43884.56631944445</v>
      </c>
      <c r="B2746" t="str">
        <f t="shared" si="60"/>
        <v>@devimanda5</v>
      </c>
      <c r="C2746" t="s">
        <v>2756</v>
      </c>
      <c r="D2746">
        <v>45</v>
      </c>
      <c r="E2746">
        <v>0</v>
      </c>
      <c r="F2746">
        <v>158</v>
      </c>
    </row>
    <row r="2747" spans="1:6" ht="12.75">
      <c r="A2747" s="2">
        <v>43884.566250000003</v>
      </c>
      <c r="B2747" t="str">
        <f>HYPERLINK("https://twitter.com/Lily_Raimun","@Lily_Raimun")</f>
        <v>@Lily_Raimun</v>
      </c>
      <c r="C2747" t="s">
        <v>2091</v>
      </c>
      <c r="D2747">
        <v>151</v>
      </c>
      <c r="E2747">
        <v>0</v>
      </c>
      <c r="F2747">
        <v>1142</v>
      </c>
    </row>
    <row r="2748" spans="1:6" ht="12.75">
      <c r="A2748" s="2">
        <v>43884.566203703704</v>
      </c>
      <c r="B2748" t="str">
        <f>HYPERLINK("https://twitter.com/tjahtngina","@tjahtngina")</f>
        <v>@tjahtngina</v>
      </c>
      <c r="C2748" t="s">
        <v>2091</v>
      </c>
      <c r="D2748">
        <v>151</v>
      </c>
      <c r="E2748">
        <v>0</v>
      </c>
      <c r="F2748">
        <v>368</v>
      </c>
    </row>
    <row r="2749" spans="1:6" ht="12.75">
      <c r="A2749" s="2">
        <v>43884.566192129627</v>
      </c>
      <c r="B2749" t="str">
        <f>HYPERLINK("https://twitter.com/devimanda5","@devimanda5")</f>
        <v>@devimanda5</v>
      </c>
      <c r="C2749" t="s">
        <v>2766</v>
      </c>
      <c r="D2749">
        <v>99</v>
      </c>
      <c r="E2749">
        <v>0</v>
      </c>
      <c r="F2749">
        <v>158</v>
      </c>
    </row>
    <row r="2750" spans="1:6" ht="12.75">
      <c r="A2750" s="2">
        <v>43884.565914351857</v>
      </c>
      <c r="B2750" t="str">
        <f>HYPERLINK("https://twitter.com/Umar_IbnuKhatab","@Umar_IbnuKhatab")</f>
        <v>@Umar_IbnuKhatab</v>
      </c>
      <c r="C2750" t="s">
        <v>2153</v>
      </c>
      <c r="D2750">
        <v>307</v>
      </c>
      <c r="E2750">
        <v>0</v>
      </c>
      <c r="F2750">
        <v>1228</v>
      </c>
    </row>
    <row r="2751" spans="1:6" ht="12.75">
      <c r="A2751" s="2">
        <v>43884.565844907411</v>
      </c>
      <c r="B2751" t="str">
        <f>HYPERLINK("https://twitter.com/J_Mustofa","@J_Mustofa")</f>
        <v>@J_Mustofa</v>
      </c>
      <c r="C2751" t="s">
        <v>2153</v>
      </c>
      <c r="D2751">
        <v>307</v>
      </c>
      <c r="E2751">
        <v>0</v>
      </c>
      <c r="F2751">
        <v>1550</v>
      </c>
    </row>
    <row r="2752" spans="1:6" ht="12.75">
      <c r="A2752" s="2">
        <v>43884.565740740742</v>
      </c>
      <c r="B2752" t="str">
        <f>HYPERLINK("https://twitter.com/Adella_sp","@Adella_sp")</f>
        <v>@Adella_sp</v>
      </c>
      <c r="C2752" t="s">
        <v>2091</v>
      </c>
      <c r="D2752">
        <v>151</v>
      </c>
      <c r="E2752">
        <v>0</v>
      </c>
      <c r="F2752">
        <v>211</v>
      </c>
    </row>
    <row r="2753" spans="1:6" ht="12.75">
      <c r="A2753" s="2">
        <v>43884.565138888887</v>
      </c>
      <c r="B2753" t="str">
        <f>HYPERLINK("https://twitter.com/waskitha1","@waskitha1")</f>
        <v>@waskitha1</v>
      </c>
      <c r="C2753" t="s">
        <v>2148</v>
      </c>
      <c r="D2753">
        <v>21</v>
      </c>
      <c r="E2753">
        <v>0</v>
      </c>
      <c r="F2753">
        <v>400</v>
      </c>
    </row>
    <row r="2754" spans="1:6" ht="12.75">
      <c r="A2754" s="2">
        <v>43884.565034722225</v>
      </c>
      <c r="B2754" t="str">
        <f>HYPERLINK("https://twitter.com/Priymail","@Priymail")</f>
        <v>@Priymail</v>
      </c>
      <c r="C2754" t="s">
        <v>2472</v>
      </c>
      <c r="D2754">
        <v>13</v>
      </c>
      <c r="E2754">
        <v>0</v>
      </c>
      <c r="F2754">
        <v>1437</v>
      </c>
    </row>
    <row r="2755" spans="1:6" ht="12.75">
      <c r="A2755" s="2">
        <v>43884.564560185187</v>
      </c>
      <c r="B2755" t="str">
        <f>HYPERLINK("https://twitter.com/Tabitha_3012","@Tabitha_3012")</f>
        <v>@Tabitha_3012</v>
      </c>
      <c r="C2755" t="s">
        <v>2091</v>
      </c>
      <c r="D2755">
        <v>151</v>
      </c>
      <c r="E2755">
        <v>0</v>
      </c>
      <c r="F2755">
        <v>1340</v>
      </c>
    </row>
    <row r="2756" spans="1:6" ht="12.75">
      <c r="A2756" s="2">
        <v>43884.564560185187</v>
      </c>
      <c r="B2756" t="str">
        <f>HYPERLINK("https://twitter.com/Anak_Kodokkkk","@Anak_Kodokkkk")</f>
        <v>@Anak_Kodokkkk</v>
      </c>
      <c r="C2756" t="s">
        <v>2091</v>
      </c>
      <c r="D2756">
        <v>151</v>
      </c>
      <c r="E2756">
        <v>0</v>
      </c>
      <c r="F2756">
        <v>24</v>
      </c>
    </row>
    <row r="2757" spans="1:6" ht="12.75">
      <c r="A2757" s="2">
        <v>43884.543252314819</v>
      </c>
      <c r="B2757" t="str">
        <f>HYPERLINK("https://twitter.com/visitortwt1","@visitortwt1")</f>
        <v>@visitortwt1</v>
      </c>
      <c r="C2757" t="s">
        <v>2091</v>
      </c>
      <c r="D2757">
        <v>63</v>
      </c>
      <c r="E2757">
        <v>0</v>
      </c>
      <c r="F2757">
        <v>361</v>
      </c>
    </row>
    <row r="2758" spans="1:6" ht="12.75">
      <c r="A2758" s="2">
        <v>43884.542916666665</v>
      </c>
      <c r="B2758" t="str">
        <f>HYPERLINK("https://twitter.com/khansajohn","@khansajohn")</f>
        <v>@khansajohn</v>
      </c>
      <c r="C2758" t="s">
        <v>2756</v>
      </c>
      <c r="D2758">
        <v>35</v>
      </c>
      <c r="E2758">
        <v>0</v>
      </c>
      <c r="F2758">
        <v>159</v>
      </c>
    </row>
    <row r="2759" spans="1:6" ht="12.75">
      <c r="A2759" s="2">
        <v>43884.542627314819</v>
      </c>
      <c r="B2759" t="str">
        <f>HYPERLINK("https://twitter.com/deddyhariadi","@deddyhariadi")</f>
        <v>@deddyhariadi</v>
      </c>
      <c r="C2759" t="s">
        <v>2091</v>
      </c>
      <c r="D2759">
        <v>63</v>
      </c>
      <c r="E2759">
        <v>0</v>
      </c>
      <c r="F2759">
        <v>376</v>
      </c>
    </row>
    <row r="2760" spans="1:6" ht="12.75">
      <c r="A2760" s="2">
        <v>43884.542442129634</v>
      </c>
      <c r="B2760" t="str">
        <f>HYPERLINK("https://twitter.com/sipret99","@sipret99")</f>
        <v>@sipret99</v>
      </c>
      <c r="C2760" t="s">
        <v>2153</v>
      </c>
      <c r="D2760">
        <v>294</v>
      </c>
      <c r="E2760">
        <v>0</v>
      </c>
      <c r="F2760">
        <v>83</v>
      </c>
    </row>
    <row r="2761" spans="1:6" ht="12.75">
      <c r="A2761" s="2">
        <v>43884.541562500002</v>
      </c>
      <c r="B2761" t="str">
        <f>HYPERLINK("https://twitter.com/psychosaligia","@psychosaligia")</f>
        <v>@psychosaligia</v>
      </c>
      <c r="C2761" t="s">
        <v>2091</v>
      </c>
      <c r="D2761">
        <v>63</v>
      </c>
      <c r="E2761">
        <v>0</v>
      </c>
      <c r="F2761">
        <v>74</v>
      </c>
    </row>
    <row r="2762" spans="1:6" ht="12.75">
      <c r="A2762" s="2">
        <v>43884.54106481481</v>
      </c>
      <c r="B2762" t="str">
        <f>HYPERLINK("https://twitter.com/Purwa_wicak","@Purwa_wicak")</f>
        <v>@Purwa_wicak</v>
      </c>
      <c r="C2762" t="s">
        <v>2091</v>
      </c>
      <c r="D2762">
        <v>63</v>
      </c>
      <c r="E2762">
        <v>0</v>
      </c>
      <c r="F2762">
        <v>374</v>
      </c>
    </row>
    <row r="2763" spans="1:6" ht="12.75">
      <c r="A2763" s="2">
        <v>43884.540995370371</v>
      </c>
      <c r="B2763" t="str">
        <f>HYPERLINK("https://twitter.com/Itorhs","@Itorhs")</f>
        <v>@Itorhs</v>
      </c>
      <c r="C2763" t="s">
        <v>2886</v>
      </c>
      <c r="D2763">
        <v>0</v>
      </c>
      <c r="E2763">
        <v>0</v>
      </c>
      <c r="F2763">
        <v>30</v>
      </c>
    </row>
    <row r="2764" spans="1:6" ht="12.75">
      <c r="A2764" s="2">
        <v>43884.540995370371</v>
      </c>
      <c r="B2764" t="str">
        <f>HYPERLINK("https://twitter.com/fitch_grafis","@fitch_grafis")</f>
        <v>@fitch_grafis</v>
      </c>
      <c r="C2764" t="s">
        <v>2744</v>
      </c>
      <c r="D2764">
        <v>20</v>
      </c>
      <c r="E2764">
        <v>0</v>
      </c>
      <c r="F2764">
        <v>307</v>
      </c>
    </row>
    <row r="2765" spans="1:6" ht="12.75">
      <c r="A2765" s="2">
        <v>43884.540613425925</v>
      </c>
      <c r="B2765" t="str">
        <f>HYPERLINK("https://twitter.com/PENELUSURAN_ILM","@PENELUSURAN_ILM")</f>
        <v>@PENELUSURAN_ILM</v>
      </c>
      <c r="C2765" t="s">
        <v>2767</v>
      </c>
      <c r="D2765">
        <v>3</v>
      </c>
      <c r="E2765">
        <v>0</v>
      </c>
      <c r="F2765">
        <v>901</v>
      </c>
    </row>
    <row r="2766" spans="1:6" ht="12.75">
      <c r="A2766" s="2">
        <v>43884.540509259255</v>
      </c>
      <c r="B2766" t="str">
        <f>HYPERLINK("https://twitter.com/RizmaWidiono","@RizmaWidiono")</f>
        <v>@RizmaWidiono</v>
      </c>
      <c r="C2766" t="s">
        <v>2472</v>
      </c>
      <c r="D2766">
        <v>2</v>
      </c>
      <c r="E2766">
        <v>0</v>
      </c>
      <c r="F2766">
        <v>63045</v>
      </c>
    </row>
    <row r="2767" spans="1:6" ht="12.75">
      <c r="A2767" s="2">
        <v>43884.540243055555</v>
      </c>
      <c r="B2767" t="str">
        <f>HYPERLINK("https://twitter.com/VaniaCiprut","@VaniaCiprut")</f>
        <v>@VaniaCiprut</v>
      </c>
      <c r="C2767" t="s">
        <v>2887</v>
      </c>
      <c r="D2767">
        <v>0</v>
      </c>
      <c r="E2767">
        <v>2</v>
      </c>
      <c r="F2767">
        <v>5061</v>
      </c>
    </row>
    <row r="2768" spans="1:6" ht="12.75">
      <c r="A2768" s="2">
        <v>43884.539849537032</v>
      </c>
      <c r="B2768" t="str">
        <f>HYPERLINK("https://twitter.com/Liestiawan23","@Liestiawan23")</f>
        <v>@Liestiawan23</v>
      </c>
      <c r="C2768" t="s">
        <v>2091</v>
      </c>
      <c r="D2768">
        <v>63</v>
      </c>
      <c r="E2768">
        <v>0</v>
      </c>
      <c r="F2768">
        <v>30</v>
      </c>
    </row>
    <row r="2769" spans="1:6" ht="12.75">
      <c r="A2769" s="2">
        <v>43884.539803240739</v>
      </c>
      <c r="B2769" t="str">
        <f>HYPERLINK("https://twitter.com/LeoWijaya8","@LeoWijaya8")</f>
        <v>@LeoWijaya8</v>
      </c>
      <c r="C2769" t="s">
        <v>2091</v>
      </c>
      <c r="D2769">
        <v>63</v>
      </c>
      <c r="E2769">
        <v>0</v>
      </c>
      <c r="F2769">
        <v>1986</v>
      </c>
    </row>
    <row r="2770" spans="1:6" ht="12.75">
      <c r="A2770" s="2">
        <v>43884.539803240739</v>
      </c>
      <c r="B2770" t="str">
        <f>HYPERLINK("https://twitter.com/_ibaadurrahmaan","@_ibaadurrahmaan")</f>
        <v>@_ibaadurrahmaan</v>
      </c>
      <c r="C2770" t="s">
        <v>2153</v>
      </c>
      <c r="D2770">
        <v>294</v>
      </c>
      <c r="E2770">
        <v>0</v>
      </c>
      <c r="F2770">
        <v>5077</v>
      </c>
    </row>
    <row r="2771" spans="1:6" ht="12.75">
      <c r="A2771" s="2">
        <v>43884.539490740739</v>
      </c>
      <c r="B2771" t="str">
        <f>HYPERLINK("https://twitter.com/roon3651","@roon3651")</f>
        <v>@roon3651</v>
      </c>
      <c r="C2771" t="s">
        <v>2153</v>
      </c>
      <c r="D2771">
        <v>294</v>
      </c>
      <c r="E2771">
        <v>0</v>
      </c>
      <c r="F2771">
        <v>391</v>
      </c>
    </row>
    <row r="2772" spans="1:6" ht="12.75">
      <c r="A2772" s="2">
        <v>43884.539282407408</v>
      </c>
      <c r="B2772" t="str">
        <f>HYPERLINK("https://twitter.com/Zudis5","@Zudis5")</f>
        <v>@Zudis5</v>
      </c>
      <c r="C2772" t="s">
        <v>2091</v>
      </c>
      <c r="D2772">
        <v>63</v>
      </c>
      <c r="E2772">
        <v>0</v>
      </c>
      <c r="F2772">
        <v>238</v>
      </c>
    </row>
    <row r="2773" spans="1:6" ht="12.75">
      <c r="A2773" s="2">
        <v>43884.538553240738</v>
      </c>
      <c r="B2773" t="str">
        <f>HYPERLINK("https://twitter.com/kaumrisau","@kaumrisau")</f>
        <v>@kaumrisau</v>
      </c>
      <c r="C2773" t="s">
        <v>2888</v>
      </c>
      <c r="D2773">
        <v>0</v>
      </c>
      <c r="E2773">
        <v>0</v>
      </c>
      <c r="F2773">
        <v>251221</v>
      </c>
    </row>
    <row r="2774" spans="1:6" ht="12.75">
      <c r="A2774" s="2">
        <v>43884.538136574076</v>
      </c>
      <c r="B2774" t="str">
        <f>HYPERLINK("https://twitter.com/ZoneVenomWar","@ZoneVenomWar")</f>
        <v>@ZoneVenomWar</v>
      </c>
      <c r="C2774" t="s">
        <v>2091</v>
      </c>
      <c r="D2774">
        <v>63</v>
      </c>
      <c r="E2774">
        <v>0</v>
      </c>
      <c r="F2774">
        <v>1637</v>
      </c>
    </row>
    <row r="2775" spans="1:6" ht="12.75">
      <c r="A2775" s="2">
        <v>43884.53800925926</v>
      </c>
      <c r="B2775" t="str">
        <f>HYPERLINK("https://twitter.com/criscop_p","@criscop_p")</f>
        <v>@criscop_p</v>
      </c>
      <c r="C2775" t="s">
        <v>2091</v>
      </c>
      <c r="D2775">
        <v>63</v>
      </c>
      <c r="E2775">
        <v>0</v>
      </c>
      <c r="F2775">
        <v>228</v>
      </c>
    </row>
    <row r="2776" spans="1:6" ht="12.75">
      <c r="A2776" s="2">
        <v>43884.537858796291</v>
      </c>
      <c r="B2776" t="str">
        <f>HYPERLINK("https://twitter.com/JannesHutajulu","@JannesHutajulu")</f>
        <v>@JannesHutajulu</v>
      </c>
      <c r="C2776" t="s">
        <v>2091</v>
      </c>
      <c r="D2776">
        <v>63</v>
      </c>
      <c r="E2776">
        <v>0</v>
      </c>
      <c r="F2776">
        <v>2395</v>
      </c>
    </row>
    <row r="2777" spans="1:6" ht="12.75">
      <c r="A2777" s="2">
        <v>43884.537222222221</v>
      </c>
      <c r="B2777" t="str">
        <f>HYPERLINK("https://twitter.com/LamanKita_","@LamanKita_")</f>
        <v>@LamanKita_</v>
      </c>
      <c r="C2777" t="s">
        <v>2889</v>
      </c>
      <c r="D2777">
        <v>0</v>
      </c>
      <c r="E2777">
        <v>0</v>
      </c>
      <c r="F2777">
        <v>138596</v>
      </c>
    </row>
    <row r="2778" spans="1:6" ht="12.75">
      <c r="A2778" s="2">
        <v>43884.536932870367</v>
      </c>
      <c r="B2778" t="str">
        <f>HYPERLINK("https://twitter.com/perahu2kertas","@perahu2kertas")</f>
        <v>@perahu2kertas</v>
      </c>
      <c r="C2778" t="s">
        <v>2091</v>
      </c>
      <c r="D2778">
        <v>63</v>
      </c>
      <c r="E2778">
        <v>0</v>
      </c>
      <c r="F2778">
        <v>542</v>
      </c>
    </row>
    <row r="2779" spans="1:6" ht="12.75">
      <c r="A2779" s="2">
        <v>43884.536041666666</v>
      </c>
      <c r="B2779" t="str">
        <f>HYPERLINK("https://twitter.com/wiwithyulianto","@wiwithyulianto")</f>
        <v>@wiwithyulianto</v>
      </c>
      <c r="C2779" t="s">
        <v>2091</v>
      </c>
      <c r="D2779">
        <v>63</v>
      </c>
      <c r="E2779">
        <v>0</v>
      </c>
      <c r="F2779">
        <v>36</v>
      </c>
    </row>
    <row r="2780" spans="1:6" ht="12.75">
      <c r="A2780" s="2">
        <v>43884.536030092597</v>
      </c>
      <c r="B2780" t="str">
        <f>HYPERLINK("https://twitter.com/suryani081089","@suryani081089")</f>
        <v>@suryani081089</v>
      </c>
      <c r="C2780" t="s">
        <v>2766</v>
      </c>
      <c r="D2780">
        <v>76</v>
      </c>
      <c r="E2780">
        <v>0</v>
      </c>
      <c r="F2780">
        <v>34</v>
      </c>
    </row>
    <row r="2781" spans="1:6" ht="12.75">
      <c r="A2781" s="2">
        <v>43884.535868055551</v>
      </c>
      <c r="B2781" t="str">
        <f>HYPERLINK("https://twitter.com/NunPutra","@NunPutra")</f>
        <v>@NunPutra</v>
      </c>
      <c r="C2781" t="s">
        <v>2091</v>
      </c>
      <c r="D2781">
        <v>63</v>
      </c>
      <c r="E2781">
        <v>0</v>
      </c>
      <c r="F2781">
        <v>27</v>
      </c>
    </row>
    <row r="2782" spans="1:6" ht="12.75">
      <c r="A2782" s="2">
        <v>43884.53534722222</v>
      </c>
      <c r="B2782" t="str">
        <f>HYPERLINK("https://twitter.com/manager_5am","@manager_5am")</f>
        <v>@manager_5am</v>
      </c>
      <c r="C2782" t="s">
        <v>2153</v>
      </c>
      <c r="D2782">
        <v>294</v>
      </c>
      <c r="E2782">
        <v>0</v>
      </c>
      <c r="F2782">
        <v>7147</v>
      </c>
    </row>
    <row r="2783" spans="1:6" ht="12.75">
      <c r="A2783" s="2">
        <v>43884.534988425927</v>
      </c>
      <c r="B2783" t="str">
        <f>HYPERLINK("https://twitter.com/realPriGim","@realPriGim")</f>
        <v>@realPriGim</v>
      </c>
      <c r="C2783" t="s">
        <v>2756</v>
      </c>
      <c r="D2783">
        <v>35</v>
      </c>
      <c r="E2783">
        <v>0</v>
      </c>
      <c r="F2783">
        <v>3414</v>
      </c>
    </row>
    <row r="2784" spans="1:6" ht="12.75">
      <c r="A2784" s="2">
        <v>43884.534988425927</v>
      </c>
      <c r="B2784" t="str">
        <f>HYPERLINK("https://twitter.com/agoessp","@agoessp")</f>
        <v>@agoessp</v>
      </c>
      <c r="C2784" t="s">
        <v>2766</v>
      </c>
      <c r="D2784">
        <v>76</v>
      </c>
      <c r="E2784">
        <v>0</v>
      </c>
      <c r="F2784">
        <v>135</v>
      </c>
    </row>
    <row r="2785" spans="1:6" ht="12.75">
      <c r="A2785" s="2">
        <v>43884.534629629634</v>
      </c>
      <c r="B2785" t="str">
        <f>HYPERLINK("https://twitter.com/hadijoban1","@hadijoban1")</f>
        <v>@hadijoban1</v>
      </c>
      <c r="C2785" t="s">
        <v>2890</v>
      </c>
      <c r="D2785">
        <v>0</v>
      </c>
      <c r="E2785">
        <v>0</v>
      </c>
      <c r="F2785">
        <v>44</v>
      </c>
    </row>
    <row r="2786" spans="1:6" ht="12.75">
      <c r="A2786" s="2">
        <v>43884.534317129626</v>
      </c>
      <c r="B2786" t="str">
        <f>HYPERLINK("https://twitter.com/karolvslvangga","@karolvslvangga")</f>
        <v>@karolvslvangga</v>
      </c>
      <c r="C2786" t="s">
        <v>2091</v>
      </c>
      <c r="D2786">
        <v>63</v>
      </c>
      <c r="E2786">
        <v>0</v>
      </c>
      <c r="F2786">
        <v>236</v>
      </c>
    </row>
    <row r="2787" spans="1:6" ht="12.75">
      <c r="A2787" s="2">
        <v>43884.533865740741</v>
      </c>
      <c r="B2787" t="str">
        <f>HYPERLINK("https://twitter.com/SumselPolitik","@SumselPolitik")</f>
        <v>@SumselPolitik</v>
      </c>
      <c r="C2787" t="s">
        <v>2766</v>
      </c>
      <c r="D2787">
        <v>76</v>
      </c>
      <c r="E2787">
        <v>0</v>
      </c>
      <c r="F2787">
        <v>121</v>
      </c>
    </row>
    <row r="2788" spans="1:6" ht="12.75">
      <c r="A2788" s="2">
        <v>43884.533275462964</v>
      </c>
      <c r="B2788" t="str">
        <f t="shared" ref="B2788:B2789" si="61">HYPERLINK("https://twitter.com/realPriGim","@realPriGim")</f>
        <v>@realPriGim</v>
      </c>
      <c r="C2788" t="s">
        <v>2091</v>
      </c>
      <c r="D2788">
        <v>63</v>
      </c>
      <c r="E2788">
        <v>0</v>
      </c>
      <c r="F2788">
        <v>3414</v>
      </c>
    </row>
    <row r="2789" spans="1:6" ht="12.75">
      <c r="A2789" s="2">
        <v>43884.533020833333</v>
      </c>
      <c r="B2789" t="str">
        <f t="shared" si="61"/>
        <v>@realPriGim</v>
      </c>
      <c r="C2789" t="s">
        <v>2766</v>
      </c>
      <c r="D2789">
        <v>76</v>
      </c>
      <c r="E2789">
        <v>0</v>
      </c>
      <c r="F2789">
        <v>3414</v>
      </c>
    </row>
    <row r="2790" spans="1:6" ht="12.75">
      <c r="A2790" s="2">
        <v>43884.533009259263</v>
      </c>
      <c r="B2790" t="str">
        <f>HYPERLINK("https://twitter.com/inipetrik","@inipetrik")</f>
        <v>@inipetrik</v>
      </c>
      <c r="C2790" t="s">
        <v>2891</v>
      </c>
      <c r="D2790">
        <v>0</v>
      </c>
      <c r="E2790">
        <v>0</v>
      </c>
      <c r="F2790">
        <v>275</v>
      </c>
    </row>
    <row r="2791" spans="1:6" ht="12.75">
      <c r="A2791" s="2">
        <v>43884.532835648148</v>
      </c>
      <c r="B2791" t="str">
        <f>HYPERLINK("https://twitter.com/felixboomy","@felixboomy")</f>
        <v>@felixboomy</v>
      </c>
      <c r="C2791" t="s">
        <v>2766</v>
      </c>
      <c r="D2791">
        <v>76</v>
      </c>
      <c r="E2791">
        <v>0</v>
      </c>
      <c r="F2791">
        <v>316</v>
      </c>
    </row>
    <row r="2792" spans="1:6" ht="12.75">
      <c r="A2792" s="2">
        <v>43884.532557870371</v>
      </c>
      <c r="B2792" t="str">
        <f>HYPERLINK("https://twitter.com/RiWabatik","@RiWabatik")</f>
        <v>@RiWabatik</v>
      </c>
      <c r="C2792" t="s">
        <v>2691</v>
      </c>
      <c r="D2792">
        <v>6</v>
      </c>
      <c r="E2792">
        <v>0</v>
      </c>
      <c r="F2792">
        <v>1382</v>
      </c>
    </row>
    <row r="2793" spans="1:6" ht="12.75">
      <c r="A2793" s="2">
        <v>43884.532233796301</v>
      </c>
      <c r="B2793" t="str">
        <f>HYPERLINK("https://twitter.com/Firman16021974","@Firman16021974")</f>
        <v>@Firman16021974</v>
      </c>
      <c r="C2793" t="s">
        <v>2091</v>
      </c>
      <c r="D2793">
        <v>63</v>
      </c>
      <c r="E2793">
        <v>0</v>
      </c>
      <c r="F2793">
        <v>1583</v>
      </c>
    </row>
    <row r="2794" spans="1:6" ht="12.75">
      <c r="A2794" s="2">
        <v>43884.532048611116</v>
      </c>
      <c r="B2794" t="str">
        <f>HYPERLINK("https://twitter.com/CihuyCiut","@CihuyCiut")</f>
        <v>@CihuyCiut</v>
      </c>
      <c r="C2794" t="s">
        <v>2091</v>
      </c>
      <c r="D2794">
        <v>63</v>
      </c>
      <c r="E2794">
        <v>0</v>
      </c>
      <c r="F2794">
        <v>2949</v>
      </c>
    </row>
    <row r="2795" spans="1:6" ht="12.75">
      <c r="A2795" s="2">
        <v>43884.531041666662</v>
      </c>
      <c r="B2795" t="str">
        <f t="shared" ref="B2795:B2796" si="62">HYPERLINK("https://twitter.com/Black_lleviant","@Black_lleviant")</f>
        <v>@Black_lleviant</v>
      </c>
      <c r="C2795" t="s">
        <v>2091</v>
      </c>
      <c r="D2795">
        <v>63</v>
      </c>
      <c r="E2795">
        <v>0</v>
      </c>
      <c r="F2795">
        <v>6391</v>
      </c>
    </row>
    <row r="2796" spans="1:6" ht="12.75">
      <c r="A2796" s="2">
        <v>43884.531006944446</v>
      </c>
      <c r="B2796" t="str">
        <f t="shared" si="62"/>
        <v>@Black_lleviant</v>
      </c>
      <c r="C2796" t="s">
        <v>2756</v>
      </c>
      <c r="D2796">
        <v>35</v>
      </c>
      <c r="E2796">
        <v>0</v>
      </c>
      <c r="F2796">
        <v>6391</v>
      </c>
    </row>
    <row r="2797" spans="1:6" ht="12.75">
      <c r="A2797" s="2">
        <v>43884.530960648146</v>
      </c>
      <c r="B2797" t="str">
        <f>HYPERLINK("https://twitter.com/tandanVradio","@tandanVradio")</f>
        <v>@tandanVradio</v>
      </c>
      <c r="C2797" t="s">
        <v>2756</v>
      </c>
      <c r="D2797">
        <v>35</v>
      </c>
      <c r="E2797">
        <v>0</v>
      </c>
      <c r="F2797">
        <v>2849</v>
      </c>
    </row>
    <row r="2798" spans="1:6" ht="12.75">
      <c r="A2798" s="2">
        <v>43884.530902777777</v>
      </c>
      <c r="B2798" t="str">
        <f>HYPERLINK("https://twitter.com/Black_lleviant","@Black_lleviant")</f>
        <v>@Black_lleviant</v>
      </c>
      <c r="C2798" t="s">
        <v>2766</v>
      </c>
      <c r="D2798">
        <v>76</v>
      </c>
      <c r="E2798">
        <v>0</v>
      </c>
      <c r="F2798">
        <v>6391</v>
      </c>
    </row>
    <row r="2799" spans="1:6" ht="12.75">
      <c r="A2799" s="2">
        <v>43884.530798611115</v>
      </c>
      <c r="B2799" t="str">
        <f>HYPERLINK("https://twitter.com/RizqiPrasetyo8","@RizqiPrasetyo8")</f>
        <v>@RizqiPrasetyo8</v>
      </c>
      <c r="C2799" t="s">
        <v>2892</v>
      </c>
      <c r="D2799">
        <v>0</v>
      </c>
      <c r="E2799">
        <v>0</v>
      </c>
      <c r="F2799">
        <v>24</v>
      </c>
    </row>
    <row r="2800" spans="1:6" ht="12.75">
      <c r="A2800" s="2">
        <v>43884.530682870369</v>
      </c>
      <c r="B2800" t="str">
        <f>HYPERLINK("https://twitter.com/Bimasakti1012","@Bimasakti1012")</f>
        <v>@Bimasakti1012</v>
      </c>
      <c r="C2800" t="s">
        <v>2091</v>
      </c>
      <c r="D2800">
        <v>63</v>
      </c>
      <c r="E2800">
        <v>0</v>
      </c>
      <c r="F2800">
        <v>996</v>
      </c>
    </row>
    <row r="2801" spans="1:6" ht="12.75">
      <c r="A2801" s="2">
        <v>43884.530474537038</v>
      </c>
      <c r="B2801" t="str">
        <f>HYPERLINK("https://twitter.com/PHNCX","@PHNCX")</f>
        <v>@PHNCX</v>
      </c>
      <c r="C2801" t="s">
        <v>2893</v>
      </c>
      <c r="D2801">
        <v>4</v>
      </c>
      <c r="E2801">
        <v>0</v>
      </c>
      <c r="F2801">
        <v>418</v>
      </c>
    </row>
    <row r="2802" spans="1:6" ht="12.75">
      <c r="A2802" s="2">
        <v>43884.530439814815</v>
      </c>
      <c r="B2802" t="str">
        <f>HYPERLINK("https://twitter.com/bamsaza1","@bamsaza1")</f>
        <v>@bamsaza1</v>
      </c>
      <c r="C2802" t="s">
        <v>2756</v>
      </c>
      <c r="D2802">
        <v>35</v>
      </c>
      <c r="E2802">
        <v>0</v>
      </c>
      <c r="F2802">
        <v>4139</v>
      </c>
    </row>
    <row r="2803" spans="1:6" ht="12.75">
      <c r="A2803" s="2">
        <v>43884.53024305556</v>
      </c>
      <c r="B2803" t="str">
        <f>HYPERLINK("https://twitter.com/irajesh14","@irajesh14")</f>
        <v>@irajesh14</v>
      </c>
      <c r="C2803" t="s">
        <v>2894</v>
      </c>
      <c r="D2803">
        <v>0</v>
      </c>
      <c r="E2803">
        <v>0</v>
      </c>
      <c r="F2803">
        <v>850</v>
      </c>
    </row>
    <row r="2804" spans="1:6" ht="12.75">
      <c r="A2804" s="2">
        <v>43884.529502314814</v>
      </c>
      <c r="B2804" t="str">
        <f>HYPERLINK("https://twitter.com/CS_Ramdhani","@CS_Ramdhani")</f>
        <v>@CS_Ramdhani</v>
      </c>
      <c r="C2804" t="s">
        <v>2756</v>
      </c>
      <c r="D2804">
        <v>35</v>
      </c>
      <c r="E2804">
        <v>0</v>
      </c>
      <c r="F2804">
        <v>365</v>
      </c>
    </row>
    <row r="2805" spans="1:6" ht="12.75">
      <c r="A2805" s="2">
        <v>43884.529432870375</v>
      </c>
      <c r="B2805" t="str">
        <f>HYPERLINK("https://twitter.com/YohanesMariono","@YohanesMariono")</f>
        <v>@YohanesMariono</v>
      </c>
      <c r="C2805" t="s">
        <v>2895</v>
      </c>
      <c r="D2805">
        <v>0</v>
      </c>
      <c r="E2805">
        <v>0</v>
      </c>
      <c r="F2805">
        <v>964</v>
      </c>
    </row>
    <row r="2806" spans="1:6" ht="12.75">
      <c r="A2806" s="2">
        <v>43884.529386574075</v>
      </c>
      <c r="B2806" t="str">
        <f>HYPERLINK("https://twitter.com/AdeSury73554745","@AdeSury73554745")</f>
        <v>@AdeSury73554745</v>
      </c>
      <c r="C2806" t="s">
        <v>2896</v>
      </c>
      <c r="D2806">
        <v>0</v>
      </c>
      <c r="E2806">
        <v>0</v>
      </c>
      <c r="F2806">
        <v>3</v>
      </c>
    </row>
    <row r="2807" spans="1:6" ht="12.75">
      <c r="A2807" s="2">
        <v>43884.52925925926</v>
      </c>
      <c r="B2807" t="str">
        <f>HYPERLINK("https://twitter.com/Rinistg","@Rinistg")</f>
        <v>@Rinistg</v>
      </c>
      <c r="C2807" t="s">
        <v>2091</v>
      </c>
      <c r="D2807">
        <v>63</v>
      </c>
      <c r="E2807">
        <v>0</v>
      </c>
      <c r="F2807">
        <v>3865</v>
      </c>
    </row>
    <row r="2808" spans="1:6" ht="12.75">
      <c r="A2808" s="2">
        <v>43884.528807870374</v>
      </c>
      <c r="B2808" t="str">
        <f>HYPERLINK("https://twitter.com/pimamanggala","@pimamanggala")</f>
        <v>@pimamanggala</v>
      </c>
      <c r="C2808" t="s">
        <v>2893</v>
      </c>
      <c r="D2808">
        <v>4</v>
      </c>
      <c r="E2808">
        <v>0</v>
      </c>
      <c r="F2808">
        <v>1568</v>
      </c>
    </row>
    <row r="2809" spans="1:6" ht="12.75">
      <c r="A2809" s="2">
        <v>43884.528738425928</v>
      </c>
      <c r="B2809" t="str">
        <f>HYPERLINK("https://twitter.com/Asihaning","@Asihaning")</f>
        <v>@Asihaning</v>
      </c>
      <c r="C2809" t="s">
        <v>2091</v>
      </c>
      <c r="D2809">
        <v>63</v>
      </c>
      <c r="E2809">
        <v>0</v>
      </c>
      <c r="F2809">
        <v>369</v>
      </c>
    </row>
    <row r="2810" spans="1:6" ht="12.75">
      <c r="A2810" s="2">
        <v>43884.528078703705</v>
      </c>
      <c r="B2810" t="str">
        <f>HYPERLINK("https://twitter.com/felixboomy","@felixboomy")</f>
        <v>@felixboomy</v>
      </c>
      <c r="C2810" t="s">
        <v>2091</v>
      </c>
      <c r="D2810">
        <v>63</v>
      </c>
      <c r="E2810">
        <v>0</v>
      </c>
      <c r="F2810">
        <v>316</v>
      </c>
    </row>
    <row r="2811" spans="1:6" ht="12.75">
      <c r="A2811" s="2">
        <v>43884.526979166665</v>
      </c>
      <c r="B2811" t="str">
        <f>HYPERLINK("https://twitter.com/Mbelgdez11","@Mbelgdez11")</f>
        <v>@Mbelgdez11</v>
      </c>
      <c r="C2811" t="s">
        <v>2766</v>
      </c>
      <c r="D2811">
        <v>76</v>
      </c>
      <c r="E2811">
        <v>0</v>
      </c>
      <c r="F2811">
        <v>2237</v>
      </c>
    </row>
    <row r="2812" spans="1:6" ht="12.75">
      <c r="A2812" s="2">
        <v>43884.526678240742</v>
      </c>
      <c r="B2812" t="str">
        <f>HYPERLINK("https://twitter.com/ItemYopi","@ItemYopi")</f>
        <v>@ItemYopi</v>
      </c>
      <c r="C2812" t="s">
        <v>2091</v>
      </c>
      <c r="D2812">
        <v>63</v>
      </c>
      <c r="E2812">
        <v>0</v>
      </c>
      <c r="F2812">
        <v>1124</v>
      </c>
    </row>
    <row r="2813" spans="1:6" ht="12.75">
      <c r="A2813" s="2">
        <v>43884.526562500003</v>
      </c>
      <c r="B2813" t="str">
        <f>HYPERLINK("https://twitter.com/SilalahiFabian","@SilalahiFabian")</f>
        <v>@SilalahiFabian</v>
      </c>
      <c r="C2813" t="s">
        <v>2766</v>
      </c>
      <c r="D2813">
        <v>76</v>
      </c>
      <c r="E2813">
        <v>0</v>
      </c>
      <c r="F2813">
        <v>170</v>
      </c>
    </row>
    <row r="2814" spans="1:6" ht="12.75">
      <c r="A2814" s="2">
        <v>43884.526226851856</v>
      </c>
      <c r="B2814" t="str">
        <f>HYPERLINK("https://twitter.com/kick_a55","@kick_a55")</f>
        <v>@kick_a55</v>
      </c>
      <c r="C2814" t="s">
        <v>2897</v>
      </c>
      <c r="D2814">
        <v>8</v>
      </c>
      <c r="E2814">
        <v>0</v>
      </c>
      <c r="F2814">
        <v>339</v>
      </c>
    </row>
    <row r="2815" spans="1:6" ht="12.75">
      <c r="A2815" s="2">
        <v>43884.526122685187</v>
      </c>
      <c r="B2815" t="str">
        <f>HYPERLINK("https://twitter.com/miyamin48","@miyamin48")</f>
        <v>@miyamin48</v>
      </c>
      <c r="C2815" t="s">
        <v>2893</v>
      </c>
      <c r="D2815">
        <v>4</v>
      </c>
      <c r="E2815">
        <v>0</v>
      </c>
      <c r="F2815">
        <v>321</v>
      </c>
    </row>
    <row r="2816" spans="1:6" ht="12.75">
      <c r="A2816" s="2">
        <v>43884.525972222225</v>
      </c>
      <c r="B2816" t="str">
        <f>HYPERLINK("https://twitter.com/bamsaza1","@bamsaza1")</f>
        <v>@bamsaza1</v>
      </c>
      <c r="C2816" t="s">
        <v>2091</v>
      </c>
      <c r="D2816">
        <v>63</v>
      </c>
      <c r="E2816">
        <v>0</v>
      </c>
      <c r="F2816">
        <v>4139</v>
      </c>
    </row>
    <row r="2817" spans="1:6" ht="12.75">
      <c r="A2817" s="2">
        <v>43884.525416666671</v>
      </c>
      <c r="B2817" t="str">
        <f>HYPERLINK("https://twitter.com/kopisanger","@kopisanger")</f>
        <v>@kopisanger</v>
      </c>
      <c r="C2817" t="s">
        <v>2744</v>
      </c>
      <c r="D2817">
        <v>20</v>
      </c>
      <c r="E2817">
        <v>0</v>
      </c>
      <c r="F2817">
        <v>514</v>
      </c>
    </row>
    <row r="2818" spans="1:6" ht="12.75">
      <c r="A2818" s="2">
        <v>43884.525370370371</v>
      </c>
      <c r="B2818" t="str">
        <f>HYPERLINK("https://twitter.com/Yovita_Gurning","@Yovita_Gurning")</f>
        <v>@Yovita_Gurning</v>
      </c>
      <c r="C2818" t="s">
        <v>2756</v>
      </c>
      <c r="D2818">
        <v>35</v>
      </c>
      <c r="E2818">
        <v>0</v>
      </c>
      <c r="F2818">
        <v>3607</v>
      </c>
    </row>
    <row r="2819" spans="1:6" ht="12.75">
      <c r="A2819" s="2">
        <v>43884.525324074071</v>
      </c>
      <c r="B2819" t="str">
        <f t="shared" ref="B2819:B2820" si="63">HYPERLINK("https://twitter.com/_ChusnulCh_","@_ChusnulCh_")</f>
        <v>@_ChusnulCh_</v>
      </c>
      <c r="C2819" t="s">
        <v>2091</v>
      </c>
      <c r="D2819">
        <v>63</v>
      </c>
      <c r="E2819">
        <v>0</v>
      </c>
      <c r="F2819">
        <v>64967</v>
      </c>
    </row>
    <row r="2820" spans="1:6" ht="12.75">
      <c r="A2820" s="2">
        <v>43884.524953703702</v>
      </c>
      <c r="B2820" t="str">
        <f t="shared" si="63"/>
        <v>@_ChusnulCh_</v>
      </c>
      <c r="C2820" t="s">
        <v>2756</v>
      </c>
      <c r="D2820">
        <v>35</v>
      </c>
      <c r="E2820">
        <v>0</v>
      </c>
      <c r="F2820">
        <v>64967</v>
      </c>
    </row>
    <row r="2821" spans="1:6" ht="12.75">
      <c r="A2821" s="2">
        <v>43884.524849537032</v>
      </c>
      <c r="B2821" t="str">
        <f>HYPERLINK("https://twitter.com/frrozi1998","@frrozi1998")</f>
        <v>@frrozi1998</v>
      </c>
      <c r="C2821" t="s">
        <v>2766</v>
      </c>
      <c r="D2821">
        <v>76</v>
      </c>
      <c r="E2821">
        <v>0</v>
      </c>
      <c r="F2821">
        <v>545</v>
      </c>
    </row>
    <row r="2822" spans="1:6" ht="12.75">
      <c r="A2822" s="2">
        <v>43884.524108796293</v>
      </c>
      <c r="B2822" t="str">
        <f>HYPERLINK("https://twitter.com/KadrunHunter99","@KadrunHunter99")</f>
        <v>@KadrunHunter99</v>
      </c>
      <c r="C2822" t="s">
        <v>2898</v>
      </c>
      <c r="D2822">
        <v>2</v>
      </c>
      <c r="E2822">
        <v>7</v>
      </c>
      <c r="F2822">
        <v>4053</v>
      </c>
    </row>
    <row r="2823" spans="1:6" ht="12.75">
      <c r="A2823" s="2">
        <v>43884.523726851854</v>
      </c>
      <c r="B2823" t="str">
        <f>HYPERLINK("https://twitter.com/JoburgBianco","@JoburgBianco")</f>
        <v>@JoburgBianco</v>
      </c>
      <c r="C2823" t="s">
        <v>2766</v>
      </c>
      <c r="D2823">
        <v>76</v>
      </c>
      <c r="E2823">
        <v>0</v>
      </c>
      <c r="F2823">
        <v>320</v>
      </c>
    </row>
    <row r="2824" spans="1:6" ht="12.75">
      <c r="A2824" s="2">
        <v>43884.523553240739</v>
      </c>
      <c r="B2824" t="str">
        <f>HYPERLINK("https://twitter.com/YRadianto","@YRadianto")</f>
        <v>@YRadianto</v>
      </c>
      <c r="C2824" t="s">
        <v>2899</v>
      </c>
      <c r="D2824">
        <v>1</v>
      </c>
      <c r="E2824">
        <v>0</v>
      </c>
      <c r="F2824">
        <v>28394</v>
      </c>
    </row>
    <row r="2825" spans="1:6" ht="12.75">
      <c r="A2825" s="2">
        <v>43884.523310185185</v>
      </c>
      <c r="B2825" t="str">
        <f>HYPERLINK("https://twitter.com/khalidismath","@khalidismath")</f>
        <v>@khalidismath</v>
      </c>
      <c r="C2825" t="s">
        <v>2900</v>
      </c>
      <c r="D2825">
        <v>0</v>
      </c>
      <c r="E2825">
        <v>0</v>
      </c>
      <c r="F2825">
        <v>8186</v>
      </c>
    </row>
    <row r="2826" spans="1:6" ht="12.75">
      <c r="A2826" s="2">
        <v>43884.522870370369</v>
      </c>
      <c r="B2826" t="str">
        <f>HYPERLINK("https://twitter.com/Harlmuin","@Harlmuin")</f>
        <v>@Harlmuin</v>
      </c>
      <c r="C2826" t="s">
        <v>2901</v>
      </c>
      <c r="D2826">
        <v>0</v>
      </c>
      <c r="E2826">
        <v>0</v>
      </c>
      <c r="F2826">
        <v>318</v>
      </c>
    </row>
    <row r="2827" spans="1:6" ht="12.75">
      <c r="A2827" s="2">
        <v>43884.522766203707</v>
      </c>
      <c r="B2827" t="str">
        <f>HYPERLINK("https://twitter.com/jf_fsliem","@jf_fsliem")</f>
        <v>@jf_fsliem</v>
      </c>
      <c r="C2827" t="s">
        <v>2091</v>
      </c>
      <c r="D2827">
        <v>63</v>
      </c>
      <c r="E2827">
        <v>0</v>
      </c>
      <c r="F2827">
        <v>235</v>
      </c>
    </row>
    <row r="2828" spans="1:6" ht="12.75">
      <c r="A2828" s="2">
        <v>43884.52275462963</v>
      </c>
      <c r="B2828" t="str">
        <f>HYPERLINK("https://twitter.com/Airin_NZ","@Airin_NZ")</f>
        <v>@Airin_NZ</v>
      </c>
      <c r="C2828" t="s">
        <v>2091</v>
      </c>
      <c r="D2828">
        <v>63</v>
      </c>
      <c r="E2828">
        <v>0</v>
      </c>
      <c r="F2828">
        <v>53353</v>
      </c>
    </row>
    <row r="2829" spans="1:6" ht="12.75">
      <c r="A2829" s="2">
        <v>43884.522638888884</v>
      </c>
      <c r="B2829" t="str">
        <f>HYPERLINK("https://twitter.com/vieroi","@vieroi")</f>
        <v>@vieroi</v>
      </c>
      <c r="C2829" t="s">
        <v>2091</v>
      </c>
      <c r="D2829">
        <v>63</v>
      </c>
      <c r="E2829">
        <v>0</v>
      </c>
      <c r="F2829">
        <v>468</v>
      </c>
    </row>
    <row r="2830" spans="1:6" ht="12.75">
      <c r="A2830" s="2">
        <v>43884.521990740745</v>
      </c>
      <c r="B2830" t="str">
        <f>HYPERLINK("https://twitter.com/woerit_wae","@woerit_wae")</f>
        <v>@woerit_wae</v>
      </c>
      <c r="C2830" t="s">
        <v>2091</v>
      </c>
      <c r="D2830">
        <v>63</v>
      </c>
      <c r="E2830">
        <v>0</v>
      </c>
      <c r="F2830">
        <v>344</v>
      </c>
    </row>
    <row r="2831" spans="1:6" ht="12.75">
      <c r="A2831" s="2">
        <v>43884.521932870368</v>
      </c>
      <c r="B2831" t="str">
        <f>HYPERLINK("https://twitter.com/aryacokronegoro","@aryacokronegoro")</f>
        <v>@aryacokronegoro</v>
      </c>
      <c r="C2831" t="s">
        <v>2902</v>
      </c>
      <c r="D2831">
        <v>0</v>
      </c>
      <c r="E2831">
        <v>1</v>
      </c>
      <c r="F2831">
        <v>437</v>
      </c>
    </row>
    <row r="2832" spans="1:6" ht="12.75">
      <c r="A2832" s="2">
        <v>43884.521909722222</v>
      </c>
      <c r="B2832" t="str">
        <f>HYPERLINK("https://twitter.com/7endralKad_run","@7endralKad_run")</f>
        <v>@7endralKad_run</v>
      </c>
      <c r="C2832" t="s">
        <v>2756</v>
      </c>
      <c r="D2832">
        <v>35</v>
      </c>
      <c r="E2832">
        <v>0</v>
      </c>
      <c r="F2832">
        <v>583</v>
      </c>
    </row>
    <row r="2833" spans="1:6" ht="12.75">
      <c r="A2833" s="2">
        <v>43884.521736111114</v>
      </c>
      <c r="B2833" t="str">
        <f>HYPERLINK("https://twitter.com/heri_purnama","@heri_purnama")</f>
        <v>@heri_purnama</v>
      </c>
      <c r="C2833" t="s">
        <v>2091</v>
      </c>
      <c r="D2833">
        <v>63</v>
      </c>
      <c r="E2833">
        <v>0</v>
      </c>
      <c r="F2833">
        <v>521</v>
      </c>
    </row>
    <row r="2834" spans="1:6" ht="12.75">
      <c r="A2834" s="2">
        <v>43884.521608796298</v>
      </c>
      <c r="B2834" t="str">
        <f>HYPERLINK("https://twitter.com/sembilanbumi","@sembilanbumi")</f>
        <v>@sembilanbumi</v>
      </c>
      <c r="C2834" t="s">
        <v>2691</v>
      </c>
      <c r="D2834">
        <v>6</v>
      </c>
      <c r="E2834">
        <v>0</v>
      </c>
      <c r="F2834">
        <v>4218</v>
      </c>
    </row>
    <row r="2835" spans="1:6" ht="12.75">
      <c r="A2835" s="2">
        <v>43884.521550925929</v>
      </c>
      <c r="B2835" t="str">
        <f>HYPERLINK("https://twitter.com/7endralKad_run","@7endralKad_run")</f>
        <v>@7endralKad_run</v>
      </c>
      <c r="C2835" t="s">
        <v>2766</v>
      </c>
      <c r="D2835">
        <v>76</v>
      </c>
      <c r="E2835">
        <v>0</v>
      </c>
      <c r="F2835">
        <v>583</v>
      </c>
    </row>
    <row r="2836" spans="1:6" ht="12.75">
      <c r="A2836" s="2">
        <v>43884.521238425921</v>
      </c>
      <c r="B2836" t="str">
        <f>HYPERLINK("https://twitter.com/Yovita_Gurning","@Yovita_Gurning")</f>
        <v>@Yovita_Gurning</v>
      </c>
      <c r="C2836" t="s">
        <v>2091</v>
      </c>
      <c r="D2836">
        <v>63</v>
      </c>
      <c r="E2836">
        <v>0</v>
      </c>
      <c r="F2836">
        <v>3607</v>
      </c>
    </row>
    <row r="2837" spans="1:6" ht="12.75">
      <c r="A2837" s="2">
        <v>43884.521226851852</v>
      </c>
      <c r="B2837" t="str">
        <f>HYPERLINK("https://twitter.com/BashoryZ","@BashoryZ")</f>
        <v>@BashoryZ</v>
      </c>
      <c r="C2837" t="s">
        <v>2091</v>
      </c>
      <c r="D2837">
        <v>63</v>
      </c>
      <c r="E2837">
        <v>0</v>
      </c>
      <c r="F2837">
        <v>2266</v>
      </c>
    </row>
    <row r="2838" spans="1:6" ht="12.75">
      <c r="A2838" s="2">
        <v>43884.521203703705</v>
      </c>
      <c r="B2838" t="str">
        <f>HYPERLINK("https://twitter.com/BradPitek","@BradPitek")</f>
        <v>@BradPitek</v>
      </c>
      <c r="C2838" t="s">
        <v>2091</v>
      </c>
      <c r="D2838">
        <v>63</v>
      </c>
      <c r="E2838">
        <v>0</v>
      </c>
      <c r="F2838">
        <v>233</v>
      </c>
    </row>
    <row r="2839" spans="1:6" ht="12.75">
      <c r="A2839" s="2">
        <v>43884.520972222221</v>
      </c>
      <c r="B2839" t="str">
        <f>HYPERLINK("https://twitter.com/AimanAirin2","@AimanAirin2")</f>
        <v>@AimanAirin2</v>
      </c>
      <c r="C2839" t="s">
        <v>2903</v>
      </c>
      <c r="D2839">
        <v>1</v>
      </c>
      <c r="E2839">
        <v>0</v>
      </c>
      <c r="F2839">
        <v>2139</v>
      </c>
    </row>
    <row r="2840" spans="1:6" ht="12.75">
      <c r="A2840" s="2">
        <v>43884.520949074074</v>
      </c>
      <c r="B2840" t="str">
        <f>HYPERLINK("https://twitter.com/Yovita_Gurning","@Yovita_Gurning")</f>
        <v>@Yovita_Gurning</v>
      </c>
      <c r="C2840" t="s">
        <v>2766</v>
      </c>
      <c r="D2840">
        <v>76</v>
      </c>
      <c r="E2840">
        <v>0</v>
      </c>
      <c r="F2840">
        <v>3607</v>
      </c>
    </row>
    <row r="2841" spans="1:6" ht="12.75">
      <c r="A2841" s="2">
        <v>43884.52076388889</v>
      </c>
      <c r="B2841" t="str">
        <f>HYPERLINK("https://twitter.com/Sobri80965387","@Sobri80965387")</f>
        <v>@Sobri80965387</v>
      </c>
      <c r="C2841" t="s">
        <v>2766</v>
      </c>
      <c r="D2841">
        <v>76</v>
      </c>
      <c r="E2841">
        <v>0</v>
      </c>
      <c r="F2841">
        <v>199</v>
      </c>
    </row>
    <row r="2842" spans="1:6" ht="12.75">
      <c r="A2842" s="2">
        <v>43884.52070601852</v>
      </c>
      <c r="B2842" t="str">
        <f>HYPERLINK("https://twitter.com/Iqbal__Kholidi","@Iqbal__Kholidi")</f>
        <v>@Iqbal__Kholidi</v>
      </c>
      <c r="C2842" t="s">
        <v>2904</v>
      </c>
      <c r="D2842">
        <v>4</v>
      </c>
      <c r="E2842">
        <v>1</v>
      </c>
      <c r="F2842">
        <v>16243</v>
      </c>
    </row>
    <row r="2843" spans="1:6" ht="12.75">
      <c r="A2843" s="2">
        <v>43884.520104166666</v>
      </c>
      <c r="B2843" t="str">
        <f>HYPERLINK("https://twitter.com/jennyfebe","@jennyfebe")</f>
        <v>@jennyfebe</v>
      </c>
      <c r="C2843" t="s">
        <v>2766</v>
      </c>
      <c r="D2843">
        <v>76</v>
      </c>
      <c r="E2843">
        <v>0</v>
      </c>
      <c r="F2843">
        <v>463</v>
      </c>
    </row>
    <row r="2844" spans="1:6" ht="12.75">
      <c r="A2844" s="2">
        <v>43884.519212962958</v>
      </c>
      <c r="B2844" t="str">
        <f>HYPERLINK("https://twitter.com/Lookman14727021","@Lookman14727021")</f>
        <v>@Lookman14727021</v>
      </c>
      <c r="C2844" t="s">
        <v>2153</v>
      </c>
      <c r="D2844">
        <v>294</v>
      </c>
      <c r="E2844">
        <v>0</v>
      </c>
      <c r="F2844">
        <v>17</v>
      </c>
    </row>
    <row r="2845" spans="1:6" ht="12.75">
      <c r="A2845" s="2">
        <v>43884.518229166672</v>
      </c>
      <c r="B2845" t="str">
        <f>HYPERLINK("https://twitter.com/w4nw4e","@w4nw4e")</f>
        <v>@w4nw4e</v>
      </c>
      <c r="C2845" t="s">
        <v>2091</v>
      </c>
      <c r="D2845">
        <v>63</v>
      </c>
      <c r="E2845">
        <v>0</v>
      </c>
      <c r="F2845">
        <v>8385</v>
      </c>
    </row>
    <row r="2846" spans="1:6" ht="12.75">
      <c r="A2846" s="2">
        <v>43884.517997685187</v>
      </c>
      <c r="B2846" t="str">
        <f>HYPERLINK("https://twitter.com/ViruzBanned","@ViruzBanned")</f>
        <v>@ViruzBanned</v>
      </c>
      <c r="C2846" t="s">
        <v>2153</v>
      </c>
      <c r="D2846">
        <v>294</v>
      </c>
      <c r="E2846">
        <v>0</v>
      </c>
      <c r="F2846">
        <v>1235</v>
      </c>
    </row>
    <row r="2847" spans="1:6" ht="12.75">
      <c r="A2847" s="2">
        <v>43884.517974537041</v>
      </c>
      <c r="B2847" t="str">
        <f>HYPERLINK("https://twitter.com/sengatrans","@sengatrans")</f>
        <v>@sengatrans</v>
      </c>
      <c r="C2847" t="s">
        <v>2905</v>
      </c>
      <c r="D2847">
        <v>1</v>
      </c>
      <c r="E2847">
        <v>2</v>
      </c>
      <c r="F2847">
        <v>102</v>
      </c>
    </row>
    <row r="2848" spans="1:6" ht="12.75">
      <c r="A2848" s="2">
        <v>43884.517847222218</v>
      </c>
      <c r="B2848" t="str">
        <f>HYPERLINK("https://twitter.com/WiwidCorry","@WiwidCorry")</f>
        <v>@WiwidCorry</v>
      </c>
      <c r="C2848" t="s">
        <v>2766</v>
      </c>
      <c r="D2848">
        <v>76</v>
      </c>
      <c r="E2848">
        <v>0</v>
      </c>
      <c r="F2848">
        <v>68</v>
      </c>
    </row>
    <row r="2849" spans="1:6" ht="12.75">
      <c r="A2849" s="2">
        <v>43884.517696759256</v>
      </c>
      <c r="B2849" t="str">
        <f>HYPERLINK("https://twitter.com/CS_Ramdhani","@CS_Ramdhani")</f>
        <v>@CS_Ramdhani</v>
      </c>
      <c r="C2849" t="s">
        <v>2766</v>
      </c>
      <c r="D2849">
        <v>76</v>
      </c>
      <c r="E2849">
        <v>0</v>
      </c>
      <c r="F2849">
        <v>365</v>
      </c>
    </row>
    <row r="2850" spans="1:6" ht="12.75">
      <c r="A2850" s="2">
        <v>43884.517372685186</v>
      </c>
      <c r="B2850" t="str">
        <f>HYPERLINK("https://twitter.com/FernaldyRizky11","@FernaldyRizky11")</f>
        <v>@FernaldyRizky11</v>
      </c>
      <c r="C2850" t="s">
        <v>2906</v>
      </c>
      <c r="D2850">
        <v>33</v>
      </c>
      <c r="E2850">
        <v>0</v>
      </c>
      <c r="F2850">
        <v>101</v>
      </c>
    </row>
    <row r="2851" spans="1:6" ht="12.75">
      <c r="A2851" s="2">
        <v>43884.517106481479</v>
      </c>
      <c r="B2851" t="str">
        <f>HYPERLINK("https://twitter.com/jennyfebe","@jennyfebe")</f>
        <v>@jennyfebe</v>
      </c>
      <c r="C2851" t="s">
        <v>2756</v>
      </c>
      <c r="D2851">
        <v>35</v>
      </c>
      <c r="E2851">
        <v>0</v>
      </c>
      <c r="F2851">
        <v>463</v>
      </c>
    </row>
    <row r="2852" spans="1:6" ht="12.75">
      <c r="A2852" s="2">
        <v>43884.517071759255</v>
      </c>
      <c r="B2852" t="str">
        <f>HYPERLINK("https://twitter.com/MAliSubhan2","@MAliSubhan2")</f>
        <v>@MAliSubhan2</v>
      </c>
      <c r="C2852" t="s">
        <v>2091</v>
      </c>
      <c r="D2852">
        <v>63</v>
      </c>
      <c r="E2852">
        <v>0</v>
      </c>
      <c r="F2852">
        <v>1169</v>
      </c>
    </row>
    <row r="2853" spans="1:6" ht="12.75">
      <c r="A2853" s="2">
        <v>43884.516585648147</v>
      </c>
      <c r="B2853" t="str">
        <f>HYPERLINK("https://twitter.com/TSpartan99","@TSpartan99")</f>
        <v>@TSpartan99</v>
      </c>
      <c r="C2853" t="s">
        <v>2907</v>
      </c>
      <c r="D2853">
        <v>0</v>
      </c>
      <c r="E2853">
        <v>0</v>
      </c>
      <c r="F2853">
        <v>873</v>
      </c>
    </row>
    <row r="2854" spans="1:6" ht="12.75">
      <c r="A2854" s="2">
        <v>43884.515949074077</v>
      </c>
      <c r="B2854" t="str">
        <f>HYPERLINK("https://twitter.com/Wisnu_Adinata","@Wisnu_Adinata")</f>
        <v>@Wisnu_Adinata</v>
      </c>
      <c r="C2854" t="s">
        <v>2091</v>
      </c>
      <c r="D2854">
        <v>63</v>
      </c>
      <c r="E2854">
        <v>0</v>
      </c>
      <c r="F2854">
        <v>350</v>
      </c>
    </row>
    <row r="2855" spans="1:6" ht="12.75">
      <c r="A2855" s="2">
        <v>43884.515150462961</v>
      </c>
      <c r="B2855" t="str">
        <f>HYPERLINK("https://twitter.com/Karisma_Jakarta","@Karisma_Jakarta")</f>
        <v>@Karisma_Jakarta</v>
      </c>
      <c r="C2855" t="s">
        <v>2153</v>
      </c>
      <c r="D2855">
        <v>294</v>
      </c>
      <c r="E2855">
        <v>0</v>
      </c>
      <c r="F2855">
        <v>534</v>
      </c>
    </row>
    <row r="2856" spans="1:6" ht="12.75">
      <c r="A2856" s="2">
        <v>43884.51489583333</v>
      </c>
      <c r="B2856" t="str">
        <f>HYPERLINK("https://twitter.com/ahkawin","@ahkawin")</f>
        <v>@ahkawin</v>
      </c>
      <c r="C2856" t="s">
        <v>2908</v>
      </c>
      <c r="D2856">
        <v>0</v>
      </c>
      <c r="E2856">
        <v>1</v>
      </c>
      <c r="F2856">
        <v>2895</v>
      </c>
    </row>
    <row r="2857" spans="1:6" ht="12.75">
      <c r="A2857" s="2">
        <v>43884.501377314809</v>
      </c>
      <c r="B2857" t="str">
        <f>HYPERLINK("https://twitter.com/punkerokan","@punkerokan")</f>
        <v>@punkerokan</v>
      </c>
      <c r="C2857" t="s">
        <v>2909</v>
      </c>
      <c r="D2857">
        <v>0</v>
      </c>
      <c r="E2857">
        <v>0</v>
      </c>
      <c r="F2857">
        <v>14</v>
      </c>
    </row>
    <row r="2858" spans="1:6" ht="12.75">
      <c r="A2858" s="2">
        <v>43884.50136574074</v>
      </c>
      <c r="B2858" t="str">
        <f>HYPERLINK("https://twitter.com/FaGtng","@FaGtng")</f>
        <v>@FaGtng</v>
      </c>
      <c r="C2858" t="s">
        <v>2091</v>
      </c>
      <c r="D2858">
        <v>12</v>
      </c>
      <c r="E2858">
        <v>0</v>
      </c>
      <c r="F2858">
        <v>16225</v>
      </c>
    </row>
    <row r="2859" spans="1:6" ht="12.75">
      <c r="A2859" s="2">
        <v>43884.50135416667</v>
      </c>
      <c r="B2859" t="str">
        <f>HYPERLINK("https://twitter.com/nugrazee","@nugrazee")</f>
        <v>@nugrazee</v>
      </c>
      <c r="C2859" t="s">
        <v>2824</v>
      </c>
      <c r="D2859">
        <v>4</v>
      </c>
      <c r="E2859">
        <v>0</v>
      </c>
      <c r="F2859">
        <v>786</v>
      </c>
    </row>
    <row r="2860" spans="1:6" ht="12.75">
      <c r="A2860" s="2">
        <v>43884.501134259262</v>
      </c>
      <c r="B2860" t="str">
        <f>HYPERLINK("https://twitter.com/yoojungmu","@yoojungmu")</f>
        <v>@yoojungmu</v>
      </c>
      <c r="C2860" t="s">
        <v>2910</v>
      </c>
      <c r="D2860">
        <v>0</v>
      </c>
      <c r="E2860">
        <v>0</v>
      </c>
      <c r="F2860">
        <v>8626</v>
      </c>
    </row>
    <row r="2861" spans="1:6" ht="12.75">
      <c r="A2861" s="2">
        <v>43884.500173611115</v>
      </c>
      <c r="B2861" t="str">
        <f>HYPERLINK("https://twitter.com/rangermera","@rangermera")</f>
        <v>@rangermera</v>
      </c>
      <c r="C2861" t="s">
        <v>2911</v>
      </c>
      <c r="D2861">
        <v>0</v>
      </c>
      <c r="E2861">
        <v>0</v>
      </c>
      <c r="F2861">
        <v>82</v>
      </c>
    </row>
    <row r="2862" spans="1:6" ht="12.75">
      <c r="A2862" s="2">
        <v>43884.499930555554</v>
      </c>
      <c r="B2862" t="str">
        <f>HYPERLINK("https://twitter.com/TahuPedas7","@TahuPedas7")</f>
        <v>@TahuPedas7</v>
      </c>
      <c r="C2862" t="s">
        <v>2911</v>
      </c>
      <c r="D2862">
        <v>0</v>
      </c>
      <c r="E2862">
        <v>0</v>
      </c>
      <c r="F2862">
        <v>92</v>
      </c>
    </row>
    <row r="2863" spans="1:6" ht="12.75">
      <c r="A2863" s="2">
        <v>43884.499814814815</v>
      </c>
      <c r="B2863" t="str">
        <f>HYPERLINK("https://twitter.com/IffahAlqadrie","@IffahAlqadrie")</f>
        <v>@IffahAlqadrie</v>
      </c>
      <c r="C2863" t="s">
        <v>2912</v>
      </c>
      <c r="D2863">
        <v>0</v>
      </c>
      <c r="E2863">
        <v>0</v>
      </c>
      <c r="F2863">
        <v>4269</v>
      </c>
    </row>
    <row r="2864" spans="1:6" ht="12.75">
      <c r="A2864" s="2">
        <v>43884.499236111107</v>
      </c>
      <c r="B2864" t="str">
        <f>HYPERLINK("https://twitter.com/punkerokan","@punkerokan")</f>
        <v>@punkerokan</v>
      </c>
      <c r="C2864" t="s">
        <v>2889</v>
      </c>
      <c r="D2864">
        <v>0</v>
      </c>
      <c r="E2864">
        <v>0</v>
      </c>
      <c r="F2864">
        <v>14</v>
      </c>
    </row>
    <row r="2865" spans="1:6" ht="12.75">
      <c r="A2865" s="2">
        <v>43884.498692129629</v>
      </c>
      <c r="B2865" t="str">
        <f>HYPERLINK("https://twitter.com/rongs_rong","@rongs_rong")</f>
        <v>@rongs_rong</v>
      </c>
      <c r="C2865" t="s">
        <v>2756</v>
      </c>
      <c r="D2865">
        <v>23</v>
      </c>
      <c r="E2865">
        <v>0</v>
      </c>
      <c r="F2865">
        <v>3204</v>
      </c>
    </row>
    <row r="2866" spans="1:6" ht="12.75">
      <c r="A2866" s="2">
        <v>43884.498564814814</v>
      </c>
      <c r="B2866" t="str">
        <f>HYPERLINK("https://twitter.com/SondoroMusic","@SondoroMusic")</f>
        <v>@SondoroMusic</v>
      </c>
      <c r="C2866" t="s">
        <v>2913</v>
      </c>
      <c r="D2866">
        <v>0</v>
      </c>
      <c r="E2866">
        <v>0</v>
      </c>
      <c r="F2866">
        <v>108462</v>
      </c>
    </row>
    <row r="2867" spans="1:6" ht="12.75">
      <c r="A2867" s="2">
        <v>43884.498530092591</v>
      </c>
      <c r="B2867" t="str">
        <f>HYPERLINK("https://twitter.com/yoojungmu","@yoojungmu")</f>
        <v>@yoojungmu</v>
      </c>
      <c r="C2867" t="s">
        <v>2914</v>
      </c>
      <c r="D2867">
        <v>0</v>
      </c>
      <c r="E2867">
        <v>0</v>
      </c>
      <c r="F2867">
        <v>8626</v>
      </c>
    </row>
    <row r="2868" spans="1:6" ht="12.75">
      <c r="A2868" s="2">
        <v>43884.498518518521</v>
      </c>
      <c r="B2868" t="str">
        <f>HYPERLINK("https://twitter.com/Abankgera999","@Abankgera999")</f>
        <v>@Abankgera999</v>
      </c>
      <c r="C2868" t="s">
        <v>2756</v>
      </c>
      <c r="D2868">
        <v>23</v>
      </c>
      <c r="E2868">
        <v>0</v>
      </c>
      <c r="F2868">
        <v>498</v>
      </c>
    </row>
    <row r="2869" spans="1:6" ht="12.75">
      <c r="A2869" s="2">
        <v>43884.498090277775</v>
      </c>
      <c r="B2869" t="str">
        <f>HYPERLINK("https://twitter.com/akupawi","@akupawi")</f>
        <v>@akupawi</v>
      </c>
      <c r="C2869" t="s">
        <v>2915</v>
      </c>
      <c r="D2869">
        <v>0</v>
      </c>
      <c r="E2869">
        <v>0</v>
      </c>
      <c r="F2869">
        <v>22</v>
      </c>
    </row>
    <row r="2870" spans="1:6" ht="12.75">
      <c r="A2870" s="2">
        <v>43884.498020833329</v>
      </c>
      <c r="B2870" t="str">
        <f>HYPERLINK("https://twitter.com/bwd12","@bwd12")</f>
        <v>@bwd12</v>
      </c>
      <c r="C2870" t="s">
        <v>2091</v>
      </c>
      <c r="D2870">
        <v>12</v>
      </c>
      <c r="E2870">
        <v>0</v>
      </c>
      <c r="F2870">
        <v>3264</v>
      </c>
    </row>
    <row r="2871" spans="1:6" ht="12.75">
      <c r="A2871" s="2">
        <v>43884.497835648144</v>
      </c>
      <c r="B2871" t="str">
        <f>HYPERLINK("https://twitter.com/TahuPedas7","@TahuPedas7")</f>
        <v>@TahuPedas7</v>
      </c>
      <c r="C2871" t="s">
        <v>2909</v>
      </c>
      <c r="D2871">
        <v>0</v>
      </c>
      <c r="E2871">
        <v>0</v>
      </c>
      <c r="F2871">
        <v>92</v>
      </c>
    </row>
    <row r="2872" spans="1:6" ht="12.75">
      <c r="A2872" s="2">
        <v>43884.497766203705</v>
      </c>
      <c r="B2872" t="str">
        <f>HYPERLINK("https://twitter.com/McFatimah","@McFatimah")</f>
        <v>@McFatimah</v>
      </c>
      <c r="C2872" t="s">
        <v>2148</v>
      </c>
      <c r="D2872">
        <v>20</v>
      </c>
      <c r="E2872">
        <v>0</v>
      </c>
      <c r="F2872">
        <v>1387</v>
      </c>
    </row>
    <row r="2873" spans="1:6" ht="12.75">
      <c r="A2873" s="2">
        <v>43884.497592592597</v>
      </c>
      <c r="B2873" t="str">
        <f>HYPERLINK("https://twitter.com/minhyunsc","@minhyunsc")</f>
        <v>@minhyunsc</v>
      </c>
      <c r="C2873" t="s">
        <v>2916</v>
      </c>
      <c r="D2873">
        <v>0</v>
      </c>
      <c r="E2873">
        <v>0</v>
      </c>
      <c r="F2873">
        <v>7519</v>
      </c>
    </row>
    <row r="2874" spans="1:6" ht="12.75">
      <c r="A2874" s="2">
        <v>43884.497442129628</v>
      </c>
      <c r="B2874" t="str">
        <f>HYPERLINK("https://twitter.com/mx_rudy","@mx_rudy")</f>
        <v>@mx_rudy</v>
      </c>
      <c r="C2874" t="s">
        <v>2756</v>
      </c>
      <c r="D2874">
        <v>23</v>
      </c>
      <c r="E2874">
        <v>0</v>
      </c>
      <c r="F2874">
        <v>590</v>
      </c>
    </row>
    <row r="2875" spans="1:6" ht="12.75">
      <c r="A2875" s="2">
        <v>43884.497395833328</v>
      </c>
      <c r="B2875" t="str">
        <f>HYPERLINK("https://twitter.com/Jphms","@Jphms")</f>
        <v>@Jphms</v>
      </c>
      <c r="C2875" t="s">
        <v>2091</v>
      </c>
      <c r="D2875">
        <v>12</v>
      </c>
      <c r="E2875">
        <v>0</v>
      </c>
      <c r="F2875">
        <v>197</v>
      </c>
    </row>
    <row r="2876" spans="1:6" ht="12.75">
      <c r="A2876" s="2">
        <v>43884.49722222222</v>
      </c>
      <c r="B2876" t="str">
        <f>HYPERLINK("https://twitter.com/SoniMsi07","@SoniMsi07")</f>
        <v>@SoniMsi07</v>
      </c>
      <c r="C2876" t="s">
        <v>2766</v>
      </c>
      <c r="D2876">
        <v>52</v>
      </c>
      <c r="E2876">
        <v>0</v>
      </c>
      <c r="F2876">
        <v>250</v>
      </c>
    </row>
    <row r="2877" spans="1:6" ht="12.75">
      <c r="A2877" s="2">
        <v>43884.495972222227</v>
      </c>
      <c r="B2877" t="str">
        <f>HYPERLINK("https://twitter.com/yoojungmu","@yoojungmu")</f>
        <v>@yoojungmu</v>
      </c>
      <c r="C2877" t="s">
        <v>2911</v>
      </c>
      <c r="D2877">
        <v>0</v>
      </c>
      <c r="E2877">
        <v>0</v>
      </c>
      <c r="F2877">
        <v>8626</v>
      </c>
    </row>
    <row r="2878" spans="1:6" ht="12.75">
      <c r="A2878" s="2">
        <v>43884.495891203704</v>
      </c>
      <c r="B2878" t="str">
        <f>HYPERLINK("https://twitter.com/mulya_januar","@mulya_januar")</f>
        <v>@mulya_januar</v>
      </c>
      <c r="C2878" t="s">
        <v>2917</v>
      </c>
      <c r="D2878">
        <v>0</v>
      </c>
      <c r="E2878">
        <v>0</v>
      </c>
      <c r="F2878">
        <v>51</v>
      </c>
    </row>
    <row r="2879" spans="1:6" ht="12.75">
      <c r="A2879" s="2">
        <v>43884.495729166665</v>
      </c>
      <c r="B2879" t="str">
        <f>HYPERLINK("https://twitter.com/minhyunsc","@minhyunsc")</f>
        <v>@minhyunsc</v>
      </c>
      <c r="C2879" t="s">
        <v>2911</v>
      </c>
      <c r="D2879">
        <v>0</v>
      </c>
      <c r="E2879">
        <v>0</v>
      </c>
      <c r="F2879">
        <v>7519</v>
      </c>
    </row>
    <row r="2880" spans="1:6" ht="12.75">
      <c r="A2880" s="2">
        <v>43884.495659722219</v>
      </c>
      <c r="B2880" t="str">
        <f>HYPERLINK("https://twitter.com/BashoryZ","@BashoryZ")</f>
        <v>@BashoryZ</v>
      </c>
      <c r="C2880" t="s">
        <v>2881</v>
      </c>
      <c r="D2880">
        <v>7</v>
      </c>
      <c r="E2880">
        <v>0</v>
      </c>
      <c r="F2880">
        <v>2266</v>
      </c>
    </row>
    <row r="2881" spans="1:6" ht="12.75">
      <c r="A2881" s="2">
        <v>43884.495648148149</v>
      </c>
      <c r="B2881" t="str">
        <f>HYPERLINK("https://twitter.com/agnov12","@agnov12")</f>
        <v>@agnov12</v>
      </c>
      <c r="C2881" t="s">
        <v>2766</v>
      </c>
      <c r="D2881">
        <v>52</v>
      </c>
      <c r="E2881">
        <v>0</v>
      </c>
      <c r="F2881">
        <v>2989</v>
      </c>
    </row>
    <row r="2882" spans="1:6" ht="12.75">
      <c r="A2882" s="2">
        <v>43884.495462962965</v>
      </c>
      <c r="B2882" t="str">
        <f>HYPERLINK("https://twitter.com/petrus95_","@petrus95_")</f>
        <v>@petrus95_</v>
      </c>
      <c r="C2882" t="s">
        <v>2918</v>
      </c>
      <c r="D2882">
        <v>0</v>
      </c>
      <c r="E2882">
        <v>1</v>
      </c>
      <c r="F2882">
        <v>12</v>
      </c>
    </row>
    <row r="2883" spans="1:6" ht="12.75">
      <c r="A2883" s="2">
        <v>43884.495416666672</v>
      </c>
      <c r="B2883" t="str">
        <f>HYPERLINK("https://twitter.com/SelviaEnchy","@SelviaEnchy")</f>
        <v>@SelviaEnchy</v>
      </c>
      <c r="C2883" t="s">
        <v>2919</v>
      </c>
      <c r="D2883">
        <v>0</v>
      </c>
      <c r="E2883">
        <v>0</v>
      </c>
      <c r="F2883">
        <v>81</v>
      </c>
    </row>
    <row r="2884" spans="1:6" ht="12.75">
      <c r="A2884" s="2">
        <v>43884.495023148149</v>
      </c>
      <c r="B2884" t="str">
        <f>HYPERLINK("https://twitter.com/kodokpangeran5","@kodokpangeran5")</f>
        <v>@kodokpangeran5</v>
      </c>
      <c r="C2884" t="s">
        <v>2909</v>
      </c>
      <c r="D2884">
        <v>0</v>
      </c>
      <c r="E2884">
        <v>0</v>
      </c>
      <c r="F2884">
        <v>98</v>
      </c>
    </row>
    <row r="2885" spans="1:6" ht="12.75">
      <c r="A2885" s="2">
        <v>43884.49491898148</v>
      </c>
      <c r="B2885" t="str">
        <f>HYPERLINK("https://twitter.com/Bennyboegiz","@Bennyboegiz")</f>
        <v>@Bennyboegiz</v>
      </c>
      <c r="C2885" t="s">
        <v>2920</v>
      </c>
      <c r="D2885">
        <v>2</v>
      </c>
      <c r="E2885">
        <v>0</v>
      </c>
      <c r="F2885">
        <v>969</v>
      </c>
    </row>
    <row r="2886" spans="1:6" ht="12.75">
      <c r="A2886" s="2">
        <v>43884.494884259257</v>
      </c>
      <c r="B2886" t="str">
        <f>HYPERLINK("https://twitter.com/thisisyudhis","@thisisyudhis")</f>
        <v>@thisisyudhis</v>
      </c>
      <c r="C2886" t="s">
        <v>2921</v>
      </c>
      <c r="D2886">
        <v>0</v>
      </c>
      <c r="E2886">
        <v>0</v>
      </c>
      <c r="F2886">
        <v>1493</v>
      </c>
    </row>
    <row r="2887" spans="1:6" ht="12.75">
      <c r="A2887" s="2">
        <v>43884.494803240741</v>
      </c>
      <c r="B2887" t="str">
        <f>HYPERLINK("https://twitter.com/afsentosa","@afsentosa")</f>
        <v>@afsentosa</v>
      </c>
      <c r="C2887" t="s">
        <v>2091</v>
      </c>
      <c r="D2887">
        <v>12</v>
      </c>
      <c r="E2887">
        <v>0</v>
      </c>
      <c r="F2887">
        <v>288</v>
      </c>
    </row>
    <row r="2888" spans="1:6" ht="12.75">
      <c r="A2888" s="2">
        <v>43884.494791666672</v>
      </c>
      <c r="B2888" t="str">
        <f>HYPERLINK("https://twitter.com/PutraJaguar8","@PutraJaguar8")</f>
        <v>@PutraJaguar8</v>
      </c>
      <c r="C2888" t="s">
        <v>2909</v>
      </c>
      <c r="D2888">
        <v>0</v>
      </c>
      <c r="E2888">
        <v>0</v>
      </c>
      <c r="F2888">
        <v>2</v>
      </c>
    </row>
    <row r="2889" spans="1:6" ht="12.75">
      <c r="A2889" s="2">
        <v>43884.494606481487</v>
      </c>
      <c r="B2889" t="str">
        <f>HYPERLINK("https://twitter.com/hypefatpanda","@hypefatpanda")</f>
        <v>@hypefatpanda</v>
      </c>
      <c r="C2889" t="s">
        <v>2922</v>
      </c>
      <c r="D2889">
        <v>0</v>
      </c>
      <c r="E2889">
        <v>0</v>
      </c>
      <c r="F2889">
        <v>875</v>
      </c>
    </row>
    <row r="2890" spans="1:6" ht="12.75">
      <c r="A2890" s="2">
        <v>43884.494560185187</v>
      </c>
      <c r="B2890" t="str">
        <f>HYPERLINK("https://twitter.com/cameliaria1","@cameliaria1")</f>
        <v>@cameliaria1</v>
      </c>
      <c r="C2890" t="s">
        <v>2923</v>
      </c>
      <c r="D2890">
        <v>0</v>
      </c>
      <c r="E2890">
        <v>0</v>
      </c>
      <c r="F2890">
        <v>51</v>
      </c>
    </row>
    <row r="2891" spans="1:6" ht="12.75">
      <c r="A2891" s="2">
        <v>43884.494143518517</v>
      </c>
      <c r="B2891" t="str">
        <f>HYPERLINK("https://twitter.com/tjhinfar21","@tjhinfar21")</f>
        <v>@tjhinfar21</v>
      </c>
      <c r="C2891" t="s">
        <v>2766</v>
      </c>
      <c r="D2891">
        <v>52</v>
      </c>
      <c r="E2891">
        <v>0</v>
      </c>
      <c r="F2891">
        <v>15553</v>
      </c>
    </row>
    <row r="2892" spans="1:6" ht="12.75">
      <c r="A2892" s="2">
        <v>43884.494097222225</v>
      </c>
      <c r="B2892" t="str">
        <f>HYPERLINK("https://twitter.com/PutraJaguar8","@PutraJaguar8")</f>
        <v>@PutraJaguar8</v>
      </c>
      <c r="C2892" t="s">
        <v>2914</v>
      </c>
      <c r="D2892">
        <v>0</v>
      </c>
      <c r="E2892">
        <v>0</v>
      </c>
      <c r="F2892">
        <v>2</v>
      </c>
    </row>
    <row r="2893" spans="1:6" ht="12.75">
      <c r="A2893" s="2">
        <v>43884.494004629625</v>
      </c>
      <c r="B2893" t="str">
        <f>HYPERLINK("https://twitter.com/mamihanafi","@mamihanafi")</f>
        <v>@mamihanafi</v>
      </c>
      <c r="C2893" t="s">
        <v>2766</v>
      </c>
      <c r="D2893">
        <v>52</v>
      </c>
      <c r="E2893">
        <v>0</v>
      </c>
      <c r="F2893">
        <v>1781</v>
      </c>
    </row>
    <row r="2894" spans="1:6" ht="12.75">
      <c r="A2894" s="2">
        <v>43884.493981481486</v>
      </c>
      <c r="B2894" t="str">
        <f>HYPERLINK("https://twitter.com/zazaputih","@zazaputih")</f>
        <v>@zazaputih</v>
      </c>
      <c r="C2894" t="s">
        <v>2766</v>
      </c>
      <c r="D2894">
        <v>52</v>
      </c>
      <c r="E2894">
        <v>0</v>
      </c>
      <c r="F2894">
        <v>42</v>
      </c>
    </row>
    <row r="2895" spans="1:6" ht="12.75">
      <c r="A2895" s="2">
        <v>43884.493923611109</v>
      </c>
      <c r="B2895" t="str">
        <f>HYPERLINK("https://twitter.com/DMarwanty","@DMarwanty")</f>
        <v>@DMarwanty</v>
      </c>
      <c r="C2895" t="s">
        <v>2924</v>
      </c>
      <c r="D2895">
        <v>0</v>
      </c>
      <c r="E2895">
        <v>0</v>
      </c>
      <c r="F2895">
        <v>24</v>
      </c>
    </row>
    <row r="2896" spans="1:6" ht="12.75">
      <c r="A2896" s="2">
        <v>43884.493518518517</v>
      </c>
      <c r="B2896" t="str">
        <f>HYPERLINK("https://twitter.com/VaniaCiprut","@VaniaCiprut")</f>
        <v>@VaniaCiprut</v>
      </c>
      <c r="C2896" t="s">
        <v>2766</v>
      </c>
      <c r="D2896">
        <v>52</v>
      </c>
      <c r="E2896">
        <v>0</v>
      </c>
      <c r="F2896">
        <v>5060</v>
      </c>
    </row>
    <row r="2897" spans="1:6" ht="12.75">
      <c r="A2897" s="2">
        <v>43884.493506944447</v>
      </c>
      <c r="B2897" t="str">
        <f>HYPERLINK("https://twitter.com/lenathiara","@lenathiara")</f>
        <v>@lenathiara</v>
      </c>
      <c r="C2897" t="s">
        <v>2925</v>
      </c>
      <c r="D2897">
        <v>0</v>
      </c>
      <c r="E2897">
        <v>0</v>
      </c>
      <c r="F2897">
        <v>147</v>
      </c>
    </row>
    <row r="2898" spans="1:6" ht="12.75">
      <c r="A2898" s="2">
        <v>43884.493368055555</v>
      </c>
      <c r="B2898" t="str">
        <f>HYPERLINK("https://twitter.com/cameliaria1","@cameliaria1")</f>
        <v>@cameliaria1</v>
      </c>
      <c r="C2898" t="s">
        <v>2926</v>
      </c>
      <c r="D2898">
        <v>0</v>
      </c>
      <c r="E2898">
        <v>0</v>
      </c>
      <c r="F2898">
        <v>51</v>
      </c>
    </row>
    <row r="2899" spans="1:6" ht="12.75">
      <c r="A2899" s="2">
        <v>43884.492974537032</v>
      </c>
      <c r="B2899" t="str">
        <f>HYPERLINK("https://twitter.com/sumadiseloguno","@sumadiseloguno")</f>
        <v>@sumadiseloguno</v>
      </c>
      <c r="C2899" t="s">
        <v>2153</v>
      </c>
      <c r="D2899">
        <v>285</v>
      </c>
      <c r="E2899">
        <v>0</v>
      </c>
      <c r="F2899">
        <v>1413</v>
      </c>
    </row>
    <row r="2900" spans="1:6" ht="12.75">
      <c r="A2900" s="2">
        <v>43884.492951388893</v>
      </c>
      <c r="B2900" t="str">
        <f>HYPERLINK("https://twitter.com/tjhinfar21","@tjhinfar21")</f>
        <v>@tjhinfar21</v>
      </c>
      <c r="C2900" t="s">
        <v>2756</v>
      </c>
      <c r="D2900">
        <v>23</v>
      </c>
      <c r="E2900">
        <v>0</v>
      </c>
      <c r="F2900">
        <v>15553</v>
      </c>
    </row>
    <row r="2901" spans="1:6" ht="12.75">
      <c r="A2901" s="2">
        <v>43884.492581018523</v>
      </c>
      <c r="B2901" t="str">
        <f>HYPERLINK("https://twitter.com/Edward07011971","@Edward07011971")</f>
        <v>@Edward07011971</v>
      </c>
      <c r="C2901" t="s">
        <v>2091</v>
      </c>
      <c r="D2901">
        <v>12</v>
      </c>
      <c r="E2901">
        <v>0</v>
      </c>
      <c r="F2901">
        <v>260</v>
      </c>
    </row>
    <row r="2902" spans="1:6" ht="12.75">
      <c r="A2902" s="2">
        <v>43884.492569444439</v>
      </c>
      <c r="B2902" t="str">
        <f>HYPERLINK("https://twitter.com/AgusSal52","@AgusSal52")</f>
        <v>@AgusSal52</v>
      </c>
      <c r="C2902" t="s">
        <v>2927</v>
      </c>
      <c r="D2902">
        <v>35</v>
      </c>
      <c r="E2902">
        <v>0</v>
      </c>
      <c r="F2902">
        <v>1125</v>
      </c>
    </row>
    <row r="2903" spans="1:6" ht="12.75">
      <c r="A2903" s="2">
        <v>43884.492222222223</v>
      </c>
      <c r="B2903" t="str">
        <f>HYPERLINK("https://twitter.com/rangermera","@rangermera")</f>
        <v>@rangermera</v>
      </c>
      <c r="C2903" t="s">
        <v>2923</v>
      </c>
      <c r="D2903">
        <v>0</v>
      </c>
      <c r="E2903">
        <v>0</v>
      </c>
      <c r="F2903">
        <v>82</v>
      </c>
    </row>
    <row r="2904" spans="1:6" ht="12.75">
      <c r="A2904" s="2">
        <v>43884.492048611108</v>
      </c>
      <c r="B2904" t="str">
        <f>HYPERLINK("https://twitter.com/Purwa_wicak","@Purwa_wicak")</f>
        <v>@Purwa_wicak</v>
      </c>
      <c r="C2904" t="s">
        <v>2766</v>
      </c>
      <c r="D2904">
        <v>52</v>
      </c>
      <c r="E2904">
        <v>0</v>
      </c>
      <c r="F2904">
        <v>363</v>
      </c>
    </row>
    <row r="2905" spans="1:6" ht="12.75">
      <c r="A2905" s="2">
        <v>43884.492037037038</v>
      </c>
      <c r="B2905" t="str">
        <f>HYPERLINK("https://twitter.com/berbagi2info","@berbagi2info")</f>
        <v>@berbagi2info</v>
      </c>
      <c r="C2905" t="s">
        <v>2928</v>
      </c>
      <c r="D2905">
        <v>0</v>
      </c>
      <c r="E2905">
        <v>0</v>
      </c>
      <c r="F2905">
        <v>2566</v>
      </c>
    </row>
    <row r="2906" spans="1:6" ht="12.75">
      <c r="A2906" s="2">
        <v>43884.491979166662</v>
      </c>
      <c r="B2906" t="str">
        <f>HYPERLINK("https://twitter.com/minhyunsc","@minhyunsc")</f>
        <v>@minhyunsc</v>
      </c>
      <c r="C2906" t="s">
        <v>2909</v>
      </c>
      <c r="D2906">
        <v>0</v>
      </c>
      <c r="E2906">
        <v>0</v>
      </c>
      <c r="F2906">
        <v>7519</v>
      </c>
    </row>
    <row r="2907" spans="1:6" ht="12.75">
      <c r="A2907" s="2">
        <v>43884.491851851853</v>
      </c>
      <c r="B2907" t="str">
        <f>HYPERLINK("https://twitter.com/YRadianto","@YRadianto")</f>
        <v>@YRadianto</v>
      </c>
      <c r="C2907" t="s">
        <v>2091</v>
      </c>
      <c r="D2907">
        <v>12</v>
      </c>
      <c r="E2907">
        <v>0</v>
      </c>
      <c r="F2907">
        <v>28394</v>
      </c>
    </row>
    <row r="2908" spans="1:6" ht="12.75">
      <c r="A2908" s="2">
        <v>43884.4918287037</v>
      </c>
      <c r="B2908" t="str">
        <f>HYPERLINK("https://twitter.com/kezia_dera","@kezia_dera")</f>
        <v>@kezia_dera</v>
      </c>
      <c r="C2908" t="s">
        <v>2929</v>
      </c>
      <c r="D2908">
        <v>0</v>
      </c>
      <c r="E2908">
        <v>0</v>
      </c>
      <c r="F2908">
        <v>445</v>
      </c>
    </row>
    <row r="2909" spans="1:6" ht="12.75">
      <c r="A2909" s="2">
        <v>43884.491747685184</v>
      </c>
      <c r="B2909" t="str">
        <f>HYPERLINK("https://twitter.com/ricosiswandi","@ricosiswandi")</f>
        <v>@ricosiswandi</v>
      </c>
      <c r="C2909" t="s">
        <v>2766</v>
      </c>
      <c r="D2909">
        <v>52</v>
      </c>
      <c r="E2909">
        <v>0</v>
      </c>
      <c r="F2909">
        <v>2442</v>
      </c>
    </row>
    <row r="2910" spans="1:6" ht="12.75">
      <c r="A2910" s="2">
        <v>43884.491412037038</v>
      </c>
      <c r="B2910" t="str">
        <f>HYPERLINK("https://twitter.com/MichaelHarto77","@MichaelHarto77")</f>
        <v>@MichaelHarto77</v>
      </c>
      <c r="C2910" t="s">
        <v>2766</v>
      </c>
      <c r="D2910">
        <v>52</v>
      </c>
      <c r="E2910">
        <v>0</v>
      </c>
      <c r="F2910">
        <v>4562</v>
      </c>
    </row>
    <row r="2911" spans="1:6" ht="12.75">
      <c r="A2911" s="2">
        <v>43884.491273148145</v>
      </c>
      <c r="B2911" t="str">
        <f>HYPERLINK("https://twitter.com/punkerokan","@punkerokan")</f>
        <v>@punkerokan</v>
      </c>
      <c r="C2911" t="s">
        <v>2911</v>
      </c>
      <c r="D2911">
        <v>0</v>
      </c>
      <c r="E2911">
        <v>0</v>
      </c>
      <c r="F2911">
        <v>14</v>
      </c>
    </row>
    <row r="2912" spans="1:6" ht="12.75">
      <c r="A2912" s="2">
        <v>43884.491041666668</v>
      </c>
      <c r="B2912" t="str">
        <f>HYPERLINK("https://twitter.com/wikwik6969","@wikwik6969")</f>
        <v>@wikwik6969</v>
      </c>
      <c r="C2912" t="s">
        <v>2930</v>
      </c>
      <c r="D2912">
        <v>152</v>
      </c>
      <c r="E2912">
        <v>0</v>
      </c>
      <c r="F2912">
        <v>47</v>
      </c>
    </row>
    <row r="2913" spans="1:6" ht="12.75">
      <c r="A2913" s="2">
        <v>43884.490810185191</v>
      </c>
      <c r="B2913" t="str">
        <f t="shared" ref="B2913:B2914" si="64">HYPERLINK("https://twitter.com/TahuPedas7","@TahuPedas7")</f>
        <v>@TahuPedas7</v>
      </c>
      <c r="C2913" t="s">
        <v>2923</v>
      </c>
      <c r="D2913">
        <v>0</v>
      </c>
      <c r="E2913">
        <v>0</v>
      </c>
      <c r="F2913">
        <v>92</v>
      </c>
    </row>
    <row r="2914" spans="1:6" ht="12.75">
      <c r="A2914" s="2">
        <v>43884.490567129629</v>
      </c>
      <c r="B2914" t="str">
        <f t="shared" si="64"/>
        <v>@TahuPedas7</v>
      </c>
      <c r="C2914" t="s">
        <v>2889</v>
      </c>
      <c r="D2914">
        <v>0</v>
      </c>
      <c r="E2914">
        <v>0</v>
      </c>
      <c r="F2914">
        <v>92</v>
      </c>
    </row>
    <row r="2915" spans="1:6" ht="12.75">
      <c r="A2915" s="2">
        <v>43884.490486111114</v>
      </c>
      <c r="B2915" t="str">
        <f>HYPERLINK("https://twitter.com/riskywolterS","@riskywolterS")</f>
        <v>@riskywolterS</v>
      </c>
      <c r="C2915" t="s">
        <v>2766</v>
      </c>
      <c r="D2915">
        <v>52</v>
      </c>
      <c r="E2915">
        <v>0</v>
      </c>
      <c r="F2915">
        <v>158</v>
      </c>
    </row>
    <row r="2916" spans="1:6" ht="12.75">
      <c r="A2916" s="2">
        <v>43884.490405092598</v>
      </c>
      <c r="B2916" t="str">
        <f>HYPERLINK("https://twitter.com/wni_jmsri","@wni_jmsri")</f>
        <v>@wni_jmsri</v>
      </c>
      <c r="C2916" t="s">
        <v>2931</v>
      </c>
      <c r="D2916">
        <v>1593</v>
      </c>
      <c r="E2916">
        <v>0</v>
      </c>
      <c r="F2916">
        <v>196</v>
      </c>
    </row>
    <row r="2917" spans="1:6" ht="12.75">
      <c r="A2917" s="2">
        <v>43884.490324074075</v>
      </c>
      <c r="B2917" t="str">
        <f>HYPERLINK("https://twitter.com/minhyunsc","@minhyunsc")</f>
        <v>@minhyunsc</v>
      </c>
      <c r="C2917" t="s">
        <v>2914</v>
      </c>
      <c r="D2917">
        <v>0</v>
      </c>
      <c r="E2917">
        <v>0</v>
      </c>
      <c r="F2917">
        <v>7519</v>
      </c>
    </row>
    <row r="2918" spans="1:6" ht="12.75">
      <c r="A2918" s="2">
        <v>43884.490081018521</v>
      </c>
      <c r="B2918" t="str">
        <f>HYPERLINK("https://twitter.com/yoojungmu","@yoojungmu")</f>
        <v>@yoojungmu</v>
      </c>
      <c r="C2918" t="s">
        <v>2914</v>
      </c>
      <c r="D2918">
        <v>0</v>
      </c>
      <c r="E2918">
        <v>0</v>
      </c>
      <c r="F2918">
        <v>8626</v>
      </c>
    </row>
    <row r="2919" spans="1:6" ht="12.75">
      <c r="A2919" s="2">
        <v>43884.489375000005</v>
      </c>
      <c r="B2919" t="str">
        <f>HYPERLINK("https://twitter.com/PutraJaguar8","@PutraJaguar8")</f>
        <v>@PutraJaguar8</v>
      </c>
      <c r="C2919" t="s">
        <v>2926</v>
      </c>
      <c r="D2919">
        <v>0</v>
      </c>
      <c r="E2919">
        <v>0</v>
      </c>
      <c r="F2919">
        <v>2</v>
      </c>
    </row>
    <row r="2920" spans="1:6" ht="12.75">
      <c r="A2920" s="2">
        <v>43884.489305555559</v>
      </c>
      <c r="B2920" t="str">
        <f>HYPERLINK("https://twitter.com/Putra_TGS","@Putra_TGS")</f>
        <v>@Putra_TGS</v>
      </c>
      <c r="C2920" t="s">
        <v>2756</v>
      </c>
      <c r="D2920">
        <v>23</v>
      </c>
      <c r="E2920">
        <v>0</v>
      </c>
      <c r="F2920">
        <v>1276</v>
      </c>
    </row>
    <row r="2921" spans="1:6" ht="12.75">
      <c r="A2921" s="2">
        <v>43884.489131944443</v>
      </c>
      <c r="B2921" t="str">
        <f>HYPERLINK("https://twitter.com/minhyunsc","@minhyunsc")</f>
        <v>@minhyunsc</v>
      </c>
      <c r="C2921" t="s">
        <v>2889</v>
      </c>
      <c r="D2921">
        <v>0</v>
      </c>
      <c r="E2921">
        <v>0</v>
      </c>
      <c r="F2921">
        <v>7519</v>
      </c>
    </row>
    <row r="2922" spans="1:6" ht="12.75">
      <c r="A2922" s="2">
        <v>43884.488703703704</v>
      </c>
      <c r="B2922" t="str">
        <f>HYPERLINK("https://twitter.com/bwd12","@bwd12")</f>
        <v>@bwd12</v>
      </c>
      <c r="C2922" t="s">
        <v>2881</v>
      </c>
      <c r="D2922">
        <v>7</v>
      </c>
      <c r="E2922">
        <v>0</v>
      </c>
      <c r="F2922">
        <v>3264</v>
      </c>
    </row>
    <row r="2923" spans="1:6" ht="12.75">
      <c r="A2923" s="2">
        <v>43884.488437499997</v>
      </c>
      <c r="B2923" t="str">
        <f>HYPERLINK("https://twitter.com/minhyunsc","@minhyunsc")</f>
        <v>@minhyunsc</v>
      </c>
      <c r="C2923" t="s">
        <v>2910</v>
      </c>
      <c r="D2923">
        <v>0</v>
      </c>
      <c r="E2923">
        <v>0</v>
      </c>
      <c r="F2923">
        <v>7519</v>
      </c>
    </row>
    <row r="2924" spans="1:6" ht="12.75">
      <c r="A2924" s="2">
        <v>43884.48809027778</v>
      </c>
      <c r="B2924" t="str">
        <f>HYPERLINK("https://twitter.com/Jimmy73600634","@Jimmy73600634")</f>
        <v>@Jimmy73600634</v>
      </c>
      <c r="C2924" t="s">
        <v>2153</v>
      </c>
      <c r="D2924">
        <v>285</v>
      </c>
      <c r="E2924">
        <v>0</v>
      </c>
      <c r="F2924">
        <v>106</v>
      </c>
    </row>
    <row r="2925" spans="1:6" ht="12.75">
      <c r="A2925" s="2">
        <v>43884.487870370373</v>
      </c>
      <c r="B2925" t="str">
        <f>HYPERLINK("https://twitter.com/Doniaja1004","@Doniaja1004")</f>
        <v>@Doniaja1004</v>
      </c>
      <c r="C2925" t="s">
        <v>2932</v>
      </c>
      <c r="D2925">
        <v>0</v>
      </c>
      <c r="E2925">
        <v>0</v>
      </c>
      <c r="F2925">
        <v>0</v>
      </c>
    </row>
    <row r="2926" spans="1:6" ht="12.75">
      <c r="A2926" s="2">
        <v>43884.487858796296</v>
      </c>
      <c r="B2926" t="str">
        <f>HYPERLINK("https://twitter.com/rubiavianto","@rubiavianto")</f>
        <v>@rubiavianto</v>
      </c>
      <c r="C2926" t="s">
        <v>2766</v>
      </c>
      <c r="D2926">
        <v>52</v>
      </c>
      <c r="E2926">
        <v>0</v>
      </c>
      <c r="F2926">
        <v>3137</v>
      </c>
    </row>
    <row r="2927" spans="1:6" ht="12.75">
      <c r="A2927" s="2">
        <v>43884.487743055557</v>
      </c>
      <c r="B2927" t="str">
        <f>HYPERLINK("https://twitter.com/rangermera","@rangermera")</f>
        <v>@rangermera</v>
      </c>
      <c r="C2927" t="s">
        <v>2926</v>
      </c>
      <c r="D2927">
        <v>0</v>
      </c>
      <c r="E2927">
        <v>0</v>
      </c>
      <c r="F2927">
        <v>82</v>
      </c>
    </row>
    <row r="2928" spans="1:6" ht="12.75">
      <c r="A2928" s="2">
        <v>43884.487708333334</v>
      </c>
      <c r="B2928" t="str">
        <f>HYPERLINK("https://twitter.com/jeff_ikhlas","@jeff_ikhlas")</f>
        <v>@jeff_ikhlas</v>
      </c>
      <c r="C2928" t="s">
        <v>2824</v>
      </c>
      <c r="D2928">
        <v>4</v>
      </c>
      <c r="E2928">
        <v>0</v>
      </c>
      <c r="F2928">
        <v>603</v>
      </c>
    </row>
    <row r="2929" spans="1:6" ht="12.75">
      <c r="A2929" s="2">
        <v>43884.487430555557</v>
      </c>
      <c r="B2929" t="str">
        <f>HYPERLINK("https://twitter.com/SammyMujahidah","@SammyMujahidah")</f>
        <v>@SammyMujahidah</v>
      </c>
      <c r="C2929" t="s">
        <v>2933</v>
      </c>
      <c r="D2929">
        <v>1</v>
      </c>
      <c r="E2929">
        <v>0</v>
      </c>
      <c r="F2929">
        <v>2778</v>
      </c>
    </row>
    <row r="2930" spans="1:6" ht="12.75">
      <c r="A2930" s="2">
        <v>43884.487013888887</v>
      </c>
      <c r="B2930" t="str">
        <f>HYPERLINK("https://twitter.com/herryws_","@herryws_")</f>
        <v>@herryws_</v>
      </c>
      <c r="C2930" t="s">
        <v>2824</v>
      </c>
      <c r="D2930">
        <v>4</v>
      </c>
      <c r="E2930">
        <v>0</v>
      </c>
      <c r="F2930">
        <v>384</v>
      </c>
    </row>
    <row r="2931" spans="1:6" ht="12.75">
      <c r="A2931" s="2">
        <v>43884.486331018517</v>
      </c>
      <c r="B2931" t="str">
        <f>HYPERLINK("https://twitter.com/todays_qoute","@todays_qoute")</f>
        <v>@todays_qoute</v>
      </c>
      <c r="C2931" t="s">
        <v>2934</v>
      </c>
      <c r="D2931">
        <v>1</v>
      </c>
      <c r="E2931">
        <v>1</v>
      </c>
      <c r="F2931">
        <v>17314</v>
      </c>
    </row>
    <row r="2932" spans="1:6" ht="12.75">
      <c r="A2932" s="2">
        <v>43884.486157407402</v>
      </c>
      <c r="B2932" t="str">
        <f>HYPERLINK("https://twitter.com/hansssolo","@hansssolo")</f>
        <v>@hansssolo</v>
      </c>
      <c r="C2932" t="s">
        <v>2935</v>
      </c>
      <c r="D2932">
        <v>0</v>
      </c>
      <c r="E2932">
        <v>0</v>
      </c>
      <c r="F2932">
        <v>1607</v>
      </c>
    </row>
    <row r="2933" spans="1:6" ht="12.75">
      <c r="A2933" s="2">
        <v>43884.485902777778</v>
      </c>
      <c r="B2933" t="str">
        <f>HYPERLINK("https://twitter.com/Olivia55815143","@Olivia55815143")</f>
        <v>@Olivia55815143</v>
      </c>
      <c r="C2933" t="s">
        <v>2932</v>
      </c>
      <c r="D2933">
        <v>0</v>
      </c>
      <c r="E2933">
        <v>0</v>
      </c>
      <c r="F2933">
        <v>0</v>
      </c>
    </row>
    <row r="2934" spans="1:6" ht="12.75">
      <c r="A2934" s="2">
        <v>43884.485810185186</v>
      </c>
      <c r="B2934" t="str">
        <f>HYPERLINK("https://twitter.com/BashoryZ","@BashoryZ")</f>
        <v>@BashoryZ</v>
      </c>
      <c r="C2934" t="s">
        <v>2766</v>
      </c>
      <c r="D2934">
        <v>52</v>
      </c>
      <c r="E2934">
        <v>0</v>
      </c>
      <c r="F2934">
        <v>2266</v>
      </c>
    </row>
    <row r="2935" spans="1:6" ht="12.75">
      <c r="A2935" s="2">
        <v>43884.485231481478</v>
      </c>
      <c r="B2935" t="str">
        <f>HYPERLINK("https://twitter.com/SenkomPapua","@SenkomPapua")</f>
        <v>@SenkomPapua</v>
      </c>
      <c r="C2935" t="s">
        <v>2087</v>
      </c>
      <c r="D2935">
        <v>56</v>
      </c>
      <c r="E2935">
        <v>0</v>
      </c>
      <c r="F2935">
        <v>223</v>
      </c>
    </row>
    <row r="2936" spans="1:6" ht="12.75">
      <c r="A2936" s="2">
        <v>43884.485185185185</v>
      </c>
      <c r="B2936" t="str">
        <f>HYPERLINK("https://twitter.com/fajar_prata15","@fajar_prata15")</f>
        <v>@fajar_prata15</v>
      </c>
      <c r="C2936" t="s">
        <v>2932</v>
      </c>
      <c r="D2936">
        <v>0</v>
      </c>
      <c r="E2936">
        <v>0</v>
      </c>
      <c r="F2936">
        <v>69</v>
      </c>
    </row>
    <row r="2937" spans="1:6" ht="12.75">
      <c r="A2937" s="2">
        <v>43884.485046296293</v>
      </c>
      <c r="B2937" t="str">
        <f>HYPERLINK("https://twitter.com/AlBanna57697952","@AlBanna57697952")</f>
        <v>@AlBanna57697952</v>
      </c>
      <c r="C2937" t="s">
        <v>2756</v>
      </c>
      <c r="D2937">
        <v>23</v>
      </c>
      <c r="E2937">
        <v>0</v>
      </c>
      <c r="F2937">
        <v>53</v>
      </c>
    </row>
    <row r="2938" spans="1:6" ht="12.75">
      <c r="A2938" s="2">
        <v>43884.484803240739</v>
      </c>
      <c r="B2938" t="str">
        <f>HYPERLINK("https://twitter.com/suara_indo1","@suara_indo1")</f>
        <v>@suara_indo1</v>
      </c>
      <c r="C2938" t="s">
        <v>2936</v>
      </c>
      <c r="D2938">
        <v>0</v>
      </c>
      <c r="E2938">
        <v>0</v>
      </c>
      <c r="F2938">
        <v>94</v>
      </c>
    </row>
    <row r="2939" spans="1:6" ht="12.75">
      <c r="A2939" s="2">
        <v>43884.484664351854</v>
      </c>
      <c r="B2939" t="str">
        <f>HYPERLINK("https://twitter.com/ZAEffendy","@ZAEffendy")</f>
        <v>@ZAEffendy</v>
      </c>
      <c r="C2939" t="s">
        <v>2937</v>
      </c>
      <c r="D2939">
        <v>4</v>
      </c>
      <c r="E2939">
        <v>6</v>
      </c>
      <c r="F2939">
        <v>59684</v>
      </c>
    </row>
    <row r="2940" spans="1:6" ht="12.75">
      <c r="A2940" s="2">
        <v>43884.4846412037</v>
      </c>
      <c r="B2940" t="str">
        <f>HYPERLINK("https://twitter.com/ahmadkosasih03","@ahmadkosasih03")</f>
        <v>@ahmadkosasih03</v>
      </c>
      <c r="C2940" t="s">
        <v>2153</v>
      </c>
      <c r="D2940">
        <v>285</v>
      </c>
      <c r="E2940">
        <v>0</v>
      </c>
      <c r="F2940">
        <v>131</v>
      </c>
    </row>
    <row r="2941" spans="1:6" ht="12.75">
      <c r="A2941" s="2">
        <v>43884.484375</v>
      </c>
      <c r="B2941" t="str">
        <f>HYPERLINK("https://twitter.com/Dorty__","@Dorty__")</f>
        <v>@Dorty__</v>
      </c>
      <c r="C2941" t="s">
        <v>2938</v>
      </c>
      <c r="D2941">
        <v>4</v>
      </c>
      <c r="E2941">
        <v>0</v>
      </c>
      <c r="F2941">
        <v>1277</v>
      </c>
    </row>
    <row r="2942" spans="1:6" ht="12.75">
      <c r="A2942" s="2">
        <v>43884.484201388885</v>
      </c>
      <c r="B2942" t="str">
        <f>HYPERLINK("https://twitter.com/LensaRakyat","@LensaRakyat")</f>
        <v>@LensaRakyat</v>
      </c>
      <c r="C2942" t="s">
        <v>2932</v>
      </c>
      <c r="D2942">
        <v>0</v>
      </c>
      <c r="E2942">
        <v>0</v>
      </c>
      <c r="F2942">
        <v>90</v>
      </c>
    </row>
    <row r="2943" spans="1:6" ht="12.75">
      <c r="A2943" s="2">
        <v>43884.48369212963</v>
      </c>
      <c r="B2943" t="str">
        <f>HYPERLINK("https://twitter.com/MisterArif59","@MisterArif59")</f>
        <v>@MisterArif59</v>
      </c>
      <c r="C2943" t="s">
        <v>2153</v>
      </c>
      <c r="D2943">
        <v>285</v>
      </c>
      <c r="E2943">
        <v>0</v>
      </c>
      <c r="F2943">
        <v>334</v>
      </c>
    </row>
    <row r="2944" spans="1:6" ht="12.75">
      <c r="A2944" s="2">
        <v>43884.483680555553</v>
      </c>
      <c r="B2944" t="str">
        <f>HYPERLINK("https://twitter.com/AndySastrawina1","@AndySastrawina1")</f>
        <v>@AndySastrawina1</v>
      </c>
      <c r="C2944" t="s">
        <v>2766</v>
      </c>
      <c r="D2944">
        <v>52</v>
      </c>
      <c r="E2944">
        <v>0</v>
      </c>
      <c r="F2944">
        <v>1996</v>
      </c>
    </row>
    <row r="2945" spans="1:6" ht="12.75">
      <c r="A2945" s="2">
        <v>43884.483402777776</v>
      </c>
      <c r="B2945" t="str">
        <f>HYPERLINK("https://twitter.com/Andri64991476","@Andri64991476")</f>
        <v>@Andri64991476</v>
      </c>
      <c r="C2945" t="s">
        <v>2153</v>
      </c>
      <c r="D2945">
        <v>285</v>
      </c>
      <c r="E2945">
        <v>0</v>
      </c>
      <c r="F2945">
        <v>182</v>
      </c>
    </row>
    <row r="2946" spans="1:6" ht="12.75">
      <c r="A2946" s="2">
        <v>43884.483275462961</v>
      </c>
      <c r="B2946" t="str">
        <f>HYPERLINK("https://twitter.com/ilham30864461","@ilham30864461")</f>
        <v>@ilham30864461</v>
      </c>
      <c r="C2946" t="s">
        <v>2153</v>
      </c>
      <c r="D2946">
        <v>285</v>
      </c>
      <c r="E2946">
        <v>0</v>
      </c>
      <c r="F2946">
        <v>18</v>
      </c>
    </row>
    <row r="2947" spans="1:6" ht="12.75">
      <c r="A2947" s="2">
        <v>43884.483263888891</v>
      </c>
      <c r="B2947" t="str">
        <f>HYPERLINK("https://twitter.com/luthfiyusuf5","@luthfiyusuf5")</f>
        <v>@luthfiyusuf5</v>
      </c>
      <c r="C2947" t="s">
        <v>2766</v>
      </c>
      <c r="D2947">
        <v>52</v>
      </c>
      <c r="E2947">
        <v>0</v>
      </c>
      <c r="F2947">
        <v>1293</v>
      </c>
    </row>
    <row r="2948" spans="1:6" ht="12.75">
      <c r="A2948" s="2">
        <v>43884.482453703706</v>
      </c>
      <c r="B2948" t="str">
        <f>HYPERLINK("https://twitter.com/McFatimah","@McFatimah")</f>
        <v>@McFatimah</v>
      </c>
      <c r="C2948" t="s">
        <v>2939</v>
      </c>
      <c r="D2948">
        <v>0</v>
      </c>
      <c r="E2948">
        <v>0</v>
      </c>
      <c r="F2948">
        <v>1387</v>
      </c>
    </row>
    <row r="2949" spans="1:6" ht="12.75">
      <c r="A2949" s="2">
        <v>43884.481608796297</v>
      </c>
      <c r="B2949" t="str">
        <f>HYPERLINK("https://twitter.com/Di_Wangsa69","@Di_Wangsa69")</f>
        <v>@Di_Wangsa69</v>
      </c>
      <c r="C2949" t="s">
        <v>2153</v>
      </c>
      <c r="D2949">
        <v>285</v>
      </c>
      <c r="E2949">
        <v>0</v>
      </c>
      <c r="F2949">
        <v>185</v>
      </c>
    </row>
    <row r="2950" spans="1:6" ht="12.75">
      <c r="A2950" s="2">
        <v>43884.480902777781</v>
      </c>
      <c r="B2950" t="str">
        <f>HYPERLINK("https://twitter.com/AyuLOVEagnezmo","@AyuLOVEagnezmo")</f>
        <v>@AyuLOVEagnezmo</v>
      </c>
      <c r="C2950" t="s">
        <v>177</v>
      </c>
      <c r="D2950">
        <v>824</v>
      </c>
      <c r="E2950">
        <v>0</v>
      </c>
      <c r="F2950">
        <v>810</v>
      </c>
    </row>
    <row r="2951" spans="1:6" ht="12.75">
      <c r="A2951" s="2">
        <v>43884.480682870373</v>
      </c>
      <c r="B2951" t="str">
        <f>HYPERLINK("https://twitter.com/BradPitek","@BradPitek")</f>
        <v>@BradPitek</v>
      </c>
      <c r="C2951" t="s">
        <v>2766</v>
      </c>
      <c r="D2951">
        <v>52</v>
      </c>
      <c r="E2951">
        <v>0</v>
      </c>
      <c r="F2951">
        <v>233</v>
      </c>
    </row>
    <row r="2952" spans="1:6" ht="12.75">
      <c r="A2952" s="2">
        <v>43884.480590277773</v>
      </c>
      <c r="B2952" t="str">
        <f>HYPERLINK("https://twitter.com/SenjaReal","@SenjaReal")</f>
        <v>@SenjaReal</v>
      </c>
      <c r="C2952" t="s">
        <v>2091</v>
      </c>
      <c r="D2952">
        <v>12</v>
      </c>
      <c r="E2952">
        <v>0</v>
      </c>
      <c r="F2952">
        <v>2829</v>
      </c>
    </row>
    <row r="2953" spans="1:6" ht="12.75">
      <c r="A2953" s="2">
        <v>43884.479768518519</v>
      </c>
      <c r="B2953" t="str">
        <f>HYPERLINK("https://twitter.com/oskadrun","@oskadrun")</f>
        <v>@oskadrun</v>
      </c>
      <c r="C2953" t="s">
        <v>2091</v>
      </c>
      <c r="D2953">
        <v>12</v>
      </c>
      <c r="E2953">
        <v>0</v>
      </c>
      <c r="F2953">
        <v>871</v>
      </c>
    </row>
    <row r="2954" spans="1:6" ht="12.75">
      <c r="A2954" s="2">
        <v>43884.479502314818</v>
      </c>
      <c r="B2954" t="str">
        <f>HYPERLINK("https://twitter.com/IKebenaran","@IKebenaran")</f>
        <v>@IKebenaran</v>
      </c>
      <c r="C2954" t="s">
        <v>2940</v>
      </c>
      <c r="D2954">
        <v>0</v>
      </c>
      <c r="E2954">
        <v>0</v>
      </c>
      <c r="F2954">
        <v>1003</v>
      </c>
    </row>
    <row r="2955" spans="1:6" ht="12.75">
      <c r="A2955" s="2">
        <v>43884.479479166665</v>
      </c>
      <c r="B2955" t="str">
        <f>HYPERLINK("https://twitter.com/da_MA_bee_YAH","@da_MA_bee_YAH")</f>
        <v>@da_MA_bee_YAH</v>
      </c>
      <c r="C2955" t="s">
        <v>2091</v>
      </c>
      <c r="D2955">
        <v>12</v>
      </c>
      <c r="E2955">
        <v>0</v>
      </c>
      <c r="F2955">
        <v>294</v>
      </c>
    </row>
    <row r="2956" spans="1:6" ht="12.75">
      <c r="A2956" s="2">
        <v>43884.479351851856</v>
      </c>
      <c r="B2956" t="str">
        <f>HYPERLINK("https://twitter.com/SenjaReal","@SenjaReal")</f>
        <v>@SenjaReal</v>
      </c>
      <c r="C2956" t="s">
        <v>2881</v>
      </c>
      <c r="D2956">
        <v>7</v>
      </c>
      <c r="E2956">
        <v>0</v>
      </c>
      <c r="F2956">
        <v>2829</v>
      </c>
    </row>
    <row r="2957" spans="1:6" ht="12.75">
      <c r="A2957" s="2">
        <v>43884.459687499999</v>
      </c>
      <c r="B2957" t="str">
        <f>HYPERLINK("https://twitter.com/wansenk_ajah","@wansenk_ajah")</f>
        <v>@wansenk_ajah</v>
      </c>
      <c r="C2957" t="s">
        <v>2148</v>
      </c>
      <c r="D2957">
        <v>18</v>
      </c>
      <c r="E2957">
        <v>0</v>
      </c>
      <c r="F2957">
        <v>5054</v>
      </c>
    </row>
    <row r="2958" spans="1:6" ht="12.75">
      <c r="A2958" s="2">
        <v>43884.459618055553</v>
      </c>
      <c r="B2958" t="str">
        <f>HYPERLINK("https://twitter.com/GarmeoNatan","@GarmeoNatan")</f>
        <v>@GarmeoNatan</v>
      </c>
      <c r="C2958" t="s">
        <v>2941</v>
      </c>
      <c r="D2958">
        <v>0</v>
      </c>
      <c r="E2958">
        <v>0</v>
      </c>
      <c r="F2958">
        <v>3089</v>
      </c>
    </row>
    <row r="2959" spans="1:6" ht="12.75">
      <c r="A2959" s="2">
        <v>43884.459432870368</v>
      </c>
      <c r="B2959" t="str">
        <f>HYPERLINK("https://twitter.com/_ChusnulCh_","@_ChusnulCh_")</f>
        <v>@_ChusnulCh_</v>
      </c>
      <c r="C2959" t="s">
        <v>2942</v>
      </c>
      <c r="D2959">
        <v>0</v>
      </c>
      <c r="E2959">
        <v>0</v>
      </c>
      <c r="F2959">
        <v>64960</v>
      </c>
    </row>
    <row r="2960" spans="1:6" ht="12.75">
      <c r="A2960" s="2">
        <v>43884.457546296297</v>
      </c>
      <c r="B2960" t="str">
        <f>HYPERLINK("https://twitter.com/momogirebus","@momogirebus")</f>
        <v>@momogirebus</v>
      </c>
      <c r="C2960" t="s">
        <v>513</v>
      </c>
      <c r="D2960">
        <v>23267</v>
      </c>
      <c r="E2960">
        <v>0</v>
      </c>
      <c r="F2960">
        <v>13</v>
      </c>
    </row>
    <row r="2961" spans="1:6" ht="12.75">
      <c r="A2961" s="2">
        <v>43884.45689814815</v>
      </c>
      <c r="B2961" t="str">
        <f>HYPERLINK("https://twitter.com/jlantah21","@jlantah21")</f>
        <v>@jlantah21</v>
      </c>
      <c r="C2961" t="s">
        <v>2943</v>
      </c>
      <c r="D2961">
        <v>23</v>
      </c>
      <c r="E2961">
        <v>0</v>
      </c>
      <c r="F2961">
        <v>253</v>
      </c>
    </row>
    <row r="2962" spans="1:6" ht="12.75">
      <c r="A2962" s="2">
        <v>43884.45616898148</v>
      </c>
      <c r="B2962" t="str">
        <f>HYPERLINK("https://twitter.com/onfireworship","@onfireworship")</f>
        <v>@onfireworship</v>
      </c>
      <c r="C2962" t="s">
        <v>2119</v>
      </c>
      <c r="D2962">
        <v>541</v>
      </c>
      <c r="E2962">
        <v>0</v>
      </c>
      <c r="F2962">
        <v>46</v>
      </c>
    </row>
    <row r="2963" spans="1:6" ht="12.75">
      <c r="A2963" s="2">
        <v>43884.45616898148</v>
      </c>
      <c r="B2963" t="str">
        <f>HYPERLINK("https://twitter.com/Iwan_Kapuk","@Iwan_Kapuk")</f>
        <v>@Iwan_Kapuk</v>
      </c>
      <c r="C2963" t="s">
        <v>2927</v>
      </c>
      <c r="D2963">
        <v>34</v>
      </c>
      <c r="E2963">
        <v>0</v>
      </c>
      <c r="F2963">
        <v>2772</v>
      </c>
    </row>
    <row r="2964" spans="1:6" ht="12.75">
      <c r="A2964" s="2">
        <v>43884.455532407403</v>
      </c>
      <c r="B2964" t="str">
        <f>HYPERLINK("https://twitter.com/A1sySum4r","@A1sySum4r")</f>
        <v>@A1sySum4r</v>
      </c>
      <c r="C2964" t="s">
        <v>2153</v>
      </c>
      <c r="D2964">
        <v>270</v>
      </c>
      <c r="E2964">
        <v>0</v>
      </c>
      <c r="F2964">
        <v>1169</v>
      </c>
    </row>
    <row r="2965" spans="1:6" ht="12.75">
      <c r="A2965" s="2">
        <v>43884.45475694444</v>
      </c>
      <c r="B2965" t="str">
        <f>HYPERLINK("https://twitter.com/Maul__12","@Maul__12")</f>
        <v>@Maul__12</v>
      </c>
      <c r="C2965" t="s">
        <v>2944</v>
      </c>
      <c r="D2965">
        <v>1</v>
      </c>
      <c r="E2965">
        <v>0</v>
      </c>
      <c r="F2965">
        <v>697</v>
      </c>
    </row>
    <row r="2966" spans="1:6" ht="12.75">
      <c r="A2966" s="2">
        <v>43884.454421296294</v>
      </c>
      <c r="B2966" t="str">
        <f>HYPERLINK("https://twitter.com/zuriswanfajri","@zuriswanfajri")</f>
        <v>@zuriswanfajri</v>
      </c>
      <c r="C2966" t="s">
        <v>2153</v>
      </c>
      <c r="D2966">
        <v>270</v>
      </c>
      <c r="E2966">
        <v>0</v>
      </c>
      <c r="F2966">
        <v>4417</v>
      </c>
    </row>
    <row r="2967" spans="1:6" ht="12.75">
      <c r="A2967" s="2">
        <v>43884.453865740739</v>
      </c>
      <c r="B2967" t="str">
        <f>HYPERLINK("https://twitter.com/yogapraditow","@yogapraditow")</f>
        <v>@yogapraditow</v>
      </c>
      <c r="C2967" t="s">
        <v>2945</v>
      </c>
      <c r="D2967">
        <v>3</v>
      </c>
      <c r="E2967">
        <v>0</v>
      </c>
      <c r="F2967">
        <v>405</v>
      </c>
    </row>
    <row r="2968" spans="1:6" ht="12.75">
      <c r="A2968" s="2">
        <v>43884.453078703707</v>
      </c>
      <c r="B2968" t="str">
        <f>HYPERLINK("https://twitter.com/Qayyum_HM","@Qayyum_HM")</f>
        <v>@Qayyum_HM</v>
      </c>
      <c r="C2968" t="s">
        <v>2716</v>
      </c>
      <c r="D2968">
        <v>13</v>
      </c>
      <c r="E2968">
        <v>0</v>
      </c>
      <c r="F2968">
        <v>302</v>
      </c>
    </row>
    <row r="2969" spans="1:6" ht="12.75">
      <c r="A2969" s="2">
        <v>43884.453043981484</v>
      </c>
      <c r="B2969" t="str">
        <f>HYPERLINK("https://twitter.com/dhelavel_","@dhelavel_")</f>
        <v>@dhelavel_</v>
      </c>
      <c r="C2969" t="s">
        <v>2946</v>
      </c>
      <c r="D2969">
        <v>0</v>
      </c>
      <c r="E2969">
        <v>0</v>
      </c>
      <c r="F2969">
        <v>683</v>
      </c>
    </row>
    <row r="2970" spans="1:6" ht="12.75">
      <c r="A2970" s="2">
        <v>43884.4528587963</v>
      </c>
      <c r="B2970" t="str">
        <f>HYPERLINK("https://twitter.com/KompasTV","@KompasTV")</f>
        <v>@KompasTV</v>
      </c>
      <c r="C2970" t="s">
        <v>2947</v>
      </c>
      <c r="D2970">
        <v>1</v>
      </c>
      <c r="E2970">
        <v>3</v>
      </c>
      <c r="F2970">
        <v>2946594</v>
      </c>
    </row>
    <row r="2971" spans="1:6" ht="12.75">
      <c r="A2971" s="2">
        <v>43884.45244212963</v>
      </c>
      <c r="B2971" t="str">
        <f>HYPERLINK("https://twitter.com/Hamzah_Baudin","@Hamzah_Baudin")</f>
        <v>@Hamzah_Baudin</v>
      </c>
      <c r="C2971" t="s">
        <v>2920</v>
      </c>
      <c r="D2971">
        <v>1</v>
      </c>
      <c r="E2971">
        <v>0</v>
      </c>
      <c r="F2971">
        <v>2983</v>
      </c>
    </row>
    <row r="2972" spans="1:6" ht="12.75">
      <c r="A2972" s="2">
        <v>43884.452349537038</v>
      </c>
      <c r="B2972" t="str">
        <f>HYPERLINK("https://twitter.com/CitizenShah","@CitizenShah")</f>
        <v>@CitizenShah</v>
      </c>
      <c r="C2972" t="s">
        <v>2948</v>
      </c>
      <c r="D2972">
        <v>0</v>
      </c>
      <c r="E2972">
        <v>0</v>
      </c>
      <c r="F2972">
        <v>356</v>
      </c>
    </row>
    <row r="2973" spans="1:6" ht="12.75">
      <c r="A2973" s="2">
        <v>43884.452326388884</v>
      </c>
      <c r="B2973" t="str">
        <f>HYPERLINK("https://twitter.com/babiescent","@babiescent")</f>
        <v>@babiescent</v>
      </c>
      <c r="C2973" t="s">
        <v>2949</v>
      </c>
      <c r="D2973">
        <v>0</v>
      </c>
      <c r="E2973">
        <v>0</v>
      </c>
      <c r="F2973">
        <v>93</v>
      </c>
    </row>
    <row r="2974" spans="1:6" ht="12.75">
      <c r="A2974" s="2">
        <v>43884.452164351853</v>
      </c>
      <c r="B2974" t="str">
        <f>HYPERLINK("https://twitter.com/Hamzah_Baudin","@Hamzah_Baudin")</f>
        <v>@Hamzah_Baudin</v>
      </c>
      <c r="C2974" t="s">
        <v>2950</v>
      </c>
      <c r="D2974">
        <v>0</v>
      </c>
      <c r="E2974">
        <v>0</v>
      </c>
      <c r="F2974">
        <v>2983</v>
      </c>
    </row>
    <row r="2975" spans="1:6" ht="12.75">
      <c r="A2975" s="2">
        <v>43884.451967592591</v>
      </c>
      <c r="B2975" t="str">
        <f>HYPERLINK("https://twitter.com/egensixpact","@egensixpact")</f>
        <v>@egensixpact</v>
      </c>
      <c r="C2975" t="s">
        <v>2951</v>
      </c>
      <c r="D2975">
        <v>0</v>
      </c>
      <c r="E2975">
        <v>0</v>
      </c>
      <c r="F2975">
        <v>2</v>
      </c>
    </row>
    <row r="2976" spans="1:6" ht="12.75">
      <c r="A2976" s="2">
        <v>43884.450914351852</v>
      </c>
      <c r="B2976" t="str">
        <f>HYPERLINK("https://twitter.com/onlyaidee","@onlyaidee")</f>
        <v>@onlyaidee</v>
      </c>
      <c r="C2976" t="s">
        <v>2153</v>
      </c>
      <c r="D2976">
        <v>270</v>
      </c>
      <c r="E2976">
        <v>0</v>
      </c>
      <c r="F2976">
        <v>782</v>
      </c>
    </row>
    <row r="2977" spans="1:6" ht="12.75">
      <c r="A2977" s="2">
        <v>43884.44976851852</v>
      </c>
      <c r="B2977" t="str">
        <f>HYPERLINK("https://twitter.com/rejaie","@rejaie")</f>
        <v>@rejaie</v>
      </c>
      <c r="C2977" t="s">
        <v>2716</v>
      </c>
      <c r="D2977">
        <v>13</v>
      </c>
      <c r="E2977">
        <v>0</v>
      </c>
      <c r="F2977">
        <v>3679</v>
      </c>
    </row>
    <row r="2978" spans="1:6" ht="12.75">
      <c r="A2978" s="2">
        <v>43884.449259259258</v>
      </c>
      <c r="B2978" t="str">
        <f>HYPERLINK("https://twitter.com/isis_macedo10","@isis_macedo10")</f>
        <v>@isis_macedo10</v>
      </c>
      <c r="C2978" t="s">
        <v>2952</v>
      </c>
      <c r="D2978">
        <v>0</v>
      </c>
      <c r="E2978">
        <v>2</v>
      </c>
      <c r="F2978">
        <v>5211</v>
      </c>
    </row>
    <row r="2979" spans="1:6" ht="12.75">
      <c r="A2979" s="2">
        <v>43884.448969907404</v>
      </c>
      <c r="B2979" t="str">
        <f>HYPERLINK("https://twitter.com/OppungNasution","@OppungNasution")</f>
        <v>@OppungNasution</v>
      </c>
      <c r="C2979" t="s">
        <v>2153</v>
      </c>
      <c r="D2979">
        <v>270</v>
      </c>
      <c r="E2979">
        <v>0</v>
      </c>
      <c r="F2979">
        <v>20</v>
      </c>
    </row>
    <row r="2980" spans="1:6" ht="12.75">
      <c r="A2980" s="2">
        <v>43884.448715277773</v>
      </c>
      <c r="B2980" t="str">
        <f t="shared" ref="B2980:B2981" si="65">HYPERLINK("https://twitter.com/da_MA_bee_YAH","@da_MA_bee_YAH")</f>
        <v>@da_MA_bee_YAH</v>
      </c>
      <c r="C2980" t="s">
        <v>2148</v>
      </c>
      <c r="D2980">
        <v>18</v>
      </c>
      <c r="E2980">
        <v>0</v>
      </c>
      <c r="F2980">
        <v>294</v>
      </c>
    </row>
    <row r="2981" spans="1:6" ht="12.75">
      <c r="A2981" s="2">
        <v>43884.448564814811</v>
      </c>
      <c r="B2981" t="str">
        <f t="shared" si="65"/>
        <v>@da_MA_bee_YAH</v>
      </c>
      <c r="C2981" t="s">
        <v>2953</v>
      </c>
      <c r="D2981">
        <v>1</v>
      </c>
      <c r="E2981">
        <v>0</v>
      </c>
      <c r="F2981">
        <v>294</v>
      </c>
    </row>
    <row r="2982" spans="1:6" ht="12.75">
      <c r="A2982" s="2">
        <v>43884.447881944448</v>
      </c>
      <c r="B2982" t="str">
        <f>HYPERLINK("https://twitter.com/ObaiIdon","@ObaiIdon")</f>
        <v>@ObaiIdon</v>
      </c>
      <c r="C2982" t="s">
        <v>2954</v>
      </c>
      <c r="D2982">
        <v>0</v>
      </c>
      <c r="E2982">
        <v>0</v>
      </c>
      <c r="F2982">
        <v>180</v>
      </c>
    </row>
    <row r="2983" spans="1:6" ht="12.75">
      <c r="A2983" s="2">
        <v>43884.44740740741</v>
      </c>
      <c r="B2983" t="str">
        <f>HYPERLINK("https://twitter.com/895jizfm","@895jizfm")</f>
        <v>@895jizfm</v>
      </c>
      <c r="C2983" t="s">
        <v>2955</v>
      </c>
      <c r="D2983">
        <v>0</v>
      </c>
      <c r="E2983">
        <v>0</v>
      </c>
      <c r="F2983">
        <v>25349</v>
      </c>
    </row>
    <row r="2984" spans="1:6" ht="12.75">
      <c r="A2984" s="2">
        <v>43884.447384259256</v>
      </c>
      <c r="B2984" t="str">
        <f>HYPERLINK("https://twitter.com/ragilsaputra645","@ragilsaputra645")</f>
        <v>@ragilsaputra645</v>
      </c>
      <c r="C2984" t="s">
        <v>2153</v>
      </c>
      <c r="D2984">
        <v>270</v>
      </c>
      <c r="E2984">
        <v>0</v>
      </c>
      <c r="F2984">
        <v>392</v>
      </c>
    </row>
    <row r="2985" spans="1:6" ht="12.75">
      <c r="A2985" s="2">
        <v>43884.447187500002</v>
      </c>
      <c r="B2985" t="str">
        <f>HYPERLINK("https://twitter.com/ariFHelmy13","@ariFHelmy13")</f>
        <v>@ariFHelmy13</v>
      </c>
      <c r="C2985" t="s">
        <v>2956</v>
      </c>
      <c r="D2985">
        <v>1</v>
      </c>
      <c r="E2985">
        <v>0</v>
      </c>
      <c r="F2985">
        <v>48</v>
      </c>
    </row>
    <row r="2986" spans="1:6" ht="12.75">
      <c r="A2986" s="2">
        <v>43884.447129629625</v>
      </c>
      <c r="B2986" t="str">
        <f>HYPERLINK("https://twitter.com/don_rahmad","@don_rahmad")</f>
        <v>@don_rahmad</v>
      </c>
      <c r="C2986" t="s">
        <v>2957</v>
      </c>
      <c r="D2986">
        <v>0</v>
      </c>
      <c r="E2986">
        <v>0</v>
      </c>
      <c r="F2986">
        <v>494</v>
      </c>
    </row>
    <row r="2987" spans="1:6" ht="12.75">
      <c r="A2987" s="2">
        <v>43884.447094907402</v>
      </c>
      <c r="B2987" t="str">
        <f>HYPERLINK("https://twitter.com/dawiguna","@dawiguna")</f>
        <v>@dawiguna</v>
      </c>
      <c r="C2987" t="s">
        <v>2958</v>
      </c>
      <c r="D2987">
        <v>1</v>
      </c>
      <c r="E2987">
        <v>0</v>
      </c>
      <c r="F2987">
        <v>1451</v>
      </c>
    </row>
    <row r="2988" spans="1:6" ht="12.75">
      <c r="A2988" s="2">
        <v>43884.446793981479</v>
      </c>
      <c r="B2988" t="str">
        <f>HYPERLINK("https://twitter.com/wni_jmsri","@wni_jmsri")</f>
        <v>@wni_jmsri</v>
      </c>
      <c r="C2988" t="s">
        <v>2959</v>
      </c>
      <c r="D2988">
        <v>162</v>
      </c>
      <c r="E2988">
        <v>0</v>
      </c>
      <c r="F2988">
        <v>196</v>
      </c>
    </row>
    <row r="2989" spans="1:6" ht="12.75">
      <c r="A2989" s="2">
        <v>43884.446481481486</v>
      </c>
      <c r="B2989" t="str">
        <f>HYPERLINK("https://twitter.com/fadjroeL","@fadjroeL")</f>
        <v>@fadjroeL</v>
      </c>
      <c r="C2989" t="s">
        <v>1490</v>
      </c>
      <c r="D2989">
        <v>1</v>
      </c>
      <c r="E2989">
        <v>0</v>
      </c>
      <c r="F2989">
        <v>995512</v>
      </c>
    </row>
    <row r="2990" spans="1:6" ht="12.75">
      <c r="A2990" s="2">
        <v>43884.445590277777</v>
      </c>
      <c r="B2990" t="str">
        <f>HYPERLINK("https://twitter.com/nazhdien","@nazhdien")</f>
        <v>@nazhdien</v>
      </c>
      <c r="C2990" t="s">
        <v>2960</v>
      </c>
      <c r="D2990">
        <v>2</v>
      </c>
      <c r="E2990">
        <v>0</v>
      </c>
      <c r="F2990">
        <v>277</v>
      </c>
    </row>
    <row r="2991" spans="1:6" ht="12.75">
      <c r="A2991" s="2">
        <v>43884.445335648154</v>
      </c>
      <c r="B2991" t="str">
        <f>HYPERLINK("https://twitter.com/UTengkyu","@UTengkyu")</f>
        <v>@UTengkyu</v>
      </c>
      <c r="C2991" t="s">
        <v>2961</v>
      </c>
      <c r="D2991">
        <v>0</v>
      </c>
      <c r="E2991">
        <v>0</v>
      </c>
      <c r="F2991">
        <v>55</v>
      </c>
    </row>
    <row r="2992" spans="1:6" ht="12.75">
      <c r="A2992" s="2">
        <v>43884.445266203707</v>
      </c>
      <c r="B2992" t="str">
        <f>HYPERLINK("https://twitter.com/sofian_tampu","@sofian_tampu")</f>
        <v>@sofian_tampu</v>
      </c>
      <c r="C2992" t="s">
        <v>2962</v>
      </c>
      <c r="D2992">
        <v>25</v>
      </c>
      <c r="E2992">
        <v>0</v>
      </c>
      <c r="F2992">
        <v>587</v>
      </c>
    </row>
    <row r="2993" spans="1:6" ht="12.75">
      <c r="A2993" s="2">
        <v>43884.444548611107</v>
      </c>
      <c r="B2993" t="str">
        <f>HYPERLINK("https://twitter.com/jeff_ikhlas","@jeff_ikhlas")</f>
        <v>@jeff_ikhlas</v>
      </c>
      <c r="C2993" t="s">
        <v>2153</v>
      </c>
      <c r="D2993">
        <v>270</v>
      </c>
      <c r="E2993">
        <v>0</v>
      </c>
      <c r="F2993">
        <v>603</v>
      </c>
    </row>
    <row r="2994" spans="1:6" ht="12.75">
      <c r="A2994" s="2">
        <v>43884.444282407407</v>
      </c>
      <c r="B2994" t="str">
        <f>HYPERLINK("https://twitter.com/TAfgan77","@TAfgan77")</f>
        <v>@TAfgan77</v>
      </c>
      <c r="C2994" t="s">
        <v>2963</v>
      </c>
      <c r="D2994">
        <v>1324</v>
      </c>
      <c r="E2994">
        <v>0</v>
      </c>
      <c r="F2994">
        <v>5</v>
      </c>
    </row>
    <row r="2995" spans="1:6" ht="12.75">
      <c r="A2995" s="2">
        <v>43884.442627314813</v>
      </c>
      <c r="B2995" t="str">
        <f>HYPERLINK("https://twitter.com/prkshe2","@prkshe2")</f>
        <v>@prkshe2</v>
      </c>
      <c r="C2995" t="s">
        <v>2964</v>
      </c>
      <c r="D2995">
        <v>0</v>
      </c>
      <c r="E2995">
        <v>5</v>
      </c>
      <c r="F2995">
        <v>156</v>
      </c>
    </row>
    <row r="2996" spans="1:6" ht="12.75">
      <c r="A2996" s="2">
        <v>43884.442569444444</v>
      </c>
      <c r="B2996" t="str">
        <f>HYPERLINK("https://twitter.com/TeguhBowo9","@TeguhBowo9")</f>
        <v>@TeguhBowo9</v>
      </c>
      <c r="C2996" t="s">
        <v>2965</v>
      </c>
      <c r="D2996">
        <v>0</v>
      </c>
      <c r="E2996">
        <v>0</v>
      </c>
      <c r="F2996">
        <v>5</v>
      </c>
    </row>
    <row r="2997" spans="1:6" ht="12.75">
      <c r="A2997" s="2">
        <v>43884.442523148144</v>
      </c>
      <c r="B2997" t="str">
        <f>HYPERLINK("https://twitter.com/prasetycio","@prasetycio")</f>
        <v>@prasetycio</v>
      </c>
      <c r="C2997" t="s">
        <v>2966</v>
      </c>
      <c r="D2997">
        <v>0</v>
      </c>
      <c r="E2997">
        <v>0</v>
      </c>
      <c r="F2997">
        <v>361</v>
      </c>
    </row>
    <row r="2998" spans="1:6" ht="12.75">
      <c r="A2998" s="2">
        <v>43884.442453703705</v>
      </c>
      <c r="B2998" t="str">
        <f>HYPERLINK("https://twitter.com/nscpunk1","@nscpunk1")</f>
        <v>@nscpunk1</v>
      </c>
      <c r="C2998" t="s">
        <v>2153</v>
      </c>
      <c r="D2998">
        <v>270</v>
      </c>
      <c r="E2998">
        <v>0</v>
      </c>
      <c r="F2998">
        <v>97</v>
      </c>
    </row>
    <row r="2999" spans="1:6" ht="12.75">
      <c r="A2999" s="2">
        <v>43884.442129629635</v>
      </c>
      <c r="B2999" t="str">
        <f>HYPERLINK("https://twitter.com/Iwan_Kapuk","@Iwan_Kapuk")</f>
        <v>@Iwan_Kapuk</v>
      </c>
      <c r="C2999" t="s">
        <v>2637</v>
      </c>
      <c r="D2999">
        <v>19</v>
      </c>
      <c r="E2999">
        <v>0</v>
      </c>
      <c r="F2999">
        <v>2772</v>
      </c>
    </row>
    <row r="3000" spans="1:6" ht="12.75">
      <c r="A3000" s="2">
        <v>43884.442002314812</v>
      </c>
      <c r="B3000" t="str">
        <f>HYPERLINK("https://twitter.com/onerazz","@onerazz")</f>
        <v>@onerazz</v>
      </c>
      <c r="C3000" t="s">
        <v>2967</v>
      </c>
      <c r="D3000">
        <v>0</v>
      </c>
      <c r="E3000">
        <v>0</v>
      </c>
      <c r="F3000">
        <v>1998</v>
      </c>
    </row>
    <row r="3001" spans="1:6" ht="12.75">
      <c r="A3001" s="2">
        <v>43884.441527777773</v>
      </c>
      <c r="B3001" t="str">
        <f>HYPERLINK("https://twitter.com/jerayawara","@jerayawara")</f>
        <v>@jerayawara</v>
      </c>
      <c r="C3001" t="s">
        <v>2968</v>
      </c>
      <c r="D3001">
        <v>2</v>
      </c>
      <c r="E3001">
        <v>0</v>
      </c>
      <c r="F3001">
        <v>4551</v>
      </c>
    </row>
    <row r="3002" spans="1:6" ht="12.75">
      <c r="A3002" s="2">
        <v>43884.441180555557</v>
      </c>
      <c r="B3002" t="str">
        <f>HYPERLINK("https://twitter.com/todays_qoute","@todays_qoute")</f>
        <v>@todays_qoute</v>
      </c>
      <c r="C3002" t="s">
        <v>2969</v>
      </c>
      <c r="D3002">
        <v>0</v>
      </c>
      <c r="E3002">
        <v>0</v>
      </c>
      <c r="F3002">
        <v>17314</v>
      </c>
    </row>
    <row r="3003" spans="1:6" ht="12.75">
      <c r="A3003" s="2">
        <v>43884.438888888893</v>
      </c>
      <c r="B3003" t="str">
        <f>HYPERLINK("https://twitter.com/Ivan94649769","@Ivan94649769")</f>
        <v>@Ivan94649769</v>
      </c>
      <c r="C3003" t="s">
        <v>2970</v>
      </c>
      <c r="D3003">
        <v>0</v>
      </c>
      <c r="E3003">
        <v>0</v>
      </c>
      <c r="F3003">
        <v>9</v>
      </c>
    </row>
    <row r="3004" spans="1:6" ht="12.75">
      <c r="A3004" s="2">
        <v>43884.437592592592</v>
      </c>
      <c r="B3004" t="str">
        <f>HYPERLINK("https://twitter.com/tvOneNews","@tvOneNews")</f>
        <v>@tvOneNews</v>
      </c>
      <c r="C3004" t="s">
        <v>2967</v>
      </c>
      <c r="D3004">
        <v>2</v>
      </c>
      <c r="E3004">
        <v>9</v>
      </c>
      <c r="F3004">
        <v>8719129</v>
      </c>
    </row>
    <row r="3005" spans="1:6" ht="12.75">
      <c r="A3005" s="2">
        <v>43884.436793981484</v>
      </c>
      <c r="B3005" t="str">
        <f>HYPERLINK("https://twitter.com/SullianAdrian","@SullianAdrian")</f>
        <v>@SullianAdrian</v>
      </c>
      <c r="C3005" t="s">
        <v>513</v>
      </c>
      <c r="D3005">
        <v>23267</v>
      </c>
      <c r="E3005">
        <v>0</v>
      </c>
      <c r="F3005">
        <v>19</v>
      </c>
    </row>
    <row r="3006" spans="1:6" ht="12.75">
      <c r="A3006" s="2">
        <v>43884.436736111107</v>
      </c>
      <c r="B3006" t="str">
        <f>HYPERLINK("https://twitter.com/srpsr2","@srpsr2")</f>
        <v>@srpsr2</v>
      </c>
      <c r="C3006" t="s">
        <v>2148</v>
      </c>
      <c r="D3006">
        <v>18</v>
      </c>
      <c r="E3006">
        <v>0</v>
      </c>
      <c r="F3006">
        <v>116</v>
      </c>
    </row>
    <row r="3007" spans="1:6" ht="12.75">
      <c r="A3007" s="2">
        <v>43884.43577546296</v>
      </c>
      <c r="B3007" t="str">
        <f>HYPERLINK("https://twitter.com/mana_buktinya","@mana_buktinya")</f>
        <v>@mana_buktinya</v>
      </c>
      <c r="C3007" t="s">
        <v>2971</v>
      </c>
      <c r="D3007">
        <v>0</v>
      </c>
      <c r="E3007">
        <v>1</v>
      </c>
      <c r="F3007">
        <v>35</v>
      </c>
    </row>
    <row r="3008" spans="1:6" ht="12.75">
      <c r="A3008" s="2">
        <v>43884.43545138889</v>
      </c>
      <c r="B3008" t="str">
        <f>HYPERLINK("https://twitter.com/sianjrit","@sianjrit")</f>
        <v>@sianjrit</v>
      </c>
      <c r="C3008" t="s">
        <v>2972</v>
      </c>
      <c r="D3008">
        <v>1</v>
      </c>
      <c r="E3008">
        <v>7</v>
      </c>
      <c r="F3008">
        <v>520</v>
      </c>
    </row>
    <row r="3009" spans="1:6" ht="12.75">
      <c r="A3009" s="2">
        <v>43884.435428240744</v>
      </c>
      <c r="B3009" t="str">
        <f>HYPERLINK("https://twitter.com/donny_ibnu","@donny_ibnu")</f>
        <v>@donny_ibnu</v>
      </c>
      <c r="C3009" t="s">
        <v>2973</v>
      </c>
      <c r="D3009">
        <v>0</v>
      </c>
      <c r="E3009">
        <v>0</v>
      </c>
      <c r="F3009">
        <v>65</v>
      </c>
    </row>
    <row r="3010" spans="1:6" ht="12.75">
      <c r="A3010" s="2">
        <v>43884.433124999996</v>
      </c>
      <c r="B3010" t="str">
        <f>HYPERLINK("https://twitter.com/ErnaZahra","@ErnaZahra")</f>
        <v>@ErnaZahra</v>
      </c>
      <c r="C3010" t="s">
        <v>2119</v>
      </c>
      <c r="D3010">
        <v>541</v>
      </c>
      <c r="E3010">
        <v>0</v>
      </c>
      <c r="F3010">
        <v>950</v>
      </c>
    </row>
    <row r="3011" spans="1:6" ht="12.75">
      <c r="A3011" s="2">
        <v>43884.432858796295</v>
      </c>
      <c r="B3011" t="str">
        <f>HYPERLINK("https://twitter.com/Iwan_Kapuk","@Iwan_Kapuk")</f>
        <v>@Iwan_Kapuk</v>
      </c>
      <c r="C3011" t="s">
        <v>2148</v>
      </c>
      <c r="D3011">
        <v>18</v>
      </c>
      <c r="E3011">
        <v>0</v>
      </c>
      <c r="F3011">
        <v>2772</v>
      </c>
    </row>
    <row r="3012" spans="1:6" ht="12.75">
      <c r="A3012" s="2">
        <v>43884.432800925926</v>
      </c>
      <c r="B3012" t="str">
        <f>HYPERLINK("https://twitter.com/donny_ibnu","@donny_ibnu")</f>
        <v>@donny_ibnu</v>
      </c>
      <c r="C3012" t="s">
        <v>2974</v>
      </c>
      <c r="D3012">
        <v>0</v>
      </c>
      <c r="E3012">
        <v>0</v>
      </c>
      <c r="F3012">
        <v>65</v>
      </c>
    </row>
    <row r="3013" spans="1:6" ht="12.75">
      <c r="A3013" s="2">
        <v>43884.432488425926</v>
      </c>
      <c r="B3013" t="str">
        <f>HYPERLINK("https://twitter.com/umar_khaled_","@umar_khaled_")</f>
        <v>@umar_khaled_</v>
      </c>
      <c r="C3013" t="s">
        <v>2711</v>
      </c>
      <c r="D3013">
        <v>199</v>
      </c>
      <c r="E3013">
        <v>0</v>
      </c>
      <c r="F3013">
        <v>152</v>
      </c>
    </row>
    <row r="3014" spans="1:6" ht="12.75">
      <c r="A3014" s="2">
        <v>43884.432187500002</v>
      </c>
      <c r="B3014" t="str">
        <f>HYPERLINK("https://twitter.com/northflakes","@northflakes")</f>
        <v>@northflakes</v>
      </c>
      <c r="C3014" t="s">
        <v>513</v>
      </c>
      <c r="D3014">
        <v>23267</v>
      </c>
      <c r="E3014">
        <v>0</v>
      </c>
      <c r="F3014">
        <v>6</v>
      </c>
    </row>
    <row r="3015" spans="1:6" ht="12.75">
      <c r="A3015" s="2">
        <v>43884.430763888886</v>
      </c>
      <c r="B3015" t="str">
        <f>HYPERLINK("https://twitter.com/prabayaksa","@prabayaksa")</f>
        <v>@prabayaksa</v>
      </c>
      <c r="C3015" t="s">
        <v>2975</v>
      </c>
      <c r="D3015">
        <v>1</v>
      </c>
      <c r="E3015">
        <v>2</v>
      </c>
      <c r="F3015">
        <v>572</v>
      </c>
    </row>
    <row r="3016" spans="1:6" ht="12.75">
      <c r="A3016" s="2">
        <v>43884.430104166662</v>
      </c>
      <c r="B3016" t="str">
        <f>HYPERLINK("https://twitter.com/dytoxs_eddy","@dytoxs_eddy")</f>
        <v>@dytoxs_eddy</v>
      </c>
      <c r="C3016" t="s">
        <v>2927</v>
      </c>
      <c r="D3016">
        <v>34</v>
      </c>
      <c r="E3016">
        <v>0</v>
      </c>
      <c r="F3016">
        <v>2360</v>
      </c>
    </row>
    <row r="3017" spans="1:6" ht="12.75">
      <c r="A3017" s="2">
        <v>43884.428668981476</v>
      </c>
      <c r="B3017" t="str">
        <f>HYPERLINK("https://twitter.com/dxrlana","@dxrlana")</f>
        <v>@dxrlana</v>
      </c>
      <c r="C3017" t="s">
        <v>2711</v>
      </c>
      <c r="D3017">
        <v>199</v>
      </c>
      <c r="E3017">
        <v>0</v>
      </c>
      <c r="F3017">
        <v>2352</v>
      </c>
    </row>
    <row r="3018" spans="1:6" ht="12.75">
      <c r="A3018" s="2">
        <v>43884.428449074076</v>
      </c>
      <c r="B3018" t="str">
        <f>HYPERLINK("https://twitter.com/_l921","@_l921")</f>
        <v>@_l921</v>
      </c>
      <c r="C3018" t="s">
        <v>2976</v>
      </c>
      <c r="D3018">
        <v>0</v>
      </c>
      <c r="E3018">
        <v>0</v>
      </c>
      <c r="F3018">
        <v>1383</v>
      </c>
    </row>
    <row r="3019" spans="1:6" ht="12.75">
      <c r="A3019" s="2">
        <v>43884.428124999999</v>
      </c>
      <c r="B3019" t="str">
        <f>HYPERLINK("https://twitter.com/beatrice_health","@beatrice_health")</f>
        <v>@beatrice_health</v>
      </c>
      <c r="C3019" t="s">
        <v>2977</v>
      </c>
      <c r="D3019">
        <v>1</v>
      </c>
      <c r="E3019">
        <v>0</v>
      </c>
      <c r="F3019">
        <v>298</v>
      </c>
    </row>
    <row r="3020" spans="1:6" ht="12.75">
      <c r="A3020" s="2">
        <v>43884.428090277783</v>
      </c>
      <c r="B3020" t="str">
        <f>HYPERLINK("https://twitter.com/PribumiDong","@PribumiDong")</f>
        <v>@PribumiDong</v>
      </c>
      <c r="C3020" t="s">
        <v>2153</v>
      </c>
      <c r="D3020">
        <v>270</v>
      </c>
      <c r="E3020">
        <v>0</v>
      </c>
      <c r="F3020">
        <v>864</v>
      </c>
    </row>
    <row r="3021" spans="1:6" ht="12.75">
      <c r="A3021" s="2">
        <v>43884.428043981483</v>
      </c>
      <c r="B3021" t="str">
        <f>HYPERLINK("https://twitter.com/kulit_kcang","@kulit_kcang")</f>
        <v>@kulit_kcang</v>
      </c>
      <c r="C3021" t="s">
        <v>2978</v>
      </c>
      <c r="D3021">
        <v>1</v>
      </c>
      <c r="E3021">
        <v>0</v>
      </c>
      <c r="F3021">
        <v>3282</v>
      </c>
    </row>
    <row r="3022" spans="1:6" ht="12.75">
      <c r="A3022" s="2">
        <v>43884.427800925929</v>
      </c>
      <c r="B3022" t="str">
        <f>HYPERLINK("https://twitter.com/Andipra25617648","@Andipra25617648")</f>
        <v>@Andipra25617648</v>
      </c>
      <c r="C3022" t="s">
        <v>2979</v>
      </c>
      <c r="D3022">
        <v>520</v>
      </c>
      <c r="E3022">
        <v>0</v>
      </c>
      <c r="F3022">
        <v>0</v>
      </c>
    </row>
    <row r="3023" spans="1:6" ht="12.75">
      <c r="A3023" s="2">
        <v>43884.427037037036</v>
      </c>
      <c r="B3023" t="str">
        <f>HYPERLINK("https://twitter.com/mita34325811","@mita34325811")</f>
        <v>@mita34325811</v>
      </c>
      <c r="C3023" t="s">
        <v>2153</v>
      </c>
      <c r="D3023">
        <v>270</v>
      </c>
      <c r="E3023">
        <v>0</v>
      </c>
      <c r="F3023">
        <v>29</v>
      </c>
    </row>
    <row r="3024" spans="1:6" ht="12.75">
      <c r="A3024" s="2">
        <v>43884.425254629634</v>
      </c>
      <c r="B3024" t="str">
        <f>HYPERLINK("https://twitter.com/wahyuunet","@wahyuunet")</f>
        <v>@wahyuunet</v>
      </c>
      <c r="C3024" t="s">
        <v>2153</v>
      </c>
      <c r="D3024">
        <v>270</v>
      </c>
      <c r="E3024">
        <v>0</v>
      </c>
      <c r="F3024">
        <v>330</v>
      </c>
    </row>
    <row r="3025" spans="1:6" ht="12.75">
      <c r="A3025" s="2">
        <v>43884.42496527778</v>
      </c>
      <c r="B3025" t="str">
        <f>HYPERLINK("https://twitter.com/BadjaNuswantara","@BadjaNuswantara")</f>
        <v>@BadjaNuswantara</v>
      </c>
      <c r="C3025" t="s">
        <v>2943</v>
      </c>
      <c r="D3025">
        <v>23</v>
      </c>
      <c r="E3025">
        <v>0</v>
      </c>
      <c r="F3025">
        <v>42988</v>
      </c>
    </row>
    <row r="3026" spans="1:6" ht="12.75">
      <c r="A3026" s="2">
        <v>43884.424305555556</v>
      </c>
      <c r="B3026" t="str">
        <f>HYPERLINK("https://twitter.com/MeTubeID","@MeTubeID")</f>
        <v>@MeTubeID</v>
      </c>
      <c r="C3026" t="s">
        <v>2980</v>
      </c>
      <c r="D3026">
        <v>0</v>
      </c>
      <c r="E3026">
        <v>0</v>
      </c>
      <c r="F3026">
        <v>6301</v>
      </c>
    </row>
    <row r="3027" spans="1:6" ht="12.75">
      <c r="A3027" s="2">
        <v>43884.424050925925</v>
      </c>
      <c r="B3027" t="str">
        <f>HYPERLINK("https://twitter.com/permana_ds","@permana_ds")</f>
        <v>@permana_ds</v>
      </c>
      <c r="C3027" t="s">
        <v>2153</v>
      </c>
      <c r="D3027">
        <v>270</v>
      </c>
      <c r="E3027">
        <v>0</v>
      </c>
      <c r="F3027">
        <v>1638</v>
      </c>
    </row>
    <row r="3028" spans="1:6" ht="12.75">
      <c r="A3028" s="2">
        <v>43884.423935185187</v>
      </c>
      <c r="B3028" t="str">
        <f>HYPERLINK("https://twitter.com/DedehKu95290849","@DedehKu95290849")</f>
        <v>@DedehKu95290849</v>
      </c>
      <c r="C3028" t="s">
        <v>2153</v>
      </c>
      <c r="D3028">
        <v>270</v>
      </c>
      <c r="E3028">
        <v>0</v>
      </c>
      <c r="F3028">
        <v>420</v>
      </c>
    </row>
    <row r="3029" spans="1:6" ht="12.75">
      <c r="A3029" s="2">
        <v>43884.423356481479</v>
      </c>
      <c r="B3029" t="str">
        <f>HYPERLINK("https://twitter.com/don_rahmad","@don_rahmad")</f>
        <v>@don_rahmad</v>
      </c>
      <c r="C3029" t="s">
        <v>2981</v>
      </c>
      <c r="D3029">
        <v>0</v>
      </c>
      <c r="E3029">
        <v>3</v>
      </c>
      <c r="F3029">
        <v>494</v>
      </c>
    </row>
    <row r="3030" spans="1:6" ht="12.75">
      <c r="A3030" s="2">
        <v>43884.422581018516</v>
      </c>
      <c r="B3030" t="str">
        <f>HYPERLINK("https://twitter.com/AsifZndn","@AsifZndn")</f>
        <v>@AsifZndn</v>
      </c>
      <c r="C3030" t="s">
        <v>2716</v>
      </c>
      <c r="D3030">
        <v>13</v>
      </c>
      <c r="E3030">
        <v>0</v>
      </c>
      <c r="F3030">
        <v>114</v>
      </c>
    </row>
    <row r="3031" spans="1:6" ht="12.75">
      <c r="A3031" s="2">
        <v>43884.421851851846</v>
      </c>
      <c r="B3031" t="str">
        <f>HYPERLINK("https://twitter.com/IinYanuarti","@IinYanuarti")</f>
        <v>@IinYanuarti</v>
      </c>
      <c r="C3031" t="s">
        <v>2153</v>
      </c>
      <c r="D3031">
        <v>270</v>
      </c>
      <c r="E3031">
        <v>0</v>
      </c>
      <c r="F3031">
        <v>49</v>
      </c>
    </row>
    <row r="3032" spans="1:6" ht="12.75">
      <c r="A3032" s="2">
        <v>43884.421400462961</v>
      </c>
      <c r="B3032" t="str">
        <f>HYPERLINK("https://twitter.com/FarelmaxL","@FarelmaxL")</f>
        <v>@FarelmaxL</v>
      </c>
      <c r="C3032" t="s">
        <v>2982</v>
      </c>
      <c r="D3032">
        <v>1</v>
      </c>
      <c r="E3032">
        <v>0</v>
      </c>
      <c r="F3032">
        <v>1334</v>
      </c>
    </row>
    <row r="3033" spans="1:6" ht="12.75">
      <c r="A3033" s="2">
        <v>43884.420682870375</v>
      </c>
      <c r="B3033" t="str">
        <f>HYPERLINK("https://twitter.com/my_t0t0","@my_t0t0")</f>
        <v>@my_t0t0</v>
      </c>
      <c r="C3033" t="s">
        <v>2154</v>
      </c>
      <c r="D3033">
        <v>58</v>
      </c>
      <c r="E3033">
        <v>0</v>
      </c>
      <c r="F3033">
        <v>702</v>
      </c>
    </row>
    <row r="3034" spans="1:6" ht="12.75">
      <c r="A3034" s="2">
        <v>43884.420358796298</v>
      </c>
      <c r="B3034" t="str">
        <f>HYPERLINK("https://twitter.com/Iksterror","@Iksterror")</f>
        <v>@Iksterror</v>
      </c>
      <c r="C3034" t="s">
        <v>2716</v>
      </c>
      <c r="D3034">
        <v>13</v>
      </c>
      <c r="E3034">
        <v>0</v>
      </c>
      <c r="F3034">
        <v>238</v>
      </c>
    </row>
    <row r="3035" spans="1:6" ht="12.75">
      <c r="A3035" s="2">
        <v>43884.420312499999</v>
      </c>
      <c r="B3035" t="str">
        <f>HYPERLINK("https://twitter.com/irfan250995","@irfan250995")</f>
        <v>@irfan250995</v>
      </c>
      <c r="C3035" t="s">
        <v>2153</v>
      </c>
      <c r="D3035">
        <v>270</v>
      </c>
      <c r="E3035">
        <v>0</v>
      </c>
      <c r="F3035">
        <v>23</v>
      </c>
    </row>
    <row r="3036" spans="1:6" ht="12.75">
      <c r="A3036" s="2">
        <v>43884.41915509259</v>
      </c>
      <c r="B3036" t="str">
        <f>HYPERLINK("https://twitter.com/dausdollah_18","@dausdollah_18")</f>
        <v>@dausdollah_18</v>
      </c>
      <c r="C3036" t="s">
        <v>2716</v>
      </c>
      <c r="D3036">
        <v>13</v>
      </c>
      <c r="E3036">
        <v>0</v>
      </c>
      <c r="F3036">
        <v>322</v>
      </c>
    </row>
    <row r="3037" spans="1:6" ht="12.75">
      <c r="A3037" s="2">
        <v>43884.418229166666</v>
      </c>
      <c r="B3037" t="str">
        <f>HYPERLINK("https://twitter.com/Edwinwkf","@Edwinwkf")</f>
        <v>@Edwinwkf</v>
      </c>
      <c r="C3037" t="s">
        <v>2716</v>
      </c>
      <c r="D3037">
        <v>6</v>
      </c>
      <c r="E3037">
        <v>0</v>
      </c>
      <c r="F3037">
        <v>541</v>
      </c>
    </row>
    <row r="3038" spans="1:6" ht="12.75">
      <c r="A3038" s="2">
        <v>43884.41706018518</v>
      </c>
      <c r="B3038" t="str">
        <f>HYPERLINK("https://twitter.com/CakL1571","@CakL1571")</f>
        <v>@CakL1571</v>
      </c>
      <c r="C3038" t="s">
        <v>2983</v>
      </c>
      <c r="D3038">
        <v>145</v>
      </c>
      <c r="E3038">
        <v>0</v>
      </c>
      <c r="F3038">
        <v>68</v>
      </c>
    </row>
    <row r="3039" spans="1:6" ht="12.75">
      <c r="A3039" s="2">
        <v>43884.416539351849</v>
      </c>
      <c r="B3039" t="str">
        <f>HYPERLINK("https://twitter.com/Michellelanious","@Michellelanious")</f>
        <v>@Michellelanious</v>
      </c>
      <c r="C3039" t="s">
        <v>2716</v>
      </c>
      <c r="D3039">
        <v>6</v>
      </c>
      <c r="E3039">
        <v>0</v>
      </c>
      <c r="F3039">
        <v>2007</v>
      </c>
    </row>
    <row r="3040" spans="1:6" ht="12.75">
      <c r="A3040" s="2">
        <v>43884.415810185186</v>
      </c>
      <c r="B3040" t="str">
        <f>HYPERLINK("https://twitter.com/POVINDELRIC","@POVINDELRIC")</f>
        <v>@POVINDELRIC</v>
      </c>
      <c r="C3040" t="s">
        <v>2716</v>
      </c>
      <c r="D3040">
        <v>6</v>
      </c>
      <c r="E3040">
        <v>0</v>
      </c>
      <c r="F3040">
        <v>402</v>
      </c>
    </row>
    <row r="3041" spans="1:6" ht="12.75">
      <c r="A3041" s="2">
        <v>43884.415763888886</v>
      </c>
      <c r="B3041" t="str">
        <f>HYPERLINK("https://twitter.com/windifrances","@windifrances")</f>
        <v>@windifrances</v>
      </c>
      <c r="C3041" t="s">
        <v>2984</v>
      </c>
      <c r="D3041">
        <v>8</v>
      </c>
      <c r="E3041">
        <v>0</v>
      </c>
      <c r="F3041">
        <v>293</v>
      </c>
    </row>
    <row r="3042" spans="1:6" ht="12.75">
      <c r="A3042" s="2">
        <v>43884.415752314817</v>
      </c>
      <c r="B3042" t="str">
        <f>HYPERLINK("https://twitter.com/Farhain_Mazlan","@Farhain_Mazlan")</f>
        <v>@Farhain_Mazlan</v>
      </c>
      <c r="C3042" t="s">
        <v>2716</v>
      </c>
      <c r="D3042">
        <v>6</v>
      </c>
      <c r="E3042">
        <v>0</v>
      </c>
      <c r="F3042">
        <v>383</v>
      </c>
    </row>
    <row r="3043" spans="1:6" ht="12.75">
      <c r="A3043" s="2">
        <v>43884.415636574078</v>
      </c>
      <c r="B3043" t="str">
        <f>HYPERLINK("https://twitter.com/Rdllilyn","@Rdllilyn")</f>
        <v>@Rdllilyn</v>
      </c>
      <c r="C3043" t="s">
        <v>2711</v>
      </c>
      <c r="D3043">
        <v>197</v>
      </c>
      <c r="E3043">
        <v>0</v>
      </c>
      <c r="F3043">
        <v>492</v>
      </c>
    </row>
    <row r="3044" spans="1:6" ht="12.75">
      <c r="A3044" s="2">
        <v>43884.415034722224</v>
      </c>
      <c r="B3044" t="str">
        <f>HYPERLINK("https://twitter.com/_Acat_","@_Acat_")</f>
        <v>@_Acat_</v>
      </c>
      <c r="C3044" t="s">
        <v>2716</v>
      </c>
      <c r="D3044">
        <v>6</v>
      </c>
      <c r="E3044">
        <v>0</v>
      </c>
      <c r="F3044">
        <v>6306</v>
      </c>
    </row>
    <row r="3045" spans="1:6" ht="12.75">
      <c r="A3045" s="2">
        <v>43884.414895833332</v>
      </c>
      <c r="B3045" t="str">
        <f>HYPERLINK("https://twitter.com/AHKurnia","@AHKurnia")</f>
        <v>@AHKurnia</v>
      </c>
      <c r="C3045" t="s">
        <v>2927</v>
      </c>
      <c r="D3045">
        <v>32</v>
      </c>
      <c r="E3045">
        <v>0</v>
      </c>
      <c r="F3045">
        <v>607</v>
      </c>
    </row>
    <row r="3046" spans="1:6" ht="12.75">
      <c r="A3046" s="2">
        <v>43884.414247685185</v>
      </c>
      <c r="B3046" t="str">
        <f>HYPERLINK("https://twitter.com/ummihanisah_","@ummihanisah_")</f>
        <v>@ummihanisah_</v>
      </c>
      <c r="C3046" t="s">
        <v>2711</v>
      </c>
      <c r="D3046">
        <v>197</v>
      </c>
      <c r="E3046">
        <v>0</v>
      </c>
      <c r="F3046">
        <v>1575</v>
      </c>
    </row>
    <row r="3047" spans="1:6" ht="12.75">
      <c r="A3047" s="2">
        <v>43884.41405092593</v>
      </c>
      <c r="B3047" t="str">
        <f>HYPERLINK("https://twitter.com/danishrsln","@danishrsln")</f>
        <v>@danishrsln</v>
      </c>
      <c r="C3047" t="s">
        <v>2985</v>
      </c>
      <c r="D3047">
        <v>1</v>
      </c>
      <c r="E3047">
        <v>0</v>
      </c>
      <c r="F3047">
        <v>653</v>
      </c>
    </row>
    <row r="3048" spans="1:6" ht="12.75">
      <c r="A3048" s="2">
        <v>43884.412951388891</v>
      </c>
      <c r="B3048" t="str">
        <f>HYPERLINK("https://twitter.com/zed_hafizuddin","@zed_hafizuddin")</f>
        <v>@zed_hafizuddin</v>
      </c>
      <c r="C3048" t="s">
        <v>2986</v>
      </c>
      <c r="D3048">
        <v>28</v>
      </c>
      <c r="E3048">
        <v>0</v>
      </c>
      <c r="F3048">
        <v>1362</v>
      </c>
    </row>
    <row r="3049" spans="1:6" ht="12.75">
      <c r="A3049" s="2">
        <v>43884.412789351853</v>
      </c>
      <c r="B3049" t="str">
        <f>HYPERLINK("https://twitter.com/anthraxxxx","@anthraxxxx")</f>
        <v>@anthraxxxx</v>
      </c>
      <c r="C3049" t="s">
        <v>2716</v>
      </c>
      <c r="D3049">
        <v>6</v>
      </c>
      <c r="E3049">
        <v>0</v>
      </c>
      <c r="F3049">
        <v>10648</v>
      </c>
    </row>
    <row r="3050" spans="1:6" ht="12.75">
      <c r="A3050" s="2">
        <v>43884.412476851852</v>
      </c>
      <c r="B3050" t="str">
        <f>HYPERLINK("https://twitter.com/1Obefiend","@1Obefiend")</f>
        <v>@1Obefiend</v>
      </c>
      <c r="C3050" t="s">
        <v>2987</v>
      </c>
      <c r="D3050">
        <v>6</v>
      </c>
      <c r="E3050">
        <v>6</v>
      </c>
      <c r="F3050">
        <v>75263</v>
      </c>
    </row>
    <row r="3051" spans="1:6" ht="12.75">
      <c r="A3051" s="2">
        <v>43884.412395833337</v>
      </c>
      <c r="B3051" t="str">
        <f>HYPERLINK("https://twitter.com/SeZulfahmi","@SeZulfahmi")</f>
        <v>@SeZulfahmi</v>
      </c>
      <c r="C3051" t="s">
        <v>2153</v>
      </c>
      <c r="D3051">
        <v>252</v>
      </c>
      <c r="E3051">
        <v>0</v>
      </c>
      <c r="F3051">
        <v>754</v>
      </c>
    </row>
    <row r="3052" spans="1:6" ht="12.75">
      <c r="A3052" s="2">
        <v>43884.412118055552</v>
      </c>
      <c r="B3052" t="str">
        <f>HYPERLINK("https://twitter.com/integrity160171","@integrity160171")</f>
        <v>@integrity160171</v>
      </c>
      <c r="C3052" t="s">
        <v>2153</v>
      </c>
      <c r="D3052">
        <v>252</v>
      </c>
      <c r="E3052">
        <v>0</v>
      </c>
      <c r="F3052">
        <v>495</v>
      </c>
    </row>
    <row r="3053" spans="1:6" ht="12.75">
      <c r="A3053" s="2">
        <v>43884.411990740744</v>
      </c>
      <c r="B3053" t="str">
        <f>HYPERLINK("https://twitter.com/hartanto_mas","@hartanto_mas")</f>
        <v>@hartanto_mas</v>
      </c>
      <c r="C3053" t="s">
        <v>2744</v>
      </c>
      <c r="D3053">
        <v>15</v>
      </c>
      <c r="E3053">
        <v>0</v>
      </c>
      <c r="F3053">
        <v>1050</v>
      </c>
    </row>
    <row r="3054" spans="1:6" ht="12.75">
      <c r="A3054" s="2">
        <v>43884.411782407406</v>
      </c>
      <c r="B3054" t="str">
        <f>HYPERLINK("https://twitter.com/BeTheChamps","@BeTheChamps")</f>
        <v>@BeTheChamps</v>
      </c>
      <c r="C3054" t="s">
        <v>2153</v>
      </c>
      <c r="D3054">
        <v>252</v>
      </c>
      <c r="E3054">
        <v>0</v>
      </c>
      <c r="F3054">
        <v>216</v>
      </c>
    </row>
    <row r="3055" spans="1:6" ht="12.75">
      <c r="A3055" s="2">
        <v>43884.411527777775</v>
      </c>
      <c r="B3055" t="str">
        <f>HYPERLINK("https://twitter.com/13Bobbygeboy","@13Bobbygeboy")</f>
        <v>@13Bobbygeboy</v>
      </c>
      <c r="C3055" t="s">
        <v>2153</v>
      </c>
      <c r="D3055">
        <v>252</v>
      </c>
      <c r="E3055">
        <v>0</v>
      </c>
      <c r="F3055">
        <v>215</v>
      </c>
    </row>
    <row r="3056" spans="1:6" ht="12.75">
      <c r="A3056" s="2">
        <v>43884.411516203705</v>
      </c>
      <c r="B3056" t="str">
        <f>HYPERLINK("https://twitter.com/5udirman","@5udirman")</f>
        <v>@5udirman</v>
      </c>
      <c r="C3056" t="s">
        <v>2988</v>
      </c>
      <c r="D3056">
        <v>0</v>
      </c>
      <c r="E3056">
        <v>0</v>
      </c>
      <c r="F3056">
        <v>16</v>
      </c>
    </row>
    <row r="3057" spans="1:6" ht="12.75">
      <c r="A3057" s="2">
        <v>43884.410810185189</v>
      </c>
      <c r="B3057" t="str">
        <f>HYPERLINK("https://twitter.com/mahmudtakyan","@mahmudtakyan")</f>
        <v>@mahmudtakyan</v>
      </c>
      <c r="C3057" t="s">
        <v>2989</v>
      </c>
      <c r="D3057">
        <v>0</v>
      </c>
      <c r="E3057">
        <v>0</v>
      </c>
      <c r="F3057">
        <v>12</v>
      </c>
    </row>
    <row r="3058" spans="1:6" ht="12.75">
      <c r="A3058" s="2">
        <v>43884.410138888888</v>
      </c>
      <c r="B3058" t="str">
        <f>HYPERLINK("https://twitter.com/fxvousyesss","@fxvousyesss")</f>
        <v>@fxvousyesss</v>
      </c>
      <c r="C3058" t="s">
        <v>513</v>
      </c>
      <c r="D3058">
        <v>23265</v>
      </c>
      <c r="E3058">
        <v>0</v>
      </c>
      <c r="F3058">
        <v>130</v>
      </c>
    </row>
    <row r="3059" spans="1:6" ht="12.75">
      <c r="A3059" s="2">
        <v>43884.409722222219</v>
      </c>
      <c r="B3059" t="str">
        <f>HYPERLINK("https://twitter.com/save_uyghur1","@save_uyghur1")</f>
        <v>@save_uyghur1</v>
      </c>
      <c r="C3059" t="s">
        <v>2153</v>
      </c>
      <c r="D3059">
        <v>252</v>
      </c>
      <c r="E3059">
        <v>0</v>
      </c>
      <c r="F3059">
        <v>216</v>
      </c>
    </row>
    <row r="3060" spans="1:6" ht="12.75">
      <c r="A3060" s="2">
        <v>43884.409062499995</v>
      </c>
      <c r="B3060" t="str">
        <f>HYPERLINK("https://twitter.com/KhairilPajeri","@KhairilPajeri")</f>
        <v>@KhairilPajeri</v>
      </c>
      <c r="C3060" t="s">
        <v>2153</v>
      </c>
      <c r="D3060">
        <v>252</v>
      </c>
      <c r="E3060">
        <v>0</v>
      </c>
      <c r="F3060">
        <v>32</v>
      </c>
    </row>
    <row r="3061" spans="1:6" ht="12.75">
      <c r="A3061" s="2">
        <v>43884.408796296295</v>
      </c>
      <c r="B3061" t="str">
        <f>HYPERLINK("https://twitter.com/sohen66","@sohen66")</f>
        <v>@sohen66</v>
      </c>
      <c r="C3061" t="s">
        <v>2744</v>
      </c>
      <c r="D3061">
        <v>15</v>
      </c>
      <c r="E3061">
        <v>0</v>
      </c>
      <c r="F3061">
        <v>1020</v>
      </c>
    </row>
    <row r="3062" spans="1:6" ht="12.75">
      <c r="A3062" s="2">
        <v>43884.408576388887</v>
      </c>
      <c r="B3062" t="str">
        <f>HYPERLINK("https://twitter.com/syafrinkar","@syafrinkar")</f>
        <v>@syafrinkar</v>
      </c>
      <c r="C3062" t="s">
        <v>2990</v>
      </c>
      <c r="D3062">
        <v>1</v>
      </c>
      <c r="E3062">
        <v>1</v>
      </c>
      <c r="F3062">
        <v>10847</v>
      </c>
    </row>
    <row r="3063" spans="1:6" ht="12.75">
      <c r="A3063" s="2">
        <v>43884.408472222218</v>
      </c>
      <c r="B3063" t="str">
        <f>HYPERLINK("https://twitter.com/Gerr___","@Gerr___")</f>
        <v>@Gerr___</v>
      </c>
      <c r="C3063" t="s">
        <v>2991</v>
      </c>
      <c r="D3063">
        <v>0</v>
      </c>
      <c r="E3063">
        <v>0</v>
      </c>
      <c r="F3063">
        <v>302</v>
      </c>
    </row>
    <row r="3064" spans="1:6" ht="12.75">
      <c r="A3064" s="2">
        <v>43884.40834490741</v>
      </c>
      <c r="B3064" t="str">
        <f>HYPERLINK("https://twitter.com/ivnrhadzes","@ivnrhadzes")</f>
        <v>@ivnrhadzes</v>
      </c>
      <c r="C3064" t="s">
        <v>2992</v>
      </c>
      <c r="D3064">
        <v>1</v>
      </c>
      <c r="E3064">
        <v>0</v>
      </c>
      <c r="F3064">
        <v>249</v>
      </c>
    </row>
    <row r="3065" spans="1:6" ht="12.75">
      <c r="A3065" s="2">
        <v>43884.407175925924</v>
      </c>
      <c r="B3065" t="str">
        <f>HYPERLINK("https://twitter.com/ramotgun","@ramotgun")</f>
        <v>@ramotgun</v>
      </c>
      <c r="C3065" t="s">
        <v>2993</v>
      </c>
      <c r="D3065">
        <v>2</v>
      </c>
      <c r="E3065">
        <v>0</v>
      </c>
      <c r="F3065">
        <v>1690</v>
      </c>
    </row>
    <row r="3066" spans="1:6" ht="12.75">
      <c r="A3066" s="2">
        <v>43884.406701388885</v>
      </c>
      <c r="B3066" t="str">
        <f>HYPERLINK("https://twitter.com/Sarah_Pndj","@Sarah_Pndj")</f>
        <v>@Sarah_Pndj</v>
      </c>
      <c r="C3066" t="s">
        <v>2993</v>
      </c>
      <c r="D3066">
        <v>2</v>
      </c>
      <c r="E3066">
        <v>0</v>
      </c>
      <c r="F3066">
        <v>26816</v>
      </c>
    </row>
    <row r="3067" spans="1:6" ht="12.75">
      <c r="A3067" s="2">
        <v>43884.406458333338</v>
      </c>
      <c r="B3067" t="str">
        <f>HYPERLINK("https://twitter.com/jshrin_","@jshrin_")</f>
        <v>@jshrin_</v>
      </c>
      <c r="C3067" t="s">
        <v>2711</v>
      </c>
      <c r="D3067">
        <v>197</v>
      </c>
      <c r="E3067">
        <v>0</v>
      </c>
      <c r="F3067">
        <v>687</v>
      </c>
    </row>
    <row r="3068" spans="1:6" ht="12.75">
      <c r="A3068" s="2">
        <v>43884.406226851846</v>
      </c>
      <c r="B3068" t="str">
        <f>HYPERLINK("https://twitter.com/pedang_manthili","@pedang_manthili")</f>
        <v>@pedang_manthili</v>
      </c>
      <c r="C3068" t="s">
        <v>2153</v>
      </c>
      <c r="D3068">
        <v>252</v>
      </c>
      <c r="E3068">
        <v>0</v>
      </c>
      <c r="F3068">
        <v>288</v>
      </c>
    </row>
    <row r="3069" spans="1:6" ht="12.75">
      <c r="A3069" s="2">
        <v>43884.405486111107</v>
      </c>
      <c r="B3069" t="str">
        <f>HYPERLINK("https://twitter.com/elangraka","@elangraka")</f>
        <v>@elangraka</v>
      </c>
      <c r="C3069" t="s">
        <v>2994</v>
      </c>
      <c r="D3069">
        <v>0</v>
      </c>
      <c r="E3069">
        <v>0</v>
      </c>
      <c r="F3069">
        <v>286</v>
      </c>
    </row>
    <row r="3070" spans="1:6" ht="12.75">
      <c r="A3070" s="2">
        <v>43884.404756944445</v>
      </c>
      <c r="B3070" t="str">
        <f>HYPERLINK("https://twitter.com/Mahesars","@Mahesars")</f>
        <v>@Mahesars</v>
      </c>
      <c r="C3070" t="s">
        <v>2995</v>
      </c>
      <c r="D3070">
        <v>0</v>
      </c>
      <c r="E3070">
        <v>0</v>
      </c>
      <c r="F3070">
        <v>713</v>
      </c>
    </row>
    <row r="3071" spans="1:6" ht="12.75">
      <c r="A3071" s="2">
        <v>43884.404270833329</v>
      </c>
      <c r="B3071" t="str">
        <f>HYPERLINK("https://twitter.com/DianMarliniS","@DianMarliniS")</f>
        <v>@DianMarliniS</v>
      </c>
      <c r="C3071" t="s">
        <v>2148</v>
      </c>
      <c r="D3071">
        <v>14</v>
      </c>
      <c r="E3071">
        <v>0</v>
      </c>
      <c r="F3071">
        <v>1242</v>
      </c>
    </row>
    <row r="3072" spans="1:6" ht="12.75">
      <c r="A3072" s="2">
        <v>43884.404074074075</v>
      </c>
      <c r="B3072" t="str">
        <f>HYPERLINK("https://twitter.com/Suryapr37700870","@Suryapr37700870")</f>
        <v>@Suryapr37700870</v>
      </c>
      <c r="C3072" t="s">
        <v>2153</v>
      </c>
      <c r="D3072">
        <v>252</v>
      </c>
      <c r="E3072">
        <v>0</v>
      </c>
      <c r="F3072">
        <v>666</v>
      </c>
    </row>
    <row r="3073" spans="1:6" ht="12.75">
      <c r="A3073" s="2">
        <v>43884.403020833328</v>
      </c>
      <c r="B3073" t="str">
        <f>HYPERLINK("https://twitter.com/LWawang","@LWawang")</f>
        <v>@LWawang</v>
      </c>
      <c r="C3073" t="s">
        <v>2153</v>
      </c>
      <c r="D3073">
        <v>252</v>
      </c>
      <c r="E3073">
        <v>0</v>
      </c>
      <c r="F3073">
        <v>809</v>
      </c>
    </row>
    <row r="3074" spans="1:6" ht="12.75">
      <c r="A3074" s="2">
        <v>43884.40243055555</v>
      </c>
      <c r="B3074" t="str">
        <f>HYPERLINK("https://twitter.com/Eben_Haizer","@Eben_Haizer")</f>
        <v>@Eben_Haizer</v>
      </c>
      <c r="C3074" t="s">
        <v>2996</v>
      </c>
      <c r="D3074">
        <v>0</v>
      </c>
      <c r="E3074">
        <v>1</v>
      </c>
      <c r="F3074">
        <v>286</v>
      </c>
    </row>
    <row r="3075" spans="1:6" ht="12.75">
      <c r="A3075" s="2">
        <v>43884.401122685187</v>
      </c>
      <c r="B3075" t="str">
        <f>HYPERLINK("https://twitter.com/Fu74974303","@Fu74974303")</f>
        <v>@Fu74974303</v>
      </c>
      <c r="C3075" t="s">
        <v>2153</v>
      </c>
      <c r="D3075">
        <v>252</v>
      </c>
      <c r="E3075">
        <v>0</v>
      </c>
      <c r="F3075">
        <v>209</v>
      </c>
    </row>
    <row r="3076" spans="1:6" ht="12.75">
      <c r="A3076" s="2">
        <v>43884.399259259255</v>
      </c>
      <c r="B3076" t="str">
        <f>HYPERLINK("https://twitter.com/SydSalesman","@SydSalesman")</f>
        <v>@SydSalesman</v>
      </c>
      <c r="C3076" t="s">
        <v>2997</v>
      </c>
      <c r="D3076">
        <v>2</v>
      </c>
      <c r="E3076">
        <v>1</v>
      </c>
      <c r="F3076">
        <v>6270</v>
      </c>
    </row>
    <row r="3077" spans="1:6" ht="12.75">
      <c r="A3077" s="2">
        <v>43884.398912037039</v>
      </c>
      <c r="B3077" t="str">
        <f>HYPERLINK("https://twitter.com/triya_azka","@triya_azka")</f>
        <v>@triya_azka</v>
      </c>
      <c r="C3077" t="s">
        <v>2153</v>
      </c>
      <c r="D3077">
        <v>252</v>
      </c>
      <c r="E3077">
        <v>0</v>
      </c>
      <c r="F3077">
        <v>19</v>
      </c>
    </row>
    <row r="3078" spans="1:6" ht="12.75">
      <c r="A3078" s="2">
        <v>43884.395162037035</v>
      </c>
      <c r="B3078" t="str">
        <f>HYPERLINK("https://twitter.com/kodokpangeran5","@kodokpangeran5")</f>
        <v>@kodokpangeran5</v>
      </c>
      <c r="C3078" t="s">
        <v>2909</v>
      </c>
      <c r="D3078">
        <v>0</v>
      </c>
      <c r="E3078">
        <v>0</v>
      </c>
      <c r="F3078">
        <v>98</v>
      </c>
    </row>
    <row r="3079" spans="1:6" ht="12.75">
      <c r="A3079" s="2">
        <v>43884.394652777773</v>
      </c>
      <c r="B3079" t="str">
        <f>HYPERLINK("https://twitter.com/yoojungmu","@yoojungmu")</f>
        <v>@yoojungmu</v>
      </c>
      <c r="C3079" t="s">
        <v>2909</v>
      </c>
      <c r="D3079">
        <v>0</v>
      </c>
      <c r="E3079">
        <v>0</v>
      </c>
      <c r="F3079">
        <v>8626</v>
      </c>
    </row>
    <row r="3080" spans="1:6" ht="12.75">
      <c r="A3080" s="2">
        <v>43884.393645833334</v>
      </c>
      <c r="B3080" t="str">
        <f>HYPERLINK("https://twitter.com/Tresnacimahi81","@Tresnacimahi81")</f>
        <v>@Tresnacimahi81</v>
      </c>
      <c r="C3080" t="s">
        <v>2148</v>
      </c>
      <c r="D3080">
        <v>14</v>
      </c>
      <c r="E3080">
        <v>0</v>
      </c>
      <c r="F3080">
        <v>211</v>
      </c>
    </row>
    <row r="3081" spans="1:6" ht="12.75">
      <c r="A3081" s="2">
        <v>43884.393182870372</v>
      </c>
      <c r="B3081" t="str">
        <f>HYPERLINK("https://twitter.com/yoojungmu","@yoojungmu")</f>
        <v>@yoojungmu</v>
      </c>
      <c r="C3081" t="s">
        <v>2911</v>
      </c>
      <c r="D3081">
        <v>0</v>
      </c>
      <c r="E3081">
        <v>0</v>
      </c>
      <c r="F3081">
        <v>8626</v>
      </c>
    </row>
    <row r="3082" spans="1:6" ht="12.75">
      <c r="A3082" s="2">
        <v>43884.39267361111</v>
      </c>
      <c r="B3082" t="str">
        <f>HYPERLINK("https://twitter.com/annapachecoo3","@annapachecoo3")</f>
        <v>@annapachecoo3</v>
      </c>
      <c r="C3082" t="s">
        <v>2998</v>
      </c>
      <c r="D3082">
        <v>0</v>
      </c>
      <c r="E3082">
        <v>1</v>
      </c>
      <c r="F3082">
        <v>133</v>
      </c>
    </row>
    <row r="3083" spans="1:6" ht="12.75">
      <c r="A3083" s="2">
        <v>43884.391400462962</v>
      </c>
      <c r="B3083" t="str">
        <f>HYPERLINK("https://twitter.com/rangermera","@rangermera")</f>
        <v>@rangermera</v>
      </c>
      <c r="C3083" t="s">
        <v>2914</v>
      </c>
      <c r="D3083">
        <v>0</v>
      </c>
      <c r="E3083">
        <v>0</v>
      </c>
      <c r="F3083">
        <v>82</v>
      </c>
    </row>
    <row r="3084" spans="1:6" ht="12.75">
      <c r="A3084" s="2">
        <v>43884.391157407408</v>
      </c>
      <c r="B3084" t="str">
        <f>HYPERLINK("https://twitter.com/yoojungmu","@yoojungmu")</f>
        <v>@yoojungmu</v>
      </c>
      <c r="C3084" t="s">
        <v>2916</v>
      </c>
      <c r="D3084">
        <v>0</v>
      </c>
      <c r="E3084">
        <v>0</v>
      </c>
      <c r="F3084">
        <v>8626</v>
      </c>
    </row>
    <row r="3085" spans="1:6" ht="12.75">
      <c r="A3085" s="2">
        <v>43884.390902777777</v>
      </c>
      <c r="B3085" t="str">
        <f>HYPERLINK("https://twitter.com/antakara_86","@antakara_86")</f>
        <v>@antakara_86</v>
      </c>
      <c r="C3085" t="s">
        <v>2148</v>
      </c>
      <c r="D3085">
        <v>14</v>
      </c>
      <c r="E3085">
        <v>0</v>
      </c>
      <c r="F3085">
        <v>5023</v>
      </c>
    </row>
    <row r="3086" spans="1:6" ht="12.75">
      <c r="A3086" s="2">
        <v>43884.390046296292</v>
      </c>
      <c r="B3086" t="str">
        <f>HYPERLINK("https://twitter.com/MoetMell","@MoetMell")</f>
        <v>@MoetMell</v>
      </c>
      <c r="C3086" t="s">
        <v>2119</v>
      </c>
      <c r="D3086">
        <v>539</v>
      </c>
      <c r="E3086">
        <v>0</v>
      </c>
      <c r="F3086">
        <v>23</v>
      </c>
    </row>
    <row r="3087" spans="1:6" ht="12.75">
      <c r="A3087" s="2">
        <v>43884.389918981484</v>
      </c>
      <c r="B3087" t="str">
        <f>HYPERLINK("https://twitter.com/WinarsihParis","@WinarsihParis")</f>
        <v>@WinarsihParis</v>
      </c>
      <c r="C3087" t="s">
        <v>2916</v>
      </c>
      <c r="D3087">
        <v>0</v>
      </c>
      <c r="E3087">
        <v>0</v>
      </c>
      <c r="F3087">
        <v>121</v>
      </c>
    </row>
    <row r="3088" spans="1:6" ht="12.75">
      <c r="A3088" s="2">
        <v>43884.389641203699</v>
      </c>
      <c r="B3088" t="str">
        <f>HYPERLINK("https://twitter.com/DavidGentana","@DavidGentana")</f>
        <v>@DavidGentana</v>
      </c>
      <c r="C3088" t="s">
        <v>2999</v>
      </c>
      <c r="D3088">
        <v>1</v>
      </c>
      <c r="E3088">
        <v>0</v>
      </c>
      <c r="F3088">
        <v>158</v>
      </c>
    </row>
    <row r="3089" spans="1:6" ht="12.75">
      <c r="A3089" s="2">
        <v>43884.388935185183</v>
      </c>
      <c r="B3089" t="str">
        <f>HYPERLINK("https://twitter.com/minhyunsc","@minhyunsc")</f>
        <v>@minhyunsc</v>
      </c>
      <c r="C3089" t="s">
        <v>2926</v>
      </c>
      <c r="D3089">
        <v>0</v>
      </c>
      <c r="E3089">
        <v>0</v>
      </c>
      <c r="F3089">
        <v>7519</v>
      </c>
    </row>
    <row r="3090" spans="1:6" ht="12.75">
      <c r="A3090" s="2">
        <v>43884.388680555552</v>
      </c>
      <c r="B3090" t="str">
        <f>HYPERLINK("https://twitter.com/rangermera","@rangermera")</f>
        <v>@rangermera</v>
      </c>
      <c r="C3090" t="s">
        <v>2916</v>
      </c>
      <c r="D3090">
        <v>0</v>
      </c>
      <c r="E3090">
        <v>0</v>
      </c>
      <c r="F3090">
        <v>82</v>
      </c>
    </row>
    <row r="3091" spans="1:6" ht="12.75">
      <c r="A3091" s="2">
        <v>43884.388298611113</v>
      </c>
      <c r="B3091" t="str">
        <f>HYPERLINK("https://twitter.com/leehan_kim922","@leehan_kim922")</f>
        <v>@leehan_kim922</v>
      </c>
      <c r="C3091" t="s">
        <v>3000</v>
      </c>
      <c r="D3091">
        <v>0</v>
      </c>
      <c r="E3091">
        <v>1</v>
      </c>
      <c r="F3091">
        <v>114</v>
      </c>
    </row>
    <row r="3092" spans="1:6" ht="12.75">
      <c r="A3092" s="2">
        <v>43884.387708333335</v>
      </c>
      <c r="B3092" t="str">
        <f>HYPERLINK("https://twitter.com/kodokpangeran5","@kodokpangeran5")</f>
        <v>@kodokpangeran5</v>
      </c>
      <c r="C3092" t="s">
        <v>2910</v>
      </c>
      <c r="D3092">
        <v>0</v>
      </c>
      <c r="E3092">
        <v>0</v>
      </c>
      <c r="F3092">
        <v>98</v>
      </c>
    </row>
    <row r="3093" spans="1:6" ht="12.75">
      <c r="A3093" s="2">
        <v>43884.386562500003</v>
      </c>
      <c r="B3093" t="str">
        <f>HYPERLINK("https://twitter.com/Hadi5435909Hadi","@Hadi5435909Hadi")</f>
        <v>@Hadi5435909Hadi</v>
      </c>
      <c r="C3093" t="s">
        <v>3001</v>
      </c>
      <c r="D3093">
        <v>0</v>
      </c>
      <c r="E3093">
        <v>0</v>
      </c>
      <c r="F3093">
        <v>28</v>
      </c>
    </row>
    <row r="3094" spans="1:6" ht="12.75">
      <c r="A3094" s="2">
        <v>43884.386481481481</v>
      </c>
      <c r="B3094" t="str">
        <f>HYPERLINK("https://twitter.com/PutraJaguar8","@PutraJaguar8")</f>
        <v>@PutraJaguar8</v>
      </c>
      <c r="C3094" t="s">
        <v>2911</v>
      </c>
      <c r="D3094">
        <v>0</v>
      </c>
      <c r="E3094">
        <v>0</v>
      </c>
      <c r="F3094">
        <v>2</v>
      </c>
    </row>
    <row r="3095" spans="1:6" ht="12.75">
      <c r="A3095" s="2">
        <v>43884.386215277773</v>
      </c>
      <c r="B3095" t="str">
        <f>HYPERLINK("https://twitter.com/minhyunsc","@minhyunsc")</f>
        <v>@minhyunsc</v>
      </c>
      <c r="C3095" t="s">
        <v>2916</v>
      </c>
      <c r="D3095">
        <v>0</v>
      </c>
      <c r="E3095">
        <v>0</v>
      </c>
      <c r="F3095">
        <v>7519</v>
      </c>
    </row>
    <row r="3096" spans="1:6" ht="12.75">
      <c r="A3096" s="2">
        <v>43884.385937500003</v>
      </c>
      <c r="B3096" t="str">
        <f>HYPERLINK("https://twitter.com/bulansridevi","@bulansridevi")</f>
        <v>@bulansridevi</v>
      </c>
      <c r="C3096" t="s">
        <v>3002</v>
      </c>
      <c r="D3096">
        <v>0</v>
      </c>
      <c r="E3096">
        <v>0</v>
      </c>
      <c r="F3096">
        <v>1153</v>
      </c>
    </row>
    <row r="3097" spans="1:6" ht="12.75">
      <c r="A3097" s="2">
        <v>43884.385740740741</v>
      </c>
      <c r="B3097" t="str">
        <f>HYPERLINK("https://twitter.com/punkerokan","@punkerokan")</f>
        <v>@punkerokan</v>
      </c>
      <c r="C3097" t="s">
        <v>2914</v>
      </c>
      <c r="D3097">
        <v>0</v>
      </c>
      <c r="E3097">
        <v>0</v>
      </c>
      <c r="F3097">
        <v>14</v>
      </c>
    </row>
    <row r="3098" spans="1:6" ht="12.75">
      <c r="A3098" s="2">
        <v>43884.385729166665</v>
      </c>
      <c r="B3098" t="str">
        <f>HYPERLINK("https://twitter.com/mitudd","@mitudd")</f>
        <v>@mitudd</v>
      </c>
      <c r="C3098" t="s">
        <v>3003</v>
      </c>
      <c r="D3098">
        <v>0</v>
      </c>
      <c r="E3098">
        <v>1</v>
      </c>
      <c r="F3098">
        <v>448</v>
      </c>
    </row>
    <row r="3099" spans="1:6" ht="12.75">
      <c r="A3099" s="2">
        <v>43884.385717592595</v>
      </c>
      <c r="B3099" t="str">
        <f>HYPERLINK("https://twitter.com/owicaksana","@owicaksana")</f>
        <v>@owicaksana</v>
      </c>
      <c r="C3099" t="s">
        <v>2943</v>
      </c>
      <c r="D3099">
        <v>22</v>
      </c>
      <c r="E3099">
        <v>0</v>
      </c>
      <c r="F3099">
        <v>2590</v>
      </c>
    </row>
    <row r="3100" spans="1:6" ht="12.75">
      <c r="A3100" s="2">
        <v>43884.385706018518</v>
      </c>
      <c r="B3100" t="str">
        <f>HYPERLINK("https://twitter.com/rdeaaoo","@rdeaaoo")</f>
        <v>@rdeaaoo</v>
      </c>
      <c r="C3100" t="s">
        <v>3004</v>
      </c>
      <c r="D3100">
        <v>0</v>
      </c>
      <c r="E3100">
        <v>0</v>
      </c>
      <c r="F3100">
        <v>82</v>
      </c>
    </row>
    <row r="3101" spans="1:6" ht="12.75">
      <c r="A3101" s="2">
        <v>43884.385509259257</v>
      </c>
      <c r="B3101" t="str">
        <f>HYPERLINK("https://twitter.com/rangermera","@rangermera")</f>
        <v>@rangermera</v>
      </c>
      <c r="C3101" t="s">
        <v>3005</v>
      </c>
      <c r="D3101">
        <v>0</v>
      </c>
      <c r="E3101">
        <v>0</v>
      </c>
      <c r="F3101">
        <v>82</v>
      </c>
    </row>
    <row r="3102" spans="1:6" ht="12.75">
      <c r="A3102" s="2">
        <v>43884.385254629626</v>
      </c>
      <c r="B3102" t="str">
        <f>HYPERLINK("https://twitter.com/cameliaria1","@cameliaria1")</f>
        <v>@cameliaria1</v>
      </c>
      <c r="C3102" t="s">
        <v>2889</v>
      </c>
      <c r="D3102">
        <v>0</v>
      </c>
      <c r="E3102">
        <v>0</v>
      </c>
      <c r="F3102">
        <v>51</v>
      </c>
    </row>
    <row r="3103" spans="1:6" ht="12.75">
      <c r="A3103" s="2">
        <v>43884.384999999995</v>
      </c>
      <c r="B3103" t="str">
        <f>HYPERLINK("https://twitter.com/minhyunsc","@minhyunsc")</f>
        <v>@minhyunsc</v>
      </c>
      <c r="C3103" t="s">
        <v>2923</v>
      </c>
      <c r="D3103">
        <v>0</v>
      </c>
      <c r="E3103">
        <v>0</v>
      </c>
      <c r="F3103">
        <v>7519</v>
      </c>
    </row>
    <row r="3104" spans="1:6" ht="12.75">
      <c r="A3104" s="2">
        <v>43884.38481481481</v>
      </c>
      <c r="B3104" t="str">
        <f>HYPERLINK("https://twitter.com/ilman__nafian","@ilman__nafian")</f>
        <v>@ilman__nafian</v>
      </c>
      <c r="C3104" t="s">
        <v>3006</v>
      </c>
      <c r="D3104">
        <v>0</v>
      </c>
      <c r="E3104">
        <v>1</v>
      </c>
      <c r="F3104">
        <v>2258</v>
      </c>
    </row>
    <row r="3105" spans="1:6" ht="12.75">
      <c r="A3105" s="2">
        <v>43884.384756944448</v>
      </c>
      <c r="B3105" t="str">
        <f>HYPERLINK("https://twitter.com/yoojungmu","@yoojungmu")</f>
        <v>@yoojungmu</v>
      </c>
      <c r="C3105" t="s">
        <v>3005</v>
      </c>
      <c r="D3105">
        <v>0</v>
      </c>
      <c r="E3105">
        <v>0</v>
      </c>
      <c r="F3105">
        <v>8626</v>
      </c>
    </row>
    <row r="3106" spans="1:6" ht="12.75">
      <c r="A3106" s="2">
        <v>43884.384513888886</v>
      </c>
      <c r="B3106" t="str">
        <f>HYPERLINK("https://twitter.com/kodokpangeran5","@kodokpangeran5")</f>
        <v>@kodokpangeran5</v>
      </c>
      <c r="C3106" t="s">
        <v>2889</v>
      </c>
      <c r="D3106">
        <v>0</v>
      </c>
      <c r="E3106">
        <v>0</v>
      </c>
      <c r="F3106">
        <v>98</v>
      </c>
    </row>
    <row r="3107" spans="1:6" ht="12.75">
      <c r="A3107" s="2">
        <v>43884.384270833332</v>
      </c>
      <c r="B3107" t="str">
        <f>HYPERLINK("https://twitter.com/TahuPedas7","@TahuPedas7")</f>
        <v>@TahuPedas7</v>
      </c>
      <c r="C3107" t="s">
        <v>2916</v>
      </c>
      <c r="D3107">
        <v>0</v>
      </c>
      <c r="E3107">
        <v>0</v>
      </c>
      <c r="F3107">
        <v>92</v>
      </c>
    </row>
    <row r="3108" spans="1:6" ht="12.75">
      <c r="A3108" s="2">
        <v>43884.384224537032</v>
      </c>
      <c r="B3108" t="str">
        <f>HYPERLINK("https://twitter.com/vrendim29_","@vrendim29_")</f>
        <v>@vrendim29_</v>
      </c>
      <c r="C3108" t="s">
        <v>2153</v>
      </c>
      <c r="D3108">
        <v>252</v>
      </c>
      <c r="E3108">
        <v>0</v>
      </c>
      <c r="F3108">
        <v>1900</v>
      </c>
    </row>
    <row r="3109" spans="1:6" ht="12.75">
      <c r="A3109" s="2">
        <v>43884.384004629625</v>
      </c>
      <c r="B3109" t="str">
        <f>HYPERLINK("https://twitter.com/kodokpangeran5","@kodokpangeran5")</f>
        <v>@kodokpangeran5</v>
      </c>
      <c r="C3109" t="s">
        <v>2926</v>
      </c>
      <c r="D3109">
        <v>0</v>
      </c>
      <c r="E3109">
        <v>0</v>
      </c>
      <c r="F3109">
        <v>98</v>
      </c>
    </row>
    <row r="3110" spans="1:6" ht="12.75">
      <c r="A3110" s="2">
        <v>43884.383773148147</v>
      </c>
      <c r="B3110" t="str">
        <f>HYPERLINK("https://twitter.com/WinarsihParis","@WinarsihParis")</f>
        <v>@WinarsihParis</v>
      </c>
      <c r="C3110" t="s">
        <v>2914</v>
      </c>
      <c r="D3110">
        <v>0</v>
      </c>
      <c r="E3110">
        <v>0</v>
      </c>
      <c r="F3110">
        <v>121</v>
      </c>
    </row>
    <row r="3111" spans="1:6" ht="12.75">
      <c r="A3111" s="2">
        <v>43884.383587962962</v>
      </c>
      <c r="B3111" t="str">
        <f>HYPERLINK("https://twitter.com/makna_ruci","@makna_ruci")</f>
        <v>@makna_ruci</v>
      </c>
      <c r="C3111" t="s">
        <v>2927</v>
      </c>
      <c r="D3111">
        <v>32</v>
      </c>
      <c r="E3111">
        <v>0</v>
      </c>
      <c r="F3111">
        <v>3953</v>
      </c>
    </row>
    <row r="3112" spans="1:6" ht="12.75">
      <c r="A3112" s="2">
        <v>43884.383217592593</v>
      </c>
      <c r="B3112" t="str">
        <f>HYPERLINK("https://twitter.com/KorongComro","@KorongComro")</f>
        <v>@KorongComro</v>
      </c>
      <c r="C3112" t="s">
        <v>2744</v>
      </c>
      <c r="D3112">
        <v>15</v>
      </c>
      <c r="E3112">
        <v>0</v>
      </c>
      <c r="F3112">
        <v>146</v>
      </c>
    </row>
    <row r="3113" spans="1:6" ht="12.75">
      <c r="A3113" s="2">
        <v>43884.382534722223</v>
      </c>
      <c r="B3113" t="str">
        <f>HYPERLINK("https://twitter.com/kodokpangeran5","@kodokpangeran5")</f>
        <v>@kodokpangeran5</v>
      </c>
      <c r="C3113" t="s">
        <v>2911</v>
      </c>
      <c r="D3113">
        <v>0</v>
      </c>
      <c r="E3113">
        <v>0</v>
      </c>
      <c r="F3113">
        <v>98</v>
      </c>
    </row>
    <row r="3114" spans="1:6" ht="12.75">
      <c r="A3114" s="2">
        <v>43884.382523148146</v>
      </c>
      <c r="B3114" t="str">
        <f>HYPERLINK("https://twitter.com/DaniTrisdian1","@DaniTrisdian1")</f>
        <v>@DaniTrisdian1</v>
      </c>
      <c r="C3114" t="s">
        <v>2153</v>
      </c>
      <c r="D3114">
        <v>252</v>
      </c>
      <c r="E3114">
        <v>0</v>
      </c>
      <c r="F3114">
        <v>19</v>
      </c>
    </row>
    <row r="3115" spans="1:6" ht="12.75">
      <c r="A3115" s="2">
        <v>43884.382187499999</v>
      </c>
      <c r="B3115" t="str">
        <f>HYPERLINK("https://twitter.com/RepublikTweep","@RepublikTweep")</f>
        <v>@RepublikTweep</v>
      </c>
      <c r="C3115" t="s">
        <v>3007</v>
      </c>
      <c r="D3115">
        <v>0</v>
      </c>
      <c r="E3115">
        <v>3</v>
      </c>
      <c r="F3115">
        <v>27397</v>
      </c>
    </row>
    <row r="3116" spans="1:6" ht="12.75">
      <c r="A3116" s="2">
        <v>43884.37599537037</v>
      </c>
      <c r="B3116" t="str">
        <f>HYPERLINK("https://twitter.com/jepriadim2","@jepriadim2")</f>
        <v>@jepriadim2</v>
      </c>
      <c r="C3116" t="s">
        <v>3008</v>
      </c>
      <c r="D3116">
        <v>0</v>
      </c>
      <c r="E3116">
        <v>0</v>
      </c>
      <c r="F3116">
        <v>323</v>
      </c>
    </row>
    <row r="3117" spans="1:6" ht="12.75">
      <c r="A3117" s="2">
        <v>43884.375578703708</v>
      </c>
      <c r="B3117" t="str">
        <f>HYPERLINK("https://twitter.com/ISIS_Kasiab","@ISIS_Kasiab")</f>
        <v>@ISIS_Kasiab</v>
      </c>
      <c r="C3117" t="s">
        <v>3009</v>
      </c>
      <c r="D3117">
        <v>0</v>
      </c>
      <c r="E3117">
        <v>0</v>
      </c>
      <c r="F3117">
        <v>139</v>
      </c>
    </row>
    <row r="3118" spans="1:6" ht="12.75">
      <c r="A3118" s="2">
        <v>43884.373865740738</v>
      </c>
      <c r="B3118" t="str">
        <f>HYPERLINK("https://twitter.com/pendividia","@pendividia")</f>
        <v>@pendividia</v>
      </c>
      <c r="C3118" t="s">
        <v>2148</v>
      </c>
      <c r="D3118">
        <v>10</v>
      </c>
      <c r="E3118">
        <v>0</v>
      </c>
      <c r="F3118">
        <v>591</v>
      </c>
    </row>
    <row r="3119" spans="1:6" ht="12.75">
      <c r="A3119" s="2">
        <v>43884.373599537037</v>
      </c>
      <c r="B3119" t="str">
        <f>HYPERLINK("https://twitter.com/indragiri313","@indragiri313")</f>
        <v>@indragiri313</v>
      </c>
      <c r="C3119" t="s">
        <v>2153</v>
      </c>
      <c r="D3119">
        <v>235</v>
      </c>
      <c r="E3119">
        <v>0</v>
      </c>
      <c r="F3119">
        <v>956</v>
      </c>
    </row>
    <row r="3120" spans="1:6" ht="12.75">
      <c r="A3120" s="2">
        <v>43884.37195601852</v>
      </c>
      <c r="B3120" t="str">
        <f>HYPERLINK("https://twitter.com/youngwingSKY","@youngwingSKY")</f>
        <v>@youngwingSKY</v>
      </c>
      <c r="C3120" t="s">
        <v>3010</v>
      </c>
      <c r="D3120">
        <v>0</v>
      </c>
      <c r="E3120">
        <v>0</v>
      </c>
      <c r="F3120">
        <v>61</v>
      </c>
    </row>
    <row r="3121" spans="1:6" ht="12.75">
      <c r="A3121" s="2">
        <v>43884.370775462958</v>
      </c>
      <c r="B3121" t="str">
        <f>HYPERLINK("https://twitter.com/wni_jmsri","@wni_jmsri")</f>
        <v>@wni_jmsri</v>
      </c>
      <c r="C3121" t="s">
        <v>3011</v>
      </c>
      <c r="D3121">
        <v>5154</v>
      </c>
      <c r="E3121">
        <v>0</v>
      </c>
      <c r="F3121">
        <v>196</v>
      </c>
    </row>
    <row r="3122" spans="1:6" ht="12.75">
      <c r="A3122" s="2">
        <v>43884.370682870373</v>
      </c>
      <c r="B3122" t="str">
        <f>HYPERLINK("https://twitter.com/BangGodham","@BangGodham")</f>
        <v>@BangGodham</v>
      </c>
      <c r="C3122" t="s">
        <v>2153</v>
      </c>
      <c r="D3122">
        <v>235</v>
      </c>
      <c r="E3122">
        <v>0</v>
      </c>
      <c r="F3122">
        <v>933</v>
      </c>
    </row>
    <row r="3123" spans="1:6" ht="12.75">
      <c r="A3123" s="2">
        <v>43884.370370370365</v>
      </c>
      <c r="B3123" t="str">
        <f>HYPERLINK("https://twitter.com/kasehsaulmouk","@kasehsaulmouk")</f>
        <v>@kasehsaulmouk</v>
      </c>
      <c r="C3123" t="s">
        <v>2153</v>
      </c>
      <c r="D3123">
        <v>235</v>
      </c>
      <c r="E3123">
        <v>0</v>
      </c>
      <c r="F3123">
        <v>3634</v>
      </c>
    </row>
    <row r="3124" spans="1:6" ht="12.75">
      <c r="A3124" s="2">
        <v>43884.369513888887</v>
      </c>
      <c r="B3124" t="str">
        <f>HYPERLINK("https://twitter.com/OdotSaja","@OdotSaja")</f>
        <v>@OdotSaja</v>
      </c>
      <c r="C3124" t="s">
        <v>3012</v>
      </c>
      <c r="D3124">
        <v>0</v>
      </c>
      <c r="E3124">
        <v>0</v>
      </c>
      <c r="F3124">
        <v>235</v>
      </c>
    </row>
    <row r="3125" spans="1:6" ht="12.75">
      <c r="A3125" s="2">
        <v>43884.369374999995</v>
      </c>
      <c r="B3125" t="str">
        <f>HYPERLINK("https://twitter.com/05panji2","@05panji2")</f>
        <v>@05panji2</v>
      </c>
      <c r="C3125" t="s">
        <v>3013</v>
      </c>
      <c r="D3125">
        <v>0</v>
      </c>
      <c r="E3125">
        <v>0</v>
      </c>
      <c r="F3125">
        <v>430</v>
      </c>
    </row>
    <row r="3126" spans="1:6" ht="12.75">
      <c r="A3126" s="2">
        <v>43884.368981481486</v>
      </c>
      <c r="B3126" t="str">
        <f>HYPERLINK("https://twitter.com/zack_segeir","@zack_segeir")</f>
        <v>@zack_segeir</v>
      </c>
      <c r="C3126" t="s">
        <v>2153</v>
      </c>
      <c r="D3126">
        <v>235</v>
      </c>
      <c r="E3126">
        <v>0</v>
      </c>
      <c r="F3126">
        <v>717</v>
      </c>
    </row>
    <row r="3127" spans="1:6" ht="12.75">
      <c r="A3127" s="2">
        <v>43884.368113425924</v>
      </c>
      <c r="B3127" t="str">
        <f>HYPERLINK("https://twitter.com/ChusjairiMb","@ChusjairiMb")</f>
        <v>@ChusjairiMb</v>
      </c>
      <c r="C3127" t="s">
        <v>2963</v>
      </c>
      <c r="D3127">
        <v>1323</v>
      </c>
      <c r="E3127">
        <v>0</v>
      </c>
      <c r="F3127">
        <v>3815</v>
      </c>
    </row>
    <row r="3128" spans="1:6" ht="12.75">
      <c r="A3128" s="2">
        <v>43884.366712962961</v>
      </c>
      <c r="B3128" t="str">
        <f>HYPERLINK("https://twitter.com/budiarto689","@budiarto689")</f>
        <v>@budiarto689</v>
      </c>
      <c r="C3128" t="s">
        <v>3014</v>
      </c>
      <c r="D3128">
        <v>0</v>
      </c>
      <c r="E3128">
        <v>0</v>
      </c>
      <c r="F3128">
        <v>2142</v>
      </c>
    </row>
    <row r="3129" spans="1:6" ht="12.75">
      <c r="A3129" s="2">
        <v>43884.365925925929</v>
      </c>
      <c r="B3129" t="str">
        <f t="shared" ref="B3129:B3130" si="66">HYPERLINK("https://twitter.com/MatPakpahan","@MatPakpahan")</f>
        <v>@MatPakpahan</v>
      </c>
      <c r="C3129" t="s">
        <v>3015</v>
      </c>
      <c r="D3129">
        <v>0</v>
      </c>
      <c r="E3129">
        <v>0</v>
      </c>
      <c r="F3129">
        <v>1</v>
      </c>
    </row>
    <row r="3130" spans="1:6" ht="12.75">
      <c r="A3130" s="2">
        <v>43884.365266203706</v>
      </c>
      <c r="B3130" t="str">
        <f t="shared" si="66"/>
        <v>@MatPakpahan</v>
      </c>
      <c r="C3130" t="s">
        <v>3016</v>
      </c>
      <c r="D3130">
        <v>0</v>
      </c>
      <c r="E3130">
        <v>0</v>
      </c>
      <c r="F3130">
        <v>1</v>
      </c>
    </row>
    <row r="3131" spans="1:6" ht="12.75">
      <c r="A3131" s="2">
        <v>43884.364976851852</v>
      </c>
      <c r="B3131" t="str">
        <f>HYPERLINK("https://twitter.com/5angkan","@5angkan")</f>
        <v>@5angkan</v>
      </c>
      <c r="C3131" t="s">
        <v>3017</v>
      </c>
      <c r="D3131">
        <v>0</v>
      </c>
      <c r="E3131">
        <v>0</v>
      </c>
      <c r="F3131">
        <v>145</v>
      </c>
    </row>
    <row r="3132" spans="1:6" ht="12.75">
      <c r="A3132" s="2">
        <v>43884.364953703705</v>
      </c>
      <c r="B3132" t="str">
        <f>HYPERLINK("https://twitter.com/MatPakpahan","@MatPakpahan")</f>
        <v>@MatPakpahan</v>
      </c>
      <c r="C3132" t="s">
        <v>3018</v>
      </c>
      <c r="D3132">
        <v>0</v>
      </c>
      <c r="E3132">
        <v>0</v>
      </c>
      <c r="F3132">
        <v>1</v>
      </c>
    </row>
    <row r="3133" spans="1:6" ht="12.75">
      <c r="A3133" s="2">
        <v>43884.364884259259</v>
      </c>
      <c r="B3133" t="str">
        <f>HYPERLINK("https://twitter.com/Ucek71568654","@Ucek71568654")</f>
        <v>@Ucek71568654</v>
      </c>
      <c r="C3133" t="s">
        <v>2744</v>
      </c>
      <c r="D3133">
        <v>9</v>
      </c>
      <c r="E3133">
        <v>0</v>
      </c>
      <c r="F3133">
        <v>41</v>
      </c>
    </row>
    <row r="3134" spans="1:6" ht="12.75">
      <c r="A3134" s="2">
        <v>43884.364699074074</v>
      </c>
      <c r="B3134" t="str">
        <f t="shared" ref="B3134:B3135" si="67">HYPERLINK("https://twitter.com/MatPakpahan","@MatPakpahan")</f>
        <v>@MatPakpahan</v>
      </c>
      <c r="C3134" t="s">
        <v>3019</v>
      </c>
      <c r="D3134">
        <v>0</v>
      </c>
      <c r="E3134">
        <v>0</v>
      </c>
      <c r="F3134">
        <v>1</v>
      </c>
    </row>
    <row r="3135" spans="1:6" ht="12.75">
      <c r="A3135" s="2">
        <v>43884.364166666666</v>
      </c>
      <c r="B3135" t="str">
        <f t="shared" si="67"/>
        <v>@MatPakpahan</v>
      </c>
      <c r="C3135" t="s">
        <v>3020</v>
      </c>
      <c r="D3135">
        <v>0</v>
      </c>
      <c r="E3135">
        <v>0</v>
      </c>
      <c r="F3135">
        <v>1</v>
      </c>
    </row>
    <row r="3136" spans="1:6" ht="12.75">
      <c r="A3136" s="2">
        <v>43884.362685185188</v>
      </c>
      <c r="B3136" t="str">
        <f>HYPERLINK("https://twitter.com/nowodjati","@nowodjati")</f>
        <v>@nowodjati</v>
      </c>
      <c r="C3136" t="s">
        <v>2153</v>
      </c>
      <c r="D3136">
        <v>235</v>
      </c>
      <c r="E3136">
        <v>0</v>
      </c>
      <c r="F3136">
        <v>103</v>
      </c>
    </row>
    <row r="3137" spans="1:6" ht="12.75">
      <c r="A3137" s="2">
        <v>43884.361597222218</v>
      </c>
      <c r="B3137" t="str">
        <f>HYPERLINK("https://twitter.com/27Ichoe","@27Ichoe")</f>
        <v>@27Ichoe</v>
      </c>
      <c r="C3137" t="s">
        <v>2148</v>
      </c>
      <c r="D3137">
        <v>10</v>
      </c>
      <c r="E3137">
        <v>0</v>
      </c>
      <c r="F3137">
        <v>346</v>
      </c>
    </row>
    <row r="3138" spans="1:6" ht="12.75">
      <c r="A3138" s="2">
        <v>43884.360856481479</v>
      </c>
      <c r="B3138" t="str">
        <f>HYPERLINK("https://twitter.com/BEEDSEL","@BEEDSEL")</f>
        <v>@BEEDSEL</v>
      </c>
      <c r="C3138" t="s">
        <v>3021</v>
      </c>
      <c r="D3138">
        <v>0</v>
      </c>
      <c r="E3138">
        <v>0</v>
      </c>
      <c r="F3138">
        <v>12</v>
      </c>
    </row>
    <row r="3139" spans="1:6" ht="12.75">
      <c r="A3139" s="2">
        <v>43884.359293981484</v>
      </c>
      <c r="B3139" t="str">
        <f>HYPERLINK("https://twitter.com/DavidCh02636461","@DavidCh02636461")</f>
        <v>@DavidCh02636461</v>
      </c>
      <c r="C3139" t="s">
        <v>3022</v>
      </c>
      <c r="D3139">
        <v>1</v>
      </c>
      <c r="E3139">
        <v>0</v>
      </c>
      <c r="F3139">
        <v>71</v>
      </c>
    </row>
    <row r="3140" spans="1:6" ht="12.75">
      <c r="A3140" s="2">
        <v>43884.359270833331</v>
      </c>
      <c r="B3140" t="str">
        <f>HYPERLINK("https://twitter.com/Deni45158","@Deni45158")</f>
        <v>@Deni45158</v>
      </c>
      <c r="C3140" t="s">
        <v>2153</v>
      </c>
      <c r="D3140">
        <v>235</v>
      </c>
      <c r="E3140">
        <v>0</v>
      </c>
      <c r="F3140">
        <v>284</v>
      </c>
    </row>
    <row r="3141" spans="1:6" ht="12.75">
      <c r="A3141" s="2">
        <v>43884.359201388885</v>
      </c>
      <c r="B3141" t="str">
        <f>HYPERLINK("https://twitter.com/Hamzah_Baudin","@Hamzah_Baudin")</f>
        <v>@Hamzah_Baudin</v>
      </c>
      <c r="C3141" t="s">
        <v>2148</v>
      </c>
      <c r="D3141">
        <v>10</v>
      </c>
      <c r="E3141">
        <v>0</v>
      </c>
      <c r="F3141">
        <v>2979</v>
      </c>
    </row>
    <row r="3142" spans="1:6" ht="12.75">
      <c r="A3142" s="2">
        <v>43884.358402777776</v>
      </c>
      <c r="B3142" t="str">
        <f>HYPERLINK("https://twitter.com/X_SamURay63","@X_SamURay63")</f>
        <v>@X_SamURay63</v>
      </c>
      <c r="C3142" t="s">
        <v>2744</v>
      </c>
      <c r="D3142">
        <v>9</v>
      </c>
      <c r="E3142">
        <v>0</v>
      </c>
      <c r="F3142">
        <v>3920</v>
      </c>
    </row>
    <row r="3143" spans="1:6" ht="12.75">
      <c r="A3143" s="2">
        <v>43884.357592592598</v>
      </c>
      <c r="B3143" t="str">
        <f>HYPERLINK("https://twitter.com/Tuanridwan_","@Tuanridwan_")</f>
        <v>@Tuanridwan_</v>
      </c>
      <c r="C3143" t="s">
        <v>2930</v>
      </c>
      <c r="D3143">
        <v>151</v>
      </c>
      <c r="E3143">
        <v>0</v>
      </c>
      <c r="F3143">
        <v>398</v>
      </c>
    </row>
    <row r="3144" spans="1:6" ht="12.75">
      <c r="A3144" s="2">
        <v>43884.357256944444</v>
      </c>
      <c r="B3144" t="str">
        <f>HYPERLINK("https://twitter.com/kerjacerdas","@kerjacerdas")</f>
        <v>@kerjacerdas</v>
      </c>
      <c r="C3144" t="s">
        <v>3023</v>
      </c>
      <c r="D3144">
        <v>2</v>
      </c>
      <c r="E3144">
        <v>0</v>
      </c>
      <c r="F3144">
        <v>829</v>
      </c>
    </row>
    <row r="3145" spans="1:6" ht="12.75">
      <c r="A3145" s="2">
        <v>43884.35670138889</v>
      </c>
      <c r="B3145" t="str">
        <f>HYPERLINK("https://twitter.com/ronindrawan","@ronindrawan")</f>
        <v>@ronindrawan</v>
      </c>
      <c r="C3145" t="s">
        <v>2154</v>
      </c>
      <c r="D3145">
        <v>56</v>
      </c>
      <c r="E3145">
        <v>0</v>
      </c>
      <c r="F3145">
        <v>720</v>
      </c>
    </row>
    <row r="3146" spans="1:6" ht="12.75">
      <c r="A3146" s="2">
        <v>43884.356550925921</v>
      </c>
      <c r="B3146" t="str">
        <f>HYPERLINK("https://twitter.com/dkarhita","@dkarhita")</f>
        <v>@dkarhita</v>
      </c>
      <c r="C3146" t="s">
        <v>3024</v>
      </c>
      <c r="D3146">
        <v>0</v>
      </c>
      <c r="E3146">
        <v>0</v>
      </c>
      <c r="F3146">
        <v>5594</v>
      </c>
    </row>
    <row r="3147" spans="1:6" ht="12.75">
      <c r="A3147" s="2">
        <v>43884.355960648143</v>
      </c>
      <c r="B3147" t="str">
        <f>HYPERLINK("https://twitter.com/iniherman2","@iniherman2")</f>
        <v>@iniherman2</v>
      </c>
      <c r="C3147" t="s">
        <v>2744</v>
      </c>
      <c r="D3147">
        <v>9</v>
      </c>
      <c r="E3147">
        <v>0</v>
      </c>
      <c r="F3147">
        <v>337</v>
      </c>
    </row>
    <row r="3148" spans="1:6" ht="12.75">
      <c r="A3148" s="2">
        <v>43884.355856481481</v>
      </c>
      <c r="B3148" t="str">
        <f>HYPERLINK("https://twitter.com/suko_sahabat","@suko_sahabat")</f>
        <v>@suko_sahabat</v>
      </c>
      <c r="C3148" t="s">
        <v>2153</v>
      </c>
      <c r="D3148">
        <v>235</v>
      </c>
      <c r="E3148">
        <v>0</v>
      </c>
      <c r="F3148">
        <v>324</v>
      </c>
    </row>
    <row r="3149" spans="1:6" ht="12.75">
      <c r="A3149" s="2">
        <v>43884.354629629626</v>
      </c>
      <c r="B3149" t="str">
        <f t="shared" ref="B3149:B3150" si="68">HYPERLINK("https://twitter.com/capeguenjir","@capeguenjir")</f>
        <v>@capeguenjir</v>
      </c>
      <c r="C3149" t="s">
        <v>3025</v>
      </c>
      <c r="D3149">
        <v>52</v>
      </c>
      <c r="E3149">
        <v>0</v>
      </c>
      <c r="F3149">
        <v>1</v>
      </c>
    </row>
    <row r="3150" spans="1:6" ht="12.75">
      <c r="A3150" s="2">
        <v>43884.354189814811</v>
      </c>
      <c r="B3150" t="str">
        <f t="shared" si="68"/>
        <v>@capeguenjir</v>
      </c>
      <c r="C3150" t="s">
        <v>175</v>
      </c>
      <c r="D3150">
        <v>5390</v>
      </c>
      <c r="E3150">
        <v>0</v>
      </c>
      <c r="F3150">
        <v>1</v>
      </c>
    </row>
    <row r="3151" spans="1:6" ht="12.75">
      <c r="A3151" s="2">
        <v>43884.353877314818</v>
      </c>
      <c r="B3151" t="str">
        <f>HYPERLINK("https://twitter.com/aminologi","@aminologi")</f>
        <v>@aminologi</v>
      </c>
      <c r="C3151" t="s">
        <v>2148</v>
      </c>
      <c r="D3151">
        <v>10</v>
      </c>
      <c r="E3151">
        <v>0</v>
      </c>
      <c r="F3151">
        <v>694</v>
      </c>
    </row>
    <row r="3152" spans="1:6" ht="12.75">
      <c r="A3152" s="2">
        <v>43884.353310185186</v>
      </c>
      <c r="B3152" t="str">
        <f>HYPERLINK("https://twitter.com/yudhapati88","@yudhapati88")</f>
        <v>@yudhapati88</v>
      </c>
      <c r="C3152" t="s">
        <v>2148</v>
      </c>
      <c r="D3152">
        <v>10</v>
      </c>
      <c r="E3152">
        <v>0</v>
      </c>
      <c r="F3152">
        <v>3418</v>
      </c>
    </row>
    <row r="3153" spans="1:6" ht="12.75">
      <c r="A3153" s="2">
        <v>43884.353263888886</v>
      </c>
      <c r="B3153" t="str">
        <f>HYPERLINK("https://twitter.com/dora081","@dora081")</f>
        <v>@dora081</v>
      </c>
      <c r="C3153" t="s">
        <v>2153</v>
      </c>
      <c r="D3153">
        <v>235</v>
      </c>
      <c r="E3153">
        <v>0</v>
      </c>
      <c r="F3153">
        <v>251</v>
      </c>
    </row>
    <row r="3154" spans="1:6" ht="12.75">
      <c r="A3154" s="2">
        <v>43884.35319444444</v>
      </c>
      <c r="B3154" t="str">
        <f>HYPERLINK("https://twitter.com/CeciliaSuwanda1","@CeciliaSuwanda1")</f>
        <v>@CeciliaSuwanda1</v>
      </c>
      <c r="C3154" t="s">
        <v>3026</v>
      </c>
      <c r="D3154">
        <v>3</v>
      </c>
      <c r="E3154">
        <v>0</v>
      </c>
      <c r="F3154">
        <v>5039</v>
      </c>
    </row>
    <row r="3155" spans="1:6" ht="12.75">
      <c r="A3155" s="2">
        <v>43884.351898148147</v>
      </c>
      <c r="B3155" t="str">
        <f>HYPERLINK("https://twitter.com/Nezhea_Thann","@Nezhea_Thann")</f>
        <v>@Nezhea_Thann</v>
      </c>
      <c r="C3155" t="s">
        <v>2148</v>
      </c>
      <c r="D3155">
        <v>10</v>
      </c>
      <c r="E3155">
        <v>0</v>
      </c>
      <c r="F3155">
        <v>3561</v>
      </c>
    </row>
    <row r="3156" spans="1:6" ht="12.75">
      <c r="A3156" s="2">
        <v>43884.351226851853</v>
      </c>
      <c r="B3156" t="str">
        <f>HYPERLINK("https://twitter.com/G536666","@G536666")</f>
        <v>@G536666</v>
      </c>
      <c r="C3156" t="s">
        <v>2153</v>
      </c>
      <c r="D3156">
        <v>235</v>
      </c>
      <c r="E3156">
        <v>0</v>
      </c>
      <c r="F3156">
        <v>505</v>
      </c>
    </row>
    <row r="3157" spans="1:6" ht="12.75">
      <c r="A3157" s="2">
        <v>43884.35</v>
      </c>
      <c r="B3157" t="str">
        <f>HYPERLINK("https://twitter.com/kasehsaulmouk","@kasehsaulmouk")</f>
        <v>@kasehsaulmouk</v>
      </c>
      <c r="C3157" t="s">
        <v>3023</v>
      </c>
      <c r="D3157">
        <v>2</v>
      </c>
      <c r="E3157">
        <v>0</v>
      </c>
      <c r="F3157">
        <v>3634</v>
      </c>
    </row>
    <row r="3158" spans="1:6" ht="12.75">
      <c r="A3158" s="2">
        <v>43884.349780092598</v>
      </c>
      <c r="B3158" t="str">
        <f>HYPERLINK("https://twitter.com/Maulana11423281","@Maulana11423281")</f>
        <v>@Maulana11423281</v>
      </c>
      <c r="C3158" t="s">
        <v>2153</v>
      </c>
      <c r="D3158">
        <v>235</v>
      </c>
      <c r="E3158">
        <v>0</v>
      </c>
      <c r="F3158">
        <v>221</v>
      </c>
    </row>
    <row r="3159" spans="1:6" ht="12.75">
      <c r="A3159" s="2">
        <v>43884.348807870367</v>
      </c>
      <c r="B3159" t="str">
        <f>HYPERLINK("https://twitter.com/Kafir_Jinak","@Kafir_Jinak")</f>
        <v>@Kafir_Jinak</v>
      </c>
      <c r="C3159" t="s">
        <v>3027</v>
      </c>
      <c r="D3159">
        <v>0</v>
      </c>
      <c r="E3159">
        <v>0</v>
      </c>
      <c r="F3159">
        <v>1282</v>
      </c>
    </row>
    <row r="3160" spans="1:6" ht="12.75">
      <c r="A3160" s="2">
        <v>43884.348773148144</v>
      </c>
      <c r="B3160" t="str">
        <f>HYPERLINK("https://twitter.com/iszul_60","@iszul_60")</f>
        <v>@iszul_60</v>
      </c>
      <c r="C3160" t="s">
        <v>3028</v>
      </c>
      <c r="D3160">
        <v>0</v>
      </c>
      <c r="E3160">
        <v>0</v>
      </c>
      <c r="F3160">
        <v>26</v>
      </c>
    </row>
    <row r="3161" spans="1:6" ht="12.75">
      <c r="A3161" s="2">
        <v>43884.348495370374</v>
      </c>
      <c r="B3161" t="str">
        <f>HYPERLINK("https://twitter.com/BudiAbuAhmad1","@BudiAbuAhmad1")</f>
        <v>@BudiAbuAhmad1</v>
      </c>
      <c r="C3161" t="s">
        <v>3029</v>
      </c>
      <c r="D3161">
        <v>2</v>
      </c>
      <c r="E3161">
        <v>0</v>
      </c>
      <c r="F3161">
        <v>72</v>
      </c>
    </row>
    <row r="3162" spans="1:6" ht="12.75">
      <c r="A3162" s="2">
        <v>43884.347407407404</v>
      </c>
      <c r="B3162" t="str">
        <f>HYPERLINK("https://twitter.com/redaksiLokadata","@redaksiLokadata")</f>
        <v>@redaksiLokadata</v>
      </c>
      <c r="C3162" t="s">
        <v>3030</v>
      </c>
      <c r="D3162">
        <v>0</v>
      </c>
      <c r="E3162">
        <v>0</v>
      </c>
      <c r="F3162">
        <v>9079</v>
      </c>
    </row>
    <row r="3163" spans="1:6" ht="12.75">
      <c r="A3163" s="2">
        <v>43884.346944444449</v>
      </c>
      <c r="B3163" t="str">
        <f>HYPERLINK("https://twitter.com/vicividivini","@vicividivini")</f>
        <v>@vicividivini</v>
      </c>
      <c r="C3163" t="s">
        <v>2153</v>
      </c>
      <c r="D3163">
        <v>235</v>
      </c>
      <c r="E3163">
        <v>0</v>
      </c>
      <c r="F3163">
        <v>405</v>
      </c>
    </row>
    <row r="3164" spans="1:6" ht="12.75">
      <c r="A3164" s="2">
        <v>43884.346759259264</v>
      </c>
      <c r="B3164" t="str">
        <f>HYPERLINK("https://twitter.com/4nd103125330","@4nd103125330")</f>
        <v>@4nd103125330</v>
      </c>
      <c r="C3164" t="s">
        <v>3029</v>
      </c>
      <c r="D3164">
        <v>2</v>
      </c>
      <c r="E3164">
        <v>0</v>
      </c>
      <c r="F3164">
        <v>1614</v>
      </c>
    </row>
    <row r="3165" spans="1:6" ht="12.75">
      <c r="A3165" s="2">
        <v>43884.345729166671</v>
      </c>
      <c r="B3165" t="str">
        <f>HYPERLINK("https://twitter.com/hayley_isis","@hayley_isis")</f>
        <v>@hayley_isis</v>
      </c>
      <c r="C3165" t="s">
        <v>3031</v>
      </c>
      <c r="D3165">
        <v>3054</v>
      </c>
      <c r="E3165">
        <v>0</v>
      </c>
      <c r="F3165">
        <v>1</v>
      </c>
    </row>
    <row r="3166" spans="1:6" ht="12.75">
      <c r="A3166" s="2">
        <v>43884.344421296293</v>
      </c>
      <c r="B3166" t="str">
        <f>HYPERLINK("https://twitter.com/cadarmerah","@cadarmerah")</f>
        <v>@cadarmerah</v>
      </c>
      <c r="C3166" t="s">
        <v>2148</v>
      </c>
      <c r="D3166">
        <v>10</v>
      </c>
      <c r="E3166">
        <v>0</v>
      </c>
      <c r="F3166">
        <v>5654</v>
      </c>
    </row>
    <row r="3167" spans="1:6" ht="12.75">
      <c r="A3167" s="2">
        <v>43884.343541666662</v>
      </c>
      <c r="B3167" t="str">
        <f>HYPERLINK("https://twitter.com/samhudibae","@samhudibae")</f>
        <v>@samhudibae</v>
      </c>
      <c r="C3167" t="s">
        <v>3032</v>
      </c>
      <c r="D3167">
        <v>1</v>
      </c>
      <c r="E3167">
        <v>0</v>
      </c>
      <c r="F3167">
        <v>3530</v>
      </c>
    </row>
    <row r="3168" spans="1:6" ht="12.75">
      <c r="A3168" s="2">
        <v>43884.343009259261</v>
      </c>
      <c r="B3168" t="str">
        <f>HYPERLINK("https://twitter.com/Anggoro_Irvan_S","@Anggoro_Irvan_S")</f>
        <v>@Anggoro_Irvan_S</v>
      </c>
      <c r="C3168" t="s">
        <v>2148</v>
      </c>
      <c r="D3168">
        <v>10</v>
      </c>
      <c r="E3168">
        <v>0</v>
      </c>
      <c r="F3168">
        <v>1223</v>
      </c>
    </row>
    <row r="3169" spans="1:6" ht="12.75">
      <c r="A3169" s="2">
        <v>43884.342152777783</v>
      </c>
      <c r="B3169" t="str">
        <f>HYPERLINK("https://twitter.com/MisRitaKalang","@MisRitaKalang")</f>
        <v>@MisRitaKalang</v>
      </c>
      <c r="C3169" t="s">
        <v>2153</v>
      </c>
      <c r="D3169">
        <v>235</v>
      </c>
      <c r="E3169">
        <v>0</v>
      </c>
      <c r="F3169">
        <v>1161</v>
      </c>
    </row>
    <row r="3170" spans="1:6" ht="12.75">
      <c r="A3170" s="2">
        <v>43884.341979166667</v>
      </c>
      <c r="B3170" t="str">
        <f>HYPERLINK("https://twitter.com/urip_murup","@urip_murup")</f>
        <v>@urip_murup</v>
      </c>
      <c r="C3170" t="s">
        <v>2927</v>
      </c>
      <c r="D3170">
        <v>30</v>
      </c>
      <c r="E3170">
        <v>0</v>
      </c>
      <c r="F3170">
        <v>235</v>
      </c>
    </row>
    <row r="3171" spans="1:6" ht="12.75">
      <c r="A3171" s="2">
        <v>43884.341805555552</v>
      </c>
      <c r="B3171" t="str">
        <f>HYPERLINK("https://twitter.com/MTwiteeer","@MTwiteeer")</f>
        <v>@MTwiteeer</v>
      </c>
      <c r="C3171" t="s">
        <v>2119</v>
      </c>
      <c r="D3171">
        <v>538</v>
      </c>
      <c r="E3171">
        <v>0</v>
      </c>
      <c r="F3171">
        <v>3</v>
      </c>
    </row>
    <row r="3172" spans="1:6" ht="12.75">
      <c r="A3172" s="2">
        <v>43884.341597222221</v>
      </c>
      <c r="B3172" t="str">
        <f>HYPERLINK("https://twitter.com/OldboyzamanNow","@OldboyzamanNow")</f>
        <v>@OldboyzamanNow</v>
      </c>
      <c r="C3172" t="s">
        <v>2153</v>
      </c>
      <c r="D3172">
        <v>235</v>
      </c>
      <c r="E3172">
        <v>0</v>
      </c>
      <c r="F3172">
        <v>1030</v>
      </c>
    </row>
    <row r="3173" spans="1:6" ht="12.75">
      <c r="A3173" s="2">
        <v>43884.341423611113</v>
      </c>
      <c r="B3173" t="str">
        <f>HYPERLINK("https://twitter.com/Budys09680251","@Budys09680251")</f>
        <v>@Budys09680251</v>
      </c>
      <c r="C3173" t="s">
        <v>3033</v>
      </c>
      <c r="D3173">
        <v>1</v>
      </c>
      <c r="E3173">
        <v>1</v>
      </c>
      <c r="F3173">
        <v>4835</v>
      </c>
    </row>
    <row r="3174" spans="1:6" ht="12.75">
      <c r="A3174" s="2">
        <v>43884.340405092589</v>
      </c>
      <c r="B3174" t="str">
        <f>HYPERLINK("https://twitter.com/waroengbranded","@waroengbranded")</f>
        <v>@waroengbranded</v>
      </c>
      <c r="C3174" t="s">
        <v>2153</v>
      </c>
      <c r="D3174">
        <v>235</v>
      </c>
      <c r="E3174">
        <v>0</v>
      </c>
      <c r="F3174">
        <v>413</v>
      </c>
    </row>
    <row r="3175" spans="1:6" ht="12.75">
      <c r="A3175" s="2">
        <v>43884.339988425927</v>
      </c>
      <c r="B3175" t="str">
        <f>HYPERLINK("https://twitter.com/OmBrewoks3","@OmBrewoks3")</f>
        <v>@OmBrewoks3</v>
      </c>
      <c r="C3175" t="s">
        <v>3034</v>
      </c>
      <c r="D3175">
        <v>2</v>
      </c>
      <c r="E3175">
        <v>6</v>
      </c>
      <c r="F3175">
        <v>3142</v>
      </c>
    </row>
    <row r="3176" spans="1:6" ht="12.75">
      <c r="A3176" s="2">
        <v>43884.339872685188</v>
      </c>
      <c r="B3176" t="str">
        <f>HYPERLINK("https://twitter.com/mahmudtakyan","@mahmudtakyan")</f>
        <v>@mahmudtakyan</v>
      </c>
      <c r="C3176" t="s">
        <v>3035</v>
      </c>
      <c r="D3176">
        <v>0</v>
      </c>
      <c r="E3176">
        <v>0</v>
      </c>
      <c r="F3176">
        <v>12</v>
      </c>
    </row>
    <row r="3177" spans="1:6" ht="12.75">
      <c r="A3177" s="2">
        <v>43884.339525462958</v>
      </c>
      <c r="B3177" t="str">
        <f>HYPERLINK("https://twitter.com/bas_pct","@bas_pct")</f>
        <v>@bas_pct</v>
      </c>
      <c r="C3177" t="s">
        <v>2119</v>
      </c>
      <c r="D3177">
        <v>538</v>
      </c>
      <c r="E3177">
        <v>0</v>
      </c>
      <c r="F3177">
        <v>158</v>
      </c>
    </row>
    <row r="3178" spans="1:6" ht="12.75">
      <c r="A3178" s="2">
        <v>43884.339513888888</v>
      </c>
      <c r="B3178" t="str">
        <f>HYPERLINK("https://twitter.com/angga_key","@angga_key")</f>
        <v>@angga_key</v>
      </c>
      <c r="C3178" t="s">
        <v>2153</v>
      </c>
      <c r="D3178">
        <v>235</v>
      </c>
      <c r="E3178">
        <v>0</v>
      </c>
      <c r="F3178">
        <v>804</v>
      </c>
    </row>
    <row r="3179" spans="1:6" ht="12.75">
      <c r="A3179" s="2">
        <v>43884.339374999996</v>
      </c>
      <c r="B3179" t="str">
        <f>HYPERLINK("https://twitter.com/AsepMul07664829","@AsepMul07664829")</f>
        <v>@AsepMul07664829</v>
      </c>
      <c r="C3179" t="s">
        <v>2153</v>
      </c>
      <c r="D3179">
        <v>235</v>
      </c>
      <c r="E3179">
        <v>0</v>
      </c>
      <c r="F3179">
        <v>750</v>
      </c>
    </row>
    <row r="3180" spans="1:6" ht="12.75">
      <c r="A3180" s="2">
        <v>43884.337766203702</v>
      </c>
      <c r="B3180" t="str">
        <f>HYPERLINK("https://twitter.com/RusniHaris","@RusniHaris")</f>
        <v>@RusniHaris</v>
      </c>
      <c r="C3180" t="s">
        <v>1407</v>
      </c>
      <c r="D3180">
        <v>9744</v>
      </c>
      <c r="E3180">
        <v>0</v>
      </c>
      <c r="F3180">
        <v>183</v>
      </c>
    </row>
    <row r="3181" spans="1:6" ht="12.75">
      <c r="A3181" s="2">
        <v>43884.337384259255</v>
      </c>
      <c r="B3181" t="str">
        <f t="shared" ref="B3181:B3182" si="69">HYPERLINK("https://twitter.com/harakatuna","@harakatuna")</f>
        <v>@harakatuna</v>
      </c>
      <c r="C3181" t="s">
        <v>2791</v>
      </c>
      <c r="D3181">
        <v>0</v>
      </c>
      <c r="E3181">
        <v>0</v>
      </c>
      <c r="F3181">
        <v>409</v>
      </c>
    </row>
    <row r="3182" spans="1:6" ht="12.75">
      <c r="A3182" s="2">
        <v>43884.337337962963</v>
      </c>
      <c r="B3182" t="str">
        <f t="shared" si="69"/>
        <v>@harakatuna</v>
      </c>
      <c r="C3182" t="s">
        <v>2791</v>
      </c>
      <c r="D3182">
        <v>0</v>
      </c>
      <c r="E3182">
        <v>0</v>
      </c>
      <c r="F3182">
        <v>409</v>
      </c>
    </row>
    <row r="3183" spans="1:6" ht="12.75">
      <c r="A3183" s="2">
        <v>43884.337013888886</v>
      </c>
      <c r="B3183" t="str">
        <f>HYPERLINK("https://twitter.com/nurrofiq21","@nurrofiq21")</f>
        <v>@nurrofiq21</v>
      </c>
      <c r="C3183" t="s">
        <v>3036</v>
      </c>
      <c r="D3183">
        <v>413</v>
      </c>
      <c r="E3183">
        <v>0</v>
      </c>
      <c r="F3183">
        <v>47</v>
      </c>
    </row>
    <row r="3184" spans="1:6" ht="12.75">
      <c r="A3184" s="2">
        <v>43884.336319444439</v>
      </c>
      <c r="B3184" t="str">
        <f>HYPERLINK("https://twitter.com/IdZimzam","@IdZimzam")</f>
        <v>@IdZimzam</v>
      </c>
      <c r="C3184" t="s">
        <v>2153</v>
      </c>
      <c r="D3184">
        <v>235</v>
      </c>
      <c r="E3184">
        <v>0</v>
      </c>
      <c r="F3184">
        <v>13</v>
      </c>
    </row>
    <row r="3185" spans="1:6" ht="12.75">
      <c r="A3185" s="2">
        <v>43884.335057870368</v>
      </c>
      <c r="B3185" t="str">
        <f>HYPERLINK("https://twitter.com/InaMajoe","@InaMajoe")</f>
        <v>@InaMajoe</v>
      </c>
      <c r="C3185" t="s">
        <v>2744</v>
      </c>
      <c r="D3185">
        <v>9</v>
      </c>
      <c r="E3185">
        <v>0</v>
      </c>
      <c r="F3185">
        <v>231</v>
      </c>
    </row>
    <row r="3186" spans="1:6" ht="12.75">
      <c r="A3186" s="2">
        <v>43884.334849537037</v>
      </c>
      <c r="B3186" t="str">
        <f t="shared" ref="B3186:B3187" si="70">HYPERLINK("https://twitter.com/nurrofiq21","@nurrofiq21")</f>
        <v>@nurrofiq21</v>
      </c>
      <c r="C3186" t="s">
        <v>3037</v>
      </c>
      <c r="D3186">
        <v>137</v>
      </c>
      <c r="E3186">
        <v>0</v>
      </c>
      <c r="F3186">
        <v>46</v>
      </c>
    </row>
    <row r="3187" spans="1:6" ht="12.75">
      <c r="A3187" s="2">
        <v>43884.332511574074</v>
      </c>
      <c r="B3187" t="str">
        <f t="shared" si="70"/>
        <v>@nurrofiq21</v>
      </c>
      <c r="C3187" t="s">
        <v>3038</v>
      </c>
      <c r="D3187">
        <v>117</v>
      </c>
      <c r="E3187">
        <v>0</v>
      </c>
      <c r="F3187">
        <v>46</v>
      </c>
    </row>
    <row r="3188" spans="1:6" ht="12.75">
      <c r="A3188" s="2">
        <v>43884.332175925927</v>
      </c>
      <c r="B3188" t="str">
        <f>HYPERLINK("https://twitter.com/Alexxanderzi","@Alexxanderzi")</f>
        <v>@Alexxanderzi</v>
      </c>
      <c r="C3188" t="s">
        <v>2153</v>
      </c>
      <c r="D3188">
        <v>215</v>
      </c>
      <c r="E3188">
        <v>0</v>
      </c>
      <c r="F3188">
        <v>53</v>
      </c>
    </row>
    <row r="3189" spans="1:6" ht="12.75">
      <c r="A3189" s="2">
        <v>43884.33090277778</v>
      </c>
      <c r="B3189" t="str">
        <f>HYPERLINK("https://twitter.com/rahmiabadi","@rahmiabadi")</f>
        <v>@rahmiabadi</v>
      </c>
      <c r="C3189" t="s">
        <v>2153</v>
      </c>
      <c r="D3189">
        <v>215</v>
      </c>
      <c r="E3189">
        <v>0</v>
      </c>
      <c r="F3189">
        <v>141</v>
      </c>
    </row>
    <row r="3190" spans="1:6" ht="12.75">
      <c r="A3190" s="2">
        <v>43884.330694444448</v>
      </c>
      <c r="B3190" t="str">
        <f>HYPERLINK("https://twitter.com/PelabuhanSepi","@PelabuhanSepi")</f>
        <v>@PelabuhanSepi</v>
      </c>
      <c r="C3190" t="s">
        <v>3039</v>
      </c>
      <c r="D3190">
        <v>0</v>
      </c>
      <c r="E3190">
        <v>0</v>
      </c>
      <c r="F3190">
        <v>12</v>
      </c>
    </row>
    <row r="3191" spans="1:6" ht="12.75">
      <c r="A3191" s="2">
        <v>43884.330613425926</v>
      </c>
      <c r="B3191" t="str">
        <f>HYPERLINK("https://twitter.com/Ryan_zipur","@Ryan_zipur")</f>
        <v>@Ryan_zipur</v>
      </c>
      <c r="C3191" t="s">
        <v>2744</v>
      </c>
      <c r="D3191">
        <v>5</v>
      </c>
      <c r="E3191">
        <v>0</v>
      </c>
      <c r="F3191">
        <v>318</v>
      </c>
    </row>
    <row r="3192" spans="1:6" ht="12.75">
      <c r="A3192" s="2">
        <v>43884.330381944441</v>
      </c>
      <c r="B3192" t="str">
        <f>HYPERLINK("https://twitter.com/WongWarAsss","@WongWarAsss")</f>
        <v>@WongWarAsss</v>
      </c>
      <c r="C3192" t="s">
        <v>2153</v>
      </c>
      <c r="D3192">
        <v>215</v>
      </c>
      <c r="E3192">
        <v>0</v>
      </c>
      <c r="F3192">
        <v>702</v>
      </c>
    </row>
    <row r="3193" spans="1:6" ht="12.75">
      <c r="A3193" s="2">
        <v>43884.330347222218</v>
      </c>
      <c r="B3193" t="str">
        <f>HYPERLINK("https://twitter.com/edward_7011971","@edward_7011971")</f>
        <v>@edward_7011971</v>
      </c>
      <c r="C3193" t="s">
        <v>2943</v>
      </c>
      <c r="D3193">
        <v>21</v>
      </c>
      <c r="E3193">
        <v>0</v>
      </c>
      <c r="F3193">
        <v>1286</v>
      </c>
    </row>
    <row r="3194" spans="1:6" ht="12.75">
      <c r="A3194" s="2">
        <v>43884.329733796301</v>
      </c>
      <c r="B3194" t="str">
        <f>HYPERLINK("https://twitter.com/bambang_hesti","@bambang_hesti")</f>
        <v>@bambang_hesti</v>
      </c>
      <c r="C3194" t="s">
        <v>3040</v>
      </c>
      <c r="D3194">
        <v>0</v>
      </c>
      <c r="E3194">
        <v>0</v>
      </c>
      <c r="F3194">
        <v>15</v>
      </c>
    </row>
    <row r="3195" spans="1:6" ht="12.75">
      <c r="A3195" s="2">
        <v>43884.329710648148</v>
      </c>
      <c r="B3195" t="str">
        <f>HYPERLINK("https://twitter.com/sandybias","@sandybias")</f>
        <v>@sandybias</v>
      </c>
      <c r="C3195" t="s">
        <v>3041</v>
      </c>
      <c r="D3195">
        <v>0</v>
      </c>
      <c r="E3195">
        <v>0</v>
      </c>
      <c r="F3195">
        <v>152</v>
      </c>
    </row>
    <row r="3196" spans="1:6" ht="12.75">
      <c r="A3196" s="2">
        <v>43884.329340277778</v>
      </c>
      <c r="B3196" t="str">
        <f>HYPERLINK("https://twitter.com/AbdillahManu","@AbdillahManu")</f>
        <v>@AbdillahManu</v>
      </c>
      <c r="C3196" t="s">
        <v>2153</v>
      </c>
      <c r="D3196">
        <v>215</v>
      </c>
      <c r="E3196">
        <v>0</v>
      </c>
      <c r="F3196">
        <v>14</v>
      </c>
    </row>
    <row r="3197" spans="1:6" ht="12.75">
      <c r="A3197" s="2">
        <v>43884.328935185185</v>
      </c>
      <c r="B3197" t="str">
        <f>HYPERLINK("https://twitter.com/g4suk4_pinokio","@g4suk4_pinokio")</f>
        <v>@g4suk4_pinokio</v>
      </c>
      <c r="C3197" t="s">
        <v>2153</v>
      </c>
      <c r="D3197">
        <v>215</v>
      </c>
      <c r="E3197">
        <v>0</v>
      </c>
      <c r="F3197">
        <v>1922</v>
      </c>
    </row>
    <row r="3198" spans="1:6" ht="12.75">
      <c r="A3198" s="2">
        <v>43884.328634259262</v>
      </c>
      <c r="B3198" t="str">
        <f>HYPERLINK("https://twitter.com/fatah_muria","@fatah_muria")</f>
        <v>@fatah_muria</v>
      </c>
      <c r="C3198" t="s">
        <v>3042</v>
      </c>
      <c r="D3198">
        <v>0</v>
      </c>
      <c r="E3198">
        <v>1</v>
      </c>
      <c r="F3198">
        <v>1187</v>
      </c>
    </row>
    <row r="3199" spans="1:6" ht="12.75">
      <c r="A3199" s="2">
        <v>43884.327916666662</v>
      </c>
      <c r="B3199" t="str">
        <f>HYPERLINK("https://twitter.com/mat_rifqi","@mat_rifqi")</f>
        <v>@mat_rifqi</v>
      </c>
      <c r="C3199" t="s">
        <v>2153</v>
      </c>
      <c r="D3199">
        <v>215</v>
      </c>
      <c r="E3199">
        <v>0</v>
      </c>
      <c r="F3199">
        <v>1312</v>
      </c>
    </row>
    <row r="3200" spans="1:6" ht="12.75">
      <c r="A3200" s="2">
        <v>43884.327592592592</v>
      </c>
      <c r="B3200" t="str">
        <f>HYPERLINK("https://twitter.com/dinero1403","@dinero1403")</f>
        <v>@dinero1403</v>
      </c>
      <c r="C3200" t="s">
        <v>3043</v>
      </c>
      <c r="D3200">
        <v>0</v>
      </c>
      <c r="E3200">
        <v>0</v>
      </c>
      <c r="F3200">
        <v>253</v>
      </c>
    </row>
    <row r="3201" spans="1:6" ht="12.75">
      <c r="A3201" s="2">
        <v>43884.327523148153</v>
      </c>
      <c r="B3201" t="str">
        <f>HYPERLINK("https://twitter.com/purwoto_sugeng","@purwoto_sugeng")</f>
        <v>@purwoto_sugeng</v>
      </c>
      <c r="C3201" t="s">
        <v>2153</v>
      </c>
      <c r="D3201">
        <v>215</v>
      </c>
      <c r="E3201">
        <v>0</v>
      </c>
      <c r="F3201">
        <v>143</v>
      </c>
    </row>
    <row r="3202" spans="1:6" ht="12.75">
      <c r="A3202" s="2">
        <v>43884.325185185182</v>
      </c>
      <c r="B3202" t="str">
        <f>HYPERLINK("https://twitter.com/iLoveKayHart","@iLoveKayHart")</f>
        <v>@iLoveKayHart</v>
      </c>
      <c r="C3202" t="s">
        <v>3044</v>
      </c>
      <c r="D3202">
        <v>0</v>
      </c>
      <c r="E3202">
        <v>0</v>
      </c>
      <c r="F3202">
        <v>31</v>
      </c>
    </row>
    <row r="3203" spans="1:6" ht="12.75">
      <c r="A3203" s="2">
        <v>43884.322916666672</v>
      </c>
      <c r="B3203" t="str">
        <f>HYPERLINK("https://twitter.com/korantempo","@korantempo")</f>
        <v>@korantempo</v>
      </c>
      <c r="C3203" t="s">
        <v>3045</v>
      </c>
      <c r="D3203">
        <v>1</v>
      </c>
      <c r="E3203">
        <v>0</v>
      </c>
      <c r="F3203">
        <v>1747604</v>
      </c>
    </row>
    <row r="3204" spans="1:6" ht="12.75">
      <c r="A3204" s="2">
        <v>43884.322581018518</v>
      </c>
      <c r="B3204" t="str">
        <f>HYPERLINK("https://twitter.com/visitortwt1","@visitortwt1")</f>
        <v>@visitortwt1</v>
      </c>
      <c r="C3204" t="s">
        <v>2943</v>
      </c>
      <c r="D3204">
        <v>21</v>
      </c>
      <c r="E3204">
        <v>0</v>
      </c>
      <c r="F3204">
        <v>357</v>
      </c>
    </row>
    <row r="3205" spans="1:6" ht="12.75">
      <c r="A3205" s="2">
        <v>43884.322349537033</v>
      </c>
      <c r="B3205" t="str">
        <f>HYPERLINK("https://twitter.com/pengawalqalbu","@pengawalqalbu")</f>
        <v>@pengawalqalbu</v>
      </c>
      <c r="C3205" t="s">
        <v>2153</v>
      </c>
      <c r="D3205">
        <v>215</v>
      </c>
      <c r="E3205">
        <v>0</v>
      </c>
      <c r="F3205">
        <v>48</v>
      </c>
    </row>
    <row r="3206" spans="1:6" ht="12.75">
      <c r="A3206" s="2">
        <v>43884.321701388893</v>
      </c>
      <c r="B3206" t="str">
        <f>HYPERLINK("https://twitter.com/ScreamerClown","@ScreamerClown")</f>
        <v>@ScreamerClown</v>
      </c>
      <c r="C3206" t="s">
        <v>3046</v>
      </c>
      <c r="D3206">
        <v>0</v>
      </c>
      <c r="E3206">
        <v>0</v>
      </c>
      <c r="F3206">
        <v>88</v>
      </c>
    </row>
    <row r="3207" spans="1:6" ht="12.75">
      <c r="A3207" s="2">
        <v>43884.32136574074</v>
      </c>
      <c r="B3207" t="str">
        <f>HYPERLINK("https://twitter.com/Lalampa2","@Lalampa2")</f>
        <v>@Lalampa2</v>
      </c>
      <c r="C3207" t="s">
        <v>2153</v>
      </c>
      <c r="D3207">
        <v>215</v>
      </c>
      <c r="E3207">
        <v>0</v>
      </c>
      <c r="F3207">
        <v>470</v>
      </c>
    </row>
    <row r="3208" spans="1:6" ht="12.75">
      <c r="A3208" s="2">
        <v>43884.320925925931</v>
      </c>
      <c r="B3208" t="str">
        <f>HYPERLINK("https://twitter.com/AgusRiy54156191","@AgusRiy54156191")</f>
        <v>@AgusRiy54156191</v>
      </c>
      <c r="C3208" t="s">
        <v>3047</v>
      </c>
      <c r="D3208">
        <v>0</v>
      </c>
      <c r="E3208">
        <v>0</v>
      </c>
      <c r="F3208">
        <v>235</v>
      </c>
    </row>
    <row r="3209" spans="1:6" ht="12.75">
      <c r="A3209" s="2">
        <v>43884.320775462962</v>
      </c>
      <c r="B3209" t="str">
        <f>HYPERLINK("https://twitter.com/yudhapati88","@yudhapati88")</f>
        <v>@yudhapati88</v>
      </c>
      <c r="C3209" t="s">
        <v>2927</v>
      </c>
      <c r="D3209">
        <v>29</v>
      </c>
      <c r="E3209">
        <v>0</v>
      </c>
      <c r="F3209">
        <v>3417</v>
      </c>
    </row>
    <row r="3210" spans="1:6" ht="12.75">
      <c r="A3210" s="2">
        <v>43884.32068287037</v>
      </c>
      <c r="B3210" t="str">
        <f>HYPERLINK("https://twitter.com/oposisianarki","@oposisianarki")</f>
        <v>@oposisianarki</v>
      </c>
      <c r="C3210" t="s">
        <v>2190</v>
      </c>
      <c r="D3210">
        <v>28</v>
      </c>
      <c r="E3210">
        <v>0</v>
      </c>
      <c r="F3210">
        <v>937</v>
      </c>
    </row>
    <row r="3211" spans="1:6" ht="12.75">
      <c r="A3211" s="2">
        <v>43884.320254629631</v>
      </c>
      <c r="B3211" t="str">
        <f>HYPERLINK("https://twitter.com/mayaaanggg","@mayaaanggg")</f>
        <v>@mayaaanggg</v>
      </c>
      <c r="C3211" t="s">
        <v>3048</v>
      </c>
      <c r="D3211">
        <v>0</v>
      </c>
      <c r="E3211">
        <v>0</v>
      </c>
      <c r="F3211">
        <v>520</v>
      </c>
    </row>
    <row r="3212" spans="1:6" ht="12.75">
      <c r="A3212" s="2">
        <v>43884.32</v>
      </c>
      <c r="B3212" t="str">
        <f>HYPERLINK("https://twitter.com/anto_afb","@anto_afb")</f>
        <v>@anto_afb</v>
      </c>
      <c r="C3212" t="s">
        <v>2119</v>
      </c>
      <c r="D3212">
        <v>535</v>
      </c>
      <c r="E3212">
        <v>0</v>
      </c>
      <c r="F3212">
        <v>39</v>
      </c>
    </row>
    <row r="3213" spans="1:6" ht="12.75">
      <c r="A3213" s="2">
        <v>43884.319571759261</v>
      </c>
      <c r="B3213" t="str">
        <f>HYPERLINK("https://twitter.com/anaswongkamfung","@anaswongkamfung")</f>
        <v>@anaswongkamfung</v>
      </c>
      <c r="C3213" t="s">
        <v>2153</v>
      </c>
      <c r="D3213">
        <v>215</v>
      </c>
      <c r="E3213">
        <v>0</v>
      </c>
      <c r="F3213">
        <v>1181</v>
      </c>
    </row>
    <row r="3214" spans="1:6" ht="12.75">
      <c r="A3214" s="2">
        <v>43884.319525462968</v>
      </c>
      <c r="B3214" t="str">
        <f>HYPERLINK("https://twitter.com/asepn33","@asepn33")</f>
        <v>@asepn33</v>
      </c>
      <c r="C3214" t="s">
        <v>2153</v>
      </c>
      <c r="D3214">
        <v>215</v>
      </c>
      <c r="E3214">
        <v>0</v>
      </c>
      <c r="F3214">
        <v>259</v>
      </c>
    </row>
    <row r="3215" spans="1:6" ht="12.75">
      <c r="A3215" s="2">
        <v>43884.318576388891</v>
      </c>
      <c r="B3215" t="str">
        <f>HYPERLINK("https://twitter.com/AbdurachmanAl","@AbdurachmanAl")</f>
        <v>@AbdurachmanAl</v>
      </c>
      <c r="C3215" t="s">
        <v>3049</v>
      </c>
      <c r="D3215">
        <v>0</v>
      </c>
      <c r="E3215">
        <v>0</v>
      </c>
      <c r="F3215">
        <v>108</v>
      </c>
    </row>
    <row r="3216" spans="1:6" ht="12.75">
      <c r="A3216" s="2">
        <v>43884.317928240736</v>
      </c>
      <c r="B3216" t="str">
        <f>HYPERLINK("https://twitter.com/AkfBambang","@AkfBambang")</f>
        <v>@AkfBambang</v>
      </c>
      <c r="C3216" t="s">
        <v>2153</v>
      </c>
      <c r="D3216">
        <v>215</v>
      </c>
      <c r="E3216">
        <v>0</v>
      </c>
      <c r="F3216">
        <v>98</v>
      </c>
    </row>
    <row r="3217" spans="1:6" ht="12.75">
      <c r="A3217" s="2">
        <v>43884.317870370374</v>
      </c>
      <c r="B3217" t="str">
        <f>HYPERLINK("https://twitter.com/SiahaanIntel","@SiahaanIntel")</f>
        <v>@SiahaanIntel</v>
      </c>
      <c r="C3217" t="s">
        <v>177</v>
      </c>
      <c r="D3217">
        <v>823</v>
      </c>
      <c r="E3217">
        <v>0</v>
      </c>
      <c r="F3217">
        <v>308</v>
      </c>
    </row>
    <row r="3218" spans="1:6" ht="12.75">
      <c r="A3218" s="2">
        <v>43884.317847222221</v>
      </c>
      <c r="B3218" t="str">
        <f>HYPERLINK("https://twitter.com/Abdurahman18981","@Abdurahman18981")</f>
        <v>@Abdurahman18981</v>
      </c>
      <c r="C3218" t="s">
        <v>2153</v>
      </c>
      <c r="D3218">
        <v>215</v>
      </c>
      <c r="E3218">
        <v>0</v>
      </c>
      <c r="F3218">
        <v>464</v>
      </c>
    </row>
    <row r="3219" spans="1:6" ht="12.75">
      <c r="A3219" s="2">
        <v>43884.317129629635</v>
      </c>
      <c r="B3219" t="str">
        <f>HYPERLINK("https://twitter.com/lena_vilian","@lena_vilian")</f>
        <v>@lena_vilian</v>
      </c>
      <c r="C3219" t="s">
        <v>3050</v>
      </c>
      <c r="D3219">
        <v>0</v>
      </c>
      <c r="E3219">
        <v>0</v>
      </c>
      <c r="F3219">
        <v>156</v>
      </c>
    </row>
    <row r="3220" spans="1:6" ht="12.75">
      <c r="A3220" s="2">
        <v>43884.316828703704</v>
      </c>
      <c r="B3220" t="str">
        <f>HYPERLINK("https://twitter.com/MAlexandriet","@MAlexandriet")</f>
        <v>@MAlexandriet</v>
      </c>
      <c r="C3220" t="s">
        <v>2154</v>
      </c>
      <c r="D3220">
        <v>55</v>
      </c>
      <c r="E3220">
        <v>0</v>
      </c>
      <c r="F3220">
        <v>200</v>
      </c>
    </row>
    <row r="3221" spans="1:6" ht="12.75">
      <c r="A3221" s="2">
        <v>43884.316608796296</v>
      </c>
      <c r="B3221" t="str">
        <f>HYPERLINK("https://twitter.com/SantaPradana","@SantaPradana")</f>
        <v>@SantaPradana</v>
      </c>
      <c r="C3221" t="s">
        <v>2153</v>
      </c>
      <c r="D3221">
        <v>215</v>
      </c>
      <c r="E3221">
        <v>0</v>
      </c>
      <c r="F3221">
        <v>495</v>
      </c>
    </row>
    <row r="3222" spans="1:6" ht="12.75">
      <c r="A3222" s="2">
        <v>43884.316481481481</v>
      </c>
      <c r="B3222" t="str">
        <f>HYPERLINK("https://twitter.com/buryam_semiaduk","@buryam_semiaduk")</f>
        <v>@buryam_semiaduk</v>
      </c>
      <c r="C3222" t="s">
        <v>3051</v>
      </c>
      <c r="D3222">
        <v>0</v>
      </c>
      <c r="E3222">
        <v>0</v>
      </c>
      <c r="F3222">
        <v>136</v>
      </c>
    </row>
    <row r="3223" spans="1:6" ht="12.75">
      <c r="A3223" s="2">
        <v>43884.315983796296</v>
      </c>
      <c r="B3223" t="str">
        <f>HYPERLINK("https://twitter.com/TheBrandols","@TheBrandols")</f>
        <v>@TheBrandols</v>
      </c>
      <c r="C3223" t="s">
        <v>3052</v>
      </c>
      <c r="D3223">
        <v>0</v>
      </c>
      <c r="E3223">
        <v>0</v>
      </c>
      <c r="F3223">
        <v>224</v>
      </c>
    </row>
    <row r="3224" spans="1:6" ht="12.75">
      <c r="A3224" s="2">
        <v>43884.31355324074</v>
      </c>
      <c r="B3224" t="str">
        <f>HYPERLINK("https://twitter.com/asnug_id","@asnug_id")</f>
        <v>@asnug_id</v>
      </c>
      <c r="C3224" t="s">
        <v>177</v>
      </c>
      <c r="D3224">
        <v>823</v>
      </c>
      <c r="E3224">
        <v>0</v>
      </c>
      <c r="F3224">
        <v>3470</v>
      </c>
    </row>
    <row r="3225" spans="1:6" ht="12.75">
      <c r="A3225" s="2">
        <v>43884.313067129631</v>
      </c>
      <c r="B3225" t="str">
        <f>HYPERLINK("https://twitter.com/damario04","@damario04")</f>
        <v>@damario04</v>
      </c>
      <c r="C3225" t="s">
        <v>391</v>
      </c>
      <c r="D3225">
        <v>0</v>
      </c>
      <c r="E3225">
        <v>0</v>
      </c>
      <c r="F3225">
        <v>404</v>
      </c>
    </row>
    <row r="3226" spans="1:6" ht="12.75">
      <c r="A3226" s="2">
        <v>43884.312974537039</v>
      </c>
      <c r="B3226" t="str">
        <f>HYPERLINK("https://twitter.com/kopikirpikir","@kopikirpikir")</f>
        <v>@kopikirpikir</v>
      </c>
      <c r="C3226" t="s">
        <v>177</v>
      </c>
      <c r="D3226">
        <v>823</v>
      </c>
      <c r="E3226">
        <v>0</v>
      </c>
      <c r="F3226">
        <v>1939</v>
      </c>
    </row>
    <row r="3227" spans="1:6" ht="12.75">
      <c r="A3227" s="2">
        <v>43884.312592592592</v>
      </c>
      <c r="B3227" t="str">
        <f>HYPERLINK("https://twitter.com/azwinaathirah","@azwinaathirah")</f>
        <v>@azwinaathirah</v>
      </c>
      <c r="C3227" t="s">
        <v>513</v>
      </c>
      <c r="D3227">
        <v>23264</v>
      </c>
      <c r="E3227">
        <v>0</v>
      </c>
      <c r="F3227">
        <v>78</v>
      </c>
    </row>
    <row r="3228" spans="1:6" ht="12.75">
      <c r="A3228" s="2">
        <v>43884.312534722223</v>
      </c>
      <c r="B3228" t="str">
        <f>HYPERLINK("https://twitter.com/TheBrandols","@TheBrandols")</f>
        <v>@TheBrandols</v>
      </c>
      <c r="C3228" t="s">
        <v>3053</v>
      </c>
      <c r="D3228">
        <v>0</v>
      </c>
      <c r="E3228">
        <v>1</v>
      </c>
      <c r="F3228">
        <v>224</v>
      </c>
    </row>
    <row r="3229" spans="1:6" ht="12.75">
      <c r="A3229" s="2">
        <v>43884.312418981484</v>
      </c>
      <c r="B3229" t="str">
        <f>HYPERLINK("https://twitter.com/hamka_sutra","@hamka_sutra")</f>
        <v>@hamka_sutra</v>
      </c>
      <c r="C3229" t="s">
        <v>3054</v>
      </c>
      <c r="D3229">
        <v>0</v>
      </c>
      <c r="E3229">
        <v>0</v>
      </c>
      <c r="F3229">
        <v>9236</v>
      </c>
    </row>
    <row r="3230" spans="1:6" ht="12.75">
      <c r="A3230" s="2">
        <v>43884.311805555553</v>
      </c>
      <c r="B3230" t="str">
        <f>HYPERLINK("https://twitter.com/Linkup_ID","@Linkup_ID")</f>
        <v>@Linkup_ID</v>
      </c>
      <c r="C3230" t="s">
        <v>3055</v>
      </c>
      <c r="D3230">
        <v>0</v>
      </c>
      <c r="E3230">
        <v>2</v>
      </c>
      <c r="F3230">
        <v>15903</v>
      </c>
    </row>
    <row r="3231" spans="1:6" ht="12.75">
      <c r="A3231" s="2">
        <v>43884.311793981484</v>
      </c>
      <c r="B3231" t="str">
        <f>HYPERLINK("https://twitter.com/samhudibae","@samhudibae")</f>
        <v>@samhudibae</v>
      </c>
      <c r="C3231" t="s">
        <v>3056</v>
      </c>
      <c r="D3231">
        <v>1</v>
      </c>
      <c r="E3231">
        <v>0</v>
      </c>
      <c r="F3231">
        <v>3528</v>
      </c>
    </row>
    <row r="3232" spans="1:6" ht="12.75">
      <c r="A3232" s="2">
        <v>43884.311631944445</v>
      </c>
      <c r="B3232" t="str">
        <f>HYPERLINK("https://twitter.com/TheBrandols","@TheBrandols")</f>
        <v>@TheBrandols</v>
      </c>
      <c r="C3232" t="s">
        <v>3057</v>
      </c>
      <c r="D3232">
        <v>0</v>
      </c>
      <c r="E3232">
        <v>0</v>
      </c>
      <c r="F3232">
        <v>224</v>
      </c>
    </row>
    <row r="3233" spans="1:6" ht="12.75">
      <c r="A3233" s="2">
        <v>43884.311099537037</v>
      </c>
      <c r="B3233" t="str">
        <f>HYPERLINK("https://twitter.com/ahmadfaiz97","@ahmadfaiz97")</f>
        <v>@ahmadfaiz97</v>
      </c>
      <c r="C3233" t="s">
        <v>3058</v>
      </c>
      <c r="D3233">
        <v>0</v>
      </c>
      <c r="E3233">
        <v>0</v>
      </c>
      <c r="F3233">
        <v>51</v>
      </c>
    </row>
    <row r="3234" spans="1:6" ht="12.75">
      <c r="A3234" s="2">
        <v>43884.310671296298</v>
      </c>
      <c r="B3234" t="str">
        <f>HYPERLINK("https://twitter.com/HeriawanAdiwan2","@HeriawanAdiwan2")</f>
        <v>@HeriawanAdiwan2</v>
      </c>
      <c r="C3234" t="s">
        <v>2153</v>
      </c>
      <c r="D3234">
        <v>215</v>
      </c>
      <c r="E3234">
        <v>0</v>
      </c>
      <c r="F3234">
        <v>2921</v>
      </c>
    </row>
    <row r="3235" spans="1:6" ht="12.75">
      <c r="A3235" s="2">
        <v>43884.31045138889</v>
      </c>
      <c r="B3235" t="str">
        <f>HYPERLINK("https://twitter.com/doelanakbetawie","@doelanakbetawie")</f>
        <v>@doelanakbetawie</v>
      </c>
      <c r="C3235" t="s">
        <v>3059</v>
      </c>
      <c r="D3235">
        <v>302</v>
      </c>
      <c r="E3235">
        <v>0</v>
      </c>
      <c r="F3235">
        <v>84</v>
      </c>
    </row>
    <row r="3236" spans="1:6" ht="12.75">
      <c r="A3236" s="2">
        <v>43884.310381944444</v>
      </c>
      <c r="B3236" t="str">
        <f>HYPERLINK("https://twitter.com/YRadianto","@YRadianto")</f>
        <v>@YRadianto</v>
      </c>
      <c r="C3236" t="s">
        <v>2943</v>
      </c>
      <c r="D3236">
        <v>21</v>
      </c>
      <c r="E3236">
        <v>0</v>
      </c>
      <c r="F3236">
        <v>28381</v>
      </c>
    </row>
    <row r="3237" spans="1:6" ht="12.75">
      <c r="A3237" s="2">
        <v>43884.310381944444</v>
      </c>
      <c r="B3237" t="str">
        <f>HYPERLINK("https://twitter.com/fandy5758","@fandy5758")</f>
        <v>@fandy5758</v>
      </c>
      <c r="C3237" t="s">
        <v>2153</v>
      </c>
      <c r="D3237">
        <v>215</v>
      </c>
      <c r="E3237">
        <v>0</v>
      </c>
      <c r="F3237">
        <v>59</v>
      </c>
    </row>
    <row r="3238" spans="1:6" ht="12.75">
      <c r="A3238" s="2">
        <v>43884.310324074075</v>
      </c>
      <c r="B3238" t="str">
        <f>HYPERLINK("https://twitter.com/EngGuntur","@EngGuntur")</f>
        <v>@EngGuntur</v>
      </c>
      <c r="C3238" t="s">
        <v>2148</v>
      </c>
      <c r="D3238">
        <v>2</v>
      </c>
      <c r="E3238">
        <v>0</v>
      </c>
      <c r="F3238">
        <v>2013</v>
      </c>
    </row>
    <row r="3239" spans="1:6" ht="12.75">
      <c r="A3239" s="2">
        <v>43884.309837962966</v>
      </c>
      <c r="B3239" t="str">
        <f>HYPERLINK("https://twitter.com/Mohan19671","@Mohan19671")</f>
        <v>@Mohan19671</v>
      </c>
      <c r="C3239" t="s">
        <v>3060</v>
      </c>
      <c r="D3239">
        <v>0</v>
      </c>
      <c r="E3239">
        <v>1</v>
      </c>
      <c r="F3239">
        <v>11</v>
      </c>
    </row>
    <row r="3240" spans="1:6" ht="12.75">
      <c r="A3240" s="2">
        <v>43884.309421296297</v>
      </c>
      <c r="B3240" t="str">
        <f>HYPERLINK("https://twitter.com/KAFANALHA_22","@KAFANALHA_22")</f>
        <v>@KAFANALHA_22</v>
      </c>
      <c r="C3240" t="s">
        <v>3061</v>
      </c>
      <c r="D3240">
        <v>0</v>
      </c>
      <c r="E3240">
        <v>0</v>
      </c>
      <c r="F3240">
        <v>195</v>
      </c>
    </row>
    <row r="3241" spans="1:6" ht="12.75">
      <c r="A3241" s="2">
        <v>43884.309398148151</v>
      </c>
      <c r="B3241" t="str">
        <f>HYPERLINK("https://twitter.com/Juara_9","@Juara_9")</f>
        <v>@Juara_9</v>
      </c>
      <c r="C3241" t="s">
        <v>3062</v>
      </c>
      <c r="D3241">
        <v>1</v>
      </c>
      <c r="E3241">
        <v>1</v>
      </c>
      <c r="F3241">
        <v>15</v>
      </c>
    </row>
    <row r="3242" spans="1:6" ht="12.75">
      <c r="A3242" s="2">
        <v>43884.308055555557</v>
      </c>
      <c r="B3242" t="str">
        <f>HYPERLINK("https://twitter.com/Halilitar3","@Halilitar3")</f>
        <v>@Halilitar3</v>
      </c>
      <c r="C3242" t="s">
        <v>2153</v>
      </c>
      <c r="D3242">
        <v>215</v>
      </c>
      <c r="E3242">
        <v>0</v>
      </c>
      <c r="F3242">
        <v>15</v>
      </c>
    </row>
    <row r="3243" spans="1:6" ht="12.75">
      <c r="A3243" s="2">
        <v>43884.307893518519</v>
      </c>
      <c r="B3243" t="str">
        <f>HYPERLINK("https://twitter.com/TheBrandols","@TheBrandols")</f>
        <v>@TheBrandols</v>
      </c>
      <c r="C3243" t="s">
        <v>3063</v>
      </c>
      <c r="D3243">
        <v>0</v>
      </c>
      <c r="E3243">
        <v>0</v>
      </c>
      <c r="F3243">
        <v>224</v>
      </c>
    </row>
    <row r="3244" spans="1:6" ht="12.75">
      <c r="A3244" s="2">
        <v>43884.307546296295</v>
      </c>
      <c r="B3244" t="str">
        <f>HYPERLINK("https://twitter.com/meow_leader","@meow_leader")</f>
        <v>@meow_leader</v>
      </c>
      <c r="C3244" t="s">
        <v>2148</v>
      </c>
      <c r="D3244">
        <v>2</v>
      </c>
      <c r="E3244">
        <v>0</v>
      </c>
      <c r="F3244">
        <v>3707</v>
      </c>
    </row>
    <row r="3245" spans="1:6" ht="12.75">
      <c r="A3245" s="2">
        <v>43884.307523148149</v>
      </c>
      <c r="B3245" t="str">
        <f>HYPERLINK("https://twitter.com/baekhforlife","@baekhforlife")</f>
        <v>@baekhforlife</v>
      </c>
      <c r="C3245" t="s">
        <v>3064</v>
      </c>
      <c r="D3245">
        <v>538</v>
      </c>
      <c r="E3245">
        <v>0</v>
      </c>
      <c r="F3245">
        <v>4106</v>
      </c>
    </row>
    <row r="3246" spans="1:6" ht="12.75">
      <c r="A3246" s="2">
        <v>43884.306828703702</v>
      </c>
      <c r="B3246" t="str">
        <f>HYPERLINK("https://twitter.com/Winardhi__","@Winardhi__")</f>
        <v>@Winardhi__</v>
      </c>
      <c r="C3246" t="s">
        <v>3065</v>
      </c>
      <c r="D3246">
        <v>0</v>
      </c>
      <c r="E3246">
        <v>0</v>
      </c>
      <c r="F3246">
        <v>7640</v>
      </c>
    </row>
    <row r="3247" spans="1:6" ht="12.75">
      <c r="A3247" s="2">
        <v>43884.306469907402</v>
      </c>
      <c r="B3247" t="str">
        <f>HYPERLINK("https://twitter.com/rendroko","@rendroko")</f>
        <v>@rendroko</v>
      </c>
      <c r="C3247" t="s">
        <v>2153</v>
      </c>
      <c r="D3247">
        <v>215</v>
      </c>
      <c r="E3247">
        <v>0</v>
      </c>
      <c r="F3247">
        <v>1028</v>
      </c>
    </row>
    <row r="3248" spans="1:6" ht="12.75">
      <c r="A3248" s="2">
        <v>43884.305821759262</v>
      </c>
      <c r="B3248" t="str">
        <f>HYPERLINK("https://twitter.com/samhudibae","@samhudibae")</f>
        <v>@samhudibae</v>
      </c>
      <c r="C3248" t="s">
        <v>3066</v>
      </c>
      <c r="D3248">
        <v>2</v>
      </c>
      <c r="E3248">
        <v>5</v>
      </c>
      <c r="F3248">
        <v>3528</v>
      </c>
    </row>
    <row r="3249" spans="1:6" ht="12.75">
      <c r="A3249" s="2">
        <v>43884.303067129629</v>
      </c>
      <c r="B3249" t="str">
        <f>HYPERLINK("https://twitter.com/idhamalwi","@idhamalwi")</f>
        <v>@idhamalwi</v>
      </c>
      <c r="C3249" t="s">
        <v>3067</v>
      </c>
      <c r="D3249">
        <v>0</v>
      </c>
      <c r="E3249">
        <v>0</v>
      </c>
      <c r="F3249">
        <v>1300</v>
      </c>
    </row>
    <row r="3250" spans="1:6" ht="12.75">
      <c r="A3250" s="2">
        <v>43884.302986111114</v>
      </c>
      <c r="B3250" t="str">
        <f>HYPERLINK("https://twitter.com/SindirDgnSarkas","@SindirDgnSarkas")</f>
        <v>@SindirDgnSarkas</v>
      </c>
      <c r="C3250" t="s">
        <v>3068</v>
      </c>
      <c r="D3250">
        <v>0</v>
      </c>
      <c r="E3250">
        <v>0</v>
      </c>
      <c r="F3250">
        <v>1500</v>
      </c>
    </row>
    <row r="3251" spans="1:6" ht="12.75">
      <c r="A3251" s="2">
        <v>43884.302557870367</v>
      </c>
      <c r="B3251" t="str">
        <f>HYPERLINK("https://twitter.com/cintaforex","@cintaforex")</f>
        <v>@cintaforex</v>
      </c>
      <c r="C3251" t="s">
        <v>3069</v>
      </c>
      <c r="D3251">
        <v>0</v>
      </c>
      <c r="E3251">
        <v>0</v>
      </c>
      <c r="F3251">
        <v>83174</v>
      </c>
    </row>
    <row r="3252" spans="1:6" ht="12.75">
      <c r="A3252" s="2">
        <v>43884.301875000005</v>
      </c>
      <c r="B3252" t="str">
        <f>HYPERLINK("https://twitter.com/kristian161972","@kristian161972")</f>
        <v>@kristian161972</v>
      </c>
      <c r="C3252" t="s">
        <v>3070</v>
      </c>
      <c r="D3252">
        <v>0</v>
      </c>
      <c r="E3252">
        <v>1</v>
      </c>
      <c r="F3252">
        <v>113</v>
      </c>
    </row>
    <row r="3253" spans="1:6" ht="12.75">
      <c r="A3253" s="2">
        <v>43884.301747685182</v>
      </c>
      <c r="B3253" t="str">
        <f>HYPERLINK("https://twitter.com/IsoWira","@IsoWira")</f>
        <v>@IsoWira</v>
      </c>
      <c r="C3253" t="s">
        <v>3071</v>
      </c>
      <c r="D3253">
        <v>0</v>
      </c>
      <c r="E3253">
        <v>1</v>
      </c>
      <c r="F3253">
        <v>351</v>
      </c>
    </row>
    <row r="3254" spans="1:6" ht="12.75">
      <c r="A3254" s="2">
        <v>43884.300844907411</v>
      </c>
      <c r="B3254" t="str">
        <f>HYPERLINK("https://twitter.com/agungn077","@agungn077")</f>
        <v>@agungn077</v>
      </c>
      <c r="C3254" t="s">
        <v>2153</v>
      </c>
      <c r="D3254">
        <v>215</v>
      </c>
      <c r="E3254">
        <v>0</v>
      </c>
      <c r="F3254">
        <v>41</v>
      </c>
    </row>
    <row r="3255" spans="1:6" ht="12.75">
      <c r="A3255" s="2">
        <v>43884.30023148148</v>
      </c>
      <c r="B3255" t="str">
        <f>HYPERLINK("https://twitter.com/MariawanDede","@MariawanDede")</f>
        <v>@MariawanDede</v>
      </c>
      <c r="C3255" t="s">
        <v>3072</v>
      </c>
      <c r="D3255">
        <v>0</v>
      </c>
      <c r="E3255">
        <v>0</v>
      </c>
      <c r="F3255">
        <v>1855</v>
      </c>
    </row>
    <row r="3256" spans="1:6" ht="12.75">
      <c r="A3256" s="2">
        <v>43884.300081018519</v>
      </c>
      <c r="B3256" t="str">
        <f>HYPERLINK("https://twitter.com/RambuRumba","@RambuRumba")</f>
        <v>@RambuRumba</v>
      </c>
      <c r="C3256" t="s">
        <v>2744</v>
      </c>
      <c r="D3256">
        <v>5</v>
      </c>
      <c r="E3256">
        <v>0</v>
      </c>
      <c r="F3256">
        <v>836</v>
      </c>
    </row>
    <row r="3257" spans="1:6" ht="12.75">
      <c r="A3257" s="2">
        <v>43884.293043981481</v>
      </c>
      <c r="B3257" t="str">
        <f>HYPERLINK("https://twitter.com/Hamzah_Baudin","@Hamzah_Baudin")</f>
        <v>@Hamzah_Baudin</v>
      </c>
      <c r="C3257" t="s">
        <v>3073</v>
      </c>
      <c r="D3257">
        <v>0</v>
      </c>
      <c r="E3257">
        <v>0</v>
      </c>
      <c r="F3257">
        <v>2976</v>
      </c>
    </row>
    <row r="3258" spans="1:6" ht="12.75">
      <c r="A3258" s="2">
        <v>43884.292986111112</v>
      </c>
      <c r="B3258" t="str">
        <f>HYPERLINK("https://twitter.com/reisyamyca","@reisyamyca")</f>
        <v>@reisyamyca</v>
      </c>
      <c r="C3258" t="s">
        <v>2153</v>
      </c>
      <c r="D3258">
        <v>190</v>
      </c>
      <c r="E3258">
        <v>0</v>
      </c>
      <c r="F3258">
        <v>146</v>
      </c>
    </row>
    <row r="3259" spans="1:6" ht="12.75">
      <c r="A3259" s="2">
        <v>43884.292800925927</v>
      </c>
      <c r="B3259" t="str">
        <f>HYPERLINK("https://twitter.com/TofaTofa_id","@TofaTofa_id")</f>
        <v>@TofaTofa_id</v>
      </c>
      <c r="C3259" t="s">
        <v>3074</v>
      </c>
      <c r="D3259">
        <v>0</v>
      </c>
      <c r="E3259">
        <v>0</v>
      </c>
      <c r="F3259">
        <v>12895</v>
      </c>
    </row>
    <row r="3260" spans="1:6" ht="12.75">
      <c r="A3260" s="2">
        <v>43884.291099537033</v>
      </c>
      <c r="B3260" t="str">
        <f>HYPERLINK("https://twitter.com/21Lai21","@21Lai21")</f>
        <v>@21Lai21</v>
      </c>
      <c r="C3260" t="s">
        <v>2927</v>
      </c>
      <c r="D3260">
        <v>28</v>
      </c>
      <c r="E3260">
        <v>0</v>
      </c>
      <c r="F3260">
        <v>292</v>
      </c>
    </row>
    <row r="3261" spans="1:6" ht="12.75">
      <c r="A3261" s="2">
        <v>43884.289652777778</v>
      </c>
      <c r="B3261" t="str">
        <f>HYPERLINK("https://twitter.com/Sagimin65864707","@Sagimin65864707")</f>
        <v>@Sagimin65864707</v>
      </c>
      <c r="C3261" t="s">
        <v>3075</v>
      </c>
      <c r="D3261">
        <v>0</v>
      </c>
      <c r="E3261">
        <v>0</v>
      </c>
      <c r="F3261">
        <v>1</v>
      </c>
    </row>
    <row r="3262" spans="1:6" ht="12.75">
      <c r="A3262" s="2">
        <v>43884.289444444439</v>
      </c>
      <c r="B3262" t="str">
        <f>HYPERLINK("https://twitter.com/Djunaidi_H","@Djunaidi_H")</f>
        <v>@Djunaidi_H</v>
      </c>
      <c r="C3262" t="s">
        <v>2119</v>
      </c>
      <c r="D3262">
        <v>533</v>
      </c>
      <c r="E3262">
        <v>0</v>
      </c>
      <c r="F3262">
        <v>46</v>
      </c>
    </row>
    <row r="3263" spans="1:6" ht="12.75">
      <c r="A3263" s="2">
        <v>43884.289027777777</v>
      </c>
      <c r="B3263" t="str">
        <f>HYPERLINK("https://twitter.com/miharja_ozzy","@miharja_ozzy")</f>
        <v>@miharja_ozzy</v>
      </c>
      <c r="C3263" t="s">
        <v>2153</v>
      </c>
      <c r="D3263">
        <v>190</v>
      </c>
      <c r="E3263">
        <v>0</v>
      </c>
      <c r="F3263">
        <v>50</v>
      </c>
    </row>
    <row r="3264" spans="1:6" ht="12.75">
      <c r="A3264" s="2">
        <v>43884.288599537038</v>
      </c>
      <c r="B3264" t="str">
        <f>HYPERLINK("https://twitter.com/chandra32204963","@chandra32204963")</f>
        <v>@chandra32204963</v>
      </c>
      <c r="C3264" t="s">
        <v>2841</v>
      </c>
      <c r="D3264">
        <v>17</v>
      </c>
      <c r="E3264">
        <v>0</v>
      </c>
      <c r="F3264">
        <v>318</v>
      </c>
    </row>
    <row r="3265" spans="1:6" ht="12.75">
      <c r="A3265" s="2">
        <v>43884.288518518515</v>
      </c>
      <c r="B3265" t="str">
        <f>HYPERLINK("https://twitter.com/57555M","@57555M")</f>
        <v>@57555M</v>
      </c>
      <c r="C3265" t="s">
        <v>2153</v>
      </c>
      <c r="D3265">
        <v>190</v>
      </c>
      <c r="E3265">
        <v>0</v>
      </c>
      <c r="F3265">
        <v>1130</v>
      </c>
    </row>
    <row r="3266" spans="1:6" ht="12.75">
      <c r="A3266" s="2">
        <v>43884.288495370369</v>
      </c>
      <c r="B3266" t="str">
        <f>HYPERLINK("https://twitter.com/YMen585968","@YMen585968")</f>
        <v>@YMen585968</v>
      </c>
      <c r="C3266" t="s">
        <v>3076</v>
      </c>
      <c r="D3266">
        <v>0</v>
      </c>
      <c r="E3266">
        <v>0</v>
      </c>
      <c r="F3266">
        <v>15</v>
      </c>
    </row>
    <row r="3267" spans="1:6" ht="12.75">
      <c r="A3267" s="2">
        <v>43884.287812499999</v>
      </c>
      <c r="B3267" t="str">
        <f>HYPERLINK("https://twitter.com/YanuarAzhar1170","@YanuarAzhar1170")</f>
        <v>@YanuarAzhar1170</v>
      </c>
      <c r="C3267" t="s">
        <v>2153</v>
      </c>
      <c r="D3267">
        <v>190</v>
      </c>
      <c r="E3267">
        <v>0</v>
      </c>
      <c r="F3267">
        <v>665</v>
      </c>
    </row>
    <row r="3268" spans="1:6" ht="12.75">
      <c r="A3268" s="2">
        <v>43884.287604166668</v>
      </c>
      <c r="B3268" t="str">
        <f>HYPERLINK("https://twitter.com/RoediMS","@RoediMS")</f>
        <v>@RoediMS</v>
      </c>
      <c r="C3268" t="s">
        <v>3077</v>
      </c>
      <c r="D3268">
        <v>0</v>
      </c>
      <c r="E3268">
        <v>0</v>
      </c>
      <c r="F3268">
        <v>1046</v>
      </c>
    </row>
    <row r="3269" spans="1:6" ht="12.75">
      <c r="A3269" s="2">
        <v>43884.286099537036</v>
      </c>
      <c r="B3269" t="str">
        <f>HYPERLINK("https://twitter.com/HendarwatiH","@HendarwatiH")</f>
        <v>@HendarwatiH</v>
      </c>
      <c r="C3269" t="s">
        <v>2927</v>
      </c>
      <c r="D3269">
        <v>28</v>
      </c>
      <c r="E3269">
        <v>0</v>
      </c>
      <c r="F3269">
        <v>2136</v>
      </c>
    </row>
    <row r="3270" spans="1:6" ht="12.75">
      <c r="A3270" s="2">
        <v>43884.28597222222</v>
      </c>
      <c r="B3270" t="str">
        <f>HYPERLINK("https://twitter.com/yusiwisinar","@yusiwisinar")</f>
        <v>@yusiwisinar</v>
      </c>
      <c r="C3270" t="s">
        <v>2153</v>
      </c>
      <c r="D3270">
        <v>190</v>
      </c>
      <c r="E3270">
        <v>0</v>
      </c>
      <c r="F3270">
        <v>514</v>
      </c>
    </row>
    <row r="3271" spans="1:6" ht="12.75">
      <c r="A3271" s="2">
        <v>43884.285046296296</v>
      </c>
      <c r="B3271" t="str">
        <f>HYPERLINK("https://twitter.com/jade_isis_","@jade_isis_")</f>
        <v>@jade_isis_</v>
      </c>
      <c r="C3271" t="s">
        <v>3078</v>
      </c>
      <c r="D3271">
        <v>0</v>
      </c>
      <c r="E3271">
        <v>0</v>
      </c>
      <c r="F3271">
        <v>237</v>
      </c>
    </row>
    <row r="3272" spans="1:6" ht="12.75">
      <c r="A3272" s="2">
        <v>43884.283703703702</v>
      </c>
      <c r="B3272" t="str">
        <f>HYPERLINK("https://twitter.com/irsansanusi1","@irsansanusi1")</f>
        <v>@irsansanusi1</v>
      </c>
      <c r="C3272" t="s">
        <v>2153</v>
      </c>
      <c r="D3272">
        <v>190</v>
      </c>
      <c r="E3272">
        <v>0</v>
      </c>
      <c r="F3272">
        <v>129</v>
      </c>
    </row>
    <row r="3273" spans="1:6" ht="12.75">
      <c r="A3273" s="2">
        <v>43884.283495370371</v>
      </c>
      <c r="B3273" t="str">
        <f>HYPERLINK("https://twitter.com/MobZack","@MobZack")</f>
        <v>@MobZack</v>
      </c>
      <c r="C3273" t="s">
        <v>2153</v>
      </c>
      <c r="D3273">
        <v>190</v>
      </c>
      <c r="E3273">
        <v>0</v>
      </c>
      <c r="F3273">
        <v>217</v>
      </c>
    </row>
    <row r="3274" spans="1:6" ht="12.75">
      <c r="A3274" s="2">
        <v>43884.282511574071</v>
      </c>
      <c r="B3274" t="str">
        <f>HYPERLINK("https://twitter.com/05Hkl","@05Hkl")</f>
        <v>@05Hkl</v>
      </c>
      <c r="C3274" t="s">
        <v>3079</v>
      </c>
      <c r="D3274">
        <v>1</v>
      </c>
      <c r="E3274">
        <v>0</v>
      </c>
      <c r="F3274">
        <v>1</v>
      </c>
    </row>
    <row r="3275" spans="1:6" ht="12.75">
      <c r="A3275" s="2">
        <v>43884.282430555555</v>
      </c>
      <c r="B3275" t="str">
        <f>HYPERLINK("https://twitter.com/a_daud_ppnp","@a_daud_ppnp")</f>
        <v>@a_daud_ppnp</v>
      </c>
      <c r="C3275" t="s">
        <v>2153</v>
      </c>
      <c r="D3275">
        <v>190</v>
      </c>
      <c r="E3275">
        <v>0</v>
      </c>
      <c r="F3275">
        <v>134</v>
      </c>
    </row>
    <row r="3276" spans="1:6" ht="12.75">
      <c r="A3276" s="2">
        <v>43884.281412037039</v>
      </c>
      <c r="B3276" t="str">
        <f>HYPERLINK("https://twitter.com/HerdianaAini","@HerdianaAini")</f>
        <v>@HerdianaAini</v>
      </c>
      <c r="C3276" t="s">
        <v>2153</v>
      </c>
      <c r="D3276">
        <v>190</v>
      </c>
      <c r="E3276">
        <v>0</v>
      </c>
      <c r="F3276">
        <v>2</v>
      </c>
    </row>
    <row r="3277" spans="1:6" ht="12.75">
      <c r="A3277" s="2">
        <v>43884.281307870369</v>
      </c>
      <c r="B3277" t="str">
        <f>HYPERLINK("https://twitter.com/MACPHISTOISME","@MACPHISTOISME")</f>
        <v>@MACPHISTOISME</v>
      </c>
      <c r="C3277" t="s">
        <v>2153</v>
      </c>
      <c r="D3277">
        <v>190</v>
      </c>
      <c r="E3277">
        <v>0</v>
      </c>
      <c r="F3277">
        <v>285</v>
      </c>
    </row>
    <row r="3278" spans="1:6" ht="12.75">
      <c r="A3278" s="2">
        <v>43884.281134259261</v>
      </c>
      <c r="B3278" t="str">
        <f>HYPERLINK("https://twitter.com/Syeraho","@Syeraho")</f>
        <v>@Syeraho</v>
      </c>
      <c r="C3278" t="s">
        <v>3080</v>
      </c>
      <c r="D3278">
        <v>0</v>
      </c>
      <c r="E3278">
        <v>0</v>
      </c>
      <c r="F3278">
        <v>998</v>
      </c>
    </row>
    <row r="3279" spans="1:6" ht="12.75">
      <c r="A3279" s="2">
        <v>43884.280787037038</v>
      </c>
      <c r="B3279" t="str">
        <f>HYPERLINK("https://twitter.com/SetiaPermadi11","@SetiaPermadi11")</f>
        <v>@SetiaPermadi11</v>
      </c>
      <c r="C3279" t="s">
        <v>2153</v>
      </c>
      <c r="D3279">
        <v>190</v>
      </c>
      <c r="E3279">
        <v>0</v>
      </c>
      <c r="F3279">
        <v>606</v>
      </c>
    </row>
    <row r="3280" spans="1:6" ht="12.75">
      <c r="A3280" s="2">
        <v>43884.280312499999</v>
      </c>
      <c r="B3280" t="str">
        <f>HYPERLINK("https://twitter.com/dp_koesmirah","@dp_koesmirah")</f>
        <v>@dp_koesmirah</v>
      </c>
      <c r="C3280" t="s">
        <v>2841</v>
      </c>
      <c r="D3280">
        <v>17</v>
      </c>
      <c r="E3280">
        <v>0</v>
      </c>
      <c r="F3280">
        <v>189</v>
      </c>
    </row>
    <row r="3281" spans="1:6" ht="12.75">
      <c r="A3281" s="2">
        <v>43884.279768518521</v>
      </c>
      <c r="B3281" t="str">
        <f>HYPERLINK("https://twitter.com/PkLah","@PkLah")</f>
        <v>@PkLah</v>
      </c>
      <c r="C3281" t="s">
        <v>3081</v>
      </c>
      <c r="D3281">
        <v>0</v>
      </c>
      <c r="E3281">
        <v>0</v>
      </c>
      <c r="F3281">
        <v>90</v>
      </c>
    </row>
    <row r="3282" spans="1:6" ht="12.75">
      <c r="A3282" s="2">
        <v>43884.278831018513</v>
      </c>
      <c r="B3282" t="str">
        <f>HYPERLINK("https://twitter.com/ReiMichie99","@ReiMichie99")</f>
        <v>@ReiMichie99</v>
      </c>
      <c r="C3282" t="s">
        <v>3082</v>
      </c>
      <c r="D3282">
        <v>0</v>
      </c>
      <c r="E3282">
        <v>0</v>
      </c>
      <c r="F3282">
        <v>12</v>
      </c>
    </row>
    <row r="3283" spans="1:6" ht="12.75">
      <c r="A3283" s="2">
        <v>43884.278564814813</v>
      </c>
      <c r="B3283" t="str">
        <f>HYPERLINK("https://twitter.com/Sagimin65864707","@Sagimin65864707")</f>
        <v>@Sagimin65864707</v>
      </c>
      <c r="C3283" t="s">
        <v>3083</v>
      </c>
      <c r="D3283">
        <v>0</v>
      </c>
      <c r="E3283">
        <v>0</v>
      </c>
      <c r="F3283">
        <v>1</v>
      </c>
    </row>
    <row r="3284" spans="1:6" ht="12.75">
      <c r="A3284" s="2">
        <v>43884.277638888889</v>
      </c>
      <c r="B3284" t="str">
        <f>HYPERLINK("https://twitter.com/sheishaheira","@sheishaheira")</f>
        <v>@sheishaheira</v>
      </c>
      <c r="C3284" t="s">
        <v>2711</v>
      </c>
      <c r="D3284">
        <v>192</v>
      </c>
      <c r="E3284">
        <v>0</v>
      </c>
      <c r="F3284">
        <v>180</v>
      </c>
    </row>
    <row r="3285" spans="1:6" ht="12.75">
      <c r="A3285" s="2">
        <v>43884.276770833334</v>
      </c>
      <c r="B3285" t="str">
        <f>HYPERLINK("https://twitter.com/ulitrisnani","@ulitrisnani")</f>
        <v>@ulitrisnani</v>
      </c>
      <c r="C3285" t="s">
        <v>2153</v>
      </c>
      <c r="D3285">
        <v>190</v>
      </c>
      <c r="E3285">
        <v>0</v>
      </c>
      <c r="F3285">
        <v>601</v>
      </c>
    </row>
    <row r="3286" spans="1:6" ht="12.75">
      <c r="A3286" s="2">
        <v>43884.27543981481</v>
      </c>
      <c r="B3286" t="str">
        <f>HYPERLINK("https://twitter.com/SantiSoerjaatm1","@SantiSoerjaatm1")</f>
        <v>@SantiSoerjaatm1</v>
      </c>
      <c r="C3286" t="s">
        <v>2119</v>
      </c>
      <c r="D3286">
        <v>533</v>
      </c>
      <c r="E3286">
        <v>0</v>
      </c>
      <c r="F3286">
        <v>39</v>
      </c>
    </row>
    <row r="3287" spans="1:6" ht="12.75">
      <c r="A3287" s="2">
        <v>43884.275277777779</v>
      </c>
      <c r="B3287" t="str">
        <f>HYPERLINK("https://twitter.com/dedihermanto813","@dedihermanto813")</f>
        <v>@dedihermanto813</v>
      </c>
      <c r="C3287" t="s">
        <v>2153</v>
      </c>
      <c r="D3287">
        <v>190</v>
      </c>
      <c r="E3287">
        <v>0</v>
      </c>
      <c r="F3287">
        <v>1963</v>
      </c>
    </row>
    <row r="3288" spans="1:6" ht="12.75">
      <c r="A3288" s="2">
        <v>43884.274745370371</v>
      </c>
      <c r="B3288" t="str">
        <f>HYPERLINK("https://twitter.com/Deedee_BR77","@Deedee_BR77")</f>
        <v>@Deedee_BR77</v>
      </c>
      <c r="C3288" t="s">
        <v>2153</v>
      </c>
      <c r="D3288">
        <v>190</v>
      </c>
      <c r="E3288">
        <v>0</v>
      </c>
      <c r="F3288">
        <v>297</v>
      </c>
    </row>
    <row r="3289" spans="1:6" ht="12.75">
      <c r="A3289" s="2">
        <v>43884.274293981478</v>
      </c>
      <c r="B3289" t="str">
        <f>HYPERLINK("https://twitter.com/IsoepardiJ","@IsoepardiJ")</f>
        <v>@IsoepardiJ</v>
      </c>
      <c r="C3289" t="s">
        <v>2153</v>
      </c>
      <c r="D3289">
        <v>190</v>
      </c>
      <c r="E3289">
        <v>0</v>
      </c>
      <c r="F3289">
        <v>285</v>
      </c>
    </row>
    <row r="3290" spans="1:6" ht="12.75">
      <c r="A3290" s="2">
        <v>43884.274062500001</v>
      </c>
      <c r="B3290" t="str">
        <f>HYPERLINK("https://twitter.com/Samidi86233792","@Samidi86233792")</f>
        <v>@Samidi86233792</v>
      </c>
      <c r="C3290" t="s">
        <v>3084</v>
      </c>
      <c r="D3290">
        <v>0</v>
      </c>
      <c r="E3290">
        <v>0</v>
      </c>
      <c r="F3290">
        <v>0</v>
      </c>
    </row>
    <row r="3291" spans="1:6" ht="12.75">
      <c r="A3291" s="2">
        <v>43884.273622685185</v>
      </c>
      <c r="B3291" t="str">
        <f>HYPERLINK("https://twitter.com/oposisi4ever","@oposisi4ever")</f>
        <v>@oposisi4ever</v>
      </c>
      <c r="C3291" t="s">
        <v>2153</v>
      </c>
      <c r="D3291">
        <v>190</v>
      </c>
      <c r="E3291">
        <v>0</v>
      </c>
      <c r="F3291">
        <v>398</v>
      </c>
    </row>
    <row r="3292" spans="1:6" ht="12.75">
      <c r="A3292" s="2">
        <v>43884.272743055553</v>
      </c>
      <c r="B3292" t="str">
        <f>HYPERLINK("https://twitter.com/indovoices_com","@indovoices_com")</f>
        <v>@indovoices_com</v>
      </c>
      <c r="C3292" t="s">
        <v>3085</v>
      </c>
      <c r="D3292">
        <v>0</v>
      </c>
      <c r="E3292">
        <v>0</v>
      </c>
      <c r="F3292">
        <v>123</v>
      </c>
    </row>
    <row r="3293" spans="1:6" ht="12.75">
      <c r="A3293" s="2">
        <v>43884.272719907407</v>
      </c>
      <c r="B3293" t="str">
        <f>HYPERLINK("https://twitter.com/soenardo","@soenardo")</f>
        <v>@soenardo</v>
      </c>
      <c r="C3293" t="s">
        <v>3085</v>
      </c>
      <c r="D3293">
        <v>0</v>
      </c>
      <c r="E3293">
        <v>0</v>
      </c>
      <c r="F3293">
        <v>50</v>
      </c>
    </row>
    <row r="3294" spans="1:6" ht="12.75">
      <c r="A3294" s="2">
        <v>43884.271122685182</v>
      </c>
      <c r="B3294" t="str">
        <f>HYPERLINK("https://twitter.com/BustamyKarmen","@BustamyKarmen")</f>
        <v>@BustamyKarmen</v>
      </c>
      <c r="C3294" t="s">
        <v>3086</v>
      </c>
      <c r="D3294">
        <v>0</v>
      </c>
      <c r="E3294">
        <v>0</v>
      </c>
      <c r="F3294">
        <v>0</v>
      </c>
    </row>
    <row r="3295" spans="1:6" ht="12.75">
      <c r="A3295" s="2">
        <v>43884.270578703705</v>
      </c>
      <c r="B3295" t="str">
        <f>HYPERLINK("https://twitter.com/Adam64622779","@Adam64622779")</f>
        <v>@Adam64622779</v>
      </c>
      <c r="C3295" t="s">
        <v>3087</v>
      </c>
      <c r="D3295">
        <v>0</v>
      </c>
      <c r="E3295">
        <v>0</v>
      </c>
      <c r="F3295">
        <v>4</v>
      </c>
    </row>
    <row r="3296" spans="1:6" ht="12.75">
      <c r="A3296" s="2">
        <v>43884.269606481481</v>
      </c>
      <c r="B3296" t="str">
        <f>HYPERLINK("https://twitter.com/IlhamSy17","@IlhamSy17")</f>
        <v>@IlhamSy17</v>
      </c>
      <c r="C3296" t="s">
        <v>3088</v>
      </c>
      <c r="D3296">
        <v>0</v>
      </c>
      <c r="E3296">
        <v>1</v>
      </c>
      <c r="F3296">
        <v>108</v>
      </c>
    </row>
    <row r="3297" spans="1:6" ht="12.75">
      <c r="A3297" s="2">
        <v>43884.268726851849</v>
      </c>
      <c r="B3297" t="str">
        <f>HYPERLINK("https://twitter.com/Sonyrony2","@Sonyrony2")</f>
        <v>@Sonyrony2</v>
      </c>
      <c r="C3297" t="s">
        <v>2153</v>
      </c>
      <c r="D3297">
        <v>190</v>
      </c>
      <c r="E3297">
        <v>0</v>
      </c>
      <c r="F3297">
        <v>335</v>
      </c>
    </row>
    <row r="3298" spans="1:6" ht="12.75">
      <c r="A3298" s="2">
        <v>43884.268310185187</v>
      </c>
      <c r="B3298" t="str">
        <f>HYPERLINK("https://twitter.com/pepsycho","@pepsycho")</f>
        <v>@pepsycho</v>
      </c>
      <c r="C3298" t="s">
        <v>3089</v>
      </c>
      <c r="D3298">
        <v>0</v>
      </c>
      <c r="E3298">
        <v>0</v>
      </c>
      <c r="F3298">
        <v>210</v>
      </c>
    </row>
    <row r="3299" spans="1:6" ht="12.75">
      <c r="A3299" s="2">
        <v>43884.268263888887</v>
      </c>
      <c r="B3299" t="str">
        <f>HYPERLINK("https://twitter.com/Uwaisalatas","@Uwaisalatas")</f>
        <v>@Uwaisalatas</v>
      </c>
      <c r="C3299" t="s">
        <v>2153</v>
      </c>
      <c r="D3299">
        <v>190</v>
      </c>
      <c r="E3299">
        <v>0</v>
      </c>
      <c r="F3299">
        <v>1215</v>
      </c>
    </row>
    <row r="3300" spans="1:6" ht="12.75">
      <c r="A3300" s="2">
        <v>43884.267870370371</v>
      </c>
      <c r="B3300" t="str">
        <f>HYPERLINK("https://twitter.com/kongngabong","@kongngabong")</f>
        <v>@kongngabong</v>
      </c>
      <c r="C3300" t="s">
        <v>3090</v>
      </c>
      <c r="D3300">
        <v>98</v>
      </c>
      <c r="E3300">
        <v>0</v>
      </c>
      <c r="F3300">
        <v>257</v>
      </c>
    </row>
    <row r="3301" spans="1:6" ht="12.75">
      <c r="A3301" s="2">
        <v>43884.266250000001</v>
      </c>
      <c r="B3301" t="str">
        <f>HYPERLINK("https://twitter.com/rusdian01796366","@rusdian01796366")</f>
        <v>@rusdian01796366</v>
      </c>
      <c r="C3301" t="s">
        <v>2153</v>
      </c>
      <c r="D3301">
        <v>190</v>
      </c>
      <c r="E3301">
        <v>0</v>
      </c>
      <c r="F3301">
        <v>699</v>
      </c>
    </row>
    <row r="3302" spans="1:6" ht="12.75">
      <c r="A3302" s="2">
        <v>43884.265034722222</v>
      </c>
      <c r="B3302" t="str">
        <f>HYPERLINK("https://twitter.com/HeartOds","@HeartOds")</f>
        <v>@HeartOds</v>
      </c>
      <c r="C3302" t="s">
        <v>2153</v>
      </c>
      <c r="D3302">
        <v>190</v>
      </c>
      <c r="E3302">
        <v>0</v>
      </c>
      <c r="F3302">
        <v>1079</v>
      </c>
    </row>
    <row r="3303" spans="1:6" ht="12.75">
      <c r="A3303" s="2">
        <v>43884.264930555553</v>
      </c>
      <c r="B3303" t="str">
        <f>HYPERLINK("https://twitter.com/harry52541661","@harry52541661")</f>
        <v>@harry52541661</v>
      </c>
      <c r="C3303" t="s">
        <v>2153</v>
      </c>
      <c r="D3303">
        <v>190</v>
      </c>
      <c r="E3303">
        <v>0</v>
      </c>
      <c r="F3303">
        <v>38</v>
      </c>
    </row>
    <row r="3304" spans="1:6" ht="12.75">
      <c r="A3304" s="2">
        <v>43884.264328703706</v>
      </c>
      <c r="B3304" t="str">
        <f>HYPERLINK("https://twitter.com/beautydyah","@beautydyah")</f>
        <v>@beautydyah</v>
      </c>
      <c r="C3304" t="s">
        <v>2153</v>
      </c>
      <c r="D3304">
        <v>190</v>
      </c>
      <c r="E3304">
        <v>0</v>
      </c>
      <c r="F3304">
        <v>3397</v>
      </c>
    </row>
    <row r="3305" spans="1:6" ht="12.75">
      <c r="A3305" s="2">
        <v>43884.26427083333</v>
      </c>
      <c r="B3305" t="str">
        <f>HYPERLINK("https://twitter.com/DesrizalMisbah","@DesrizalMisbah")</f>
        <v>@DesrizalMisbah</v>
      </c>
      <c r="C3305" t="s">
        <v>2153</v>
      </c>
      <c r="D3305">
        <v>190</v>
      </c>
      <c r="E3305">
        <v>0</v>
      </c>
      <c r="F3305">
        <v>262</v>
      </c>
    </row>
    <row r="3306" spans="1:6" ht="12.75">
      <c r="A3306" s="2">
        <v>43884.263124999998</v>
      </c>
      <c r="B3306" t="str">
        <f>HYPERLINK("https://twitter.com/agusboy_1973","@agusboy_1973")</f>
        <v>@agusboy_1973</v>
      </c>
      <c r="C3306" t="s">
        <v>2153</v>
      </c>
      <c r="D3306">
        <v>190</v>
      </c>
      <c r="E3306">
        <v>0</v>
      </c>
      <c r="F3306">
        <v>4790</v>
      </c>
    </row>
    <row r="3307" spans="1:6" ht="12.75">
      <c r="A3307" s="2">
        <v>43884.26295138889</v>
      </c>
      <c r="B3307" t="str">
        <f>HYPERLINK("https://twitter.com/Shantyluciana1","@Shantyluciana1")</f>
        <v>@Shantyluciana1</v>
      </c>
      <c r="C3307" t="s">
        <v>2153</v>
      </c>
      <c r="D3307">
        <v>190</v>
      </c>
      <c r="E3307">
        <v>0</v>
      </c>
      <c r="F3307">
        <v>87</v>
      </c>
    </row>
    <row r="3308" spans="1:6" ht="12.75">
      <c r="A3308" s="2">
        <v>43884.262233796297</v>
      </c>
      <c r="B3308" t="str">
        <f>HYPERLINK("https://twitter.com/SondoroMusic","@SondoroMusic")</f>
        <v>@SondoroMusic</v>
      </c>
      <c r="C3308" t="s">
        <v>3091</v>
      </c>
      <c r="D3308">
        <v>0</v>
      </c>
      <c r="E3308">
        <v>1</v>
      </c>
      <c r="F3308">
        <v>108449</v>
      </c>
    </row>
    <row r="3309" spans="1:6" ht="12.75">
      <c r="A3309" s="2">
        <v>43884.261840277773</v>
      </c>
      <c r="B3309" t="str">
        <f>HYPERLINK("https://twitter.com/Qolybri_8216","@Qolybri_8216")</f>
        <v>@Qolybri_8216</v>
      </c>
      <c r="C3309" t="s">
        <v>2153</v>
      </c>
      <c r="D3309">
        <v>190</v>
      </c>
      <c r="E3309">
        <v>0</v>
      </c>
      <c r="F3309">
        <v>2061</v>
      </c>
    </row>
    <row r="3310" spans="1:6" ht="12.75">
      <c r="A3310" s="2">
        <v>43884.261701388888</v>
      </c>
      <c r="B3310" t="str">
        <f>HYPERLINK("https://twitter.com/LAries26","@LAries26")</f>
        <v>@LAries26</v>
      </c>
      <c r="C3310" t="s">
        <v>2153</v>
      </c>
      <c r="D3310">
        <v>190</v>
      </c>
      <c r="E3310">
        <v>0</v>
      </c>
      <c r="F3310">
        <v>432</v>
      </c>
    </row>
    <row r="3311" spans="1:6" ht="12.75">
      <c r="A3311" s="2">
        <v>43884.260879629626</v>
      </c>
      <c r="B3311" t="str">
        <f>HYPERLINK("https://twitter.com/Bosded19","@Bosded19")</f>
        <v>@Bosded19</v>
      </c>
      <c r="C3311" t="s">
        <v>3092</v>
      </c>
      <c r="D3311">
        <v>0</v>
      </c>
      <c r="E3311">
        <v>0</v>
      </c>
      <c r="F3311">
        <v>16</v>
      </c>
    </row>
    <row r="3312" spans="1:6" ht="12.75">
      <c r="A3312" s="2">
        <v>43884.26081018518</v>
      </c>
      <c r="B3312" t="str">
        <f>HYPERLINK("https://twitter.com/Handoyo_NP_06","@Handoyo_NP_06")</f>
        <v>@Handoyo_NP_06</v>
      </c>
      <c r="C3312" t="s">
        <v>2153</v>
      </c>
      <c r="D3312">
        <v>190</v>
      </c>
      <c r="E3312">
        <v>0</v>
      </c>
      <c r="F3312">
        <v>978</v>
      </c>
    </row>
    <row r="3313" spans="1:6" ht="12.75">
      <c r="A3313" s="2">
        <v>43884.260798611111</v>
      </c>
      <c r="B3313" t="str">
        <f>HYPERLINK("https://twitter.com/AEPishere","@AEPishere")</f>
        <v>@AEPishere</v>
      </c>
      <c r="C3313" t="s">
        <v>3093</v>
      </c>
      <c r="D3313">
        <v>3</v>
      </c>
      <c r="E3313">
        <v>0</v>
      </c>
      <c r="F3313">
        <v>3013</v>
      </c>
    </row>
    <row r="3314" spans="1:6" ht="12.75">
      <c r="A3314" s="2">
        <v>43884.260509259257</v>
      </c>
      <c r="B3314" t="str">
        <f>HYPERLINK("https://twitter.com/al_gharizah497","@al_gharizah497")</f>
        <v>@al_gharizah497</v>
      </c>
      <c r="C3314" t="s">
        <v>2153</v>
      </c>
      <c r="D3314">
        <v>190</v>
      </c>
      <c r="E3314">
        <v>0</v>
      </c>
      <c r="F3314">
        <v>2176</v>
      </c>
    </row>
    <row r="3315" spans="1:6" ht="12.75">
      <c r="A3315" s="2">
        <v>43884.259930555556</v>
      </c>
      <c r="B3315" t="str">
        <f>HYPERLINK("https://twitter.com/Immorta56343084","@Immorta56343084")</f>
        <v>@Immorta56343084</v>
      </c>
      <c r="C3315" t="s">
        <v>3094</v>
      </c>
      <c r="D3315">
        <v>0</v>
      </c>
      <c r="E3315">
        <v>2</v>
      </c>
      <c r="F3315">
        <v>1</v>
      </c>
    </row>
    <row r="3316" spans="1:6" ht="12.75">
      <c r="A3316" s="2">
        <v>43884.259918981479</v>
      </c>
      <c r="B3316" t="str">
        <f>HYPERLINK("https://twitter.com/rahmadss87","@rahmadss87")</f>
        <v>@rahmadss87</v>
      </c>
      <c r="C3316" t="s">
        <v>2153</v>
      </c>
      <c r="D3316">
        <v>190</v>
      </c>
      <c r="E3316">
        <v>0</v>
      </c>
      <c r="F3316">
        <v>17</v>
      </c>
    </row>
    <row r="3317" spans="1:6" ht="12.75">
      <c r="A3317" s="2">
        <v>43884.259502314817</v>
      </c>
      <c r="B3317" t="str">
        <f>HYPERLINK("https://twitter.com/IanGanteng8","@IanGanteng8")</f>
        <v>@IanGanteng8</v>
      </c>
      <c r="C3317" t="s">
        <v>2153</v>
      </c>
      <c r="D3317">
        <v>190</v>
      </c>
      <c r="E3317">
        <v>0</v>
      </c>
      <c r="F3317">
        <v>67</v>
      </c>
    </row>
    <row r="3318" spans="1:6" ht="12.75">
      <c r="A3318" s="2">
        <v>43884.258159722223</v>
      </c>
      <c r="B3318" t="str">
        <f>HYPERLINK("https://twitter.com/asuhan101010101","@asuhan101010101")</f>
        <v>@asuhan101010101</v>
      </c>
      <c r="C3318" t="s">
        <v>3095</v>
      </c>
      <c r="D3318">
        <v>0</v>
      </c>
      <c r="E3318">
        <v>4</v>
      </c>
      <c r="F3318">
        <v>1947</v>
      </c>
    </row>
    <row r="3319" spans="1:6" ht="12.75">
      <c r="A3319" s="2">
        <v>43884.25780092593</v>
      </c>
      <c r="B3319" t="str">
        <f>HYPERLINK("https://twitter.com/pipin_puri","@pipin_puri")</f>
        <v>@pipin_puri</v>
      </c>
      <c r="C3319" t="s">
        <v>2119</v>
      </c>
      <c r="D3319">
        <v>533</v>
      </c>
      <c r="E3319">
        <v>0</v>
      </c>
      <c r="F3319">
        <v>599</v>
      </c>
    </row>
    <row r="3320" spans="1:6" ht="12.75">
      <c r="A3320" s="2">
        <v>43884.255277777775</v>
      </c>
      <c r="B3320" t="str">
        <f>HYPERLINK("https://twitter.com/sopojenenge13","@sopojenenge13")</f>
        <v>@sopojenenge13</v>
      </c>
      <c r="C3320" t="s">
        <v>3096</v>
      </c>
      <c r="D3320">
        <v>0</v>
      </c>
      <c r="E3320">
        <v>0</v>
      </c>
      <c r="F3320">
        <v>79</v>
      </c>
    </row>
    <row r="3321" spans="1:6" ht="12.75">
      <c r="A3321" s="2">
        <v>43884.254652777774</v>
      </c>
      <c r="B3321" t="str">
        <f>HYPERLINK("https://twitter.com/sihaloho85","@sihaloho85")</f>
        <v>@sihaloho85</v>
      </c>
      <c r="C3321" t="s">
        <v>3097</v>
      </c>
      <c r="D3321">
        <v>0</v>
      </c>
      <c r="E3321">
        <v>2</v>
      </c>
      <c r="F3321">
        <v>4241</v>
      </c>
    </row>
    <row r="3322" spans="1:6" ht="12.75">
      <c r="A3322" s="2">
        <v>43884.254606481481</v>
      </c>
      <c r="B3322" t="str">
        <f>HYPERLINK("https://twitter.com/wni_jmsri","@wni_jmsri")</f>
        <v>@wni_jmsri</v>
      </c>
      <c r="C3322" t="s">
        <v>3098</v>
      </c>
      <c r="D3322">
        <v>9</v>
      </c>
      <c r="E3322">
        <v>0</v>
      </c>
      <c r="F3322">
        <v>196</v>
      </c>
    </row>
    <row r="3323" spans="1:6" ht="12.75">
      <c r="A3323" s="2">
        <v>43884.254201388889</v>
      </c>
      <c r="B3323" t="str">
        <f>HYPERLINK("https://twitter.com/Abdurah36353227","@Abdurah36353227")</f>
        <v>@Abdurah36353227</v>
      </c>
      <c r="C3323" t="s">
        <v>2119</v>
      </c>
      <c r="D3323">
        <v>533</v>
      </c>
      <c r="E3323">
        <v>0</v>
      </c>
      <c r="F3323">
        <v>21</v>
      </c>
    </row>
    <row r="3324" spans="1:6" ht="12.75">
      <c r="A3324" s="2">
        <v>43884.253935185188</v>
      </c>
      <c r="B3324" t="str">
        <f>HYPERLINK("https://twitter.com/dasadosol","@dasadosol")</f>
        <v>@dasadosol</v>
      </c>
      <c r="C3324" t="s">
        <v>2153</v>
      </c>
      <c r="D3324">
        <v>190</v>
      </c>
      <c r="E3324">
        <v>0</v>
      </c>
      <c r="F3324">
        <v>557</v>
      </c>
    </row>
    <row r="3325" spans="1:6" ht="12.75">
      <c r="A3325" s="2">
        <v>43884.253807870366</v>
      </c>
      <c r="B3325" t="str">
        <f>HYPERLINK("https://twitter.com/ISIS_Balik_NO","@ISIS_Balik_NO")</f>
        <v>@ISIS_Balik_NO</v>
      </c>
      <c r="C3325" t="s">
        <v>3099</v>
      </c>
      <c r="D3325">
        <v>30</v>
      </c>
      <c r="E3325">
        <v>0</v>
      </c>
      <c r="F3325">
        <v>6106</v>
      </c>
    </row>
    <row r="3326" spans="1:6" ht="12.75">
      <c r="A3326" s="2">
        <v>43884.251041666663</v>
      </c>
      <c r="B3326" t="str">
        <f>HYPERLINK("https://twitter.com/witantochand","@witantochand")</f>
        <v>@witantochand</v>
      </c>
      <c r="C3326" t="s">
        <v>3100</v>
      </c>
      <c r="D3326">
        <v>0</v>
      </c>
      <c r="E3326">
        <v>0</v>
      </c>
      <c r="F3326">
        <v>60</v>
      </c>
    </row>
    <row r="3327" spans="1:6" ht="12.75">
      <c r="A3327" s="2">
        <v>43884.250405092593</v>
      </c>
      <c r="B3327" t="str">
        <f>HYPERLINK("https://twitter.com/UF_rasheed","@UF_rasheed")</f>
        <v>@UF_rasheed</v>
      </c>
      <c r="C3327" t="s">
        <v>3101</v>
      </c>
      <c r="D3327">
        <v>0</v>
      </c>
      <c r="E3327">
        <v>0</v>
      </c>
      <c r="F3327">
        <v>817</v>
      </c>
    </row>
    <row r="3328" spans="1:6" ht="12.75">
      <c r="A3328" s="2">
        <v>43884.250231481477</v>
      </c>
      <c r="B3328" t="str">
        <f>HYPERLINK("https://twitter.com/penuh29","@penuh29")</f>
        <v>@penuh29</v>
      </c>
      <c r="C3328" t="s">
        <v>177</v>
      </c>
      <c r="D3328">
        <v>819</v>
      </c>
      <c r="E3328">
        <v>0</v>
      </c>
      <c r="F3328">
        <v>47</v>
      </c>
    </row>
    <row r="3329" spans="1:6" ht="12.75">
      <c r="A3329" s="2">
        <v>43884.249432870369</v>
      </c>
      <c r="B3329" t="str">
        <f>HYPERLINK("https://twitter.com/chittpbabw","@chittpbabw")</f>
        <v>@chittpbabw</v>
      </c>
      <c r="C3329" t="s">
        <v>3102</v>
      </c>
      <c r="D3329">
        <v>0</v>
      </c>
      <c r="E3329">
        <v>0</v>
      </c>
      <c r="F3329">
        <v>812</v>
      </c>
    </row>
    <row r="3330" spans="1:6" ht="12.75">
      <c r="A3330" s="2">
        <v>43884.249421296292</v>
      </c>
      <c r="B3330" t="str">
        <f>HYPERLINK("https://twitter.com/wijayaaswan","@wijayaaswan")</f>
        <v>@wijayaaswan</v>
      </c>
      <c r="C3330" t="s">
        <v>2153</v>
      </c>
      <c r="D3330">
        <v>156</v>
      </c>
      <c r="E3330">
        <v>0</v>
      </c>
      <c r="F3330">
        <v>590</v>
      </c>
    </row>
    <row r="3331" spans="1:6" ht="12.75">
      <c r="A3331" s="2">
        <v>43884.24864583333</v>
      </c>
      <c r="B3331" t="str">
        <f>HYPERLINK("https://twitter.com/Hardi_satriani","@Hardi_satriani")</f>
        <v>@Hardi_satriani</v>
      </c>
      <c r="C3331" t="s">
        <v>2153</v>
      </c>
      <c r="D3331">
        <v>156</v>
      </c>
      <c r="E3331">
        <v>0</v>
      </c>
      <c r="F3331">
        <v>151</v>
      </c>
    </row>
    <row r="3332" spans="1:6" ht="12.75">
      <c r="A3332" s="2">
        <v>43884.24827546296</v>
      </c>
      <c r="B3332" t="str">
        <f>HYPERLINK("https://twitter.com/EftiDirga","@EftiDirga")</f>
        <v>@EftiDirga</v>
      </c>
      <c r="C3332" t="s">
        <v>2153</v>
      </c>
      <c r="D3332">
        <v>156</v>
      </c>
      <c r="E3332">
        <v>0</v>
      </c>
      <c r="F3332">
        <v>70</v>
      </c>
    </row>
    <row r="3333" spans="1:6" ht="12.75">
      <c r="A3333" s="2">
        <v>43884.248263888891</v>
      </c>
      <c r="B3333" t="str">
        <f>HYPERLINK("https://twitter.com/Mmahalik2","@Mmahalik2")</f>
        <v>@Mmahalik2</v>
      </c>
      <c r="C3333" t="s">
        <v>3103</v>
      </c>
      <c r="D3333">
        <v>0</v>
      </c>
      <c r="E3333">
        <v>1</v>
      </c>
      <c r="F3333">
        <v>2164</v>
      </c>
    </row>
    <row r="3334" spans="1:6" ht="12.75">
      <c r="A3334" s="2">
        <v>43884.248171296298</v>
      </c>
      <c r="B3334" t="str">
        <f>HYPERLINK("https://twitter.com/herrystian","@herrystian")</f>
        <v>@herrystian</v>
      </c>
      <c r="C3334" t="s">
        <v>2153</v>
      </c>
      <c r="D3334">
        <v>156</v>
      </c>
      <c r="E3334">
        <v>0</v>
      </c>
      <c r="F3334">
        <v>1001</v>
      </c>
    </row>
    <row r="3335" spans="1:6" ht="12.75">
      <c r="A3335" s="2">
        <v>43884.246886574074</v>
      </c>
      <c r="B3335" t="str">
        <f>HYPERLINK("https://twitter.com/baca_tanda","@baca_tanda")</f>
        <v>@baca_tanda</v>
      </c>
      <c r="C3335" t="s">
        <v>2153</v>
      </c>
      <c r="D3335">
        <v>156</v>
      </c>
      <c r="E3335">
        <v>0</v>
      </c>
      <c r="F3335">
        <v>994</v>
      </c>
    </row>
    <row r="3336" spans="1:6" ht="12.75">
      <c r="A3336" s="2">
        <v>43884.246817129635</v>
      </c>
      <c r="B3336" t="str">
        <f>HYPERLINK("https://twitter.com/AsepDad54369089","@AsepDad54369089")</f>
        <v>@AsepDad54369089</v>
      </c>
      <c r="C3336" t="s">
        <v>2153</v>
      </c>
      <c r="D3336">
        <v>156</v>
      </c>
      <c r="E3336">
        <v>0</v>
      </c>
      <c r="F3336">
        <v>85</v>
      </c>
    </row>
    <row r="3337" spans="1:6" ht="12.75">
      <c r="A3337" s="2">
        <v>43884.246550925927</v>
      </c>
      <c r="B3337" t="str">
        <f>HYPERLINK("https://twitter.com/pendaki_senja","@pendaki_senja")</f>
        <v>@pendaki_senja</v>
      </c>
      <c r="C3337" t="s">
        <v>2153</v>
      </c>
      <c r="D3337">
        <v>156</v>
      </c>
      <c r="E3337">
        <v>0</v>
      </c>
      <c r="F3337">
        <v>55</v>
      </c>
    </row>
    <row r="3338" spans="1:6" ht="12.75">
      <c r="A3338" s="2">
        <v>43884.246053240742</v>
      </c>
      <c r="B3338" t="str">
        <f>HYPERLINK("https://twitter.com/Hansyo70","@Hansyo70")</f>
        <v>@Hansyo70</v>
      </c>
      <c r="C3338" t="s">
        <v>2153</v>
      </c>
      <c r="D3338">
        <v>156</v>
      </c>
      <c r="E3338">
        <v>0</v>
      </c>
      <c r="F3338">
        <v>382</v>
      </c>
    </row>
    <row r="3339" spans="1:6" ht="12.75">
      <c r="A3339" s="2">
        <v>43884.245509259257</v>
      </c>
      <c r="B3339" t="str">
        <f>HYPERLINK("https://twitter.com/Rozi_Handri","@Rozi_Handri")</f>
        <v>@Rozi_Handri</v>
      </c>
      <c r="C3339" t="s">
        <v>2153</v>
      </c>
      <c r="D3339">
        <v>156</v>
      </c>
      <c r="E3339">
        <v>0</v>
      </c>
      <c r="F3339">
        <v>1846</v>
      </c>
    </row>
    <row r="3340" spans="1:6" ht="12.75">
      <c r="A3340" s="2">
        <v>43884.245127314818</v>
      </c>
      <c r="B3340" t="str">
        <f>HYPERLINK("https://twitter.com/SiNiel1","@SiNiel1")</f>
        <v>@SiNiel1</v>
      </c>
      <c r="C3340" t="s">
        <v>3104</v>
      </c>
      <c r="D3340">
        <v>0</v>
      </c>
      <c r="E3340">
        <v>1</v>
      </c>
      <c r="F3340">
        <v>7949</v>
      </c>
    </row>
    <row r="3341" spans="1:6" ht="12.75">
      <c r="A3341" s="2">
        <v>43884.24490740741</v>
      </c>
      <c r="B3341" t="str">
        <f>HYPERLINK("https://twitter.com/thenumbahuanbi1","@thenumbahuanbi1")</f>
        <v>@thenumbahuanbi1</v>
      </c>
      <c r="C3341" t="s">
        <v>3105</v>
      </c>
      <c r="D3341">
        <v>0</v>
      </c>
      <c r="E3341">
        <v>0</v>
      </c>
      <c r="F3341">
        <v>149</v>
      </c>
    </row>
    <row r="3342" spans="1:6" ht="12.75">
      <c r="A3342" s="2">
        <v>43884.244293981479</v>
      </c>
      <c r="B3342" t="str">
        <f>HYPERLINK("https://twitter.com/kamalzaman","@kamalzaman")</f>
        <v>@kamalzaman</v>
      </c>
      <c r="C3342" t="s">
        <v>3106</v>
      </c>
      <c r="D3342">
        <v>0</v>
      </c>
      <c r="E3342">
        <v>0</v>
      </c>
      <c r="F3342">
        <v>5</v>
      </c>
    </row>
    <row r="3343" spans="1:6" ht="12.75">
      <c r="A3343" s="2">
        <v>43884.243726851855</v>
      </c>
      <c r="B3343" t="str">
        <f>HYPERLINK("https://twitter.com/lsyies99","@lsyies99")</f>
        <v>@lsyies99</v>
      </c>
      <c r="C3343" t="s">
        <v>3107</v>
      </c>
      <c r="D3343">
        <v>3</v>
      </c>
      <c r="E3343">
        <v>0</v>
      </c>
      <c r="F3343">
        <v>52</v>
      </c>
    </row>
    <row r="3344" spans="1:6" ht="12.75">
      <c r="A3344" s="2">
        <v>43884.242384259254</v>
      </c>
      <c r="B3344" t="str">
        <f>HYPERLINK("https://twitter.com/polocorner","@polocorner")</f>
        <v>@polocorner</v>
      </c>
      <c r="C3344" t="s">
        <v>3108</v>
      </c>
      <c r="D3344">
        <v>1</v>
      </c>
      <c r="E3344">
        <v>0</v>
      </c>
      <c r="F3344">
        <v>1647</v>
      </c>
    </row>
    <row r="3345" spans="1:6" ht="12.75">
      <c r="A3345" s="2">
        <v>43884.241365740745</v>
      </c>
      <c r="B3345" t="str">
        <f>HYPERLINK("https://twitter.com/ISIS_Balik_NO","@ISIS_Balik_NO")</f>
        <v>@ISIS_Balik_NO</v>
      </c>
      <c r="C3345" t="s">
        <v>3109</v>
      </c>
      <c r="D3345">
        <v>12</v>
      </c>
      <c r="E3345">
        <v>0</v>
      </c>
      <c r="F3345">
        <v>6104</v>
      </c>
    </row>
    <row r="3346" spans="1:6" ht="12.75">
      <c r="A3346" s="2">
        <v>43884.240659722222</v>
      </c>
      <c r="B3346" t="str">
        <f>HYPERLINK("https://twitter.com/Redaksi_SJONews","@Redaksi_SJONews")</f>
        <v>@Redaksi_SJONews</v>
      </c>
      <c r="C3346" t="s">
        <v>3110</v>
      </c>
      <c r="D3346">
        <v>0</v>
      </c>
      <c r="E3346">
        <v>0</v>
      </c>
      <c r="F3346">
        <v>16</v>
      </c>
    </row>
    <row r="3347" spans="1:6" ht="12.75">
      <c r="A3347" s="2">
        <v>43884.23847222222</v>
      </c>
      <c r="B3347" t="str">
        <f>HYPERLINK("https://twitter.com/YossyHendry","@YossyHendry")</f>
        <v>@YossyHendry</v>
      </c>
      <c r="C3347" t="s">
        <v>2153</v>
      </c>
      <c r="D3347">
        <v>156</v>
      </c>
      <c r="E3347">
        <v>0</v>
      </c>
      <c r="F3347">
        <v>1209</v>
      </c>
    </row>
    <row r="3348" spans="1:6" ht="12.75">
      <c r="A3348" s="2">
        <v>43884.238113425927</v>
      </c>
      <c r="B3348" t="str">
        <f>HYPERLINK("https://twitter.com/GiaUmmu","@GiaUmmu")</f>
        <v>@GiaUmmu</v>
      </c>
      <c r="C3348" t="s">
        <v>2153</v>
      </c>
      <c r="D3348">
        <v>156</v>
      </c>
      <c r="E3348">
        <v>0</v>
      </c>
      <c r="F3348">
        <v>105</v>
      </c>
    </row>
    <row r="3349" spans="1:6" ht="12.75">
      <c r="A3349" s="2">
        <v>43884.235590277778</v>
      </c>
      <c r="B3349" t="str">
        <f>HYPERLINK("https://twitter.com/AJudakusumah","@AJudakusumah")</f>
        <v>@AJudakusumah</v>
      </c>
      <c r="C3349" t="s">
        <v>3111</v>
      </c>
      <c r="D3349">
        <v>1</v>
      </c>
      <c r="E3349">
        <v>1</v>
      </c>
      <c r="F3349">
        <v>3224</v>
      </c>
    </row>
    <row r="3350" spans="1:6" ht="12.75">
      <c r="A3350" s="2">
        <v>43884.235243055555</v>
      </c>
      <c r="B3350" t="str">
        <f>HYPERLINK("https://twitter.com/yanyu77","@yanyu77")</f>
        <v>@yanyu77</v>
      </c>
      <c r="C3350" t="s">
        <v>177</v>
      </c>
      <c r="D3350">
        <v>819</v>
      </c>
      <c r="E3350">
        <v>0</v>
      </c>
      <c r="F3350">
        <v>307</v>
      </c>
    </row>
    <row r="3351" spans="1:6" ht="12.75">
      <c r="A3351" s="2">
        <v>43884.234988425931</v>
      </c>
      <c r="B3351" t="str">
        <f>HYPERLINK("https://twitter.com/Creepyme4","@Creepyme4")</f>
        <v>@Creepyme4</v>
      </c>
      <c r="C3351" t="s">
        <v>2119</v>
      </c>
      <c r="D3351">
        <v>529</v>
      </c>
      <c r="E3351">
        <v>0</v>
      </c>
      <c r="F3351">
        <v>0</v>
      </c>
    </row>
    <row r="3352" spans="1:6" ht="12.75">
      <c r="A3352" s="2">
        <v>43884.233229166668</v>
      </c>
      <c r="B3352" t="str">
        <f>HYPERLINK("https://twitter.com/isyannatungz","@isyannatungz")</f>
        <v>@isyannatungz</v>
      </c>
      <c r="C3352" t="s">
        <v>3112</v>
      </c>
      <c r="D3352">
        <v>0</v>
      </c>
      <c r="E3352">
        <v>0</v>
      </c>
      <c r="F3352">
        <v>488</v>
      </c>
    </row>
    <row r="3353" spans="1:6" ht="12.75">
      <c r="A3353" s="2">
        <v>43884.231087962966</v>
      </c>
      <c r="B3353" t="str">
        <f t="shared" ref="B3353:B3354" si="71">HYPERLINK("https://twitter.com/ISIS_Balik_NO","@ISIS_Balik_NO")</f>
        <v>@ISIS_Balik_NO</v>
      </c>
      <c r="C3353" t="s">
        <v>3113</v>
      </c>
      <c r="D3353">
        <v>0</v>
      </c>
      <c r="E3353">
        <v>0</v>
      </c>
      <c r="F3353">
        <v>6104</v>
      </c>
    </row>
    <row r="3354" spans="1:6" ht="12.75">
      <c r="A3354" s="2">
        <v>43884.230092592596</v>
      </c>
      <c r="B3354" t="str">
        <f t="shared" si="71"/>
        <v>@ISIS_Balik_NO</v>
      </c>
      <c r="C3354" t="s">
        <v>3114</v>
      </c>
      <c r="D3354">
        <v>0</v>
      </c>
      <c r="E3354">
        <v>0</v>
      </c>
      <c r="F3354">
        <v>6104</v>
      </c>
    </row>
    <row r="3355" spans="1:6" ht="12.75">
      <c r="A3355" s="2">
        <v>43884.230023148149</v>
      </c>
      <c r="B3355" t="str">
        <f>HYPERLINK("https://twitter.com/Mohan19671","@Mohan19671")</f>
        <v>@Mohan19671</v>
      </c>
      <c r="C3355" t="s">
        <v>3115</v>
      </c>
      <c r="D3355">
        <v>0</v>
      </c>
      <c r="E3355">
        <v>1</v>
      </c>
      <c r="F3355">
        <v>11</v>
      </c>
    </row>
    <row r="3356" spans="1:6" ht="12.75">
      <c r="A3356" s="2">
        <v>43884.229456018518</v>
      </c>
      <c r="B3356" t="str">
        <f>HYPERLINK("https://twitter.com/gorengankruncy","@gorengankruncy")</f>
        <v>@gorengankruncy</v>
      </c>
      <c r="C3356" t="s">
        <v>3116</v>
      </c>
      <c r="D3356">
        <v>0</v>
      </c>
      <c r="E3356">
        <v>2</v>
      </c>
      <c r="F3356">
        <v>1046</v>
      </c>
    </row>
    <row r="3357" spans="1:6" ht="12.75">
      <c r="A3357" s="2">
        <v>43884.228159722217</v>
      </c>
      <c r="B3357" t="str">
        <f>HYPERLINK("https://twitter.com/fressshhh72","@fressshhh72")</f>
        <v>@fressshhh72</v>
      </c>
      <c r="C3357" t="s">
        <v>2153</v>
      </c>
      <c r="D3357">
        <v>156</v>
      </c>
      <c r="E3357">
        <v>0</v>
      </c>
      <c r="F3357">
        <v>1287</v>
      </c>
    </row>
    <row r="3358" spans="1:6" ht="12.75">
      <c r="A3358" s="2">
        <v>43884.228136574078</v>
      </c>
      <c r="B3358" t="str">
        <f>HYPERLINK("https://twitter.com/LegiCijo","@LegiCijo")</f>
        <v>@LegiCijo</v>
      </c>
      <c r="C3358" t="s">
        <v>2153</v>
      </c>
      <c r="D3358">
        <v>156</v>
      </c>
      <c r="E3358">
        <v>0</v>
      </c>
      <c r="F3358">
        <v>320</v>
      </c>
    </row>
    <row r="3359" spans="1:6" ht="12.75">
      <c r="A3359" s="2">
        <v>43884.227511574078</v>
      </c>
      <c r="B3359" t="str">
        <f>HYPERLINK("https://twitter.com/noer42014","@noer42014")</f>
        <v>@noer42014</v>
      </c>
      <c r="C3359" t="s">
        <v>2153</v>
      </c>
      <c r="D3359">
        <v>156</v>
      </c>
      <c r="E3359">
        <v>0</v>
      </c>
      <c r="F3359">
        <v>175</v>
      </c>
    </row>
    <row r="3360" spans="1:6" ht="12.75">
      <c r="A3360" s="2">
        <v>43884.226469907408</v>
      </c>
      <c r="B3360" t="str">
        <f>HYPERLINK("https://twitter.com/tua_serdadu","@tua_serdadu")</f>
        <v>@tua_serdadu</v>
      </c>
      <c r="C3360" t="s">
        <v>3117</v>
      </c>
      <c r="D3360">
        <v>1</v>
      </c>
      <c r="E3360">
        <v>0</v>
      </c>
      <c r="F3360">
        <v>590</v>
      </c>
    </row>
    <row r="3361" spans="1:6" ht="12.75">
      <c r="A3361" s="2">
        <v>43884.226400462961</v>
      </c>
      <c r="B3361" t="str">
        <f>HYPERLINK("https://twitter.com/Syarap_Nor","@Syarap_Nor")</f>
        <v>@Syarap_Nor</v>
      </c>
      <c r="C3361" t="s">
        <v>3118</v>
      </c>
      <c r="D3361">
        <v>0</v>
      </c>
      <c r="E3361">
        <v>0</v>
      </c>
      <c r="F3361">
        <v>121</v>
      </c>
    </row>
    <row r="3362" spans="1:6" ht="12.75">
      <c r="A3362" s="2">
        <v>43884.224907407406</v>
      </c>
      <c r="B3362" t="str">
        <f t="shared" ref="B3362:B3363" si="72">HYPERLINK("https://twitter.com/ISIS_Balik_NO","@ISIS_Balik_NO")</f>
        <v>@ISIS_Balik_NO</v>
      </c>
      <c r="C3362" t="s">
        <v>3119</v>
      </c>
      <c r="D3362">
        <v>75</v>
      </c>
      <c r="E3362">
        <v>0</v>
      </c>
      <c r="F3362">
        <v>6104</v>
      </c>
    </row>
    <row r="3363" spans="1:6" ht="12.75">
      <c r="A3363" s="2">
        <v>43884.224490740744</v>
      </c>
      <c r="B3363" t="str">
        <f t="shared" si="72"/>
        <v>@ISIS_Balik_NO</v>
      </c>
      <c r="C3363" t="s">
        <v>3120</v>
      </c>
      <c r="D3363">
        <v>0</v>
      </c>
      <c r="E3363">
        <v>1</v>
      </c>
      <c r="F3363">
        <v>6104</v>
      </c>
    </row>
    <row r="3364" spans="1:6" ht="12.75">
      <c r="A3364" s="2">
        <v>43884.222233796296</v>
      </c>
      <c r="B3364" t="str">
        <f>HYPERLINK("https://twitter.com/jonmoor30270234","@jonmoor30270234")</f>
        <v>@jonmoor30270234</v>
      </c>
      <c r="C3364" t="s">
        <v>3121</v>
      </c>
      <c r="D3364">
        <v>0</v>
      </c>
      <c r="E3364">
        <v>0</v>
      </c>
      <c r="F3364">
        <v>1</v>
      </c>
    </row>
    <row r="3365" spans="1:6" ht="12.75">
      <c r="A3365" s="2">
        <v>43884.221620370372</v>
      </c>
      <c r="B3365" t="str">
        <f>HYPERLINK("https://twitter.com/ISIS_Balik_NO","@ISIS_Balik_NO")</f>
        <v>@ISIS_Balik_NO</v>
      </c>
      <c r="C3365" t="s">
        <v>3122</v>
      </c>
      <c r="D3365">
        <v>33</v>
      </c>
      <c r="E3365">
        <v>0</v>
      </c>
      <c r="F3365">
        <v>6104</v>
      </c>
    </row>
    <row r="3366" spans="1:6" ht="12.75">
      <c r="A3366" s="2">
        <v>43884.221087962964</v>
      </c>
      <c r="B3366" t="str">
        <f>HYPERLINK("https://twitter.com/Wahyonoeltech","@Wahyonoeltech")</f>
        <v>@Wahyonoeltech</v>
      </c>
      <c r="C3366" t="s">
        <v>2841</v>
      </c>
      <c r="D3366">
        <v>15</v>
      </c>
      <c r="E3366">
        <v>0</v>
      </c>
      <c r="F3366">
        <v>193</v>
      </c>
    </row>
    <row r="3367" spans="1:6" ht="12.75">
      <c r="A3367" s="2">
        <v>43884.220706018517</v>
      </c>
      <c r="B3367" t="str">
        <f>HYPERLINK("https://twitter.com/djadasjah","@djadasjah")</f>
        <v>@djadasjah</v>
      </c>
      <c r="C3367" t="s">
        <v>2153</v>
      </c>
      <c r="D3367">
        <v>156</v>
      </c>
      <c r="E3367">
        <v>0</v>
      </c>
      <c r="F3367">
        <v>517</v>
      </c>
    </row>
    <row r="3368" spans="1:6" ht="12.75">
      <c r="A3368" s="2">
        <v>43884.218796296293</v>
      </c>
      <c r="B3368" t="str">
        <f>HYPERLINK("https://twitter.com/qureta","@qureta")</f>
        <v>@qureta</v>
      </c>
      <c r="C3368" t="s">
        <v>2140</v>
      </c>
      <c r="D3368">
        <v>0</v>
      </c>
      <c r="E3368">
        <v>0</v>
      </c>
      <c r="F3368">
        <v>24768</v>
      </c>
    </row>
    <row r="3369" spans="1:6" ht="12.75">
      <c r="A3369" s="2">
        <v>43884.218668981484</v>
      </c>
      <c r="B3369" t="str">
        <f>HYPERLINK("https://twitter.com/sarita_adriana","@sarita_adriana")</f>
        <v>@sarita_adriana</v>
      </c>
      <c r="C3369" t="s">
        <v>3123</v>
      </c>
      <c r="D3369">
        <v>0</v>
      </c>
      <c r="E3369">
        <v>0</v>
      </c>
      <c r="F3369">
        <v>144</v>
      </c>
    </row>
    <row r="3370" spans="1:6" ht="12.75">
      <c r="A3370" s="2">
        <v>43884.21811342593</v>
      </c>
      <c r="B3370" t="str">
        <f>HYPERLINK("https://twitter.com/Queena76907486","@Queena76907486")</f>
        <v>@Queena76907486</v>
      </c>
      <c r="C3370" t="s">
        <v>2153</v>
      </c>
      <c r="D3370">
        <v>156</v>
      </c>
      <c r="E3370">
        <v>0</v>
      </c>
      <c r="F3370">
        <v>728</v>
      </c>
    </row>
    <row r="3371" spans="1:6" ht="12.75">
      <c r="A3371" s="2">
        <v>43884.215671296297</v>
      </c>
      <c r="B3371" t="str">
        <f>HYPERLINK("https://twitter.com/tanikelana","@tanikelana")</f>
        <v>@tanikelana</v>
      </c>
      <c r="C3371" t="s">
        <v>3124</v>
      </c>
      <c r="D3371">
        <v>3</v>
      </c>
      <c r="E3371">
        <v>0</v>
      </c>
      <c r="F3371">
        <v>6</v>
      </c>
    </row>
    <row r="3372" spans="1:6" ht="12.75">
      <c r="A3372" s="2">
        <v>43884.213622685187</v>
      </c>
      <c r="B3372" t="str">
        <f>HYPERLINK("https://twitter.com/ahmadsyahmi96","@ahmadsyahmi96")</f>
        <v>@ahmadsyahmi96</v>
      </c>
      <c r="C3372" t="s">
        <v>3125</v>
      </c>
      <c r="D3372">
        <v>3</v>
      </c>
      <c r="E3372">
        <v>0</v>
      </c>
      <c r="F3372">
        <v>384</v>
      </c>
    </row>
    <row r="3373" spans="1:6" ht="12.75">
      <c r="A3373" s="2">
        <v>43884.212974537033</v>
      </c>
      <c r="B3373" t="str">
        <f>HYPERLINK("https://twitter.com/LaelaAmien","@LaelaAmien")</f>
        <v>@LaelaAmien</v>
      </c>
      <c r="C3373" t="s">
        <v>2153</v>
      </c>
      <c r="D3373">
        <v>156</v>
      </c>
      <c r="E3373">
        <v>0</v>
      </c>
      <c r="F3373">
        <v>798</v>
      </c>
    </row>
    <row r="3374" spans="1:6" ht="12.75">
      <c r="A3374" s="2">
        <v>43884.212534722217</v>
      </c>
      <c r="B3374" t="str">
        <f>HYPERLINK("https://twitter.com/saidbasalim","@saidbasalim")</f>
        <v>@saidbasalim</v>
      </c>
      <c r="C3374" t="s">
        <v>2153</v>
      </c>
      <c r="D3374">
        <v>156</v>
      </c>
      <c r="E3374">
        <v>0</v>
      </c>
      <c r="F3374">
        <v>297</v>
      </c>
    </row>
    <row r="3375" spans="1:6" ht="12.75">
      <c r="A3375" s="2">
        <v>43884.210381944446</v>
      </c>
      <c r="B3375" t="str">
        <f>HYPERLINK("https://twitter.com/rommy_analyst","@rommy_analyst")</f>
        <v>@rommy_analyst</v>
      </c>
      <c r="C3375" t="s">
        <v>2153</v>
      </c>
      <c r="D3375">
        <v>156</v>
      </c>
      <c r="E3375">
        <v>0</v>
      </c>
      <c r="F3375">
        <v>97</v>
      </c>
    </row>
    <row r="3376" spans="1:6" ht="12.75">
      <c r="A3376" s="2">
        <v>43884.209143518514</v>
      </c>
      <c r="B3376" t="str">
        <f>HYPERLINK("https://twitter.com/amineorrahman","@amineorrahman")</f>
        <v>@amineorrahman</v>
      </c>
      <c r="C3376" t="s">
        <v>2119</v>
      </c>
      <c r="D3376">
        <v>528</v>
      </c>
      <c r="E3376">
        <v>0</v>
      </c>
      <c r="F3376">
        <v>85</v>
      </c>
    </row>
    <row r="3377" spans="1:6" ht="12.75">
      <c r="A3377" s="2">
        <v>43884.208750000005</v>
      </c>
      <c r="B3377" t="str">
        <f>HYPERLINK("https://twitter.com/jjsengui","@jjsengui")</f>
        <v>@jjsengui</v>
      </c>
      <c r="C3377" t="s">
        <v>2927</v>
      </c>
      <c r="D3377">
        <v>26</v>
      </c>
      <c r="E3377">
        <v>0</v>
      </c>
      <c r="F3377">
        <v>841</v>
      </c>
    </row>
    <row r="3378" spans="1:6" ht="12.75">
      <c r="A3378" s="2">
        <v>43884.208136574074</v>
      </c>
      <c r="B3378" t="str">
        <f>HYPERLINK("https://twitter.com/MegaSar22531862","@MegaSar22531862")</f>
        <v>@MegaSar22531862</v>
      </c>
      <c r="C3378" t="s">
        <v>3126</v>
      </c>
      <c r="D3378">
        <v>0</v>
      </c>
      <c r="E3378">
        <v>0</v>
      </c>
      <c r="F3378">
        <v>404</v>
      </c>
    </row>
    <row r="3379" spans="1:6" ht="12.75">
      <c r="A3379" s="2">
        <v>43884.206064814818</v>
      </c>
      <c r="B3379" t="str">
        <f>HYPERLINK("https://twitter.com/Brunowicaksono","@Brunowicaksono")</f>
        <v>@Brunowicaksono</v>
      </c>
      <c r="C3379" t="s">
        <v>2927</v>
      </c>
      <c r="D3379">
        <v>26</v>
      </c>
      <c r="E3379">
        <v>0</v>
      </c>
      <c r="F3379">
        <v>1785</v>
      </c>
    </row>
    <row r="3380" spans="1:6" ht="12.75">
      <c r="A3380" s="2">
        <v>43884.205787037034</v>
      </c>
      <c r="B3380" t="str">
        <f>HYPERLINK("https://twitter.com/juraganaibon82","@juraganaibon82")</f>
        <v>@juraganaibon82</v>
      </c>
      <c r="C3380" t="s">
        <v>2154</v>
      </c>
      <c r="D3380">
        <v>53</v>
      </c>
      <c r="E3380">
        <v>0</v>
      </c>
      <c r="F3380">
        <v>543</v>
      </c>
    </row>
    <row r="3381" spans="1:6" ht="12.75">
      <c r="A3381" s="2">
        <v>43884.205520833333</v>
      </c>
      <c r="B3381" t="str">
        <f>HYPERLINK("https://twitter.com/bonerdude69","@bonerdude69")</f>
        <v>@bonerdude69</v>
      </c>
      <c r="C3381" t="s">
        <v>3127</v>
      </c>
      <c r="D3381">
        <v>0</v>
      </c>
      <c r="E3381">
        <v>0</v>
      </c>
      <c r="F3381">
        <v>23</v>
      </c>
    </row>
    <row r="3382" spans="1:6" ht="12.75">
      <c r="A3382" s="2">
        <v>43884.203680555554</v>
      </c>
      <c r="B3382" t="str">
        <f>HYPERLINK("https://twitter.com/rianntears","@rianntears")</f>
        <v>@rianntears</v>
      </c>
      <c r="C3382" t="s">
        <v>2153</v>
      </c>
      <c r="D3382">
        <v>135</v>
      </c>
      <c r="E3382">
        <v>0</v>
      </c>
      <c r="F3382">
        <v>1280</v>
      </c>
    </row>
    <row r="3383" spans="1:6" ht="12.75">
      <c r="A3383" s="2">
        <v>43884.203599537039</v>
      </c>
      <c r="B3383" t="str">
        <f>HYPERLINK("https://twitter.com/ElisaNovianti15","@ElisaNovianti15")</f>
        <v>@ElisaNovianti15</v>
      </c>
      <c r="C3383" t="s">
        <v>3128</v>
      </c>
      <c r="D3383">
        <v>0</v>
      </c>
      <c r="E3383">
        <v>0</v>
      </c>
      <c r="F3383">
        <v>27</v>
      </c>
    </row>
    <row r="3384" spans="1:6" ht="12.75">
      <c r="A3384" s="2">
        <v>43884.202256944445</v>
      </c>
      <c r="B3384" t="str">
        <f>HYPERLINK("https://twitter.com/PantunJ2P","@PantunJ2P")</f>
        <v>@PantunJ2P</v>
      </c>
      <c r="C3384" t="s">
        <v>2927</v>
      </c>
      <c r="D3384">
        <v>26</v>
      </c>
      <c r="E3384">
        <v>0</v>
      </c>
      <c r="F3384">
        <v>12640</v>
      </c>
    </row>
    <row r="3385" spans="1:6" ht="12.75">
      <c r="A3385" s="2">
        <v>43884.200717592597</v>
      </c>
      <c r="B3385" t="str">
        <f>HYPERLINK("https://twitter.com/nursikin8811","@nursikin8811")</f>
        <v>@nursikin8811</v>
      </c>
      <c r="C3385" t="s">
        <v>2153</v>
      </c>
      <c r="D3385">
        <v>135</v>
      </c>
      <c r="E3385">
        <v>0</v>
      </c>
      <c r="F3385">
        <v>107</v>
      </c>
    </row>
    <row r="3386" spans="1:6" ht="12.75">
      <c r="A3386" s="2">
        <v>43884.199016203704</v>
      </c>
      <c r="B3386" t="str">
        <f>HYPERLINK("https://twitter.com/mamassaldo","@mamassaldo")</f>
        <v>@mamassaldo</v>
      </c>
      <c r="C3386" t="s">
        <v>2153</v>
      </c>
      <c r="D3386">
        <v>135</v>
      </c>
      <c r="E3386">
        <v>0</v>
      </c>
      <c r="F3386">
        <v>23</v>
      </c>
    </row>
    <row r="3387" spans="1:6" ht="12.75">
      <c r="A3387" s="2">
        <v>43884.196770833332</v>
      </c>
      <c r="B3387" t="str">
        <f>HYPERLINK("https://twitter.com/arbaiasa","@arbaiasa")</f>
        <v>@arbaiasa</v>
      </c>
      <c r="C3387" t="s">
        <v>2153</v>
      </c>
      <c r="D3387">
        <v>135</v>
      </c>
      <c r="E3387">
        <v>0</v>
      </c>
      <c r="F3387">
        <v>76</v>
      </c>
    </row>
    <row r="3388" spans="1:6" ht="12.75">
      <c r="A3388" s="2">
        <v>43884.196157407408</v>
      </c>
      <c r="B3388" t="str">
        <f>HYPERLINK("https://twitter.com/ZupersoepriE","@ZupersoepriE")</f>
        <v>@ZupersoepriE</v>
      </c>
      <c r="C3388" t="s">
        <v>2153</v>
      </c>
      <c r="D3388">
        <v>135</v>
      </c>
      <c r="E3388">
        <v>0</v>
      </c>
      <c r="F3388">
        <v>80</v>
      </c>
    </row>
    <row r="3389" spans="1:6" ht="12.75">
      <c r="A3389" s="2">
        <v>43884.194768518515</v>
      </c>
      <c r="B3389" t="str">
        <f>HYPERLINK("https://twitter.com/Adib50985057","@Adib50985057")</f>
        <v>@Adib50985057</v>
      </c>
      <c r="C3389" t="s">
        <v>3129</v>
      </c>
      <c r="D3389">
        <v>0</v>
      </c>
      <c r="E3389">
        <v>0</v>
      </c>
      <c r="F3389">
        <v>3</v>
      </c>
    </row>
    <row r="3390" spans="1:6" ht="12.75">
      <c r="A3390" s="2">
        <v>43884.194282407407</v>
      </c>
      <c r="B3390" t="str">
        <f>HYPERLINK("https://twitter.com/Jono_Fortunate","@Jono_Fortunate")</f>
        <v>@Jono_Fortunate</v>
      </c>
      <c r="C3390" t="s">
        <v>3130</v>
      </c>
      <c r="D3390">
        <v>0</v>
      </c>
      <c r="E3390">
        <v>0</v>
      </c>
      <c r="F3390">
        <v>560</v>
      </c>
    </row>
    <row r="3391" spans="1:6" ht="12.75">
      <c r="A3391" s="2">
        <v>43884.194155092591</v>
      </c>
      <c r="B3391" t="str">
        <f>HYPERLINK("https://twitter.com/DinilhaqA","@DinilhaqA")</f>
        <v>@DinilhaqA</v>
      </c>
      <c r="C3391" t="s">
        <v>3131</v>
      </c>
      <c r="D3391">
        <v>0</v>
      </c>
      <c r="E3391">
        <v>0</v>
      </c>
      <c r="F3391">
        <v>71</v>
      </c>
    </row>
    <row r="3392" spans="1:6" ht="12.75">
      <c r="A3392" s="2">
        <v>43884.192442129628</v>
      </c>
      <c r="B3392" t="str">
        <f>HYPERLINK("https://twitter.com/ObaiIdon","@ObaiIdon")</f>
        <v>@ObaiIdon</v>
      </c>
      <c r="C3392" t="s">
        <v>3132</v>
      </c>
      <c r="D3392">
        <v>0</v>
      </c>
      <c r="E3392">
        <v>0</v>
      </c>
      <c r="F3392">
        <v>180</v>
      </c>
    </row>
    <row r="3393" spans="1:6" ht="12.75">
      <c r="A3393" s="2">
        <v>43884.191944444443</v>
      </c>
      <c r="B3393" t="str">
        <f>HYPERLINK("https://twitter.com/Adib50985057","@Adib50985057")</f>
        <v>@Adib50985057</v>
      </c>
      <c r="C3393" t="s">
        <v>3133</v>
      </c>
      <c r="D3393">
        <v>0</v>
      </c>
      <c r="E3393">
        <v>0</v>
      </c>
      <c r="F3393">
        <v>3</v>
      </c>
    </row>
    <row r="3394" spans="1:6" ht="12.75">
      <c r="A3394" s="2">
        <v>43884.191678240742</v>
      </c>
      <c r="B3394" t="str">
        <f>HYPERLINK("https://twitter.com/FaGtng","@FaGtng")</f>
        <v>@FaGtng</v>
      </c>
      <c r="C3394" t="s">
        <v>3134</v>
      </c>
      <c r="D3394">
        <v>1</v>
      </c>
      <c r="E3394">
        <v>0</v>
      </c>
      <c r="F3394">
        <v>16214</v>
      </c>
    </row>
    <row r="3395" spans="1:6" ht="12.75">
      <c r="A3395" s="2">
        <v>43884.189155092594</v>
      </c>
      <c r="B3395" t="str">
        <f>HYPERLINK("https://twitter.com/NoviarRasuludin","@NoviarRasuludin")</f>
        <v>@NoviarRasuludin</v>
      </c>
      <c r="C3395" t="s">
        <v>2153</v>
      </c>
      <c r="D3395">
        <v>135</v>
      </c>
      <c r="E3395">
        <v>0</v>
      </c>
      <c r="F3395">
        <v>116</v>
      </c>
    </row>
    <row r="3396" spans="1:6" ht="12.75">
      <c r="A3396" s="2">
        <v>43884.188657407409</v>
      </c>
      <c r="B3396" t="str">
        <f>HYPERLINK("https://twitter.com/ProJustisiaNews","@ProJustisiaNews")</f>
        <v>@ProJustisiaNews</v>
      </c>
      <c r="C3396" t="s">
        <v>2121</v>
      </c>
      <c r="D3396">
        <v>0</v>
      </c>
      <c r="E3396">
        <v>0</v>
      </c>
      <c r="F3396">
        <v>35</v>
      </c>
    </row>
    <row r="3397" spans="1:6" ht="12.75">
      <c r="A3397" s="2">
        <v>43884.188101851847</v>
      </c>
      <c r="B3397" t="str">
        <f>HYPERLINK("https://twitter.com/JakartaStar","@JakartaStar")</f>
        <v>@JakartaStar</v>
      </c>
      <c r="C3397" t="s">
        <v>3026</v>
      </c>
      <c r="D3397">
        <v>2</v>
      </c>
      <c r="E3397">
        <v>0</v>
      </c>
      <c r="F3397">
        <v>5575</v>
      </c>
    </row>
    <row r="3398" spans="1:6" ht="12.75">
      <c r="A3398" s="2">
        <v>43884.187928240739</v>
      </c>
      <c r="B3398" t="str">
        <f>HYPERLINK("https://twitter.com/maday_isis","@maday_isis")</f>
        <v>@maday_isis</v>
      </c>
      <c r="C3398" t="s">
        <v>3135</v>
      </c>
      <c r="D3398">
        <v>3713</v>
      </c>
      <c r="E3398">
        <v>0</v>
      </c>
      <c r="F3398">
        <v>72</v>
      </c>
    </row>
    <row r="3399" spans="1:6" ht="12.75">
      <c r="A3399" s="2">
        <v>43884.186354166668</v>
      </c>
      <c r="B3399" t="str">
        <f>HYPERLINK("https://twitter.com/Hendfry_Gerard","@Hendfry_Gerard")</f>
        <v>@Hendfry_Gerard</v>
      </c>
      <c r="C3399" t="s">
        <v>3136</v>
      </c>
      <c r="D3399">
        <v>2</v>
      </c>
      <c r="E3399">
        <v>4</v>
      </c>
      <c r="F3399">
        <v>2055</v>
      </c>
    </row>
    <row r="3400" spans="1:6" ht="12.75">
      <c r="A3400" s="2">
        <v>43884.182962962965</v>
      </c>
      <c r="B3400" t="str">
        <f>HYPERLINK("https://twitter.com/Singa_Betawi26","@Singa_Betawi26")</f>
        <v>@Singa_Betawi26</v>
      </c>
      <c r="C3400" t="s">
        <v>3137</v>
      </c>
      <c r="D3400">
        <v>1</v>
      </c>
      <c r="E3400">
        <v>0</v>
      </c>
      <c r="F3400">
        <v>4278</v>
      </c>
    </row>
    <row r="3401" spans="1:6" ht="12.75">
      <c r="A3401" s="2">
        <v>43884.182106481487</v>
      </c>
      <c r="B3401" t="str">
        <f>HYPERLINK("https://twitter.com/Fadhlan_S","@Fadhlan_S")</f>
        <v>@Fadhlan_S</v>
      </c>
      <c r="C3401" t="s">
        <v>3138</v>
      </c>
      <c r="D3401">
        <v>0</v>
      </c>
      <c r="E3401">
        <v>0</v>
      </c>
      <c r="F3401">
        <v>1</v>
      </c>
    </row>
    <row r="3402" spans="1:6" ht="12.75">
      <c r="A3402" s="2">
        <v>43884.177939814814</v>
      </c>
      <c r="B3402" t="str">
        <f>HYPERLINK("https://twitter.com/alfrezahs","@alfrezahs")</f>
        <v>@alfrezahs</v>
      </c>
      <c r="C3402" t="s">
        <v>2190</v>
      </c>
      <c r="D3402">
        <v>27</v>
      </c>
      <c r="E3402">
        <v>0</v>
      </c>
      <c r="F3402">
        <v>107</v>
      </c>
    </row>
    <row r="3403" spans="1:6" ht="12.75">
      <c r="A3403" s="2">
        <v>43884.177071759259</v>
      </c>
      <c r="B3403" t="str">
        <f>HYPERLINK("https://twitter.com/MarttiTampio","@MarttiTampio")</f>
        <v>@MarttiTampio</v>
      </c>
      <c r="C3403" t="s">
        <v>3139</v>
      </c>
      <c r="D3403">
        <v>0</v>
      </c>
      <c r="E3403">
        <v>0</v>
      </c>
      <c r="F3403">
        <v>2</v>
      </c>
    </row>
    <row r="3404" spans="1:6" ht="12.75">
      <c r="A3404" s="2">
        <v>43884.176516203705</v>
      </c>
      <c r="B3404" t="str">
        <f>HYPERLINK("https://twitter.com/IgnasAribowo","@IgnasAribowo")</f>
        <v>@IgnasAribowo</v>
      </c>
      <c r="C3404" t="s">
        <v>3140</v>
      </c>
      <c r="D3404">
        <v>31</v>
      </c>
      <c r="E3404">
        <v>0</v>
      </c>
      <c r="F3404">
        <v>177</v>
      </c>
    </row>
    <row r="3405" spans="1:6" ht="12.75">
      <c r="A3405" s="2">
        <v>43884.175555555557</v>
      </c>
      <c r="B3405" t="str">
        <f>HYPERLINK("https://twitter.com/Arif_Bijksn","@Arif_Bijksn")</f>
        <v>@Arif_Bijksn</v>
      </c>
      <c r="C3405" t="s">
        <v>2154</v>
      </c>
      <c r="D3405">
        <v>53</v>
      </c>
      <c r="E3405">
        <v>0</v>
      </c>
      <c r="F3405">
        <v>1530</v>
      </c>
    </row>
    <row r="3406" spans="1:6" ht="12.75">
      <c r="A3406" s="2">
        <v>43884.169432870374</v>
      </c>
      <c r="B3406" t="str">
        <f>HYPERLINK("https://twitter.com/zaul_zaki","@zaul_zaki")</f>
        <v>@zaul_zaki</v>
      </c>
      <c r="C3406" t="s">
        <v>2153</v>
      </c>
      <c r="D3406">
        <v>135</v>
      </c>
      <c r="E3406">
        <v>0</v>
      </c>
      <c r="F3406">
        <v>570</v>
      </c>
    </row>
    <row r="3407" spans="1:6" ht="12.75">
      <c r="A3407" s="2">
        <v>43884.16814814815</v>
      </c>
      <c r="B3407" t="str">
        <f>HYPERLINK("https://twitter.com/r_martomo","@r_martomo")</f>
        <v>@r_martomo</v>
      </c>
      <c r="C3407" t="s">
        <v>2153</v>
      </c>
      <c r="D3407">
        <v>124</v>
      </c>
      <c r="E3407">
        <v>0</v>
      </c>
      <c r="F3407">
        <v>2039</v>
      </c>
    </row>
    <row r="3408" spans="1:6" ht="12.75">
      <c r="A3408" s="2">
        <v>43884.16805555555</v>
      </c>
      <c r="B3408" t="str">
        <f>HYPERLINK("https://twitter.com/alramdein","@alramdein")</f>
        <v>@alramdein</v>
      </c>
      <c r="C3408" t="s">
        <v>3141</v>
      </c>
      <c r="D3408">
        <v>8</v>
      </c>
      <c r="E3408">
        <v>0</v>
      </c>
      <c r="F3408">
        <v>378</v>
      </c>
    </row>
    <row r="3409" spans="1:6" ht="12.75">
      <c r="A3409" s="2">
        <v>43884.161296296297</v>
      </c>
      <c r="B3409" t="str">
        <f>HYPERLINK("https://twitter.com/NAbimanyu14","@NAbimanyu14")</f>
        <v>@NAbimanyu14</v>
      </c>
      <c r="C3409" t="s">
        <v>2154</v>
      </c>
      <c r="D3409">
        <v>51</v>
      </c>
      <c r="E3409">
        <v>0</v>
      </c>
      <c r="F3409">
        <v>635</v>
      </c>
    </row>
    <row r="3410" spans="1:6" ht="12.75">
      <c r="A3410" s="2">
        <v>43884.16070601852</v>
      </c>
      <c r="B3410" t="str">
        <f>HYPERLINK("https://twitter.com/minhajulabidin1","@minhajulabidin1")</f>
        <v>@minhajulabidin1</v>
      </c>
      <c r="C3410" t="s">
        <v>2153</v>
      </c>
      <c r="D3410">
        <v>124</v>
      </c>
      <c r="E3410">
        <v>0</v>
      </c>
      <c r="F3410">
        <v>435</v>
      </c>
    </row>
    <row r="3411" spans="1:6" ht="12.75">
      <c r="A3411" s="2">
        <v>43884.160462962958</v>
      </c>
      <c r="B3411" t="str">
        <f>HYPERLINK("https://twitter.com/EstyEonni","@EstyEonni")</f>
        <v>@EstyEonni</v>
      </c>
      <c r="C3411" t="s">
        <v>3142</v>
      </c>
      <c r="D3411">
        <v>0</v>
      </c>
      <c r="E3411">
        <v>0</v>
      </c>
      <c r="F3411">
        <v>57</v>
      </c>
    </row>
    <row r="3412" spans="1:6" ht="12.75">
      <c r="A3412" s="2">
        <v>43884.159502314811</v>
      </c>
      <c r="B3412" t="str">
        <f>HYPERLINK("https://twitter.com/Indramajid8","@Indramajid8")</f>
        <v>@Indramajid8</v>
      </c>
      <c r="C3412" t="s">
        <v>2153</v>
      </c>
      <c r="D3412">
        <v>124</v>
      </c>
      <c r="E3412">
        <v>0</v>
      </c>
      <c r="F3412">
        <v>2271</v>
      </c>
    </row>
    <row r="3413" spans="1:6" ht="12.75">
      <c r="A3413" s="2">
        <v>43884.1559837963</v>
      </c>
      <c r="B3413" t="str">
        <f>HYPERLINK("https://twitter.com/MVVZ3","@MVVZ3")</f>
        <v>@MVVZ3</v>
      </c>
      <c r="C3413" t="s">
        <v>2153</v>
      </c>
      <c r="D3413">
        <v>124</v>
      </c>
      <c r="E3413">
        <v>0</v>
      </c>
      <c r="F3413">
        <v>1050</v>
      </c>
    </row>
    <row r="3414" spans="1:6" ht="12.75">
      <c r="A3414" s="2">
        <v>43884.154826388884</v>
      </c>
      <c r="B3414" t="str">
        <f>HYPERLINK("https://twitter.com/hayawarda","@hayawarda")</f>
        <v>@hayawarda</v>
      </c>
      <c r="C3414" t="s">
        <v>3143</v>
      </c>
      <c r="D3414">
        <v>0</v>
      </c>
      <c r="E3414">
        <v>0</v>
      </c>
      <c r="F3414">
        <v>13</v>
      </c>
    </row>
    <row r="3415" spans="1:6" ht="12.75">
      <c r="A3415" s="2">
        <v>43884.153437500005</v>
      </c>
      <c r="B3415" t="str">
        <f>HYPERLINK("https://twitter.com/Abd_202020","@Abd_202020")</f>
        <v>@Abd_202020</v>
      </c>
      <c r="C3415" t="s">
        <v>2841</v>
      </c>
      <c r="D3415">
        <v>13</v>
      </c>
      <c r="E3415">
        <v>0</v>
      </c>
      <c r="F3415">
        <v>175</v>
      </c>
    </row>
    <row r="3416" spans="1:6" ht="12.75">
      <c r="A3416" s="2">
        <v>43884.150648148148</v>
      </c>
      <c r="B3416" t="str">
        <f>HYPERLINK("https://twitter.com/AndiSumantri","@AndiSumantri")</f>
        <v>@AndiSumantri</v>
      </c>
      <c r="C3416" t="s">
        <v>2637</v>
      </c>
      <c r="D3416">
        <v>18</v>
      </c>
      <c r="E3416">
        <v>0</v>
      </c>
      <c r="F3416">
        <v>1406</v>
      </c>
    </row>
    <row r="3417" spans="1:6" ht="12.75">
      <c r="A3417" s="2">
        <v>43884.149363425924</v>
      </c>
      <c r="B3417" t="str">
        <f>HYPERLINK("https://twitter.com/ShamimP16426019","@ShamimP16426019")</f>
        <v>@ShamimP16426019</v>
      </c>
      <c r="C3417" t="s">
        <v>3144</v>
      </c>
      <c r="D3417">
        <v>0</v>
      </c>
      <c r="E3417">
        <v>0</v>
      </c>
      <c r="F3417">
        <v>3</v>
      </c>
    </row>
    <row r="3418" spans="1:6" ht="12.75">
      <c r="A3418" s="2">
        <v>43884.148645833338</v>
      </c>
      <c r="B3418" t="str">
        <f>HYPERLINK("https://twitter.com/MurBaud1per2in","@MurBaud1per2in")</f>
        <v>@MurBaud1per2in</v>
      </c>
      <c r="C3418" t="s">
        <v>2153</v>
      </c>
      <c r="D3418">
        <v>124</v>
      </c>
      <c r="E3418">
        <v>0</v>
      </c>
      <c r="F3418">
        <v>32</v>
      </c>
    </row>
    <row r="3419" spans="1:6" ht="12.75">
      <c r="A3419" s="2">
        <v>43884.147997685184</v>
      </c>
      <c r="B3419" t="str">
        <f>HYPERLINK("https://twitter.com/Ajietea7","@Ajietea7")</f>
        <v>@Ajietea7</v>
      </c>
      <c r="C3419" t="s">
        <v>2153</v>
      </c>
      <c r="D3419">
        <v>124</v>
      </c>
      <c r="E3419">
        <v>0</v>
      </c>
      <c r="F3419">
        <v>366</v>
      </c>
    </row>
    <row r="3420" spans="1:6" ht="12.75">
      <c r="A3420" s="2">
        <v>43884.147939814815</v>
      </c>
      <c r="B3420" t="str">
        <f t="shared" ref="B3420:B3421" si="73">HYPERLINK("https://twitter.com/Bahaudinastari1","@Bahaudinastari1")</f>
        <v>@Bahaudinastari1</v>
      </c>
      <c r="C3420" t="s">
        <v>2153</v>
      </c>
      <c r="D3420">
        <v>124</v>
      </c>
      <c r="E3420">
        <v>0</v>
      </c>
      <c r="F3420">
        <v>233</v>
      </c>
    </row>
    <row r="3421" spans="1:6" ht="12.75">
      <c r="A3421" s="2">
        <v>43884.14775462963</v>
      </c>
      <c r="B3421" t="str">
        <f t="shared" si="73"/>
        <v>@Bahaudinastari1</v>
      </c>
      <c r="C3421" t="s">
        <v>2841</v>
      </c>
      <c r="D3421">
        <v>13</v>
      </c>
      <c r="E3421">
        <v>0</v>
      </c>
      <c r="F3421">
        <v>233</v>
      </c>
    </row>
    <row r="3422" spans="1:6" ht="12.75">
      <c r="A3422" s="2">
        <v>43884.146863425922</v>
      </c>
      <c r="B3422" t="str">
        <f>HYPERLINK("https://twitter.com/cigarrette666","@cigarrette666")</f>
        <v>@cigarrette666</v>
      </c>
      <c r="C3422" t="s">
        <v>2190</v>
      </c>
      <c r="D3422">
        <v>26</v>
      </c>
      <c r="E3422">
        <v>0</v>
      </c>
      <c r="F3422">
        <v>41</v>
      </c>
    </row>
    <row r="3423" spans="1:6" ht="12.75">
      <c r="A3423" s="2">
        <v>43884.146423611106</v>
      </c>
      <c r="B3423" t="str">
        <f>HYPERLINK("https://twitter.com/alitbayuadhy","@alitbayuadhy")</f>
        <v>@alitbayuadhy</v>
      </c>
      <c r="C3423" t="s">
        <v>3145</v>
      </c>
      <c r="D3423">
        <v>0</v>
      </c>
      <c r="E3423">
        <v>0</v>
      </c>
      <c r="F3423">
        <v>5</v>
      </c>
    </row>
    <row r="3424" spans="1:6" ht="12.75">
      <c r="A3424" s="2">
        <v>43884.145995370374</v>
      </c>
      <c r="B3424" t="str">
        <f>HYPERLINK("https://twitter.com/BambangTedjo","@BambangTedjo")</f>
        <v>@BambangTedjo</v>
      </c>
      <c r="C3424" t="s">
        <v>2153</v>
      </c>
      <c r="D3424">
        <v>124</v>
      </c>
      <c r="E3424">
        <v>0</v>
      </c>
      <c r="F3424">
        <v>52</v>
      </c>
    </row>
    <row r="3425" spans="1:6" ht="12.75">
      <c r="A3425" s="2">
        <v>43884.144780092596</v>
      </c>
      <c r="B3425" t="str">
        <f>HYPERLINK("https://twitter.com/arga_wisastra","@arga_wisastra")</f>
        <v>@arga_wisastra</v>
      </c>
      <c r="C3425" t="s">
        <v>2841</v>
      </c>
      <c r="D3425">
        <v>13</v>
      </c>
      <c r="E3425">
        <v>0</v>
      </c>
      <c r="F3425">
        <v>790</v>
      </c>
    </row>
    <row r="3426" spans="1:6" ht="12.75">
      <c r="A3426" s="2">
        <v>43884.142997685187</v>
      </c>
      <c r="B3426" t="str">
        <f>HYPERLINK("https://twitter.com/hp_astoro","@hp_astoro")</f>
        <v>@hp_astoro</v>
      </c>
      <c r="C3426" t="s">
        <v>2154</v>
      </c>
      <c r="D3426">
        <v>51</v>
      </c>
      <c r="E3426">
        <v>0</v>
      </c>
      <c r="F3426">
        <v>640</v>
      </c>
    </row>
    <row r="3427" spans="1:6" ht="12.75">
      <c r="A3427" s="2">
        <v>43884.142187500001</v>
      </c>
      <c r="B3427" t="str">
        <f>HYPERLINK("https://twitter.com/jameshandaja","@jameshandaja")</f>
        <v>@jameshandaja</v>
      </c>
      <c r="C3427" t="s">
        <v>3146</v>
      </c>
      <c r="D3427">
        <v>1</v>
      </c>
      <c r="E3427">
        <v>0</v>
      </c>
      <c r="F3427">
        <v>42</v>
      </c>
    </row>
    <row r="3428" spans="1:6" ht="12.75">
      <c r="A3428" s="2">
        <v>43884.140497685185</v>
      </c>
      <c r="B3428" t="str">
        <f>HYPERLINK("https://twitter.com/zbr_berliansyah","@zbr_berliansyah")</f>
        <v>@zbr_berliansyah</v>
      </c>
      <c r="C3428" t="s">
        <v>3147</v>
      </c>
      <c r="D3428">
        <v>2</v>
      </c>
      <c r="E3428">
        <v>0</v>
      </c>
      <c r="F3428">
        <v>2627</v>
      </c>
    </row>
    <row r="3429" spans="1:6" ht="12.75">
      <c r="A3429" s="2">
        <v>43884.139849537038</v>
      </c>
      <c r="B3429" t="str">
        <f>HYPERLINK("https://twitter.com/Kenzu_KPTB","@Kenzu_KPTB")</f>
        <v>@Kenzu_KPTB</v>
      </c>
      <c r="C3429" t="s">
        <v>2154</v>
      </c>
      <c r="D3429">
        <v>51</v>
      </c>
      <c r="E3429">
        <v>0</v>
      </c>
      <c r="F3429">
        <v>1930</v>
      </c>
    </row>
    <row r="3430" spans="1:6" ht="12.75">
      <c r="A3430" s="2">
        <v>43884.138645833329</v>
      </c>
      <c r="B3430" t="str">
        <f>HYPERLINK("https://twitter.com/Rahmatabdl2","@Rahmatabdl2")</f>
        <v>@Rahmatabdl2</v>
      </c>
      <c r="C3430" t="s">
        <v>2153</v>
      </c>
      <c r="D3430">
        <v>124</v>
      </c>
      <c r="E3430">
        <v>0</v>
      </c>
      <c r="F3430">
        <v>10</v>
      </c>
    </row>
    <row r="3431" spans="1:6" ht="12.75">
      <c r="A3431" s="2">
        <v>43884.136284722219</v>
      </c>
      <c r="B3431" t="str">
        <f>HYPERLINK("https://twitter.com/elan_ghusma","@elan_ghusma")</f>
        <v>@elan_ghusma</v>
      </c>
      <c r="C3431" t="s">
        <v>2841</v>
      </c>
      <c r="D3431">
        <v>13</v>
      </c>
      <c r="E3431">
        <v>0</v>
      </c>
      <c r="F3431">
        <v>3510</v>
      </c>
    </row>
    <row r="3432" spans="1:6" ht="12.75">
      <c r="A3432" s="2">
        <v>43884.136122685188</v>
      </c>
      <c r="B3432" t="str">
        <f>HYPERLINK("https://twitter.com/Gobang09791575","@Gobang09791575")</f>
        <v>@Gobang09791575</v>
      </c>
      <c r="C3432" t="s">
        <v>3148</v>
      </c>
      <c r="D3432">
        <v>0</v>
      </c>
      <c r="E3432">
        <v>0</v>
      </c>
      <c r="F3432">
        <v>1293</v>
      </c>
    </row>
    <row r="3433" spans="1:6" ht="12.75">
      <c r="A3433" s="2">
        <v>43884.135729166665</v>
      </c>
      <c r="B3433" t="str">
        <f>HYPERLINK("https://twitter.com/ChalAni27","@ChalAni27")</f>
        <v>@ChalAni27</v>
      </c>
      <c r="C3433" t="s">
        <v>3149</v>
      </c>
      <c r="D3433">
        <v>0</v>
      </c>
      <c r="E3433">
        <v>0</v>
      </c>
      <c r="F3433">
        <v>55</v>
      </c>
    </row>
    <row r="3434" spans="1:6" ht="12.75">
      <c r="A3434" s="2">
        <v>43884.134699074071</v>
      </c>
      <c r="B3434" t="str">
        <f>HYPERLINK("https://twitter.com/Fathoer51792396","@Fathoer51792396")</f>
        <v>@Fathoer51792396</v>
      </c>
      <c r="C3434" t="s">
        <v>2153</v>
      </c>
      <c r="D3434">
        <v>124</v>
      </c>
      <c r="E3434">
        <v>0</v>
      </c>
      <c r="F3434">
        <v>64</v>
      </c>
    </row>
    <row r="3435" spans="1:6" ht="12.75">
      <c r="A3435" s="2">
        <v>43884.134375000001</v>
      </c>
      <c r="B3435" t="str">
        <f>HYPERLINK("https://twitter.com/krurhurz","@krurhurz")</f>
        <v>@krurhurz</v>
      </c>
      <c r="C3435" t="s">
        <v>3150</v>
      </c>
      <c r="D3435">
        <v>427</v>
      </c>
      <c r="E3435">
        <v>0</v>
      </c>
      <c r="F3435">
        <v>202</v>
      </c>
    </row>
    <row r="3436" spans="1:6" ht="12.75">
      <c r="A3436" s="2">
        <v>43884.127453703702</v>
      </c>
      <c r="B3436" t="str">
        <f>HYPERLINK("https://twitter.com/anamjb82","@anamjb82")</f>
        <v>@anamjb82</v>
      </c>
      <c r="C3436" t="s">
        <v>2153</v>
      </c>
      <c r="D3436">
        <v>124</v>
      </c>
      <c r="E3436">
        <v>0</v>
      </c>
      <c r="F3436">
        <v>1319</v>
      </c>
    </row>
    <row r="3437" spans="1:6" ht="12.75">
      <c r="A3437" s="2">
        <v>43884.125798611116</v>
      </c>
      <c r="B3437" t="str">
        <f>HYPERLINK("https://twitter.com/ammarfai2","@ammarfai2")</f>
        <v>@ammarfai2</v>
      </c>
      <c r="C3437" t="s">
        <v>3151</v>
      </c>
      <c r="D3437">
        <v>0</v>
      </c>
      <c r="E3437">
        <v>0</v>
      </c>
      <c r="F3437">
        <v>485</v>
      </c>
    </row>
    <row r="3438" spans="1:6" ht="12.75">
      <c r="A3438" s="2">
        <v>43884.125740740739</v>
      </c>
      <c r="B3438" t="str">
        <f>HYPERLINK("https://twitter.com/1hsan","@1hsan")</f>
        <v>@1hsan</v>
      </c>
      <c r="C3438" t="s">
        <v>3152</v>
      </c>
      <c r="D3438">
        <v>1</v>
      </c>
      <c r="E3438">
        <v>0</v>
      </c>
      <c r="F3438">
        <v>233</v>
      </c>
    </row>
    <row r="3439" spans="1:6" ht="12.75">
      <c r="A3439" s="2">
        <v>43884.125439814816</v>
      </c>
      <c r="B3439" t="str">
        <f>HYPERLINK("https://twitter.com/rang_simabua","@rang_simabua")</f>
        <v>@rang_simabua</v>
      </c>
      <c r="C3439" t="s">
        <v>2153</v>
      </c>
      <c r="D3439">
        <v>110</v>
      </c>
      <c r="E3439">
        <v>0</v>
      </c>
      <c r="F3439">
        <v>7710</v>
      </c>
    </row>
    <row r="3440" spans="1:6" ht="12.75">
      <c r="A3440" s="2">
        <v>43884.12164351852</v>
      </c>
      <c r="B3440" t="str">
        <f>HYPERLINK("https://twitter.com/iffangondrong","@iffangondrong")</f>
        <v>@iffangondrong</v>
      </c>
      <c r="C3440" t="s">
        <v>3153</v>
      </c>
      <c r="D3440">
        <v>0</v>
      </c>
      <c r="E3440">
        <v>0</v>
      </c>
      <c r="F3440">
        <v>383</v>
      </c>
    </row>
    <row r="3441" spans="1:6" ht="12.75">
      <c r="A3441" s="2">
        <v>43884.121550925927</v>
      </c>
      <c r="B3441" t="str">
        <f>HYPERLINK("https://twitter.com/rifkiharahap","@rifkiharahap")</f>
        <v>@rifkiharahap</v>
      </c>
      <c r="C3441" t="s">
        <v>3153</v>
      </c>
      <c r="D3441">
        <v>0</v>
      </c>
      <c r="E3441">
        <v>0</v>
      </c>
      <c r="F3441">
        <v>211</v>
      </c>
    </row>
    <row r="3442" spans="1:6" ht="12.75">
      <c r="A3442" s="2">
        <v>43884.121516203704</v>
      </c>
      <c r="B3442" t="str">
        <f>HYPERLINK("https://twitter.com/berita_karya","@berita_karya")</f>
        <v>@berita_karya</v>
      </c>
      <c r="C3442" t="s">
        <v>3153</v>
      </c>
      <c r="D3442">
        <v>0</v>
      </c>
      <c r="E3442">
        <v>0</v>
      </c>
      <c r="F3442">
        <v>341</v>
      </c>
    </row>
    <row r="3443" spans="1:6" ht="12.75">
      <c r="A3443" s="2">
        <v>43884.12122685185</v>
      </c>
      <c r="B3443" t="str">
        <f>HYPERLINK("https://twitter.com/Hendy49291155","@Hendy49291155")</f>
        <v>@Hendy49291155</v>
      </c>
      <c r="C3443" t="s">
        <v>2153</v>
      </c>
      <c r="D3443">
        <v>110</v>
      </c>
      <c r="E3443">
        <v>0</v>
      </c>
      <c r="F3443">
        <v>98</v>
      </c>
    </row>
    <row r="3444" spans="1:6" ht="12.75">
      <c r="A3444" s="2">
        <v>43884.119988425926</v>
      </c>
      <c r="B3444" t="str">
        <f>HYPERLINK("https://twitter.com/JaritaKirana","@JaritaKirana")</f>
        <v>@JaritaKirana</v>
      </c>
      <c r="C3444" t="s">
        <v>3154</v>
      </c>
      <c r="D3444">
        <v>0</v>
      </c>
      <c r="E3444">
        <v>0</v>
      </c>
      <c r="F3444">
        <v>513</v>
      </c>
    </row>
    <row r="3445" spans="1:6" ht="12.75">
      <c r="A3445" s="2">
        <v>43884.115219907406</v>
      </c>
      <c r="B3445" t="str">
        <f>HYPERLINK("https://twitter.com/AntiNeoKomunist","@AntiNeoKomunist")</f>
        <v>@AntiNeoKomunist</v>
      </c>
      <c r="C3445" t="s">
        <v>2153</v>
      </c>
      <c r="D3445">
        <v>110</v>
      </c>
      <c r="E3445">
        <v>0</v>
      </c>
      <c r="F3445">
        <v>527</v>
      </c>
    </row>
    <row r="3446" spans="1:6" ht="12.75">
      <c r="A3446" s="2">
        <v>43884.111446759256</v>
      </c>
      <c r="B3446" t="str">
        <f>HYPERLINK("https://twitter.com/Pattymurapatty","@Pattymurapatty")</f>
        <v>@Pattymurapatty</v>
      </c>
      <c r="C3446" t="s">
        <v>2153</v>
      </c>
      <c r="D3446">
        <v>110</v>
      </c>
      <c r="E3446">
        <v>0</v>
      </c>
      <c r="F3446">
        <v>603</v>
      </c>
    </row>
    <row r="3447" spans="1:6" ht="12.75">
      <c r="A3447" s="2">
        <v>43884.11010416667</v>
      </c>
      <c r="B3447" t="str">
        <f>HYPERLINK("https://twitter.com/donny7etrost","@donny7etrost")</f>
        <v>@donny7etrost</v>
      </c>
      <c r="C3447" t="s">
        <v>3155</v>
      </c>
      <c r="D3447">
        <v>0</v>
      </c>
      <c r="E3447">
        <v>0</v>
      </c>
      <c r="F3447">
        <v>1685</v>
      </c>
    </row>
    <row r="3448" spans="1:6" ht="12.75">
      <c r="A3448" s="2">
        <v>43884.107893518521</v>
      </c>
      <c r="B3448" t="str">
        <f>HYPERLINK("https://twitter.com/Tc7012","@Tc7012")</f>
        <v>@Tc7012</v>
      </c>
      <c r="C3448" t="s">
        <v>3156</v>
      </c>
      <c r="D3448">
        <v>0</v>
      </c>
      <c r="E3448">
        <v>0</v>
      </c>
      <c r="F3448">
        <v>11</v>
      </c>
    </row>
    <row r="3449" spans="1:6" ht="12.75">
      <c r="A3449" s="2">
        <v>43884.107476851852</v>
      </c>
      <c r="B3449" t="str">
        <f>HYPERLINK("https://twitter.com/danielabubakarr","@danielabubakarr")</f>
        <v>@danielabubakarr</v>
      </c>
      <c r="C3449" t="s">
        <v>2986</v>
      </c>
      <c r="D3449">
        <v>27</v>
      </c>
      <c r="E3449">
        <v>0</v>
      </c>
      <c r="F3449">
        <v>655</v>
      </c>
    </row>
    <row r="3450" spans="1:6" ht="12.75">
      <c r="A3450" s="2">
        <v>43884.105428240742</v>
      </c>
      <c r="B3450" t="str">
        <f>HYPERLINK("https://twitter.com/tioharimurtie","@tioharimurtie")</f>
        <v>@tioharimurtie</v>
      </c>
      <c r="C3450" t="s">
        <v>3157</v>
      </c>
      <c r="D3450">
        <v>0</v>
      </c>
      <c r="E3450">
        <v>0</v>
      </c>
      <c r="F3450">
        <v>3630</v>
      </c>
    </row>
    <row r="3451" spans="1:6" ht="12.75">
      <c r="A3451" s="2">
        <v>43884.102824074071</v>
      </c>
      <c r="B3451" t="str">
        <f>HYPERLINK("https://twitter.com/hemaviton99","@hemaviton99")</f>
        <v>@hemaviton99</v>
      </c>
      <c r="C3451" t="s">
        <v>2154</v>
      </c>
      <c r="D3451">
        <v>48</v>
      </c>
      <c r="E3451">
        <v>0</v>
      </c>
      <c r="F3451">
        <v>4580</v>
      </c>
    </row>
    <row r="3452" spans="1:6" ht="12.75">
      <c r="A3452" s="2">
        <v>43884.101631944446</v>
      </c>
      <c r="B3452" t="str">
        <f>HYPERLINK("https://twitter.com/tioharimurtie","@tioharimurtie")</f>
        <v>@tioharimurtie</v>
      </c>
      <c r="C3452" t="s">
        <v>2154</v>
      </c>
      <c r="D3452">
        <v>48</v>
      </c>
      <c r="E3452">
        <v>0</v>
      </c>
      <c r="F3452">
        <v>3630</v>
      </c>
    </row>
    <row r="3453" spans="1:6" ht="12.75">
      <c r="A3453" s="2">
        <v>43884.096331018518</v>
      </c>
      <c r="B3453" t="str">
        <f>HYPERLINK("https://twitter.com/Helmi67711233","@Helmi67711233")</f>
        <v>@Helmi67711233</v>
      </c>
      <c r="C3453" t="s">
        <v>2153</v>
      </c>
      <c r="D3453">
        <v>110</v>
      </c>
      <c r="E3453">
        <v>0</v>
      </c>
      <c r="F3453">
        <v>270</v>
      </c>
    </row>
    <row r="3454" spans="1:6" ht="12.75">
      <c r="A3454" s="2">
        <v>43884.096030092594</v>
      </c>
      <c r="B3454" t="str">
        <f>HYPERLINK("https://twitter.com/ISIS_Kasiab","@ISIS_Kasiab")</f>
        <v>@ISIS_Kasiab</v>
      </c>
      <c r="C3454" t="s">
        <v>3158</v>
      </c>
      <c r="D3454">
        <v>0</v>
      </c>
      <c r="E3454">
        <v>0</v>
      </c>
      <c r="F3454">
        <v>138</v>
      </c>
    </row>
    <row r="3455" spans="1:6" ht="12.75">
      <c r="A3455" s="2">
        <v>43884.094166666662</v>
      </c>
      <c r="B3455" t="str">
        <f>HYPERLINK("https://twitter.com/rikkyrikkon","@rikkyrikkon")</f>
        <v>@rikkyrikkon</v>
      </c>
      <c r="C3455" t="s">
        <v>3159</v>
      </c>
      <c r="D3455">
        <v>0</v>
      </c>
      <c r="E3455">
        <v>1</v>
      </c>
      <c r="F3455">
        <v>411</v>
      </c>
    </row>
    <row r="3456" spans="1:6" ht="12.75">
      <c r="A3456" s="2">
        <v>43884.093611111108</v>
      </c>
      <c r="B3456" t="str">
        <f>HYPERLINK("https://twitter.com/FerryM1","@FerryM1")</f>
        <v>@FerryM1</v>
      </c>
      <c r="C3456" t="s">
        <v>2154</v>
      </c>
      <c r="D3456">
        <v>48</v>
      </c>
      <c r="E3456">
        <v>0</v>
      </c>
      <c r="F3456">
        <v>2308</v>
      </c>
    </row>
    <row r="3457" spans="1:6" ht="12.75">
      <c r="A3457" s="2">
        <v>43884.09097222222</v>
      </c>
      <c r="B3457" t="str">
        <f>HYPERLINK("https://twitter.com/ISIS_Kasiab","@ISIS_Kasiab")</f>
        <v>@ISIS_Kasiab</v>
      </c>
      <c r="C3457" t="s">
        <v>3160</v>
      </c>
      <c r="D3457">
        <v>0</v>
      </c>
      <c r="E3457">
        <v>0</v>
      </c>
      <c r="F3457">
        <v>138</v>
      </c>
    </row>
    <row r="3458" spans="1:6" ht="12.75">
      <c r="A3458" s="2">
        <v>43884.090671296297</v>
      </c>
      <c r="B3458" t="str">
        <f>HYPERLINK("https://twitter.com/MustofaAri463","@MustofaAri463")</f>
        <v>@MustofaAri463</v>
      </c>
      <c r="C3458" t="s">
        <v>3161</v>
      </c>
      <c r="D3458">
        <v>0</v>
      </c>
      <c r="E3458">
        <v>0</v>
      </c>
      <c r="F3458">
        <v>2</v>
      </c>
    </row>
    <row r="3459" spans="1:6" ht="12.75">
      <c r="A3459" s="2">
        <v>43884.089166666672</v>
      </c>
      <c r="B3459" t="str">
        <f>HYPERLINK("https://twitter.com/ISIS_Kasiab","@ISIS_Kasiab")</f>
        <v>@ISIS_Kasiab</v>
      </c>
      <c r="C3459" t="s">
        <v>3162</v>
      </c>
      <c r="D3459">
        <v>0</v>
      </c>
      <c r="E3459">
        <v>0</v>
      </c>
      <c r="F3459">
        <v>138</v>
      </c>
    </row>
    <row r="3460" spans="1:6" ht="12.75">
      <c r="A3460" s="2">
        <v>43884.088912037041</v>
      </c>
      <c r="B3460" t="str">
        <f>HYPERLINK("https://twitter.com/sabhatansabiz","@sabhatansabiz")</f>
        <v>@sabhatansabiz</v>
      </c>
      <c r="C3460" t="s">
        <v>3163</v>
      </c>
      <c r="D3460">
        <v>2</v>
      </c>
      <c r="E3460">
        <v>0</v>
      </c>
      <c r="F3460">
        <v>1584</v>
      </c>
    </row>
    <row r="3461" spans="1:6" ht="12.75">
      <c r="A3461" s="2">
        <v>43884.087997685187</v>
      </c>
      <c r="B3461" t="str">
        <f>HYPERLINK("https://twitter.com/ISIS_Kasiab","@ISIS_Kasiab")</f>
        <v>@ISIS_Kasiab</v>
      </c>
      <c r="C3461" t="s">
        <v>3164</v>
      </c>
      <c r="D3461">
        <v>0</v>
      </c>
      <c r="E3461">
        <v>0</v>
      </c>
      <c r="F3461">
        <v>138</v>
      </c>
    </row>
    <row r="3462" spans="1:6" ht="12.75">
      <c r="A3462" s="2">
        <v>43884.087789351848</v>
      </c>
      <c r="B3462" t="str">
        <f>HYPERLINK("https://twitter.com/FMorghanz","@FMorghanz")</f>
        <v>@FMorghanz</v>
      </c>
      <c r="C3462" t="s">
        <v>2153</v>
      </c>
      <c r="D3462">
        <v>110</v>
      </c>
      <c r="E3462">
        <v>0</v>
      </c>
      <c r="F3462">
        <v>114</v>
      </c>
    </row>
    <row r="3463" spans="1:6" ht="12.75">
      <c r="A3463" s="2">
        <v>43884.087523148148</v>
      </c>
      <c r="B3463" t="str">
        <f>HYPERLINK("https://twitter.com/updatedotid","@updatedotid")</f>
        <v>@updatedotid</v>
      </c>
      <c r="C3463" t="s">
        <v>3163</v>
      </c>
      <c r="D3463">
        <v>2</v>
      </c>
      <c r="E3463">
        <v>0</v>
      </c>
      <c r="F3463">
        <v>1620</v>
      </c>
    </row>
    <row r="3464" spans="1:6" ht="12.75">
      <c r="A3464" s="2">
        <v>43884.086840277778</v>
      </c>
      <c r="B3464" t="str">
        <f>HYPERLINK("https://twitter.com/radar_malang","@radar_malang")</f>
        <v>@radar_malang</v>
      </c>
      <c r="C3464" t="s">
        <v>3165</v>
      </c>
      <c r="D3464">
        <v>2</v>
      </c>
      <c r="E3464">
        <v>0</v>
      </c>
      <c r="F3464">
        <v>108643</v>
      </c>
    </row>
    <row r="3465" spans="1:6" ht="12.75">
      <c r="A3465" s="2">
        <v>43884.086493055554</v>
      </c>
      <c r="B3465" t="str">
        <f>HYPERLINK("https://twitter.com/manadopost_id","@manadopost_id")</f>
        <v>@manadopost_id</v>
      </c>
      <c r="C3465" t="s">
        <v>3166</v>
      </c>
      <c r="D3465">
        <v>0</v>
      </c>
      <c r="E3465">
        <v>0</v>
      </c>
      <c r="F3465">
        <v>939</v>
      </c>
    </row>
    <row r="3466" spans="1:6" ht="12.75">
      <c r="A3466" s="2">
        <v>43884.085381944446</v>
      </c>
      <c r="B3466" t="str">
        <f>HYPERLINK("https://twitter.com/WongNgawoer","@WongNgawoer")</f>
        <v>@WongNgawoer</v>
      </c>
      <c r="C3466" t="s">
        <v>2153</v>
      </c>
      <c r="D3466">
        <v>110</v>
      </c>
      <c r="E3466">
        <v>0</v>
      </c>
      <c r="F3466">
        <v>446</v>
      </c>
    </row>
    <row r="3467" spans="1:6" ht="12.75">
      <c r="A3467" s="2">
        <v>43884.085138888884</v>
      </c>
      <c r="B3467" t="str">
        <f t="shared" ref="B3467:B3468" si="74">HYPERLINK("https://twitter.com/ISIS_Kasiab","@ISIS_Kasiab")</f>
        <v>@ISIS_Kasiab</v>
      </c>
      <c r="C3467" t="s">
        <v>3167</v>
      </c>
      <c r="D3467">
        <v>0</v>
      </c>
      <c r="E3467">
        <v>0</v>
      </c>
      <c r="F3467">
        <v>138</v>
      </c>
    </row>
    <row r="3468" spans="1:6" ht="12.75">
      <c r="A3468" s="2">
        <v>43884.084629629629</v>
      </c>
      <c r="B3468" t="str">
        <f t="shared" si="74"/>
        <v>@ISIS_Kasiab</v>
      </c>
      <c r="C3468" t="s">
        <v>3168</v>
      </c>
      <c r="D3468">
        <v>0</v>
      </c>
      <c r="E3468">
        <v>0</v>
      </c>
      <c r="F3468">
        <v>138</v>
      </c>
    </row>
    <row r="3469" spans="1:6" ht="12.75">
      <c r="A3469" s="2">
        <v>43884.083819444444</v>
      </c>
      <c r="B3469" t="str">
        <f>HYPERLINK("https://twitter.com/raihana_wiwieal","@raihana_wiwieal")</f>
        <v>@raihana_wiwieal</v>
      </c>
      <c r="C3469" t="s">
        <v>2153</v>
      </c>
      <c r="D3469">
        <v>102</v>
      </c>
      <c r="E3469">
        <v>0</v>
      </c>
      <c r="F3469">
        <v>1808</v>
      </c>
    </row>
    <row r="3470" spans="1:6" ht="12.75">
      <c r="A3470" s="2">
        <v>43884.080810185187</v>
      </c>
      <c r="B3470" t="str">
        <f>HYPERLINK("https://twitter.com/yahbangmrx","@yahbangmrx")</f>
        <v>@yahbangmrx</v>
      </c>
      <c r="C3470" t="s">
        <v>3169</v>
      </c>
      <c r="D3470">
        <v>0</v>
      </c>
      <c r="E3470">
        <v>0</v>
      </c>
      <c r="F3470">
        <v>617</v>
      </c>
    </row>
    <row r="3471" spans="1:6" ht="12.75">
      <c r="A3471" s="2">
        <v>43884.078587962962</v>
      </c>
      <c r="B3471" t="str">
        <f>HYPERLINK("https://twitter.com/Sir__md","@Sir__md")</f>
        <v>@Sir__md</v>
      </c>
      <c r="C3471" t="s">
        <v>3170</v>
      </c>
      <c r="D3471">
        <v>0</v>
      </c>
      <c r="E3471">
        <v>1</v>
      </c>
      <c r="F3471">
        <v>22956</v>
      </c>
    </row>
    <row r="3472" spans="1:6" ht="12.75">
      <c r="A3472" s="2">
        <v>43884.077800925923</v>
      </c>
      <c r="B3472" t="str">
        <f>HYPERLINK("https://twitter.com/alongdesa","@alongdesa")</f>
        <v>@alongdesa</v>
      </c>
      <c r="C3472" t="s">
        <v>2986</v>
      </c>
      <c r="D3472">
        <v>26</v>
      </c>
      <c r="E3472">
        <v>0</v>
      </c>
      <c r="F3472">
        <v>1177</v>
      </c>
    </row>
    <row r="3473" spans="1:6" ht="12.75">
      <c r="A3473" s="2">
        <v>43884.077233796299</v>
      </c>
      <c r="B3473" t="str">
        <f>HYPERLINK("https://twitter.com/bulansridevi","@bulansridevi")</f>
        <v>@bulansridevi</v>
      </c>
      <c r="C3473" t="s">
        <v>3171</v>
      </c>
      <c r="D3473">
        <v>8</v>
      </c>
      <c r="E3473">
        <v>0</v>
      </c>
      <c r="F3473">
        <v>1148</v>
      </c>
    </row>
    <row r="3474" spans="1:6" ht="12.75">
      <c r="A3474" s="2">
        <v>43884.077210648145</v>
      </c>
      <c r="B3474" t="str">
        <f>HYPERLINK("https://twitter.com/Sir__md","@Sir__md")</f>
        <v>@Sir__md</v>
      </c>
      <c r="C3474" t="s">
        <v>3172</v>
      </c>
      <c r="D3474">
        <v>0</v>
      </c>
      <c r="E3474">
        <v>0</v>
      </c>
      <c r="F3474">
        <v>22956</v>
      </c>
    </row>
    <row r="3475" spans="1:6" ht="12.75">
      <c r="A3475" s="2">
        <v>43884.077187499999</v>
      </c>
      <c r="B3475" t="str">
        <f t="shared" ref="B3475:B3477" si="75">HYPERLINK("https://twitter.com/bulansridevi","@bulansridevi")</f>
        <v>@bulansridevi</v>
      </c>
      <c r="C3475" t="s">
        <v>3173</v>
      </c>
      <c r="D3475">
        <v>4</v>
      </c>
      <c r="E3475">
        <v>0</v>
      </c>
      <c r="F3475">
        <v>1148</v>
      </c>
    </row>
    <row r="3476" spans="1:6" ht="12.75">
      <c r="A3476" s="2">
        <v>43884.077152777776</v>
      </c>
      <c r="B3476" t="str">
        <f t="shared" si="75"/>
        <v>@bulansridevi</v>
      </c>
      <c r="C3476" t="s">
        <v>3174</v>
      </c>
      <c r="D3476">
        <v>4</v>
      </c>
      <c r="E3476">
        <v>0</v>
      </c>
      <c r="F3476">
        <v>1148</v>
      </c>
    </row>
    <row r="3477" spans="1:6" ht="12.75">
      <c r="A3477" s="2">
        <v>43884.07707175926</v>
      </c>
      <c r="B3477" t="str">
        <f t="shared" si="75"/>
        <v>@bulansridevi</v>
      </c>
      <c r="C3477" t="s">
        <v>3175</v>
      </c>
      <c r="D3477">
        <v>7</v>
      </c>
      <c r="E3477">
        <v>0</v>
      </c>
      <c r="F3477">
        <v>1148</v>
      </c>
    </row>
    <row r="3478" spans="1:6" ht="12.75">
      <c r="A3478" s="2">
        <v>43884.076608796298</v>
      </c>
      <c r="B3478" t="str">
        <f>HYPERLINK("https://twitter.com/aseprahmat4","@aseprahmat4")</f>
        <v>@aseprahmat4</v>
      </c>
      <c r="C3478" t="s">
        <v>2153</v>
      </c>
      <c r="D3478">
        <v>102</v>
      </c>
      <c r="E3478">
        <v>0</v>
      </c>
      <c r="F3478">
        <v>287</v>
      </c>
    </row>
    <row r="3479" spans="1:6" ht="12.75">
      <c r="A3479" s="2">
        <v>43884.076041666667</v>
      </c>
      <c r="B3479" t="str">
        <f>HYPERLINK("https://twitter.com/desty2_","@desty2_")</f>
        <v>@desty2_</v>
      </c>
      <c r="C3479" t="s">
        <v>3174</v>
      </c>
      <c r="D3479">
        <v>4</v>
      </c>
      <c r="E3479">
        <v>0</v>
      </c>
      <c r="F3479">
        <v>124</v>
      </c>
    </row>
    <row r="3480" spans="1:6" ht="12.75">
      <c r="A3480" s="2">
        <v>43884.075011574074</v>
      </c>
      <c r="B3480" t="str">
        <f>HYPERLINK("https://twitter.com/RepublikTweep","@RepublikTweep")</f>
        <v>@RepublikTweep</v>
      </c>
      <c r="C3480" t="s">
        <v>3174</v>
      </c>
      <c r="D3480">
        <v>4</v>
      </c>
      <c r="E3480">
        <v>0</v>
      </c>
      <c r="F3480">
        <v>27396</v>
      </c>
    </row>
    <row r="3481" spans="1:6" ht="12.75">
      <c r="A3481" s="2">
        <v>43884.074999999997</v>
      </c>
      <c r="B3481" t="str">
        <f>HYPERLINK("https://twitter.com/supiaman_asep","@supiaman_asep")</f>
        <v>@supiaman_asep</v>
      </c>
      <c r="C3481" t="s">
        <v>2153</v>
      </c>
      <c r="D3481">
        <v>102</v>
      </c>
      <c r="E3481">
        <v>0</v>
      </c>
      <c r="F3481">
        <v>833</v>
      </c>
    </row>
    <row r="3482" spans="1:6" ht="12.75">
      <c r="A3482" s="2">
        <v>43884.074930555551</v>
      </c>
      <c r="B3482" t="str">
        <f>HYPERLINK("https://twitter.com/RepublikTweep","@RepublikTweep")</f>
        <v>@RepublikTweep</v>
      </c>
      <c r="C3482" t="s">
        <v>3175</v>
      </c>
      <c r="D3482">
        <v>7</v>
      </c>
      <c r="E3482">
        <v>0</v>
      </c>
      <c r="F3482">
        <v>27396</v>
      </c>
    </row>
    <row r="3483" spans="1:6" ht="12.75">
      <c r="A3483" s="2">
        <v>43884.071770833332</v>
      </c>
      <c r="B3483" t="str">
        <f>HYPERLINK("https://twitter.com/fIcal85360324","@fIcal85360324")</f>
        <v>@fIcal85360324</v>
      </c>
      <c r="C3483" t="s">
        <v>2153</v>
      </c>
      <c r="D3483">
        <v>102</v>
      </c>
      <c r="E3483">
        <v>0</v>
      </c>
      <c r="F3483">
        <v>524</v>
      </c>
    </row>
    <row r="3484" spans="1:6" ht="12.75">
      <c r="A3484" s="2">
        <v>43884.071273148147</v>
      </c>
      <c r="B3484" t="str">
        <f>HYPERLINK("https://twitter.com/vibeom","@vibeom")</f>
        <v>@vibeom</v>
      </c>
      <c r="C3484" t="s">
        <v>3176</v>
      </c>
      <c r="D3484">
        <v>6</v>
      </c>
      <c r="E3484">
        <v>0</v>
      </c>
      <c r="F3484">
        <v>788</v>
      </c>
    </row>
    <row r="3485" spans="1:6" ht="12.75">
      <c r="A3485" s="2">
        <v>43884.070810185185</v>
      </c>
      <c r="B3485" t="str">
        <f>HYPERLINK("https://twitter.com/BruceEmond","@BruceEmond")</f>
        <v>@BruceEmond</v>
      </c>
      <c r="C3485" t="s">
        <v>3177</v>
      </c>
      <c r="D3485">
        <v>0</v>
      </c>
      <c r="E3485">
        <v>0</v>
      </c>
      <c r="F3485">
        <v>27639</v>
      </c>
    </row>
    <row r="3486" spans="1:6" ht="12.75">
      <c r="A3486" s="2">
        <v>43884.069699074069</v>
      </c>
      <c r="B3486" t="str">
        <f>HYPERLINK("https://twitter.com/vibeom","@vibeom")</f>
        <v>@vibeom</v>
      </c>
      <c r="C3486" t="s">
        <v>3178</v>
      </c>
      <c r="D3486">
        <v>2</v>
      </c>
      <c r="E3486">
        <v>0</v>
      </c>
      <c r="F3486">
        <v>788</v>
      </c>
    </row>
    <row r="3487" spans="1:6" ht="12.75">
      <c r="A3487" s="2">
        <v>43884.069097222222</v>
      </c>
      <c r="B3487" t="str">
        <f>HYPERLINK("https://twitter.com/yogantarahendra","@yogantarahendra")</f>
        <v>@yogantarahendra</v>
      </c>
      <c r="C3487" t="s">
        <v>3179</v>
      </c>
      <c r="D3487">
        <v>0</v>
      </c>
      <c r="E3487">
        <v>0</v>
      </c>
      <c r="F3487">
        <v>429</v>
      </c>
    </row>
    <row r="3488" spans="1:6" ht="12.75">
      <c r="A3488" s="2">
        <v>43884.068043981482</v>
      </c>
      <c r="B3488" t="str">
        <f>HYPERLINK("https://twitter.com/TaufiqhChaniago","@TaufiqhChaniago")</f>
        <v>@TaufiqhChaniago</v>
      </c>
      <c r="C3488" t="s">
        <v>2153</v>
      </c>
      <c r="D3488">
        <v>102</v>
      </c>
      <c r="E3488">
        <v>0</v>
      </c>
      <c r="F3488">
        <v>79</v>
      </c>
    </row>
    <row r="3489" spans="1:6" ht="12.75">
      <c r="A3489" s="2">
        <v>43884.065763888888</v>
      </c>
      <c r="B3489" t="str">
        <f>HYPERLINK("https://twitter.com/montytiwa","@montytiwa")</f>
        <v>@montytiwa</v>
      </c>
      <c r="C3489" t="s">
        <v>3180</v>
      </c>
      <c r="D3489">
        <v>0</v>
      </c>
      <c r="E3489">
        <v>1</v>
      </c>
      <c r="F3489">
        <v>118534</v>
      </c>
    </row>
    <row r="3490" spans="1:6" ht="12.75">
      <c r="A3490" s="2">
        <v>43884.0628587963</v>
      </c>
      <c r="B3490" t="str">
        <f>HYPERLINK("https://twitter.com/isis_dom2","@isis_dom2")</f>
        <v>@isis_dom2</v>
      </c>
      <c r="C3490" t="s">
        <v>3181</v>
      </c>
      <c r="D3490">
        <v>1</v>
      </c>
      <c r="E3490">
        <v>0</v>
      </c>
      <c r="F3490">
        <v>1222</v>
      </c>
    </row>
    <row r="3491" spans="1:6" ht="12.75">
      <c r="A3491" s="2">
        <v>43884.061851851853</v>
      </c>
      <c r="B3491" t="str">
        <f>HYPERLINK("https://twitter.com/ririyrhighness","@ririyrhighness")</f>
        <v>@ririyrhighness</v>
      </c>
      <c r="C3491" t="s">
        <v>3182</v>
      </c>
      <c r="D3491">
        <v>0</v>
      </c>
      <c r="E3491">
        <v>0</v>
      </c>
      <c r="F3491">
        <v>390</v>
      </c>
    </row>
    <row r="3492" spans="1:6" ht="12.75">
      <c r="A3492" s="2">
        <v>43884.060694444444</v>
      </c>
      <c r="B3492" t="str">
        <f>HYPERLINK("https://twitter.com/Eddi_1009","@Eddi_1009")</f>
        <v>@Eddi_1009</v>
      </c>
      <c r="C3492" t="s">
        <v>3183</v>
      </c>
      <c r="D3492">
        <v>0</v>
      </c>
      <c r="E3492">
        <v>0</v>
      </c>
      <c r="F3492">
        <v>25</v>
      </c>
    </row>
    <row r="3493" spans="1:6" ht="12.75">
      <c r="A3493" s="2">
        <v>43884.058356481481</v>
      </c>
      <c r="B3493" t="str">
        <f>HYPERLINK("https://twitter.com/koecing_belang","@koecing_belang")</f>
        <v>@koecing_belang</v>
      </c>
      <c r="C3493" t="s">
        <v>3184</v>
      </c>
      <c r="D3493">
        <v>1</v>
      </c>
      <c r="E3493">
        <v>0</v>
      </c>
      <c r="F3493">
        <v>112</v>
      </c>
    </row>
    <row r="3494" spans="1:6" ht="12.75">
      <c r="A3494" s="2">
        <v>43884.057962962965</v>
      </c>
      <c r="B3494" t="str">
        <f>HYPERLINK("https://twitter.com/RullyTawang","@RullyTawang")</f>
        <v>@RullyTawang</v>
      </c>
      <c r="C3494" t="s">
        <v>2841</v>
      </c>
      <c r="D3494">
        <v>9</v>
      </c>
      <c r="E3494">
        <v>0</v>
      </c>
      <c r="F3494">
        <v>693</v>
      </c>
    </row>
    <row r="3495" spans="1:6" ht="12.75">
      <c r="A3495" s="2">
        <v>43884.056296296301</v>
      </c>
      <c r="B3495" t="str">
        <f>HYPERLINK("https://twitter.com/rizki_50","@rizki_50")</f>
        <v>@rizki_50</v>
      </c>
      <c r="C3495" t="s">
        <v>2153</v>
      </c>
      <c r="D3495">
        <v>102</v>
      </c>
      <c r="E3495">
        <v>0</v>
      </c>
      <c r="F3495">
        <v>2049</v>
      </c>
    </row>
    <row r="3496" spans="1:6" ht="12.75">
      <c r="A3496" s="2">
        <v>43884.054479166662</v>
      </c>
      <c r="B3496" t="str">
        <f>HYPERLINK("https://twitter.com/Marzuqi_Greget","@Marzuqi_Greget")</f>
        <v>@Marzuqi_Greget</v>
      </c>
      <c r="C3496" t="s">
        <v>3185</v>
      </c>
      <c r="D3496">
        <v>0</v>
      </c>
      <c r="E3496">
        <v>0</v>
      </c>
      <c r="F3496">
        <v>247</v>
      </c>
    </row>
    <row r="3497" spans="1:6" ht="12.75">
      <c r="A3497" s="2">
        <v>43884.051875000005</v>
      </c>
      <c r="B3497" t="str">
        <f>HYPERLINK("https://twitter.com/JokoPinokio","@JokoPinokio")</f>
        <v>@JokoPinokio</v>
      </c>
      <c r="C3497" t="s">
        <v>2153</v>
      </c>
      <c r="D3497">
        <v>102</v>
      </c>
      <c r="E3497">
        <v>0</v>
      </c>
      <c r="F3497">
        <v>766</v>
      </c>
    </row>
    <row r="3498" spans="1:6" ht="12.75">
      <c r="A3498" s="2">
        <v>43884.048043981486</v>
      </c>
      <c r="B3498" t="str">
        <f>HYPERLINK("https://twitter.com/dyahwie","@dyahwie")</f>
        <v>@dyahwie</v>
      </c>
      <c r="C3498" t="s">
        <v>3186</v>
      </c>
      <c r="D3498">
        <v>0</v>
      </c>
      <c r="E3498">
        <v>0</v>
      </c>
      <c r="F3498">
        <v>966</v>
      </c>
    </row>
    <row r="3499" spans="1:6" ht="12.75">
      <c r="A3499" s="2">
        <v>43884.047708333332</v>
      </c>
      <c r="B3499" t="str">
        <f>HYPERLINK("https://twitter.com/Sandy_ervandi","@Sandy_ervandi")</f>
        <v>@Sandy_ervandi</v>
      </c>
      <c r="C3499" t="s">
        <v>2154</v>
      </c>
      <c r="D3499">
        <v>45</v>
      </c>
      <c r="E3499">
        <v>0</v>
      </c>
      <c r="F3499">
        <v>98</v>
      </c>
    </row>
    <row r="3500" spans="1:6" ht="12.75">
      <c r="A3500" s="2">
        <v>43884.045289351852</v>
      </c>
      <c r="B3500" t="str">
        <f t="shared" ref="B3500:B3501" si="76">HYPERLINK("https://twitter.com/zupatista","@zupatista")</f>
        <v>@zupatista</v>
      </c>
      <c r="C3500" t="s">
        <v>2153</v>
      </c>
      <c r="D3500">
        <v>102</v>
      </c>
      <c r="E3500">
        <v>0</v>
      </c>
      <c r="F3500">
        <v>76</v>
      </c>
    </row>
    <row r="3501" spans="1:6" ht="12.75">
      <c r="A3501" s="2">
        <v>43884.04482638889</v>
      </c>
      <c r="B3501" t="str">
        <f t="shared" si="76"/>
        <v>@zupatista</v>
      </c>
      <c r="C3501" t="s">
        <v>2841</v>
      </c>
      <c r="D3501">
        <v>9</v>
      </c>
      <c r="E3501">
        <v>0</v>
      </c>
      <c r="F3501">
        <v>76</v>
      </c>
    </row>
    <row r="3502" spans="1:6" ht="12.75">
      <c r="A3502" s="2">
        <v>43884.04409722222</v>
      </c>
      <c r="B3502" t="str">
        <f>HYPERLINK("https://twitter.com/Ayiev_akbar","@Ayiev_akbar")</f>
        <v>@Ayiev_akbar</v>
      </c>
      <c r="C3502" t="s">
        <v>2153</v>
      </c>
      <c r="D3502">
        <v>102</v>
      </c>
      <c r="E3502">
        <v>0</v>
      </c>
      <c r="F3502">
        <v>298</v>
      </c>
    </row>
    <row r="3503" spans="1:6" ht="12.75">
      <c r="A3503" s="2">
        <v>43884.043136574073</v>
      </c>
      <c r="B3503" t="str">
        <f>HYPERLINK("https://twitter.com/heri_ranintaqi","@heri_ranintaqi")</f>
        <v>@heri_ranintaqi</v>
      </c>
      <c r="C3503" t="s">
        <v>2153</v>
      </c>
      <c r="D3503">
        <v>89</v>
      </c>
      <c r="E3503">
        <v>0</v>
      </c>
      <c r="F3503">
        <v>279</v>
      </c>
    </row>
    <row r="3504" spans="1:6" ht="12.75">
      <c r="A3504" s="2">
        <v>43884.042928240742</v>
      </c>
      <c r="B3504" t="str">
        <f>HYPERLINK("https://twitter.com/paykid","@paykid")</f>
        <v>@paykid</v>
      </c>
      <c r="C3504" t="s">
        <v>3187</v>
      </c>
      <c r="D3504">
        <v>0</v>
      </c>
      <c r="E3504">
        <v>0</v>
      </c>
      <c r="F3504">
        <v>164</v>
      </c>
    </row>
    <row r="3505" spans="1:6" ht="12.75">
      <c r="A3505" s="2">
        <v>43884.042511574073</v>
      </c>
      <c r="B3505" t="str">
        <f>HYPERLINK("https://twitter.com/HDHKusuma","@HDHKusuma")</f>
        <v>@HDHKusuma</v>
      </c>
      <c r="C3505" t="s">
        <v>3188</v>
      </c>
      <c r="D3505">
        <v>0</v>
      </c>
      <c r="E3505">
        <v>0</v>
      </c>
      <c r="F3505">
        <v>59</v>
      </c>
    </row>
    <row r="3506" spans="1:6" ht="12.75">
      <c r="A3506" s="2">
        <v>43884.041932870372</v>
      </c>
      <c r="B3506" t="str">
        <f>HYPERLINK("https://twitter.com/Dukun081","@Dukun081")</f>
        <v>@Dukun081</v>
      </c>
      <c r="C3506" t="s">
        <v>2153</v>
      </c>
      <c r="D3506">
        <v>89</v>
      </c>
      <c r="E3506">
        <v>0</v>
      </c>
      <c r="F3506">
        <v>970</v>
      </c>
    </row>
    <row r="3507" spans="1:6" ht="12.75">
      <c r="A3507" s="2">
        <v>43884.040844907402</v>
      </c>
      <c r="B3507" t="str">
        <f>HYPERLINK("https://twitter.com/Din034","@Din034")</f>
        <v>@Din034</v>
      </c>
      <c r="C3507" t="s">
        <v>2153</v>
      </c>
      <c r="D3507">
        <v>89</v>
      </c>
      <c r="E3507">
        <v>0</v>
      </c>
      <c r="F3507">
        <v>18</v>
      </c>
    </row>
    <row r="3508" spans="1:6" ht="12.75">
      <c r="A3508" s="2">
        <v>43884.04069444444</v>
      </c>
      <c r="B3508" t="str">
        <f>HYPERLINK("https://twitter.com/VannyCaroline5","@VannyCaroline5")</f>
        <v>@VannyCaroline5</v>
      </c>
      <c r="C3508" t="s">
        <v>3189</v>
      </c>
      <c r="D3508">
        <v>0</v>
      </c>
      <c r="E3508">
        <v>0</v>
      </c>
      <c r="F3508">
        <v>0</v>
      </c>
    </row>
    <row r="3509" spans="1:6" ht="12.75">
      <c r="A3509" s="2">
        <v>43884.038761574076</v>
      </c>
      <c r="B3509" t="str">
        <f>HYPERLINK("https://twitter.com/sinaga_sully","@sinaga_sully")</f>
        <v>@sinaga_sully</v>
      </c>
      <c r="C3509" t="s">
        <v>2153</v>
      </c>
      <c r="D3509">
        <v>89</v>
      </c>
      <c r="E3509">
        <v>0</v>
      </c>
      <c r="F3509">
        <v>94</v>
      </c>
    </row>
    <row r="3510" spans="1:6" ht="12.75">
      <c r="A3510" s="2">
        <v>43884.03842592593</v>
      </c>
      <c r="B3510" t="str">
        <f>HYPERLINK("https://twitter.com/bedul_yoyoy","@bedul_yoyoy")</f>
        <v>@bedul_yoyoy</v>
      </c>
      <c r="C3510" t="s">
        <v>2153</v>
      </c>
      <c r="D3510">
        <v>89</v>
      </c>
      <c r="E3510">
        <v>0</v>
      </c>
      <c r="F3510">
        <v>15</v>
      </c>
    </row>
    <row r="3511" spans="1:6" ht="12.75">
      <c r="A3511" s="2">
        <v>43884.037627314814</v>
      </c>
      <c r="B3511" t="str">
        <f>HYPERLINK("https://twitter.com/imafaaaa","@imafaaaa")</f>
        <v>@imafaaaa</v>
      </c>
      <c r="C3511" t="s">
        <v>3190</v>
      </c>
      <c r="D3511">
        <v>0</v>
      </c>
      <c r="E3511">
        <v>0</v>
      </c>
      <c r="F3511">
        <v>71</v>
      </c>
    </row>
    <row r="3512" spans="1:6" ht="12.75">
      <c r="A3512" s="2">
        <v>43884.036446759259</v>
      </c>
      <c r="B3512" t="str">
        <f>HYPERLINK("https://twitter.com/demoSoCRAZY","@demoSoCRAZY")</f>
        <v>@demoSoCRAZY</v>
      </c>
      <c r="C3512" t="s">
        <v>2153</v>
      </c>
      <c r="D3512">
        <v>89</v>
      </c>
      <c r="E3512">
        <v>0</v>
      </c>
      <c r="F3512">
        <v>5425</v>
      </c>
    </row>
    <row r="3513" spans="1:6" ht="12.75">
      <c r="A3513" s="2">
        <v>43884.035127314812</v>
      </c>
      <c r="B3513" t="str">
        <f>HYPERLINK("https://twitter.com/usroh2014","@usroh2014")</f>
        <v>@usroh2014</v>
      </c>
      <c r="C3513" t="s">
        <v>2153</v>
      </c>
      <c r="D3513">
        <v>89</v>
      </c>
      <c r="E3513">
        <v>0</v>
      </c>
      <c r="F3513">
        <v>77</v>
      </c>
    </row>
    <row r="3514" spans="1:6" ht="12.75">
      <c r="A3514" s="2">
        <v>43884.034548611111</v>
      </c>
      <c r="B3514" t="str">
        <f>HYPERLINK("https://twitter.com/Official_OGI","@Official_OGI")</f>
        <v>@Official_OGI</v>
      </c>
      <c r="C3514" t="s">
        <v>2153</v>
      </c>
      <c r="D3514">
        <v>89</v>
      </c>
      <c r="E3514">
        <v>0</v>
      </c>
      <c r="F3514">
        <v>1121</v>
      </c>
    </row>
    <row r="3515" spans="1:6" ht="12.75">
      <c r="A3515" s="2">
        <v>43884.034525462965</v>
      </c>
      <c r="B3515" t="str">
        <f>HYPERLINK("https://twitter.com/MrPimen","@MrPimen")</f>
        <v>@MrPimen</v>
      </c>
      <c r="C3515" t="s">
        <v>3191</v>
      </c>
      <c r="D3515">
        <v>5</v>
      </c>
      <c r="E3515">
        <v>0</v>
      </c>
      <c r="F3515">
        <v>288</v>
      </c>
    </row>
    <row r="3516" spans="1:6" ht="12.75">
      <c r="A3516" s="2">
        <v>43884.033391203702</v>
      </c>
      <c r="B3516" t="str">
        <f>HYPERLINK("https://twitter.com/Haluan_","@Haluan_")</f>
        <v>@Haluan_</v>
      </c>
      <c r="C3516" t="s">
        <v>3192</v>
      </c>
      <c r="D3516">
        <v>0</v>
      </c>
      <c r="E3516">
        <v>0</v>
      </c>
      <c r="F3516">
        <v>1486</v>
      </c>
    </row>
    <row r="3517" spans="1:6" ht="12.75">
      <c r="A3517" s="2">
        <v>43884.031504629631</v>
      </c>
      <c r="B3517" t="str">
        <f>HYPERLINK("https://twitter.com/Raditya14232114","@Raditya14232114")</f>
        <v>@Raditya14232114</v>
      </c>
      <c r="C3517" t="s">
        <v>2153</v>
      </c>
      <c r="D3517">
        <v>89</v>
      </c>
      <c r="E3517">
        <v>0</v>
      </c>
      <c r="F3517">
        <v>147</v>
      </c>
    </row>
    <row r="3518" spans="1:6" ht="12.75">
      <c r="A3518" s="2">
        <v>43884.031145833331</v>
      </c>
      <c r="B3518" t="str">
        <f>HYPERLINK("https://twitter.com/mundsir","@mundsir")</f>
        <v>@mundsir</v>
      </c>
      <c r="C3518" t="s">
        <v>2153</v>
      </c>
      <c r="D3518">
        <v>89</v>
      </c>
      <c r="E3518">
        <v>0</v>
      </c>
      <c r="F3518">
        <v>68</v>
      </c>
    </row>
    <row r="3519" spans="1:6" ht="12.75">
      <c r="A3519" s="2">
        <v>43884.030995370369</v>
      </c>
      <c r="B3519" t="str">
        <f>HYPERLINK("https://twitter.com/gowestmor","@gowestmor")</f>
        <v>@gowestmor</v>
      </c>
      <c r="C3519" t="s">
        <v>2154</v>
      </c>
      <c r="D3519">
        <v>44</v>
      </c>
      <c r="E3519">
        <v>0</v>
      </c>
      <c r="F3519">
        <v>1579</v>
      </c>
    </row>
    <row r="3520" spans="1:6" ht="12.75">
      <c r="A3520" s="2">
        <v>43884.027199074073</v>
      </c>
      <c r="B3520" t="str">
        <f>HYPERLINK("https://twitter.com/Aprilaza3","@Aprilaza3")</f>
        <v>@Aprilaza3</v>
      </c>
      <c r="C3520" t="s">
        <v>3193</v>
      </c>
      <c r="D3520">
        <v>5</v>
      </c>
      <c r="E3520">
        <v>0</v>
      </c>
      <c r="F3520">
        <v>2994</v>
      </c>
    </row>
    <row r="3521" spans="1:6" ht="12.75">
      <c r="A3521" s="2">
        <v>43884.026689814811</v>
      </c>
      <c r="B3521" t="str">
        <f>HYPERLINK("https://twitter.com/IbhamJ","@IbhamJ")</f>
        <v>@IbhamJ</v>
      </c>
      <c r="C3521" t="s">
        <v>2153</v>
      </c>
      <c r="D3521">
        <v>89</v>
      </c>
      <c r="E3521">
        <v>0</v>
      </c>
      <c r="F3521">
        <v>767</v>
      </c>
    </row>
    <row r="3522" spans="1:6" ht="12.75">
      <c r="A3522" s="2">
        <v>43884.025821759264</v>
      </c>
      <c r="B3522" t="str">
        <f>HYPERLINK("https://twitter.com/yawdtwitta","@yawdtwitta")</f>
        <v>@yawdtwitta</v>
      </c>
      <c r="C3522" t="s">
        <v>3194</v>
      </c>
      <c r="D3522">
        <v>0</v>
      </c>
      <c r="E3522">
        <v>1</v>
      </c>
      <c r="F3522">
        <v>1677</v>
      </c>
    </row>
    <row r="3523" spans="1:6" ht="12.75">
      <c r="A3523" s="2">
        <v>43884.025810185187</v>
      </c>
      <c r="B3523" t="str">
        <f t="shared" ref="B3523:B3524" si="77">HYPERLINK("https://twitter.com/aknrx","@aknrx")</f>
        <v>@aknrx</v>
      </c>
      <c r="C3523" t="s">
        <v>3195</v>
      </c>
      <c r="D3523">
        <v>1</v>
      </c>
      <c r="E3523">
        <v>0</v>
      </c>
      <c r="F3523">
        <v>5222</v>
      </c>
    </row>
    <row r="3524" spans="1:6" ht="12.75">
      <c r="A3524" s="2">
        <v>43884.025729166664</v>
      </c>
      <c r="B3524" t="str">
        <f t="shared" si="77"/>
        <v>@aknrx</v>
      </c>
      <c r="C3524" t="s">
        <v>3196</v>
      </c>
      <c r="D3524">
        <v>1</v>
      </c>
      <c r="E3524">
        <v>0</v>
      </c>
      <c r="F3524">
        <v>5222</v>
      </c>
    </row>
    <row r="3525" spans="1:6" ht="12.75">
      <c r="A3525" s="2">
        <v>43884.024826388893</v>
      </c>
      <c r="B3525" t="str">
        <f>HYPERLINK("https://twitter.com/AnnaVLee","@AnnaVLee")</f>
        <v>@AnnaVLee</v>
      </c>
      <c r="C3525" t="s">
        <v>3197</v>
      </c>
      <c r="D3525">
        <v>3</v>
      </c>
      <c r="E3525">
        <v>0</v>
      </c>
      <c r="F3525">
        <v>177</v>
      </c>
    </row>
    <row r="3526" spans="1:6" ht="12.75">
      <c r="A3526" s="2">
        <v>43884.02449074074</v>
      </c>
      <c r="B3526" t="str">
        <f>HYPERLINK("https://twitter.com/rofiqma_mun","@rofiqma_mun")</f>
        <v>@rofiqma_mun</v>
      </c>
      <c r="C3526" t="s">
        <v>3193</v>
      </c>
      <c r="D3526">
        <v>5</v>
      </c>
      <c r="E3526">
        <v>0</v>
      </c>
      <c r="F3526">
        <v>1321</v>
      </c>
    </row>
    <row r="3527" spans="1:6" ht="12.75">
      <c r="A3527" s="2">
        <v>43884.023055555561</v>
      </c>
      <c r="B3527" t="str">
        <f>HYPERLINK("https://twitter.com/RezaMrc786","@RezaMrc786")</f>
        <v>@RezaMrc786</v>
      </c>
      <c r="C3527" t="s">
        <v>2153</v>
      </c>
      <c r="D3527">
        <v>89</v>
      </c>
      <c r="E3527">
        <v>0</v>
      </c>
      <c r="F3527">
        <v>292</v>
      </c>
    </row>
    <row r="3528" spans="1:6" ht="12.75">
      <c r="A3528" s="2">
        <v>43884.022453703699</v>
      </c>
      <c r="B3528" t="str">
        <f>HYPERLINK("https://twitter.com/nabubul","@nabubul")</f>
        <v>@nabubul</v>
      </c>
      <c r="C3528" t="s">
        <v>2087</v>
      </c>
      <c r="D3528">
        <v>55</v>
      </c>
      <c r="E3528">
        <v>0</v>
      </c>
      <c r="F3528">
        <v>382</v>
      </c>
    </row>
    <row r="3529" spans="1:6" ht="12.75">
      <c r="A3529" s="2">
        <v>43884.021064814813</v>
      </c>
      <c r="B3529" t="str">
        <f>HYPERLINK("https://twitter.com/BangNe0","@BangNe0")</f>
        <v>@BangNe0</v>
      </c>
      <c r="C3529" t="s">
        <v>2153</v>
      </c>
      <c r="D3529">
        <v>89</v>
      </c>
      <c r="E3529">
        <v>0</v>
      </c>
      <c r="F3529">
        <v>518</v>
      </c>
    </row>
    <row r="3530" spans="1:6" ht="12.75">
      <c r="A3530" s="2">
        <v>43884.019953703704</v>
      </c>
      <c r="B3530" t="str">
        <f>HYPERLINK("https://twitter.com/nobrega_isis","@nobrega_isis")</f>
        <v>@nobrega_isis</v>
      </c>
      <c r="C3530" t="s">
        <v>3198</v>
      </c>
      <c r="D3530">
        <v>0</v>
      </c>
      <c r="E3530">
        <v>0</v>
      </c>
      <c r="F3530">
        <v>10</v>
      </c>
    </row>
    <row r="3531" spans="1:6" ht="12.75">
      <c r="A3531" s="2">
        <v>43884.019942129627</v>
      </c>
      <c r="B3531" t="str">
        <f>HYPERLINK("https://twitter.com/jonmoor30270234","@jonmoor30270234")</f>
        <v>@jonmoor30270234</v>
      </c>
      <c r="C3531" t="s">
        <v>3199</v>
      </c>
      <c r="D3531">
        <v>0</v>
      </c>
      <c r="E3531">
        <v>0</v>
      </c>
      <c r="F3531">
        <v>1</v>
      </c>
    </row>
    <row r="3532" spans="1:6" ht="12.75">
      <c r="A3532" s="2">
        <v>43884.018831018519</v>
      </c>
      <c r="B3532" t="str">
        <f>HYPERLINK("https://twitter.com/Erwanto65753282","@Erwanto65753282")</f>
        <v>@Erwanto65753282</v>
      </c>
      <c r="C3532" t="s">
        <v>2083</v>
      </c>
      <c r="D3532">
        <v>554</v>
      </c>
      <c r="E3532">
        <v>0</v>
      </c>
      <c r="F3532">
        <v>384</v>
      </c>
    </row>
    <row r="3533" spans="1:6" ht="12.75">
      <c r="A3533" s="2">
        <v>43884.01762731481</v>
      </c>
      <c r="B3533" t="str">
        <f>HYPERLINK("https://twitter.com/erroyh","@erroyh")</f>
        <v>@erroyh</v>
      </c>
      <c r="C3533" t="s">
        <v>3200</v>
      </c>
      <c r="D3533">
        <v>0</v>
      </c>
      <c r="E3533">
        <v>0</v>
      </c>
      <c r="F3533">
        <v>1139</v>
      </c>
    </row>
    <row r="3534" spans="1:6" ht="12.75">
      <c r="A3534" s="2">
        <v>43884.017430555556</v>
      </c>
      <c r="B3534" t="str">
        <f>HYPERLINK("https://twitter.com/arifhdyanto","@arifhdyanto")</f>
        <v>@arifhdyanto</v>
      </c>
      <c r="C3534" t="s">
        <v>2153</v>
      </c>
      <c r="D3534">
        <v>89</v>
      </c>
      <c r="E3534">
        <v>0</v>
      </c>
      <c r="F3534">
        <v>113</v>
      </c>
    </row>
    <row r="3535" spans="1:6" ht="12.75">
      <c r="A3535" s="2">
        <v>43884.016782407409</v>
      </c>
      <c r="B3535" t="str">
        <f>HYPERLINK("https://twitter.com/reno_2","@reno_2")</f>
        <v>@reno_2</v>
      </c>
      <c r="C3535" t="s">
        <v>3201</v>
      </c>
      <c r="D3535">
        <v>0</v>
      </c>
      <c r="E3535">
        <v>0</v>
      </c>
      <c r="F3535">
        <v>3754</v>
      </c>
    </row>
    <row r="3536" spans="1:6" ht="12.75">
      <c r="A3536" s="2">
        <v>43884.016724537039</v>
      </c>
      <c r="B3536" t="str">
        <f>HYPERLINK("https://twitter.com/Mohdfaiz13","@Mohdfaiz13")</f>
        <v>@Mohdfaiz13</v>
      </c>
      <c r="C3536" t="s">
        <v>3125</v>
      </c>
      <c r="D3536">
        <v>2</v>
      </c>
      <c r="E3536">
        <v>0</v>
      </c>
      <c r="F3536">
        <v>2628</v>
      </c>
    </row>
    <row r="3537" spans="1:6" ht="12.75">
      <c r="A3537" s="2">
        <v>43884.016655092593</v>
      </c>
      <c r="B3537" t="str">
        <f>HYPERLINK("https://twitter.com/Desrianti_04","@Desrianti_04")</f>
        <v>@Desrianti_04</v>
      </c>
      <c r="C3537" t="s">
        <v>3202</v>
      </c>
      <c r="D3537">
        <v>7</v>
      </c>
      <c r="E3537">
        <v>0</v>
      </c>
      <c r="F3537">
        <v>368</v>
      </c>
    </row>
    <row r="3538" spans="1:6" ht="12.75">
      <c r="A3538" s="2">
        <v>43884.016041666662</v>
      </c>
      <c r="B3538" t="str">
        <f>HYPERLINK("https://twitter.com/Mohdfaiz13","@Mohdfaiz13")</f>
        <v>@Mohdfaiz13</v>
      </c>
      <c r="C3538" t="s">
        <v>3203</v>
      </c>
      <c r="D3538">
        <v>4</v>
      </c>
      <c r="E3538">
        <v>0</v>
      </c>
      <c r="F3538">
        <v>2628</v>
      </c>
    </row>
    <row r="3539" spans="1:6" ht="12.75">
      <c r="A3539" s="2">
        <v>43884.01599537037</v>
      </c>
      <c r="B3539" t="str">
        <f>HYPERLINK("https://twitter.com/UmarAlMarosy","@UmarAlMarosy")</f>
        <v>@UmarAlMarosy</v>
      </c>
      <c r="C3539" t="s">
        <v>2153</v>
      </c>
      <c r="D3539">
        <v>89</v>
      </c>
      <c r="E3539">
        <v>0</v>
      </c>
      <c r="F3539">
        <v>243</v>
      </c>
    </row>
    <row r="3540" spans="1:6" ht="12.75">
      <c r="A3540" s="2">
        <v>43884.013460648144</v>
      </c>
      <c r="B3540" t="str">
        <f>HYPERLINK("https://twitter.com/kicepkicep","@kicepkicep")</f>
        <v>@kicepkicep</v>
      </c>
      <c r="C3540" t="s">
        <v>2153</v>
      </c>
      <c r="D3540">
        <v>89</v>
      </c>
      <c r="E3540">
        <v>0</v>
      </c>
      <c r="F3540">
        <v>1221</v>
      </c>
    </row>
    <row r="3541" spans="1:6" ht="12.75">
      <c r="A3541" s="2">
        <v>43884.013090277775</v>
      </c>
      <c r="B3541" t="str">
        <f>HYPERLINK("https://twitter.com/FerryWachjudi","@FerryWachjudi")</f>
        <v>@FerryWachjudi</v>
      </c>
      <c r="C3541" t="s">
        <v>2153</v>
      </c>
      <c r="D3541">
        <v>89</v>
      </c>
      <c r="E3541">
        <v>0</v>
      </c>
      <c r="F3541">
        <v>368</v>
      </c>
    </row>
    <row r="3542" spans="1:6" ht="12.75">
      <c r="A3542" s="2">
        <v>43884.012766203705</v>
      </c>
      <c r="B3542" t="str">
        <f>HYPERLINK("https://twitter.com/Yudhanu30921455","@Yudhanu30921455")</f>
        <v>@Yudhanu30921455</v>
      </c>
      <c r="C3542" t="s">
        <v>2153</v>
      </c>
      <c r="D3542">
        <v>89</v>
      </c>
      <c r="E3542">
        <v>0</v>
      </c>
      <c r="F3542">
        <v>233</v>
      </c>
    </row>
    <row r="3543" spans="1:6" ht="12.75">
      <c r="A3543" s="2">
        <v>43884.012025462958</v>
      </c>
      <c r="B3543" t="str">
        <f>HYPERLINK("https://twitter.com/mattsofi","@mattsofi")</f>
        <v>@mattsofi</v>
      </c>
      <c r="C3543" t="s">
        <v>3204</v>
      </c>
      <c r="D3543">
        <v>4</v>
      </c>
      <c r="E3543">
        <v>0</v>
      </c>
      <c r="F3543">
        <v>2167</v>
      </c>
    </row>
    <row r="3544" spans="1:6" ht="12.75">
      <c r="A3544" s="2">
        <v>43884.01153935185</v>
      </c>
      <c r="B3544" t="str">
        <f>HYPERLINK("https://twitter.com/bgDG_Stream","@bgDG_Stream")</f>
        <v>@bgDG_Stream</v>
      </c>
      <c r="C3544" t="s">
        <v>2153</v>
      </c>
      <c r="D3544">
        <v>89</v>
      </c>
      <c r="E3544">
        <v>0</v>
      </c>
      <c r="F3544">
        <v>243</v>
      </c>
    </row>
    <row r="3545" spans="1:6" ht="12.75">
      <c r="A3545" s="2">
        <v>43884.010937500003</v>
      </c>
      <c r="B3545" t="str">
        <f>HYPERLINK("https://twitter.com/Muhamdani84","@Muhamdani84")</f>
        <v>@Muhamdani84</v>
      </c>
      <c r="C3545" t="s">
        <v>3205</v>
      </c>
      <c r="D3545">
        <v>0</v>
      </c>
      <c r="E3545">
        <v>0</v>
      </c>
      <c r="F3545">
        <v>275</v>
      </c>
    </row>
    <row r="3546" spans="1:6" ht="12.75">
      <c r="A3546" s="2">
        <v>43884.010138888887</v>
      </c>
      <c r="B3546" t="str">
        <f>HYPERLINK("https://twitter.com/andi_achilles","@andi_achilles")</f>
        <v>@andi_achilles</v>
      </c>
      <c r="C3546" t="s">
        <v>2153</v>
      </c>
      <c r="D3546">
        <v>89</v>
      </c>
      <c r="E3546">
        <v>0</v>
      </c>
      <c r="F3546">
        <v>1287</v>
      </c>
    </row>
    <row r="3547" spans="1:6" ht="12.75">
      <c r="A3547" s="2">
        <v>43884.009988425925</v>
      </c>
      <c r="B3547" t="str">
        <f>HYPERLINK("https://twitter.com/YameenChan","@YameenChan")</f>
        <v>@YameenChan</v>
      </c>
      <c r="C3547" t="s">
        <v>2153</v>
      </c>
      <c r="D3547">
        <v>89</v>
      </c>
      <c r="E3547">
        <v>0</v>
      </c>
      <c r="F3547">
        <v>385</v>
      </c>
    </row>
    <row r="3548" spans="1:6" ht="12.75">
      <c r="A3548" s="2">
        <v>43884.009895833333</v>
      </c>
      <c r="B3548" t="str">
        <f>HYPERLINK("https://twitter.com/Socotra10603047","@Socotra10603047")</f>
        <v>@Socotra10603047</v>
      </c>
      <c r="C3548" t="s">
        <v>2153</v>
      </c>
      <c r="D3548">
        <v>89</v>
      </c>
      <c r="E3548">
        <v>0</v>
      </c>
      <c r="F3548">
        <v>5242</v>
      </c>
    </row>
    <row r="3549" spans="1:6" ht="12.75">
      <c r="A3549" s="2">
        <v>43884.008009259254</v>
      </c>
      <c r="B3549" t="str">
        <f>HYPERLINK("https://twitter.com/meniik","@meniik")</f>
        <v>@meniik</v>
      </c>
      <c r="C3549" t="s">
        <v>2087</v>
      </c>
      <c r="D3549">
        <v>55</v>
      </c>
      <c r="E3549">
        <v>0</v>
      </c>
      <c r="F3549">
        <v>317</v>
      </c>
    </row>
    <row r="3550" spans="1:6" ht="12.75">
      <c r="A3550" s="2">
        <v>43884.007974537039</v>
      </c>
      <c r="B3550" t="str">
        <f>HYPERLINK("https://twitter.com/abdulla41734805","@abdulla41734805")</f>
        <v>@abdulla41734805</v>
      </c>
      <c r="C3550" t="s">
        <v>3206</v>
      </c>
      <c r="D3550">
        <v>0</v>
      </c>
      <c r="E3550">
        <v>0</v>
      </c>
      <c r="F3550">
        <v>19</v>
      </c>
    </row>
    <row r="3551" spans="1:6" ht="12.75">
      <c r="A3551" s="2">
        <v>43884.007222222222</v>
      </c>
      <c r="B3551" t="str">
        <f>HYPERLINK("https://twitter.com/lonewolf_AJ","@lonewolf_AJ")</f>
        <v>@lonewolf_AJ</v>
      </c>
      <c r="C3551" t="s">
        <v>3207</v>
      </c>
      <c r="D3551">
        <v>0</v>
      </c>
      <c r="E3551">
        <v>0</v>
      </c>
      <c r="F3551">
        <v>4</v>
      </c>
    </row>
    <row r="3552" spans="1:6" ht="12.75">
      <c r="A3552" s="2">
        <v>43884.006215277783</v>
      </c>
      <c r="B3552" t="str">
        <f>HYPERLINK("https://twitter.com/AgusbudiSs79","@AgusbudiSs79")</f>
        <v>@AgusbudiSs79</v>
      </c>
      <c r="C3552" t="s">
        <v>2841</v>
      </c>
      <c r="D3552">
        <v>7</v>
      </c>
      <c r="E3552">
        <v>0</v>
      </c>
      <c r="F3552">
        <v>326</v>
      </c>
    </row>
    <row r="3553" spans="1:6" ht="12.75">
      <c r="A3553" s="2">
        <v>43884.004386574074</v>
      </c>
      <c r="B3553" t="str">
        <f>HYPERLINK("https://twitter.com/saul_we","@saul_we")</f>
        <v>@saul_we</v>
      </c>
      <c r="C3553" t="s">
        <v>3208</v>
      </c>
      <c r="D3553">
        <v>1</v>
      </c>
      <c r="E3553">
        <v>0</v>
      </c>
      <c r="F3553">
        <v>1020</v>
      </c>
    </row>
    <row r="3554" spans="1:6" ht="12.75">
      <c r="A3554" s="2">
        <v>43884.003796296296</v>
      </c>
      <c r="B3554" t="str">
        <f>HYPERLINK("https://twitter.com/mrpaku_87","@mrpaku_87")</f>
        <v>@mrpaku_87</v>
      </c>
      <c r="C3554" t="s">
        <v>3209</v>
      </c>
      <c r="D3554">
        <v>6</v>
      </c>
      <c r="E3554">
        <v>0</v>
      </c>
      <c r="F3554">
        <v>145</v>
      </c>
    </row>
    <row r="3555" spans="1:6" ht="12.75">
      <c r="A3555" s="2">
        <v>43884.00172453704</v>
      </c>
      <c r="B3555" t="str">
        <f>HYPERLINK("https://twitter.com/JAP_2018","@JAP_2018")</f>
        <v>@JAP_2018</v>
      </c>
      <c r="C3555" t="s">
        <v>3210</v>
      </c>
      <c r="D3555">
        <v>1</v>
      </c>
      <c r="E3555">
        <v>0</v>
      </c>
      <c r="F3555">
        <v>1009</v>
      </c>
    </row>
    <row r="3556" spans="1:6" ht="12.75">
      <c r="A3556" s="2">
        <v>43884.001296296294</v>
      </c>
      <c r="B3556" t="str">
        <f>HYPERLINK("https://twitter.com/BillTemporo","@BillTemporo")</f>
        <v>@BillTemporo</v>
      </c>
      <c r="C3556" t="s">
        <v>832</v>
      </c>
      <c r="D3556">
        <v>0</v>
      </c>
      <c r="E3556">
        <v>0</v>
      </c>
      <c r="F3556">
        <v>11</v>
      </c>
    </row>
    <row r="3557" spans="1:6" ht="12.75">
      <c r="A3557" s="2">
        <v>43884.001157407409</v>
      </c>
      <c r="B3557" t="str">
        <f>HYPERLINK("https://twitter.com/Ungkapkan3","@Ungkapkan3")</f>
        <v>@Ungkapkan3</v>
      </c>
      <c r="C3557" t="s">
        <v>3211</v>
      </c>
      <c r="D3557">
        <v>0</v>
      </c>
      <c r="E3557">
        <v>0</v>
      </c>
      <c r="F3557">
        <v>7042</v>
      </c>
    </row>
    <row r="3558" spans="1:6" ht="12.75">
      <c r="A3558" s="2">
        <v>43884.000150462962</v>
      </c>
      <c r="B3558" t="str">
        <f>HYPERLINK("https://twitter.com/abdulla41734805","@abdulla41734805")</f>
        <v>@abdulla41734805</v>
      </c>
      <c r="C3558" t="s">
        <v>3212</v>
      </c>
      <c r="D3558">
        <v>0</v>
      </c>
      <c r="E3558">
        <v>0</v>
      </c>
      <c r="F3558">
        <v>19</v>
      </c>
    </row>
    <row r="3559" spans="1:6" ht="12.75">
      <c r="A3559" s="2">
        <v>43883.999664351853</v>
      </c>
      <c r="B3559" t="str">
        <f>HYPERLINK("https://twitter.com/RouterKings","@RouterKings")</f>
        <v>@RouterKings</v>
      </c>
      <c r="C3559" t="s">
        <v>3213</v>
      </c>
      <c r="D3559">
        <v>0</v>
      </c>
      <c r="E3559">
        <v>0</v>
      </c>
      <c r="F3559">
        <v>39</v>
      </c>
    </row>
    <row r="3560" spans="1:6" ht="12.75">
      <c r="A3560" s="2">
        <v>43883.997847222221</v>
      </c>
      <c r="B3560" t="str">
        <f>HYPERLINK("https://twitter.com/11brantakan","@11brantakan")</f>
        <v>@11brantakan</v>
      </c>
      <c r="C3560" t="s">
        <v>2153</v>
      </c>
      <c r="D3560">
        <v>66</v>
      </c>
      <c r="E3560">
        <v>0</v>
      </c>
      <c r="F3560">
        <v>357</v>
      </c>
    </row>
    <row r="3561" spans="1:6" ht="12.75">
      <c r="A3561" s="2">
        <v>43883.997789351852</v>
      </c>
      <c r="B3561" t="str">
        <f>HYPERLINK("https://twitter.com/LegiminYahya","@LegiminYahya")</f>
        <v>@LegiminYahya</v>
      </c>
      <c r="C3561" t="s">
        <v>2153</v>
      </c>
      <c r="D3561">
        <v>66</v>
      </c>
      <c r="E3561">
        <v>0</v>
      </c>
      <c r="F3561">
        <v>270</v>
      </c>
    </row>
    <row r="3562" spans="1:6" ht="12.75">
      <c r="A3562" s="2">
        <v>43883.997025462959</v>
      </c>
      <c r="B3562" t="str">
        <f>HYPERLINK("https://twitter.com/EmmySumangkut","@EmmySumangkut")</f>
        <v>@EmmySumangkut</v>
      </c>
      <c r="C3562" t="s">
        <v>3214</v>
      </c>
      <c r="D3562">
        <v>0</v>
      </c>
      <c r="E3562">
        <v>0</v>
      </c>
      <c r="F3562">
        <v>1312</v>
      </c>
    </row>
    <row r="3563" spans="1:6" ht="12.75">
      <c r="A3563" s="2">
        <v>43883.996793981481</v>
      </c>
      <c r="B3563" t="str">
        <f>HYPERLINK("https://twitter.com/AwadhMukayu","@AwadhMukayu")</f>
        <v>@AwadhMukayu</v>
      </c>
      <c r="C3563" t="s">
        <v>3215</v>
      </c>
      <c r="D3563">
        <v>0</v>
      </c>
      <c r="E3563">
        <v>0</v>
      </c>
      <c r="F3563">
        <v>38</v>
      </c>
    </row>
    <row r="3564" spans="1:6" ht="12.75">
      <c r="A3564" s="2">
        <v>43883.996388888889</v>
      </c>
      <c r="B3564" t="str">
        <f>HYPERLINK("https://twitter.com/kokaind_","@kokaind_")</f>
        <v>@kokaind_</v>
      </c>
      <c r="C3564" t="s">
        <v>2153</v>
      </c>
      <c r="D3564">
        <v>66</v>
      </c>
      <c r="E3564">
        <v>0</v>
      </c>
      <c r="F3564">
        <v>214</v>
      </c>
    </row>
    <row r="3565" spans="1:6" ht="12.75">
      <c r="A3565" s="2">
        <v>43883.99354166667</v>
      </c>
      <c r="B3565" t="str">
        <f>HYPERLINK("https://twitter.com/bonitamore_","@bonitamore_")</f>
        <v>@bonitamore_</v>
      </c>
      <c r="C3565" t="s">
        <v>3216</v>
      </c>
      <c r="D3565">
        <v>0</v>
      </c>
      <c r="E3565">
        <v>1</v>
      </c>
      <c r="F3565">
        <v>124</v>
      </c>
    </row>
    <row r="3566" spans="1:6" ht="12.75">
      <c r="A3566" s="2">
        <v>43883.993136574078</v>
      </c>
      <c r="B3566" t="str">
        <f>HYPERLINK("https://twitter.com/LaurensioAbram","@LaurensioAbram")</f>
        <v>@LaurensioAbram</v>
      </c>
      <c r="C3566" t="s">
        <v>3217</v>
      </c>
      <c r="D3566">
        <v>1</v>
      </c>
      <c r="E3566">
        <v>0</v>
      </c>
      <c r="F3566">
        <v>248</v>
      </c>
    </row>
    <row r="3567" spans="1:6" ht="12.75">
      <c r="A3567" s="2">
        <v>43883.993113425924</v>
      </c>
      <c r="B3567" t="str">
        <f>HYPERLINK("https://twitter.com/Errosmanola84","@Errosmanola84")</f>
        <v>@Errosmanola84</v>
      </c>
      <c r="C3567" t="s">
        <v>2153</v>
      </c>
      <c r="D3567">
        <v>66</v>
      </c>
      <c r="E3567">
        <v>0</v>
      </c>
      <c r="F3567">
        <v>118</v>
      </c>
    </row>
    <row r="3568" spans="1:6" ht="12.75">
      <c r="A3568" s="2">
        <v>43883.992384259254</v>
      </c>
      <c r="B3568" t="str">
        <f>HYPERLINK("https://twitter.com/CekWi3","@CekWi3")</f>
        <v>@CekWi3</v>
      </c>
      <c r="C3568" t="s">
        <v>2153</v>
      </c>
      <c r="D3568">
        <v>66</v>
      </c>
      <c r="E3568">
        <v>0</v>
      </c>
      <c r="F3568">
        <v>31</v>
      </c>
    </row>
    <row r="3569" spans="1:6" ht="12.75">
      <c r="A3569" s="2">
        <v>43883.990879629629</v>
      </c>
      <c r="B3569" t="str">
        <f>HYPERLINK("https://twitter.com/anamkoplak","@anamkoplak")</f>
        <v>@anamkoplak</v>
      </c>
      <c r="C3569" t="s">
        <v>3218</v>
      </c>
      <c r="D3569">
        <v>0</v>
      </c>
      <c r="E3569">
        <v>0</v>
      </c>
      <c r="F3569">
        <v>275</v>
      </c>
    </row>
    <row r="3570" spans="1:6" ht="12.75">
      <c r="A3570" s="2">
        <v>43883.990671296298</v>
      </c>
      <c r="B3570" t="str">
        <f>HYPERLINK("https://twitter.com/jhony_suryo","@jhony_suryo")</f>
        <v>@jhony_suryo</v>
      </c>
      <c r="C3570" t="s">
        <v>3219</v>
      </c>
      <c r="D3570">
        <v>0</v>
      </c>
      <c r="E3570">
        <v>0</v>
      </c>
      <c r="F3570">
        <v>607</v>
      </c>
    </row>
    <row r="3571" spans="1:6" ht="12.75">
      <c r="A3571" s="2">
        <v>43883.99013888889</v>
      </c>
      <c r="B3571" t="str">
        <f>HYPERLINK("https://twitter.com/MarianaIkky","@MarianaIkky")</f>
        <v>@MarianaIkky</v>
      </c>
      <c r="C3571" t="s">
        <v>3220</v>
      </c>
      <c r="D3571">
        <v>0</v>
      </c>
      <c r="E3571">
        <v>0</v>
      </c>
      <c r="F3571">
        <v>87</v>
      </c>
    </row>
    <row r="3572" spans="1:6" ht="12.75">
      <c r="A3572" s="2">
        <v>43883.990000000005</v>
      </c>
      <c r="B3572" t="str">
        <f>HYPERLINK("https://twitter.com/ronestiff","@ronestiff")</f>
        <v>@ronestiff</v>
      </c>
      <c r="C3572" t="s">
        <v>2153</v>
      </c>
      <c r="D3572">
        <v>66</v>
      </c>
      <c r="E3572">
        <v>0</v>
      </c>
      <c r="F3572">
        <v>34</v>
      </c>
    </row>
    <row r="3573" spans="1:6" ht="12.75">
      <c r="A3573" s="2">
        <v>43883.989849537036</v>
      </c>
      <c r="B3573" t="str">
        <f>HYPERLINK("https://twitter.com/abdulla41734805","@abdulla41734805")</f>
        <v>@abdulla41734805</v>
      </c>
      <c r="C3573" t="s">
        <v>3221</v>
      </c>
      <c r="D3573">
        <v>0</v>
      </c>
      <c r="E3573">
        <v>0</v>
      </c>
      <c r="F3573">
        <v>19</v>
      </c>
    </row>
    <row r="3574" spans="1:6" ht="12.75">
      <c r="A3574" s="2">
        <v>43883.989733796298</v>
      </c>
      <c r="B3574" t="str">
        <f>HYPERLINK("https://twitter.com/AgusbudiSs79","@AgusbudiSs79")</f>
        <v>@AgusbudiSs79</v>
      </c>
      <c r="C3574" t="s">
        <v>2153</v>
      </c>
      <c r="D3574">
        <v>66</v>
      </c>
      <c r="E3574">
        <v>0</v>
      </c>
      <c r="F3574">
        <v>326</v>
      </c>
    </row>
    <row r="3575" spans="1:6" ht="12.75">
      <c r="A3575" s="2">
        <v>43883.989328703705</v>
      </c>
      <c r="B3575" t="str">
        <f>HYPERLINK("https://twitter.com/abdulla41734805","@abdulla41734805")</f>
        <v>@abdulla41734805</v>
      </c>
      <c r="C3575" t="s">
        <v>3222</v>
      </c>
      <c r="D3575">
        <v>0</v>
      </c>
      <c r="E3575">
        <v>0</v>
      </c>
      <c r="F3575">
        <v>19</v>
      </c>
    </row>
    <row r="3576" spans="1:6" ht="12.75">
      <c r="A3576" s="2">
        <v>43883.989155092597</v>
      </c>
      <c r="B3576" t="str">
        <f>HYPERLINK("https://twitter.com/WendyPurwant","@WendyPurwant")</f>
        <v>@WendyPurwant</v>
      </c>
      <c r="C3576" t="s">
        <v>3223</v>
      </c>
      <c r="D3576">
        <v>0</v>
      </c>
      <c r="E3576">
        <v>0</v>
      </c>
      <c r="F3576">
        <v>100</v>
      </c>
    </row>
    <row r="3577" spans="1:6" ht="12.75">
      <c r="A3577" s="2">
        <v>43883.986990740741</v>
      </c>
      <c r="B3577" t="str">
        <f>HYPERLINK("https://twitter.com/Velope16","@Velope16")</f>
        <v>@Velope16</v>
      </c>
      <c r="C3577" t="s">
        <v>2841</v>
      </c>
      <c r="D3577">
        <v>6</v>
      </c>
      <c r="E3577">
        <v>0</v>
      </c>
      <c r="F3577">
        <v>270</v>
      </c>
    </row>
    <row r="3578" spans="1:6" ht="12.75">
      <c r="A3578" s="2">
        <v>43883.98646990741</v>
      </c>
      <c r="B3578" t="str">
        <f>HYPERLINK("https://twitter.com/AbolichdZ","@AbolichdZ")</f>
        <v>@AbolichdZ</v>
      </c>
      <c r="C3578" t="s">
        <v>3224</v>
      </c>
      <c r="D3578">
        <v>14</v>
      </c>
      <c r="E3578">
        <v>0</v>
      </c>
      <c r="F3578">
        <v>811</v>
      </c>
    </row>
    <row r="3579" spans="1:6" ht="12.75">
      <c r="A3579" s="2">
        <v>43883.986226851848</v>
      </c>
      <c r="B3579" t="str">
        <f>HYPERLINK("https://twitter.com/lordvader99999","@lordvader99999")</f>
        <v>@lordvader99999</v>
      </c>
      <c r="C3579" t="s">
        <v>3225</v>
      </c>
      <c r="D3579">
        <v>0</v>
      </c>
      <c r="E3579">
        <v>0</v>
      </c>
      <c r="F3579">
        <v>11</v>
      </c>
    </row>
    <row r="3580" spans="1:6" ht="12.75">
      <c r="A3580" s="2">
        <v>43883.985775462963</v>
      </c>
      <c r="B3580" t="str">
        <f>HYPERLINK("https://twitter.com/Suyarno13","@Suyarno13")</f>
        <v>@Suyarno13</v>
      </c>
      <c r="C3580" t="s">
        <v>2153</v>
      </c>
      <c r="D3580">
        <v>66</v>
      </c>
      <c r="E3580">
        <v>0</v>
      </c>
      <c r="F3580">
        <v>258</v>
      </c>
    </row>
    <row r="3581" spans="1:6" ht="12.75">
      <c r="A3581" s="2">
        <v>43883.984965277778</v>
      </c>
      <c r="B3581" t="str">
        <f>HYPERLINK("https://twitter.com/k4ng_C1reNG","@k4ng_C1reNG")</f>
        <v>@k4ng_C1reNG</v>
      </c>
      <c r="C3581" t="s">
        <v>3226</v>
      </c>
      <c r="D3581">
        <v>1</v>
      </c>
      <c r="E3581">
        <v>0</v>
      </c>
      <c r="F3581">
        <v>3385</v>
      </c>
    </row>
    <row r="3582" spans="1:6" ht="12.75">
      <c r="A3582" s="2">
        <v>43883.984618055554</v>
      </c>
      <c r="B3582" t="str">
        <f>HYPERLINK("https://twitter.com/dikolfebrian","@dikolfebrian")</f>
        <v>@dikolfebrian</v>
      </c>
      <c r="C3582" t="s">
        <v>3227</v>
      </c>
      <c r="D3582">
        <v>0</v>
      </c>
      <c r="E3582">
        <v>0</v>
      </c>
      <c r="F3582">
        <v>851</v>
      </c>
    </row>
    <row r="3583" spans="1:6" ht="12.75">
      <c r="A3583" s="2">
        <v>43883.984317129631</v>
      </c>
      <c r="B3583" t="str">
        <f>HYPERLINK("https://twitter.com/Iceberg2nd1","@Iceberg2nd1")</f>
        <v>@Iceberg2nd1</v>
      </c>
      <c r="C3583" t="s">
        <v>3228</v>
      </c>
      <c r="D3583">
        <v>1</v>
      </c>
      <c r="E3583">
        <v>0</v>
      </c>
      <c r="F3583">
        <v>2116</v>
      </c>
    </row>
    <row r="3584" spans="1:6" ht="12.75">
      <c r="A3584" s="2">
        <v>43883.984131944446</v>
      </c>
      <c r="B3584" t="str">
        <f>HYPERLINK("https://twitter.com/apuyman1","@apuyman1")</f>
        <v>@apuyman1</v>
      </c>
      <c r="C3584" t="s">
        <v>2153</v>
      </c>
      <c r="D3584">
        <v>66</v>
      </c>
      <c r="E3584">
        <v>0</v>
      </c>
      <c r="F3584">
        <v>596</v>
      </c>
    </row>
    <row r="3585" spans="1:6" ht="12.75">
      <c r="A3585" s="2">
        <v>43883.983831018515</v>
      </c>
      <c r="B3585" t="str">
        <f>HYPERLINK("https://twitter.com/adriankusaihir1","@adriankusaihir1")</f>
        <v>@adriankusaihir1</v>
      </c>
      <c r="C3585" t="s">
        <v>2153</v>
      </c>
      <c r="D3585">
        <v>66</v>
      </c>
      <c r="E3585">
        <v>0</v>
      </c>
      <c r="F3585">
        <v>100</v>
      </c>
    </row>
    <row r="3586" spans="1:6" ht="12.75">
      <c r="A3586" s="2">
        <v>43883.982916666668</v>
      </c>
      <c r="B3586" t="str">
        <f>HYPERLINK("https://twitter.com/Cjr_aqni","@Cjr_aqni")</f>
        <v>@Cjr_aqni</v>
      </c>
      <c r="C3586" t="s">
        <v>2153</v>
      </c>
      <c r="D3586">
        <v>66</v>
      </c>
      <c r="E3586">
        <v>0</v>
      </c>
      <c r="F3586">
        <v>378</v>
      </c>
    </row>
    <row r="3587" spans="1:6" ht="12.75">
      <c r="A3587" s="2">
        <v>43883.982546296298</v>
      </c>
      <c r="B3587" t="str">
        <f>HYPERLINK("https://twitter.com/MargiantoDenny","@MargiantoDenny")</f>
        <v>@MargiantoDenny</v>
      </c>
      <c r="C3587" t="s">
        <v>3229</v>
      </c>
      <c r="D3587">
        <v>0</v>
      </c>
      <c r="E3587">
        <v>0</v>
      </c>
      <c r="F3587">
        <v>12</v>
      </c>
    </row>
    <row r="3588" spans="1:6" ht="12.75">
      <c r="A3588" s="2">
        <v>43883.980497685188</v>
      </c>
      <c r="B3588" t="str">
        <f>HYPERLINK("https://twitter.com/BillTemporo","@BillTemporo")</f>
        <v>@BillTemporo</v>
      </c>
      <c r="C3588" t="s">
        <v>2092</v>
      </c>
      <c r="D3588">
        <v>0</v>
      </c>
      <c r="E3588">
        <v>0</v>
      </c>
      <c r="F3588">
        <v>11</v>
      </c>
    </row>
    <row r="3589" spans="1:6" ht="12.75">
      <c r="A3589" s="2">
        <v>43883.980358796296</v>
      </c>
      <c r="B3589" t="str">
        <f>HYPERLINK("https://twitter.com/jawapos","@jawapos")</f>
        <v>@jawapos</v>
      </c>
      <c r="C3589" t="s">
        <v>3230</v>
      </c>
      <c r="D3589">
        <v>0</v>
      </c>
      <c r="E3589">
        <v>3</v>
      </c>
      <c r="F3589">
        <v>120364</v>
      </c>
    </row>
    <row r="3590" spans="1:6" ht="12.75">
      <c r="A3590" s="2">
        <v>43883.979942129634</v>
      </c>
      <c r="B3590" t="str">
        <f>HYPERLINK("https://twitter.com/moh_effendie","@moh_effendie")</f>
        <v>@moh_effendie</v>
      </c>
      <c r="C3590" t="s">
        <v>3231</v>
      </c>
      <c r="D3590">
        <v>0</v>
      </c>
      <c r="E3590">
        <v>2</v>
      </c>
      <c r="F3590">
        <v>7366</v>
      </c>
    </row>
    <row r="3591" spans="1:6" ht="12.75">
      <c r="A3591" s="2">
        <v>43883.979409722218</v>
      </c>
      <c r="B3591" t="str">
        <f>HYPERLINK("https://twitter.com/hemaviton99","@hemaviton99")</f>
        <v>@hemaviton99</v>
      </c>
      <c r="C3591" t="s">
        <v>3232</v>
      </c>
      <c r="D3591">
        <v>0</v>
      </c>
      <c r="E3591">
        <v>0</v>
      </c>
      <c r="F3591">
        <v>4569</v>
      </c>
    </row>
    <row r="3592" spans="1:6" ht="12.75">
      <c r="A3592" s="2">
        <v>43883.978958333333</v>
      </c>
      <c r="B3592" t="str">
        <f>HYPERLINK("https://twitter.com/somixx_","@somixx_")</f>
        <v>@somixx_</v>
      </c>
      <c r="C3592" t="s">
        <v>3233</v>
      </c>
      <c r="D3592">
        <v>0</v>
      </c>
      <c r="E3592">
        <v>1</v>
      </c>
      <c r="F3592">
        <v>917</v>
      </c>
    </row>
    <row r="3593" spans="1:6" ht="12.75">
      <c r="A3593" s="2">
        <v>43883.978900462964</v>
      </c>
      <c r="B3593" t="str">
        <f>HYPERLINK("https://twitter.com/imbangimedia","@imbangimedia")</f>
        <v>@imbangimedia</v>
      </c>
      <c r="C3593" t="s">
        <v>2153</v>
      </c>
      <c r="D3593">
        <v>66</v>
      </c>
      <c r="E3593">
        <v>0</v>
      </c>
      <c r="F3593">
        <v>4144</v>
      </c>
    </row>
    <row r="3594" spans="1:6" ht="12.75">
      <c r="A3594" s="2">
        <v>43883.978321759263</v>
      </c>
      <c r="B3594" t="str">
        <f>HYPERLINK("https://twitter.com/suketi666","@suketi666")</f>
        <v>@suketi666</v>
      </c>
      <c r="C3594" t="s">
        <v>3234</v>
      </c>
      <c r="D3594">
        <v>0</v>
      </c>
      <c r="E3594">
        <v>0</v>
      </c>
      <c r="F3594">
        <v>469</v>
      </c>
    </row>
    <row r="3595" spans="1:6" ht="12.75">
      <c r="A3595" s="2">
        <v>43883.978101851855</v>
      </c>
      <c r="B3595" t="str">
        <f>HYPERLINK("https://twitter.com/SemboyanR","@SemboyanR")</f>
        <v>@SemboyanR</v>
      </c>
      <c r="C3595" t="s">
        <v>2153</v>
      </c>
      <c r="D3595">
        <v>66</v>
      </c>
      <c r="E3595">
        <v>0</v>
      </c>
      <c r="F3595">
        <v>1276</v>
      </c>
    </row>
    <row r="3596" spans="1:6" ht="12.75">
      <c r="A3596" s="2">
        <v>43883.977673611109</v>
      </c>
      <c r="B3596" t="str">
        <f>HYPERLINK("https://twitter.com/gianko_81","@gianko_81")</f>
        <v>@gianko_81</v>
      </c>
      <c r="C3596" t="s">
        <v>3235</v>
      </c>
      <c r="D3596">
        <v>4</v>
      </c>
      <c r="E3596">
        <v>0</v>
      </c>
      <c r="F3596">
        <v>173</v>
      </c>
    </row>
    <row r="3597" spans="1:6" ht="12.75">
      <c r="A3597" s="2">
        <v>43883.977395833332</v>
      </c>
      <c r="B3597" t="str">
        <f>HYPERLINK("https://twitter.com/Adebayo46547328","@Adebayo46547328")</f>
        <v>@Adebayo46547328</v>
      </c>
      <c r="C3597" t="s">
        <v>2153</v>
      </c>
      <c r="D3597">
        <v>66</v>
      </c>
      <c r="E3597">
        <v>0</v>
      </c>
      <c r="F3597">
        <v>1008</v>
      </c>
    </row>
    <row r="3598" spans="1:6" ht="12.75">
      <c r="A3598" s="2">
        <v>43883.977372685185</v>
      </c>
      <c r="B3598" t="str">
        <f>HYPERLINK("https://twitter.com/PriskyPribadi74","@PriskyPribadi74")</f>
        <v>@PriskyPribadi74</v>
      </c>
      <c r="C3598" t="s">
        <v>3236</v>
      </c>
      <c r="D3598">
        <v>1</v>
      </c>
      <c r="E3598">
        <v>0</v>
      </c>
      <c r="F3598">
        <v>18</v>
      </c>
    </row>
    <row r="3599" spans="1:6" ht="12.75">
      <c r="A3599" s="2">
        <v>43883.975902777776</v>
      </c>
      <c r="B3599" t="str">
        <f>HYPERLINK("https://twitter.com/Azalea_Ivy35","@Azalea_Ivy35")</f>
        <v>@Azalea_Ivy35</v>
      </c>
      <c r="C3599" t="s">
        <v>2153</v>
      </c>
      <c r="D3599">
        <v>66</v>
      </c>
      <c r="E3599">
        <v>0</v>
      </c>
      <c r="F3599">
        <v>372</v>
      </c>
    </row>
    <row r="3600" spans="1:6" ht="12.75">
      <c r="A3600" s="2">
        <v>43883.974849537037</v>
      </c>
      <c r="B3600" t="str">
        <f>HYPERLINK("https://twitter.com/onT053no","@onT053no")</f>
        <v>@onT053no</v>
      </c>
      <c r="C3600" t="s">
        <v>2841</v>
      </c>
      <c r="D3600">
        <v>6</v>
      </c>
      <c r="E3600">
        <v>0</v>
      </c>
      <c r="F3600">
        <v>390</v>
      </c>
    </row>
    <row r="3601" spans="1:6" ht="12.75">
      <c r="A3601" s="2">
        <v>43883.974537037036</v>
      </c>
      <c r="B3601" t="str">
        <f>HYPERLINK("https://twitter.com/Joss_Van_Dick","@Joss_Van_Dick")</f>
        <v>@Joss_Van_Dick</v>
      </c>
      <c r="C3601" t="s">
        <v>2676</v>
      </c>
      <c r="D3601">
        <v>15</v>
      </c>
      <c r="E3601">
        <v>0</v>
      </c>
      <c r="F3601">
        <v>1398</v>
      </c>
    </row>
    <row r="3602" spans="1:6" ht="12.75">
      <c r="A3602" s="2">
        <v>43883.97446759259</v>
      </c>
      <c r="B3602" t="str">
        <f>HYPERLINK("https://twitter.com/SemaneiD","@SemaneiD")</f>
        <v>@SemaneiD</v>
      </c>
      <c r="C3602" t="s">
        <v>2841</v>
      </c>
      <c r="D3602">
        <v>6</v>
      </c>
      <c r="E3602">
        <v>0</v>
      </c>
      <c r="F3602">
        <v>280</v>
      </c>
    </row>
    <row r="3603" spans="1:6" ht="12.75">
      <c r="A3603" s="2">
        <v>43883.974259259259</v>
      </c>
      <c r="B3603" t="str">
        <f>HYPERLINK("https://twitter.com/marinar9801","@marinar9801")</f>
        <v>@marinar9801</v>
      </c>
      <c r="C3603" t="s">
        <v>2841</v>
      </c>
      <c r="D3603">
        <v>6</v>
      </c>
      <c r="E3603">
        <v>0</v>
      </c>
      <c r="F3603">
        <v>3909</v>
      </c>
    </row>
    <row r="3604" spans="1:6" ht="12.75">
      <c r="A3604" s="2">
        <v>43883.974027777775</v>
      </c>
      <c r="B3604" t="str">
        <f>HYPERLINK("https://twitter.com/N1rajKumar","@N1rajKumar")</f>
        <v>@N1rajKumar</v>
      </c>
      <c r="C3604" t="s">
        <v>3237</v>
      </c>
      <c r="D3604">
        <v>0</v>
      </c>
      <c r="E3604">
        <v>0</v>
      </c>
      <c r="F3604">
        <v>1554</v>
      </c>
    </row>
    <row r="3605" spans="1:6" ht="12.75">
      <c r="A3605" s="2">
        <v>43883.973668981482</v>
      </c>
      <c r="B3605" t="str">
        <f>HYPERLINK("https://twitter.com/4smara1701","@4smara1701")</f>
        <v>@4smara1701</v>
      </c>
      <c r="C3605" t="s">
        <v>2841</v>
      </c>
      <c r="D3605">
        <v>6</v>
      </c>
      <c r="E3605">
        <v>0</v>
      </c>
      <c r="F3605">
        <v>15027</v>
      </c>
    </row>
    <row r="3606" spans="1:6" ht="12.75">
      <c r="A3606" s="2">
        <v>43883.972974537042</v>
      </c>
      <c r="B3606" t="str">
        <f>HYPERLINK("https://twitter.com/aprie01850857","@aprie01850857")</f>
        <v>@aprie01850857</v>
      </c>
      <c r="C3606" t="s">
        <v>2153</v>
      </c>
      <c r="D3606">
        <v>66</v>
      </c>
      <c r="E3606">
        <v>0</v>
      </c>
      <c r="F3606">
        <v>16</v>
      </c>
    </row>
    <row r="3607" spans="1:6" ht="12.75">
      <c r="A3607" s="2">
        <v>43883.971574074079</v>
      </c>
      <c r="B3607" t="str">
        <f>HYPERLINK("https://twitter.com/Pramudya_anjar","@Pramudya_anjar")</f>
        <v>@Pramudya_anjar</v>
      </c>
      <c r="C3607" t="s">
        <v>3238</v>
      </c>
      <c r="D3607">
        <v>2</v>
      </c>
      <c r="E3607">
        <v>0</v>
      </c>
      <c r="F3607">
        <v>240</v>
      </c>
    </row>
    <row r="3608" spans="1:6" ht="12.75">
      <c r="A3608" s="2">
        <v>43883.971400462964</v>
      </c>
      <c r="B3608" t="str">
        <f>HYPERLINK("https://twitter.com/n42if","@n42if")</f>
        <v>@n42if</v>
      </c>
      <c r="C3608" t="s">
        <v>2153</v>
      </c>
      <c r="D3608">
        <v>66</v>
      </c>
      <c r="E3608">
        <v>0</v>
      </c>
      <c r="F3608">
        <v>480</v>
      </c>
    </row>
    <row r="3609" spans="1:6" ht="12.75">
      <c r="A3609" s="2">
        <v>43883.971365740741</v>
      </c>
      <c r="B3609" t="str">
        <f>HYPERLINK("https://twitter.com/Azkahaikal1","@Azkahaikal1")</f>
        <v>@Azkahaikal1</v>
      </c>
      <c r="C3609" t="s">
        <v>2153</v>
      </c>
      <c r="D3609">
        <v>66</v>
      </c>
      <c r="E3609">
        <v>0</v>
      </c>
      <c r="F3609">
        <v>1</v>
      </c>
    </row>
    <row r="3610" spans="1:6" ht="12.75">
      <c r="A3610" s="2">
        <v>43883.971180555556</v>
      </c>
      <c r="B3610" t="str">
        <f>HYPERLINK("https://twitter.com/ronirustamadji","@ronirustamadji")</f>
        <v>@ronirustamadji</v>
      </c>
      <c r="C3610" t="s">
        <v>3239</v>
      </c>
      <c r="D3610">
        <v>2</v>
      </c>
      <c r="E3610">
        <v>0</v>
      </c>
      <c r="F3610">
        <v>3235</v>
      </c>
    </row>
    <row r="3611" spans="1:6" ht="12.75">
      <c r="A3611" s="2">
        <v>43883.97047453704</v>
      </c>
      <c r="B3611" t="str">
        <f>HYPERLINK("https://twitter.com/RnTheAndrian","@RnTheAndrian")</f>
        <v>@RnTheAndrian</v>
      </c>
      <c r="C3611" t="s">
        <v>3240</v>
      </c>
      <c r="D3611">
        <v>0</v>
      </c>
      <c r="E3611">
        <v>0</v>
      </c>
      <c r="F3611">
        <v>601</v>
      </c>
    </row>
    <row r="3612" spans="1:6" ht="12.75">
      <c r="A3612" s="2">
        <v>43883.97042824074</v>
      </c>
      <c r="B3612" t="str">
        <f>HYPERLINK("https://twitter.com/anitamarlian2","@anitamarlian2")</f>
        <v>@anitamarlian2</v>
      </c>
      <c r="C3612" t="s">
        <v>2153</v>
      </c>
      <c r="D3612">
        <v>66</v>
      </c>
      <c r="E3612">
        <v>0</v>
      </c>
      <c r="F3612">
        <v>116</v>
      </c>
    </row>
    <row r="3613" spans="1:6" ht="12.75">
      <c r="A3613" s="2">
        <v>43883.970243055555</v>
      </c>
      <c r="B3613" t="str">
        <f>HYPERLINK("https://twitter.com/TuanBaron15","@TuanBaron15")</f>
        <v>@TuanBaron15</v>
      </c>
      <c r="C3613" t="s">
        <v>2154</v>
      </c>
      <c r="D3613">
        <v>43</v>
      </c>
      <c r="E3613">
        <v>0</v>
      </c>
      <c r="F3613">
        <v>30</v>
      </c>
    </row>
    <row r="3614" spans="1:6" ht="12.75">
      <c r="A3614" s="2">
        <v>43883.969942129625</v>
      </c>
      <c r="B3614" t="str">
        <f>HYPERLINK("https://twitter.com/Donny_1990","@Donny_1990")</f>
        <v>@Donny_1990</v>
      </c>
      <c r="C3614" t="s">
        <v>2153</v>
      </c>
      <c r="D3614">
        <v>66</v>
      </c>
      <c r="E3614">
        <v>0</v>
      </c>
      <c r="F3614">
        <v>124</v>
      </c>
    </row>
    <row r="3615" spans="1:6" ht="12.75">
      <c r="A3615" s="2">
        <v>43883.969375000001</v>
      </c>
      <c r="B3615" t="str">
        <f>HYPERLINK("https://twitter.com/B_EgyFernando","@B_EgyFernando")</f>
        <v>@B_EgyFernando</v>
      </c>
      <c r="C3615" t="s">
        <v>3241</v>
      </c>
      <c r="D3615">
        <v>0</v>
      </c>
      <c r="E3615">
        <v>0</v>
      </c>
      <c r="F3615">
        <v>315</v>
      </c>
    </row>
    <row r="3616" spans="1:6" ht="12.75">
      <c r="A3616" s="2">
        <v>43883.968807870369</v>
      </c>
      <c r="B3616" t="str">
        <f>HYPERLINK("https://twitter.com/dfrnm","@dfrnm")</f>
        <v>@dfrnm</v>
      </c>
      <c r="C3616" t="s">
        <v>3242</v>
      </c>
      <c r="D3616">
        <v>0</v>
      </c>
      <c r="E3616">
        <v>1</v>
      </c>
      <c r="F3616">
        <v>12262</v>
      </c>
    </row>
    <row r="3617" spans="1:6" ht="12.75">
      <c r="A3617" s="2">
        <v>43883.9684375</v>
      </c>
      <c r="B3617" t="str">
        <f>HYPERLINK("https://twitter.com/pd__ar","@pd__ar")</f>
        <v>@pd__ar</v>
      </c>
      <c r="C3617" t="s">
        <v>3243</v>
      </c>
      <c r="D3617">
        <v>0</v>
      </c>
      <c r="E3617">
        <v>0</v>
      </c>
      <c r="F3617">
        <v>559</v>
      </c>
    </row>
    <row r="3618" spans="1:6" ht="12.75">
      <c r="A3618" s="2">
        <v>43883.968182870369</v>
      </c>
      <c r="B3618" t="str">
        <f>HYPERLINK("https://twitter.com/ManhMaven","@ManhMaven")</f>
        <v>@ManhMaven</v>
      </c>
      <c r="C3618" t="s">
        <v>3244</v>
      </c>
      <c r="D3618">
        <v>0</v>
      </c>
      <c r="E3618">
        <v>0</v>
      </c>
      <c r="F3618">
        <v>16</v>
      </c>
    </row>
    <row r="3619" spans="1:6" ht="12.75">
      <c r="A3619" s="2">
        <v>43883.967453703706</v>
      </c>
      <c r="B3619" t="str">
        <f>HYPERLINK("https://twitter.com/AminH42671425","@AminH42671425")</f>
        <v>@AminH42671425</v>
      </c>
      <c r="C3619" t="s">
        <v>3245</v>
      </c>
      <c r="D3619">
        <v>6</v>
      </c>
      <c r="E3619">
        <v>16</v>
      </c>
      <c r="F3619">
        <v>1566</v>
      </c>
    </row>
    <row r="3620" spans="1:6" ht="12.75">
      <c r="A3620" s="2">
        <v>43883.966712962967</v>
      </c>
      <c r="B3620" t="str">
        <f>HYPERLINK("https://twitter.com/elasbuch","@elasbuch")</f>
        <v>@elasbuch</v>
      </c>
      <c r="C3620" t="s">
        <v>3246</v>
      </c>
      <c r="D3620">
        <v>0</v>
      </c>
      <c r="E3620">
        <v>1</v>
      </c>
      <c r="F3620">
        <v>547</v>
      </c>
    </row>
    <row r="3621" spans="1:6" ht="12.75">
      <c r="A3621" s="2">
        <v>43883.966527777782</v>
      </c>
      <c r="B3621" t="str">
        <f>HYPERLINK("https://twitter.com/yanuariant","@yanuariant")</f>
        <v>@yanuariant</v>
      </c>
      <c r="C3621" t="s">
        <v>3247</v>
      </c>
      <c r="D3621">
        <v>0</v>
      </c>
      <c r="E3621">
        <v>0</v>
      </c>
      <c r="F3621">
        <v>305</v>
      </c>
    </row>
    <row r="3622" spans="1:6" ht="12.75">
      <c r="A3622" s="2">
        <v>43883.965532407412</v>
      </c>
      <c r="B3622" t="str">
        <f>HYPERLINK("https://twitter.com/rizayana","@rizayana")</f>
        <v>@rizayana</v>
      </c>
      <c r="C3622" t="s">
        <v>2153</v>
      </c>
      <c r="D3622">
        <v>66</v>
      </c>
      <c r="E3622">
        <v>0</v>
      </c>
      <c r="F3622">
        <v>121</v>
      </c>
    </row>
    <row r="3623" spans="1:6" ht="12.75">
      <c r="A3623" s="2">
        <v>43883.965289351851</v>
      </c>
      <c r="B3623" t="str">
        <f>HYPERLINK("https://twitter.com/langitb9393","@langitb9393")</f>
        <v>@langitb9393</v>
      </c>
      <c r="C3623" t="s">
        <v>2153</v>
      </c>
      <c r="D3623">
        <v>66</v>
      </c>
      <c r="E3623">
        <v>0</v>
      </c>
      <c r="F3623">
        <v>395</v>
      </c>
    </row>
    <row r="3624" spans="1:6" ht="12.75">
      <c r="A3624" s="2">
        <v>43883.965150462958</v>
      </c>
      <c r="B3624" t="str">
        <f>HYPERLINK("https://twitter.com/JOKO_SAMP2","@JOKO_SAMP2")</f>
        <v>@JOKO_SAMP2</v>
      </c>
      <c r="C3624" t="s">
        <v>2153</v>
      </c>
      <c r="D3624">
        <v>66</v>
      </c>
      <c r="E3624">
        <v>0</v>
      </c>
      <c r="F3624">
        <v>1754</v>
      </c>
    </row>
    <row r="3625" spans="1:6" ht="12.75">
      <c r="A3625" s="2">
        <v>43883.964479166665</v>
      </c>
      <c r="B3625" t="str">
        <f>HYPERLINK("https://twitter.com/JakartaStar","@JakartaStar")</f>
        <v>@JakartaStar</v>
      </c>
      <c r="C3625" t="s">
        <v>3248</v>
      </c>
      <c r="D3625">
        <v>3</v>
      </c>
      <c r="E3625">
        <v>0</v>
      </c>
      <c r="F3625">
        <v>5573</v>
      </c>
    </row>
    <row r="3626" spans="1:6" ht="12.75">
      <c r="A3626" s="2">
        <v>43883.963101851856</v>
      </c>
      <c r="B3626" t="str">
        <f>HYPERLINK("https://twitter.com/alfa1174","@alfa1174")</f>
        <v>@alfa1174</v>
      </c>
      <c r="C3626" t="s">
        <v>2153</v>
      </c>
      <c r="D3626">
        <v>66</v>
      </c>
      <c r="E3626">
        <v>0</v>
      </c>
      <c r="F3626">
        <v>2411</v>
      </c>
    </row>
    <row r="3627" spans="1:6" ht="12.75">
      <c r="A3627" s="2">
        <v>43883.962488425925</v>
      </c>
      <c r="B3627" t="str">
        <f>HYPERLINK("https://twitter.com/SyssMas","@SyssMas")</f>
        <v>@SyssMas</v>
      </c>
      <c r="C3627" t="s">
        <v>2153</v>
      </c>
      <c r="D3627">
        <v>66</v>
      </c>
      <c r="E3627">
        <v>0</v>
      </c>
      <c r="F3627">
        <v>1305</v>
      </c>
    </row>
    <row r="3628" spans="1:6" ht="12.75">
      <c r="A3628" s="2">
        <v>43883.962407407409</v>
      </c>
      <c r="B3628" t="str">
        <f>HYPERLINK("https://twitter.com/dhedibenz","@dhedibenz")</f>
        <v>@dhedibenz</v>
      </c>
      <c r="C3628" t="s">
        <v>2153</v>
      </c>
      <c r="D3628">
        <v>66</v>
      </c>
      <c r="E3628">
        <v>0</v>
      </c>
      <c r="F3628">
        <v>558</v>
      </c>
    </row>
    <row r="3629" spans="1:6" ht="12.75">
      <c r="A3629" s="2">
        <v>43883.962326388893</v>
      </c>
      <c r="B3629" t="str">
        <f>HYPERLINK("https://twitter.com/Voirmountagnes","@Voirmountagnes")</f>
        <v>@Voirmountagnes</v>
      </c>
      <c r="C3629" t="s">
        <v>2153</v>
      </c>
      <c r="D3629">
        <v>66</v>
      </c>
      <c r="E3629">
        <v>0</v>
      </c>
      <c r="F3629">
        <v>526</v>
      </c>
    </row>
    <row r="3630" spans="1:6" ht="12.75">
      <c r="A3630" s="2">
        <v>43883.962002314816</v>
      </c>
      <c r="B3630" t="str">
        <f>HYPERLINK("https://twitter.com/suradiparlan5","@suradiparlan5")</f>
        <v>@suradiparlan5</v>
      </c>
      <c r="C3630" t="s">
        <v>2983</v>
      </c>
      <c r="D3630">
        <v>144</v>
      </c>
      <c r="E3630">
        <v>0</v>
      </c>
      <c r="F3630">
        <v>1364</v>
      </c>
    </row>
    <row r="3631" spans="1:6" ht="12.75">
      <c r="A3631" s="2">
        <v>43883.961655092593</v>
      </c>
      <c r="B3631" t="str">
        <f>HYPERLINK("https://twitter.com/AhnafMirza1","@AhnafMirza1")</f>
        <v>@AhnafMirza1</v>
      </c>
      <c r="C3631" t="s">
        <v>2153</v>
      </c>
      <c r="D3631">
        <v>66</v>
      </c>
      <c r="E3631">
        <v>0</v>
      </c>
      <c r="F3631">
        <v>156</v>
      </c>
    </row>
    <row r="3632" spans="1:6" ht="12.75">
      <c r="A3632" s="2">
        <v>43883.961446759262</v>
      </c>
      <c r="B3632" t="str">
        <f>HYPERLINK("https://twitter.com/ISIS_Balik_NO","@ISIS_Balik_NO")</f>
        <v>@ISIS_Balik_NO</v>
      </c>
      <c r="C3632" t="s">
        <v>3249</v>
      </c>
      <c r="D3632">
        <v>0</v>
      </c>
      <c r="E3632">
        <v>0</v>
      </c>
      <c r="F3632">
        <v>6100</v>
      </c>
    </row>
    <row r="3633" spans="1:6" ht="12.75">
      <c r="A3633" s="2">
        <v>43883.961122685185</v>
      </c>
      <c r="B3633" t="str">
        <f>HYPERLINK("https://twitter.com/nuinugraha","@nuinugraha")</f>
        <v>@nuinugraha</v>
      </c>
      <c r="C3633" t="s">
        <v>3250</v>
      </c>
      <c r="D3633">
        <v>0</v>
      </c>
      <c r="E3633">
        <v>0</v>
      </c>
      <c r="F3633">
        <v>229</v>
      </c>
    </row>
    <row r="3634" spans="1:6" ht="12.75">
      <c r="A3634" s="2">
        <v>43883.960555555561</v>
      </c>
      <c r="B3634" t="str">
        <f>HYPERLINK("https://twitter.com/DonnyHamzahHrp","@DonnyHamzahHrp")</f>
        <v>@DonnyHamzahHrp</v>
      </c>
      <c r="C3634" t="s">
        <v>2153</v>
      </c>
      <c r="D3634">
        <v>66</v>
      </c>
      <c r="E3634">
        <v>0</v>
      </c>
      <c r="F3634">
        <v>923</v>
      </c>
    </row>
    <row r="3635" spans="1:6" ht="12.75">
      <c r="A3635" s="2">
        <v>43883.960266203707</v>
      </c>
      <c r="B3635" t="str">
        <f>HYPERLINK("https://twitter.com/HenkMizell","@HenkMizell")</f>
        <v>@HenkMizell</v>
      </c>
      <c r="C3635" t="s">
        <v>3251</v>
      </c>
      <c r="D3635">
        <v>0</v>
      </c>
      <c r="E3635">
        <v>0</v>
      </c>
      <c r="F3635">
        <v>21</v>
      </c>
    </row>
    <row r="3636" spans="1:6" ht="12.75">
      <c r="A3636" s="2">
        <v>43883.960173611107</v>
      </c>
      <c r="B3636" t="str">
        <f>HYPERLINK("https://twitter.com/hemaviton99","@hemaviton99")</f>
        <v>@hemaviton99</v>
      </c>
      <c r="C3636" t="s">
        <v>3252</v>
      </c>
      <c r="D3636">
        <v>0</v>
      </c>
      <c r="E3636">
        <v>0</v>
      </c>
      <c r="F3636">
        <v>4569</v>
      </c>
    </row>
    <row r="3637" spans="1:6" ht="12.75">
      <c r="A3637" s="2">
        <v>43883.960057870368</v>
      </c>
      <c r="B3637" t="str">
        <f>HYPERLINK("https://twitter.com/Dagdigduq","@Dagdigduq")</f>
        <v>@Dagdigduq</v>
      </c>
      <c r="C3637" t="s">
        <v>2153</v>
      </c>
      <c r="D3637">
        <v>66</v>
      </c>
      <c r="E3637">
        <v>0</v>
      </c>
      <c r="F3637">
        <v>1429</v>
      </c>
    </row>
    <row r="3638" spans="1:6" ht="12.75">
      <c r="A3638" s="2">
        <v>43883.959664351853</v>
      </c>
      <c r="B3638" t="str">
        <f>HYPERLINK("https://twitter.com/LoveislamNkri","@LoveislamNkri")</f>
        <v>@LoveislamNkri</v>
      </c>
      <c r="C3638" t="s">
        <v>2153</v>
      </c>
      <c r="D3638">
        <v>26</v>
      </c>
      <c r="E3638">
        <v>0</v>
      </c>
      <c r="F3638">
        <v>1211</v>
      </c>
    </row>
    <row r="3639" spans="1:6" ht="12.75">
      <c r="A3639" s="2">
        <v>43883.959618055553</v>
      </c>
      <c r="B3639" t="str">
        <f>HYPERLINK("https://twitter.com/BillTemporo","@BillTemporo")</f>
        <v>@BillTemporo</v>
      </c>
      <c r="C3639" t="s">
        <v>889</v>
      </c>
      <c r="D3639">
        <v>0</v>
      </c>
      <c r="E3639">
        <v>0</v>
      </c>
      <c r="F3639">
        <v>11</v>
      </c>
    </row>
    <row r="3640" spans="1:6" ht="12.75">
      <c r="A3640" s="2">
        <v>43883.959444444445</v>
      </c>
      <c r="B3640" t="str">
        <f>HYPERLINK("https://twitter.com/MalaysianLalang","@MalaysianLalang")</f>
        <v>@MalaysianLalang</v>
      </c>
      <c r="C3640" t="s">
        <v>2986</v>
      </c>
      <c r="D3640">
        <v>24</v>
      </c>
      <c r="E3640">
        <v>0</v>
      </c>
      <c r="F3640">
        <v>253</v>
      </c>
    </row>
    <row r="3641" spans="1:6" ht="12.75">
      <c r="A3641" s="2">
        <v>43883.959351851852</v>
      </c>
      <c r="B3641" t="str">
        <f>HYPERLINK("https://twitter.com/SemaneiD","@SemaneiD")</f>
        <v>@SemaneiD</v>
      </c>
      <c r="C3641" t="s">
        <v>2153</v>
      </c>
      <c r="D3641">
        <v>26</v>
      </c>
      <c r="E3641">
        <v>0</v>
      </c>
      <c r="F3641">
        <v>279</v>
      </c>
    </row>
    <row r="3642" spans="1:6" ht="12.75">
      <c r="A3642" s="2">
        <v>43883.959351851852</v>
      </c>
      <c r="B3642" t="str">
        <f>HYPERLINK("https://twitter.com/tris_bdg","@tris_bdg")</f>
        <v>@tris_bdg</v>
      </c>
      <c r="C3642" t="s">
        <v>2153</v>
      </c>
      <c r="D3642">
        <v>26</v>
      </c>
      <c r="E3642">
        <v>0</v>
      </c>
      <c r="F3642">
        <v>709</v>
      </c>
    </row>
    <row r="3643" spans="1:6" ht="12.75">
      <c r="A3643" s="2">
        <v>43883.958136574074</v>
      </c>
      <c r="B3643" t="str">
        <f>HYPERLINK("https://twitter.com/ND45MUpetal","@ND45MUpetal")</f>
        <v>@ND45MUpetal</v>
      </c>
      <c r="C3643" t="s">
        <v>2153</v>
      </c>
      <c r="D3643">
        <v>26</v>
      </c>
      <c r="E3643">
        <v>0</v>
      </c>
      <c r="F3643">
        <v>598</v>
      </c>
    </row>
    <row r="3644" spans="1:6" ht="12.75">
      <c r="A3644" s="2">
        <v>43883.957268518519</v>
      </c>
      <c r="B3644" t="str">
        <f>HYPERLINK("https://twitter.com/Jasmerah96","@Jasmerah96")</f>
        <v>@Jasmerah96</v>
      </c>
      <c r="C3644" t="s">
        <v>2153</v>
      </c>
      <c r="D3644">
        <v>26</v>
      </c>
      <c r="E3644">
        <v>0</v>
      </c>
      <c r="F3644">
        <v>2879</v>
      </c>
    </row>
    <row r="3645" spans="1:6" ht="12.75">
      <c r="A3645" s="2">
        <v>43883.957094907411</v>
      </c>
      <c r="B3645" t="str">
        <f>HYPERLINK("https://twitter.com/NanTongga11","@NanTongga11")</f>
        <v>@NanTongga11</v>
      </c>
      <c r="C3645" t="s">
        <v>2153</v>
      </c>
      <c r="D3645">
        <v>26</v>
      </c>
      <c r="E3645">
        <v>0</v>
      </c>
      <c r="F3645">
        <v>112</v>
      </c>
    </row>
    <row r="3646" spans="1:6" ht="12.75">
      <c r="A3646" s="2">
        <v>43883.956921296296</v>
      </c>
      <c r="B3646" t="str">
        <f>HYPERLINK("https://twitter.com/ReagenTuan","@ReagenTuan")</f>
        <v>@ReagenTuan</v>
      </c>
      <c r="C3646" t="s">
        <v>2153</v>
      </c>
      <c r="D3646">
        <v>26</v>
      </c>
      <c r="E3646">
        <v>0</v>
      </c>
      <c r="F3646">
        <v>55</v>
      </c>
    </row>
    <row r="3647" spans="1:6" ht="12.75">
      <c r="A3647" s="2">
        <v>43883.956782407404</v>
      </c>
      <c r="B3647" t="str">
        <f>HYPERLINK("https://twitter.com/HendraZandi","@HendraZandi")</f>
        <v>@HendraZandi</v>
      </c>
      <c r="C3647" t="s">
        <v>2153</v>
      </c>
      <c r="D3647">
        <v>26</v>
      </c>
      <c r="E3647">
        <v>0</v>
      </c>
      <c r="F3647">
        <v>851</v>
      </c>
    </row>
    <row r="3648" spans="1:6" ht="12.75">
      <c r="A3648" s="2">
        <v>43883.956770833334</v>
      </c>
      <c r="B3648" t="str">
        <f>HYPERLINK("https://twitter.com/damai_3","@damai_3")</f>
        <v>@damai_3</v>
      </c>
      <c r="C3648" t="s">
        <v>2153</v>
      </c>
      <c r="D3648">
        <v>26</v>
      </c>
      <c r="E3648">
        <v>0</v>
      </c>
      <c r="F3648">
        <v>5665</v>
      </c>
    </row>
    <row r="3649" spans="1:6" ht="12.75">
      <c r="A3649" s="2">
        <v>43883.956666666665</v>
      </c>
      <c r="B3649" t="str">
        <f>HYPERLINK("https://twitter.com/ajadeh_ririn","@ajadeh_ririn")</f>
        <v>@ajadeh_ririn</v>
      </c>
      <c r="C3649" t="s">
        <v>2153</v>
      </c>
      <c r="D3649">
        <v>26</v>
      </c>
      <c r="E3649">
        <v>0</v>
      </c>
      <c r="F3649">
        <v>668</v>
      </c>
    </row>
    <row r="3650" spans="1:6" ht="12.75">
      <c r="A3650" s="2">
        <v>43883.956666666665</v>
      </c>
      <c r="B3650" t="str">
        <f>HYPERLINK("https://twitter.com/sazkaseven","@sazkaseven")</f>
        <v>@sazkaseven</v>
      </c>
      <c r="C3650" t="s">
        <v>3107</v>
      </c>
      <c r="D3650">
        <v>2</v>
      </c>
      <c r="E3650">
        <v>0</v>
      </c>
      <c r="F3650">
        <v>120</v>
      </c>
    </row>
    <row r="3651" spans="1:6" ht="12.75">
      <c r="A3651" s="2">
        <v>43883.956504629634</v>
      </c>
      <c r="B3651" t="str">
        <f>HYPERLINK("https://twitter.com/AkharRumput","@AkharRumput")</f>
        <v>@AkharRumput</v>
      </c>
      <c r="C3651" t="s">
        <v>2153</v>
      </c>
      <c r="D3651">
        <v>26</v>
      </c>
      <c r="E3651">
        <v>0</v>
      </c>
      <c r="F3651">
        <v>631</v>
      </c>
    </row>
    <row r="3652" spans="1:6" ht="12.75">
      <c r="A3652" s="2">
        <v>43883.955879629633</v>
      </c>
      <c r="B3652" t="str">
        <f>HYPERLINK("https://twitter.com/IwanNurwulan","@IwanNurwulan")</f>
        <v>@IwanNurwulan</v>
      </c>
      <c r="C3652" t="s">
        <v>2153</v>
      </c>
      <c r="D3652">
        <v>26</v>
      </c>
      <c r="E3652">
        <v>0</v>
      </c>
      <c r="F3652">
        <v>42</v>
      </c>
    </row>
    <row r="3653" spans="1:6" ht="12.75">
      <c r="A3653" s="2">
        <v>43883.95585648148</v>
      </c>
      <c r="B3653" t="str">
        <f>HYPERLINK("https://twitter.com/magandang19","@magandang19")</f>
        <v>@magandang19</v>
      </c>
      <c r="C3653" t="s">
        <v>2153</v>
      </c>
      <c r="D3653">
        <v>26</v>
      </c>
      <c r="E3653">
        <v>0</v>
      </c>
      <c r="F3653">
        <v>987</v>
      </c>
    </row>
    <row r="3654" spans="1:6" ht="12.75">
      <c r="A3654" s="2">
        <v>43883.955694444448</v>
      </c>
      <c r="B3654" t="str">
        <f>HYPERLINK("https://twitter.com/hapeproperti","@hapeproperti")</f>
        <v>@hapeproperti</v>
      </c>
      <c r="C3654" t="s">
        <v>3253</v>
      </c>
      <c r="D3654">
        <v>0</v>
      </c>
      <c r="E3654">
        <v>0</v>
      </c>
      <c r="F3654">
        <v>1615</v>
      </c>
    </row>
    <row r="3655" spans="1:6" ht="12.75">
      <c r="A3655" s="2">
        <v>43883.955648148149</v>
      </c>
      <c r="B3655" t="str">
        <f>HYPERLINK("https://twitter.com/IndonesiaTani","@IndonesiaTani")</f>
        <v>@IndonesiaTani</v>
      </c>
      <c r="C3655" t="s">
        <v>3254</v>
      </c>
      <c r="D3655">
        <v>0</v>
      </c>
      <c r="E3655">
        <v>1</v>
      </c>
      <c r="F3655">
        <v>32</v>
      </c>
    </row>
    <row r="3656" spans="1:6" ht="12.75">
      <c r="A3656" s="2">
        <v>43883.955081018517</v>
      </c>
      <c r="B3656" t="str">
        <f>HYPERLINK("https://twitter.com/GayaAmanah","@GayaAmanah")</f>
        <v>@GayaAmanah</v>
      </c>
      <c r="C3656" t="s">
        <v>2153</v>
      </c>
      <c r="D3656">
        <v>26</v>
      </c>
      <c r="E3656">
        <v>0</v>
      </c>
      <c r="F3656">
        <v>171</v>
      </c>
    </row>
    <row r="3657" spans="1:6" ht="12.75">
      <c r="A3657" s="2">
        <v>43883.95484953704</v>
      </c>
      <c r="B3657" t="str">
        <f>HYPERLINK("https://twitter.com/usepra1","@usepra1")</f>
        <v>@usepra1</v>
      </c>
      <c r="C3657" t="s">
        <v>3255</v>
      </c>
      <c r="D3657">
        <v>0</v>
      </c>
      <c r="E3657">
        <v>0</v>
      </c>
      <c r="F3657">
        <v>18</v>
      </c>
    </row>
    <row r="3658" spans="1:6" ht="12.75">
      <c r="A3658" s="2">
        <v>43883.95475694444</v>
      </c>
      <c r="B3658" t="str">
        <f>HYPERLINK("https://twitter.com/R_0ne_R1","@R_0ne_R1")</f>
        <v>@R_0ne_R1</v>
      </c>
      <c r="C3658" t="s">
        <v>2153</v>
      </c>
      <c r="D3658">
        <v>26</v>
      </c>
      <c r="E3658">
        <v>0</v>
      </c>
      <c r="F3658">
        <v>464</v>
      </c>
    </row>
    <row r="3659" spans="1:6" ht="12.75">
      <c r="A3659" s="2">
        <v>43883.954675925925</v>
      </c>
      <c r="B3659" t="str">
        <f>HYPERLINK("https://twitter.com/BudiTyas","@BudiTyas")</f>
        <v>@BudiTyas</v>
      </c>
      <c r="C3659" t="s">
        <v>3256</v>
      </c>
      <c r="D3659">
        <v>0</v>
      </c>
      <c r="E3659">
        <v>0</v>
      </c>
      <c r="F3659">
        <v>1535</v>
      </c>
    </row>
    <row r="3660" spans="1:6" ht="12.75">
      <c r="A3660" s="2">
        <v>43883.954571759255</v>
      </c>
      <c r="B3660" t="str">
        <f>HYPERLINK("https://twitter.com/WattimenaHG","@WattimenaHG")</f>
        <v>@WattimenaHG</v>
      </c>
      <c r="C3660" t="s">
        <v>2153</v>
      </c>
      <c r="D3660">
        <v>26</v>
      </c>
      <c r="E3660">
        <v>0</v>
      </c>
      <c r="F3660">
        <v>88</v>
      </c>
    </row>
    <row r="3661" spans="1:6" ht="12.75">
      <c r="A3661" s="2">
        <v>43883.954432870371</v>
      </c>
      <c r="B3661" t="str">
        <f>HYPERLINK("https://twitter.com/viskaya","@viskaya")</f>
        <v>@viskaya</v>
      </c>
      <c r="C3661" t="s">
        <v>2153</v>
      </c>
      <c r="D3661">
        <v>26</v>
      </c>
      <c r="E3661">
        <v>0</v>
      </c>
      <c r="F3661">
        <v>775</v>
      </c>
    </row>
    <row r="3662" spans="1:6" ht="12.75">
      <c r="A3662" s="2">
        <v>43883.954398148147</v>
      </c>
      <c r="B3662" t="str">
        <f>HYPERLINK("https://twitter.com/kandayan","@kandayan")</f>
        <v>@kandayan</v>
      </c>
      <c r="C3662" t="s">
        <v>2153</v>
      </c>
      <c r="D3662">
        <v>26</v>
      </c>
      <c r="E3662">
        <v>0</v>
      </c>
      <c r="F3662">
        <v>272</v>
      </c>
    </row>
    <row r="3663" spans="1:6" ht="12.75">
      <c r="A3663" s="2">
        <v>43883.953599537039</v>
      </c>
      <c r="B3663" t="str">
        <f>HYPERLINK("https://twitter.com/eklesiamrc","@eklesiamrc")</f>
        <v>@eklesiamrc</v>
      </c>
      <c r="C3663" t="s">
        <v>3257</v>
      </c>
      <c r="D3663">
        <v>1</v>
      </c>
      <c r="E3663">
        <v>0</v>
      </c>
      <c r="F3663">
        <v>1</v>
      </c>
    </row>
    <row r="3664" spans="1:6" ht="12.75">
      <c r="A3664" s="2">
        <v>43883.953599537039</v>
      </c>
      <c r="B3664" t="str">
        <f>HYPERLINK("https://twitter.com/tijabar","@tijabar")</f>
        <v>@tijabar</v>
      </c>
      <c r="C3664" t="s">
        <v>2153</v>
      </c>
      <c r="D3664">
        <v>26</v>
      </c>
      <c r="E3664">
        <v>0</v>
      </c>
      <c r="F3664">
        <v>58294</v>
      </c>
    </row>
    <row r="3665" spans="1:6" ht="12.75">
      <c r="A3665" s="2">
        <v>43883.953576388885</v>
      </c>
      <c r="B3665" t="str">
        <f>HYPERLINK("https://twitter.com/IndonesiaTani","@IndonesiaTani")</f>
        <v>@IndonesiaTani</v>
      </c>
      <c r="C3665" t="s">
        <v>2153</v>
      </c>
      <c r="D3665">
        <v>26</v>
      </c>
      <c r="E3665">
        <v>0</v>
      </c>
      <c r="F3665">
        <v>32</v>
      </c>
    </row>
    <row r="3666" spans="1:6" ht="12.75">
      <c r="A3666" s="2">
        <v>43883.953564814816</v>
      </c>
      <c r="B3666" t="str">
        <f>HYPERLINK("https://twitter.com/gunbrenk70","@gunbrenk70")</f>
        <v>@gunbrenk70</v>
      </c>
      <c r="C3666" t="s">
        <v>2153</v>
      </c>
      <c r="D3666">
        <v>26</v>
      </c>
      <c r="E3666">
        <v>0</v>
      </c>
      <c r="F3666">
        <v>246</v>
      </c>
    </row>
    <row r="3667" spans="1:6" ht="12.75">
      <c r="A3667" s="2">
        <v>43883.953460648147</v>
      </c>
      <c r="B3667" t="str">
        <f>HYPERLINK("https://twitter.com/OldJoe771","@OldJoe771")</f>
        <v>@OldJoe771</v>
      </c>
      <c r="C3667" t="s">
        <v>2153</v>
      </c>
      <c r="D3667">
        <v>26</v>
      </c>
      <c r="E3667">
        <v>0</v>
      </c>
      <c r="F3667">
        <v>321</v>
      </c>
    </row>
    <row r="3668" spans="1:6" ht="12.75">
      <c r="A3668" s="2">
        <v>43883.952743055561</v>
      </c>
      <c r="B3668" t="str">
        <f>HYPERLINK("https://twitter.com/RullyTawang","@RullyTawang")</f>
        <v>@RullyTawang</v>
      </c>
      <c r="C3668" t="s">
        <v>2153</v>
      </c>
      <c r="D3668">
        <v>26</v>
      </c>
      <c r="E3668">
        <v>0</v>
      </c>
      <c r="F3668">
        <v>693</v>
      </c>
    </row>
    <row r="3669" spans="1:6" ht="12.75">
      <c r="A3669" s="2">
        <v>43883.952326388884</v>
      </c>
      <c r="B3669" t="str">
        <f>HYPERLINK("https://twitter.com/4smara1701","@4smara1701")</f>
        <v>@4smara1701</v>
      </c>
      <c r="C3669" t="s">
        <v>3258</v>
      </c>
      <c r="D3669">
        <v>26</v>
      </c>
      <c r="E3669">
        <v>43</v>
      </c>
      <c r="F3669">
        <v>15025</v>
      </c>
    </row>
    <row r="3670" spans="1:6" ht="12.75">
      <c r="A3670" s="2">
        <v>43883.952175925922</v>
      </c>
      <c r="B3670" t="str">
        <f>HYPERLINK("https://twitter.com/eghisaroni","@eghisaroni")</f>
        <v>@eghisaroni</v>
      </c>
      <c r="C3670" t="s">
        <v>3259</v>
      </c>
      <c r="D3670">
        <v>1</v>
      </c>
      <c r="E3670">
        <v>0</v>
      </c>
      <c r="F3670">
        <v>106</v>
      </c>
    </row>
    <row r="3671" spans="1:6" ht="12.75">
      <c r="A3671" s="2">
        <v>43883.950833333336</v>
      </c>
      <c r="B3671" t="str">
        <f>HYPERLINK("https://twitter.com/faezmir","@faezmir")</f>
        <v>@faezmir</v>
      </c>
      <c r="C3671" t="s">
        <v>3260</v>
      </c>
      <c r="D3671">
        <v>10</v>
      </c>
      <c r="E3671">
        <v>0</v>
      </c>
      <c r="F3671">
        <v>86</v>
      </c>
    </row>
    <row r="3672" spans="1:6" ht="12.75">
      <c r="A3672" s="2">
        <v>43883.950798611113</v>
      </c>
      <c r="B3672" t="str">
        <f>HYPERLINK("https://twitter.com/daredendy","@daredendy")</f>
        <v>@daredendy</v>
      </c>
      <c r="C3672" t="s">
        <v>3261</v>
      </c>
      <c r="D3672">
        <v>0</v>
      </c>
      <c r="E3672">
        <v>0</v>
      </c>
      <c r="F3672">
        <v>427</v>
      </c>
    </row>
    <row r="3673" spans="1:6" ht="12.75">
      <c r="A3673" s="2">
        <v>43883.950023148151</v>
      </c>
      <c r="B3673" t="str">
        <f>HYPERLINK("https://twitter.com/titopurwokerto","@titopurwokerto")</f>
        <v>@titopurwokerto</v>
      </c>
      <c r="C3673" t="s">
        <v>3262</v>
      </c>
      <c r="D3673">
        <v>0</v>
      </c>
      <c r="E3673">
        <v>0</v>
      </c>
      <c r="F3673">
        <v>62</v>
      </c>
    </row>
    <row r="3674" spans="1:6" ht="12.75">
      <c r="A3674" s="2">
        <v>43883.949826388889</v>
      </c>
      <c r="B3674" t="str">
        <f>HYPERLINK("https://twitter.com/PoncoSusilo1976","@PoncoSusilo1976")</f>
        <v>@PoncoSusilo1976</v>
      </c>
      <c r="C3674" t="s">
        <v>3263</v>
      </c>
      <c r="D3674">
        <v>0</v>
      </c>
      <c r="E3674">
        <v>0</v>
      </c>
      <c r="F3674">
        <v>126</v>
      </c>
    </row>
    <row r="3675" spans="1:6" ht="12.75">
      <c r="A3675" s="2">
        <v>43883.947511574079</v>
      </c>
      <c r="B3675" t="str">
        <f>HYPERLINK("https://twitter.com/juventinaElysia","@juventinaElysia")</f>
        <v>@juventinaElysia</v>
      </c>
      <c r="C3675" t="s">
        <v>3264</v>
      </c>
      <c r="D3675">
        <v>0</v>
      </c>
      <c r="E3675">
        <v>2</v>
      </c>
      <c r="F3675">
        <v>5639</v>
      </c>
    </row>
    <row r="3676" spans="1:6" ht="12.75">
      <c r="A3676" s="2">
        <v>43883.946956018517</v>
      </c>
      <c r="B3676" t="str">
        <f>HYPERLINK("https://twitter.com/GagakNeww2","@GagakNeww2")</f>
        <v>@GagakNeww2</v>
      </c>
      <c r="C3676" t="s">
        <v>3265</v>
      </c>
      <c r="D3676">
        <v>1</v>
      </c>
      <c r="E3676">
        <v>0</v>
      </c>
      <c r="F3676">
        <v>418</v>
      </c>
    </row>
    <row r="3677" spans="1:6" ht="12.75">
      <c r="A3677" s="2">
        <v>43883.946655092594</v>
      </c>
      <c r="B3677" t="str">
        <f>HYPERLINK("https://twitter.com/siiudil","@siiudil")</f>
        <v>@siiudil</v>
      </c>
      <c r="C3677" t="s">
        <v>3266</v>
      </c>
      <c r="D3677">
        <v>1</v>
      </c>
      <c r="E3677">
        <v>0</v>
      </c>
      <c r="F3677">
        <v>274</v>
      </c>
    </row>
    <row r="3678" spans="1:6" ht="12.75">
      <c r="A3678" s="2">
        <v>43883.946388888886</v>
      </c>
      <c r="B3678" t="str">
        <f>HYPERLINK("https://twitter.com/hehe1200","@hehe1200")</f>
        <v>@hehe1200</v>
      </c>
      <c r="C3678" t="s">
        <v>3267</v>
      </c>
      <c r="D3678">
        <v>0</v>
      </c>
      <c r="E3678">
        <v>1</v>
      </c>
      <c r="F3678">
        <v>328</v>
      </c>
    </row>
    <row r="3679" spans="1:6" ht="12.75">
      <c r="A3679" s="2">
        <v>43883.946284722224</v>
      </c>
      <c r="B3679" t="str">
        <f>HYPERLINK("https://twitter.com/GYatmoko","@GYatmoko")</f>
        <v>@GYatmoko</v>
      </c>
      <c r="C3679" t="s">
        <v>3268</v>
      </c>
      <c r="D3679">
        <v>0</v>
      </c>
      <c r="E3679">
        <v>0</v>
      </c>
      <c r="F3679">
        <v>7639</v>
      </c>
    </row>
    <row r="3680" spans="1:6" ht="12.75">
      <c r="A3680" s="2">
        <v>43883.945960648147</v>
      </c>
      <c r="B3680" t="str">
        <f>HYPERLINK("https://twitter.com/ISIS_Balik_NO","@ISIS_Balik_NO")</f>
        <v>@ISIS_Balik_NO</v>
      </c>
      <c r="C3680" t="s">
        <v>3269</v>
      </c>
      <c r="D3680">
        <v>34</v>
      </c>
      <c r="E3680">
        <v>0</v>
      </c>
      <c r="F3680">
        <v>6099</v>
      </c>
    </row>
    <row r="3681" spans="1:6" ht="12.75">
      <c r="A3681" s="2">
        <v>43883.9456712963</v>
      </c>
      <c r="B3681" t="str">
        <f>HYPERLINK("https://twitter.com/Gungwah_Lau","@Gungwah_Lau")</f>
        <v>@Gungwah_Lau</v>
      </c>
      <c r="C3681" t="s">
        <v>2880</v>
      </c>
      <c r="D3681">
        <v>27</v>
      </c>
      <c r="E3681">
        <v>0</v>
      </c>
      <c r="F3681">
        <v>962</v>
      </c>
    </row>
    <row r="3682" spans="1:6" ht="12.75">
      <c r="A3682" s="2">
        <v>43883.945555555554</v>
      </c>
      <c r="B3682" t="str">
        <f>HYPERLINK("https://twitter.com/dianafithras","@dianafithras")</f>
        <v>@dianafithras</v>
      </c>
      <c r="C3682" t="s">
        <v>3270</v>
      </c>
      <c r="D3682">
        <v>0</v>
      </c>
      <c r="E3682">
        <v>1</v>
      </c>
      <c r="F3682">
        <v>6384</v>
      </c>
    </row>
    <row r="3683" spans="1:6" ht="12.75">
      <c r="A3683" s="2">
        <v>43883.945081018523</v>
      </c>
      <c r="B3683" t="str">
        <f>HYPERLINK("https://twitter.com/zulzainul","@zulzainul")</f>
        <v>@zulzainul</v>
      </c>
      <c r="C3683" t="s">
        <v>3090</v>
      </c>
      <c r="D3683">
        <v>97</v>
      </c>
      <c r="E3683">
        <v>0</v>
      </c>
      <c r="F3683">
        <v>118</v>
      </c>
    </row>
    <row r="3684" spans="1:6" ht="12.75">
      <c r="A3684" s="2">
        <v>43883.944085648152</v>
      </c>
      <c r="B3684" t="str">
        <f>HYPERLINK("https://twitter.com/Mar33Cj","@Mar33Cj")</f>
        <v>@Mar33Cj</v>
      </c>
      <c r="C3684" t="s">
        <v>2676</v>
      </c>
      <c r="D3684">
        <v>14</v>
      </c>
      <c r="E3684">
        <v>0</v>
      </c>
      <c r="F3684">
        <v>4748</v>
      </c>
    </row>
    <row r="3685" spans="1:6" ht="12.75">
      <c r="A3685" s="2">
        <v>43883.942650462966</v>
      </c>
      <c r="B3685" t="str">
        <f>HYPERLINK("https://twitter.com/jheavenhome","@jheavenhome")</f>
        <v>@jheavenhome</v>
      </c>
      <c r="C3685" t="s">
        <v>3271</v>
      </c>
      <c r="D3685">
        <v>0</v>
      </c>
      <c r="E3685">
        <v>1</v>
      </c>
      <c r="F3685">
        <v>2594</v>
      </c>
    </row>
    <row r="3686" spans="1:6" ht="12.75">
      <c r="A3686" s="2">
        <v>43883.94121527778</v>
      </c>
      <c r="B3686" t="str">
        <f>HYPERLINK("https://twitter.com/PurbaHermanto","@PurbaHermanto")</f>
        <v>@PurbaHermanto</v>
      </c>
      <c r="C3686" t="s">
        <v>3272</v>
      </c>
      <c r="D3686">
        <v>0</v>
      </c>
      <c r="E3686">
        <v>1</v>
      </c>
      <c r="F3686">
        <v>1944</v>
      </c>
    </row>
    <row r="3687" spans="1:6" ht="12.75">
      <c r="A3687" s="2">
        <v>43883.940775462965</v>
      </c>
      <c r="B3687" t="str">
        <f>HYPERLINK("https://twitter.com/GqZ6HoLcyITrJcK","@GqZ6HoLcyITrJcK")</f>
        <v>@GqZ6HoLcyITrJcK</v>
      </c>
      <c r="C3687" t="s">
        <v>3273</v>
      </c>
      <c r="D3687">
        <v>0</v>
      </c>
      <c r="E3687">
        <v>0</v>
      </c>
      <c r="F3687">
        <v>95</v>
      </c>
    </row>
    <row r="3688" spans="1:6" ht="12.75">
      <c r="A3688" s="2">
        <v>43883.940775462965</v>
      </c>
      <c r="B3688" t="str">
        <f>HYPERLINK("https://twitter.com/hemaviton99","@hemaviton99")</f>
        <v>@hemaviton99</v>
      </c>
      <c r="C3688" t="s">
        <v>3274</v>
      </c>
      <c r="D3688">
        <v>2</v>
      </c>
      <c r="E3688">
        <v>0</v>
      </c>
      <c r="F3688">
        <v>4563</v>
      </c>
    </row>
    <row r="3689" spans="1:6" ht="12.75">
      <c r="A3689" s="2">
        <v>43883.940254629633</v>
      </c>
      <c r="B3689" t="str">
        <f>HYPERLINK("https://twitter.com/niningasih","@niningasih")</f>
        <v>@niningasih</v>
      </c>
      <c r="C3689" t="s">
        <v>2087</v>
      </c>
      <c r="D3689">
        <v>52</v>
      </c>
      <c r="E3689">
        <v>0</v>
      </c>
      <c r="F3689">
        <v>1162</v>
      </c>
    </row>
    <row r="3690" spans="1:6" ht="12.75">
      <c r="A3690" s="2">
        <v>43883.940034722225</v>
      </c>
      <c r="B3690" t="str">
        <f>HYPERLINK("https://twitter.com/VictorJoeSin","@VictorJoeSin")</f>
        <v>@VictorJoeSin</v>
      </c>
      <c r="C3690" t="s">
        <v>3275</v>
      </c>
      <c r="D3690">
        <v>0</v>
      </c>
      <c r="E3690">
        <v>1</v>
      </c>
      <c r="F3690">
        <v>2610</v>
      </c>
    </row>
    <row r="3691" spans="1:6" ht="12.75">
      <c r="A3691" s="2">
        <v>43883.939664351856</v>
      </c>
      <c r="B3691" t="str">
        <f>HYPERLINK("https://twitter.com/nashelmiwahab","@nashelmiwahab")</f>
        <v>@nashelmiwahab</v>
      </c>
      <c r="C3691" t="s">
        <v>3260</v>
      </c>
      <c r="D3691">
        <v>10</v>
      </c>
      <c r="E3691">
        <v>0</v>
      </c>
      <c r="F3691">
        <v>167</v>
      </c>
    </row>
    <row r="3692" spans="1:6" ht="12.75">
      <c r="A3692" s="2">
        <v>43883.939340277779</v>
      </c>
      <c r="B3692" t="str">
        <f>HYPERLINK("https://twitter.com/FKMOjol","@FKMOjol")</f>
        <v>@FKMOjol</v>
      </c>
      <c r="C3692" t="s">
        <v>3276</v>
      </c>
      <c r="D3692">
        <v>0</v>
      </c>
      <c r="E3692">
        <v>0</v>
      </c>
      <c r="F3692">
        <v>255</v>
      </c>
    </row>
    <row r="3693" spans="1:6" ht="12.75">
      <c r="A3693" s="2">
        <v>43883.939166666663</v>
      </c>
      <c r="B3693" t="str">
        <f>HYPERLINK("https://twitter.com/Doel15806331","@Doel15806331")</f>
        <v>@Doel15806331</v>
      </c>
      <c r="C3693" t="s">
        <v>3235</v>
      </c>
      <c r="D3693">
        <v>3</v>
      </c>
      <c r="E3693">
        <v>0</v>
      </c>
      <c r="F3693">
        <v>522</v>
      </c>
    </row>
    <row r="3694" spans="1:6" ht="12.75">
      <c r="A3694" s="2">
        <v>43883.938969907409</v>
      </c>
      <c r="B3694" t="str">
        <f>HYPERLINK("https://twitter.com/Bentir16","@Bentir16")</f>
        <v>@Bentir16</v>
      </c>
      <c r="C3694" t="s">
        <v>3277</v>
      </c>
      <c r="D3694">
        <v>8</v>
      </c>
      <c r="E3694">
        <v>0</v>
      </c>
      <c r="F3694">
        <v>831</v>
      </c>
    </row>
    <row r="3695" spans="1:6" ht="12.75">
      <c r="A3695" s="2">
        <v>43883.938252314816</v>
      </c>
      <c r="B3695" t="str">
        <f>HYPERLINK("https://twitter.com/uliezzz","@uliezzz")</f>
        <v>@uliezzz</v>
      </c>
      <c r="C3695" t="s">
        <v>3278</v>
      </c>
      <c r="D3695">
        <v>104</v>
      </c>
      <c r="E3695">
        <v>0</v>
      </c>
      <c r="F3695">
        <v>116</v>
      </c>
    </row>
    <row r="3696" spans="1:6" ht="12.75">
      <c r="A3696" s="2">
        <v>43883.937118055561</v>
      </c>
      <c r="B3696" t="str">
        <f>HYPERLINK("https://twitter.com/lordvader99999","@lordvader99999")</f>
        <v>@lordvader99999</v>
      </c>
      <c r="C3696" t="s">
        <v>3279</v>
      </c>
      <c r="D3696">
        <v>0</v>
      </c>
      <c r="E3696">
        <v>0</v>
      </c>
      <c r="F3696">
        <v>11</v>
      </c>
    </row>
    <row r="3697" spans="1:6" ht="12.75">
      <c r="A3697" s="2">
        <v>43883.936898148153</v>
      </c>
      <c r="B3697" t="str">
        <f>HYPERLINK("https://twitter.com/aya_ddt","@aya_ddt")</f>
        <v>@aya_ddt</v>
      </c>
      <c r="C3697" t="s">
        <v>3280</v>
      </c>
      <c r="D3697">
        <v>3</v>
      </c>
      <c r="E3697">
        <v>0</v>
      </c>
      <c r="F3697">
        <v>433</v>
      </c>
    </row>
    <row r="3698" spans="1:6" ht="12.75">
      <c r="A3698" s="2">
        <v>43883.936539351853</v>
      </c>
      <c r="B3698" t="str">
        <f>HYPERLINK("https://twitter.com/RWahyudisyah","@RWahyudisyah")</f>
        <v>@RWahyudisyah</v>
      </c>
      <c r="C3698" t="s">
        <v>3281</v>
      </c>
      <c r="D3698">
        <v>0</v>
      </c>
      <c r="E3698">
        <v>1</v>
      </c>
      <c r="F3698">
        <v>1378</v>
      </c>
    </row>
    <row r="3699" spans="1:6" ht="12.75">
      <c r="A3699" s="2">
        <v>43883.936516203699</v>
      </c>
      <c r="B3699" t="str">
        <f>HYPERLINK("https://twitter.com/smiling93_psy","@smiling93_psy")</f>
        <v>@smiling93_psy</v>
      </c>
      <c r="C3699" t="s">
        <v>3282</v>
      </c>
      <c r="D3699">
        <v>4</v>
      </c>
      <c r="E3699">
        <v>0</v>
      </c>
      <c r="F3699">
        <v>146</v>
      </c>
    </row>
    <row r="3700" spans="1:6" ht="12.75">
      <c r="A3700" s="2">
        <v>43883.936377314814</v>
      </c>
      <c r="B3700" t="str">
        <f>HYPERLINK("https://twitter.com/hsnwan","@hsnwan")</f>
        <v>@hsnwan</v>
      </c>
      <c r="C3700" t="s">
        <v>3283</v>
      </c>
      <c r="D3700">
        <v>0</v>
      </c>
      <c r="E3700">
        <v>0</v>
      </c>
      <c r="F3700">
        <v>1010</v>
      </c>
    </row>
    <row r="3701" spans="1:6" ht="12.75">
      <c r="A3701" s="2">
        <v>43883.934259259258</v>
      </c>
      <c r="B3701" t="str">
        <f>HYPERLINK("https://twitter.com/NovaSetyaa","@NovaSetyaa")</f>
        <v>@NovaSetyaa</v>
      </c>
      <c r="C3701" t="s">
        <v>2702</v>
      </c>
      <c r="D3701">
        <v>357</v>
      </c>
      <c r="E3701">
        <v>0</v>
      </c>
      <c r="F3701">
        <v>478</v>
      </c>
    </row>
    <row r="3702" spans="1:6" ht="12.75">
      <c r="A3702" s="2">
        <v>43883.933981481481</v>
      </c>
      <c r="B3702" t="str">
        <f>HYPERLINK("https://twitter.com/SambasSamsu61","@SambasSamsu61")</f>
        <v>@SambasSamsu61</v>
      </c>
      <c r="C3702" t="s">
        <v>2154</v>
      </c>
      <c r="D3702">
        <v>42</v>
      </c>
      <c r="E3702">
        <v>0</v>
      </c>
      <c r="F3702">
        <v>91</v>
      </c>
    </row>
    <row r="3703" spans="1:6" ht="12.75">
      <c r="A3703" s="2">
        <v>43883.933796296296</v>
      </c>
      <c r="B3703" t="str">
        <f>HYPERLINK("https://twitter.com/Tasawuf_Klasik","@Tasawuf_Klasik")</f>
        <v>@Tasawuf_Klasik</v>
      </c>
      <c r="C3703" t="s">
        <v>3284</v>
      </c>
      <c r="D3703">
        <v>0</v>
      </c>
      <c r="E3703">
        <v>0</v>
      </c>
      <c r="F3703">
        <v>580</v>
      </c>
    </row>
    <row r="3704" spans="1:6" ht="12.75">
      <c r="A3704" s="2">
        <v>43883.933738425927</v>
      </c>
      <c r="B3704" t="str">
        <f>HYPERLINK("https://twitter.com/DPikairi","@DPikairi")</f>
        <v>@DPikairi</v>
      </c>
      <c r="C3704" t="s">
        <v>3285</v>
      </c>
      <c r="D3704">
        <v>0</v>
      </c>
      <c r="E3704">
        <v>0</v>
      </c>
      <c r="F3704">
        <v>99</v>
      </c>
    </row>
    <row r="3705" spans="1:6" ht="12.75">
      <c r="A3705" s="2">
        <v>43883.933159722219</v>
      </c>
      <c r="B3705" t="str">
        <f>HYPERLINK("https://twitter.com/ariffhuzaifahh","@ariffhuzaifahh")</f>
        <v>@ariffhuzaifahh</v>
      </c>
      <c r="C3705" t="s">
        <v>3286</v>
      </c>
      <c r="D3705">
        <v>6</v>
      </c>
      <c r="E3705">
        <v>0</v>
      </c>
      <c r="F3705">
        <v>368</v>
      </c>
    </row>
    <row r="3706" spans="1:6" ht="12.75">
      <c r="A3706" s="2">
        <v>43883.932627314818</v>
      </c>
      <c r="B3706" t="str">
        <f>HYPERLINK("https://twitter.com/abillaaaaa","@abillaaaaa")</f>
        <v>@abillaaaaa</v>
      </c>
      <c r="C3706" t="s">
        <v>513</v>
      </c>
      <c r="D3706">
        <v>23268</v>
      </c>
      <c r="E3706">
        <v>0</v>
      </c>
      <c r="F3706">
        <v>37</v>
      </c>
    </row>
    <row r="3707" spans="1:6" ht="12.75">
      <c r="A3707" s="2">
        <v>43883.932118055556</v>
      </c>
      <c r="B3707" t="str">
        <f>HYPERLINK("https://twitter.com/vindaksma_","@vindaksma_")</f>
        <v>@vindaksma_</v>
      </c>
      <c r="C3707" t="s">
        <v>3287</v>
      </c>
      <c r="D3707">
        <v>0</v>
      </c>
      <c r="E3707">
        <v>0</v>
      </c>
      <c r="F3707">
        <v>259</v>
      </c>
    </row>
    <row r="3708" spans="1:6" ht="12.75">
      <c r="A3708" s="2">
        <v>43883.931759259256</v>
      </c>
      <c r="B3708" t="str">
        <f>HYPERLINK("https://twitter.com/melimo78","@melimo78")</f>
        <v>@melimo78</v>
      </c>
      <c r="C3708" t="s">
        <v>3288</v>
      </c>
      <c r="D3708">
        <v>0</v>
      </c>
      <c r="E3708">
        <v>2</v>
      </c>
      <c r="F3708">
        <v>442</v>
      </c>
    </row>
    <row r="3709" spans="1:6" ht="12.75">
      <c r="A3709" s="2">
        <v>43883.92869212963</v>
      </c>
      <c r="B3709" t="str">
        <f>HYPERLINK("https://twitter.com/GerhardMario","@GerhardMario")</f>
        <v>@GerhardMario</v>
      </c>
      <c r="C3709" t="s">
        <v>3289</v>
      </c>
      <c r="D3709">
        <v>0</v>
      </c>
      <c r="E3709">
        <v>0</v>
      </c>
      <c r="F3709">
        <v>78</v>
      </c>
    </row>
    <row r="3710" spans="1:6" ht="12.75">
      <c r="A3710" s="2">
        <v>43883.928611111114</v>
      </c>
      <c r="B3710" t="str">
        <f>HYPERLINK("https://twitter.com/ahalfgoddess","@ahalfgoddess")</f>
        <v>@ahalfgoddess</v>
      </c>
      <c r="C3710" t="s">
        <v>3290</v>
      </c>
      <c r="D3710">
        <v>0</v>
      </c>
      <c r="E3710">
        <v>2</v>
      </c>
      <c r="F3710">
        <v>83</v>
      </c>
    </row>
    <row r="3711" spans="1:6" ht="12.75">
      <c r="A3711" s="2">
        <v>43883.928460648152</v>
      </c>
      <c r="B3711" t="str">
        <f>HYPERLINK("https://twitter.com/AnakLolina","@AnakLolina")</f>
        <v>@AnakLolina</v>
      </c>
      <c r="C3711" t="s">
        <v>3274</v>
      </c>
      <c r="D3711">
        <v>2</v>
      </c>
      <c r="E3711">
        <v>0</v>
      </c>
      <c r="F3711">
        <v>14755</v>
      </c>
    </row>
    <row r="3712" spans="1:6" ht="12.75">
      <c r="A3712" s="2">
        <v>43883.926724537036</v>
      </c>
      <c r="B3712" t="str">
        <f>HYPERLINK("https://twitter.com/agielgrjhfghdfg","@agielgrjhfghdfg")</f>
        <v>@agielgrjhfghdfg</v>
      </c>
      <c r="C3712" t="s">
        <v>3291</v>
      </c>
      <c r="D3712">
        <v>6</v>
      </c>
      <c r="E3712">
        <v>0</v>
      </c>
      <c r="F3712">
        <v>515</v>
      </c>
    </row>
    <row r="3713" spans="1:6" ht="12.75">
      <c r="A3713" s="2">
        <v>43883.926388888889</v>
      </c>
      <c r="B3713" t="str">
        <f>HYPERLINK("https://twitter.com/MdAmer777","@MdAmer777")</f>
        <v>@MdAmer777</v>
      </c>
      <c r="C3713" t="s">
        <v>3090</v>
      </c>
      <c r="D3713">
        <v>97</v>
      </c>
      <c r="E3713">
        <v>0</v>
      </c>
      <c r="F3713">
        <v>296</v>
      </c>
    </row>
    <row r="3714" spans="1:6" ht="12.75">
      <c r="A3714" s="2">
        <v>43883.925138888888</v>
      </c>
      <c r="B3714" t="str">
        <f>HYPERLINK("https://twitter.com/YCH7168","@YCH7168")</f>
        <v>@YCH7168</v>
      </c>
      <c r="C3714" t="s">
        <v>3292</v>
      </c>
      <c r="D3714">
        <v>0</v>
      </c>
      <c r="E3714">
        <v>0</v>
      </c>
      <c r="F3714">
        <v>7625</v>
      </c>
    </row>
    <row r="3715" spans="1:6" ht="12.75">
      <c r="A3715" s="2">
        <v>43883.924953703703</v>
      </c>
      <c r="B3715" t="str">
        <f>HYPERLINK("https://twitter.com/MahdiBima","@MahdiBima")</f>
        <v>@MahdiBima</v>
      </c>
      <c r="C3715" t="s">
        <v>2134</v>
      </c>
      <c r="D3715">
        <v>994</v>
      </c>
      <c r="E3715">
        <v>0</v>
      </c>
      <c r="F3715">
        <v>1380</v>
      </c>
    </row>
    <row r="3716" spans="1:6" ht="12.75">
      <c r="A3716" s="2">
        <v>43883.924583333333</v>
      </c>
      <c r="B3716" t="str">
        <f>HYPERLINK("https://twitter.com/demonslayerrs","@demonslayerrs")</f>
        <v>@demonslayerrs</v>
      </c>
      <c r="C3716" t="s">
        <v>3293</v>
      </c>
      <c r="D3716">
        <v>0</v>
      </c>
      <c r="E3716">
        <v>0</v>
      </c>
      <c r="F3716">
        <v>2365</v>
      </c>
    </row>
    <row r="3717" spans="1:6" ht="12.75">
      <c r="A3717" s="2">
        <v>43883.921805555554</v>
      </c>
      <c r="B3717" t="str">
        <f>HYPERLINK("https://twitter.com/hdiansyah999","@hdiansyah999")</f>
        <v>@hdiansyah999</v>
      </c>
      <c r="C3717" t="s">
        <v>3294</v>
      </c>
      <c r="D3717">
        <v>0</v>
      </c>
      <c r="E3717">
        <v>0</v>
      </c>
      <c r="F3717">
        <v>6</v>
      </c>
    </row>
    <row r="3718" spans="1:6" ht="12.75">
      <c r="A3718" s="2">
        <v>43883.921261574069</v>
      </c>
      <c r="B3718" t="str">
        <f>HYPERLINK("https://twitter.com/tua_serdadu","@tua_serdadu")</f>
        <v>@tua_serdadu</v>
      </c>
      <c r="C3718" t="s">
        <v>3171</v>
      </c>
      <c r="D3718">
        <v>7</v>
      </c>
      <c r="E3718">
        <v>0</v>
      </c>
      <c r="F3718">
        <v>581</v>
      </c>
    </row>
    <row r="3719" spans="1:6" ht="12.75">
      <c r="A3719" s="2">
        <v>43883.921249999999</v>
      </c>
      <c r="B3719" t="str">
        <f>HYPERLINK("https://twitter.com/heavenchoc","@heavenchoc")</f>
        <v>@heavenchoc</v>
      </c>
      <c r="C3719" t="s">
        <v>3295</v>
      </c>
      <c r="D3719">
        <v>0</v>
      </c>
      <c r="E3719">
        <v>0</v>
      </c>
      <c r="F3719">
        <v>263</v>
      </c>
    </row>
    <row r="3720" spans="1:6" ht="12.75">
      <c r="A3720" s="2">
        <v>43883.919988425929</v>
      </c>
      <c r="B3720" t="str">
        <f>HYPERLINK("https://twitter.com/majisyafii","@majisyafii")</f>
        <v>@majisyafii</v>
      </c>
      <c r="C3720" t="s">
        <v>3296</v>
      </c>
      <c r="D3720">
        <v>8</v>
      </c>
      <c r="E3720">
        <v>0</v>
      </c>
      <c r="F3720">
        <v>1933</v>
      </c>
    </row>
    <row r="3721" spans="1:6" ht="12.75">
      <c r="A3721" s="2">
        <v>43883.918391203704</v>
      </c>
      <c r="B3721" t="str">
        <f>HYPERLINK("https://twitter.com/Yeyen41020695","@Yeyen41020695")</f>
        <v>@Yeyen41020695</v>
      </c>
      <c r="C3721" t="s">
        <v>3297</v>
      </c>
      <c r="D3721">
        <v>1</v>
      </c>
      <c r="E3721">
        <v>1</v>
      </c>
      <c r="F3721">
        <v>1467</v>
      </c>
    </row>
    <row r="3722" spans="1:6" ht="12.75">
      <c r="A3722" s="2">
        <v>43883.91574074074</v>
      </c>
      <c r="B3722" t="str">
        <f>HYPERLINK("https://twitter.com/Rizkihadi","@Rizkihadi")</f>
        <v>@Rizkihadi</v>
      </c>
      <c r="C3722" t="s">
        <v>3298</v>
      </c>
      <c r="D3722">
        <v>3</v>
      </c>
      <c r="E3722">
        <v>0</v>
      </c>
      <c r="F3722">
        <v>1383</v>
      </c>
    </row>
    <row r="3723" spans="1:6" ht="12.75">
      <c r="A3723" s="2">
        <v>43883.915451388893</v>
      </c>
      <c r="B3723" t="str">
        <f>HYPERLINK("https://twitter.com/SheGozam","@SheGozam")</f>
        <v>@SheGozam</v>
      </c>
      <c r="C3723" t="s">
        <v>3299</v>
      </c>
      <c r="D3723">
        <v>2</v>
      </c>
      <c r="E3723">
        <v>0</v>
      </c>
      <c r="F3723">
        <v>145</v>
      </c>
    </row>
    <row r="3724" spans="1:6" ht="12.75">
      <c r="A3724" s="2">
        <v>43883.91542824074</v>
      </c>
      <c r="B3724" t="str">
        <f>HYPERLINK("https://twitter.com/agussari","@agussari")</f>
        <v>@agussari</v>
      </c>
      <c r="C3724" t="s">
        <v>3298</v>
      </c>
      <c r="D3724">
        <v>3</v>
      </c>
      <c r="E3724">
        <v>0</v>
      </c>
      <c r="F3724">
        <v>19775</v>
      </c>
    </row>
    <row r="3725" spans="1:6" ht="12.75">
      <c r="A3725" s="2">
        <v>43883.915046296301</v>
      </c>
      <c r="B3725" t="str">
        <f>HYPERLINK("https://twitter.com/Aryprasetyo85","@Aryprasetyo85")</f>
        <v>@Aryprasetyo85</v>
      </c>
      <c r="C3725" t="s">
        <v>3299</v>
      </c>
      <c r="D3725">
        <v>2</v>
      </c>
      <c r="E3725">
        <v>0</v>
      </c>
      <c r="F3725">
        <v>39054</v>
      </c>
    </row>
    <row r="3726" spans="1:6" ht="12.75">
      <c r="A3726" s="2">
        <v>43883.914907407408</v>
      </c>
      <c r="B3726" t="str">
        <f>HYPERLINK("https://twitter.com/jawapos","@jawapos")</f>
        <v>@jawapos</v>
      </c>
      <c r="C3726" t="s">
        <v>2189</v>
      </c>
      <c r="D3726">
        <v>0</v>
      </c>
      <c r="E3726">
        <v>0</v>
      </c>
      <c r="F3726">
        <v>120330</v>
      </c>
    </row>
    <row r="3727" spans="1:6" ht="12.75">
      <c r="A3727" s="2">
        <v>43883.914756944447</v>
      </c>
      <c r="B3727" t="str">
        <f>HYPERLINK("https://twitter.com/Gmontadaro","@Gmontadaro")</f>
        <v>@Gmontadaro</v>
      </c>
      <c r="C3727" t="s">
        <v>3298</v>
      </c>
      <c r="D3727">
        <v>3</v>
      </c>
      <c r="E3727">
        <v>0</v>
      </c>
      <c r="F3727">
        <v>11022</v>
      </c>
    </row>
    <row r="3728" spans="1:6" ht="12.75">
      <c r="A3728" s="2">
        <v>43883.914398148147</v>
      </c>
      <c r="B3728" t="str">
        <f>HYPERLINK("https://twitter.com/idntimes","@idntimes")</f>
        <v>@idntimes</v>
      </c>
      <c r="C3728" t="s">
        <v>3300</v>
      </c>
      <c r="D3728">
        <v>0</v>
      </c>
      <c r="E3728">
        <v>0</v>
      </c>
      <c r="F3728">
        <v>393207</v>
      </c>
    </row>
    <row r="3729" spans="1:6" ht="12.75">
      <c r="A3729" s="2">
        <v>43883.913171296299</v>
      </c>
      <c r="B3729" t="str">
        <f>HYPERLINK("https://twitter.com/danrem","@danrem")</f>
        <v>@danrem</v>
      </c>
      <c r="C3729" t="s">
        <v>3301</v>
      </c>
      <c r="D3729">
        <v>3</v>
      </c>
      <c r="E3729">
        <v>0</v>
      </c>
      <c r="F3729">
        <v>31510</v>
      </c>
    </row>
    <row r="3730" spans="1:6" ht="12.75">
      <c r="A3730" s="2">
        <v>43883.911747685182</v>
      </c>
      <c r="B3730" t="str">
        <f>HYPERLINK("https://twitter.com/inu_ratih1","@inu_ratih1")</f>
        <v>@inu_ratih1</v>
      </c>
      <c r="C3730" t="s">
        <v>3302</v>
      </c>
      <c r="D3730">
        <v>33</v>
      </c>
      <c r="E3730">
        <v>0</v>
      </c>
      <c r="F3730">
        <v>93</v>
      </c>
    </row>
    <row r="3731" spans="1:6" ht="12.75">
      <c r="A3731" s="2">
        <v>43883.910729166666</v>
      </c>
      <c r="B3731" t="str">
        <f>HYPERLINK("https://twitter.com/beatrice_health","@beatrice_health")</f>
        <v>@beatrice_health</v>
      </c>
      <c r="C3731" t="s">
        <v>3303</v>
      </c>
      <c r="D3731">
        <v>2</v>
      </c>
      <c r="E3731">
        <v>0</v>
      </c>
      <c r="F3731">
        <v>279</v>
      </c>
    </row>
    <row r="3732" spans="1:6" ht="12.75">
      <c r="A3732" s="2">
        <v>43883.910682870366</v>
      </c>
      <c r="B3732" t="str">
        <f>HYPERLINK("https://twitter.com/YohanesPatty2","@YohanesPatty2")</f>
        <v>@YohanesPatty2</v>
      </c>
      <c r="C3732" t="s">
        <v>3303</v>
      </c>
      <c r="D3732">
        <v>2</v>
      </c>
      <c r="E3732">
        <v>0</v>
      </c>
      <c r="F3732">
        <v>5659</v>
      </c>
    </row>
    <row r="3733" spans="1:6" ht="12.75">
      <c r="A3733" s="2">
        <v>43883.910254629634</v>
      </c>
      <c r="B3733" t="str">
        <f>HYPERLINK("https://twitter.com/pklnhulu1989","@pklnhulu1989")</f>
        <v>@pklnhulu1989</v>
      </c>
      <c r="C3733" t="s">
        <v>3304</v>
      </c>
      <c r="D3733">
        <v>1</v>
      </c>
      <c r="E3733">
        <v>0</v>
      </c>
      <c r="F3733">
        <v>550</v>
      </c>
    </row>
    <row r="3734" spans="1:6" ht="12.75">
      <c r="A3734" s="2">
        <v>43883.910231481481</v>
      </c>
      <c r="B3734" t="str">
        <f>HYPERLINK("https://twitter.com/SlametPujono","@SlametPujono")</f>
        <v>@SlametPujono</v>
      </c>
      <c r="C3734" t="s">
        <v>3305</v>
      </c>
      <c r="D3734">
        <v>3</v>
      </c>
      <c r="E3734">
        <v>0</v>
      </c>
      <c r="F3734">
        <v>381</v>
      </c>
    </row>
    <row r="3735" spans="1:6" ht="12.75">
      <c r="A3735" s="2">
        <v>43883.909120370372</v>
      </c>
      <c r="B3735" t="str">
        <f>HYPERLINK("https://twitter.com/santidewi888","@santidewi888")</f>
        <v>@santidewi888</v>
      </c>
      <c r="C3735" t="s">
        <v>3306</v>
      </c>
      <c r="D3735">
        <v>2</v>
      </c>
      <c r="E3735">
        <v>1</v>
      </c>
      <c r="F3735">
        <v>724</v>
      </c>
    </row>
    <row r="3736" spans="1:6" ht="12.75">
      <c r="A3736" s="2">
        <v>43883.909097222218</v>
      </c>
      <c r="B3736" t="str">
        <f>HYPERLINK("https://twitter.com/ObaiIdon","@ObaiIdon")</f>
        <v>@ObaiIdon</v>
      </c>
      <c r="C3736" t="s">
        <v>3307</v>
      </c>
      <c r="D3736">
        <v>2</v>
      </c>
      <c r="E3736">
        <v>1</v>
      </c>
      <c r="F3736">
        <v>180</v>
      </c>
    </row>
    <row r="3737" spans="1:6" ht="12.75">
      <c r="A3737" s="2">
        <v>43883.909016203703</v>
      </c>
      <c r="B3737" t="str">
        <f>HYPERLINK("https://twitter.com/axdwin","@axdwin")</f>
        <v>@axdwin</v>
      </c>
      <c r="C3737" t="s">
        <v>3308</v>
      </c>
      <c r="D3737">
        <v>0</v>
      </c>
      <c r="E3737">
        <v>2</v>
      </c>
      <c r="F3737">
        <v>14887</v>
      </c>
    </row>
    <row r="3738" spans="1:6" ht="12.75">
      <c r="A3738" s="2">
        <v>43883.908541666664</v>
      </c>
      <c r="B3738" t="str">
        <f>HYPERLINK("https://twitter.com/isis_avaloss","@isis_avaloss")</f>
        <v>@isis_avaloss</v>
      </c>
      <c r="C3738" t="s">
        <v>3309</v>
      </c>
      <c r="D3738">
        <v>456</v>
      </c>
      <c r="E3738">
        <v>0</v>
      </c>
      <c r="F3738">
        <v>768</v>
      </c>
    </row>
    <row r="3739" spans="1:6" ht="12.75">
      <c r="A3739" s="2">
        <v>43883.908518518518</v>
      </c>
      <c r="B3739" t="str">
        <f>HYPERLINK("https://twitter.com/inggavalensi","@inggavalensi")</f>
        <v>@inggavalensi</v>
      </c>
      <c r="C3739" t="s">
        <v>3235</v>
      </c>
      <c r="D3739">
        <v>2</v>
      </c>
      <c r="E3739">
        <v>0</v>
      </c>
      <c r="F3739">
        <v>700</v>
      </c>
    </row>
    <row r="3740" spans="1:6" ht="12.75">
      <c r="A3740" s="2">
        <v>43883.908043981486</v>
      </c>
      <c r="B3740" t="str">
        <f>HYPERLINK("https://twitter.com/aditandre51","@aditandre51")</f>
        <v>@aditandre51</v>
      </c>
      <c r="C3740" t="s">
        <v>3291</v>
      </c>
      <c r="D3740">
        <v>5</v>
      </c>
      <c r="E3740">
        <v>0</v>
      </c>
      <c r="F3740">
        <v>39</v>
      </c>
    </row>
    <row r="3741" spans="1:6" ht="12.75">
      <c r="A3741" s="2">
        <v>43883.907939814817</v>
      </c>
      <c r="B3741" t="str">
        <f>HYPERLINK("https://twitter.com/MNithiya","@MNithiya")</f>
        <v>@MNithiya</v>
      </c>
      <c r="C3741" t="s">
        <v>3310</v>
      </c>
      <c r="D3741">
        <v>0</v>
      </c>
      <c r="E3741">
        <v>0</v>
      </c>
      <c r="F3741">
        <v>121</v>
      </c>
    </row>
    <row r="3742" spans="1:6" ht="12.75">
      <c r="A3742" s="2">
        <v>43883.907106481478</v>
      </c>
      <c r="B3742" t="str">
        <f>HYPERLINK("https://twitter.com/inu_ratih1","@inu_ratih1")</f>
        <v>@inu_ratih1</v>
      </c>
      <c r="C3742" t="s">
        <v>3311</v>
      </c>
      <c r="D3742">
        <v>4</v>
      </c>
      <c r="E3742">
        <v>0</v>
      </c>
      <c r="F3742">
        <v>93</v>
      </c>
    </row>
    <row r="3743" spans="1:6" ht="12.75">
      <c r="A3743" s="2">
        <v>43883.907083333332</v>
      </c>
      <c r="B3743" t="str">
        <f>HYPERLINK("https://twitter.com/dwenelnino","@dwenelnino")</f>
        <v>@dwenelnino</v>
      </c>
      <c r="C3743" t="s">
        <v>3090</v>
      </c>
      <c r="D3743">
        <v>94</v>
      </c>
      <c r="E3743">
        <v>0</v>
      </c>
      <c r="F3743">
        <v>71</v>
      </c>
    </row>
    <row r="3744" spans="1:6" ht="12.75">
      <c r="A3744" s="2">
        <v>43883.906967592593</v>
      </c>
      <c r="B3744" t="str">
        <f>HYPERLINK("https://twitter.com/zizak_63","@zizak_63")</f>
        <v>@zizak_63</v>
      </c>
      <c r="C3744" t="s">
        <v>3312</v>
      </c>
      <c r="D3744">
        <v>1</v>
      </c>
      <c r="E3744">
        <v>1</v>
      </c>
      <c r="F3744">
        <v>435</v>
      </c>
    </row>
    <row r="3745" spans="1:6" ht="12.75">
      <c r="A3745" s="2">
        <v>43883.906597222223</v>
      </c>
      <c r="B3745" t="str">
        <f>HYPERLINK("https://twitter.com/aim_asyraf17","@aim_asyraf17")</f>
        <v>@aim_asyraf17</v>
      </c>
      <c r="C3745" t="s">
        <v>3260</v>
      </c>
      <c r="D3745">
        <v>8</v>
      </c>
      <c r="E3745">
        <v>0</v>
      </c>
      <c r="F3745">
        <v>16</v>
      </c>
    </row>
    <row r="3746" spans="1:6" ht="12.75">
      <c r="A3746" s="2">
        <v>43883.90625</v>
      </c>
      <c r="B3746" t="str">
        <f>HYPERLINK("https://twitter.com/BurgundyBrogues","@BurgundyBrogues")</f>
        <v>@BurgundyBrogues</v>
      </c>
      <c r="C3746" t="s">
        <v>3286</v>
      </c>
      <c r="D3746">
        <v>5</v>
      </c>
      <c r="E3746">
        <v>0</v>
      </c>
      <c r="F3746">
        <v>964</v>
      </c>
    </row>
    <row r="3747" spans="1:6" ht="12.75">
      <c r="A3747" s="2">
        <v>43883.906157407408</v>
      </c>
      <c r="B3747" t="str">
        <f>HYPERLINK("https://twitter.com/jhony_ohox","@jhony_ohox")</f>
        <v>@jhony_ohox</v>
      </c>
      <c r="C3747" t="s">
        <v>3235</v>
      </c>
      <c r="D3747">
        <v>2</v>
      </c>
      <c r="E3747">
        <v>0</v>
      </c>
      <c r="F3747">
        <v>1177</v>
      </c>
    </row>
    <row r="3748" spans="1:6" ht="12.75">
      <c r="A3748" s="2">
        <v>43883.906157407408</v>
      </c>
      <c r="B3748" t="str">
        <f>HYPERLINK("https://twitter.com/ZoneVenomWar","@ZoneVenomWar")</f>
        <v>@ZoneVenomWar</v>
      </c>
      <c r="C3748" t="s">
        <v>3197</v>
      </c>
      <c r="D3748">
        <v>2</v>
      </c>
      <c r="E3748">
        <v>0</v>
      </c>
      <c r="F3748">
        <v>1635</v>
      </c>
    </row>
    <row r="3749" spans="1:6" ht="12.75">
      <c r="A3749" s="2">
        <v>43883.905219907407</v>
      </c>
      <c r="B3749" t="str">
        <f>HYPERLINK("https://twitter.com/AndrianWang","@AndrianWang")</f>
        <v>@AndrianWang</v>
      </c>
      <c r="C3749" t="s">
        <v>3197</v>
      </c>
      <c r="D3749">
        <v>2</v>
      </c>
      <c r="E3749">
        <v>0</v>
      </c>
      <c r="F3749">
        <v>359</v>
      </c>
    </row>
    <row r="3750" spans="1:6" ht="12.75">
      <c r="A3750" s="2">
        <v>43883.904224537036</v>
      </c>
      <c r="B3750" t="str">
        <f>HYPERLINK("https://twitter.com/ah26021","@ah26021")</f>
        <v>@ah26021</v>
      </c>
      <c r="C3750" t="s">
        <v>3313</v>
      </c>
      <c r="D3750">
        <v>0</v>
      </c>
      <c r="E3750">
        <v>1</v>
      </c>
      <c r="F3750">
        <v>239</v>
      </c>
    </row>
    <row r="3751" spans="1:6" ht="12.75">
      <c r="A3751" s="2">
        <v>43883.903935185182</v>
      </c>
      <c r="B3751" t="str">
        <f>HYPERLINK("https://twitter.com/MT_Reborn","@MT_Reborn")</f>
        <v>@MT_Reborn</v>
      </c>
      <c r="C3751" t="s">
        <v>3314</v>
      </c>
      <c r="D3751">
        <v>2</v>
      </c>
      <c r="E3751">
        <v>5</v>
      </c>
      <c r="F3751">
        <v>8032</v>
      </c>
    </row>
    <row r="3752" spans="1:6" ht="12.75">
      <c r="A3752" s="2">
        <v>43883.903182870374</v>
      </c>
      <c r="B3752" t="str">
        <f>HYPERLINK("https://twitter.com/Samosirr1","@Samosirr1")</f>
        <v>@Samosirr1</v>
      </c>
      <c r="C3752" t="s">
        <v>3315</v>
      </c>
      <c r="D3752">
        <v>0</v>
      </c>
      <c r="E3752">
        <v>0</v>
      </c>
      <c r="F3752">
        <v>37</v>
      </c>
    </row>
    <row r="3753" spans="1:6" ht="12.75">
      <c r="A3753" s="2">
        <v>43883.90315972222</v>
      </c>
      <c r="B3753" t="str">
        <f>HYPERLINK("https://twitter.com/JagoankuW","@JagoankuW")</f>
        <v>@JagoankuW</v>
      </c>
      <c r="C3753" t="s">
        <v>3315</v>
      </c>
      <c r="D3753">
        <v>0</v>
      </c>
      <c r="E3753">
        <v>0</v>
      </c>
      <c r="F3753">
        <v>4</v>
      </c>
    </row>
    <row r="3754" spans="1:6" ht="12.75">
      <c r="A3754" s="2">
        <v>43883.902789351851</v>
      </c>
      <c r="B3754" t="str">
        <f>HYPERLINK("https://twitter.com/ellys_kerhi","@ellys_kerhi")</f>
        <v>@ellys_kerhi</v>
      </c>
      <c r="C3754" t="s">
        <v>3316</v>
      </c>
      <c r="D3754">
        <v>0</v>
      </c>
      <c r="E3754">
        <v>0</v>
      </c>
      <c r="F3754">
        <v>1066</v>
      </c>
    </row>
    <row r="3755" spans="1:6" ht="12.75">
      <c r="A3755" s="2">
        <v>43883.901840277773</v>
      </c>
      <c r="B3755" t="str">
        <f>HYPERLINK("https://twitter.com/peter_shearer","@peter_shearer")</f>
        <v>@peter_shearer</v>
      </c>
      <c r="C3755" t="s">
        <v>3317</v>
      </c>
      <c r="D3755">
        <v>2</v>
      </c>
      <c r="E3755">
        <v>0</v>
      </c>
      <c r="F3755">
        <v>2089</v>
      </c>
    </row>
    <row r="3756" spans="1:6" ht="12.75">
      <c r="A3756" s="2">
        <v>43883.901655092588</v>
      </c>
      <c r="B3756" t="str">
        <f>HYPERLINK("https://twitter.com/farhanrdhan","@farhanrdhan")</f>
        <v>@farhanrdhan</v>
      </c>
      <c r="C3756" t="s">
        <v>3318</v>
      </c>
      <c r="D3756">
        <v>0</v>
      </c>
      <c r="E3756">
        <v>0</v>
      </c>
      <c r="F3756">
        <v>191</v>
      </c>
    </row>
    <row r="3757" spans="1:6" ht="12.75">
      <c r="A3757" s="2">
        <v>43883.898657407408</v>
      </c>
      <c r="B3757" t="str">
        <f>HYPERLINK("https://twitter.com/ainunrijall","@ainunrijall")</f>
        <v>@ainunrijall</v>
      </c>
      <c r="C3757" t="s">
        <v>3319</v>
      </c>
      <c r="D3757">
        <v>0</v>
      </c>
      <c r="E3757">
        <v>0</v>
      </c>
      <c r="F3757">
        <v>610</v>
      </c>
    </row>
    <row r="3758" spans="1:6" ht="12.75">
      <c r="A3758" s="2">
        <v>43883.897499999999</v>
      </c>
      <c r="B3758" t="str">
        <f>HYPERLINK("https://twitter.com/wni_jmsri","@wni_jmsri")</f>
        <v>@wni_jmsri</v>
      </c>
      <c r="C3758" t="s">
        <v>3320</v>
      </c>
      <c r="D3758">
        <v>4803</v>
      </c>
      <c r="E3758">
        <v>0</v>
      </c>
      <c r="F3758">
        <v>197</v>
      </c>
    </row>
    <row r="3759" spans="1:6" ht="12.75">
      <c r="A3759" s="2">
        <v>43883.897141203706</v>
      </c>
      <c r="B3759" t="str">
        <f>HYPERLINK("https://twitter.com/jawapos","@jawapos")</f>
        <v>@jawapos</v>
      </c>
      <c r="C3759" t="s">
        <v>3321</v>
      </c>
      <c r="D3759">
        <v>0</v>
      </c>
      <c r="E3759">
        <v>2</v>
      </c>
      <c r="F3759">
        <v>120330</v>
      </c>
    </row>
    <row r="3760" spans="1:6" ht="12.75">
      <c r="A3760" s="2">
        <v>43883.897129629629</v>
      </c>
      <c r="B3760" t="str">
        <f>HYPERLINK("https://twitter.com/abdulla41734805","@abdulla41734805")</f>
        <v>@abdulla41734805</v>
      </c>
      <c r="C3760" t="s">
        <v>3322</v>
      </c>
      <c r="D3760">
        <v>0</v>
      </c>
      <c r="E3760">
        <v>0</v>
      </c>
      <c r="F3760">
        <v>19</v>
      </c>
    </row>
    <row r="3761" spans="1:6" ht="12.75">
      <c r="A3761" s="2">
        <v>43883.896967592591</v>
      </c>
      <c r="B3761" t="str">
        <f>HYPERLINK("https://twitter.com/trubusid","@trubusid")</f>
        <v>@trubusid</v>
      </c>
      <c r="C3761" t="s">
        <v>3323</v>
      </c>
      <c r="D3761">
        <v>0</v>
      </c>
      <c r="E3761">
        <v>0</v>
      </c>
      <c r="F3761">
        <v>1023</v>
      </c>
    </row>
    <row r="3762" spans="1:6" ht="12.75">
      <c r="A3762" s="2">
        <v>43883.896828703699</v>
      </c>
      <c r="B3762" t="str">
        <f>HYPERLINK("https://twitter.com/Ingo_Ingo86","@Ingo_Ingo86")</f>
        <v>@Ingo_Ingo86</v>
      </c>
      <c r="C3762" t="s">
        <v>3324</v>
      </c>
      <c r="D3762">
        <v>0</v>
      </c>
      <c r="E3762">
        <v>0</v>
      </c>
      <c r="F3762">
        <v>427</v>
      </c>
    </row>
    <row r="3763" spans="1:6" ht="12.75">
      <c r="A3763" s="2">
        <v>43883.896770833337</v>
      </c>
      <c r="B3763" t="str">
        <f>HYPERLINK("https://twitter.com/ISIS_Balik_NO","@ISIS_Balik_NO")</f>
        <v>@ISIS_Balik_NO</v>
      </c>
      <c r="C3763" t="s">
        <v>3325</v>
      </c>
      <c r="D3763">
        <v>0</v>
      </c>
      <c r="E3763">
        <v>0</v>
      </c>
      <c r="F3763">
        <v>6096</v>
      </c>
    </row>
    <row r="3764" spans="1:6" ht="12.75">
      <c r="A3764" s="2">
        <v>43883.896273148144</v>
      </c>
      <c r="B3764" t="str">
        <f>HYPERLINK("https://twitter.com/republikaonline","@republikaonline")</f>
        <v>@republikaonline</v>
      </c>
      <c r="C3764" t="s">
        <v>3326</v>
      </c>
      <c r="D3764">
        <v>0</v>
      </c>
      <c r="E3764">
        <v>4</v>
      </c>
      <c r="F3764">
        <v>1212035</v>
      </c>
    </row>
    <row r="3765" spans="1:6" ht="12.75">
      <c r="A3765" s="2">
        <v>43883.896087962959</v>
      </c>
      <c r="B3765" t="str">
        <f>HYPERLINK("https://twitter.com/Deeenmhd","@Deeenmhd")</f>
        <v>@Deeenmhd</v>
      </c>
      <c r="C3765" t="s">
        <v>513</v>
      </c>
      <c r="D3765">
        <v>23267</v>
      </c>
      <c r="E3765">
        <v>0</v>
      </c>
      <c r="F3765">
        <v>569</v>
      </c>
    </row>
    <row r="3766" spans="1:6" ht="12.75">
      <c r="A3766" s="2">
        <v>43883.894861111112</v>
      </c>
      <c r="B3766" t="str">
        <f>HYPERLINK("https://twitter.com/ISIS_Balik_NO","@ISIS_Balik_NO")</f>
        <v>@ISIS_Balik_NO</v>
      </c>
      <c r="C3766" t="s">
        <v>3327</v>
      </c>
      <c r="D3766">
        <v>532</v>
      </c>
      <c r="E3766">
        <v>0</v>
      </c>
      <c r="F3766">
        <v>6096</v>
      </c>
    </row>
    <row r="3767" spans="1:6" ht="12.75">
      <c r="A3767" s="2">
        <v>43883.893923611111</v>
      </c>
      <c r="B3767" t="str">
        <f>HYPERLINK("https://twitter.com/ahmaddmunzirr","@ahmaddmunzirr")</f>
        <v>@ahmaddmunzirr</v>
      </c>
      <c r="C3767" t="s">
        <v>3328</v>
      </c>
      <c r="D3767">
        <v>0</v>
      </c>
      <c r="E3767">
        <v>0</v>
      </c>
      <c r="F3767">
        <v>209</v>
      </c>
    </row>
    <row r="3768" spans="1:6" ht="12.75">
      <c r="A3768" s="2">
        <v>43883.893541666665</v>
      </c>
      <c r="B3768" t="str">
        <f>HYPERLINK("https://twitter.com/Sopokowe7","@Sopokowe7")</f>
        <v>@Sopokowe7</v>
      </c>
      <c r="C3768" t="s">
        <v>3329</v>
      </c>
      <c r="D3768">
        <v>0</v>
      </c>
      <c r="E3768">
        <v>0</v>
      </c>
      <c r="F3768">
        <v>1</v>
      </c>
    </row>
    <row r="3769" spans="1:6" ht="12.75">
      <c r="A3769" s="2">
        <v>43883.892430555556</v>
      </c>
      <c r="B3769" t="str">
        <f>HYPERLINK("https://twitter.com/RiyanSypttr","@RiyanSypttr")</f>
        <v>@RiyanSypttr</v>
      </c>
      <c r="C3769" t="s">
        <v>3330</v>
      </c>
      <c r="D3769">
        <v>0</v>
      </c>
      <c r="E3769">
        <v>0</v>
      </c>
      <c r="F3769">
        <v>19</v>
      </c>
    </row>
    <row r="3770" spans="1:6" ht="12.75">
      <c r="A3770" s="2">
        <v>43883.892060185186</v>
      </c>
      <c r="B3770" t="str">
        <f>HYPERLINK("https://twitter.com/anoviannisa","@anoviannisa")</f>
        <v>@anoviannisa</v>
      </c>
      <c r="C3770" t="s">
        <v>3331</v>
      </c>
      <c r="D3770">
        <v>0</v>
      </c>
      <c r="E3770">
        <v>0</v>
      </c>
      <c r="F3770">
        <v>36</v>
      </c>
    </row>
    <row r="3771" spans="1:6" ht="12.75">
      <c r="A3771" s="2">
        <v>43883.890497685185</v>
      </c>
      <c r="B3771" t="str">
        <f>HYPERLINK("https://twitter.com/RaafianPrabowo","@RaafianPrabowo")</f>
        <v>@RaafianPrabowo</v>
      </c>
      <c r="C3771" t="s">
        <v>3332</v>
      </c>
      <c r="D3771">
        <v>2</v>
      </c>
      <c r="E3771">
        <v>0</v>
      </c>
      <c r="F3771">
        <v>69</v>
      </c>
    </row>
    <row r="3772" spans="1:6" ht="12.75">
      <c r="A3772" s="2">
        <v>43883.890347222223</v>
      </c>
      <c r="B3772" t="str">
        <f>HYPERLINK("https://twitter.com/rozali53","@rozali53")</f>
        <v>@rozali53</v>
      </c>
      <c r="C3772" t="s">
        <v>3333</v>
      </c>
      <c r="D3772">
        <v>9</v>
      </c>
      <c r="E3772">
        <v>0</v>
      </c>
      <c r="F3772">
        <v>975</v>
      </c>
    </row>
    <row r="3773" spans="1:6" ht="12.75">
      <c r="A3773" s="2">
        <v>43883.890011574069</v>
      </c>
      <c r="B3773" t="str">
        <f t="shared" ref="B3773:B3775" si="78">HYPERLINK("https://twitter.com/RaafianPrabowo","@RaafianPrabowo")</f>
        <v>@RaafianPrabowo</v>
      </c>
      <c r="C3773" t="s">
        <v>3334</v>
      </c>
      <c r="D3773">
        <v>8</v>
      </c>
      <c r="E3773">
        <v>0</v>
      </c>
      <c r="F3773">
        <v>69</v>
      </c>
    </row>
    <row r="3774" spans="1:6" ht="12.75">
      <c r="A3774" s="2">
        <v>43883.889965277776</v>
      </c>
      <c r="B3774" t="str">
        <f t="shared" si="78"/>
        <v>@RaafianPrabowo</v>
      </c>
      <c r="C3774" t="s">
        <v>3335</v>
      </c>
      <c r="D3774">
        <v>7</v>
      </c>
      <c r="E3774">
        <v>0</v>
      </c>
      <c r="F3774">
        <v>69</v>
      </c>
    </row>
    <row r="3775" spans="1:6" ht="12.75">
      <c r="A3775" s="2">
        <v>43883.889849537038</v>
      </c>
      <c r="B3775" t="str">
        <f t="shared" si="78"/>
        <v>@RaafianPrabowo</v>
      </c>
      <c r="C3775" t="s">
        <v>2927</v>
      </c>
      <c r="D3775">
        <v>23</v>
      </c>
      <c r="E3775">
        <v>0</v>
      </c>
      <c r="F3775">
        <v>69</v>
      </c>
    </row>
    <row r="3776" spans="1:6" ht="12.75">
      <c r="A3776" s="2">
        <v>43883.88894675926</v>
      </c>
      <c r="B3776" t="str">
        <f>HYPERLINK("https://twitter.com/kopitoba","@kopitoba")</f>
        <v>@kopitoba</v>
      </c>
      <c r="C3776" t="s">
        <v>3336</v>
      </c>
      <c r="D3776">
        <v>0</v>
      </c>
      <c r="E3776">
        <v>0</v>
      </c>
      <c r="F3776">
        <v>314</v>
      </c>
    </row>
    <row r="3777" spans="1:6" ht="12.75">
      <c r="A3777" s="2">
        <v>43883.886412037042</v>
      </c>
      <c r="B3777" t="str">
        <f>HYPERLINK("https://twitter.com/WAWANMASLOW","@WAWANMASLOW")</f>
        <v>@WAWANMASLOW</v>
      </c>
      <c r="C3777" t="s">
        <v>3337</v>
      </c>
      <c r="D3777">
        <v>0</v>
      </c>
      <c r="E3777">
        <v>0</v>
      </c>
      <c r="F3777">
        <v>251</v>
      </c>
    </row>
    <row r="3778" spans="1:6" ht="12.75">
      <c r="A3778" s="2">
        <v>43883.883333333331</v>
      </c>
      <c r="B3778" t="str">
        <f>HYPERLINK("https://twitter.com/RachoDass","@RachoDass")</f>
        <v>@RachoDass</v>
      </c>
      <c r="C3778" t="s">
        <v>3338</v>
      </c>
      <c r="D3778">
        <v>0</v>
      </c>
      <c r="E3778">
        <v>0</v>
      </c>
      <c r="F3778">
        <v>14</v>
      </c>
    </row>
    <row r="3779" spans="1:6" ht="12.75">
      <c r="A3779" s="2">
        <v>43883.883055555554</v>
      </c>
      <c r="B3779" t="str">
        <f>HYPERLINK("https://twitter.com/bejo_junior","@bejo_junior")</f>
        <v>@bejo_junior</v>
      </c>
      <c r="C3779" t="s">
        <v>3124</v>
      </c>
      <c r="D3779">
        <v>2</v>
      </c>
      <c r="E3779">
        <v>0</v>
      </c>
      <c r="F3779">
        <v>567</v>
      </c>
    </row>
    <row r="3780" spans="1:6" ht="12.75">
      <c r="A3780" s="2">
        <v>43883.881550925929</v>
      </c>
      <c r="B3780" t="str">
        <f>HYPERLINK("https://twitter.com/pimamanggala","@pimamanggala")</f>
        <v>@pimamanggala</v>
      </c>
      <c r="C3780" t="s">
        <v>3124</v>
      </c>
      <c r="D3780">
        <v>2</v>
      </c>
      <c r="E3780">
        <v>0</v>
      </c>
      <c r="F3780">
        <v>1569</v>
      </c>
    </row>
    <row r="3781" spans="1:6" ht="12.75">
      <c r="A3781" s="2">
        <v>43883.881261574075</v>
      </c>
      <c r="B3781" t="str">
        <f>HYPERLINK("https://twitter.com/MNithiya","@MNithiya")</f>
        <v>@MNithiya</v>
      </c>
      <c r="C3781" t="s">
        <v>3339</v>
      </c>
      <c r="D3781">
        <v>0</v>
      </c>
      <c r="E3781">
        <v>0</v>
      </c>
      <c r="F3781">
        <v>121</v>
      </c>
    </row>
    <row r="3782" spans="1:6" ht="12.75">
      <c r="A3782" s="2">
        <v>43883.879837962959</v>
      </c>
      <c r="B3782" t="str">
        <f>HYPERLINK("https://twitter.com/terserahpok","@terserahpok")</f>
        <v>@terserahpok</v>
      </c>
      <c r="C3782" t="s">
        <v>3340</v>
      </c>
      <c r="D3782">
        <v>343</v>
      </c>
      <c r="E3782">
        <v>0</v>
      </c>
      <c r="F3782">
        <v>11</v>
      </c>
    </row>
    <row r="3783" spans="1:6" ht="12.75">
      <c r="A3783" s="2">
        <v>43883.879664351851</v>
      </c>
      <c r="B3783" t="str">
        <f>HYPERLINK("https://twitter.com/AbdulAnwarie","@AbdulAnwarie")</f>
        <v>@AbdulAnwarie</v>
      </c>
      <c r="C3783" t="s">
        <v>177</v>
      </c>
      <c r="D3783">
        <v>816</v>
      </c>
      <c r="E3783">
        <v>0</v>
      </c>
      <c r="F3783">
        <v>4</v>
      </c>
    </row>
    <row r="3784" spans="1:6" ht="12.75">
      <c r="A3784" s="2">
        <v>43883.878171296295</v>
      </c>
      <c r="B3784" t="str">
        <f>HYPERLINK("https://twitter.com/FatinNurJanah","@FatinNurJanah")</f>
        <v>@FatinNurJanah</v>
      </c>
      <c r="C3784" t="s">
        <v>3341</v>
      </c>
      <c r="D3784">
        <v>654</v>
      </c>
      <c r="E3784">
        <v>0</v>
      </c>
      <c r="F3784">
        <v>8</v>
      </c>
    </row>
    <row r="3785" spans="1:6" ht="12.75">
      <c r="A3785" s="2">
        <v>43883.877939814818</v>
      </c>
      <c r="B3785" t="str">
        <f>HYPERLINK("https://twitter.com/adikterakir","@adikterakir")</f>
        <v>@adikterakir</v>
      </c>
      <c r="C3785" t="s">
        <v>3342</v>
      </c>
      <c r="D3785">
        <v>2471</v>
      </c>
      <c r="E3785">
        <v>0</v>
      </c>
      <c r="F3785">
        <v>41</v>
      </c>
    </row>
    <row r="3786" spans="1:6" ht="12.75">
      <c r="A3786" s="2">
        <v>43883.876273148147</v>
      </c>
      <c r="B3786" t="str">
        <f>HYPERLINK("https://twitter.com/sayangieo","@sayangieo")</f>
        <v>@sayangieo</v>
      </c>
      <c r="C3786" t="s">
        <v>3343</v>
      </c>
      <c r="D3786">
        <v>0</v>
      </c>
      <c r="E3786">
        <v>0</v>
      </c>
      <c r="F3786">
        <v>510</v>
      </c>
    </row>
    <row r="3787" spans="1:6" ht="12.75">
      <c r="A3787" s="2">
        <v>43883.876238425924</v>
      </c>
      <c r="B3787" t="str">
        <f>HYPERLINK("https://twitter.com/AJudakusumah","@AJudakusumah")</f>
        <v>@AJudakusumah</v>
      </c>
      <c r="C3787" t="s">
        <v>3344</v>
      </c>
      <c r="D3787">
        <v>0</v>
      </c>
      <c r="E3787">
        <v>0</v>
      </c>
      <c r="F3787">
        <v>3221</v>
      </c>
    </row>
    <row r="3788" spans="1:6" ht="12.75">
      <c r="A3788" s="2">
        <v>43883.875543981485</v>
      </c>
      <c r="B3788" t="str">
        <f>HYPERLINK("https://twitter.com/TribunNew5","@TribunNew5")</f>
        <v>@TribunNew5</v>
      </c>
      <c r="C3788" t="s">
        <v>3345</v>
      </c>
      <c r="D3788">
        <v>0</v>
      </c>
      <c r="E3788">
        <v>0</v>
      </c>
      <c r="F3788">
        <v>521</v>
      </c>
    </row>
    <row r="3789" spans="1:6" ht="12.75">
      <c r="A3789" s="2">
        <v>43883.874976851846</v>
      </c>
      <c r="B3789" t="str">
        <f>HYPERLINK("https://twitter.com/harakatuna","@harakatuna")</f>
        <v>@harakatuna</v>
      </c>
      <c r="C3789" t="s">
        <v>3346</v>
      </c>
      <c r="D3789">
        <v>0</v>
      </c>
      <c r="E3789">
        <v>0</v>
      </c>
      <c r="F3789">
        <v>409</v>
      </c>
    </row>
    <row r="3790" spans="1:6" ht="12.75">
      <c r="A3790" s="2">
        <v>43883.874942129631</v>
      </c>
      <c r="B3790" t="str">
        <f>HYPERLINK("https://twitter.com/encp_","@encp_")</f>
        <v>@encp_</v>
      </c>
      <c r="C3790" t="s">
        <v>3347</v>
      </c>
      <c r="D3790">
        <v>0</v>
      </c>
      <c r="E3790">
        <v>0</v>
      </c>
      <c r="F3790">
        <v>710</v>
      </c>
    </row>
    <row r="3791" spans="1:6" ht="12.75">
      <c r="A3791" s="2">
        <v>43883.874884259261</v>
      </c>
      <c r="B3791" t="str">
        <f>HYPERLINK("https://twitter.com/becak125cc","@becak125cc")</f>
        <v>@becak125cc</v>
      </c>
      <c r="C3791" t="s">
        <v>2154</v>
      </c>
      <c r="D3791">
        <v>41</v>
      </c>
      <c r="E3791">
        <v>0</v>
      </c>
      <c r="F3791">
        <v>521</v>
      </c>
    </row>
    <row r="3792" spans="1:6" ht="12.75">
      <c r="A3792" s="2">
        <v>43883.874108796299</v>
      </c>
      <c r="B3792" t="str">
        <f>HYPERLINK("https://twitter.com/IndonesiaTani","@IndonesiaTani")</f>
        <v>@IndonesiaTani</v>
      </c>
      <c r="C3792" t="s">
        <v>3348</v>
      </c>
      <c r="D3792">
        <v>0</v>
      </c>
      <c r="E3792">
        <v>0</v>
      </c>
      <c r="F3792">
        <v>32</v>
      </c>
    </row>
    <row r="3793" spans="1:6" ht="12.75">
      <c r="A3793" s="2">
        <v>43883.873391203699</v>
      </c>
      <c r="B3793" t="str">
        <f>HYPERLINK("https://twitter.com/norris_anggun71","@norris_anggun71")</f>
        <v>@norris_anggun71</v>
      </c>
      <c r="C3793" t="s">
        <v>3349</v>
      </c>
      <c r="D3793">
        <v>4</v>
      </c>
      <c r="E3793">
        <v>0</v>
      </c>
      <c r="F3793">
        <v>370</v>
      </c>
    </row>
    <row r="3794" spans="1:6" ht="12.75">
      <c r="A3794" s="2">
        <v>43883.873159722221</v>
      </c>
      <c r="B3794" t="str">
        <f>HYPERLINK("https://twitter.com/becak125cc","@becak125cc")</f>
        <v>@becak125cc</v>
      </c>
      <c r="C3794" t="s">
        <v>2927</v>
      </c>
      <c r="D3794">
        <v>22</v>
      </c>
      <c r="E3794">
        <v>0</v>
      </c>
      <c r="F3794">
        <v>521</v>
      </c>
    </row>
    <row r="3795" spans="1:6" ht="12.75">
      <c r="A3795" s="2">
        <v>43883.87263888889</v>
      </c>
      <c r="B3795" t="str">
        <f>HYPERLINK("https://twitter.com/jagmesbon","@jagmesbon")</f>
        <v>@jagmesbon</v>
      </c>
      <c r="C3795" t="s">
        <v>3350</v>
      </c>
      <c r="D3795">
        <v>0</v>
      </c>
      <c r="E3795">
        <v>0</v>
      </c>
      <c r="F3795">
        <v>80</v>
      </c>
    </row>
    <row r="3796" spans="1:6" ht="12.75">
      <c r="A3796" s="2">
        <v>43883.872465277775</v>
      </c>
      <c r="B3796" t="str">
        <f>HYPERLINK("https://twitter.com/DJxora","@DJxora")</f>
        <v>@DJxora</v>
      </c>
      <c r="C3796" t="s">
        <v>3351</v>
      </c>
      <c r="D3796">
        <v>0</v>
      </c>
      <c r="E3796">
        <v>0</v>
      </c>
      <c r="F3796">
        <v>540</v>
      </c>
    </row>
    <row r="3797" spans="1:6" ht="12.75">
      <c r="A3797" s="2">
        <v>43883.871412037042</v>
      </c>
      <c r="B3797" t="str">
        <f>HYPERLINK("https://twitter.com/adinagara3","@adinagara3")</f>
        <v>@adinagara3</v>
      </c>
      <c r="C3797" t="s">
        <v>3352</v>
      </c>
      <c r="D3797">
        <v>0</v>
      </c>
      <c r="E3797">
        <v>0</v>
      </c>
      <c r="F3797">
        <v>0</v>
      </c>
    </row>
    <row r="3798" spans="1:6" ht="12.75">
      <c r="A3798" s="2">
        <v>43883.871377314819</v>
      </c>
      <c r="B3798" t="str">
        <f>HYPERLINK("https://twitter.com/redywanjames","@redywanjames")</f>
        <v>@redywanjames</v>
      </c>
      <c r="C3798" t="s">
        <v>3175</v>
      </c>
      <c r="D3798">
        <v>4</v>
      </c>
      <c r="E3798">
        <v>0</v>
      </c>
      <c r="F3798">
        <v>744</v>
      </c>
    </row>
    <row r="3799" spans="1:6" ht="12.75">
      <c r="A3799" s="2">
        <v>43883.871249999997</v>
      </c>
      <c r="B3799" t="str">
        <f>HYPERLINK("https://twitter.com/hazlieo","@hazlieo")</f>
        <v>@hazlieo</v>
      </c>
      <c r="C3799" t="s">
        <v>3353</v>
      </c>
      <c r="D3799">
        <v>0</v>
      </c>
      <c r="E3799">
        <v>0</v>
      </c>
      <c r="F3799">
        <v>13</v>
      </c>
    </row>
    <row r="3800" spans="1:6" ht="12.75">
      <c r="A3800" s="2">
        <v>43883.871145833335</v>
      </c>
      <c r="B3800" t="str">
        <f t="shared" ref="B3800:B3801" si="79">HYPERLINK("https://twitter.com/becak125cc","@becak125cc")</f>
        <v>@becak125cc</v>
      </c>
      <c r="C3800" t="s">
        <v>2637</v>
      </c>
      <c r="D3800">
        <v>17</v>
      </c>
      <c r="E3800">
        <v>0</v>
      </c>
      <c r="F3800">
        <v>521</v>
      </c>
    </row>
    <row r="3801" spans="1:6" ht="12.75">
      <c r="A3801" s="2">
        <v>43883.871064814812</v>
      </c>
      <c r="B3801" t="str">
        <f t="shared" si="79"/>
        <v>@becak125cc</v>
      </c>
      <c r="C3801" t="s">
        <v>2983</v>
      </c>
      <c r="D3801">
        <v>143</v>
      </c>
      <c r="E3801">
        <v>0</v>
      </c>
      <c r="F3801">
        <v>521</v>
      </c>
    </row>
    <row r="3802" spans="1:6" ht="12.75">
      <c r="A3802" s="2">
        <v>43883.870462962965</v>
      </c>
      <c r="B3802" t="str">
        <f>HYPERLINK("https://twitter.com/Fandasari1","@Fandasari1")</f>
        <v>@Fandasari1</v>
      </c>
      <c r="C3802" t="s">
        <v>3352</v>
      </c>
      <c r="D3802">
        <v>0</v>
      </c>
      <c r="E3802">
        <v>0</v>
      </c>
      <c r="F3802">
        <v>135</v>
      </c>
    </row>
    <row r="3803" spans="1:6" ht="12.75">
      <c r="A3803" s="2">
        <v>43883.870127314818</v>
      </c>
      <c r="B3803" t="str">
        <f>HYPERLINK("https://twitter.com/RahayuJessie","@RahayuJessie")</f>
        <v>@RahayuJessie</v>
      </c>
      <c r="C3803" t="s">
        <v>3352</v>
      </c>
      <c r="D3803">
        <v>0</v>
      </c>
      <c r="E3803">
        <v>0</v>
      </c>
      <c r="F3803">
        <v>126</v>
      </c>
    </row>
    <row r="3804" spans="1:6" ht="12.75">
      <c r="A3804" s="2">
        <v>43883.869814814811</v>
      </c>
      <c r="B3804" t="str">
        <f>HYPERLINK("https://twitter.com/maulinda884","@maulinda884")</f>
        <v>@maulinda884</v>
      </c>
      <c r="C3804" t="s">
        <v>3352</v>
      </c>
      <c r="D3804">
        <v>0</v>
      </c>
      <c r="E3804">
        <v>0</v>
      </c>
      <c r="F3804">
        <v>100</v>
      </c>
    </row>
    <row r="3805" spans="1:6" ht="12.75">
      <c r="A3805" s="2">
        <v>43883.868831018517</v>
      </c>
      <c r="B3805" t="str">
        <f>HYPERLINK("https://twitter.com/sulkhanr91","@sulkhanr91")</f>
        <v>@sulkhanr91</v>
      </c>
      <c r="C3805" t="s">
        <v>3354</v>
      </c>
      <c r="D3805">
        <v>0</v>
      </c>
      <c r="E3805">
        <v>0</v>
      </c>
      <c r="F3805">
        <v>345</v>
      </c>
    </row>
    <row r="3806" spans="1:6" ht="12.75">
      <c r="A3806" s="2">
        <v>43883.868298611109</v>
      </c>
      <c r="B3806" t="str">
        <f>HYPERLINK("https://twitter.com/internetheology","@internetheology")</f>
        <v>@internetheology</v>
      </c>
      <c r="C3806" t="s">
        <v>513</v>
      </c>
      <c r="D3806">
        <v>23266</v>
      </c>
      <c r="E3806">
        <v>0</v>
      </c>
      <c r="F3806">
        <v>397</v>
      </c>
    </row>
    <row r="3807" spans="1:6" ht="12.75">
      <c r="A3807" s="2">
        <v>43883.867233796293</v>
      </c>
      <c r="B3807" t="str">
        <f>HYPERLINK("https://twitter.com/EhAhongg","@EhAhongg")</f>
        <v>@EhAhongg</v>
      </c>
      <c r="C3807" t="s">
        <v>3355</v>
      </c>
      <c r="D3807">
        <v>0</v>
      </c>
      <c r="E3807">
        <v>0</v>
      </c>
      <c r="F3807">
        <v>180</v>
      </c>
    </row>
    <row r="3808" spans="1:6" ht="12.75">
      <c r="A3808" s="2">
        <v>43883.865949074076</v>
      </c>
      <c r="B3808" t="str">
        <f>HYPERLINK("https://twitter.com/YasinHilman","@YasinHilman")</f>
        <v>@YasinHilman</v>
      </c>
      <c r="C3808" t="s">
        <v>3260</v>
      </c>
      <c r="D3808">
        <v>7</v>
      </c>
      <c r="E3808">
        <v>0</v>
      </c>
      <c r="F3808">
        <v>9</v>
      </c>
    </row>
    <row r="3809" spans="1:6" ht="12.75">
      <c r="A3809" s="2">
        <v>43883.865659722222</v>
      </c>
      <c r="B3809" t="str">
        <f>HYPERLINK("https://twitter.com/MarchelBerry","@MarchelBerry")</f>
        <v>@MarchelBerry</v>
      </c>
      <c r="C3809" t="s">
        <v>3356</v>
      </c>
      <c r="D3809">
        <v>0</v>
      </c>
      <c r="E3809">
        <v>1</v>
      </c>
      <c r="F3809">
        <v>1529</v>
      </c>
    </row>
    <row r="3810" spans="1:6" ht="12.75">
      <c r="A3810" s="2">
        <v>43883.865266203706</v>
      </c>
      <c r="B3810" t="str">
        <f>HYPERLINK("https://twitter.com/DedyNad_id","@DedyNad_id")</f>
        <v>@DedyNad_id</v>
      </c>
      <c r="C3810" t="s">
        <v>2927</v>
      </c>
      <c r="D3810">
        <v>22</v>
      </c>
      <c r="E3810">
        <v>0</v>
      </c>
      <c r="F3810">
        <v>3753</v>
      </c>
    </row>
    <row r="3811" spans="1:6" ht="12.75">
      <c r="A3811" s="2">
        <v>43883.864525462966</v>
      </c>
      <c r="B3811" t="str">
        <f>HYPERLINK("https://twitter.com/AjiRomli","@AjiRomli")</f>
        <v>@AjiRomli</v>
      </c>
      <c r="C3811" t="s">
        <v>3357</v>
      </c>
      <c r="D3811">
        <v>0</v>
      </c>
      <c r="E3811">
        <v>0</v>
      </c>
      <c r="F3811">
        <v>10</v>
      </c>
    </row>
    <row r="3812" spans="1:6" ht="12.75">
      <c r="A3812" s="2">
        <v>43883.864259259259</v>
      </c>
      <c r="B3812" t="str">
        <f>HYPERLINK("https://twitter.com/MNithiya","@MNithiya")</f>
        <v>@MNithiya</v>
      </c>
      <c r="C3812" t="s">
        <v>3358</v>
      </c>
      <c r="D3812">
        <v>0</v>
      </c>
      <c r="E3812">
        <v>0</v>
      </c>
      <c r="F3812">
        <v>121</v>
      </c>
    </row>
    <row r="3813" spans="1:6" ht="12.75">
      <c r="A3813" s="2">
        <v>43883.863958333328</v>
      </c>
      <c r="B3813" t="str">
        <f>HYPERLINK("https://twitter.com/JanganFollowCuk","@JanganFollowCuk")</f>
        <v>@JanganFollowCuk</v>
      </c>
      <c r="C3813" t="s">
        <v>3359</v>
      </c>
      <c r="D3813">
        <v>0</v>
      </c>
      <c r="E3813">
        <v>0</v>
      </c>
      <c r="F3813">
        <v>436</v>
      </c>
    </row>
    <row r="3814" spans="1:6" ht="12.75">
      <c r="A3814" s="2">
        <v>43883.861956018518</v>
      </c>
      <c r="B3814" t="str">
        <f>HYPERLINK("https://twitter.com/ahmaddmunzirr","@ahmaddmunzirr")</f>
        <v>@ahmaddmunzirr</v>
      </c>
      <c r="C3814" t="s">
        <v>3360</v>
      </c>
      <c r="D3814">
        <v>0</v>
      </c>
      <c r="E3814">
        <v>0</v>
      </c>
      <c r="F3814">
        <v>209</v>
      </c>
    </row>
    <row r="3815" spans="1:6" ht="12.75">
      <c r="A3815" s="2">
        <v>43883.861805555556</v>
      </c>
      <c r="B3815" t="str">
        <f>HYPERLINK("https://twitter.com/alvinhdyt_","@alvinhdyt_")</f>
        <v>@alvinhdyt_</v>
      </c>
      <c r="C3815" t="s">
        <v>3361</v>
      </c>
      <c r="D3815">
        <v>0</v>
      </c>
      <c r="E3815">
        <v>0</v>
      </c>
      <c r="F3815">
        <v>507</v>
      </c>
    </row>
    <row r="3816" spans="1:6" ht="12.75">
      <c r="A3816" s="2">
        <v>43883.861284722225</v>
      </c>
      <c r="B3816" t="str">
        <f>HYPERLINK("https://twitter.com/korekkorek2","@korekkorek2")</f>
        <v>@korekkorek2</v>
      </c>
      <c r="C3816" t="s">
        <v>3362</v>
      </c>
      <c r="D3816">
        <v>0</v>
      </c>
      <c r="E3816">
        <v>0</v>
      </c>
      <c r="F3816">
        <v>7</v>
      </c>
    </row>
    <row r="3817" spans="1:6" ht="12.75">
      <c r="A3817" s="2">
        <v>43883.860578703709</v>
      </c>
      <c r="B3817" t="str">
        <f>HYPERLINK("https://twitter.com/Kecengcangik","@Kecengcangik")</f>
        <v>@Kecengcangik</v>
      </c>
      <c r="C3817" t="s">
        <v>3363</v>
      </c>
      <c r="D3817">
        <v>0</v>
      </c>
      <c r="E3817">
        <v>1</v>
      </c>
      <c r="F3817">
        <v>2837</v>
      </c>
    </row>
    <row r="3818" spans="1:6" ht="12.75">
      <c r="A3818" s="2">
        <v>43883.859236111108</v>
      </c>
      <c r="B3818" t="str">
        <f>HYPERLINK("https://twitter.com/Galih_Akek","@Galih_Akek")</f>
        <v>@Galih_Akek</v>
      </c>
      <c r="C3818" t="s">
        <v>2154</v>
      </c>
      <c r="D3818">
        <v>41</v>
      </c>
      <c r="E3818">
        <v>0</v>
      </c>
      <c r="F3818">
        <v>5315</v>
      </c>
    </row>
    <row r="3819" spans="1:6" ht="12.75">
      <c r="A3819" s="2">
        <v>43883.857824074075</v>
      </c>
      <c r="B3819" t="str">
        <f>HYPERLINK("https://twitter.com/divewithcwyh","@divewithcwyh")</f>
        <v>@divewithcwyh</v>
      </c>
      <c r="C3819" t="s">
        <v>1407</v>
      </c>
      <c r="D3819">
        <v>9742</v>
      </c>
      <c r="E3819">
        <v>0</v>
      </c>
      <c r="F3819">
        <v>214</v>
      </c>
    </row>
    <row r="3820" spans="1:6" ht="12.75">
      <c r="A3820" s="2">
        <v>43883.85732638889</v>
      </c>
      <c r="B3820" t="str">
        <f>HYPERLINK("https://twitter.com/naquib_najib","@naquib_najib")</f>
        <v>@naquib_najib</v>
      </c>
      <c r="C3820" t="s">
        <v>2986</v>
      </c>
      <c r="D3820">
        <v>21</v>
      </c>
      <c r="E3820">
        <v>0</v>
      </c>
      <c r="F3820">
        <v>789</v>
      </c>
    </row>
    <row r="3821" spans="1:6" ht="12.75">
      <c r="A3821" s="2">
        <v>43883.855949074074</v>
      </c>
      <c r="B3821" t="str">
        <f>HYPERLINK("https://twitter.com/_wni_","@_wni_")</f>
        <v>@_wni_</v>
      </c>
      <c r="C3821" t="s">
        <v>3364</v>
      </c>
      <c r="D3821">
        <v>12390</v>
      </c>
      <c r="E3821">
        <v>0</v>
      </c>
      <c r="F3821">
        <v>8</v>
      </c>
    </row>
    <row r="3822" spans="1:6" ht="12.75">
      <c r="A3822" s="2">
        <v>43883.855416666665</v>
      </c>
      <c r="B3822" t="str">
        <f>HYPERLINK("https://twitter.com/27Ichoe","@27Ichoe")</f>
        <v>@27Ichoe</v>
      </c>
      <c r="C3822" t="s">
        <v>2637</v>
      </c>
      <c r="D3822">
        <v>17</v>
      </c>
      <c r="E3822">
        <v>0</v>
      </c>
      <c r="F3822">
        <v>342</v>
      </c>
    </row>
    <row r="3823" spans="1:6" ht="12.75">
      <c r="A3823" s="2">
        <v>43883.855324074073</v>
      </c>
      <c r="B3823" t="str">
        <f>HYPERLINK("https://twitter.com/samhudibae","@samhudibae")</f>
        <v>@samhudibae</v>
      </c>
      <c r="C3823" t="s">
        <v>3248</v>
      </c>
      <c r="D3823">
        <v>2</v>
      </c>
      <c r="E3823">
        <v>0</v>
      </c>
      <c r="F3823">
        <v>3519</v>
      </c>
    </row>
    <row r="3824" spans="1:6" ht="12.75">
      <c r="A3824" s="2">
        <v>43883.855312500003</v>
      </c>
      <c r="B3824" t="str">
        <f>HYPERLINK("https://twitter.com/27Ichoe","@27Ichoe")</f>
        <v>@27Ichoe</v>
      </c>
      <c r="C3824" t="s">
        <v>2983</v>
      </c>
      <c r="D3824">
        <v>143</v>
      </c>
      <c r="E3824">
        <v>0</v>
      </c>
      <c r="F3824">
        <v>342</v>
      </c>
    </row>
    <row r="3825" spans="1:6" ht="12.75">
      <c r="A3825" s="2">
        <v>43883.85527777778</v>
      </c>
      <c r="B3825" t="str">
        <f>HYPERLINK("https://twitter.com/karinakidzania","@karinakidzania")</f>
        <v>@karinakidzania</v>
      </c>
      <c r="C3825" t="s">
        <v>3365</v>
      </c>
      <c r="D3825">
        <v>0</v>
      </c>
      <c r="E3825">
        <v>0</v>
      </c>
      <c r="F3825">
        <v>333</v>
      </c>
    </row>
    <row r="3826" spans="1:6" ht="12.75">
      <c r="A3826" s="2">
        <v>43883.854525462964</v>
      </c>
      <c r="B3826" t="str">
        <f>HYPERLINK("https://twitter.com/27Ichoe","@27Ichoe")</f>
        <v>@27Ichoe</v>
      </c>
      <c r="C3826" t="s">
        <v>2927</v>
      </c>
      <c r="D3826">
        <v>22</v>
      </c>
      <c r="E3826">
        <v>0</v>
      </c>
      <c r="F3826">
        <v>342</v>
      </c>
    </row>
    <row r="3827" spans="1:6" ht="12.75">
      <c r="A3827" s="2">
        <v>43883.854444444441</v>
      </c>
      <c r="B3827" t="str">
        <f>HYPERLINK("https://twitter.com/SriDaryati16","@SriDaryati16")</f>
        <v>@SriDaryati16</v>
      </c>
      <c r="C3827" t="s">
        <v>3366</v>
      </c>
      <c r="D3827">
        <v>0</v>
      </c>
      <c r="E3827">
        <v>0</v>
      </c>
      <c r="F3827">
        <v>25</v>
      </c>
    </row>
    <row r="3828" spans="1:6" ht="12.75">
      <c r="A3828" s="2">
        <v>43883.853958333333</v>
      </c>
      <c r="B3828" t="str">
        <f>HYPERLINK("https://twitter.com/MNithiya","@MNithiya")</f>
        <v>@MNithiya</v>
      </c>
      <c r="C3828" t="s">
        <v>3367</v>
      </c>
      <c r="D3828">
        <v>0</v>
      </c>
      <c r="E3828">
        <v>0</v>
      </c>
      <c r="F3828">
        <v>121</v>
      </c>
    </row>
    <row r="3829" spans="1:6" ht="12.75">
      <c r="A3829" s="2">
        <v>43883.853796296295</v>
      </c>
      <c r="B3829" t="str">
        <f>HYPERLINK("https://twitter.com/Chandanaaz","@Chandanaaz")</f>
        <v>@Chandanaaz</v>
      </c>
      <c r="C3829" t="s">
        <v>3368</v>
      </c>
      <c r="D3829">
        <v>0</v>
      </c>
      <c r="E3829">
        <v>0</v>
      </c>
      <c r="F3829">
        <v>12</v>
      </c>
    </row>
    <row r="3830" spans="1:6" ht="12.75">
      <c r="A3830" s="2">
        <v>43883.853599537033</v>
      </c>
      <c r="B3830" t="str">
        <f>HYPERLINK("https://twitter.com/lilylazer7","@lilylazer7")</f>
        <v>@lilylazer7</v>
      </c>
      <c r="C3830" t="s">
        <v>2986</v>
      </c>
      <c r="D3830">
        <v>21</v>
      </c>
      <c r="E3830">
        <v>0</v>
      </c>
      <c r="F3830">
        <v>301</v>
      </c>
    </row>
    <row r="3831" spans="1:6" ht="12.75">
      <c r="A3831" s="2">
        <v>43883.852893518517</v>
      </c>
      <c r="B3831" t="str">
        <f>HYPERLINK("https://twitter.com/MNithiya","@MNithiya")</f>
        <v>@MNithiya</v>
      </c>
      <c r="C3831" t="s">
        <v>3369</v>
      </c>
      <c r="D3831">
        <v>0</v>
      </c>
      <c r="E3831">
        <v>0</v>
      </c>
      <c r="F3831">
        <v>121</v>
      </c>
    </row>
    <row r="3832" spans="1:6" ht="12.75">
      <c r="A3832" s="2">
        <v>43883.85229166667</v>
      </c>
      <c r="B3832" t="str">
        <f>HYPERLINK("https://twitter.com/__herokenzan","@__herokenzan")</f>
        <v>@__herokenzan</v>
      </c>
      <c r="C3832" t="s">
        <v>3291</v>
      </c>
      <c r="D3832">
        <v>4</v>
      </c>
      <c r="E3832">
        <v>0</v>
      </c>
      <c r="F3832">
        <v>21</v>
      </c>
    </row>
    <row r="3833" spans="1:6" ht="12.75">
      <c r="A3833" s="2">
        <v>43883.851979166662</v>
      </c>
      <c r="B3833" t="str">
        <f>HYPERLINK("https://twitter.com/orangmutant","@orangmutant")</f>
        <v>@orangmutant</v>
      </c>
      <c r="C3833" t="s">
        <v>3291</v>
      </c>
      <c r="D3833">
        <v>4</v>
      </c>
      <c r="E3833">
        <v>0</v>
      </c>
      <c r="F3833">
        <v>1406</v>
      </c>
    </row>
    <row r="3834" spans="1:6" ht="12.75">
      <c r="A3834" s="2">
        <v>43883.851712962962</v>
      </c>
      <c r="B3834" t="str">
        <f>HYPERLINK("https://twitter.com/Viviemoeth","@Viviemoeth")</f>
        <v>@Viviemoeth</v>
      </c>
      <c r="C3834" t="s">
        <v>3370</v>
      </c>
      <c r="D3834">
        <v>0</v>
      </c>
      <c r="E3834">
        <v>0</v>
      </c>
      <c r="F3834">
        <v>107</v>
      </c>
    </row>
    <row r="3835" spans="1:6" ht="12.75">
      <c r="A3835" s="2">
        <v>43883.851099537038</v>
      </c>
      <c r="B3835" t="str">
        <f>HYPERLINK("https://twitter.com/ronaldlgm","@ronaldlgm")</f>
        <v>@ronaldlgm</v>
      </c>
      <c r="C3835" t="s">
        <v>3371</v>
      </c>
      <c r="D3835">
        <v>0</v>
      </c>
      <c r="E3835">
        <v>1</v>
      </c>
      <c r="F3835">
        <v>28</v>
      </c>
    </row>
    <row r="3836" spans="1:6" ht="12.75">
      <c r="A3836" s="2">
        <v>43883.850902777776</v>
      </c>
      <c r="B3836" t="str">
        <f>HYPERLINK("https://twitter.com/haniefhi","@haniefhi")</f>
        <v>@haniefhi</v>
      </c>
      <c r="C3836" t="s">
        <v>3372</v>
      </c>
      <c r="D3836">
        <v>0</v>
      </c>
      <c r="E3836">
        <v>0</v>
      </c>
      <c r="F3836">
        <v>245</v>
      </c>
    </row>
    <row r="3837" spans="1:6" ht="12.75">
      <c r="A3837" s="2">
        <v>43883.85087962963</v>
      </c>
      <c r="B3837" t="str">
        <f>HYPERLINK("https://twitter.com/ajengggp","@ajengggp")</f>
        <v>@ajengggp</v>
      </c>
      <c r="C3837" t="s">
        <v>1407</v>
      </c>
      <c r="D3837">
        <v>9742</v>
      </c>
      <c r="E3837">
        <v>0</v>
      </c>
      <c r="F3837">
        <v>18</v>
      </c>
    </row>
    <row r="3838" spans="1:6" ht="12.75">
      <c r="A3838" s="2">
        <v>43883.850428240738</v>
      </c>
      <c r="B3838" t="str">
        <f>HYPERLINK("https://twitter.com/kaoshitam","@kaoshitam")</f>
        <v>@kaoshitam</v>
      </c>
      <c r="C3838" t="s">
        <v>3373</v>
      </c>
      <c r="D3838">
        <v>3</v>
      </c>
      <c r="E3838">
        <v>0</v>
      </c>
      <c r="F3838">
        <v>760</v>
      </c>
    </row>
    <row r="3839" spans="1:6" ht="12.75">
      <c r="A3839" s="2">
        <v>43883.850312499999</v>
      </c>
      <c r="B3839" t="str">
        <f>HYPERLINK("https://twitter.com/syedshahrir","@syedshahrir")</f>
        <v>@syedshahrir</v>
      </c>
      <c r="C3839" t="s">
        <v>2986</v>
      </c>
      <c r="D3839">
        <v>21</v>
      </c>
      <c r="E3839">
        <v>0</v>
      </c>
      <c r="F3839">
        <v>617</v>
      </c>
    </row>
    <row r="3840" spans="1:6" ht="12.75">
      <c r="A3840" s="2">
        <v>43883.84851851852</v>
      </c>
      <c r="B3840" t="str">
        <f>HYPERLINK("https://twitter.com/MSallehuddin05","@MSallehuddin05")</f>
        <v>@MSallehuddin05</v>
      </c>
      <c r="C3840" t="s">
        <v>3125</v>
      </c>
      <c r="D3840">
        <v>1</v>
      </c>
      <c r="E3840">
        <v>0</v>
      </c>
      <c r="F3840">
        <v>931</v>
      </c>
    </row>
    <row r="3841" spans="1:6" ht="12.75">
      <c r="A3841" s="2">
        <v>43883.848402777774</v>
      </c>
      <c r="B3841" t="str">
        <f>HYPERLINK("https://twitter.com/EngGuntur","@EngGuntur")</f>
        <v>@EngGuntur</v>
      </c>
      <c r="C3841" t="s">
        <v>3277</v>
      </c>
      <c r="D3841">
        <v>7</v>
      </c>
      <c r="E3841">
        <v>0</v>
      </c>
      <c r="F3841">
        <v>1995</v>
      </c>
    </row>
    <row r="3842" spans="1:6" ht="12.75">
      <c r="A3842" s="2">
        <v>43883.847916666666</v>
      </c>
      <c r="B3842" t="str">
        <f>HYPERLINK("https://twitter.com/newsmerahputih","@newsmerahputih")</f>
        <v>@newsmerahputih</v>
      </c>
      <c r="C3842" t="s">
        <v>3374</v>
      </c>
      <c r="D3842">
        <v>0</v>
      </c>
      <c r="E3842">
        <v>0</v>
      </c>
      <c r="F3842">
        <v>8739</v>
      </c>
    </row>
    <row r="3843" spans="1:6" ht="12.75">
      <c r="A3843" s="2">
        <v>43883.847291666665</v>
      </c>
      <c r="B3843" t="str">
        <f>HYPERLINK("https://twitter.com/panjianom102","@panjianom102")</f>
        <v>@panjianom102</v>
      </c>
      <c r="C3843" t="s">
        <v>2154</v>
      </c>
      <c r="D3843">
        <v>41</v>
      </c>
      <c r="E3843">
        <v>0</v>
      </c>
      <c r="F3843">
        <v>1300</v>
      </c>
    </row>
    <row r="3844" spans="1:6" ht="12.75">
      <c r="A3844" s="2">
        <v>43883.847280092596</v>
      </c>
      <c r="B3844" t="str">
        <f>HYPERLINK("https://twitter.com/jedi_zaidi","@jedi_zaidi")</f>
        <v>@jedi_zaidi</v>
      </c>
      <c r="C3844" t="s">
        <v>3375</v>
      </c>
      <c r="D3844">
        <v>1</v>
      </c>
      <c r="E3844">
        <v>0</v>
      </c>
      <c r="F3844">
        <v>125</v>
      </c>
    </row>
    <row r="3845" spans="1:6" ht="12.75">
      <c r="A3845" s="2">
        <v>43883.847256944442</v>
      </c>
      <c r="B3845" t="str">
        <f>HYPERLINK("https://twitter.com/fa_qof","@fa_qof")</f>
        <v>@fa_qof</v>
      </c>
      <c r="C3845" t="s">
        <v>3291</v>
      </c>
      <c r="D3845">
        <v>4</v>
      </c>
      <c r="E3845">
        <v>0</v>
      </c>
      <c r="F3845">
        <v>297</v>
      </c>
    </row>
    <row r="3846" spans="1:6" ht="12.75">
      <c r="A3846" s="2">
        <v>43883.846898148149</v>
      </c>
      <c r="B3846" t="str">
        <f>HYPERLINK("https://twitter.com/PijarKepri","@PijarKepri")</f>
        <v>@PijarKepri</v>
      </c>
      <c r="C3846" t="s">
        <v>3376</v>
      </c>
      <c r="D3846">
        <v>0</v>
      </c>
      <c r="E3846">
        <v>0</v>
      </c>
      <c r="F3846">
        <v>10</v>
      </c>
    </row>
    <row r="3847" spans="1:6" ht="12.75">
      <c r="A3847" s="2">
        <v>43883.846886574072</v>
      </c>
      <c r="B3847" t="str">
        <f>HYPERLINK("https://twitter.com/utom121968","@utom121968")</f>
        <v>@utom121968</v>
      </c>
      <c r="C3847" t="s">
        <v>3377</v>
      </c>
      <c r="D3847">
        <v>144</v>
      </c>
      <c r="E3847">
        <v>0</v>
      </c>
      <c r="F3847">
        <v>12</v>
      </c>
    </row>
    <row r="3848" spans="1:6" ht="12.75">
      <c r="A3848" s="2">
        <v>43883.846886574072</v>
      </c>
      <c r="B3848" t="str">
        <f>HYPERLINK("https://twitter.com/AgungWidrajat","@AgungWidrajat")</f>
        <v>@AgungWidrajat</v>
      </c>
      <c r="C3848" t="s">
        <v>3175</v>
      </c>
      <c r="D3848">
        <v>4</v>
      </c>
      <c r="E3848">
        <v>0</v>
      </c>
      <c r="F3848">
        <v>2299</v>
      </c>
    </row>
    <row r="3849" spans="1:6" ht="12.75">
      <c r="A3849" s="2">
        <v>43883.846226851849</v>
      </c>
      <c r="B3849" t="str">
        <f>HYPERLINK("https://twitter.com/Imranhussin159","@Imranhussin159")</f>
        <v>@Imranhussin159</v>
      </c>
      <c r="C3849" t="s">
        <v>3260</v>
      </c>
      <c r="D3849">
        <v>7</v>
      </c>
      <c r="E3849">
        <v>0</v>
      </c>
      <c r="F3849">
        <v>52</v>
      </c>
    </row>
    <row r="3850" spans="1:6" ht="12.75">
      <c r="A3850" s="2">
        <v>43883.845995370371</v>
      </c>
      <c r="B3850" t="str">
        <f>HYPERLINK("https://twitter.com/rappinflat","@rappinflat")</f>
        <v>@rappinflat</v>
      </c>
      <c r="C3850" t="s">
        <v>3378</v>
      </c>
      <c r="D3850">
        <v>0</v>
      </c>
      <c r="E3850">
        <v>0</v>
      </c>
      <c r="F3850">
        <v>796</v>
      </c>
    </row>
    <row r="3851" spans="1:6" ht="12.75">
      <c r="A3851" s="2">
        <v>43883.845983796295</v>
      </c>
      <c r="B3851" t="str">
        <f>HYPERLINK("https://twitter.com/jedi_zaidi","@jedi_zaidi")</f>
        <v>@jedi_zaidi</v>
      </c>
      <c r="C3851" t="s">
        <v>3379</v>
      </c>
      <c r="D3851">
        <v>0</v>
      </c>
      <c r="E3851">
        <v>0</v>
      </c>
      <c r="F3851">
        <v>125</v>
      </c>
    </row>
    <row r="3852" spans="1:6" ht="12.75">
      <c r="A3852" s="2">
        <v>43883.845405092594</v>
      </c>
      <c r="B3852" t="str">
        <f>HYPERLINK("https://twitter.com/edwin_basuki","@edwin_basuki")</f>
        <v>@edwin_basuki</v>
      </c>
      <c r="C3852" t="s">
        <v>3373</v>
      </c>
      <c r="D3852">
        <v>3</v>
      </c>
      <c r="E3852">
        <v>0</v>
      </c>
      <c r="F3852">
        <v>192</v>
      </c>
    </row>
    <row r="3853" spans="1:6" ht="12.75">
      <c r="A3853" s="2">
        <v>43883.845277777778</v>
      </c>
      <c r="B3853" t="str">
        <f>HYPERLINK("https://twitter.com/Suyat36329324","@Suyat36329324")</f>
        <v>@Suyat36329324</v>
      </c>
      <c r="C3853" t="s">
        <v>3380</v>
      </c>
      <c r="D3853">
        <v>2</v>
      </c>
      <c r="E3853">
        <v>0</v>
      </c>
      <c r="F3853">
        <v>2452</v>
      </c>
    </row>
    <row r="3854" spans="1:6" ht="12.75">
      <c r="A3854" s="2">
        <v>43883.844826388886</v>
      </c>
      <c r="B3854" t="str">
        <f>HYPERLINK("https://twitter.com/sepintasangan","@sepintasangan")</f>
        <v>@sepintasangan</v>
      </c>
      <c r="C3854" t="s">
        <v>3381</v>
      </c>
      <c r="D3854">
        <v>0</v>
      </c>
      <c r="E3854">
        <v>0</v>
      </c>
      <c r="F3854">
        <v>153</v>
      </c>
    </row>
    <row r="3855" spans="1:6" ht="12.75">
      <c r="A3855" s="2">
        <v>43883.844456018516</v>
      </c>
      <c r="B3855" t="str">
        <f>HYPERLINK("https://twitter.com/anusliberal","@anusliberal")</f>
        <v>@anusliberal</v>
      </c>
      <c r="C3855" t="s">
        <v>3382</v>
      </c>
      <c r="D3855">
        <v>0</v>
      </c>
      <c r="E3855">
        <v>0</v>
      </c>
      <c r="F3855">
        <v>160</v>
      </c>
    </row>
    <row r="3856" spans="1:6" ht="12.75">
      <c r="A3856" s="2">
        <v>43883.844074074077</v>
      </c>
      <c r="B3856" t="str">
        <f>HYPERLINK("https://twitter.com/Hendy_Abel","@Hendy_Abel")</f>
        <v>@Hendy_Abel</v>
      </c>
      <c r="C3856" t="s">
        <v>3296</v>
      </c>
      <c r="D3856">
        <v>7</v>
      </c>
      <c r="E3856">
        <v>0</v>
      </c>
      <c r="F3856">
        <v>323</v>
      </c>
    </row>
    <row r="3857" spans="1:6" ht="12.75">
      <c r="A3857" s="2">
        <v>43883.842951388884</v>
      </c>
      <c r="B3857" t="str">
        <f>HYPERLINK("https://twitter.com/ammarazmann","@ammarazmann")</f>
        <v>@ammarazmann</v>
      </c>
      <c r="C3857" t="s">
        <v>3260</v>
      </c>
      <c r="D3857">
        <v>7</v>
      </c>
      <c r="E3857">
        <v>0</v>
      </c>
      <c r="F3857">
        <v>62</v>
      </c>
    </row>
    <row r="3858" spans="1:6" ht="12.75">
      <c r="A3858" s="2">
        <v>43883.842847222222</v>
      </c>
      <c r="B3858" t="str">
        <f>HYPERLINK("https://twitter.com/angelflovs","@angelflovs")</f>
        <v>@angelflovs</v>
      </c>
      <c r="C3858" t="s">
        <v>2126</v>
      </c>
      <c r="D3858">
        <v>2818</v>
      </c>
      <c r="E3858">
        <v>0</v>
      </c>
      <c r="F3858">
        <v>402</v>
      </c>
    </row>
    <row r="3859" spans="1:6" ht="12.75">
      <c r="A3859" s="2">
        <v>43883.84238425926</v>
      </c>
      <c r="B3859" t="str">
        <f>HYPERLINK("https://twitter.com/hilmypakeY","@hilmypakeY")</f>
        <v>@hilmypakeY</v>
      </c>
      <c r="C3859" t="s">
        <v>3383</v>
      </c>
      <c r="D3859">
        <v>0</v>
      </c>
      <c r="E3859">
        <v>0</v>
      </c>
      <c r="F3859">
        <v>36</v>
      </c>
    </row>
    <row r="3860" spans="1:6" ht="12.75">
      <c r="A3860" s="2">
        <v>43883.842152777783</v>
      </c>
      <c r="B3860" t="str">
        <f>HYPERLINK("https://twitter.com/jazli92","@jazli92")</f>
        <v>@jazli92</v>
      </c>
      <c r="C3860" t="s">
        <v>3260</v>
      </c>
      <c r="D3860">
        <v>7</v>
      </c>
      <c r="E3860">
        <v>0</v>
      </c>
      <c r="F3860">
        <v>373</v>
      </c>
    </row>
    <row r="3861" spans="1:6" ht="12.75">
      <c r="A3861" s="2">
        <v>43883.841828703706</v>
      </c>
      <c r="B3861" t="str">
        <f>HYPERLINK("https://twitter.com/GoldBummy_","@GoldBummy_")</f>
        <v>@GoldBummy_</v>
      </c>
      <c r="C3861" t="s">
        <v>3384</v>
      </c>
      <c r="D3861">
        <v>0</v>
      </c>
      <c r="E3861">
        <v>0</v>
      </c>
      <c r="F3861">
        <v>19</v>
      </c>
    </row>
    <row r="3862" spans="1:6" ht="12.75">
      <c r="A3862" s="2">
        <v>43883.84107638889</v>
      </c>
      <c r="B3862" t="str">
        <f>HYPERLINK("https://twitter.com/RiriJreeng","@RiriJreeng")</f>
        <v>@RiriJreeng</v>
      </c>
      <c r="C3862" t="s">
        <v>3296</v>
      </c>
      <c r="D3862">
        <v>7</v>
      </c>
      <c r="E3862">
        <v>0</v>
      </c>
      <c r="F3862">
        <v>5736</v>
      </c>
    </row>
    <row r="3863" spans="1:6" ht="12.75">
      <c r="A3863" s="2">
        <v>43883.840624999997</v>
      </c>
      <c r="B3863" t="str">
        <f>HYPERLINK("https://twitter.com/SetuFery","@SetuFery")</f>
        <v>@SetuFery</v>
      </c>
      <c r="C3863" t="s">
        <v>3385</v>
      </c>
      <c r="D3863">
        <v>0</v>
      </c>
      <c r="E3863">
        <v>0</v>
      </c>
      <c r="F3863">
        <v>19</v>
      </c>
    </row>
    <row r="3864" spans="1:6" ht="12.75">
      <c r="A3864" s="2">
        <v>43883.840185185181</v>
      </c>
      <c r="B3864" t="str">
        <f>HYPERLINK("https://twitter.com/adamnmbahdukun","@adamnmbahdukun")</f>
        <v>@adamnmbahdukun</v>
      </c>
      <c r="C3864" t="s">
        <v>3291</v>
      </c>
      <c r="D3864">
        <v>4</v>
      </c>
      <c r="E3864">
        <v>0</v>
      </c>
      <c r="F3864">
        <v>408</v>
      </c>
    </row>
    <row r="3865" spans="1:6" ht="12.75">
      <c r="A3865" s="2">
        <v>43883.840104166666</v>
      </c>
      <c r="B3865" t="str">
        <f>HYPERLINK("https://twitter.com/angelflovs","@angelflovs")</f>
        <v>@angelflovs</v>
      </c>
      <c r="C3865" t="s">
        <v>2372</v>
      </c>
      <c r="D3865">
        <v>550</v>
      </c>
      <c r="E3865">
        <v>0</v>
      </c>
      <c r="F3865">
        <v>402</v>
      </c>
    </row>
    <row r="3866" spans="1:6" ht="12.75">
      <c r="A3866" s="2">
        <v>43883.839328703703</v>
      </c>
      <c r="B3866" t="str">
        <f>HYPERLINK("https://twitter.com/mastur78","@mastur78")</f>
        <v>@mastur78</v>
      </c>
      <c r="C3866" t="s">
        <v>3386</v>
      </c>
      <c r="D3866">
        <v>0</v>
      </c>
      <c r="E3866">
        <v>0</v>
      </c>
      <c r="F3866">
        <v>112</v>
      </c>
    </row>
    <row r="3867" spans="1:6" ht="12.75">
      <c r="A3867" s="2">
        <v>43883.839189814811</v>
      </c>
      <c r="B3867" t="str">
        <f>HYPERLINK("https://twitter.com/maderodog","@maderodog")</f>
        <v>@maderodog</v>
      </c>
      <c r="C3867" t="s">
        <v>3387</v>
      </c>
      <c r="D3867">
        <v>4</v>
      </c>
      <c r="E3867">
        <v>2</v>
      </c>
      <c r="F3867">
        <v>2757</v>
      </c>
    </row>
    <row r="3868" spans="1:6" ht="12.75">
      <c r="A3868" s="2">
        <v>43883.839062500003</v>
      </c>
      <c r="B3868" t="str">
        <f>HYPERLINK("https://twitter.com/NanggoloFirst","@NanggoloFirst")</f>
        <v>@NanggoloFirst</v>
      </c>
      <c r="C3868" t="s">
        <v>2880</v>
      </c>
      <c r="D3868">
        <v>26</v>
      </c>
      <c r="E3868">
        <v>0</v>
      </c>
      <c r="F3868">
        <v>53</v>
      </c>
    </row>
    <row r="3869" spans="1:6" ht="12.75">
      <c r="A3869" s="2">
        <v>43883.837442129632</v>
      </c>
      <c r="B3869" t="str">
        <f>HYPERLINK("https://twitter.com/Dedoy09838580","@Dedoy09838580")</f>
        <v>@Dedoy09838580</v>
      </c>
      <c r="C3869" t="s">
        <v>2880</v>
      </c>
      <c r="D3869">
        <v>26</v>
      </c>
      <c r="E3869">
        <v>0</v>
      </c>
      <c r="F3869">
        <v>5</v>
      </c>
    </row>
    <row r="3870" spans="1:6" ht="12.75">
      <c r="A3870" s="2">
        <v>43883.836805555555</v>
      </c>
      <c r="B3870" t="str">
        <f>HYPERLINK("https://twitter.com/TribunNew5","@TribunNew5")</f>
        <v>@TribunNew5</v>
      </c>
      <c r="C3870" t="s">
        <v>3388</v>
      </c>
      <c r="D3870">
        <v>0</v>
      </c>
      <c r="E3870">
        <v>0</v>
      </c>
      <c r="F3870">
        <v>521</v>
      </c>
    </row>
    <row r="3871" spans="1:6" ht="12.75">
      <c r="A3871" s="2">
        <v>43883.836793981478</v>
      </c>
      <c r="B3871" t="str">
        <f>HYPERLINK("https://twitter.com/DiMalaysia1957","@DiMalaysia1957")</f>
        <v>@DiMalaysia1957</v>
      </c>
      <c r="C3871" t="s">
        <v>3389</v>
      </c>
      <c r="D3871">
        <v>0</v>
      </c>
      <c r="E3871">
        <v>0</v>
      </c>
      <c r="F3871">
        <v>7</v>
      </c>
    </row>
    <row r="3872" spans="1:6" ht="12.75">
      <c r="A3872" s="2">
        <v>43883.836736111116</v>
      </c>
      <c r="B3872" t="str">
        <f>HYPERLINK("https://twitter.com/BradPitek","@BradPitek")</f>
        <v>@BradPitek</v>
      </c>
      <c r="C3872" t="s">
        <v>2637</v>
      </c>
      <c r="D3872">
        <v>17</v>
      </c>
      <c r="E3872">
        <v>0</v>
      </c>
      <c r="F3872">
        <v>227</v>
      </c>
    </row>
    <row r="3873" spans="1:6" ht="12.75">
      <c r="A3873" s="2">
        <v>43883.836157407408</v>
      </c>
      <c r="B3873" t="str">
        <f>HYPERLINK("https://twitter.com/shoe47883517","@shoe47883517")</f>
        <v>@shoe47883517</v>
      </c>
      <c r="C3873" t="s">
        <v>3296</v>
      </c>
      <c r="D3873">
        <v>7</v>
      </c>
      <c r="E3873">
        <v>0</v>
      </c>
      <c r="F3873">
        <v>28</v>
      </c>
    </row>
    <row r="3874" spans="1:6" ht="12.75">
      <c r="A3874" s="2">
        <v>43883.835810185185</v>
      </c>
      <c r="B3874" t="str">
        <f>HYPERLINK("https://twitter.com/blackha3k","@blackha3k")</f>
        <v>@blackha3k</v>
      </c>
      <c r="C3874" t="s">
        <v>3390</v>
      </c>
      <c r="D3874">
        <v>0</v>
      </c>
      <c r="E3874">
        <v>1</v>
      </c>
      <c r="F3874">
        <v>808</v>
      </c>
    </row>
    <row r="3875" spans="1:6" ht="12.75">
      <c r="A3875" s="2">
        <v>43883.835659722223</v>
      </c>
      <c r="B3875" t="str">
        <f>HYPERLINK("https://twitter.com/Rm_lndr4one4587","@Rm_lndr4one4587")</f>
        <v>@Rm_lndr4one4587</v>
      </c>
      <c r="C3875" t="s">
        <v>3391</v>
      </c>
      <c r="D3875">
        <v>0</v>
      </c>
      <c r="E3875">
        <v>0</v>
      </c>
      <c r="F3875">
        <v>581</v>
      </c>
    </row>
    <row r="3876" spans="1:6" ht="12.75">
      <c r="A3876" s="2">
        <v>43883.835648148146</v>
      </c>
      <c r="B3876" t="str">
        <f>HYPERLINK("https://twitter.com/progjo","@progjo")</f>
        <v>@progjo</v>
      </c>
      <c r="C3876" t="s">
        <v>3392</v>
      </c>
      <c r="D3876">
        <v>0</v>
      </c>
      <c r="E3876">
        <v>2</v>
      </c>
      <c r="F3876">
        <v>4282</v>
      </c>
    </row>
    <row r="3877" spans="1:6" ht="12.75">
      <c r="A3877" s="2">
        <v>43883.835648148146</v>
      </c>
      <c r="B3877" t="str">
        <f>HYPERLINK("https://twitter.com/AgungHe33707176","@AgungHe33707176")</f>
        <v>@AgungHe33707176</v>
      </c>
      <c r="C3877" t="s">
        <v>3393</v>
      </c>
      <c r="D3877">
        <v>0</v>
      </c>
      <c r="E3877">
        <v>0</v>
      </c>
      <c r="F3877">
        <v>7</v>
      </c>
    </row>
    <row r="3878" spans="1:6" ht="12.75">
      <c r="A3878" s="2">
        <v>43883.834895833337</v>
      </c>
      <c r="B3878" t="str">
        <f>HYPERLINK("https://twitter.com/min9yu_wind","@min9yu_wind")</f>
        <v>@min9yu_wind</v>
      </c>
      <c r="C3878" t="s">
        <v>3394</v>
      </c>
      <c r="D3878">
        <v>0</v>
      </c>
      <c r="E3878">
        <v>0</v>
      </c>
      <c r="F3878">
        <v>42</v>
      </c>
    </row>
    <row r="3879" spans="1:6" ht="12.75">
      <c r="A3879" s="2">
        <v>43883.834687499999</v>
      </c>
      <c r="B3879" t="str">
        <f>HYPERLINK("https://twitter.com/tunnov","@tunnov")</f>
        <v>@tunnov</v>
      </c>
      <c r="C3879" t="s">
        <v>3395</v>
      </c>
      <c r="D3879">
        <v>0</v>
      </c>
      <c r="E3879">
        <v>0</v>
      </c>
      <c r="F3879">
        <v>342</v>
      </c>
    </row>
    <row r="3880" spans="1:6" ht="12.75">
      <c r="A3880" s="2">
        <v>43883.834652777776</v>
      </c>
      <c r="B3880" t="str">
        <f>HYPERLINK("https://twitter.com/T14503NG","@T14503NG")</f>
        <v>@T14503NG</v>
      </c>
      <c r="C3880" t="s">
        <v>3280</v>
      </c>
      <c r="D3880">
        <v>2</v>
      </c>
      <c r="E3880">
        <v>0</v>
      </c>
      <c r="F3880">
        <v>842</v>
      </c>
    </row>
    <row r="3881" spans="1:6" ht="12.75">
      <c r="A3881" s="2">
        <v>43883.834421296298</v>
      </c>
      <c r="B3881" t="str">
        <f>HYPERLINK("https://twitter.com/zul_haziqlaa","@zul_haziqlaa")</f>
        <v>@zul_haziqlaa</v>
      </c>
      <c r="C3881" t="s">
        <v>3260</v>
      </c>
      <c r="D3881">
        <v>3</v>
      </c>
      <c r="E3881">
        <v>0</v>
      </c>
      <c r="F3881">
        <v>525</v>
      </c>
    </row>
    <row r="3882" spans="1:6" ht="12.75">
      <c r="A3882" s="2">
        <v>43883.834282407406</v>
      </c>
      <c r="B3882" t="str">
        <f>HYPERLINK("https://twitter.com/utom121968","@utom121968")</f>
        <v>@utom121968</v>
      </c>
      <c r="C3882" t="s">
        <v>3396</v>
      </c>
      <c r="D3882">
        <v>71</v>
      </c>
      <c r="E3882">
        <v>0</v>
      </c>
      <c r="F3882">
        <v>12</v>
      </c>
    </row>
    <row r="3883" spans="1:6" ht="12.75">
      <c r="A3883" s="2">
        <v>43883.833657407406</v>
      </c>
      <c r="B3883" t="str">
        <f>HYPERLINK("https://twitter.com/blackha3k","@blackha3k")</f>
        <v>@blackha3k</v>
      </c>
      <c r="C3883" t="s">
        <v>3209</v>
      </c>
      <c r="D3883">
        <v>4</v>
      </c>
      <c r="E3883">
        <v>0</v>
      </c>
      <c r="F3883">
        <v>807</v>
      </c>
    </row>
    <row r="3884" spans="1:6" ht="12.75">
      <c r="A3884" s="2">
        <v>43883.832187499997</v>
      </c>
      <c r="B3884" t="str">
        <f>HYPERLINK("https://twitter.com/fahmi_abicik","@fahmi_abicik")</f>
        <v>@fahmi_abicik</v>
      </c>
      <c r="C3884" t="s">
        <v>3090</v>
      </c>
      <c r="D3884">
        <v>93</v>
      </c>
      <c r="E3884">
        <v>0</v>
      </c>
      <c r="F3884">
        <v>80</v>
      </c>
    </row>
    <row r="3885" spans="1:6" ht="12.75">
      <c r="A3885" s="2">
        <v>43883.832025462965</v>
      </c>
      <c r="B3885" t="str">
        <f>HYPERLINK("https://twitter.com/tacikjawa","@tacikjawa")</f>
        <v>@tacikjawa</v>
      </c>
      <c r="C3885" t="s">
        <v>3397</v>
      </c>
      <c r="D3885">
        <v>0</v>
      </c>
      <c r="E3885">
        <v>0</v>
      </c>
      <c r="F3885">
        <v>1327</v>
      </c>
    </row>
    <row r="3886" spans="1:6" ht="12.75">
      <c r="A3886" s="2">
        <v>43883.831597222219</v>
      </c>
      <c r="B3886" t="str">
        <f>HYPERLINK("https://twitter.com/five_venus","@five_venus")</f>
        <v>@five_venus</v>
      </c>
      <c r="C3886" t="s">
        <v>3398</v>
      </c>
      <c r="D3886">
        <v>103</v>
      </c>
      <c r="E3886">
        <v>0</v>
      </c>
      <c r="F3886">
        <v>78</v>
      </c>
    </row>
    <row r="3887" spans="1:6" ht="12.75">
      <c r="A3887" s="2">
        <v>43883.831585648149</v>
      </c>
      <c r="B3887" t="str">
        <f>HYPERLINK("https://twitter.com/AdiAwk","@AdiAwk")</f>
        <v>@AdiAwk</v>
      </c>
      <c r="C3887" t="s">
        <v>3399</v>
      </c>
      <c r="D3887">
        <v>0</v>
      </c>
      <c r="E3887">
        <v>0</v>
      </c>
      <c r="F3887">
        <v>54</v>
      </c>
    </row>
    <row r="3888" spans="1:6" ht="12.75">
      <c r="A3888" s="2">
        <v>43883.831250000003</v>
      </c>
      <c r="B3888" t="str">
        <f>HYPERLINK("https://twitter.com/P_Eneste","@P_Eneste")</f>
        <v>@P_Eneste</v>
      </c>
      <c r="C3888" t="s">
        <v>3400</v>
      </c>
      <c r="D3888">
        <v>0</v>
      </c>
      <c r="E3888">
        <v>0</v>
      </c>
      <c r="F3888">
        <v>1385</v>
      </c>
    </row>
    <row r="3889" spans="1:6" ht="12.75">
      <c r="A3889" s="2">
        <v>43883.828888888893</v>
      </c>
      <c r="B3889" t="str">
        <f>HYPERLINK("https://twitter.com/FreeThinkerGL","@FreeThinkerGL")</f>
        <v>@FreeThinkerGL</v>
      </c>
      <c r="C3889" t="s">
        <v>3401</v>
      </c>
      <c r="D3889">
        <v>0</v>
      </c>
      <c r="E3889">
        <v>0</v>
      </c>
      <c r="F3889">
        <v>2207</v>
      </c>
    </row>
    <row r="3890" spans="1:6" ht="12.75">
      <c r="A3890" s="2">
        <v>43883.828541666662</v>
      </c>
      <c r="B3890" t="str">
        <f>HYPERLINK("https://twitter.com/pacarkorpus","@pacarkorpus")</f>
        <v>@pacarkorpus</v>
      </c>
      <c r="C3890" t="s">
        <v>3174</v>
      </c>
      <c r="D3890">
        <v>1</v>
      </c>
      <c r="E3890">
        <v>0</v>
      </c>
      <c r="F3890">
        <v>29</v>
      </c>
    </row>
    <row r="3891" spans="1:6" ht="12.75">
      <c r="A3891" s="2">
        <v>43883.828159722223</v>
      </c>
      <c r="B3891" t="str">
        <f>HYPERLINK("https://twitter.com/Gamabunta04","@Gamabunta04")</f>
        <v>@Gamabunta04</v>
      </c>
      <c r="C3891" t="s">
        <v>3260</v>
      </c>
      <c r="D3891">
        <v>3</v>
      </c>
      <c r="E3891">
        <v>0</v>
      </c>
      <c r="F3891">
        <v>165</v>
      </c>
    </row>
    <row r="3892" spans="1:6" ht="12.75">
      <c r="A3892" s="2">
        <v>43883.828055555554</v>
      </c>
      <c r="B3892" t="str">
        <f>HYPERLINK("https://twitter.com/_yeesoonggg","@_yeesoonggg")</f>
        <v>@_yeesoonggg</v>
      </c>
      <c r="C3892" t="s">
        <v>3209</v>
      </c>
      <c r="D3892">
        <v>4</v>
      </c>
      <c r="E3892">
        <v>0</v>
      </c>
      <c r="F3892">
        <v>315</v>
      </c>
    </row>
    <row r="3893" spans="1:6" ht="12.75">
      <c r="A3893" s="2">
        <v>43883.827164351853</v>
      </c>
      <c r="B3893" t="str">
        <f>HYPERLINK("https://twitter.com/baby_alien28","@baby_alien28")</f>
        <v>@baby_alien28</v>
      </c>
      <c r="C3893" t="s">
        <v>3402</v>
      </c>
      <c r="D3893">
        <v>1</v>
      </c>
      <c r="E3893">
        <v>0</v>
      </c>
      <c r="F3893">
        <v>4127</v>
      </c>
    </row>
    <row r="3894" spans="1:6" ht="12.75">
      <c r="A3894" s="2">
        <v>43883.826608796298</v>
      </c>
      <c r="B3894" t="str">
        <f>HYPERLINK("https://twitter.com/MZubir_ID","@MZubir_ID")</f>
        <v>@MZubir_ID</v>
      </c>
      <c r="C3894" t="s">
        <v>3403</v>
      </c>
      <c r="D3894">
        <v>1</v>
      </c>
      <c r="E3894">
        <v>0</v>
      </c>
      <c r="F3894">
        <v>5865</v>
      </c>
    </row>
    <row r="3895" spans="1:6" ht="12.75">
      <c r="A3895" s="2">
        <v>43883.826331018514</v>
      </c>
      <c r="B3895" t="str">
        <f>HYPERLINK("https://twitter.com/NomyNozwir","@NomyNozwir")</f>
        <v>@NomyNozwir</v>
      </c>
      <c r="C3895" t="s">
        <v>3404</v>
      </c>
      <c r="D3895">
        <v>3</v>
      </c>
      <c r="E3895">
        <v>4</v>
      </c>
      <c r="F3895">
        <v>8726</v>
      </c>
    </row>
    <row r="3896" spans="1:6" ht="12.75">
      <c r="A3896" s="2">
        <v>43883.825891203705</v>
      </c>
      <c r="B3896" t="str">
        <f>HYPERLINK("https://twitter.com/fadjroeL","@fadjroeL")</f>
        <v>@fadjroeL</v>
      </c>
      <c r="C3896" t="s">
        <v>3175</v>
      </c>
      <c r="D3896">
        <v>2</v>
      </c>
      <c r="E3896">
        <v>0</v>
      </c>
      <c r="F3896">
        <v>995470</v>
      </c>
    </row>
    <row r="3897" spans="1:6" ht="12.75">
      <c r="A3897" s="2">
        <v>43883.825821759259</v>
      </c>
      <c r="B3897" t="str">
        <f>HYPERLINK("https://twitter.com/Vendra_Deje","@Vendra_Deje")</f>
        <v>@Vendra_Deje</v>
      </c>
      <c r="C3897" t="s">
        <v>2880</v>
      </c>
      <c r="D3897">
        <v>24</v>
      </c>
      <c r="E3897">
        <v>0</v>
      </c>
      <c r="F3897">
        <v>3245</v>
      </c>
    </row>
    <row r="3898" spans="1:6" ht="12.75">
      <c r="A3898" s="2">
        <v>43883.825520833328</v>
      </c>
      <c r="B3898" t="str">
        <f>HYPERLINK("https://twitter.com/yana_diah","@yana_diah")</f>
        <v>@yana_diah</v>
      </c>
      <c r="C3898" t="s">
        <v>2119</v>
      </c>
      <c r="D3898">
        <v>525</v>
      </c>
      <c r="E3898">
        <v>0</v>
      </c>
      <c r="F3898">
        <v>36</v>
      </c>
    </row>
    <row r="3899" spans="1:6" ht="12.75">
      <c r="A3899" s="2">
        <v>43883.824976851851</v>
      </c>
      <c r="B3899" t="str">
        <f>HYPERLINK("https://twitter.com/Sarah_Pndj","@Sarah_Pndj")</f>
        <v>@Sarah_Pndj</v>
      </c>
      <c r="C3899" t="s">
        <v>3280</v>
      </c>
      <c r="D3899">
        <v>2</v>
      </c>
      <c r="E3899">
        <v>0</v>
      </c>
      <c r="F3899">
        <v>26777</v>
      </c>
    </row>
    <row r="3900" spans="1:6" ht="12.75">
      <c r="A3900" s="2">
        <v>43883.82476851852</v>
      </c>
      <c r="B3900" t="str">
        <f>HYPERLINK("https://twitter.com/shi__wie","@shi__wie")</f>
        <v>@shi__wie</v>
      </c>
      <c r="C3900" t="s">
        <v>3405</v>
      </c>
      <c r="D3900">
        <v>2</v>
      </c>
      <c r="E3900">
        <v>0</v>
      </c>
      <c r="F3900">
        <v>325</v>
      </c>
    </row>
    <row r="3901" spans="1:6" ht="12.75">
      <c r="A3901" s="2">
        <v>43883.824560185181</v>
      </c>
      <c r="B3901" t="str">
        <f>HYPERLINK("https://twitter.com/Darmalik3","@Darmalik3")</f>
        <v>@Darmalik3</v>
      </c>
      <c r="C3901" t="s">
        <v>3296</v>
      </c>
      <c r="D3901">
        <v>4</v>
      </c>
      <c r="E3901">
        <v>0</v>
      </c>
      <c r="F3901">
        <v>1710</v>
      </c>
    </row>
    <row r="3902" spans="1:6" ht="12.75">
      <c r="A3902" s="2">
        <v>43883.823425925926</v>
      </c>
      <c r="B3902" t="str">
        <f>HYPERLINK("https://twitter.com/abdularey","@abdularey")</f>
        <v>@abdularey</v>
      </c>
      <c r="C3902" t="s">
        <v>3406</v>
      </c>
      <c r="D3902">
        <v>0</v>
      </c>
      <c r="E3902">
        <v>1</v>
      </c>
      <c r="F3902">
        <v>148</v>
      </c>
    </row>
    <row r="3903" spans="1:6" ht="12.75">
      <c r="A3903" s="2">
        <v>43883.821909722217</v>
      </c>
      <c r="B3903" t="str">
        <f>HYPERLINK("https://twitter.com/JannesHutajulu","@JannesHutajulu")</f>
        <v>@JannesHutajulu</v>
      </c>
      <c r="C3903" t="s">
        <v>2927</v>
      </c>
      <c r="D3903">
        <v>18</v>
      </c>
      <c r="E3903">
        <v>0</v>
      </c>
      <c r="F3903">
        <v>2388</v>
      </c>
    </row>
    <row r="3904" spans="1:6" ht="12.75">
      <c r="A3904" s="2">
        <v>43883.821759259255</v>
      </c>
      <c r="B3904" t="str">
        <f>HYPERLINK("https://twitter.com/hapeproperti","@hapeproperti")</f>
        <v>@hapeproperti</v>
      </c>
      <c r="C3904" t="s">
        <v>3407</v>
      </c>
      <c r="D3904">
        <v>0</v>
      </c>
      <c r="E3904">
        <v>0</v>
      </c>
      <c r="F3904">
        <v>1615</v>
      </c>
    </row>
    <row r="3905" spans="1:6" ht="12.75">
      <c r="A3905" s="2">
        <v>43883.821250000001</v>
      </c>
      <c r="B3905" t="str">
        <f>HYPERLINK("https://twitter.com/pklnhulu1989","@pklnhulu1989")</f>
        <v>@pklnhulu1989</v>
      </c>
      <c r="C3905" t="s">
        <v>3209</v>
      </c>
      <c r="D3905">
        <v>4</v>
      </c>
      <c r="E3905">
        <v>0</v>
      </c>
      <c r="F3905">
        <v>550</v>
      </c>
    </row>
    <row r="3906" spans="1:6" ht="12.75">
      <c r="A3906" s="2">
        <v>43883.819502314815</v>
      </c>
      <c r="B3906" t="str">
        <f>HYPERLINK("https://twitter.com/Rachmat_Fathoni","@Rachmat_Fathoni")</f>
        <v>@Rachmat_Fathoni</v>
      </c>
      <c r="C3906" t="s">
        <v>3408</v>
      </c>
      <c r="D3906">
        <v>0</v>
      </c>
      <c r="E3906">
        <v>1</v>
      </c>
      <c r="F3906">
        <v>1235</v>
      </c>
    </row>
    <row r="3907" spans="1:6" ht="12.75">
      <c r="A3907" s="2">
        <v>43883.819490740745</v>
      </c>
      <c r="B3907" t="str">
        <f>HYPERLINK("https://twitter.com/AzyanNurani","@AzyanNurani")</f>
        <v>@AzyanNurani</v>
      </c>
      <c r="C3907" t="s">
        <v>3409</v>
      </c>
      <c r="D3907">
        <v>0</v>
      </c>
      <c r="E3907">
        <v>0</v>
      </c>
      <c r="F3907">
        <v>31669</v>
      </c>
    </row>
    <row r="3908" spans="1:6" ht="12.75">
      <c r="A3908" s="2">
        <v>43883.819270833337</v>
      </c>
      <c r="B3908" t="str">
        <f>HYPERLINK("https://twitter.com/mahmudfauzinas1","@mahmudfauzinas1")</f>
        <v>@mahmudfauzinas1</v>
      </c>
      <c r="C3908" t="s">
        <v>3171</v>
      </c>
      <c r="D3908">
        <v>6</v>
      </c>
      <c r="E3908">
        <v>0</v>
      </c>
      <c r="F3908">
        <v>105</v>
      </c>
    </row>
    <row r="3909" spans="1:6" ht="12.75">
      <c r="A3909" s="2">
        <v>43883.819027777776</v>
      </c>
      <c r="B3909" t="str">
        <f>HYPERLINK("https://twitter.com/goenawangn","@goenawangn")</f>
        <v>@goenawangn</v>
      </c>
      <c r="C3909" t="s">
        <v>3410</v>
      </c>
      <c r="D3909">
        <v>0</v>
      </c>
      <c r="E3909">
        <v>0</v>
      </c>
      <c r="F3909">
        <v>628</v>
      </c>
    </row>
    <row r="3910" spans="1:6" ht="12.75">
      <c r="A3910" s="2">
        <v>43883.818981481483</v>
      </c>
      <c r="B3910" t="str">
        <f>HYPERLINK("https://twitter.com/RandySapput","@RandySapput")</f>
        <v>@RandySapput</v>
      </c>
      <c r="C3910" t="s">
        <v>3411</v>
      </c>
      <c r="D3910">
        <v>0</v>
      </c>
      <c r="E3910">
        <v>0</v>
      </c>
      <c r="F3910">
        <v>27</v>
      </c>
    </row>
    <row r="3911" spans="1:6" ht="12.75">
      <c r="A3911" s="2">
        <v>43883.818668981483</v>
      </c>
      <c r="B3911" t="str">
        <f>HYPERLINK("https://twitter.com/budiarto689","@budiarto689")</f>
        <v>@budiarto689</v>
      </c>
      <c r="C3911" t="s">
        <v>3296</v>
      </c>
      <c r="D3911">
        <v>4</v>
      </c>
      <c r="E3911">
        <v>0</v>
      </c>
      <c r="F3911">
        <v>2108</v>
      </c>
    </row>
    <row r="3912" spans="1:6" ht="12.75">
      <c r="A3912" s="2">
        <v>43883.818182870367</v>
      </c>
      <c r="B3912" t="str">
        <f>HYPERLINK("https://twitter.com/rama_dnpa","@rama_dnpa")</f>
        <v>@rama_dnpa</v>
      </c>
      <c r="C3912" t="s">
        <v>3412</v>
      </c>
      <c r="D3912">
        <v>1018</v>
      </c>
      <c r="E3912">
        <v>0</v>
      </c>
      <c r="F3912">
        <v>312</v>
      </c>
    </row>
    <row r="3913" spans="1:6" ht="12.75">
      <c r="A3913" s="2">
        <v>43883.817627314813</v>
      </c>
      <c r="B3913" t="str">
        <f>HYPERLINK("https://twitter.com/fadjroeL","@fadjroeL")</f>
        <v>@fadjroeL</v>
      </c>
      <c r="C3913" t="s">
        <v>3413</v>
      </c>
      <c r="D3913">
        <v>1</v>
      </c>
      <c r="E3913">
        <v>7</v>
      </c>
      <c r="F3913">
        <v>995470</v>
      </c>
    </row>
    <row r="3914" spans="1:6" ht="12.75">
      <c r="A3914" s="2">
        <v>43883.817256944443</v>
      </c>
      <c r="B3914" t="str">
        <f>HYPERLINK("https://twitter.com/SofianJoheri","@SofianJoheri")</f>
        <v>@SofianJoheri</v>
      </c>
      <c r="C3914" t="s">
        <v>3414</v>
      </c>
      <c r="D3914">
        <v>0</v>
      </c>
      <c r="E3914">
        <v>0</v>
      </c>
      <c r="F3914">
        <v>689</v>
      </c>
    </row>
    <row r="3915" spans="1:6" ht="12.75">
      <c r="A3915" s="2">
        <v>43883.81621527778</v>
      </c>
      <c r="B3915" t="str">
        <f>HYPERLINK("https://twitter.com/lukmansaifuddin","@lukmansaifuddin")</f>
        <v>@lukmansaifuddin</v>
      </c>
      <c r="C3915" t="s">
        <v>3415</v>
      </c>
      <c r="D3915">
        <v>0</v>
      </c>
      <c r="E3915">
        <v>1</v>
      </c>
      <c r="F3915">
        <v>484374</v>
      </c>
    </row>
    <row r="3916" spans="1:6" ht="12.75">
      <c r="A3916" s="2">
        <v>43883.815555555557</v>
      </c>
      <c r="B3916" t="str">
        <f>HYPERLINK("https://twitter.com/Cangkemaaannn","@Cangkemaaannn")</f>
        <v>@Cangkemaaannn</v>
      </c>
      <c r="C3916" t="s">
        <v>3416</v>
      </c>
      <c r="D3916">
        <v>1</v>
      </c>
      <c r="E3916">
        <v>0</v>
      </c>
      <c r="F3916">
        <v>8697</v>
      </c>
    </row>
    <row r="3917" spans="1:6" ht="12.75">
      <c r="A3917" s="2">
        <v>43883.814976851849</v>
      </c>
      <c r="B3917" t="str">
        <f>HYPERLINK("https://twitter.com/StradLinDjoyo","@StradLinDjoyo")</f>
        <v>@StradLinDjoyo</v>
      </c>
      <c r="C3917" t="s">
        <v>3417</v>
      </c>
      <c r="D3917">
        <v>1</v>
      </c>
      <c r="E3917">
        <v>0</v>
      </c>
      <c r="F3917">
        <v>349</v>
      </c>
    </row>
    <row r="3918" spans="1:6" ht="12.75">
      <c r="A3918" s="2">
        <v>43883.814050925925</v>
      </c>
      <c r="B3918" t="str">
        <f>HYPERLINK("https://twitter.com/Eddoludwig1","@Eddoludwig1")</f>
        <v>@Eddoludwig1</v>
      </c>
      <c r="C3918" t="s">
        <v>2119</v>
      </c>
      <c r="D3918">
        <v>525</v>
      </c>
      <c r="E3918">
        <v>0</v>
      </c>
      <c r="F3918">
        <v>348</v>
      </c>
    </row>
    <row r="3919" spans="1:6" ht="12.75">
      <c r="A3919" s="2">
        <v>43883.813437500001</v>
      </c>
      <c r="B3919" t="str">
        <f>HYPERLINK("https://twitter.com/arjuno_ireng01","@arjuno_ireng01")</f>
        <v>@arjuno_ireng01</v>
      </c>
      <c r="C3919" t="s">
        <v>3296</v>
      </c>
      <c r="D3919">
        <v>4</v>
      </c>
      <c r="E3919">
        <v>0</v>
      </c>
      <c r="F3919">
        <v>10492</v>
      </c>
    </row>
    <row r="3920" spans="1:6" ht="12.75">
      <c r="A3920" s="2">
        <v>43883.81322916667</v>
      </c>
      <c r="B3920" t="str">
        <f>HYPERLINK("https://twitter.com/Ryunusmm","@Ryunusmm")</f>
        <v>@Ryunusmm</v>
      </c>
      <c r="C3920" t="s">
        <v>3090</v>
      </c>
      <c r="D3920">
        <v>93</v>
      </c>
      <c r="E3920">
        <v>0</v>
      </c>
      <c r="F3920">
        <v>113</v>
      </c>
    </row>
    <row r="3921" spans="1:6" ht="12.75">
      <c r="A3921" s="2">
        <v>43883.813217592593</v>
      </c>
      <c r="B3921" t="str">
        <f>HYPERLINK("https://twitter.com/ohayoudel","@ohayoudel")</f>
        <v>@ohayoudel</v>
      </c>
      <c r="C3921" t="s">
        <v>513</v>
      </c>
      <c r="D3921">
        <v>23265</v>
      </c>
      <c r="E3921">
        <v>0</v>
      </c>
      <c r="F3921">
        <v>51</v>
      </c>
    </row>
    <row r="3922" spans="1:6" ht="12.75">
      <c r="A3922" s="2">
        <v>43883.813148148147</v>
      </c>
      <c r="B3922" t="str">
        <f>HYPERLINK("https://twitter.com/r4y_4lf","@r4y_4lf")</f>
        <v>@r4y_4lf</v>
      </c>
      <c r="C3922" t="s">
        <v>3418</v>
      </c>
      <c r="D3922">
        <v>0</v>
      </c>
      <c r="E3922">
        <v>1</v>
      </c>
      <c r="F3922">
        <v>44</v>
      </c>
    </row>
    <row r="3923" spans="1:6" ht="12.75">
      <c r="A3923" s="2">
        <v>43883.813067129631</v>
      </c>
      <c r="B3923" t="str">
        <f>HYPERLINK("https://twitter.com/RepublikTweep","@RepublikTweep")</f>
        <v>@RepublikTweep</v>
      </c>
      <c r="C3923" t="s">
        <v>3419</v>
      </c>
      <c r="D3923">
        <v>6</v>
      </c>
      <c r="E3923">
        <v>0</v>
      </c>
      <c r="F3923">
        <v>27381</v>
      </c>
    </row>
    <row r="3924" spans="1:6" ht="12.75">
      <c r="A3924" s="2">
        <v>43883.812650462962</v>
      </c>
      <c r="B3924" t="str">
        <f>HYPERLINK("https://twitter.com/wni_jmsri","@wni_jmsri")</f>
        <v>@wni_jmsri</v>
      </c>
      <c r="C3924" t="s">
        <v>3420</v>
      </c>
      <c r="D3924">
        <v>2692</v>
      </c>
      <c r="E3924">
        <v>0</v>
      </c>
      <c r="F3924">
        <v>197</v>
      </c>
    </row>
    <row r="3925" spans="1:6" ht="12.75">
      <c r="A3925" s="2">
        <v>43883.812615740739</v>
      </c>
      <c r="B3925" t="str">
        <f>HYPERLINK("https://twitter.com/Namaku_Mei","@Namaku_Mei")</f>
        <v>@Namaku_Mei</v>
      </c>
      <c r="C3925" t="s">
        <v>3421</v>
      </c>
      <c r="D3925">
        <v>4</v>
      </c>
      <c r="E3925">
        <v>11</v>
      </c>
      <c r="F3925">
        <v>34341</v>
      </c>
    </row>
    <row r="3926" spans="1:6" ht="12.75">
      <c r="A3926" s="2">
        <v>43883.812534722223</v>
      </c>
      <c r="B3926" t="str">
        <f t="shared" ref="B3926:B3927" si="80">HYPERLINK("https://twitter.com/RepublikTweep","@RepublikTweep")</f>
        <v>@RepublikTweep</v>
      </c>
      <c r="C3926" t="s">
        <v>3171</v>
      </c>
      <c r="D3926">
        <v>6</v>
      </c>
      <c r="E3926">
        <v>0</v>
      </c>
      <c r="F3926">
        <v>27381</v>
      </c>
    </row>
    <row r="3927" spans="1:6" ht="12.75">
      <c r="A3927" s="2">
        <v>43883.81251157407</v>
      </c>
      <c r="B3927" t="str">
        <f t="shared" si="80"/>
        <v>@RepublikTweep</v>
      </c>
      <c r="C3927" t="s">
        <v>3173</v>
      </c>
      <c r="D3927">
        <v>2</v>
      </c>
      <c r="E3927">
        <v>0</v>
      </c>
      <c r="F3927">
        <v>27381</v>
      </c>
    </row>
    <row r="3928" spans="1:6" ht="12.75">
      <c r="A3928" s="2">
        <v>43883.809861111113</v>
      </c>
      <c r="B3928" t="str">
        <f>HYPERLINK("https://twitter.com/mimiweeka","@mimiweeka")</f>
        <v>@mimiweeka</v>
      </c>
      <c r="C3928" t="s">
        <v>3282</v>
      </c>
      <c r="D3928">
        <v>3</v>
      </c>
      <c r="E3928">
        <v>0</v>
      </c>
      <c r="F3928">
        <v>451</v>
      </c>
    </row>
    <row r="3929" spans="1:6" ht="12.75">
      <c r="A3929" s="2">
        <v>43883.808761574073</v>
      </c>
      <c r="B3929" t="str">
        <f>HYPERLINK("https://twitter.com/nurfatinakmal1","@nurfatinakmal1")</f>
        <v>@nurfatinakmal1</v>
      </c>
      <c r="C3929" t="s">
        <v>2711</v>
      </c>
      <c r="D3929">
        <v>189</v>
      </c>
      <c r="E3929">
        <v>0</v>
      </c>
      <c r="F3929">
        <v>281</v>
      </c>
    </row>
    <row r="3930" spans="1:6" ht="12.75">
      <c r="A3930" s="2">
        <v>43883.807951388888</v>
      </c>
      <c r="B3930" t="str">
        <f>HYPERLINK("https://twitter.com/camcam_cam2","@camcam_cam2")</f>
        <v>@camcam_cam2</v>
      </c>
      <c r="C3930" t="s">
        <v>3422</v>
      </c>
      <c r="D3930">
        <v>3</v>
      </c>
      <c r="E3930">
        <v>0</v>
      </c>
      <c r="F3930">
        <v>104</v>
      </c>
    </row>
    <row r="3931" spans="1:6" ht="12.75">
      <c r="A3931" s="2">
        <v>43883.806805555556</v>
      </c>
      <c r="B3931" t="str">
        <f>HYPERLINK("https://twitter.com/edward_7011971","@edward_7011971")</f>
        <v>@edward_7011971</v>
      </c>
      <c r="C3931" t="s">
        <v>3193</v>
      </c>
      <c r="D3931">
        <v>2</v>
      </c>
      <c r="E3931">
        <v>0</v>
      </c>
      <c r="F3931">
        <v>1227</v>
      </c>
    </row>
    <row r="3932" spans="1:6" ht="12.75">
      <c r="A3932" s="2">
        <v>43883.806215277778</v>
      </c>
      <c r="B3932" t="str">
        <f>HYPERLINK("https://twitter.com/adji_suryanto","@adji_suryanto")</f>
        <v>@adji_suryanto</v>
      </c>
      <c r="C3932" t="s">
        <v>3423</v>
      </c>
      <c r="D3932">
        <v>0</v>
      </c>
      <c r="E3932">
        <v>0</v>
      </c>
      <c r="F3932">
        <v>653</v>
      </c>
    </row>
    <row r="3933" spans="1:6" ht="12.75">
      <c r="A3933" s="2">
        <v>43883.805868055555</v>
      </c>
      <c r="B3933" t="str">
        <f>HYPERLINK("https://twitter.com/Mataya16641870","@Mataya16641870")</f>
        <v>@Mataya16641870</v>
      </c>
      <c r="C3933" t="s">
        <v>3424</v>
      </c>
      <c r="D3933">
        <v>0</v>
      </c>
      <c r="E3933">
        <v>0</v>
      </c>
      <c r="F3933">
        <v>352</v>
      </c>
    </row>
    <row r="3934" spans="1:6" ht="12.75">
      <c r="A3934" s="2">
        <v>43883.805671296301</v>
      </c>
      <c r="B3934" t="str">
        <f>HYPERLINK("https://twitter.com/wni_jmsri","@wni_jmsri")</f>
        <v>@wni_jmsri</v>
      </c>
      <c r="C3934" t="s">
        <v>3425</v>
      </c>
      <c r="D3934">
        <v>4229</v>
      </c>
      <c r="E3934">
        <v>0</v>
      </c>
      <c r="F3934">
        <v>197</v>
      </c>
    </row>
    <row r="3935" spans="1:6" ht="12.75">
      <c r="A3935" s="2">
        <v>43883.805497685185</v>
      </c>
      <c r="B3935" t="str">
        <f>HYPERLINK("https://twitter.com/bendoganteng","@bendoganteng")</f>
        <v>@bendoganteng</v>
      </c>
      <c r="C3935" t="s">
        <v>3426</v>
      </c>
      <c r="D3935">
        <v>2</v>
      </c>
      <c r="E3935">
        <v>4</v>
      </c>
      <c r="F3935">
        <v>2919</v>
      </c>
    </row>
    <row r="3936" spans="1:6" ht="12.75">
      <c r="A3936" s="2">
        <v>43883.804861111115</v>
      </c>
      <c r="B3936" t="str">
        <f>HYPERLINK("https://twitter.com/cahayalilin6","@cahayalilin6")</f>
        <v>@cahayalilin6</v>
      </c>
      <c r="C3936" t="s">
        <v>2119</v>
      </c>
      <c r="D3936">
        <v>525</v>
      </c>
      <c r="E3936">
        <v>0</v>
      </c>
      <c r="F3936">
        <v>3</v>
      </c>
    </row>
    <row r="3937" spans="1:6" ht="12.75">
      <c r="A3937" s="2">
        <v>43883.804745370369</v>
      </c>
      <c r="B3937" t="str">
        <f>HYPERLINK("https://twitter.com/TriwibawaPutra1","@TriwibawaPutra1")</f>
        <v>@TriwibawaPutra1</v>
      </c>
      <c r="C3937" t="s">
        <v>2190</v>
      </c>
      <c r="D3937">
        <v>24</v>
      </c>
      <c r="E3937">
        <v>0</v>
      </c>
      <c r="F3937">
        <v>142</v>
      </c>
    </row>
    <row r="3938" spans="1:6" ht="12.75">
      <c r="A3938" s="2">
        <v>43883.802418981482</v>
      </c>
      <c r="B3938" t="str">
        <f>HYPERLINK("https://twitter.com/Dicky_fa","@Dicky_fa")</f>
        <v>@Dicky_fa</v>
      </c>
      <c r="C3938" t="s">
        <v>3427</v>
      </c>
      <c r="D3938">
        <v>0</v>
      </c>
      <c r="E3938">
        <v>0</v>
      </c>
      <c r="F3938">
        <v>448</v>
      </c>
    </row>
    <row r="3939" spans="1:6" ht="12.75">
      <c r="A3939" s="2">
        <v>43883.802395833336</v>
      </c>
      <c r="B3939" t="str">
        <f>HYPERLINK("https://twitter.com/irabaekhyun","@irabaekhyun")</f>
        <v>@irabaekhyun</v>
      </c>
      <c r="C3939" t="s">
        <v>3286</v>
      </c>
      <c r="D3939">
        <v>3</v>
      </c>
      <c r="E3939">
        <v>0</v>
      </c>
      <c r="F3939">
        <v>4516</v>
      </c>
    </row>
    <row r="3940" spans="1:6" ht="12.75">
      <c r="A3940" s="2">
        <v>43883.800115740742</v>
      </c>
      <c r="B3940" t="str">
        <f>HYPERLINK("https://twitter.com/MuzaZaynury","@MuzaZaynury")</f>
        <v>@MuzaZaynury</v>
      </c>
      <c r="C3940" t="s">
        <v>3428</v>
      </c>
      <c r="D3940">
        <v>0</v>
      </c>
      <c r="E3940">
        <v>0</v>
      </c>
      <c r="F3940">
        <v>1363</v>
      </c>
    </row>
    <row r="3941" spans="1:6" ht="12.75">
      <c r="A3941" s="2">
        <v>43883.799571759257</v>
      </c>
      <c r="B3941" t="str">
        <f>HYPERLINK("https://twitter.com/8_fero_8","@8_fero_8")</f>
        <v>@8_fero_8</v>
      </c>
      <c r="C3941" t="s">
        <v>3429</v>
      </c>
      <c r="D3941">
        <v>0</v>
      </c>
      <c r="E3941">
        <v>0</v>
      </c>
      <c r="F3941">
        <v>1879</v>
      </c>
    </row>
    <row r="3942" spans="1:6" ht="12.75">
      <c r="A3942" s="2">
        <v>43883.799490740741</v>
      </c>
      <c r="B3942" t="str">
        <f>HYPERLINK("https://twitter.com/namakuJo_han","@namakuJo_han")</f>
        <v>@namakuJo_han</v>
      </c>
      <c r="C3942" t="s">
        <v>3430</v>
      </c>
      <c r="D3942">
        <v>0</v>
      </c>
      <c r="E3942">
        <v>0</v>
      </c>
      <c r="F3942">
        <v>3269</v>
      </c>
    </row>
    <row r="3943" spans="1:6" ht="12.75">
      <c r="A3943" s="2">
        <v>43883.799039351856</v>
      </c>
      <c r="B3943" t="str">
        <f>HYPERLINK("https://twitter.com/DindaArya0","@DindaArya0")</f>
        <v>@DindaArya0</v>
      </c>
      <c r="C3943" t="s">
        <v>3431</v>
      </c>
      <c r="D3943">
        <v>0</v>
      </c>
      <c r="E3943">
        <v>0</v>
      </c>
      <c r="F3943">
        <v>45</v>
      </c>
    </row>
    <row r="3944" spans="1:6" ht="12.75">
      <c r="A3944" s="2">
        <v>43883.798912037033</v>
      </c>
      <c r="B3944" t="str">
        <f>HYPERLINK("https://twitter.com/mimiweeka","@mimiweeka")</f>
        <v>@mimiweeka</v>
      </c>
      <c r="C3944" t="s">
        <v>3171</v>
      </c>
      <c r="D3944">
        <v>6</v>
      </c>
      <c r="E3944">
        <v>0</v>
      </c>
      <c r="F3944">
        <v>451</v>
      </c>
    </row>
    <row r="3945" spans="1:6" ht="12.75">
      <c r="A3945" s="2">
        <v>43883.798842592594</v>
      </c>
      <c r="B3945" t="str">
        <f t="shared" ref="B3945:B3946" si="81">HYPERLINK("https://twitter.com/ilman__nafian","@ilman__nafian")</f>
        <v>@ilman__nafian</v>
      </c>
      <c r="C3945" t="s">
        <v>3171</v>
      </c>
      <c r="D3945">
        <v>6</v>
      </c>
      <c r="E3945">
        <v>0</v>
      </c>
      <c r="F3945">
        <v>2252</v>
      </c>
    </row>
    <row r="3946" spans="1:6" ht="12.75">
      <c r="A3946" s="2">
        <v>43883.798784722225</v>
      </c>
      <c r="B3946" t="str">
        <f t="shared" si="81"/>
        <v>@ilman__nafian</v>
      </c>
      <c r="C3946" t="s">
        <v>3173</v>
      </c>
      <c r="D3946">
        <v>2</v>
      </c>
      <c r="E3946">
        <v>0</v>
      </c>
      <c r="F3946">
        <v>2252</v>
      </c>
    </row>
    <row r="3947" spans="1:6" ht="12.75">
      <c r="A3947" s="2">
        <v>43883.798715277779</v>
      </c>
      <c r="B3947" t="str">
        <f>HYPERLINK("https://twitter.com/r4y_4lf","@r4y_4lf")</f>
        <v>@r4y_4lf</v>
      </c>
      <c r="C3947" t="s">
        <v>3432</v>
      </c>
      <c r="D3947">
        <v>0</v>
      </c>
      <c r="E3947">
        <v>0</v>
      </c>
      <c r="F3947">
        <v>44</v>
      </c>
    </row>
    <row r="3948" spans="1:6" ht="12.75">
      <c r="A3948" s="2">
        <v>43883.79859953704</v>
      </c>
      <c r="B3948" t="str">
        <f>HYPERLINK("https://twitter.com/fadjroeL","@fadjroeL")</f>
        <v>@fadjroeL</v>
      </c>
      <c r="C3948" t="s">
        <v>3433</v>
      </c>
      <c r="D3948">
        <v>2</v>
      </c>
      <c r="E3948">
        <v>4</v>
      </c>
      <c r="F3948">
        <v>995470</v>
      </c>
    </row>
    <row r="3949" spans="1:6" ht="12.75">
      <c r="A3949" s="2">
        <v>43883.798217592594</v>
      </c>
      <c r="B3949" t="str">
        <f>HYPERLINK("https://twitter.com/DiantyYasmin3","@DiantyYasmin3")</f>
        <v>@DiantyYasmin3</v>
      </c>
      <c r="C3949" t="s">
        <v>3434</v>
      </c>
      <c r="D3949">
        <v>1</v>
      </c>
      <c r="E3949">
        <v>0</v>
      </c>
      <c r="F3949">
        <v>9763</v>
      </c>
    </row>
    <row r="3950" spans="1:6" ht="12.75">
      <c r="A3950" s="2">
        <v>43883.798125000001</v>
      </c>
      <c r="B3950" t="str">
        <f>HYPERLINK("https://twitter.com/jammy_shiba","@jammy_shiba")</f>
        <v>@jammy_shiba</v>
      </c>
      <c r="C3950" t="s">
        <v>3435</v>
      </c>
      <c r="D3950">
        <v>0</v>
      </c>
      <c r="E3950">
        <v>0</v>
      </c>
      <c r="F3950">
        <v>129</v>
      </c>
    </row>
    <row r="3951" spans="1:6" ht="12.75">
      <c r="A3951" s="2">
        <v>43883.797256944439</v>
      </c>
      <c r="B3951" t="str">
        <f>HYPERLINK("https://twitter.com/redywanjames","@redywanjames")</f>
        <v>@redywanjames</v>
      </c>
      <c r="C3951" t="s">
        <v>2119</v>
      </c>
      <c r="D3951">
        <v>525</v>
      </c>
      <c r="E3951">
        <v>0</v>
      </c>
      <c r="F3951">
        <v>744</v>
      </c>
    </row>
    <row r="3952" spans="1:6" ht="12.75">
      <c r="A3952" s="2">
        <v>43883.796932870369</v>
      </c>
      <c r="B3952" t="str">
        <f>HYPERLINK("https://twitter.com/MTPRTMA","@MTPRTMA")</f>
        <v>@MTPRTMA</v>
      </c>
      <c r="C3952" t="s">
        <v>3436</v>
      </c>
      <c r="D3952">
        <v>25</v>
      </c>
      <c r="E3952">
        <v>0</v>
      </c>
      <c r="F3952">
        <v>403</v>
      </c>
    </row>
    <row r="3953" spans="1:6" ht="12.75">
      <c r="A3953" s="2">
        <v>43883.796921296293</v>
      </c>
      <c r="B3953" t="str">
        <f>HYPERLINK("https://twitter.com/fadjroeL","@fadjroeL")</f>
        <v>@fadjroeL</v>
      </c>
      <c r="C3953" t="s">
        <v>3437</v>
      </c>
      <c r="D3953">
        <v>6</v>
      </c>
      <c r="E3953">
        <v>18</v>
      </c>
      <c r="F3953">
        <v>995470</v>
      </c>
    </row>
    <row r="3954" spans="1:6" ht="12.75">
      <c r="A3954" s="2">
        <v>43883.796921296293</v>
      </c>
      <c r="B3954" t="str">
        <f>HYPERLINK("https://twitter.com/hanapertiwi01","@hanapertiwi01")</f>
        <v>@hanapertiwi01</v>
      </c>
      <c r="C3954" t="s">
        <v>3438</v>
      </c>
      <c r="D3954">
        <v>1</v>
      </c>
      <c r="E3954">
        <v>0</v>
      </c>
      <c r="F3954">
        <v>51</v>
      </c>
    </row>
    <row r="3955" spans="1:6" ht="12.75">
      <c r="A3955" s="2">
        <v>43883.796249999999</v>
      </c>
      <c r="B3955" t="str">
        <f>HYPERLINK("https://twitter.com/7evenClothes","@7evenClothes")</f>
        <v>@7evenClothes</v>
      </c>
      <c r="C3955" t="s">
        <v>3439</v>
      </c>
      <c r="D3955">
        <v>0</v>
      </c>
      <c r="E3955">
        <v>0</v>
      </c>
      <c r="F3955">
        <v>3198</v>
      </c>
    </row>
    <row r="3956" spans="1:6" ht="12.75">
      <c r="A3956" s="2">
        <v>43883.795682870375</v>
      </c>
      <c r="B3956" t="str">
        <f>HYPERLINK("https://twitter.com/h4iq4l","@h4iq4l")</f>
        <v>@h4iq4l</v>
      </c>
      <c r="C3956" t="s">
        <v>3440</v>
      </c>
      <c r="D3956">
        <v>0</v>
      </c>
      <c r="E3956">
        <v>0</v>
      </c>
      <c r="F3956">
        <v>99</v>
      </c>
    </row>
    <row r="3957" spans="1:6" ht="12.75">
      <c r="A3957" s="2">
        <v>43883.794340277775</v>
      </c>
      <c r="B3957" t="str">
        <f>HYPERLINK("https://twitter.com/beatrice_health","@beatrice_health")</f>
        <v>@beatrice_health</v>
      </c>
      <c r="C3957" t="s">
        <v>3282</v>
      </c>
      <c r="D3957">
        <v>3</v>
      </c>
      <c r="E3957">
        <v>0</v>
      </c>
      <c r="F3957">
        <v>279</v>
      </c>
    </row>
    <row r="3958" spans="1:6" ht="12.75">
      <c r="A3958" s="2">
        <v>43883.794293981482</v>
      </c>
      <c r="B3958" t="str">
        <f>HYPERLINK("https://twitter.com/KompasTV_Mks","@KompasTV_Mks")</f>
        <v>@KompasTV_Mks</v>
      </c>
      <c r="C3958" t="s">
        <v>3282</v>
      </c>
      <c r="D3958">
        <v>3</v>
      </c>
      <c r="E3958">
        <v>0</v>
      </c>
      <c r="F3958">
        <v>28792</v>
      </c>
    </row>
    <row r="3959" spans="1:6" ht="12.75">
      <c r="A3959" s="2">
        <v>43883.793576388889</v>
      </c>
      <c r="B3959" t="str">
        <f>HYPERLINK("https://twitter.com/IzzuddinSafuan","@IzzuddinSafuan")</f>
        <v>@IzzuddinSafuan</v>
      </c>
      <c r="C3959" t="s">
        <v>3441</v>
      </c>
      <c r="D3959">
        <v>0</v>
      </c>
      <c r="E3959">
        <v>0</v>
      </c>
      <c r="F3959">
        <v>467</v>
      </c>
    </row>
    <row r="3960" spans="1:6" ht="12.75">
      <c r="A3960" s="2">
        <v>43883.793136574073</v>
      </c>
      <c r="B3960" t="str">
        <f>HYPERLINK("https://twitter.com/Amandai_dewi","@Amandai_dewi")</f>
        <v>@Amandai_dewi</v>
      </c>
      <c r="C3960" t="s">
        <v>2126</v>
      </c>
      <c r="D3960">
        <v>2817</v>
      </c>
      <c r="E3960">
        <v>0</v>
      </c>
      <c r="F3960">
        <v>473</v>
      </c>
    </row>
    <row r="3961" spans="1:6" ht="12.75">
      <c r="A3961" s="2">
        <v>43883.792627314819</v>
      </c>
      <c r="B3961" t="str">
        <f>HYPERLINK("https://twitter.com/srf099","@srf099")</f>
        <v>@srf099</v>
      </c>
      <c r="C3961" t="s">
        <v>3286</v>
      </c>
      <c r="D3961">
        <v>2</v>
      </c>
      <c r="E3961">
        <v>0</v>
      </c>
      <c r="F3961">
        <v>132</v>
      </c>
    </row>
    <row r="3962" spans="1:6" ht="12.75">
      <c r="A3962" s="2">
        <v>43883.791666666672</v>
      </c>
      <c r="B3962" t="str">
        <f>HYPERLINK("https://twitter.com/KompasTV","@KompasTV")</f>
        <v>@KompasTV</v>
      </c>
      <c r="C3962" t="s">
        <v>3442</v>
      </c>
      <c r="D3962">
        <v>0</v>
      </c>
      <c r="E3962">
        <v>0</v>
      </c>
      <c r="F3962">
        <v>2946190</v>
      </c>
    </row>
    <row r="3963" spans="1:6" ht="12.75">
      <c r="A3963" s="2">
        <v>43883.791273148148</v>
      </c>
      <c r="B3963" t="str">
        <f>HYPERLINK("https://twitter.com/ObaiIdon","@ObaiIdon")</f>
        <v>@ObaiIdon</v>
      </c>
      <c r="C3963" t="s">
        <v>3443</v>
      </c>
      <c r="D3963">
        <v>0</v>
      </c>
      <c r="E3963">
        <v>0</v>
      </c>
      <c r="F3963">
        <v>179</v>
      </c>
    </row>
    <row r="3964" spans="1:6" ht="12.75">
      <c r="A3964" s="2">
        <v>43883.790972222225</v>
      </c>
      <c r="B3964" t="str">
        <f>HYPERLINK("https://twitter.com/IzzuddinSafuan","@IzzuddinSafuan")</f>
        <v>@IzzuddinSafuan</v>
      </c>
      <c r="C3964" t="s">
        <v>3444</v>
      </c>
      <c r="D3964">
        <v>0</v>
      </c>
      <c r="E3964">
        <v>0</v>
      </c>
      <c r="F3964">
        <v>467</v>
      </c>
    </row>
    <row r="3965" spans="1:6" ht="12.75">
      <c r="A3965" s="2">
        <v>43883.790706018517</v>
      </c>
      <c r="B3965" t="str">
        <f>HYPERLINK("https://twitter.com/Goez_Yoga","@Goez_Yoga")</f>
        <v>@Goez_Yoga</v>
      </c>
      <c r="C3965" t="s">
        <v>3445</v>
      </c>
      <c r="D3965">
        <v>0</v>
      </c>
      <c r="E3965">
        <v>0</v>
      </c>
      <c r="F3965">
        <v>118</v>
      </c>
    </row>
    <row r="3966" spans="1:6" ht="12.75">
      <c r="A3966" s="2">
        <v>43883.790636574078</v>
      </c>
      <c r="B3966" t="str">
        <f>HYPERLINK("https://twitter.com/shxdxshxh","@shxdxshxh")</f>
        <v>@shxdxshxh</v>
      </c>
      <c r="C3966" t="s">
        <v>3446</v>
      </c>
      <c r="D3966">
        <v>0</v>
      </c>
      <c r="E3966">
        <v>0</v>
      </c>
      <c r="F3966">
        <v>92</v>
      </c>
    </row>
    <row r="3967" spans="1:6" ht="12.75">
      <c r="A3967" s="2">
        <v>43883.789861111116</v>
      </c>
      <c r="B3967" t="str">
        <f>HYPERLINK("https://twitter.com/cokiiandika","@cokiiandika")</f>
        <v>@cokiiandika</v>
      </c>
      <c r="C3967" t="s">
        <v>3436</v>
      </c>
      <c r="D3967">
        <v>24</v>
      </c>
      <c r="E3967">
        <v>0</v>
      </c>
      <c r="F3967">
        <v>887</v>
      </c>
    </row>
    <row r="3968" spans="1:6" ht="12.75">
      <c r="A3968" s="2">
        <v>43883.789861111116</v>
      </c>
      <c r="B3968" t="str">
        <f>HYPERLINK("https://twitter.com/Galih_Akek","@Galih_Akek")</f>
        <v>@Galih_Akek</v>
      </c>
      <c r="C3968" t="s">
        <v>2927</v>
      </c>
      <c r="D3968">
        <v>17</v>
      </c>
      <c r="E3968">
        <v>0</v>
      </c>
      <c r="F3968">
        <v>5324</v>
      </c>
    </row>
    <row r="3969" spans="1:6" ht="12.75">
      <c r="A3969" s="2">
        <v>43883.7893287037</v>
      </c>
      <c r="B3969" t="str">
        <f>HYPERLINK("https://twitter.com/abdularey","@abdularey")</f>
        <v>@abdularey</v>
      </c>
      <c r="C3969" t="s">
        <v>3447</v>
      </c>
      <c r="D3969">
        <v>0</v>
      </c>
      <c r="E3969">
        <v>0</v>
      </c>
      <c r="F3969">
        <v>148</v>
      </c>
    </row>
    <row r="3970" spans="1:6" ht="12.75">
      <c r="A3970" s="2">
        <v>43883.789201388892</v>
      </c>
      <c r="B3970" t="str">
        <f>HYPERLINK("https://twitter.com/WysnuWardhana","@WysnuWardhana")</f>
        <v>@WysnuWardhana</v>
      </c>
      <c r="C3970" t="s">
        <v>3448</v>
      </c>
      <c r="D3970">
        <v>0</v>
      </c>
      <c r="E3970">
        <v>0</v>
      </c>
      <c r="F3970">
        <v>372</v>
      </c>
    </row>
    <row r="3971" spans="1:6" ht="12.75">
      <c r="A3971" s="2">
        <v>43883.788935185185</v>
      </c>
      <c r="B3971" t="str">
        <f>HYPERLINK("https://twitter.com/Indra_SWA","@Indra_SWA")</f>
        <v>@Indra_SWA</v>
      </c>
      <c r="C3971" t="s">
        <v>3449</v>
      </c>
      <c r="D3971">
        <v>0</v>
      </c>
      <c r="E3971">
        <v>0</v>
      </c>
      <c r="F3971">
        <v>295</v>
      </c>
    </row>
    <row r="3972" spans="1:6" ht="12.75">
      <c r="A3972" s="2">
        <v>43883.78837962963</v>
      </c>
      <c r="B3972" t="str">
        <f>HYPERLINK("https://twitter.com/Xna_dee","@Xna_dee")</f>
        <v>@Xna_dee</v>
      </c>
      <c r="C3972" t="s">
        <v>2119</v>
      </c>
      <c r="D3972">
        <v>522</v>
      </c>
      <c r="E3972">
        <v>0</v>
      </c>
      <c r="F3972">
        <v>6</v>
      </c>
    </row>
    <row r="3973" spans="1:6" ht="12.75">
      <c r="A3973" s="2">
        <v>43883.786215277782</v>
      </c>
      <c r="B3973" t="str">
        <f>HYPERLINK("https://twitter.com/v3_aishiteru","@v3_aishiteru")</f>
        <v>@v3_aishiteru</v>
      </c>
      <c r="C3973" t="s">
        <v>3450</v>
      </c>
      <c r="D3973">
        <v>0</v>
      </c>
      <c r="E3973">
        <v>0</v>
      </c>
      <c r="F3973">
        <v>769</v>
      </c>
    </row>
    <row r="3974" spans="1:6" ht="12.75">
      <c r="A3974" s="2">
        <v>43883.785370370373</v>
      </c>
      <c r="B3974" t="str">
        <f>HYPERLINK("https://twitter.com/Antaka393229081","@Antaka393229081")</f>
        <v>@Antaka393229081</v>
      </c>
      <c r="C3974" t="s">
        <v>2444</v>
      </c>
      <c r="D3974">
        <v>4576</v>
      </c>
      <c r="E3974">
        <v>0</v>
      </c>
      <c r="F3974">
        <v>13</v>
      </c>
    </row>
    <row r="3975" spans="1:6" ht="12.75">
      <c r="A3975" s="2">
        <v>43883.785162037035</v>
      </c>
      <c r="B3975" t="str">
        <f>HYPERLINK("https://twitter.com/hidayat_y28","@hidayat_y28")</f>
        <v>@hidayat_y28</v>
      </c>
      <c r="C3975" t="s">
        <v>3451</v>
      </c>
      <c r="D3975">
        <v>0</v>
      </c>
      <c r="E3975">
        <v>1</v>
      </c>
      <c r="F3975">
        <v>5142</v>
      </c>
    </row>
    <row r="3976" spans="1:6" ht="12.75">
      <c r="A3976" s="2">
        <v>43883.783379629633</v>
      </c>
      <c r="B3976" t="str">
        <f>HYPERLINK("https://twitter.com/dyahwie","@dyahwie")</f>
        <v>@dyahwie</v>
      </c>
      <c r="C3976" t="s">
        <v>3452</v>
      </c>
      <c r="D3976">
        <v>0</v>
      </c>
      <c r="E3976">
        <v>0</v>
      </c>
      <c r="F3976">
        <v>966</v>
      </c>
    </row>
    <row r="3977" spans="1:6" ht="12.75">
      <c r="A3977" s="2">
        <v>43883.782106481478</v>
      </c>
      <c r="B3977" t="str">
        <f>HYPERLINK("https://twitter.com/AdrianaFiorent","@AdrianaFiorent")</f>
        <v>@AdrianaFiorent</v>
      </c>
      <c r="C3977" t="s">
        <v>3453</v>
      </c>
      <c r="D3977">
        <v>0</v>
      </c>
      <c r="E3977">
        <v>0</v>
      </c>
      <c r="F3977">
        <v>2</v>
      </c>
    </row>
    <row r="3978" spans="1:6" ht="12.75">
      <c r="A3978" s="2">
        <v>43883.780486111107</v>
      </c>
      <c r="B3978" t="str">
        <f>HYPERLINK("https://twitter.com/J4lakBali","@J4lakBali")</f>
        <v>@J4lakBali</v>
      </c>
      <c r="C3978" t="s">
        <v>3454</v>
      </c>
      <c r="D3978">
        <v>4</v>
      </c>
      <c r="E3978">
        <v>0</v>
      </c>
      <c r="F3978">
        <v>3079</v>
      </c>
    </row>
    <row r="3979" spans="1:6" ht="12.75">
      <c r="A3979" s="2">
        <v>43883.780347222222</v>
      </c>
      <c r="B3979" t="str">
        <f>HYPERLINK("https://twitter.com/Whosdatgurl____","@Whosdatgurl____")</f>
        <v>@Whosdatgurl____</v>
      </c>
      <c r="C3979" t="s">
        <v>3455</v>
      </c>
      <c r="D3979">
        <v>1</v>
      </c>
      <c r="E3979">
        <v>0</v>
      </c>
      <c r="F3979">
        <v>60</v>
      </c>
    </row>
    <row r="3980" spans="1:6" ht="12.75">
      <c r="A3980" s="2">
        <v>43883.777824074074</v>
      </c>
      <c r="B3980" t="str">
        <f>HYPERLINK("https://twitter.com/hemaviton99","@hemaviton99")</f>
        <v>@hemaviton99</v>
      </c>
      <c r="C3980" t="s">
        <v>3335</v>
      </c>
      <c r="D3980">
        <v>6</v>
      </c>
      <c r="E3980">
        <v>0</v>
      </c>
      <c r="F3980">
        <v>4517</v>
      </c>
    </row>
    <row r="3981" spans="1:6" ht="12.75">
      <c r="A3981" s="2">
        <v>43883.776851851857</v>
      </c>
      <c r="B3981" t="str">
        <f>HYPERLINK("https://twitter.com/adriankusaihir1","@adriankusaihir1")</f>
        <v>@adriankusaihir1</v>
      </c>
      <c r="C3981" t="s">
        <v>3456</v>
      </c>
      <c r="D3981">
        <v>0</v>
      </c>
      <c r="E3981">
        <v>0</v>
      </c>
      <c r="F3981">
        <v>100</v>
      </c>
    </row>
    <row r="3982" spans="1:6" ht="12.75">
      <c r="A3982" s="2">
        <v>43883.77643518518</v>
      </c>
      <c r="B3982" t="str">
        <f>HYPERLINK("https://twitter.com/DPikairi","@DPikairi")</f>
        <v>@DPikairi</v>
      </c>
      <c r="C3982" t="s">
        <v>3457</v>
      </c>
      <c r="D3982">
        <v>1</v>
      </c>
      <c r="E3982">
        <v>0</v>
      </c>
      <c r="F3982">
        <v>99</v>
      </c>
    </row>
    <row r="3983" spans="1:6" ht="12.75">
      <c r="A3983" s="2">
        <v>43883.776400462964</v>
      </c>
      <c r="B3983" t="str">
        <f>HYPERLINK("https://twitter.com/cakeymakeup","@cakeymakeup")</f>
        <v>@cakeymakeup</v>
      </c>
      <c r="C3983" t="s">
        <v>3458</v>
      </c>
      <c r="D3983">
        <v>0</v>
      </c>
      <c r="E3983">
        <v>0</v>
      </c>
      <c r="F3983">
        <v>2352</v>
      </c>
    </row>
    <row r="3984" spans="1:6" ht="12.75">
      <c r="A3984" s="2">
        <v>43883.776180555556</v>
      </c>
      <c r="B3984" t="str">
        <f>HYPERLINK("https://twitter.com/JannesHutajulu","@JannesHutajulu")</f>
        <v>@JannesHutajulu</v>
      </c>
      <c r="C3984" t="s">
        <v>2154</v>
      </c>
      <c r="D3984">
        <v>38</v>
      </c>
      <c r="E3984">
        <v>0</v>
      </c>
      <c r="F3984">
        <v>2387</v>
      </c>
    </row>
    <row r="3985" spans="1:6" ht="12.75">
      <c r="A3985" s="2">
        <v>43883.775925925926</v>
      </c>
      <c r="B3985" t="str">
        <f>HYPERLINK("https://twitter.com/salma_zul","@salma_zul")</f>
        <v>@salma_zul</v>
      </c>
      <c r="C3985" t="s">
        <v>2087</v>
      </c>
      <c r="D3985">
        <v>51</v>
      </c>
      <c r="E3985">
        <v>0</v>
      </c>
      <c r="F3985">
        <v>248</v>
      </c>
    </row>
    <row r="3986" spans="1:6" ht="12.75">
      <c r="A3986" s="2">
        <v>43883.775474537033</v>
      </c>
      <c r="B3986" t="str">
        <f>HYPERLINK("https://twitter.com/pndaptakuhakaku","@pndaptakuhakaku")</f>
        <v>@pndaptakuhakaku</v>
      </c>
      <c r="C3986" t="s">
        <v>3459</v>
      </c>
      <c r="D3986">
        <v>0</v>
      </c>
      <c r="E3986">
        <v>0</v>
      </c>
      <c r="F3986">
        <v>208</v>
      </c>
    </row>
    <row r="3987" spans="1:6" ht="12.75">
      <c r="A3987" s="2">
        <v>43883.77542824074</v>
      </c>
      <c r="B3987" t="str">
        <f>HYPERLINK("https://twitter.com/L3OF14N","@L3OF14N")</f>
        <v>@L3OF14N</v>
      </c>
      <c r="C3987" t="s">
        <v>3460</v>
      </c>
      <c r="D3987">
        <v>0</v>
      </c>
      <c r="E3987">
        <v>0</v>
      </c>
      <c r="F3987">
        <v>1319</v>
      </c>
    </row>
    <row r="3988" spans="1:6" ht="12.75">
      <c r="A3988" s="2">
        <v>43883.775312500002</v>
      </c>
      <c r="B3988" t="str">
        <f>HYPERLINK("https://twitter.com/lex_d27065781","@lex_d27065781")</f>
        <v>@lex_d27065781</v>
      </c>
      <c r="C3988" t="s">
        <v>3461</v>
      </c>
      <c r="D3988">
        <v>240</v>
      </c>
      <c r="E3988">
        <v>0</v>
      </c>
      <c r="F3988">
        <v>46</v>
      </c>
    </row>
    <row r="3989" spans="1:6" ht="12.75">
      <c r="A3989" s="2">
        <v>43883.774467592593</v>
      </c>
      <c r="B3989" t="str">
        <f>HYPERLINK("https://twitter.com/wni_jmsri","@wni_jmsri")</f>
        <v>@wni_jmsri</v>
      </c>
      <c r="C3989" t="s">
        <v>3462</v>
      </c>
      <c r="D3989">
        <v>0</v>
      </c>
      <c r="E3989">
        <v>1</v>
      </c>
      <c r="F3989">
        <v>197</v>
      </c>
    </row>
    <row r="3990" spans="1:6" ht="12.75">
      <c r="A3990" s="2">
        <v>43883.774236111116</v>
      </c>
      <c r="B3990" t="str">
        <f>HYPERLINK("https://twitter.com/muhyidinkay","@muhyidinkay")</f>
        <v>@muhyidinkay</v>
      </c>
      <c r="C3990" t="s">
        <v>3463</v>
      </c>
      <c r="D3990">
        <v>0</v>
      </c>
      <c r="E3990">
        <v>0</v>
      </c>
      <c r="F3990">
        <v>24</v>
      </c>
    </row>
    <row r="3991" spans="1:6" ht="12.75">
      <c r="A3991" s="2">
        <v>43883.773865740739</v>
      </c>
      <c r="B3991" t="str">
        <f t="shared" ref="B3991:B3992" si="82">HYPERLINK("https://twitter.com/_wni_","@_wni_")</f>
        <v>@_wni_</v>
      </c>
      <c r="C3991" t="s">
        <v>3464</v>
      </c>
      <c r="D3991">
        <v>8</v>
      </c>
      <c r="E3991">
        <v>0</v>
      </c>
      <c r="F3991">
        <v>8</v>
      </c>
    </row>
    <row r="3992" spans="1:6" ht="12.75">
      <c r="A3992" s="2">
        <v>43883.773761574077</v>
      </c>
      <c r="B3992" t="str">
        <f t="shared" si="82"/>
        <v>@_wni_</v>
      </c>
      <c r="C3992" t="s">
        <v>3465</v>
      </c>
      <c r="D3992">
        <v>0</v>
      </c>
      <c r="E3992">
        <v>0</v>
      </c>
      <c r="F3992">
        <v>8</v>
      </c>
    </row>
    <row r="3993" spans="1:6" ht="12.75">
      <c r="A3993" s="2">
        <v>43883.773553240739</v>
      </c>
      <c r="B3993" t="str">
        <f>HYPERLINK("https://twitter.com/muhyidinkay","@muhyidinkay")</f>
        <v>@muhyidinkay</v>
      </c>
      <c r="C3993" t="s">
        <v>3466</v>
      </c>
      <c r="D3993">
        <v>0</v>
      </c>
      <c r="E3993">
        <v>0</v>
      </c>
      <c r="F3993">
        <v>24</v>
      </c>
    </row>
    <row r="3994" spans="1:6" ht="12.75">
      <c r="A3994" s="2">
        <v>43883.771724537037</v>
      </c>
      <c r="B3994" t="str">
        <f>HYPERLINK("https://twitter.com/asamkolemon","@asamkolemon")</f>
        <v>@asamkolemon</v>
      </c>
      <c r="C3994" t="s">
        <v>3204</v>
      </c>
      <c r="D3994">
        <v>3</v>
      </c>
      <c r="E3994">
        <v>0</v>
      </c>
      <c r="F3994">
        <v>5</v>
      </c>
    </row>
    <row r="3995" spans="1:6" ht="12.75">
      <c r="A3995" s="2">
        <v>43883.771689814814</v>
      </c>
      <c r="B3995" t="str">
        <f>HYPERLINK("https://twitter.com/berirese","@berirese")</f>
        <v>@berirese</v>
      </c>
      <c r="C3995" t="s">
        <v>3467</v>
      </c>
      <c r="D3995">
        <v>1</v>
      </c>
      <c r="E3995">
        <v>0</v>
      </c>
      <c r="F3995">
        <v>24</v>
      </c>
    </row>
    <row r="3996" spans="1:6" ht="12.75">
      <c r="A3996" s="2">
        <v>43883.771481481483</v>
      </c>
      <c r="B3996" t="str">
        <f>HYPERLINK("https://twitter.com/andreprawiro_","@andreprawiro_")</f>
        <v>@andreprawiro_</v>
      </c>
      <c r="C3996" t="s">
        <v>3468</v>
      </c>
      <c r="D3996">
        <v>1</v>
      </c>
      <c r="E3996">
        <v>0</v>
      </c>
      <c r="F3996">
        <v>27</v>
      </c>
    </row>
    <row r="3997" spans="1:6" ht="12.75">
      <c r="A3997" s="2">
        <v>43883.771458333329</v>
      </c>
      <c r="B3997" t="str">
        <f>HYPERLINK("https://twitter.com/MonaTeleba","@MonaTeleba")</f>
        <v>@MonaTeleba</v>
      </c>
      <c r="C3997" t="s">
        <v>3469</v>
      </c>
      <c r="D3997">
        <v>0</v>
      </c>
      <c r="E3997">
        <v>0</v>
      </c>
      <c r="F3997">
        <v>746</v>
      </c>
    </row>
    <row r="3998" spans="1:6" ht="12.75">
      <c r="A3998" s="2">
        <v>43883.771284722221</v>
      </c>
      <c r="B3998" t="str">
        <f>HYPERLINK("https://twitter.com/andreprawiro_","@andreprawiro_")</f>
        <v>@andreprawiro_</v>
      </c>
      <c r="C3998" t="s">
        <v>3470</v>
      </c>
      <c r="D3998">
        <v>1</v>
      </c>
      <c r="E3998">
        <v>0</v>
      </c>
      <c r="F3998">
        <v>27</v>
      </c>
    </row>
    <row r="3999" spans="1:6" ht="12.75">
      <c r="A3999" s="2">
        <v>43883.771238425921</v>
      </c>
      <c r="B3999" t="str">
        <f>HYPERLINK("https://twitter.com/Hermawanluo","@Hermawanluo")</f>
        <v>@Hermawanluo</v>
      </c>
      <c r="C3999" t="s">
        <v>3471</v>
      </c>
      <c r="D3999">
        <v>0</v>
      </c>
      <c r="E3999">
        <v>0</v>
      </c>
      <c r="F3999">
        <v>54</v>
      </c>
    </row>
    <row r="4000" spans="1:6" ht="12.75">
      <c r="A4000" s="2">
        <v>43883.771203703705</v>
      </c>
      <c r="B4000" t="str">
        <f>HYPERLINK("https://twitter.com/lukman_ume","@lukman_ume")</f>
        <v>@lukman_ume</v>
      </c>
      <c r="C4000" t="s">
        <v>3286</v>
      </c>
      <c r="D4000">
        <v>2</v>
      </c>
      <c r="E4000">
        <v>0</v>
      </c>
      <c r="F4000">
        <v>654</v>
      </c>
    </row>
    <row r="4001" spans="1:6" ht="12.75">
      <c r="A4001" s="2">
        <v>43883.771157407406</v>
      </c>
      <c r="B4001" t="str">
        <f>HYPERLINK("https://twitter.com/MarioInferno","@MarioInferno")</f>
        <v>@MarioInferno</v>
      </c>
      <c r="C4001" t="s">
        <v>491</v>
      </c>
      <c r="D4001">
        <v>4734</v>
      </c>
      <c r="E4001">
        <v>0</v>
      </c>
      <c r="F4001">
        <v>263</v>
      </c>
    </row>
    <row r="4002" spans="1:6" ht="12.75">
      <c r="A4002" s="2">
        <v>43883.770833333328</v>
      </c>
      <c r="B4002" t="str">
        <f>HYPERLINK("https://twitter.com/korantempo","@korantempo")</f>
        <v>@korantempo</v>
      </c>
      <c r="C4002" t="s">
        <v>3045</v>
      </c>
      <c r="D4002">
        <v>1</v>
      </c>
      <c r="E4002">
        <v>0</v>
      </c>
      <c r="F4002">
        <v>1747497</v>
      </c>
    </row>
    <row r="4003" spans="1:6" ht="12.75">
      <c r="A4003" s="2">
        <v>43883.770752314813</v>
      </c>
      <c r="B4003" t="str">
        <f>HYPERLINK("https://twitter.com/anditoaja","@anditoaja")</f>
        <v>@anditoaja</v>
      </c>
      <c r="C4003" t="s">
        <v>3472</v>
      </c>
      <c r="D4003">
        <v>1</v>
      </c>
      <c r="E4003">
        <v>0</v>
      </c>
      <c r="F4003">
        <v>1450</v>
      </c>
    </row>
    <row r="4004" spans="1:6" ht="12.75">
      <c r="A4004" s="2">
        <v>43883.770011574074</v>
      </c>
      <c r="B4004" t="str">
        <f>HYPERLINK("https://twitter.com/Pandaphiler","@Pandaphiler")</f>
        <v>@Pandaphiler</v>
      </c>
      <c r="C4004" t="s">
        <v>3473</v>
      </c>
      <c r="D4004">
        <v>2</v>
      </c>
      <c r="E4004">
        <v>2</v>
      </c>
      <c r="F4004">
        <v>1289</v>
      </c>
    </row>
    <row r="4005" spans="1:6" ht="12.75">
      <c r="A4005" s="2">
        <v>43883.769837962958</v>
      </c>
      <c r="B4005" t="str">
        <f>HYPERLINK("https://twitter.com/lgsuherman","@lgsuherman")</f>
        <v>@lgsuherman</v>
      </c>
      <c r="C4005" t="s">
        <v>3474</v>
      </c>
      <c r="D4005">
        <v>28</v>
      </c>
      <c r="E4005">
        <v>0</v>
      </c>
      <c r="F4005">
        <v>164</v>
      </c>
    </row>
    <row r="4006" spans="1:6" ht="12.75">
      <c r="A4006" s="2">
        <v>43883.769560185188</v>
      </c>
      <c r="B4006" t="str">
        <f>HYPERLINK("https://twitter.com/En_White_Bird","@En_White_Bird")</f>
        <v>@En_White_Bird</v>
      </c>
      <c r="C4006" t="s">
        <v>3333</v>
      </c>
      <c r="D4006">
        <v>7</v>
      </c>
      <c r="E4006">
        <v>0</v>
      </c>
      <c r="F4006">
        <v>1290</v>
      </c>
    </row>
    <row r="4007" spans="1:6" ht="12.75">
      <c r="A4007" s="2">
        <v>43883.768888888888</v>
      </c>
      <c r="B4007" t="str">
        <f>HYPERLINK("https://twitter.com/Baladuing1","@Baladuing1")</f>
        <v>@Baladuing1</v>
      </c>
      <c r="C4007" t="s">
        <v>3475</v>
      </c>
      <c r="D4007">
        <v>1</v>
      </c>
      <c r="E4007">
        <v>0</v>
      </c>
      <c r="F4007">
        <v>4842</v>
      </c>
    </row>
    <row r="4008" spans="1:6" ht="12.75">
      <c r="A4008" s="2">
        <v>43883.768391203703</v>
      </c>
      <c r="B4008" t="str">
        <f>HYPERLINK("https://twitter.com/seftirahayuuu","@seftirahayuuu")</f>
        <v>@seftirahayuuu</v>
      </c>
      <c r="C4008" t="s">
        <v>3476</v>
      </c>
      <c r="D4008">
        <v>1</v>
      </c>
      <c r="E4008">
        <v>0</v>
      </c>
      <c r="F4008">
        <v>30</v>
      </c>
    </row>
    <row r="4009" spans="1:6" ht="12.75">
      <c r="A4009" s="2">
        <v>43883.768113425926</v>
      </c>
      <c r="B4009" t="str">
        <f>HYPERLINK("https://twitter.com/ayah_risang","@ayah_risang")</f>
        <v>@ayah_risang</v>
      </c>
      <c r="C4009" t="s">
        <v>2637</v>
      </c>
      <c r="D4009">
        <v>13</v>
      </c>
      <c r="E4009">
        <v>0</v>
      </c>
      <c r="F4009">
        <v>1144</v>
      </c>
    </row>
    <row r="4010" spans="1:6" ht="12.75">
      <c r="A4010" s="2">
        <v>43883.767858796295</v>
      </c>
      <c r="B4010" t="str">
        <f>HYPERLINK("https://twitter.com/maninblue4","@maninblue4")</f>
        <v>@maninblue4</v>
      </c>
      <c r="C4010" t="s">
        <v>3477</v>
      </c>
      <c r="D4010">
        <v>0</v>
      </c>
      <c r="E4010">
        <v>0</v>
      </c>
      <c r="F4010">
        <v>3</v>
      </c>
    </row>
    <row r="4011" spans="1:6" ht="12.75">
      <c r="A4011" s="2">
        <v>43883.765625</v>
      </c>
      <c r="B4011" t="str">
        <f>HYPERLINK("https://twitter.com/DavidKanata","@DavidKanata")</f>
        <v>@DavidKanata</v>
      </c>
      <c r="C4011" t="s">
        <v>3334</v>
      </c>
      <c r="D4011">
        <v>7</v>
      </c>
      <c r="E4011">
        <v>0</v>
      </c>
      <c r="F4011">
        <v>1051</v>
      </c>
    </row>
    <row r="4012" spans="1:6" ht="12.75">
      <c r="A4012" s="2">
        <v>43883.765543981484</v>
      </c>
      <c r="B4012" t="str">
        <f>HYPERLINK("https://twitter.com/Alexferdy31","@Alexferdy31")</f>
        <v>@Alexferdy31</v>
      </c>
      <c r="C4012" t="s">
        <v>3478</v>
      </c>
      <c r="D4012">
        <v>0</v>
      </c>
      <c r="E4012">
        <v>0</v>
      </c>
      <c r="F4012">
        <v>2</v>
      </c>
    </row>
    <row r="4013" spans="1:6" ht="12.75">
      <c r="A4013" s="2">
        <v>43883.764884259261</v>
      </c>
      <c r="B4013" t="str">
        <f>HYPERLINK("https://twitter.com/al_fakru","@al_fakru")</f>
        <v>@al_fakru</v>
      </c>
      <c r="C4013" t="s">
        <v>3248</v>
      </c>
      <c r="D4013">
        <v>1</v>
      </c>
      <c r="E4013">
        <v>0</v>
      </c>
      <c r="F4013">
        <v>2987</v>
      </c>
    </row>
    <row r="4014" spans="1:6" ht="12.75">
      <c r="A4014" s="2">
        <v>43883.764513888891</v>
      </c>
      <c r="B4014" t="str">
        <f>HYPERLINK("https://twitter.com/karinakarinyu","@karinakarinyu")</f>
        <v>@karinakarinyu</v>
      </c>
      <c r="C4014" t="s">
        <v>3479</v>
      </c>
      <c r="D4014">
        <v>1</v>
      </c>
      <c r="E4014">
        <v>0</v>
      </c>
      <c r="F4014">
        <v>25</v>
      </c>
    </row>
    <row r="4015" spans="1:6" ht="12.75">
      <c r="A4015" s="2">
        <v>43883.764363425929</v>
      </c>
      <c r="B4015" t="str">
        <f>HYPERLINK("https://twitter.com/DianVeei","@DianVeei")</f>
        <v>@DianVeei</v>
      </c>
      <c r="C4015" t="s">
        <v>3480</v>
      </c>
      <c r="D4015">
        <v>7</v>
      </c>
      <c r="E4015">
        <v>0</v>
      </c>
      <c r="F4015">
        <v>1155</v>
      </c>
    </row>
    <row r="4016" spans="1:6" ht="12.75">
      <c r="A4016" s="2">
        <v>43883.764155092591</v>
      </c>
      <c r="B4016" t="str">
        <f>HYPERLINK("https://twitter.com/Coutinho_Isis_","@Coutinho_Isis_")</f>
        <v>@Coutinho_Isis_</v>
      </c>
      <c r="C4016" t="s">
        <v>3481</v>
      </c>
      <c r="D4016">
        <v>649</v>
      </c>
      <c r="E4016">
        <v>0</v>
      </c>
      <c r="F4016">
        <v>58</v>
      </c>
    </row>
    <row r="4017" spans="1:6" ht="12.75">
      <c r="A4017" s="2">
        <v>43883.763680555552</v>
      </c>
      <c r="B4017" t="str">
        <f>HYPERLINK("https://twitter.com/sanjayanuriman","@sanjayanuriman")</f>
        <v>@sanjayanuriman</v>
      </c>
      <c r="C4017" t="s">
        <v>3482</v>
      </c>
      <c r="D4017">
        <v>0</v>
      </c>
      <c r="E4017">
        <v>0</v>
      </c>
      <c r="F4017">
        <v>1066</v>
      </c>
    </row>
    <row r="4018" spans="1:6" ht="12.75">
      <c r="A4018" s="2">
        <v>43883.762754629628</v>
      </c>
      <c r="B4018" t="str">
        <f>HYPERLINK("https://twitter.com/Faujijpn_","@Faujijpn_")</f>
        <v>@Faujijpn_</v>
      </c>
      <c r="C4018" t="s">
        <v>3483</v>
      </c>
      <c r="D4018">
        <v>36</v>
      </c>
      <c r="E4018">
        <v>0</v>
      </c>
      <c r="F4018">
        <v>276</v>
      </c>
    </row>
    <row r="4019" spans="1:6" ht="12.75">
      <c r="A4019" s="2">
        <v>43883.762465277774</v>
      </c>
      <c r="B4019" t="str">
        <f>HYPERLINK("https://twitter.com/VirgiantoroDC","@VirgiantoroDC")</f>
        <v>@VirgiantoroDC</v>
      </c>
      <c r="C4019" t="s">
        <v>3484</v>
      </c>
      <c r="D4019">
        <v>0</v>
      </c>
      <c r="E4019">
        <v>0</v>
      </c>
      <c r="F4019">
        <v>148</v>
      </c>
    </row>
    <row r="4020" spans="1:6" ht="12.75">
      <c r="A4020" s="2">
        <v>43883.761145833334</v>
      </c>
      <c r="B4020" t="str">
        <f>HYPERLINK("https://twitter.com/Rudiwaluyo11","@Rudiwaluyo11")</f>
        <v>@Rudiwaluyo11</v>
      </c>
      <c r="C4020" t="s">
        <v>3485</v>
      </c>
      <c r="D4020">
        <v>1</v>
      </c>
      <c r="E4020">
        <v>0</v>
      </c>
      <c r="F4020">
        <v>38</v>
      </c>
    </row>
    <row r="4021" spans="1:6" ht="12.75">
      <c r="A4021" s="2">
        <v>43883.760868055557</v>
      </c>
      <c r="B4021" t="str">
        <f>HYPERLINK("https://twitter.com/bacautas","@bacautas")</f>
        <v>@bacautas</v>
      </c>
      <c r="C4021" t="s">
        <v>3486</v>
      </c>
      <c r="D4021">
        <v>1</v>
      </c>
      <c r="E4021">
        <v>3</v>
      </c>
      <c r="F4021">
        <v>7414</v>
      </c>
    </row>
    <row r="4022" spans="1:6" ht="12.75">
      <c r="A4022" s="2">
        <v>43883.760659722218</v>
      </c>
      <c r="B4022" t="str">
        <f>HYPERLINK("https://twitter.com/Jovanka_vanke","@Jovanka_vanke")</f>
        <v>@Jovanka_vanke</v>
      </c>
      <c r="C4022" t="s">
        <v>3480</v>
      </c>
      <c r="D4022">
        <v>7</v>
      </c>
      <c r="E4022">
        <v>0</v>
      </c>
      <c r="F4022">
        <v>839</v>
      </c>
    </row>
    <row r="4023" spans="1:6" ht="12.75">
      <c r="A4023" s="2">
        <v>43883.76048611111</v>
      </c>
      <c r="B4023" t="str">
        <f>HYPERLINK("https://twitter.com/LisdiyantoR","@LisdiyantoR")</f>
        <v>@LisdiyantoR</v>
      </c>
      <c r="C4023" t="s">
        <v>2119</v>
      </c>
      <c r="D4023">
        <v>522</v>
      </c>
      <c r="E4023">
        <v>0</v>
      </c>
      <c r="F4023">
        <v>1260</v>
      </c>
    </row>
    <row r="4024" spans="1:6" ht="12.75">
      <c r="A4024" s="2">
        <v>43883.760324074072</v>
      </c>
      <c r="B4024" t="str">
        <f t="shared" ref="B4024:B4026" si="83">HYPERLINK("https://twitter.com/JakartaStar","@JakartaStar")</f>
        <v>@JakartaStar</v>
      </c>
      <c r="C4024" t="s">
        <v>3332</v>
      </c>
      <c r="D4024">
        <v>1</v>
      </c>
      <c r="E4024">
        <v>0</v>
      </c>
      <c r="F4024">
        <v>5580</v>
      </c>
    </row>
    <row r="4025" spans="1:6" ht="12.75">
      <c r="A4025" s="2">
        <v>43883.759884259256</v>
      </c>
      <c r="B4025" t="str">
        <f t="shared" si="83"/>
        <v>@JakartaStar</v>
      </c>
      <c r="C4025" t="s">
        <v>3334</v>
      </c>
      <c r="D4025">
        <v>7</v>
      </c>
      <c r="E4025">
        <v>0</v>
      </c>
      <c r="F4025">
        <v>5580</v>
      </c>
    </row>
    <row r="4026" spans="1:6" ht="12.75">
      <c r="A4026" s="2">
        <v>43883.759849537033</v>
      </c>
      <c r="B4026" t="str">
        <f t="shared" si="83"/>
        <v>@JakartaStar</v>
      </c>
      <c r="C4026" t="s">
        <v>3335</v>
      </c>
      <c r="D4026">
        <v>6</v>
      </c>
      <c r="E4026">
        <v>0</v>
      </c>
      <c r="F4026">
        <v>5580</v>
      </c>
    </row>
    <row r="4027" spans="1:6" ht="12.75">
      <c r="A4027" s="2">
        <v>43883.759745370371</v>
      </c>
      <c r="B4027" t="str">
        <f>HYPERLINK("https://twitter.com/OfficialiNewsTV","@OfficialiNewsTV")</f>
        <v>@OfficialiNewsTV</v>
      </c>
      <c r="C4027" t="s">
        <v>3487</v>
      </c>
      <c r="D4027">
        <v>0</v>
      </c>
      <c r="E4027">
        <v>0</v>
      </c>
      <c r="F4027">
        <v>96124</v>
      </c>
    </row>
    <row r="4028" spans="1:6" ht="12.75">
      <c r="A4028" s="2">
        <v>43883.759722222225</v>
      </c>
      <c r="B4028" t="str">
        <f>HYPERLINK("https://twitter.com/JakartaStar","@JakartaStar")</f>
        <v>@JakartaStar</v>
      </c>
      <c r="C4028" t="s">
        <v>2927</v>
      </c>
      <c r="D4028">
        <v>17</v>
      </c>
      <c r="E4028">
        <v>0</v>
      </c>
      <c r="F4028">
        <v>5580</v>
      </c>
    </row>
    <row r="4029" spans="1:6" ht="12.75">
      <c r="A4029" s="2">
        <v>43883.756504629629</v>
      </c>
      <c r="B4029" t="str">
        <f>HYPERLINK("https://twitter.com/aqmaraif","@aqmaraif")</f>
        <v>@aqmaraif</v>
      </c>
      <c r="C4029" t="s">
        <v>3488</v>
      </c>
      <c r="D4029">
        <v>0</v>
      </c>
      <c r="E4029">
        <v>0</v>
      </c>
      <c r="F4029">
        <v>95</v>
      </c>
    </row>
    <row r="4030" spans="1:6" ht="12.75">
      <c r="A4030" s="2">
        <v>43883.753865740742</v>
      </c>
      <c r="B4030" t="str">
        <f>HYPERLINK("https://twitter.com/capricornbearr","@capricornbearr")</f>
        <v>@capricornbearr</v>
      </c>
      <c r="C4030" t="s">
        <v>3489</v>
      </c>
      <c r="D4030">
        <v>0</v>
      </c>
      <c r="E4030">
        <v>0</v>
      </c>
      <c r="F4030">
        <v>205</v>
      </c>
    </row>
    <row r="4031" spans="1:6" ht="12.75">
      <c r="A4031" s="2">
        <v>43883.752858796295</v>
      </c>
      <c r="B4031" t="str">
        <f>HYPERLINK("https://twitter.com/azpalkthea","@azpalkthea")</f>
        <v>@azpalkthea</v>
      </c>
      <c r="C4031" t="s">
        <v>2119</v>
      </c>
      <c r="D4031">
        <v>522</v>
      </c>
      <c r="E4031">
        <v>0</v>
      </c>
      <c r="F4031">
        <v>2197</v>
      </c>
    </row>
    <row r="4032" spans="1:6" ht="12.75">
      <c r="A4032" s="2">
        <v>43883.752546296295</v>
      </c>
      <c r="B4032" t="str">
        <f>HYPERLINK("https://twitter.com/Hali__lintar","@Hali__lintar")</f>
        <v>@Hali__lintar</v>
      </c>
      <c r="C4032" t="s">
        <v>3490</v>
      </c>
      <c r="D4032">
        <v>0</v>
      </c>
      <c r="E4032">
        <v>0</v>
      </c>
      <c r="F4032">
        <v>9301</v>
      </c>
    </row>
    <row r="4033" spans="1:6" ht="12.75">
      <c r="A4033" s="2">
        <v>43883.752465277779</v>
      </c>
      <c r="B4033" t="str">
        <f>HYPERLINK("https://twitter.com/tomitexas","@tomitexas")</f>
        <v>@tomitexas</v>
      </c>
      <c r="C4033" t="s">
        <v>2119</v>
      </c>
      <c r="D4033">
        <v>522</v>
      </c>
      <c r="E4033">
        <v>0</v>
      </c>
      <c r="F4033">
        <v>381</v>
      </c>
    </row>
    <row r="4034" spans="1:6" ht="12.75">
      <c r="A4034" s="2">
        <v>43883.752060185187</v>
      </c>
      <c r="B4034" t="str">
        <f>HYPERLINK("https://twitter.com/zkfchrdn_","@zkfchrdn_")</f>
        <v>@zkfchrdn_</v>
      </c>
      <c r="C4034" t="s">
        <v>3491</v>
      </c>
      <c r="D4034">
        <v>0</v>
      </c>
      <c r="E4034">
        <v>0</v>
      </c>
      <c r="F4034">
        <v>212</v>
      </c>
    </row>
    <row r="4035" spans="1:6" ht="12.75">
      <c r="A4035" s="2">
        <v>43883.751979166671</v>
      </c>
      <c r="B4035" t="str">
        <f>HYPERLINK("https://twitter.com/stevbean","@stevbean")</f>
        <v>@stevbean</v>
      </c>
      <c r="C4035" t="s">
        <v>3492</v>
      </c>
      <c r="D4035">
        <v>0</v>
      </c>
      <c r="E4035">
        <v>0</v>
      </c>
      <c r="F4035">
        <v>584</v>
      </c>
    </row>
    <row r="4036" spans="1:6" ht="12.75">
      <c r="A4036" s="2">
        <v>43883.751620370371</v>
      </c>
      <c r="B4036" t="str">
        <f>HYPERLINK("https://twitter.com/januryanur1226","@januryanur1226")</f>
        <v>@januryanur1226</v>
      </c>
      <c r="C4036" t="s">
        <v>2119</v>
      </c>
      <c r="D4036">
        <v>518</v>
      </c>
      <c r="E4036">
        <v>0</v>
      </c>
      <c r="F4036">
        <v>1794</v>
      </c>
    </row>
    <row r="4037" spans="1:6" ht="12.75">
      <c r="A4037" s="2">
        <v>43883.751446759255</v>
      </c>
      <c r="B4037" t="str">
        <f>HYPERLINK("https://twitter.com/tybizm_","@tybizm_")</f>
        <v>@tybizm_</v>
      </c>
      <c r="C4037" t="s">
        <v>3493</v>
      </c>
      <c r="D4037">
        <v>0</v>
      </c>
      <c r="E4037">
        <v>0</v>
      </c>
      <c r="F4037">
        <v>57</v>
      </c>
    </row>
    <row r="4038" spans="1:6" ht="12.75">
      <c r="A4038" s="2">
        <v>43883.750578703708</v>
      </c>
      <c r="B4038" t="str">
        <f>HYPERLINK("https://twitter.com/rozali53","@rozali53")</f>
        <v>@rozali53</v>
      </c>
      <c r="C4038" t="s">
        <v>2897</v>
      </c>
      <c r="D4038">
        <v>6</v>
      </c>
      <c r="E4038">
        <v>0</v>
      </c>
      <c r="F4038">
        <v>974</v>
      </c>
    </row>
    <row r="4039" spans="1:6" ht="12.75">
      <c r="A4039" s="2">
        <v>43883.749837962961</v>
      </c>
      <c r="B4039" t="str">
        <f>HYPERLINK("https://twitter.com/BustamyKarmen","@BustamyKarmen")</f>
        <v>@BustamyKarmen</v>
      </c>
      <c r="C4039" t="s">
        <v>3494</v>
      </c>
      <c r="D4039">
        <v>0</v>
      </c>
      <c r="E4039">
        <v>0</v>
      </c>
      <c r="F4039">
        <v>0</v>
      </c>
    </row>
    <row r="4040" spans="1:6" ht="12.75">
      <c r="A4040" s="2">
        <v>43883.749189814815</v>
      </c>
      <c r="B4040" t="str">
        <f>HYPERLINK("https://twitter.com/Nizarnugraha_","@Nizarnugraha_")</f>
        <v>@Nizarnugraha_</v>
      </c>
      <c r="C4040" t="s">
        <v>3495</v>
      </c>
      <c r="D4040">
        <v>1</v>
      </c>
      <c r="E4040">
        <v>0</v>
      </c>
      <c r="F4040">
        <v>145</v>
      </c>
    </row>
    <row r="4041" spans="1:6" ht="12.75">
      <c r="A4041" s="2">
        <v>43883.748981481476</v>
      </c>
      <c r="B4041" t="str">
        <f>HYPERLINK("https://twitter.com/SinagaArmy","@SinagaArmy")</f>
        <v>@SinagaArmy</v>
      </c>
      <c r="C4041" t="s">
        <v>2119</v>
      </c>
      <c r="D4041">
        <v>518</v>
      </c>
      <c r="E4041">
        <v>0</v>
      </c>
      <c r="F4041">
        <v>2291</v>
      </c>
    </row>
    <row r="4042" spans="1:6" ht="12.75">
      <c r="A4042" s="2">
        <v>43883.748425925922</v>
      </c>
      <c r="B4042" t="str">
        <f>HYPERLINK("https://twitter.com/Nizarnugraha_","@Nizarnugraha_")</f>
        <v>@Nizarnugraha_</v>
      </c>
      <c r="C4042" t="s">
        <v>3496</v>
      </c>
      <c r="D4042">
        <v>1</v>
      </c>
      <c r="E4042">
        <v>1</v>
      </c>
      <c r="F4042">
        <v>145</v>
      </c>
    </row>
    <row r="4043" spans="1:6" ht="12.75">
      <c r="A4043" s="2">
        <v>43883.747928240744</v>
      </c>
      <c r="B4043" t="str">
        <f>HYPERLINK("https://twitter.com/JakartaStar","@JakartaStar")</f>
        <v>@JakartaStar</v>
      </c>
      <c r="C4043" t="s">
        <v>2637</v>
      </c>
      <c r="D4043">
        <v>10</v>
      </c>
      <c r="E4043">
        <v>0</v>
      </c>
      <c r="F4043">
        <v>5578</v>
      </c>
    </row>
    <row r="4044" spans="1:6" ht="12.75">
      <c r="A4044" s="2">
        <v>43883.74618055555</v>
      </c>
      <c r="B4044" t="str">
        <f>HYPERLINK("https://twitter.com/Gerybudiman2","@Gerybudiman2")</f>
        <v>@Gerybudiman2</v>
      </c>
      <c r="C4044" t="s">
        <v>3497</v>
      </c>
      <c r="D4044">
        <v>0</v>
      </c>
      <c r="E4044">
        <v>0</v>
      </c>
      <c r="F4044">
        <v>57</v>
      </c>
    </row>
    <row r="4045" spans="1:6" ht="12.75">
      <c r="A4045" s="2">
        <v>43883.745254629626</v>
      </c>
      <c r="B4045" t="str">
        <f>HYPERLINK("https://twitter.com/crcsugm","@crcsugm")</f>
        <v>@crcsugm</v>
      </c>
      <c r="C4045" t="s">
        <v>3498</v>
      </c>
      <c r="D4045">
        <v>0</v>
      </c>
      <c r="E4045">
        <v>0</v>
      </c>
      <c r="F4045">
        <v>2319</v>
      </c>
    </row>
    <row r="4046" spans="1:6" ht="12.75">
      <c r="A4046" s="2">
        <v>43883.744733796295</v>
      </c>
      <c r="B4046" t="str">
        <f>HYPERLINK("https://twitter.com/eko_is_me","@eko_is_me")</f>
        <v>@eko_is_me</v>
      </c>
      <c r="C4046" t="s">
        <v>3499</v>
      </c>
      <c r="D4046">
        <v>0</v>
      </c>
      <c r="E4046">
        <v>0</v>
      </c>
      <c r="F4046">
        <v>7</v>
      </c>
    </row>
    <row r="4047" spans="1:6" ht="12.75">
      <c r="A4047" s="2">
        <v>43883.743125000001</v>
      </c>
      <c r="B4047" t="str">
        <f>HYPERLINK("https://twitter.com/ciptosiman","@ciptosiman")</f>
        <v>@ciptosiman</v>
      </c>
      <c r="C4047" t="s">
        <v>3500</v>
      </c>
      <c r="D4047">
        <v>0</v>
      </c>
      <c r="E4047">
        <v>0</v>
      </c>
      <c r="F4047">
        <v>76</v>
      </c>
    </row>
    <row r="4048" spans="1:6" ht="12.75">
      <c r="A4048" s="2">
        <v>43883.743101851855</v>
      </c>
      <c r="B4048" t="str">
        <f>HYPERLINK("https://twitter.com/IntanPuspaJuita","@IntanPuspaJuita")</f>
        <v>@IntanPuspaJuita</v>
      </c>
      <c r="C4048" t="s">
        <v>3501</v>
      </c>
      <c r="D4048">
        <v>0</v>
      </c>
      <c r="E4048">
        <v>0</v>
      </c>
      <c r="F4048">
        <v>162</v>
      </c>
    </row>
    <row r="4049" spans="1:6" ht="12.75">
      <c r="A4049" s="2">
        <v>43883.7424537037</v>
      </c>
      <c r="B4049" t="str">
        <f>HYPERLINK("https://twitter.com/utami_fahriza","@utami_fahriza")</f>
        <v>@utami_fahriza</v>
      </c>
      <c r="C4049" t="s">
        <v>513</v>
      </c>
      <c r="D4049">
        <v>23264</v>
      </c>
      <c r="E4049">
        <v>0</v>
      </c>
      <c r="F4049">
        <v>2</v>
      </c>
    </row>
    <row r="4050" spans="1:6" ht="12.75">
      <c r="A4050" s="2">
        <v>43883.740520833337</v>
      </c>
      <c r="B4050" t="str">
        <f>HYPERLINK("https://twitter.com/aryacokronegoro","@aryacokronegoro")</f>
        <v>@aryacokronegoro</v>
      </c>
      <c r="C4050" t="s">
        <v>3502</v>
      </c>
      <c r="D4050">
        <v>0</v>
      </c>
      <c r="E4050">
        <v>0</v>
      </c>
      <c r="F4050">
        <v>437</v>
      </c>
    </row>
    <row r="4051" spans="1:6" ht="12.75">
      <c r="A4051" s="2">
        <v>43883.739641203705</v>
      </c>
      <c r="B4051" t="str">
        <f>HYPERLINK("https://twitter.com/GATRA_News","@GATRA_News")</f>
        <v>@GATRA_News</v>
      </c>
      <c r="C4051" t="s">
        <v>3503</v>
      </c>
      <c r="D4051">
        <v>0</v>
      </c>
      <c r="E4051">
        <v>2</v>
      </c>
      <c r="F4051">
        <v>23140</v>
      </c>
    </row>
    <row r="4052" spans="1:6" ht="12.75">
      <c r="A4052" s="2">
        <v>43883.739583333328</v>
      </c>
      <c r="B4052" t="str">
        <f>HYPERLINK("https://twitter.com/Ashish96er","@Ashish96er")</f>
        <v>@Ashish96er</v>
      </c>
      <c r="C4052" t="s">
        <v>3504</v>
      </c>
      <c r="D4052">
        <v>0</v>
      </c>
      <c r="E4052">
        <v>0</v>
      </c>
      <c r="F4052">
        <v>108</v>
      </c>
    </row>
    <row r="4053" spans="1:6" ht="12.75">
      <c r="A4053" s="2">
        <v>43883.738761574074</v>
      </c>
      <c r="B4053" t="str">
        <f>HYPERLINK("https://twitter.com/LamanKita_","@LamanKita_")</f>
        <v>@LamanKita_</v>
      </c>
      <c r="C4053" t="s">
        <v>3505</v>
      </c>
      <c r="D4053">
        <v>0</v>
      </c>
      <c r="E4053">
        <v>1</v>
      </c>
      <c r="F4053">
        <v>138591</v>
      </c>
    </row>
    <row r="4054" spans="1:6" ht="12.75">
      <c r="A4054" s="2">
        <v>43883.738043981481</v>
      </c>
      <c r="B4054" t="str">
        <f>HYPERLINK("https://twitter.com/gstkdnf","@gstkdnf")</f>
        <v>@gstkdnf</v>
      </c>
      <c r="C4054" t="s">
        <v>2692</v>
      </c>
      <c r="D4054">
        <v>2043</v>
      </c>
      <c r="E4054">
        <v>0</v>
      </c>
      <c r="F4054">
        <v>87</v>
      </c>
    </row>
    <row r="4055" spans="1:6" ht="12.75">
      <c r="A4055" s="2">
        <v>43883.736909722225</v>
      </c>
      <c r="B4055" t="str">
        <f>HYPERLINK("https://twitter.com/al_fakru","@al_fakru")</f>
        <v>@al_fakru</v>
      </c>
      <c r="C4055" t="s">
        <v>2154</v>
      </c>
      <c r="D4055">
        <v>37</v>
      </c>
      <c r="E4055">
        <v>0</v>
      </c>
      <c r="F4055">
        <v>2987</v>
      </c>
    </row>
    <row r="4056" spans="1:6" ht="12.75">
      <c r="A4056" s="2">
        <v>43883.735717592594</v>
      </c>
      <c r="B4056" t="str">
        <f>HYPERLINK("https://twitter.com/RatnaDewiSiman1","@RatnaDewiSiman1")</f>
        <v>@RatnaDewiSiman1</v>
      </c>
      <c r="C4056" t="s">
        <v>3506</v>
      </c>
      <c r="D4056">
        <v>0</v>
      </c>
      <c r="E4056">
        <v>0</v>
      </c>
      <c r="F4056">
        <v>0</v>
      </c>
    </row>
    <row r="4057" spans="1:6" ht="12.75">
      <c r="A4057" s="2">
        <v>43883.735416666663</v>
      </c>
      <c r="B4057" t="str">
        <f>HYPERLINK("https://twitter.com/newsmerahputih","@newsmerahputih")</f>
        <v>@newsmerahputih</v>
      </c>
      <c r="C4057" t="s">
        <v>3507</v>
      </c>
      <c r="D4057">
        <v>0</v>
      </c>
      <c r="E4057">
        <v>0</v>
      </c>
      <c r="F4057">
        <v>8746</v>
      </c>
    </row>
    <row r="4058" spans="1:6" ht="12.75">
      <c r="A4058" s="2">
        <v>43883.735312500001</v>
      </c>
      <c r="B4058" t="str">
        <f>HYPERLINK("https://twitter.com/dimaspurnaas","@dimaspurnaas")</f>
        <v>@dimaspurnaas</v>
      </c>
      <c r="C4058" t="s">
        <v>2692</v>
      </c>
      <c r="D4058">
        <v>2043</v>
      </c>
      <c r="E4058">
        <v>0</v>
      </c>
      <c r="F4058">
        <v>886</v>
      </c>
    </row>
    <row r="4059" spans="1:6" ht="12.75">
      <c r="A4059" s="2">
        <v>43883.735115740739</v>
      </c>
      <c r="B4059" t="str">
        <f>HYPERLINK("https://twitter.com/fikhwanBait","@fikhwanBait")</f>
        <v>@fikhwanBait</v>
      </c>
      <c r="C4059" t="s">
        <v>3333</v>
      </c>
      <c r="D4059">
        <v>6</v>
      </c>
      <c r="E4059">
        <v>0</v>
      </c>
      <c r="F4059">
        <v>2789</v>
      </c>
    </row>
    <row r="4060" spans="1:6" ht="12.75">
      <c r="A4060" s="2">
        <v>43883.73505787037</v>
      </c>
      <c r="B4060" t="str">
        <f>HYPERLINK("https://twitter.com/Lilik_Roby_St","@Lilik_Roby_St")</f>
        <v>@Lilik_Roby_St</v>
      </c>
      <c r="C4060" t="s">
        <v>3508</v>
      </c>
      <c r="D4060">
        <v>82</v>
      </c>
      <c r="E4060">
        <v>0</v>
      </c>
      <c r="F4060">
        <v>253</v>
      </c>
    </row>
    <row r="4061" spans="1:6" ht="12.75">
      <c r="A4061" s="2">
        <v>43883.734953703708</v>
      </c>
      <c r="B4061" t="str">
        <f>HYPERLINK("https://twitter.com/MakNyus_xx","@MakNyus_xx")</f>
        <v>@MakNyus_xx</v>
      </c>
      <c r="C4061" t="s">
        <v>2927</v>
      </c>
      <c r="D4061">
        <v>15</v>
      </c>
      <c r="E4061">
        <v>0</v>
      </c>
      <c r="F4061">
        <v>3219</v>
      </c>
    </row>
    <row r="4062" spans="1:6" ht="12.75">
      <c r="A4062" s="2">
        <v>43883.734791666662</v>
      </c>
      <c r="B4062" t="str">
        <f>HYPERLINK("https://twitter.com/nur911207","@nur911207")</f>
        <v>@nur911207</v>
      </c>
      <c r="C4062" t="s">
        <v>2711</v>
      </c>
      <c r="D4062">
        <v>188</v>
      </c>
      <c r="E4062">
        <v>0</v>
      </c>
      <c r="F4062">
        <v>826</v>
      </c>
    </row>
    <row r="4063" spans="1:6" ht="12.75">
      <c r="A4063" s="2">
        <v>43883.734409722223</v>
      </c>
      <c r="B4063" t="str">
        <f>HYPERLINK("https://twitter.com/napnipnop","@napnipnop")</f>
        <v>@napnipnop</v>
      </c>
      <c r="C4063" t="s">
        <v>3509</v>
      </c>
      <c r="D4063">
        <v>0</v>
      </c>
      <c r="E4063">
        <v>0</v>
      </c>
      <c r="F4063">
        <v>549</v>
      </c>
    </row>
    <row r="4064" spans="1:6" ht="12.75">
      <c r="A4064" s="2">
        <v>43883.733831018515</v>
      </c>
      <c r="B4064" t="str">
        <f t="shared" ref="B4064:B4065" si="84">HYPERLINK("https://twitter.com/kjrijohorbahru","@kjrijohorbahru")</f>
        <v>@kjrijohorbahru</v>
      </c>
      <c r="C4064" t="s">
        <v>3510</v>
      </c>
      <c r="D4064">
        <v>0</v>
      </c>
      <c r="E4064">
        <v>0</v>
      </c>
      <c r="F4064">
        <v>651</v>
      </c>
    </row>
    <row r="4065" spans="1:6" ht="12.75">
      <c r="A4065" s="2">
        <v>43883.733796296292</v>
      </c>
      <c r="B4065" t="str">
        <f t="shared" si="84"/>
        <v>@kjrijohorbahru</v>
      </c>
      <c r="C4065" t="s">
        <v>3511</v>
      </c>
      <c r="D4065">
        <v>0</v>
      </c>
      <c r="E4065">
        <v>0</v>
      </c>
      <c r="F4065">
        <v>651</v>
      </c>
    </row>
    <row r="4066" spans="1:6" ht="12.75">
      <c r="A4066" s="2">
        <v>43883.733726851853</v>
      </c>
      <c r="B4066" t="str">
        <f>HYPERLINK("https://twitter.com/arnoldy3012","@arnoldy3012")</f>
        <v>@arnoldy3012</v>
      </c>
      <c r="C4066" t="s">
        <v>3512</v>
      </c>
      <c r="D4066">
        <v>0</v>
      </c>
      <c r="E4066">
        <v>1</v>
      </c>
      <c r="F4066">
        <v>371</v>
      </c>
    </row>
    <row r="4067" spans="1:6" ht="12.75">
      <c r="A4067" s="2">
        <v>43883.733391203699</v>
      </c>
      <c r="B4067" t="str">
        <f>HYPERLINK("https://twitter.com/bitazahr","@bitazahr")</f>
        <v>@bitazahr</v>
      </c>
      <c r="C4067" t="s">
        <v>2692</v>
      </c>
      <c r="D4067">
        <v>2043</v>
      </c>
      <c r="E4067">
        <v>0</v>
      </c>
      <c r="F4067">
        <v>138</v>
      </c>
    </row>
    <row r="4068" spans="1:6" ht="12.75">
      <c r="A4068" s="2">
        <v>43883.732847222222</v>
      </c>
      <c r="B4068" t="str">
        <f>HYPERLINK("https://twitter.com/perra_indah","@perra_indah")</f>
        <v>@perra_indah</v>
      </c>
      <c r="C4068" t="s">
        <v>3513</v>
      </c>
      <c r="D4068">
        <v>0</v>
      </c>
      <c r="E4068">
        <v>0</v>
      </c>
      <c r="F4068">
        <v>3</v>
      </c>
    </row>
    <row r="4069" spans="1:6" ht="12.75">
      <c r="A4069" s="2">
        <v>43883.732210648144</v>
      </c>
      <c r="B4069" t="str">
        <f>HYPERLINK("https://twitter.com/SuaraEkonomi","@SuaraEkonomi")</f>
        <v>@SuaraEkonomi</v>
      </c>
      <c r="C4069" t="s">
        <v>3514</v>
      </c>
      <c r="D4069">
        <v>0</v>
      </c>
      <c r="E4069">
        <v>0</v>
      </c>
      <c r="F4069">
        <v>1577</v>
      </c>
    </row>
    <row r="4070" spans="1:6" ht="12.75">
      <c r="A4070" s="2">
        <v>43883.731898148151</v>
      </c>
      <c r="B4070" t="str">
        <f>HYPERLINK("https://twitter.com/wirianto_pw","@wirianto_pw")</f>
        <v>@wirianto_pw</v>
      </c>
      <c r="C4070" t="s">
        <v>3515</v>
      </c>
      <c r="D4070">
        <v>0</v>
      </c>
      <c r="E4070">
        <v>0</v>
      </c>
      <c r="F4070">
        <v>249</v>
      </c>
    </row>
    <row r="4071" spans="1:6" ht="12.75">
      <c r="A4071" s="2">
        <v>43883.73128472222</v>
      </c>
      <c r="B4071" t="str">
        <f>HYPERLINK("https://twitter.com/kompascom","@kompascom")</f>
        <v>@kompascom</v>
      </c>
      <c r="C4071" t="s">
        <v>3516</v>
      </c>
      <c r="D4071">
        <v>1</v>
      </c>
      <c r="E4071">
        <v>0</v>
      </c>
      <c r="F4071">
        <v>7507707</v>
      </c>
    </row>
    <row r="4072" spans="1:6" ht="12.75">
      <c r="A4072" s="2">
        <v>43883.730578703704</v>
      </c>
      <c r="B4072" t="str">
        <f>HYPERLINK("https://twitter.com/kompasiana","@kompasiana")</f>
        <v>@kompasiana</v>
      </c>
      <c r="C4072" t="s">
        <v>3517</v>
      </c>
      <c r="D4072">
        <v>1</v>
      </c>
      <c r="E4072">
        <v>6</v>
      </c>
      <c r="F4072">
        <v>929569</v>
      </c>
    </row>
    <row r="4073" spans="1:6" ht="12.75">
      <c r="A4073" s="2">
        <v>43883.730081018519</v>
      </c>
      <c r="B4073" t="str">
        <f>HYPERLINK("https://twitter.com/adzlanjazlan","@adzlanjazlan")</f>
        <v>@adzlanjazlan</v>
      </c>
      <c r="C4073" t="s">
        <v>3518</v>
      </c>
      <c r="D4073">
        <v>1</v>
      </c>
      <c r="E4073">
        <v>0</v>
      </c>
      <c r="F4073">
        <v>245</v>
      </c>
    </row>
    <row r="4074" spans="1:6" ht="12.75">
      <c r="A4074" s="2">
        <v>43883.729803240742</v>
      </c>
      <c r="B4074" t="str">
        <f>HYPERLINK("https://twitter.com/BatamPos","@BatamPos")</f>
        <v>@BatamPos</v>
      </c>
      <c r="C4074" t="s">
        <v>3519</v>
      </c>
      <c r="D4074">
        <v>0</v>
      </c>
      <c r="E4074">
        <v>0</v>
      </c>
      <c r="F4074">
        <v>67392</v>
      </c>
    </row>
    <row r="4075" spans="1:6" ht="12.75">
      <c r="A4075" s="2">
        <v>43883.729756944449</v>
      </c>
      <c r="B4075" t="str">
        <f>HYPERLINK("https://twitter.com/bessa_2019","@bessa_2019")</f>
        <v>@bessa_2019</v>
      </c>
      <c r="C4075" t="s">
        <v>3090</v>
      </c>
      <c r="D4075">
        <v>91</v>
      </c>
      <c r="E4075">
        <v>0</v>
      </c>
      <c r="F4075">
        <v>255</v>
      </c>
    </row>
    <row r="4076" spans="1:6" ht="12.75">
      <c r="A4076" s="2">
        <v>43883.729722222226</v>
      </c>
      <c r="B4076" t="str">
        <f>HYPERLINK("https://twitter.com/ParmonanganRaja","@ParmonanganRaja")</f>
        <v>@ParmonanganRaja</v>
      </c>
      <c r="C4076" t="s">
        <v>3520</v>
      </c>
      <c r="D4076">
        <v>4</v>
      </c>
      <c r="E4076">
        <v>0</v>
      </c>
      <c r="F4076">
        <v>183</v>
      </c>
    </row>
    <row r="4077" spans="1:6" ht="12.75">
      <c r="A4077" s="2">
        <v>43883.729189814811</v>
      </c>
      <c r="B4077" t="str">
        <f>HYPERLINK("https://twitter.com/samhudibae","@samhudibae")</f>
        <v>@samhudibae</v>
      </c>
      <c r="C4077" t="s">
        <v>3521</v>
      </c>
      <c r="D4077">
        <v>1</v>
      </c>
      <c r="E4077">
        <v>0</v>
      </c>
      <c r="F4077">
        <v>3519</v>
      </c>
    </row>
    <row r="4078" spans="1:6" ht="12.75">
      <c r="A4078" s="2">
        <v>43883.729016203702</v>
      </c>
      <c r="B4078" t="str">
        <f>HYPERLINK("https://twitter.com/RajaMohdShahrim","@RajaMohdShahrim")</f>
        <v>@RajaMohdShahrim</v>
      </c>
      <c r="C4078" t="s">
        <v>3522</v>
      </c>
      <c r="D4078">
        <v>1</v>
      </c>
      <c r="E4078">
        <v>2</v>
      </c>
      <c r="F4078">
        <v>6421</v>
      </c>
    </row>
    <row r="4079" spans="1:6" ht="12.75">
      <c r="A4079" s="2">
        <v>43883.72856481481</v>
      </c>
      <c r="B4079" t="str">
        <f>HYPERLINK("https://twitter.com/devimanda5","@devimanda5")</f>
        <v>@devimanda5</v>
      </c>
      <c r="C4079" t="s">
        <v>3277</v>
      </c>
      <c r="D4079">
        <v>6</v>
      </c>
      <c r="E4079">
        <v>0</v>
      </c>
      <c r="F4079">
        <v>157</v>
      </c>
    </row>
    <row r="4080" spans="1:6" ht="12.75">
      <c r="A4080" s="2">
        <v>43883.728321759263</v>
      </c>
      <c r="B4080" t="str">
        <f>HYPERLINK("https://twitter.com/Bangzul__88","@Bangzul__88")</f>
        <v>@Bangzul__88</v>
      </c>
      <c r="C4080" t="s">
        <v>2927</v>
      </c>
      <c r="D4080">
        <v>15</v>
      </c>
      <c r="E4080">
        <v>0</v>
      </c>
      <c r="F4080">
        <v>6227</v>
      </c>
    </row>
    <row r="4081" spans="1:6" ht="12.75">
      <c r="A4081" s="2">
        <v>43883.727939814809</v>
      </c>
      <c r="B4081" t="str">
        <f>HYPERLINK("https://twitter.com/devimanda5","@devimanda5")</f>
        <v>@devimanda5</v>
      </c>
      <c r="C4081" t="s">
        <v>2927</v>
      </c>
      <c r="D4081">
        <v>15</v>
      </c>
      <c r="E4081">
        <v>0</v>
      </c>
      <c r="F4081">
        <v>157</v>
      </c>
    </row>
    <row r="4082" spans="1:6" ht="12.75">
      <c r="A4082" s="2">
        <v>43883.727453703701</v>
      </c>
      <c r="B4082" t="str">
        <f>HYPERLINK("https://twitter.com/urip_murup","@urip_murup")</f>
        <v>@urip_murup</v>
      </c>
      <c r="C4082" t="s">
        <v>2154</v>
      </c>
      <c r="D4082">
        <v>37</v>
      </c>
      <c r="E4082">
        <v>0</v>
      </c>
      <c r="F4082">
        <v>235</v>
      </c>
    </row>
    <row r="4083" spans="1:6" ht="12.75">
      <c r="A4083" s="2">
        <v>43883.727129629631</v>
      </c>
      <c r="B4083" t="str">
        <f>HYPERLINK("https://twitter.com/BorayFrans","@BorayFrans")</f>
        <v>@BorayFrans</v>
      </c>
      <c r="C4083" t="s">
        <v>2927</v>
      </c>
      <c r="D4083">
        <v>15</v>
      </c>
      <c r="E4083">
        <v>0</v>
      </c>
      <c r="F4083">
        <v>176</v>
      </c>
    </row>
    <row r="4084" spans="1:6" ht="12.75">
      <c r="A4084" s="2">
        <v>43883.726689814815</v>
      </c>
      <c r="B4084" t="str">
        <f>HYPERLINK("https://twitter.com/NunikSriUtami2","@NunikSriUtami2")</f>
        <v>@NunikSriUtami2</v>
      </c>
      <c r="C4084" t="s">
        <v>175</v>
      </c>
      <c r="D4084">
        <v>5395</v>
      </c>
      <c r="E4084">
        <v>0</v>
      </c>
      <c r="F4084">
        <v>0</v>
      </c>
    </row>
    <row r="4085" spans="1:6" ht="12.75">
      <c r="A4085" s="2">
        <v>43883.72550925926</v>
      </c>
      <c r="B4085" t="str">
        <f>HYPERLINK("https://twitter.com/safet_isaac","@safet_isaac")</f>
        <v>@safet_isaac</v>
      </c>
      <c r="C4085" t="s">
        <v>2897</v>
      </c>
      <c r="D4085">
        <v>6</v>
      </c>
      <c r="E4085">
        <v>0</v>
      </c>
      <c r="F4085">
        <v>127</v>
      </c>
    </row>
    <row r="4086" spans="1:6" ht="12.75">
      <c r="A4086" s="2">
        <v>43883.725138888884</v>
      </c>
      <c r="B4086" t="str">
        <f>HYPERLINK("https://twitter.com/margaretaputr13","@margaretaputr13")</f>
        <v>@margaretaputr13</v>
      </c>
      <c r="C4086" t="s">
        <v>2927</v>
      </c>
      <c r="D4086">
        <v>15</v>
      </c>
      <c r="E4086">
        <v>0</v>
      </c>
      <c r="F4086">
        <v>372</v>
      </c>
    </row>
    <row r="4087" spans="1:6" ht="12.75">
      <c r="A4087" s="2">
        <v>43883.723611111112</v>
      </c>
      <c r="B4087" t="str">
        <f>HYPERLINK("https://twitter.com/KompasKlasika","@KompasKlasika")</f>
        <v>@KompasKlasika</v>
      </c>
      <c r="C4087" t="s">
        <v>3523</v>
      </c>
      <c r="D4087">
        <v>0</v>
      </c>
      <c r="E4087">
        <v>1</v>
      </c>
      <c r="F4087">
        <v>39454</v>
      </c>
    </row>
    <row r="4088" spans="1:6" ht="12.75">
      <c r="A4088" s="2">
        <v>43883.72351851852</v>
      </c>
      <c r="B4088" t="str">
        <f>HYPERLINK("https://twitter.com/najmidee","@najmidee")</f>
        <v>@najmidee</v>
      </c>
      <c r="C4088" t="s">
        <v>3524</v>
      </c>
      <c r="D4088">
        <v>1</v>
      </c>
      <c r="E4088">
        <v>0</v>
      </c>
      <c r="F4088">
        <v>349</v>
      </c>
    </row>
    <row r="4089" spans="1:6" ht="12.75">
      <c r="A4089" s="2">
        <v>43883.723344907412</v>
      </c>
      <c r="B4089" t="str">
        <f>HYPERLINK("https://twitter.com/tierra_mt","@tierra_mt")</f>
        <v>@tierra_mt</v>
      </c>
      <c r="C4089" t="s">
        <v>3204</v>
      </c>
      <c r="D4089">
        <v>2</v>
      </c>
      <c r="E4089">
        <v>0</v>
      </c>
      <c r="F4089">
        <v>384</v>
      </c>
    </row>
    <row r="4090" spans="1:6" ht="12.75">
      <c r="A4090" s="2">
        <v>43883.723333333328</v>
      </c>
      <c r="B4090" t="str">
        <f>HYPERLINK("https://twitter.com/ocvenus","@ocvenus")</f>
        <v>@ocvenus</v>
      </c>
      <c r="C4090" t="s">
        <v>3147</v>
      </c>
      <c r="D4090">
        <v>1</v>
      </c>
      <c r="E4090">
        <v>0</v>
      </c>
      <c r="F4090">
        <v>586</v>
      </c>
    </row>
    <row r="4091" spans="1:6" ht="12.75">
      <c r="A4091" s="2">
        <v>43883.723275462966</v>
      </c>
      <c r="B4091" t="str">
        <f>HYPERLINK("https://twitter.com/KariinTifany","@KariinTifany")</f>
        <v>@KariinTifany</v>
      </c>
      <c r="C4091" t="s">
        <v>3525</v>
      </c>
      <c r="D4091">
        <v>178</v>
      </c>
      <c r="E4091">
        <v>0</v>
      </c>
      <c r="F4091">
        <v>658</v>
      </c>
    </row>
    <row r="4092" spans="1:6" ht="12.75">
      <c r="A4092" s="2">
        <v>43883.722673611112</v>
      </c>
      <c r="B4092" t="str">
        <f>HYPERLINK("https://twitter.com/Pakde688668","@Pakde688668")</f>
        <v>@Pakde688668</v>
      </c>
      <c r="C4092" t="s">
        <v>2154</v>
      </c>
      <c r="D4092">
        <v>37</v>
      </c>
      <c r="E4092">
        <v>0</v>
      </c>
      <c r="F4092">
        <v>201</v>
      </c>
    </row>
    <row r="4093" spans="1:6" ht="12.75">
      <c r="A4093" s="2">
        <v>43883.72252314815</v>
      </c>
      <c r="B4093" t="str">
        <f>HYPERLINK("https://twitter.com/tjahtngina","@tjahtngina")</f>
        <v>@tjahtngina</v>
      </c>
      <c r="C4093" t="s">
        <v>2154</v>
      </c>
      <c r="D4093">
        <v>37</v>
      </c>
      <c r="E4093">
        <v>0</v>
      </c>
      <c r="F4093">
        <v>368</v>
      </c>
    </row>
    <row r="4094" spans="1:6" ht="12.75">
      <c r="A4094" s="2">
        <v>43883.722129629634</v>
      </c>
      <c r="B4094" t="str">
        <f>HYPERLINK("https://twitter.com/Umuseke","@Umuseke")</f>
        <v>@Umuseke</v>
      </c>
      <c r="C4094" t="s">
        <v>3526</v>
      </c>
      <c r="D4094">
        <v>0</v>
      </c>
      <c r="E4094">
        <v>0</v>
      </c>
      <c r="F4094">
        <v>19432</v>
      </c>
    </row>
    <row r="4095" spans="1:6" ht="12.75">
      <c r="A4095" s="2">
        <v>43883.722118055557</v>
      </c>
      <c r="B4095" t="str">
        <f>HYPERLINK("https://twitter.com/wayankdy","@wayankdy")</f>
        <v>@wayankdy</v>
      </c>
      <c r="C4095" t="s">
        <v>2154</v>
      </c>
      <c r="D4095">
        <v>37</v>
      </c>
      <c r="E4095">
        <v>0</v>
      </c>
      <c r="F4095">
        <v>1637</v>
      </c>
    </row>
    <row r="4096" spans="1:6" ht="12.75">
      <c r="A4096" s="2">
        <v>43883.721898148149</v>
      </c>
      <c r="B4096" t="str">
        <f>HYPERLINK("https://twitter.com/BarokahRumah","@BarokahRumah")</f>
        <v>@BarokahRumah</v>
      </c>
      <c r="C4096" t="s">
        <v>3527</v>
      </c>
      <c r="D4096">
        <v>6</v>
      </c>
      <c r="E4096">
        <v>0</v>
      </c>
      <c r="F4096">
        <v>10</v>
      </c>
    </row>
    <row r="4097" spans="1:6" ht="12.75">
      <c r="A4097" s="2">
        <v>43883.72179398148</v>
      </c>
      <c r="B4097" t="str">
        <f>HYPERLINK("https://twitter.com/Khusni_Mub87","@Khusni_Mub87")</f>
        <v>@Khusni_Mub87</v>
      </c>
      <c r="C4097" t="s">
        <v>2154</v>
      </c>
      <c r="D4097">
        <v>37</v>
      </c>
      <c r="E4097">
        <v>0</v>
      </c>
      <c r="F4097">
        <v>2896</v>
      </c>
    </row>
    <row r="4098" spans="1:6" ht="12.75">
      <c r="A4098" s="2">
        <v>43883.720682870371</v>
      </c>
      <c r="B4098" t="str">
        <f>HYPERLINK("https://twitter.com/dwirama89009610","@dwirama89009610")</f>
        <v>@dwirama89009610</v>
      </c>
      <c r="C4098" t="s">
        <v>3277</v>
      </c>
      <c r="D4098">
        <v>6</v>
      </c>
      <c r="E4098">
        <v>0</v>
      </c>
      <c r="F4098">
        <v>200</v>
      </c>
    </row>
    <row r="4099" spans="1:6" ht="12.75">
      <c r="A4099" s="2">
        <v>43883.719768518524</v>
      </c>
      <c r="B4099" t="str">
        <f>HYPERLINK("https://twitter.com/En_White_Bird","@En_White_Bird")</f>
        <v>@En_White_Bird</v>
      </c>
      <c r="C4099" t="s">
        <v>3204</v>
      </c>
      <c r="D4099">
        <v>2</v>
      </c>
      <c r="E4099">
        <v>0</v>
      </c>
      <c r="F4099">
        <v>1290</v>
      </c>
    </row>
    <row r="4100" spans="1:6" ht="12.75">
      <c r="A4100" s="2">
        <v>43883.719699074078</v>
      </c>
      <c r="B4100" t="str">
        <f>HYPERLINK("https://twitter.com/margaretaputr13","@margaretaputr13")</f>
        <v>@margaretaputr13</v>
      </c>
      <c r="C4100" t="s">
        <v>3277</v>
      </c>
      <c r="D4100">
        <v>6</v>
      </c>
      <c r="E4100">
        <v>0</v>
      </c>
      <c r="F4100">
        <v>372</v>
      </c>
    </row>
    <row r="4101" spans="1:6" ht="12.75">
      <c r="A4101" s="2">
        <v>43883.719340277778</v>
      </c>
      <c r="B4101" t="str">
        <f>HYPERLINK("https://twitter.com/Tristantris1","@Tristantris1")</f>
        <v>@Tristantris1</v>
      </c>
      <c r="C4101" t="s">
        <v>2927</v>
      </c>
      <c r="D4101">
        <v>15</v>
      </c>
      <c r="E4101">
        <v>0</v>
      </c>
      <c r="F4101">
        <v>431</v>
      </c>
    </row>
    <row r="4102" spans="1:6" ht="12.75">
      <c r="A4102" s="2">
        <v>43883.719131944439</v>
      </c>
      <c r="B4102" t="str">
        <f>HYPERLINK("https://twitter.com/NoGagKhan","@NoGagKhan")</f>
        <v>@NoGagKhan</v>
      </c>
      <c r="C4102" t="s">
        <v>3528</v>
      </c>
      <c r="D4102">
        <v>1</v>
      </c>
      <c r="E4102">
        <v>3</v>
      </c>
      <c r="F4102">
        <v>333</v>
      </c>
    </row>
    <row r="4103" spans="1:6" ht="12.75">
      <c r="A4103" s="2">
        <v>43883.718969907408</v>
      </c>
      <c r="B4103" t="str">
        <f>HYPERLINK("https://twitter.com/TheNextIronMan","@TheNextIronMan")</f>
        <v>@TheNextIronMan</v>
      </c>
      <c r="C4103" t="s">
        <v>2927</v>
      </c>
      <c r="D4103">
        <v>15</v>
      </c>
      <c r="E4103">
        <v>0</v>
      </c>
      <c r="F4103">
        <v>159</v>
      </c>
    </row>
    <row r="4104" spans="1:6" ht="12.75">
      <c r="A4104" s="2">
        <v>43883.718692129631</v>
      </c>
      <c r="B4104" t="str">
        <f>HYPERLINK("https://twitter.com/BorayFrans","@BorayFrans")</f>
        <v>@BorayFrans</v>
      </c>
      <c r="C4104" t="s">
        <v>3277</v>
      </c>
      <c r="D4104">
        <v>6</v>
      </c>
      <c r="E4104">
        <v>0</v>
      </c>
      <c r="F4104">
        <v>176</v>
      </c>
    </row>
    <row r="4105" spans="1:6" ht="12.75">
      <c r="A4105" s="2">
        <v>43883.718414351853</v>
      </c>
      <c r="B4105" t="str">
        <f>HYPERLINK("https://twitter.com/ozymandias2020X","@ozymandias2020X")</f>
        <v>@ozymandias2020X</v>
      </c>
      <c r="C4105" t="s">
        <v>3093</v>
      </c>
      <c r="D4105">
        <v>2</v>
      </c>
      <c r="E4105">
        <v>0</v>
      </c>
      <c r="F4105">
        <v>2633</v>
      </c>
    </row>
    <row r="4106" spans="1:6" ht="12.75">
      <c r="A4106" s="2">
        <v>43883.7183912037</v>
      </c>
      <c r="B4106" t="str">
        <f>HYPERLINK("https://twitter.com/jonmoor30270234","@jonmoor30270234")</f>
        <v>@jonmoor30270234</v>
      </c>
      <c r="C4106" t="s">
        <v>3529</v>
      </c>
      <c r="D4106">
        <v>0</v>
      </c>
      <c r="E4106">
        <v>0</v>
      </c>
      <c r="F4106">
        <v>1</v>
      </c>
    </row>
    <row r="4107" spans="1:6" ht="12.75">
      <c r="A4107" s="2">
        <v>43883.716967592598</v>
      </c>
      <c r="B4107" t="str">
        <f>HYPERLINK("https://twitter.com/syahredzan","@syahredzan")</f>
        <v>@syahredzan</v>
      </c>
      <c r="C4107" t="s">
        <v>3530</v>
      </c>
      <c r="D4107">
        <v>0</v>
      </c>
      <c r="E4107">
        <v>4</v>
      </c>
      <c r="F4107">
        <v>25693</v>
      </c>
    </row>
    <row r="4108" spans="1:6" ht="12.75">
      <c r="A4108" s="2">
        <v>43883.716631944444</v>
      </c>
      <c r="B4108" t="str">
        <f>HYPERLINK("https://twitter.com/samhudibae","@samhudibae")</f>
        <v>@samhudibae</v>
      </c>
      <c r="C4108" t="s">
        <v>3531</v>
      </c>
      <c r="D4108">
        <v>6</v>
      </c>
      <c r="E4108">
        <v>6</v>
      </c>
      <c r="F4108">
        <v>3519</v>
      </c>
    </row>
    <row r="4109" spans="1:6" ht="12.75">
      <c r="A4109" s="2">
        <v>43883.71601851852</v>
      </c>
      <c r="B4109" t="str">
        <f>HYPERLINK("https://twitter.com/hasnaltfa","@hasnaltfa")</f>
        <v>@hasnaltfa</v>
      </c>
      <c r="C4109" t="s">
        <v>3093</v>
      </c>
      <c r="D4109">
        <v>2</v>
      </c>
      <c r="E4109">
        <v>0</v>
      </c>
      <c r="F4109">
        <v>992</v>
      </c>
    </row>
    <row r="4110" spans="1:6" ht="12.75">
      <c r="A4110" s="2">
        <v>43883.715555555551</v>
      </c>
      <c r="B4110" t="str">
        <f>HYPERLINK("https://twitter.com/NazzirHussain","@NazzirHussain")</f>
        <v>@NazzirHussain</v>
      </c>
      <c r="C4110" t="s">
        <v>3333</v>
      </c>
      <c r="D4110">
        <v>6</v>
      </c>
      <c r="E4110">
        <v>0</v>
      </c>
      <c r="F4110">
        <v>1449</v>
      </c>
    </row>
    <row r="4111" spans="1:6" ht="12.75">
      <c r="A4111" s="2">
        <v>43883.715185185181</v>
      </c>
      <c r="B4111" t="str">
        <f>HYPERLINK("https://twitter.com/Awang61022164","@Awang61022164")</f>
        <v>@Awang61022164</v>
      </c>
      <c r="C4111" t="s">
        <v>2986</v>
      </c>
      <c r="D4111">
        <v>17</v>
      </c>
      <c r="E4111">
        <v>0</v>
      </c>
      <c r="F4111">
        <v>382</v>
      </c>
    </row>
    <row r="4112" spans="1:6" ht="12.75">
      <c r="A4112" s="2">
        <v>43883.714351851857</v>
      </c>
      <c r="B4112" t="str">
        <f>HYPERLINK("https://twitter.com/lesmana_sofyan","@lesmana_sofyan")</f>
        <v>@lesmana_sofyan</v>
      </c>
      <c r="C4112" t="s">
        <v>3532</v>
      </c>
      <c r="D4112">
        <v>45</v>
      </c>
      <c r="E4112">
        <v>0</v>
      </c>
      <c r="F4112">
        <v>1281</v>
      </c>
    </row>
    <row r="4113" spans="1:6" ht="12.75">
      <c r="A4113" s="2">
        <v>43883.713842592595</v>
      </c>
      <c r="B4113" t="str">
        <f>HYPERLINK("https://twitter.com/_enteLLehem","@_enteLLehem")</f>
        <v>@_enteLLehem</v>
      </c>
      <c r="C4113" t="s">
        <v>2927</v>
      </c>
      <c r="D4113">
        <v>15</v>
      </c>
      <c r="E4113">
        <v>0</v>
      </c>
      <c r="F4113">
        <v>978</v>
      </c>
    </row>
    <row r="4114" spans="1:6" ht="12.75">
      <c r="A4114" s="2">
        <v>43883.713784722218</v>
      </c>
      <c r="B4114" t="str">
        <f>HYPERLINK("https://twitter.com/James_Aibon","@James_Aibon")</f>
        <v>@James_Aibon</v>
      </c>
      <c r="C4114" t="s">
        <v>2983</v>
      </c>
      <c r="D4114">
        <v>141</v>
      </c>
      <c r="E4114">
        <v>0</v>
      </c>
      <c r="F4114">
        <v>1217</v>
      </c>
    </row>
    <row r="4115" spans="1:6" ht="12.75">
      <c r="A4115" s="2">
        <v>43883.713472222225</v>
      </c>
      <c r="B4115" t="str">
        <f>HYPERLINK("https://twitter.com/ChrisTetty","@ChrisTetty")</f>
        <v>@ChrisTetty</v>
      </c>
      <c r="C4115" t="s">
        <v>3533</v>
      </c>
      <c r="D4115">
        <v>1</v>
      </c>
      <c r="E4115">
        <v>0</v>
      </c>
      <c r="F4115">
        <v>134</v>
      </c>
    </row>
    <row r="4116" spans="1:6" ht="12.75">
      <c r="A4116" s="2">
        <v>43883.713437500002</v>
      </c>
      <c r="B4116" t="str">
        <f>HYPERLINK("https://twitter.com/Asyaifullah","@Asyaifullah")</f>
        <v>@Asyaifullah</v>
      </c>
      <c r="C4116" t="s">
        <v>3534</v>
      </c>
      <c r="D4116">
        <v>2</v>
      </c>
      <c r="E4116">
        <v>0</v>
      </c>
      <c r="F4116">
        <v>612</v>
      </c>
    </row>
    <row r="4117" spans="1:6" ht="12.75">
      <c r="A4117" s="2">
        <v>43883.713379629626</v>
      </c>
      <c r="B4117" t="str">
        <f>HYPERLINK("https://twitter.com/wayankdy","@wayankdy")</f>
        <v>@wayankdy</v>
      </c>
      <c r="C4117" t="s">
        <v>2676</v>
      </c>
      <c r="D4117">
        <v>13</v>
      </c>
      <c r="E4117">
        <v>0</v>
      </c>
      <c r="F4117">
        <v>1637</v>
      </c>
    </row>
    <row r="4118" spans="1:6" ht="12.75">
      <c r="A4118" s="2">
        <v>43883.712465277778</v>
      </c>
      <c r="B4118" t="str">
        <f>HYPERLINK("https://twitter.com/harahaps_hrp","@harahaps_hrp")</f>
        <v>@harahaps_hrp</v>
      </c>
      <c r="C4118" t="s">
        <v>3535</v>
      </c>
      <c r="D4118">
        <v>0</v>
      </c>
      <c r="E4118">
        <v>1</v>
      </c>
      <c r="F4118">
        <v>1118</v>
      </c>
    </row>
    <row r="4119" spans="1:6" ht="12.75">
      <c r="A4119" s="2">
        <v>43883.712106481486</v>
      </c>
      <c r="B4119" t="str">
        <f>HYPERLINK("https://twitter.com/lihatkepri","@lihatkepri")</f>
        <v>@lihatkepri</v>
      </c>
      <c r="C4119" t="s">
        <v>3536</v>
      </c>
      <c r="D4119">
        <v>0</v>
      </c>
      <c r="E4119">
        <v>0</v>
      </c>
      <c r="F4119">
        <v>227</v>
      </c>
    </row>
    <row r="4120" spans="1:6" ht="12.75">
      <c r="A4120" s="2">
        <v>43883.712094907409</v>
      </c>
      <c r="B4120" t="str">
        <f>HYPERLINK("https://twitter.com/jek_angler","@jek_angler")</f>
        <v>@jek_angler</v>
      </c>
      <c r="C4120" t="s">
        <v>2119</v>
      </c>
      <c r="D4120">
        <v>518</v>
      </c>
      <c r="E4120">
        <v>0</v>
      </c>
      <c r="F4120">
        <v>150</v>
      </c>
    </row>
    <row r="4121" spans="1:6" ht="12.75">
      <c r="A4121" s="2">
        <v>43883.711898148147</v>
      </c>
      <c r="B4121" t="str">
        <f>HYPERLINK("https://twitter.com/updatedotid","@updatedotid")</f>
        <v>@updatedotid</v>
      </c>
      <c r="C4121" t="s">
        <v>3537</v>
      </c>
      <c r="D4121">
        <v>2</v>
      </c>
      <c r="E4121">
        <v>0</v>
      </c>
      <c r="F4121">
        <v>1620</v>
      </c>
    </row>
    <row r="4122" spans="1:6" ht="12.75">
      <c r="A4122" s="2">
        <v>43883.710439814815</v>
      </c>
      <c r="B4122" t="str">
        <f>HYPERLINK("https://twitter.com/sabhatansabiz","@sabhatansabiz")</f>
        <v>@sabhatansabiz</v>
      </c>
      <c r="C4122" t="s">
        <v>3537</v>
      </c>
      <c r="D4122">
        <v>2</v>
      </c>
      <c r="E4122">
        <v>0</v>
      </c>
      <c r="F4122">
        <v>1584</v>
      </c>
    </row>
    <row r="4123" spans="1:6" ht="12.75">
      <c r="A4123" s="2">
        <v>43883.710312499999</v>
      </c>
      <c r="B4123" t="str">
        <f>HYPERLINK("https://twitter.com/Setyawa85075459","@Setyawa85075459")</f>
        <v>@Setyawa85075459</v>
      </c>
      <c r="C4123" t="s">
        <v>3305</v>
      </c>
      <c r="D4123">
        <v>1</v>
      </c>
      <c r="E4123">
        <v>0</v>
      </c>
      <c r="F4123">
        <v>32</v>
      </c>
    </row>
    <row r="4124" spans="1:6" ht="12.75">
      <c r="A4124" s="2">
        <v>43883.710219907407</v>
      </c>
      <c r="B4124" t="str">
        <f>HYPERLINK("https://twitter.com/harya24031007","@harya24031007")</f>
        <v>@harya24031007</v>
      </c>
      <c r="C4124" t="s">
        <v>3538</v>
      </c>
      <c r="D4124">
        <v>0</v>
      </c>
      <c r="E4124">
        <v>0</v>
      </c>
      <c r="F4124">
        <v>546</v>
      </c>
    </row>
    <row r="4125" spans="1:6" ht="12.75">
      <c r="A4125" s="2">
        <v>43883.710104166668</v>
      </c>
      <c r="B4125" t="str">
        <f>HYPERLINK("https://twitter.com/radar_malang","@radar_malang")</f>
        <v>@radar_malang</v>
      </c>
      <c r="C4125" t="s">
        <v>3539</v>
      </c>
      <c r="D4125">
        <v>2</v>
      </c>
      <c r="E4125">
        <v>0</v>
      </c>
      <c r="F4125">
        <v>108635</v>
      </c>
    </row>
    <row r="4126" spans="1:6" ht="12.75">
      <c r="A4126" s="2">
        <v>43883.710023148145</v>
      </c>
      <c r="B4126" t="str">
        <f>HYPERLINK("https://twitter.com/AriefKarismasa2","@AriefKarismasa2")</f>
        <v>@AriefKarismasa2</v>
      </c>
      <c r="C4126" t="s">
        <v>3540</v>
      </c>
      <c r="D4126">
        <v>0</v>
      </c>
      <c r="E4126">
        <v>0</v>
      </c>
      <c r="F4126">
        <v>0</v>
      </c>
    </row>
    <row r="4127" spans="1:6" ht="12.75">
      <c r="A4127" s="2">
        <v>43883.709803240738</v>
      </c>
      <c r="B4127" t="str">
        <f>HYPERLINK("https://twitter.com/ddnainggolan","@ddnainggolan")</f>
        <v>@ddnainggolan</v>
      </c>
      <c r="C4127" t="s">
        <v>2986</v>
      </c>
      <c r="D4127">
        <v>15</v>
      </c>
      <c r="E4127">
        <v>0</v>
      </c>
      <c r="F4127">
        <v>247</v>
      </c>
    </row>
    <row r="4128" spans="1:6" ht="12.75">
      <c r="A4128" s="2">
        <v>43883.70957175926</v>
      </c>
      <c r="B4128" t="str">
        <f>HYPERLINK("https://twitter.com/BadjaNuswantara","@BadjaNuswantara")</f>
        <v>@BadjaNuswantara</v>
      </c>
      <c r="C4128" t="s">
        <v>2637</v>
      </c>
      <c r="D4128">
        <v>8</v>
      </c>
      <c r="E4128">
        <v>0</v>
      </c>
      <c r="F4128">
        <v>42967</v>
      </c>
    </row>
    <row r="4129" spans="1:6" ht="12.75">
      <c r="A4129" s="2">
        <v>43883.707696759258</v>
      </c>
      <c r="B4129" t="str">
        <f>HYPERLINK("https://twitter.com/AmstrongBiring","@AmstrongBiring")</f>
        <v>@AmstrongBiring</v>
      </c>
      <c r="C4129" t="s">
        <v>2154</v>
      </c>
      <c r="D4129">
        <v>30</v>
      </c>
      <c r="E4129">
        <v>0</v>
      </c>
      <c r="F4129">
        <v>1969</v>
      </c>
    </row>
    <row r="4130" spans="1:6" ht="12.75">
      <c r="A4130" s="2">
        <v>43883.707407407404</v>
      </c>
      <c r="B4130" t="str">
        <f>HYPERLINK("https://twitter.com/Jokoumb64504158","@Jokoumb64504158")</f>
        <v>@Jokoumb64504158</v>
      </c>
      <c r="C4130" t="s">
        <v>3541</v>
      </c>
      <c r="D4130">
        <v>0</v>
      </c>
      <c r="E4130">
        <v>2</v>
      </c>
      <c r="F4130">
        <v>3576</v>
      </c>
    </row>
    <row r="4131" spans="1:6" ht="12.75">
      <c r="A4131" s="2">
        <v>43883.707303240742</v>
      </c>
      <c r="B4131" t="str">
        <f>HYPERLINK("https://twitter.com/Julie307","@Julie307")</f>
        <v>@Julie307</v>
      </c>
      <c r="C4131" t="s">
        <v>3542</v>
      </c>
      <c r="D4131">
        <v>0</v>
      </c>
      <c r="E4131">
        <v>0</v>
      </c>
      <c r="F4131">
        <v>250</v>
      </c>
    </row>
    <row r="4132" spans="1:6" ht="12.75">
      <c r="A4132" s="2">
        <v>43883.706712962958</v>
      </c>
      <c r="B4132" t="str">
        <f t="shared" ref="B4132:B4133" si="85">HYPERLINK("https://twitter.com/LamanKita_","@LamanKita_")</f>
        <v>@LamanKita_</v>
      </c>
      <c r="C4132" t="s">
        <v>3543</v>
      </c>
      <c r="D4132">
        <v>0</v>
      </c>
      <c r="E4132">
        <v>0</v>
      </c>
      <c r="F4132">
        <v>138591</v>
      </c>
    </row>
    <row r="4133" spans="1:6" ht="12.75">
      <c r="A4133" s="2">
        <v>43883.706655092596</v>
      </c>
      <c r="B4133" t="str">
        <f t="shared" si="85"/>
        <v>@LamanKita_</v>
      </c>
      <c r="C4133" t="s">
        <v>3544</v>
      </c>
      <c r="D4133">
        <v>0</v>
      </c>
      <c r="E4133">
        <v>0</v>
      </c>
      <c r="F4133">
        <v>138591</v>
      </c>
    </row>
    <row r="4134" spans="1:6" ht="12.75">
      <c r="A4134" s="2">
        <v>43883.706354166672</v>
      </c>
      <c r="B4134" t="str">
        <f>HYPERLINK("https://twitter.com/todays_qoute","@todays_qoute")</f>
        <v>@todays_qoute</v>
      </c>
      <c r="C4134" t="s">
        <v>3545</v>
      </c>
      <c r="D4134">
        <v>0</v>
      </c>
      <c r="E4134">
        <v>1</v>
      </c>
      <c r="F4134">
        <v>17300</v>
      </c>
    </row>
    <row r="4135" spans="1:6" ht="12.75">
      <c r="A4135" s="2">
        <v>43883.706273148149</v>
      </c>
      <c r="B4135" t="str">
        <f>HYPERLINK("https://twitter.com/Fannytjio1","@Fannytjio1")</f>
        <v>@Fannytjio1</v>
      </c>
      <c r="C4135" t="s">
        <v>3454</v>
      </c>
      <c r="D4135">
        <v>3</v>
      </c>
      <c r="E4135">
        <v>0</v>
      </c>
      <c r="F4135">
        <v>38</v>
      </c>
    </row>
    <row r="4136" spans="1:6" ht="12.75">
      <c r="A4136" s="2">
        <v>43883.705416666664</v>
      </c>
      <c r="B4136" t="str">
        <f>HYPERLINK("https://twitter.com/dehap3","@dehap3")</f>
        <v>@dehap3</v>
      </c>
      <c r="C4136" t="s">
        <v>3546</v>
      </c>
      <c r="D4136">
        <v>0</v>
      </c>
      <c r="E4136">
        <v>1</v>
      </c>
      <c r="F4136">
        <v>319</v>
      </c>
    </row>
    <row r="4137" spans="1:6" ht="12.75">
      <c r="A4137" s="2">
        <v>43883.705150462964</v>
      </c>
      <c r="B4137" t="str">
        <f>HYPERLINK("https://twitter.com/idchrisma","@idchrisma")</f>
        <v>@idchrisma</v>
      </c>
      <c r="C4137" t="s">
        <v>752</v>
      </c>
      <c r="D4137">
        <v>3778</v>
      </c>
      <c r="E4137">
        <v>0</v>
      </c>
      <c r="F4137">
        <v>12</v>
      </c>
    </row>
    <row r="4138" spans="1:6" ht="12.75">
      <c r="A4138" s="2">
        <v>43883.705081018517</v>
      </c>
      <c r="B4138" t="str">
        <f>HYPERLINK("https://twitter.com/bwd12","@bwd12")</f>
        <v>@bwd12</v>
      </c>
      <c r="C4138" t="s">
        <v>2927</v>
      </c>
      <c r="D4138">
        <v>6</v>
      </c>
      <c r="E4138">
        <v>0</v>
      </c>
      <c r="F4138">
        <v>3254</v>
      </c>
    </row>
    <row r="4139" spans="1:6" ht="12.75">
      <c r="A4139" s="2">
        <v>43883.705000000002</v>
      </c>
      <c r="B4139" t="str">
        <f>HYPERLINK("https://twitter.com/4ntoniusC","@4ntoniusC")</f>
        <v>@4ntoniusC</v>
      </c>
      <c r="C4139" t="s">
        <v>2637</v>
      </c>
      <c r="D4139">
        <v>8</v>
      </c>
      <c r="E4139">
        <v>0</v>
      </c>
      <c r="F4139">
        <v>3990</v>
      </c>
    </row>
    <row r="4140" spans="1:6" ht="12.75">
      <c r="A4140" s="2">
        <v>43883.704641203702</v>
      </c>
      <c r="B4140" t="str">
        <f>HYPERLINK("https://twitter.com/MartinLS2","@MartinLS2")</f>
        <v>@MartinLS2</v>
      </c>
      <c r="C4140" t="s">
        <v>3532</v>
      </c>
      <c r="D4140">
        <v>43</v>
      </c>
      <c r="E4140">
        <v>0</v>
      </c>
      <c r="F4140">
        <v>2246</v>
      </c>
    </row>
    <row r="4141" spans="1:6" ht="12.75">
      <c r="A4141" s="2">
        <v>43883.704502314809</v>
      </c>
      <c r="B4141" t="str">
        <f t="shared" ref="B4141:B4142" si="86">HYPERLINK("https://twitter.com/NkriIlove","@NkriIlove")</f>
        <v>@NkriIlove</v>
      </c>
      <c r="C4141" t="s">
        <v>2927</v>
      </c>
      <c r="D4141">
        <v>6</v>
      </c>
      <c r="E4141">
        <v>0</v>
      </c>
      <c r="F4141">
        <v>39</v>
      </c>
    </row>
    <row r="4142" spans="1:6" ht="12.75">
      <c r="A4142" s="2">
        <v>43883.704421296294</v>
      </c>
      <c r="B4142" t="str">
        <f t="shared" si="86"/>
        <v>@NkriIlove</v>
      </c>
      <c r="C4142" t="s">
        <v>3335</v>
      </c>
      <c r="D4142">
        <v>4</v>
      </c>
      <c r="E4142">
        <v>0</v>
      </c>
      <c r="F4142">
        <v>39</v>
      </c>
    </row>
    <row r="4143" spans="1:6" ht="12.75">
      <c r="A4143" s="2">
        <v>43883.704363425924</v>
      </c>
      <c r="B4143" t="str">
        <f>HYPERLINK("https://twitter.com/MZubir_ID","@MZubir_ID")</f>
        <v>@MZubir_ID</v>
      </c>
      <c r="C4143" t="s">
        <v>3547</v>
      </c>
      <c r="D4143">
        <v>0</v>
      </c>
      <c r="E4143">
        <v>0</v>
      </c>
      <c r="F4143">
        <v>5863</v>
      </c>
    </row>
    <row r="4144" spans="1:6" ht="12.75">
      <c r="A4144" s="2">
        <v>43883.704351851848</v>
      </c>
      <c r="B4144" t="str">
        <f>HYPERLINK("https://twitter.com/NkriIlove","@NkriIlove")</f>
        <v>@NkriIlove</v>
      </c>
      <c r="C4144" t="s">
        <v>3334</v>
      </c>
      <c r="D4144">
        <v>4</v>
      </c>
      <c r="E4144">
        <v>0</v>
      </c>
      <c r="F4144">
        <v>39</v>
      </c>
    </row>
    <row r="4145" spans="1:6" ht="12.75">
      <c r="A4145" s="2">
        <v>43883.704270833332</v>
      </c>
      <c r="B4145" t="str">
        <f>HYPERLINK("https://twitter.com/ais08_","@ais08_")</f>
        <v>@ais08_</v>
      </c>
      <c r="C4145" t="s">
        <v>513</v>
      </c>
      <c r="D4145">
        <v>23263</v>
      </c>
      <c r="E4145">
        <v>0</v>
      </c>
      <c r="F4145">
        <v>7</v>
      </c>
    </row>
    <row r="4146" spans="1:6" ht="12.75">
      <c r="A4146" s="2">
        <v>43883.704224537039</v>
      </c>
      <c r="B4146" t="str">
        <f>HYPERLINK("https://twitter.com/materia1wor1d","@materia1wor1d")</f>
        <v>@materia1wor1d</v>
      </c>
      <c r="C4146" t="s">
        <v>3548</v>
      </c>
      <c r="D4146">
        <v>1</v>
      </c>
      <c r="E4146">
        <v>0</v>
      </c>
      <c r="F4146">
        <v>3275</v>
      </c>
    </row>
    <row r="4147" spans="1:6" ht="12.75">
      <c r="A4147" s="2">
        <v>43883.702939814815</v>
      </c>
      <c r="B4147" t="str">
        <f>HYPERLINK("https://twitter.com/jinarsaskara","@jinarsaskara")</f>
        <v>@jinarsaskara</v>
      </c>
      <c r="C4147" t="s">
        <v>2165</v>
      </c>
      <c r="D4147">
        <v>99</v>
      </c>
      <c r="E4147">
        <v>0</v>
      </c>
      <c r="F4147">
        <v>2861</v>
      </c>
    </row>
    <row r="4148" spans="1:6" ht="12.75">
      <c r="A4148" s="2">
        <v>43883.702928240746</v>
      </c>
      <c r="B4148" t="str">
        <f t="shared" ref="B4148:B4150" si="87">HYPERLINK("https://twitter.com/QodrunHunter99","@QodrunHunter99")</f>
        <v>@QodrunHunter99</v>
      </c>
      <c r="C4148" t="s">
        <v>3334</v>
      </c>
      <c r="D4148">
        <v>4</v>
      </c>
      <c r="E4148">
        <v>0</v>
      </c>
      <c r="F4148">
        <v>4057</v>
      </c>
    </row>
    <row r="4149" spans="1:6" ht="12.75">
      <c r="A4149" s="2">
        <v>43883.702893518523</v>
      </c>
      <c r="B4149" t="str">
        <f t="shared" si="87"/>
        <v>@QodrunHunter99</v>
      </c>
      <c r="C4149" t="s">
        <v>3335</v>
      </c>
      <c r="D4149">
        <v>4</v>
      </c>
      <c r="E4149">
        <v>0</v>
      </c>
      <c r="F4149">
        <v>4057</v>
      </c>
    </row>
    <row r="4150" spans="1:6" ht="12.75">
      <c r="A4150" s="2">
        <v>43883.702847222223</v>
      </c>
      <c r="B4150" t="str">
        <f t="shared" si="87"/>
        <v>@QodrunHunter99</v>
      </c>
      <c r="C4150" t="s">
        <v>2927</v>
      </c>
      <c r="D4150">
        <v>6</v>
      </c>
      <c r="E4150">
        <v>0</v>
      </c>
      <c r="F4150">
        <v>4057</v>
      </c>
    </row>
    <row r="4151" spans="1:6" ht="12.75">
      <c r="A4151" s="2">
        <v>43883.702835648146</v>
      </c>
      <c r="B4151" t="str">
        <f>HYPERLINK("https://twitter.com/ManPin","@ManPin")</f>
        <v>@ManPin</v>
      </c>
      <c r="C4151" t="s">
        <v>3549</v>
      </c>
      <c r="D4151">
        <v>0</v>
      </c>
      <c r="E4151">
        <v>1</v>
      </c>
      <c r="F4151">
        <v>2992</v>
      </c>
    </row>
    <row r="4152" spans="1:6" ht="12.75">
      <c r="A4152" s="2">
        <v>43883.702789351853</v>
      </c>
      <c r="B4152" t="str">
        <f>HYPERLINK("https://twitter.com/HoddysL","@HoddysL")</f>
        <v>@HoddysL</v>
      </c>
      <c r="C4152" t="s">
        <v>2154</v>
      </c>
      <c r="D4152">
        <v>30</v>
      </c>
      <c r="E4152">
        <v>0</v>
      </c>
      <c r="F4152">
        <v>16</v>
      </c>
    </row>
    <row r="4153" spans="1:6" ht="12.75">
      <c r="A4153" s="2">
        <v>43883.702291666668</v>
      </c>
      <c r="B4153" t="str">
        <f>HYPERLINK("https://twitter.com/dwirama89009610","@dwirama89009610")</f>
        <v>@dwirama89009610</v>
      </c>
      <c r="C4153" t="s">
        <v>2927</v>
      </c>
      <c r="D4153">
        <v>6</v>
      </c>
      <c r="E4153">
        <v>0</v>
      </c>
      <c r="F4153">
        <v>195</v>
      </c>
    </row>
    <row r="4154" spans="1:6" ht="12.75">
      <c r="A4154" s="2">
        <v>43883.702199074076</v>
      </c>
      <c r="B4154" t="str">
        <f>HYPERLINK("https://twitter.com/James_Aibon","@James_Aibon")</f>
        <v>@James_Aibon</v>
      </c>
      <c r="C4154" t="s">
        <v>2637</v>
      </c>
      <c r="D4154">
        <v>8</v>
      </c>
      <c r="E4154">
        <v>0</v>
      </c>
      <c r="F4154">
        <v>1217</v>
      </c>
    </row>
    <row r="4155" spans="1:6" ht="12.75">
      <c r="A4155" s="2">
        <v>43883.701874999999</v>
      </c>
      <c r="B4155" t="str">
        <f>HYPERLINK("https://twitter.com/samhudibae","@samhudibae")</f>
        <v>@samhudibae</v>
      </c>
      <c r="C4155" t="s">
        <v>3550</v>
      </c>
      <c r="D4155">
        <v>0</v>
      </c>
      <c r="E4155">
        <v>1</v>
      </c>
      <c r="F4155">
        <v>3519</v>
      </c>
    </row>
    <row r="4156" spans="1:6" ht="12.75">
      <c r="A4156" s="2">
        <v>43883.701817129629</v>
      </c>
      <c r="B4156" t="str">
        <f t="shared" ref="B4156:B4158" si="88">HYPERLINK("https://twitter.com/BENDRATKLATEN","@BENDRATKLATEN")</f>
        <v>@BENDRATKLATEN</v>
      </c>
      <c r="C4156" t="s">
        <v>3334</v>
      </c>
      <c r="D4156">
        <v>4</v>
      </c>
      <c r="E4156">
        <v>0</v>
      </c>
      <c r="F4156">
        <v>1472</v>
      </c>
    </row>
    <row r="4157" spans="1:6" ht="12.75">
      <c r="A4157" s="2">
        <v>43883.701747685191</v>
      </c>
      <c r="B4157" t="str">
        <f t="shared" si="88"/>
        <v>@BENDRATKLATEN</v>
      </c>
      <c r="C4157" t="s">
        <v>3335</v>
      </c>
      <c r="D4157">
        <v>4</v>
      </c>
      <c r="E4157">
        <v>0</v>
      </c>
      <c r="F4157">
        <v>1472</v>
      </c>
    </row>
    <row r="4158" spans="1:6" ht="12.75">
      <c r="A4158" s="2">
        <v>43883.701689814814</v>
      </c>
      <c r="B4158" t="str">
        <f t="shared" si="88"/>
        <v>@BENDRATKLATEN</v>
      </c>
      <c r="C4158" t="s">
        <v>2927</v>
      </c>
      <c r="D4158">
        <v>6</v>
      </c>
      <c r="E4158">
        <v>0</v>
      </c>
      <c r="F4158">
        <v>1472</v>
      </c>
    </row>
    <row r="4159" spans="1:6" ht="12.75">
      <c r="A4159" s="2">
        <v>43883.701157407406</v>
      </c>
      <c r="B4159" t="str">
        <f>HYPERLINK("https://twitter.com/LicoChristiann0","@LicoChristiann0")</f>
        <v>@LicoChristiann0</v>
      </c>
      <c r="C4159" t="s">
        <v>3551</v>
      </c>
      <c r="D4159">
        <v>4</v>
      </c>
      <c r="E4159">
        <v>0</v>
      </c>
      <c r="F4159">
        <v>37</v>
      </c>
    </row>
    <row r="4160" spans="1:6" ht="12.75">
      <c r="A4160" s="2">
        <v>43883.700995370367</v>
      </c>
      <c r="B4160" t="str">
        <f t="shared" ref="B4160:B4161" si="89">HYPERLINK("https://twitter.com/dwirama89009610","@dwirama89009610")</f>
        <v>@dwirama89009610</v>
      </c>
      <c r="C4160" t="s">
        <v>3335</v>
      </c>
      <c r="D4160">
        <v>4</v>
      </c>
      <c r="E4160">
        <v>0</v>
      </c>
      <c r="F4160">
        <v>195</v>
      </c>
    </row>
    <row r="4161" spans="1:6" ht="12.75">
      <c r="A4161" s="2">
        <v>43883.700937500005</v>
      </c>
      <c r="B4161" t="str">
        <f t="shared" si="89"/>
        <v>@dwirama89009610</v>
      </c>
      <c r="C4161" t="s">
        <v>3334</v>
      </c>
      <c r="D4161">
        <v>4</v>
      </c>
      <c r="E4161">
        <v>0</v>
      </c>
      <c r="F4161">
        <v>195</v>
      </c>
    </row>
    <row r="4162" spans="1:6" ht="12.75">
      <c r="A4162" s="2">
        <v>43883.700671296298</v>
      </c>
      <c r="B4162" t="str">
        <f t="shared" ref="B4162:B4164" si="90">HYPERLINK("https://twitter.com/samhudibae","@samhudibae")</f>
        <v>@samhudibae</v>
      </c>
      <c r="C4162" t="s">
        <v>3552</v>
      </c>
      <c r="D4162">
        <v>4</v>
      </c>
      <c r="E4162">
        <v>4</v>
      </c>
      <c r="F4162">
        <v>3519</v>
      </c>
    </row>
    <row r="4163" spans="1:6" ht="12.75">
      <c r="A4163" s="2">
        <v>43883.700567129628</v>
      </c>
      <c r="B4163" t="str">
        <f t="shared" si="90"/>
        <v>@samhudibae</v>
      </c>
      <c r="C4163" t="s">
        <v>3553</v>
      </c>
      <c r="D4163">
        <v>4</v>
      </c>
      <c r="E4163">
        <v>2</v>
      </c>
      <c r="F4163">
        <v>3519</v>
      </c>
    </row>
    <row r="4164" spans="1:6" ht="12.75">
      <c r="A4164" s="2">
        <v>43883.700462962966</v>
      </c>
      <c r="B4164" t="str">
        <f t="shared" si="90"/>
        <v>@samhudibae</v>
      </c>
      <c r="C4164" t="s">
        <v>3554</v>
      </c>
      <c r="D4164">
        <v>6</v>
      </c>
      <c r="E4164">
        <v>5</v>
      </c>
      <c r="F4164">
        <v>3519</v>
      </c>
    </row>
    <row r="4165" spans="1:6" ht="12.75">
      <c r="A4165" s="2">
        <v>43883.700104166666</v>
      </c>
      <c r="B4165" t="str">
        <f>HYPERLINK("https://twitter.com/wasti_127","@wasti_127")</f>
        <v>@wasti_127</v>
      </c>
      <c r="C4165" t="s">
        <v>2087</v>
      </c>
      <c r="D4165">
        <v>50</v>
      </c>
      <c r="E4165">
        <v>0</v>
      </c>
      <c r="F4165">
        <v>170</v>
      </c>
    </row>
    <row r="4166" spans="1:6" ht="12.75">
      <c r="A4166" s="2">
        <v>43883.7</v>
      </c>
      <c r="B4166" t="str">
        <f>HYPERLINK("https://twitter.com/Petrus_Inc","@Petrus_Inc")</f>
        <v>@Petrus_Inc</v>
      </c>
      <c r="C4166" t="s">
        <v>2190</v>
      </c>
      <c r="D4166">
        <v>22</v>
      </c>
      <c r="E4166">
        <v>0</v>
      </c>
      <c r="F4166">
        <v>251</v>
      </c>
    </row>
    <row r="4167" spans="1:6" ht="12.75">
      <c r="A4167" s="2">
        <v>43883.699918981481</v>
      </c>
      <c r="B4167" t="str">
        <f>HYPERLINK("https://twitter.com/Maskanonim","@Maskanonim")</f>
        <v>@Maskanonim</v>
      </c>
      <c r="C4167" t="s">
        <v>2154</v>
      </c>
      <c r="D4167">
        <v>30</v>
      </c>
      <c r="E4167">
        <v>0</v>
      </c>
      <c r="F4167">
        <v>55</v>
      </c>
    </row>
    <row r="4168" spans="1:6" ht="12.75">
      <c r="A4168" s="2">
        <v>43883.699756944443</v>
      </c>
      <c r="B4168" t="str">
        <f>HYPERLINK("https://twitter.com/sabiqfarhani","@sabiqfarhani")</f>
        <v>@sabiqfarhani</v>
      </c>
      <c r="C4168" t="s">
        <v>2154</v>
      </c>
      <c r="D4168">
        <v>30</v>
      </c>
      <c r="E4168">
        <v>0</v>
      </c>
      <c r="F4168">
        <v>72</v>
      </c>
    </row>
    <row r="4169" spans="1:6" ht="12.75">
      <c r="A4169" s="2">
        <v>43883.699652777781</v>
      </c>
      <c r="B4169" t="str">
        <f>HYPERLINK("https://twitter.com/ISIS_Balik_NO","@ISIS_Balik_NO")</f>
        <v>@ISIS_Balik_NO</v>
      </c>
      <c r="C4169" t="s">
        <v>3555</v>
      </c>
      <c r="D4169">
        <v>0</v>
      </c>
      <c r="E4169">
        <v>0</v>
      </c>
      <c r="F4169">
        <v>6099</v>
      </c>
    </row>
    <row r="4170" spans="1:6" ht="12.75">
      <c r="A4170" s="2">
        <v>43883.69908564815</v>
      </c>
      <c r="B4170" t="str">
        <f>HYPERLINK("https://twitter.com/noormaizan","@noormaizan")</f>
        <v>@noormaizan</v>
      </c>
      <c r="C4170" t="s">
        <v>3090</v>
      </c>
      <c r="D4170">
        <v>90</v>
      </c>
      <c r="E4170">
        <v>0</v>
      </c>
      <c r="F4170">
        <v>912</v>
      </c>
    </row>
    <row r="4171" spans="1:6" ht="12.75">
      <c r="A4171" s="2">
        <v>43883.698634259257</v>
      </c>
      <c r="B4171" t="str">
        <f>HYPERLINK("https://twitter.com/outofn0where","@outofn0where")</f>
        <v>@outofn0where</v>
      </c>
      <c r="C4171" t="s">
        <v>3556</v>
      </c>
      <c r="D4171">
        <v>0</v>
      </c>
      <c r="E4171">
        <v>0</v>
      </c>
      <c r="F4171">
        <v>1355</v>
      </c>
    </row>
    <row r="4172" spans="1:6" ht="12.75">
      <c r="A4172" s="2">
        <v>43883.696782407409</v>
      </c>
      <c r="B4172" t="str">
        <f>HYPERLINK("https://twitter.com/machbeach","@machbeach")</f>
        <v>@machbeach</v>
      </c>
      <c r="C4172" t="s">
        <v>3557</v>
      </c>
      <c r="D4172">
        <v>0</v>
      </c>
      <c r="E4172">
        <v>0</v>
      </c>
      <c r="F4172">
        <v>930</v>
      </c>
    </row>
    <row r="4173" spans="1:6" ht="12.75">
      <c r="A4173" s="2">
        <v>43883.696458333332</v>
      </c>
      <c r="B4173" t="str">
        <f>HYPERLINK("https://twitter.com/anggorowicza","@anggorowicza")</f>
        <v>@anggorowicza</v>
      </c>
      <c r="C4173" t="s">
        <v>3558</v>
      </c>
      <c r="D4173">
        <v>0</v>
      </c>
      <c r="E4173">
        <v>0</v>
      </c>
      <c r="F4173">
        <v>366</v>
      </c>
    </row>
    <row r="4174" spans="1:6" ht="12.75">
      <c r="A4174" s="2">
        <v>43883.695844907408</v>
      </c>
      <c r="B4174" t="str">
        <f>HYPERLINK("https://twitter.com/tribunnews","@tribunnews")</f>
        <v>@tribunnews</v>
      </c>
      <c r="C4174" t="s">
        <v>3559</v>
      </c>
      <c r="D4174">
        <v>1</v>
      </c>
      <c r="E4174">
        <v>4</v>
      </c>
      <c r="F4174">
        <v>878657</v>
      </c>
    </row>
    <row r="4175" spans="1:6" ht="12.75">
      <c r="A4175" s="2">
        <v>43883.695474537039</v>
      </c>
      <c r="B4175" t="str">
        <f>HYPERLINK("https://twitter.com/seanganrindu","@seanganrindu")</f>
        <v>@seanganrindu</v>
      </c>
      <c r="C4175" t="s">
        <v>3560</v>
      </c>
      <c r="D4175">
        <v>0</v>
      </c>
      <c r="E4175">
        <v>0</v>
      </c>
      <c r="F4175">
        <v>149</v>
      </c>
    </row>
    <row r="4176" spans="1:6" ht="12.75">
      <c r="A4176" s="2">
        <v>43883.695381944446</v>
      </c>
      <c r="B4176" t="str">
        <f>HYPERLINK("https://twitter.com/beatrice_health","@beatrice_health")</f>
        <v>@beatrice_health</v>
      </c>
      <c r="C4176" t="s">
        <v>3561</v>
      </c>
      <c r="D4176">
        <v>1</v>
      </c>
      <c r="E4176">
        <v>0</v>
      </c>
      <c r="F4176">
        <v>276</v>
      </c>
    </row>
    <row r="4177" spans="1:6" ht="12.75">
      <c r="A4177" s="2">
        <v>43883.695243055554</v>
      </c>
      <c r="B4177" t="str">
        <f>HYPERLINK("https://twitter.com/AndyR20034","@AndyR20034")</f>
        <v>@AndyR20034</v>
      </c>
      <c r="C4177" t="s">
        <v>3562</v>
      </c>
      <c r="D4177">
        <v>1</v>
      </c>
      <c r="E4177">
        <v>0</v>
      </c>
      <c r="F4177">
        <v>65</v>
      </c>
    </row>
    <row r="4178" spans="1:6" ht="12.75">
      <c r="A4178" s="2">
        <v>43883.694432870368</v>
      </c>
      <c r="B4178" t="str">
        <f>HYPERLINK("https://twitter.com/ini_Alfred_yaa","@ini_Alfred_yaa")</f>
        <v>@ini_Alfred_yaa</v>
      </c>
      <c r="C4178" t="s">
        <v>3563</v>
      </c>
      <c r="D4178">
        <v>0</v>
      </c>
      <c r="E4178">
        <v>1</v>
      </c>
      <c r="F4178">
        <v>322</v>
      </c>
    </row>
    <row r="4179" spans="1:6" ht="12.75">
      <c r="A4179" s="2">
        <v>43883.693518518514</v>
      </c>
      <c r="B4179" t="str">
        <f>HYPERLINK("https://twitter.com/gedebugenjooy","@gedebugenjooy")</f>
        <v>@gedebugenjooy</v>
      </c>
      <c r="C4179" t="s">
        <v>3564</v>
      </c>
      <c r="D4179">
        <v>0</v>
      </c>
      <c r="E4179">
        <v>0</v>
      </c>
      <c r="F4179">
        <v>1357</v>
      </c>
    </row>
    <row r="4180" spans="1:6" ht="12.75">
      <c r="A4180" s="2">
        <v>43883.693252314813</v>
      </c>
      <c r="B4180" t="str">
        <f>HYPERLINK("https://twitter.com/rachmanfahadi","@rachmanfahadi")</f>
        <v>@rachmanfahadi</v>
      </c>
      <c r="C4180" t="s">
        <v>3373</v>
      </c>
      <c r="D4180">
        <v>1</v>
      </c>
      <c r="E4180">
        <v>0</v>
      </c>
      <c r="F4180">
        <v>212</v>
      </c>
    </row>
    <row r="4181" spans="1:6" ht="12.75">
      <c r="A4181" s="2">
        <v>43883.693125000005</v>
      </c>
      <c r="B4181" t="str">
        <f>HYPERLINK("https://twitter.com/dwirama89009610","@dwirama89009610")</f>
        <v>@dwirama89009610</v>
      </c>
      <c r="C4181" t="s">
        <v>2637</v>
      </c>
      <c r="D4181">
        <v>8</v>
      </c>
      <c r="E4181">
        <v>0</v>
      </c>
      <c r="F4181">
        <v>195</v>
      </c>
    </row>
    <row r="4182" spans="1:6" ht="12.75">
      <c r="A4182" s="2">
        <v>43883.693043981482</v>
      </c>
      <c r="B4182" t="str">
        <f>HYPERLINK("https://twitter.com/paulinaagultom","@paulinaagultom")</f>
        <v>@paulinaagultom</v>
      </c>
      <c r="C4182" t="s">
        <v>3565</v>
      </c>
      <c r="D4182">
        <v>0</v>
      </c>
      <c r="E4182">
        <v>0</v>
      </c>
      <c r="F4182">
        <v>312</v>
      </c>
    </row>
    <row r="4183" spans="1:6" ht="12.75">
      <c r="A4183" s="2">
        <v>43883.692858796298</v>
      </c>
      <c r="B4183" t="str">
        <f>HYPERLINK("https://twitter.com/amoh_amad","@amoh_amad")</f>
        <v>@amoh_amad</v>
      </c>
      <c r="C4183" t="s">
        <v>3566</v>
      </c>
      <c r="D4183">
        <v>0</v>
      </c>
      <c r="E4183">
        <v>0</v>
      </c>
      <c r="F4183">
        <v>13</v>
      </c>
    </row>
    <row r="4184" spans="1:6" ht="12.75">
      <c r="A4184" s="2">
        <v>43883.692280092597</v>
      </c>
      <c r="B4184" t="str">
        <f>HYPERLINK("https://twitter.com/ozymandias2020X","@ozymandias2020X")</f>
        <v>@ozymandias2020X</v>
      </c>
      <c r="C4184" t="s">
        <v>3567</v>
      </c>
      <c r="D4184">
        <v>0</v>
      </c>
      <c r="E4184">
        <v>0</v>
      </c>
      <c r="F4184">
        <v>2633</v>
      </c>
    </row>
    <row r="4185" spans="1:6" ht="12.75">
      <c r="A4185" s="2">
        <v>43883.691828703704</v>
      </c>
      <c r="B4185" t="str">
        <f>HYPERLINK("https://twitter.com/ilhamadamy","@ilhamadamy")</f>
        <v>@ilhamadamy</v>
      </c>
      <c r="C4185" t="s">
        <v>3568</v>
      </c>
      <c r="D4185">
        <v>0</v>
      </c>
      <c r="E4185">
        <v>0</v>
      </c>
      <c r="F4185">
        <v>469</v>
      </c>
    </row>
    <row r="4186" spans="1:6" ht="12.75">
      <c r="A4186" s="2">
        <v>43883.691400462965</v>
      </c>
      <c r="B4186" t="str">
        <f>HYPERLINK("https://twitter.com/Ganezhaputra1","@Ganezhaputra1")</f>
        <v>@Ganezhaputra1</v>
      </c>
      <c r="C4186" t="s">
        <v>3569</v>
      </c>
      <c r="D4186">
        <v>0</v>
      </c>
      <c r="E4186">
        <v>1</v>
      </c>
      <c r="F4186">
        <v>1717</v>
      </c>
    </row>
    <row r="4187" spans="1:6" ht="12.75">
      <c r="A4187" s="2">
        <v>43883.690798611111</v>
      </c>
      <c r="B4187" t="str">
        <f>HYPERLINK("https://twitter.com/RelawanNusanta1","@RelawanNusanta1")</f>
        <v>@RelawanNusanta1</v>
      </c>
      <c r="C4187" t="s">
        <v>2637</v>
      </c>
      <c r="D4187">
        <v>8</v>
      </c>
      <c r="E4187">
        <v>0</v>
      </c>
      <c r="F4187">
        <v>1176</v>
      </c>
    </row>
    <row r="4188" spans="1:6" ht="12.75">
      <c r="A4188" s="2">
        <v>43883.690069444448</v>
      </c>
      <c r="B4188" t="str">
        <f>HYPERLINK("https://twitter.com/violetisblue718","@violetisblue718")</f>
        <v>@violetisblue718</v>
      </c>
      <c r="C4188" t="s">
        <v>2087</v>
      </c>
      <c r="D4188">
        <v>50</v>
      </c>
      <c r="E4188">
        <v>0</v>
      </c>
      <c r="F4188">
        <v>202</v>
      </c>
    </row>
    <row r="4189" spans="1:6" ht="12.75">
      <c r="A4189" s="2">
        <v>43883.689826388887</v>
      </c>
      <c r="B4189" t="str">
        <f>HYPERLINK("https://twitter.com/QodrunHunter99","@QodrunHunter99")</f>
        <v>@QodrunHunter99</v>
      </c>
      <c r="C4189" t="s">
        <v>2637</v>
      </c>
      <c r="D4189">
        <v>8</v>
      </c>
      <c r="E4189">
        <v>0</v>
      </c>
      <c r="F4189">
        <v>4057</v>
      </c>
    </row>
    <row r="4190" spans="1:6" ht="12.75">
      <c r="A4190" s="2">
        <v>43883.689629629633</v>
      </c>
      <c r="B4190" t="str">
        <f>HYPERLINK("https://twitter.com/HiaDaniel","@HiaDaniel")</f>
        <v>@HiaDaniel</v>
      </c>
      <c r="C4190" t="s">
        <v>2119</v>
      </c>
      <c r="D4190">
        <v>514</v>
      </c>
      <c r="E4190">
        <v>0</v>
      </c>
      <c r="F4190">
        <v>1014</v>
      </c>
    </row>
    <row r="4191" spans="1:6" ht="12.75">
      <c r="A4191" s="2">
        <v>43883.68949074074</v>
      </c>
      <c r="B4191" t="str">
        <f>HYPERLINK("https://twitter.com/NilaKencana8","@NilaKencana8")</f>
        <v>@NilaKencana8</v>
      </c>
      <c r="C4191" t="s">
        <v>3570</v>
      </c>
      <c r="D4191">
        <v>0</v>
      </c>
      <c r="E4191">
        <v>0</v>
      </c>
      <c r="F4191">
        <v>4655</v>
      </c>
    </row>
    <row r="4192" spans="1:6" ht="12.75">
      <c r="A4192" s="2">
        <v>43883.689398148148</v>
      </c>
      <c r="B4192" t="str">
        <f>HYPERLINK("https://twitter.com/MTuhasan","@MTuhasan")</f>
        <v>@MTuhasan</v>
      </c>
      <c r="C4192" t="s">
        <v>2637</v>
      </c>
      <c r="D4192">
        <v>8</v>
      </c>
      <c r="E4192">
        <v>0</v>
      </c>
      <c r="F4192">
        <v>4808</v>
      </c>
    </row>
    <row r="4193" spans="1:6" ht="12.75">
      <c r="A4193" s="2">
        <v>43883.689351851848</v>
      </c>
      <c r="B4193" t="str">
        <f>HYPERLINK("https://twitter.com/Putra_TGS","@Putra_TGS")</f>
        <v>@Putra_TGS</v>
      </c>
      <c r="C4193" t="s">
        <v>2637</v>
      </c>
      <c r="D4193">
        <v>8</v>
      </c>
      <c r="E4193">
        <v>0</v>
      </c>
      <c r="F4193">
        <v>1730</v>
      </c>
    </row>
    <row r="4194" spans="1:6" ht="12.75">
      <c r="A4194" s="2">
        <v>43883.689305555556</v>
      </c>
      <c r="B4194" t="str">
        <f>HYPERLINK("https://twitter.com/XSovietNews","@XSovietNews")</f>
        <v>@XSovietNews</v>
      </c>
      <c r="C4194" t="s">
        <v>3571</v>
      </c>
      <c r="D4194">
        <v>1</v>
      </c>
      <c r="E4194">
        <v>3</v>
      </c>
      <c r="F4194">
        <v>13690</v>
      </c>
    </row>
    <row r="4195" spans="1:6" ht="12.75">
      <c r="A4195" s="2">
        <v>43883.6878125</v>
      </c>
      <c r="B4195" t="str">
        <f>HYPERLINK("https://twitter.com/aryacokronegoro","@aryacokronegoro")</f>
        <v>@aryacokronegoro</v>
      </c>
      <c r="C4195" t="s">
        <v>3572</v>
      </c>
      <c r="D4195">
        <v>5</v>
      </c>
      <c r="E4195">
        <v>0</v>
      </c>
      <c r="F4195">
        <v>437</v>
      </c>
    </row>
    <row r="4196" spans="1:6" ht="12.75">
      <c r="A4196" s="2">
        <v>43883.686898148153</v>
      </c>
      <c r="B4196" t="str">
        <f t="shared" ref="B4196:B4197" si="91">HYPERLINK("https://twitter.com/kjrijohorbahru","@kjrijohorbahru")</f>
        <v>@kjrijohorbahru</v>
      </c>
      <c r="C4196" t="s">
        <v>3573</v>
      </c>
      <c r="D4196">
        <v>0</v>
      </c>
      <c r="E4196">
        <v>0</v>
      </c>
      <c r="F4196">
        <v>651</v>
      </c>
    </row>
    <row r="4197" spans="1:6" ht="12.75">
      <c r="A4197" s="2">
        <v>43883.68686342593</v>
      </c>
      <c r="B4197" t="str">
        <f t="shared" si="91"/>
        <v>@kjrijohorbahru</v>
      </c>
      <c r="C4197" t="s">
        <v>3574</v>
      </c>
      <c r="D4197">
        <v>0</v>
      </c>
      <c r="E4197">
        <v>0</v>
      </c>
      <c r="F4197">
        <v>651</v>
      </c>
    </row>
    <row r="4198" spans="1:6" ht="12.75">
      <c r="A4198" s="2">
        <v>43883.686435185184</v>
      </c>
      <c r="B4198" t="str">
        <f>HYPERLINK("https://twitter.com/samhudibae","@samhudibae")</f>
        <v>@samhudibae</v>
      </c>
      <c r="C4198" t="s">
        <v>3575</v>
      </c>
      <c r="D4198">
        <v>8</v>
      </c>
      <c r="E4198">
        <v>8</v>
      </c>
      <c r="F4198">
        <v>3519</v>
      </c>
    </row>
    <row r="4199" spans="1:6" ht="12.75">
      <c r="A4199" s="2">
        <v>43883.68586805556</v>
      </c>
      <c r="B4199" t="str">
        <f>HYPERLINK("https://twitter.com/Zhongren15","@Zhongren15")</f>
        <v>@Zhongren15</v>
      </c>
      <c r="C4199" t="s">
        <v>3520</v>
      </c>
      <c r="D4199">
        <v>3</v>
      </c>
      <c r="E4199">
        <v>0</v>
      </c>
      <c r="F4199">
        <v>53</v>
      </c>
    </row>
    <row r="4200" spans="1:6" ht="12.75">
      <c r="A4200" s="2">
        <v>43883.685810185183</v>
      </c>
      <c r="B4200" t="str">
        <f>HYPERLINK("https://twitter.com/AvikRoy36908396","@AvikRoy36908396")</f>
        <v>@AvikRoy36908396</v>
      </c>
      <c r="C4200" t="s">
        <v>3576</v>
      </c>
      <c r="D4200">
        <v>0</v>
      </c>
      <c r="E4200">
        <v>0</v>
      </c>
      <c r="F4200">
        <v>6</v>
      </c>
    </row>
    <row r="4201" spans="1:6" ht="12.75">
      <c r="A4201" s="2">
        <v>43883.685370370367</v>
      </c>
      <c r="B4201" t="str">
        <f>HYPERLINK("https://twitter.com/KaumBumiLucu","@KaumBumiLucu")</f>
        <v>@KaumBumiLucu</v>
      </c>
      <c r="C4201" t="s">
        <v>3577</v>
      </c>
      <c r="D4201">
        <v>0</v>
      </c>
      <c r="E4201">
        <v>0</v>
      </c>
      <c r="F4201">
        <v>14635</v>
      </c>
    </row>
    <row r="4202" spans="1:6" ht="12.75">
      <c r="A4202" s="2">
        <v>43883.684756944444</v>
      </c>
      <c r="B4202" t="str">
        <f>HYPERLINK("https://twitter.com/HeldaSani","@HeldaSani")</f>
        <v>@HeldaSani</v>
      </c>
      <c r="C4202" t="s">
        <v>3578</v>
      </c>
      <c r="D4202">
        <v>0</v>
      </c>
      <c r="E4202">
        <v>0</v>
      </c>
      <c r="F4202">
        <v>37</v>
      </c>
    </row>
    <row r="4203" spans="1:6" ht="12.75">
      <c r="A4203" s="2">
        <v>43883.68472222222</v>
      </c>
      <c r="B4203" t="str">
        <f>HYPERLINK("https://twitter.com/tribunbatamku","@tribunbatamku")</f>
        <v>@tribunbatamku</v>
      </c>
      <c r="C4203" t="s">
        <v>3579</v>
      </c>
      <c r="D4203">
        <v>0</v>
      </c>
      <c r="E4203">
        <v>0</v>
      </c>
      <c r="F4203">
        <v>5290</v>
      </c>
    </row>
    <row r="4204" spans="1:6" ht="12.75">
      <c r="A4204" s="2">
        <v>43883.684108796297</v>
      </c>
      <c r="B4204" t="str">
        <f>HYPERLINK("https://twitter.com/abdulloh2015","@abdulloh2015")</f>
        <v>@abdulloh2015</v>
      </c>
      <c r="C4204" t="s">
        <v>2123</v>
      </c>
      <c r="D4204">
        <v>0</v>
      </c>
      <c r="E4204">
        <v>0</v>
      </c>
      <c r="F4204">
        <v>61</v>
      </c>
    </row>
    <row r="4205" spans="1:6" ht="12.75">
      <c r="A4205" s="2">
        <v>43883.683761574073</v>
      </c>
      <c r="B4205" t="str">
        <f>HYPERLINK("https://twitter.com/fajar14dzani","@fajar14dzani")</f>
        <v>@fajar14dzani</v>
      </c>
      <c r="C4205" t="s">
        <v>3580</v>
      </c>
      <c r="D4205">
        <v>0</v>
      </c>
      <c r="E4205">
        <v>0</v>
      </c>
      <c r="F4205">
        <v>35</v>
      </c>
    </row>
    <row r="4206" spans="1:6" ht="12.75">
      <c r="A4206" s="2">
        <v>43883.683530092589</v>
      </c>
      <c r="B4206" t="str">
        <f>HYPERLINK("https://twitter.com/kbribaghdadbaru","@kbribaghdadbaru")</f>
        <v>@kbribaghdadbaru</v>
      </c>
      <c r="C4206" t="s">
        <v>3581</v>
      </c>
      <c r="D4206">
        <v>0</v>
      </c>
      <c r="E4206">
        <v>0</v>
      </c>
      <c r="F4206">
        <v>7</v>
      </c>
    </row>
    <row r="4207" spans="1:6" ht="12.75">
      <c r="A4207" s="2">
        <v>43883.682951388888</v>
      </c>
      <c r="B4207" t="str">
        <f>HYPERLINK("https://twitter.com/Berita7dotid","@Berita7dotid")</f>
        <v>@Berita7dotid</v>
      </c>
      <c r="C4207" t="s">
        <v>3582</v>
      </c>
      <c r="D4207">
        <v>0</v>
      </c>
      <c r="E4207">
        <v>0</v>
      </c>
      <c r="F4207">
        <v>2555</v>
      </c>
    </row>
    <row r="4208" spans="1:6" ht="12.75">
      <c r="A4208" s="2">
        <v>43883.682569444441</v>
      </c>
      <c r="B4208" t="str">
        <f>HYPERLINK("https://twitter.com/apahabarcom","@apahabarcom")</f>
        <v>@apahabarcom</v>
      </c>
      <c r="C4208" t="s">
        <v>3583</v>
      </c>
      <c r="D4208">
        <v>0</v>
      </c>
      <c r="E4208">
        <v>0</v>
      </c>
      <c r="F4208">
        <v>101</v>
      </c>
    </row>
    <row r="4209" spans="1:6" ht="12.75">
      <c r="A4209" s="2">
        <v>43883.682071759264</v>
      </c>
      <c r="B4209" t="str">
        <f>HYPERLINK("https://twitter.com/Bang_N_E_O","@Bang_N_E_O")</f>
        <v>@Bang_N_E_O</v>
      </c>
      <c r="C4209" t="s">
        <v>3584</v>
      </c>
      <c r="D4209">
        <v>7</v>
      </c>
      <c r="E4209">
        <v>0</v>
      </c>
      <c r="F4209">
        <v>3532</v>
      </c>
    </row>
    <row r="4210" spans="1:6" ht="12.75">
      <c r="A4210" s="2">
        <v>43883.68173611111</v>
      </c>
      <c r="B4210" t="str">
        <f>HYPERLINK("https://twitter.com/VMalangbong","@VMalangbong")</f>
        <v>@VMalangbong</v>
      </c>
      <c r="C4210" t="s">
        <v>3585</v>
      </c>
      <c r="D4210">
        <v>0</v>
      </c>
      <c r="E4210">
        <v>0</v>
      </c>
      <c r="F4210">
        <v>57</v>
      </c>
    </row>
    <row r="4211" spans="1:6" ht="12.75">
      <c r="A4211" s="2">
        <v>43883.68167824074</v>
      </c>
      <c r="B4211" t="str">
        <f>HYPERLINK("https://twitter.com/bulansridevi","@bulansridevi")</f>
        <v>@bulansridevi</v>
      </c>
      <c r="C4211" t="s">
        <v>3419</v>
      </c>
      <c r="D4211">
        <v>5</v>
      </c>
      <c r="E4211">
        <v>0</v>
      </c>
      <c r="F4211">
        <v>1142</v>
      </c>
    </row>
    <row r="4212" spans="1:6" ht="12.75">
      <c r="A4212" s="2">
        <v>43883.680312500001</v>
      </c>
      <c r="B4212" t="str">
        <f>HYPERLINK("https://twitter.com/ISIS_Balik_NO","@ISIS_Balik_NO")</f>
        <v>@ISIS_Balik_NO</v>
      </c>
      <c r="C4212" t="s">
        <v>3586</v>
      </c>
      <c r="D4212">
        <v>324</v>
      </c>
      <c r="E4212">
        <v>0</v>
      </c>
      <c r="F4212">
        <v>6099</v>
      </c>
    </row>
    <row r="4213" spans="1:6" ht="12.75">
      <c r="A4213" s="2">
        <v>43883.679918981477</v>
      </c>
      <c r="B4213" t="str">
        <f>HYPERLINK("https://twitter.com/amurwabhumi_mk","@amurwabhumi_mk")</f>
        <v>@amurwabhumi_mk</v>
      </c>
      <c r="C4213" t="s">
        <v>3587</v>
      </c>
      <c r="D4213">
        <v>0</v>
      </c>
      <c r="E4213">
        <v>0</v>
      </c>
      <c r="F4213">
        <v>1278</v>
      </c>
    </row>
    <row r="4214" spans="1:6" ht="12.75">
      <c r="A4214" s="2">
        <v>43883.679756944446</v>
      </c>
      <c r="B4214" t="str">
        <f>HYPERLINK("https://twitter.com/ISIS_Balik_NO","@ISIS_Balik_NO")</f>
        <v>@ISIS_Balik_NO</v>
      </c>
      <c r="C4214" t="s">
        <v>3588</v>
      </c>
      <c r="D4214">
        <v>0</v>
      </c>
      <c r="E4214">
        <v>1</v>
      </c>
      <c r="F4214">
        <v>6099</v>
      </c>
    </row>
    <row r="4215" spans="1:6" ht="12.75">
      <c r="A4215" s="2">
        <v>43883.679502314815</v>
      </c>
      <c r="B4215" t="str">
        <f>HYPERLINK("https://twitter.com/tssaraah","@tssaraah")</f>
        <v>@tssaraah</v>
      </c>
      <c r="C4215" t="s">
        <v>3589</v>
      </c>
      <c r="D4215">
        <v>0</v>
      </c>
      <c r="E4215">
        <v>0</v>
      </c>
      <c r="F4215">
        <v>71</v>
      </c>
    </row>
    <row r="4216" spans="1:6" ht="12.75">
      <c r="A4216" s="2">
        <v>43883.679340277777</v>
      </c>
      <c r="B4216" t="str">
        <f>HYPERLINK("https://twitter.com/ISIS_Balik_NO","@ISIS_Balik_NO")</f>
        <v>@ISIS_Balik_NO</v>
      </c>
      <c r="C4216" t="s">
        <v>3590</v>
      </c>
      <c r="D4216">
        <v>72</v>
      </c>
      <c r="E4216">
        <v>0</v>
      </c>
      <c r="F4216">
        <v>6099</v>
      </c>
    </row>
    <row r="4217" spans="1:6" ht="12.75">
      <c r="A4217" s="2">
        <v>43883.679131944446</v>
      </c>
      <c r="B4217" t="str">
        <f>HYPERLINK("https://twitter.com/ryolandafit","@ryolandafit")</f>
        <v>@ryolandafit</v>
      </c>
      <c r="C4217" t="s">
        <v>3591</v>
      </c>
      <c r="D4217">
        <v>1</v>
      </c>
      <c r="E4217">
        <v>0</v>
      </c>
      <c r="F4217">
        <v>650</v>
      </c>
    </row>
    <row r="4218" spans="1:6" ht="12.75">
      <c r="A4218" s="2">
        <v>43883.678888888884</v>
      </c>
      <c r="B4218" t="str">
        <f>HYPERLINK("https://twitter.com/ISumantoro","@ISumantoro")</f>
        <v>@ISumantoro</v>
      </c>
      <c r="C4218" t="s">
        <v>177</v>
      </c>
      <c r="D4218">
        <v>815</v>
      </c>
      <c r="E4218">
        <v>0</v>
      </c>
      <c r="F4218">
        <v>46</v>
      </c>
    </row>
    <row r="4219" spans="1:6" ht="12.75">
      <c r="A4219" s="2">
        <v>43883.678472222222</v>
      </c>
      <c r="B4219" t="str">
        <f>HYPERLINK("https://twitter.com/sanuri118","@sanuri118")</f>
        <v>@sanuri118</v>
      </c>
      <c r="C4219" t="s">
        <v>3592</v>
      </c>
      <c r="D4219">
        <v>0</v>
      </c>
      <c r="E4219">
        <v>0</v>
      </c>
      <c r="F4219">
        <v>1627</v>
      </c>
    </row>
    <row r="4220" spans="1:6" ht="12.75">
      <c r="A4220" s="2">
        <v>43883.678402777776</v>
      </c>
      <c r="B4220" t="str">
        <f>HYPERLINK("https://twitter.com/CiwamP","@CiwamP")</f>
        <v>@CiwamP</v>
      </c>
      <c r="C4220" t="s">
        <v>3593</v>
      </c>
      <c r="D4220">
        <v>6</v>
      </c>
      <c r="E4220">
        <v>0</v>
      </c>
      <c r="F4220">
        <v>582</v>
      </c>
    </row>
    <row r="4221" spans="1:6" ht="12.75">
      <c r="A4221" s="2">
        <v>43883.678356481483</v>
      </c>
      <c r="B4221" t="str">
        <f>HYPERLINK("https://twitter.com/adeodhatus","@adeodhatus")</f>
        <v>@adeodhatus</v>
      </c>
      <c r="C4221" t="s">
        <v>3594</v>
      </c>
      <c r="D4221">
        <v>0</v>
      </c>
      <c r="E4221">
        <v>0</v>
      </c>
      <c r="F4221">
        <v>337</v>
      </c>
    </row>
    <row r="4222" spans="1:6" ht="12.75">
      <c r="A4222" s="2">
        <v>43883.677546296298</v>
      </c>
      <c r="B4222" t="str">
        <f>HYPERLINK("https://twitter.com/ISIS_Balik_NO","@ISIS_Balik_NO")</f>
        <v>@ISIS_Balik_NO</v>
      </c>
      <c r="C4222" t="s">
        <v>3595</v>
      </c>
      <c r="D4222">
        <v>0</v>
      </c>
      <c r="E4222">
        <v>0</v>
      </c>
      <c r="F4222">
        <v>6099</v>
      </c>
    </row>
    <row r="4223" spans="1:6" ht="12.75">
      <c r="A4223" s="2">
        <v>43883.676921296297</v>
      </c>
      <c r="B4223" t="str">
        <f>HYPERLINK("https://twitter.com/ryolandafit","@ryolandafit")</f>
        <v>@ryolandafit</v>
      </c>
      <c r="C4223" t="s">
        <v>3596</v>
      </c>
      <c r="D4223">
        <v>5</v>
      </c>
      <c r="E4223">
        <v>0</v>
      </c>
      <c r="F4223">
        <v>650</v>
      </c>
    </row>
    <row r="4224" spans="1:6" ht="12.75">
      <c r="A4224" s="2">
        <v>43883.676250000004</v>
      </c>
      <c r="B4224" t="str">
        <f>HYPERLINK("https://twitter.com/ISIS_Balik_NO","@ISIS_Balik_NO")</f>
        <v>@ISIS_Balik_NO</v>
      </c>
      <c r="C4224" t="s">
        <v>3597</v>
      </c>
      <c r="D4224">
        <v>1</v>
      </c>
      <c r="E4224">
        <v>6</v>
      </c>
      <c r="F4224">
        <v>6099</v>
      </c>
    </row>
    <row r="4225" spans="1:6" ht="12.75">
      <c r="A4225" s="2">
        <v>43883.675891203704</v>
      </c>
      <c r="B4225" t="str">
        <f>HYPERLINK("https://twitter.com/ryolandafit","@ryolandafit")</f>
        <v>@ryolandafit</v>
      </c>
      <c r="C4225" t="s">
        <v>3598</v>
      </c>
      <c r="D4225">
        <v>2</v>
      </c>
      <c r="E4225">
        <v>0</v>
      </c>
      <c r="F4225">
        <v>650</v>
      </c>
    </row>
    <row r="4226" spans="1:6" ht="12.75">
      <c r="A4226" s="2">
        <v>43883.67586805555</v>
      </c>
      <c r="B4226" t="str">
        <f>HYPERLINK("https://twitter.com/republikaonline","@republikaonline")</f>
        <v>@republikaonline</v>
      </c>
      <c r="C4226" t="s">
        <v>3599</v>
      </c>
      <c r="D4226">
        <v>1</v>
      </c>
      <c r="E4226">
        <v>1</v>
      </c>
      <c r="F4226">
        <v>1211991</v>
      </c>
    </row>
    <row r="4227" spans="1:6" ht="12.75">
      <c r="A4227" s="2">
        <v>43883.667754629627</v>
      </c>
      <c r="B4227" t="str">
        <f>HYPERLINK("https://twitter.com/davinhadikusumo","@davinhadikusumo")</f>
        <v>@davinhadikusumo</v>
      </c>
      <c r="C4227" t="s">
        <v>3600</v>
      </c>
      <c r="D4227">
        <v>0</v>
      </c>
      <c r="E4227">
        <v>0</v>
      </c>
      <c r="F4227">
        <v>346</v>
      </c>
    </row>
    <row r="4228" spans="1:6" ht="12.75">
      <c r="A4228" s="2">
        <v>43883.666666666672</v>
      </c>
      <c r="B4228" t="str">
        <f>HYPERLINK("https://twitter.com/SeputariNews","@SeputariNews")</f>
        <v>@SeputariNews</v>
      </c>
      <c r="C4228" t="s">
        <v>3601</v>
      </c>
      <c r="D4228">
        <v>1</v>
      </c>
      <c r="E4228">
        <v>0</v>
      </c>
      <c r="F4228">
        <v>438681</v>
      </c>
    </row>
    <row r="4229" spans="1:6" ht="12.75">
      <c r="A4229" s="2">
        <v>43883.66606481481</v>
      </c>
      <c r="B4229" t="str">
        <f>HYPERLINK("https://twitter.com/Beritasatu","@Beritasatu")</f>
        <v>@Beritasatu</v>
      </c>
      <c r="C4229" t="s">
        <v>3602</v>
      </c>
      <c r="D4229">
        <v>0</v>
      </c>
      <c r="E4229">
        <v>0</v>
      </c>
      <c r="F4229">
        <v>615315</v>
      </c>
    </row>
    <row r="4230" spans="1:6" ht="12.75">
      <c r="A4230" s="2">
        <v>43883.665451388893</v>
      </c>
      <c r="B4230" t="str">
        <f>HYPERLINK("https://twitter.com/FarisWazir","@FarisWazir")</f>
        <v>@FarisWazir</v>
      </c>
      <c r="C4230" t="s">
        <v>3090</v>
      </c>
      <c r="D4230">
        <v>89</v>
      </c>
      <c r="E4230">
        <v>0</v>
      </c>
      <c r="F4230">
        <v>501</v>
      </c>
    </row>
    <row r="4231" spans="1:6" ht="12.75">
      <c r="A4231" s="2">
        <v>43883.665254629625</v>
      </c>
      <c r="B4231" t="str">
        <f>HYPERLINK("https://twitter.com/SomedayBuls","@SomedayBuls")</f>
        <v>@SomedayBuls</v>
      </c>
      <c r="C4231" t="s">
        <v>2190</v>
      </c>
      <c r="D4231">
        <v>20</v>
      </c>
      <c r="E4231">
        <v>0</v>
      </c>
      <c r="F4231">
        <v>2286</v>
      </c>
    </row>
    <row r="4232" spans="1:6" ht="12.75">
      <c r="A4232" s="2">
        <v>43883.663900462961</v>
      </c>
      <c r="B4232" t="str">
        <f>HYPERLINK("https://twitter.com/nmjppermana","@nmjppermana")</f>
        <v>@nmjppermana</v>
      </c>
      <c r="C4232" t="s">
        <v>1407</v>
      </c>
      <c r="D4232">
        <v>9743</v>
      </c>
      <c r="E4232">
        <v>0</v>
      </c>
      <c r="F4232">
        <v>108</v>
      </c>
    </row>
    <row r="4233" spans="1:6" ht="12.75">
      <c r="A4233" s="2">
        <v>43883.663900462961</v>
      </c>
      <c r="B4233" t="str">
        <f>HYPERLINK("https://twitter.com/wartanusacom","@wartanusacom")</f>
        <v>@wartanusacom</v>
      </c>
      <c r="C4233" t="s">
        <v>3603</v>
      </c>
      <c r="D4233">
        <v>0</v>
      </c>
      <c r="E4233">
        <v>0</v>
      </c>
      <c r="F4233">
        <v>99</v>
      </c>
    </row>
    <row r="4234" spans="1:6" ht="12.75">
      <c r="A4234" s="2">
        <v>43883.66369212963</v>
      </c>
      <c r="B4234" t="str">
        <f>HYPERLINK("https://twitter.com/Bentir16","@Bentir16")</f>
        <v>@Bentir16</v>
      </c>
      <c r="C4234" t="s">
        <v>3604</v>
      </c>
      <c r="D4234">
        <v>424</v>
      </c>
      <c r="E4234">
        <v>0</v>
      </c>
      <c r="F4234">
        <v>802</v>
      </c>
    </row>
    <row r="4235" spans="1:6" ht="12.75">
      <c r="A4235" s="2">
        <v>43883.663587962961</v>
      </c>
      <c r="B4235" t="str">
        <f>HYPERLINK("https://twitter.com/inoexseminem","@inoexseminem")</f>
        <v>@inoexseminem</v>
      </c>
      <c r="C4235" t="s">
        <v>3605</v>
      </c>
      <c r="D4235">
        <v>0</v>
      </c>
      <c r="E4235">
        <v>0</v>
      </c>
      <c r="F4235">
        <v>220</v>
      </c>
    </row>
    <row r="4236" spans="1:6" ht="12.75">
      <c r="A4236" s="2">
        <v>43883.661666666667</v>
      </c>
      <c r="B4236" t="str">
        <f>HYPERLINK("https://twitter.com/Atha879","@Atha879")</f>
        <v>@Atha879</v>
      </c>
      <c r="C4236" t="s">
        <v>3454</v>
      </c>
      <c r="D4236">
        <v>2</v>
      </c>
      <c r="E4236">
        <v>0</v>
      </c>
      <c r="F4236">
        <v>1437</v>
      </c>
    </row>
    <row r="4237" spans="1:6" ht="12.75">
      <c r="A4237" s="2">
        <v>43883.661296296297</v>
      </c>
      <c r="B4237" t="str">
        <f>HYPERLINK("https://twitter.com/j_maximilan","@j_maximilan")</f>
        <v>@j_maximilan</v>
      </c>
      <c r="C4237" t="s">
        <v>3606</v>
      </c>
      <c r="D4237">
        <v>0</v>
      </c>
      <c r="E4237">
        <v>0</v>
      </c>
      <c r="F4237">
        <v>997</v>
      </c>
    </row>
    <row r="4238" spans="1:6" ht="12.75">
      <c r="A4238" s="2">
        <v>43883.659456018519</v>
      </c>
      <c r="B4238" t="str">
        <f>HYPERLINK("https://twitter.com/Subadri20917452","@Subadri20917452")</f>
        <v>@Subadri20917452</v>
      </c>
      <c r="C4238" t="s">
        <v>3607</v>
      </c>
      <c r="D4238">
        <v>0</v>
      </c>
      <c r="E4238">
        <v>0</v>
      </c>
      <c r="F4238">
        <v>799</v>
      </c>
    </row>
    <row r="4239" spans="1:6" ht="12.75">
      <c r="A4239" s="2">
        <v>43883.659456018519</v>
      </c>
      <c r="B4239" t="str">
        <f>HYPERLINK("https://twitter.com/PoppyNurul1","@PoppyNurul1")</f>
        <v>@PoppyNurul1</v>
      </c>
      <c r="C4239" t="s">
        <v>3608</v>
      </c>
      <c r="D4239">
        <v>0</v>
      </c>
      <c r="E4239">
        <v>0</v>
      </c>
      <c r="F4239">
        <v>1126</v>
      </c>
    </row>
    <row r="4240" spans="1:6" ht="12.75">
      <c r="A4240" s="2">
        <v>43883.658425925925</v>
      </c>
      <c r="B4240" t="str">
        <f>HYPERLINK("https://twitter.com/Arkarna007","@Arkarna007")</f>
        <v>@Arkarna007</v>
      </c>
      <c r="C4240" t="s">
        <v>2154</v>
      </c>
      <c r="D4240">
        <v>26</v>
      </c>
      <c r="E4240">
        <v>0</v>
      </c>
      <c r="F4240">
        <v>2010</v>
      </c>
    </row>
    <row r="4241" spans="1:6" ht="12.75">
      <c r="A4241" s="2">
        <v>43883.657361111109</v>
      </c>
      <c r="B4241" t="str">
        <f>HYPERLINK("https://twitter.com/mockthistweet","@mockthistweet")</f>
        <v>@mockthistweet</v>
      </c>
      <c r="C4241" t="s">
        <v>3609</v>
      </c>
      <c r="D4241">
        <v>0</v>
      </c>
      <c r="E4241">
        <v>0</v>
      </c>
      <c r="F4241">
        <v>19635</v>
      </c>
    </row>
    <row r="4242" spans="1:6" ht="12.75">
      <c r="A4242" s="2">
        <v>43883.6559837963</v>
      </c>
      <c r="B4242" t="str">
        <f>HYPERLINK("https://twitter.com/isna72rosyid","@isna72rosyid")</f>
        <v>@isna72rosyid</v>
      </c>
      <c r="C4242" t="s">
        <v>3610</v>
      </c>
      <c r="D4242">
        <v>5</v>
      </c>
      <c r="E4242">
        <v>0</v>
      </c>
      <c r="F4242">
        <v>1999</v>
      </c>
    </row>
    <row r="4243" spans="1:6" ht="12.75">
      <c r="A4243" s="2">
        <v>43883.65587962963</v>
      </c>
      <c r="B4243" t="str">
        <f>HYPERLINK("https://twitter.com/miyaseau","@miyaseau")</f>
        <v>@miyaseau</v>
      </c>
      <c r="C4243" t="s">
        <v>2087</v>
      </c>
      <c r="D4243">
        <v>47</v>
      </c>
      <c r="E4243">
        <v>0</v>
      </c>
      <c r="F4243">
        <v>31</v>
      </c>
    </row>
    <row r="4244" spans="1:6" ht="12.75">
      <c r="A4244" s="2">
        <v>43883.655358796299</v>
      </c>
      <c r="B4244" t="str">
        <f>HYPERLINK("https://twitter.com/foxstee","@foxstee")</f>
        <v>@foxstee</v>
      </c>
      <c r="C4244" t="s">
        <v>3090</v>
      </c>
      <c r="D4244">
        <v>89</v>
      </c>
      <c r="E4244">
        <v>0</v>
      </c>
      <c r="F4244">
        <v>43</v>
      </c>
    </row>
    <row r="4245" spans="1:6" ht="12.75">
      <c r="A4245" s="2">
        <v>43883.65525462963</v>
      </c>
      <c r="B4245" t="str">
        <f>HYPERLINK("https://twitter.com/shafie941","@shafie941")</f>
        <v>@shafie941</v>
      </c>
      <c r="C4245" t="s">
        <v>2119</v>
      </c>
      <c r="D4245">
        <v>513</v>
      </c>
      <c r="E4245">
        <v>0</v>
      </c>
      <c r="F4245">
        <v>5</v>
      </c>
    </row>
    <row r="4246" spans="1:6" ht="12.75">
      <c r="A4246" s="2">
        <v>43883.654745370368</v>
      </c>
      <c r="B4246" t="str">
        <f>HYPERLINK("https://twitter.com/cyphertwitt","@cyphertwitt")</f>
        <v>@cyphertwitt</v>
      </c>
      <c r="C4246" t="s">
        <v>3611</v>
      </c>
      <c r="D4246">
        <v>0</v>
      </c>
      <c r="E4246">
        <v>0</v>
      </c>
      <c r="F4246">
        <v>6</v>
      </c>
    </row>
    <row r="4247" spans="1:6" ht="12.75">
      <c r="A4247" s="2">
        <v>43883.654675925922</v>
      </c>
      <c r="B4247" t="str">
        <f>HYPERLINK("https://twitter.com/PecintaUlama02","@PecintaUlama02")</f>
        <v>@PecintaUlama02</v>
      </c>
      <c r="C4247" t="s">
        <v>3612</v>
      </c>
      <c r="D4247">
        <v>0</v>
      </c>
      <c r="E4247">
        <v>0</v>
      </c>
      <c r="F4247">
        <v>129</v>
      </c>
    </row>
    <row r="4248" spans="1:6" ht="12.75">
      <c r="A4248" s="2">
        <v>43883.654583333337</v>
      </c>
      <c r="B4248" t="str">
        <f>HYPERLINK("https://twitter.com/__ChusnulCh","@__ChusnulCh")</f>
        <v>@__ChusnulCh</v>
      </c>
      <c r="C4248" t="s">
        <v>3613</v>
      </c>
      <c r="D4248">
        <v>1</v>
      </c>
      <c r="E4248">
        <v>0</v>
      </c>
      <c r="F4248">
        <v>64982</v>
      </c>
    </row>
    <row r="4249" spans="1:6" ht="12.75">
      <c r="A4249" s="2">
        <v>43883.654409722221</v>
      </c>
      <c r="B4249" t="str">
        <f>HYPERLINK("https://twitter.com/AbangahAsyraf","@AbangahAsyraf")</f>
        <v>@AbangahAsyraf</v>
      </c>
      <c r="C4249" t="s">
        <v>3090</v>
      </c>
      <c r="D4249">
        <v>89</v>
      </c>
      <c r="E4249">
        <v>0</v>
      </c>
      <c r="F4249">
        <v>361</v>
      </c>
    </row>
    <row r="4250" spans="1:6" ht="12.75">
      <c r="A4250" s="2">
        <v>43883.653796296298</v>
      </c>
      <c r="B4250" t="str">
        <f>HYPERLINK("https://twitter.com/KBRI_Kuwait","@KBRI_Kuwait")</f>
        <v>@KBRI_Kuwait</v>
      </c>
      <c r="C4250" t="s">
        <v>3614</v>
      </c>
      <c r="D4250">
        <v>0</v>
      </c>
      <c r="E4250">
        <v>0</v>
      </c>
      <c r="F4250">
        <v>2549</v>
      </c>
    </row>
    <row r="4251" spans="1:6" ht="12.75">
      <c r="A4251" s="2">
        <v>43883.653171296297</v>
      </c>
      <c r="B4251" t="str">
        <f>HYPERLINK("https://twitter.com/merindudendam","@merindudendam")</f>
        <v>@merindudendam</v>
      </c>
      <c r="C4251" t="s">
        <v>3615</v>
      </c>
      <c r="D4251">
        <v>0</v>
      </c>
      <c r="E4251">
        <v>0</v>
      </c>
      <c r="F4251">
        <v>2007</v>
      </c>
    </row>
    <row r="4252" spans="1:6" ht="12.75">
      <c r="A4252" s="2">
        <v>43883.653101851851</v>
      </c>
      <c r="B4252" t="str">
        <f>HYPERLINK("https://twitter.com/covesiacom","@covesiacom")</f>
        <v>@covesiacom</v>
      </c>
      <c r="C4252" t="s">
        <v>3616</v>
      </c>
      <c r="D4252">
        <v>0</v>
      </c>
      <c r="E4252">
        <v>0</v>
      </c>
      <c r="F4252">
        <v>6178</v>
      </c>
    </row>
    <row r="4253" spans="1:6" ht="12.75">
      <c r="A4253" s="2">
        <v>43883.652928240743</v>
      </c>
      <c r="B4253" t="str">
        <f>HYPERLINK("https://twitter.com/BauMattawang","@BauMattawang")</f>
        <v>@BauMattawang</v>
      </c>
      <c r="C4253" t="s">
        <v>3617</v>
      </c>
      <c r="D4253">
        <v>1</v>
      </c>
      <c r="E4253">
        <v>2</v>
      </c>
      <c r="F4253">
        <v>50</v>
      </c>
    </row>
    <row r="4254" spans="1:6" ht="12.75">
      <c r="A4254" s="2">
        <v>43883.650185185186</v>
      </c>
      <c r="B4254" t="str">
        <f>HYPERLINK("https://twitter.com/AdvokatlK","@AdvokatlK")</f>
        <v>@AdvokatlK</v>
      </c>
      <c r="C4254" t="s">
        <v>3618</v>
      </c>
      <c r="D4254">
        <v>0</v>
      </c>
      <c r="E4254">
        <v>0</v>
      </c>
      <c r="F4254">
        <v>6607</v>
      </c>
    </row>
    <row r="4255" spans="1:6" ht="12.75">
      <c r="A4255" s="2">
        <v>43883.649560185186</v>
      </c>
      <c r="B4255" t="str">
        <f>HYPERLINK("https://twitter.com/Subadri20917452","@Subadri20917452")</f>
        <v>@Subadri20917452</v>
      </c>
      <c r="C4255" t="s">
        <v>3619</v>
      </c>
      <c r="D4255">
        <v>0</v>
      </c>
      <c r="E4255">
        <v>1</v>
      </c>
      <c r="F4255">
        <v>799</v>
      </c>
    </row>
    <row r="4256" spans="1:6" ht="12.75">
      <c r="A4256" s="2">
        <v>43883.649421296301</v>
      </c>
      <c r="B4256" t="str">
        <f>HYPERLINK("https://twitter.com/sinnakarita","@sinnakarita")</f>
        <v>@sinnakarita</v>
      </c>
      <c r="C4256" t="s">
        <v>3620</v>
      </c>
      <c r="D4256">
        <v>0</v>
      </c>
      <c r="E4256">
        <v>0</v>
      </c>
      <c r="F4256">
        <v>166</v>
      </c>
    </row>
    <row r="4257" spans="1:6" ht="12.75">
      <c r="A4257" s="2">
        <v>43883.649340277778</v>
      </c>
      <c r="B4257" t="str">
        <f>HYPERLINK("https://twitter.com/forddyce92","@forddyce92")</f>
        <v>@forddyce92</v>
      </c>
      <c r="C4257" t="s">
        <v>3621</v>
      </c>
      <c r="D4257">
        <v>0</v>
      </c>
      <c r="E4257">
        <v>0</v>
      </c>
      <c r="F4257">
        <v>26</v>
      </c>
    </row>
    <row r="4258" spans="1:6" ht="12.75">
      <c r="A4258" s="2">
        <v>43883.648935185185</v>
      </c>
      <c r="B4258" t="str">
        <f>HYPERLINK("https://twitter.com/gokmay","@gokmay")</f>
        <v>@gokmay</v>
      </c>
      <c r="C4258" t="s">
        <v>3622</v>
      </c>
      <c r="D4258">
        <v>0</v>
      </c>
      <c r="E4258">
        <v>0</v>
      </c>
      <c r="F4258">
        <v>4</v>
      </c>
    </row>
    <row r="4259" spans="1:6" ht="12.75">
      <c r="A4259" s="2">
        <v>43883.648287037038</v>
      </c>
      <c r="B4259" t="str">
        <f>HYPERLINK("https://twitter.com/wow_keren","@wow_keren")</f>
        <v>@wow_keren</v>
      </c>
      <c r="C4259" t="s">
        <v>3623</v>
      </c>
      <c r="D4259">
        <v>0</v>
      </c>
      <c r="E4259">
        <v>0</v>
      </c>
      <c r="F4259">
        <v>32012</v>
      </c>
    </row>
    <row r="4260" spans="1:6" ht="12.75">
      <c r="A4260" s="2">
        <v>43883.648263888885</v>
      </c>
      <c r="B4260" t="str">
        <f>HYPERLINK("https://twitter.com/ourstorcy","@ourstorcy")</f>
        <v>@ourstorcy</v>
      </c>
      <c r="C4260" t="s">
        <v>3624</v>
      </c>
      <c r="D4260">
        <v>0</v>
      </c>
      <c r="E4260">
        <v>0</v>
      </c>
      <c r="F4260">
        <v>110</v>
      </c>
    </row>
    <row r="4261" spans="1:6" ht="12.75">
      <c r="A4261" s="2">
        <v>43883.648148148146</v>
      </c>
      <c r="B4261" t="str">
        <f>HYPERLINK("https://twitter.com/ainurroh_mah","@ainurroh_mah")</f>
        <v>@ainurroh_mah</v>
      </c>
      <c r="C4261" t="s">
        <v>3625</v>
      </c>
      <c r="D4261">
        <v>0</v>
      </c>
      <c r="E4261">
        <v>1</v>
      </c>
      <c r="F4261">
        <v>2028</v>
      </c>
    </row>
    <row r="4262" spans="1:6" ht="12.75">
      <c r="A4262" s="2">
        <v>43883.647256944445</v>
      </c>
      <c r="B4262" t="str">
        <f>HYPERLINK("https://twitter.com/kendarinews","@kendarinews")</f>
        <v>@kendarinews</v>
      </c>
      <c r="C4262" t="s">
        <v>3626</v>
      </c>
      <c r="D4262">
        <v>0</v>
      </c>
      <c r="E4262">
        <v>0</v>
      </c>
      <c r="F4262">
        <v>5376</v>
      </c>
    </row>
    <row r="4263" spans="1:6" ht="12.75">
      <c r="A4263" s="2">
        <v>43883.646828703699</v>
      </c>
      <c r="B4263" t="str">
        <f>HYPERLINK("https://twitter.com/Harni46630847","@Harni46630847")</f>
        <v>@Harni46630847</v>
      </c>
      <c r="C4263" t="s">
        <v>2119</v>
      </c>
      <c r="D4263">
        <v>513</v>
      </c>
      <c r="E4263">
        <v>0</v>
      </c>
      <c r="F4263">
        <v>70</v>
      </c>
    </row>
    <row r="4264" spans="1:6" ht="12.75">
      <c r="A4264" s="2">
        <v>43883.646145833336</v>
      </c>
      <c r="B4264" t="str">
        <f>HYPERLINK("https://twitter.com/7Naga10","@7Naga10")</f>
        <v>@7Naga10</v>
      </c>
      <c r="C4264" t="s">
        <v>3627</v>
      </c>
      <c r="D4264">
        <v>0</v>
      </c>
      <c r="E4264">
        <v>0</v>
      </c>
      <c r="F4264">
        <v>134</v>
      </c>
    </row>
    <row r="4265" spans="1:6" ht="12.75">
      <c r="A4265" s="2">
        <v>43883.646134259259</v>
      </c>
      <c r="B4265" t="str">
        <f>HYPERLINK("https://twitter.com/BgawanKusuma","@BgawanKusuma")</f>
        <v>@BgawanKusuma</v>
      </c>
      <c r="C4265" t="s">
        <v>3628</v>
      </c>
      <c r="D4265">
        <v>0</v>
      </c>
      <c r="E4265">
        <v>0</v>
      </c>
      <c r="F4265">
        <v>1131</v>
      </c>
    </row>
    <row r="4266" spans="1:6" ht="12.75">
      <c r="A4266" s="2">
        <v>43883.646018518513</v>
      </c>
      <c r="B4266" t="str">
        <f>HYPERLINK("https://twitter.com/LokadataID","@LokadataID")</f>
        <v>@LokadataID</v>
      </c>
      <c r="C4266" t="s">
        <v>3629</v>
      </c>
      <c r="D4266">
        <v>0</v>
      </c>
      <c r="E4266">
        <v>0</v>
      </c>
      <c r="F4266">
        <v>512783</v>
      </c>
    </row>
    <row r="4267" spans="1:6" ht="12.75">
      <c r="A4267" s="2">
        <v>43883.645266203705</v>
      </c>
      <c r="B4267" t="str">
        <f>HYPERLINK("https://twitter.com/SydSalesman","@SydSalesman")</f>
        <v>@SydSalesman</v>
      </c>
      <c r="C4267" t="s">
        <v>3630</v>
      </c>
      <c r="D4267">
        <v>0</v>
      </c>
      <c r="E4267">
        <v>1</v>
      </c>
      <c r="F4267">
        <v>6256</v>
      </c>
    </row>
    <row r="4268" spans="1:6" ht="12.75">
      <c r="A4268" s="2">
        <v>43883.643923611111</v>
      </c>
      <c r="B4268" t="str">
        <f>HYPERLINK("https://twitter.com/ayahbos","@ayahbos")</f>
        <v>@ayahbos</v>
      </c>
      <c r="C4268" t="s">
        <v>2154</v>
      </c>
      <c r="D4268">
        <v>26</v>
      </c>
      <c r="E4268">
        <v>0</v>
      </c>
      <c r="F4268">
        <v>73</v>
      </c>
    </row>
    <row r="4269" spans="1:6" ht="12.75">
      <c r="A4269" s="2">
        <v>43883.643530092595</v>
      </c>
      <c r="B4269" t="str">
        <f>HYPERLINK("https://twitter.com/PashtunK","@PashtunK")</f>
        <v>@PashtunK</v>
      </c>
      <c r="C4269" t="s">
        <v>3631</v>
      </c>
      <c r="D4269">
        <v>0</v>
      </c>
      <c r="E4269">
        <v>0</v>
      </c>
      <c r="F4269">
        <v>76</v>
      </c>
    </row>
    <row r="4270" spans="1:6" ht="12.75">
      <c r="A4270" s="2">
        <v>43883.642557870371</v>
      </c>
      <c r="B4270" t="str">
        <f>HYPERLINK("https://twitter.com/HaziqKhalili","@HaziqKhalili")</f>
        <v>@HaziqKhalili</v>
      </c>
      <c r="C4270" t="s">
        <v>3632</v>
      </c>
      <c r="D4270">
        <v>0</v>
      </c>
      <c r="E4270">
        <v>0</v>
      </c>
      <c r="F4270">
        <v>350</v>
      </c>
    </row>
    <row r="4271" spans="1:6" ht="12.75">
      <c r="A4271" s="2">
        <v>43883.642546296294</v>
      </c>
      <c r="B4271" t="str">
        <f>HYPERLINK("https://twitter.com/ArandhaClaudia","@ArandhaClaudia")</f>
        <v>@ArandhaClaudia</v>
      </c>
      <c r="C4271" t="s">
        <v>3633</v>
      </c>
      <c r="D4271">
        <v>0</v>
      </c>
      <c r="E4271">
        <v>0</v>
      </c>
      <c r="F4271">
        <v>503</v>
      </c>
    </row>
    <row r="4272" spans="1:6" ht="12.75">
      <c r="A4272" s="2">
        <v>43883.642476851848</v>
      </c>
      <c r="B4272" t="str">
        <f>HYPERLINK("https://twitter.com/BruceEmond","@BruceEmond")</f>
        <v>@BruceEmond</v>
      </c>
      <c r="C4272" t="s">
        <v>3634</v>
      </c>
      <c r="D4272">
        <v>0</v>
      </c>
      <c r="E4272">
        <v>0</v>
      </c>
      <c r="F4272">
        <v>27618</v>
      </c>
    </row>
    <row r="4273" spans="1:6" ht="12.75">
      <c r="A4273" s="2">
        <v>43883.642361111109</v>
      </c>
      <c r="B4273" t="str">
        <f>HYPERLINK("https://twitter.com/lukiswara1","@lukiswara1")</f>
        <v>@lukiswara1</v>
      </c>
      <c r="C4273" t="s">
        <v>2119</v>
      </c>
      <c r="D4273">
        <v>513</v>
      </c>
      <c r="E4273">
        <v>0</v>
      </c>
      <c r="F4273">
        <v>27</v>
      </c>
    </row>
    <row r="4274" spans="1:6" ht="12.75">
      <c r="A4274" s="2">
        <v>43883.642118055555</v>
      </c>
      <c r="B4274" t="str">
        <f>HYPERLINK("https://twitter.com/privaici","@privaici")</f>
        <v>@privaici</v>
      </c>
      <c r="C4274" t="s">
        <v>3635</v>
      </c>
      <c r="D4274">
        <v>0</v>
      </c>
      <c r="E4274">
        <v>0</v>
      </c>
      <c r="F4274">
        <v>1633</v>
      </c>
    </row>
    <row r="4275" spans="1:6" ht="12.75">
      <c r="A4275" s="2">
        <v>43883.641851851848</v>
      </c>
      <c r="B4275" t="str">
        <f>HYPERLINK("https://twitter.com/almascatie","@almascatie")</f>
        <v>@almascatie</v>
      </c>
      <c r="C4275" t="s">
        <v>3636</v>
      </c>
      <c r="D4275">
        <v>0</v>
      </c>
      <c r="E4275">
        <v>0</v>
      </c>
      <c r="F4275">
        <v>6096</v>
      </c>
    </row>
    <row r="4276" spans="1:6" ht="12.75">
      <c r="A4276" s="2">
        <v>43883.641701388886</v>
      </c>
      <c r="B4276" t="str">
        <f>HYPERLINK("https://twitter.com/Pengalana3","@Pengalana3")</f>
        <v>@Pengalana3</v>
      </c>
      <c r="C4276" t="s">
        <v>3637</v>
      </c>
      <c r="D4276">
        <v>0</v>
      </c>
      <c r="E4276">
        <v>0</v>
      </c>
      <c r="F4276">
        <v>1</v>
      </c>
    </row>
    <row r="4277" spans="1:6" ht="12.75">
      <c r="A4277" s="2">
        <v>43883.641597222224</v>
      </c>
      <c r="B4277" t="str">
        <f>HYPERLINK("https://twitter.com/DyahAyuuS","@DyahAyuuS")</f>
        <v>@DyahAyuuS</v>
      </c>
      <c r="C4277" t="s">
        <v>3638</v>
      </c>
      <c r="D4277">
        <v>0</v>
      </c>
      <c r="E4277">
        <v>0</v>
      </c>
      <c r="F4277">
        <v>491</v>
      </c>
    </row>
    <row r="4278" spans="1:6" ht="12.75">
      <c r="A4278" s="2">
        <v>43883.641238425931</v>
      </c>
      <c r="B4278" t="str">
        <f>HYPERLINK("https://twitter.com/Bennyboegiz","@Bennyboegiz")</f>
        <v>@Bennyboegiz</v>
      </c>
      <c r="C4278" t="s">
        <v>3639</v>
      </c>
      <c r="D4278">
        <v>0</v>
      </c>
      <c r="E4278">
        <v>0</v>
      </c>
      <c r="F4278">
        <v>931</v>
      </c>
    </row>
    <row r="4279" spans="1:6" ht="12.75">
      <c r="A4279" s="2">
        <v>43883.638425925921</v>
      </c>
      <c r="B4279" t="str">
        <f>HYPERLINK("https://twitter.com/sarita_adriana","@sarita_adriana")</f>
        <v>@sarita_adriana</v>
      </c>
      <c r="C4279" t="s">
        <v>3640</v>
      </c>
      <c r="D4279">
        <v>0</v>
      </c>
      <c r="E4279">
        <v>0</v>
      </c>
      <c r="F4279">
        <v>144</v>
      </c>
    </row>
    <row r="4280" spans="1:6" ht="12.75">
      <c r="A4280" s="2">
        <v>43883.638287037036</v>
      </c>
      <c r="B4280" t="str">
        <f>HYPERLINK("https://twitter.com/SPWiyono","@SPWiyono")</f>
        <v>@SPWiyono</v>
      </c>
      <c r="C4280" t="s">
        <v>3641</v>
      </c>
      <c r="D4280">
        <v>0</v>
      </c>
      <c r="E4280">
        <v>0</v>
      </c>
      <c r="F4280">
        <v>289</v>
      </c>
    </row>
    <row r="4281" spans="1:6" ht="12.75">
      <c r="A4281" s="2">
        <v>43883.638043981482</v>
      </c>
      <c r="B4281" t="str">
        <f>HYPERLINK("https://twitter.com/garfieldgemok","@garfieldgemok")</f>
        <v>@garfieldgemok</v>
      </c>
      <c r="C4281" t="s">
        <v>3090</v>
      </c>
      <c r="D4281">
        <v>89</v>
      </c>
      <c r="E4281">
        <v>0</v>
      </c>
      <c r="F4281">
        <v>45</v>
      </c>
    </row>
    <row r="4282" spans="1:6" ht="12.75">
      <c r="A4282" s="2">
        <v>43883.637291666666</v>
      </c>
      <c r="B4282" t="str">
        <f>HYPERLINK("https://twitter.com/tribunbatamku","@tribunbatamku")</f>
        <v>@tribunbatamku</v>
      </c>
      <c r="C4282" t="s">
        <v>3642</v>
      </c>
      <c r="D4282">
        <v>0</v>
      </c>
      <c r="E4282">
        <v>0</v>
      </c>
      <c r="F4282">
        <v>5290</v>
      </c>
    </row>
    <row r="4283" spans="1:6" ht="12.75">
      <c r="A4283" s="2">
        <v>43883.636840277773</v>
      </c>
      <c r="B4283" t="str">
        <f>HYPERLINK("https://twitter.com/gegardo","@gegardo")</f>
        <v>@gegardo</v>
      </c>
      <c r="C4283" t="s">
        <v>3643</v>
      </c>
      <c r="D4283">
        <v>0</v>
      </c>
      <c r="E4283">
        <v>0</v>
      </c>
      <c r="F4283">
        <v>607</v>
      </c>
    </row>
    <row r="4284" spans="1:6" ht="12.75">
      <c r="A4284" s="2">
        <v>43883.636203703703</v>
      </c>
      <c r="B4284" t="str">
        <f>HYPERLINK("https://twitter.com/QodrunHunter99","@QodrunHunter99")</f>
        <v>@QodrunHunter99</v>
      </c>
      <c r="C4284" t="s">
        <v>2154</v>
      </c>
      <c r="D4284">
        <v>26</v>
      </c>
      <c r="E4284">
        <v>0</v>
      </c>
      <c r="F4284">
        <v>4054</v>
      </c>
    </row>
    <row r="4285" spans="1:6" ht="12.75">
      <c r="A4285" s="2">
        <v>43883.636064814811</v>
      </c>
      <c r="B4285" t="str">
        <f>HYPERLINK("https://twitter.com/lalaadils","@lalaadils")</f>
        <v>@lalaadils</v>
      </c>
      <c r="C4285" t="s">
        <v>1407</v>
      </c>
      <c r="D4285">
        <v>9743</v>
      </c>
      <c r="E4285">
        <v>0</v>
      </c>
      <c r="F4285">
        <v>490</v>
      </c>
    </row>
    <row r="4286" spans="1:6" ht="12.75">
      <c r="A4286" s="2">
        <v>43883.635798611111</v>
      </c>
      <c r="B4286" t="str">
        <f>HYPERLINK("https://twitter.com/imanhidayat1280","@imanhidayat1280")</f>
        <v>@imanhidayat1280</v>
      </c>
      <c r="C4286" t="s">
        <v>2119</v>
      </c>
      <c r="D4286">
        <v>513</v>
      </c>
      <c r="E4286">
        <v>0</v>
      </c>
      <c r="F4286">
        <v>611</v>
      </c>
    </row>
    <row r="4287" spans="1:6" ht="12.75">
      <c r="A4287" s="2">
        <v>43883.634074074071</v>
      </c>
      <c r="B4287" t="str">
        <f>HYPERLINK("https://twitter.com/Shafa_hussain","@Shafa_hussain")</f>
        <v>@Shafa_hussain</v>
      </c>
      <c r="C4287" t="s">
        <v>2711</v>
      </c>
      <c r="D4287">
        <v>187</v>
      </c>
      <c r="E4287">
        <v>0</v>
      </c>
      <c r="F4287">
        <v>801</v>
      </c>
    </row>
    <row r="4288" spans="1:6" ht="12.75">
      <c r="A4288" s="2">
        <v>43883.633668981478</v>
      </c>
      <c r="B4288" t="str">
        <f>HYPERLINK("https://twitter.com/AhlulQohwah","@AhlulQohwah")</f>
        <v>@AhlulQohwah</v>
      </c>
      <c r="C4288" t="s">
        <v>3644</v>
      </c>
      <c r="D4288">
        <v>1</v>
      </c>
      <c r="E4288">
        <v>0</v>
      </c>
      <c r="F4288">
        <v>10233</v>
      </c>
    </row>
    <row r="4289" spans="1:6" ht="12.75">
      <c r="A4289" s="2">
        <v>43883.633159722223</v>
      </c>
      <c r="B4289" t="str">
        <f>HYPERLINK("https://twitter.com/KangAzzev","@KangAzzev")</f>
        <v>@KangAzzev</v>
      </c>
      <c r="C4289" t="s">
        <v>2099</v>
      </c>
      <c r="D4289">
        <v>43</v>
      </c>
      <c r="E4289">
        <v>0</v>
      </c>
      <c r="F4289">
        <v>737</v>
      </c>
    </row>
    <row r="4290" spans="1:6" ht="12.75">
      <c r="A4290" s="2">
        <v>43883.633043981477</v>
      </c>
      <c r="B4290" t="str">
        <f>HYPERLINK("https://twitter.com/AnakKolong___","@AnakKolong___")</f>
        <v>@AnakKolong___</v>
      </c>
      <c r="C4290" t="s">
        <v>3645</v>
      </c>
      <c r="D4290">
        <v>1</v>
      </c>
      <c r="E4290">
        <v>0</v>
      </c>
      <c r="F4290">
        <v>6544</v>
      </c>
    </row>
    <row r="4291" spans="1:6" ht="12.75">
      <c r="A4291" s="2">
        <v>43883.633009259254</v>
      </c>
      <c r="B4291" t="str">
        <f t="shared" ref="B4291:B4292" si="92">HYPERLINK("https://twitter.com/KangAzzev","@KangAzzev")</f>
        <v>@KangAzzev</v>
      </c>
      <c r="C4291" t="s">
        <v>2098</v>
      </c>
      <c r="D4291">
        <v>47</v>
      </c>
      <c r="E4291">
        <v>0</v>
      </c>
      <c r="F4291">
        <v>737</v>
      </c>
    </row>
    <row r="4292" spans="1:6" ht="12.75">
      <c r="A4292" s="2">
        <v>43883.632847222223</v>
      </c>
      <c r="B4292" t="str">
        <f t="shared" si="92"/>
        <v>@KangAzzev</v>
      </c>
      <c r="C4292" t="s">
        <v>2100</v>
      </c>
      <c r="D4292">
        <v>54</v>
      </c>
      <c r="E4292">
        <v>0</v>
      </c>
      <c r="F4292">
        <v>737</v>
      </c>
    </row>
    <row r="4293" spans="1:6" ht="12.75">
      <c r="A4293" s="2">
        <v>43883.632835648154</v>
      </c>
      <c r="B4293" t="str">
        <f>HYPERLINK("https://twitter.com/PDIPmagetan","@PDIPmagetan")</f>
        <v>@PDIPmagetan</v>
      </c>
      <c r="C4293" t="s">
        <v>3646</v>
      </c>
      <c r="D4293">
        <v>0</v>
      </c>
      <c r="E4293">
        <v>0</v>
      </c>
      <c r="F4293">
        <v>711</v>
      </c>
    </row>
    <row r="4294" spans="1:6" ht="12.75">
      <c r="A4294" s="2">
        <v>43883.632731481484</v>
      </c>
      <c r="B4294" t="str">
        <f>HYPERLINK("https://twitter.com/abah_teddy","@abah_teddy")</f>
        <v>@abah_teddy</v>
      </c>
      <c r="C4294" t="s">
        <v>3647</v>
      </c>
      <c r="D4294">
        <v>0</v>
      </c>
      <c r="E4294">
        <v>0</v>
      </c>
      <c r="F4294">
        <v>429</v>
      </c>
    </row>
    <row r="4295" spans="1:6" ht="12.75">
      <c r="A4295" s="2">
        <v>43883.632395833338</v>
      </c>
      <c r="B4295" t="str">
        <f>HYPERLINK("https://twitter.com/eko_wi","@eko_wi")</f>
        <v>@eko_wi</v>
      </c>
      <c r="C4295" t="s">
        <v>2880</v>
      </c>
      <c r="D4295">
        <v>22</v>
      </c>
      <c r="E4295">
        <v>0</v>
      </c>
      <c r="F4295">
        <v>3547</v>
      </c>
    </row>
    <row r="4296" spans="1:6" ht="12.75">
      <c r="A4296" s="2">
        <v>43883.63108796296</v>
      </c>
      <c r="B4296" t="str">
        <f>HYPERLINK("https://twitter.com/Brunowicaksono","@Brunowicaksono")</f>
        <v>@Brunowicaksono</v>
      </c>
      <c r="C4296" t="s">
        <v>3593</v>
      </c>
      <c r="D4296">
        <v>5</v>
      </c>
      <c r="E4296">
        <v>0</v>
      </c>
      <c r="F4296">
        <v>1781</v>
      </c>
    </row>
    <row r="4297" spans="1:6" ht="12.75">
      <c r="A4297" s="2">
        <v>43883.630752314813</v>
      </c>
      <c r="B4297" t="str">
        <f>HYPERLINK("https://twitter.com/ezradeoo","@ezradeoo")</f>
        <v>@ezradeoo</v>
      </c>
      <c r="C4297" t="s">
        <v>2190</v>
      </c>
      <c r="D4297">
        <v>20</v>
      </c>
      <c r="E4297">
        <v>0</v>
      </c>
      <c r="F4297">
        <v>11</v>
      </c>
    </row>
    <row r="4298" spans="1:6" ht="12.75">
      <c r="A4298" s="2">
        <v>43883.630046296297</v>
      </c>
      <c r="B4298" t="str">
        <f>HYPERLINK("https://twitter.com/kjrikuching","@kjrikuching")</f>
        <v>@kjrikuching</v>
      </c>
      <c r="C4298" t="s">
        <v>3648</v>
      </c>
      <c r="D4298">
        <v>0</v>
      </c>
      <c r="E4298">
        <v>0</v>
      </c>
      <c r="F4298">
        <v>147</v>
      </c>
    </row>
    <row r="4299" spans="1:6" ht="12.75">
      <c r="A4299" s="2">
        <v>43883.628576388888</v>
      </c>
      <c r="B4299" t="str">
        <f>HYPERLINK("https://twitter.com/alvaryo","@alvaryo")</f>
        <v>@alvaryo</v>
      </c>
      <c r="C4299" t="s">
        <v>3649</v>
      </c>
      <c r="D4299">
        <v>0</v>
      </c>
      <c r="E4299">
        <v>0</v>
      </c>
      <c r="F4299">
        <v>81</v>
      </c>
    </row>
    <row r="4300" spans="1:6" ht="12.75">
      <c r="A4300" s="2">
        <v>43883.628171296295</v>
      </c>
      <c r="B4300" t="str">
        <f>HYPERLINK("https://twitter.com/mbahbeungeud","@mbahbeungeud")</f>
        <v>@mbahbeungeud</v>
      </c>
      <c r="C4300" t="s">
        <v>2190</v>
      </c>
      <c r="D4300">
        <v>20</v>
      </c>
      <c r="E4300">
        <v>0</v>
      </c>
      <c r="F4300">
        <v>360</v>
      </c>
    </row>
    <row r="4301" spans="1:6" ht="12.75">
      <c r="A4301" s="2">
        <v>43883.62799768518</v>
      </c>
      <c r="B4301" t="str">
        <f>HYPERLINK("https://twitter.com/bigcatnergy","@bigcatnergy")</f>
        <v>@bigcatnergy</v>
      </c>
      <c r="C4301" t="s">
        <v>3090</v>
      </c>
      <c r="D4301">
        <v>89</v>
      </c>
      <c r="E4301">
        <v>0</v>
      </c>
      <c r="F4301">
        <v>397</v>
      </c>
    </row>
    <row r="4302" spans="1:6" ht="12.75">
      <c r="A4302" s="2">
        <v>43883.627696759257</v>
      </c>
      <c r="B4302" t="str">
        <f>HYPERLINK("https://twitter.com/ellys_kerhi","@ellys_kerhi")</f>
        <v>@ellys_kerhi</v>
      </c>
      <c r="C4302" t="s">
        <v>3650</v>
      </c>
      <c r="D4302">
        <v>0</v>
      </c>
      <c r="E4302">
        <v>0</v>
      </c>
      <c r="F4302">
        <v>1066</v>
      </c>
    </row>
    <row r="4303" spans="1:6" ht="12.75">
      <c r="A4303" s="2">
        <v>43883.625694444447</v>
      </c>
      <c r="B4303" t="str">
        <f>HYPERLINK("https://twitter.com/the_geotimes","@the_geotimes")</f>
        <v>@the_geotimes</v>
      </c>
      <c r="C4303" t="s">
        <v>2139</v>
      </c>
      <c r="D4303">
        <v>0</v>
      </c>
      <c r="E4303">
        <v>0</v>
      </c>
      <c r="F4303">
        <v>49596</v>
      </c>
    </row>
    <row r="4304" spans="1:6" ht="12.75">
      <c r="A4304" s="2">
        <v>43883.625092592592</v>
      </c>
      <c r="B4304" t="str">
        <f>HYPERLINK("https://twitter.com/notandes","@notandes")</f>
        <v>@notandes</v>
      </c>
      <c r="C4304" t="s">
        <v>3651</v>
      </c>
      <c r="D4304">
        <v>0</v>
      </c>
      <c r="E4304">
        <v>0</v>
      </c>
      <c r="F4304">
        <v>7</v>
      </c>
    </row>
    <row r="4305" spans="1:6" ht="12.75">
      <c r="A4305" s="2">
        <v>43883.625</v>
      </c>
      <c r="B4305" t="str">
        <f>HYPERLINK("https://twitter.com/tempodotco","@tempodotco")</f>
        <v>@tempodotco</v>
      </c>
      <c r="C4305" t="s">
        <v>3652</v>
      </c>
      <c r="D4305">
        <v>0</v>
      </c>
      <c r="E4305">
        <v>2</v>
      </c>
      <c r="F4305">
        <v>1708799</v>
      </c>
    </row>
    <row r="4306" spans="1:6" ht="12.75">
      <c r="A4306" s="2">
        <v>43883.62436342593</v>
      </c>
      <c r="B4306" t="str">
        <f>HYPERLINK("https://twitter.com/shyrifx","@shyrifx")</f>
        <v>@shyrifx</v>
      </c>
      <c r="C4306" t="s">
        <v>2154</v>
      </c>
      <c r="D4306">
        <v>23</v>
      </c>
      <c r="E4306">
        <v>0</v>
      </c>
      <c r="F4306">
        <v>1219</v>
      </c>
    </row>
    <row r="4307" spans="1:6" ht="12.75">
      <c r="A4307" s="2">
        <v>43883.623935185184</v>
      </c>
      <c r="B4307" t="str">
        <f>HYPERLINK("https://twitter.com/panduwo","@panduwo")</f>
        <v>@panduwo</v>
      </c>
      <c r="C4307" t="s">
        <v>3653</v>
      </c>
      <c r="D4307">
        <v>0</v>
      </c>
      <c r="E4307">
        <v>0</v>
      </c>
      <c r="F4307">
        <v>314</v>
      </c>
    </row>
    <row r="4308" spans="1:6" ht="12.75">
      <c r="A4308" s="2">
        <v>43883.623553240745</v>
      </c>
      <c r="B4308" t="str">
        <f>HYPERLINK("https://twitter.com/minaaaaaaa93","@minaaaaaaa93")</f>
        <v>@minaaaaaaa93</v>
      </c>
      <c r="C4308" t="s">
        <v>2897</v>
      </c>
      <c r="D4308">
        <v>3</v>
      </c>
      <c r="E4308">
        <v>0</v>
      </c>
      <c r="F4308">
        <v>185</v>
      </c>
    </row>
    <row r="4309" spans="1:6" ht="12.75">
      <c r="A4309" s="2">
        <v>43883.623182870375</v>
      </c>
      <c r="B4309" t="str">
        <f>HYPERLINK("https://twitter.com/q___cilik","@q___cilik")</f>
        <v>@q___cilik</v>
      </c>
      <c r="C4309" t="s">
        <v>2154</v>
      </c>
      <c r="D4309">
        <v>23</v>
      </c>
      <c r="E4309">
        <v>0</v>
      </c>
      <c r="F4309">
        <v>2564</v>
      </c>
    </row>
    <row r="4310" spans="1:6" ht="12.75">
      <c r="A4310" s="2">
        <v>43883.622627314813</v>
      </c>
      <c r="B4310" t="str">
        <f>HYPERLINK("https://twitter.com/desidhee","@desidhee")</f>
        <v>@desidhee</v>
      </c>
      <c r="C4310" t="s">
        <v>3654</v>
      </c>
      <c r="D4310">
        <v>0</v>
      </c>
      <c r="E4310">
        <v>0</v>
      </c>
      <c r="F4310">
        <v>416</v>
      </c>
    </row>
    <row r="4311" spans="1:6" ht="12.75">
      <c r="A4311" s="2">
        <v>43883.622060185182</v>
      </c>
      <c r="B4311" t="str">
        <f>HYPERLINK("https://twitter.com/hate_HTi","@hate_HTi")</f>
        <v>@hate_HTi</v>
      </c>
      <c r="C4311" t="s">
        <v>2154</v>
      </c>
      <c r="D4311">
        <v>23</v>
      </c>
      <c r="E4311">
        <v>0</v>
      </c>
      <c r="F4311">
        <v>4487</v>
      </c>
    </row>
    <row r="4312" spans="1:6" ht="12.75">
      <c r="A4312" s="2">
        <v>43883.621469907404</v>
      </c>
      <c r="B4312" t="str">
        <f>HYPERLINK("https://twitter.com/stannxxxx","@stannxxxx")</f>
        <v>@stannxxxx</v>
      </c>
      <c r="C4312" t="s">
        <v>2190</v>
      </c>
      <c r="D4312">
        <v>16</v>
      </c>
      <c r="E4312">
        <v>0</v>
      </c>
      <c r="F4312">
        <v>48</v>
      </c>
    </row>
    <row r="4313" spans="1:6" ht="12.75">
      <c r="A4313" s="2">
        <v>43883.620949074073</v>
      </c>
      <c r="B4313" t="str">
        <f>HYPERLINK("https://twitter.com/iRiodile","@iRiodile")</f>
        <v>@iRiodile</v>
      </c>
      <c r="C4313" t="s">
        <v>2113</v>
      </c>
      <c r="D4313">
        <v>1</v>
      </c>
      <c r="E4313">
        <v>0</v>
      </c>
      <c r="F4313">
        <v>702</v>
      </c>
    </row>
    <row r="4314" spans="1:6" ht="12.75">
      <c r="A4314" s="2">
        <v>43883.620752314819</v>
      </c>
      <c r="B4314" t="str">
        <f>HYPERLINK("https://twitter.com/rs1m01976","@rs1m01976")</f>
        <v>@rs1m01976</v>
      </c>
      <c r="C4314" t="s">
        <v>2154</v>
      </c>
      <c r="D4314">
        <v>23</v>
      </c>
      <c r="E4314">
        <v>0</v>
      </c>
      <c r="F4314">
        <v>1421</v>
      </c>
    </row>
    <row r="4315" spans="1:6" ht="12.75">
      <c r="A4315" s="2">
        <v>43883.618842592594</v>
      </c>
      <c r="B4315" t="str">
        <f>HYPERLINK("https://twitter.com/NinaAdjignon","@NinaAdjignon")</f>
        <v>@NinaAdjignon</v>
      </c>
      <c r="C4315" t="s">
        <v>3655</v>
      </c>
      <c r="D4315">
        <v>0</v>
      </c>
      <c r="E4315">
        <v>0</v>
      </c>
      <c r="F4315">
        <v>619</v>
      </c>
    </row>
    <row r="4316" spans="1:6" ht="12.75">
      <c r="A4316" s="2">
        <v>43883.617592592593</v>
      </c>
      <c r="B4316" t="str">
        <f>HYPERLINK("https://twitter.com/milly_maz","@milly_maz")</f>
        <v>@milly_maz</v>
      </c>
      <c r="C4316" t="s">
        <v>3090</v>
      </c>
      <c r="D4316">
        <v>83</v>
      </c>
      <c r="E4316">
        <v>0</v>
      </c>
      <c r="F4316">
        <v>464</v>
      </c>
    </row>
    <row r="4317" spans="1:6" ht="12.75">
      <c r="A4317" s="2">
        <v>43883.617291666669</v>
      </c>
      <c r="B4317" t="str">
        <f>HYPERLINK("https://twitter.com/Nusantara_TV","@Nusantara_TV")</f>
        <v>@Nusantara_TV</v>
      </c>
      <c r="C4317" t="s">
        <v>3656</v>
      </c>
      <c r="D4317">
        <v>0</v>
      </c>
      <c r="E4317">
        <v>0</v>
      </c>
      <c r="F4317">
        <v>491</v>
      </c>
    </row>
    <row r="4318" spans="1:6" ht="12.75">
      <c r="A4318" s="2">
        <v>43883.617048611108</v>
      </c>
      <c r="B4318" t="str">
        <f>HYPERLINK("https://twitter.com/veraagustian_","@veraagustian_")</f>
        <v>@veraagustian_</v>
      </c>
      <c r="C4318" t="s">
        <v>3657</v>
      </c>
      <c r="D4318">
        <v>0</v>
      </c>
      <c r="E4318">
        <v>0</v>
      </c>
      <c r="F4318">
        <v>2991</v>
      </c>
    </row>
    <row r="4319" spans="1:6" ht="12.75">
      <c r="A4319" s="2">
        <v>43883.616666666669</v>
      </c>
      <c r="B4319" t="str">
        <f>HYPERLINK("https://twitter.com/SonoraFM92","@SonoraFM92")</f>
        <v>@SonoraFM92</v>
      </c>
      <c r="C4319" t="s">
        <v>2114</v>
      </c>
      <c r="D4319">
        <v>1</v>
      </c>
      <c r="E4319">
        <v>3</v>
      </c>
      <c r="F4319">
        <v>292850</v>
      </c>
    </row>
    <row r="4320" spans="1:6" ht="12.75">
      <c r="A4320" s="2">
        <v>43883.61513888889</v>
      </c>
      <c r="B4320" t="str">
        <f>HYPERLINK("https://twitter.com/hapsarah","@hapsarah")</f>
        <v>@hapsarah</v>
      </c>
      <c r="C4320" t="s">
        <v>2119</v>
      </c>
      <c r="D4320">
        <v>509</v>
      </c>
      <c r="E4320">
        <v>0</v>
      </c>
      <c r="F4320">
        <v>386</v>
      </c>
    </row>
    <row r="4321" spans="1:6" ht="12.75">
      <c r="A4321" s="2">
        <v>43883.614641203705</v>
      </c>
      <c r="B4321" t="str">
        <f t="shared" ref="B4321:B4322" si="93">HYPERLINK("https://twitter.com/richard38846789","@richard38846789")</f>
        <v>@richard38846789</v>
      </c>
      <c r="C4321" t="s">
        <v>3658</v>
      </c>
      <c r="D4321">
        <v>0</v>
      </c>
      <c r="E4321">
        <v>0</v>
      </c>
      <c r="F4321">
        <v>3</v>
      </c>
    </row>
    <row r="4322" spans="1:6" ht="12.75">
      <c r="A4322" s="2">
        <v>43883.613333333335</v>
      </c>
      <c r="B4322" t="str">
        <f t="shared" si="93"/>
        <v>@richard38846789</v>
      </c>
      <c r="C4322" t="s">
        <v>3659</v>
      </c>
      <c r="D4322">
        <v>0</v>
      </c>
      <c r="E4322">
        <v>0</v>
      </c>
      <c r="F4322">
        <v>3</v>
      </c>
    </row>
    <row r="4323" spans="1:6" ht="12.75">
      <c r="A4323" s="2">
        <v>43883.612291666665</v>
      </c>
      <c r="B4323" t="str">
        <f>HYPERLINK("https://twitter.com/ikay189","@ikay189")</f>
        <v>@ikay189</v>
      </c>
      <c r="C4323" t="s">
        <v>3660</v>
      </c>
      <c r="D4323">
        <v>0</v>
      </c>
      <c r="E4323">
        <v>0</v>
      </c>
      <c r="F4323">
        <v>48</v>
      </c>
    </row>
    <row r="4324" spans="1:6" ht="12.75">
      <c r="A4324" s="2">
        <v>43883.612083333333</v>
      </c>
      <c r="B4324" t="str">
        <f>HYPERLINK("https://twitter.com/AffiqRosli","@AffiqRosli")</f>
        <v>@AffiqRosli</v>
      </c>
      <c r="C4324" t="s">
        <v>3090</v>
      </c>
      <c r="D4324">
        <v>83</v>
      </c>
      <c r="E4324">
        <v>0</v>
      </c>
      <c r="F4324">
        <v>146</v>
      </c>
    </row>
    <row r="4325" spans="1:6" ht="12.75">
      <c r="A4325" s="2">
        <v>43883.610520833332</v>
      </c>
      <c r="B4325" t="str">
        <f>HYPERLINK("https://twitter.com/maninsaudade","@maninsaudade")</f>
        <v>@maninsaudade</v>
      </c>
      <c r="C4325" t="s">
        <v>3090</v>
      </c>
      <c r="D4325">
        <v>83</v>
      </c>
      <c r="E4325">
        <v>0</v>
      </c>
      <c r="F4325">
        <v>11</v>
      </c>
    </row>
    <row r="4326" spans="1:6" ht="12.75">
      <c r="A4326" s="2">
        <v>43883.61042824074</v>
      </c>
      <c r="B4326" t="str">
        <f>HYPERLINK("https://twitter.com/dwioktariyadi","@dwioktariyadi")</f>
        <v>@dwioktariyadi</v>
      </c>
      <c r="C4326" t="s">
        <v>3661</v>
      </c>
      <c r="D4326">
        <v>6</v>
      </c>
      <c r="E4326">
        <v>0</v>
      </c>
      <c r="F4326">
        <v>697</v>
      </c>
    </row>
    <row r="4327" spans="1:6" ht="12.75">
      <c r="A4327" s="2">
        <v>43883.608877314815</v>
      </c>
      <c r="B4327" t="str">
        <f>HYPERLINK("https://twitter.com/imyrbaby","@imyrbaby")</f>
        <v>@imyrbaby</v>
      </c>
      <c r="C4327" t="s">
        <v>3090</v>
      </c>
      <c r="D4327">
        <v>83</v>
      </c>
      <c r="E4327">
        <v>0</v>
      </c>
      <c r="F4327">
        <v>199</v>
      </c>
    </row>
    <row r="4328" spans="1:6" ht="12.75">
      <c r="A4328" s="2">
        <v>43883.608680555553</v>
      </c>
      <c r="B4328" t="str">
        <f>HYPERLINK("https://twitter.com/hemaviton99","@hemaviton99")</f>
        <v>@hemaviton99</v>
      </c>
      <c r="C4328" t="s">
        <v>3662</v>
      </c>
      <c r="D4328">
        <v>1</v>
      </c>
      <c r="E4328">
        <v>0</v>
      </c>
      <c r="F4328">
        <v>4488</v>
      </c>
    </row>
    <row r="4329" spans="1:6" ht="12.75">
      <c r="A4329" s="2">
        <v>43883.608634259261</v>
      </c>
      <c r="B4329" t="str">
        <f>HYPERLINK("https://twitter.com/MondyJacob","@MondyJacob")</f>
        <v>@MondyJacob</v>
      </c>
      <c r="C4329" t="s">
        <v>2154</v>
      </c>
      <c r="D4329">
        <v>23</v>
      </c>
      <c r="E4329">
        <v>0</v>
      </c>
      <c r="F4329">
        <v>203</v>
      </c>
    </row>
    <row r="4330" spans="1:6" ht="12.75">
      <c r="A4330" s="2">
        <v>43883.60832175926</v>
      </c>
      <c r="B4330" t="str">
        <f>HYPERLINK("https://twitter.com/BatamPos","@BatamPos")</f>
        <v>@BatamPos</v>
      </c>
      <c r="C4330" t="s">
        <v>3663</v>
      </c>
      <c r="D4330">
        <v>0</v>
      </c>
      <c r="E4330">
        <v>0</v>
      </c>
      <c r="F4330">
        <v>67392</v>
      </c>
    </row>
    <row r="4331" spans="1:6" ht="12.75">
      <c r="A4331" s="2">
        <v>43883.608263888891</v>
      </c>
      <c r="B4331" t="str">
        <f>HYPERLINK("https://twitter.com/KecebongGembul","@KecebongGembul")</f>
        <v>@KecebongGembul</v>
      </c>
      <c r="C4331" t="s">
        <v>3664</v>
      </c>
      <c r="D4331">
        <v>1</v>
      </c>
      <c r="E4331">
        <v>2</v>
      </c>
      <c r="F4331">
        <v>515</v>
      </c>
    </row>
    <row r="4332" spans="1:6" ht="12.75">
      <c r="A4332" s="2">
        <v>43883.607812499999</v>
      </c>
      <c r="B4332" t="str">
        <f>HYPERLINK("https://twitter.com/BorayFrans","@BorayFrans")</f>
        <v>@BorayFrans</v>
      </c>
      <c r="C4332" t="s">
        <v>3665</v>
      </c>
      <c r="D4332">
        <v>1</v>
      </c>
      <c r="E4332">
        <v>0</v>
      </c>
      <c r="F4332">
        <v>172</v>
      </c>
    </row>
    <row r="4333" spans="1:6" ht="12.75">
      <c r="A4333" s="2">
        <v>43883.606608796297</v>
      </c>
      <c r="B4333" t="str">
        <f>HYPERLINK("https://twitter.com/Yeyen41020695","@Yeyen41020695")</f>
        <v>@Yeyen41020695</v>
      </c>
      <c r="C4333" t="s">
        <v>3666</v>
      </c>
      <c r="D4333">
        <v>1</v>
      </c>
      <c r="E4333">
        <v>0</v>
      </c>
      <c r="F4333">
        <v>1460</v>
      </c>
    </row>
    <row r="4334" spans="1:6" ht="12.75">
      <c r="A4334" s="2">
        <v>43883.605879629627</v>
      </c>
      <c r="B4334" t="str">
        <f>HYPERLINK("https://twitter.com/nrhshmhkml","@nrhshmhkml")</f>
        <v>@nrhshmhkml</v>
      </c>
      <c r="C4334" t="s">
        <v>3090</v>
      </c>
      <c r="D4334">
        <v>83</v>
      </c>
      <c r="E4334">
        <v>0</v>
      </c>
      <c r="F4334">
        <v>469</v>
      </c>
    </row>
    <row r="4335" spans="1:6" ht="12.75">
      <c r="A4335" s="2">
        <v>43883.60564814815</v>
      </c>
      <c r="B4335" t="str">
        <f>HYPERLINK("https://twitter.com/Julie_Luvita","@Julie_Luvita")</f>
        <v>@Julie_Luvita</v>
      </c>
      <c r="C4335" t="s">
        <v>3667</v>
      </c>
      <c r="D4335">
        <v>0</v>
      </c>
      <c r="E4335">
        <v>2</v>
      </c>
      <c r="F4335">
        <v>11700</v>
      </c>
    </row>
    <row r="4336" spans="1:6" ht="12.75">
      <c r="A4336" s="2">
        <v>43883.604999999996</v>
      </c>
      <c r="B4336" t="str">
        <f>HYPERLINK("https://twitter.com/Sarang984","@Sarang984")</f>
        <v>@Sarang984</v>
      </c>
      <c r="C4336" t="s">
        <v>3668</v>
      </c>
      <c r="D4336">
        <v>0</v>
      </c>
      <c r="E4336">
        <v>0</v>
      </c>
      <c r="F4336">
        <v>12</v>
      </c>
    </row>
    <row r="4337" spans="1:6" ht="12.75">
      <c r="A4337" s="2">
        <v>43883.604837962965</v>
      </c>
      <c r="B4337" t="str">
        <f>HYPERLINK("https://twitter.com/w__dox","@w__dox")</f>
        <v>@w__dox</v>
      </c>
      <c r="C4337" t="s">
        <v>3090</v>
      </c>
      <c r="D4337">
        <v>83</v>
      </c>
      <c r="E4337">
        <v>0</v>
      </c>
      <c r="F4337">
        <v>167</v>
      </c>
    </row>
    <row r="4338" spans="1:6" ht="12.75">
      <c r="A4338" s="2">
        <v>43883.604710648149</v>
      </c>
      <c r="B4338" t="str">
        <f>HYPERLINK("https://twitter.com/dhiart","@dhiart")</f>
        <v>@dhiart</v>
      </c>
      <c r="C4338" t="s">
        <v>2119</v>
      </c>
      <c r="D4338">
        <v>509</v>
      </c>
      <c r="E4338">
        <v>0</v>
      </c>
      <c r="F4338">
        <v>436</v>
      </c>
    </row>
    <row r="4339" spans="1:6" ht="12.75">
      <c r="A4339" s="2">
        <v>43883.604317129633</v>
      </c>
      <c r="B4339" t="str">
        <f>HYPERLINK("https://twitter.com/ALINGGAon6","@ALINGGAon6")</f>
        <v>@ALINGGAon6</v>
      </c>
      <c r="C4339" t="s">
        <v>2154</v>
      </c>
      <c r="D4339">
        <v>23</v>
      </c>
      <c r="E4339">
        <v>0</v>
      </c>
      <c r="F4339">
        <v>961</v>
      </c>
    </row>
    <row r="4340" spans="1:6" ht="12.75">
      <c r="A4340" s="2">
        <v>43883.60428240741</v>
      </c>
      <c r="B4340" t="str">
        <f>HYPERLINK("https://twitter.com/todays_qoute","@todays_qoute")</f>
        <v>@todays_qoute</v>
      </c>
      <c r="C4340" t="s">
        <v>3669</v>
      </c>
      <c r="D4340">
        <v>0</v>
      </c>
      <c r="E4340">
        <v>2</v>
      </c>
      <c r="F4340">
        <v>17293</v>
      </c>
    </row>
    <row r="4341" spans="1:6" ht="12.75">
      <c r="A4341" s="2">
        <v>43883.604131944448</v>
      </c>
      <c r="B4341" t="str">
        <f>HYPERLINK("https://twitter.com/_muhmdmzln","@_muhmdmzln")</f>
        <v>@_muhmdmzln</v>
      </c>
      <c r="C4341" t="s">
        <v>3670</v>
      </c>
      <c r="D4341">
        <v>0</v>
      </c>
      <c r="E4341">
        <v>0</v>
      </c>
      <c r="F4341">
        <v>281</v>
      </c>
    </row>
    <row r="4342" spans="1:6" ht="12.75">
      <c r="A4342" s="2">
        <v>43883.603622685187</v>
      </c>
      <c r="B4342" t="str">
        <f>HYPERLINK("https://twitter.com/gher_s","@gher_s")</f>
        <v>@gher_s</v>
      </c>
      <c r="C4342" t="s">
        <v>3671</v>
      </c>
      <c r="D4342">
        <v>0</v>
      </c>
      <c r="E4342">
        <v>0</v>
      </c>
      <c r="F4342">
        <v>1011</v>
      </c>
    </row>
    <row r="4343" spans="1:6" ht="12.75">
      <c r="A4343" s="2">
        <v>43883.603472222225</v>
      </c>
      <c r="B4343" t="str">
        <f>HYPERLINK("https://twitter.com/padjar8","@padjar8")</f>
        <v>@padjar8</v>
      </c>
      <c r="C4343" t="s">
        <v>2119</v>
      </c>
      <c r="D4343">
        <v>509</v>
      </c>
      <c r="E4343">
        <v>0</v>
      </c>
      <c r="F4343">
        <v>652</v>
      </c>
    </row>
    <row r="4344" spans="1:6" ht="12.75">
      <c r="A4344" s="2">
        <v>43883.603263888886</v>
      </c>
      <c r="B4344" t="str">
        <f>HYPERLINK("https://twitter.com/mahmudtakyan","@mahmudtakyan")</f>
        <v>@mahmudtakyan</v>
      </c>
      <c r="C4344" t="s">
        <v>3672</v>
      </c>
      <c r="D4344">
        <v>0</v>
      </c>
      <c r="E4344">
        <v>0</v>
      </c>
      <c r="F4344">
        <v>12</v>
      </c>
    </row>
    <row r="4345" spans="1:6" ht="12.75">
      <c r="A4345" s="2">
        <v>43883.603182870371</v>
      </c>
      <c r="B4345" t="str">
        <f>HYPERLINK("https://twitter.com/Ipang186","@Ipang186")</f>
        <v>@Ipang186</v>
      </c>
      <c r="C4345" t="s">
        <v>3673</v>
      </c>
      <c r="D4345">
        <v>0</v>
      </c>
      <c r="E4345">
        <v>0</v>
      </c>
      <c r="F4345">
        <v>24</v>
      </c>
    </row>
    <row r="4346" spans="1:6" ht="12.75">
      <c r="A4346" s="2">
        <v>43883.603125000001</v>
      </c>
      <c r="B4346" t="str">
        <f>HYPERLINK("https://twitter.com/Sri_Sunarsih11","@Sri_Sunarsih11")</f>
        <v>@Sri_Sunarsih11</v>
      </c>
      <c r="C4346" t="s">
        <v>3596</v>
      </c>
      <c r="D4346">
        <v>4</v>
      </c>
      <c r="E4346">
        <v>0</v>
      </c>
      <c r="F4346">
        <v>22</v>
      </c>
    </row>
    <row r="4347" spans="1:6" ht="12.75">
      <c r="A4347" s="2">
        <v>43883.602430555555</v>
      </c>
      <c r="B4347" t="str">
        <f>HYPERLINK("https://twitter.com/don_rahmad","@don_rahmad")</f>
        <v>@don_rahmad</v>
      </c>
      <c r="C4347" t="s">
        <v>3674</v>
      </c>
      <c r="D4347">
        <v>0</v>
      </c>
      <c r="E4347">
        <v>0</v>
      </c>
      <c r="F4347">
        <v>494</v>
      </c>
    </row>
    <row r="4348" spans="1:6" ht="12.75">
      <c r="A4348" s="2">
        <v>43883.602418981478</v>
      </c>
      <c r="B4348" t="str">
        <f>HYPERLINK("https://twitter.com/MemehRahmawati","@MemehRahmawati")</f>
        <v>@MemehRahmawati</v>
      </c>
      <c r="C4348" t="s">
        <v>3675</v>
      </c>
      <c r="D4348">
        <v>0</v>
      </c>
      <c r="E4348">
        <v>0</v>
      </c>
      <c r="F4348">
        <v>1290</v>
      </c>
    </row>
    <row r="4349" spans="1:6" ht="12.75">
      <c r="A4349" s="2">
        <v>43883.602210648147</v>
      </c>
      <c r="B4349" t="str">
        <f>HYPERLINK("https://twitter.com/kbrimanama","@kbrimanama")</f>
        <v>@kbrimanama</v>
      </c>
      <c r="C4349" t="s">
        <v>3676</v>
      </c>
      <c r="D4349">
        <v>0</v>
      </c>
      <c r="E4349">
        <v>0</v>
      </c>
      <c r="F4349">
        <v>1405</v>
      </c>
    </row>
    <row r="4350" spans="1:6" ht="12.75">
      <c r="A4350" s="2">
        <v>43883.601597222223</v>
      </c>
      <c r="B4350" t="str">
        <f>HYPERLINK("https://twitter.com/petrichoryan","@petrichoryan")</f>
        <v>@petrichoryan</v>
      </c>
      <c r="C4350" t="s">
        <v>3677</v>
      </c>
      <c r="D4350">
        <v>0</v>
      </c>
      <c r="E4350">
        <v>0</v>
      </c>
      <c r="F4350">
        <v>1756</v>
      </c>
    </row>
    <row r="4351" spans="1:6" ht="12.75">
      <c r="A4351" s="2">
        <v>43883.6015625</v>
      </c>
      <c r="B4351" t="str">
        <f>HYPERLINK("https://twitter.com/2Sry1609","@2Sry1609")</f>
        <v>@2Sry1609</v>
      </c>
      <c r="C4351" t="s">
        <v>2154</v>
      </c>
      <c r="D4351">
        <v>23</v>
      </c>
      <c r="E4351">
        <v>0</v>
      </c>
      <c r="F4351">
        <v>1636</v>
      </c>
    </row>
    <row r="4352" spans="1:6" ht="12.75">
      <c r="A4352" s="2">
        <v>43883.601145833338</v>
      </c>
      <c r="B4352" t="str">
        <f>HYPERLINK("https://twitter.com/EngGuntur","@EngGuntur")</f>
        <v>@EngGuntur</v>
      </c>
      <c r="C4352" t="s">
        <v>2154</v>
      </c>
      <c r="D4352">
        <v>23</v>
      </c>
      <c r="E4352">
        <v>0</v>
      </c>
      <c r="F4352">
        <v>1989</v>
      </c>
    </row>
    <row r="4353" spans="1:6" ht="12.75">
      <c r="A4353" s="2">
        <v>43883.601018518515</v>
      </c>
      <c r="B4353" t="str">
        <f>HYPERLINK("https://twitter.com/Agha___","@Agha___")</f>
        <v>@Agha___</v>
      </c>
      <c r="C4353" t="s">
        <v>3596</v>
      </c>
      <c r="D4353">
        <v>4</v>
      </c>
      <c r="E4353">
        <v>0</v>
      </c>
      <c r="F4353">
        <v>2629</v>
      </c>
    </row>
    <row r="4354" spans="1:6" ht="12.75">
      <c r="A4354" s="2">
        <v>43883.600590277776</v>
      </c>
      <c r="B4354" t="str">
        <f>HYPERLINK("https://twitter.com/roon3651","@roon3651")</f>
        <v>@roon3651</v>
      </c>
      <c r="C4354" t="s">
        <v>3584</v>
      </c>
      <c r="D4354">
        <v>6</v>
      </c>
      <c r="E4354">
        <v>0</v>
      </c>
      <c r="F4354">
        <v>392</v>
      </c>
    </row>
    <row r="4355" spans="1:6" ht="12.75">
      <c r="A4355" s="2">
        <v>43883.599907407406</v>
      </c>
      <c r="B4355" t="str">
        <f>HYPERLINK("https://twitter.com/scrome78","@scrome78")</f>
        <v>@scrome78</v>
      </c>
      <c r="C4355" t="s">
        <v>3203</v>
      </c>
      <c r="D4355">
        <v>3</v>
      </c>
      <c r="E4355">
        <v>0</v>
      </c>
      <c r="F4355">
        <v>284</v>
      </c>
    </row>
    <row r="4356" spans="1:6" ht="12.75">
      <c r="A4356" s="2">
        <v>43883.599398148144</v>
      </c>
      <c r="B4356" t="str">
        <f>HYPERLINK("https://twitter.com/halalmartmy","@halalmartmy")</f>
        <v>@halalmartmy</v>
      </c>
      <c r="C4356" t="s">
        <v>3678</v>
      </c>
      <c r="D4356">
        <v>0</v>
      </c>
      <c r="E4356">
        <v>0</v>
      </c>
      <c r="F4356">
        <v>456</v>
      </c>
    </row>
    <row r="4357" spans="1:6" ht="12.75">
      <c r="A4357" s="2">
        <v>43883.599386574075</v>
      </c>
      <c r="B4357" t="str">
        <f>HYPERLINK("https://twitter.com/Buce313","@Buce313")</f>
        <v>@Buce313</v>
      </c>
      <c r="C4357" t="s">
        <v>2190</v>
      </c>
      <c r="D4357">
        <v>16</v>
      </c>
      <c r="E4357">
        <v>0</v>
      </c>
      <c r="F4357">
        <v>2094</v>
      </c>
    </row>
    <row r="4358" spans="1:6" ht="12.75">
      <c r="A4358" s="2">
        <v>43883.599351851852</v>
      </c>
      <c r="B4358" t="str">
        <f>HYPERLINK("https://twitter.com/fandifhuh","@fandifhuh")</f>
        <v>@fandifhuh</v>
      </c>
      <c r="C4358" t="s">
        <v>3679</v>
      </c>
      <c r="D4358">
        <v>0</v>
      </c>
      <c r="E4358">
        <v>0</v>
      </c>
      <c r="F4358">
        <v>458</v>
      </c>
    </row>
    <row r="4359" spans="1:6" ht="12.75">
      <c r="A4359" s="2">
        <v>43883.599328703705</v>
      </c>
      <c r="B4359" t="str">
        <f>HYPERLINK("https://twitter.com/wahyuzamani","@wahyuzamani")</f>
        <v>@wahyuzamani</v>
      </c>
      <c r="C4359" t="s">
        <v>3596</v>
      </c>
      <c r="D4359">
        <v>4</v>
      </c>
      <c r="E4359">
        <v>0</v>
      </c>
      <c r="F4359">
        <v>21</v>
      </c>
    </row>
    <row r="4360" spans="1:6" ht="12.75">
      <c r="A4360" s="2">
        <v>43883.598634259259</v>
      </c>
      <c r="B4360" t="str">
        <f>HYPERLINK("https://twitter.com/wbintoro101209","@wbintoro101209")</f>
        <v>@wbintoro101209</v>
      </c>
      <c r="C4360" t="s">
        <v>2154</v>
      </c>
      <c r="D4360">
        <v>23</v>
      </c>
      <c r="E4360">
        <v>0</v>
      </c>
      <c r="F4360">
        <v>319</v>
      </c>
    </row>
    <row r="4361" spans="1:6" ht="12.75">
      <c r="A4361" s="2">
        <v>43883.598055555558</v>
      </c>
      <c r="B4361" t="str">
        <f>HYPERLINK("https://twitter.com/Mugi2Sukses","@Mugi2Sukses")</f>
        <v>@Mugi2Sukses</v>
      </c>
      <c r="C4361" t="s">
        <v>3680</v>
      </c>
      <c r="D4361">
        <v>0</v>
      </c>
      <c r="E4361">
        <v>0</v>
      </c>
      <c r="F4361">
        <v>1374</v>
      </c>
    </row>
    <row r="4362" spans="1:6" ht="12.75">
      <c r="A4362" s="2">
        <v>43883.597557870366</v>
      </c>
      <c r="B4362" t="str">
        <f>HYPERLINK("https://twitter.com/tvOneNews","@tvOneNews")</f>
        <v>@tvOneNews</v>
      </c>
      <c r="C4362" t="s">
        <v>3681</v>
      </c>
      <c r="D4362">
        <v>4</v>
      </c>
      <c r="E4362">
        <v>7</v>
      </c>
      <c r="F4362">
        <v>8718693</v>
      </c>
    </row>
    <row r="4363" spans="1:6" ht="12.75">
      <c r="A4363" s="2">
        <v>43883.597002314811</v>
      </c>
      <c r="B4363" t="str">
        <f>HYPERLINK("https://twitter.com/scrome78","@scrome78")</f>
        <v>@scrome78</v>
      </c>
      <c r="C4363" t="s">
        <v>3349</v>
      </c>
      <c r="D4363">
        <v>3</v>
      </c>
      <c r="E4363">
        <v>0</v>
      </c>
      <c r="F4363">
        <v>284</v>
      </c>
    </row>
    <row r="4364" spans="1:6" ht="12.75">
      <c r="A4364" s="2">
        <v>43883.596122685187</v>
      </c>
      <c r="B4364" t="str">
        <f>HYPERLINK("https://twitter.com/ahmadefka","@ahmadefka")</f>
        <v>@ahmadefka</v>
      </c>
      <c r="C4364" t="s">
        <v>3682</v>
      </c>
      <c r="D4364">
        <v>0</v>
      </c>
      <c r="E4364">
        <v>0</v>
      </c>
      <c r="F4364">
        <v>38</v>
      </c>
    </row>
    <row r="4365" spans="1:6" ht="12.75">
      <c r="A4365" s="2">
        <v>43883.595520833333</v>
      </c>
      <c r="B4365" t="str">
        <f>HYPERLINK("https://twitter.com/Andreas_AdyM","@Andreas_AdyM")</f>
        <v>@Andreas_AdyM</v>
      </c>
      <c r="C4365" t="s">
        <v>2154</v>
      </c>
      <c r="D4365">
        <v>23</v>
      </c>
      <c r="E4365">
        <v>0</v>
      </c>
      <c r="F4365">
        <v>1518</v>
      </c>
    </row>
    <row r="4366" spans="1:6" ht="12.75">
      <c r="A4366" s="2">
        <v>43883.595162037032</v>
      </c>
      <c r="B4366" t="str">
        <f>HYPERLINK("https://twitter.com/TGandhung","@TGandhung")</f>
        <v>@TGandhung</v>
      </c>
      <c r="C4366" t="s">
        <v>3593</v>
      </c>
      <c r="D4366">
        <v>4</v>
      </c>
      <c r="E4366">
        <v>0</v>
      </c>
      <c r="F4366">
        <v>1674</v>
      </c>
    </row>
    <row r="4367" spans="1:6" ht="12.75">
      <c r="A4367" s="2">
        <v>43883.594837962963</v>
      </c>
      <c r="B4367" t="str">
        <f>HYPERLINK("https://twitter.com/uyunihastuti","@uyunihastuti")</f>
        <v>@uyunihastuti</v>
      </c>
      <c r="C4367" t="s">
        <v>2119</v>
      </c>
      <c r="D4367">
        <v>509</v>
      </c>
      <c r="E4367">
        <v>0</v>
      </c>
      <c r="F4367">
        <v>313</v>
      </c>
    </row>
    <row r="4368" spans="1:6" ht="12.75">
      <c r="A4368" s="2">
        <v>43883.593958333338</v>
      </c>
      <c r="B4368" t="str">
        <f>HYPERLINK("https://twitter.com/AnakKolong___","@AnakKolong___")</f>
        <v>@AnakKolong___</v>
      </c>
      <c r="C4368" t="s">
        <v>2880</v>
      </c>
      <c r="D4368">
        <v>21</v>
      </c>
      <c r="E4368">
        <v>0</v>
      </c>
      <c r="F4368">
        <v>6537</v>
      </c>
    </row>
    <row r="4369" spans="1:6" ht="12.75">
      <c r="A4369" s="2">
        <v>43883.59373842593</v>
      </c>
      <c r="B4369" t="str">
        <f>HYPERLINK("https://twitter.com/YohanesPatty2","@YohanesPatty2")</f>
        <v>@YohanesPatty2</v>
      </c>
      <c r="C4369" t="s">
        <v>2154</v>
      </c>
      <c r="D4369">
        <v>23</v>
      </c>
      <c r="E4369">
        <v>0</v>
      </c>
      <c r="F4369">
        <v>5653</v>
      </c>
    </row>
    <row r="4370" spans="1:6" ht="12.75">
      <c r="A4370" s="2">
        <v>43883.59373842593</v>
      </c>
      <c r="B4370" t="str">
        <f>HYPERLINK("https://twitter.com/muhamadhatim15","@muhamadhatim15")</f>
        <v>@muhamadhatim15</v>
      </c>
      <c r="C4370" t="s">
        <v>3090</v>
      </c>
      <c r="D4370">
        <v>83</v>
      </c>
      <c r="E4370">
        <v>0</v>
      </c>
      <c r="F4370">
        <v>439</v>
      </c>
    </row>
    <row r="4371" spans="1:6" ht="12.75">
      <c r="A4371" s="2">
        <v>43883.592164351852</v>
      </c>
      <c r="B4371" t="str">
        <f>HYPERLINK("https://twitter.com/nhdbterdzn","@nhdbterdzn")</f>
        <v>@nhdbterdzn</v>
      </c>
      <c r="C4371" t="s">
        <v>2897</v>
      </c>
      <c r="D4371">
        <v>3</v>
      </c>
      <c r="E4371">
        <v>0</v>
      </c>
      <c r="F4371">
        <v>4</v>
      </c>
    </row>
    <row r="4372" spans="1:6" ht="12.75">
      <c r="A4372" s="2">
        <v>43883.59207175926</v>
      </c>
      <c r="B4372" t="str">
        <f>HYPERLINK("https://twitter.com/HAIAKULISA_","@HAIAKULISA_")</f>
        <v>@HAIAKULISA_</v>
      </c>
      <c r="C4372" t="s">
        <v>3525</v>
      </c>
      <c r="D4372">
        <v>179</v>
      </c>
      <c r="E4372">
        <v>0</v>
      </c>
      <c r="F4372">
        <v>106</v>
      </c>
    </row>
    <row r="4373" spans="1:6" ht="12.75">
      <c r="A4373" s="2">
        <v>43883.59202546296</v>
      </c>
      <c r="B4373" t="str">
        <f>HYPERLINK("https://twitter.com/Penangkalnegat1","@Penangkalnegat1")</f>
        <v>@Penangkalnegat1</v>
      </c>
      <c r="C4373" t="s">
        <v>3683</v>
      </c>
      <c r="D4373">
        <v>0</v>
      </c>
      <c r="E4373">
        <v>0</v>
      </c>
      <c r="F4373">
        <v>339</v>
      </c>
    </row>
    <row r="4374" spans="1:6" ht="12.75">
      <c r="A4374" s="2">
        <v>43883.591979166667</v>
      </c>
      <c r="B4374" t="str">
        <f>HYPERLINK("https://twitter.com/samhudibae","@samhudibae")</f>
        <v>@samhudibae</v>
      </c>
      <c r="C4374" t="s">
        <v>3593</v>
      </c>
      <c r="D4374">
        <v>4</v>
      </c>
      <c r="E4374">
        <v>0</v>
      </c>
      <c r="F4374">
        <v>3517</v>
      </c>
    </row>
    <row r="4375" spans="1:6" ht="12.75">
      <c r="A4375" s="2">
        <v>43883.591539351852</v>
      </c>
      <c r="B4375" t="str">
        <f>HYPERLINK("https://twitter.com/naquib_najib","@naquib_najib")</f>
        <v>@naquib_najib</v>
      </c>
      <c r="C4375" t="s">
        <v>3203</v>
      </c>
      <c r="D4375">
        <v>3</v>
      </c>
      <c r="E4375">
        <v>0</v>
      </c>
      <c r="F4375">
        <v>790</v>
      </c>
    </row>
    <row r="4376" spans="1:6" ht="12.75">
      <c r="A4376" s="2">
        <v>43883.59103009259</v>
      </c>
      <c r="B4376" t="str">
        <f>HYPERLINK("https://twitter.com/TaufiqMarhaban","@TaufiqMarhaban")</f>
        <v>@TaufiqMarhaban</v>
      </c>
      <c r="C4376" t="s">
        <v>3684</v>
      </c>
      <c r="D4376">
        <v>0</v>
      </c>
      <c r="E4376">
        <v>0</v>
      </c>
      <c r="F4376">
        <v>1510</v>
      </c>
    </row>
    <row r="4377" spans="1:6" ht="12.75">
      <c r="A4377" s="2">
        <v>43883.590567129635</v>
      </c>
      <c r="B4377" t="str">
        <f>HYPERLINK("https://twitter.com/KorbanSuspen","@KorbanSuspen")</f>
        <v>@KorbanSuspen</v>
      </c>
      <c r="C4377" t="s">
        <v>3525</v>
      </c>
      <c r="D4377">
        <v>179</v>
      </c>
      <c r="E4377">
        <v>0</v>
      </c>
      <c r="F4377">
        <v>305</v>
      </c>
    </row>
    <row r="4378" spans="1:6" ht="12.75">
      <c r="A4378" s="2">
        <v>43883.590347222227</v>
      </c>
      <c r="B4378" t="str">
        <f>HYPERLINK("https://twitter.com/fen_krittav","@fen_krittav")</f>
        <v>@fen_krittav</v>
      </c>
      <c r="C4378" t="s">
        <v>3525</v>
      </c>
      <c r="D4378">
        <v>179</v>
      </c>
      <c r="E4378">
        <v>0</v>
      </c>
      <c r="F4378">
        <v>158</v>
      </c>
    </row>
    <row r="4379" spans="1:6" ht="12.75">
      <c r="A4379" s="2">
        <v>43883.590254629627</v>
      </c>
      <c r="B4379" t="str">
        <f>HYPERLINK("https://twitter.com/MAliSubhan2","@MAliSubhan2")</f>
        <v>@MAliSubhan2</v>
      </c>
      <c r="C4379" t="s">
        <v>2154</v>
      </c>
      <c r="D4379">
        <v>23</v>
      </c>
      <c r="E4379">
        <v>0</v>
      </c>
      <c r="F4379">
        <v>1155</v>
      </c>
    </row>
    <row r="4380" spans="1:6" ht="12.75">
      <c r="A4380" s="2">
        <v>43883.590069444443</v>
      </c>
      <c r="B4380" t="str">
        <f>HYPERLINK("https://twitter.com/NilaKencana8","@NilaKencana8")</f>
        <v>@NilaKencana8</v>
      </c>
      <c r="C4380" t="s">
        <v>3685</v>
      </c>
      <c r="D4380">
        <v>4</v>
      </c>
      <c r="E4380">
        <v>8</v>
      </c>
      <c r="F4380">
        <v>4651</v>
      </c>
    </row>
    <row r="4381" spans="1:6" ht="12.75">
      <c r="A4381" s="2">
        <v>43883.590046296296</v>
      </c>
      <c r="B4381" t="str">
        <f>HYPERLINK("https://twitter.com/syhrilsfyn","@syhrilsfyn")</f>
        <v>@syhrilsfyn</v>
      </c>
      <c r="C4381" t="s">
        <v>3090</v>
      </c>
      <c r="D4381">
        <v>83</v>
      </c>
      <c r="E4381">
        <v>0</v>
      </c>
      <c r="F4381">
        <v>136</v>
      </c>
    </row>
    <row r="4382" spans="1:6" ht="12.75">
      <c r="A4382" s="2">
        <v>43883.58997685185</v>
      </c>
      <c r="B4382" t="str">
        <f>HYPERLINK("https://twitter.com/pepsycho","@pepsycho")</f>
        <v>@pepsycho</v>
      </c>
      <c r="C4382" t="s">
        <v>3686</v>
      </c>
      <c r="D4382">
        <v>0</v>
      </c>
      <c r="E4382">
        <v>0</v>
      </c>
      <c r="F4382">
        <v>210</v>
      </c>
    </row>
    <row r="4383" spans="1:6" ht="12.75">
      <c r="A4383" s="2">
        <v>43883.589953703704</v>
      </c>
      <c r="B4383" t="str">
        <f>HYPERLINK("https://twitter.com/goldenbritish_","@goldenbritish_")</f>
        <v>@goldenbritish_</v>
      </c>
      <c r="C4383" t="s">
        <v>513</v>
      </c>
      <c r="D4383">
        <v>23261</v>
      </c>
      <c r="E4383">
        <v>0</v>
      </c>
      <c r="F4383">
        <v>21</v>
      </c>
    </row>
    <row r="4384" spans="1:6" ht="12.75">
      <c r="A4384" s="2">
        <v>43883.589699074073</v>
      </c>
      <c r="B4384" t="str">
        <f>HYPERLINK("https://twitter.com/Logicenter1","@Logicenter1")</f>
        <v>@Logicenter1</v>
      </c>
      <c r="C4384" t="s">
        <v>3687</v>
      </c>
      <c r="D4384">
        <v>0</v>
      </c>
      <c r="E4384">
        <v>1</v>
      </c>
      <c r="F4384">
        <v>2</v>
      </c>
    </row>
    <row r="4385" spans="1:6" ht="12.75">
      <c r="A4385" s="2">
        <v>43883.589189814811</v>
      </c>
      <c r="B4385" t="str">
        <f>HYPERLINK("https://twitter.com/HilalAsyraf","@HilalAsyraf")</f>
        <v>@HilalAsyraf</v>
      </c>
      <c r="C4385" t="s">
        <v>3688</v>
      </c>
      <c r="D4385">
        <v>3</v>
      </c>
      <c r="E4385">
        <v>8</v>
      </c>
      <c r="F4385">
        <v>125024</v>
      </c>
    </row>
    <row r="4386" spans="1:6" ht="12.75">
      <c r="A4386" s="2">
        <v>43883.589155092588</v>
      </c>
      <c r="B4386" t="str">
        <f>HYPERLINK("https://twitter.com/Qiim_T","@Qiim_T")</f>
        <v>@Qiim_T</v>
      </c>
      <c r="C4386" t="s">
        <v>3525</v>
      </c>
      <c r="D4386">
        <v>179</v>
      </c>
      <c r="E4386">
        <v>0</v>
      </c>
      <c r="F4386">
        <v>466</v>
      </c>
    </row>
    <row r="4387" spans="1:6" ht="12.75">
      <c r="A4387" s="2">
        <v>43883.588819444441</v>
      </c>
      <c r="B4387" t="str">
        <f>HYPERLINK("https://twitter.com/anthraxxxx","@anthraxxxx")</f>
        <v>@anthraxxxx</v>
      </c>
      <c r="C4387" t="s">
        <v>3090</v>
      </c>
      <c r="D4387">
        <v>83</v>
      </c>
      <c r="E4387">
        <v>0</v>
      </c>
      <c r="F4387">
        <v>10629</v>
      </c>
    </row>
    <row r="4388" spans="1:6" ht="12.75">
      <c r="A4388" s="2">
        <v>43883.588518518518</v>
      </c>
      <c r="B4388" t="str">
        <f>HYPERLINK("https://twitter.com/yaboigumBo","@yaboigumBo")</f>
        <v>@yaboigumBo</v>
      </c>
      <c r="C4388" t="s">
        <v>3689</v>
      </c>
      <c r="D4388">
        <v>0</v>
      </c>
      <c r="E4388">
        <v>0</v>
      </c>
      <c r="F4388">
        <v>674</v>
      </c>
    </row>
    <row r="4389" spans="1:6" ht="12.75">
      <c r="A4389" s="2">
        <v>43883.588310185187</v>
      </c>
      <c r="B4389" t="str">
        <f>HYPERLINK("https://twitter.com/arumi_el","@arumi_el")</f>
        <v>@arumi_el</v>
      </c>
      <c r="C4389" t="s">
        <v>3090</v>
      </c>
      <c r="D4389">
        <v>83</v>
      </c>
      <c r="E4389">
        <v>0</v>
      </c>
      <c r="F4389">
        <v>251</v>
      </c>
    </row>
    <row r="4390" spans="1:6" ht="12.75">
      <c r="A4390" s="2">
        <v>43883.588124999995</v>
      </c>
      <c r="B4390" t="str">
        <f>HYPERLINK("https://twitter.com/waellae","@waellae")</f>
        <v>@waellae</v>
      </c>
      <c r="C4390" t="s">
        <v>2986</v>
      </c>
      <c r="D4390">
        <v>13</v>
      </c>
      <c r="E4390">
        <v>0</v>
      </c>
      <c r="F4390">
        <v>53</v>
      </c>
    </row>
    <row r="4391" spans="1:6" ht="12.75">
      <c r="A4391" s="2">
        <v>43883.588067129633</v>
      </c>
      <c r="B4391" t="str">
        <f>HYPERLINK("https://twitter.com/rangggaaa11","@rangggaaa11")</f>
        <v>@rangggaaa11</v>
      </c>
      <c r="C4391" t="s">
        <v>3525</v>
      </c>
      <c r="D4391">
        <v>179</v>
      </c>
      <c r="E4391">
        <v>0</v>
      </c>
      <c r="F4391">
        <v>191</v>
      </c>
    </row>
    <row r="4392" spans="1:6" ht="12.75">
      <c r="A4392" s="2">
        <v>43883.587916666671</v>
      </c>
      <c r="B4392" t="str">
        <f>HYPERLINK("https://twitter.com/HarusBejo","@HarusBejo")</f>
        <v>@HarusBejo</v>
      </c>
      <c r="C4392" t="s">
        <v>3525</v>
      </c>
      <c r="D4392">
        <v>179</v>
      </c>
      <c r="E4392">
        <v>0</v>
      </c>
      <c r="F4392">
        <v>121</v>
      </c>
    </row>
    <row r="4393" spans="1:6" ht="12.75">
      <c r="A4393" s="2">
        <v>43883.58761574074</v>
      </c>
      <c r="B4393" t="str">
        <f>HYPERLINK("https://twitter.com/Pute0910","@Pute0910")</f>
        <v>@Pute0910</v>
      </c>
      <c r="C4393" t="s">
        <v>3525</v>
      </c>
      <c r="D4393">
        <v>179</v>
      </c>
      <c r="E4393">
        <v>0</v>
      </c>
      <c r="F4393">
        <v>65</v>
      </c>
    </row>
    <row r="4394" spans="1:6" ht="12.75">
      <c r="A4394" s="2">
        <v>43883.587326388893</v>
      </c>
      <c r="B4394" t="str">
        <f>HYPERLINK("https://twitter.com/MazzShan","@MazzShan")</f>
        <v>@MazzShan</v>
      </c>
      <c r="C4394" t="s">
        <v>3690</v>
      </c>
      <c r="D4394">
        <v>0</v>
      </c>
      <c r="E4394">
        <v>0</v>
      </c>
      <c r="F4394">
        <v>631</v>
      </c>
    </row>
    <row r="4395" spans="1:6" ht="12.75">
      <c r="A4395" s="2">
        <v>43883.587152777778</v>
      </c>
      <c r="B4395" t="str">
        <f>HYPERLINK("https://twitter.com/dwirama89009610","@dwirama89009610")</f>
        <v>@dwirama89009610</v>
      </c>
      <c r="C4395" t="s">
        <v>2154</v>
      </c>
      <c r="D4395">
        <v>23</v>
      </c>
      <c r="E4395">
        <v>0</v>
      </c>
      <c r="F4395">
        <v>191</v>
      </c>
    </row>
    <row r="4396" spans="1:6" ht="12.75">
      <c r="A4396" s="2">
        <v>43883.586597222224</v>
      </c>
      <c r="B4396" t="str">
        <f>HYPERLINK("https://twitter.com/halalmartmy","@halalmartmy")</f>
        <v>@halalmartmy</v>
      </c>
      <c r="C4396" t="s">
        <v>3691</v>
      </c>
      <c r="D4396">
        <v>0</v>
      </c>
      <c r="E4396">
        <v>0</v>
      </c>
      <c r="F4396">
        <v>456</v>
      </c>
    </row>
    <row r="4397" spans="1:6" ht="12.75">
      <c r="A4397" s="2">
        <v>43883.586481481485</v>
      </c>
      <c r="B4397" t="str">
        <f>HYPERLINK("https://twitter.com/berlin_hassan","@berlin_hassan")</f>
        <v>@berlin_hassan</v>
      </c>
      <c r="C4397" t="s">
        <v>2154</v>
      </c>
      <c r="D4397">
        <v>23</v>
      </c>
      <c r="E4397">
        <v>0</v>
      </c>
      <c r="F4397">
        <v>2221</v>
      </c>
    </row>
    <row r="4398" spans="1:6" ht="12.75">
      <c r="A4398" s="2">
        <v>43883.586145833338</v>
      </c>
      <c r="B4398" t="str">
        <f>HYPERLINK("https://twitter.com/gus55177350","@gus55177350")</f>
        <v>@gus55177350</v>
      </c>
      <c r="C4398" t="s">
        <v>2119</v>
      </c>
      <c r="D4398">
        <v>509</v>
      </c>
      <c r="E4398">
        <v>0</v>
      </c>
      <c r="F4398">
        <v>37</v>
      </c>
    </row>
    <row r="4399" spans="1:6" ht="12.75">
      <c r="A4399" s="2">
        <v>43883.585787037038</v>
      </c>
      <c r="B4399" t="str">
        <f>HYPERLINK("https://twitter.com/anonymeowwww","@anonymeowwww")</f>
        <v>@anonymeowwww</v>
      </c>
      <c r="C4399" t="s">
        <v>3090</v>
      </c>
      <c r="D4399">
        <v>83</v>
      </c>
      <c r="E4399">
        <v>0</v>
      </c>
      <c r="F4399">
        <v>22</v>
      </c>
    </row>
    <row r="4400" spans="1:6" ht="12.75">
      <c r="A4400" s="2">
        <v>43883.585335648153</v>
      </c>
      <c r="B4400" t="str">
        <f>HYPERLINK("https://twitter.com/annisanarulita","@annisanarulita")</f>
        <v>@annisanarulita</v>
      </c>
      <c r="C4400" t="s">
        <v>2087</v>
      </c>
      <c r="D4400">
        <v>46</v>
      </c>
      <c r="E4400">
        <v>0</v>
      </c>
      <c r="F4400">
        <v>316</v>
      </c>
    </row>
    <row r="4401" spans="1:6" ht="12.75">
      <c r="A4401" s="2">
        <v>43883.584560185191</v>
      </c>
      <c r="B4401" t="str">
        <f>HYPERLINK("https://twitter.com/jiraq","@jiraq")</f>
        <v>@jiraq</v>
      </c>
      <c r="C4401" t="s">
        <v>2119</v>
      </c>
      <c r="D4401">
        <v>504</v>
      </c>
      <c r="E4401">
        <v>0</v>
      </c>
      <c r="F4401">
        <v>2031</v>
      </c>
    </row>
    <row r="4402" spans="1:6" ht="12.75">
      <c r="A4402" s="2">
        <v>43883.58384259259</v>
      </c>
      <c r="B4402" t="str">
        <f>HYPERLINK("https://twitter.com/widodoekop","@widodoekop")</f>
        <v>@widodoekop</v>
      </c>
      <c r="C4402" t="s">
        <v>3692</v>
      </c>
      <c r="D4402">
        <v>0</v>
      </c>
      <c r="E4402">
        <v>0</v>
      </c>
      <c r="F4402">
        <v>269</v>
      </c>
    </row>
    <row r="4403" spans="1:6" ht="12.75">
      <c r="A4403" s="2">
        <v>43883.583125000005</v>
      </c>
      <c r="B4403" t="str">
        <f>HYPERLINK("https://twitter.com/BorayFrans","@BorayFrans")</f>
        <v>@BorayFrans</v>
      </c>
      <c r="C4403" t="s">
        <v>2154</v>
      </c>
      <c r="D4403">
        <v>4</v>
      </c>
      <c r="E4403">
        <v>0</v>
      </c>
      <c r="F4403">
        <v>171</v>
      </c>
    </row>
    <row r="4404" spans="1:6" ht="12.75">
      <c r="A4404" s="2">
        <v>43883.58293981482</v>
      </c>
      <c r="B4404" t="str">
        <f>HYPERLINK("https://twitter.com/Ben_smj","@Ben_smj")</f>
        <v>@Ben_smj</v>
      </c>
      <c r="C4404" t="s">
        <v>3693</v>
      </c>
      <c r="D4404">
        <v>5</v>
      </c>
      <c r="E4404">
        <v>0</v>
      </c>
      <c r="F4404">
        <v>98</v>
      </c>
    </row>
    <row r="4405" spans="1:6" ht="12.75">
      <c r="A4405" s="2">
        <v>43883.582557870366</v>
      </c>
      <c r="B4405" t="str">
        <f>HYPERLINK("https://twitter.com/Bienzerro","@Bienzerro")</f>
        <v>@Bienzerro</v>
      </c>
      <c r="C4405" t="s">
        <v>2119</v>
      </c>
      <c r="D4405">
        <v>504</v>
      </c>
      <c r="E4405">
        <v>0</v>
      </c>
      <c r="F4405">
        <v>337</v>
      </c>
    </row>
    <row r="4406" spans="1:6" ht="12.75">
      <c r="A4406" s="2">
        <v>43883.582488425927</v>
      </c>
      <c r="B4406" t="str">
        <f>HYPERLINK("https://twitter.com/ini_d00m","@ini_d00m")</f>
        <v>@ini_d00m</v>
      </c>
      <c r="C4406" t="s">
        <v>3694</v>
      </c>
      <c r="D4406">
        <v>0</v>
      </c>
      <c r="E4406">
        <v>0</v>
      </c>
      <c r="F4406">
        <v>817</v>
      </c>
    </row>
    <row r="4407" spans="1:6" ht="12.75">
      <c r="A4407" s="2">
        <v>43883.582268518519</v>
      </c>
      <c r="B4407" t="str">
        <f>HYPERLINK("https://twitter.com/SlamatNKRI","@SlamatNKRI")</f>
        <v>@SlamatNKRI</v>
      </c>
      <c r="C4407" t="s">
        <v>2119</v>
      </c>
      <c r="D4407">
        <v>504</v>
      </c>
      <c r="E4407">
        <v>0</v>
      </c>
      <c r="F4407">
        <v>110</v>
      </c>
    </row>
    <row r="4408" spans="1:6" ht="12.75">
      <c r="A4408" s="2">
        <v>43883.582013888888</v>
      </c>
      <c r="B4408" t="str">
        <f>HYPERLINK("https://twitter.com/ambarukmo15","@ambarukmo15")</f>
        <v>@ambarukmo15</v>
      </c>
      <c r="C4408" t="s">
        <v>3695</v>
      </c>
      <c r="D4408">
        <v>0</v>
      </c>
      <c r="E4408">
        <v>0</v>
      </c>
      <c r="F4408">
        <v>49</v>
      </c>
    </row>
    <row r="4409" spans="1:6" ht="12.75">
      <c r="A4409" s="2">
        <v>43883.58184027778</v>
      </c>
      <c r="B4409" t="str">
        <f>HYPERLINK("https://twitter.com/ochadgates","@ochadgates")</f>
        <v>@ochadgates</v>
      </c>
      <c r="C4409" t="s">
        <v>1407</v>
      </c>
      <c r="D4409">
        <v>9740</v>
      </c>
      <c r="E4409">
        <v>0</v>
      </c>
      <c r="F4409">
        <v>290</v>
      </c>
    </row>
    <row r="4410" spans="1:6" ht="12.75">
      <c r="A4410" s="2">
        <v>43883.581574074073</v>
      </c>
      <c r="B4410" t="str">
        <f>HYPERLINK("https://twitter.com/evisuryanti10","@evisuryanti10")</f>
        <v>@evisuryanti10</v>
      </c>
      <c r="C4410" t="s">
        <v>2154</v>
      </c>
      <c r="D4410">
        <v>4</v>
      </c>
      <c r="E4410">
        <v>0</v>
      </c>
      <c r="F4410">
        <v>4026</v>
      </c>
    </row>
    <row r="4411" spans="1:6" ht="12.75">
      <c r="A4411" s="2">
        <v>43883.581412037034</v>
      </c>
      <c r="B4411" t="str">
        <f>HYPERLINK("https://twitter.com/dodi_ahmad07","@dodi_ahmad07")</f>
        <v>@dodi_ahmad07</v>
      </c>
      <c r="C4411" t="s">
        <v>2168</v>
      </c>
      <c r="D4411">
        <v>1</v>
      </c>
      <c r="E4411">
        <v>0</v>
      </c>
      <c r="F4411">
        <v>621</v>
      </c>
    </row>
    <row r="4412" spans="1:6" ht="12.75">
      <c r="A4412" s="2">
        <v>43883.580914351856</v>
      </c>
      <c r="B4412" t="str">
        <f>HYPERLINK("https://twitter.com/margaretaputr13","@margaretaputr13")</f>
        <v>@margaretaputr13</v>
      </c>
      <c r="C4412" t="s">
        <v>2154</v>
      </c>
      <c r="D4412">
        <v>4</v>
      </c>
      <c r="E4412">
        <v>0</v>
      </c>
      <c r="F4412">
        <v>360</v>
      </c>
    </row>
    <row r="4413" spans="1:6" ht="12.75">
      <c r="A4413" s="2">
        <v>43883.580196759256</v>
      </c>
      <c r="B4413" t="str">
        <f>HYPERLINK("https://twitter.com/jawapos","@jawapos")</f>
        <v>@jawapos</v>
      </c>
      <c r="C4413" t="s">
        <v>3696</v>
      </c>
      <c r="D4413">
        <v>0</v>
      </c>
      <c r="E4413">
        <v>0</v>
      </c>
      <c r="F4413">
        <v>120161</v>
      </c>
    </row>
    <row r="4414" spans="1:6" ht="12.75">
      <c r="A4414" s="2">
        <v>43883.580046296294</v>
      </c>
      <c r="B4414" t="str">
        <f>HYPERLINK("https://twitter.com/samhudibae","@samhudibae")</f>
        <v>@samhudibae</v>
      </c>
      <c r="C4414" t="s">
        <v>3697</v>
      </c>
      <c r="D4414">
        <v>4</v>
      </c>
      <c r="E4414">
        <v>10</v>
      </c>
      <c r="F4414">
        <v>3512</v>
      </c>
    </row>
    <row r="4415" spans="1:6" ht="12.75">
      <c r="A4415" s="2">
        <v>43883.579965277779</v>
      </c>
      <c r="B4415" t="str">
        <f>HYPERLINK("https://twitter.com/alfianpungki_","@alfianpungki_")</f>
        <v>@alfianpungki_</v>
      </c>
      <c r="C4415" t="s">
        <v>3525</v>
      </c>
      <c r="D4415">
        <v>172</v>
      </c>
      <c r="E4415">
        <v>0</v>
      </c>
      <c r="F4415">
        <v>229</v>
      </c>
    </row>
    <row r="4416" spans="1:6" ht="12.75">
      <c r="A4416" s="2">
        <v>43883.579733796301</v>
      </c>
      <c r="B4416" t="str">
        <f>HYPERLINK("https://twitter.com/GGC_Ceria","@GGC_Ceria")</f>
        <v>@GGC_Ceria</v>
      </c>
      <c r="C4416" t="s">
        <v>3698</v>
      </c>
      <c r="D4416">
        <v>0</v>
      </c>
      <c r="E4416">
        <v>0</v>
      </c>
      <c r="F4416">
        <v>53</v>
      </c>
    </row>
    <row r="4417" spans="1:6" ht="12.75">
      <c r="A4417" s="2">
        <v>43883.579351851848</v>
      </c>
      <c r="B4417" t="str">
        <f>HYPERLINK("https://twitter.com/Aji1976_","@Aji1976_")</f>
        <v>@Aji1976_</v>
      </c>
      <c r="C4417" t="s">
        <v>3525</v>
      </c>
      <c r="D4417">
        <v>172</v>
      </c>
      <c r="E4417">
        <v>0</v>
      </c>
      <c r="F4417">
        <v>246</v>
      </c>
    </row>
    <row r="4418" spans="1:6" ht="12.75">
      <c r="A4418" s="2">
        <v>43883.578784722224</v>
      </c>
      <c r="B4418" t="str">
        <f>HYPERLINK("https://twitter.com/itswakastar","@itswakastar")</f>
        <v>@itswakastar</v>
      </c>
      <c r="C4418" t="s">
        <v>3699</v>
      </c>
      <c r="D4418">
        <v>0</v>
      </c>
      <c r="E4418">
        <v>0</v>
      </c>
      <c r="F4418">
        <v>219</v>
      </c>
    </row>
    <row r="4419" spans="1:6" ht="12.75">
      <c r="A4419" s="2">
        <v>43883.578784722224</v>
      </c>
      <c r="B4419" t="str">
        <f>HYPERLINK("https://twitter.com/whimsybabyy","@whimsybabyy")</f>
        <v>@whimsybabyy</v>
      </c>
      <c r="C4419" t="s">
        <v>3700</v>
      </c>
      <c r="D4419">
        <v>0</v>
      </c>
      <c r="E4419">
        <v>0</v>
      </c>
      <c r="F4419">
        <v>1</v>
      </c>
    </row>
    <row r="4420" spans="1:6" ht="12.75">
      <c r="A4420" s="2">
        <v>43883.57811342593</v>
      </c>
      <c r="B4420" t="str">
        <f>HYPERLINK("https://twitter.com/KimYomgi","@KimYomgi")</f>
        <v>@KimYomgi</v>
      </c>
      <c r="C4420" t="s">
        <v>3525</v>
      </c>
      <c r="D4420">
        <v>172</v>
      </c>
      <c r="E4420">
        <v>0</v>
      </c>
      <c r="F4420">
        <v>782</v>
      </c>
    </row>
    <row r="4421" spans="1:6" ht="12.75">
      <c r="A4421" s="2">
        <v>43883.577418981484</v>
      </c>
      <c r="B4421" t="str">
        <f>HYPERLINK("https://twitter.com/Ulama_Sangean","@Ulama_Sangean")</f>
        <v>@Ulama_Sangean</v>
      </c>
      <c r="C4421" t="s">
        <v>3701</v>
      </c>
      <c r="D4421">
        <v>0</v>
      </c>
      <c r="E4421">
        <v>0</v>
      </c>
      <c r="F4421">
        <v>723</v>
      </c>
    </row>
    <row r="4422" spans="1:6" ht="12.75">
      <c r="A4422" s="2">
        <v>43883.576574074075</v>
      </c>
      <c r="B4422" t="str">
        <f>HYPERLINK("https://twitter.com/trilukmann","@trilukmann")</f>
        <v>@trilukmann</v>
      </c>
      <c r="C4422" t="s">
        <v>3525</v>
      </c>
      <c r="D4422">
        <v>172</v>
      </c>
      <c r="E4422">
        <v>0</v>
      </c>
      <c r="F4422">
        <v>39</v>
      </c>
    </row>
    <row r="4423" spans="1:6" ht="12.75">
      <c r="A4423" s="2">
        <v>43883.576307870375</v>
      </c>
      <c r="B4423" t="str">
        <f>HYPERLINK("https://twitter.com/scorpio_gurls","@scorpio_gurls")</f>
        <v>@scorpio_gurls</v>
      </c>
      <c r="C4423" t="s">
        <v>3525</v>
      </c>
      <c r="D4423">
        <v>172</v>
      </c>
      <c r="E4423">
        <v>0</v>
      </c>
      <c r="F4423">
        <v>300</v>
      </c>
    </row>
    <row r="4424" spans="1:6" ht="12.75">
      <c r="A4424" s="2">
        <v>43883.575983796298</v>
      </c>
      <c r="B4424" t="str">
        <f>HYPERLINK("https://twitter.com/RelawanNusanta1","@RelawanNusanta1")</f>
        <v>@RelawanNusanta1</v>
      </c>
      <c r="C4424" t="s">
        <v>3702</v>
      </c>
      <c r="D4424">
        <v>2</v>
      </c>
      <c r="E4424">
        <v>0</v>
      </c>
      <c r="F4424">
        <v>1173</v>
      </c>
    </row>
    <row r="4425" spans="1:6" ht="12.75">
      <c r="A4425" s="2">
        <v>43883.575972222221</v>
      </c>
      <c r="B4425" t="str">
        <f>HYPERLINK("https://twitter.com/Tisoledadmangoh","@Tisoledadmangoh")</f>
        <v>@Tisoledadmangoh</v>
      </c>
      <c r="C4425" t="s">
        <v>3703</v>
      </c>
      <c r="D4425">
        <v>0</v>
      </c>
      <c r="E4425">
        <v>0</v>
      </c>
      <c r="F4425">
        <v>23</v>
      </c>
    </row>
    <row r="4426" spans="1:6" ht="12.75">
      <c r="A4426" s="2">
        <v>43883.575613425928</v>
      </c>
      <c r="B4426" t="str">
        <f>HYPERLINK("https://twitter.com/BorayFrans","@BorayFrans")</f>
        <v>@BorayFrans</v>
      </c>
      <c r="C4426" t="s">
        <v>3704</v>
      </c>
      <c r="D4426">
        <v>2</v>
      </c>
      <c r="E4426">
        <v>0</v>
      </c>
      <c r="F4426">
        <v>171</v>
      </c>
    </row>
    <row r="4427" spans="1:6" ht="12.75">
      <c r="A4427" s="2">
        <v>43883.575416666667</v>
      </c>
      <c r="B4427" t="str">
        <f>HYPERLINK("https://twitter.com/ungga","@ungga")</f>
        <v>@ungga</v>
      </c>
      <c r="C4427" t="s">
        <v>3705</v>
      </c>
      <c r="D4427">
        <v>0</v>
      </c>
      <c r="E4427">
        <v>0</v>
      </c>
      <c r="F4427">
        <v>310</v>
      </c>
    </row>
    <row r="4428" spans="1:6" ht="12.75">
      <c r="A4428" s="2">
        <v>43883.575162037036</v>
      </c>
      <c r="B4428" t="str">
        <f>HYPERLINK("https://twitter.com/Ben_smj","@Ben_smj")</f>
        <v>@Ben_smj</v>
      </c>
      <c r="C4428" t="s">
        <v>2190</v>
      </c>
      <c r="D4428">
        <v>14</v>
      </c>
      <c r="E4428">
        <v>0</v>
      </c>
      <c r="F4428">
        <v>98</v>
      </c>
    </row>
    <row r="4429" spans="1:6" ht="12.75">
      <c r="A4429" s="2">
        <v>43883.574513888889</v>
      </c>
      <c r="B4429" t="str">
        <f>HYPERLINK("https://twitter.com/klimkovich_lv","@klimkovich_lv")</f>
        <v>@klimkovich_lv</v>
      </c>
      <c r="C4429" t="s">
        <v>2986</v>
      </c>
      <c r="D4429">
        <v>11</v>
      </c>
      <c r="E4429">
        <v>0</v>
      </c>
      <c r="F4429">
        <v>170</v>
      </c>
    </row>
    <row r="4430" spans="1:6" ht="12.75">
      <c r="A4430" s="2">
        <v>43883.574189814812</v>
      </c>
      <c r="B4430" t="str">
        <f>HYPERLINK("https://twitter.com/HaloBCA","@HaloBCA")</f>
        <v>@HaloBCA</v>
      </c>
      <c r="C4430" t="s">
        <v>3706</v>
      </c>
      <c r="D4430">
        <v>0</v>
      </c>
      <c r="E4430">
        <v>0</v>
      </c>
      <c r="F4430">
        <v>231557</v>
      </c>
    </row>
    <row r="4431" spans="1:6" ht="12.75">
      <c r="A4431" s="2">
        <v>43883.573449074072</v>
      </c>
      <c r="B4431" t="str">
        <f>HYPERLINK("https://twitter.com/sadgurllsss","@sadgurllsss")</f>
        <v>@sadgurllsss</v>
      </c>
      <c r="C4431" t="s">
        <v>3525</v>
      </c>
      <c r="D4431">
        <v>172</v>
      </c>
      <c r="E4431">
        <v>0</v>
      </c>
      <c r="F4431">
        <v>882</v>
      </c>
    </row>
    <row r="4432" spans="1:6" ht="12.75">
      <c r="A4432" s="2">
        <v>43883.573344907403</v>
      </c>
      <c r="B4432" t="str">
        <f>HYPERLINK("https://twitter.com/B35API","@B35API")</f>
        <v>@B35API</v>
      </c>
      <c r="C4432" t="s">
        <v>2190</v>
      </c>
      <c r="D4432">
        <v>14</v>
      </c>
      <c r="E4432">
        <v>0</v>
      </c>
      <c r="F4432">
        <v>507</v>
      </c>
    </row>
    <row r="4433" spans="1:6" ht="12.75">
      <c r="A4433" s="2">
        <v>43883.573333333334</v>
      </c>
      <c r="B4433" t="str">
        <f>HYPERLINK("https://twitter.com/mdazrinmdnazri","@mdazrinmdnazri")</f>
        <v>@mdazrinmdnazri</v>
      </c>
      <c r="C4433" t="s">
        <v>2986</v>
      </c>
      <c r="D4433">
        <v>11</v>
      </c>
      <c r="E4433">
        <v>0</v>
      </c>
      <c r="F4433">
        <v>225</v>
      </c>
    </row>
    <row r="4434" spans="1:6" ht="12.75">
      <c r="A4434" s="2">
        <v>43883.572881944448</v>
      </c>
      <c r="B4434" t="str">
        <f>HYPERLINK("https://twitter.com/hemaviton99","@hemaviton99")</f>
        <v>@hemaviton99</v>
      </c>
      <c r="C4434" t="s">
        <v>3702</v>
      </c>
      <c r="D4434">
        <v>2</v>
      </c>
      <c r="E4434">
        <v>0</v>
      </c>
      <c r="F4434">
        <v>4481</v>
      </c>
    </row>
    <row r="4435" spans="1:6" ht="12.75">
      <c r="A4435" s="2">
        <v>43883.572453703702</v>
      </c>
      <c r="B4435" t="str">
        <f>HYPERLINK("https://twitter.com/Dee06644722","@Dee06644722")</f>
        <v>@Dee06644722</v>
      </c>
      <c r="C4435" t="s">
        <v>3707</v>
      </c>
      <c r="D4435">
        <v>2</v>
      </c>
      <c r="E4435">
        <v>1</v>
      </c>
      <c r="F4435">
        <v>248</v>
      </c>
    </row>
    <row r="4436" spans="1:6" ht="12.75">
      <c r="A4436" s="2">
        <v>43883.572395833333</v>
      </c>
      <c r="B4436" t="str">
        <f>HYPERLINK("https://twitter.com/reddidd","@reddidd")</f>
        <v>@reddidd</v>
      </c>
      <c r="C4436" t="s">
        <v>3436</v>
      </c>
      <c r="D4436">
        <v>24</v>
      </c>
      <c r="E4436">
        <v>0</v>
      </c>
      <c r="F4436">
        <v>5</v>
      </c>
    </row>
    <row r="4437" spans="1:6" ht="12.75">
      <c r="A4437" s="2">
        <v>43883.572118055556</v>
      </c>
      <c r="B4437" t="str">
        <f>HYPERLINK("https://twitter.com/vidyasenaa","@vidyasenaa")</f>
        <v>@vidyasenaa</v>
      </c>
      <c r="C4437" t="s">
        <v>3708</v>
      </c>
      <c r="D4437">
        <v>0</v>
      </c>
      <c r="E4437">
        <v>0</v>
      </c>
      <c r="F4437">
        <v>215</v>
      </c>
    </row>
    <row r="4438" spans="1:6" ht="12.75">
      <c r="A4438" s="2">
        <v>43883.571539351848</v>
      </c>
      <c r="B4438" t="str">
        <f>HYPERLINK("https://twitter.com/escendoldawet_","@escendoldawet_")</f>
        <v>@escendoldawet_</v>
      </c>
      <c r="C4438" t="s">
        <v>3525</v>
      </c>
      <c r="D4438">
        <v>172</v>
      </c>
      <c r="E4438">
        <v>0</v>
      </c>
      <c r="F4438">
        <v>798</v>
      </c>
    </row>
    <row r="4439" spans="1:6" ht="12.75">
      <c r="A4439" s="2">
        <v>43883.571053240739</v>
      </c>
      <c r="B4439" t="str">
        <f>HYPERLINK("https://twitter.com/hemaviton99","@hemaviton99")</f>
        <v>@hemaviton99</v>
      </c>
      <c r="C4439" t="s">
        <v>3709</v>
      </c>
      <c r="D4439">
        <v>0</v>
      </c>
      <c r="E4439">
        <v>1</v>
      </c>
      <c r="F4439">
        <v>4481</v>
      </c>
    </row>
    <row r="4440" spans="1:6" ht="12.75">
      <c r="A4440" s="2">
        <v>43883.570694444439</v>
      </c>
      <c r="B4440" t="str">
        <f>HYPERLINK("https://twitter.com/lalalapuf","@lalalapuf")</f>
        <v>@lalalapuf</v>
      </c>
      <c r="C4440" t="s">
        <v>3525</v>
      </c>
      <c r="D4440">
        <v>172</v>
      </c>
      <c r="E4440">
        <v>0</v>
      </c>
      <c r="F4440">
        <v>7</v>
      </c>
    </row>
    <row r="4441" spans="1:6" ht="12.75">
      <c r="A4441" s="2">
        <v>43883.570613425924</v>
      </c>
      <c r="B4441" t="str">
        <f>HYPERLINK("https://twitter.com/ZeaMaysAllium","@ZeaMaysAllium")</f>
        <v>@ZeaMaysAllium</v>
      </c>
      <c r="C4441" t="s">
        <v>3525</v>
      </c>
      <c r="D4441">
        <v>172</v>
      </c>
      <c r="E4441">
        <v>0</v>
      </c>
      <c r="F4441">
        <v>326</v>
      </c>
    </row>
    <row r="4442" spans="1:6" ht="12.75">
      <c r="A4442" s="2">
        <v>43883.569456018522</v>
      </c>
      <c r="B4442" t="str">
        <f>HYPERLINK("https://twitter.com/chocolavamatcha","@chocolavamatcha")</f>
        <v>@chocolavamatcha</v>
      </c>
      <c r="C4442" t="s">
        <v>3525</v>
      </c>
      <c r="D4442">
        <v>172</v>
      </c>
      <c r="E4442">
        <v>0</v>
      </c>
      <c r="F4442">
        <v>313</v>
      </c>
    </row>
    <row r="4443" spans="1:6" ht="12.75">
      <c r="A4443" s="2">
        <v>43883.56858796296</v>
      </c>
      <c r="B4443" t="str">
        <f>HYPERLINK("https://twitter.com/syalalavigne","@syalalavigne")</f>
        <v>@syalalavigne</v>
      </c>
      <c r="C4443" t="s">
        <v>3525</v>
      </c>
      <c r="D4443">
        <v>172</v>
      </c>
      <c r="E4443">
        <v>0</v>
      </c>
      <c r="F4443">
        <v>1128</v>
      </c>
    </row>
    <row r="4444" spans="1:6" ht="12.75">
      <c r="A4444" s="2">
        <v>43883.568506944444</v>
      </c>
      <c r="B4444" t="str">
        <f>HYPERLINK("https://twitter.com/GunadiSitangga1","@GunadiSitangga1")</f>
        <v>@GunadiSitangga1</v>
      </c>
      <c r="C4444" t="s">
        <v>3710</v>
      </c>
      <c r="D4444">
        <v>0</v>
      </c>
      <c r="E4444">
        <v>0</v>
      </c>
      <c r="F4444">
        <v>31</v>
      </c>
    </row>
    <row r="4445" spans="1:6" ht="12.75">
      <c r="A4445" s="2">
        <v>43883.567858796298</v>
      </c>
      <c r="B4445" t="str">
        <f>HYPERLINK("https://twitter.com/JhondoexlxG","@JhondoexlxG")</f>
        <v>@JhondoexlxG</v>
      </c>
      <c r="C4445" t="s">
        <v>3711</v>
      </c>
      <c r="D4445">
        <v>1</v>
      </c>
      <c r="E4445">
        <v>0</v>
      </c>
      <c r="F4445">
        <v>436</v>
      </c>
    </row>
    <row r="4446" spans="1:6" ht="12.75">
      <c r="A4446" s="2">
        <v>43883.567754629628</v>
      </c>
      <c r="B4446" t="str">
        <f>HYPERLINK("https://twitter.com/ProjoSejati","@ProjoSejati")</f>
        <v>@ProjoSejati</v>
      </c>
      <c r="C4446" t="s">
        <v>3712</v>
      </c>
      <c r="D4446">
        <v>0</v>
      </c>
      <c r="E4446">
        <v>0</v>
      </c>
      <c r="F4446">
        <v>3310</v>
      </c>
    </row>
    <row r="4447" spans="1:6" ht="12.75">
      <c r="A4447" s="2">
        <v>43883.567731481482</v>
      </c>
      <c r="B4447" t="str">
        <f>HYPERLINK("https://twitter.com/updatedotid","@updatedotid")</f>
        <v>@updatedotid</v>
      </c>
      <c r="C4447" t="s">
        <v>3537</v>
      </c>
      <c r="D4447">
        <v>2</v>
      </c>
      <c r="E4447">
        <v>0</v>
      </c>
      <c r="F4447">
        <v>1620</v>
      </c>
    </row>
    <row r="4448" spans="1:6" ht="12.75">
      <c r="A4448" s="2">
        <v>43883.567442129628</v>
      </c>
      <c r="B4448" t="str">
        <f>HYPERLINK("https://twitter.com/dwirama89009610","@dwirama89009610")</f>
        <v>@dwirama89009610</v>
      </c>
      <c r="C4448" t="s">
        <v>3704</v>
      </c>
      <c r="D4448">
        <v>2</v>
      </c>
      <c r="E4448">
        <v>0</v>
      </c>
      <c r="F4448">
        <v>189</v>
      </c>
    </row>
    <row r="4449" spans="1:6" ht="12.75">
      <c r="A4449" s="2">
        <v>43883.567175925928</v>
      </c>
      <c r="B4449" t="str">
        <f>HYPERLINK("https://twitter.com/jesostro","@jesostro")</f>
        <v>@jesostro</v>
      </c>
      <c r="C4449" t="s">
        <v>3357</v>
      </c>
      <c r="D4449">
        <v>2</v>
      </c>
      <c r="E4449">
        <v>2</v>
      </c>
      <c r="F4449">
        <v>17</v>
      </c>
    </row>
    <row r="4450" spans="1:6" ht="12.75">
      <c r="A4450" s="2">
        <v>43883.567025462966</v>
      </c>
      <c r="B4450" t="str">
        <f>HYPERLINK("https://twitter.com/aldiath","@aldiath")</f>
        <v>@aldiath</v>
      </c>
      <c r="C4450" t="s">
        <v>3436</v>
      </c>
      <c r="D4450">
        <v>24</v>
      </c>
      <c r="E4450">
        <v>0</v>
      </c>
      <c r="F4450">
        <v>338</v>
      </c>
    </row>
    <row r="4451" spans="1:6" ht="12.75">
      <c r="A4451" s="2">
        <v>43883.566828703704</v>
      </c>
      <c r="B4451" t="str">
        <f>HYPERLINK("https://twitter.com/Tisoledadmangoh","@Tisoledadmangoh")</f>
        <v>@Tisoledadmangoh</v>
      </c>
      <c r="C4451" t="s">
        <v>3713</v>
      </c>
      <c r="D4451">
        <v>0</v>
      </c>
      <c r="E4451">
        <v>0</v>
      </c>
      <c r="F4451">
        <v>23</v>
      </c>
    </row>
    <row r="4452" spans="1:6" ht="12.75">
      <c r="A4452" s="2">
        <v>43883.566504629634</v>
      </c>
      <c r="B4452" t="str">
        <f>HYPERLINK("https://twitter.com/wni_jmsri","@wni_jmsri")</f>
        <v>@wni_jmsri</v>
      </c>
      <c r="C4452" t="s">
        <v>3714</v>
      </c>
      <c r="D4452">
        <v>852</v>
      </c>
      <c r="E4452">
        <v>0</v>
      </c>
      <c r="F4452">
        <v>197</v>
      </c>
    </row>
    <row r="4453" spans="1:6" ht="12.75">
      <c r="A4453" s="2">
        <v>43883.566354166665</v>
      </c>
      <c r="B4453" t="str">
        <f>HYPERLINK("https://twitter.com/Rogerma37137317","@Rogerma37137317")</f>
        <v>@Rogerma37137317</v>
      </c>
      <c r="C4453" t="s">
        <v>3715</v>
      </c>
      <c r="D4453">
        <v>0</v>
      </c>
      <c r="E4453">
        <v>0</v>
      </c>
      <c r="F4453">
        <v>380</v>
      </c>
    </row>
    <row r="4454" spans="1:6" ht="12.75">
      <c r="A4454" s="2">
        <v>43883.565995370373</v>
      </c>
      <c r="B4454" t="str">
        <f>HYPERLINK("https://twitter.com/sabhatansabiz","@sabhatansabiz")</f>
        <v>@sabhatansabiz</v>
      </c>
      <c r="C4454" t="s">
        <v>3537</v>
      </c>
      <c r="D4454">
        <v>2</v>
      </c>
      <c r="E4454">
        <v>0</v>
      </c>
      <c r="F4454">
        <v>1584</v>
      </c>
    </row>
    <row r="4455" spans="1:6" ht="12.75">
      <c r="A4455" s="2">
        <v>43883.565659722226</v>
      </c>
      <c r="B4455" t="str">
        <f>HYPERLINK("https://twitter.com/radar_malang","@radar_malang")</f>
        <v>@radar_malang</v>
      </c>
      <c r="C4455" t="s">
        <v>3539</v>
      </c>
      <c r="D4455">
        <v>2</v>
      </c>
      <c r="E4455">
        <v>0</v>
      </c>
      <c r="F4455">
        <v>108635</v>
      </c>
    </row>
    <row r="4456" spans="1:6" ht="12.75">
      <c r="A4456" s="2">
        <v>43883.565648148149</v>
      </c>
      <c r="B4456" t="str">
        <f>HYPERLINK("https://twitter.com/Oh_Ronald","@Oh_Ronald")</f>
        <v>@Oh_Ronald</v>
      </c>
      <c r="C4456" t="s">
        <v>3716</v>
      </c>
      <c r="D4456">
        <v>2</v>
      </c>
      <c r="E4456">
        <v>0</v>
      </c>
      <c r="F4456">
        <v>2319</v>
      </c>
    </row>
    <row r="4457" spans="1:6" ht="12.75">
      <c r="A4457" s="2">
        <v>43883.564282407402</v>
      </c>
      <c r="B4457" t="str">
        <f>HYPERLINK("https://twitter.com/SyifaSalamah4","@SyifaSalamah4")</f>
        <v>@SyifaSalamah4</v>
      </c>
      <c r="C4457" t="s">
        <v>3717</v>
      </c>
      <c r="D4457">
        <v>0</v>
      </c>
      <c r="E4457">
        <v>0</v>
      </c>
      <c r="F4457">
        <v>21</v>
      </c>
    </row>
    <row r="4458" spans="1:6" ht="12.75">
      <c r="A4458" s="2">
        <v>43883.563310185185</v>
      </c>
      <c r="B4458" t="str">
        <f>HYPERLINK("https://twitter.com/woelannnn","@woelannnn")</f>
        <v>@woelannnn</v>
      </c>
      <c r="C4458" t="s">
        <v>3716</v>
      </c>
      <c r="D4458">
        <v>2</v>
      </c>
      <c r="E4458">
        <v>0</v>
      </c>
      <c r="F4458">
        <v>20881</v>
      </c>
    </row>
    <row r="4459" spans="1:6" ht="12.75">
      <c r="A4459" s="2">
        <v>43883.563287037032</v>
      </c>
      <c r="B4459" t="str">
        <f>HYPERLINK("https://twitter.com/cf_ica","@cf_ica")</f>
        <v>@cf_ica</v>
      </c>
      <c r="C4459" t="s">
        <v>3202</v>
      </c>
      <c r="D4459">
        <v>5</v>
      </c>
      <c r="E4459">
        <v>0</v>
      </c>
      <c r="F4459">
        <v>166</v>
      </c>
    </row>
    <row r="4460" spans="1:6" ht="12.75">
      <c r="A4460" s="2">
        <v>43883.563194444447</v>
      </c>
      <c r="B4460" t="str">
        <f>HYPERLINK("https://twitter.com/IndiraMayori","@IndiraMayori")</f>
        <v>@IndiraMayori</v>
      </c>
      <c r="C4460" t="s">
        <v>3718</v>
      </c>
      <c r="D4460">
        <v>1</v>
      </c>
      <c r="E4460">
        <v>0</v>
      </c>
      <c r="F4460">
        <v>129</v>
      </c>
    </row>
    <row r="4461" spans="1:6" ht="12.75">
      <c r="A4461" s="2">
        <v>43883.562685185185</v>
      </c>
      <c r="B4461" t="str">
        <f>HYPERLINK("https://twitter.com/teh_tariq","@teh_tariq")</f>
        <v>@teh_tariq</v>
      </c>
      <c r="C4461" t="s">
        <v>3719</v>
      </c>
      <c r="D4461">
        <v>3</v>
      </c>
      <c r="E4461">
        <v>0</v>
      </c>
      <c r="F4461">
        <v>6796</v>
      </c>
    </row>
    <row r="4462" spans="1:6" ht="12.75">
      <c r="A4462" s="2">
        <v>43883.562569444446</v>
      </c>
      <c r="B4462" t="str">
        <f>HYPERLINK("https://twitter.com/mudha_satriya","@mudha_satriya")</f>
        <v>@mudha_satriya</v>
      </c>
      <c r="C4462" t="s">
        <v>3720</v>
      </c>
      <c r="D4462">
        <v>4</v>
      </c>
      <c r="E4462">
        <v>0</v>
      </c>
      <c r="F4462">
        <v>1875</v>
      </c>
    </row>
    <row r="4463" spans="1:6" ht="12.75">
      <c r="A4463" s="2">
        <v>43883.562442129631</v>
      </c>
      <c r="B4463" t="str">
        <f>HYPERLINK("https://twitter.com/rianelangg","@rianelangg")</f>
        <v>@rianelangg</v>
      </c>
      <c r="C4463" t="s">
        <v>3525</v>
      </c>
      <c r="D4463">
        <v>172</v>
      </c>
      <c r="E4463">
        <v>0</v>
      </c>
      <c r="F4463">
        <v>225</v>
      </c>
    </row>
    <row r="4464" spans="1:6" ht="12.75">
      <c r="A4464" s="2">
        <v>43883.562175925923</v>
      </c>
      <c r="B4464" t="str">
        <f>HYPERLINK("https://twitter.com/NovieUrsula","@NovieUrsula")</f>
        <v>@NovieUrsula</v>
      </c>
      <c r="C4464" t="s">
        <v>2119</v>
      </c>
      <c r="D4464">
        <v>504</v>
      </c>
      <c r="E4464">
        <v>0</v>
      </c>
      <c r="F4464">
        <v>8</v>
      </c>
    </row>
    <row r="4465" spans="1:6" ht="12.75">
      <c r="A4465" s="2">
        <v>43883.562060185184</v>
      </c>
      <c r="B4465" t="str">
        <f>HYPERLINK("https://twitter.com/oktavianahsm","@oktavianahsm")</f>
        <v>@oktavianahsm</v>
      </c>
      <c r="C4465" t="s">
        <v>2190</v>
      </c>
      <c r="D4465">
        <v>14</v>
      </c>
      <c r="E4465">
        <v>0</v>
      </c>
      <c r="F4465">
        <v>95</v>
      </c>
    </row>
    <row r="4466" spans="1:6" ht="12.75">
      <c r="A4466" s="2">
        <v>43883.560856481483</v>
      </c>
      <c r="B4466" t="str">
        <f>HYPERLINK("https://twitter.com/AgusSaptono","@AgusSaptono")</f>
        <v>@AgusSaptono</v>
      </c>
      <c r="C4466" t="s">
        <v>3721</v>
      </c>
      <c r="D4466">
        <v>0</v>
      </c>
      <c r="E4466">
        <v>0</v>
      </c>
      <c r="F4466">
        <v>2222</v>
      </c>
    </row>
    <row r="4467" spans="1:6" ht="12.75">
      <c r="A4467" s="2">
        <v>43883.560520833329</v>
      </c>
      <c r="B4467" t="str">
        <f>HYPERLINK("https://twitter.com/Andri_an99","@Andri_an99")</f>
        <v>@Andri_an99</v>
      </c>
      <c r="C4467" t="s">
        <v>3525</v>
      </c>
      <c r="D4467">
        <v>172</v>
      </c>
      <c r="E4467">
        <v>0</v>
      </c>
      <c r="F4467">
        <v>460</v>
      </c>
    </row>
    <row r="4468" spans="1:6" ht="12.75">
      <c r="A4468" s="2">
        <v>43883.560439814813</v>
      </c>
      <c r="B4468" t="str">
        <f>HYPERLINK("https://twitter.com/Awesome23Danish","@Awesome23Danish")</f>
        <v>@Awesome23Danish</v>
      </c>
      <c r="C4468" t="s">
        <v>3090</v>
      </c>
      <c r="D4468">
        <v>72</v>
      </c>
      <c r="E4468">
        <v>0</v>
      </c>
      <c r="F4468">
        <v>76</v>
      </c>
    </row>
    <row r="4469" spans="1:6" ht="12.75">
      <c r="A4469" s="2">
        <v>43883.560335648144</v>
      </c>
      <c r="B4469" t="str">
        <f>HYPERLINK("https://twitter.com/lucunyaku","@lucunyaku")</f>
        <v>@lucunyaku</v>
      </c>
      <c r="C4469" t="s">
        <v>3525</v>
      </c>
      <c r="D4469">
        <v>172</v>
      </c>
      <c r="E4469">
        <v>0</v>
      </c>
      <c r="F4469">
        <v>65</v>
      </c>
    </row>
    <row r="4470" spans="1:6" ht="12.75">
      <c r="A4470" s="2">
        <v>43883.559259259258</v>
      </c>
      <c r="B4470" t="str">
        <f>HYPERLINK("https://twitter.com/Horizon32636692","@Horizon32636692")</f>
        <v>@Horizon32636692</v>
      </c>
      <c r="C4470" t="s">
        <v>177</v>
      </c>
      <c r="D4470">
        <v>815</v>
      </c>
      <c r="E4470">
        <v>0</v>
      </c>
      <c r="F4470">
        <v>272</v>
      </c>
    </row>
    <row r="4471" spans="1:6" ht="12.75">
      <c r="A4471" s="2">
        <v>43883.559097222227</v>
      </c>
      <c r="B4471" t="str">
        <f>HYPERLINK("https://twitter.com/Chanbobz","@Chanbobz")</f>
        <v>@Chanbobz</v>
      </c>
      <c r="C4471" t="s">
        <v>3722</v>
      </c>
      <c r="D4471">
        <v>0</v>
      </c>
      <c r="E4471">
        <v>0</v>
      </c>
      <c r="F4471">
        <v>1497</v>
      </c>
    </row>
    <row r="4472" spans="1:6" ht="12.75">
      <c r="A4472" s="2">
        <v>43883.55850694445</v>
      </c>
      <c r="B4472" t="str">
        <f>HYPERLINK("https://twitter.com/Chandranataa","@Chandranataa")</f>
        <v>@Chandranataa</v>
      </c>
      <c r="C4472" t="s">
        <v>2190</v>
      </c>
      <c r="D4472">
        <v>14</v>
      </c>
      <c r="E4472">
        <v>0</v>
      </c>
      <c r="F4472">
        <v>161</v>
      </c>
    </row>
    <row r="4473" spans="1:6" ht="12.75">
      <c r="A4473" s="2">
        <v>43883.55846064815</v>
      </c>
      <c r="B4473" t="str">
        <f>HYPERLINK("https://twitter.com/idntimes","@idntimes")</f>
        <v>@idntimes</v>
      </c>
      <c r="C4473" t="s">
        <v>3723</v>
      </c>
      <c r="D4473">
        <v>0</v>
      </c>
      <c r="E4473">
        <v>2</v>
      </c>
      <c r="F4473">
        <v>393185</v>
      </c>
    </row>
    <row r="4474" spans="1:6" ht="12.75">
      <c r="A4474" s="2">
        <v>43883.557349537034</v>
      </c>
      <c r="B4474" t="str">
        <f>HYPERLINK("https://twitter.com/Yeyen41020695","@Yeyen41020695")</f>
        <v>@Yeyen41020695</v>
      </c>
      <c r="C4474" t="s">
        <v>3724</v>
      </c>
      <c r="D4474">
        <v>1</v>
      </c>
      <c r="E4474">
        <v>3</v>
      </c>
      <c r="F4474">
        <v>1458</v>
      </c>
    </row>
    <row r="4475" spans="1:6" ht="12.75">
      <c r="A4475" s="2">
        <v>43883.557326388887</v>
      </c>
      <c r="B4475" t="str">
        <f>HYPERLINK("https://twitter.com/mudha_satriya","@mudha_satriya")</f>
        <v>@mudha_satriya</v>
      </c>
      <c r="C4475" t="s">
        <v>3598</v>
      </c>
      <c r="D4475">
        <v>1</v>
      </c>
      <c r="E4475">
        <v>0</v>
      </c>
      <c r="F4475">
        <v>1875</v>
      </c>
    </row>
    <row r="4476" spans="1:6" ht="12.75">
      <c r="A4476" s="2">
        <v>43883.557210648149</v>
      </c>
      <c r="B4476" t="str">
        <f>HYPERLINK("https://twitter.com/togarerwins24","@togarerwins24")</f>
        <v>@togarerwins24</v>
      </c>
      <c r="C4476" t="s">
        <v>2119</v>
      </c>
      <c r="D4476">
        <v>504</v>
      </c>
      <c r="E4476">
        <v>0</v>
      </c>
      <c r="F4476">
        <v>638</v>
      </c>
    </row>
    <row r="4477" spans="1:6" ht="12.75">
      <c r="A4477" s="2">
        <v>43883.556793981479</v>
      </c>
      <c r="B4477" t="str">
        <f>HYPERLINK("https://twitter.com/bagikertasdong","@bagikertasdong")</f>
        <v>@bagikertasdong</v>
      </c>
      <c r="C4477" t="s">
        <v>513</v>
      </c>
      <c r="D4477">
        <v>23261</v>
      </c>
      <c r="E4477">
        <v>0</v>
      </c>
      <c r="F4477">
        <v>72</v>
      </c>
    </row>
    <row r="4478" spans="1:6" ht="12.75">
      <c r="A4478" s="2">
        <v>43883.556712962964</v>
      </c>
      <c r="B4478" t="str">
        <f>HYPERLINK("https://twitter.com/NinaAdjignon","@NinaAdjignon")</f>
        <v>@NinaAdjignon</v>
      </c>
      <c r="C4478" t="s">
        <v>3725</v>
      </c>
      <c r="D4478">
        <v>0</v>
      </c>
      <c r="E4478">
        <v>4</v>
      </c>
      <c r="F4478">
        <v>619</v>
      </c>
    </row>
    <row r="4479" spans="1:6" ht="12.75">
      <c r="A4479" s="2">
        <v>43883.556261574078</v>
      </c>
      <c r="B4479" t="str">
        <f>HYPERLINK("https://twitter.com/baguseyuwono","@baguseyuwono")</f>
        <v>@baguseyuwono</v>
      </c>
      <c r="C4479" t="s">
        <v>3726</v>
      </c>
      <c r="D4479">
        <v>0</v>
      </c>
      <c r="E4479">
        <v>0</v>
      </c>
      <c r="F4479">
        <v>23</v>
      </c>
    </row>
    <row r="4480" spans="1:6" ht="12.75">
      <c r="A4480" s="2">
        <v>43883.555925925924</v>
      </c>
      <c r="B4480" t="str">
        <f>HYPERLINK("https://twitter.com/koplakjahe","@koplakjahe")</f>
        <v>@koplakjahe</v>
      </c>
      <c r="C4480" t="s">
        <v>3525</v>
      </c>
      <c r="D4480">
        <v>172</v>
      </c>
      <c r="E4480">
        <v>0</v>
      </c>
      <c r="F4480">
        <v>172</v>
      </c>
    </row>
    <row r="4481" spans="1:6" ht="12.75">
      <c r="A4481" s="2">
        <v>43883.555671296301</v>
      </c>
      <c r="B4481" t="str">
        <f>HYPERLINK("https://twitter.com/410aries","@410aries")</f>
        <v>@410aries</v>
      </c>
      <c r="C4481" t="s">
        <v>3203</v>
      </c>
      <c r="D4481">
        <v>1</v>
      </c>
      <c r="E4481">
        <v>0</v>
      </c>
      <c r="F4481">
        <v>835</v>
      </c>
    </row>
    <row r="4482" spans="1:6" ht="12.75">
      <c r="A4482" s="2">
        <v>43883.555532407408</v>
      </c>
      <c r="B4482" t="str">
        <f>HYPERLINK("https://twitter.com/SisiLusipara","@SisiLusipara")</f>
        <v>@SisiLusipara</v>
      </c>
      <c r="C4482" t="s">
        <v>3584</v>
      </c>
      <c r="D4482">
        <v>5</v>
      </c>
      <c r="E4482">
        <v>0</v>
      </c>
      <c r="F4482">
        <v>4153</v>
      </c>
    </row>
    <row r="4483" spans="1:6" ht="12.75">
      <c r="A4483" s="2">
        <v>43883.555115740739</v>
      </c>
      <c r="B4483" t="str">
        <f>HYPERLINK("https://twitter.com/pramuktiga","@pramuktiga")</f>
        <v>@pramuktiga</v>
      </c>
      <c r="C4483" t="s">
        <v>3727</v>
      </c>
      <c r="D4483">
        <v>0</v>
      </c>
      <c r="E4483">
        <v>0</v>
      </c>
      <c r="F4483">
        <v>226</v>
      </c>
    </row>
    <row r="4484" spans="1:6" ht="12.75">
      <c r="A4484" s="2">
        <v>43883.554942129631</v>
      </c>
      <c r="B4484" t="str">
        <f>HYPERLINK("https://twitter.com/SisiLusipara","@SisiLusipara")</f>
        <v>@SisiLusipara</v>
      </c>
      <c r="C4484" t="s">
        <v>3728</v>
      </c>
      <c r="D4484">
        <v>3</v>
      </c>
      <c r="E4484">
        <v>0</v>
      </c>
      <c r="F4484">
        <v>4153</v>
      </c>
    </row>
    <row r="4485" spans="1:6" ht="12.75">
      <c r="A4485" s="2">
        <v>43883.554918981477</v>
      </c>
      <c r="B4485" t="str">
        <f>HYPERLINK("https://twitter.com/sangkumaali","@sangkumaali")</f>
        <v>@sangkumaali</v>
      </c>
      <c r="C4485" t="s">
        <v>3729</v>
      </c>
      <c r="D4485">
        <v>0</v>
      </c>
      <c r="E4485">
        <v>1</v>
      </c>
      <c r="F4485">
        <v>3</v>
      </c>
    </row>
    <row r="4486" spans="1:6" ht="12.75">
      <c r="A4486" s="2">
        <v>43883.554722222223</v>
      </c>
      <c r="B4486" t="str">
        <f>HYPERLINK("https://twitter.com/AwondatuJe","@AwondatuJe")</f>
        <v>@AwondatuJe</v>
      </c>
      <c r="C4486" t="s">
        <v>3730</v>
      </c>
      <c r="D4486">
        <v>5</v>
      </c>
      <c r="E4486">
        <v>0</v>
      </c>
      <c r="F4486">
        <v>352</v>
      </c>
    </row>
    <row r="4487" spans="1:6" ht="12.75">
      <c r="A4487" s="2">
        <v>43883.554525462961</v>
      </c>
      <c r="B4487" t="str">
        <f>HYPERLINK("https://twitter.com/mudha_satriya","@mudha_satriya")</f>
        <v>@mudha_satriya</v>
      </c>
      <c r="C4487" t="s">
        <v>3731</v>
      </c>
      <c r="D4487">
        <v>1</v>
      </c>
      <c r="E4487">
        <v>0</v>
      </c>
      <c r="F4487">
        <v>1875</v>
      </c>
    </row>
    <row r="4488" spans="1:6" ht="12.75">
      <c r="A4488" s="2">
        <v>43883.55368055556</v>
      </c>
      <c r="B4488" t="str">
        <f>HYPERLINK("https://twitter.com/siahaan_johan","@siahaan_johan")</f>
        <v>@siahaan_johan</v>
      </c>
      <c r="C4488" t="s">
        <v>3732</v>
      </c>
      <c r="D4488">
        <v>0</v>
      </c>
      <c r="E4488">
        <v>1</v>
      </c>
      <c r="F4488">
        <v>1124</v>
      </c>
    </row>
    <row r="4489" spans="1:6" ht="12.75">
      <c r="A4489" s="2">
        <v>43883.553622685184</v>
      </c>
      <c r="B4489" t="str">
        <f>HYPERLINK("https://twitter.com/hamka_kd","@hamka_kd")</f>
        <v>@hamka_kd</v>
      </c>
      <c r="C4489" t="s">
        <v>3733</v>
      </c>
      <c r="D4489">
        <v>3</v>
      </c>
      <c r="E4489">
        <v>0</v>
      </c>
      <c r="F4489">
        <v>526</v>
      </c>
    </row>
    <row r="4490" spans="1:6" ht="12.75">
      <c r="A4490" s="2">
        <v>43883.553530092591</v>
      </c>
      <c r="B4490" t="str">
        <f>HYPERLINK("https://twitter.com/team_pemburu007","@team_pemburu007")</f>
        <v>@team_pemburu007</v>
      </c>
      <c r="C4490" t="s">
        <v>3525</v>
      </c>
      <c r="D4490">
        <v>172</v>
      </c>
      <c r="E4490">
        <v>0</v>
      </c>
      <c r="F4490">
        <v>193</v>
      </c>
    </row>
    <row r="4491" spans="1:6" ht="12.75">
      <c r="A4491" s="2">
        <v>43883.553310185191</v>
      </c>
      <c r="B4491" t="str">
        <f>HYPERLINK("https://twitter.com/Sumarwoto18","@Sumarwoto18")</f>
        <v>@Sumarwoto18</v>
      </c>
      <c r="C4491" t="s">
        <v>2119</v>
      </c>
      <c r="D4491">
        <v>504</v>
      </c>
      <c r="E4491">
        <v>0</v>
      </c>
      <c r="F4491">
        <v>1350</v>
      </c>
    </row>
    <row r="4492" spans="1:6" ht="12.75">
      <c r="A4492" s="2">
        <v>43883.553287037037</v>
      </c>
      <c r="B4492" t="str">
        <f>HYPERLINK("https://twitter.com/HRL68698646","@HRL68698646")</f>
        <v>@HRL68698646</v>
      </c>
      <c r="C4492" t="s">
        <v>3734</v>
      </c>
      <c r="D4492">
        <v>0</v>
      </c>
      <c r="E4492">
        <v>0</v>
      </c>
      <c r="F4492">
        <v>33</v>
      </c>
    </row>
    <row r="4493" spans="1:6" ht="12.75">
      <c r="A4493" s="2">
        <v>43883.552870370375</v>
      </c>
      <c r="B4493" t="str">
        <f>HYPERLINK("https://twitter.com/eggggsie","@eggggsie")</f>
        <v>@eggggsie</v>
      </c>
      <c r="C4493" t="s">
        <v>3735</v>
      </c>
      <c r="D4493">
        <v>0</v>
      </c>
      <c r="E4493">
        <v>0</v>
      </c>
      <c r="F4493">
        <v>10954</v>
      </c>
    </row>
    <row r="4494" spans="1:6" ht="12.75">
      <c r="A4494" s="2">
        <v>43883.552245370374</v>
      </c>
      <c r="B4494" t="str">
        <f>HYPERLINK("https://twitter.com/Tere_one34","@Tere_one34")</f>
        <v>@Tere_one34</v>
      </c>
      <c r="C4494" t="s">
        <v>3736</v>
      </c>
      <c r="D4494">
        <v>5</v>
      </c>
      <c r="E4494">
        <v>0</v>
      </c>
      <c r="F4494">
        <v>4522</v>
      </c>
    </row>
    <row r="4495" spans="1:6" ht="12.75">
      <c r="A4495" s="2">
        <v>43883.552083333328</v>
      </c>
      <c r="B4495" t="str">
        <f>HYPERLINK("https://twitter.com/andi_achilles","@andi_achilles")</f>
        <v>@andi_achilles</v>
      </c>
      <c r="C4495" t="s">
        <v>3737</v>
      </c>
      <c r="D4495">
        <v>1</v>
      </c>
      <c r="E4495">
        <v>0</v>
      </c>
      <c r="F4495">
        <v>1288</v>
      </c>
    </row>
    <row r="4496" spans="1:6" ht="12.75">
      <c r="A4496" s="2">
        <v>43883.551504629635</v>
      </c>
      <c r="B4496" t="str">
        <f>HYPERLINK("https://twitter.com/dirgantra00","@dirgantra00")</f>
        <v>@dirgantra00</v>
      </c>
      <c r="C4496" t="s">
        <v>3730</v>
      </c>
      <c r="D4496">
        <v>5</v>
      </c>
      <c r="E4496">
        <v>0</v>
      </c>
      <c r="F4496">
        <v>700</v>
      </c>
    </row>
    <row r="4497" spans="1:6" ht="12.75">
      <c r="A4497" s="2">
        <v>43883.551307870366</v>
      </c>
      <c r="B4497" t="str">
        <f>HYPERLINK("https://twitter.com/hotradiofm","@hotradiofm")</f>
        <v>@hotradiofm</v>
      </c>
      <c r="C4497" t="s">
        <v>3738</v>
      </c>
      <c r="D4497">
        <v>0</v>
      </c>
      <c r="E4497">
        <v>0</v>
      </c>
      <c r="F4497">
        <v>847</v>
      </c>
    </row>
    <row r="4498" spans="1:6" ht="12.75">
      <c r="A4498" s="2">
        <v>43883.551076388889</v>
      </c>
      <c r="B4498" t="str">
        <f>HYPERLINK("https://twitter.com/amiryogi","@amiryogi")</f>
        <v>@amiryogi</v>
      </c>
      <c r="C4498" t="s">
        <v>3107</v>
      </c>
      <c r="D4498">
        <v>1</v>
      </c>
      <c r="E4498">
        <v>0</v>
      </c>
      <c r="F4498">
        <v>1843</v>
      </c>
    </row>
    <row r="4499" spans="1:6" ht="12.75">
      <c r="A4499" s="2">
        <v>43883.550810185188</v>
      </c>
      <c r="B4499" t="str">
        <f>HYPERLINK("https://twitter.com/marion_holahop","@marion_holahop")</f>
        <v>@marion_holahop</v>
      </c>
      <c r="C4499" t="s">
        <v>3525</v>
      </c>
      <c r="D4499">
        <v>172</v>
      </c>
      <c r="E4499">
        <v>0</v>
      </c>
      <c r="F4499">
        <v>75</v>
      </c>
    </row>
    <row r="4500" spans="1:6" ht="12.75">
      <c r="A4500" s="2">
        <v>43883.550393518519</v>
      </c>
      <c r="B4500" t="str">
        <f>HYPERLINK("https://twitter.com/dirgantra00","@dirgantra00")</f>
        <v>@dirgantra00</v>
      </c>
      <c r="C4500" t="s">
        <v>2119</v>
      </c>
      <c r="D4500">
        <v>504</v>
      </c>
      <c r="E4500">
        <v>0</v>
      </c>
      <c r="F4500">
        <v>700</v>
      </c>
    </row>
    <row r="4501" spans="1:6" ht="12.75">
      <c r="A4501" s="2">
        <v>43883.543078703704</v>
      </c>
      <c r="B4501" t="str">
        <f>HYPERLINK("https://twitter.com/deusa_lave","@deusa_lave")</f>
        <v>@deusa_lave</v>
      </c>
      <c r="C4501" t="s">
        <v>2190</v>
      </c>
      <c r="D4501">
        <v>7</v>
      </c>
      <c r="E4501">
        <v>0</v>
      </c>
      <c r="F4501">
        <v>1488</v>
      </c>
    </row>
    <row r="4502" spans="1:6" ht="12.75">
      <c r="A4502" s="2">
        <v>43883.542442129634</v>
      </c>
      <c r="B4502" t="str">
        <f>HYPERLINK("https://twitter.com/Jkt_Networks","@Jkt_Networks")</f>
        <v>@Jkt_Networks</v>
      </c>
      <c r="C4502" t="s">
        <v>3739</v>
      </c>
      <c r="D4502">
        <v>0</v>
      </c>
      <c r="E4502">
        <v>0</v>
      </c>
      <c r="F4502">
        <v>203</v>
      </c>
    </row>
    <row r="4503" spans="1:6" ht="12.75">
      <c r="A4503" s="2">
        <v>43883.542083333334</v>
      </c>
      <c r="B4503" t="str">
        <f>HYPERLINK("https://twitter.com/putriffebb","@putriffebb")</f>
        <v>@putriffebb</v>
      </c>
      <c r="C4503" t="s">
        <v>513</v>
      </c>
      <c r="D4503">
        <v>23258</v>
      </c>
      <c r="E4503">
        <v>0</v>
      </c>
      <c r="F4503">
        <v>72</v>
      </c>
    </row>
    <row r="4504" spans="1:6" ht="12.75">
      <c r="A4504" s="2">
        <v>43883.542025462964</v>
      </c>
      <c r="B4504" t="str">
        <f>HYPERLINK("https://twitter.com/yolaseptika","@yolaseptika")</f>
        <v>@yolaseptika</v>
      </c>
      <c r="C4504" t="s">
        <v>2190</v>
      </c>
      <c r="D4504">
        <v>7</v>
      </c>
      <c r="E4504">
        <v>0</v>
      </c>
      <c r="F4504">
        <v>448</v>
      </c>
    </row>
    <row r="4505" spans="1:6" ht="12.75">
      <c r="A4505" s="2">
        <v>43883.54105324074</v>
      </c>
      <c r="B4505" t="str">
        <f>HYPERLINK("https://twitter.com/realPriGim","@realPriGim")</f>
        <v>@realPriGim</v>
      </c>
      <c r="C4505" t="s">
        <v>3740</v>
      </c>
      <c r="D4505">
        <v>0</v>
      </c>
      <c r="E4505">
        <v>1</v>
      </c>
      <c r="F4505">
        <v>3395</v>
      </c>
    </row>
    <row r="4506" spans="1:6" ht="12.75">
      <c r="A4506" s="2">
        <v>43883.540960648148</v>
      </c>
      <c r="B4506" t="str">
        <f>HYPERLINK("https://twitter.com/AhmadFaizAFA","@AhmadFaizAFA")</f>
        <v>@AhmadFaizAFA</v>
      </c>
      <c r="C4506" t="s">
        <v>3090</v>
      </c>
      <c r="D4506">
        <v>71</v>
      </c>
      <c r="E4506">
        <v>0</v>
      </c>
      <c r="F4506">
        <v>343</v>
      </c>
    </row>
    <row r="4507" spans="1:6" ht="12.75">
      <c r="A4507" s="2">
        <v>43883.540844907402</v>
      </c>
      <c r="B4507" t="str">
        <f>HYPERLINK("https://twitter.com/vezhecella","@vezhecella")</f>
        <v>@vezhecella</v>
      </c>
      <c r="C4507" t="s">
        <v>3525</v>
      </c>
      <c r="D4507">
        <v>154</v>
      </c>
      <c r="E4507">
        <v>0</v>
      </c>
      <c r="F4507">
        <v>289</v>
      </c>
    </row>
    <row r="4508" spans="1:6" ht="12.75">
      <c r="A4508" s="2">
        <v>43883.540763888886</v>
      </c>
      <c r="B4508" t="str">
        <f>HYPERLINK("https://twitter.com/vr_na","@vr_na")</f>
        <v>@vr_na</v>
      </c>
      <c r="C4508" t="s">
        <v>3525</v>
      </c>
      <c r="D4508">
        <v>154</v>
      </c>
      <c r="E4508">
        <v>0</v>
      </c>
      <c r="F4508">
        <v>295</v>
      </c>
    </row>
    <row r="4509" spans="1:6" ht="12.75">
      <c r="A4509" s="2">
        <v>43883.540138888886</v>
      </c>
      <c r="B4509" t="str">
        <f>HYPERLINK("https://twitter.com/tekatekims3","@tekatekims3")</f>
        <v>@tekatekims3</v>
      </c>
      <c r="C4509" t="s">
        <v>3090</v>
      </c>
      <c r="D4509">
        <v>71</v>
      </c>
      <c r="E4509">
        <v>0</v>
      </c>
      <c r="F4509">
        <v>404</v>
      </c>
    </row>
    <row r="4510" spans="1:6" ht="12.75">
      <c r="A4510" s="2">
        <v>43883.54011574074</v>
      </c>
      <c r="B4510" t="str">
        <f>HYPERLINK("https://twitter.com/realPriGim","@realPriGim")</f>
        <v>@realPriGim</v>
      </c>
      <c r="C4510" t="s">
        <v>3741</v>
      </c>
      <c r="D4510">
        <v>0</v>
      </c>
      <c r="E4510">
        <v>2</v>
      </c>
      <c r="F4510">
        <v>3395</v>
      </c>
    </row>
    <row r="4511" spans="1:6" ht="12.75">
      <c r="A4511" s="2">
        <v>43883.539756944447</v>
      </c>
      <c r="B4511" t="str">
        <f>HYPERLINK("https://twitter.com/kardusbox08","@kardusbox08")</f>
        <v>@kardusbox08</v>
      </c>
      <c r="C4511" t="s">
        <v>3742</v>
      </c>
      <c r="D4511">
        <v>0</v>
      </c>
      <c r="E4511">
        <v>0</v>
      </c>
      <c r="F4511">
        <v>1518</v>
      </c>
    </row>
    <row r="4512" spans="1:6" ht="12.75">
      <c r="A4512" s="2">
        <v>43883.539375</v>
      </c>
      <c r="B4512" t="str">
        <f>HYPERLINK("https://twitter.com/realPriGim","@realPriGim")</f>
        <v>@realPriGim</v>
      </c>
      <c r="C4512" t="s">
        <v>3743</v>
      </c>
      <c r="D4512">
        <v>0</v>
      </c>
      <c r="E4512">
        <v>2</v>
      </c>
      <c r="F4512">
        <v>3395</v>
      </c>
    </row>
    <row r="4513" spans="1:6" ht="12.75">
      <c r="A4513" s="2">
        <v>43883.538958333331</v>
      </c>
      <c r="B4513" t="str">
        <f>HYPERLINK("https://twitter.com/updatedotid","@updatedotid")</f>
        <v>@updatedotid</v>
      </c>
      <c r="C4513" t="s">
        <v>3163</v>
      </c>
      <c r="D4513">
        <v>2</v>
      </c>
      <c r="E4513">
        <v>0</v>
      </c>
      <c r="F4513">
        <v>1620</v>
      </c>
    </row>
    <row r="4514" spans="1:6" ht="12.75">
      <c r="A4514" s="2">
        <v>43883.538460648153</v>
      </c>
      <c r="B4514" t="str">
        <f>HYPERLINK("https://twitter.com/athanasiusss","@athanasiusss")</f>
        <v>@athanasiusss</v>
      </c>
      <c r="C4514" t="s">
        <v>2190</v>
      </c>
      <c r="D4514">
        <v>7</v>
      </c>
      <c r="E4514">
        <v>0</v>
      </c>
      <c r="F4514">
        <v>23</v>
      </c>
    </row>
    <row r="4515" spans="1:6" ht="12.75">
      <c r="A4515" s="2">
        <v>43883.538124999999</v>
      </c>
      <c r="B4515" t="str">
        <f>HYPERLINK("https://twitter.com/TroperTero","@TroperTero")</f>
        <v>@TroperTero</v>
      </c>
      <c r="C4515" t="s">
        <v>2190</v>
      </c>
      <c r="D4515">
        <v>7</v>
      </c>
      <c r="E4515">
        <v>0</v>
      </c>
      <c r="F4515">
        <v>385</v>
      </c>
    </row>
    <row r="4516" spans="1:6" ht="12.75">
      <c r="A4516" s="2">
        <v>43883.538101851853</v>
      </c>
      <c r="B4516" t="str">
        <f>HYPERLINK("https://twitter.com/Jkt_Networks","@Jkt_Networks")</f>
        <v>@Jkt_Networks</v>
      </c>
      <c r="C4516" t="s">
        <v>3744</v>
      </c>
      <c r="D4516">
        <v>0</v>
      </c>
      <c r="E4516">
        <v>1</v>
      </c>
      <c r="F4516">
        <v>203</v>
      </c>
    </row>
    <row r="4517" spans="1:6" ht="12.75">
      <c r="A4517" s="2">
        <v>43883.538043981476</v>
      </c>
      <c r="B4517" t="str">
        <f>HYPERLINK("https://twitter.com/waendhut","@waendhut")</f>
        <v>@waendhut</v>
      </c>
      <c r="C4517" t="s">
        <v>3733</v>
      </c>
      <c r="D4517">
        <v>1</v>
      </c>
      <c r="E4517">
        <v>0</v>
      </c>
      <c r="F4517">
        <v>2396</v>
      </c>
    </row>
    <row r="4518" spans="1:6" ht="12.75">
      <c r="A4518" s="2">
        <v>43883.537893518514</v>
      </c>
      <c r="B4518" t="str">
        <f>HYPERLINK("https://twitter.com/khoerul_666","@khoerul_666")</f>
        <v>@khoerul_666</v>
      </c>
      <c r="C4518" t="s">
        <v>2190</v>
      </c>
      <c r="D4518">
        <v>7</v>
      </c>
      <c r="E4518">
        <v>0</v>
      </c>
      <c r="F4518">
        <v>1117</v>
      </c>
    </row>
    <row r="4519" spans="1:6" ht="12.75">
      <c r="A4519" s="2">
        <v>43883.53769675926</v>
      </c>
      <c r="B4519" t="str">
        <f>HYPERLINK("https://twitter.com/ditovatdin35","@ditovatdin35")</f>
        <v>@ditovatdin35</v>
      </c>
      <c r="C4519" t="s">
        <v>2190</v>
      </c>
      <c r="D4519">
        <v>7</v>
      </c>
      <c r="E4519">
        <v>0</v>
      </c>
      <c r="F4519">
        <v>220</v>
      </c>
    </row>
    <row r="4520" spans="1:6" ht="12.75">
      <c r="A4520" s="2">
        <v>43883.537523148145</v>
      </c>
      <c r="B4520" t="str">
        <f>HYPERLINK("https://twitter.com/sabhatansabiz","@sabhatansabiz")</f>
        <v>@sabhatansabiz</v>
      </c>
      <c r="C4520" t="s">
        <v>3163</v>
      </c>
      <c r="D4520">
        <v>2</v>
      </c>
      <c r="E4520">
        <v>0</v>
      </c>
      <c r="F4520">
        <v>1584</v>
      </c>
    </row>
    <row r="4521" spans="1:6" ht="12.75">
      <c r="A4521" s="2">
        <v>43883.537245370375</v>
      </c>
      <c r="B4521" t="str">
        <f>HYPERLINK("https://twitter.com/ridhoik02","@ridhoik02")</f>
        <v>@ridhoik02</v>
      </c>
      <c r="C4521" t="s">
        <v>3525</v>
      </c>
      <c r="D4521">
        <v>154</v>
      </c>
      <c r="E4521">
        <v>0</v>
      </c>
      <c r="F4521">
        <v>31</v>
      </c>
    </row>
    <row r="4522" spans="1:6" ht="12.75">
      <c r="A4522" s="2">
        <v>43883.537175925929</v>
      </c>
      <c r="B4522" t="str">
        <f>HYPERLINK("https://twitter.com/radar_malang","@radar_malang")</f>
        <v>@radar_malang</v>
      </c>
      <c r="C4522" t="s">
        <v>3165</v>
      </c>
      <c r="D4522">
        <v>2</v>
      </c>
      <c r="E4522">
        <v>0</v>
      </c>
      <c r="F4522">
        <v>108634</v>
      </c>
    </row>
    <row r="4523" spans="1:6" ht="12.75">
      <c r="A4523" s="2">
        <v>43883.537175925929</v>
      </c>
      <c r="B4523" t="str">
        <f>HYPERLINK("https://twitter.com/NoviarSbastian","@NoviarSbastian")</f>
        <v>@NoviarSbastian</v>
      </c>
      <c r="C4523" t="s">
        <v>2119</v>
      </c>
      <c r="D4523">
        <v>495</v>
      </c>
      <c r="E4523">
        <v>0</v>
      </c>
      <c r="F4523">
        <v>153</v>
      </c>
    </row>
    <row r="4524" spans="1:6" ht="12.75">
      <c r="A4524" s="2">
        <v>43883.536956018521</v>
      </c>
      <c r="B4524" t="str">
        <f>HYPERLINK("https://twitter.com/2Sry1609","@2Sry1609")</f>
        <v>@2Sry1609</v>
      </c>
      <c r="C4524" t="s">
        <v>3525</v>
      </c>
      <c r="D4524">
        <v>154</v>
      </c>
      <c r="E4524">
        <v>0</v>
      </c>
      <c r="F4524">
        <v>1636</v>
      </c>
    </row>
    <row r="4525" spans="1:6" ht="12.75">
      <c r="A4525" s="2">
        <v>43883.536840277782</v>
      </c>
      <c r="B4525" t="str">
        <f>HYPERLINK("https://twitter.com/KompasTV","@KompasTV")</f>
        <v>@KompasTV</v>
      </c>
      <c r="C4525" t="s">
        <v>3745</v>
      </c>
      <c r="D4525">
        <v>0</v>
      </c>
      <c r="E4525">
        <v>5</v>
      </c>
      <c r="F4525">
        <v>2946024</v>
      </c>
    </row>
    <row r="4526" spans="1:6" ht="12.75">
      <c r="A4526" s="2">
        <v>43883.536608796298</v>
      </c>
      <c r="B4526" t="str">
        <f>HYPERLINK("https://twitter.com/Tanpaagama","@Tanpaagama")</f>
        <v>@Tanpaagama</v>
      </c>
      <c r="C4526" t="s">
        <v>3746</v>
      </c>
      <c r="D4526">
        <v>7</v>
      </c>
      <c r="E4526">
        <v>6</v>
      </c>
      <c r="F4526">
        <v>23663</v>
      </c>
    </row>
    <row r="4527" spans="1:6" ht="12.75">
      <c r="A4527" s="2">
        <v>43883.536365740743</v>
      </c>
      <c r="B4527" t="str">
        <f>HYPERLINK("https://twitter.com/putra_bisma12","@putra_bisma12")</f>
        <v>@putra_bisma12</v>
      </c>
      <c r="C4527" t="s">
        <v>3747</v>
      </c>
      <c r="D4527">
        <v>0</v>
      </c>
      <c r="E4527">
        <v>1</v>
      </c>
      <c r="F4527">
        <v>4198</v>
      </c>
    </row>
    <row r="4528" spans="1:6" ht="12.75">
      <c r="A4528" s="2">
        <v>43883.536250000005</v>
      </c>
      <c r="B4528" t="str">
        <f>HYPERLINK("https://twitter.com/Khoirun90199724","@Khoirun90199724")</f>
        <v>@Khoirun90199724</v>
      </c>
      <c r="C4528" t="s">
        <v>3748</v>
      </c>
      <c r="D4528">
        <v>1</v>
      </c>
      <c r="E4528">
        <v>3</v>
      </c>
      <c r="F4528">
        <v>2328</v>
      </c>
    </row>
    <row r="4529" spans="1:6" ht="12.75">
      <c r="A4529" s="2">
        <v>43883.536238425921</v>
      </c>
      <c r="B4529" t="str">
        <f>HYPERLINK("https://twitter.com/aIdyeah","@aIdyeah")</f>
        <v>@aIdyeah</v>
      </c>
      <c r="C4529" t="s">
        <v>3436</v>
      </c>
      <c r="D4529">
        <v>21</v>
      </c>
      <c r="E4529">
        <v>0</v>
      </c>
      <c r="F4529">
        <v>685</v>
      </c>
    </row>
    <row r="4530" spans="1:6" ht="12.75">
      <c r="A4530" s="2">
        <v>43883.536053240736</v>
      </c>
      <c r="B4530" t="str">
        <f>HYPERLINK("https://twitter.com/abdularey","@abdularey")</f>
        <v>@abdularey</v>
      </c>
      <c r="C4530" t="s">
        <v>3749</v>
      </c>
      <c r="D4530">
        <v>0</v>
      </c>
      <c r="E4530">
        <v>0</v>
      </c>
      <c r="F4530">
        <v>147</v>
      </c>
    </row>
    <row r="4531" spans="1:6" ht="12.75">
      <c r="A4531" s="2">
        <v>43883.535856481481</v>
      </c>
      <c r="B4531" t="str">
        <f>HYPERLINK("https://twitter.com/brivasar","@brivasar")</f>
        <v>@brivasar</v>
      </c>
      <c r="C4531" t="s">
        <v>3525</v>
      </c>
      <c r="D4531">
        <v>154</v>
      </c>
      <c r="E4531">
        <v>0</v>
      </c>
      <c r="F4531">
        <v>136</v>
      </c>
    </row>
    <row r="4532" spans="1:6" ht="12.75">
      <c r="A4532" s="2">
        <v>43883.535717592589</v>
      </c>
      <c r="B4532" t="str">
        <f>HYPERLINK("https://twitter.com/syaeiddin","@syaeiddin")</f>
        <v>@syaeiddin</v>
      </c>
      <c r="C4532" t="s">
        <v>3750</v>
      </c>
      <c r="D4532">
        <v>0</v>
      </c>
      <c r="E4532">
        <v>0</v>
      </c>
      <c r="F4532">
        <v>641</v>
      </c>
    </row>
    <row r="4533" spans="1:6" ht="12.75">
      <c r="A4533" s="2">
        <v>43883.535578703704</v>
      </c>
      <c r="B4533" t="str">
        <f>HYPERLINK("https://twitter.com/selfisftryh_","@selfisftryh_")</f>
        <v>@selfisftryh_</v>
      </c>
      <c r="C4533" t="s">
        <v>3525</v>
      </c>
      <c r="D4533">
        <v>154</v>
      </c>
      <c r="E4533">
        <v>0</v>
      </c>
      <c r="F4533">
        <v>1228</v>
      </c>
    </row>
    <row r="4534" spans="1:6" ht="12.75">
      <c r="A4534" s="2">
        <v>43883.535543981481</v>
      </c>
      <c r="B4534" t="str">
        <f>HYPERLINK("https://twitter.com/labelinohudo","@labelinohudo")</f>
        <v>@labelinohudo</v>
      </c>
      <c r="C4534" t="s">
        <v>3751</v>
      </c>
      <c r="D4534">
        <v>0</v>
      </c>
      <c r="E4534">
        <v>0</v>
      </c>
      <c r="F4534">
        <v>461</v>
      </c>
    </row>
    <row r="4535" spans="1:6" ht="12.75">
      <c r="A4535" s="2">
        <v>43883.534791666665</v>
      </c>
      <c r="B4535" t="str">
        <f>HYPERLINK("https://twitter.com/tahu_buleeeet","@tahu_buleeeet")</f>
        <v>@tahu_buleeeet</v>
      </c>
      <c r="C4535" t="s">
        <v>3525</v>
      </c>
      <c r="D4535">
        <v>154</v>
      </c>
      <c r="E4535">
        <v>0</v>
      </c>
      <c r="F4535">
        <v>89</v>
      </c>
    </row>
    <row r="4536" spans="1:6" ht="12.75">
      <c r="A4536" s="2">
        <v>43883.534618055557</v>
      </c>
      <c r="B4536" t="str">
        <f>HYPERLINK("https://twitter.com/prokzip","@prokzip")</f>
        <v>@prokzip</v>
      </c>
      <c r="C4536" t="s">
        <v>3693</v>
      </c>
      <c r="D4536">
        <v>2</v>
      </c>
      <c r="E4536">
        <v>0</v>
      </c>
      <c r="F4536">
        <v>66</v>
      </c>
    </row>
    <row r="4537" spans="1:6" ht="12.75">
      <c r="A4537" s="2">
        <v>43883.534328703703</v>
      </c>
      <c r="B4537" t="str">
        <f>HYPERLINK("https://twitter.com/ikapril","@ikapril")</f>
        <v>@ikapril</v>
      </c>
      <c r="C4537" t="s">
        <v>3752</v>
      </c>
      <c r="D4537">
        <v>0</v>
      </c>
      <c r="E4537">
        <v>0</v>
      </c>
      <c r="F4537">
        <v>627</v>
      </c>
    </row>
    <row r="4538" spans="1:6" ht="12.75">
      <c r="A4538" s="2">
        <v>43883.534224537041</v>
      </c>
      <c r="B4538" t="str">
        <f>HYPERLINK("https://twitter.com/eddy_AS_111","@eddy_AS_111")</f>
        <v>@eddy_AS_111</v>
      </c>
      <c r="C4538" t="s">
        <v>2119</v>
      </c>
      <c r="D4538">
        <v>495</v>
      </c>
      <c r="E4538">
        <v>0</v>
      </c>
      <c r="F4538">
        <v>206</v>
      </c>
    </row>
    <row r="4539" spans="1:6" ht="12.75">
      <c r="A4539" s="2">
        <v>43883.534062499995</v>
      </c>
      <c r="B4539" t="str">
        <f>HYPERLINK("https://twitter.com/RelawanNusanta1","@RelawanNusanta1")</f>
        <v>@RelawanNusanta1</v>
      </c>
      <c r="C4539" t="s">
        <v>3753</v>
      </c>
      <c r="D4539">
        <v>0</v>
      </c>
      <c r="E4539">
        <v>0</v>
      </c>
      <c r="F4539">
        <v>1173</v>
      </c>
    </row>
    <row r="4540" spans="1:6" ht="12.75">
      <c r="A4540" s="2">
        <v>43883.53361111111</v>
      </c>
      <c r="B4540" t="str">
        <f>HYPERLINK("https://twitter.com/kbri_kyiv","@kbri_kyiv")</f>
        <v>@kbri_kyiv</v>
      </c>
      <c r="C4540" t="s">
        <v>177</v>
      </c>
      <c r="D4540">
        <v>814</v>
      </c>
      <c r="E4540">
        <v>0</v>
      </c>
      <c r="F4540">
        <v>557</v>
      </c>
    </row>
    <row r="4541" spans="1:6" ht="12.75">
      <c r="A4541" s="2">
        <v>43883.532997685186</v>
      </c>
      <c r="B4541" t="str">
        <f>HYPERLINK("https://twitter.com/cahayainy","@cahayainy")</f>
        <v>@cahayainy</v>
      </c>
      <c r="C4541" t="s">
        <v>3525</v>
      </c>
      <c r="D4541">
        <v>154</v>
      </c>
      <c r="E4541">
        <v>0</v>
      </c>
      <c r="F4541">
        <v>43</v>
      </c>
    </row>
    <row r="4542" spans="1:6" ht="12.75">
      <c r="A4542" s="2">
        <v>43883.532847222217</v>
      </c>
      <c r="B4542" t="str">
        <f>HYPERLINK("https://twitter.com/jevapj","@jevapj")</f>
        <v>@jevapj</v>
      </c>
      <c r="C4542" t="s">
        <v>3693</v>
      </c>
      <c r="D4542">
        <v>2</v>
      </c>
      <c r="E4542">
        <v>0</v>
      </c>
      <c r="F4542">
        <v>46</v>
      </c>
    </row>
    <row r="4543" spans="1:6" ht="12.75">
      <c r="A4543" s="2">
        <v>43883.532372685186</v>
      </c>
      <c r="B4543" t="str">
        <f>HYPERLINK("https://twitter.com/Tanpaagama","@Tanpaagama")</f>
        <v>@Tanpaagama</v>
      </c>
      <c r="C4543" t="s">
        <v>3754</v>
      </c>
      <c r="D4543">
        <v>2</v>
      </c>
      <c r="E4543">
        <v>4</v>
      </c>
      <c r="F4543">
        <v>23663</v>
      </c>
    </row>
    <row r="4544" spans="1:6" ht="12.75">
      <c r="A4544" s="2">
        <v>43883.531793981485</v>
      </c>
      <c r="B4544" t="str">
        <f>HYPERLINK("https://twitter.com/r0nggo05","@r0nggo05")</f>
        <v>@r0nggo05</v>
      </c>
      <c r="C4544" t="s">
        <v>3720</v>
      </c>
      <c r="D4544">
        <v>3</v>
      </c>
      <c r="E4544">
        <v>0</v>
      </c>
      <c r="F4544">
        <v>325</v>
      </c>
    </row>
    <row r="4545" spans="1:6" ht="12.75">
      <c r="A4545" s="2">
        <v>43883.531712962962</v>
      </c>
      <c r="B4545" t="str">
        <f>HYPERLINK("https://twitter.com/gunhot_XIII","@gunhot_XIII")</f>
        <v>@gunhot_XIII</v>
      </c>
      <c r="C4545" t="s">
        <v>513</v>
      </c>
      <c r="D4545">
        <v>23258</v>
      </c>
      <c r="E4545">
        <v>0</v>
      </c>
      <c r="F4545">
        <v>4</v>
      </c>
    </row>
    <row r="4546" spans="1:6" ht="12.75">
      <c r="A4546" s="2">
        <v>43883.53125</v>
      </c>
      <c r="B4546" t="str">
        <f>HYPERLINK("https://twitter.com/korantempo","@korantempo")</f>
        <v>@korantempo</v>
      </c>
      <c r="C4546" t="s">
        <v>3755</v>
      </c>
      <c r="D4546">
        <v>0</v>
      </c>
      <c r="E4546">
        <v>1</v>
      </c>
      <c r="F4546">
        <v>1747461</v>
      </c>
    </row>
    <row r="4547" spans="1:6" ht="12.75">
      <c r="A4547" s="2">
        <v>43883.530590277776</v>
      </c>
      <c r="B4547" t="str">
        <f>HYPERLINK("https://twitter.com/ebonykikihaga","@ebonykikihaga")</f>
        <v>@ebonykikihaga</v>
      </c>
      <c r="C4547" t="s">
        <v>3756</v>
      </c>
      <c r="D4547">
        <v>7</v>
      </c>
      <c r="E4547">
        <v>0</v>
      </c>
      <c r="F4547">
        <v>393</v>
      </c>
    </row>
    <row r="4548" spans="1:6" ht="12.75">
      <c r="A4548" s="2">
        <v>43883.530034722222</v>
      </c>
      <c r="B4548" t="str">
        <f>HYPERLINK("https://twitter.com/nabil_hasri","@nabil_hasri")</f>
        <v>@nabil_hasri</v>
      </c>
      <c r="C4548" t="s">
        <v>3090</v>
      </c>
      <c r="D4548">
        <v>71</v>
      </c>
      <c r="E4548">
        <v>0</v>
      </c>
      <c r="F4548">
        <v>357</v>
      </c>
    </row>
    <row r="4549" spans="1:6" ht="12.75">
      <c r="A4549" s="2">
        <v>43883.529953703706</v>
      </c>
      <c r="B4549" t="str">
        <f t="shared" ref="B4549:B4550" si="94">HYPERLINK("https://twitter.com/realPriGim","@realPriGim")</f>
        <v>@realPriGim</v>
      </c>
      <c r="C4549" t="s">
        <v>3757</v>
      </c>
      <c r="D4549">
        <v>1</v>
      </c>
      <c r="E4549">
        <v>0</v>
      </c>
      <c r="F4549">
        <v>3395</v>
      </c>
    </row>
    <row r="4550" spans="1:6" ht="12.75">
      <c r="A4550" s="2">
        <v>43883.529837962968</v>
      </c>
      <c r="B4550" t="str">
        <f t="shared" si="94"/>
        <v>@realPriGim</v>
      </c>
      <c r="C4550" t="s">
        <v>3758</v>
      </c>
      <c r="D4550">
        <v>0</v>
      </c>
      <c r="E4550">
        <v>1</v>
      </c>
      <c r="F4550">
        <v>3395</v>
      </c>
    </row>
    <row r="4551" spans="1:6" ht="12.75">
      <c r="A4551" s="2">
        <v>43883.529641203699</v>
      </c>
      <c r="B4551" t="str">
        <f>HYPERLINK("https://twitter.com/banirizki17","@banirizki17")</f>
        <v>@banirizki17</v>
      </c>
      <c r="C4551" t="s">
        <v>3525</v>
      </c>
      <c r="D4551">
        <v>154</v>
      </c>
      <c r="E4551">
        <v>0</v>
      </c>
      <c r="F4551">
        <v>21</v>
      </c>
    </row>
    <row r="4552" spans="1:6" ht="12.75">
      <c r="A4552" s="2">
        <v>43883.529467592598</v>
      </c>
      <c r="B4552" t="str">
        <f>HYPERLINK("https://twitter.com/roobbie31","@roobbie31")</f>
        <v>@roobbie31</v>
      </c>
      <c r="C4552" t="s">
        <v>3436</v>
      </c>
      <c r="D4552">
        <v>21</v>
      </c>
      <c r="E4552">
        <v>0</v>
      </c>
      <c r="F4552">
        <v>68</v>
      </c>
    </row>
    <row r="4553" spans="1:6" ht="12.75">
      <c r="A4553" s="2">
        <v>43883.52925925926</v>
      </c>
      <c r="B4553" t="str">
        <f>HYPERLINK("https://twitter.com/jedakazdifaez","@jedakazdifaez")</f>
        <v>@jedakazdifaez</v>
      </c>
      <c r="C4553" t="s">
        <v>3090</v>
      </c>
      <c r="D4553">
        <v>71</v>
      </c>
      <c r="E4553">
        <v>0</v>
      </c>
      <c r="F4553">
        <v>532</v>
      </c>
    </row>
    <row r="4554" spans="1:6" ht="12.75">
      <c r="A4554" s="2">
        <v>43883.528807870374</v>
      </c>
      <c r="B4554" t="str">
        <f>HYPERLINK("https://twitter.com/DidinDibel","@DidinDibel")</f>
        <v>@DidinDibel</v>
      </c>
      <c r="C4554" t="s">
        <v>3759</v>
      </c>
      <c r="D4554">
        <v>2</v>
      </c>
      <c r="E4554">
        <v>0</v>
      </c>
      <c r="F4554">
        <v>508</v>
      </c>
    </row>
    <row r="4555" spans="1:6" ht="12.75">
      <c r="A4555" s="2">
        <v>43883.527581018519</v>
      </c>
      <c r="B4555" t="str">
        <f>HYPERLINK("https://twitter.com/silverglow_","@silverglow_")</f>
        <v>@silverglow_</v>
      </c>
      <c r="C4555" t="s">
        <v>3760</v>
      </c>
      <c r="D4555">
        <v>0</v>
      </c>
      <c r="E4555">
        <v>0</v>
      </c>
      <c r="F4555">
        <v>14</v>
      </c>
    </row>
    <row r="4556" spans="1:6" ht="12.75">
      <c r="A4556" s="2">
        <v>43883.527291666665</v>
      </c>
      <c r="B4556" t="str">
        <f>HYPERLINK("https://twitter.com/evidamayantiii","@evidamayantiii")</f>
        <v>@evidamayantiii</v>
      </c>
      <c r="C4556" t="s">
        <v>3525</v>
      </c>
      <c r="D4556">
        <v>154</v>
      </c>
      <c r="E4556">
        <v>0</v>
      </c>
      <c r="F4556">
        <v>204</v>
      </c>
    </row>
    <row r="4557" spans="1:6" ht="12.75">
      <c r="A4557" s="2">
        <v>43883.526770833334</v>
      </c>
      <c r="B4557" t="str">
        <f>HYPERLINK("https://twitter.com/kemanaajayuk","@kemanaajayuk")</f>
        <v>@kemanaajayuk</v>
      </c>
      <c r="C4557" t="s">
        <v>3525</v>
      </c>
      <c r="D4557">
        <v>154</v>
      </c>
      <c r="E4557">
        <v>0</v>
      </c>
      <c r="F4557">
        <v>148</v>
      </c>
    </row>
    <row r="4558" spans="1:6" ht="12.75">
      <c r="A4558" s="2">
        <v>43883.525694444441</v>
      </c>
      <c r="B4558" t="str">
        <f>HYPERLINK("https://twitter.com/MarieskaV","@MarieskaV")</f>
        <v>@MarieskaV</v>
      </c>
      <c r="C4558" t="s">
        <v>3761</v>
      </c>
      <c r="D4558">
        <v>0</v>
      </c>
      <c r="E4558">
        <v>0</v>
      </c>
      <c r="F4558">
        <v>304</v>
      </c>
    </row>
    <row r="4559" spans="1:6" ht="12.75">
      <c r="A4559" s="2">
        <v>43883.525520833333</v>
      </c>
      <c r="B4559" t="str">
        <f>HYPERLINK("https://twitter.com/vanmuhammad2018","@vanmuhammad2018")</f>
        <v>@vanmuhammad2018</v>
      </c>
      <c r="C4559" t="s">
        <v>3762</v>
      </c>
      <c r="D4559">
        <v>0</v>
      </c>
      <c r="E4559">
        <v>0</v>
      </c>
      <c r="F4559">
        <v>98</v>
      </c>
    </row>
    <row r="4560" spans="1:6" ht="12.75">
      <c r="A4560" s="2">
        <v>43883.525312500002</v>
      </c>
      <c r="B4560" t="str">
        <f>HYPERLINK("https://twitter.com/angelinaqueen09","@angelinaqueen09")</f>
        <v>@angelinaqueen09</v>
      </c>
      <c r="C4560" t="s">
        <v>3525</v>
      </c>
      <c r="D4560">
        <v>154</v>
      </c>
      <c r="E4560">
        <v>0</v>
      </c>
      <c r="F4560">
        <v>1466</v>
      </c>
    </row>
    <row r="4561" spans="1:6" ht="12.75">
      <c r="A4561" s="2">
        <v>43883.52516203704</v>
      </c>
      <c r="B4561" t="str">
        <f>HYPERLINK("https://twitter.com/SyaHadi_27","@SyaHadi_27")</f>
        <v>@SyaHadi_27</v>
      </c>
      <c r="C4561" t="s">
        <v>3763</v>
      </c>
      <c r="D4561">
        <v>0</v>
      </c>
      <c r="E4561">
        <v>0</v>
      </c>
      <c r="F4561">
        <v>3</v>
      </c>
    </row>
    <row r="4562" spans="1:6" ht="12.75">
      <c r="A4562" s="2">
        <v>43883.524594907409</v>
      </c>
      <c r="B4562" t="str">
        <f>HYPERLINK("https://twitter.com/ArthurCiptasari","@ArthurCiptasari")</f>
        <v>@ArthurCiptasari</v>
      </c>
      <c r="C4562" t="s">
        <v>3764</v>
      </c>
      <c r="D4562">
        <v>0</v>
      </c>
      <c r="E4562">
        <v>0</v>
      </c>
      <c r="F4562">
        <v>3</v>
      </c>
    </row>
    <row r="4563" spans="1:6" ht="12.75">
      <c r="A4563" s="2">
        <v>43883.524328703701</v>
      </c>
      <c r="B4563" t="str">
        <f>HYPERLINK("https://twitter.com/wiwikherma","@wiwikherma")</f>
        <v>@wiwikherma</v>
      </c>
      <c r="C4563" t="s">
        <v>3765</v>
      </c>
      <c r="D4563">
        <v>1</v>
      </c>
      <c r="E4563">
        <v>1</v>
      </c>
      <c r="F4563">
        <v>11805</v>
      </c>
    </row>
    <row r="4564" spans="1:6" ht="12.75">
      <c r="A4564" s="2">
        <v>43883.524317129632</v>
      </c>
      <c r="B4564" t="str">
        <f>HYPERLINK("https://twitter.com/Eijisetiawan","@Eijisetiawan")</f>
        <v>@Eijisetiawan</v>
      </c>
      <c r="C4564" t="s">
        <v>3436</v>
      </c>
      <c r="D4564">
        <v>21</v>
      </c>
      <c r="E4564">
        <v>0</v>
      </c>
      <c r="F4564">
        <v>68</v>
      </c>
    </row>
    <row r="4565" spans="1:6" ht="12.75">
      <c r="A4565" s="2">
        <v>43883.524305555555</v>
      </c>
      <c r="B4565" t="str">
        <f>HYPERLINK("https://twitter.com/ArthurCiptasari","@ArthurCiptasari")</f>
        <v>@ArthurCiptasari</v>
      </c>
      <c r="C4565" t="s">
        <v>3766</v>
      </c>
      <c r="D4565">
        <v>0</v>
      </c>
      <c r="E4565">
        <v>0</v>
      </c>
      <c r="F4565">
        <v>3</v>
      </c>
    </row>
    <row r="4566" spans="1:6" ht="12.75">
      <c r="A4566" s="2">
        <v>43883.524178240739</v>
      </c>
      <c r="B4566" t="str">
        <f>HYPERLINK("https://twitter.com/anjares90","@anjares90")</f>
        <v>@anjares90</v>
      </c>
      <c r="C4566" t="s">
        <v>3767</v>
      </c>
      <c r="D4566">
        <v>0</v>
      </c>
      <c r="E4566">
        <v>0</v>
      </c>
      <c r="F4566">
        <v>672</v>
      </c>
    </row>
    <row r="4567" spans="1:6" ht="12.75">
      <c r="A4567" s="2">
        <v>43883.524085648147</v>
      </c>
      <c r="B4567" t="str">
        <f>HYPERLINK("https://twitter.com/salahsambungya","@salahsambungya")</f>
        <v>@salahsambungya</v>
      </c>
      <c r="C4567" t="s">
        <v>3768</v>
      </c>
      <c r="D4567">
        <v>0</v>
      </c>
      <c r="E4567">
        <v>0</v>
      </c>
      <c r="F4567">
        <v>5359</v>
      </c>
    </row>
    <row r="4568" spans="1:6" ht="12.75">
      <c r="A4568" s="2">
        <v>43883.523935185185</v>
      </c>
      <c r="B4568" t="str">
        <f>HYPERLINK("https://twitter.com/tacabotnyawamu","@tacabotnyawamu")</f>
        <v>@tacabotnyawamu</v>
      </c>
      <c r="C4568" t="s">
        <v>3759</v>
      </c>
      <c r="D4568">
        <v>2</v>
      </c>
      <c r="E4568">
        <v>0</v>
      </c>
      <c r="F4568">
        <v>222</v>
      </c>
    </row>
    <row r="4569" spans="1:6" ht="12.75">
      <c r="A4569" s="2">
        <v>43883.523842592593</v>
      </c>
      <c r="B4569" t="str">
        <f>HYPERLINK("https://twitter.com/AprilitaIdrus","@AprilitaIdrus")</f>
        <v>@AprilitaIdrus</v>
      </c>
      <c r="C4569" t="s">
        <v>3764</v>
      </c>
      <c r="D4569">
        <v>0</v>
      </c>
      <c r="E4569">
        <v>0</v>
      </c>
      <c r="F4569">
        <v>2</v>
      </c>
    </row>
    <row r="4570" spans="1:6" ht="12.75">
      <c r="A4570" s="2">
        <v>43883.523634259254</v>
      </c>
      <c r="B4570" t="str">
        <f>HYPERLINK("https://twitter.com/Prasastaa1","@Prasastaa1")</f>
        <v>@Prasastaa1</v>
      </c>
      <c r="C4570" t="s">
        <v>3525</v>
      </c>
      <c r="D4570">
        <v>154</v>
      </c>
      <c r="E4570">
        <v>0</v>
      </c>
      <c r="F4570">
        <v>25</v>
      </c>
    </row>
    <row r="4571" spans="1:6" ht="12.75">
      <c r="A4571" s="2">
        <v>43883.523599537039</v>
      </c>
      <c r="B4571" t="str">
        <f>HYPERLINK("https://twitter.com/AprilitaIdrus","@AprilitaIdrus")</f>
        <v>@AprilitaIdrus</v>
      </c>
      <c r="C4571" t="s">
        <v>3766</v>
      </c>
      <c r="D4571">
        <v>0</v>
      </c>
      <c r="E4571">
        <v>0</v>
      </c>
      <c r="F4571">
        <v>2</v>
      </c>
    </row>
    <row r="4572" spans="1:6" ht="12.75">
      <c r="A4572" s="2">
        <v>43883.523287037038</v>
      </c>
      <c r="B4572" t="str">
        <f>HYPERLINK("https://twitter.com/hi_jeje_here","@hi_jeje_here")</f>
        <v>@hi_jeje_here</v>
      </c>
      <c r="C4572" t="s">
        <v>3525</v>
      </c>
      <c r="D4572">
        <v>154</v>
      </c>
      <c r="E4572">
        <v>0</v>
      </c>
      <c r="F4572">
        <v>73</v>
      </c>
    </row>
    <row r="4573" spans="1:6" ht="12.75">
      <c r="A4573" s="2">
        <v>43883.523159722223</v>
      </c>
      <c r="B4573" t="str">
        <f>HYPERLINK("https://twitter.com/AnisaSaradina","@AnisaSaradina")</f>
        <v>@AnisaSaradina</v>
      </c>
      <c r="C4573" t="s">
        <v>3764</v>
      </c>
      <c r="D4573">
        <v>0</v>
      </c>
      <c r="E4573">
        <v>0</v>
      </c>
      <c r="F4573">
        <v>1</v>
      </c>
    </row>
    <row r="4574" spans="1:6" ht="12.75">
      <c r="A4574" s="2">
        <v>43883.52306712963</v>
      </c>
      <c r="B4574" t="str">
        <f>HYPERLINK("https://twitter.com/jawapos","@jawapos")</f>
        <v>@jawapos</v>
      </c>
      <c r="C4574" t="s">
        <v>3165</v>
      </c>
      <c r="D4574">
        <v>3</v>
      </c>
      <c r="E4574">
        <v>2</v>
      </c>
      <c r="F4574">
        <v>120149</v>
      </c>
    </row>
    <row r="4575" spans="1:6" ht="12.75">
      <c r="A4575" s="2">
        <v>43883.523020833338</v>
      </c>
      <c r="B4575" t="str">
        <f>HYPERLINK("https://twitter.com/salahsambungya","@salahsambungya")</f>
        <v>@salahsambungya</v>
      </c>
      <c r="C4575" t="s">
        <v>3769</v>
      </c>
      <c r="D4575">
        <v>1</v>
      </c>
      <c r="E4575">
        <v>0</v>
      </c>
      <c r="F4575">
        <v>5359</v>
      </c>
    </row>
    <row r="4576" spans="1:6" ht="12.75">
      <c r="A4576" s="2">
        <v>43883.523009259261</v>
      </c>
      <c r="B4576" t="str">
        <f>HYPERLINK("https://twitter.com/santyyuliaa","@santyyuliaa")</f>
        <v>@santyyuliaa</v>
      </c>
      <c r="C4576" t="s">
        <v>3525</v>
      </c>
      <c r="D4576">
        <v>154</v>
      </c>
      <c r="E4576">
        <v>0</v>
      </c>
      <c r="F4576">
        <v>30</v>
      </c>
    </row>
    <row r="4577" spans="1:6" ht="12.75">
      <c r="A4577" s="2">
        <v>43883.522962962961</v>
      </c>
      <c r="B4577" t="str">
        <f>HYPERLINK("https://twitter.com/AnisaSaradina","@AnisaSaradina")</f>
        <v>@AnisaSaradina</v>
      </c>
      <c r="C4577" t="s">
        <v>3766</v>
      </c>
      <c r="D4577">
        <v>0</v>
      </c>
      <c r="E4577">
        <v>0</v>
      </c>
      <c r="F4577">
        <v>1</v>
      </c>
    </row>
    <row r="4578" spans="1:6" ht="12.75">
      <c r="A4578" s="2">
        <v>43883.522662037038</v>
      </c>
      <c r="B4578" t="str">
        <f>HYPERLINK("https://twitter.com/realPriGim","@realPriGim")</f>
        <v>@realPriGim</v>
      </c>
      <c r="C4578" t="s">
        <v>3770</v>
      </c>
      <c r="D4578">
        <v>0</v>
      </c>
      <c r="E4578">
        <v>2</v>
      </c>
      <c r="F4578">
        <v>3395</v>
      </c>
    </row>
    <row r="4579" spans="1:6" ht="12.75">
      <c r="A4579" s="2">
        <v>43883.522592592592</v>
      </c>
      <c r="B4579" t="str">
        <f>HYPERLINK("https://twitter.com/voaindonesia","@voaindonesia")</f>
        <v>@voaindonesia</v>
      </c>
      <c r="C4579" t="s">
        <v>3771</v>
      </c>
      <c r="D4579">
        <v>2</v>
      </c>
      <c r="E4579">
        <v>8</v>
      </c>
      <c r="F4579">
        <v>307713</v>
      </c>
    </row>
    <row r="4580" spans="1:6" ht="12.75">
      <c r="A4580" s="2">
        <v>43883.522511574076</v>
      </c>
      <c r="B4580" t="str">
        <f>HYPERLINK("https://twitter.com/andika_natasya","@andika_natasya")</f>
        <v>@andika_natasya</v>
      </c>
      <c r="C4580" t="s">
        <v>3764</v>
      </c>
      <c r="D4580">
        <v>0</v>
      </c>
      <c r="E4580">
        <v>1</v>
      </c>
      <c r="F4580">
        <v>1</v>
      </c>
    </row>
    <row r="4581" spans="1:6" ht="12.75">
      <c r="A4581" s="2">
        <v>43883.522303240738</v>
      </c>
      <c r="B4581" t="str">
        <f>HYPERLINK("https://twitter.com/JJSherlock7","@JJSherlock7")</f>
        <v>@JJSherlock7</v>
      </c>
      <c r="C4581" t="s">
        <v>3436</v>
      </c>
      <c r="D4581">
        <v>21</v>
      </c>
      <c r="E4581">
        <v>0</v>
      </c>
      <c r="F4581">
        <v>174</v>
      </c>
    </row>
    <row r="4582" spans="1:6" ht="12.75">
      <c r="A4582" s="2">
        <v>43883.522291666668</v>
      </c>
      <c r="B4582" t="str">
        <f>HYPERLINK("https://twitter.com/andika_natasya","@andika_natasya")</f>
        <v>@andika_natasya</v>
      </c>
      <c r="C4582" t="s">
        <v>3766</v>
      </c>
      <c r="D4582">
        <v>0</v>
      </c>
      <c r="E4582">
        <v>0</v>
      </c>
      <c r="F4582">
        <v>1</v>
      </c>
    </row>
    <row r="4583" spans="1:6" ht="12.75">
      <c r="A4583" s="2">
        <v>43883.522280092591</v>
      </c>
      <c r="B4583" t="str">
        <f>HYPERLINK("https://twitter.com/ryolandafit","@ryolandafit")</f>
        <v>@ryolandafit</v>
      </c>
      <c r="C4583" t="s">
        <v>3772</v>
      </c>
      <c r="D4583">
        <v>3</v>
      </c>
      <c r="E4583">
        <v>0</v>
      </c>
      <c r="F4583">
        <v>650</v>
      </c>
    </row>
    <row r="4584" spans="1:6" ht="12.75">
      <c r="A4584" s="2">
        <v>43883.522129629629</v>
      </c>
      <c r="B4584" t="str">
        <f>HYPERLINK("https://twitter.com/Rarazahraa4","@Rarazahraa4")</f>
        <v>@Rarazahraa4</v>
      </c>
      <c r="C4584" t="s">
        <v>3525</v>
      </c>
      <c r="D4584">
        <v>154</v>
      </c>
      <c r="E4584">
        <v>0</v>
      </c>
      <c r="F4584">
        <v>37</v>
      </c>
    </row>
    <row r="4585" spans="1:6" ht="12.75">
      <c r="A4585" s="2">
        <v>43883.522048611107</v>
      </c>
      <c r="B4585" t="str">
        <f>HYPERLINK("https://twitter.com/Fajarnur94","@Fajarnur94")</f>
        <v>@Fajarnur94</v>
      </c>
      <c r="C4585" t="s">
        <v>3525</v>
      </c>
      <c r="D4585">
        <v>154</v>
      </c>
      <c r="E4585">
        <v>0</v>
      </c>
      <c r="F4585">
        <v>2258</v>
      </c>
    </row>
    <row r="4586" spans="1:6" ht="12.75">
      <c r="A4586" s="2">
        <v>43883.521550925929</v>
      </c>
      <c r="B4586" t="str">
        <f>HYPERLINK("https://twitter.com/pikiran_rakyat","@pikiran_rakyat")</f>
        <v>@pikiran_rakyat</v>
      </c>
      <c r="C4586" t="s">
        <v>3773</v>
      </c>
      <c r="D4586">
        <v>0</v>
      </c>
      <c r="E4586">
        <v>0</v>
      </c>
      <c r="F4586">
        <v>412776</v>
      </c>
    </row>
    <row r="4587" spans="1:6" ht="12.75">
      <c r="A4587" s="2">
        <v>43883.521377314813</v>
      </c>
      <c r="B4587" t="str">
        <f>HYPERLINK("https://twitter.com/ARISSUS02666971","@ARISSUS02666971")</f>
        <v>@ARISSUS02666971</v>
      </c>
      <c r="C4587" t="s">
        <v>3774</v>
      </c>
      <c r="D4587">
        <v>1</v>
      </c>
      <c r="E4587">
        <v>0</v>
      </c>
      <c r="F4587">
        <v>154</v>
      </c>
    </row>
    <row r="4588" spans="1:6" ht="12.75">
      <c r="A4588" s="2">
        <v>43883.521331018521</v>
      </c>
      <c r="B4588" t="str">
        <f>HYPERLINK("https://twitter.com/budianto5959","@budianto5959")</f>
        <v>@budianto5959</v>
      </c>
      <c r="C4588" t="s">
        <v>2119</v>
      </c>
      <c r="D4588">
        <v>495</v>
      </c>
      <c r="E4588">
        <v>0</v>
      </c>
      <c r="F4588">
        <v>40</v>
      </c>
    </row>
    <row r="4589" spans="1:6" ht="12.75">
      <c r="A4589" s="2">
        <v>43883.521331018521</v>
      </c>
      <c r="B4589" t="str">
        <f>HYPERLINK("https://twitter.com/djaka_lelana700","@djaka_lelana700")</f>
        <v>@djaka_lelana700</v>
      </c>
      <c r="C4589" t="s">
        <v>3775</v>
      </c>
      <c r="D4589">
        <v>0</v>
      </c>
      <c r="E4589">
        <v>0</v>
      </c>
      <c r="F4589">
        <v>16</v>
      </c>
    </row>
    <row r="4590" spans="1:6" ht="12.75">
      <c r="A4590" s="2">
        <v>43883.521203703705</v>
      </c>
      <c r="B4590" t="str">
        <f>HYPERLINK("https://twitter.com/MaliaAmandaa","@MaliaAmandaa")</f>
        <v>@MaliaAmandaa</v>
      </c>
      <c r="C4590" t="s">
        <v>3525</v>
      </c>
      <c r="D4590">
        <v>154</v>
      </c>
      <c r="E4590">
        <v>0</v>
      </c>
      <c r="F4590">
        <v>31</v>
      </c>
    </row>
    <row r="4591" spans="1:6" ht="12.75">
      <c r="A4591" s="2">
        <v>43883.520787037036</v>
      </c>
      <c r="B4591" t="str">
        <f>HYPERLINK("https://twitter.com/SydSalesman","@SydSalesman")</f>
        <v>@SydSalesman</v>
      </c>
      <c r="C4591" t="s">
        <v>3776</v>
      </c>
      <c r="D4591">
        <v>0</v>
      </c>
      <c r="E4591">
        <v>1</v>
      </c>
      <c r="F4591">
        <v>6251</v>
      </c>
    </row>
    <row r="4592" spans="1:6" ht="12.75">
      <c r="A4592" s="2">
        <v>43883.520520833335</v>
      </c>
      <c r="B4592" t="str">
        <f>HYPERLINK("https://twitter.com/sangkumaali","@sangkumaali")</f>
        <v>@sangkumaali</v>
      </c>
      <c r="C4592" t="s">
        <v>3777</v>
      </c>
      <c r="D4592">
        <v>0</v>
      </c>
      <c r="E4592">
        <v>0</v>
      </c>
      <c r="F4592">
        <v>3</v>
      </c>
    </row>
    <row r="4593" spans="1:6" ht="12.75">
      <c r="A4593" s="2">
        <v>43883.520474537036</v>
      </c>
      <c r="B4593" t="str">
        <f>HYPERLINK("https://twitter.com/SMBS_rio","@SMBS_rio")</f>
        <v>@SMBS_rio</v>
      </c>
      <c r="C4593" t="s">
        <v>2119</v>
      </c>
      <c r="D4593">
        <v>495</v>
      </c>
      <c r="E4593">
        <v>0</v>
      </c>
      <c r="F4593">
        <v>2228</v>
      </c>
    </row>
    <row r="4594" spans="1:6" ht="12.75">
      <c r="A4594" s="2">
        <v>43883.520358796297</v>
      </c>
      <c r="B4594" t="str">
        <f>HYPERLINK("https://twitter.com/Reginaginn","@Reginaginn")</f>
        <v>@Reginaginn</v>
      </c>
      <c r="C4594" t="s">
        <v>3778</v>
      </c>
      <c r="D4594">
        <v>0</v>
      </c>
      <c r="E4594">
        <v>0</v>
      </c>
      <c r="F4594">
        <v>653</v>
      </c>
    </row>
    <row r="4595" spans="1:6" ht="12.75">
      <c r="A4595" s="2">
        <v>43883.520196759258</v>
      </c>
      <c r="B4595" t="str">
        <f>HYPERLINK("https://twitter.com/indy_maulia","@indy_maulia")</f>
        <v>@indy_maulia</v>
      </c>
      <c r="C4595" t="s">
        <v>3525</v>
      </c>
      <c r="D4595">
        <v>154</v>
      </c>
      <c r="E4595">
        <v>0</v>
      </c>
      <c r="F4595">
        <v>423</v>
      </c>
    </row>
    <row r="4596" spans="1:6" ht="12.75">
      <c r="A4596" s="2">
        <v>43883.519907407404</v>
      </c>
      <c r="B4596" t="str">
        <f>HYPERLINK("https://twitter.com/ibrahimm098","@ibrahimm098")</f>
        <v>@ibrahimm098</v>
      </c>
      <c r="C4596" t="s">
        <v>3525</v>
      </c>
      <c r="D4596">
        <v>154</v>
      </c>
      <c r="E4596">
        <v>0</v>
      </c>
      <c r="F4596">
        <v>17</v>
      </c>
    </row>
    <row r="4597" spans="1:6" ht="12.75">
      <c r="A4597" s="2">
        <v>43883.51961805555</v>
      </c>
      <c r="B4597" t="str">
        <f>HYPERLINK("https://twitter.com/itsnew00","@itsnew00")</f>
        <v>@itsnew00</v>
      </c>
      <c r="C4597" t="s">
        <v>3525</v>
      </c>
      <c r="D4597">
        <v>154</v>
      </c>
      <c r="E4597">
        <v>0</v>
      </c>
      <c r="F4597">
        <v>432</v>
      </c>
    </row>
    <row r="4598" spans="1:6" ht="12.75">
      <c r="A4598" s="2">
        <v>43883.519305555557</v>
      </c>
      <c r="B4598" t="str">
        <f>HYPERLINK("https://twitter.com/Brian55848412","@Brian55848412")</f>
        <v>@Brian55848412</v>
      </c>
      <c r="C4598" t="s">
        <v>3779</v>
      </c>
      <c r="D4598">
        <v>0</v>
      </c>
      <c r="E4598">
        <v>0</v>
      </c>
      <c r="F4598">
        <v>0</v>
      </c>
    </row>
    <row r="4599" spans="1:6" ht="12.75">
      <c r="A4599" s="2">
        <v>43883.519166666665</v>
      </c>
      <c r="B4599" t="str">
        <f>HYPERLINK("https://twitter.com/bapathy1","@bapathy1")</f>
        <v>@bapathy1</v>
      </c>
      <c r="C4599" t="s">
        <v>3780</v>
      </c>
      <c r="D4599">
        <v>0</v>
      </c>
      <c r="E4599">
        <v>0</v>
      </c>
      <c r="F4599">
        <v>38</v>
      </c>
    </row>
    <row r="4600" spans="1:6" ht="12.75">
      <c r="A4600" s="2">
        <v>43883.518437499995</v>
      </c>
      <c r="B4600" t="str">
        <f>HYPERLINK("https://twitter.com/husnaa_amalia","@husnaa_amalia")</f>
        <v>@husnaa_amalia</v>
      </c>
      <c r="C4600" t="s">
        <v>3525</v>
      </c>
      <c r="D4600">
        <v>154</v>
      </c>
      <c r="E4600">
        <v>0</v>
      </c>
      <c r="F4600">
        <v>38</v>
      </c>
    </row>
    <row r="4601" spans="1:6" ht="12.75">
      <c r="A4601" s="2">
        <v>43883.501562500001</v>
      </c>
      <c r="B4601" t="str">
        <f>HYPERLINK("https://twitter.com/BBCIndonesia","@BBCIndonesia")</f>
        <v>@BBCIndonesia</v>
      </c>
      <c r="C4601" t="s">
        <v>3781</v>
      </c>
      <c r="D4601">
        <v>0</v>
      </c>
      <c r="E4601">
        <v>0</v>
      </c>
      <c r="F4601">
        <v>1193985</v>
      </c>
    </row>
    <row r="4602" spans="1:6" ht="12.75">
      <c r="A4602" s="2">
        <v>43883.501192129625</v>
      </c>
      <c r="B4602" t="str">
        <f>HYPERLINK("https://twitter.com/anivalenn","@anivalenn")</f>
        <v>@anivalenn</v>
      </c>
      <c r="C4602" t="s">
        <v>3525</v>
      </c>
      <c r="D4602">
        <v>80</v>
      </c>
      <c r="E4602">
        <v>0</v>
      </c>
      <c r="F4602">
        <v>22</v>
      </c>
    </row>
    <row r="4603" spans="1:6" ht="12.75">
      <c r="A4603" s="2">
        <v>43883.500381944439</v>
      </c>
      <c r="B4603" t="str">
        <f>HYPERLINK("https://twitter.com/SenjaLestari16","@SenjaLestari16")</f>
        <v>@SenjaLestari16</v>
      </c>
      <c r="C4603" t="s">
        <v>3525</v>
      </c>
      <c r="D4603">
        <v>80</v>
      </c>
      <c r="E4603">
        <v>0</v>
      </c>
      <c r="F4603">
        <v>113</v>
      </c>
    </row>
    <row r="4604" spans="1:6" ht="12.75">
      <c r="A4604" s="2">
        <v>43883.500335648147</v>
      </c>
      <c r="B4604" t="str">
        <f>HYPERLINK("https://twitter.com/laylanurull","@laylanurull")</f>
        <v>@laylanurull</v>
      </c>
      <c r="C4604" t="s">
        <v>3525</v>
      </c>
      <c r="D4604">
        <v>80</v>
      </c>
      <c r="E4604">
        <v>0</v>
      </c>
      <c r="F4604">
        <v>61</v>
      </c>
    </row>
    <row r="4605" spans="1:6" ht="12.75">
      <c r="A4605" s="2">
        <v>43883.500219907408</v>
      </c>
      <c r="B4605" t="str">
        <f>HYPERLINK("https://twitter.com/wni_jmsri","@wni_jmsri")</f>
        <v>@wni_jmsri</v>
      </c>
      <c r="C4605" t="s">
        <v>3782</v>
      </c>
      <c r="D4605">
        <v>3758</v>
      </c>
      <c r="E4605">
        <v>0</v>
      </c>
      <c r="F4605">
        <v>195</v>
      </c>
    </row>
    <row r="4606" spans="1:6" ht="12.75">
      <c r="A4606" s="2">
        <v>43883.500173611115</v>
      </c>
      <c r="B4606" t="str">
        <f>HYPERLINK("https://twitter.com/Arieppdc","@Arieppdc")</f>
        <v>@Arieppdc</v>
      </c>
      <c r="C4606" t="s">
        <v>3532</v>
      </c>
      <c r="D4606">
        <v>42</v>
      </c>
      <c r="E4606">
        <v>0</v>
      </c>
      <c r="F4606">
        <v>522</v>
      </c>
    </row>
    <row r="4607" spans="1:6" ht="12.75">
      <c r="A4607" s="2">
        <v>43883.499675925923</v>
      </c>
      <c r="B4607" t="str">
        <f>HYPERLINK("https://twitter.com/asangpresiden","@asangpresiden")</f>
        <v>@asangpresiden</v>
      </c>
      <c r="C4607" t="s">
        <v>3783</v>
      </c>
      <c r="D4607">
        <v>0</v>
      </c>
      <c r="E4607">
        <v>0</v>
      </c>
      <c r="F4607">
        <v>133</v>
      </c>
    </row>
    <row r="4608" spans="1:6" ht="12.75">
      <c r="A4608" s="2">
        <v>43883.499178240745</v>
      </c>
      <c r="B4608" t="str">
        <f>HYPERLINK("https://twitter.com/HeraaDewi","@HeraaDewi")</f>
        <v>@HeraaDewi</v>
      </c>
      <c r="C4608" t="s">
        <v>3525</v>
      </c>
      <c r="D4608">
        <v>80</v>
      </c>
      <c r="E4608">
        <v>0</v>
      </c>
      <c r="F4608">
        <v>18</v>
      </c>
    </row>
    <row r="4609" spans="1:6" ht="12.75">
      <c r="A4609" s="2">
        <v>43883.499062499999</v>
      </c>
      <c r="B4609" t="str">
        <f>HYPERLINK("https://twitter.com/republikaonline","@republikaonline")</f>
        <v>@republikaonline</v>
      </c>
      <c r="C4609" t="s">
        <v>3784</v>
      </c>
      <c r="D4609">
        <v>0</v>
      </c>
      <c r="E4609">
        <v>1</v>
      </c>
      <c r="F4609">
        <v>1211947</v>
      </c>
    </row>
    <row r="4610" spans="1:6" ht="12.75">
      <c r="A4610" s="2">
        <v>43883.498935185184</v>
      </c>
      <c r="B4610" t="str">
        <f>HYPERLINK("https://twitter.com/TaliUdeng","@TaliUdeng")</f>
        <v>@TaliUdeng</v>
      </c>
      <c r="C4610" t="s">
        <v>3785</v>
      </c>
      <c r="D4610">
        <v>0</v>
      </c>
      <c r="E4610">
        <v>0</v>
      </c>
      <c r="F4610">
        <v>12073</v>
      </c>
    </row>
    <row r="4611" spans="1:6" ht="12.75">
      <c r="A4611" s="2">
        <v>43883.498877314814</v>
      </c>
      <c r="B4611" t="str">
        <f>HYPERLINK("https://twitter.com/Beritadotnews","@Beritadotnews")</f>
        <v>@Beritadotnews</v>
      </c>
      <c r="C4611" t="s">
        <v>3583</v>
      </c>
      <c r="D4611">
        <v>0</v>
      </c>
      <c r="E4611">
        <v>0</v>
      </c>
      <c r="F4611">
        <v>38</v>
      </c>
    </row>
    <row r="4612" spans="1:6" ht="12.75">
      <c r="A4612" s="2">
        <v>43883.498749999999</v>
      </c>
      <c r="B4612" t="str">
        <f>HYPERLINK("https://twitter.com/Fm98Sonora","@Fm98Sonora")</f>
        <v>@Fm98Sonora</v>
      </c>
      <c r="C4612" t="s">
        <v>3772</v>
      </c>
      <c r="D4612">
        <v>1</v>
      </c>
      <c r="E4612">
        <v>0</v>
      </c>
      <c r="F4612">
        <v>19</v>
      </c>
    </row>
    <row r="4613" spans="1:6" ht="12.75">
      <c r="A4613" s="2">
        <v>43883.49863425926</v>
      </c>
      <c r="B4613" t="str">
        <f>HYPERLINK("https://twitter.com/tribuntimur","@tribuntimur")</f>
        <v>@tribuntimur</v>
      </c>
      <c r="C4613" t="s">
        <v>3786</v>
      </c>
      <c r="D4613">
        <v>0</v>
      </c>
      <c r="E4613">
        <v>1</v>
      </c>
      <c r="F4613">
        <v>177928</v>
      </c>
    </row>
    <row r="4614" spans="1:6" ht="12.75">
      <c r="A4614" s="2">
        <v>43883.498530092591</v>
      </c>
      <c r="B4614" t="str">
        <f>HYPERLINK("https://twitter.com/wni_jmsri","@wni_jmsri")</f>
        <v>@wni_jmsri</v>
      </c>
      <c r="C4614" t="s">
        <v>3787</v>
      </c>
      <c r="D4614">
        <v>1406</v>
      </c>
      <c r="E4614">
        <v>0</v>
      </c>
      <c r="F4614">
        <v>195</v>
      </c>
    </row>
    <row r="4615" spans="1:6" ht="12.75">
      <c r="A4615" s="2">
        <v>43883.498333333337</v>
      </c>
      <c r="B4615" t="str">
        <f>HYPERLINK("https://twitter.com/SumbawaSusanty","@SumbawaSusanty")</f>
        <v>@SumbawaSusanty</v>
      </c>
      <c r="C4615" t="s">
        <v>3525</v>
      </c>
      <c r="D4615">
        <v>80</v>
      </c>
      <c r="E4615">
        <v>0</v>
      </c>
      <c r="F4615">
        <v>13</v>
      </c>
    </row>
    <row r="4616" spans="1:6" ht="12.75">
      <c r="A4616" s="2">
        <v>43883.498217592598</v>
      </c>
      <c r="B4616" t="str">
        <f>HYPERLINK("https://twitter.com/ESitohag","@ESitohag")</f>
        <v>@ESitohag</v>
      </c>
      <c r="C4616" t="s">
        <v>3788</v>
      </c>
      <c r="D4616">
        <v>0</v>
      </c>
      <c r="E4616">
        <v>0</v>
      </c>
      <c r="F4616">
        <v>2113</v>
      </c>
    </row>
    <row r="4617" spans="1:6" ht="12.75">
      <c r="A4617" s="2">
        <v>43883.498101851852</v>
      </c>
      <c r="B4617" t="str">
        <f>HYPERLINK("https://twitter.com/engkongniy","@engkongniy")</f>
        <v>@engkongniy</v>
      </c>
      <c r="C4617" t="s">
        <v>3532</v>
      </c>
      <c r="D4617">
        <v>42</v>
      </c>
      <c r="E4617">
        <v>0</v>
      </c>
      <c r="F4617">
        <v>13863</v>
      </c>
    </row>
    <row r="4618" spans="1:6" ht="12.75">
      <c r="A4618" s="2">
        <v>43883.497835648144</v>
      </c>
      <c r="B4618" t="str">
        <f>HYPERLINK("https://twitter.com/__aiek_esthreem","@__aiek_esthreem")</f>
        <v>@__aiek_esthreem</v>
      </c>
      <c r="C4618" t="s">
        <v>3584</v>
      </c>
      <c r="D4618">
        <v>3</v>
      </c>
      <c r="E4618">
        <v>0</v>
      </c>
      <c r="F4618">
        <v>16824</v>
      </c>
    </row>
    <row r="4619" spans="1:6" ht="12.75">
      <c r="A4619" s="2">
        <v>43883.497569444444</v>
      </c>
      <c r="B4619" t="str">
        <f>HYPERLINK("https://twitter.com/LynnRahman5","@LynnRahman5")</f>
        <v>@LynnRahman5</v>
      </c>
      <c r="C4619" t="s">
        <v>3789</v>
      </c>
      <c r="D4619">
        <v>1</v>
      </c>
      <c r="E4619">
        <v>0</v>
      </c>
      <c r="F4619">
        <v>659</v>
      </c>
    </row>
    <row r="4620" spans="1:6" ht="12.75">
      <c r="A4620" s="2">
        <v>43883.497372685189</v>
      </c>
      <c r="B4620" t="str">
        <f>HYPERLINK("https://twitter.com/jenghyuu","@jenghyuu")</f>
        <v>@jenghyuu</v>
      </c>
      <c r="C4620" t="s">
        <v>3525</v>
      </c>
      <c r="D4620">
        <v>80</v>
      </c>
      <c r="E4620">
        <v>0</v>
      </c>
      <c r="F4620">
        <v>79</v>
      </c>
    </row>
    <row r="4621" spans="1:6" ht="12.75">
      <c r="A4621" s="2">
        <v>43883.497245370367</v>
      </c>
      <c r="B4621" t="str">
        <f>HYPERLINK("https://twitter.com/KompasTV","@KompasTV")</f>
        <v>@KompasTV</v>
      </c>
      <c r="C4621" t="s">
        <v>3790</v>
      </c>
      <c r="D4621">
        <v>1</v>
      </c>
      <c r="E4621">
        <v>2</v>
      </c>
      <c r="F4621">
        <v>2945995</v>
      </c>
    </row>
    <row r="4622" spans="1:6" ht="12.75">
      <c r="A4622" s="2">
        <v>43883.497164351851</v>
      </c>
      <c r="B4622" t="str">
        <f>HYPERLINK("https://twitter.com/SitompulYunus","@SitompulYunus")</f>
        <v>@SitompulYunus</v>
      </c>
      <c r="C4622" t="s">
        <v>3791</v>
      </c>
      <c r="D4622">
        <v>0</v>
      </c>
      <c r="E4622">
        <v>0</v>
      </c>
      <c r="F4622">
        <v>872</v>
      </c>
    </row>
    <row r="4623" spans="1:6" ht="12.75">
      <c r="A4623" s="2">
        <v>43883.496701388889</v>
      </c>
      <c r="B4623" t="str">
        <f>HYPERLINK("https://twitter.com/Samy12144601","@Samy12144601")</f>
        <v>@Samy12144601</v>
      </c>
      <c r="C4623" t="s">
        <v>3792</v>
      </c>
      <c r="D4623">
        <v>0</v>
      </c>
      <c r="E4623">
        <v>0</v>
      </c>
      <c r="F4623">
        <v>2</v>
      </c>
    </row>
    <row r="4624" spans="1:6" ht="12.75">
      <c r="A4624" s="2">
        <v>43883.496678240743</v>
      </c>
      <c r="B4624" t="str">
        <f>HYPERLINK("https://twitter.com/realPriGim","@realPriGim")</f>
        <v>@realPriGim</v>
      </c>
      <c r="C4624" t="s">
        <v>3793</v>
      </c>
      <c r="D4624">
        <v>0</v>
      </c>
      <c r="E4624">
        <v>1</v>
      </c>
      <c r="F4624">
        <v>3389</v>
      </c>
    </row>
    <row r="4625" spans="1:6" ht="12.75">
      <c r="A4625" s="2">
        <v>43883.496655092589</v>
      </c>
      <c r="B4625" t="str">
        <f>HYPERLINK("https://twitter.com/__aiek_esthreem","@__aiek_esthreem")</f>
        <v>@__aiek_esthreem</v>
      </c>
      <c r="C4625" t="s">
        <v>3728</v>
      </c>
      <c r="D4625">
        <v>2</v>
      </c>
      <c r="E4625">
        <v>0</v>
      </c>
      <c r="F4625">
        <v>16824</v>
      </c>
    </row>
    <row r="4626" spans="1:6" ht="12.75">
      <c r="A4626" s="2">
        <v>43883.496597222227</v>
      </c>
      <c r="B4626" t="str">
        <f>HYPERLINK("https://twitter.com/primandanii","@primandanii")</f>
        <v>@primandanii</v>
      </c>
      <c r="C4626" t="s">
        <v>3525</v>
      </c>
      <c r="D4626">
        <v>80</v>
      </c>
      <c r="E4626">
        <v>0</v>
      </c>
      <c r="F4626">
        <v>30</v>
      </c>
    </row>
    <row r="4627" spans="1:6" ht="12.75">
      <c r="A4627" s="2">
        <v>43883.496192129634</v>
      </c>
      <c r="B4627" t="str">
        <f>HYPERLINK("https://twitter.com/2103_R4CHM4","@2103_R4CHM4")</f>
        <v>@2103_R4CHM4</v>
      </c>
      <c r="C4627" t="s">
        <v>3584</v>
      </c>
      <c r="D4627">
        <v>3</v>
      </c>
      <c r="E4627">
        <v>0</v>
      </c>
      <c r="F4627">
        <v>2432</v>
      </c>
    </row>
    <row r="4628" spans="1:6" ht="12.75">
      <c r="A4628" s="2">
        <v>43883.495648148149</v>
      </c>
      <c r="B4628" t="str">
        <f>HYPERLINK("https://twitter.com/nuinugraha","@nuinugraha")</f>
        <v>@nuinugraha</v>
      </c>
      <c r="C4628" t="s">
        <v>3794</v>
      </c>
      <c r="D4628">
        <v>0</v>
      </c>
      <c r="E4628">
        <v>0</v>
      </c>
      <c r="F4628">
        <v>229</v>
      </c>
    </row>
    <row r="4629" spans="1:6" ht="12.75">
      <c r="A4629" s="2">
        <v>43883.495335648149</v>
      </c>
      <c r="B4629" t="str">
        <f>HYPERLINK("https://twitter.com/RebahanIsLaifuu","@RebahanIsLaifuu")</f>
        <v>@RebahanIsLaifuu</v>
      </c>
      <c r="C4629" t="s">
        <v>3525</v>
      </c>
      <c r="D4629">
        <v>80</v>
      </c>
      <c r="E4629">
        <v>0</v>
      </c>
      <c r="F4629">
        <v>23</v>
      </c>
    </row>
    <row r="4630" spans="1:6" ht="12.75">
      <c r="A4630" s="2">
        <v>43883.495300925926</v>
      </c>
      <c r="B4630" t="str">
        <f>HYPERLINK("https://twitter.com/AgustinDini","@AgustinDini")</f>
        <v>@AgustinDini</v>
      </c>
      <c r="C4630" t="s">
        <v>3525</v>
      </c>
      <c r="D4630">
        <v>80</v>
      </c>
      <c r="E4630">
        <v>0</v>
      </c>
      <c r="F4630">
        <v>13</v>
      </c>
    </row>
    <row r="4631" spans="1:6" ht="12.75">
      <c r="A4631" s="2">
        <v>43883.495162037041</v>
      </c>
      <c r="B4631" t="str">
        <f>HYPERLINK("https://twitter.com/dheafebiana","@dheafebiana")</f>
        <v>@dheafebiana</v>
      </c>
      <c r="C4631" t="s">
        <v>3436</v>
      </c>
      <c r="D4631">
        <v>11</v>
      </c>
      <c r="E4631">
        <v>0</v>
      </c>
      <c r="F4631">
        <v>939</v>
      </c>
    </row>
    <row r="4632" spans="1:6" ht="12.75">
      <c r="A4632" s="2">
        <v>43883.494988425926</v>
      </c>
      <c r="B4632" t="str">
        <f>HYPERLINK("https://twitter.com/2103_R4CHM4","@2103_R4CHM4")</f>
        <v>@2103_R4CHM4</v>
      </c>
      <c r="C4632" t="s">
        <v>3728</v>
      </c>
      <c r="D4632">
        <v>2</v>
      </c>
      <c r="E4632">
        <v>0</v>
      </c>
      <c r="F4632">
        <v>2432</v>
      </c>
    </row>
    <row r="4633" spans="1:6" ht="12.75">
      <c r="A4633" s="2">
        <v>43883.494537037041</v>
      </c>
      <c r="B4633" t="str">
        <f>HYPERLINK("https://twitter.com/realPriGim","@realPriGim")</f>
        <v>@realPriGim</v>
      </c>
      <c r="C4633" t="s">
        <v>3795</v>
      </c>
      <c r="D4633">
        <v>1</v>
      </c>
      <c r="E4633">
        <v>0</v>
      </c>
      <c r="F4633">
        <v>3389</v>
      </c>
    </row>
    <row r="4634" spans="1:6" ht="12.75">
      <c r="A4634" s="2">
        <v>43883.494525462964</v>
      </c>
      <c r="B4634" t="str">
        <f>HYPERLINK("https://twitter.com/yungchad__","@yungchad__")</f>
        <v>@yungchad__</v>
      </c>
      <c r="C4634" t="s">
        <v>3796</v>
      </c>
      <c r="D4634">
        <v>0</v>
      </c>
      <c r="E4634">
        <v>0</v>
      </c>
      <c r="F4634">
        <v>2277</v>
      </c>
    </row>
    <row r="4635" spans="1:6" ht="12.75">
      <c r="A4635" s="2">
        <v>43883.494120370371</v>
      </c>
      <c r="B4635" t="str">
        <f>HYPERLINK("https://twitter.com/Nilamsarii15","@Nilamsarii15")</f>
        <v>@Nilamsarii15</v>
      </c>
      <c r="C4635" t="s">
        <v>3525</v>
      </c>
      <c r="D4635">
        <v>80</v>
      </c>
      <c r="E4635">
        <v>0</v>
      </c>
      <c r="F4635">
        <v>71</v>
      </c>
    </row>
    <row r="4636" spans="1:6" ht="12.75">
      <c r="A4636" s="2">
        <v>43883.493854166663</v>
      </c>
      <c r="B4636" t="str">
        <f>HYPERLINK("https://twitter.com/NyooCarol","@NyooCarol")</f>
        <v>@NyooCarol</v>
      </c>
      <c r="C4636" t="s">
        <v>3525</v>
      </c>
      <c r="D4636">
        <v>80</v>
      </c>
      <c r="E4636">
        <v>0</v>
      </c>
      <c r="F4636">
        <v>144</v>
      </c>
    </row>
    <row r="4637" spans="1:6" ht="12.75">
      <c r="A4637" s="2">
        <v>43883.493703703702</v>
      </c>
      <c r="B4637" t="str">
        <f t="shared" ref="B4637:B4638" si="95">HYPERLINK("https://twitter.com/Kiaranastiti1","@Kiaranastiti1")</f>
        <v>@Kiaranastiti1</v>
      </c>
      <c r="C4637" t="s">
        <v>3797</v>
      </c>
      <c r="D4637">
        <v>0</v>
      </c>
      <c r="E4637">
        <v>0</v>
      </c>
      <c r="F4637">
        <v>1736</v>
      </c>
    </row>
    <row r="4638" spans="1:6" ht="12.75">
      <c r="A4638" s="2">
        <v>43883.493483796294</v>
      </c>
      <c r="B4638" t="str">
        <f t="shared" si="95"/>
        <v>@Kiaranastiti1</v>
      </c>
      <c r="C4638" t="s">
        <v>3798</v>
      </c>
      <c r="D4638">
        <v>1</v>
      </c>
      <c r="E4638">
        <v>0</v>
      </c>
      <c r="F4638">
        <v>1736</v>
      </c>
    </row>
    <row r="4639" spans="1:6" ht="12.75">
      <c r="A4639" s="2">
        <v>43883.493310185186</v>
      </c>
      <c r="B4639" t="str">
        <f>HYPERLINK("https://twitter.com/Taehyuul","@Taehyuul")</f>
        <v>@Taehyuul</v>
      </c>
      <c r="C4639" t="s">
        <v>3525</v>
      </c>
      <c r="D4639">
        <v>80</v>
      </c>
      <c r="E4639">
        <v>0</v>
      </c>
      <c r="F4639">
        <v>49</v>
      </c>
    </row>
    <row r="4640" spans="1:6" ht="12.75">
      <c r="A4640" s="2">
        <v>43883.493113425924</v>
      </c>
      <c r="B4640" t="str">
        <f>HYPERLINK("https://twitter.com/Febriyantiii5","@Febriyantiii5")</f>
        <v>@Febriyantiii5</v>
      </c>
      <c r="C4640" t="s">
        <v>3525</v>
      </c>
      <c r="D4640">
        <v>80</v>
      </c>
      <c r="E4640">
        <v>0</v>
      </c>
      <c r="F4640">
        <v>49</v>
      </c>
    </row>
    <row r="4641" spans="1:6" ht="12.75">
      <c r="A4641" s="2">
        <v>43883.493090277778</v>
      </c>
      <c r="B4641" t="str">
        <f>HYPERLINK("https://twitter.com/sonysept","@sonysept")</f>
        <v>@sonysept</v>
      </c>
      <c r="C4641" t="s">
        <v>3799</v>
      </c>
      <c r="D4641">
        <v>3664</v>
      </c>
      <c r="E4641">
        <v>0</v>
      </c>
      <c r="F4641">
        <v>338</v>
      </c>
    </row>
    <row r="4642" spans="1:6" ht="12.75">
      <c r="A4642" s="2">
        <v>43883.493043981478</v>
      </c>
      <c r="B4642" t="str">
        <f>HYPERLINK("https://twitter.com/wiwikherma","@wiwikherma")</f>
        <v>@wiwikherma</v>
      </c>
      <c r="C4642" t="s">
        <v>3800</v>
      </c>
      <c r="D4642">
        <v>1</v>
      </c>
      <c r="E4642">
        <v>2</v>
      </c>
      <c r="F4642">
        <v>11800</v>
      </c>
    </row>
    <row r="4643" spans="1:6" ht="12.75">
      <c r="A4643" s="2">
        <v>43883.492962962962</v>
      </c>
      <c r="B4643" t="str">
        <f>HYPERLINK("https://twitter.com/__Aiek__Channel","@__Aiek__Channel")</f>
        <v>@__Aiek__Channel</v>
      </c>
      <c r="C4643" t="s">
        <v>3801</v>
      </c>
      <c r="D4643">
        <v>2</v>
      </c>
      <c r="E4643">
        <v>4</v>
      </c>
      <c r="F4643">
        <v>8840</v>
      </c>
    </row>
    <row r="4644" spans="1:6" ht="12.75">
      <c r="A4644" s="2">
        <v>43883.4925462963</v>
      </c>
      <c r="B4644" t="str">
        <f>HYPERLINK("https://twitter.com/Pang22Saudi","@Pang22Saudi")</f>
        <v>@Pang22Saudi</v>
      </c>
      <c r="C4644" t="s">
        <v>3802</v>
      </c>
      <c r="D4644">
        <v>1</v>
      </c>
      <c r="E4644">
        <v>2</v>
      </c>
      <c r="F4644">
        <v>1058</v>
      </c>
    </row>
    <row r="4645" spans="1:6" ht="12.75">
      <c r="A4645" s="2">
        <v>43883.492071759261</v>
      </c>
      <c r="B4645" t="str">
        <f>HYPERLINK("https://twitter.com/Anisazahraa3","@Anisazahraa3")</f>
        <v>@Anisazahraa3</v>
      </c>
      <c r="C4645" t="s">
        <v>3525</v>
      </c>
      <c r="D4645">
        <v>80</v>
      </c>
      <c r="E4645">
        <v>0</v>
      </c>
      <c r="F4645">
        <v>82</v>
      </c>
    </row>
    <row r="4646" spans="1:6" ht="12.75">
      <c r="A4646" s="2">
        <v>43883.492025462961</v>
      </c>
      <c r="B4646" t="str">
        <f>HYPERLINK("https://twitter.com/BadjaNuswantara","@BadjaNuswantara")</f>
        <v>@BadjaNuswantara</v>
      </c>
      <c r="C4646" t="s">
        <v>3803</v>
      </c>
      <c r="D4646">
        <v>1</v>
      </c>
      <c r="E4646">
        <v>0</v>
      </c>
      <c r="F4646">
        <v>42955</v>
      </c>
    </row>
    <row r="4647" spans="1:6" ht="12.75">
      <c r="A4647" s="2">
        <v>43883.491932870369</v>
      </c>
      <c r="B4647" t="str">
        <f>HYPERLINK("https://twitter.com/calvindrasco","@calvindrasco")</f>
        <v>@calvindrasco</v>
      </c>
      <c r="C4647" t="s">
        <v>2119</v>
      </c>
      <c r="D4647">
        <v>486</v>
      </c>
      <c r="E4647">
        <v>0</v>
      </c>
      <c r="F4647">
        <v>12</v>
      </c>
    </row>
    <row r="4648" spans="1:6" ht="12.75">
      <c r="A4648" s="2">
        <v>43883.491932870369</v>
      </c>
      <c r="B4648" t="str">
        <f>HYPERLINK("https://twitter.com/yugof41th","@yugof41th")</f>
        <v>@yugof41th</v>
      </c>
      <c r="C4648" t="s">
        <v>3176</v>
      </c>
      <c r="D4648">
        <v>5</v>
      </c>
      <c r="E4648">
        <v>0</v>
      </c>
      <c r="F4648">
        <v>527</v>
      </c>
    </row>
    <row r="4649" spans="1:6" ht="12.75">
      <c r="A4649" s="2">
        <v>43883.491793981477</v>
      </c>
      <c r="B4649" t="str">
        <f>HYPERLINK("https://twitter.com/entzusiaast","@entzusiaast")</f>
        <v>@entzusiaast</v>
      </c>
      <c r="C4649" t="s">
        <v>3525</v>
      </c>
      <c r="D4649">
        <v>80</v>
      </c>
      <c r="E4649">
        <v>0</v>
      </c>
      <c r="F4649">
        <v>230</v>
      </c>
    </row>
    <row r="4650" spans="1:6" ht="12.75">
      <c r="A4650" s="2">
        <v>43883.49119212963</v>
      </c>
      <c r="B4650" t="str">
        <f>HYPERLINK("https://twitter.com/achiel_law","@achiel_law")</f>
        <v>@achiel_law</v>
      </c>
      <c r="C4650" t="s">
        <v>3436</v>
      </c>
      <c r="D4650">
        <v>11</v>
      </c>
      <c r="E4650">
        <v>0</v>
      </c>
      <c r="F4650">
        <v>305</v>
      </c>
    </row>
    <row r="4651" spans="1:6" ht="12.75">
      <c r="A4651" s="2">
        <v>43883.49113425926</v>
      </c>
      <c r="B4651" t="str">
        <f>HYPERLINK("https://twitter.com/S_ariffudin","@S_ariffudin")</f>
        <v>@S_ariffudin</v>
      </c>
      <c r="C4651" t="s">
        <v>3804</v>
      </c>
      <c r="D4651">
        <v>1</v>
      </c>
      <c r="E4651">
        <v>2</v>
      </c>
      <c r="F4651">
        <v>2225</v>
      </c>
    </row>
    <row r="4652" spans="1:6" ht="12.75">
      <c r="A4652" s="2">
        <v>43883.491087962961</v>
      </c>
      <c r="B4652" t="str">
        <f>HYPERLINK("https://twitter.com/NurCahyo_404","@NurCahyo_404")</f>
        <v>@NurCahyo_404</v>
      </c>
      <c r="C4652" t="s">
        <v>2084</v>
      </c>
      <c r="D4652">
        <v>0</v>
      </c>
      <c r="E4652">
        <v>0</v>
      </c>
      <c r="F4652">
        <v>9</v>
      </c>
    </row>
    <row r="4653" spans="1:6" ht="12.75">
      <c r="A4653" s="2">
        <v>43883.490983796291</v>
      </c>
      <c r="B4653" t="str">
        <f>HYPERLINK("https://twitter.com/RhiaKumala","@RhiaKumala")</f>
        <v>@RhiaKumala</v>
      </c>
      <c r="C4653" t="s">
        <v>3805</v>
      </c>
      <c r="D4653">
        <v>0</v>
      </c>
      <c r="E4653">
        <v>0</v>
      </c>
      <c r="F4653">
        <v>65</v>
      </c>
    </row>
    <row r="4654" spans="1:6" ht="12.75">
      <c r="A4654" s="2">
        <v>43883.49082175926</v>
      </c>
      <c r="B4654" t="str">
        <f>HYPERLINK("https://twitter.com/inekine","@inekine")</f>
        <v>@inekine</v>
      </c>
      <c r="C4654" t="s">
        <v>3525</v>
      </c>
      <c r="D4654">
        <v>80</v>
      </c>
      <c r="E4654">
        <v>0</v>
      </c>
      <c r="F4654">
        <v>144</v>
      </c>
    </row>
    <row r="4655" spans="1:6" ht="12.75">
      <c r="A4655" s="2">
        <v>43883.490810185191</v>
      </c>
      <c r="B4655" t="str">
        <f>HYPERLINK("https://twitter.com/dituduhpki","@dituduhpki")</f>
        <v>@dituduhpki</v>
      </c>
      <c r="C4655" t="s">
        <v>3436</v>
      </c>
      <c r="D4655">
        <v>11</v>
      </c>
      <c r="E4655">
        <v>0</v>
      </c>
      <c r="F4655">
        <v>946</v>
      </c>
    </row>
    <row r="4656" spans="1:6" ht="12.75">
      <c r="A4656" s="2">
        <v>43883.490648148145</v>
      </c>
      <c r="B4656" t="str">
        <f>HYPERLINK("https://twitter.com/Andikasalim4","@Andikasalim4")</f>
        <v>@Andikasalim4</v>
      </c>
      <c r="C4656" t="s">
        <v>3525</v>
      </c>
      <c r="D4656">
        <v>80</v>
      </c>
      <c r="E4656">
        <v>0</v>
      </c>
      <c r="F4656">
        <v>14</v>
      </c>
    </row>
    <row r="4657" spans="1:6" ht="12.75">
      <c r="A4657" s="2">
        <v>43883.490312499998</v>
      </c>
      <c r="B4657" t="str">
        <f>HYPERLINK("https://twitter.com/agusbinayub1","@agusbinayub1")</f>
        <v>@agusbinayub1</v>
      </c>
      <c r="C4657" t="s">
        <v>3806</v>
      </c>
      <c r="D4657">
        <v>2</v>
      </c>
      <c r="E4657">
        <v>0</v>
      </c>
      <c r="F4657">
        <v>636</v>
      </c>
    </row>
    <row r="4658" spans="1:6" ht="12.75">
      <c r="A4658" s="2">
        <v>43883.489733796298</v>
      </c>
      <c r="B4658" t="str">
        <f>HYPERLINK("https://twitter.com/Biansalmon77","@Biansalmon77")</f>
        <v>@Biansalmon77</v>
      </c>
      <c r="C4658" t="s">
        <v>3525</v>
      </c>
      <c r="D4658">
        <v>80</v>
      </c>
      <c r="E4658">
        <v>0</v>
      </c>
      <c r="F4658">
        <v>554</v>
      </c>
    </row>
    <row r="4659" spans="1:6" ht="12.75">
      <c r="A4659" s="2">
        <v>43883.489247685182</v>
      </c>
      <c r="B4659" t="str">
        <f>HYPERLINK("https://twitter.com/8unyaminmusa","@8unyaminmusa")</f>
        <v>@8unyaminmusa</v>
      </c>
      <c r="C4659" t="s">
        <v>2711</v>
      </c>
      <c r="D4659">
        <v>186</v>
      </c>
      <c r="E4659">
        <v>0</v>
      </c>
      <c r="F4659">
        <v>54</v>
      </c>
    </row>
    <row r="4660" spans="1:6" ht="12.75">
      <c r="A4660" s="2">
        <v>43883.488958333328</v>
      </c>
      <c r="B4660" t="str">
        <f>HYPERLINK("https://twitter.com/MeliMelisaa1","@MeliMelisaa1")</f>
        <v>@MeliMelisaa1</v>
      </c>
      <c r="C4660" t="s">
        <v>3525</v>
      </c>
      <c r="D4660">
        <v>80</v>
      </c>
      <c r="E4660">
        <v>0</v>
      </c>
      <c r="F4660">
        <v>12</v>
      </c>
    </row>
    <row r="4661" spans="1:6" ht="12.75">
      <c r="A4661" s="2">
        <v>43883.488784722227</v>
      </c>
      <c r="B4661" t="str">
        <f>HYPERLINK("https://twitter.com/_champsupernova","@_champsupernova")</f>
        <v>@_champsupernova</v>
      </c>
      <c r="C4661" t="s">
        <v>3436</v>
      </c>
      <c r="D4661">
        <v>11</v>
      </c>
      <c r="E4661">
        <v>0</v>
      </c>
      <c r="F4661">
        <v>882</v>
      </c>
    </row>
    <row r="4662" spans="1:6" ht="12.75">
      <c r="A4662" s="2">
        <v>43883.488564814819</v>
      </c>
      <c r="B4662" t="str">
        <f>HYPERLINK("https://twitter.com/sonysept","@sonysept")</f>
        <v>@sonysept</v>
      </c>
      <c r="C4662" t="s">
        <v>3436</v>
      </c>
      <c r="D4662">
        <v>11</v>
      </c>
      <c r="E4662">
        <v>0</v>
      </c>
      <c r="F4662">
        <v>338</v>
      </c>
    </row>
    <row r="4663" spans="1:6" ht="12.75">
      <c r="A4663" s="2">
        <v>43883.488113425927</v>
      </c>
      <c r="B4663" t="str">
        <f>HYPERLINK("https://twitter.com/cemaragunung","@cemaragunung")</f>
        <v>@cemaragunung</v>
      </c>
      <c r="C4663" t="s">
        <v>3807</v>
      </c>
      <c r="D4663">
        <v>0</v>
      </c>
      <c r="E4663">
        <v>0</v>
      </c>
      <c r="F4663">
        <v>1586</v>
      </c>
    </row>
    <row r="4664" spans="1:6" ht="12.75">
      <c r="A4664" s="2">
        <v>43883.488113425927</v>
      </c>
      <c r="B4664" t="str">
        <f>HYPERLINK("https://twitter.com/evarahmaw__","@evarahmaw__")</f>
        <v>@evarahmaw__</v>
      </c>
      <c r="C4664" t="s">
        <v>3525</v>
      </c>
      <c r="D4664">
        <v>80</v>
      </c>
      <c r="E4664">
        <v>0</v>
      </c>
      <c r="F4664">
        <v>6237</v>
      </c>
    </row>
    <row r="4665" spans="1:6" ht="12.75">
      <c r="A4665" s="2">
        <v>43883.487638888888</v>
      </c>
      <c r="B4665" t="str">
        <f>HYPERLINK("https://twitter.com/juliandra994","@juliandra994")</f>
        <v>@juliandra994</v>
      </c>
      <c r="C4665" t="s">
        <v>3525</v>
      </c>
      <c r="D4665">
        <v>80</v>
      </c>
      <c r="E4665">
        <v>0</v>
      </c>
      <c r="F4665">
        <v>75</v>
      </c>
    </row>
    <row r="4666" spans="1:6" ht="12.75">
      <c r="A4666" s="2">
        <v>43883.486493055556</v>
      </c>
      <c r="B4666" t="str">
        <f>HYPERLINK("https://twitter.com/baperan123","@baperan123")</f>
        <v>@baperan123</v>
      </c>
      <c r="C4666" t="s">
        <v>3525</v>
      </c>
      <c r="D4666">
        <v>80</v>
      </c>
      <c r="E4666">
        <v>0</v>
      </c>
      <c r="F4666">
        <v>27</v>
      </c>
    </row>
    <row r="4667" spans="1:6" ht="12.75">
      <c r="A4667" s="2">
        <v>43883.485856481479</v>
      </c>
      <c r="B4667" t="str">
        <f>HYPERLINK("https://twitter.com/itsnine7","@itsnine7")</f>
        <v>@itsnine7</v>
      </c>
      <c r="C4667" t="s">
        <v>3525</v>
      </c>
      <c r="D4667">
        <v>80</v>
      </c>
      <c r="E4667">
        <v>0</v>
      </c>
      <c r="F4667">
        <v>224</v>
      </c>
    </row>
    <row r="4668" spans="1:6" ht="12.75">
      <c r="A4668" s="2">
        <v>43883.485543981486</v>
      </c>
      <c r="B4668" t="str">
        <f>HYPERLINK("https://twitter.com/okezonenews","@okezonenews")</f>
        <v>@okezonenews</v>
      </c>
      <c r="C4668" t="s">
        <v>3808</v>
      </c>
      <c r="D4668">
        <v>0</v>
      </c>
      <c r="E4668">
        <v>0</v>
      </c>
      <c r="F4668">
        <v>1743260</v>
      </c>
    </row>
    <row r="4669" spans="1:6" ht="12.75">
      <c r="A4669" s="2">
        <v>43883.485451388886</v>
      </c>
      <c r="B4669" t="str">
        <f>HYPERLINK("https://twitter.com/ayuizza89","@ayuizza89")</f>
        <v>@ayuizza89</v>
      </c>
      <c r="C4669" t="s">
        <v>3525</v>
      </c>
      <c r="D4669">
        <v>80</v>
      </c>
      <c r="E4669">
        <v>0</v>
      </c>
      <c r="F4669">
        <v>135</v>
      </c>
    </row>
    <row r="4670" spans="1:6" ht="12.75">
      <c r="A4670" s="2">
        <v>43883.485451388886</v>
      </c>
      <c r="B4670" t="str">
        <f>HYPERLINK("https://twitter.com/FYunan2","@FYunan2")</f>
        <v>@FYunan2</v>
      </c>
      <c r="C4670" t="s">
        <v>3525</v>
      </c>
      <c r="D4670">
        <v>80</v>
      </c>
      <c r="E4670">
        <v>0</v>
      </c>
      <c r="F4670">
        <v>60</v>
      </c>
    </row>
    <row r="4671" spans="1:6" ht="12.75">
      <c r="A4671" s="2">
        <v>43883.484953703708</v>
      </c>
      <c r="B4671" t="str">
        <f>HYPERLINK("https://twitter.com/_inimanusia","@_inimanusia")</f>
        <v>@_inimanusia</v>
      </c>
      <c r="C4671" t="s">
        <v>3525</v>
      </c>
      <c r="D4671">
        <v>80</v>
      </c>
      <c r="E4671">
        <v>0</v>
      </c>
      <c r="F4671">
        <v>0</v>
      </c>
    </row>
    <row r="4672" spans="1:6" ht="12.75">
      <c r="A4672" s="2">
        <v>43883.484849537039</v>
      </c>
      <c r="B4672" t="str">
        <f>HYPERLINK("https://twitter.com/ayudewe27","@ayudewe27")</f>
        <v>@ayudewe27</v>
      </c>
      <c r="C4672" t="s">
        <v>3525</v>
      </c>
      <c r="D4672">
        <v>80</v>
      </c>
      <c r="E4672">
        <v>0</v>
      </c>
      <c r="F4672">
        <v>1688</v>
      </c>
    </row>
    <row r="4673" spans="1:6" ht="12.75">
      <c r="A4673" s="2">
        <v>43883.484837962962</v>
      </c>
      <c r="B4673" t="str">
        <f>HYPERLINK("https://twitter.com/keambisan","@keambisan")</f>
        <v>@keambisan</v>
      </c>
      <c r="C4673" t="s">
        <v>3809</v>
      </c>
      <c r="D4673">
        <v>0</v>
      </c>
      <c r="E4673">
        <v>0</v>
      </c>
      <c r="F4673">
        <v>364</v>
      </c>
    </row>
    <row r="4674" spans="1:6" ht="12.75">
      <c r="A4674" s="2">
        <v>43883.4846412037</v>
      </c>
      <c r="B4674" t="str">
        <f>HYPERLINK("https://twitter.com/RatihNyi","@RatihNyi")</f>
        <v>@RatihNyi</v>
      </c>
      <c r="C4674" t="s">
        <v>3525</v>
      </c>
      <c r="D4674">
        <v>80</v>
      </c>
      <c r="E4674">
        <v>0</v>
      </c>
      <c r="F4674">
        <v>33</v>
      </c>
    </row>
    <row r="4675" spans="1:6" ht="12.75">
      <c r="A4675" s="2">
        <v>43883.484224537038</v>
      </c>
      <c r="B4675" t="str">
        <f>HYPERLINK("https://twitter.com/loveee_ayu","@loveee_ayu")</f>
        <v>@loveee_ayu</v>
      </c>
      <c r="C4675" t="s">
        <v>3525</v>
      </c>
      <c r="D4675">
        <v>80</v>
      </c>
      <c r="E4675">
        <v>0</v>
      </c>
      <c r="F4675">
        <v>120</v>
      </c>
    </row>
    <row r="4676" spans="1:6" ht="12.75">
      <c r="A4676" s="2">
        <v>43883.483495370368</v>
      </c>
      <c r="B4676" t="str">
        <f>HYPERLINK("https://twitter.com/Yuniartii6","@Yuniartii6")</f>
        <v>@Yuniartii6</v>
      </c>
      <c r="C4676" t="s">
        <v>3525</v>
      </c>
      <c r="D4676">
        <v>80</v>
      </c>
      <c r="E4676">
        <v>0</v>
      </c>
      <c r="F4676">
        <v>24</v>
      </c>
    </row>
    <row r="4677" spans="1:6" ht="12.75">
      <c r="A4677" s="2">
        <v>43883.482870370368</v>
      </c>
      <c r="B4677" t="str">
        <f>HYPERLINK("https://twitter.com/skimasKKK","@skimasKKK")</f>
        <v>@skimasKKK</v>
      </c>
      <c r="C4677" t="s">
        <v>3810</v>
      </c>
      <c r="D4677">
        <v>0</v>
      </c>
      <c r="E4677">
        <v>0</v>
      </c>
      <c r="F4677">
        <v>336</v>
      </c>
    </row>
    <row r="4678" spans="1:6" ht="12.75">
      <c r="A4678" s="2">
        <v>43883.48274305556</v>
      </c>
      <c r="B4678" t="str">
        <f>HYPERLINK("https://twitter.com/forddyce92","@forddyce92")</f>
        <v>@forddyce92</v>
      </c>
      <c r="C4678" t="s">
        <v>3811</v>
      </c>
      <c r="D4678">
        <v>0</v>
      </c>
      <c r="E4678">
        <v>0</v>
      </c>
      <c r="F4678">
        <v>26</v>
      </c>
    </row>
    <row r="4679" spans="1:6" ht="12.75">
      <c r="A4679" s="2">
        <v>43883.482581018514</v>
      </c>
      <c r="B4679" t="str">
        <f>HYPERLINK("https://twitter.com/Fahmibisyir","@Fahmibisyir")</f>
        <v>@Fahmibisyir</v>
      </c>
      <c r="C4679" t="s">
        <v>3812</v>
      </c>
      <c r="D4679">
        <v>0</v>
      </c>
      <c r="E4679">
        <v>0</v>
      </c>
      <c r="F4679">
        <v>206</v>
      </c>
    </row>
    <row r="4680" spans="1:6" ht="12.75">
      <c r="A4680" s="2">
        <v>43883.482546296298</v>
      </c>
      <c r="B4680" t="str">
        <f>HYPERLINK("https://twitter.com/sariyani07","@sariyani07")</f>
        <v>@sariyani07</v>
      </c>
      <c r="C4680" t="s">
        <v>3525</v>
      </c>
      <c r="D4680">
        <v>80</v>
      </c>
      <c r="E4680">
        <v>0</v>
      </c>
      <c r="F4680">
        <v>50</v>
      </c>
    </row>
    <row r="4681" spans="1:6" ht="12.75">
      <c r="A4681" s="2">
        <v>43883.482268518521</v>
      </c>
      <c r="B4681" t="str">
        <f>HYPERLINK("https://twitter.com/Zidane90137678","@Zidane90137678")</f>
        <v>@Zidane90137678</v>
      </c>
      <c r="C4681" t="s">
        <v>513</v>
      </c>
      <c r="D4681">
        <v>23257</v>
      </c>
      <c r="E4681">
        <v>0</v>
      </c>
      <c r="F4681">
        <v>2</v>
      </c>
    </row>
    <row r="4682" spans="1:6" ht="12.75">
      <c r="A4682" s="2">
        <v>43883.481863425928</v>
      </c>
      <c r="B4682" t="str">
        <f>HYPERLINK("https://twitter.com/hendrakolang23","@hendrakolang23")</f>
        <v>@hendrakolang23</v>
      </c>
      <c r="C4682" t="s">
        <v>3813</v>
      </c>
      <c r="D4682">
        <v>0</v>
      </c>
      <c r="E4682">
        <v>1</v>
      </c>
      <c r="F4682">
        <v>2171</v>
      </c>
    </row>
    <row r="4683" spans="1:6" ht="12.75">
      <c r="A4683" s="2">
        <v>43883.481504629628</v>
      </c>
      <c r="B4683" t="str">
        <f>HYPERLINK("https://twitter.com/Risskaa9","@Risskaa9")</f>
        <v>@Risskaa9</v>
      </c>
      <c r="C4683" t="s">
        <v>3525</v>
      </c>
      <c r="D4683">
        <v>80</v>
      </c>
      <c r="E4683">
        <v>0</v>
      </c>
      <c r="F4683">
        <v>68</v>
      </c>
    </row>
    <row r="4684" spans="1:6" ht="12.75">
      <c r="A4684" s="2">
        <v>43883.481249999997</v>
      </c>
      <c r="B4684" t="str">
        <f>HYPERLINK("https://twitter.com/MulyaniVonny","@MulyaniVonny")</f>
        <v>@MulyaniVonny</v>
      </c>
      <c r="C4684" t="s">
        <v>3525</v>
      </c>
      <c r="D4684">
        <v>80</v>
      </c>
      <c r="E4684">
        <v>0</v>
      </c>
      <c r="F4684">
        <v>199</v>
      </c>
    </row>
    <row r="4685" spans="1:6" ht="12.75">
      <c r="A4685" s="2">
        <v>43883.480902777781</v>
      </c>
      <c r="B4685" t="str">
        <f>HYPERLINK("https://twitter.com/kanzulahuma","@kanzulahuma")</f>
        <v>@kanzulahuma</v>
      </c>
      <c r="C4685" t="s">
        <v>3525</v>
      </c>
      <c r="D4685">
        <v>80</v>
      </c>
      <c r="E4685">
        <v>0</v>
      </c>
      <c r="F4685">
        <v>50</v>
      </c>
    </row>
    <row r="4686" spans="1:6" ht="12.75">
      <c r="A4686" s="2">
        <v>43883.480833333335</v>
      </c>
      <c r="B4686" t="str">
        <f>HYPERLINK("https://twitter.com/farikhahnoor92","@farikhahnoor92")</f>
        <v>@farikhahnoor92</v>
      </c>
      <c r="C4686" t="s">
        <v>3525</v>
      </c>
      <c r="D4686">
        <v>80</v>
      </c>
      <c r="E4686">
        <v>0</v>
      </c>
      <c r="F4686">
        <v>598</v>
      </c>
    </row>
    <row r="4687" spans="1:6" ht="12.75">
      <c r="A4687" s="2">
        <v>43883.480763888889</v>
      </c>
      <c r="B4687" t="str">
        <f>HYPERLINK("https://twitter.com/Yeyen41020695","@Yeyen41020695")</f>
        <v>@Yeyen41020695</v>
      </c>
      <c r="C4687" t="s">
        <v>3814</v>
      </c>
      <c r="D4687">
        <v>0</v>
      </c>
      <c r="E4687">
        <v>0</v>
      </c>
      <c r="F4687">
        <v>1453</v>
      </c>
    </row>
    <row r="4688" spans="1:6" ht="12.75">
      <c r="A4688" s="2">
        <v>43883.480694444443</v>
      </c>
      <c r="B4688" t="str">
        <f>HYPERLINK("https://twitter.com/kesukaaaaanmu","@kesukaaaaanmu")</f>
        <v>@kesukaaaaanmu</v>
      </c>
      <c r="C4688" t="s">
        <v>3815</v>
      </c>
      <c r="D4688">
        <v>0</v>
      </c>
      <c r="E4688">
        <v>0</v>
      </c>
      <c r="F4688">
        <v>384</v>
      </c>
    </row>
    <row r="4689" spans="1:6" ht="12.75">
      <c r="A4689" s="2">
        <v>43883.480497685188</v>
      </c>
      <c r="B4689" t="str">
        <f>HYPERLINK("https://twitter.com/jejeryuu","@jejeryuu")</f>
        <v>@jejeryuu</v>
      </c>
      <c r="C4689" t="s">
        <v>3525</v>
      </c>
      <c r="D4689">
        <v>80</v>
      </c>
      <c r="E4689">
        <v>0</v>
      </c>
      <c r="F4689">
        <v>55</v>
      </c>
    </row>
    <row r="4690" spans="1:6" ht="12.75">
      <c r="A4690" s="2">
        <v>43883.479965277773</v>
      </c>
      <c r="B4690" t="str">
        <f>HYPERLINK("https://twitter.com/Coki03055491","@Coki03055491")</f>
        <v>@Coki03055491</v>
      </c>
      <c r="C4690" t="s">
        <v>3816</v>
      </c>
      <c r="D4690">
        <v>0</v>
      </c>
      <c r="E4690">
        <v>1</v>
      </c>
      <c r="F4690">
        <v>35</v>
      </c>
    </row>
    <row r="4691" spans="1:6" ht="12.75">
      <c r="A4691" s="2">
        <v>43883.479872685188</v>
      </c>
      <c r="B4691" t="str">
        <f>HYPERLINK("https://twitter.com/inipunyaalfi","@inipunyaalfi")</f>
        <v>@inipunyaalfi</v>
      </c>
      <c r="C4691" t="s">
        <v>3525</v>
      </c>
      <c r="D4691">
        <v>80</v>
      </c>
      <c r="E4691">
        <v>0</v>
      </c>
      <c r="F4691">
        <v>15</v>
      </c>
    </row>
    <row r="4692" spans="1:6" ht="12.75">
      <c r="A4692" s="2">
        <v>43883.479872685188</v>
      </c>
      <c r="B4692" t="str">
        <f>HYPERLINK("https://twitter.com/buruhmigran","@buruhmigran")</f>
        <v>@buruhmigran</v>
      </c>
      <c r="C4692" t="s">
        <v>3817</v>
      </c>
      <c r="D4692">
        <v>0</v>
      </c>
      <c r="E4692">
        <v>0</v>
      </c>
      <c r="F4692">
        <v>173</v>
      </c>
    </row>
    <row r="4693" spans="1:6" ht="12.75">
      <c r="A4693" s="2">
        <v>43883.479872685188</v>
      </c>
      <c r="B4693" t="str">
        <f>HYPERLINK("https://twitter.com/NAmatilah","@NAmatilah")</f>
        <v>@NAmatilah</v>
      </c>
      <c r="C4693" t="s">
        <v>3525</v>
      </c>
      <c r="D4693">
        <v>80</v>
      </c>
      <c r="E4693">
        <v>0</v>
      </c>
      <c r="F4693">
        <v>60</v>
      </c>
    </row>
    <row r="4694" spans="1:6" ht="12.75">
      <c r="A4694" s="2">
        <v>43883.479837962965</v>
      </c>
      <c r="B4694" t="str">
        <f>HYPERLINK("https://twitter.com/isis_all4me","@isis_all4me")</f>
        <v>@isis_all4me</v>
      </c>
      <c r="C4694" t="s">
        <v>3818</v>
      </c>
      <c r="D4694">
        <v>0</v>
      </c>
      <c r="E4694">
        <v>0</v>
      </c>
      <c r="F4694">
        <v>3</v>
      </c>
    </row>
    <row r="4695" spans="1:6" ht="12.75">
      <c r="A4695" s="2">
        <v>43883.47929398148</v>
      </c>
      <c r="B4695" t="str">
        <f>HYPERLINK("https://twitter.com/Teguh83076862","@Teguh83076862")</f>
        <v>@Teguh83076862</v>
      </c>
      <c r="C4695" t="s">
        <v>3819</v>
      </c>
      <c r="D4695">
        <v>0</v>
      </c>
      <c r="E4695">
        <v>0</v>
      </c>
      <c r="F4695">
        <v>1</v>
      </c>
    </row>
    <row r="4696" spans="1:6" ht="12.75">
      <c r="A4696" s="2">
        <v>43883.479212962964</v>
      </c>
      <c r="B4696" t="str">
        <f>HYPERLINK("https://twitter.com/alineadotid","@alineadotid")</f>
        <v>@alineadotid</v>
      </c>
      <c r="C4696" t="s">
        <v>3820</v>
      </c>
      <c r="D4696">
        <v>0</v>
      </c>
      <c r="E4696">
        <v>0</v>
      </c>
      <c r="F4696">
        <v>611872</v>
      </c>
    </row>
    <row r="4697" spans="1:6" ht="12.75">
      <c r="A4697" s="2">
        <v>43883.478506944448</v>
      </c>
      <c r="B4697" t="str">
        <f>HYPERLINK("https://twitter.com/kompascom","@kompascom")</f>
        <v>@kompascom</v>
      </c>
      <c r="C4697" t="s">
        <v>3821</v>
      </c>
      <c r="D4697">
        <v>0</v>
      </c>
      <c r="E4697">
        <v>0</v>
      </c>
      <c r="F4697">
        <v>7507355</v>
      </c>
    </row>
    <row r="4698" spans="1:6" ht="12.75">
      <c r="A4698" s="2">
        <v>43883.47828703704</v>
      </c>
      <c r="B4698" t="str">
        <f>HYPERLINK("https://twitter.com/bnasmarmata","@bnasmarmata")</f>
        <v>@bnasmarmata</v>
      </c>
      <c r="C4698" t="s">
        <v>2119</v>
      </c>
      <c r="D4698">
        <v>486</v>
      </c>
      <c r="E4698">
        <v>0</v>
      </c>
      <c r="F4698">
        <v>754</v>
      </c>
    </row>
    <row r="4699" spans="1:6" ht="12.75">
      <c r="A4699" s="2">
        <v>43883.478252314817</v>
      </c>
      <c r="B4699" t="str">
        <f>HYPERLINK("https://twitter.com/NisaHerlinaa","@NisaHerlinaa")</f>
        <v>@NisaHerlinaa</v>
      </c>
      <c r="C4699" t="s">
        <v>3525</v>
      </c>
      <c r="D4699">
        <v>80</v>
      </c>
      <c r="E4699">
        <v>0</v>
      </c>
      <c r="F4699">
        <v>148</v>
      </c>
    </row>
    <row r="4700" spans="1:6" ht="12.75">
      <c r="A4700" s="2">
        <v>43883.478206018517</v>
      </c>
      <c r="B4700" t="str">
        <f>HYPERLINK("https://twitter.com/yusufnurzaman","@yusufnurzaman")</f>
        <v>@yusufnurzaman</v>
      </c>
      <c r="C4700" t="s">
        <v>3436</v>
      </c>
      <c r="D4700">
        <v>11</v>
      </c>
      <c r="E4700">
        <v>0</v>
      </c>
      <c r="F4700">
        <v>628</v>
      </c>
    </row>
    <row r="4701" spans="1:6" ht="12.75">
      <c r="A4701" s="2">
        <v>43883.459768518514</v>
      </c>
      <c r="B4701" t="str">
        <f>HYPERLINK("https://twitter.com/wni_jmsri","@wni_jmsri")</f>
        <v>@wni_jmsri</v>
      </c>
      <c r="C4701" t="s">
        <v>3822</v>
      </c>
      <c r="D4701">
        <v>24</v>
      </c>
      <c r="E4701">
        <v>0</v>
      </c>
      <c r="F4701">
        <v>195</v>
      </c>
    </row>
    <row r="4702" spans="1:6" ht="12.75">
      <c r="A4702" s="2">
        <v>43883.459502314814</v>
      </c>
      <c r="B4702" t="str">
        <f>HYPERLINK("https://twitter.com/yusbasrial","@yusbasrial")</f>
        <v>@yusbasrial</v>
      </c>
      <c r="C4702" t="s">
        <v>3090</v>
      </c>
      <c r="D4702">
        <v>61</v>
      </c>
      <c r="E4702">
        <v>0</v>
      </c>
      <c r="F4702">
        <v>404</v>
      </c>
    </row>
    <row r="4703" spans="1:6" ht="12.75">
      <c r="A4703" s="2">
        <v>43883.459490740745</v>
      </c>
      <c r="B4703" t="str">
        <f>HYPERLINK("https://twitter.com/hobiSAMBIT","@hobiSAMBIT")</f>
        <v>@hobiSAMBIT</v>
      </c>
      <c r="C4703" t="s">
        <v>3202</v>
      </c>
      <c r="D4703">
        <v>4</v>
      </c>
      <c r="E4703">
        <v>0</v>
      </c>
      <c r="F4703">
        <v>64</v>
      </c>
    </row>
    <row r="4704" spans="1:6" ht="12.75">
      <c r="A4704" s="2">
        <v>43883.456747685181</v>
      </c>
      <c r="B4704" t="str">
        <f>HYPERLINK("https://twitter.com/cuma10ribu","@cuma10ribu")</f>
        <v>@cuma10ribu</v>
      </c>
      <c r="C4704" t="s">
        <v>3823</v>
      </c>
      <c r="D4704">
        <v>0</v>
      </c>
      <c r="E4704">
        <v>0</v>
      </c>
      <c r="F4704">
        <v>892</v>
      </c>
    </row>
    <row r="4705" spans="1:6" ht="12.75">
      <c r="A4705" s="2">
        <v>43883.456203703703</v>
      </c>
      <c r="B4705" t="str">
        <f>HYPERLINK("https://twitter.com/__Aiek__Channel","@__Aiek__Channel")</f>
        <v>@__Aiek__Channel</v>
      </c>
      <c r="C4705" t="s">
        <v>3824</v>
      </c>
      <c r="D4705">
        <v>0</v>
      </c>
      <c r="E4705">
        <v>2</v>
      </c>
      <c r="F4705">
        <v>8837</v>
      </c>
    </row>
    <row r="4706" spans="1:6" ht="12.75">
      <c r="A4706" s="2">
        <v>43883.456099537041</v>
      </c>
      <c r="B4706" t="str">
        <f>HYPERLINK("https://twitter.com/addinfuad","@addinfuad")</f>
        <v>@addinfuad</v>
      </c>
      <c r="C4706" t="s">
        <v>3090</v>
      </c>
      <c r="D4706">
        <v>61</v>
      </c>
      <c r="E4706">
        <v>0</v>
      </c>
      <c r="F4706">
        <v>114</v>
      </c>
    </row>
    <row r="4707" spans="1:6" ht="12.75">
      <c r="A4707" s="2">
        <v>43883.45548611111</v>
      </c>
      <c r="B4707" t="str">
        <f>HYPERLINK("https://twitter.com/Rahmajunka","@Rahmajunka")</f>
        <v>@Rahmajunka</v>
      </c>
      <c r="C4707" t="s">
        <v>2119</v>
      </c>
      <c r="D4707">
        <v>479</v>
      </c>
      <c r="E4707">
        <v>0</v>
      </c>
      <c r="F4707">
        <v>79</v>
      </c>
    </row>
    <row r="4708" spans="1:6" ht="12.75">
      <c r="A4708" s="2">
        <v>43883.45349537037</v>
      </c>
      <c r="B4708" t="str">
        <f>HYPERLINK("https://twitter.com/JovinWidyanata","@JovinWidyanata")</f>
        <v>@JovinWidyanata</v>
      </c>
      <c r="C4708" t="s">
        <v>3825</v>
      </c>
      <c r="D4708">
        <v>0</v>
      </c>
      <c r="E4708">
        <v>0</v>
      </c>
      <c r="F4708">
        <v>133</v>
      </c>
    </row>
    <row r="4709" spans="1:6" ht="12.75">
      <c r="A4709" s="2">
        <v>43883.4527662037</v>
      </c>
      <c r="B4709" t="str">
        <f>HYPERLINK("https://twitter.com/sparkIecv","@sparkIecv")</f>
        <v>@sparkIecv</v>
      </c>
      <c r="C4709" t="s">
        <v>3826</v>
      </c>
      <c r="D4709">
        <v>3</v>
      </c>
      <c r="E4709">
        <v>0</v>
      </c>
      <c r="F4709">
        <v>1414</v>
      </c>
    </row>
    <row r="4710" spans="1:6" ht="12.75">
      <c r="A4710" s="2">
        <v>43883.452418981484</v>
      </c>
      <c r="B4710" t="str">
        <f>HYPERLINK("https://twitter.com/ustadzar","@ustadzar")</f>
        <v>@ustadzar</v>
      </c>
      <c r="C4710" t="s">
        <v>3661</v>
      </c>
      <c r="D4710">
        <v>4</v>
      </c>
      <c r="E4710">
        <v>0</v>
      </c>
      <c r="F4710">
        <v>68</v>
      </c>
    </row>
    <row r="4711" spans="1:6" ht="12.75">
      <c r="A4711" s="2">
        <v>43883.452349537038</v>
      </c>
      <c r="B4711" t="str">
        <f>HYPERLINK("https://twitter.com/HasyifI","@HasyifI")</f>
        <v>@HasyifI</v>
      </c>
      <c r="C4711" t="s">
        <v>3090</v>
      </c>
      <c r="D4711">
        <v>61</v>
      </c>
      <c r="E4711">
        <v>0</v>
      </c>
      <c r="F4711">
        <v>91</v>
      </c>
    </row>
    <row r="4712" spans="1:6" ht="12.75">
      <c r="A4712" s="2">
        <v>43883.452268518522</v>
      </c>
      <c r="B4712" t="str">
        <f>HYPERLINK("https://twitter.com/artonpower","@artonpower")</f>
        <v>@artonpower</v>
      </c>
      <c r="C4712" t="s">
        <v>3827</v>
      </c>
      <c r="D4712">
        <v>0</v>
      </c>
      <c r="E4712">
        <v>0</v>
      </c>
      <c r="F4712">
        <v>388</v>
      </c>
    </row>
    <row r="4713" spans="1:6" ht="12.75">
      <c r="A4713" s="2">
        <v>43883.452094907407</v>
      </c>
      <c r="B4713" t="str">
        <f>HYPERLINK("https://twitter.com/Yeyen41020695","@Yeyen41020695")</f>
        <v>@Yeyen41020695</v>
      </c>
      <c r="C4713" t="s">
        <v>2119</v>
      </c>
      <c r="D4713">
        <v>479</v>
      </c>
      <c r="E4713">
        <v>0</v>
      </c>
      <c r="F4713">
        <v>1453</v>
      </c>
    </row>
    <row r="4714" spans="1:6" ht="12.75">
      <c r="A4714" s="2">
        <v>43883.451967592591</v>
      </c>
      <c r="B4714" t="str">
        <f>HYPERLINK("https://twitter.com/Sarip_oyong","@Sarip_oyong")</f>
        <v>@Sarip_oyong</v>
      </c>
      <c r="C4714" t="s">
        <v>3828</v>
      </c>
      <c r="D4714">
        <v>0</v>
      </c>
      <c r="E4714">
        <v>0</v>
      </c>
      <c r="F4714">
        <v>2344</v>
      </c>
    </row>
    <row r="4715" spans="1:6" ht="12.75">
      <c r="A4715" s="2">
        <v>43883.451793981483</v>
      </c>
      <c r="B4715" t="str">
        <f>HYPERLINK("https://twitter.com/cocalm69","@cocalm69")</f>
        <v>@cocalm69</v>
      </c>
      <c r="C4715" t="s">
        <v>2119</v>
      </c>
      <c r="D4715">
        <v>479</v>
      </c>
      <c r="E4715">
        <v>0</v>
      </c>
      <c r="F4715">
        <v>56</v>
      </c>
    </row>
    <row r="4716" spans="1:6" ht="12.75">
      <c r="A4716" s="2">
        <v>43883.451539351852</v>
      </c>
      <c r="B4716" t="str">
        <f>HYPERLINK("https://twitter.com/Ahmad_munyier","@Ahmad_munyier")</f>
        <v>@Ahmad_munyier</v>
      </c>
      <c r="C4716" t="s">
        <v>3090</v>
      </c>
      <c r="D4716">
        <v>61</v>
      </c>
      <c r="E4716">
        <v>0</v>
      </c>
      <c r="F4716">
        <v>442</v>
      </c>
    </row>
    <row r="4717" spans="1:6" ht="12.75">
      <c r="A4717" s="2">
        <v>43883.451192129629</v>
      </c>
      <c r="B4717" t="str">
        <f>HYPERLINK("https://twitter.com/kontarOP","@kontarOP")</f>
        <v>@kontarOP</v>
      </c>
      <c r="C4717" t="s">
        <v>3829</v>
      </c>
      <c r="D4717">
        <v>0</v>
      </c>
      <c r="E4717">
        <v>0</v>
      </c>
      <c r="F4717">
        <v>2154</v>
      </c>
    </row>
    <row r="4718" spans="1:6" ht="12.75">
      <c r="A4718" s="2">
        <v>43883.45012731482</v>
      </c>
      <c r="B4718" t="str">
        <f>HYPERLINK("https://twitter.com/katatodaycom","@katatodaycom")</f>
        <v>@katatodaycom</v>
      </c>
      <c r="C4718" t="s">
        <v>3830</v>
      </c>
      <c r="D4718">
        <v>0</v>
      </c>
      <c r="E4718">
        <v>0</v>
      </c>
      <c r="F4718">
        <v>1021</v>
      </c>
    </row>
    <row r="4719" spans="1:6" ht="12.75">
      <c r="A4719" s="2">
        <v>43883.449988425928</v>
      </c>
      <c r="B4719" t="str">
        <f>HYPERLINK("https://twitter.com/PupungSuminar","@PupungSuminar")</f>
        <v>@PupungSuminar</v>
      </c>
      <c r="C4719" t="s">
        <v>2119</v>
      </c>
      <c r="D4719">
        <v>479</v>
      </c>
      <c r="E4719">
        <v>0</v>
      </c>
      <c r="F4719">
        <v>276</v>
      </c>
    </row>
    <row r="4720" spans="1:6" ht="12.75">
      <c r="A4720" s="2">
        <v>43883.449930555551</v>
      </c>
      <c r="B4720" t="str">
        <f>HYPERLINK("https://twitter.com/ArdinalRais","@ArdinalRais")</f>
        <v>@ArdinalRais</v>
      </c>
      <c r="C4720" t="s">
        <v>3831</v>
      </c>
      <c r="D4720">
        <v>0</v>
      </c>
      <c r="E4720">
        <v>0</v>
      </c>
      <c r="F4720">
        <v>286</v>
      </c>
    </row>
    <row r="4721" spans="1:6" ht="12.75">
      <c r="A4721" s="2">
        <v>43883.449178240742</v>
      </c>
      <c r="B4721" t="str">
        <f>HYPERLINK("https://twitter.com/MancingSpot","@MancingSpot")</f>
        <v>@MancingSpot</v>
      </c>
      <c r="C4721" t="s">
        <v>2119</v>
      </c>
      <c r="D4721">
        <v>479</v>
      </c>
      <c r="E4721">
        <v>0</v>
      </c>
      <c r="F4721">
        <v>2</v>
      </c>
    </row>
    <row r="4722" spans="1:6" ht="12.75">
      <c r="A4722" s="2">
        <v>43883.449074074073</v>
      </c>
      <c r="B4722" t="str">
        <f>HYPERLINK("https://twitter.com/punyapiza","@punyapiza")</f>
        <v>@punyapiza</v>
      </c>
      <c r="C4722" t="s">
        <v>3202</v>
      </c>
      <c r="D4722">
        <v>4</v>
      </c>
      <c r="E4722">
        <v>0</v>
      </c>
      <c r="F4722">
        <v>211</v>
      </c>
    </row>
    <row r="4723" spans="1:6" ht="12.75">
      <c r="A4723" s="2">
        <v>43883.448993055557</v>
      </c>
      <c r="B4723" t="str">
        <f>HYPERLINK("https://twitter.com/Beritasatu","@Beritasatu")</f>
        <v>@Beritasatu</v>
      </c>
      <c r="C4723" t="s">
        <v>3832</v>
      </c>
      <c r="D4723">
        <v>0</v>
      </c>
      <c r="E4723">
        <v>1</v>
      </c>
      <c r="F4723">
        <v>615272</v>
      </c>
    </row>
    <row r="4724" spans="1:6" ht="12.75">
      <c r="A4724" s="2">
        <v>43883.44840277778</v>
      </c>
      <c r="B4724" t="str">
        <f>HYPERLINK("https://twitter.com/FreedySamuel","@FreedySamuel")</f>
        <v>@FreedySamuel</v>
      </c>
      <c r="C4724" t="s">
        <v>3833</v>
      </c>
      <c r="D4724">
        <v>5</v>
      </c>
      <c r="E4724">
        <v>0</v>
      </c>
      <c r="F4724">
        <v>165</v>
      </c>
    </row>
    <row r="4725" spans="1:6" ht="12.75">
      <c r="A4725" s="2">
        <v>43883.448240740741</v>
      </c>
      <c r="B4725" t="str">
        <f>HYPERLINK("https://twitter.com/ada_dede","@ada_dede")</f>
        <v>@ada_dede</v>
      </c>
      <c r="C4725" t="s">
        <v>3833</v>
      </c>
      <c r="D4725">
        <v>5</v>
      </c>
      <c r="E4725">
        <v>0</v>
      </c>
      <c r="F4725">
        <v>415</v>
      </c>
    </row>
    <row r="4726" spans="1:6" ht="12.75">
      <c r="A4726" s="2">
        <v>43883.448229166665</v>
      </c>
      <c r="B4726" t="str">
        <f>HYPERLINK("https://twitter.com/EndahPTyas","@EndahPTyas")</f>
        <v>@EndahPTyas</v>
      </c>
      <c r="C4726" t="s">
        <v>2087</v>
      </c>
      <c r="D4726">
        <v>42</v>
      </c>
      <c r="E4726">
        <v>0</v>
      </c>
      <c r="F4726">
        <v>181</v>
      </c>
    </row>
    <row r="4727" spans="1:6" ht="12.75">
      <c r="A4727" s="2">
        <v>43883.447719907403</v>
      </c>
      <c r="B4727" t="str">
        <f>HYPERLINK("https://twitter.com/dithaasha","@dithaasha")</f>
        <v>@dithaasha</v>
      </c>
      <c r="C4727" t="s">
        <v>3833</v>
      </c>
      <c r="D4727">
        <v>5</v>
      </c>
      <c r="E4727">
        <v>0</v>
      </c>
      <c r="F4727">
        <v>570</v>
      </c>
    </row>
    <row r="4728" spans="1:6" ht="12.75">
      <c r="A4728" s="2">
        <v>43883.446898148148</v>
      </c>
      <c r="B4728" t="str">
        <f>HYPERLINK("https://twitter.com/kompascom","@kompascom")</f>
        <v>@kompascom</v>
      </c>
      <c r="C4728" t="s">
        <v>3821</v>
      </c>
      <c r="D4728">
        <v>5</v>
      </c>
      <c r="E4728">
        <v>10</v>
      </c>
      <c r="F4728">
        <v>7507297</v>
      </c>
    </row>
    <row r="4729" spans="1:6" ht="12.75">
      <c r="A4729" s="2">
        <v>43883.446064814816</v>
      </c>
      <c r="B4729" t="str">
        <f>HYPERLINK("https://twitter.com/matiitupasti5","@matiitupasti5")</f>
        <v>@matiitupasti5</v>
      </c>
      <c r="C4729" t="s">
        <v>3834</v>
      </c>
      <c r="D4729">
        <v>0</v>
      </c>
      <c r="E4729">
        <v>1</v>
      </c>
      <c r="F4729">
        <v>474</v>
      </c>
    </row>
    <row r="4730" spans="1:6" ht="12.75">
      <c r="A4730" s="2">
        <v>43883.444861111115</v>
      </c>
      <c r="B4730" t="str">
        <f>HYPERLINK("https://twitter.com/FSuryawijaya","@FSuryawijaya")</f>
        <v>@FSuryawijaya</v>
      </c>
      <c r="C4730" t="s">
        <v>3835</v>
      </c>
      <c r="D4730">
        <v>0</v>
      </c>
      <c r="E4730">
        <v>0</v>
      </c>
      <c r="F4730">
        <v>142</v>
      </c>
    </row>
    <row r="4731" spans="1:6" ht="12.75">
      <c r="A4731" s="2">
        <v>43883.444664351853</v>
      </c>
      <c r="B4731" t="str">
        <f>HYPERLINK("https://twitter.com/iniiaiden","@iniiaiden")</f>
        <v>@iniiaiden</v>
      </c>
      <c r="C4731" t="s">
        <v>2124</v>
      </c>
      <c r="D4731">
        <v>1742</v>
      </c>
      <c r="E4731">
        <v>0</v>
      </c>
      <c r="F4731">
        <v>190</v>
      </c>
    </row>
    <row r="4732" spans="1:6" ht="12.75">
      <c r="A4732" s="2">
        <v>43883.444606481484</v>
      </c>
      <c r="B4732" t="str">
        <f>HYPERLINK("https://twitter.com/aisyhhanani","@aisyhhanani")</f>
        <v>@aisyhhanani</v>
      </c>
      <c r="C4732" t="s">
        <v>3090</v>
      </c>
      <c r="D4732">
        <v>61</v>
      </c>
      <c r="E4732">
        <v>0</v>
      </c>
      <c r="F4732">
        <v>218</v>
      </c>
    </row>
    <row r="4733" spans="1:6" ht="12.75">
      <c r="A4733" s="2">
        <v>43883.444456018522</v>
      </c>
      <c r="B4733" t="str">
        <f>HYPERLINK("https://twitter.com/Rizkygawat","@Rizkygawat")</f>
        <v>@Rizkygawat</v>
      </c>
      <c r="C4733" t="s">
        <v>3836</v>
      </c>
      <c r="D4733">
        <v>13</v>
      </c>
      <c r="E4733">
        <v>0</v>
      </c>
      <c r="F4733">
        <v>507</v>
      </c>
    </row>
    <row r="4734" spans="1:6" ht="12.75">
      <c r="A4734" s="2">
        <v>43883.444236111114</v>
      </c>
      <c r="B4734" t="str">
        <f>HYPERLINK("https://twitter.com/BabArdhi","@BabArdhi")</f>
        <v>@BabArdhi</v>
      </c>
      <c r="C4734" t="s">
        <v>3837</v>
      </c>
      <c r="D4734">
        <v>1</v>
      </c>
      <c r="E4734">
        <v>0</v>
      </c>
      <c r="F4734">
        <v>61</v>
      </c>
    </row>
    <row r="4735" spans="1:6" ht="12.75">
      <c r="A4735" s="2">
        <v>43883.443900462968</v>
      </c>
      <c r="B4735" t="str">
        <f>HYPERLINK("https://twitter.com/LynnRahman5","@LynnRahman5")</f>
        <v>@LynnRahman5</v>
      </c>
      <c r="C4735" t="s">
        <v>2986</v>
      </c>
      <c r="D4735">
        <v>5</v>
      </c>
      <c r="E4735">
        <v>0</v>
      </c>
      <c r="F4735">
        <v>659</v>
      </c>
    </row>
    <row r="4736" spans="1:6" ht="12.75">
      <c r="A4736" s="2">
        <v>43883.443784722222</v>
      </c>
      <c r="B4736" t="str">
        <f>HYPERLINK("https://twitter.com/AlthaFabrizi","@AlthaFabrizi")</f>
        <v>@AlthaFabrizi</v>
      </c>
      <c r="C4736" t="s">
        <v>3838</v>
      </c>
      <c r="D4736">
        <v>3</v>
      </c>
      <c r="E4736">
        <v>0</v>
      </c>
      <c r="F4736">
        <v>402</v>
      </c>
    </row>
    <row r="4737" spans="1:6" ht="12.75">
      <c r="A4737" s="2">
        <v>43883.443773148145</v>
      </c>
      <c r="B4737" t="str">
        <f>HYPERLINK("https://twitter.com/ferdysuntpiet","@ferdysuntpiet")</f>
        <v>@ferdysuntpiet</v>
      </c>
      <c r="C4737" t="s">
        <v>2119</v>
      </c>
      <c r="D4737">
        <v>479</v>
      </c>
      <c r="E4737">
        <v>0</v>
      </c>
      <c r="F4737">
        <v>26</v>
      </c>
    </row>
    <row r="4738" spans="1:6" ht="12.75">
      <c r="A4738" s="2">
        <v>43883.443067129629</v>
      </c>
      <c r="B4738" t="str">
        <f>HYPERLINK("https://twitter.com/mrasysyaani11","@mrasysyaani11")</f>
        <v>@mrasysyaani11</v>
      </c>
      <c r="C4738" t="s">
        <v>3839</v>
      </c>
      <c r="D4738">
        <v>0</v>
      </c>
      <c r="E4738">
        <v>0</v>
      </c>
      <c r="F4738">
        <v>211</v>
      </c>
    </row>
    <row r="4739" spans="1:6" ht="12.75">
      <c r="A4739" s="2">
        <v>43883.442500000005</v>
      </c>
      <c r="B4739" t="str">
        <f>HYPERLINK("https://twitter.com/SukhendroPragul","@SukhendroPragul")</f>
        <v>@SukhendroPragul</v>
      </c>
      <c r="C4739" t="s">
        <v>3840</v>
      </c>
      <c r="D4739">
        <v>1</v>
      </c>
      <c r="E4739">
        <v>0</v>
      </c>
      <c r="F4739">
        <v>2011</v>
      </c>
    </row>
    <row r="4740" spans="1:6" ht="12.75">
      <c r="A4740" s="2">
        <v>43883.442384259259</v>
      </c>
      <c r="B4740" t="str">
        <f>HYPERLINK("https://twitter.com/AngelaCimaglia","@AngelaCimaglia")</f>
        <v>@AngelaCimaglia</v>
      </c>
      <c r="C4740" t="s">
        <v>3838</v>
      </c>
      <c r="D4740">
        <v>3</v>
      </c>
      <c r="E4740">
        <v>0</v>
      </c>
      <c r="F4740">
        <v>402</v>
      </c>
    </row>
    <row r="4741" spans="1:6" ht="12.75">
      <c r="A4741" s="2">
        <v>43883.442384259259</v>
      </c>
      <c r="B4741" t="str">
        <f>HYPERLINK("https://twitter.com/ArgeliaCabriale","@ArgeliaCabriale")</f>
        <v>@ArgeliaCabriale</v>
      </c>
      <c r="C4741" t="s">
        <v>3838</v>
      </c>
      <c r="D4741">
        <v>3</v>
      </c>
      <c r="E4741">
        <v>0</v>
      </c>
      <c r="F4741">
        <v>326</v>
      </c>
    </row>
    <row r="4742" spans="1:6" ht="12.75">
      <c r="A4742" s="2">
        <v>43883.442129629635</v>
      </c>
      <c r="B4742" t="str">
        <f>HYPERLINK("https://twitter.com/ghosty491","@ghosty491")</f>
        <v>@ghosty491</v>
      </c>
      <c r="C4742" t="s">
        <v>2119</v>
      </c>
      <c r="D4742">
        <v>479</v>
      </c>
      <c r="E4742">
        <v>0</v>
      </c>
      <c r="F4742">
        <v>120</v>
      </c>
    </row>
    <row r="4743" spans="1:6" ht="12.75">
      <c r="A4743" s="2">
        <v>43883.442060185189</v>
      </c>
      <c r="B4743" t="str">
        <f>HYPERLINK("https://twitter.com/AliseSession","@AliseSession")</f>
        <v>@AliseSession</v>
      </c>
      <c r="C4743" t="s">
        <v>3841</v>
      </c>
      <c r="D4743">
        <v>3</v>
      </c>
      <c r="E4743">
        <v>0</v>
      </c>
      <c r="F4743">
        <v>405</v>
      </c>
    </row>
    <row r="4744" spans="1:6" ht="12.75">
      <c r="A4744" s="2">
        <v>43883.441932870366</v>
      </c>
      <c r="B4744" t="str">
        <f>HYPERLINK("https://twitter.com/ConversationIDN","@ConversationIDN")</f>
        <v>@ConversationIDN</v>
      </c>
      <c r="C4744" t="s">
        <v>3842</v>
      </c>
      <c r="D4744">
        <v>1</v>
      </c>
      <c r="E4744">
        <v>6</v>
      </c>
      <c r="F4744">
        <v>19960</v>
      </c>
    </row>
    <row r="4745" spans="1:6" ht="12.75">
      <c r="A4745" s="2">
        <v>43883.440995370373</v>
      </c>
      <c r="B4745" t="str">
        <f>HYPERLINK("https://twitter.com/iniiaiden","@iniiaiden")</f>
        <v>@iniiaiden</v>
      </c>
      <c r="C4745" t="s">
        <v>2126</v>
      </c>
      <c r="D4745">
        <v>2815</v>
      </c>
      <c r="E4745">
        <v>0</v>
      </c>
      <c r="F4745">
        <v>190</v>
      </c>
    </row>
    <row r="4746" spans="1:6" ht="12.75">
      <c r="A4746" s="2">
        <v>43883.440706018519</v>
      </c>
      <c r="B4746" t="str">
        <f>HYPERLINK("https://twitter.com/DedySuwadha","@DedySuwadha")</f>
        <v>@DedySuwadha</v>
      </c>
      <c r="C4746" t="s">
        <v>3843</v>
      </c>
      <c r="D4746">
        <v>0</v>
      </c>
      <c r="E4746">
        <v>0</v>
      </c>
      <c r="F4746">
        <v>1875</v>
      </c>
    </row>
    <row r="4747" spans="1:6" ht="12.75">
      <c r="A4747" s="2">
        <v>43883.439780092594</v>
      </c>
      <c r="B4747" t="str">
        <f>HYPERLINK("https://twitter.com/Sarip_oyong","@Sarip_oyong")</f>
        <v>@Sarip_oyong</v>
      </c>
      <c r="C4747" t="s">
        <v>3844</v>
      </c>
      <c r="D4747">
        <v>0</v>
      </c>
      <c r="E4747">
        <v>0</v>
      </c>
      <c r="F4747">
        <v>2344</v>
      </c>
    </row>
    <row r="4748" spans="1:6" ht="12.75">
      <c r="A4748" s="2">
        <v>43883.439687499995</v>
      </c>
      <c r="B4748" t="str">
        <f>HYPERLINK("https://twitter.com/aisyhhanani","@aisyhhanani")</f>
        <v>@aisyhhanani</v>
      </c>
      <c r="C4748" t="s">
        <v>2711</v>
      </c>
      <c r="D4748">
        <v>183</v>
      </c>
      <c r="E4748">
        <v>0</v>
      </c>
      <c r="F4748">
        <v>218</v>
      </c>
    </row>
    <row r="4749" spans="1:6" ht="12.75">
      <c r="A4749" s="2">
        <v>43883.439375000002</v>
      </c>
      <c r="B4749" t="str">
        <f>HYPERLINK("https://twitter.com/errrla","@errrla")</f>
        <v>@errrla</v>
      </c>
      <c r="C4749" t="s">
        <v>3474</v>
      </c>
      <c r="D4749">
        <v>27</v>
      </c>
      <c r="E4749">
        <v>0</v>
      </c>
      <c r="F4749">
        <v>697</v>
      </c>
    </row>
    <row r="4750" spans="1:6" ht="12.75">
      <c r="A4750" s="2">
        <v>43883.43913194444</v>
      </c>
      <c r="B4750" t="str">
        <f>HYPERLINK("https://twitter.com/amirulbari","@amirulbari")</f>
        <v>@amirulbari</v>
      </c>
      <c r="C4750" t="s">
        <v>3090</v>
      </c>
      <c r="D4750">
        <v>61</v>
      </c>
      <c r="E4750">
        <v>0</v>
      </c>
      <c r="F4750">
        <v>476</v>
      </c>
    </row>
    <row r="4751" spans="1:6" ht="12.75">
      <c r="A4751" s="2">
        <v>43883.438900462963</v>
      </c>
      <c r="B4751" t="str">
        <f>HYPERLINK("https://twitter.com/enny_fadjri","@enny_fadjri")</f>
        <v>@enny_fadjri</v>
      </c>
      <c r="C4751" t="s">
        <v>3845</v>
      </c>
      <c r="D4751">
        <v>1</v>
      </c>
      <c r="E4751">
        <v>0</v>
      </c>
      <c r="F4751">
        <v>462</v>
      </c>
    </row>
    <row r="4752" spans="1:6" ht="12.75">
      <c r="A4752" s="2">
        <v>43883.438611111109</v>
      </c>
      <c r="B4752" t="str">
        <f>HYPERLINK("https://twitter.com/windideh","@windideh")</f>
        <v>@windideh</v>
      </c>
      <c r="C4752" t="s">
        <v>3090</v>
      </c>
      <c r="D4752">
        <v>61</v>
      </c>
      <c r="E4752">
        <v>0</v>
      </c>
      <c r="F4752">
        <v>15</v>
      </c>
    </row>
    <row r="4753" spans="1:6" ht="12.75">
      <c r="A4753" s="2">
        <v>43883.437986111108</v>
      </c>
      <c r="B4753" t="str">
        <f>HYPERLINK("https://twitter.com/larajeanmohd","@larajeanmohd")</f>
        <v>@larajeanmohd</v>
      </c>
      <c r="C4753" t="s">
        <v>3090</v>
      </c>
      <c r="D4753">
        <v>61</v>
      </c>
      <c r="E4753">
        <v>0</v>
      </c>
      <c r="F4753">
        <v>35</v>
      </c>
    </row>
    <row r="4754" spans="1:6" ht="12.75">
      <c r="A4754" s="2">
        <v>43883.4378587963</v>
      </c>
      <c r="B4754" t="str">
        <f>HYPERLINK("https://twitter.com/arhmsin","@arhmsin")</f>
        <v>@arhmsin</v>
      </c>
      <c r="C4754" t="s">
        <v>3846</v>
      </c>
      <c r="D4754">
        <v>0</v>
      </c>
      <c r="E4754">
        <v>1</v>
      </c>
      <c r="F4754">
        <v>51</v>
      </c>
    </row>
    <row r="4755" spans="1:6" ht="12.75">
      <c r="A4755" s="2">
        <v>43883.437407407408</v>
      </c>
      <c r="B4755" t="str">
        <f>HYPERLINK("https://twitter.com/ahmadhito","@ahmadhito")</f>
        <v>@ahmadhito</v>
      </c>
      <c r="C4755" t="s">
        <v>3847</v>
      </c>
      <c r="D4755">
        <v>1</v>
      </c>
      <c r="E4755">
        <v>0</v>
      </c>
      <c r="F4755">
        <v>1673</v>
      </c>
    </row>
    <row r="4756" spans="1:6" ht="12.75">
      <c r="A4756" s="2">
        <v>43883.437314814815</v>
      </c>
      <c r="B4756" t="str">
        <f>HYPERLINK("https://twitter.com/eff_3y","@eff_3y")</f>
        <v>@eff_3y</v>
      </c>
      <c r="C4756" t="s">
        <v>3090</v>
      </c>
      <c r="D4756">
        <v>61</v>
      </c>
      <c r="E4756">
        <v>0</v>
      </c>
      <c r="F4756">
        <v>28</v>
      </c>
    </row>
    <row r="4757" spans="1:6" ht="12.75">
      <c r="A4757" s="2">
        <v>43883.436539351853</v>
      </c>
      <c r="B4757" t="str">
        <f>HYPERLINK("https://twitter.com/CANDAdanBISNIS","@CANDAdanBISNIS")</f>
        <v>@CANDAdanBISNIS</v>
      </c>
      <c r="C4757" t="s">
        <v>3848</v>
      </c>
      <c r="D4757">
        <v>0</v>
      </c>
      <c r="E4757">
        <v>0</v>
      </c>
      <c r="F4757">
        <v>12287</v>
      </c>
    </row>
    <row r="4758" spans="1:6" ht="12.75">
      <c r="A4758" s="2">
        <v>43883.436481481476</v>
      </c>
      <c r="B4758" t="str">
        <f>HYPERLINK("https://twitter.com/tribunnews","@tribunnews")</f>
        <v>@tribunnews</v>
      </c>
      <c r="C4758" t="s">
        <v>3849</v>
      </c>
      <c r="D4758">
        <v>0</v>
      </c>
      <c r="E4758">
        <v>12</v>
      </c>
      <c r="F4758">
        <v>878515</v>
      </c>
    </row>
    <row r="4759" spans="1:6" ht="12.75">
      <c r="A4759" s="2">
        <v>43883.436319444445</v>
      </c>
      <c r="B4759" t="str">
        <f>HYPERLINK("https://twitter.com/tedybear0913","@tedybear0913")</f>
        <v>@tedybear0913</v>
      </c>
      <c r="C4759" t="s">
        <v>2711</v>
      </c>
      <c r="D4759">
        <v>183</v>
      </c>
      <c r="E4759">
        <v>0</v>
      </c>
      <c r="F4759">
        <v>158</v>
      </c>
    </row>
    <row r="4760" spans="1:6" ht="12.75">
      <c r="A4760" s="2">
        <v>43883.436238425929</v>
      </c>
      <c r="B4760" t="str">
        <f>HYPERLINK("https://twitter.com/errrla","@errrla")</f>
        <v>@errrla</v>
      </c>
      <c r="C4760" t="s">
        <v>1407</v>
      </c>
      <c r="D4760">
        <v>9739</v>
      </c>
      <c r="E4760">
        <v>0</v>
      </c>
      <c r="F4760">
        <v>697</v>
      </c>
    </row>
    <row r="4761" spans="1:6" ht="12.75">
      <c r="A4761" s="2">
        <v>43883.435810185183</v>
      </c>
      <c r="B4761" t="str">
        <f>HYPERLINK("https://twitter.com/Tisoledadmangoh","@Tisoledadmangoh")</f>
        <v>@Tisoledadmangoh</v>
      </c>
      <c r="C4761" t="s">
        <v>3850</v>
      </c>
      <c r="D4761">
        <v>0</v>
      </c>
      <c r="E4761">
        <v>0</v>
      </c>
      <c r="F4761">
        <v>23</v>
      </c>
    </row>
    <row r="4762" spans="1:6" ht="12.75">
      <c r="A4762" s="2">
        <v>43883.435601851852</v>
      </c>
      <c r="B4762" t="str">
        <f>HYPERLINK("https://twitter.com/younghotyellouw","@younghotyellouw")</f>
        <v>@younghotyellouw</v>
      </c>
      <c r="C4762" t="s">
        <v>3851</v>
      </c>
      <c r="D4762">
        <v>0</v>
      </c>
      <c r="E4762">
        <v>0</v>
      </c>
      <c r="F4762">
        <v>1109</v>
      </c>
    </row>
    <row r="4763" spans="1:6" ht="12.75">
      <c r="A4763" s="2">
        <v>43883.435439814813</v>
      </c>
      <c r="B4763" t="str">
        <f>HYPERLINK("https://twitter.com/Raschapatiii1","@Raschapatiii1")</f>
        <v>@Raschapatiii1</v>
      </c>
      <c r="C4763" t="s">
        <v>3852</v>
      </c>
      <c r="D4763">
        <v>0</v>
      </c>
      <c r="E4763">
        <v>0</v>
      </c>
      <c r="F4763">
        <v>26</v>
      </c>
    </row>
    <row r="4764" spans="1:6" ht="12.75">
      <c r="A4764" s="2">
        <v>43883.435416666667</v>
      </c>
      <c r="B4764" t="str">
        <f>HYPERLINK("https://twitter.com/oemirani","@oemirani")</f>
        <v>@oemirani</v>
      </c>
      <c r="C4764" t="s">
        <v>2373</v>
      </c>
      <c r="D4764">
        <v>286</v>
      </c>
      <c r="E4764">
        <v>0</v>
      </c>
      <c r="F4764">
        <v>777</v>
      </c>
    </row>
    <row r="4765" spans="1:6" ht="12.75">
      <c r="A4765" s="2">
        <v>43883.433553240742</v>
      </c>
      <c r="B4765" t="str">
        <f>HYPERLINK("https://twitter.com/azhar_rinie","@azhar_rinie")</f>
        <v>@azhar_rinie</v>
      </c>
      <c r="C4765" t="s">
        <v>2986</v>
      </c>
      <c r="D4765">
        <v>5</v>
      </c>
      <c r="E4765">
        <v>0</v>
      </c>
      <c r="F4765">
        <v>143</v>
      </c>
    </row>
    <row r="4766" spans="1:6" ht="12.75">
      <c r="A4766" s="2">
        <v>43883.433518518519</v>
      </c>
      <c r="B4766" t="str">
        <f>HYPERLINK("https://twitter.com/ieriyanty","@ieriyanty")</f>
        <v>@ieriyanty</v>
      </c>
      <c r="C4766" t="s">
        <v>3853</v>
      </c>
      <c r="D4766">
        <v>4</v>
      </c>
      <c r="E4766">
        <v>0</v>
      </c>
      <c r="F4766">
        <v>37</v>
      </c>
    </row>
    <row r="4767" spans="1:6" ht="12.75">
      <c r="A4767" s="2">
        <v>43883.433518518519</v>
      </c>
      <c r="B4767" t="str">
        <f>HYPERLINK("https://twitter.com/ISIS_Balik_NO","@ISIS_Balik_NO")</f>
        <v>@ISIS_Balik_NO</v>
      </c>
      <c r="C4767" t="s">
        <v>3854</v>
      </c>
      <c r="D4767">
        <v>0</v>
      </c>
      <c r="E4767">
        <v>0</v>
      </c>
      <c r="F4767">
        <v>6095</v>
      </c>
    </row>
    <row r="4768" spans="1:6" ht="12.75">
      <c r="A4768" s="2">
        <v>43883.433182870373</v>
      </c>
      <c r="B4768" t="str">
        <f>HYPERLINK("https://twitter.com/AzahroFatimah","@AzahroFatimah")</f>
        <v>@AzahroFatimah</v>
      </c>
      <c r="C4768" t="s">
        <v>513</v>
      </c>
      <c r="D4768">
        <v>23258</v>
      </c>
      <c r="E4768">
        <v>0</v>
      </c>
      <c r="F4768">
        <v>230</v>
      </c>
    </row>
    <row r="4769" spans="1:6" ht="12.75">
      <c r="A4769" s="2">
        <v>43883.432789351849</v>
      </c>
      <c r="B4769" t="str">
        <f>HYPERLINK("https://twitter.com/spiderr__matrix","@spiderr__matrix")</f>
        <v>@spiderr__matrix</v>
      </c>
      <c r="C4769" t="s">
        <v>3855</v>
      </c>
      <c r="D4769">
        <v>0</v>
      </c>
      <c r="E4769">
        <v>1</v>
      </c>
      <c r="F4769">
        <v>4858</v>
      </c>
    </row>
    <row r="4770" spans="1:6" ht="12.75">
      <c r="A4770" s="2">
        <v>43883.432453703703</v>
      </c>
      <c r="B4770" t="str">
        <f>HYPERLINK("https://twitter.com/dio_nga","@dio_nga")</f>
        <v>@dio_nga</v>
      </c>
      <c r="C4770" t="s">
        <v>3856</v>
      </c>
      <c r="D4770">
        <v>0</v>
      </c>
      <c r="E4770">
        <v>0</v>
      </c>
      <c r="F4770">
        <v>109</v>
      </c>
    </row>
    <row r="4771" spans="1:6" ht="12.75">
      <c r="A4771" s="2">
        <v>43883.43240740741</v>
      </c>
      <c r="B4771" t="str">
        <f>HYPERLINK("https://twitter.com/IKebenaran","@IKebenaran")</f>
        <v>@IKebenaran</v>
      </c>
      <c r="C4771" t="s">
        <v>3857</v>
      </c>
      <c r="D4771">
        <v>0</v>
      </c>
      <c r="E4771">
        <v>0</v>
      </c>
      <c r="F4771">
        <v>1007</v>
      </c>
    </row>
    <row r="4772" spans="1:6" ht="12.75">
      <c r="A4772" s="2">
        <v>43883.432187500002</v>
      </c>
      <c r="B4772" t="str">
        <f>HYPERLINK("https://twitter.com/ISIS_Balik_NO","@ISIS_Balik_NO")</f>
        <v>@ISIS_Balik_NO</v>
      </c>
      <c r="C4772" t="s">
        <v>3858</v>
      </c>
      <c r="D4772">
        <v>0</v>
      </c>
      <c r="E4772">
        <v>0</v>
      </c>
      <c r="F4772">
        <v>6095</v>
      </c>
    </row>
    <row r="4773" spans="1:6" ht="12.75">
      <c r="A4773" s="2">
        <v>43883.432094907403</v>
      </c>
      <c r="B4773" t="str">
        <f>HYPERLINK("https://twitter.com/andipurba23","@andipurba23")</f>
        <v>@andipurba23</v>
      </c>
      <c r="C4773" t="s">
        <v>3859</v>
      </c>
      <c r="D4773">
        <v>0</v>
      </c>
      <c r="E4773">
        <v>0</v>
      </c>
      <c r="F4773">
        <v>223</v>
      </c>
    </row>
    <row r="4774" spans="1:6" ht="12.75">
      <c r="A4774" s="2">
        <v>43883.432037037041</v>
      </c>
      <c r="B4774" t="str">
        <f>HYPERLINK("https://twitter.com/Ferry92754797","@Ferry92754797")</f>
        <v>@Ferry92754797</v>
      </c>
      <c r="C4774" t="s">
        <v>2119</v>
      </c>
      <c r="D4774">
        <v>479</v>
      </c>
      <c r="E4774">
        <v>0</v>
      </c>
      <c r="F4774">
        <v>84</v>
      </c>
    </row>
    <row r="4775" spans="1:6" ht="12.75">
      <c r="A4775" s="2">
        <v>43883.431874999995</v>
      </c>
      <c r="B4775" t="str">
        <f>HYPERLINK("https://twitter.com/AgusSup39011241","@AgusSup39011241")</f>
        <v>@AgusSup39011241</v>
      </c>
      <c r="C4775" t="s">
        <v>3860</v>
      </c>
      <c r="D4775">
        <v>1622</v>
      </c>
      <c r="E4775">
        <v>0</v>
      </c>
      <c r="F4775">
        <v>10231</v>
      </c>
    </row>
    <row r="4776" spans="1:6" ht="12.75">
      <c r="A4776" s="2">
        <v>43883.431828703702</v>
      </c>
      <c r="B4776" t="str">
        <f>HYPERLINK("https://twitter.com/SBrengoS22","@SBrengoS22")</f>
        <v>@SBrengoS22</v>
      </c>
      <c r="C4776" t="s">
        <v>3861</v>
      </c>
      <c r="D4776">
        <v>0</v>
      </c>
      <c r="E4776">
        <v>1</v>
      </c>
      <c r="F4776">
        <v>74</v>
      </c>
    </row>
    <row r="4777" spans="1:6" ht="12.75">
      <c r="A4777" s="2">
        <v>43883.431574074071</v>
      </c>
      <c r="B4777" t="str">
        <f>HYPERLINK("https://twitter.com/MOHDHAZIMMOKHTA","@MOHDHAZIMMOKHTA")</f>
        <v>@MOHDHAZIMMOKHTA</v>
      </c>
      <c r="C4777" t="s">
        <v>3333</v>
      </c>
      <c r="D4777">
        <v>4</v>
      </c>
      <c r="E4777">
        <v>0</v>
      </c>
      <c r="F4777">
        <v>549</v>
      </c>
    </row>
    <row r="4778" spans="1:6" ht="12.75">
      <c r="A4778" s="2">
        <v>43883.431087962963</v>
      </c>
      <c r="B4778" t="str">
        <f>HYPERLINK("https://twitter.com/Zamyusof2","@Zamyusof2")</f>
        <v>@Zamyusof2</v>
      </c>
      <c r="C4778" t="s">
        <v>2986</v>
      </c>
      <c r="D4778">
        <v>5</v>
      </c>
      <c r="E4778">
        <v>0</v>
      </c>
      <c r="F4778">
        <v>1167</v>
      </c>
    </row>
    <row r="4779" spans="1:6" ht="12.75">
      <c r="A4779" s="2">
        <v>43883.430613425924</v>
      </c>
      <c r="B4779" t="str">
        <f>HYPERLINK("https://twitter.com/WiendAsmara","@WiendAsmara")</f>
        <v>@WiendAsmara</v>
      </c>
      <c r="C4779" t="s">
        <v>2119</v>
      </c>
      <c r="D4779">
        <v>479</v>
      </c>
      <c r="E4779">
        <v>0</v>
      </c>
      <c r="F4779">
        <v>113</v>
      </c>
    </row>
    <row r="4780" spans="1:6" ht="12.75">
      <c r="A4780" s="2">
        <v>43883.430474537032</v>
      </c>
      <c r="B4780" t="str">
        <f>HYPERLINK("https://twitter.com/FarelmaxL","@FarelmaxL")</f>
        <v>@FarelmaxL</v>
      </c>
      <c r="C4780" t="s">
        <v>3862</v>
      </c>
      <c r="D4780">
        <v>0</v>
      </c>
      <c r="E4780">
        <v>1</v>
      </c>
      <c r="F4780">
        <v>1324</v>
      </c>
    </row>
    <row r="4781" spans="1:6" ht="12.75">
      <c r="A4781" s="2">
        <v>43883.43</v>
      </c>
      <c r="B4781" t="str">
        <f>HYPERLINK("https://twitter.com/Zaroseven1","@Zaroseven1")</f>
        <v>@Zaroseven1</v>
      </c>
      <c r="C4781" t="s">
        <v>2119</v>
      </c>
      <c r="D4781">
        <v>479</v>
      </c>
      <c r="E4781">
        <v>0</v>
      </c>
      <c r="F4781">
        <v>40</v>
      </c>
    </row>
    <row r="4782" spans="1:6" ht="12.75">
      <c r="A4782" s="2">
        <v>43883.428645833337</v>
      </c>
      <c r="B4782" t="str">
        <f>HYPERLINK("https://twitter.com/ppaliallosarira","@ppaliallosarira")</f>
        <v>@ppaliallosarira</v>
      </c>
      <c r="C4782" t="s">
        <v>3863</v>
      </c>
      <c r="D4782">
        <v>0</v>
      </c>
      <c r="E4782">
        <v>0</v>
      </c>
      <c r="F4782">
        <v>0</v>
      </c>
    </row>
    <row r="4783" spans="1:6" ht="12.75">
      <c r="A4783" s="2">
        <v>43883.428425925929</v>
      </c>
      <c r="B4783" t="str">
        <f>HYPERLINK("https://twitter.com/newscommentary1","@newscommentary1")</f>
        <v>@newscommentary1</v>
      </c>
      <c r="C4783" t="s">
        <v>3175</v>
      </c>
      <c r="D4783">
        <v>1</v>
      </c>
      <c r="E4783">
        <v>0</v>
      </c>
      <c r="F4783">
        <v>51</v>
      </c>
    </row>
    <row r="4784" spans="1:6" ht="12.75">
      <c r="A4784" s="2">
        <v>43883.428090277783</v>
      </c>
      <c r="B4784" t="str">
        <f>HYPERLINK("https://twitter.com/okezonenews","@okezonenews")</f>
        <v>@okezonenews</v>
      </c>
      <c r="C4784" t="s">
        <v>3864</v>
      </c>
      <c r="D4784">
        <v>1</v>
      </c>
      <c r="E4784">
        <v>1</v>
      </c>
      <c r="F4784">
        <v>1743259</v>
      </c>
    </row>
    <row r="4785" spans="1:6" ht="12.75">
      <c r="A4785" s="2">
        <v>43883.427766203706</v>
      </c>
      <c r="B4785" t="str">
        <f>HYPERLINK("https://twitter.com/syeddinsr20","@syeddinsr20")</f>
        <v>@syeddinsr20</v>
      </c>
      <c r="C4785" t="s">
        <v>3090</v>
      </c>
      <c r="D4785">
        <v>61</v>
      </c>
      <c r="E4785">
        <v>0</v>
      </c>
      <c r="F4785">
        <v>4028</v>
      </c>
    </row>
    <row r="4786" spans="1:6" ht="12.75">
      <c r="A4786" s="2">
        <v>43883.427731481483</v>
      </c>
      <c r="B4786" t="str">
        <f>HYPERLINK("https://twitter.com/bis0234","@bis0234")</f>
        <v>@bis0234</v>
      </c>
      <c r="C4786" t="s">
        <v>2119</v>
      </c>
      <c r="D4786">
        <v>479</v>
      </c>
      <c r="E4786">
        <v>0</v>
      </c>
      <c r="F4786">
        <v>542</v>
      </c>
    </row>
    <row r="4787" spans="1:6" ht="12.75">
      <c r="A4787" s="2">
        <v>43883.427708333329</v>
      </c>
      <c r="B4787" t="str">
        <f>HYPERLINK("https://twitter.com/wasis_515WS","@wasis_515WS")</f>
        <v>@wasis_515WS</v>
      </c>
      <c r="C4787" t="s">
        <v>3865</v>
      </c>
      <c r="D4787">
        <v>0</v>
      </c>
      <c r="E4787">
        <v>0</v>
      </c>
      <c r="F4787">
        <v>204</v>
      </c>
    </row>
    <row r="4788" spans="1:6" ht="12.75">
      <c r="A4788" s="2">
        <v>43883.427372685182</v>
      </c>
      <c r="B4788" t="str">
        <f>HYPERLINK("https://twitter.com/AgusSug85866987","@AgusSug85866987")</f>
        <v>@AgusSug85866987</v>
      </c>
      <c r="C4788" t="s">
        <v>2119</v>
      </c>
      <c r="D4788">
        <v>479</v>
      </c>
      <c r="E4788">
        <v>0</v>
      </c>
      <c r="F4788">
        <v>23</v>
      </c>
    </row>
    <row r="4789" spans="1:6" ht="12.75">
      <c r="A4789" s="2">
        <v>43883.426793981482</v>
      </c>
      <c r="B4789" t="str">
        <f>HYPERLINK("https://twitter.com/Istiqomahnur5","@Istiqomahnur5")</f>
        <v>@Istiqomahnur5</v>
      </c>
      <c r="C4789" t="s">
        <v>3419</v>
      </c>
      <c r="D4789">
        <v>4</v>
      </c>
      <c r="E4789">
        <v>0</v>
      </c>
      <c r="F4789">
        <v>211</v>
      </c>
    </row>
    <row r="4790" spans="1:6" ht="12.75">
      <c r="A4790" s="2">
        <v>43883.426504629635</v>
      </c>
      <c r="B4790" t="str">
        <f>HYPERLINK("https://twitter.com/apien_k19","@apien_k19")</f>
        <v>@apien_k19</v>
      </c>
      <c r="C4790" t="s">
        <v>3866</v>
      </c>
      <c r="D4790">
        <v>2</v>
      </c>
      <c r="E4790">
        <v>0</v>
      </c>
      <c r="F4790">
        <v>512</v>
      </c>
    </row>
    <row r="4791" spans="1:6" ht="12.75">
      <c r="A4791" s="2">
        <v>43883.426342592589</v>
      </c>
      <c r="B4791" t="str">
        <f>HYPERLINK("https://twitter.com/niningasih","@niningasih")</f>
        <v>@niningasih</v>
      </c>
      <c r="C4791" t="s">
        <v>177</v>
      </c>
      <c r="D4791">
        <v>811</v>
      </c>
      <c r="E4791">
        <v>0</v>
      </c>
      <c r="F4791">
        <v>1164</v>
      </c>
    </row>
    <row r="4792" spans="1:6" ht="12.75">
      <c r="A4792" s="2">
        <v>43883.426053240742</v>
      </c>
      <c r="B4792" t="str">
        <f>HYPERLINK("https://twitter.com/whydamnserious","@whydamnserious")</f>
        <v>@whydamnserious</v>
      </c>
      <c r="C4792" t="s">
        <v>3867</v>
      </c>
      <c r="D4792">
        <v>1</v>
      </c>
      <c r="E4792">
        <v>0</v>
      </c>
      <c r="F4792">
        <v>469</v>
      </c>
    </row>
    <row r="4793" spans="1:6" ht="12.75">
      <c r="A4793" s="2">
        <v>43883.426041666666</v>
      </c>
      <c r="B4793" t="str">
        <f>HYPERLINK("https://twitter.com/buruhmigran","@buruhmigran")</f>
        <v>@buruhmigran</v>
      </c>
      <c r="C4793" t="s">
        <v>3868</v>
      </c>
      <c r="D4793">
        <v>0</v>
      </c>
      <c r="E4793">
        <v>0</v>
      </c>
      <c r="F4793">
        <v>173</v>
      </c>
    </row>
    <row r="4794" spans="1:6" ht="12.75">
      <c r="A4794" s="2">
        <v>43883.425775462965</v>
      </c>
      <c r="B4794" t="str">
        <f>HYPERLINK("https://twitter.com/azamsuratem","@azamsuratem")</f>
        <v>@azamsuratem</v>
      </c>
      <c r="C4794" t="s">
        <v>3090</v>
      </c>
      <c r="D4794">
        <v>61</v>
      </c>
      <c r="E4794">
        <v>0</v>
      </c>
      <c r="F4794">
        <v>548</v>
      </c>
    </row>
    <row r="4795" spans="1:6" ht="12.75">
      <c r="A4795" s="2">
        <v>43883.425671296296</v>
      </c>
      <c r="B4795" t="str">
        <f>HYPERLINK("https://twitter.com/faiz_hmzh","@faiz_hmzh")</f>
        <v>@faiz_hmzh</v>
      </c>
      <c r="C4795" t="s">
        <v>3090</v>
      </c>
      <c r="D4795">
        <v>61</v>
      </c>
      <c r="E4795">
        <v>0</v>
      </c>
      <c r="F4795">
        <v>248</v>
      </c>
    </row>
    <row r="4796" spans="1:6" ht="12.75">
      <c r="A4796" s="2">
        <v>43883.425289351857</v>
      </c>
      <c r="B4796" t="str">
        <f>HYPERLINK("https://twitter.com/syasyaar_","@syasyaar_")</f>
        <v>@syasyaar_</v>
      </c>
      <c r="C4796" t="s">
        <v>2711</v>
      </c>
      <c r="D4796">
        <v>183</v>
      </c>
      <c r="E4796">
        <v>0</v>
      </c>
      <c r="F4796">
        <v>70</v>
      </c>
    </row>
    <row r="4797" spans="1:6" ht="12.75">
      <c r="A4797" s="2">
        <v>43883.424953703703</v>
      </c>
      <c r="B4797" t="str">
        <f>HYPERLINK("https://twitter.com/ThisIsAL3","@ThisIsAL3")</f>
        <v>@ThisIsAL3</v>
      </c>
      <c r="C4797" t="s">
        <v>3869</v>
      </c>
      <c r="D4797">
        <v>0</v>
      </c>
      <c r="E4797">
        <v>1</v>
      </c>
      <c r="F4797">
        <v>1</v>
      </c>
    </row>
    <row r="4798" spans="1:6" ht="12.75">
      <c r="A4798" s="2">
        <v>43883.42491898148</v>
      </c>
      <c r="B4798" t="str">
        <f>HYPERLINK("https://twitter.com/QodrunHunter99","@QodrunHunter99")</f>
        <v>@QodrunHunter99</v>
      </c>
      <c r="C4798" t="s">
        <v>3661</v>
      </c>
      <c r="D4798">
        <v>4</v>
      </c>
      <c r="E4798">
        <v>0</v>
      </c>
      <c r="F4798">
        <v>4051</v>
      </c>
    </row>
    <row r="4799" spans="1:6" ht="12.75">
      <c r="A4799" s="2">
        <v>43883.424525462964</v>
      </c>
      <c r="B4799" t="str">
        <f>HYPERLINK("https://twitter.com/susahnahanberak","@susahnahanberak")</f>
        <v>@susahnahanberak</v>
      </c>
      <c r="C4799" t="s">
        <v>3870</v>
      </c>
      <c r="D4799">
        <v>0</v>
      </c>
      <c r="E4799">
        <v>0</v>
      </c>
      <c r="F4799">
        <v>209</v>
      </c>
    </row>
    <row r="4800" spans="1:6" ht="12.75">
      <c r="A4800" s="2">
        <v>43883.424444444448</v>
      </c>
      <c r="B4800" t="str">
        <f>HYPERLINK("https://twitter.com/Mohdfaiz13","@Mohdfaiz13")</f>
        <v>@Mohdfaiz13</v>
      </c>
      <c r="C4800" t="s">
        <v>3422</v>
      </c>
      <c r="D4800">
        <v>2</v>
      </c>
      <c r="E4800">
        <v>0</v>
      </c>
      <c r="F4800">
        <v>2628</v>
      </c>
    </row>
    <row r="4801" spans="1:6" ht="12.75">
      <c r="A4801" s="2">
        <v>43883.417858796296</v>
      </c>
      <c r="B4801" t="str">
        <f>HYPERLINK("https://twitter.com/hndsanjaya","@hndsanjaya")</f>
        <v>@hndsanjaya</v>
      </c>
      <c r="C4801" t="s">
        <v>3532</v>
      </c>
      <c r="D4801">
        <v>40</v>
      </c>
      <c r="E4801">
        <v>0</v>
      </c>
      <c r="F4801">
        <v>241</v>
      </c>
    </row>
    <row r="4802" spans="1:6" ht="12.75">
      <c r="A4802" s="2">
        <v>43883.417071759264</v>
      </c>
      <c r="B4802" t="str">
        <f>HYPERLINK("https://twitter.com/marso10033621","@marso10033621")</f>
        <v>@marso10033621</v>
      </c>
      <c r="C4802" t="s">
        <v>3871</v>
      </c>
      <c r="D4802">
        <v>0</v>
      </c>
      <c r="E4802">
        <v>0</v>
      </c>
      <c r="F4802">
        <v>101</v>
      </c>
    </row>
    <row r="4803" spans="1:6" ht="12.75">
      <c r="A4803" s="2">
        <v>43883.416284722218</v>
      </c>
      <c r="B4803" t="str">
        <f>HYPERLINK("https://twitter.com/erinsiput","@erinsiput")</f>
        <v>@erinsiput</v>
      </c>
      <c r="C4803" t="s">
        <v>3872</v>
      </c>
      <c r="D4803">
        <v>0</v>
      </c>
      <c r="E4803">
        <v>0</v>
      </c>
      <c r="F4803">
        <v>518</v>
      </c>
    </row>
    <row r="4804" spans="1:6" ht="12.75">
      <c r="A4804" s="2">
        <v>43883.415000000001</v>
      </c>
      <c r="B4804" t="str">
        <f>HYPERLINK("https://twitter.com/ditachitraP","@ditachitraP")</f>
        <v>@ditachitraP</v>
      </c>
      <c r="C4804" t="s">
        <v>175</v>
      </c>
      <c r="D4804">
        <v>5394</v>
      </c>
      <c r="E4804">
        <v>0</v>
      </c>
      <c r="F4804">
        <v>187</v>
      </c>
    </row>
    <row r="4805" spans="1:6" ht="12.75">
      <c r="A4805" s="2">
        <v>43883.414363425924</v>
      </c>
      <c r="B4805" t="str">
        <f>HYPERLINK("https://twitter.com/Fm98Sonora","@Fm98Sonora")</f>
        <v>@Fm98Sonora</v>
      </c>
      <c r="C4805" t="s">
        <v>3866</v>
      </c>
      <c r="D4805">
        <v>1</v>
      </c>
      <c r="E4805">
        <v>0</v>
      </c>
      <c r="F4805">
        <v>19</v>
      </c>
    </row>
    <row r="4806" spans="1:6" ht="12.75">
      <c r="A4806" s="2">
        <v>43883.413923611108</v>
      </c>
      <c r="B4806" t="str">
        <f>HYPERLINK("https://twitter.com/jtsumo","@jtsumo")</f>
        <v>@jtsumo</v>
      </c>
      <c r="C4806" t="s">
        <v>3873</v>
      </c>
      <c r="D4806">
        <v>8</v>
      </c>
      <c r="E4806">
        <v>0</v>
      </c>
      <c r="F4806">
        <v>37</v>
      </c>
    </row>
    <row r="4807" spans="1:6" ht="12.75">
      <c r="A4807" s="2">
        <v>43883.413668981477</v>
      </c>
      <c r="B4807" t="str">
        <f>HYPERLINK("https://twitter.com/Sarip_oyong","@Sarip_oyong")</f>
        <v>@Sarip_oyong</v>
      </c>
      <c r="C4807" t="s">
        <v>3874</v>
      </c>
      <c r="D4807">
        <v>0</v>
      </c>
      <c r="E4807">
        <v>0</v>
      </c>
      <c r="F4807">
        <v>2344</v>
      </c>
    </row>
    <row r="4808" spans="1:6" ht="12.75">
      <c r="A4808" s="2">
        <v>43883.413668981477</v>
      </c>
      <c r="B4808" t="str">
        <f>HYPERLINK("https://twitter.com/YaminLawut","@YaminLawut")</f>
        <v>@YaminLawut</v>
      </c>
      <c r="C4808" t="s">
        <v>3875</v>
      </c>
      <c r="D4808">
        <v>0</v>
      </c>
      <c r="E4808">
        <v>1</v>
      </c>
      <c r="F4808">
        <v>543</v>
      </c>
    </row>
    <row r="4809" spans="1:6" ht="12.75">
      <c r="A4809" s="2">
        <v>43883.413263888884</v>
      </c>
      <c r="B4809" t="str">
        <f>HYPERLINK("https://twitter.com/anto787","@anto787")</f>
        <v>@anto787</v>
      </c>
      <c r="C4809" t="s">
        <v>2119</v>
      </c>
      <c r="D4809">
        <v>464</v>
      </c>
      <c r="E4809">
        <v>0</v>
      </c>
      <c r="F4809">
        <v>273</v>
      </c>
    </row>
    <row r="4810" spans="1:6" ht="12.75">
      <c r="A4810" s="2">
        <v>43883.413182870368</v>
      </c>
      <c r="B4810" t="str">
        <f>HYPERLINK("https://twitter.com/Mad51LLyBoY","@Mad51LLyBoY")</f>
        <v>@Mad51LLyBoY</v>
      </c>
      <c r="C4810" t="s">
        <v>3876</v>
      </c>
      <c r="D4810">
        <v>0</v>
      </c>
      <c r="E4810">
        <v>0</v>
      </c>
      <c r="F4810">
        <v>5</v>
      </c>
    </row>
    <row r="4811" spans="1:6" ht="12.75">
      <c r="A4811" s="2">
        <v>43883.413113425922</v>
      </c>
      <c r="B4811" t="str">
        <f>HYPERLINK("https://twitter.com/_whzif","@_whzif")</f>
        <v>@_whzif</v>
      </c>
      <c r="C4811" t="s">
        <v>3090</v>
      </c>
      <c r="D4811">
        <v>47</v>
      </c>
      <c r="E4811">
        <v>0</v>
      </c>
      <c r="F4811">
        <v>274</v>
      </c>
    </row>
    <row r="4812" spans="1:6" ht="12.75">
      <c r="A4812" s="2">
        <v>43883.411655092597</v>
      </c>
      <c r="B4812" t="str">
        <f>HYPERLINK("https://twitter.com/summa_isme","@summa_isme")</f>
        <v>@summa_isme</v>
      </c>
      <c r="C4812" t="s">
        <v>3877</v>
      </c>
      <c r="D4812">
        <v>0</v>
      </c>
      <c r="E4812">
        <v>0</v>
      </c>
      <c r="F4812">
        <v>1360</v>
      </c>
    </row>
    <row r="4813" spans="1:6" ht="12.75">
      <c r="A4813" s="2">
        <v>43883.410138888888</v>
      </c>
      <c r="B4813" t="str">
        <f>HYPERLINK("https://twitter.com/gunoto7","@gunoto7")</f>
        <v>@gunoto7</v>
      </c>
      <c r="C4813" t="s">
        <v>2119</v>
      </c>
      <c r="D4813">
        <v>464</v>
      </c>
      <c r="E4813">
        <v>0</v>
      </c>
      <c r="F4813">
        <v>2776</v>
      </c>
    </row>
    <row r="4814" spans="1:6" ht="12.75">
      <c r="A4814" s="2">
        <v>43883.409768518519</v>
      </c>
      <c r="B4814" t="str">
        <f>HYPERLINK("https://twitter.com/Untung52643485","@Untung52643485")</f>
        <v>@Untung52643485</v>
      </c>
      <c r="C4814" t="s">
        <v>2119</v>
      </c>
      <c r="D4814">
        <v>464</v>
      </c>
      <c r="E4814">
        <v>0</v>
      </c>
      <c r="F4814">
        <v>70</v>
      </c>
    </row>
    <row r="4815" spans="1:6" ht="12.75">
      <c r="A4815" s="2">
        <v>43883.409768518519</v>
      </c>
      <c r="B4815" t="str">
        <f>HYPERLINK("https://twitter.com/KontanNews","@KontanNews")</f>
        <v>@KontanNews</v>
      </c>
      <c r="C4815" t="s">
        <v>3878</v>
      </c>
      <c r="D4815">
        <v>1</v>
      </c>
      <c r="E4815">
        <v>0</v>
      </c>
      <c r="F4815">
        <v>316959</v>
      </c>
    </row>
    <row r="4816" spans="1:6" ht="12.75">
      <c r="A4816" s="2">
        <v>43883.409756944442</v>
      </c>
      <c r="B4816" t="str">
        <f>HYPERLINK("https://twitter.com/ami_elkamil","@ami_elkamil")</f>
        <v>@ami_elkamil</v>
      </c>
      <c r="C4816" t="s">
        <v>3879</v>
      </c>
      <c r="D4816">
        <v>0</v>
      </c>
      <c r="E4816">
        <v>0</v>
      </c>
      <c r="F4816">
        <v>20</v>
      </c>
    </row>
    <row r="4817" spans="1:6" ht="12.75">
      <c r="A4817" s="2">
        <v>43883.408865740741</v>
      </c>
      <c r="B4817" t="str">
        <f>HYPERLINK("https://twitter.com/Sir__md","@Sir__md")</f>
        <v>@Sir__md</v>
      </c>
      <c r="C4817" t="s">
        <v>3880</v>
      </c>
      <c r="D4817">
        <v>0</v>
      </c>
      <c r="E4817">
        <v>0</v>
      </c>
      <c r="F4817">
        <v>22749</v>
      </c>
    </row>
    <row r="4818" spans="1:6" ht="12.75">
      <c r="A4818" s="2">
        <v>43883.407523148147</v>
      </c>
      <c r="B4818" t="str">
        <f>HYPERLINK("https://twitter.com/Andreas_AdyM","@Andreas_AdyM")</f>
        <v>@Andreas_AdyM</v>
      </c>
      <c r="C4818" t="s">
        <v>3881</v>
      </c>
      <c r="D4818">
        <v>1</v>
      </c>
      <c r="E4818">
        <v>0</v>
      </c>
      <c r="F4818">
        <v>1517</v>
      </c>
    </row>
    <row r="4819" spans="1:6" ht="12.75">
      <c r="A4819" s="2">
        <v>43883.407511574071</v>
      </c>
      <c r="B4819" t="str">
        <f>HYPERLINK("https://twitter.com/AniesSubianto","@AniesSubianto")</f>
        <v>@AniesSubianto</v>
      </c>
      <c r="C4819" t="s">
        <v>3882</v>
      </c>
      <c r="D4819">
        <v>0</v>
      </c>
      <c r="E4819">
        <v>0</v>
      </c>
      <c r="F4819">
        <v>280</v>
      </c>
    </row>
    <row r="4820" spans="1:6" ht="12.75">
      <c r="A4820" s="2">
        <v>43883.406365740739</v>
      </c>
      <c r="B4820" t="str">
        <f>HYPERLINK("https://twitter.com/Lyeahh","@Lyeahh")</f>
        <v>@Lyeahh</v>
      </c>
      <c r="C4820" t="s">
        <v>3090</v>
      </c>
      <c r="D4820">
        <v>47</v>
      </c>
      <c r="E4820">
        <v>0</v>
      </c>
      <c r="F4820">
        <v>288</v>
      </c>
    </row>
    <row r="4821" spans="1:6" ht="12.75">
      <c r="A4821" s="2">
        <v>43883.404560185183</v>
      </c>
      <c r="B4821" t="str">
        <f>HYPERLINK("https://twitter.com/Mohdfaiz13","@Mohdfaiz13")</f>
        <v>@Mohdfaiz13</v>
      </c>
      <c r="C4821" t="s">
        <v>3883</v>
      </c>
      <c r="D4821">
        <v>6</v>
      </c>
      <c r="E4821">
        <v>0</v>
      </c>
      <c r="F4821">
        <v>2628</v>
      </c>
    </row>
    <row r="4822" spans="1:6" ht="12.75">
      <c r="A4822" s="2">
        <v>43883.404166666667</v>
      </c>
      <c r="B4822" t="str">
        <f>HYPERLINK("https://twitter.com/AniesSubianto","@AniesSubianto")</f>
        <v>@AniesSubianto</v>
      </c>
      <c r="C4822" t="s">
        <v>3884</v>
      </c>
      <c r="D4822">
        <v>0</v>
      </c>
      <c r="E4822">
        <v>0</v>
      </c>
      <c r="F4822">
        <v>280</v>
      </c>
    </row>
    <row r="4823" spans="1:6" ht="12.75">
      <c r="A4823" s="2">
        <v>43883.403715277775</v>
      </c>
      <c r="B4823" t="str">
        <f>HYPERLINK("https://twitter.com/Denny50457565","@Denny50457565")</f>
        <v>@Denny50457565</v>
      </c>
      <c r="C4823" t="s">
        <v>3885</v>
      </c>
      <c r="D4823">
        <v>0</v>
      </c>
      <c r="E4823">
        <v>0</v>
      </c>
      <c r="F4823">
        <v>2</v>
      </c>
    </row>
    <row r="4824" spans="1:6" ht="12.75">
      <c r="A4824" s="2">
        <v>43883.40351851852</v>
      </c>
      <c r="B4824" t="str">
        <f>HYPERLINK("https://twitter.com/madinnnnnn","@madinnnnnn")</f>
        <v>@madinnnnnn</v>
      </c>
      <c r="C4824" t="s">
        <v>2711</v>
      </c>
      <c r="D4824">
        <v>179</v>
      </c>
      <c r="E4824">
        <v>0</v>
      </c>
      <c r="F4824">
        <v>597</v>
      </c>
    </row>
    <row r="4825" spans="1:6" ht="12.75">
      <c r="A4825" s="2">
        <v>43883.403506944444</v>
      </c>
      <c r="B4825" t="str">
        <f>HYPERLINK("https://twitter.com/pamungkashusein","@pamungkashusein")</f>
        <v>@pamungkashusein</v>
      </c>
      <c r="C4825" t="s">
        <v>3886</v>
      </c>
      <c r="D4825">
        <v>0</v>
      </c>
      <c r="E4825">
        <v>0</v>
      </c>
      <c r="F4825">
        <v>98</v>
      </c>
    </row>
    <row r="4826" spans="1:6" ht="12.75">
      <c r="A4826" s="2">
        <v>43883.403171296297</v>
      </c>
      <c r="B4826" t="str">
        <f>HYPERLINK("https://twitter.com/rohibur_rizqi","@rohibur_rizqi")</f>
        <v>@rohibur_rizqi</v>
      </c>
      <c r="C4826" t="s">
        <v>3887</v>
      </c>
      <c r="D4826">
        <v>0</v>
      </c>
      <c r="E4826">
        <v>0</v>
      </c>
      <c r="F4826">
        <v>568</v>
      </c>
    </row>
    <row r="4827" spans="1:6" ht="12.75">
      <c r="A4827" s="2">
        <v>43883.403067129635</v>
      </c>
      <c r="B4827" t="str">
        <f>HYPERLINK("https://twitter.com/amirulnuriman","@amirulnuriman")</f>
        <v>@amirulnuriman</v>
      </c>
      <c r="C4827" t="s">
        <v>3090</v>
      </c>
      <c r="D4827">
        <v>47</v>
      </c>
      <c r="E4827">
        <v>0</v>
      </c>
      <c r="F4827">
        <v>705</v>
      </c>
    </row>
    <row r="4828" spans="1:6" ht="12.75">
      <c r="A4828" s="2">
        <v>43883.402997685189</v>
      </c>
      <c r="B4828" t="str">
        <f>HYPERLINK("https://twitter.com/katatodaycom","@katatodaycom")</f>
        <v>@katatodaycom</v>
      </c>
      <c r="C4828" t="s">
        <v>3888</v>
      </c>
      <c r="D4828">
        <v>0</v>
      </c>
      <c r="E4828">
        <v>0</v>
      </c>
      <c r="F4828">
        <v>1022</v>
      </c>
    </row>
    <row r="4829" spans="1:6" ht="12.75">
      <c r="A4829" s="2">
        <v>43883.401782407411</v>
      </c>
      <c r="B4829" t="str">
        <f>HYPERLINK("https://twitter.com/Alrumy5","@Alrumy5")</f>
        <v>@Alrumy5</v>
      </c>
      <c r="C4829" t="s">
        <v>2801</v>
      </c>
      <c r="D4829">
        <v>3</v>
      </c>
      <c r="E4829">
        <v>0</v>
      </c>
      <c r="F4829">
        <v>181</v>
      </c>
    </row>
    <row r="4830" spans="1:6" ht="12.75">
      <c r="A4830" s="2">
        <v>43883.400763888887</v>
      </c>
      <c r="B4830" t="str">
        <f>HYPERLINK("https://twitter.com/AimanAirin2","@AimanAirin2")</f>
        <v>@AimanAirin2</v>
      </c>
      <c r="C4830" t="s">
        <v>2986</v>
      </c>
      <c r="D4830">
        <v>2</v>
      </c>
      <c r="E4830">
        <v>0</v>
      </c>
      <c r="F4830">
        <v>2137</v>
      </c>
    </row>
    <row r="4831" spans="1:6" ht="12.75">
      <c r="A4831" s="2">
        <v>43883.400509259256</v>
      </c>
      <c r="B4831" t="str">
        <f>HYPERLINK("https://twitter.com/Riodavy","@Riodavy")</f>
        <v>@Riodavy</v>
      </c>
      <c r="C4831" t="s">
        <v>2119</v>
      </c>
      <c r="D4831">
        <v>464</v>
      </c>
      <c r="E4831">
        <v>0</v>
      </c>
      <c r="F4831">
        <v>174</v>
      </c>
    </row>
    <row r="4832" spans="1:6" ht="12.75">
      <c r="A4832" s="2">
        <v>43883.40011574074</v>
      </c>
      <c r="B4832" t="str">
        <f>HYPERLINK("https://twitter.com/zoelle_xoxo","@zoelle_xoxo")</f>
        <v>@zoelle_xoxo</v>
      </c>
      <c r="C4832" t="s">
        <v>3090</v>
      </c>
      <c r="D4832">
        <v>47</v>
      </c>
      <c r="E4832">
        <v>0</v>
      </c>
      <c r="F4832">
        <v>2051</v>
      </c>
    </row>
    <row r="4833" spans="1:6" ht="12.75">
      <c r="A4833" s="2">
        <v>43883.399976851855</v>
      </c>
      <c r="B4833" t="str">
        <f>HYPERLINK("https://twitter.com/Matan95036284","@Matan95036284")</f>
        <v>@Matan95036284</v>
      </c>
      <c r="C4833" t="s">
        <v>3889</v>
      </c>
      <c r="D4833">
        <v>0</v>
      </c>
      <c r="E4833">
        <v>0</v>
      </c>
      <c r="F4833">
        <v>1</v>
      </c>
    </row>
    <row r="4834" spans="1:6" ht="12.75">
      <c r="A4834" s="2">
        <v>43883.399386574078</v>
      </c>
      <c r="B4834" t="str">
        <f>HYPERLINK("https://twitter.com/about2sleep","@about2sleep")</f>
        <v>@about2sleep</v>
      </c>
      <c r="C4834" t="s">
        <v>3890</v>
      </c>
      <c r="D4834">
        <v>0</v>
      </c>
      <c r="E4834">
        <v>0</v>
      </c>
      <c r="F4834">
        <v>264</v>
      </c>
    </row>
    <row r="4835" spans="1:6" ht="12.75">
      <c r="A4835" s="2">
        <v>43883.398969907408</v>
      </c>
      <c r="B4835" t="str">
        <f>HYPERLINK("https://twitter.com/AJudakusumah","@AJudakusumah")</f>
        <v>@AJudakusumah</v>
      </c>
      <c r="C4835" t="s">
        <v>2119</v>
      </c>
      <c r="D4835">
        <v>464</v>
      </c>
      <c r="E4835">
        <v>0</v>
      </c>
      <c r="F4835">
        <v>3223</v>
      </c>
    </row>
    <row r="4836" spans="1:6" ht="12.75">
      <c r="A4836" s="2">
        <v>43883.398587962962</v>
      </c>
      <c r="B4836" t="str">
        <f>HYPERLINK("https://twitter.com/matrixtvgmn","@matrixtvgmn")</f>
        <v>@matrixtvgmn</v>
      </c>
      <c r="C4836" t="s">
        <v>3891</v>
      </c>
      <c r="D4836">
        <v>0</v>
      </c>
      <c r="E4836">
        <v>0</v>
      </c>
      <c r="F4836">
        <v>254</v>
      </c>
    </row>
    <row r="4837" spans="1:6" ht="12.75">
      <c r="A4837" s="2">
        <v>43883.398379629631</v>
      </c>
      <c r="B4837" t="str">
        <f>HYPERLINK("https://twitter.com/dodi_ahmad07","@dodi_ahmad07")</f>
        <v>@dodi_ahmad07</v>
      </c>
      <c r="C4837" t="s">
        <v>3419</v>
      </c>
      <c r="D4837">
        <v>2</v>
      </c>
      <c r="E4837">
        <v>0</v>
      </c>
      <c r="F4837">
        <v>619</v>
      </c>
    </row>
    <row r="4838" spans="1:6" ht="12.75">
      <c r="A4838" s="2">
        <v>43883.398321759261</v>
      </c>
      <c r="B4838" t="str">
        <f>HYPERLINK("https://twitter.com/Winarto31406922","@Winarto31406922")</f>
        <v>@Winarto31406922</v>
      </c>
      <c r="C4838" t="s">
        <v>3892</v>
      </c>
      <c r="D4838">
        <v>0</v>
      </c>
      <c r="E4838">
        <v>0</v>
      </c>
      <c r="F4838">
        <v>0</v>
      </c>
    </row>
    <row r="4839" spans="1:6" ht="12.75">
      <c r="A4839" s="2">
        <v>43883.398298611108</v>
      </c>
      <c r="B4839" t="str">
        <f>HYPERLINK("https://twitter.com/zizak_63","@zizak_63")</f>
        <v>@zizak_63</v>
      </c>
      <c r="C4839" t="s">
        <v>3893</v>
      </c>
      <c r="D4839">
        <v>0</v>
      </c>
      <c r="E4839">
        <v>0</v>
      </c>
      <c r="F4839">
        <v>435</v>
      </c>
    </row>
    <row r="4840" spans="1:6" ht="12.75">
      <c r="A4840" s="2">
        <v>43883.397743055553</v>
      </c>
      <c r="B4840" t="str">
        <f>HYPERLINK("https://twitter.com/ChrisTetty","@ChrisTetty")</f>
        <v>@ChrisTetty</v>
      </c>
      <c r="C4840" t="s">
        <v>3894</v>
      </c>
      <c r="D4840">
        <v>3</v>
      </c>
      <c r="E4840">
        <v>0</v>
      </c>
      <c r="F4840">
        <v>134</v>
      </c>
    </row>
    <row r="4841" spans="1:6" ht="12.75">
      <c r="A4841" s="2">
        <v>43883.397418981476</v>
      </c>
      <c r="B4841" t="str">
        <f>HYPERLINK("https://twitter.com/BillTemporo","@BillTemporo")</f>
        <v>@BillTemporo</v>
      </c>
      <c r="C4841" t="s">
        <v>2092</v>
      </c>
      <c r="D4841">
        <v>0</v>
      </c>
      <c r="E4841">
        <v>0</v>
      </c>
      <c r="F4841">
        <v>11</v>
      </c>
    </row>
    <row r="4842" spans="1:6" ht="12.75">
      <c r="A4842" s="2">
        <v>43883.397199074076</v>
      </c>
      <c r="B4842" t="str">
        <f>HYPERLINK("https://twitter.com/Berthagoe","@Berthagoe")</f>
        <v>@Berthagoe</v>
      </c>
      <c r="C4842" t="s">
        <v>3894</v>
      </c>
      <c r="D4842">
        <v>3</v>
      </c>
      <c r="E4842">
        <v>0</v>
      </c>
      <c r="F4842">
        <v>31</v>
      </c>
    </row>
    <row r="4843" spans="1:6" ht="12.75">
      <c r="A4843" s="2">
        <v>43883.397094907406</v>
      </c>
      <c r="B4843" t="str">
        <f>HYPERLINK("https://twitter.com/irfaniskandar_z","@irfaniskandar_z")</f>
        <v>@irfaniskandar_z</v>
      </c>
      <c r="C4843" t="s">
        <v>3090</v>
      </c>
      <c r="D4843">
        <v>47</v>
      </c>
      <c r="E4843">
        <v>0</v>
      </c>
      <c r="F4843">
        <v>55</v>
      </c>
    </row>
    <row r="4844" spans="1:6" ht="12.75">
      <c r="A4844" s="2">
        <v>43883.39671296296</v>
      </c>
      <c r="B4844" t="str">
        <f>HYPERLINK("https://twitter.com/Heri_aja","@Heri_aja")</f>
        <v>@Heri_aja</v>
      </c>
      <c r="C4844" t="s">
        <v>2119</v>
      </c>
      <c r="D4844">
        <v>464</v>
      </c>
      <c r="E4844">
        <v>0</v>
      </c>
      <c r="F4844">
        <v>1697</v>
      </c>
    </row>
    <row r="4845" spans="1:6" ht="12.75">
      <c r="A4845" s="2">
        <v>43883.396701388891</v>
      </c>
      <c r="B4845" t="str">
        <f>HYPERLINK("https://twitter.com/BatamPos","@BatamPos")</f>
        <v>@BatamPos</v>
      </c>
      <c r="C4845" t="s">
        <v>3895</v>
      </c>
      <c r="D4845">
        <v>0</v>
      </c>
      <c r="E4845">
        <v>0</v>
      </c>
      <c r="F4845">
        <v>67392</v>
      </c>
    </row>
    <row r="4846" spans="1:6" ht="12.75">
      <c r="A4846" s="2">
        <v>43883.395925925928</v>
      </c>
      <c r="B4846" t="str">
        <f>HYPERLINK("https://twitter.com/faisalramdani23","@faisalramdani23")</f>
        <v>@faisalramdani23</v>
      </c>
      <c r="C4846" t="s">
        <v>3896</v>
      </c>
      <c r="D4846">
        <v>4</v>
      </c>
      <c r="E4846">
        <v>0</v>
      </c>
      <c r="F4846">
        <v>448</v>
      </c>
    </row>
    <row r="4847" spans="1:6" ht="12.75">
      <c r="A4847" s="2">
        <v>43883.39576388889</v>
      </c>
      <c r="B4847" t="str">
        <f>HYPERLINK("https://twitter.com/nutdn","@nutdn")</f>
        <v>@nutdn</v>
      </c>
      <c r="C4847" t="s">
        <v>3897</v>
      </c>
      <c r="D4847">
        <v>0</v>
      </c>
      <c r="E4847">
        <v>0</v>
      </c>
      <c r="F4847">
        <v>724</v>
      </c>
    </row>
    <row r="4848" spans="1:6" ht="12.75">
      <c r="A4848" s="2">
        <v>43883.395636574074</v>
      </c>
      <c r="B4848" t="str">
        <f>HYPERLINK("https://twitter.com/gemaposID","@gemaposID")</f>
        <v>@gemaposID</v>
      </c>
      <c r="C4848" t="s">
        <v>3898</v>
      </c>
      <c r="D4848">
        <v>0</v>
      </c>
      <c r="E4848">
        <v>0</v>
      </c>
      <c r="F4848">
        <v>4</v>
      </c>
    </row>
    <row r="4849" spans="1:6" ht="12.75">
      <c r="A4849" s="2">
        <v>43883.395532407405</v>
      </c>
      <c r="B4849" t="str">
        <f>HYPERLINK("https://twitter.com/five_venus","@five_venus")</f>
        <v>@five_venus</v>
      </c>
      <c r="C4849" t="s">
        <v>3899</v>
      </c>
      <c r="D4849">
        <v>2</v>
      </c>
      <c r="E4849">
        <v>0</v>
      </c>
      <c r="F4849">
        <v>43</v>
      </c>
    </row>
    <row r="4850" spans="1:6" ht="12.75">
      <c r="A4850" s="2">
        <v>43883.39471064815</v>
      </c>
      <c r="B4850" t="str">
        <f>HYPERLINK("https://twitter.com/FirmanSurya15","@FirmanSurya15")</f>
        <v>@FirmanSurya15</v>
      </c>
      <c r="C4850" t="s">
        <v>2119</v>
      </c>
      <c r="D4850">
        <v>464</v>
      </c>
      <c r="E4850">
        <v>0</v>
      </c>
      <c r="F4850">
        <v>67</v>
      </c>
    </row>
    <row r="4851" spans="1:6" ht="12.75">
      <c r="A4851" s="2">
        <v>43883.392870370371</v>
      </c>
      <c r="B4851" t="str">
        <f>HYPERLINK("https://twitter.com/joshiabastian_","@joshiabastian_")</f>
        <v>@joshiabastian_</v>
      </c>
      <c r="C4851" t="s">
        <v>3896</v>
      </c>
      <c r="D4851">
        <v>4</v>
      </c>
      <c r="E4851">
        <v>0</v>
      </c>
      <c r="F4851">
        <v>425</v>
      </c>
    </row>
    <row r="4852" spans="1:6" ht="12.75">
      <c r="A4852" s="2">
        <v>43883.392847222218</v>
      </c>
      <c r="B4852" t="str">
        <f>HYPERLINK("https://twitter.com/BatikRiwa","@BatikRiwa")</f>
        <v>@BatikRiwa</v>
      </c>
      <c r="C4852" t="s">
        <v>3899</v>
      </c>
      <c r="D4852">
        <v>2</v>
      </c>
      <c r="E4852">
        <v>0</v>
      </c>
      <c r="F4852">
        <v>1254</v>
      </c>
    </row>
    <row r="4853" spans="1:6" ht="12.75">
      <c r="A4853" s="2">
        <v>43883.392824074079</v>
      </c>
      <c r="B4853" t="str">
        <f>HYPERLINK("https://twitter.com/tenovrad","@tenovrad")</f>
        <v>@tenovrad</v>
      </c>
      <c r="C4853" t="s">
        <v>3900</v>
      </c>
      <c r="D4853">
        <v>0</v>
      </c>
      <c r="E4853">
        <v>1</v>
      </c>
      <c r="F4853">
        <v>853</v>
      </c>
    </row>
    <row r="4854" spans="1:6" ht="12.75">
      <c r="A4854" s="2">
        <v>43883.391516203701</v>
      </c>
      <c r="B4854" t="str">
        <f>HYPERLINK("https://twitter.com/Susanto13895819","@Susanto13895819")</f>
        <v>@Susanto13895819</v>
      </c>
      <c r="C4854" t="s">
        <v>2119</v>
      </c>
      <c r="D4854">
        <v>464</v>
      </c>
      <c r="E4854">
        <v>0</v>
      </c>
      <c r="F4854">
        <v>393</v>
      </c>
    </row>
    <row r="4855" spans="1:6" ht="12.75">
      <c r="A4855" s="2">
        <v>43883.391388888893</v>
      </c>
      <c r="B4855" t="str">
        <f>HYPERLINK("https://twitter.com/pejahmelow","@pejahmelow")</f>
        <v>@pejahmelow</v>
      </c>
      <c r="C4855" t="s">
        <v>3090</v>
      </c>
      <c r="D4855">
        <v>47</v>
      </c>
      <c r="E4855">
        <v>0</v>
      </c>
      <c r="F4855">
        <v>302</v>
      </c>
    </row>
    <row r="4856" spans="1:6" ht="12.75">
      <c r="A4856" s="2">
        <v>43883.391377314816</v>
      </c>
      <c r="B4856" t="str">
        <f>HYPERLINK("https://twitter.com/ObaiIdon","@ObaiIdon")</f>
        <v>@ObaiIdon</v>
      </c>
      <c r="C4856" t="s">
        <v>3901</v>
      </c>
      <c r="D4856">
        <v>0</v>
      </c>
      <c r="E4856">
        <v>0</v>
      </c>
      <c r="F4856">
        <v>179</v>
      </c>
    </row>
    <row r="4857" spans="1:6" ht="12.75">
      <c r="A4857" s="2">
        <v>43883.390173611115</v>
      </c>
      <c r="B4857" t="str">
        <f>HYPERLINK("https://twitter.com/Teguh83076862","@Teguh83076862")</f>
        <v>@Teguh83076862</v>
      </c>
      <c r="C4857" t="s">
        <v>3902</v>
      </c>
      <c r="D4857">
        <v>0</v>
      </c>
      <c r="E4857">
        <v>0</v>
      </c>
      <c r="F4857">
        <v>1</v>
      </c>
    </row>
    <row r="4858" spans="1:6" ht="12.75">
      <c r="A4858" s="2">
        <v>43883.389930555553</v>
      </c>
      <c r="B4858" t="str">
        <f>HYPERLINK("https://twitter.com/JubirPresidenRI","@JubirPresidenRI")</f>
        <v>@JubirPresidenRI</v>
      </c>
      <c r="C4858" t="s">
        <v>3419</v>
      </c>
      <c r="D4858">
        <v>2</v>
      </c>
      <c r="E4858">
        <v>0</v>
      </c>
      <c r="F4858">
        <v>441</v>
      </c>
    </row>
    <row r="4859" spans="1:6" ht="12.75">
      <c r="A4859" s="2">
        <v>43883.389699074076</v>
      </c>
      <c r="B4859" t="str">
        <f>HYPERLINK("https://twitter.com/putriiik","@putriiik")</f>
        <v>@putriiik</v>
      </c>
      <c r="C4859" t="s">
        <v>3903</v>
      </c>
      <c r="D4859">
        <v>0</v>
      </c>
      <c r="E4859">
        <v>0</v>
      </c>
      <c r="F4859">
        <v>59</v>
      </c>
    </row>
    <row r="4860" spans="1:6" ht="12.75">
      <c r="A4860" s="2">
        <v>43883.389687499999</v>
      </c>
      <c r="B4860" t="str">
        <f>HYPERLINK("https://twitter.com/ryolandafit","@ryolandafit")</f>
        <v>@ryolandafit</v>
      </c>
      <c r="C4860" t="s">
        <v>3591</v>
      </c>
      <c r="D4860">
        <v>1</v>
      </c>
      <c r="E4860">
        <v>0</v>
      </c>
      <c r="F4860">
        <v>650</v>
      </c>
    </row>
    <row r="4861" spans="1:6" ht="12.75">
      <c r="A4861" s="2">
        <v>43883.389004629629</v>
      </c>
      <c r="B4861" t="str">
        <f>HYPERLINK("https://twitter.com/fadjroeL","@fadjroeL")</f>
        <v>@fadjroeL</v>
      </c>
      <c r="C4861" t="s">
        <v>3904</v>
      </c>
      <c r="D4861">
        <v>2</v>
      </c>
      <c r="E4861">
        <v>3</v>
      </c>
      <c r="F4861">
        <v>995432</v>
      </c>
    </row>
    <row r="4862" spans="1:6" ht="12.75">
      <c r="A4862" s="2">
        <v>43883.388981481483</v>
      </c>
      <c r="B4862" t="str">
        <f>HYPERLINK("https://twitter.com/nrnjfr_","@nrnjfr_")</f>
        <v>@nrnjfr_</v>
      </c>
      <c r="C4862" t="s">
        <v>2711</v>
      </c>
      <c r="D4862">
        <v>179</v>
      </c>
      <c r="E4862">
        <v>0</v>
      </c>
      <c r="F4862">
        <v>906</v>
      </c>
    </row>
    <row r="4863" spans="1:6" ht="12.75">
      <c r="A4863" s="2">
        <v>43883.388611111106</v>
      </c>
      <c r="B4863" t="str">
        <f>HYPERLINK("https://twitter.com/masayaharuhi","@masayaharuhi")</f>
        <v>@masayaharuhi</v>
      </c>
      <c r="C4863" t="s">
        <v>3905</v>
      </c>
      <c r="D4863">
        <v>0</v>
      </c>
      <c r="E4863">
        <v>1</v>
      </c>
      <c r="F4863">
        <v>992</v>
      </c>
    </row>
    <row r="4864" spans="1:6" ht="12.75">
      <c r="A4864" s="2">
        <v>43883.388587962967</v>
      </c>
      <c r="B4864" t="str">
        <f>HYPERLINK("https://twitter.com/JevryKenthir","@JevryKenthir")</f>
        <v>@JevryKenthir</v>
      </c>
      <c r="C4864" t="s">
        <v>2119</v>
      </c>
      <c r="D4864">
        <v>464</v>
      </c>
      <c r="E4864">
        <v>0</v>
      </c>
      <c r="F4864">
        <v>236</v>
      </c>
    </row>
    <row r="4865" spans="1:6" ht="12.75">
      <c r="A4865" s="2">
        <v>43883.388078703705</v>
      </c>
      <c r="B4865" t="str">
        <f>HYPERLINK("https://twitter.com/SCTV","@SCTV")</f>
        <v>@SCTV</v>
      </c>
      <c r="C4865" t="s">
        <v>3906</v>
      </c>
      <c r="D4865">
        <v>1</v>
      </c>
      <c r="E4865">
        <v>3</v>
      </c>
      <c r="F4865">
        <v>4479469</v>
      </c>
    </row>
    <row r="4866" spans="1:6" ht="12.75">
      <c r="A4866" s="2">
        <v>43883.388032407413</v>
      </c>
      <c r="B4866" t="str">
        <f>HYPERLINK("https://twitter.com/buruhmigran","@buruhmigran")</f>
        <v>@buruhmigran</v>
      </c>
      <c r="C4866" t="s">
        <v>3907</v>
      </c>
      <c r="D4866">
        <v>0</v>
      </c>
      <c r="E4866">
        <v>0</v>
      </c>
      <c r="F4866">
        <v>173</v>
      </c>
    </row>
    <row r="4867" spans="1:6" ht="12.75">
      <c r="A4867" s="2">
        <v>43883.387615740736</v>
      </c>
      <c r="B4867" t="str">
        <f>HYPERLINK("https://twitter.com/sepakbola24","@sepakbola24")</f>
        <v>@sepakbola24</v>
      </c>
      <c r="C4867" t="s">
        <v>3908</v>
      </c>
      <c r="D4867">
        <v>0</v>
      </c>
      <c r="E4867">
        <v>0</v>
      </c>
      <c r="F4867">
        <v>142</v>
      </c>
    </row>
    <row r="4868" spans="1:6" ht="12.75">
      <c r="A4868" s="2">
        <v>43883.387465277774</v>
      </c>
      <c r="B4868" t="str">
        <f>HYPERLINK("https://twitter.com/parlinsitumor10","@parlinsitumor10")</f>
        <v>@parlinsitumor10</v>
      </c>
      <c r="C4868" t="s">
        <v>2119</v>
      </c>
      <c r="D4868">
        <v>464</v>
      </c>
      <c r="E4868">
        <v>0</v>
      </c>
      <c r="F4868">
        <v>70</v>
      </c>
    </row>
    <row r="4869" spans="1:6" ht="12.75">
      <c r="A4869" s="2">
        <v>43883.387442129635</v>
      </c>
      <c r="B4869" t="str">
        <f>HYPERLINK("https://twitter.com/ISIS_Balik_NO","@ISIS_Balik_NO")</f>
        <v>@ISIS_Balik_NO</v>
      </c>
      <c r="C4869" t="s">
        <v>3909</v>
      </c>
      <c r="D4869">
        <v>0</v>
      </c>
      <c r="E4869">
        <v>0</v>
      </c>
      <c r="F4869">
        <v>6095</v>
      </c>
    </row>
    <row r="4870" spans="1:6" ht="12.75">
      <c r="A4870" s="2">
        <v>43883.386284722219</v>
      </c>
      <c r="B4870" t="str">
        <f>HYPERLINK("https://twitter.com/AnaResti5","@AnaResti5")</f>
        <v>@AnaResti5</v>
      </c>
      <c r="C4870" t="s">
        <v>3910</v>
      </c>
      <c r="D4870">
        <v>0</v>
      </c>
      <c r="E4870">
        <v>0</v>
      </c>
      <c r="F4870">
        <v>10</v>
      </c>
    </row>
    <row r="4871" spans="1:6" ht="12.75">
      <c r="A4871" s="2">
        <v>43883.385682870372</v>
      </c>
      <c r="B4871" t="str">
        <f>HYPERLINK("https://twitter.com/canzone","@canzone")</f>
        <v>@canzone</v>
      </c>
      <c r="C4871" t="s">
        <v>3911</v>
      </c>
      <c r="D4871">
        <v>0</v>
      </c>
      <c r="E4871">
        <v>0</v>
      </c>
      <c r="F4871">
        <v>36206</v>
      </c>
    </row>
    <row r="4872" spans="1:6" ht="12.75">
      <c r="A4872" s="2">
        <v>43883.385405092587</v>
      </c>
      <c r="B4872" t="str">
        <f>HYPERLINK("https://twitter.com/AnaResti5","@AnaResti5")</f>
        <v>@AnaResti5</v>
      </c>
      <c r="C4872" t="s">
        <v>3912</v>
      </c>
      <c r="D4872">
        <v>0</v>
      </c>
      <c r="E4872">
        <v>0</v>
      </c>
      <c r="F4872">
        <v>10</v>
      </c>
    </row>
    <row r="4873" spans="1:6" ht="12.75">
      <c r="A4873" s="2">
        <v>43883.384652777779</v>
      </c>
      <c r="B4873" t="str">
        <f>HYPERLINK("https://twitter.com/ManPin","@ManPin")</f>
        <v>@ManPin</v>
      </c>
      <c r="C4873" t="s">
        <v>3913</v>
      </c>
      <c r="D4873">
        <v>2</v>
      </c>
      <c r="E4873">
        <v>8</v>
      </c>
      <c r="F4873">
        <v>2992</v>
      </c>
    </row>
    <row r="4874" spans="1:6" ht="12.75">
      <c r="A4874" s="2">
        <v>43883.384548611109</v>
      </c>
      <c r="B4874" t="str">
        <f>HYPERLINK("https://twitter.com/annisanoviyanty","@annisanoviyanty")</f>
        <v>@annisanoviyanty</v>
      </c>
      <c r="C4874" t="s">
        <v>2087</v>
      </c>
      <c r="D4874">
        <v>40</v>
      </c>
      <c r="E4874">
        <v>0</v>
      </c>
      <c r="F4874">
        <v>386</v>
      </c>
    </row>
    <row r="4875" spans="1:6" ht="12.75">
      <c r="A4875" s="2">
        <v>43883.384456018517</v>
      </c>
      <c r="B4875" t="str">
        <f>HYPERLINK("https://twitter.com/AnaResti5","@AnaResti5")</f>
        <v>@AnaResti5</v>
      </c>
      <c r="C4875" t="s">
        <v>3019</v>
      </c>
      <c r="D4875">
        <v>0</v>
      </c>
      <c r="E4875">
        <v>0</v>
      </c>
      <c r="F4875">
        <v>10</v>
      </c>
    </row>
    <row r="4876" spans="1:6" ht="12.75">
      <c r="A4876" s="2">
        <v>43883.38344907407</v>
      </c>
      <c r="B4876" t="str">
        <f>HYPERLINK("https://twitter.com/XWANCT","@XWANCT")</f>
        <v>@XWANCT</v>
      </c>
      <c r="C4876" t="s">
        <v>3202</v>
      </c>
      <c r="D4876">
        <v>2</v>
      </c>
      <c r="E4876">
        <v>0</v>
      </c>
      <c r="F4876">
        <v>849</v>
      </c>
    </row>
    <row r="4877" spans="1:6" ht="12.75">
      <c r="A4877" s="2">
        <v>43883.383206018523</v>
      </c>
      <c r="B4877" t="str">
        <f>HYPERLINK("https://twitter.com/Yoyok99738282","@Yoyok99738282")</f>
        <v>@Yoyok99738282</v>
      </c>
      <c r="C4877" t="s">
        <v>2119</v>
      </c>
      <c r="D4877">
        <v>464</v>
      </c>
      <c r="E4877">
        <v>0</v>
      </c>
      <c r="F4877">
        <v>482</v>
      </c>
    </row>
    <row r="4878" spans="1:6" ht="12.75">
      <c r="A4878" s="2">
        <v>43883.382962962962</v>
      </c>
      <c r="B4878" t="str">
        <f t="shared" ref="B4878:B4879" si="96">HYPERLINK("https://twitter.com/AnaResti5","@AnaResti5")</f>
        <v>@AnaResti5</v>
      </c>
      <c r="C4878" t="s">
        <v>3914</v>
      </c>
      <c r="D4878">
        <v>0</v>
      </c>
      <c r="E4878">
        <v>0</v>
      </c>
      <c r="F4878">
        <v>10</v>
      </c>
    </row>
    <row r="4879" spans="1:6" ht="12.75">
      <c r="A4879" s="2">
        <v>43883.382604166662</v>
      </c>
      <c r="B4879" t="str">
        <f t="shared" si="96"/>
        <v>@AnaResti5</v>
      </c>
      <c r="C4879" t="s">
        <v>3915</v>
      </c>
      <c r="D4879">
        <v>0</v>
      </c>
      <c r="E4879">
        <v>0</v>
      </c>
      <c r="F4879">
        <v>10</v>
      </c>
    </row>
    <row r="4880" spans="1:6" ht="12.75">
      <c r="A4880" s="2">
        <v>43883.382199074069</v>
      </c>
      <c r="B4880" t="str">
        <f>HYPERLINK("https://twitter.com/elzaindra","@elzaindra")</f>
        <v>@elzaindra</v>
      </c>
      <c r="C4880" t="s">
        <v>2119</v>
      </c>
      <c r="D4880">
        <v>464</v>
      </c>
      <c r="E4880">
        <v>0</v>
      </c>
      <c r="F4880">
        <v>383</v>
      </c>
    </row>
    <row r="4881" spans="1:6" ht="12.75">
      <c r="A4881" s="2">
        <v>43883.382037037038</v>
      </c>
      <c r="B4881" t="str">
        <f>HYPERLINK("https://twitter.com/esaa_sptr","@esaa_sptr")</f>
        <v>@esaa_sptr</v>
      </c>
      <c r="C4881" t="s">
        <v>3916</v>
      </c>
      <c r="D4881">
        <v>0</v>
      </c>
      <c r="E4881">
        <v>0</v>
      </c>
      <c r="F4881">
        <v>26</v>
      </c>
    </row>
    <row r="4882" spans="1:6" ht="12.75">
      <c r="A4882" s="2">
        <v>43883.381192129629</v>
      </c>
      <c r="B4882" t="str">
        <f>HYPERLINK("https://twitter.com/syahidsamad11","@syahidsamad11")</f>
        <v>@syahidsamad11</v>
      </c>
      <c r="C4882" t="s">
        <v>3090</v>
      </c>
      <c r="D4882">
        <v>47</v>
      </c>
      <c r="E4882">
        <v>0</v>
      </c>
      <c r="F4882">
        <v>143</v>
      </c>
    </row>
    <row r="4883" spans="1:6" ht="12.75">
      <c r="A4883" s="2">
        <v>43883.38113425926</v>
      </c>
      <c r="B4883" t="str">
        <f>HYPERLINK("https://twitter.com/ggukietimes","@ggukietimes")</f>
        <v>@ggukietimes</v>
      </c>
      <c r="C4883" t="s">
        <v>3917</v>
      </c>
      <c r="D4883">
        <v>0</v>
      </c>
      <c r="E4883">
        <v>1</v>
      </c>
      <c r="F4883">
        <v>915</v>
      </c>
    </row>
    <row r="4884" spans="1:6" ht="12.75">
      <c r="A4884" s="2">
        <v>43883.38076388889</v>
      </c>
      <c r="B4884" t="str">
        <f>HYPERLINK("https://twitter.com/jon_sitanggang","@jon_sitanggang")</f>
        <v>@jon_sitanggang</v>
      </c>
      <c r="C4884" t="s">
        <v>3532</v>
      </c>
      <c r="D4884">
        <v>40</v>
      </c>
      <c r="E4884">
        <v>0</v>
      </c>
      <c r="F4884">
        <v>220</v>
      </c>
    </row>
    <row r="4885" spans="1:6" ht="12.75">
      <c r="A4885" s="2">
        <v>43883.380752314813</v>
      </c>
      <c r="B4885" t="str">
        <f>HYPERLINK("https://twitter.com/AfifJamil","@AfifJamil")</f>
        <v>@AfifJamil</v>
      </c>
      <c r="C4885" t="s">
        <v>3090</v>
      </c>
      <c r="D4885">
        <v>47</v>
      </c>
      <c r="E4885">
        <v>0</v>
      </c>
      <c r="F4885">
        <v>182</v>
      </c>
    </row>
    <row r="4886" spans="1:6" ht="12.75">
      <c r="A4886" s="2">
        <v>43883.380590277782</v>
      </c>
      <c r="B4886" t="str">
        <f>HYPERLINK("https://twitter.com/theisyraf","@theisyraf")</f>
        <v>@theisyraf</v>
      </c>
      <c r="C4886" t="s">
        <v>2711</v>
      </c>
      <c r="D4886">
        <v>179</v>
      </c>
      <c r="E4886">
        <v>0</v>
      </c>
      <c r="F4886">
        <v>10471</v>
      </c>
    </row>
    <row r="4887" spans="1:6" ht="12.75">
      <c r="A4887" s="2">
        <v>43883.380358796298</v>
      </c>
      <c r="B4887" t="str">
        <f>HYPERLINK("https://twitter.com/gusary","@gusary")</f>
        <v>@gusary</v>
      </c>
      <c r="C4887" t="s">
        <v>2119</v>
      </c>
      <c r="D4887">
        <v>464</v>
      </c>
      <c r="E4887">
        <v>0</v>
      </c>
      <c r="F4887">
        <v>287</v>
      </c>
    </row>
    <row r="4888" spans="1:6" ht="12.75">
      <c r="A4888" s="2">
        <v>43883.379571759258</v>
      </c>
      <c r="B4888" t="str">
        <f>HYPERLINK("https://twitter.com/nindimana","@nindimana")</f>
        <v>@nindimana</v>
      </c>
      <c r="C4888" t="s">
        <v>2692</v>
      </c>
      <c r="D4888">
        <v>2040</v>
      </c>
      <c r="E4888">
        <v>0</v>
      </c>
      <c r="F4888">
        <v>443</v>
      </c>
    </row>
    <row r="4889" spans="1:6" ht="12.75">
      <c r="A4889" s="2">
        <v>43883.379513888889</v>
      </c>
      <c r="B4889" t="str">
        <f>HYPERLINK("https://twitter.com/imna_lee","@imna_lee")</f>
        <v>@imna_lee</v>
      </c>
      <c r="C4889" t="s">
        <v>2711</v>
      </c>
      <c r="D4889">
        <v>179</v>
      </c>
      <c r="E4889">
        <v>0</v>
      </c>
      <c r="F4889">
        <v>1815</v>
      </c>
    </row>
    <row r="4890" spans="1:6" ht="12.75">
      <c r="A4890" s="2">
        <v>43883.379224537042</v>
      </c>
      <c r="B4890" t="str">
        <f>HYPERLINK("https://twitter.com/Baladuing1","@Baladuing1")</f>
        <v>@Baladuing1</v>
      </c>
      <c r="C4890" t="s">
        <v>3918</v>
      </c>
      <c r="D4890">
        <v>1</v>
      </c>
      <c r="E4890">
        <v>2</v>
      </c>
      <c r="F4890">
        <v>4837</v>
      </c>
    </row>
    <row r="4891" spans="1:6" ht="12.75">
      <c r="A4891" s="2">
        <v>43883.378935185188</v>
      </c>
      <c r="B4891" t="str">
        <f>HYPERLINK("https://twitter.com/171190srf","@171190srf")</f>
        <v>@171190srf</v>
      </c>
      <c r="C4891" t="s">
        <v>3896</v>
      </c>
      <c r="D4891">
        <v>4</v>
      </c>
      <c r="E4891">
        <v>0</v>
      </c>
      <c r="F4891">
        <v>199</v>
      </c>
    </row>
    <row r="4892" spans="1:6" ht="12.75">
      <c r="A4892" s="2">
        <v>43883.378807870366</v>
      </c>
      <c r="B4892" t="str">
        <f>HYPERLINK("https://twitter.com/wasathiyyah","@wasathiyyah")</f>
        <v>@wasathiyyah</v>
      </c>
      <c r="C4892" t="s">
        <v>3919</v>
      </c>
      <c r="D4892">
        <v>0</v>
      </c>
      <c r="E4892">
        <v>0</v>
      </c>
      <c r="F4892">
        <v>132</v>
      </c>
    </row>
    <row r="4893" spans="1:6" ht="12.75">
      <c r="A4893" s="2">
        <v>43883.378634259258</v>
      </c>
      <c r="B4893" t="str">
        <f>HYPERLINK("https://twitter.com/galcaopanuntun","@galcaopanuntun")</f>
        <v>@galcaopanuntun</v>
      </c>
      <c r="C4893" t="s">
        <v>3920</v>
      </c>
      <c r="D4893">
        <v>0</v>
      </c>
      <c r="E4893">
        <v>1</v>
      </c>
      <c r="F4893">
        <v>1337</v>
      </c>
    </row>
    <row r="4894" spans="1:6" ht="12.75">
      <c r="A4894" s="2">
        <v>43883.378483796296</v>
      </c>
      <c r="B4894" t="str">
        <f>HYPERLINK("https://twitter.com/farahwahida_f","@farahwahida_f")</f>
        <v>@farahwahida_f</v>
      </c>
      <c r="C4894" t="s">
        <v>2711</v>
      </c>
      <c r="D4894">
        <v>179</v>
      </c>
      <c r="E4894">
        <v>0</v>
      </c>
      <c r="F4894">
        <v>109</v>
      </c>
    </row>
    <row r="4895" spans="1:6" ht="12.75">
      <c r="A4895" s="2">
        <v>43883.378460648149</v>
      </c>
      <c r="B4895" t="str">
        <f>HYPERLINK("https://twitter.com/ObaiIdon","@ObaiIdon")</f>
        <v>@ObaiIdon</v>
      </c>
      <c r="C4895" t="s">
        <v>2119</v>
      </c>
      <c r="D4895">
        <v>464</v>
      </c>
      <c r="E4895">
        <v>0</v>
      </c>
      <c r="F4895">
        <v>179</v>
      </c>
    </row>
    <row r="4896" spans="1:6" ht="12.75">
      <c r="A4896" s="2">
        <v>43883.377256944441</v>
      </c>
      <c r="B4896" t="str">
        <f>HYPERLINK("https://twitter.com/r_djarot_s","@r_djarot_s")</f>
        <v>@r_djarot_s</v>
      </c>
      <c r="C4896" t="s">
        <v>2119</v>
      </c>
      <c r="D4896">
        <v>464</v>
      </c>
      <c r="E4896">
        <v>0</v>
      </c>
      <c r="F4896">
        <v>1447</v>
      </c>
    </row>
    <row r="4897" spans="1:6" ht="12.75">
      <c r="A4897" s="2">
        <v>43883.376932870371</v>
      </c>
      <c r="B4897" t="str">
        <f>HYPERLINK("https://twitter.com/MulyadiMade","@MulyadiMade")</f>
        <v>@MulyadiMade</v>
      </c>
      <c r="C4897" t="s">
        <v>3921</v>
      </c>
      <c r="D4897">
        <v>0</v>
      </c>
      <c r="E4897">
        <v>0</v>
      </c>
      <c r="F4897">
        <v>422</v>
      </c>
    </row>
    <row r="4898" spans="1:6" ht="12.75">
      <c r="A4898" s="2">
        <v>43883.37636574074</v>
      </c>
      <c r="B4898" t="str">
        <f>HYPERLINK("https://twitter.com/BillTemporo","@BillTemporo")</f>
        <v>@BillTemporo</v>
      </c>
      <c r="C4898" t="s">
        <v>889</v>
      </c>
      <c r="D4898">
        <v>0</v>
      </c>
      <c r="E4898">
        <v>0</v>
      </c>
      <c r="F4898">
        <v>11</v>
      </c>
    </row>
    <row r="4899" spans="1:6" ht="12.75">
      <c r="A4899" s="2">
        <v>43883.375555555554</v>
      </c>
      <c r="B4899" t="str">
        <f>HYPERLINK("https://twitter.com/Leoherlambang12","@Leoherlambang12")</f>
        <v>@Leoherlambang12</v>
      </c>
      <c r="C4899" t="s">
        <v>2119</v>
      </c>
      <c r="D4899">
        <v>447</v>
      </c>
      <c r="E4899">
        <v>0</v>
      </c>
      <c r="F4899">
        <v>77</v>
      </c>
    </row>
    <row r="4900" spans="1:6" ht="12.75">
      <c r="A4900" s="2">
        <v>43883.37501157407</v>
      </c>
      <c r="B4900" t="str">
        <f>HYPERLINK("https://twitter.com/sammyfish13","@sammyfish13")</f>
        <v>@sammyfish13</v>
      </c>
      <c r="C4900" t="s">
        <v>3896</v>
      </c>
      <c r="D4900">
        <v>1</v>
      </c>
      <c r="E4900">
        <v>0</v>
      </c>
      <c r="F4900">
        <v>454</v>
      </c>
    </row>
    <row r="4901" spans="1:6" ht="12.75">
      <c r="A4901" s="2">
        <v>43883.374201388884</v>
      </c>
      <c r="B4901" t="str">
        <f>HYPERLINK("https://twitter.com/UtayYudi","@UtayYudi")</f>
        <v>@UtayYudi</v>
      </c>
      <c r="C4901" t="s">
        <v>177</v>
      </c>
      <c r="D4901">
        <v>809</v>
      </c>
      <c r="E4901">
        <v>0</v>
      </c>
      <c r="F4901">
        <v>6</v>
      </c>
    </row>
    <row r="4902" spans="1:6" ht="12.75">
      <c r="A4902" s="2">
        <v>43883.374074074076</v>
      </c>
      <c r="B4902" t="str">
        <f>HYPERLINK("https://twitter.com/tribunnews","@tribunnews")</f>
        <v>@tribunnews</v>
      </c>
      <c r="C4902" t="s">
        <v>3922</v>
      </c>
      <c r="D4902">
        <v>1</v>
      </c>
      <c r="E4902">
        <v>0</v>
      </c>
      <c r="F4902">
        <v>878461</v>
      </c>
    </row>
    <row r="4903" spans="1:6" ht="12.75">
      <c r="A4903" s="2">
        <v>43883.373680555553</v>
      </c>
      <c r="B4903" t="str">
        <f>HYPERLINK("https://twitter.com/bukpang","@bukpang")</f>
        <v>@bukpang</v>
      </c>
      <c r="C4903" t="s">
        <v>3923</v>
      </c>
      <c r="D4903">
        <v>0</v>
      </c>
      <c r="E4903">
        <v>1</v>
      </c>
      <c r="F4903">
        <v>1155</v>
      </c>
    </row>
    <row r="4904" spans="1:6" ht="12.75">
      <c r="A4904" s="2">
        <v>43883.373148148152</v>
      </c>
      <c r="B4904" t="str">
        <f>HYPERLINK("https://twitter.com/t2pap","@t2pap")</f>
        <v>@t2pap</v>
      </c>
      <c r="C4904" t="s">
        <v>2119</v>
      </c>
      <c r="D4904">
        <v>447</v>
      </c>
      <c r="E4904">
        <v>0</v>
      </c>
      <c r="F4904">
        <v>11</v>
      </c>
    </row>
    <row r="4905" spans="1:6" ht="12.75">
      <c r="A4905" s="2">
        <v>43883.372824074075</v>
      </c>
      <c r="B4905" t="str">
        <f>HYPERLINK("https://twitter.com/Nuradi11349292","@Nuradi11349292")</f>
        <v>@Nuradi11349292</v>
      </c>
      <c r="C4905" t="s">
        <v>2119</v>
      </c>
      <c r="D4905">
        <v>447</v>
      </c>
      <c r="E4905">
        <v>0</v>
      </c>
      <c r="F4905">
        <v>24</v>
      </c>
    </row>
    <row r="4906" spans="1:6" ht="12.75">
      <c r="A4906" s="2">
        <v>43883.372777777782</v>
      </c>
      <c r="B4906" t="str">
        <f>HYPERLINK("https://twitter.com/Markombur1","@Markombur1")</f>
        <v>@Markombur1</v>
      </c>
      <c r="C4906" t="s">
        <v>3924</v>
      </c>
      <c r="D4906">
        <v>6</v>
      </c>
      <c r="E4906">
        <v>0</v>
      </c>
      <c r="F4906">
        <v>34</v>
      </c>
    </row>
    <row r="4907" spans="1:6" ht="12.75">
      <c r="A4907" s="2">
        <v>43883.372719907406</v>
      </c>
      <c r="B4907" t="str">
        <f>HYPERLINK("https://twitter.com/athirahkhz","@athirahkhz")</f>
        <v>@athirahkhz</v>
      </c>
      <c r="C4907" t="s">
        <v>3090</v>
      </c>
      <c r="D4907">
        <v>35</v>
      </c>
      <c r="E4907">
        <v>0</v>
      </c>
      <c r="F4907">
        <v>363</v>
      </c>
    </row>
    <row r="4908" spans="1:6" ht="12.75">
      <c r="A4908" s="2">
        <v>43883.372604166667</v>
      </c>
      <c r="B4908" t="str">
        <f>HYPERLINK("https://twitter.com/AnaSulhana","@AnaSulhana")</f>
        <v>@AnaSulhana</v>
      </c>
      <c r="C4908" t="s">
        <v>3925</v>
      </c>
      <c r="D4908">
        <v>3</v>
      </c>
      <c r="E4908">
        <v>0</v>
      </c>
      <c r="F4908">
        <v>18</v>
      </c>
    </row>
    <row r="4909" spans="1:6" ht="12.75">
      <c r="A4909" s="2">
        <v>43883.372592592597</v>
      </c>
      <c r="B4909" t="str">
        <f>HYPERLINK("https://twitter.com/FirdausMuhd_","@FirdausMuhd_")</f>
        <v>@FirdausMuhd_</v>
      </c>
      <c r="C4909" t="s">
        <v>3090</v>
      </c>
      <c r="D4909">
        <v>35</v>
      </c>
      <c r="E4909">
        <v>0</v>
      </c>
      <c r="F4909">
        <v>397</v>
      </c>
    </row>
    <row r="4910" spans="1:6" ht="12.75">
      <c r="A4910" s="2">
        <v>43883.372581018513</v>
      </c>
      <c r="B4910" t="str">
        <f>HYPERLINK("https://twitter.com/husniafwina","@husniafwina")</f>
        <v>@husniafwina</v>
      </c>
      <c r="C4910" t="s">
        <v>3926</v>
      </c>
      <c r="D4910">
        <v>0</v>
      </c>
      <c r="E4910">
        <v>0</v>
      </c>
      <c r="F4910">
        <v>326</v>
      </c>
    </row>
    <row r="4911" spans="1:6" ht="12.75">
      <c r="A4911" s="2">
        <v>43883.372557870374</v>
      </c>
      <c r="B4911" t="str">
        <f>HYPERLINK("https://twitter.com/3kingd0m","@3kingd0m")</f>
        <v>@3kingd0m</v>
      </c>
      <c r="C4911" t="s">
        <v>2119</v>
      </c>
      <c r="D4911">
        <v>447</v>
      </c>
      <c r="E4911">
        <v>0</v>
      </c>
      <c r="F4911">
        <v>554</v>
      </c>
    </row>
    <row r="4912" spans="1:6" ht="12.75">
      <c r="A4912" s="2">
        <v>43883.371863425928</v>
      </c>
      <c r="B4912" t="str">
        <f>HYPERLINK("https://twitter.com/Iyo63579667","@Iyo63579667")</f>
        <v>@Iyo63579667</v>
      </c>
      <c r="C4912" t="s">
        <v>3927</v>
      </c>
      <c r="D4912">
        <v>0</v>
      </c>
      <c r="E4912">
        <v>0</v>
      </c>
      <c r="F4912">
        <v>86</v>
      </c>
    </row>
    <row r="4913" spans="1:6" ht="12.75">
      <c r="A4913" s="2">
        <v>43883.371041666665</v>
      </c>
      <c r="B4913" t="str">
        <f>HYPERLINK("https://twitter.com/PapahEndut","@PapahEndut")</f>
        <v>@PapahEndut</v>
      </c>
      <c r="C4913" t="s">
        <v>3928</v>
      </c>
      <c r="D4913">
        <v>0</v>
      </c>
      <c r="E4913">
        <v>0</v>
      </c>
      <c r="F4913">
        <v>2803</v>
      </c>
    </row>
    <row r="4914" spans="1:6" ht="12.75">
      <c r="A4914" s="2">
        <v>43883.370717592596</v>
      </c>
      <c r="B4914" t="str">
        <f>HYPERLINK("https://twitter.com/Lintas_MNCTV","@Lintas_MNCTV")</f>
        <v>@Lintas_MNCTV</v>
      </c>
      <c r="C4914" t="s">
        <v>3929</v>
      </c>
      <c r="D4914">
        <v>0</v>
      </c>
      <c r="E4914">
        <v>0</v>
      </c>
      <c r="F4914">
        <v>35897</v>
      </c>
    </row>
    <row r="4915" spans="1:6" ht="12.75">
      <c r="A4915" s="2">
        <v>43883.37054398148</v>
      </c>
      <c r="B4915" t="str">
        <f>HYPERLINK("https://twitter.com/AlbertusDakhi","@AlbertusDakhi")</f>
        <v>@AlbertusDakhi</v>
      </c>
      <c r="C4915" t="s">
        <v>2119</v>
      </c>
      <c r="D4915">
        <v>447</v>
      </c>
      <c r="E4915">
        <v>0</v>
      </c>
      <c r="F4915">
        <v>3175</v>
      </c>
    </row>
    <row r="4916" spans="1:6" ht="12.75">
      <c r="A4916" s="2">
        <v>43883.370219907403</v>
      </c>
      <c r="B4916" t="str">
        <f>HYPERLINK("https://twitter.com/Hamzah_Baudin","@Hamzah_Baudin")</f>
        <v>@Hamzah_Baudin</v>
      </c>
      <c r="C4916" t="s">
        <v>3924</v>
      </c>
      <c r="D4916">
        <v>6</v>
      </c>
      <c r="E4916">
        <v>0</v>
      </c>
      <c r="F4916">
        <v>2960</v>
      </c>
    </row>
    <row r="4917" spans="1:6" ht="12.75">
      <c r="A4917" s="2">
        <v>43883.370115740741</v>
      </c>
      <c r="B4917" t="str">
        <f>HYPERLINK("https://twitter.com/Yeyen41020695","@Yeyen41020695")</f>
        <v>@Yeyen41020695</v>
      </c>
      <c r="C4917" t="s">
        <v>3930</v>
      </c>
      <c r="D4917">
        <v>0</v>
      </c>
      <c r="E4917">
        <v>2</v>
      </c>
      <c r="F4917">
        <v>1449</v>
      </c>
    </row>
    <row r="4918" spans="1:6" ht="12.75">
      <c r="A4918" s="2">
        <v>43883.368692129632</v>
      </c>
      <c r="B4918" t="str">
        <f>HYPERLINK("https://twitter.com/hapeproperti","@hapeproperti")</f>
        <v>@hapeproperti</v>
      </c>
      <c r="C4918" t="s">
        <v>3931</v>
      </c>
      <c r="D4918">
        <v>0</v>
      </c>
      <c r="E4918">
        <v>0</v>
      </c>
      <c r="F4918">
        <v>1611</v>
      </c>
    </row>
    <row r="4919" spans="1:6" ht="12.75">
      <c r="A4919" s="2">
        <v>43883.368391203709</v>
      </c>
      <c r="B4919" t="str">
        <f>HYPERLINK("https://twitter.com/want2teach11","@want2teach11")</f>
        <v>@want2teach11</v>
      </c>
      <c r="C4919" t="s">
        <v>3932</v>
      </c>
      <c r="D4919">
        <v>0</v>
      </c>
      <c r="E4919">
        <v>0</v>
      </c>
      <c r="F4919">
        <v>0</v>
      </c>
    </row>
    <row r="4920" spans="1:6" ht="12.75">
      <c r="A4920" s="2">
        <v>43883.367974537032</v>
      </c>
      <c r="B4920" t="str">
        <f>HYPERLINK("https://twitter.com/nww_ali","@nww_ali")</f>
        <v>@nww_ali</v>
      </c>
      <c r="C4920" t="s">
        <v>3719</v>
      </c>
      <c r="D4920">
        <v>2</v>
      </c>
      <c r="E4920">
        <v>0</v>
      </c>
      <c r="F4920">
        <v>24</v>
      </c>
    </row>
    <row r="4921" spans="1:6" ht="12.75">
      <c r="A4921" s="2">
        <v>43883.36755787037</v>
      </c>
      <c r="B4921" t="str">
        <f>HYPERLINK("https://twitter.com/NayYanick","@NayYanick")</f>
        <v>@NayYanick</v>
      </c>
      <c r="C4921" t="s">
        <v>2119</v>
      </c>
      <c r="D4921">
        <v>447</v>
      </c>
      <c r="E4921">
        <v>0</v>
      </c>
      <c r="F4921">
        <v>169</v>
      </c>
    </row>
    <row r="4922" spans="1:6" ht="12.75">
      <c r="A4922" s="2">
        <v>43883.367245370369</v>
      </c>
      <c r="B4922" t="str">
        <f>HYPERLINK("https://twitter.com/SanAscLaw","@SanAscLaw")</f>
        <v>@SanAscLaw</v>
      </c>
      <c r="C4922" t="s">
        <v>3924</v>
      </c>
      <c r="D4922">
        <v>6</v>
      </c>
      <c r="E4922">
        <v>0</v>
      </c>
      <c r="F4922">
        <v>961</v>
      </c>
    </row>
    <row r="4923" spans="1:6" ht="12.75">
      <c r="A4923" s="2">
        <v>43883.367048611108</v>
      </c>
      <c r="B4923" t="str">
        <f>HYPERLINK("https://twitter.com/hapeproperti","@hapeproperti")</f>
        <v>@hapeproperti</v>
      </c>
      <c r="C4923" t="s">
        <v>3933</v>
      </c>
      <c r="D4923">
        <v>0</v>
      </c>
      <c r="E4923">
        <v>0</v>
      </c>
      <c r="F4923">
        <v>1611</v>
      </c>
    </row>
    <row r="4924" spans="1:6" ht="12.75">
      <c r="A4924" s="2">
        <v>43883.36650462963</v>
      </c>
      <c r="B4924" t="str">
        <f>HYPERLINK("https://twitter.com/id_andyy13","@id_andyy13")</f>
        <v>@id_andyy13</v>
      </c>
      <c r="C4924" t="s">
        <v>2119</v>
      </c>
      <c r="D4924">
        <v>447</v>
      </c>
      <c r="E4924">
        <v>0</v>
      </c>
      <c r="F4924">
        <v>1192</v>
      </c>
    </row>
    <row r="4925" spans="1:6" ht="12.75">
      <c r="A4925" s="2">
        <v>43883.366226851853</v>
      </c>
      <c r="B4925" t="str">
        <f>HYPERLINK("https://twitter.com/nnyzhuxin","@nnyzhuxin")</f>
        <v>@nnyzhuxin</v>
      </c>
      <c r="C4925" t="s">
        <v>2119</v>
      </c>
      <c r="D4925">
        <v>447</v>
      </c>
      <c r="E4925">
        <v>0</v>
      </c>
      <c r="F4925">
        <v>11797</v>
      </c>
    </row>
    <row r="4926" spans="1:6" ht="12.75">
      <c r="A4926" s="2">
        <v>43883.366111111114</v>
      </c>
      <c r="B4926" t="str">
        <f>HYPERLINK("https://twitter.com/want2teach11","@want2teach11")</f>
        <v>@want2teach11</v>
      </c>
      <c r="C4926" t="s">
        <v>3934</v>
      </c>
      <c r="D4926">
        <v>0</v>
      </c>
      <c r="E4926">
        <v>0</v>
      </c>
      <c r="F4926">
        <v>0</v>
      </c>
    </row>
    <row r="4927" spans="1:6" ht="12.75">
      <c r="A4927" s="2">
        <v>43883.366053240738</v>
      </c>
      <c r="B4927" t="str">
        <f>HYPERLINK("https://twitter.com/adi_arfandi","@adi_arfandi")</f>
        <v>@adi_arfandi</v>
      </c>
      <c r="C4927" t="s">
        <v>3935</v>
      </c>
      <c r="D4927">
        <v>0</v>
      </c>
      <c r="E4927">
        <v>0</v>
      </c>
      <c r="F4927">
        <v>76</v>
      </c>
    </row>
    <row r="4928" spans="1:6" ht="12.75">
      <c r="A4928" s="2">
        <v>43883.365648148145</v>
      </c>
      <c r="B4928" t="str">
        <f>HYPERLINK("https://twitter.com/kompascom","@kompascom")</f>
        <v>@kompascom</v>
      </c>
      <c r="C4928" t="s">
        <v>3936</v>
      </c>
      <c r="D4928">
        <v>2</v>
      </c>
      <c r="E4928">
        <v>5</v>
      </c>
      <c r="F4928">
        <v>7507165</v>
      </c>
    </row>
    <row r="4929" spans="1:6" ht="12.75">
      <c r="A4929" s="2">
        <v>43883.365266203706</v>
      </c>
      <c r="B4929" t="str">
        <f>HYPERLINK("https://twitter.com/AnggiFebrianS1","@AnggiFebrianS1")</f>
        <v>@AnggiFebrianS1</v>
      </c>
      <c r="C4929" t="s">
        <v>3508</v>
      </c>
      <c r="D4929">
        <v>80</v>
      </c>
      <c r="E4929">
        <v>0</v>
      </c>
      <c r="F4929">
        <v>83</v>
      </c>
    </row>
    <row r="4930" spans="1:6" ht="12.75">
      <c r="A4930" s="2">
        <v>43883.365057870367</v>
      </c>
      <c r="B4930" t="str">
        <f>HYPERLINK("https://twitter.com/iskanda80893534","@iskanda80893534")</f>
        <v>@iskanda80893534</v>
      </c>
      <c r="C4930" t="s">
        <v>2119</v>
      </c>
      <c r="D4930">
        <v>447</v>
      </c>
      <c r="E4930">
        <v>0</v>
      </c>
      <c r="F4930">
        <v>8952</v>
      </c>
    </row>
    <row r="4931" spans="1:6" ht="12.75">
      <c r="A4931" s="2">
        <v>43883.363541666666</v>
      </c>
      <c r="B4931" t="str">
        <f>HYPERLINK("https://twitter.com/aangkur06534377","@aangkur06534377")</f>
        <v>@aangkur06534377</v>
      </c>
      <c r="C4931" t="s">
        <v>3937</v>
      </c>
      <c r="D4931">
        <v>0</v>
      </c>
      <c r="E4931">
        <v>0</v>
      </c>
      <c r="F4931">
        <v>6</v>
      </c>
    </row>
    <row r="4932" spans="1:6" ht="12.75">
      <c r="A4932" s="2">
        <v>43883.362766203703</v>
      </c>
      <c r="B4932" t="str">
        <f>HYPERLINK("https://twitter.com/faizal_sir","@faizal_sir")</f>
        <v>@faizal_sir</v>
      </c>
      <c r="C4932" t="s">
        <v>3938</v>
      </c>
      <c r="D4932">
        <v>0</v>
      </c>
      <c r="E4932">
        <v>0</v>
      </c>
      <c r="F4932">
        <v>230</v>
      </c>
    </row>
    <row r="4933" spans="1:6" ht="12.75">
      <c r="A4933" s="2">
        <v>43883.362743055557</v>
      </c>
      <c r="B4933" t="str">
        <f>HYPERLINK("https://twitter.com/BinyoConde","@BinyoConde")</f>
        <v>@BinyoConde</v>
      </c>
      <c r="C4933" t="s">
        <v>3939</v>
      </c>
      <c r="D4933">
        <v>0</v>
      </c>
      <c r="E4933">
        <v>0</v>
      </c>
      <c r="F4933">
        <v>13</v>
      </c>
    </row>
    <row r="4934" spans="1:6" ht="12.75">
      <c r="A4934" s="2">
        <v>43883.362384259264</v>
      </c>
      <c r="B4934" t="str">
        <f>HYPERLINK("https://twitter.com/rachmansyah89","@rachmansyah89")</f>
        <v>@rachmansyah89</v>
      </c>
      <c r="C4934" t="s">
        <v>3661</v>
      </c>
      <c r="D4934">
        <v>2</v>
      </c>
      <c r="E4934">
        <v>0</v>
      </c>
      <c r="F4934">
        <v>295</v>
      </c>
    </row>
    <row r="4935" spans="1:6" ht="12.75">
      <c r="A4935" s="2">
        <v>43883.362187499995</v>
      </c>
      <c r="B4935" t="str">
        <f>HYPERLINK("https://twitter.com/2019jkwsaja","@2019jkwsaja")</f>
        <v>@2019jkwsaja</v>
      </c>
      <c r="C4935" t="s">
        <v>3924</v>
      </c>
      <c r="D4935">
        <v>6</v>
      </c>
      <c r="E4935">
        <v>0</v>
      </c>
      <c r="F4935">
        <v>2584</v>
      </c>
    </row>
    <row r="4936" spans="1:6" ht="12.75">
      <c r="A4936" s="2">
        <v>43883.361689814818</v>
      </c>
      <c r="B4936" t="str">
        <f>HYPERLINK("https://twitter.com/salwanmufidah","@salwanmufidah")</f>
        <v>@salwanmufidah</v>
      </c>
      <c r="C4936" t="s">
        <v>2119</v>
      </c>
      <c r="D4936">
        <v>447</v>
      </c>
      <c r="E4936">
        <v>0</v>
      </c>
      <c r="F4936">
        <v>68</v>
      </c>
    </row>
    <row r="4937" spans="1:6" ht="12.75">
      <c r="A4937" s="2">
        <v>43883.361666666664</v>
      </c>
      <c r="B4937" t="str">
        <f>HYPERLINK("https://twitter.com/acnaivv","@acnaivv")</f>
        <v>@acnaivv</v>
      </c>
      <c r="C4937" t="s">
        <v>3940</v>
      </c>
      <c r="D4937">
        <v>1</v>
      </c>
      <c r="E4937">
        <v>0</v>
      </c>
      <c r="F4937">
        <v>424</v>
      </c>
    </row>
    <row r="4938" spans="1:6" ht="12.75">
      <c r="A4938" s="2">
        <v>43883.361215277779</v>
      </c>
      <c r="B4938" t="str">
        <f>HYPERLINK("https://twitter.com/SantorinisSun","@SantorinisSun")</f>
        <v>@SantorinisSun</v>
      </c>
      <c r="C4938" t="s">
        <v>3941</v>
      </c>
      <c r="D4938">
        <v>0</v>
      </c>
      <c r="E4938">
        <v>0</v>
      </c>
      <c r="F4938">
        <v>259</v>
      </c>
    </row>
    <row r="4939" spans="1:6" ht="12.75">
      <c r="A4939" s="2">
        <v>43883.361041666663</v>
      </c>
      <c r="B4939" t="str">
        <f>HYPERLINK("https://twitter.com/kiblatnet","@kiblatnet")</f>
        <v>@kiblatnet</v>
      </c>
      <c r="C4939" t="s">
        <v>3942</v>
      </c>
      <c r="D4939">
        <v>0</v>
      </c>
      <c r="E4939">
        <v>0</v>
      </c>
      <c r="F4939">
        <v>20811</v>
      </c>
    </row>
    <row r="4940" spans="1:6" ht="12.75">
      <c r="A4940" s="2">
        <v>43883.360752314809</v>
      </c>
      <c r="B4940" t="str">
        <f>HYPERLINK("https://twitter.com/holmes_sigiro","@holmes_sigiro")</f>
        <v>@holmes_sigiro</v>
      </c>
      <c r="C4940" t="s">
        <v>3943</v>
      </c>
      <c r="D4940">
        <v>0</v>
      </c>
      <c r="E4940">
        <v>0</v>
      </c>
      <c r="F4940">
        <v>343</v>
      </c>
    </row>
    <row r="4941" spans="1:6" ht="12.75">
      <c r="A4941" s="2">
        <v>43883.360613425924</v>
      </c>
      <c r="B4941" t="str">
        <f>HYPERLINK("https://twitter.com/moechamad_erwin","@moechamad_erwin")</f>
        <v>@moechamad_erwin</v>
      </c>
      <c r="C4941" t="s">
        <v>2119</v>
      </c>
      <c r="D4941">
        <v>447</v>
      </c>
      <c r="E4941">
        <v>0</v>
      </c>
      <c r="F4941">
        <v>103</v>
      </c>
    </row>
    <row r="4942" spans="1:6" ht="12.75">
      <c r="A4942" s="2">
        <v>43883.360243055555</v>
      </c>
      <c r="B4942" t="str">
        <f>HYPERLINK("https://twitter.com/haziqhasjuraidi","@haziqhasjuraidi")</f>
        <v>@haziqhasjuraidi</v>
      </c>
      <c r="C4942" t="s">
        <v>2711</v>
      </c>
      <c r="D4942">
        <v>173</v>
      </c>
      <c r="E4942">
        <v>0</v>
      </c>
      <c r="F4942">
        <v>187</v>
      </c>
    </row>
    <row r="4943" spans="1:6" ht="12.75">
      <c r="A4943" s="2">
        <v>43883.360243055555</v>
      </c>
      <c r="B4943" t="str">
        <f>HYPERLINK("https://twitter.com/budiagunq","@budiagunq")</f>
        <v>@budiagunq</v>
      </c>
      <c r="C4943" t="s">
        <v>2119</v>
      </c>
      <c r="D4943">
        <v>447</v>
      </c>
      <c r="E4943">
        <v>0</v>
      </c>
      <c r="F4943">
        <v>710</v>
      </c>
    </row>
    <row r="4944" spans="1:6" ht="12.75">
      <c r="A4944" s="2">
        <v>43883.359988425931</v>
      </c>
      <c r="B4944" t="str">
        <f>HYPERLINK("https://twitter.com/GusbacheV","@GusbacheV")</f>
        <v>@GusbacheV</v>
      </c>
      <c r="C4944" t="s">
        <v>3661</v>
      </c>
      <c r="D4944">
        <v>2</v>
      </c>
      <c r="E4944">
        <v>0</v>
      </c>
      <c r="F4944">
        <v>4833</v>
      </c>
    </row>
    <row r="4945" spans="1:6" ht="12.75">
      <c r="A4945" s="2">
        <v>43883.35974537037</v>
      </c>
      <c r="B4945" t="str">
        <f>HYPERLINK("https://twitter.com/ainul____","@ainul____")</f>
        <v>@ainul____</v>
      </c>
      <c r="C4945" t="s">
        <v>3090</v>
      </c>
      <c r="D4945">
        <v>35</v>
      </c>
      <c r="E4945">
        <v>0</v>
      </c>
      <c r="F4945">
        <v>92</v>
      </c>
    </row>
    <row r="4946" spans="1:6" ht="12.75">
      <c r="A4946" s="2">
        <v>43883.35938657407</v>
      </c>
      <c r="B4946" t="str">
        <f>HYPERLINK("https://twitter.com/Rvladitya88","@Rvladitya88")</f>
        <v>@Rvladitya88</v>
      </c>
      <c r="C4946" t="s">
        <v>2119</v>
      </c>
      <c r="D4946">
        <v>447</v>
      </c>
      <c r="E4946">
        <v>0</v>
      </c>
      <c r="F4946">
        <v>919</v>
      </c>
    </row>
    <row r="4947" spans="1:6" ht="12.75">
      <c r="A4947" s="2">
        <v>43883.357407407406</v>
      </c>
      <c r="B4947" t="str">
        <f>HYPERLINK("https://twitter.com/mfahm1y","@mfahm1y")</f>
        <v>@mfahm1y</v>
      </c>
      <c r="C4947" t="s">
        <v>2711</v>
      </c>
      <c r="D4947">
        <v>173</v>
      </c>
      <c r="E4947">
        <v>0</v>
      </c>
      <c r="F4947">
        <v>226</v>
      </c>
    </row>
    <row r="4948" spans="1:6" ht="12.75">
      <c r="A4948" s="2">
        <v>43883.357118055559</v>
      </c>
      <c r="B4948" t="str">
        <f>HYPERLINK("https://twitter.com/berita_enak","@berita_enak")</f>
        <v>@berita_enak</v>
      </c>
      <c r="C4948" t="s">
        <v>3944</v>
      </c>
      <c r="D4948">
        <v>0</v>
      </c>
      <c r="E4948">
        <v>0</v>
      </c>
      <c r="F4948">
        <v>21</v>
      </c>
    </row>
    <row r="4949" spans="1:6" ht="12.75">
      <c r="A4949" s="2">
        <v>43883.357002314813</v>
      </c>
      <c r="B4949" t="str">
        <f>HYPERLINK("https://twitter.com/tarumixu","@tarumixu")</f>
        <v>@tarumixu</v>
      </c>
      <c r="C4949" t="s">
        <v>3945</v>
      </c>
      <c r="D4949">
        <v>0</v>
      </c>
      <c r="E4949">
        <v>1</v>
      </c>
      <c r="F4949">
        <v>85</v>
      </c>
    </row>
    <row r="4950" spans="1:6" ht="12.75">
      <c r="A4950" s="2">
        <v>43883.356516203705</v>
      </c>
      <c r="B4950" t="str">
        <f>HYPERLINK("https://twitter.com/amarilis_ayu","@amarilis_ayu")</f>
        <v>@amarilis_ayu</v>
      </c>
      <c r="C4950" t="s">
        <v>3946</v>
      </c>
      <c r="D4950">
        <v>0</v>
      </c>
      <c r="E4950">
        <v>0</v>
      </c>
      <c r="F4950">
        <v>1369</v>
      </c>
    </row>
    <row r="4951" spans="1:6" ht="12.75">
      <c r="A4951" s="2">
        <v>43883.356481481482</v>
      </c>
      <c r="B4951" t="str">
        <f>HYPERLINK("https://twitter.com/want2teach11","@want2teach11")</f>
        <v>@want2teach11</v>
      </c>
      <c r="C4951" t="s">
        <v>3947</v>
      </c>
      <c r="D4951">
        <v>0</v>
      </c>
      <c r="E4951">
        <v>0</v>
      </c>
      <c r="F4951">
        <v>0</v>
      </c>
    </row>
    <row r="4952" spans="1:6" ht="12.75">
      <c r="A4952" s="2">
        <v>43883.355844907404</v>
      </c>
      <c r="B4952" t="str">
        <f>HYPERLINK("https://twitter.com/marissagunawan9","@marissagunawan9")</f>
        <v>@marissagunawan9</v>
      </c>
      <c r="C4952" t="s">
        <v>3946</v>
      </c>
      <c r="D4952">
        <v>0</v>
      </c>
      <c r="E4952">
        <v>0</v>
      </c>
      <c r="F4952">
        <v>466</v>
      </c>
    </row>
    <row r="4953" spans="1:6" ht="12.75">
      <c r="A4953" s="2">
        <v>43883.355636574073</v>
      </c>
      <c r="B4953" t="str">
        <f>HYPERLINK("https://twitter.com/armanrogers","@armanrogers")</f>
        <v>@armanrogers</v>
      </c>
      <c r="C4953" t="s">
        <v>2711</v>
      </c>
      <c r="D4953">
        <v>173</v>
      </c>
      <c r="E4953">
        <v>0</v>
      </c>
      <c r="F4953">
        <v>519</v>
      </c>
    </row>
    <row r="4954" spans="1:6" ht="12.75">
      <c r="A4954" s="2">
        <v>43883.354513888888</v>
      </c>
      <c r="B4954" t="str">
        <f>HYPERLINK("https://twitter.com/nnyzhuxin","@nnyzhuxin")</f>
        <v>@nnyzhuxin</v>
      </c>
      <c r="C4954" t="s">
        <v>3948</v>
      </c>
      <c r="D4954">
        <v>12</v>
      </c>
      <c r="E4954">
        <v>0</v>
      </c>
      <c r="F4954">
        <v>11797</v>
      </c>
    </row>
    <row r="4955" spans="1:6" ht="12.75">
      <c r="A4955" s="2">
        <v>43883.353865740741</v>
      </c>
      <c r="B4955" t="str">
        <f>HYPERLINK("https://twitter.com/Praecursator007","@Praecursator007")</f>
        <v>@Praecursator007</v>
      </c>
      <c r="C4955" t="s">
        <v>3949</v>
      </c>
      <c r="D4955">
        <v>0</v>
      </c>
      <c r="E4955">
        <v>0</v>
      </c>
      <c r="F4955">
        <v>5787</v>
      </c>
    </row>
    <row r="4956" spans="1:6" ht="12.75">
      <c r="A4956" s="2">
        <v>43883.35361111111</v>
      </c>
      <c r="B4956" t="str">
        <f>HYPERLINK("https://twitter.com/fazirasuud","@fazirasuud")</f>
        <v>@fazirasuud</v>
      </c>
      <c r="C4956" t="s">
        <v>2711</v>
      </c>
      <c r="D4956">
        <v>173</v>
      </c>
      <c r="E4956">
        <v>0</v>
      </c>
      <c r="F4956">
        <v>680</v>
      </c>
    </row>
    <row r="4957" spans="1:6" ht="12.75">
      <c r="A4957" s="2">
        <v>43883.353078703702</v>
      </c>
      <c r="B4957" t="str">
        <f>HYPERLINK("https://twitter.com/DesIndraSE4","@DesIndraSE4")</f>
        <v>@DesIndraSE4</v>
      </c>
      <c r="C4957" t="s">
        <v>3950</v>
      </c>
      <c r="D4957">
        <v>0</v>
      </c>
      <c r="E4957">
        <v>0</v>
      </c>
      <c r="F4957">
        <v>2</v>
      </c>
    </row>
    <row r="4958" spans="1:6" ht="12.75">
      <c r="A4958" s="2">
        <v>43883.352280092593</v>
      </c>
      <c r="B4958" t="str">
        <f>HYPERLINK("https://twitter.com/Sondak_Gerard","@Sondak_Gerard")</f>
        <v>@Sondak_Gerard</v>
      </c>
      <c r="C4958" t="s">
        <v>3951</v>
      </c>
      <c r="D4958">
        <v>0</v>
      </c>
      <c r="E4958">
        <v>1</v>
      </c>
      <c r="F4958">
        <v>1008</v>
      </c>
    </row>
    <row r="4959" spans="1:6" ht="12.75">
      <c r="A4959" s="2">
        <v>43883.352048611108</v>
      </c>
      <c r="B4959" t="str">
        <f>HYPERLINK("https://twitter.com/PutriKh24250286","@PutriKh24250286")</f>
        <v>@PutriKh24250286</v>
      </c>
      <c r="C4959" t="s">
        <v>513</v>
      </c>
      <c r="D4959">
        <v>23258</v>
      </c>
      <c r="E4959">
        <v>0</v>
      </c>
      <c r="F4959">
        <v>4</v>
      </c>
    </row>
    <row r="4960" spans="1:6" ht="12.75">
      <c r="A4960" s="2">
        <v>43883.352002314816</v>
      </c>
      <c r="B4960" t="str">
        <f>HYPERLINK("https://twitter.com/MoasPoer","@MoasPoer")</f>
        <v>@MoasPoer</v>
      </c>
      <c r="C4960" t="s">
        <v>3924</v>
      </c>
      <c r="D4960">
        <v>6</v>
      </c>
      <c r="E4960">
        <v>0</v>
      </c>
      <c r="F4960">
        <v>465</v>
      </c>
    </row>
    <row r="4961" spans="1:6" ht="12.75">
      <c r="A4961" s="2">
        <v>43883.351944444439</v>
      </c>
      <c r="B4961" t="str">
        <f>HYPERLINK("https://twitter.com/want2teach11","@want2teach11")</f>
        <v>@want2teach11</v>
      </c>
      <c r="C4961" t="s">
        <v>3952</v>
      </c>
      <c r="D4961">
        <v>0</v>
      </c>
      <c r="E4961">
        <v>0</v>
      </c>
      <c r="F4961">
        <v>0</v>
      </c>
    </row>
    <row r="4962" spans="1:6" ht="12.75">
      <c r="A4962" s="2">
        <v>43883.351909722223</v>
      </c>
      <c r="B4962" t="str">
        <f>HYPERLINK("https://twitter.com/Panji_Putih","@Panji_Putih")</f>
        <v>@Panji_Putih</v>
      </c>
      <c r="C4962" t="s">
        <v>3953</v>
      </c>
      <c r="D4962">
        <v>0</v>
      </c>
      <c r="E4962">
        <v>0</v>
      </c>
      <c r="F4962">
        <v>184</v>
      </c>
    </row>
    <row r="4963" spans="1:6" ht="12.75">
      <c r="A4963" s="2">
        <v>43883.351909722223</v>
      </c>
      <c r="B4963" t="str">
        <f>HYPERLINK("https://twitter.com/aganobito1","@aganobito1")</f>
        <v>@aganobito1</v>
      </c>
      <c r="C4963" t="s">
        <v>3954</v>
      </c>
      <c r="D4963">
        <v>0</v>
      </c>
      <c r="E4963">
        <v>0</v>
      </c>
      <c r="F4963">
        <v>2</v>
      </c>
    </row>
    <row r="4964" spans="1:6" ht="12.75">
      <c r="A4964" s="2">
        <v>43883.3512037037</v>
      </c>
      <c r="B4964" t="str">
        <f>HYPERLINK("https://twitter.com/BRidhaka","@BRidhaka")</f>
        <v>@BRidhaka</v>
      </c>
      <c r="C4964" t="s">
        <v>3955</v>
      </c>
      <c r="D4964">
        <v>2</v>
      </c>
      <c r="E4964">
        <v>4</v>
      </c>
      <c r="F4964">
        <v>13</v>
      </c>
    </row>
    <row r="4965" spans="1:6" ht="12.75">
      <c r="A4965" s="2">
        <v>43883.350995370369</v>
      </c>
      <c r="B4965" t="str">
        <f>HYPERLINK("https://twitter.com/klimkovich_lv","@klimkovich_lv")</f>
        <v>@klimkovich_lv</v>
      </c>
      <c r="C4965" t="s">
        <v>3956</v>
      </c>
      <c r="D4965">
        <v>1</v>
      </c>
      <c r="E4965">
        <v>0</v>
      </c>
      <c r="F4965">
        <v>170</v>
      </c>
    </row>
    <row r="4966" spans="1:6" ht="12.75">
      <c r="A4966" s="2">
        <v>43883.35083333333</v>
      </c>
      <c r="B4966" t="str">
        <f>HYPERLINK("https://twitter.com/syahmiishak_","@syahmiishak_")</f>
        <v>@syahmiishak_</v>
      </c>
      <c r="C4966" t="s">
        <v>3090</v>
      </c>
      <c r="D4966">
        <v>35</v>
      </c>
      <c r="E4966">
        <v>0</v>
      </c>
      <c r="F4966">
        <v>227</v>
      </c>
    </row>
    <row r="4967" spans="1:6" ht="12.75">
      <c r="A4967" s="2">
        <v>43883.349548611106</v>
      </c>
      <c r="B4967" t="str">
        <f>HYPERLINK("https://twitter.com/ganestp","@ganestp")</f>
        <v>@ganestp</v>
      </c>
      <c r="C4967" t="s">
        <v>3957</v>
      </c>
      <c r="D4967">
        <v>0</v>
      </c>
      <c r="E4967">
        <v>0</v>
      </c>
      <c r="F4967">
        <v>224</v>
      </c>
    </row>
    <row r="4968" spans="1:6" ht="12.75">
      <c r="A4968" s="2">
        <v>43883.349155092597</v>
      </c>
      <c r="B4968" t="str">
        <f>HYPERLINK("https://twitter.com/Subadri20917452","@Subadri20917452")</f>
        <v>@Subadri20917452</v>
      </c>
      <c r="C4968" t="s">
        <v>3958</v>
      </c>
      <c r="D4968">
        <v>0</v>
      </c>
      <c r="E4968">
        <v>0</v>
      </c>
      <c r="F4968">
        <v>797</v>
      </c>
    </row>
    <row r="4969" spans="1:6" ht="12.75">
      <c r="A4969" s="2">
        <v>43883.348993055552</v>
      </c>
      <c r="B4969" t="str">
        <f>HYPERLINK("https://twitter.com/ariffdiah","@ariffdiah")</f>
        <v>@ariffdiah</v>
      </c>
      <c r="C4969" t="s">
        <v>3883</v>
      </c>
      <c r="D4969">
        <v>5</v>
      </c>
      <c r="E4969">
        <v>0</v>
      </c>
      <c r="F4969">
        <v>89</v>
      </c>
    </row>
    <row r="4970" spans="1:6" ht="12.75">
      <c r="A4970" s="2">
        <v>43883.348506944443</v>
      </c>
      <c r="B4970" t="str">
        <f>HYPERLINK("https://twitter.com/ardoryza","@ardoryza")</f>
        <v>@ardoryza</v>
      </c>
      <c r="C4970" t="s">
        <v>3959</v>
      </c>
      <c r="D4970">
        <v>0</v>
      </c>
      <c r="E4970">
        <v>0</v>
      </c>
      <c r="F4970">
        <v>26</v>
      </c>
    </row>
    <row r="4971" spans="1:6" ht="12.75">
      <c r="A4971" s="2">
        <v>43883.348113425927</v>
      </c>
      <c r="B4971" t="str">
        <f>HYPERLINK("https://twitter.com/baryoism","@baryoism")</f>
        <v>@baryoism</v>
      </c>
      <c r="C4971" t="s">
        <v>3960</v>
      </c>
      <c r="D4971">
        <v>0</v>
      </c>
      <c r="E4971">
        <v>4</v>
      </c>
      <c r="F4971">
        <v>6027</v>
      </c>
    </row>
    <row r="4972" spans="1:6" ht="12.75">
      <c r="A4972" s="2">
        <v>43883.348055555558</v>
      </c>
      <c r="B4972" t="str">
        <f>HYPERLINK("https://twitter.com/syafiqadabi","@syafiqadabi")</f>
        <v>@syafiqadabi</v>
      </c>
      <c r="C4972" t="s">
        <v>2711</v>
      </c>
      <c r="D4972">
        <v>173</v>
      </c>
      <c r="E4972">
        <v>0</v>
      </c>
      <c r="F4972">
        <v>641</v>
      </c>
    </row>
    <row r="4973" spans="1:6" ht="12.75">
      <c r="A4973" s="2">
        <v>43883.347974537042</v>
      </c>
      <c r="B4973" t="str">
        <f>HYPERLINK("https://twitter.com/want2teach11","@want2teach11")</f>
        <v>@want2teach11</v>
      </c>
      <c r="C4973" t="s">
        <v>3961</v>
      </c>
      <c r="D4973">
        <v>0</v>
      </c>
      <c r="E4973">
        <v>0</v>
      </c>
      <c r="F4973">
        <v>0</v>
      </c>
    </row>
    <row r="4974" spans="1:6" ht="12.75">
      <c r="A4974" s="2">
        <v>43883.347615740742</v>
      </c>
      <c r="B4974" t="str">
        <f>HYPERLINK("https://twitter.com/_syakirahkeyra_","@_syakirahkeyra_")</f>
        <v>@_syakirahkeyra_</v>
      </c>
      <c r="C4974" t="s">
        <v>2711</v>
      </c>
      <c r="D4974">
        <v>173</v>
      </c>
      <c r="E4974">
        <v>0</v>
      </c>
      <c r="F4974">
        <v>191</v>
      </c>
    </row>
    <row r="4975" spans="1:6" ht="12.75">
      <c r="A4975" s="2">
        <v>43883.346828703703</v>
      </c>
      <c r="B4975" t="str">
        <f>HYPERLINK("https://twitter.com/ladyanaaaaaa","@ladyanaaaaaa")</f>
        <v>@ladyanaaaaaa</v>
      </c>
      <c r="C4975" t="s">
        <v>3090</v>
      </c>
      <c r="D4975">
        <v>35</v>
      </c>
      <c r="E4975">
        <v>0</v>
      </c>
      <c r="F4975">
        <v>64</v>
      </c>
    </row>
    <row r="4976" spans="1:6" ht="12.75">
      <c r="A4976" s="2">
        <v>43883.345509259263</v>
      </c>
      <c r="B4976" t="str">
        <f>HYPERLINK("https://twitter.com/aktualofficial","@aktualofficial")</f>
        <v>@aktualofficial</v>
      </c>
      <c r="C4976" t="s">
        <v>3962</v>
      </c>
      <c r="D4976">
        <v>0</v>
      </c>
      <c r="E4976">
        <v>0</v>
      </c>
      <c r="F4976">
        <v>134</v>
      </c>
    </row>
    <row r="4977" spans="1:6" ht="12.75">
      <c r="A4977" s="2">
        <v>43883.345092592594</v>
      </c>
      <c r="B4977" t="str">
        <f t="shared" ref="B4977:B4978" si="97">HYPERLINK("https://twitter.com/want2teach11","@want2teach11")</f>
        <v>@want2teach11</v>
      </c>
      <c r="C4977" t="s">
        <v>3963</v>
      </c>
      <c r="D4977">
        <v>0</v>
      </c>
      <c r="E4977">
        <v>0</v>
      </c>
      <c r="F4977">
        <v>0</v>
      </c>
    </row>
    <row r="4978" spans="1:6" ht="12.75">
      <c r="A4978" s="2">
        <v>43883.344629629632</v>
      </c>
      <c r="B4978" t="str">
        <f t="shared" si="97"/>
        <v>@want2teach11</v>
      </c>
      <c r="C4978" t="s">
        <v>3964</v>
      </c>
      <c r="D4978">
        <v>0</v>
      </c>
      <c r="E4978">
        <v>0</v>
      </c>
      <c r="F4978">
        <v>0</v>
      </c>
    </row>
    <row r="4979" spans="1:6" ht="12.75">
      <c r="A4979" s="2">
        <v>43883.343854166669</v>
      </c>
      <c r="B4979" t="str">
        <f>HYPERLINK("https://twitter.com/jojotrants","@jojotrants")</f>
        <v>@jojotrants</v>
      </c>
      <c r="C4979" t="s">
        <v>3090</v>
      </c>
      <c r="D4979">
        <v>35</v>
      </c>
      <c r="E4979">
        <v>0</v>
      </c>
      <c r="F4979">
        <v>192</v>
      </c>
    </row>
    <row r="4980" spans="1:6" ht="12.75">
      <c r="A4980" s="2">
        <v>43883.343344907407</v>
      </c>
      <c r="B4980" t="str">
        <f>HYPERLINK("https://twitter.com/jedakazdifaez","@jedakazdifaez")</f>
        <v>@jedakazdifaez</v>
      </c>
      <c r="C4980" t="s">
        <v>2711</v>
      </c>
      <c r="D4980">
        <v>173</v>
      </c>
      <c r="E4980">
        <v>0</v>
      </c>
      <c r="F4980">
        <v>532</v>
      </c>
    </row>
    <row r="4981" spans="1:6" ht="12.75">
      <c r="A4981" s="2">
        <v>43883.343263888892</v>
      </c>
      <c r="B4981" t="str">
        <f>HYPERLINK("https://twitter.com/Mat94604441","@Mat94604441")</f>
        <v>@Mat94604441</v>
      </c>
      <c r="C4981" t="s">
        <v>2119</v>
      </c>
      <c r="D4981">
        <v>447</v>
      </c>
      <c r="E4981">
        <v>0</v>
      </c>
      <c r="F4981">
        <v>107</v>
      </c>
    </row>
    <row r="4982" spans="1:6" ht="12.75">
      <c r="A4982" s="2">
        <v>43883.343124999999</v>
      </c>
      <c r="B4982" t="str">
        <f>HYPERLINK("https://twitter.com/Rm_lndr4one4587","@Rm_lndr4one4587")</f>
        <v>@Rm_lndr4one4587</v>
      </c>
      <c r="C4982" t="s">
        <v>3965</v>
      </c>
      <c r="D4982">
        <v>0</v>
      </c>
      <c r="E4982">
        <v>1</v>
      </c>
      <c r="F4982">
        <v>579</v>
      </c>
    </row>
    <row r="4983" spans="1:6" ht="12.75">
      <c r="A4983" s="2">
        <v>43883.342939814815</v>
      </c>
      <c r="B4983" t="str">
        <f>HYPERLINK("https://twitter.com/want2teach11","@want2teach11")</f>
        <v>@want2teach11</v>
      </c>
      <c r="C4983" t="s">
        <v>3966</v>
      </c>
      <c r="D4983">
        <v>0</v>
      </c>
      <c r="E4983">
        <v>0</v>
      </c>
      <c r="F4983">
        <v>0</v>
      </c>
    </row>
    <row r="4984" spans="1:6" ht="12.75">
      <c r="A4984" s="2">
        <v>43883.341921296298</v>
      </c>
      <c r="B4984" t="str">
        <f>HYPERLINK("https://twitter.com/Grabgrab4","@Grabgrab4")</f>
        <v>@Grabgrab4</v>
      </c>
      <c r="C4984" t="s">
        <v>2119</v>
      </c>
      <c r="D4984">
        <v>447</v>
      </c>
      <c r="E4984">
        <v>0</v>
      </c>
      <c r="F4984">
        <v>0</v>
      </c>
    </row>
    <row r="4985" spans="1:6" ht="12.75">
      <c r="A4985" s="2">
        <v>43883.341666666667</v>
      </c>
      <c r="B4985" t="str">
        <f>HYPERLINK("https://twitter.com/RahmatTran","@RahmatTran")</f>
        <v>@RahmatTran</v>
      </c>
      <c r="C4985" t="s">
        <v>3967</v>
      </c>
      <c r="D4985">
        <v>1</v>
      </c>
      <c r="E4985">
        <v>5</v>
      </c>
      <c r="F4985">
        <v>82</v>
      </c>
    </row>
    <row r="4986" spans="1:6" ht="12.75">
      <c r="A4986" s="2">
        <v>43883.340462962966</v>
      </c>
      <c r="B4986" t="str">
        <f>HYPERLINK("https://twitter.com/lafril_10","@lafril_10")</f>
        <v>@lafril_10</v>
      </c>
      <c r="C4986" t="s">
        <v>3508</v>
      </c>
      <c r="D4986">
        <v>80</v>
      </c>
      <c r="E4986">
        <v>0</v>
      </c>
      <c r="F4986">
        <v>140</v>
      </c>
    </row>
    <row r="4987" spans="1:6" ht="12.75">
      <c r="A4987" s="2">
        <v>43883.33902777778</v>
      </c>
      <c r="B4987" t="str">
        <f>HYPERLINK("https://twitter.com/NRLATQHRZK","@NRLATQHRZK")</f>
        <v>@NRLATQHRZK</v>
      </c>
      <c r="C4987" t="s">
        <v>3090</v>
      </c>
      <c r="D4987">
        <v>35</v>
      </c>
      <c r="E4987">
        <v>0</v>
      </c>
      <c r="F4987">
        <v>12</v>
      </c>
    </row>
    <row r="4988" spans="1:6" ht="12.75">
      <c r="A4988" s="2">
        <v>43883.338414351849</v>
      </c>
      <c r="B4988" t="str">
        <f>HYPERLINK("https://twitter.com/want2teach11","@want2teach11")</f>
        <v>@want2teach11</v>
      </c>
      <c r="C4988" t="s">
        <v>3968</v>
      </c>
      <c r="D4988">
        <v>0</v>
      </c>
      <c r="E4988">
        <v>0</v>
      </c>
      <c r="F4988">
        <v>0</v>
      </c>
    </row>
    <row r="4989" spans="1:6" ht="12.75">
      <c r="A4989" s="2">
        <v>43883.338206018518</v>
      </c>
      <c r="B4989" t="str">
        <f>HYPERLINK("https://twitter.com/AzizolYusof","@AzizolYusof")</f>
        <v>@AzizolYusof</v>
      </c>
      <c r="C4989" t="s">
        <v>3969</v>
      </c>
      <c r="D4989">
        <v>0</v>
      </c>
      <c r="E4989">
        <v>1</v>
      </c>
      <c r="F4989">
        <v>205</v>
      </c>
    </row>
    <row r="4990" spans="1:6" ht="12.75">
      <c r="A4990" s="2">
        <v>43883.338182870371</v>
      </c>
      <c r="B4990" t="str">
        <f>HYPERLINK("https://twitter.com/MengiMuel","@MengiMuel")</f>
        <v>@MengiMuel</v>
      </c>
      <c r="C4990" t="s">
        <v>2119</v>
      </c>
      <c r="D4990">
        <v>447</v>
      </c>
      <c r="E4990">
        <v>0</v>
      </c>
      <c r="F4990">
        <v>110</v>
      </c>
    </row>
    <row r="4991" spans="1:6" ht="12.75">
      <c r="A4991" s="2">
        <v>43883.337349537032</v>
      </c>
      <c r="B4991" t="str">
        <f>HYPERLINK("https://twitter.com/vvonderpul","@vvonderpul")</f>
        <v>@vvonderpul</v>
      </c>
      <c r="C4991" t="s">
        <v>3970</v>
      </c>
      <c r="D4991">
        <v>567</v>
      </c>
      <c r="E4991">
        <v>0</v>
      </c>
      <c r="F4991">
        <v>89</v>
      </c>
    </row>
    <row r="4992" spans="1:6" ht="12.75">
      <c r="A4992" s="2">
        <v>43883.337106481486</v>
      </c>
      <c r="B4992" t="str">
        <f>HYPERLINK("https://twitter.com/roni_prastiawan","@roni_prastiawan")</f>
        <v>@roni_prastiawan</v>
      </c>
      <c r="C4992" t="s">
        <v>2119</v>
      </c>
      <c r="D4992">
        <v>447</v>
      </c>
      <c r="E4992">
        <v>0</v>
      </c>
      <c r="F4992">
        <v>262</v>
      </c>
    </row>
    <row r="4993" spans="1:6" ht="12.75">
      <c r="A4993" s="2">
        <v>43883.336805555555</v>
      </c>
      <c r="B4993" t="str">
        <f>HYPERLINK("https://twitter.com/Andreas_AdyM","@Andreas_AdyM")</f>
        <v>@Andreas_AdyM</v>
      </c>
      <c r="C4993" t="s">
        <v>3924</v>
      </c>
      <c r="D4993">
        <v>6</v>
      </c>
      <c r="E4993">
        <v>0</v>
      </c>
      <c r="F4993">
        <v>1516</v>
      </c>
    </row>
    <row r="4994" spans="1:6" ht="12.75">
      <c r="A4994" s="2">
        <v>43883.336354166662</v>
      </c>
      <c r="B4994" t="str">
        <f>HYPERLINK("https://twitter.com/Syamimmm_","@Syamimmm_")</f>
        <v>@Syamimmm_</v>
      </c>
      <c r="C4994" t="s">
        <v>3090</v>
      </c>
      <c r="D4994">
        <v>35</v>
      </c>
      <c r="E4994">
        <v>0</v>
      </c>
      <c r="F4994">
        <v>265</v>
      </c>
    </row>
    <row r="4995" spans="1:6" ht="12.75">
      <c r="A4995" s="2">
        <v>43883.3355787037</v>
      </c>
      <c r="B4995" t="str">
        <f>HYPERLINK("https://twitter.com/narkosun","@narkosun")</f>
        <v>@narkosun</v>
      </c>
      <c r="C4995" t="s">
        <v>3971</v>
      </c>
      <c r="D4995">
        <v>6</v>
      </c>
      <c r="E4995">
        <v>22</v>
      </c>
      <c r="F4995">
        <v>30684</v>
      </c>
    </row>
    <row r="4996" spans="1:6" ht="12.75">
      <c r="A4996" s="2">
        <v>43883.335358796292</v>
      </c>
      <c r="B4996" t="str">
        <f>HYPERLINK("https://twitter.com/LyMulya","@LyMulya")</f>
        <v>@LyMulya</v>
      </c>
      <c r="C4996" t="s">
        <v>2119</v>
      </c>
      <c r="D4996">
        <v>447</v>
      </c>
      <c r="E4996">
        <v>0</v>
      </c>
      <c r="F4996">
        <v>1918</v>
      </c>
    </row>
    <row r="4997" spans="1:6" ht="12.75">
      <c r="A4997" s="2">
        <v>43883.335358796292</v>
      </c>
      <c r="B4997" t="str">
        <f>HYPERLINK("https://twitter.com/Noran_ragab12","@Noran_ragab12")</f>
        <v>@Noran_ragab12</v>
      </c>
      <c r="C4997" t="s">
        <v>3972</v>
      </c>
      <c r="D4997">
        <v>0</v>
      </c>
      <c r="E4997">
        <v>0</v>
      </c>
      <c r="F4997">
        <v>6499</v>
      </c>
    </row>
    <row r="4998" spans="1:6" ht="12.75">
      <c r="A4998" s="2">
        <v>43883.334907407407</v>
      </c>
      <c r="B4998" t="str">
        <f>HYPERLINK("https://twitter.com/TTrimanto","@TTrimanto")</f>
        <v>@TTrimanto</v>
      </c>
      <c r="C4998" t="s">
        <v>3973</v>
      </c>
      <c r="D4998">
        <v>0</v>
      </c>
      <c r="E4998">
        <v>0</v>
      </c>
      <c r="F4998">
        <v>27</v>
      </c>
    </row>
    <row r="4999" spans="1:6" ht="12.75">
      <c r="A4999" s="2">
        <v>43883.334629629629</v>
      </c>
      <c r="B4999" t="str">
        <f>HYPERLINK("https://twitter.com/Annisanursyams1","@Annisanursyams1")</f>
        <v>@Annisanursyams1</v>
      </c>
      <c r="C4999" t="s">
        <v>2119</v>
      </c>
      <c r="D4999">
        <v>429</v>
      </c>
      <c r="E4999">
        <v>0</v>
      </c>
      <c r="F4999">
        <v>111</v>
      </c>
    </row>
    <row r="5000" spans="1:6" ht="12.75">
      <c r="A5000" s="2">
        <v>43883.333668981482</v>
      </c>
      <c r="B5000" t="str">
        <f>HYPERLINK("https://twitter.com/beatrice_health","@beatrice_health")</f>
        <v>@beatrice_health</v>
      </c>
      <c r="C5000" t="s">
        <v>2147</v>
      </c>
      <c r="D5000">
        <v>588</v>
      </c>
      <c r="E5000">
        <v>0</v>
      </c>
      <c r="F5000">
        <v>266</v>
      </c>
    </row>
    <row r="5001" spans="1:6" ht="12.75">
      <c r="A5001" s="2">
        <v>43883.333611111113</v>
      </c>
      <c r="B5001" t="str">
        <f>HYPERLINK("https://twitter.com/PakMahfudKu","@PakMahfudKu")</f>
        <v>@PakMahfudKu</v>
      </c>
      <c r="C5001" t="s">
        <v>2147</v>
      </c>
      <c r="D5001">
        <v>588</v>
      </c>
      <c r="E5001">
        <v>0</v>
      </c>
      <c r="F5001">
        <v>1289</v>
      </c>
    </row>
    <row r="5002" spans="1:6" ht="12.75">
      <c r="A5002" s="2">
        <v>43883.33320601852</v>
      </c>
      <c r="B5002" t="str">
        <f>HYPERLINK("https://twitter.com/JHSinurat","@JHSinurat")</f>
        <v>@JHSinurat</v>
      </c>
      <c r="C5002" t="s">
        <v>2119</v>
      </c>
      <c r="D5002">
        <v>429</v>
      </c>
      <c r="E5002">
        <v>0</v>
      </c>
      <c r="F5002">
        <v>17</v>
      </c>
    </row>
    <row r="5003" spans="1:6" ht="12.75">
      <c r="A5003" s="2">
        <v>43883.332789351851</v>
      </c>
      <c r="B5003" t="str">
        <f>HYPERLINK("https://twitter.com/billy_sipriano","@billy_sipriano")</f>
        <v>@billy_sipriano</v>
      </c>
      <c r="C5003" t="s">
        <v>2119</v>
      </c>
      <c r="D5003">
        <v>429</v>
      </c>
      <c r="E5003">
        <v>0</v>
      </c>
      <c r="F5003">
        <v>209</v>
      </c>
    </row>
    <row r="5004" spans="1:6" ht="12.75">
      <c r="A5004" s="2">
        <v>43883.331157407403</v>
      </c>
      <c r="B5004" t="str">
        <f>HYPERLINK("https://twitter.com/Rendi83358633","@Rendi83358633")</f>
        <v>@Rendi83358633</v>
      </c>
      <c r="C5004" t="s">
        <v>3974</v>
      </c>
      <c r="D5004">
        <v>0</v>
      </c>
      <c r="E5004">
        <v>0</v>
      </c>
      <c r="F5004">
        <v>20</v>
      </c>
    </row>
    <row r="5005" spans="1:6" ht="12.75">
      <c r="A5005" s="2">
        <v>43883.331111111111</v>
      </c>
      <c r="B5005" t="str">
        <f>HYPERLINK("https://twitter.com/citranindaaa","@citranindaaa")</f>
        <v>@citranindaaa</v>
      </c>
      <c r="C5005" t="s">
        <v>1407</v>
      </c>
      <c r="D5005">
        <v>9737</v>
      </c>
      <c r="E5005">
        <v>0</v>
      </c>
      <c r="F5005">
        <v>909</v>
      </c>
    </row>
    <row r="5006" spans="1:6" ht="12.75">
      <c r="A5006" s="2">
        <v>43883.330914351856</v>
      </c>
      <c r="B5006" t="str">
        <f>HYPERLINK("https://twitter.com/raddickbolang","@raddickbolang")</f>
        <v>@raddickbolang</v>
      </c>
      <c r="C5006" t="s">
        <v>2119</v>
      </c>
      <c r="D5006">
        <v>429</v>
      </c>
      <c r="E5006">
        <v>0</v>
      </c>
      <c r="F5006">
        <v>2103</v>
      </c>
    </row>
    <row r="5007" spans="1:6" ht="12.75">
      <c r="A5007" s="2">
        <v>43883.329618055555</v>
      </c>
      <c r="B5007" t="str">
        <f>HYPERLINK("https://twitter.com/Rendy_Apriandi","@Rendy_Apriandi")</f>
        <v>@Rendy_Apriandi</v>
      </c>
      <c r="C5007" t="s">
        <v>2119</v>
      </c>
      <c r="D5007">
        <v>429</v>
      </c>
      <c r="E5007">
        <v>0</v>
      </c>
      <c r="F5007">
        <v>47</v>
      </c>
    </row>
    <row r="5008" spans="1:6" ht="12.75">
      <c r="A5008" s="2">
        <v>43883.329351851848</v>
      </c>
      <c r="B5008" t="str">
        <f>HYPERLINK("https://twitter.com/NannyAlexendry","@NannyAlexendry")</f>
        <v>@NannyAlexendry</v>
      </c>
      <c r="C5008" t="s">
        <v>3975</v>
      </c>
      <c r="D5008">
        <v>5</v>
      </c>
      <c r="E5008">
        <v>0</v>
      </c>
      <c r="F5008">
        <v>2916</v>
      </c>
    </row>
    <row r="5009" spans="1:6" ht="12.75">
      <c r="A5009" s="2">
        <v>43883.328611111108</v>
      </c>
      <c r="B5009" t="str">
        <f>HYPERLINK("https://twitter.com/afiqasyraf97","@afiqasyraf97")</f>
        <v>@afiqasyraf97</v>
      </c>
      <c r="C5009" t="s">
        <v>2711</v>
      </c>
      <c r="D5009">
        <v>165</v>
      </c>
      <c r="E5009">
        <v>0</v>
      </c>
      <c r="F5009">
        <v>170</v>
      </c>
    </row>
    <row r="5010" spans="1:6" ht="12.75">
      <c r="A5010" s="2">
        <v>43883.328402777777</v>
      </c>
      <c r="B5010" t="str">
        <f>HYPERLINK("https://twitter.com/PatPatP25100251","@PatPatP25100251")</f>
        <v>@PatPatP25100251</v>
      </c>
      <c r="C5010" t="s">
        <v>3976</v>
      </c>
      <c r="D5010">
        <v>0</v>
      </c>
      <c r="E5010">
        <v>0</v>
      </c>
      <c r="F5010">
        <v>0</v>
      </c>
    </row>
    <row r="5011" spans="1:6" ht="12.75">
      <c r="A5011" s="2">
        <v>43883.328206018516</v>
      </c>
      <c r="B5011" t="str">
        <f>HYPERLINK("https://twitter.com/HeruDarus","@HeruDarus")</f>
        <v>@HeruDarus</v>
      </c>
      <c r="C5011" t="s">
        <v>2119</v>
      </c>
      <c r="D5011">
        <v>429</v>
      </c>
      <c r="E5011">
        <v>0</v>
      </c>
      <c r="F5011">
        <v>2</v>
      </c>
    </row>
    <row r="5012" spans="1:6" ht="12.75">
      <c r="A5012" s="2">
        <v>43883.327870370369</v>
      </c>
      <c r="B5012" t="str">
        <f>HYPERLINK("https://twitter.com/jammy_shiba","@jammy_shiba")</f>
        <v>@jammy_shiba</v>
      </c>
      <c r="C5012" t="s">
        <v>3977</v>
      </c>
      <c r="D5012">
        <v>19</v>
      </c>
      <c r="E5012">
        <v>0</v>
      </c>
      <c r="F5012">
        <v>129</v>
      </c>
    </row>
    <row r="5013" spans="1:6" ht="12.75">
      <c r="A5013" s="2">
        <v>43883.327569444446</v>
      </c>
      <c r="B5013" t="str">
        <f>HYPERLINK("https://twitter.com/ali1404udin","@ali1404udin")</f>
        <v>@ali1404udin</v>
      </c>
      <c r="C5013" t="s">
        <v>3978</v>
      </c>
      <c r="D5013">
        <v>0</v>
      </c>
      <c r="E5013">
        <v>0</v>
      </c>
      <c r="F5013">
        <v>34</v>
      </c>
    </row>
    <row r="5014" spans="1:6" ht="12.75">
      <c r="A5014" s="2">
        <v>43883.327361111107</v>
      </c>
      <c r="B5014" t="str">
        <f>HYPERLINK("https://twitter.com/orangesolution7","@orangesolution7")</f>
        <v>@orangesolution7</v>
      </c>
      <c r="C5014" t="s">
        <v>3979</v>
      </c>
      <c r="D5014">
        <v>1</v>
      </c>
      <c r="E5014">
        <v>0</v>
      </c>
      <c r="F5014">
        <v>9</v>
      </c>
    </row>
    <row r="5015" spans="1:6" ht="12.75">
      <c r="A5015" s="2">
        <v>43883.326851851853</v>
      </c>
      <c r="B5015" t="str">
        <f>HYPERLINK("https://twitter.com/pistakpink","@pistakpink")</f>
        <v>@pistakpink</v>
      </c>
      <c r="C5015" t="s">
        <v>3090</v>
      </c>
      <c r="D5015">
        <v>25</v>
      </c>
      <c r="E5015">
        <v>0</v>
      </c>
      <c r="F5015">
        <v>179</v>
      </c>
    </row>
    <row r="5016" spans="1:6" ht="12.75">
      <c r="A5016" s="2">
        <v>43883.326423611114</v>
      </c>
      <c r="B5016" t="str">
        <f>HYPERLINK("https://twitter.com/NandoPananda","@NandoPananda")</f>
        <v>@NandoPananda</v>
      </c>
      <c r="C5016" t="s">
        <v>3980</v>
      </c>
      <c r="D5016">
        <v>5</v>
      </c>
      <c r="E5016">
        <v>0</v>
      </c>
      <c r="F5016">
        <v>273</v>
      </c>
    </row>
    <row r="5017" spans="1:6" ht="12.75">
      <c r="A5017" s="2">
        <v>43883.325844907406</v>
      </c>
      <c r="B5017" t="str">
        <f>HYPERLINK("https://twitter.com/ocvenus","@ocvenus")</f>
        <v>@ocvenus</v>
      </c>
      <c r="C5017" t="s">
        <v>3981</v>
      </c>
      <c r="D5017">
        <v>0</v>
      </c>
      <c r="E5017">
        <v>0</v>
      </c>
      <c r="F5017">
        <v>589</v>
      </c>
    </row>
    <row r="5018" spans="1:6" ht="12.75">
      <c r="A5018" s="2">
        <v>43883.325312500005</v>
      </c>
      <c r="B5018" t="str">
        <f>HYPERLINK("https://twitter.com/lqmnpali","@lqmnpali")</f>
        <v>@lqmnpali</v>
      </c>
      <c r="C5018" t="s">
        <v>3090</v>
      </c>
      <c r="D5018">
        <v>25</v>
      </c>
      <c r="E5018">
        <v>0</v>
      </c>
      <c r="F5018">
        <v>686</v>
      </c>
    </row>
    <row r="5019" spans="1:6" ht="12.75">
      <c r="A5019" s="2">
        <v>43883.324930555551</v>
      </c>
      <c r="B5019" t="str">
        <f>HYPERLINK("https://twitter.com/VicAroyA2","@VicAroyA2")</f>
        <v>@VicAroyA2</v>
      </c>
      <c r="C5019" t="s">
        <v>3090</v>
      </c>
      <c r="D5019">
        <v>25</v>
      </c>
      <c r="E5019">
        <v>0</v>
      </c>
      <c r="F5019">
        <v>81</v>
      </c>
    </row>
    <row r="5020" spans="1:6" ht="12.75">
      <c r="A5020" s="2">
        <v>43883.324074074073</v>
      </c>
      <c r="B5020" t="str">
        <f>HYPERLINK("https://twitter.com/sykrhwhn","@sykrhwhn")</f>
        <v>@sykrhwhn</v>
      </c>
      <c r="C5020" t="s">
        <v>3090</v>
      </c>
      <c r="D5020">
        <v>25</v>
      </c>
      <c r="E5020">
        <v>0</v>
      </c>
      <c r="F5020">
        <v>11</v>
      </c>
    </row>
    <row r="5021" spans="1:6" ht="12.75">
      <c r="A5021" s="2">
        <v>43883.323576388888</v>
      </c>
      <c r="B5021" t="str">
        <f>HYPERLINK("https://twitter.com/AbyMaula","@AbyMaula")</f>
        <v>@AbyMaula</v>
      </c>
      <c r="C5021" t="s">
        <v>2119</v>
      </c>
      <c r="D5021">
        <v>429</v>
      </c>
      <c r="E5021">
        <v>0</v>
      </c>
      <c r="F5021">
        <v>93</v>
      </c>
    </row>
    <row r="5022" spans="1:6" ht="12.75">
      <c r="A5022" s="2">
        <v>43883.323321759264</v>
      </c>
      <c r="B5022" t="str">
        <f>HYPERLINK("https://twitter.com/guembel_gokiel","@guembel_gokiel")</f>
        <v>@guembel_gokiel</v>
      </c>
      <c r="C5022" t="s">
        <v>2119</v>
      </c>
      <c r="D5022">
        <v>429</v>
      </c>
      <c r="E5022">
        <v>0</v>
      </c>
      <c r="F5022">
        <v>32</v>
      </c>
    </row>
    <row r="5023" spans="1:6" ht="12.75">
      <c r="A5023" s="2">
        <v>43883.322245370371</v>
      </c>
      <c r="B5023" t="str">
        <f>HYPERLINK("https://twitter.com/DewiUlfaNS","@DewiUlfaNS")</f>
        <v>@DewiUlfaNS</v>
      </c>
      <c r="C5023" t="s">
        <v>2119</v>
      </c>
      <c r="D5023">
        <v>429</v>
      </c>
      <c r="E5023">
        <v>0</v>
      </c>
      <c r="F5023">
        <v>585</v>
      </c>
    </row>
    <row r="5024" spans="1:6" ht="12.75">
      <c r="A5024" s="2">
        <v>43883.322245370371</v>
      </c>
      <c r="B5024" t="str">
        <f>HYPERLINK("https://twitter.com/prekjancok","@prekjancok")</f>
        <v>@prekjancok</v>
      </c>
      <c r="C5024" t="s">
        <v>3982</v>
      </c>
      <c r="D5024">
        <v>0</v>
      </c>
      <c r="E5024">
        <v>1</v>
      </c>
      <c r="F5024">
        <v>37</v>
      </c>
    </row>
    <row r="5025" spans="1:6" ht="12.75">
      <c r="A5025" s="2">
        <v>43883.3203125</v>
      </c>
      <c r="B5025" t="str">
        <f>HYPERLINK("https://twitter.com/budinugraha1209","@budinugraha1209")</f>
        <v>@budinugraha1209</v>
      </c>
      <c r="C5025" t="s">
        <v>3983</v>
      </c>
      <c r="D5025">
        <v>0</v>
      </c>
      <c r="E5025">
        <v>0</v>
      </c>
      <c r="F5025">
        <v>41</v>
      </c>
    </row>
    <row r="5026" spans="1:6" ht="12.75">
      <c r="A5026" s="2">
        <v>43883.319664351853</v>
      </c>
      <c r="B5026" t="str">
        <f>HYPERLINK("https://twitter.com/syedxfaiz","@syedxfaiz")</f>
        <v>@syedxfaiz</v>
      </c>
      <c r="C5026" t="s">
        <v>2711</v>
      </c>
      <c r="D5026">
        <v>165</v>
      </c>
      <c r="E5026">
        <v>0</v>
      </c>
      <c r="F5026">
        <v>280</v>
      </c>
    </row>
    <row r="5027" spans="1:6" ht="12.75">
      <c r="A5027" s="2">
        <v>43883.318287037036</v>
      </c>
      <c r="B5027" t="str">
        <f>HYPERLINK("https://twitter.com/HatrisyaHashim","@HatrisyaHashim")</f>
        <v>@HatrisyaHashim</v>
      </c>
      <c r="C5027" t="s">
        <v>3090</v>
      </c>
      <c r="D5027">
        <v>25</v>
      </c>
      <c r="E5027">
        <v>0</v>
      </c>
      <c r="F5027">
        <v>22</v>
      </c>
    </row>
    <row r="5028" spans="1:6" ht="12.75">
      <c r="A5028" s="2">
        <v>43883.318194444444</v>
      </c>
      <c r="B5028" t="str">
        <f>HYPERLINK("https://twitter.com/lusman_Matupang","@lusman_Matupang")</f>
        <v>@lusman_Matupang</v>
      </c>
      <c r="C5028" t="s">
        <v>2801</v>
      </c>
      <c r="D5028">
        <v>2</v>
      </c>
      <c r="E5028">
        <v>0</v>
      </c>
      <c r="F5028">
        <v>2572</v>
      </c>
    </row>
    <row r="5029" spans="1:6" ht="12.75">
      <c r="A5029" s="2">
        <v>43883.318009259259</v>
      </c>
      <c r="B5029" t="str">
        <f>HYPERLINK("https://twitter.com/jammy_shiba","@jammy_shiba")</f>
        <v>@jammy_shiba</v>
      </c>
      <c r="C5029" t="s">
        <v>3984</v>
      </c>
      <c r="D5029">
        <v>26</v>
      </c>
      <c r="E5029">
        <v>0</v>
      </c>
      <c r="F5029">
        <v>129</v>
      </c>
    </row>
    <row r="5030" spans="1:6" ht="12.75">
      <c r="A5030" s="2">
        <v>43883.31622685185</v>
      </c>
      <c r="B5030" t="str">
        <f>HYPERLINK("https://twitter.com/MohKusno1","@MohKusno1")</f>
        <v>@MohKusno1</v>
      </c>
      <c r="C5030" t="s">
        <v>3985</v>
      </c>
      <c r="D5030">
        <v>0</v>
      </c>
      <c r="E5030">
        <v>0</v>
      </c>
      <c r="F5030">
        <v>1</v>
      </c>
    </row>
    <row r="5031" spans="1:6" ht="12.75">
      <c r="A5031" s="2">
        <v>43883.316157407404</v>
      </c>
      <c r="B5031" t="str">
        <f>HYPERLINK("https://twitter.com/DonSindonesia","@DonSindonesia")</f>
        <v>@DonSindonesia</v>
      </c>
      <c r="C5031" t="s">
        <v>3986</v>
      </c>
      <c r="D5031">
        <v>0</v>
      </c>
      <c r="E5031">
        <v>0</v>
      </c>
      <c r="F5031">
        <v>283</v>
      </c>
    </row>
    <row r="5032" spans="1:6" ht="12.75">
      <c r="A5032" s="2">
        <v>43883.315451388888</v>
      </c>
      <c r="B5032" t="str">
        <f>HYPERLINK("https://twitter.com/Eduardsinaga4","@Eduardsinaga4")</f>
        <v>@Eduardsinaga4</v>
      </c>
      <c r="C5032" t="s">
        <v>2119</v>
      </c>
      <c r="D5032">
        <v>429</v>
      </c>
      <c r="E5032">
        <v>0</v>
      </c>
      <c r="F5032">
        <v>49</v>
      </c>
    </row>
    <row r="5033" spans="1:6" ht="12.75">
      <c r="A5033" s="2">
        <v>43883.314583333333</v>
      </c>
      <c r="B5033" t="str">
        <f>HYPERLINK("https://twitter.com/joseph818888","@joseph818888")</f>
        <v>@joseph818888</v>
      </c>
      <c r="C5033" t="s">
        <v>3987</v>
      </c>
      <c r="D5033">
        <v>0</v>
      </c>
      <c r="E5033">
        <v>0</v>
      </c>
      <c r="F5033">
        <v>5</v>
      </c>
    </row>
    <row r="5034" spans="1:6" ht="12.75">
      <c r="A5034" s="2">
        <v>43883.31450231481</v>
      </c>
      <c r="B5034" t="str">
        <f>HYPERLINK("https://twitter.com/zulsalampessy","@zulsalampessy")</f>
        <v>@zulsalampessy</v>
      </c>
      <c r="C5034" t="s">
        <v>2119</v>
      </c>
      <c r="D5034">
        <v>429</v>
      </c>
      <c r="E5034">
        <v>0</v>
      </c>
      <c r="F5034">
        <v>215</v>
      </c>
    </row>
    <row r="5035" spans="1:6" ht="12.75">
      <c r="A5035" s="2">
        <v>43883.314282407402</v>
      </c>
      <c r="B5035" t="str">
        <f>HYPERLINK("https://twitter.com/isis_artusi","@isis_artusi")</f>
        <v>@isis_artusi</v>
      </c>
      <c r="C5035" t="s">
        <v>3988</v>
      </c>
      <c r="D5035">
        <v>0</v>
      </c>
      <c r="E5035">
        <v>1</v>
      </c>
      <c r="F5035">
        <v>912</v>
      </c>
    </row>
    <row r="5036" spans="1:6" ht="12.75">
      <c r="A5036" s="2">
        <v>43883.313067129631</v>
      </c>
      <c r="B5036" t="str">
        <f>HYPERLINK("https://twitter.com/damario04","@damario04")</f>
        <v>@damario04</v>
      </c>
      <c r="C5036" t="s">
        <v>391</v>
      </c>
      <c r="D5036">
        <v>0</v>
      </c>
      <c r="E5036">
        <v>0</v>
      </c>
      <c r="F5036">
        <v>404</v>
      </c>
    </row>
    <row r="5037" spans="1:6" ht="12.75">
      <c r="A5037" s="2">
        <v>43883.312071759261</v>
      </c>
      <c r="B5037" t="str">
        <f>HYPERLINK("https://twitter.com/faizalassegaf","@faizalassegaf")</f>
        <v>@faizalassegaf</v>
      </c>
      <c r="C5037" t="s">
        <v>3989</v>
      </c>
      <c r="D5037">
        <v>2</v>
      </c>
      <c r="E5037">
        <v>5</v>
      </c>
      <c r="F5037">
        <v>52640</v>
      </c>
    </row>
    <row r="5038" spans="1:6" ht="12.75">
      <c r="A5038" s="2">
        <v>43883.311886574069</v>
      </c>
      <c r="B5038" t="str">
        <f>HYPERLINK("https://twitter.com/ellstormy","@ellstormy")</f>
        <v>@ellstormy</v>
      </c>
      <c r="C5038" t="s">
        <v>3948</v>
      </c>
      <c r="D5038">
        <v>11</v>
      </c>
      <c r="E5038">
        <v>0</v>
      </c>
      <c r="F5038">
        <v>1584</v>
      </c>
    </row>
    <row r="5039" spans="1:6" ht="12.75">
      <c r="A5039" s="2">
        <v>43883.311736111107</v>
      </c>
      <c r="B5039" t="str">
        <f>HYPERLINK("https://twitter.com/wni_jmsri","@wni_jmsri")</f>
        <v>@wni_jmsri</v>
      </c>
      <c r="C5039" t="s">
        <v>3990</v>
      </c>
      <c r="D5039">
        <v>1</v>
      </c>
      <c r="E5039">
        <v>0</v>
      </c>
      <c r="F5039">
        <v>195</v>
      </c>
    </row>
    <row r="5040" spans="1:6" ht="12.75">
      <c r="A5040" s="2">
        <v>43883.310370370367</v>
      </c>
      <c r="B5040" t="str">
        <f>HYPERLINK("https://twitter.com/rakjat4","@rakjat4")</f>
        <v>@rakjat4</v>
      </c>
      <c r="C5040" t="s">
        <v>3991</v>
      </c>
      <c r="D5040">
        <v>0</v>
      </c>
      <c r="E5040">
        <v>0</v>
      </c>
      <c r="F5040">
        <v>952</v>
      </c>
    </row>
    <row r="5041" spans="1:6" ht="12.75">
      <c r="A5041" s="2">
        <v>43883.309861111113</v>
      </c>
      <c r="B5041" t="str">
        <f>HYPERLINK("https://twitter.com/along_Sahrul","@along_Sahrul")</f>
        <v>@along_Sahrul</v>
      </c>
      <c r="C5041" t="s">
        <v>3992</v>
      </c>
      <c r="D5041">
        <v>0</v>
      </c>
      <c r="E5041">
        <v>0</v>
      </c>
      <c r="F5041">
        <v>458</v>
      </c>
    </row>
    <row r="5042" spans="1:6" ht="12.75">
      <c r="A5042" s="2">
        <v>43883.309652777782</v>
      </c>
      <c r="B5042" t="str">
        <f>HYPERLINK("https://twitter.com/CutiesLollipoop","@CutiesLollipoop")</f>
        <v>@CutiesLollipoop</v>
      </c>
      <c r="C5042" t="s">
        <v>3993</v>
      </c>
      <c r="D5042">
        <v>0</v>
      </c>
      <c r="E5042">
        <v>0</v>
      </c>
      <c r="F5042">
        <v>1524</v>
      </c>
    </row>
    <row r="5043" spans="1:6" ht="12.75">
      <c r="A5043" s="2">
        <v>43883.309629629628</v>
      </c>
      <c r="B5043" t="str">
        <f>HYPERLINK("https://twitter.com/nzulaikhaazman","@nzulaikhaazman")</f>
        <v>@nzulaikhaazman</v>
      </c>
      <c r="C5043" t="s">
        <v>2711</v>
      </c>
      <c r="D5043">
        <v>165</v>
      </c>
      <c r="E5043">
        <v>0</v>
      </c>
      <c r="F5043">
        <v>472</v>
      </c>
    </row>
    <row r="5044" spans="1:6" ht="12.75">
      <c r="A5044" s="2">
        <v>43883.309548611112</v>
      </c>
      <c r="B5044" t="str">
        <f>HYPERLINK("https://twitter.com/AyahEnya","@AyahEnya")</f>
        <v>@AyahEnya</v>
      </c>
      <c r="C5044" t="s">
        <v>2119</v>
      </c>
      <c r="D5044">
        <v>429</v>
      </c>
      <c r="E5044">
        <v>0</v>
      </c>
      <c r="F5044">
        <v>1022</v>
      </c>
    </row>
    <row r="5045" spans="1:6" ht="12.75">
      <c r="A5045" s="2">
        <v>43883.308877314819</v>
      </c>
      <c r="B5045" t="str">
        <f>HYPERLINK("https://twitter.com/tribun10_mlg","@tribun10_mlg")</f>
        <v>@tribun10_mlg</v>
      </c>
      <c r="C5045" t="s">
        <v>2119</v>
      </c>
      <c r="D5045">
        <v>429</v>
      </c>
      <c r="E5045">
        <v>0</v>
      </c>
      <c r="F5045">
        <v>129</v>
      </c>
    </row>
    <row r="5046" spans="1:6" ht="12.75">
      <c r="A5046" s="2">
        <v>43883.305902777778</v>
      </c>
      <c r="B5046" t="str">
        <f>HYPERLINK("https://twitter.com/Bayu12A","@Bayu12A")</f>
        <v>@Bayu12A</v>
      </c>
      <c r="C5046" t="s">
        <v>3994</v>
      </c>
      <c r="D5046">
        <v>0</v>
      </c>
      <c r="E5046">
        <v>0</v>
      </c>
      <c r="F5046">
        <v>77</v>
      </c>
    </row>
    <row r="5047" spans="1:6" ht="12.75">
      <c r="A5047" s="2">
        <v>43883.305439814816</v>
      </c>
      <c r="B5047" t="str">
        <f>HYPERLINK("https://twitter.com/sujimoto6","@sujimoto6")</f>
        <v>@sujimoto6</v>
      </c>
      <c r="C5047" t="s">
        <v>2119</v>
      </c>
      <c r="D5047">
        <v>429</v>
      </c>
      <c r="E5047">
        <v>0</v>
      </c>
      <c r="F5047">
        <v>41</v>
      </c>
    </row>
    <row r="5048" spans="1:6" ht="12.75">
      <c r="A5048" s="2">
        <v>43883.305266203708</v>
      </c>
      <c r="B5048" t="str">
        <f>HYPERLINK("https://twitter.com/elhakimy21","@elhakimy21")</f>
        <v>@elhakimy21</v>
      </c>
      <c r="C5048" t="s">
        <v>3995</v>
      </c>
      <c r="D5048">
        <v>11</v>
      </c>
      <c r="E5048">
        <v>0</v>
      </c>
      <c r="F5048">
        <v>871</v>
      </c>
    </row>
    <row r="5049" spans="1:6" ht="12.75">
      <c r="A5049" s="2">
        <v>43883.304513888885</v>
      </c>
      <c r="B5049" t="str">
        <f t="shared" ref="B5049:B5050" si="98">HYPERLINK("https://twitter.com/sikecilmarmut","@sikecilmarmut")</f>
        <v>@sikecilmarmut</v>
      </c>
      <c r="C5049" t="s">
        <v>3996</v>
      </c>
      <c r="D5049">
        <v>35</v>
      </c>
      <c r="E5049">
        <v>0</v>
      </c>
      <c r="F5049">
        <v>2233</v>
      </c>
    </row>
    <row r="5050" spans="1:6" ht="12.75">
      <c r="A5050" s="2">
        <v>43883.304479166662</v>
      </c>
      <c r="B5050" t="str">
        <f t="shared" si="98"/>
        <v>@sikecilmarmut</v>
      </c>
      <c r="C5050" t="s">
        <v>3997</v>
      </c>
      <c r="D5050">
        <v>16</v>
      </c>
      <c r="E5050">
        <v>0</v>
      </c>
      <c r="F5050">
        <v>2233</v>
      </c>
    </row>
    <row r="5051" spans="1:6" ht="12.75">
      <c r="A5051" s="2">
        <v>43883.304444444446</v>
      </c>
      <c r="B5051" t="str">
        <f>HYPERLINK("https://twitter.com/EmireqSyah","@EmireqSyah")</f>
        <v>@EmireqSyah</v>
      </c>
      <c r="C5051" t="s">
        <v>2119</v>
      </c>
      <c r="D5051">
        <v>429</v>
      </c>
      <c r="E5051">
        <v>0</v>
      </c>
      <c r="F5051">
        <v>8</v>
      </c>
    </row>
    <row r="5052" spans="1:6" ht="12.75">
      <c r="A5052" s="2">
        <v>43883.302743055552</v>
      </c>
      <c r="B5052" t="str">
        <f>HYPERLINK("https://twitter.com/golagool","@golagool")</f>
        <v>@golagool</v>
      </c>
      <c r="C5052" t="s">
        <v>3998</v>
      </c>
      <c r="D5052">
        <v>0</v>
      </c>
      <c r="E5052">
        <v>0</v>
      </c>
      <c r="F5052">
        <v>691</v>
      </c>
    </row>
    <row r="5053" spans="1:6" ht="12.75">
      <c r="A5053" s="2">
        <v>43883.302500000005</v>
      </c>
      <c r="B5053" t="str">
        <f>HYPERLINK("https://twitter.com/spaceinsea","@spaceinsea")</f>
        <v>@spaceinsea</v>
      </c>
      <c r="C5053" t="s">
        <v>2087</v>
      </c>
      <c r="D5053">
        <v>38</v>
      </c>
      <c r="E5053">
        <v>0</v>
      </c>
      <c r="F5053">
        <v>99</v>
      </c>
    </row>
    <row r="5054" spans="1:6" ht="12.75">
      <c r="A5054" s="2">
        <v>43883.302199074074</v>
      </c>
      <c r="B5054" t="str">
        <f>HYPERLINK("https://twitter.com/dizyayan","@dizyayan")</f>
        <v>@dizyayan</v>
      </c>
      <c r="C5054" t="s">
        <v>3090</v>
      </c>
      <c r="D5054">
        <v>25</v>
      </c>
      <c r="E5054">
        <v>0</v>
      </c>
      <c r="F5054">
        <v>413</v>
      </c>
    </row>
    <row r="5055" spans="1:6" ht="12.75">
      <c r="A5055" s="2">
        <v>43883.301805555559</v>
      </c>
      <c r="B5055" t="str">
        <f>HYPERLINK("https://twitter.com/teguhtriyandas","@teguhtriyandas")</f>
        <v>@teguhtriyandas</v>
      </c>
      <c r="C5055" t="s">
        <v>3508</v>
      </c>
      <c r="D5055">
        <v>78</v>
      </c>
      <c r="E5055">
        <v>0</v>
      </c>
      <c r="F5055">
        <v>712</v>
      </c>
    </row>
    <row r="5056" spans="1:6" ht="12.75">
      <c r="A5056" s="2">
        <v>43883.301319444443</v>
      </c>
      <c r="B5056" t="str">
        <f>HYPERLINK("https://twitter.com/riantiarnoID","@riantiarnoID")</f>
        <v>@riantiarnoID</v>
      </c>
      <c r="C5056" t="s">
        <v>3980</v>
      </c>
      <c r="D5056">
        <v>5</v>
      </c>
      <c r="E5056">
        <v>0</v>
      </c>
      <c r="F5056">
        <v>376</v>
      </c>
    </row>
    <row r="5057" spans="1:6" ht="12.75">
      <c r="A5057" s="2">
        <v>43883.301157407404</v>
      </c>
      <c r="B5057" t="str">
        <f>HYPERLINK("https://twitter.com/mediaindonesia","@mediaindonesia")</f>
        <v>@mediaindonesia</v>
      </c>
      <c r="C5057" t="s">
        <v>3999</v>
      </c>
      <c r="D5057">
        <v>0</v>
      </c>
      <c r="E5057">
        <v>5</v>
      </c>
      <c r="F5057">
        <v>1417826</v>
      </c>
    </row>
    <row r="5058" spans="1:6" ht="12.75">
      <c r="A5058" s="2">
        <v>43883.30097222222</v>
      </c>
      <c r="B5058" t="str">
        <f>HYPERLINK("https://twitter.com/topanviki","@topanviki")</f>
        <v>@topanviki</v>
      </c>
      <c r="C5058" t="s">
        <v>2119</v>
      </c>
      <c r="D5058">
        <v>429</v>
      </c>
      <c r="E5058">
        <v>0</v>
      </c>
      <c r="F5058">
        <v>1</v>
      </c>
    </row>
    <row r="5059" spans="1:6" ht="12.75">
      <c r="A5059" s="2">
        <v>43883.300798611112</v>
      </c>
      <c r="B5059" t="str">
        <f>HYPERLINK("https://twitter.com/bobbymarantika","@bobbymarantika")</f>
        <v>@bobbymarantika</v>
      </c>
      <c r="C5059" t="s">
        <v>3980</v>
      </c>
      <c r="D5059">
        <v>5</v>
      </c>
      <c r="E5059">
        <v>0</v>
      </c>
      <c r="F5059">
        <v>59</v>
      </c>
    </row>
    <row r="5060" spans="1:6" ht="12.75">
      <c r="A5060" s="2">
        <v>43883.300729166665</v>
      </c>
      <c r="B5060" t="str">
        <f>HYPERLINK("https://twitter.com/alanisaicha","@alanisaicha")</f>
        <v>@alanisaicha</v>
      </c>
      <c r="C5060" t="s">
        <v>4000</v>
      </c>
      <c r="D5060">
        <v>0</v>
      </c>
      <c r="E5060">
        <v>0</v>
      </c>
      <c r="F5060">
        <v>627</v>
      </c>
    </row>
    <row r="5061" spans="1:6" ht="12.75">
      <c r="A5061" s="2">
        <v>43883.300173611111</v>
      </c>
      <c r="B5061" t="str">
        <f>HYPERLINK("https://twitter.com/Gila_bola87","@Gila_bola87")</f>
        <v>@Gila_bola87</v>
      </c>
      <c r="C5061" t="s">
        <v>2119</v>
      </c>
      <c r="D5061">
        <v>429</v>
      </c>
      <c r="E5061">
        <v>0</v>
      </c>
      <c r="F5061">
        <v>582</v>
      </c>
    </row>
    <row r="5062" spans="1:6" ht="12.75">
      <c r="A5062" s="2">
        <v>43883.298425925925</v>
      </c>
      <c r="B5062" t="str">
        <f>HYPERLINK("https://twitter.com/hansssolo","@hansssolo")</f>
        <v>@hansssolo</v>
      </c>
      <c r="C5062" t="s">
        <v>4001</v>
      </c>
      <c r="D5062">
        <v>0</v>
      </c>
      <c r="E5062">
        <v>0</v>
      </c>
      <c r="F5062">
        <v>1607</v>
      </c>
    </row>
    <row r="5063" spans="1:6" ht="12.75">
      <c r="A5063" s="2">
        <v>43883.298368055555</v>
      </c>
      <c r="B5063" t="str">
        <f>HYPERLINK("https://twitter.com/DavidRuslie8","@DavidRuslie8")</f>
        <v>@DavidRuslie8</v>
      </c>
      <c r="C5063" t="s">
        <v>2119</v>
      </c>
      <c r="D5063">
        <v>429</v>
      </c>
      <c r="E5063">
        <v>0</v>
      </c>
      <c r="F5063">
        <v>928</v>
      </c>
    </row>
    <row r="5064" spans="1:6" ht="12.75">
      <c r="A5064" s="2">
        <v>43883.297743055555</v>
      </c>
      <c r="B5064" t="str">
        <f>HYPERLINK("https://twitter.com/mediaindonesia","@mediaindonesia")</f>
        <v>@mediaindonesia</v>
      </c>
      <c r="C5064" t="s">
        <v>4002</v>
      </c>
      <c r="D5064">
        <v>5</v>
      </c>
      <c r="E5064">
        <v>7</v>
      </c>
      <c r="F5064">
        <v>1417826</v>
      </c>
    </row>
    <row r="5065" spans="1:6" ht="12.75">
      <c r="A5065" s="2">
        <v>43883.297280092593</v>
      </c>
      <c r="B5065" t="str">
        <f>HYPERLINK("https://twitter.com/eko_alaya","@eko_alaya")</f>
        <v>@eko_alaya</v>
      </c>
      <c r="C5065" t="s">
        <v>4003</v>
      </c>
      <c r="D5065">
        <v>0</v>
      </c>
      <c r="E5065">
        <v>0</v>
      </c>
      <c r="F5065">
        <v>776</v>
      </c>
    </row>
    <row r="5066" spans="1:6" ht="12.75">
      <c r="A5066" s="2">
        <v>43883.296979166669</v>
      </c>
      <c r="B5066" t="str">
        <f>HYPERLINK("https://twitter.com/adriankusaihir1","@adriankusaihir1")</f>
        <v>@adriankusaihir1</v>
      </c>
      <c r="C5066" t="s">
        <v>4004</v>
      </c>
      <c r="D5066">
        <v>0</v>
      </c>
      <c r="E5066">
        <v>0</v>
      </c>
      <c r="F5066">
        <v>89</v>
      </c>
    </row>
    <row r="5067" spans="1:6" ht="12.75">
      <c r="A5067" s="2">
        <v>43883.296446759261</v>
      </c>
      <c r="B5067" t="str">
        <f>HYPERLINK("https://twitter.com/MataMataPolitik","@MataMataPolitik")</f>
        <v>@MataMataPolitik</v>
      </c>
      <c r="C5067" t="s">
        <v>4005</v>
      </c>
      <c r="D5067">
        <v>0</v>
      </c>
      <c r="E5067">
        <v>0</v>
      </c>
      <c r="F5067">
        <v>3824</v>
      </c>
    </row>
    <row r="5068" spans="1:6" ht="12.75">
      <c r="A5068" s="2">
        <v>43883.296157407407</v>
      </c>
      <c r="B5068" t="str">
        <f>HYPERLINK("https://twitter.com/ISIS_Balik_NO","@ISIS_Balik_NO")</f>
        <v>@ISIS_Balik_NO</v>
      </c>
      <c r="C5068" t="s">
        <v>4006</v>
      </c>
      <c r="D5068">
        <v>0</v>
      </c>
      <c r="E5068">
        <v>1</v>
      </c>
      <c r="F5068">
        <v>6096</v>
      </c>
    </row>
    <row r="5069" spans="1:6" ht="12.75">
      <c r="A5069" s="2">
        <v>43883.295706018514</v>
      </c>
      <c r="B5069" t="str">
        <f>HYPERLINK("https://twitter.com/damario04","@damario04")</f>
        <v>@damario04</v>
      </c>
      <c r="C5069" t="s">
        <v>4007</v>
      </c>
      <c r="D5069">
        <v>0</v>
      </c>
      <c r="E5069">
        <v>0</v>
      </c>
      <c r="F5069">
        <v>404</v>
      </c>
    </row>
    <row r="5070" spans="1:6" ht="12.75">
      <c r="A5070" s="2">
        <v>43883.294699074075</v>
      </c>
      <c r="B5070" t="str">
        <f>HYPERLINK("https://twitter.com/FauzanWinarno","@FauzanWinarno")</f>
        <v>@FauzanWinarno</v>
      </c>
      <c r="C5070" t="s">
        <v>4008</v>
      </c>
      <c r="D5070">
        <v>0</v>
      </c>
      <c r="E5070">
        <v>0</v>
      </c>
      <c r="F5070">
        <v>30</v>
      </c>
    </row>
    <row r="5071" spans="1:6" ht="12.75">
      <c r="A5071" s="2">
        <v>43883.294490740736</v>
      </c>
      <c r="B5071" t="str">
        <f>HYPERLINK("https://twitter.com/dol_shariff","@dol_shariff")</f>
        <v>@dol_shariff</v>
      </c>
      <c r="C5071" t="s">
        <v>3333</v>
      </c>
      <c r="D5071">
        <v>2</v>
      </c>
      <c r="E5071">
        <v>0</v>
      </c>
      <c r="F5071">
        <v>419</v>
      </c>
    </row>
    <row r="5072" spans="1:6" ht="12.75">
      <c r="A5072" s="2">
        <v>43883.293819444443</v>
      </c>
      <c r="B5072" t="str">
        <f>HYPERLINK("https://twitter.com/Djoni_Macs","@Djoni_Macs")</f>
        <v>@Djoni_Macs</v>
      </c>
      <c r="C5072" t="s">
        <v>2119</v>
      </c>
      <c r="D5072">
        <v>429</v>
      </c>
      <c r="E5072">
        <v>0</v>
      </c>
      <c r="F5072">
        <v>1833</v>
      </c>
    </row>
    <row r="5073" spans="1:6" ht="12.75">
      <c r="A5073" s="2">
        <v>43883.29310185185</v>
      </c>
      <c r="B5073" t="str">
        <f>HYPERLINK("https://twitter.com/DewaSusadia","@DewaSusadia")</f>
        <v>@DewaSusadia</v>
      </c>
      <c r="C5073" t="s">
        <v>4009</v>
      </c>
      <c r="D5073">
        <v>0</v>
      </c>
      <c r="E5073">
        <v>0</v>
      </c>
      <c r="F5073">
        <v>25</v>
      </c>
    </row>
    <row r="5074" spans="1:6" ht="12.75">
      <c r="A5074" s="2">
        <v>43883.29305555555</v>
      </c>
      <c r="B5074" t="str">
        <f>HYPERLINK("https://twitter.com/AA10109X","@AA10109X")</f>
        <v>@AA10109X</v>
      </c>
      <c r="C5074" t="s">
        <v>2711</v>
      </c>
      <c r="D5074">
        <v>160</v>
      </c>
      <c r="E5074">
        <v>0</v>
      </c>
      <c r="F5074">
        <v>519</v>
      </c>
    </row>
    <row r="5075" spans="1:6" ht="12.75">
      <c r="A5075" s="2">
        <v>43883.292291666672</v>
      </c>
      <c r="B5075" t="str">
        <f>HYPERLINK("https://twitter.com/JejaksiA","@JejaksiA")</f>
        <v>@JejaksiA</v>
      </c>
      <c r="C5075" t="s">
        <v>1515</v>
      </c>
      <c r="D5075">
        <v>656</v>
      </c>
      <c r="E5075">
        <v>0</v>
      </c>
      <c r="F5075">
        <v>8</v>
      </c>
    </row>
    <row r="5076" spans="1:6" ht="12.75">
      <c r="A5076" s="2">
        <v>43883.29210648148</v>
      </c>
      <c r="B5076" t="str">
        <f>HYPERLINK("https://twitter.com/a_onepray","@a_onepray")</f>
        <v>@a_onepray</v>
      </c>
      <c r="C5076" t="s">
        <v>4010</v>
      </c>
      <c r="D5076">
        <v>0</v>
      </c>
      <c r="E5076">
        <v>0</v>
      </c>
      <c r="F5076">
        <v>162</v>
      </c>
    </row>
    <row r="5077" spans="1:6" ht="12.75">
      <c r="A5077" s="2">
        <v>43883.291932870372</v>
      </c>
      <c r="B5077" t="str">
        <f>HYPERLINK("https://twitter.com/adhi_beka","@adhi_beka")</f>
        <v>@adhi_beka</v>
      </c>
      <c r="C5077" t="s">
        <v>4011</v>
      </c>
      <c r="D5077">
        <v>0</v>
      </c>
      <c r="E5077">
        <v>0</v>
      </c>
      <c r="F5077">
        <v>1701</v>
      </c>
    </row>
    <row r="5078" spans="1:6" ht="12.75">
      <c r="A5078" s="2">
        <v>43883.290868055556</v>
      </c>
      <c r="B5078" t="str">
        <f>HYPERLINK("https://twitter.com/guruhwisnuw","@guruhwisnuw")</f>
        <v>@guruhwisnuw</v>
      </c>
      <c r="C5078" t="s">
        <v>4012</v>
      </c>
      <c r="D5078">
        <v>0</v>
      </c>
      <c r="E5078">
        <v>0</v>
      </c>
      <c r="F5078">
        <v>94</v>
      </c>
    </row>
    <row r="5079" spans="1:6" ht="12.75">
      <c r="A5079" s="2">
        <v>43883.290729166663</v>
      </c>
      <c r="B5079" t="str">
        <f>HYPERLINK("https://twitter.com/ISIS_Balik_NO","@ISIS_Balik_NO")</f>
        <v>@ISIS_Balik_NO</v>
      </c>
      <c r="C5079" t="s">
        <v>4013</v>
      </c>
      <c r="D5079">
        <v>40</v>
      </c>
      <c r="E5079">
        <v>0</v>
      </c>
      <c r="F5079">
        <v>6094</v>
      </c>
    </row>
    <row r="5080" spans="1:6" ht="12.75">
      <c r="A5080" s="2">
        <v>43883.289814814816</v>
      </c>
      <c r="B5080" t="str">
        <f>HYPERLINK("https://twitter.com/muhammadsyakur2","@muhammadsyakur2")</f>
        <v>@muhammadsyakur2</v>
      </c>
      <c r="C5080" t="s">
        <v>4014</v>
      </c>
      <c r="D5080">
        <v>0</v>
      </c>
      <c r="E5080">
        <v>0</v>
      </c>
      <c r="F5080">
        <v>280</v>
      </c>
    </row>
    <row r="5081" spans="1:6" ht="12.75">
      <c r="A5081" s="2">
        <v>43883.289224537039</v>
      </c>
      <c r="B5081" t="str">
        <f>HYPERLINK("https://twitter.com/qy2lj6tfhfy77rt","@qy2lj6tfhfy77rt")</f>
        <v>@qy2lj6tfhfy77rt</v>
      </c>
      <c r="C5081" t="s">
        <v>4015</v>
      </c>
      <c r="D5081">
        <v>0</v>
      </c>
      <c r="E5081">
        <v>0</v>
      </c>
      <c r="F5081">
        <v>0</v>
      </c>
    </row>
    <row r="5082" spans="1:6" ht="12.75">
      <c r="A5082" s="2">
        <v>43883.288321759261</v>
      </c>
      <c r="B5082" t="str">
        <f>HYPERLINK("https://twitter.com/LRahmadsyahJ2P","@LRahmadsyahJ2P")</f>
        <v>@LRahmadsyahJ2P</v>
      </c>
      <c r="C5082" t="s">
        <v>2119</v>
      </c>
      <c r="D5082">
        <v>407</v>
      </c>
      <c r="E5082">
        <v>0</v>
      </c>
      <c r="F5082">
        <v>610</v>
      </c>
    </row>
    <row r="5083" spans="1:6" ht="12.75">
      <c r="A5083" s="2">
        <v>43883.288171296299</v>
      </c>
      <c r="B5083" t="str">
        <f>HYPERLINK("https://twitter.com/yubhar","@yubhar")</f>
        <v>@yubhar</v>
      </c>
      <c r="C5083" t="s">
        <v>4016</v>
      </c>
      <c r="D5083">
        <v>0</v>
      </c>
      <c r="E5083">
        <v>0</v>
      </c>
      <c r="F5083">
        <v>103</v>
      </c>
    </row>
    <row r="5084" spans="1:6" ht="12.75">
      <c r="A5084" s="2">
        <v>43883.288159722222</v>
      </c>
      <c r="B5084" t="str">
        <f t="shared" ref="B5084:B5085" si="99">HYPERLINK("https://twitter.com/ylchaniago","@ylchaniago")</f>
        <v>@ylchaniago</v>
      </c>
      <c r="C5084" t="s">
        <v>4017</v>
      </c>
      <c r="D5084">
        <v>1</v>
      </c>
      <c r="E5084">
        <v>0</v>
      </c>
      <c r="F5084">
        <v>5391</v>
      </c>
    </row>
    <row r="5085" spans="1:6" ht="12.75">
      <c r="A5085" s="2">
        <v>43883.288101851853</v>
      </c>
      <c r="B5085" t="str">
        <f t="shared" si="99"/>
        <v>@ylchaniago</v>
      </c>
      <c r="C5085" t="s">
        <v>4018</v>
      </c>
      <c r="D5085">
        <v>1</v>
      </c>
      <c r="E5085">
        <v>0</v>
      </c>
      <c r="F5085">
        <v>5391</v>
      </c>
    </row>
    <row r="5086" spans="1:6" ht="12.75">
      <c r="A5086" s="2">
        <v>43883.287800925929</v>
      </c>
      <c r="B5086" t="str">
        <f>HYPERLINK("https://twitter.com/Mungcah_Angon","@Mungcah_Angon")</f>
        <v>@Mungcah_Angon</v>
      </c>
      <c r="C5086" t="s">
        <v>3532</v>
      </c>
      <c r="D5086">
        <v>38</v>
      </c>
      <c r="E5086">
        <v>0</v>
      </c>
      <c r="F5086">
        <v>158</v>
      </c>
    </row>
    <row r="5087" spans="1:6" ht="12.75">
      <c r="A5087" s="2">
        <v>43883.287523148145</v>
      </c>
      <c r="B5087" t="str">
        <f>HYPERLINK("https://twitter.com/ISIS_Balik_NO","@ISIS_Balik_NO")</f>
        <v>@ISIS_Balik_NO</v>
      </c>
      <c r="C5087" t="s">
        <v>4019</v>
      </c>
      <c r="D5087">
        <v>0</v>
      </c>
      <c r="E5087">
        <v>1</v>
      </c>
      <c r="F5087">
        <v>6094</v>
      </c>
    </row>
    <row r="5088" spans="1:6" ht="12.75">
      <c r="A5088" s="2">
        <v>43883.28738425926</v>
      </c>
      <c r="B5088" t="str">
        <f>HYPERLINK("https://twitter.com/sonymilanista","@sonymilanista")</f>
        <v>@sonymilanista</v>
      </c>
      <c r="C5088" t="s">
        <v>2119</v>
      </c>
      <c r="D5088">
        <v>407</v>
      </c>
      <c r="E5088">
        <v>0</v>
      </c>
      <c r="F5088">
        <v>195</v>
      </c>
    </row>
    <row r="5089" spans="1:6" ht="12.75">
      <c r="A5089" s="2">
        <v>43883.28628472222</v>
      </c>
      <c r="B5089" t="str">
        <f>HYPERLINK("https://twitter.com/fans_ayanami","@fans_ayanami")</f>
        <v>@fans_ayanami</v>
      </c>
      <c r="C5089" t="s">
        <v>4020</v>
      </c>
      <c r="D5089">
        <v>55</v>
      </c>
      <c r="E5089">
        <v>0</v>
      </c>
      <c r="F5089">
        <v>455</v>
      </c>
    </row>
    <row r="5090" spans="1:6" ht="12.75">
      <c r="A5090" s="2">
        <v>43883.28606481482</v>
      </c>
      <c r="B5090" t="str">
        <f>HYPERLINK("https://twitter.com/bipolonline","@bipolonline")</f>
        <v>@bipolonline</v>
      </c>
      <c r="C5090" t="s">
        <v>4021</v>
      </c>
      <c r="D5090">
        <v>0</v>
      </c>
      <c r="E5090">
        <v>0</v>
      </c>
      <c r="F5090">
        <v>214</v>
      </c>
    </row>
    <row r="5091" spans="1:6" ht="12.75">
      <c r="A5091" s="2">
        <v>43883.285902777774</v>
      </c>
      <c r="B5091" t="str">
        <f>HYPERLINK("https://twitter.com/triwul82","@triwul82")</f>
        <v>@triwul82</v>
      </c>
      <c r="C5091" t="s">
        <v>4022</v>
      </c>
      <c r="D5091">
        <v>0</v>
      </c>
      <c r="E5091">
        <v>1</v>
      </c>
      <c r="F5091">
        <v>29030</v>
      </c>
    </row>
    <row r="5092" spans="1:6" ht="12.75">
      <c r="A5092" s="2">
        <v>43883.285775462966</v>
      </c>
      <c r="B5092" t="str">
        <f>HYPERLINK("https://twitter.com/HarjonoPudjo","@HarjonoPudjo")</f>
        <v>@HarjonoPudjo</v>
      </c>
      <c r="C5092" t="s">
        <v>177</v>
      </c>
      <c r="D5092">
        <v>808</v>
      </c>
      <c r="E5092">
        <v>0</v>
      </c>
      <c r="F5092">
        <v>14</v>
      </c>
    </row>
    <row r="5093" spans="1:6" ht="12.75">
      <c r="A5093" s="2">
        <v>43883.285312499997</v>
      </c>
      <c r="B5093" t="str">
        <f>HYPERLINK("https://twitter.com/ISIS_Balik_NO","@ISIS_Balik_NO")</f>
        <v>@ISIS_Balik_NO</v>
      </c>
      <c r="C5093" t="s">
        <v>4023</v>
      </c>
      <c r="D5093">
        <v>177</v>
      </c>
      <c r="E5093">
        <v>0</v>
      </c>
      <c r="F5093">
        <v>6094</v>
      </c>
    </row>
    <row r="5094" spans="1:6" ht="12.75">
      <c r="A5094" s="2">
        <v>43883.284386574072</v>
      </c>
      <c r="B5094" t="str">
        <f>HYPERLINK("https://twitter.com/mesintaipburuk","@mesintaipburuk")</f>
        <v>@mesintaipburuk</v>
      </c>
      <c r="C5094" t="s">
        <v>4024</v>
      </c>
      <c r="D5094">
        <v>0</v>
      </c>
      <c r="E5094">
        <v>0</v>
      </c>
      <c r="F5094">
        <v>859</v>
      </c>
    </row>
    <row r="5095" spans="1:6" ht="12.75">
      <c r="A5095" s="2">
        <v>43883.283877314811</v>
      </c>
      <c r="B5095" t="str">
        <f>HYPERLINK("https://twitter.com/ichachi96","@ichachi96")</f>
        <v>@ichachi96</v>
      </c>
      <c r="C5095" t="s">
        <v>3202</v>
      </c>
      <c r="D5095">
        <v>1</v>
      </c>
      <c r="E5095">
        <v>0</v>
      </c>
      <c r="F5095">
        <v>439</v>
      </c>
    </row>
    <row r="5096" spans="1:6" ht="12.75">
      <c r="A5096" s="2">
        <v>43883.28324074074</v>
      </c>
      <c r="B5096" t="str">
        <f>HYPERLINK("https://twitter.com/LTH70166050","@LTH70166050")</f>
        <v>@LTH70166050</v>
      </c>
      <c r="C5096" t="s">
        <v>2119</v>
      </c>
      <c r="D5096">
        <v>407</v>
      </c>
      <c r="E5096">
        <v>0</v>
      </c>
      <c r="F5096">
        <v>51</v>
      </c>
    </row>
    <row r="5097" spans="1:6" ht="12.75">
      <c r="A5097" s="2">
        <v>43883.280740740738</v>
      </c>
      <c r="B5097" t="str">
        <f>HYPERLINK("https://twitter.com/ISIS_Balik_NO","@ISIS_Balik_NO")</f>
        <v>@ISIS_Balik_NO</v>
      </c>
      <c r="C5097" t="s">
        <v>4025</v>
      </c>
      <c r="D5097">
        <v>111</v>
      </c>
      <c r="E5097">
        <v>0</v>
      </c>
      <c r="F5097">
        <v>6094</v>
      </c>
    </row>
    <row r="5098" spans="1:6" ht="12.75">
      <c r="A5098" s="2">
        <v>43883.28052083333</v>
      </c>
      <c r="B5098" t="str">
        <f>HYPERLINK("https://twitter.com/Khalida_Amira","@Khalida_Amira")</f>
        <v>@Khalida_Amira</v>
      </c>
      <c r="C5098" t="s">
        <v>2711</v>
      </c>
      <c r="D5098">
        <v>160</v>
      </c>
      <c r="E5098">
        <v>0</v>
      </c>
      <c r="F5098">
        <v>113</v>
      </c>
    </row>
    <row r="5099" spans="1:6" ht="12.75">
      <c r="A5099" s="2">
        <v>43883.279745370368</v>
      </c>
      <c r="B5099" t="str">
        <f>HYPERLINK("https://twitter.com/r0nggo05","@r0nggo05")</f>
        <v>@r0nggo05</v>
      </c>
      <c r="C5099" t="s">
        <v>4026</v>
      </c>
      <c r="D5099">
        <v>0</v>
      </c>
      <c r="E5099">
        <v>0</v>
      </c>
      <c r="F5099">
        <v>324</v>
      </c>
    </row>
    <row r="5100" spans="1:6" ht="12.75">
      <c r="A5100" s="2">
        <v>43883.278877314813</v>
      </c>
      <c r="B5100" t="str">
        <f>HYPERLINK("https://twitter.com/cujarieana","@cujarieana")</f>
        <v>@cujarieana</v>
      </c>
      <c r="C5100" t="s">
        <v>3090</v>
      </c>
      <c r="D5100">
        <v>17</v>
      </c>
      <c r="E5100">
        <v>0</v>
      </c>
      <c r="F5100">
        <v>698</v>
      </c>
    </row>
    <row r="5101" spans="1:6" ht="12.75">
      <c r="A5101" s="2">
        <v>43883.278298611112</v>
      </c>
      <c r="B5101" t="str">
        <f>HYPERLINK("https://twitter.com/z_ray86","@z_ray86")</f>
        <v>@z_ray86</v>
      </c>
      <c r="C5101" t="s">
        <v>2711</v>
      </c>
      <c r="D5101">
        <v>160</v>
      </c>
      <c r="E5101">
        <v>0</v>
      </c>
      <c r="F5101">
        <v>96</v>
      </c>
    </row>
    <row r="5102" spans="1:6" ht="12.75">
      <c r="A5102" s="2">
        <v>43883.277465277773</v>
      </c>
      <c r="B5102" t="str">
        <f>HYPERLINK("https://twitter.com/jagmesbon","@jagmesbon")</f>
        <v>@jagmesbon</v>
      </c>
      <c r="C5102" t="s">
        <v>4027</v>
      </c>
      <c r="D5102">
        <v>0</v>
      </c>
      <c r="E5102">
        <v>0</v>
      </c>
      <c r="F5102">
        <v>52</v>
      </c>
    </row>
    <row r="5103" spans="1:6" ht="12.75">
      <c r="A5103" s="2">
        <v>43883.277442129634</v>
      </c>
      <c r="B5103" t="str">
        <f>HYPERLINK("https://twitter.com/Mylawyer_APP","@Mylawyer_APP")</f>
        <v>@Mylawyer_APP</v>
      </c>
      <c r="C5103" t="s">
        <v>4028</v>
      </c>
      <c r="D5103">
        <v>0</v>
      </c>
      <c r="E5103">
        <v>0</v>
      </c>
      <c r="F5103">
        <v>1</v>
      </c>
    </row>
    <row r="5104" spans="1:6" ht="12.75">
      <c r="A5104" s="2">
        <v>43883.276724537034</v>
      </c>
      <c r="B5104" t="str">
        <f>HYPERLINK("https://twitter.com/david_has","@david_has")</f>
        <v>@david_has</v>
      </c>
      <c r="C5104" t="s">
        <v>2119</v>
      </c>
      <c r="D5104">
        <v>407</v>
      </c>
      <c r="E5104">
        <v>0</v>
      </c>
      <c r="F5104">
        <v>159</v>
      </c>
    </row>
    <row r="5105" spans="1:6" ht="12.75">
      <c r="A5105" s="2">
        <v>43883.276226851856</v>
      </c>
      <c r="B5105" t="str">
        <f>HYPERLINK("https://twitter.com/LoLy_BLASTER","@LoLy_BLASTER")</f>
        <v>@LoLy_BLASTER</v>
      </c>
      <c r="C5105" t="s">
        <v>2119</v>
      </c>
      <c r="D5105">
        <v>407</v>
      </c>
      <c r="E5105">
        <v>0</v>
      </c>
      <c r="F5105">
        <v>223</v>
      </c>
    </row>
    <row r="5106" spans="1:6" ht="12.75">
      <c r="A5106" s="2">
        <v>43883.276076388887</v>
      </c>
      <c r="B5106" t="str">
        <f>HYPERLINK("https://twitter.com/TriBudi354","@TriBudi354")</f>
        <v>@TriBudi354</v>
      </c>
      <c r="C5106" t="s">
        <v>2119</v>
      </c>
      <c r="D5106">
        <v>407</v>
      </c>
      <c r="E5106">
        <v>0</v>
      </c>
      <c r="F5106">
        <v>228</v>
      </c>
    </row>
    <row r="5107" spans="1:6" ht="12.75">
      <c r="A5107" s="2">
        <v>43883.275891203702</v>
      </c>
      <c r="B5107" t="str">
        <f>HYPERLINK("https://twitter.com/FragrancesM","@FragrancesM")</f>
        <v>@FragrancesM</v>
      </c>
      <c r="C5107" t="s">
        <v>4029</v>
      </c>
      <c r="D5107">
        <v>0</v>
      </c>
      <c r="E5107">
        <v>0</v>
      </c>
      <c r="F5107">
        <v>2870</v>
      </c>
    </row>
    <row r="5108" spans="1:6" ht="12.75">
      <c r="A5108" s="2">
        <v>43883.275787037041</v>
      </c>
      <c r="B5108" t="str">
        <f>HYPERLINK("https://twitter.com/WasitMedsos4677","@WasitMedsos4677")</f>
        <v>@WasitMedsos4677</v>
      </c>
      <c r="C5108" t="s">
        <v>4030</v>
      </c>
      <c r="D5108">
        <v>0</v>
      </c>
      <c r="E5108">
        <v>1</v>
      </c>
      <c r="F5108">
        <v>4524</v>
      </c>
    </row>
    <row r="5109" spans="1:6" ht="12.75">
      <c r="A5109" s="2">
        <v>43883.274328703701</v>
      </c>
      <c r="B5109" t="str">
        <f>HYPERLINK("https://twitter.com/jo_wiyono","@jo_wiyono")</f>
        <v>@jo_wiyono</v>
      </c>
      <c r="C5109" t="s">
        <v>2119</v>
      </c>
      <c r="D5109">
        <v>407</v>
      </c>
      <c r="E5109">
        <v>0</v>
      </c>
      <c r="F5109">
        <v>16</v>
      </c>
    </row>
    <row r="5110" spans="1:6" ht="12.75">
      <c r="A5110" s="2">
        <v>43883.274293981478</v>
      </c>
      <c r="B5110" t="str">
        <f>HYPERLINK("https://twitter.com/ach_qodirmr","@ach_qodirmr")</f>
        <v>@ach_qodirmr</v>
      </c>
      <c r="C5110" t="s">
        <v>513</v>
      </c>
      <c r="D5110">
        <v>23258</v>
      </c>
      <c r="E5110">
        <v>0</v>
      </c>
      <c r="F5110">
        <v>38</v>
      </c>
    </row>
    <row r="5111" spans="1:6" ht="12.75">
      <c r="A5111" s="2">
        <v>43883.273946759262</v>
      </c>
      <c r="B5111" t="str">
        <f>HYPERLINK("https://twitter.com/jagmesbon","@jagmesbon")</f>
        <v>@jagmesbon</v>
      </c>
      <c r="C5111" t="s">
        <v>4031</v>
      </c>
      <c r="D5111">
        <v>0</v>
      </c>
      <c r="E5111">
        <v>1</v>
      </c>
      <c r="F5111">
        <v>52</v>
      </c>
    </row>
    <row r="5112" spans="1:6" ht="12.75">
      <c r="A5112" s="2">
        <v>43883.273888888885</v>
      </c>
      <c r="B5112" t="str">
        <f>HYPERLINK("https://twitter.com/capeterus","@capeterus")</f>
        <v>@capeterus</v>
      </c>
      <c r="C5112" t="s">
        <v>2087</v>
      </c>
      <c r="D5112">
        <v>36</v>
      </c>
      <c r="E5112">
        <v>0</v>
      </c>
      <c r="F5112">
        <v>15</v>
      </c>
    </row>
    <row r="5113" spans="1:6" ht="12.75">
      <c r="A5113" s="2">
        <v>43883.273194444446</v>
      </c>
      <c r="B5113" t="str">
        <f>HYPERLINK("https://twitter.com/Zamyusof2","@Zamyusof2")</f>
        <v>@Zamyusof2</v>
      </c>
      <c r="C5113" t="s">
        <v>3333</v>
      </c>
      <c r="D5113">
        <v>1</v>
      </c>
      <c r="E5113">
        <v>0</v>
      </c>
      <c r="F5113">
        <v>1167</v>
      </c>
    </row>
    <row r="5114" spans="1:6" ht="12.75">
      <c r="A5114" s="2">
        <v>43883.273182870369</v>
      </c>
      <c r="B5114" t="str">
        <f>HYPERLINK("https://twitter.com/abbakarsaeeyd","@abbakarsaeeyd")</f>
        <v>@abbakarsaeeyd</v>
      </c>
      <c r="C5114" t="s">
        <v>4032</v>
      </c>
      <c r="D5114">
        <v>0</v>
      </c>
      <c r="E5114">
        <v>0</v>
      </c>
      <c r="F5114">
        <v>70</v>
      </c>
    </row>
    <row r="5115" spans="1:6" ht="12.75">
      <c r="A5115" s="2">
        <v>43883.272858796292</v>
      </c>
      <c r="B5115" t="str">
        <f>HYPERLINK("https://twitter.com/Jengkreng12","@Jengkreng12")</f>
        <v>@Jengkreng12</v>
      </c>
      <c r="C5115" t="s">
        <v>4033</v>
      </c>
      <c r="D5115">
        <v>1</v>
      </c>
      <c r="E5115">
        <v>1</v>
      </c>
      <c r="F5115">
        <v>502</v>
      </c>
    </row>
    <row r="5116" spans="1:6" ht="12.75">
      <c r="A5116" s="2">
        <v>43883.271134259259</v>
      </c>
      <c r="B5116" t="str">
        <f>HYPERLINK("https://twitter.com/Rifiaaachya","@Rifiaaachya")</f>
        <v>@Rifiaaachya</v>
      </c>
      <c r="C5116" t="s">
        <v>3508</v>
      </c>
      <c r="D5116">
        <v>77</v>
      </c>
      <c r="E5116">
        <v>0</v>
      </c>
      <c r="F5116">
        <v>491</v>
      </c>
    </row>
    <row r="5117" spans="1:6" ht="12.75">
      <c r="A5117" s="2">
        <v>43883.270798611113</v>
      </c>
      <c r="B5117" t="str">
        <f>HYPERLINK("https://twitter.com/david_has","@david_has")</f>
        <v>@david_has</v>
      </c>
      <c r="C5117" t="s">
        <v>177</v>
      </c>
      <c r="D5117">
        <v>808</v>
      </c>
      <c r="E5117">
        <v>0</v>
      </c>
      <c r="F5117">
        <v>159</v>
      </c>
    </row>
    <row r="5118" spans="1:6" ht="12.75">
      <c r="A5118" s="2">
        <v>43883.27065972222</v>
      </c>
      <c r="B5118" t="str">
        <f>HYPERLINK("https://twitter.com/hanis_afifah_","@hanis_afifah_")</f>
        <v>@hanis_afifah_</v>
      </c>
      <c r="C5118" t="s">
        <v>3090</v>
      </c>
      <c r="D5118">
        <v>17</v>
      </c>
      <c r="E5118">
        <v>0</v>
      </c>
      <c r="F5118">
        <v>91</v>
      </c>
    </row>
    <row r="5119" spans="1:6" ht="12.75">
      <c r="A5119" s="2">
        <v>43883.270486111112</v>
      </c>
      <c r="B5119" t="str">
        <f>HYPERLINK("https://twitter.com/adamdianto","@adamdianto")</f>
        <v>@adamdianto</v>
      </c>
      <c r="C5119" t="s">
        <v>4034</v>
      </c>
      <c r="D5119">
        <v>0</v>
      </c>
      <c r="E5119">
        <v>0</v>
      </c>
      <c r="F5119">
        <v>55</v>
      </c>
    </row>
    <row r="5120" spans="1:6" ht="12.75">
      <c r="A5120" s="2">
        <v>43883.269872685181</v>
      </c>
      <c r="B5120" t="str">
        <f>HYPERLINK("https://twitter.com/EL_Atheos","@EL_Atheos")</f>
        <v>@EL_Atheos</v>
      </c>
      <c r="C5120" t="s">
        <v>4035</v>
      </c>
      <c r="D5120">
        <v>1</v>
      </c>
      <c r="E5120">
        <v>0</v>
      </c>
      <c r="F5120">
        <v>2470</v>
      </c>
    </row>
    <row r="5121" spans="1:6" ht="12.75">
      <c r="A5121" s="2">
        <v>43883.269756944443</v>
      </c>
      <c r="B5121" t="str">
        <f>HYPERLINK("https://twitter.com/ISIS_Balik_NO","@ISIS_Balik_NO")</f>
        <v>@ISIS_Balik_NO</v>
      </c>
      <c r="C5121" t="s">
        <v>4036</v>
      </c>
      <c r="D5121">
        <v>9</v>
      </c>
      <c r="E5121">
        <v>0</v>
      </c>
      <c r="F5121">
        <v>6094</v>
      </c>
    </row>
    <row r="5122" spans="1:6" ht="12.75">
      <c r="A5122" s="2">
        <v>43883.269259259258</v>
      </c>
      <c r="B5122" t="str">
        <f>HYPERLINK("https://twitter.com/ChusjairiMb","@ChusjairiMb")</f>
        <v>@ChusjairiMb</v>
      </c>
      <c r="C5122" t="s">
        <v>4037</v>
      </c>
      <c r="D5122">
        <v>0</v>
      </c>
      <c r="E5122">
        <v>1</v>
      </c>
      <c r="F5122">
        <v>3824</v>
      </c>
    </row>
    <row r="5123" spans="1:6" ht="12.75">
      <c r="A5123" s="2">
        <v>43883.267430555556</v>
      </c>
      <c r="B5123" t="str">
        <f>HYPERLINK("https://twitter.com/NPembangunan","@NPembangunan")</f>
        <v>@NPembangunan</v>
      </c>
      <c r="C5123" t="s">
        <v>4038</v>
      </c>
      <c r="D5123">
        <v>0</v>
      </c>
      <c r="E5123">
        <v>0</v>
      </c>
      <c r="F5123">
        <v>157</v>
      </c>
    </row>
    <row r="5124" spans="1:6" ht="12.75">
      <c r="A5124" s="2">
        <v>43883.26630787037</v>
      </c>
      <c r="B5124" t="str">
        <f>HYPERLINK("https://twitter.com/60far60pay","@60far60pay")</f>
        <v>@60far60pay</v>
      </c>
      <c r="C5124" t="s">
        <v>4039</v>
      </c>
      <c r="D5124">
        <v>4</v>
      </c>
      <c r="E5124">
        <v>0</v>
      </c>
      <c r="F5124">
        <v>743</v>
      </c>
    </row>
    <row r="5125" spans="1:6" ht="12.75">
      <c r="A5125" s="2">
        <v>43883.266203703708</v>
      </c>
      <c r="B5125" t="str">
        <f>HYPERLINK("https://twitter.com/GoTotheJek","@GoTotheJek")</f>
        <v>@GoTotheJek</v>
      </c>
      <c r="C5125" t="s">
        <v>2119</v>
      </c>
      <c r="D5125">
        <v>407</v>
      </c>
      <c r="E5125">
        <v>0</v>
      </c>
      <c r="F5125">
        <v>774</v>
      </c>
    </row>
    <row r="5126" spans="1:6" ht="12.75">
      <c r="A5126" s="2">
        <v>43883.266006944439</v>
      </c>
      <c r="B5126" t="str">
        <f>HYPERLINK("https://twitter.com/sultanorhan11","@sultanorhan11")</f>
        <v>@sultanorhan11</v>
      </c>
      <c r="C5126" t="s">
        <v>4040</v>
      </c>
      <c r="D5126">
        <v>0</v>
      </c>
      <c r="E5126">
        <v>0</v>
      </c>
      <c r="F5126">
        <v>7</v>
      </c>
    </row>
    <row r="5127" spans="1:6" ht="12.75">
      <c r="A5127" s="2">
        <v>43883.264976851853</v>
      </c>
      <c r="B5127" t="str">
        <f>HYPERLINK("https://twitter.com/rahmatamiin","@rahmatamiin")</f>
        <v>@rahmatamiin</v>
      </c>
      <c r="C5127" t="s">
        <v>513</v>
      </c>
      <c r="D5127">
        <v>23258</v>
      </c>
      <c r="E5127">
        <v>0</v>
      </c>
      <c r="F5127">
        <v>42</v>
      </c>
    </row>
    <row r="5128" spans="1:6" ht="12.75">
      <c r="A5128" s="2">
        <v>43883.264768518522</v>
      </c>
      <c r="B5128" t="str">
        <f>HYPERLINK("https://twitter.com/Zak98357476","@Zak98357476")</f>
        <v>@Zak98357476</v>
      </c>
      <c r="C5128" t="s">
        <v>4041</v>
      </c>
      <c r="D5128">
        <v>0</v>
      </c>
      <c r="E5128">
        <v>0</v>
      </c>
      <c r="F5128">
        <v>83</v>
      </c>
    </row>
    <row r="5129" spans="1:6" ht="12.75">
      <c r="A5129" s="2">
        <v>43883.264444444445</v>
      </c>
      <c r="B5129" t="str">
        <f>HYPERLINK("https://twitter.com/wjantoo","@wjantoo")</f>
        <v>@wjantoo</v>
      </c>
      <c r="C5129" t="s">
        <v>2119</v>
      </c>
      <c r="D5129">
        <v>407</v>
      </c>
      <c r="E5129">
        <v>0</v>
      </c>
      <c r="F5129">
        <v>1675</v>
      </c>
    </row>
    <row r="5130" spans="1:6" ht="12.75">
      <c r="A5130" s="2">
        <v>43883.263888888891</v>
      </c>
      <c r="B5130" t="str">
        <f>HYPERLINK("https://twitter.com/aidilmubarock","@aidilmubarock")</f>
        <v>@aidilmubarock</v>
      </c>
      <c r="C5130" t="s">
        <v>4042</v>
      </c>
      <c r="D5130">
        <v>0</v>
      </c>
      <c r="E5130">
        <v>0</v>
      </c>
      <c r="F5130">
        <v>20</v>
      </c>
    </row>
    <row r="5131" spans="1:6" ht="12.75">
      <c r="A5131" s="2">
        <v>43883.263009259259</v>
      </c>
      <c r="B5131" t="str">
        <f>HYPERLINK("https://twitter.com/imam_malik","@imam_malik")</f>
        <v>@imam_malik</v>
      </c>
      <c r="C5131" t="s">
        <v>4020</v>
      </c>
      <c r="D5131">
        <v>55</v>
      </c>
      <c r="E5131">
        <v>0</v>
      </c>
      <c r="F5131">
        <v>220</v>
      </c>
    </row>
    <row r="5132" spans="1:6" ht="12.75">
      <c r="A5132" s="2">
        <v>43883.26289351852</v>
      </c>
      <c r="B5132" t="str">
        <f>HYPERLINK("https://twitter.com/Innayaputri72","@Innayaputri72")</f>
        <v>@Innayaputri72</v>
      </c>
      <c r="C5132" t="s">
        <v>4043</v>
      </c>
      <c r="D5132">
        <v>0</v>
      </c>
      <c r="E5132">
        <v>1</v>
      </c>
      <c r="F5132">
        <v>16902</v>
      </c>
    </row>
    <row r="5133" spans="1:6" ht="12.75">
      <c r="A5133" s="2">
        <v>43883.262731481482</v>
      </c>
      <c r="B5133" t="str">
        <f>HYPERLINK("https://twitter.com/ainuddinhaziq2","@ainuddinhaziq2")</f>
        <v>@ainuddinhaziq2</v>
      </c>
      <c r="C5133" t="s">
        <v>3090</v>
      </c>
      <c r="D5133">
        <v>17</v>
      </c>
      <c r="E5133">
        <v>0</v>
      </c>
      <c r="F5133">
        <v>220</v>
      </c>
    </row>
    <row r="5134" spans="1:6" ht="12.75">
      <c r="A5134" s="2">
        <v>43883.262175925927</v>
      </c>
      <c r="B5134" t="str">
        <f>HYPERLINK("https://twitter.com/tribunjateng","@tribunjateng")</f>
        <v>@tribunjateng</v>
      </c>
      <c r="C5134" t="s">
        <v>4044</v>
      </c>
      <c r="D5134">
        <v>0</v>
      </c>
      <c r="E5134">
        <v>0</v>
      </c>
      <c r="F5134">
        <v>24004</v>
      </c>
    </row>
    <row r="5135" spans="1:6" ht="12.75">
      <c r="A5135" s="2">
        <v>43883.261956018519</v>
      </c>
      <c r="B5135" t="str">
        <f>HYPERLINK("https://twitter.com/ISIS_Balik_NO","@ISIS_Balik_NO")</f>
        <v>@ISIS_Balik_NO</v>
      </c>
      <c r="C5135" t="s">
        <v>4045</v>
      </c>
      <c r="D5135">
        <v>596</v>
      </c>
      <c r="E5135">
        <v>0</v>
      </c>
      <c r="F5135">
        <v>6094</v>
      </c>
    </row>
    <row r="5136" spans="1:6" ht="12.75">
      <c r="A5136" s="2">
        <v>43883.259652777779</v>
      </c>
      <c r="B5136" t="str">
        <f>HYPERLINK("https://twitter.com/DeriMaisyandra","@DeriMaisyandra")</f>
        <v>@DeriMaisyandra</v>
      </c>
      <c r="C5136" t="s">
        <v>2087</v>
      </c>
      <c r="D5136">
        <v>36</v>
      </c>
      <c r="E5136">
        <v>0</v>
      </c>
      <c r="F5136">
        <v>122</v>
      </c>
    </row>
    <row r="5137" spans="1:6" ht="12.75">
      <c r="A5137" s="2">
        <v>43883.259375000001</v>
      </c>
      <c r="B5137" t="str">
        <f>HYPERLINK("https://twitter.com/smolbeac","@smolbeac")</f>
        <v>@smolbeac</v>
      </c>
      <c r="C5137" t="s">
        <v>513</v>
      </c>
      <c r="D5137">
        <v>23258</v>
      </c>
      <c r="E5137">
        <v>0</v>
      </c>
      <c r="F5137">
        <v>553</v>
      </c>
    </row>
    <row r="5138" spans="1:6" ht="12.75">
      <c r="A5138" s="2">
        <v>43883.258993055555</v>
      </c>
      <c r="B5138" t="str">
        <f>HYPERLINK("https://twitter.com/OksadaA","@OksadaA")</f>
        <v>@OksadaA</v>
      </c>
      <c r="C5138" t="s">
        <v>4046</v>
      </c>
      <c r="D5138">
        <v>0</v>
      </c>
      <c r="E5138">
        <v>2</v>
      </c>
      <c r="F5138">
        <v>3</v>
      </c>
    </row>
    <row r="5139" spans="1:6" ht="12.75">
      <c r="A5139" s="2">
        <v>43883.257835648154</v>
      </c>
      <c r="B5139" t="str">
        <f>HYPERLINK("https://twitter.com/ilmyxsa","@ilmyxsa")</f>
        <v>@ilmyxsa</v>
      </c>
      <c r="C5139" t="s">
        <v>3090</v>
      </c>
      <c r="D5139">
        <v>17</v>
      </c>
      <c r="E5139">
        <v>0</v>
      </c>
      <c r="F5139">
        <v>1163</v>
      </c>
    </row>
    <row r="5140" spans="1:6" ht="12.75">
      <c r="A5140" s="2">
        <v>43883.256898148145</v>
      </c>
      <c r="B5140" t="str">
        <f>HYPERLINK("https://twitter.com/nasgortrasi","@nasgortrasi")</f>
        <v>@nasgortrasi</v>
      </c>
      <c r="C5140" t="s">
        <v>3302</v>
      </c>
      <c r="D5140">
        <v>32</v>
      </c>
      <c r="E5140">
        <v>0</v>
      </c>
      <c r="F5140">
        <v>507</v>
      </c>
    </row>
    <row r="5141" spans="1:6" ht="12.75">
      <c r="A5141" s="2">
        <v>43883.255057870367</v>
      </c>
      <c r="B5141" t="str">
        <f>HYPERLINK("https://twitter.com/muchyarr","@muchyarr")</f>
        <v>@muchyarr</v>
      </c>
      <c r="C5141" t="s">
        <v>2119</v>
      </c>
      <c r="D5141">
        <v>407</v>
      </c>
      <c r="E5141">
        <v>0</v>
      </c>
      <c r="F5141">
        <v>101</v>
      </c>
    </row>
    <row r="5142" spans="1:6" ht="12.75">
      <c r="A5142" s="2">
        <v>43883.255057870367</v>
      </c>
      <c r="B5142" t="str">
        <f>HYPERLINK("https://twitter.com/dollarfree_01","@dollarfree_01")</f>
        <v>@dollarfree_01</v>
      </c>
      <c r="C5142" t="s">
        <v>2119</v>
      </c>
      <c r="D5142">
        <v>407</v>
      </c>
      <c r="E5142">
        <v>0</v>
      </c>
      <c r="F5142">
        <v>358</v>
      </c>
    </row>
    <row r="5143" spans="1:6" ht="12.75">
      <c r="A5143" s="2">
        <v>43883.254652777774</v>
      </c>
      <c r="B5143" t="str">
        <f>HYPERLINK("https://twitter.com/NazzmiAbdWahab","@NazzmiAbdWahab")</f>
        <v>@NazzmiAbdWahab</v>
      </c>
      <c r="C5143" t="s">
        <v>3090</v>
      </c>
      <c r="D5143">
        <v>17</v>
      </c>
      <c r="E5143">
        <v>0</v>
      </c>
      <c r="F5143">
        <v>81</v>
      </c>
    </row>
    <row r="5144" spans="1:6" ht="12.75">
      <c r="A5144" s="2">
        <v>43883.253842592589</v>
      </c>
      <c r="B5144" t="str">
        <f>HYPERLINK("https://twitter.com/kompascom","@kompascom")</f>
        <v>@kompascom</v>
      </c>
      <c r="C5144" t="s">
        <v>4047</v>
      </c>
      <c r="D5144">
        <v>0</v>
      </c>
      <c r="E5144">
        <v>7</v>
      </c>
      <c r="F5144">
        <v>7507032</v>
      </c>
    </row>
    <row r="5145" spans="1:6" ht="12.75">
      <c r="A5145" s="2">
        <v>43883.251863425925</v>
      </c>
      <c r="B5145" t="str">
        <f>HYPERLINK("https://twitter.com/joaovmariga","@joaovmariga")</f>
        <v>@joaovmariga</v>
      </c>
      <c r="C5145" t="s">
        <v>4048</v>
      </c>
      <c r="D5145">
        <v>0</v>
      </c>
      <c r="E5145">
        <v>0</v>
      </c>
      <c r="F5145">
        <v>2656</v>
      </c>
    </row>
    <row r="5146" spans="1:6" ht="12.75">
      <c r="A5146" s="2">
        <v>43883.251226851848</v>
      </c>
      <c r="B5146" t="str">
        <f>HYPERLINK("https://twitter.com/ifafaaa_","@ifafaaa_")</f>
        <v>@ifafaaa_</v>
      </c>
      <c r="C5146" t="s">
        <v>3090</v>
      </c>
      <c r="D5146">
        <v>7</v>
      </c>
      <c r="E5146">
        <v>0</v>
      </c>
      <c r="F5146">
        <v>49</v>
      </c>
    </row>
    <row r="5147" spans="1:6" ht="12.75">
      <c r="A5147" s="2">
        <v>43883.250324074077</v>
      </c>
      <c r="B5147" t="str">
        <f>HYPERLINK("https://twitter.com/JinNyinyir","@JinNyinyir")</f>
        <v>@JinNyinyir</v>
      </c>
      <c r="C5147" t="s">
        <v>4049</v>
      </c>
      <c r="D5147">
        <v>0</v>
      </c>
      <c r="E5147">
        <v>0</v>
      </c>
      <c r="F5147">
        <v>40</v>
      </c>
    </row>
    <row r="5148" spans="1:6" ht="12.75">
      <c r="A5148" s="2">
        <v>43883.249143518522</v>
      </c>
      <c r="B5148" t="str">
        <f>HYPERLINK("https://twitter.com/tsutsu_sj","@tsutsu_sj")</f>
        <v>@tsutsu_sj</v>
      </c>
      <c r="C5148" t="s">
        <v>2087</v>
      </c>
      <c r="D5148">
        <v>34</v>
      </c>
      <c r="E5148">
        <v>0</v>
      </c>
      <c r="F5148">
        <v>341</v>
      </c>
    </row>
    <row r="5149" spans="1:6" ht="12.75">
      <c r="A5149" s="2">
        <v>43883.249108796299</v>
      </c>
      <c r="B5149" t="str">
        <f>HYPERLINK("https://twitter.com/baktiyarfreddy","@baktiyarfreddy")</f>
        <v>@baktiyarfreddy</v>
      </c>
      <c r="C5149" t="s">
        <v>4050</v>
      </c>
      <c r="D5149">
        <v>0</v>
      </c>
      <c r="E5149">
        <v>0</v>
      </c>
      <c r="F5149">
        <v>173</v>
      </c>
    </row>
    <row r="5150" spans="1:6" ht="12.75">
      <c r="A5150" s="2">
        <v>43883.248842592591</v>
      </c>
      <c r="B5150" t="str">
        <f>HYPERLINK("https://twitter.com/B_Hendratmo1","@B_Hendratmo1")</f>
        <v>@B_Hendratmo1</v>
      </c>
      <c r="C5150" t="s">
        <v>2119</v>
      </c>
      <c r="D5150">
        <v>394</v>
      </c>
      <c r="E5150">
        <v>0</v>
      </c>
      <c r="F5150">
        <v>1679</v>
      </c>
    </row>
    <row r="5151" spans="1:6" ht="12.75">
      <c r="A5151" s="2">
        <v>43883.248113425929</v>
      </c>
      <c r="B5151" t="str">
        <f>HYPERLINK("https://twitter.com/rezipark","@rezipark")</f>
        <v>@rezipark</v>
      </c>
      <c r="C5151" t="s">
        <v>2087</v>
      </c>
      <c r="D5151">
        <v>34</v>
      </c>
      <c r="E5151">
        <v>0</v>
      </c>
      <c r="F5151">
        <v>451</v>
      </c>
    </row>
    <row r="5152" spans="1:6" ht="12.75">
      <c r="A5152" s="2">
        <v>43883.247372685189</v>
      </c>
      <c r="B5152" t="str">
        <f>HYPERLINK("https://twitter.com/chesaryudha","@chesaryudha")</f>
        <v>@chesaryudha</v>
      </c>
      <c r="C5152" t="s">
        <v>4051</v>
      </c>
      <c r="D5152">
        <v>2</v>
      </c>
      <c r="E5152">
        <v>0</v>
      </c>
      <c r="F5152">
        <v>639</v>
      </c>
    </row>
    <row r="5153" spans="1:6" ht="12.75">
      <c r="A5153" s="2">
        <v>43883.246631944443</v>
      </c>
      <c r="B5153" t="str">
        <f>HYPERLINK("https://twitter.com/raimanz_","@raimanz_")</f>
        <v>@raimanz_</v>
      </c>
      <c r="C5153" t="s">
        <v>3090</v>
      </c>
      <c r="D5153">
        <v>7</v>
      </c>
      <c r="E5153">
        <v>0</v>
      </c>
      <c r="F5153">
        <v>40</v>
      </c>
    </row>
    <row r="5154" spans="1:6" ht="12.75">
      <c r="A5154" s="2">
        <v>43883.245879629627</v>
      </c>
      <c r="B5154" t="str">
        <f>HYPERLINK("https://twitter.com/pasir97126133","@pasir97126133")</f>
        <v>@pasir97126133</v>
      </c>
      <c r="C5154" t="s">
        <v>4052</v>
      </c>
      <c r="D5154">
        <v>0</v>
      </c>
      <c r="E5154">
        <v>0</v>
      </c>
      <c r="F5154">
        <v>12</v>
      </c>
    </row>
    <row r="5155" spans="1:6" ht="12.75">
      <c r="A5155" s="2">
        <v>43883.245694444442</v>
      </c>
      <c r="B5155" t="str">
        <f>HYPERLINK("https://twitter.com/febrynahl","@febrynahl")</f>
        <v>@febrynahl</v>
      </c>
      <c r="C5155" t="s">
        <v>4053</v>
      </c>
      <c r="D5155">
        <v>0</v>
      </c>
      <c r="E5155">
        <v>0</v>
      </c>
      <c r="F5155">
        <v>629</v>
      </c>
    </row>
    <row r="5156" spans="1:6" ht="12.75">
      <c r="A5156" s="2">
        <v>43883.245682870373</v>
      </c>
      <c r="B5156" t="str">
        <f>HYPERLINK("https://twitter.com/komodoers","@komodoers")</f>
        <v>@komodoers</v>
      </c>
      <c r="C5156" t="s">
        <v>4054</v>
      </c>
      <c r="D5156">
        <v>0</v>
      </c>
      <c r="E5156">
        <v>0</v>
      </c>
      <c r="F5156">
        <v>19</v>
      </c>
    </row>
    <row r="5157" spans="1:6" ht="12.75">
      <c r="A5157" s="2">
        <v>43883.244224537033</v>
      </c>
      <c r="B5157" t="str">
        <f>HYPERLINK("https://twitter.com/guwendo","@guwendo")</f>
        <v>@guwendo</v>
      </c>
      <c r="C5157" t="s">
        <v>2119</v>
      </c>
      <c r="D5157">
        <v>394</v>
      </c>
      <c r="E5157">
        <v>0</v>
      </c>
      <c r="F5157">
        <v>42</v>
      </c>
    </row>
    <row r="5158" spans="1:6" ht="12.75">
      <c r="A5158" s="2">
        <v>43883.243125000001</v>
      </c>
      <c r="B5158" t="str">
        <f>HYPERLINK("https://twitter.com/LaurensioAbram","@LaurensioAbram")</f>
        <v>@LaurensioAbram</v>
      </c>
      <c r="C5158" t="s">
        <v>4055</v>
      </c>
      <c r="D5158">
        <v>2</v>
      </c>
      <c r="E5158">
        <v>0</v>
      </c>
      <c r="F5158">
        <v>244</v>
      </c>
    </row>
    <row r="5159" spans="1:6" ht="12.75">
      <c r="A5159" s="2">
        <v>43883.243125000001</v>
      </c>
      <c r="B5159" t="str">
        <f t="shared" ref="B5159:B5160" si="100">HYPERLINK("https://twitter.com/dubie_tina","@dubie_tina")</f>
        <v>@dubie_tina</v>
      </c>
      <c r="C5159" t="s">
        <v>4056</v>
      </c>
      <c r="D5159">
        <v>1</v>
      </c>
      <c r="E5159">
        <v>0</v>
      </c>
      <c r="F5159">
        <v>1042</v>
      </c>
    </row>
    <row r="5160" spans="1:6" ht="12.75">
      <c r="A5160" s="2">
        <v>43883.242974537032</v>
      </c>
      <c r="B5160" t="str">
        <f t="shared" si="100"/>
        <v>@dubie_tina</v>
      </c>
      <c r="C5160" t="s">
        <v>4057</v>
      </c>
      <c r="D5160">
        <v>1</v>
      </c>
      <c r="E5160">
        <v>1</v>
      </c>
      <c r="F5160">
        <v>1042</v>
      </c>
    </row>
    <row r="5161" spans="1:6" ht="12.75">
      <c r="A5161" s="2">
        <v>43883.242164351846</v>
      </c>
      <c r="B5161" t="str">
        <f>HYPERLINK("https://twitter.com/DoniSatriawan8","@DoniSatriawan8")</f>
        <v>@DoniSatriawan8</v>
      </c>
      <c r="C5161" t="s">
        <v>2119</v>
      </c>
      <c r="D5161">
        <v>394</v>
      </c>
      <c r="E5161">
        <v>0</v>
      </c>
      <c r="F5161">
        <v>58</v>
      </c>
    </row>
    <row r="5162" spans="1:6" ht="12.75">
      <c r="A5162" s="2">
        <v>43883.241516203707</v>
      </c>
      <c r="B5162" t="str">
        <f>HYPERLINK("https://twitter.com/Daniel78911900","@Daniel78911900")</f>
        <v>@Daniel78911900</v>
      </c>
      <c r="C5162" t="s">
        <v>2119</v>
      </c>
      <c r="D5162">
        <v>394</v>
      </c>
      <c r="E5162">
        <v>0</v>
      </c>
      <c r="F5162">
        <v>31</v>
      </c>
    </row>
    <row r="5163" spans="1:6" ht="12.75">
      <c r="A5163" s="2">
        <v>43883.239907407406</v>
      </c>
      <c r="B5163" t="str">
        <f>HYPERLINK("https://twitter.com/ibayjokers","@ibayjokers")</f>
        <v>@ibayjokers</v>
      </c>
      <c r="C5163" t="s">
        <v>4058</v>
      </c>
      <c r="D5163">
        <v>1</v>
      </c>
      <c r="E5163">
        <v>0</v>
      </c>
      <c r="F5163">
        <v>78</v>
      </c>
    </row>
    <row r="5164" spans="1:6" ht="12.75">
      <c r="A5164" s="2">
        <v>43883.239629629628</v>
      </c>
      <c r="B5164" t="str">
        <f>HYPERLINK("https://twitter.com/buttercity","@buttercity")</f>
        <v>@buttercity</v>
      </c>
      <c r="C5164" t="s">
        <v>3090</v>
      </c>
      <c r="D5164">
        <v>7</v>
      </c>
      <c r="E5164">
        <v>0</v>
      </c>
      <c r="F5164">
        <v>268</v>
      </c>
    </row>
    <row r="5165" spans="1:6" ht="12.75">
      <c r="A5165" s="2">
        <v>43883.238287037035</v>
      </c>
      <c r="B5165" t="str">
        <f>HYPERLINK("https://twitter.com/santeira","@santeira")</f>
        <v>@santeira</v>
      </c>
      <c r="C5165" t="s">
        <v>3090</v>
      </c>
      <c r="D5165">
        <v>7</v>
      </c>
      <c r="E5165">
        <v>0</v>
      </c>
      <c r="F5165">
        <v>13755</v>
      </c>
    </row>
    <row r="5166" spans="1:6" ht="12.75">
      <c r="A5166" s="2">
        <v>43883.238252314812</v>
      </c>
      <c r="B5166" t="str">
        <f>HYPERLINK("https://twitter.com/seputarbaliNews","@seputarbaliNews")</f>
        <v>@seputarbaliNews</v>
      </c>
      <c r="C5166" t="s">
        <v>4059</v>
      </c>
      <c r="D5166">
        <v>0</v>
      </c>
      <c r="E5166">
        <v>0</v>
      </c>
      <c r="F5166">
        <v>4761</v>
      </c>
    </row>
    <row r="5167" spans="1:6" ht="12.75">
      <c r="A5167" s="2">
        <v>43883.237743055557</v>
      </c>
      <c r="B5167" t="str">
        <f>HYPERLINK("https://twitter.com/NanPaf","@NanPaf")</f>
        <v>@NanPaf</v>
      </c>
      <c r="C5167" t="s">
        <v>3873</v>
      </c>
      <c r="D5167">
        <v>7</v>
      </c>
      <c r="E5167">
        <v>0</v>
      </c>
      <c r="F5167">
        <v>557</v>
      </c>
    </row>
    <row r="5168" spans="1:6" ht="12.75">
      <c r="A5168" s="2">
        <v>43883.236574074079</v>
      </c>
      <c r="B5168" t="str">
        <f>HYPERLINK("https://twitter.com/MbarepJeng","@MbarepJeng")</f>
        <v>@MbarepJeng</v>
      </c>
      <c r="C5168" t="s">
        <v>2119</v>
      </c>
      <c r="D5168">
        <v>394</v>
      </c>
      <c r="E5168">
        <v>0</v>
      </c>
      <c r="F5168">
        <v>71</v>
      </c>
    </row>
    <row r="5169" spans="1:6" ht="12.75">
      <c r="A5169" s="2">
        <v>43883.233437499999</v>
      </c>
      <c r="B5169" t="str">
        <f>HYPERLINK("https://twitter.com/amrudinnejad_","@amrudinnejad_")</f>
        <v>@amrudinnejad_</v>
      </c>
      <c r="C5169" t="s">
        <v>3995</v>
      </c>
      <c r="D5169">
        <v>10</v>
      </c>
      <c r="E5169">
        <v>0</v>
      </c>
      <c r="F5169">
        <v>7879</v>
      </c>
    </row>
    <row r="5170" spans="1:6" ht="12.75">
      <c r="A5170" s="2">
        <v>43883.233333333337</v>
      </c>
      <c r="B5170" t="str">
        <f>HYPERLINK("https://twitter.com/u9et","@u9et")</f>
        <v>@u9et</v>
      </c>
      <c r="C5170" t="s">
        <v>2119</v>
      </c>
      <c r="D5170">
        <v>394</v>
      </c>
      <c r="E5170">
        <v>0</v>
      </c>
      <c r="F5170">
        <v>88</v>
      </c>
    </row>
    <row r="5171" spans="1:6" ht="12.75">
      <c r="A5171" s="2">
        <v>43883.233310185184</v>
      </c>
      <c r="B5171" t="str">
        <f>HYPERLINK("https://twitter.com/amakmal_37","@amakmal_37")</f>
        <v>@amakmal_37</v>
      </c>
      <c r="C5171" t="s">
        <v>3836</v>
      </c>
      <c r="D5171">
        <v>12</v>
      </c>
      <c r="E5171">
        <v>0</v>
      </c>
      <c r="F5171">
        <v>94</v>
      </c>
    </row>
    <row r="5172" spans="1:6" ht="12.75">
      <c r="A5172" s="2">
        <v>43883.232083333336</v>
      </c>
      <c r="B5172" t="str">
        <f>HYPERLINK("https://twitter.com/holmes_sigiro","@holmes_sigiro")</f>
        <v>@holmes_sigiro</v>
      </c>
      <c r="C5172" t="s">
        <v>2119</v>
      </c>
      <c r="D5172">
        <v>394</v>
      </c>
      <c r="E5172">
        <v>0</v>
      </c>
      <c r="F5172">
        <v>343</v>
      </c>
    </row>
    <row r="5173" spans="1:6" ht="12.75">
      <c r="A5173" s="2">
        <v>43883.231724537036</v>
      </c>
      <c r="B5173" t="str">
        <f>HYPERLINK("https://twitter.com/akusudahselesai","@akusudahselesai")</f>
        <v>@akusudahselesai</v>
      </c>
      <c r="C5173" t="s">
        <v>2119</v>
      </c>
      <c r="D5173">
        <v>394</v>
      </c>
      <c r="E5173">
        <v>0</v>
      </c>
      <c r="F5173">
        <v>38</v>
      </c>
    </row>
    <row r="5174" spans="1:6" ht="12.75">
      <c r="A5174" s="2">
        <v>43883.230578703704</v>
      </c>
      <c r="B5174" t="str">
        <f>HYPERLINK("https://twitter.com/mudha_satriya","@mudha_satriya")</f>
        <v>@mudha_satriya</v>
      </c>
      <c r="C5174" t="s">
        <v>4051</v>
      </c>
      <c r="D5174">
        <v>2</v>
      </c>
      <c r="E5174">
        <v>0</v>
      </c>
      <c r="F5174">
        <v>1875</v>
      </c>
    </row>
    <row r="5175" spans="1:6" ht="12.75">
      <c r="A5175" s="2">
        <v>43883.228888888887</v>
      </c>
      <c r="B5175" t="str">
        <f>HYPERLINK("https://twitter.com/CHOKYPARHAS","@CHOKYPARHAS")</f>
        <v>@CHOKYPARHAS</v>
      </c>
      <c r="C5175" t="s">
        <v>3532</v>
      </c>
      <c r="D5175">
        <v>37</v>
      </c>
      <c r="E5175">
        <v>0</v>
      </c>
      <c r="F5175">
        <v>713</v>
      </c>
    </row>
    <row r="5176" spans="1:6" ht="12.75">
      <c r="A5176" s="2">
        <v>43883.227766203709</v>
      </c>
      <c r="B5176" t="str">
        <f>HYPERLINK("https://twitter.com/dreXxX87","@dreXxX87")</f>
        <v>@dreXxX87</v>
      </c>
      <c r="C5176" t="s">
        <v>4060</v>
      </c>
      <c r="D5176">
        <v>0</v>
      </c>
      <c r="E5176">
        <v>0</v>
      </c>
      <c r="F5176">
        <v>92</v>
      </c>
    </row>
    <row r="5177" spans="1:6" ht="12.75">
      <c r="A5177" s="2">
        <v>43883.227743055555</v>
      </c>
      <c r="B5177" t="str">
        <f>HYPERLINK("https://twitter.com/sae_mas","@sae_mas")</f>
        <v>@sae_mas</v>
      </c>
      <c r="C5177" t="s">
        <v>2119</v>
      </c>
      <c r="D5177">
        <v>394</v>
      </c>
      <c r="E5177">
        <v>0</v>
      </c>
      <c r="F5177">
        <v>70</v>
      </c>
    </row>
    <row r="5178" spans="1:6" ht="12.75">
      <c r="A5178" s="2">
        <v>43883.224062499998</v>
      </c>
      <c r="B5178" t="str">
        <f>HYPERLINK("https://twitter.com/ibradhik","@ibradhik")</f>
        <v>@ibradhik</v>
      </c>
      <c r="C5178" t="s">
        <v>3480</v>
      </c>
      <c r="D5178">
        <v>5</v>
      </c>
      <c r="E5178">
        <v>0</v>
      </c>
      <c r="F5178">
        <v>221</v>
      </c>
    </row>
    <row r="5179" spans="1:6" ht="12.75">
      <c r="A5179" s="2">
        <v>43883.222511574073</v>
      </c>
      <c r="B5179" t="str">
        <f>HYPERLINK("https://twitter.com/Snharisyah","@Snharisyah")</f>
        <v>@Snharisyah</v>
      </c>
      <c r="C5179" t="s">
        <v>2711</v>
      </c>
      <c r="D5179">
        <v>155</v>
      </c>
      <c r="E5179">
        <v>0</v>
      </c>
      <c r="F5179">
        <v>20</v>
      </c>
    </row>
    <row r="5180" spans="1:6" ht="12.75">
      <c r="A5180" s="2">
        <v>43883.222511574073</v>
      </c>
      <c r="B5180" t="str">
        <f>HYPERLINK("https://twitter.com/iz_wni","@iz_wni")</f>
        <v>@iz_wni</v>
      </c>
      <c r="C5180" t="s">
        <v>4061</v>
      </c>
      <c r="D5180">
        <v>20013</v>
      </c>
      <c r="E5180">
        <v>0</v>
      </c>
      <c r="F5180">
        <v>85</v>
      </c>
    </row>
    <row r="5181" spans="1:6" ht="12.75">
      <c r="A5181" s="2">
        <v>43883.222222222219</v>
      </c>
      <c r="B5181" t="str">
        <f>HYPERLINK("https://twitter.com/niluhdevia","@niluhdevia")</f>
        <v>@niluhdevia</v>
      </c>
      <c r="C5181" t="s">
        <v>2119</v>
      </c>
      <c r="D5181">
        <v>394</v>
      </c>
      <c r="E5181">
        <v>0</v>
      </c>
      <c r="F5181">
        <v>1025</v>
      </c>
    </row>
    <row r="5182" spans="1:6" ht="12.75">
      <c r="A5182" s="2">
        <v>43883.221435185187</v>
      </c>
      <c r="B5182" t="str">
        <f>HYPERLINK("https://twitter.com/KecebongGembul","@KecebongGembul")</f>
        <v>@KecebongGembul</v>
      </c>
      <c r="C5182" t="s">
        <v>2119</v>
      </c>
      <c r="D5182">
        <v>394</v>
      </c>
      <c r="E5182">
        <v>0</v>
      </c>
      <c r="F5182">
        <v>514</v>
      </c>
    </row>
    <row r="5183" spans="1:6" ht="12.75">
      <c r="A5183" s="2">
        <v>43883.220266203702</v>
      </c>
      <c r="B5183" t="str">
        <f>HYPERLINK("https://twitter.com/azie_nam","@azie_nam")</f>
        <v>@azie_nam</v>
      </c>
      <c r="C5183" t="s">
        <v>3925</v>
      </c>
      <c r="D5183">
        <v>2</v>
      </c>
      <c r="E5183">
        <v>0</v>
      </c>
      <c r="F5183">
        <v>110</v>
      </c>
    </row>
    <row r="5184" spans="1:6" ht="12.75">
      <c r="A5184" s="2">
        <v>43883.218773148154</v>
      </c>
      <c r="B5184" t="str">
        <f>HYPERLINK("https://twitter.com/updatedotid","@updatedotid")</f>
        <v>@updatedotid</v>
      </c>
      <c r="C5184" t="s">
        <v>4062</v>
      </c>
      <c r="D5184">
        <v>2</v>
      </c>
      <c r="E5184">
        <v>0</v>
      </c>
      <c r="F5184">
        <v>1620</v>
      </c>
    </row>
    <row r="5185" spans="1:6" ht="12.75">
      <c r="A5185" s="2">
        <v>43883.218773148154</v>
      </c>
      <c r="B5185" t="str">
        <f>HYPERLINK("https://twitter.com/sabhatansabiz","@sabhatansabiz")</f>
        <v>@sabhatansabiz</v>
      </c>
      <c r="C5185" t="s">
        <v>4062</v>
      </c>
      <c r="D5185">
        <v>2</v>
      </c>
      <c r="E5185">
        <v>0</v>
      </c>
      <c r="F5185">
        <v>1584</v>
      </c>
    </row>
    <row r="5186" spans="1:6" ht="12.75">
      <c r="A5186" s="2">
        <v>43883.2184375</v>
      </c>
      <c r="B5186" t="str">
        <f>HYPERLINK("https://twitter.com/radar_malang","@radar_malang")</f>
        <v>@radar_malang</v>
      </c>
      <c r="C5186" t="s">
        <v>3888</v>
      </c>
      <c r="D5186">
        <v>2</v>
      </c>
      <c r="E5186">
        <v>0</v>
      </c>
      <c r="F5186">
        <v>108629</v>
      </c>
    </row>
    <row r="5187" spans="1:6" ht="12.75">
      <c r="A5187" s="2">
        <v>43883.216979166667</v>
      </c>
      <c r="B5187" t="str">
        <f>HYPERLINK("https://twitter.com/GusMiko1","@GusMiko1")</f>
        <v>@GusMiko1</v>
      </c>
      <c r="C5187" t="s">
        <v>4063</v>
      </c>
      <c r="D5187">
        <v>0</v>
      </c>
      <c r="E5187">
        <v>0</v>
      </c>
      <c r="F5187">
        <v>837</v>
      </c>
    </row>
    <row r="5188" spans="1:6" ht="12.75">
      <c r="A5188" s="2">
        <v>43883.215347222227</v>
      </c>
      <c r="B5188" t="str">
        <f>HYPERLINK("https://twitter.com/husnamdhusni","@husnamdhusni")</f>
        <v>@husnamdhusni</v>
      </c>
      <c r="C5188" t="s">
        <v>2711</v>
      </c>
      <c r="D5188">
        <v>155</v>
      </c>
      <c r="E5188">
        <v>0</v>
      </c>
      <c r="F5188">
        <v>165</v>
      </c>
    </row>
    <row r="5189" spans="1:6" ht="12.75">
      <c r="A5189" s="2">
        <v>43883.211701388893</v>
      </c>
      <c r="B5189" t="str">
        <f>HYPERLINK("https://twitter.com/faezmir","@faezmir")</f>
        <v>@faezmir</v>
      </c>
      <c r="C5189" t="s">
        <v>4064</v>
      </c>
      <c r="D5189">
        <v>1</v>
      </c>
      <c r="E5189">
        <v>0</v>
      </c>
      <c r="F5189">
        <v>84</v>
      </c>
    </row>
    <row r="5190" spans="1:6" ht="12.75">
      <c r="A5190" s="2">
        <v>43883.210590277777</v>
      </c>
      <c r="B5190" t="str">
        <f>HYPERLINK("https://twitter.com/jawapos","@jawapos")</f>
        <v>@jawapos</v>
      </c>
      <c r="C5190" t="s">
        <v>3888</v>
      </c>
      <c r="D5190">
        <v>2</v>
      </c>
      <c r="E5190">
        <v>1</v>
      </c>
      <c r="F5190">
        <v>120012</v>
      </c>
    </row>
    <row r="5191" spans="1:6" ht="12.75">
      <c r="A5191" s="2">
        <v>43883.210081018522</v>
      </c>
      <c r="B5191" t="str">
        <f>HYPERLINK("https://twitter.com/sweet_cake49","@sweet_cake49")</f>
        <v>@sweet_cake49</v>
      </c>
      <c r="C5191" t="s">
        <v>2087</v>
      </c>
      <c r="D5191">
        <v>34</v>
      </c>
      <c r="E5191">
        <v>0</v>
      </c>
      <c r="F5191">
        <v>17</v>
      </c>
    </row>
    <row r="5192" spans="1:6" ht="12.75">
      <c r="A5192" s="2">
        <v>43883.207916666666</v>
      </c>
      <c r="B5192" t="str">
        <f>HYPERLINK("https://twitter.com/prasojo_jamin","@prasojo_jamin")</f>
        <v>@prasojo_jamin</v>
      </c>
      <c r="C5192" t="s">
        <v>4065</v>
      </c>
      <c r="D5192">
        <v>0</v>
      </c>
      <c r="E5192">
        <v>0</v>
      </c>
      <c r="F5192">
        <v>79</v>
      </c>
    </row>
    <row r="5193" spans="1:6" ht="12.75">
      <c r="A5193" s="2">
        <v>43883.203819444447</v>
      </c>
      <c r="B5193" t="str">
        <f>HYPERLINK("https://twitter.com/developedbyaldo","@developedbyaldo")</f>
        <v>@developedbyaldo</v>
      </c>
      <c r="C5193" t="s">
        <v>3508</v>
      </c>
      <c r="D5193">
        <v>76</v>
      </c>
      <c r="E5193">
        <v>0</v>
      </c>
      <c r="F5193">
        <v>1079</v>
      </c>
    </row>
    <row r="5194" spans="1:6" ht="12.75">
      <c r="A5194" s="2">
        <v>43883.201203703706</v>
      </c>
      <c r="B5194" t="str">
        <f t="shared" ref="B5194:B5195" si="101">HYPERLINK("https://twitter.com/ressyyyy","@ressyyyy")</f>
        <v>@ressyyyy</v>
      </c>
      <c r="C5194" t="s">
        <v>513</v>
      </c>
      <c r="D5194">
        <v>23256</v>
      </c>
      <c r="E5194">
        <v>0</v>
      </c>
      <c r="F5194">
        <v>794</v>
      </c>
    </row>
    <row r="5195" spans="1:6" ht="12.75">
      <c r="A5195" s="2">
        <v>43883.200879629629</v>
      </c>
      <c r="B5195" t="str">
        <f t="shared" si="101"/>
        <v>@ressyyyy</v>
      </c>
      <c r="C5195" t="s">
        <v>2126</v>
      </c>
      <c r="D5195">
        <v>2815</v>
      </c>
      <c r="E5195">
        <v>0</v>
      </c>
      <c r="F5195">
        <v>794</v>
      </c>
    </row>
    <row r="5196" spans="1:6" ht="12.75">
      <c r="A5196" s="2">
        <v>43883.199618055558</v>
      </c>
      <c r="B5196" t="str">
        <f>HYPERLINK("https://twitter.com/Lhriaaa","@Lhriaaa")</f>
        <v>@Lhriaaa</v>
      </c>
      <c r="C5196" t="s">
        <v>2087</v>
      </c>
      <c r="D5196">
        <v>31</v>
      </c>
      <c r="E5196">
        <v>0</v>
      </c>
      <c r="F5196">
        <v>589</v>
      </c>
    </row>
    <row r="5197" spans="1:6" ht="12.75">
      <c r="A5197" s="2">
        <v>43883.192708333328</v>
      </c>
      <c r="B5197" t="str">
        <f>HYPERLINK("https://twitter.com/AkaChoerniawan","@AkaChoerniawan")</f>
        <v>@AkaChoerniawan</v>
      </c>
      <c r="C5197" t="s">
        <v>4066</v>
      </c>
      <c r="D5197">
        <v>0</v>
      </c>
      <c r="E5197">
        <v>0</v>
      </c>
      <c r="F5197">
        <v>3145</v>
      </c>
    </row>
    <row r="5198" spans="1:6" ht="12.75">
      <c r="A5198" s="2">
        <v>43883.190196759257</v>
      </c>
      <c r="B5198" t="str">
        <f>HYPERLINK("https://twitter.com/putu_hi","@putu_hi")</f>
        <v>@putu_hi</v>
      </c>
      <c r="C5198" t="s">
        <v>4067</v>
      </c>
      <c r="D5198">
        <v>8</v>
      </c>
      <c r="E5198">
        <v>0</v>
      </c>
      <c r="F5198">
        <v>533</v>
      </c>
    </row>
    <row r="5199" spans="1:6" ht="12.75">
      <c r="A5199" s="2">
        <v>43883.186168981483</v>
      </c>
      <c r="B5199" t="str">
        <f>HYPERLINK("https://twitter.com/Ivan94649769","@Ivan94649769")</f>
        <v>@Ivan94649769</v>
      </c>
      <c r="C5199" t="s">
        <v>4068</v>
      </c>
      <c r="D5199">
        <v>0</v>
      </c>
      <c r="E5199">
        <v>0</v>
      </c>
      <c r="F5199">
        <v>9</v>
      </c>
    </row>
    <row r="5200" spans="1:6" ht="12.75">
      <c r="A5200" s="2">
        <v>43883.18346064815</v>
      </c>
      <c r="B5200" t="str">
        <f>HYPERLINK("https://twitter.com/ndaru_wardani","@ndaru_wardani")</f>
        <v>@ndaru_wardani</v>
      </c>
      <c r="C5200" t="s">
        <v>3736</v>
      </c>
      <c r="D5200">
        <v>3</v>
      </c>
      <c r="E5200">
        <v>0</v>
      </c>
      <c r="F5200">
        <v>274</v>
      </c>
    </row>
    <row r="5201" spans="1:6" ht="12.75">
      <c r="A5201" s="2">
        <v>43883.179016203707</v>
      </c>
      <c r="B5201" t="str">
        <f>HYPERLINK("https://twitter.com/ezhar_66","@ezhar_66")</f>
        <v>@ezhar_66</v>
      </c>
      <c r="C5201" t="s">
        <v>3090</v>
      </c>
      <c r="D5201">
        <v>3</v>
      </c>
      <c r="E5201">
        <v>0</v>
      </c>
      <c r="F5201">
        <v>108</v>
      </c>
    </row>
    <row r="5202" spans="1:6" ht="12.75">
      <c r="A5202" s="2">
        <v>43883.178530092591</v>
      </c>
      <c r="B5202" t="str">
        <f>HYPERLINK("https://twitter.com/sy_ahputra","@sy_ahputra")</f>
        <v>@sy_ahputra</v>
      </c>
      <c r="C5202" t="s">
        <v>4069</v>
      </c>
      <c r="D5202">
        <v>4</v>
      </c>
      <c r="E5202">
        <v>0</v>
      </c>
      <c r="F5202">
        <v>24</v>
      </c>
    </row>
    <row r="5203" spans="1:6" ht="12.75">
      <c r="A5203" s="2">
        <v>43883.177835648152</v>
      </c>
      <c r="B5203" t="str">
        <f>HYPERLINK("https://twitter.com/Wiwikbudiawan","@Wiwikbudiawan")</f>
        <v>@Wiwikbudiawan</v>
      </c>
      <c r="C5203" t="s">
        <v>2087</v>
      </c>
      <c r="D5203">
        <v>31</v>
      </c>
      <c r="E5203">
        <v>0</v>
      </c>
      <c r="F5203">
        <v>291</v>
      </c>
    </row>
    <row r="5204" spans="1:6" ht="12.75">
      <c r="A5204" s="2">
        <v>43883.176666666666</v>
      </c>
      <c r="B5204" t="str">
        <f>HYPERLINK("https://twitter.com/sinchan2993","@sinchan2993")</f>
        <v>@sinchan2993</v>
      </c>
      <c r="C5204" t="s">
        <v>2087</v>
      </c>
      <c r="D5204">
        <v>31</v>
      </c>
      <c r="E5204">
        <v>0</v>
      </c>
      <c r="F5204">
        <v>294</v>
      </c>
    </row>
    <row r="5205" spans="1:6" ht="12.75">
      <c r="A5205" s="2">
        <v>43883.175983796296</v>
      </c>
      <c r="B5205" t="str">
        <f>HYPERLINK("https://twitter.com/Calon_Professor","@Calon_Professor")</f>
        <v>@Calon_Professor</v>
      </c>
      <c r="C5205" t="s">
        <v>4070</v>
      </c>
      <c r="D5205">
        <v>0</v>
      </c>
      <c r="E5205">
        <v>0</v>
      </c>
      <c r="F5205">
        <v>46</v>
      </c>
    </row>
    <row r="5206" spans="1:6" ht="12.75">
      <c r="A5206" s="2">
        <v>43883.174664351856</v>
      </c>
      <c r="B5206" t="str">
        <f>HYPERLINK("https://twitter.com/AgusSup39011241","@AgusSup39011241")</f>
        <v>@AgusSup39011241</v>
      </c>
      <c r="C5206" t="s">
        <v>4071</v>
      </c>
      <c r="D5206">
        <v>3</v>
      </c>
      <c r="E5206">
        <v>0</v>
      </c>
      <c r="F5206">
        <v>10213</v>
      </c>
    </row>
    <row r="5207" spans="1:6" ht="12.75">
      <c r="A5207" s="2">
        <v>43883.169942129629</v>
      </c>
      <c r="B5207" t="str">
        <f>HYPERLINK("https://twitter.com/dhe_enoily","@dhe_enoily")</f>
        <v>@dhe_enoily</v>
      </c>
      <c r="C5207" t="s">
        <v>4072</v>
      </c>
      <c r="D5207">
        <v>1</v>
      </c>
      <c r="E5207">
        <v>0</v>
      </c>
      <c r="F5207">
        <v>2715</v>
      </c>
    </row>
    <row r="5208" spans="1:6" ht="12.75">
      <c r="A5208" s="2">
        <v>43883.169490740736</v>
      </c>
      <c r="B5208" t="str">
        <f>HYPERLINK("https://twitter.com/woeka_","@woeka_")</f>
        <v>@woeka_</v>
      </c>
      <c r="C5208" t="s">
        <v>4073</v>
      </c>
      <c r="D5208">
        <v>12</v>
      </c>
      <c r="E5208">
        <v>0</v>
      </c>
      <c r="F5208">
        <v>314</v>
      </c>
    </row>
    <row r="5209" spans="1:6" ht="12.75">
      <c r="A5209" s="2">
        <v>43883.168344907404</v>
      </c>
      <c r="B5209" t="str">
        <f>HYPERLINK("https://twitter.com/dhe_enoily","@dhe_enoily")</f>
        <v>@dhe_enoily</v>
      </c>
      <c r="C5209" t="s">
        <v>4074</v>
      </c>
      <c r="D5209">
        <v>0</v>
      </c>
      <c r="E5209">
        <v>0</v>
      </c>
      <c r="F5209">
        <v>2715</v>
      </c>
    </row>
    <row r="5210" spans="1:6" ht="12.75">
      <c r="A5210" s="2">
        <v>43883.168206018519</v>
      </c>
      <c r="B5210" t="str">
        <f>HYPERLINK("https://twitter.com/zzzdinnn","@zzzdinnn")</f>
        <v>@zzzdinnn</v>
      </c>
      <c r="C5210" t="s">
        <v>2711</v>
      </c>
      <c r="D5210">
        <v>153</v>
      </c>
      <c r="E5210">
        <v>0</v>
      </c>
      <c r="F5210">
        <v>87</v>
      </c>
    </row>
    <row r="5211" spans="1:6" ht="12.75">
      <c r="A5211" s="2">
        <v>43883.164606481485</v>
      </c>
      <c r="B5211" t="str">
        <f>HYPERLINK("https://twitter.com/Simondis2","@Simondis2")</f>
        <v>@Simondis2</v>
      </c>
      <c r="C5211" t="s">
        <v>2175</v>
      </c>
      <c r="D5211">
        <v>1</v>
      </c>
      <c r="E5211">
        <v>0</v>
      </c>
      <c r="F5211">
        <v>188</v>
      </c>
    </row>
    <row r="5212" spans="1:6" ht="12.75">
      <c r="A5212" s="2">
        <v>43883.163391203707</v>
      </c>
      <c r="B5212" t="str">
        <f>HYPERLINK("https://twitter.com/kjri_sf","@kjri_sf")</f>
        <v>@kjri_sf</v>
      </c>
      <c r="C5212" t="s">
        <v>4075</v>
      </c>
      <c r="D5212">
        <v>1</v>
      </c>
      <c r="E5212">
        <v>1</v>
      </c>
      <c r="F5212">
        <v>2094</v>
      </c>
    </row>
    <row r="5213" spans="1:6" ht="12.75">
      <c r="A5213" s="2">
        <v>43883.162106481483</v>
      </c>
      <c r="B5213" t="str">
        <f>HYPERLINK("https://twitter.com/wahhabicc_jabar","@wahhabicc_jabar")</f>
        <v>@wahhabicc_jabar</v>
      </c>
      <c r="C5213" t="s">
        <v>3736</v>
      </c>
      <c r="D5213">
        <v>2</v>
      </c>
      <c r="E5213">
        <v>0</v>
      </c>
      <c r="F5213">
        <v>30499</v>
      </c>
    </row>
    <row r="5214" spans="1:6" ht="12.75">
      <c r="A5214" s="2">
        <v>43883.153055555551</v>
      </c>
      <c r="B5214" t="str">
        <f>HYPERLINK("https://twitter.com/minobumino","@minobumino")</f>
        <v>@minobumino</v>
      </c>
      <c r="C5214" t="s">
        <v>2087</v>
      </c>
      <c r="D5214">
        <v>28</v>
      </c>
      <c r="E5214">
        <v>0</v>
      </c>
      <c r="F5214">
        <v>523</v>
      </c>
    </row>
    <row r="5215" spans="1:6" ht="12.75">
      <c r="A5215" s="2">
        <v>43883.149513888886</v>
      </c>
      <c r="B5215" t="str">
        <f>HYPERLINK("https://twitter.com/Sandiktm_","@Sandiktm_")</f>
        <v>@Sandiktm_</v>
      </c>
      <c r="C5215" t="s">
        <v>4076</v>
      </c>
      <c r="D5215">
        <v>0</v>
      </c>
      <c r="E5215">
        <v>0</v>
      </c>
      <c r="F5215">
        <v>326</v>
      </c>
    </row>
    <row r="5216" spans="1:6" ht="12.75">
      <c r="A5216" s="2">
        <v>43883.137546296297</v>
      </c>
      <c r="B5216" t="str">
        <f>HYPERLINK("https://twitter.com/Latupeirissa77","@Latupeirissa77")</f>
        <v>@Latupeirissa77</v>
      </c>
      <c r="C5216" t="s">
        <v>4077</v>
      </c>
      <c r="D5216">
        <v>26</v>
      </c>
      <c r="E5216">
        <v>0</v>
      </c>
      <c r="F5216">
        <v>222</v>
      </c>
    </row>
    <row r="5217" spans="1:6" ht="12.75">
      <c r="A5217" s="2">
        <v>43883.136921296296</v>
      </c>
      <c r="B5217" t="str">
        <f>HYPERLINK("https://twitter.com/ranioktaviani92","@ranioktaviani92")</f>
        <v>@ranioktaviani92</v>
      </c>
      <c r="C5217" t="s">
        <v>2089</v>
      </c>
      <c r="D5217">
        <v>0</v>
      </c>
      <c r="E5217">
        <v>0</v>
      </c>
      <c r="F5217">
        <v>24</v>
      </c>
    </row>
    <row r="5218" spans="1:6" ht="12.75">
      <c r="A5218" s="2">
        <v>43883.130740740744</v>
      </c>
      <c r="B5218" t="str">
        <f>HYPERLINK("https://twitter.com/DwiSuriantini","@DwiSuriantini")</f>
        <v>@DwiSuriantini</v>
      </c>
      <c r="C5218" t="s">
        <v>4069</v>
      </c>
      <c r="D5218">
        <v>3</v>
      </c>
      <c r="E5218">
        <v>0</v>
      </c>
      <c r="F5218">
        <v>161</v>
      </c>
    </row>
    <row r="5219" spans="1:6" ht="12.75">
      <c r="A5219" s="2">
        <v>43883.129733796297</v>
      </c>
      <c r="B5219" t="str">
        <f>HYPERLINK("https://twitter.com/el_saintx","@el_saintx")</f>
        <v>@el_saintx</v>
      </c>
      <c r="C5219" t="s">
        <v>4078</v>
      </c>
      <c r="D5219">
        <v>0</v>
      </c>
      <c r="E5219">
        <v>0</v>
      </c>
      <c r="F5219">
        <v>247</v>
      </c>
    </row>
    <row r="5220" spans="1:6" ht="12.75">
      <c r="A5220" s="2">
        <v>43883.128553240742</v>
      </c>
      <c r="B5220" t="str">
        <f>HYPERLINK("https://twitter.com/mudha_satriya","@mudha_satriya")</f>
        <v>@mudha_satriya</v>
      </c>
      <c r="C5220" t="s">
        <v>4055</v>
      </c>
      <c r="D5220">
        <v>1</v>
      </c>
      <c r="E5220">
        <v>0</v>
      </c>
      <c r="F5220">
        <v>1875</v>
      </c>
    </row>
    <row r="5221" spans="1:6" ht="12.75">
      <c r="A5221" s="2">
        <v>43883.126666666663</v>
      </c>
      <c r="B5221" t="str">
        <f>HYPERLINK("https://twitter.com/Difacom","@Difacom")</f>
        <v>@Difacom</v>
      </c>
      <c r="C5221" t="s">
        <v>4079</v>
      </c>
      <c r="D5221">
        <v>0</v>
      </c>
      <c r="E5221">
        <v>0</v>
      </c>
      <c r="F5221">
        <v>917</v>
      </c>
    </row>
    <row r="5222" spans="1:6" ht="12.75">
      <c r="A5222" s="2">
        <v>43883.125</v>
      </c>
      <c r="B5222" t="str">
        <f>HYPERLINK("https://twitter.com/GTVID_News","@GTVID_News")</f>
        <v>@GTVID_News</v>
      </c>
      <c r="C5222" t="s">
        <v>4080</v>
      </c>
      <c r="D5222">
        <v>0</v>
      </c>
      <c r="E5222">
        <v>0</v>
      </c>
      <c r="F5222">
        <v>10801</v>
      </c>
    </row>
    <row r="5223" spans="1:6" ht="12.75">
      <c r="A5223" s="2">
        <v>43883.121238425927</v>
      </c>
      <c r="B5223" t="str">
        <f>HYPERLINK("https://twitter.com/ReiMichie99","@ReiMichie99")</f>
        <v>@ReiMichie99</v>
      </c>
      <c r="C5223" t="s">
        <v>4081</v>
      </c>
      <c r="D5223">
        <v>0</v>
      </c>
      <c r="E5223">
        <v>0</v>
      </c>
      <c r="F5223">
        <v>10</v>
      </c>
    </row>
    <row r="5224" spans="1:6" ht="12.75">
      <c r="A5224" s="2">
        <v>43883.120636574073</v>
      </c>
      <c r="B5224" t="str">
        <f>HYPERLINK("https://twitter.com/alipdot03","@alipdot03")</f>
        <v>@alipdot03</v>
      </c>
      <c r="C5224" t="s">
        <v>3090</v>
      </c>
      <c r="D5224">
        <v>2</v>
      </c>
      <c r="E5224">
        <v>0</v>
      </c>
      <c r="F5224">
        <v>106</v>
      </c>
    </row>
    <row r="5225" spans="1:6" ht="12.75">
      <c r="A5225" s="2">
        <v>43883.119467592594</v>
      </c>
      <c r="B5225" t="str">
        <f>HYPERLINK("https://twitter.com/republikaonline","@republikaonline")</f>
        <v>@republikaonline</v>
      </c>
      <c r="C5225" t="s">
        <v>4082</v>
      </c>
      <c r="D5225">
        <v>1</v>
      </c>
      <c r="E5225">
        <v>1</v>
      </c>
      <c r="F5225">
        <v>1211872</v>
      </c>
    </row>
    <row r="5226" spans="1:6" ht="12.75">
      <c r="A5226" s="2">
        <v>43883.118506944447</v>
      </c>
      <c r="B5226" t="str">
        <f>HYPERLINK("https://twitter.com/OctoRisel","@OctoRisel")</f>
        <v>@OctoRisel</v>
      </c>
      <c r="C5226" t="s">
        <v>177</v>
      </c>
      <c r="D5226">
        <v>805</v>
      </c>
      <c r="E5226">
        <v>0</v>
      </c>
      <c r="F5226">
        <v>74</v>
      </c>
    </row>
    <row r="5227" spans="1:6" ht="12.75">
      <c r="A5227" s="2">
        <v>43883.115740740745</v>
      </c>
      <c r="B5227" t="str">
        <f>HYPERLINK("https://twitter.com/difa_wisata","@difa_wisata")</f>
        <v>@difa_wisata</v>
      </c>
      <c r="C5227" t="s">
        <v>4079</v>
      </c>
      <c r="D5227">
        <v>0</v>
      </c>
      <c r="E5227">
        <v>0</v>
      </c>
      <c r="F5227">
        <v>111</v>
      </c>
    </row>
    <row r="5228" spans="1:6" ht="12.75">
      <c r="A5228" s="2">
        <v>43883.111597222218</v>
      </c>
      <c r="B5228" t="str">
        <f>HYPERLINK("https://twitter.com/innerchiIddd","@innerchiIddd")</f>
        <v>@innerchiIddd</v>
      </c>
      <c r="C5228" t="s">
        <v>2467</v>
      </c>
      <c r="D5228">
        <v>902</v>
      </c>
      <c r="E5228">
        <v>0</v>
      </c>
      <c r="F5228">
        <v>453</v>
      </c>
    </row>
    <row r="5229" spans="1:6" ht="12.75">
      <c r="A5229" s="2">
        <v>43883.105798611112</v>
      </c>
      <c r="B5229" t="str">
        <f>HYPERLINK("https://twitter.com/AfiqKayaBerjaya","@AfiqKayaBerjaya")</f>
        <v>@AfiqKayaBerjaya</v>
      </c>
      <c r="C5229" t="s">
        <v>2711</v>
      </c>
      <c r="D5229">
        <v>152</v>
      </c>
      <c r="E5229">
        <v>0</v>
      </c>
      <c r="F5229">
        <v>343</v>
      </c>
    </row>
    <row r="5230" spans="1:6" ht="12.75">
      <c r="A5230" s="2">
        <v>43883.104884259257</v>
      </c>
      <c r="B5230" t="str">
        <f>HYPERLINK("https://twitter.com/NetizenUnited","@NetizenUnited")</f>
        <v>@NetizenUnited</v>
      </c>
      <c r="C5230" t="s">
        <v>4083</v>
      </c>
      <c r="D5230">
        <v>0</v>
      </c>
      <c r="E5230">
        <v>0</v>
      </c>
      <c r="F5230">
        <v>1940</v>
      </c>
    </row>
    <row r="5231" spans="1:6" ht="12.75">
      <c r="A5231" s="2">
        <v>43883.104768518519</v>
      </c>
      <c r="B5231" t="str">
        <f>HYPERLINK("https://twitter.com/nabilarahmahts","@nabilarahmahts")</f>
        <v>@nabilarahmahts</v>
      </c>
      <c r="C5231" t="s">
        <v>2087</v>
      </c>
      <c r="D5231">
        <v>27</v>
      </c>
      <c r="E5231">
        <v>0</v>
      </c>
      <c r="F5231">
        <v>627</v>
      </c>
    </row>
    <row r="5232" spans="1:6" ht="12.75">
      <c r="A5232" s="2">
        <v>43883.104745370365</v>
      </c>
      <c r="B5232" t="str">
        <f>HYPERLINK("https://twitter.com/pundengiri","@pundengiri")</f>
        <v>@pundengiri</v>
      </c>
      <c r="C5232" t="s">
        <v>4084</v>
      </c>
      <c r="D5232">
        <v>0</v>
      </c>
      <c r="E5232">
        <v>0</v>
      </c>
      <c r="F5232">
        <v>353</v>
      </c>
    </row>
    <row r="5233" spans="1:6" ht="12.75">
      <c r="A5233" s="2">
        <v>43883.103842592594</v>
      </c>
      <c r="B5233" t="str">
        <f>HYPERLINK("https://twitter.com/updatedotid","@updatedotid")</f>
        <v>@updatedotid</v>
      </c>
      <c r="C5233" t="s">
        <v>4085</v>
      </c>
      <c r="D5233">
        <v>2</v>
      </c>
      <c r="E5233">
        <v>0</v>
      </c>
      <c r="F5233">
        <v>1620</v>
      </c>
    </row>
    <row r="5234" spans="1:6" ht="12.75">
      <c r="A5234" s="2">
        <v>43883.103842592594</v>
      </c>
      <c r="B5234" t="str">
        <f>HYPERLINK("https://twitter.com/sabhatansabiz","@sabhatansabiz")</f>
        <v>@sabhatansabiz</v>
      </c>
      <c r="C5234" t="s">
        <v>4085</v>
      </c>
      <c r="D5234">
        <v>2</v>
      </c>
      <c r="E5234">
        <v>0</v>
      </c>
      <c r="F5234">
        <v>1584</v>
      </c>
    </row>
    <row r="5235" spans="1:6" ht="12.75">
      <c r="A5235" s="2">
        <v>43883.103530092594</v>
      </c>
      <c r="B5235" t="str">
        <f>HYPERLINK("https://twitter.com/radar_malang","@radar_malang")</f>
        <v>@radar_malang</v>
      </c>
      <c r="C5235" t="s">
        <v>4086</v>
      </c>
      <c r="D5235">
        <v>2</v>
      </c>
      <c r="E5235">
        <v>0</v>
      </c>
      <c r="F5235">
        <v>108628</v>
      </c>
    </row>
    <row r="5236" spans="1:6" ht="12.75">
      <c r="A5236" s="2">
        <v>43883.103032407409</v>
      </c>
      <c r="B5236" t="str">
        <f>HYPERLINK("https://twitter.com/NetizenUnited","@NetizenUnited")</f>
        <v>@NetizenUnited</v>
      </c>
      <c r="C5236" t="s">
        <v>4087</v>
      </c>
      <c r="D5236">
        <v>0</v>
      </c>
      <c r="E5236">
        <v>0</v>
      </c>
      <c r="F5236">
        <v>1940</v>
      </c>
    </row>
    <row r="5237" spans="1:6" ht="12.75">
      <c r="A5237" s="2">
        <v>43883.102222222224</v>
      </c>
      <c r="B5237" t="str">
        <f>HYPERLINK("https://twitter.com/BagofGabe","@BagofGabe")</f>
        <v>@BagofGabe</v>
      </c>
      <c r="C5237" t="s">
        <v>4088</v>
      </c>
      <c r="D5237">
        <v>0</v>
      </c>
      <c r="E5237">
        <v>1</v>
      </c>
      <c r="F5237">
        <v>373</v>
      </c>
    </row>
    <row r="5238" spans="1:6" ht="12.75">
      <c r="A5238" s="2">
        <v>43883.100081018521</v>
      </c>
      <c r="B5238" t="str">
        <f>HYPERLINK("https://twitter.com/isis_ceo","@isis_ceo")</f>
        <v>@isis_ceo</v>
      </c>
      <c r="C5238" t="s">
        <v>4089</v>
      </c>
      <c r="D5238">
        <v>1</v>
      </c>
      <c r="E5238">
        <v>3</v>
      </c>
      <c r="F5238">
        <v>141</v>
      </c>
    </row>
    <row r="5239" spans="1:6" ht="12.75">
      <c r="A5239" s="2">
        <v>43883.099363425921</v>
      </c>
      <c r="B5239" t="str">
        <f t="shared" ref="B5239:B5242" si="102">HYPERLINK("https://twitter.com/NetizenUnited","@NetizenUnited")</f>
        <v>@NetizenUnited</v>
      </c>
      <c r="C5239" t="s">
        <v>4090</v>
      </c>
      <c r="D5239">
        <v>0</v>
      </c>
      <c r="E5239">
        <v>0</v>
      </c>
      <c r="F5239">
        <v>1940</v>
      </c>
    </row>
    <row r="5240" spans="1:6" ht="12.75">
      <c r="A5240" s="2">
        <v>43883.099351851852</v>
      </c>
      <c r="B5240" t="str">
        <f t="shared" si="102"/>
        <v>@NetizenUnited</v>
      </c>
      <c r="C5240" t="s">
        <v>4091</v>
      </c>
      <c r="D5240">
        <v>0</v>
      </c>
      <c r="E5240">
        <v>0</v>
      </c>
      <c r="F5240">
        <v>1940</v>
      </c>
    </row>
    <row r="5241" spans="1:6" ht="12.75">
      <c r="A5241" s="2">
        <v>43883.099305555559</v>
      </c>
      <c r="B5241" t="str">
        <f t="shared" si="102"/>
        <v>@NetizenUnited</v>
      </c>
      <c r="C5241" t="s">
        <v>4092</v>
      </c>
      <c r="D5241">
        <v>0</v>
      </c>
      <c r="E5241">
        <v>0</v>
      </c>
      <c r="F5241">
        <v>1940</v>
      </c>
    </row>
    <row r="5242" spans="1:6" ht="12.75">
      <c r="A5242" s="2">
        <v>43883.099282407406</v>
      </c>
      <c r="B5242" t="str">
        <f t="shared" si="102"/>
        <v>@NetizenUnited</v>
      </c>
      <c r="C5242" t="s">
        <v>4093</v>
      </c>
      <c r="D5242">
        <v>0</v>
      </c>
      <c r="E5242">
        <v>0</v>
      </c>
      <c r="F5242">
        <v>1940</v>
      </c>
    </row>
    <row r="5243" spans="1:6" ht="12.75">
      <c r="A5243" s="2">
        <v>43883.099097222221</v>
      </c>
      <c r="B5243" t="str">
        <f>HYPERLINK("https://twitter.com/wahyutohafirmna","@wahyutohafirmna")</f>
        <v>@wahyutohafirmna</v>
      </c>
      <c r="C5243" t="s">
        <v>4069</v>
      </c>
      <c r="D5243">
        <v>2</v>
      </c>
      <c r="E5243">
        <v>0</v>
      </c>
      <c r="F5243">
        <v>17</v>
      </c>
    </row>
    <row r="5244" spans="1:6" ht="12.75">
      <c r="A5244" s="2">
        <v>43883.097326388888</v>
      </c>
      <c r="B5244" t="str">
        <f>HYPERLINK("https://twitter.com/octavino","@octavino")</f>
        <v>@octavino</v>
      </c>
      <c r="C5244" t="s">
        <v>4094</v>
      </c>
      <c r="D5244">
        <v>3</v>
      </c>
      <c r="E5244">
        <v>0</v>
      </c>
      <c r="F5244">
        <v>156</v>
      </c>
    </row>
    <row r="5245" spans="1:6" ht="12.75">
      <c r="A5245" s="2">
        <v>43883.096689814818</v>
      </c>
      <c r="B5245" t="str">
        <f>HYPERLINK("https://twitter.com/valeriusivandav","@valeriusivandav")</f>
        <v>@valeriusivandav</v>
      </c>
      <c r="C5245" t="s">
        <v>4095</v>
      </c>
      <c r="D5245">
        <v>0</v>
      </c>
      <c r="E5245">
        <v>0</v>
      </c>
      <c r="F5245">
        <v>288</v>
      </c>
    </row>
    <row r="5246" spans="1:6" ht="12.75">
      <c r="A5246" s="2">
        <v>43883.094641203701</v>
      </c>
      <c r="B5246" t="str">
        <f>HYPERLINK("https://twitter.com/DivaRadioqu","@DivaRadioqu")</f>
        <v>@DivaRadioqu</v>
      </c>
      <c r="C5246" t="s">
        <v>4096</v>
      </c>
      <c r="D5246">
        <v>0</v>
      </c>
      <c r="E5246">
        <v>0</v>
      </c>
      <c r="F5246">
        <v>256</v>
      </c>
    </row>
    <row r="5247" spans="1:6" ht="12.75">
      <c r="A5247" s="2">
        <v>43883.09412037037</v>
      </c>
      <c r="B5247" t="str">
        <f>HYPERLINK("https://twitter.com/amir_firdaus89","@amir_firdaus89")</f>
        <v>@amir_firdaus89</v>
      </c>
      <c r="C5247" t="s">
        <v>2711</v>
      </c>
      <c r="D5247">
        <v>152</v>
      </c>
      <c r="E5247">
        <v>0</v>
      </c>
      <c r="F5247">
        <v>210</v>
      </c>
    </row>
    <row r="5248" spans="1:6" ht="12.75">
      <c r="A5248" s="2">
        <v>43883.093287037038</v>
      </c>
      <c r="B5248" t="str">
        <f>HYPERLINK("https://twitter.com/masmugialba","@masmugialba")</f>
        <v>@masmugialba</v>
      </c>
      <c r="C5248" t="s">
        <v>4097</v>
      </c>
      <c r="D5248">
        <v>2</v>
      </c>
      <c r="E5248">
        <v>0</v>
      </c>
      <c r="F5248">
        <v>1034</v>
      </c>
    </row>
    <row r="5249" spans="1:6" ht="12.75">
      <c r="A5249" s="2">
        <v>43883.092962962968</v>
      </c>
      <c r="B5249" t="str">
        <f>HYPERLINK("https://twitter.com/kampungkulon","@kampungkulon")</f>
        <v>@kampungkulon</v>
      </c>
      <c r="C5249" t="s">
        <v>3873</v>
      </c>
      <c r="D5249">
        <v>6</v>
      </c>
      <c r="E5249">
        <v>0</v>
      </c>
      <c r="F5249">
        <v>777</v>
      </c>
    </row>
    <row r="5250" spans="1:6" ht="12.75">
      <c r="A5250" s="2">
        <v>43883.09239583333</v>
      </c>
      <c r="B5250" t="str">
        <f>HYPERLINK("https://twitter.com/syazwannamrizal","@syazwannamrizal")</f>
        <v>@syazwannamrizal</v>
      </c>
      <c r="C5250" t="s">
        <v>2711</v>
      </c>
      <c r="D5250">
        <v>152</v>
      </c>
      <c r="E5250">
        <v>0</v>
      </c>
      <c r="F5250">
        <v>186</v>
      </c>
    </row>
    <row r="5251" spans="1:6" ht="12.75">
      <c r="A5251" s="2">
        <v>43883.091620370367</v>
      </c>
      <c r="B5251" t="str">
        <f>HYPERLINK("https://twitter.com/apeeluuu1","@apeeluuu1")</f>
        <v>@apeeluuu1</v>
      </c>
      <c r="C5251" t="s">
        <v>513</v>
      </c>
      <c r="D5251">
        <v>23256</v>
      </c>
      <c r="E5251">
        <v>0</v>
      </c>
      <c r="F5251">
        <v>1</v>
      </c>
    </row>
    <row r="5252" spans="1:6" ht="12.75">
      <c r="A5252" s="2">
        <v>43883.088807870372</v>
      </c>
      <c r="B5252" t="str">
        <f>HYPERLINK("https://twitter.com/MAliSubhan2","@MAliSubhan2")</f>
        <v>@MAliSubhan2</v>
      </c>
      <c r="C5252" t="s">
        <v>2962</v>
      </c>
      <c r="D5252">
        <v>24</v>
      </c>
      <c r="E5252">
        <v>0</v>
      </c>
      <c r="F5252">
        <v>1150</v>
      </c>
    </row>
    <row r="5253" spans="1:6" ht="12.75">
      <c r="A5253" s="2">
        <v>43883.085636574076</v>
      </c>
      <c r="B5253" t="str">
        <f>HYPERLINK("https://twitter.com/Alex27008156","@Alex27008156")</f>
        <v>@Alex27008156</v>
      </c>
      <c r="C5253" t="s">
        <v>2930</v>
      </c>
      <c r="D5253">
        <v>150</v>
      </c>
      <c r="E5253">
        <v>0</v>
      </c>
      <c r="F5253">
        <v>575</v>
      </c>
    </row>
    <row r="5254" spans="1:6" ht="12.75">
      <c r="A5254" s="2">
        <v>43883.083796296298</v>
      </c>
      <c r="B5254" t="str">
        <f>HYPERLINK("https://twitter.com/andaruwrtm","@andaruwrtm")</f>
        <v>@andaruwrtm</v>
      </c>
      <c r="C5254" t="s">
        <v>4098</v>
      </c>
      <c r="D5254">
        <v>0</v>
      </c>
      <c r="E5254">
        <v>0</v>
      </c>
      <c r="F5254">
        <v>84</v>
      </c>
    </row>
    <row r="5255" spans="1:6" ht="12.75">
      <c r="A5255" s="2">
        <v>43883.083194444444</v>
      </c>
      <c r="B5255" t="str">
        <f>HYPERLINK("https://twitter.com/saupiiiii","@saupiiiii")</f>
        <v>@saupiiiii</v>
      </c>
      <c r="C5255" t="s">
        <v>2711</v>
      </c>
      <c r="D5255">
        <v>149</v>
      </c>
      <c r="E5255">
        <v>0</v>
      </c>
      <c r="F5255">
        <v>453</v>
      </c>
    </row>
    <row r="5256" spans="1:6" ht="12.75">
      <c r="A5256" s="2">
        <v>43883.082800925928</v>
      </c>
      <c r="B5256" t="str">
        <f>HYPERLINK("https://twitter.com/jawapos","@jawapos")</f>
        <v>@jawapos</v>
      </c>
      <c r="C5256" t="s">
        <v>4086</v>
      </c>
      <c r="D5256">
        <v>0</v>
      </c>
      <c r="E5256">
        <v>0</v>
      </c>
      <c r="F5256">
        <v>119971</v>
      </c>
    </row>
    <row r="5257" spans="1:6" ht="12.75">
      <c r="A5257" s="2">
        <v>43883.081828703704</v>
      </c>
      <c r="B5257" t="str">
        <f>HYPERLINK("https://twitter.com/ErpelaHeri","@ErpelaHeri")</f>
        <v>@ErpelaHeri</v>
      </c>
      <c r="C5257" t="s">
        <v>4099</v>
      </c>
      <c r="D5257">
        <v>0</v>
      </c>
      <c r="E5257">
        <v>0</v>
      </c>
      <c r="F5257">
        <v>65</v>
      </c>
    </row>
    <row r="5258" spans="1:6" ht="12.75">
      <c r="A5258" s="2">
        <v>43883.080729166672</v>
      </c>
      <c r="B5258" t="str">
        <f>HYPERLINK("https://twitter.com/AmstrongBiring","@AmstrongBiring")</f>
        <v>@AmstrongBiring</v>
      </c>
      <c r="C5258" t="s">
        <v>4100</v>
      </c>
      <c r="D5258">
        <v>5</v>
      </c>
      <c r="E5258">
        <v>0</v>
      </c>
      <c r="F5258">
        <v>1966</v>
      </c>
    </row>
    <row r="5259" spans="1:6" ht="12.75">
      <c r="A5259" s="2">
        <v>43883.07876157407</v>
      </c>
      <c r="B5259" t="str">
        <f>HYPERLINK("https://twitter.com/Tamaariaa","@Tamaariaa")</f>
        <v>@Tamaariaa</v>
      </c>
      <c r="C5259" t="s">
        <v>3340</v>
      </c>
      <c r="D5259">
        <v>342</v>
      </c>
      <c r="E5259">
        <v>0</v>
      </c>
      <c r="F5259">
        <v>2</v>
      </c>
    </row>
    <row r="5260" spans="1:6" ht="12.75">
      <c r="A5260" s="2">
        <v>43883.077800925923</v>
      </c>
      <c r="B5260" t="str">
        <f>HYPERLINK("https://twitter.com/republikaonline","@republikaonline")</f>
        <v>@republikaonline</v>
      </c>
      <c r="C5260" t="s">
        <v>4101</v>
      </c>
      <c r="D5260">
        <v>0</v>
      </c>
      <c r="E5260">
        <v>1</v>
      </c>
      <c r="F5260">
        <v>1211866</v>
      </c>
    </row>
    <row r="5261" spans="1:6" ht="12.75">
      <c r="A5261" s="2">
        <v>43883.077407407407</v>
      </c>
      <c r="B5261" t="str">
        <f>HYPERLINK("https://twitter.com/NrAinaaaaaaaaaa","@NrAinaaaaaaaaaa")</f>
        <v>@NrAinaaaaaaaaaa</v>
      </c>
      <c r="C5261" t="s">
        <v>2711</v>
      </c>
      <c r="D5261">
        <v>149</v>
      </c>
      <c r="E5261">
        <v>0</v>
      </c>
      <c r="F5261">
        <v>132</v>
      </c>
    </row>
    <row r="5262" spans="1:6" ht="12.75">
      <c r="A5262" s="2">
        <v>43883.076504629629</v>
      </c>
      <c r="B5262" t="str">
        <f>HYPERLINK("https://twitter.com/chandrasubejo","@chandrasubejo")</f>
        <v>@chandrasubejo</v>
      </c>
      <c r="C5262" t="s">
        <v>4102</v>
      </c>
      <c r="D5262">
        <v>0</v>
      </c>
      <c r="E5262">
        <v>0</v>
      </c>
      <c r="F5262">
        <v>56</v>
      </c>
    </row>
    <row r="5263" spans="1:6" ht="12.75">
      <c r="A5263" s="2">
        <v>43883.074560185181</v>
      </c>
      <c r="B5263" t="str">
        <f>HYPERLINK("https://twitter.com/tessavnn","@tessavnn")</f>
        <v>@tessavnn</v>
      </c>
      <c r="C5263" t="s">
        <v>2692</v>
      </c>
      <c r="D5263">
        <v>2037</v>
      </c>
      <c r="E5263">
        <v>0</v>
      </c>
      <c r="F5263">
        <v>1392</v>
      </c>
    </row>
    <row r="5264" spans="1:6" ht="12.75">
      <c r="A5264" s="2">
        <v>43883.071770833332</v>
      </c>
      <c r="B5264" t="str">
        <f>HYPERLINK("https://twitter.com/nashelmiwahab","@nashelmiwahab")</f>
        <v>@nashelmiwahab</v>
      </c>
      <c r="C5264" t="s">
        <v>3090</v>
      </c>
      <c r="D5264">
        <v>1</v>
      </c>
      <c r="E5264">
        <v>0</v>
      </c>
      <c r="F5264">
        <v>167</v>
      </c>
    </row>
    <row r="5265" spans="1:6" ht="12.75">
      <c r="A5265" s="2">
        <v>43883.070636574077</v>
      </c>
      <c r="B5265" t="str">
        <f>HYPERLINK("https://twitter.com/happy_twittboy","@happy_twittboy")</f>
        <v>@happy_twittboy</v>
      </c>
      <c r="C5265" t="s">
        <v>4103</v>
      </c>
      <c r="D5265">
        <v>0</v>
      </c>
      <c r="E5265">
        <v>0</v>
      </c>
      <c r="F5265">
        <v>112</v>
      </c>
    </row>
    <row r="5266" spans="1:6" ht="12.75">
      <c r="A5266" s="2">
        <v>43883.0699537037</v>
      </c>
      <c r="B5266" t="str">
        <f>HYPERLINK("https://twitter.com/minikitihii","@minikitihii")</f>
        <v>@minikitihii</v>
      </c>
      <c r="C5266" t="s">
        <v>3525</v>
      </c>
      <c r="D5266">
        <v>28</v>
      </c>
      <c r="E5266">
        <v>0</v>
      </c>
      <c r="F5266">
        <v>0</v>
      </c>
    </row>
    <row r="5267" spans="1:6" ht="12.75">
      <c r="A5267" s="2">
        <v>43883.068414351852</v>
      </c>
      <c r="B5267" t="str">
        <f>HYPERLINK("https://twitter.com/azimuddinkamal","@azimuddinkamal")</f>
        <v>@azimuddinkamal</v>
      </c>
      <c r="C5267" t="s">
        <v>2711</v>
      </c>
      <c r="D5267">
        <v>149</v>
      </c>
      <c r="E5267">
        <v>0</v>
      </c>
      <c r="F5267">
        <v>64</v>
      </c>
    </row>
    <row r="5268" spans="1:6" ht="12.75">
      <c r="A5268" s="2">
        <v>43883.067604166667</v>
      </c>
      <c r="B5268" t="str">
        <f>HYPERLINK("https://twitter.com/akutaklupa","@akutaklupa")</f>
        <v>@akutaklupa</v>
      </c>
      <c r="C5268" t="s">
        <v>4104</v>
      </c>
      <c r="D5268">
        <v>0</v>
      </c>
      <c r="E5268">
        <v>0</v>
      </c>
      <c r="F5268">
        <v>6</v>
      </c>
    </row>
    <row r="5269" spans="1:6" ht="12.75">
      <c r="A5269" s="2">
        <v>43883.066817129627</v>
      </c>
      <c r="B5269" t="str">
        <f>HYPERLINK("https://twitter.com/AbduMahamadu70","@AbduMahamadu70")</f>
        <v>@AbduMahamadu70</v>
      </c>
      <c r="C5269" t="s">
        <v>4105</v>
      </c>
      <c r="D5269">
        <v>0</v>
      </c>
      <c r="E5269">
        <v>0</v>
      </c>
      <c r="F5269">
        <v>808</v>
      </c>
    </row>
    <row r="5270" spans="1:6" ht="12.75">
      <c r="A5270" s="2">
        <v>43883.066446759258</v>
      </c>
      <c r="B5270" t="str">
        <f>HYPERLINK("https://twitter.com/bang_nuno","@bang_nuno")</f>
        <v>@bang_nuno</v>
      </c>
      <c r="C5270" t="s">
        <v>4106</v>
      </c>
      <c r="D5270">
        <v>0</v>
      </c>
      <c r="E5270">
        <v>0</v>
      </c>
      <c r="F5270">
        <v>176</v>
      </c>
    </row>
    <row r="5271" spans="1:6" ht="12.75">
      <c r="A5271" s="2">
        <v>43883.065347222218</v>
      </c>
      <c r="B5271" t="str">
        <f>HYPERLINK("https://twitter.com/Isis_Guedes3","@Isis_Guedes3")</f>
        <v>@Isis_Guedes3</v>
      </c>
      <c r="C5271" t="s">
        <v>4107</v>
      </c>
      <c r="D5271">
        <v>0</v>
      </c>
      <c r="E5271">
        <v>0</v>
      </c>
      <c r="F5271">
        <v>278</v>
      </c>
    </row>
    <row r="5272" spans="1:6" ht="12.75">
      <c r="A5272" s="2">
        <v>43883.064745370371</v>
      </c>
      <c r="B5272" t="str">
        <f>HYPERLINK("https://twitter.com/ESyaputraa","@ESyaputraa")</f>
        <v>@ESyaputraa</v>
      </c>
      <c r="C5272" t="s">
        <v>3525</v>
      </c>
      <c r="D5272">
        <v>28</v>
      </c>
      <c r="E5272">
        <v>0</v>
      </c>
      <c r="F5272">
        <v>1</v>
      </c>
    </row>
    <row r="5273" spans="1:6" ht="12.75">
      <c r="A5273" s="2">
        <v>43883.06186342593</v>
      </c>
      <c r="B5273" t="str">
        <f>HYPERLINK("https://twitter.com/herdiyansahh3","@herdiyansahh3")</f>
        <v>@herdiyansahh3</v>
      </c>
      <c r="C5273" t="s">
        <v>3525</v>
      </c>
      <c r="D5273">
        <v>28</v>
      </c>
      <c r="E5273">
        <v>0</v>
      </c>
      <c r="F5273">
        <v>1</v>
      </c>
    </row>
    <row r="5274" spans="1:6" ht="12.75">
      <c r="A5274" s="2">
        <v>43883.061203703706</v>
      </c>
      <c r="B5274" t="str">
        <f>HYPERLINK("https://twitter.com/Fr4nst","@Fr4nst")</f>
        <v>@Fr4nst</v>
      </c>
      <c r="C5274" t="s">
        <v>4108</v>
      </c>
      <c r="D5274">
        <v>0</v>
      </c>
      <c r="E5274">
        <v>0</v>
      </c>
      <c r="F5274">
        <v>2297</v>
      </c>
    </row>
    <row r="5275" spans="1:6" ht="12.75">
      <c r="A5275" s="2">
        <v>43883.060462962967</v>
      </c>
      <c r="B5275" t="str">
        <f>HYPERLINK("https://twitter.com/TTSforReal","@TTSforReal")</f>
        <v>@TTSforReal</v>
      </c>
      <c r="C5275" t="s">
        <v>4109</v>
      </c>
      <c r="D5275">
        <v>0</v>
      </c>
      <c r="E5275">
        <v>0</v>
      </c>
      <c r="F5275">
        <v>72</v>
      </c>
    </row>
    <row r="5276" spans="1:6" ht="12.75">
      <c r="A5276" s="2">
        <v>43883.060312500005</v>
      </c>
      <c r="B5276" t="str">
        <f>HYPERLINK("https://twitter.com/Duck_Toxic","@Duck_Toxic")</f>
        <v>@Duck_Toxic</v>
      </c>
      <c r="C5276" t="s">
        <v>4110</v>
      </c>
      <c r="D5276">
        <v>0</v>
      </c>
      <c r="E5276">
        <v>0</v>
      </c>
      <c r="F5276">
        <v>404</v>
      </c>
    </row>
    <row r="5277" spans="1:6" ht="12.75">
      <c r="A5277" s="2">
        <v>43883.059907407413</v>
      </c>
      <c r="B5277" t="str">
        <f>HYPERLINK("https://twitter.com/sy_nee","@sy_nee")</f>
        <v>@sy_nee</v>
      </c>
      <c r="C5277" t="s">
        <v>2087</v>
      </c>
      <c r="D5277">
        <v>26</v>
      </c>
      <c r="E5277">
        <v>0</v>
      </c>
      <c r="F5277">
        <v>434</v>
      </c>
    </row>
    <row r="5278" spans="1:6" ht="12.75">
      <c r="A5278" s="2">
        <v>43883.059872685189</v>
      </c>
      <c r="B5278" t="str">
        <f>HYPERLINK("https://twitter.com/BagusBaguspm","@BagusBaguspm")</f>
        <v>@BagusBaguspm</v>
      </c>
      <c r="C5278" t="s">
        <v>513</v>
      </c>
      <c r="D5278">
        <v>23255</v>
      </c>
      <c r="E5278">
        <v>0</v>
      </c>
      <c r="F5278">
        <v>37</v>
      </c>
    </row>
    <row r="5279" spans="1:6" ht="12.75">
      <c r="A5279" s="2">
        <v>43883.059467592597</v>
      </c>
      <c r="B5279" t="str">
        <f>HYPERLINK("https://twitter.com/cikzatyy","@cikzatyy")</f>
        <v>@cikzatyy</v>
      </c>
      <c r="C5279" t="s">
        <v>2711</v>
      </c>
      <c r="D5279">
        <v>149</v>
      </c>
      <c r="E5279">
        <v>0</v>
      </c>
      <c r="F5279">
        <v>219</v>
      </c>
    </row>
    <row r="5280" spans="1:6" ht="12.75">
      <c r="A5280" s="2">
        <v>43883.058749999997</v>
      </c>
      <c r="B5280" t="str">
        <f>HYPERLINK("https://twitter.com/andiss01","@andiss01")</f>
        <v>@andiss01</v>
      </c>
      <c r="C5280" t="s">
        <v>3525</v>
      </c>
      <c r="D5280">
        <v>28</v>
      </c>
      <c r="E5280">
        <v>0</v>
      </c>
      <c r="F5280">
        <v>0</v>
      </c>
    </row>
    <row r="5281" spans="1:6" ht="12.75">
      <c r="A5281" s="2">
        <v>43883.057395833333</v>
      </c>
      <c r="B5281" t="str">
        <f>HYPERLINK("https://twitter.com/cenderoeng","@cenderoeng")</f>
        <v>@cenderoeng</v>
      </c>
      <c r="C5281" t="s">
        <v>4111</v>
      </c>
      <c r="D5281">
        <v>3</v>
      </c>
      <c r="E5281">
        <v>0</v>
      </c>
      <c r="F5281">
        <v>390</v>
      </c>
    </row>
    <row r="5282" spans="1:6" ht="12.75">
      <c r="A5282" s="2">
        <v>43883.057083333333</v>
      </c>
      <c r="B5282" t="str">
        <f>HYPERLINK("https://twitter.com/kusyantoo1","@kusyantoo1")</f>
        <v>@kusyantoo1</v>
      </c>
      <c r="C5282" t="s">
        <v>3525</v>
      </c>
      <c r="D5282">
        <v>28</v>
      </c>
      <c r="E5282">
        <v>0</v>
      </c>
      <c r="F5282">
        <v>3</v>
      </c>
    </row>
    <row r="5283" spans="1:6" ht="12.75">
      <c r="A5283" s="2">
        <v>43883.056666666671</v>
      </c>
      <c r="B5283" t="str">
        <f>HYPERLINK("https://twitter.com/KiOjat","@KiOjat")</f>
        <v>@KiOjat</v>
      </c>
      <c r="C5283" t="s">
        <v>4112</v>
      </c>
      <c r="D5283">
        <v>0</v>
      </c>
      <c r="E5283">
        <v>0</v>
      </c>
      <c r="F5283">
        <v>1</v>
      </c>
    </row>
    <row r="5284" spans="1:6" ht="12.75">
      <c r="A5284" s="2">
        <v>43883.055879629625</v>
      </c>
      <c r="B5284" t="str">
        <f>HYPERLINK("https://twitter.com/hamasril","@hamasril")</f>
        <v>@hamasril</v>
      </c>
      <c r="C5284" t="s">
        <v>513</v>
      </c>
      <c r="D5284">
        <v>23255</v>
      </c>
      <c r="E5284">
        <v>0</v>
      </c>
      <c r="F5284">
        <v>402</v>
      </c>
    </row>
    <row r="5285" spans="1:6" ht="12.75">
      <c r="A5285" s="2">
        <v>43883.055613425924</v>
      </c>
      <c r="B5285" t="str">
        <f>HYPERLINK("https://twitter.com/ahdanmalikk","@ahdanmalikk")</f>
        <v>@ahdanmalikk</v>
      </c>
      <c r="C5285" t="s">
        <v>3525</v>
      </c>
      <c r="D5285">
        <v>28</v>
      </c>
      <c r="E5285">
        <v>0</v>
      </c>
      <c r="F5285">
        <v>0</v>
      </c>
    </row>
    <row r="5286" spans="1:6" ht="12.75">
      <c r="A5286" s="2">
        <v>43883.052893518514</v>
      </c>
      <c r="B5286" t="str">
        <f>HYPERLINK("https://twitter.com/AidilIqmal99","@AidilIqmal99")</f>
        <v>@AidilIqmal99</v>
      </c>
      <c r="C5286" t="s">
        <v>2711</v>
      </c>
      <c r="D5286">
        <v>149</v>
      </c>
      <c r="E5286">
        <v>0</v>
      </c>
      <c r="F5286">
        <v>114</v>
      </c>
    </row>
    <row r="5287" spans="1:6" ht="12.75">
      <c r="A5287" s="2">
        <v>43883.052708333329</v>
      </c>
      <c r="B5287" t="str">
        <f>HYPERLINK("https://twitter.com/arrhamann","@arrhamann")</f>
        <v>@arrhamann</v>
      </c>
      <c r="C5287" t="s">
        <v>3525</v>
      </c>
      <c r="D5287">
        <v>28</v>
      </c>
      <c r="E5287">
        <v>0</v>
      </c>
      <c r="F5287">
        <v>1</v>
      </c>
    </row>
    <row r="5288" spans="1:6" ht="12.75">
      <c r="A5288" s="2">
        <v>43883.051701388889</v>
      </c>
      <c r="B5288" t="str">
        <f>HYPERLINK("https://twitter.com/abdimanyuu","@abdimanyuu")</f>
        <v>@abdimanyuu</v>
      </c>
      <c r="C5288" t="s">
        <v>3525</v>
      </c>
      <c r="D5288">
        <v>28</v>
      </c>
      <c r="E5288">
        <v>0</v>
      </c>
      <c r="F5288">
        <v>1</v>
      </c>
    </row>
    <row r="5289" spans="1:6" ht="12.75">
      <c r="A5289" s="2">
        <v>43883.050532407404</v>
      </c>
      <c r="B5289" t="str">
        <f>HYPERLINK("https://twitter.com/AripZumaa","@AripZumaa")</f>
        <v>@AripZumaa</v>
      </c>
      <c r="C5289" t="s">
        <v>3525</v>
      </c>
      <c r="D5289">
        <v>28</v>
      </c>
      <c r="E5289">
        <v>0</v>
      </c>
      <c r="F5289">
        <v>0</v>
      </c>
    </row>
    <row r="5290" spans="1:6" ht="12.75">
      <c r="A5290" s="2">
        <v>43883.047743055555</v>
      </c>
      <c r="B5290" t="str">
        <f>HYPERLINK("https://twitter.com/Rachman19661","@Rachman19661")</f>
        <v>@Rachman19661</v>
      </c>
      <c r="C5290" t="s">
        <v>3730</v>
      </c>
      <c r="D5290">
        <v>3</v>
      </c>
      <c r="E5290">
        <v>0</v>
      </c>
      <c r="F5290">
        <v>1237</v>
      </c>
    </row>
    <row r="5291" spans="1:6" ht="12.75">
      <c r="A5291" s="2">
        <v>43883.047650462962</v>
      </c>
      <c r="B5291" t="str">
        <f>HYPERLINK("https://twitter.com/om_iswdg","@om_iswdg")</f>
        <v>@om_iswdg</v>
      </c>
      <c r="C5291" t="s">
        <v>3995</v>
      </c>
      <c r="D5291">
        <v>9</v>
      </c>
      <c r="E5291">
        <v>0</v>
      </c>
      <c r="F5291">
        <v>2190</v>
      </c>
    </row>
    <row r="5292" spans="1:6" ht="12.75">
      <c r="A5292" s="2">
        <v>43883.047303240739</v>
      </c>
      <c r="B5292" t="str">
        <f>HYPERLINK("https://twitter.com/AjisMalikii","@AjisMalikii")</f>
        <v>@AjisMalikii</v>
      </c>
      <c r="C5292" t="s">
        <v>3525</v>
      </c>
      <c r="D5292">
        <v>28</v>
      </c>
      <c r="E5292">
        <v>0</v>
      </c>
      <c r="F5292">
        <v>1</v>
      </c>
    </row>
    <row r="5293" spans="1:6" ht="12.75">
      <c r="A5293" s="2">
        <v>43883.046550925923</v>
      </c>
      <c r="B5293" t="str">
        <f>HYPERLINK("https://twitter.com/DavidGosal4","@DavidGosal4")</f>
        <v>@DavidGosal4</v>
      </c>
      <c r="C5293" t="s">
        <v>4113</v>
      </c>
      <c r="D5293">
        <v>0</v>
      </c>
      <c r="E5293">
        <v>0</v>
      </c>
      <c r="F5293">
        <v>6</v>
      </c>
    </row>
    <row r="5294" spans="1:6" ht="12.75">
      <c r="A5294" s="2">
        <v>43883.046053240745</v>
      </c>
      <c r="B5294" t="str">
        <f>HYPERLINK("https://twitter.com/ivanchristi3","@ivanchristi3")</f>
        <v>@ivanchristi3</v>
      </c>
      <c r="C5294" t="s">
        <v>2116</v>
      </c>
      <c r="D5294">
        <v>18</v>
      </c>
      <c r="E5294">
        <v>0</v>
      </c>
      <c r="F5294">
        <v>1835</v>
      </c>
    </row>
    <row r="5295" spans="1:6" ht="12.75">
      <c r="A5295" s="2">
        <v>43883.045995370368</v>
      </c>
      <c r="B5295" t="str">
        <f>HYPERLINK("https://twitter.com/DaniiPrima","@DaniiPrima")</f>
        <v>@DaniiPrima</v>
      </c>
      <c r="C5295" t="s">
        <v>3525</v>
      </c>
      <c r="D5295">
        <v>28</v>
      </c>
      <c r="E5295">
        <v>0</v>
      </c>
      <c r="F5295">
        <v>1</v>
      </c>
    </row>
    <row r="5296" spans="1:6" ht="12.75">
      <c r="A5296" s="2">
        <v>43883.044386574074</v>
      </c>
      <c r="B5296" t="str">
        <f>HYPERLINK("https://twitter.com/MangiringParas2","@MangiringParas2")</f>
        <v>@MangiringParas2</v>
      </c>
      <c r="C5296" t="s">
        <v>4114</v>
      </c>
      <c r="D5296">
        <v>0</v>
      </c>
      <c r="E5296">
        <v>0</v>
      </c>
      <c r="F5296">
        <v>15</v>
      </c>
    </row>
    <row r="5297" spans="1:6" ht="12.75">
      <c r="A5297" s="2">
        <v>43883.042858796296</v>
      </c>
      <c r="B5297" t="str">
        <f>HYPERLINK("https://twitter.com/ASubagyoo","@ASubagyoo")</f>
        <v>@ASubagyoo</v>
      </c>
      <c r="C5297" t="s">
        <v>3525</v>
      </c>
      <c r="D5297">
        <v>17</v>
      </c>
      <c r="E5297">
        <v>0</v>
      </c>
      <c r="F5297">
        <v>0</v>
      </c>
    </row>
    <row r="5298" spans="1:6" ht="12.75">
      <c r="A5298" s="2">
        <v>43883.041539351849</v>
      </c>
      <c r="B5298" t="str">
        <f>HYPERLINK("https://twitter.com/SuryaaYaman","@SuryaaYaman")</f>
        <v>@SuryaaYaman</v>
      </c>
      <c r="C5298" t="s">
        <v>3525</v>
      </c>
      <c r="D5298">
        <v>17</v>
      </c>
      <c r="E5298">
        <v>0</v>
      </c>
      <c r="F5298">
        <v>0</v>
      </c>
    </row>
    <row r="5299" spans="1:6" ht="12.75">
      <c r="A5299" s="2">
        <v>43883.041284722218</v>
      </c>
      <c r="B5299" t="str">
        <f>HYPERLINK("https://twitter.com/sangkumaali","@sangkumaali")</f>
        <v>@sangkumaali</v>
      </c>
      <c r="C5299" t="s">
        <v>4115</v>
      </c>
      <c r="D5299">
        <v>0</v>
      </c>
      <c r="E5299">
        <v>0</v>
      </c>
      <c r="F5299">
        <v>3</v>
      </c>
    </row>
    <row r="5300" spans="1:6" ht="12.75">
      <c r="A5300" s="2">
        <v>43883.039930555555</v>
      </c>
      <c r="B5300" t="str">
        <f>HYPERLINK("https://twitter.com/evifadillahh","@evifadillahh")</f>
        <v>@evifadillahh</v>
      </c>
      <c r="C5300" t="s">
        <v>3525</v>
      </c>
      <c r="D5300">
        <v>17</v>
      </c>
      <c r="E5300">
        <v>0</v>
      </c>
      <c r="F5300">
        <v>30</v>
      </c>
    </row>
    <row r="5301" spans="1:6" ht="12.75">
      <c r="A5301" s="2">
        <v>43883.039120370369</v>
      </c>
      <c r="B5301" t="str">
        <f>HYPERLINK("https://twitter.com/Onta_buluk","@Onta_buluk")</f>
        <v>@Onta_buluk</v>
      </c>
      <c r="C5301" t="s">
        <v>2116</v>
      </c>
      <c r="D5301">
        <v>17</v>
      </c>
      <c r="E5301">
        <v>0</v>
      </c>
      <c r="F5301">
        <v>3592</v>
      </c>
    </row>
    <row r="5302" spans="1:6" ht="12.75">
      <c r="A5302" s="2">
        <v>43883.03800925926</v>
      </c>
      <c r="B5302" t="str">
        <f>HYPERLINK("https://twitter.com/Ihsan25195760","@Ihsan25195760")</f>
        <v>@Ihsan25195760</v>
      </c>
      <c r="C5302" t="s">
        <v>4116</v>
      </c>
      <c r="D5302">
        <v>0</v>
      </c>
      <c r="E5302">
        <v>0</v>
      </c>
      <c r="F5302">
        <v>0</v>
      </c>
    </row>
    <row r="5303" spans="1:6" ht="12.75">
      <c r="A5303" s="2">
        <v>43883.037650462968</v>
      </c>
      <c r="B5303" t="str">
        <f t="shared" ref="B5303:B5305" si="103">HYPERLINK("https://twitter.com/sangkumaali","@sangkumaali")</f>
        <v>@sangkumaali</v>
      </c>
      <c r="C5303" t="s">
        <v>4117</v>
      </c>
      <c r="D5303">
        <v>0</v>
      </c>
      <c r="E5303">
        <v>0</v>
      </c>
      <c r="F5303">
        <v>3</v>
      </c>
    </row>
    <row r="5304" spans="1:6" ht="12.75">
      <c r="A5304" s="2">
        <v>43883.037164351852</v>
      </c>
      <c r="B5304" t="str">
        <f t="shared" si="103"/>
        <v>@sangkumaali</v>
      </c>
      <c r="C5304" t="s">
        <v>4118</v>
      </c>
      <c r="D5304">
        <v>0</v>
      </c>
      <c r="E5304">
        <v>0</v>
      </c>
      <c r="F5304">
        <v>3</v>
      </c>
    </row>
    <row r="5305" spans="1:6" ht="12.75">
      <c r="A5305" s="2">
        <v>43883.03633101852</v>
      </c>
      <c r="B5305" t="str">
        <f t="shared" si="103"/>
        <v>@sangkumaali</v>
      </c>
      <c r="C5305" t="s">
        <v>4119</v>
      </c>
      <c r="D5305">
        <v>0</v>
      </c>
      <c r="E5305">
        <v>0</v>
      </c>
      <c r="F5305">
        <v>3</v>
      </c>
    </row>
    <row r="5306" spans="1:6" ht="12.75">
      <c r="A5306" s="2">
        <v>43883.035902777774</v>
      </c>
      <c r="B5306" t="str">
        <f>HYPERLINK("https://twitter.com/RadioElshinta","@RadioElshinta")</f>
        <v>@RadioElshinta</v>
      </c>
      <c r="C5306" t="s">
        <v>4120</v>
      </c>
      <c r="D5306">
        <v>0</v>
      </c>
      <c r="E5306">
        <v>2</v>
      </c>
      <c r="F5306">
        <v>3634113</v>
      </c>
    </row>
    <row r="5307" spans="1:6" ht="12.75">
      <c r="A5307" s="2">
        <v>43883.035891203705</v>
      </c>
      <c r="B5307" t="str">
        <f t="shared" ref="B5307:B5309" si="104">HYPERLINK("https://twitter.com/sangkumaali","@sangkumaali")</f>
        <v>@sangkumaali</v>
      </c>
      <c r="C5307" t="s">
        <v>4121</v>
      </c>
      <c r="D5307">
        <v>0</v>
      </c>
      <c r="E5307">
        <v>0</v>
      </c>
      <c r="F5307">
        <v>3</v>
      </c>
    </row>
    <row r="5308" spans="1:6" ht="12.75">
      <c r="A5308" s="2">
        <v>43883.035416666666</v>
      </c>
      <c r="B5308" t="str">
        <f t="shared" si="104"/>
        <v>@sangkumaali</v>
      </c>
      <c r="C5308" t="s">
        <v>4122</v>
      </c>
      <c r="D5308">
        <v>0</v>
      </c>
      <c r="E5308">
        <v>0</v>
      </c>
      <c r="F5308">
        <v>3</v>
      </c>
    </row>
    <row r="5309" spans="1:6" ht="12.75">
      <c r="A5309" s="2">
        <v>43883.034699074073</v>
      </c>
      <c r="B5309" t="str">
        <f t="shared" si="104"/>
        <v>@sangkumaali</v>
      </c>
      <c r="C5309" t="s">
        <v>4123</v>
      </c>
      <c r="D5309">
        <v>0</v>
      </c>
      <c r="E5309">
        <v>0</v>
      </c>
      <c r="F5309">
        <v>3</v>
      </c>
    </row>
    <row r="5310" spans="1:6" ht="12.75">
      <c r="A5310" s="2">
        <v>43883.03361111111</v>
      </c>
      <c r="B5310" t="str">
        <f>HYPERLINK("https://twitter.com/AryPrasetyo_85","@AryPrasetyo_85")</f>
        <v>@AryPrasetyo_85</v>
      </c>
      <c r="C5310" t="s">
        <v>3975</v>
      </c>
      <c r="D5310">
        <v>4</v>
      </c>
      <c r="E5310">
        <v>0</v>
      </c>
      <c r="F5310">
        <v>5494</v>
      </c>
    </row>
    <row r="5311" spans="1:6" ht="12.75">
      <c r="A5311" s="2">
        <v>43883.032847222217</v>
      </c>
      <c r="B5311" t="str">
        <f>HYPERLINK("https://twitter.com/AmsyariMuadz","@AmsyariMuadz")</f>
        <v>@AmsyariMuadz</v>
      </c>
      <c r="C5311" t="s">
        <v>4124</v>
      </c>
      <c r="D5311">
        <v>0</v>
      </c>
      <c r="E5311">
        <v>0</v>
      </c>
      <c r="F5311">
        <v>69</v>
      </c>
    </row>
    <row r="5312" spans="1:6" ht="12.75">
      <c r="A5312" s="2">
        <v>43883.03261574074</v>
      </c>
      <c r="B5312" t="str">
        <f>HYPERLINK("https://twitter.com/Rizkyalvin6","@Rizkyalvin6")</f>
        <v>@Rizkyalvin6</v>
      </c>
      <c r="C5312" t="s">
        <v>3508</v>
      </c>
      <c r="D5312">
        <v>75</v>
      </c>
      <c r="E5312">
        <v>0</v>
      </c>
      <c r="F5312">
        <v>1557</v>
      </c>
    </row>
    <row r="5313" spans="1:6" ht="12.75">
      <c r="A5313" s="2">
        <v>43883.032094907408</v>
      </c>
      <c r="B5313" t="str">
        <f>HYPERLINK("https://twitter.com/Hamzah_Baudin","@Hamzah_Baudin")</f>
        <v>@Hamzah_Baudin</v>
      </c>
      <c r="C5313" t="s">
        <v>2116</v>
      </c>
      <c r="D5313">
        <v>17</v>
      </c>
      <c r="E5313">
        <v>0</v>
      </c>
      <c r="F5313">
        <v>2955</v>
      </c>
    </row>
    <row r="5314" spans="1:6" ht="12.75">
      <c r="A5314" s="2">
        <v>43883.031805555554</v>
      </c>
      <c r="B5314" t="str">
        <f>HYPERLINK("https://twitter.com/panjiseptiann","@panjiseptiann")</f>
        <v>@panjiseptiann</v>
      </c>
      <c r="C5314" t="s">
        <v>3525</v>
      </c>
      <c r="D5314">
        <v>17</v>
      </c>
      <c r="E5314">
        <v>0</v>
      </c>
      <c r="F5314">
        <v>40</v>
      </c>
    </row>
    <row r="5315" spans="1:6" ht="12.75">
      <c r="A5315" s="2">
        <v>43883.029872685191</v>
      </c>
      <c r="B5315" t="str">
        <f>HYPERLINK("https://twitter.com/rayosenggani","@rayosenggani")</f>
        <v>@rayosenggani</v>
      </c>
      <c r="C5315" t="s">
        <v>4073</v>
      </c>
      <c r="D5315">
        <v>11</v>
      </c>
      <c r="E5315">
        <v>0</v>
      </c>
      <c r="F5315">
        <v>539</v>
      </c>
    </row>
    <row r="5316" spans="1:6" ht="12.75">
      <c r="A5316" s="2">
        <v>43883.028622685189</v>
      </c>
      <c r="B5316" t="str">
        <f>HYPERLINK("https://twitter.com/QoriWulandari","@QoriWulandari")</f>
        <v>@QoriWulandari</v>
      </c>
      <c r="C5316" t="s">
        <v>3525</v>
      </c>
      <c r="D5316">
        <v>17</v>
      </c>
      <c r="E5316">
        <v>0</v>
      </c>
      <c r="F5316">
        <v>40</v>
      </c>
    </row>
    <row r="5317" spans="1:6" ht="12.75">
      <c r="A5317" s="2">
        <v>43883.027280092589</v>
      </c>
      <c r="B5317" t="str">
        <f>HYPERLINK("https://twitter.com/hsnwan","@hsnwan")</f>
        <v>@hsnwan</v>
      </c>
      <c r="C5317" t="s">
        <v>4125</v>
      </c>
      <c r="D5317">
        <v>0</v>
      </c>
      <c r="E5317">
        <v>5</v>
      </c>
      <c r="F5317">
        <v>1015</v>
      </c>
    </row>
    <row r="5318" spans="1:6" ht="12.75">
      <c r="A5318" s="2">
        <v>43883.025567129633</v>
      </c>
      <c r="B5318" t="str">
        <f>HYPERLINK("https://twitter.com/KKelojotan","@KKelojotan")</f>
        <v>@KKelojotan</v>
      </c>
      <c r="C5318" t="s">
        <v>4126</v>
      </c>
      <c r="D5318">
        <v>0</v>
      </c>
      <c r="E5318">
        <v>0</v>
      </c>
      <c r="F5318">
        <v>739</v>
      </c>
    </row>
    <row r="5319" spans="1:6" ht="12.75">
      <c r="A5319" s="2">
        <v>43883.025150462963</v>
      </c>
      <c r="B5319" t="str">
        <f>HYPERLINK("https://twitter.com/diat___","@diat___")</f>
        <v>@diat___</v>
      </c>
      <c r="C5319" t="s">
        <v>4127</v>
      </c>
      <c r="D5319">
        <v>0</v>
      </c>
      <c r="E5319">
        <v>0</v>
      </c>
      <c r="F5319">
        <v>81</v>
      </c>
    </row>
    <row r="5320" spans="1:6" ht="12.75">
      <c r="A5320" s="2">
        <v>43883.024907407409</v>
      </c>
      <c r="B5320" t="str">
        <f>HYPERLINK("https://twitter.com/DavidGosal4","@DavidGosal4")</f>
        <v>@DavidGosal4</v>
      </c>
      <c r="C5320" t="s">
        <v>4128</v>
      </c>
      <c r="D5320">
        <v>0</v>
      </c>
      <c r="E5320">
        <v>0</v>
      </c>
      <c r="F5320">
        <v>6</v>
      </c>
    </row>
    <row r="5321" spans="1:6" ht="12.75">
      <c r="A5321" s="2">
        <v>43883.023553240739</v>
      </c>
      <c r="B5321" t="str">
        <f>HYPERLINK("https://twitter.com/rmoljateng","@rmoljateng")</f>
        <v>@rmoljateng</v>
      </c>
      <c r="C5321" t="s">
        <v>4129</v>
      </c>
      <c r="D5321">
        <v>0</v>
      </c>
      <c r="E5321">
        <v>0</v>
      </c>
      <c r="F5321">
        <v>180</v>
      </c>
    </row>
    <row r="5322" spans="1:6" ht="12.75">
      <c r="A5322" s="2">
        <v>43883.021990740745</v>
      </c>
      <c r="B5322" t="str">
        <f>HYPERLINK("https://twitter.com/yanisagitaa","@yanisagitaa")</f>
        <v>@yanisagitaa</v>
      </c>
      <c r="C5322" t="s">
        <v>3525</v>
      </c>
      <c r="D5322">
        <v>17</v>
      </c>
      <c r="E5322">
        <v>0</v>
      </c>
      <c r="F5322">
        <v>18</v>
      </c>
    </row>
    <row r="5323" spans="1:6" ht="12.75">
      <c r="A5323" s="2">
        <v>43883.02065972222</v>
      </c>
      <c r="B5323" t="str">
        <f>HYPERLINK("https://twitter.com/JPSmart13","@JPSmart13")</f>
        <v>@JPSmart13</v>
      </c>
      <c r="C5323" t="s">
        <v>4130</v>
      </c>
      <c r="D5323">
        <v>0</v>
      </c>
      <c r="E5323">
        <v>0</v>
      </c>
      <c r="F5323">
        <v>936</v>
      </c>
    </row>
    <row r="5324" spans="1:6" ht="12.75">
      <c r="A5324" s="2">
        <v>43883.018460648149</v>
      </c>
      <c r="B5324" t="str">
        <f>HYPERLINK("https://twitter.com/tioharimurtie","@tioharimurtie")</f>
        <v>@tioharimurtie</v>
      </c>
      <c r="C5324" t="s">
        <v>4131</v>
      </c>
      <c r="D5324">
        <v>1</v>
      </c>
      <c r="E5324">
        <v>0</v>
      </c>
      <c r="F5324">
        <v>3628</v>
      </c>
    </row>
    <row r="5325" spans="1:6" ht="12.75">
      <c r="A5325" s="2">
        <v>43883.018449074079</v>
      </c>
      <c r="B5325" t="str">
        <f>HYPERLINK("https://twitter.com/ayaswords","@ayaswords")</f>
        <v>@ayaswords</v>
      </c>
      <c r="C5325" t="s">
        <v>2087</v>
      </c>
      <c r="D5325">
        <v>25</v>
      </c>
      <c r="E5325">
        <v>0</v>
      </c>
      <c r="F5325">
        <v>939</v>
      </c>
    </row>
    <row r="5326" spans="1:6" ht="12.75">
      <c r="A5326" s="2">
        <v>43883.016400462962</v>
      </c>
      <c r="B5326" t="str">
        <f>HYPERLINK("https://twitter.com/BudiUto47943307","@BudiUto47943307")</f>
        <v>@BudiUto47943307</v>
      </c>
      <c r="C5326" t="s">
        <v>4132</v>
      </c>
      <c r="D5326">
        <v>0</v>
      </c>
      <c r="E5326">
        <v>0</v>
      </c>
      <c r="F5326">
        <v>2</v>
      </c>
    </row>
    <row r="5327" spans="1:6" ht="12.75">
      <c r="A5327" s="2">
        <v>43883.014826388884</v>
      </c>
      <c r="B5327" t="str">
        <f>HYPERLINK("https://twitter.com/benhard7","@benhard7")</f>
        <v>@benhard7</v>
      </c>
      <c r="C5327" t="s">
        <v>4133</v>
      </c>
      <c r="D5327">
        <v>0</v>
      </c>
      <c r="E5327">
        <v>1</v>
      </c>
      <c r="F5327">
        <v>1048</v>
      </c>
    </row>
    <row r="5328" spans="1:6" ht="12.75">
      <c r="A5328" s="2">
        <v>43883.014826388884</v>
      </c>
      <c r="B5328" t="str">
        <f>HYPERLINK("https://twitter.com/autumninkyoto","@autumninkyoto")</f>
        <v>@autumninkyoto</v>
      </c>
      <c r="C5328" t="s">
        <v>4134</v>
      </c>
      <c r="D5328">
        <v>6</v>
      </c>
      <c r="E5328">
        <v>0</v>
      </c>
      <c r="F5328">
        <v>736</v>
      </c>
    </row>
    <row r="5329" spans="1:6" ht="12.75">
      <c r="A5329" s="2">
        <v>43883.011238425926</v>
      </c>
      <c r="B5329" t="str">
        <f>HYPERLINK("https://twitter.com/deemokpo","@deemokpo")</f>
        <v>@deemokpo</v>
      </c>
      <c r="C5329" t="s">
        <v>2087</v>
      </c>
      <c r="D5329">
        <v>25</v>
      </c>
      <c r="E5329">
        <v>0</v>
      </c>
      <c r="F5329">
        <v>167</v>
      </c>
    </row>
    <row r="5330" spans="1:6" ht="12.75">
      <c r="A5330" s="2">
        <v>43883.01081018518</v>
      </c>
      <c r="B5330" t="str">
        <f>HYPERLINK("https://twitter.com/rita_janah","@rita_janah")</f>
        <v>@rita_janah</v>
      </c>
      <c r="C5330" t="s">
        <v>2087</v>
      </c>
      <c r="D5330">
        <v>25</v>
      </c>
      <c r="E5330">
        <v>0</v>
      </c>
      <c r="F5330">
        <v>286</v>
      </c>
    </row>
    <row r="5331" spans="1:6" ht="12.75">
      <c r="A5331" s="2">
        <v>43883.00953703704</v>
      </c>
      <c r="B5331" t="str">
        <f>HYPERLINK("https://twitter.com/mediaindonesia","@mediaindonesia")</f>
        <v>@mediaindonesia</v>
      </c>
      <c r="C5331" t="s">
        <v>4135</v>
      </c>
      <c r="D5331">
        <v>0</v>
      </c>
      <c r="E5331">
        <v>2</v>
      </c>
      <c r="F5331">
        <v>1417781</v>
      </c>
    </row>
    <row r="5332" spans="1:6" ht="12.75">
      <c r="A5332" s="2">
        <v>43883.009363425925</v>
      </c>
      <c r="B5332" t="str">
        <f>HYPERLINK("https://twitter.com/JPSmart13","@JPSmart13")</f>
        <v>@JPSmart13</v>
      </c>
      <c r="C5332" t="s">
        <v>4130</v>
      </c>
      <c r="D5332">
        <v>0</v>
      </c>
      <c r="E5332">
        <v>0</v>
      </c>
      <c r="F5332">
        <v>936</v>
      </c>
    </row>
    <row r="5333" spans="1:6" ht="12.75">
      <c r="A5333" s="2">
        <v>43883.008923611109</v>
      </c>
      <c r="B5333" t="str">
        <f>HYPERLINK("https://twitter.com/RNightlaw","@RNightlaw")</f>
        <v>@RNightlaw</v>
      </c>
      <c r="C5333" t="s">
        <v>2711</v>
      </c>
      <c r="D5333">
        <v>143</v>
      </c>
      <c r="E5333">
        <v>0</v>
      </c>
      <c r="F5333">
        <v>4</v>
      </c>
    </row>
    <row r="5334" spans="1:6" ht="12.75">
      <c r="A5334" s="2">
        <v>43883.008159722223</v>
      </c>
      <c r="B5334" t="str">
        <f>HYPERLINK("https://twitter.com/heiyul_","@heiyul_")</f>
        <v>@heiyul_</v>
      </c>
      <c r="C5334" t="s">
        <v>4136</v>
      </c>
      <c r="D5334">
        <v>0</v>
      </c>
      <c r="E5334">
        <v>0</v>
      </c>
      <c r="F5334">
        <v>55</v>
      </c>
    </row>
    <row r="5335" spans="1:6" ht="12.75">
      <c r="A5335" s="2">
        <v>43883.007974537039</v>
      </c>
      <c r="B5335" t="str">
        <f>HYPERLINK("https://twitter.com/mhilmiismail","@mhilmiismail")</f>
        <v>@mhilmiismail</v>
      </c>
      <c r="C5335" t="s">
        <v>2711</v>
      </c>
      <c r="D5335">
        <v>143</v>
      </c>
      <c r="E5335">
        <v>0</v>
      </c>
      <c r="F5335">
        <v>1938</v>
      </c>
    </row>
    <row r="5336" spans="1:6" ht="12.75">
      <c r="A5336" s="2">
        <v>43883.007326388892</v>
      </c>
      <c r="B5336" t="str">
        <f>HYPERLINK("https://twitter.com/MUHAMMA31480689","@MUHAMMA31480689")</f>
        <v>@MUHAMMA31480689</v>
      </c>
      <c r="C5336" t="s">
        <v>4137</v>
      </c>
      <c r="D5336">
        <v>1</v>
      </c>
      <c r="E5336">
        <v>0</v>
      </c>
      <c r="F5336">
        <v>93</v>
      </c>
    </row>
    <row r="5337" spans="1:6" ht="12.75">
      <c r="A5337" s="2">
        <v>43883.006469907406</v>
      </c>
      <c r="B5337" t="str">
        <f>HYPERLINK("https://twitter.com/KhrlAzwn","@KhrlAzwn")</f>
        <v>@KhrlAzwn</v>
      </c>
      <c r="C5337" t="s">
        <v>3349</v>
      </c>
      <c r="D5337">
        <v>1</v>
      </c>
      <c r="E5337">
        <v>0</v>
      </c>
      <c r="F5337">
        <v>101</v>
      </c>
    </row>
    <row r="5338" spans="1:6" ht="12.75">
      <c r="A5338" s="2">
        <v>43883.005671296298</v>
      </c>
      <c r="B5338" t="str">
        <f>HYPERLINK("https://twitter.com/mhwnk_","@mhwnk_")</f>
        <v>@mhwnk_</v>
      </c>
      <c r="C5338" t="s">
        <v>4138</v>
      </c>
      <c r="D5338">
        <v>0</v>
      </c>
      <c r="E5338">
        <v>0</v>
      </c>
      <c r="F5338">
        <v>198</v>
      </c>
    </row>
    <row r="5339" spans="1:6" ht="12.75">
      <c r="A5339" s="2">
        <v>43883.005497685182</v>
      </c>
      <c r="B5339" t="str">
        <f>HYPERLINK("https://twitter.com/shiro35_","@shiro35_")</f>
        <v>@shiro35_</v>
      </c>
      <c r="C5339" t="s">
        <v>2087</v>
      </c>
      <c r="D5339">
        <v>25</v>
      </c>
      <c r="E5339">
        <v>0</v>
      </c>
      <c r="F5339">
        <v>356</v>
      </c>
    </row>
    <row r="5340" spans="1:6" ht="12.75">
      <c r="A5340" s="2">
        <v>43883.004224537042</v>
      </c>
      <c r="B5340" t="str">
        <f>HYPERLINK("https://twitter.com/bimbimhockcae","@bimbimhockcae")</f>
        <v>@bimbimhockcae</v>
      </c>
      <c r="C5340" t="s">
        <v>4139</v>
      </c>
      <c r="D5340">
        <v>0</v>
      </c>
      <c r="E5340">
        <v>0</v>
      </c>
      <c r="F5340">
        <v>4941</v>
      </c>
    </row>
    <row r="5341" spans="1:6" ht="12.75">
      <c r="A5341" s="2">
        <v>43883.003680555557</v>
      </c>
      <c r="B5341" t="str">
        <f>HYPERLINK("https://twitter.com/awashoax","@awashoax")</f>
        <v>@awashoax</v>
      </c>
      <c r="C5341" t="s">
        <v>4140</v>
      </c>
      <c r="D5341">
        <v>0</v>
      </c>
      <c r="E5341">
        <v>1</v>
      </c>
      <c r="F5341">
        <v>491</v>
      </c>
    </row>
    <row r="5342" spans="1:6" ht="12.75">
      <c r="A5342" s="2">
        <v>43883.003182870365</v>
      </c>
      <c r="B5342" t="str">
        <f>HYPERLINK("https://twitter.com/ndaru_wardani","@ndaru_wardani")</f>
        <v>@ndaru_wardani</v>
      </c>
      <c r="C5342" t="s">
        <v>2962</v>
      </c>
      <c r="D5342">
        <v>22</v>
      </c>
      <c r="E5342">
        <v>0</v>
      </c>
      <c r="F5342">
        <v>272</v>
      </c>
    </row>
    <row r="5343" spans="1:6" ht="12.75">
      <c r="A5343" s="2">
        <v>43883.003171296295</v>
      </c>
      <c r="B5343" t="str">
        <f>HYPERLINK("https://twitter.com/hppurba","@hppurba")</f>
        <v>@hppurba</v>
      </c>
      <c r="C5343" t="s">
        <v>4141</v>
      </c>
      <c r="D5343">
        <v>0</v>
      </c>
      <c r="E5343">
        <v>2</v>
      </c>
      <c r="F5343">
        <v>47</v>
      </c>
    </row>
    <row r="5344" spans="1:6" ht="12.75">
      <c r="A5344" s="2">
        <v>43883.003067129626</v>
      </c>
      <c r="B5344" t="str">
        <f>HYPERLINK("https://twitter.com/DOengkara","@DOengkara")</f>
        <v>@DOengkara</v>
      </c>
      <c r="C5344" t="s">
        <v>4142</v>
      </c>
      <c r="D5344">
        <v>1</v>
      </c>
      <c r="E5344">
        <v>2</v>
      </c>
      <c r="F5344">
        <v>452</v>
      </c>
    </row>
    <row r="5345" spans="1:6" ht="12.75">
      <c r="A5345" s="2">
        <v>43883.002962962964</v>
      </c>
      <c r="B5345" t="str">
        <f>HYPERLINK("https://twitter.com/veraagustian_","@veraagustian_")</f>
        <v>@veraagustian_</v>
      </c>
      <c r="C5345" t="s">
        <v>4039</v>
      </c>
      <c r="D5345">
        <v>3</v>
      </c>
      <c r="E5345">
        <v>0</v>
      </c>
      <c r="F5345">
        <v>2990</v>
      </c>
    </row>
    <row r="5346" spans="1:6" ht="12.75">
      <c r="A5346" s="2">
        <v>43883.002743055556</v>
      </c>
      <c r="B5346" t="str">
        <f>HYPERLINK("https://twitter.com/D4RKhunter_","@D4RKhunter_")</f>
        <v>@D4RKhunter_</v>
      </c>
      <c r="C5346" t="s">
        <v>4143</v>
      </c>
      <c r="D5346">
        <v>0</v>
      </c>
      <c r="E5346">
        <v>0</v>
      </c>
      <c r="F5346">
        <v>2130</v>
      </c>
    </row>
    <row r="5347" spans="1:6" ht="12.75">
      <c r="A5347" s="2">
        <v>43883.001736111109</v>
      </c>
      <c r="B5347" t="str">
        <f>HYPERLINK("https://twitter.com/ISIS_Balik_NO","@ISIS_Balik_NO")</f>
        <v>@ISIS_Balik_NO</v>
      </c>
      <c r="C5347" t="s">
        <v>4144</v>
      </c>
      <c r="D5347">
        <v>0</v>
      </c>
      <c r="E5347">
        <v>1</v>
      </c>
      <c r="F5347">
        <v>6093</v>
      </c>
    </row>
    <row r="5348" spans="1:6" ht="12.75">
      <c r="A5348" s="2">
        <v>43883.00063657407</v>
      </c>
      <c r="B5348" t="str">
        <f>HYPERLINK("https://twitter.com/chocolatadisco","@chocolatadisco")</f>
        <v>@chocolatadisco</v>
      </c>
      <c r="C5348" t="s">
        <v>4039</v>
      </c>
      <c r="D5348">
        <v>1</v>
      </c>
      <c r="E5348">
        <v>0</v>
      </c>
      <c r="F5348">
        <v>160</v>
      </c>
    </row>
    <row r="5349" spans="1:6" ht="12.75">
      <c r="A5349" s="2">
        <v>43883.000104166669</v>
      </c>
      <c r="B5349" t="str">
        <f>HYPERLINK("https://twitter.com/KontanNews","@KontanNews")</f>
        <v>@KontanNews</v>
      </c>
      <c r="C5349" t="s">
        <v>4145</v>
      </c>
      <c r="D5349">
        <v>1</v>
      </c>
      <c r="E5349">
        <v>1</v>
      </c>
      <c r="F5349">
        <v>316932</v>
      </c>
    </row>
    <row r="5350" spans="1:6" ht="12.75">
      <c r="A5350" s="2">
        <v>43882.999930555554</v>
      </c>
      <c r="B5350" t="str">
        <f>HYPERLINK("https://twitter.com/Ryan43_official","@Ryan43_official")</f>
        <v>@Ryan43_official</v>
      </c>
      <c r="C5350" t="s">
        <v>4146</v>
      </c>
      <c r="D5350">
        <v>0</v>
      </c>
      <c r="E5350">
        <v>0</v>
      </c>
      <c r="F5350">
        <v>95</v>
      </c>
    </row>
    <row r="5351" spans="1:6" ht="12.75">
      <c r="A5351" s="2">
        <v>43882.996736111112</v>
      </c>
      <c r="B5351" t="str">
        <f>HYPERLINK("https://twitter.com/heeru310","@heeru310")</f>
        <v>@heeru310</v>
      </c>
      <c r="C5351" t="s">
        <v>4147</v>
      </c>
      <c r="D5351">
        <v>0</v>
      </c>
      <c r="E5351">
        <v>0</v>
      </c>
      <c r="F5351">
        <v>1685</v>
      </c>
    </row>
    <row r="5352" spans="1:6" ht="12.75">
      <c r="A5352" s="2">
        <v>43882.996018518519</v>
      </c>
      <c r="B5352" t="str">
        <f>HYPERLINK("https://twitter.com/bangsatwika","@bangsatwika")</f>
        <v>@bangsatwika</v>
      </c>
      <c r="C5352" t="s">
        <v>2087</v>
      </c>
      <c r="D5352">
        <v>21</v>
      </c>
      <c r="E5352">
        <v>0</v>
      </c>
      <c r="F5352">
        <v>356</v>
      </c>
    </row>
    <row r="5353" spans="1:6" ht="12.75">
      <c r="A5353" s="2">
        <v>43882.995833333334</v>
      </c>
      <c r="B5353" t="str">
        <f>HYPERLINK("https://twitter.com/PisangNuggetttt","@PisangNuggetttt")</f>
        <v>@PisangNuggetttt</v>
      </c>
      <c r="C5353" t="s">
        <v>4148</v>
      </c>
      <c r="D5353">
        <v>2</v>
      </c>
      <c r="E5353">
        <v>0</v>
      </c>
      <c r="F5353">
        <v>7</v>
      </c>
    </row>
    <row r="5354" spans="1:6" ht="12.75">
      <c r="A5354" s="2">
        <v>43882.993634259255</v>
      </c>
      <c r="B5354" t="str">
        <f>HYPERLINK("https://twitter.com/KoRuss4","@KoRuss4")</f>
        <v>@KoRuss4</v>
      </c>
      <c r="C5354" t="s">
        <v>4149</v>
      </c>
      <c r="D5354">
        <v>4</v>
      </c>
      <c r="E5354">
        <v>0</v>
      </c>
      <c r="F5354">
        <v>9</v>
      </c>
    </row>
    <row r="5355" spans="1:6" ht="12.75">
      <c r="A5355" s="2">
        <v>43882.993217592593</v>
      </c>
      <c r="B5355" t="str">
        <f>HYPERLINK("https://twitter.com/naf_zam","@naf_zam")</f>
        <v>@naf_zam</v>
      </c>
      <c r="C5355" t="s">
        <v>4150</v>
      </c>
      <c r="D5355">
        <v>0</v>
      </c>
      <c r="E5355">
        <v>0</v>
      </c>
      <c r="F5355">
        <v>272</v>
      </c>
    </row>
    <row r="5356" spans="1:6" ht="12.75">
      <c r="A5356" s="2">
        <v>43882.992303240739</v>
      </c>
      <c r="B5356" t="str">
        <f>HYPERLINK("https://twitter.com/AlvaroDeBazan2","@AlvaroDeBazan2")</f>
        <v>@AlvaroDeBazan2</v>
      </c>
      <c r="C5356" t="s">
        <v>2147</v>
      </c>
      <c r="D5356">
        <v>586</v>
      </c>
      <c r="E5356">
        <v>0</v>
      </c>
      <c r="F5356">
        <v>247</v>
      </c>
    </row>
    <row r="5357" spans="1:6" ht="12.75">
      <c r="A5357" s="2">
        <v>43882.992222222223</v>
      </c>
      <c r="B5357" t="str">
        <f>HYPERLINK("https://twitter.com/sikecilmarmut","@sikecilmarmut")</f>
        <v>@sikecilmarmut</v>
      </c>
      <c r="C5357" t="s">
        <v>4151</v>
      </c>
      <c r="D5357">
        <v>12</v>
      </c>
      <c r="E5357">
        <v>0</v>
      </c>
      <c r="F5357">
        <v>2231</v>
      </c>
    </row>
    <row r="5358" spans="1:6" ht="12.75">
      <c r="A5358" s="2">
        <v>43882.992048611108</v>
      </c>
      <c r="B5358" t="str">
        <f>HYPERLINK("https://twitter.com/rangakush","@rangakush")</f>
        <v>@rangakush</v>
      </c>
      <c r="C5358" t="s">
        <v>4152</v>
      </c>
      <c r="D5358">
        <v>1</v>
      </c>
      <c r="E5358">
        <v>0</v>
      </c>
      <c r="F5358">
        <v>576</v>
      </c>
    </row>
    <row r="5359" spans="1:6" ht="12.75">
      <c r="A5359" s="2">
        <v>43882.991655092592</v>
      </c>
      <c r="B5359" t="str">
        <f>HYPERLINK("https://twitter.com/SUNNYNAVODAYAN","@SUNNYNAVODAYAN")</f>
        <v>@SUNNYNAVODAYAN</v>
      </c>
      <c r="C5359" t="s">
        <v>4153</v>
      </c>
      <c r="D5359">
        <v>1</v>
      </c>
      <c r="E5359">
        <v>2</v>
      </c>
      <c r="F5359">
        <v>437</v>
      </c>
    </row>
    <row r="5360" spans="1:6" ht="12.75">
      <c r="A5360" s="2">
        <v>43882.990636574075</v>
      </c>
      <c r="B5360" t="str">
        <f>HYPERLINK("https://twitter.com/s_arpanto","@s_arpanto")</f>
        <v>@s_arpanto</v>
      </c>
      <c r="C5360" t="s">
        <v>4154</v>
      </c>
      <c r="D5360">
        <v>0</v>
      </c>
      <c r="E5360">
        <v>0</v>
      </c>
      <c r="F5360">
        <v>126</v>
      </c>
    </row>
    <row r="5361" spans="1:6" ht="12.75">
      <c r="A5361" s="2">
        <v>43882.98982638889</v>
      </c>
      <c r="B5361" t="str">
        <f>HYPERLINK("https://twitter.com/thisiskareen","@thisiskareen")</f>
        <v>@thisiskareen</v>
      </c>
      <c r="C5361" t="s">
        <v>4073</v>
      </c>
      <c r="D5361">
        <v>10</v>
      </c>
      <c r="E5361">
        <v>0</v>
      </c>
      <c r="F5361">
        <v>890</v>
      </c>
    </row>
    <row r="5362" spans="1:6" ht="12.75">
      <c r="A5362" s="2">
        <v>43882.989652777775</v>
      </c>
      <c r="B5362" t="str">
        <f t="shared" ref="B5362:B5363" si="105">HYPERLINK("https://twitter.com/updatedotid","@updatedotid")</f>
        <v>@updatedotid</v>
      </c>
      <c r="C5362" t="s">
        <v>4155</v>
      </c>
      <c r="D5362">
        <v>2</v>
      </c>
      <c r="E5362">
        <v>0</v>
      </c>
      <c r="F5362">
        <v>1620</v>
      </c>
    </row>
    <row r="5363" spans="1:6" ht="12.75">
      <c r="A5363" s="2">
        <v>43882.989652777775</v>
      </c>
      <c r="B5363" t="str">
        <f t="shared" si="105"/>
        <v>@updatedotid</v>
      </c>
      <c r="C5363" t="s">
        <v>4156</v>
      </c>
      <c r="D5363">
        <v>2</v>
      </c>
      <c r="E5363">
        <v>0</v>
      </c>
      <c r="F5363">
        <v>1620</v>
      </c>
    </row>
    <row r="5364" spans="1:6" ht="12.75">
      <c r="A5364" s="2">
        <v>43882.989421296297</v>
      </c>
      <c r="B5364" t="str">
        <f>HYPERLINK("https://twitter.com/Qorib07223251","@Qorib07223251")</f>
        <v>@Qorib07223251</v>
      </c>
      <c r="C5364" t="s">
        <v>4157</v>
      </c>
      <c r="D5364">
        <v>0</v>
      </c>
      <c r="E5364">
        <v>0</v>
      </c>
      <c r="F5364">
        <v>2</v>
      </c>
    </row>
    <row r="5365" spans="1:6" ht="12.75">
      <c r="A5365" s="2">
        <v>43882.989270833335</v>
      </c>
      <c r="B5365" t="str">
        <f>HYPERLINK("https://twitter.com/idntimes","@idntimes")</f>
        <v>@idntimes</v>
      </c>
      <c r="C5365" t="s">
        <v>4158</v>
      </c>
      <c r="D5365">
        <v>0</v>
      </c>
      <c r="E5365">
        <v>2</v>
      </c>
      <c r="F5365">
        <v>393157</v>
      </c>
    </row>
    <row r="5366" spans="1:6" ht="12.75">
      <c r="A5366" s="2">
        <v>43882.989074074074</v>
      </c>
      <c r="B5366" t="str">
        <f>HYPERLINK("https://twitter.com/Satriawijayaef","@Satriawijayaef")</f>
        <v>@Satriawijayaef</v>
      </c>
      <c r="C5366" t="s">
        <v>4149</v>
      </c>
      <c r="D5366">
        <v>4</v>
      </c>
      <c r="E5366">
        <v>0</v>
      </c>
      <c r="F5366">
        <v>604</v>
      </c>
    </row>
    <row r="5367" spans="1:6" ht="12.75">
      <c r="A5367" s="2">
        <v>43882.988888888889</v>
      </c>
      <c r="B5367" t="str">
        <f>HYPERLINK("https://twitter.com/MannySaund","@MannySaund")</f>
        <v>@MannySaund</v>
      </c>
      <c r="C5367" t="s">
        <v>4159</v>
      </c>
      <c r="D5367">
        <v>0</v>
      </c>
      <c r="E5367">
        <v>0</v>
      </c>
      <c r="F5367">
        <v>25</v>
      </c>
    </row>
    <row r="5368" spans="1:6" ht="12.75">
      <c r="A5368" s="2">
        <v>43882.988425925927</v>
      </c>
      <c r="B5368" t="str">
        <f>HYPERLINK("https://twitter.com/iNaiNuaNu","@iNaiNuaNu")</f>
        <v>@iNaiNuaNu</v>
      </c>
      <c r="C5368" t="s">
        <v>2087</v>
      </c>
      <c r="D5368">
        <v>21</v>
      </c>
      <c r="E5368">
        <v>0</v>
      </c>
      <c r="F5368">
        <v>256</v>
      </c>
    </row>
    <row r="5369" spans="1:6" ht="12.75">
      <c r="A5369" s="2">
        <v>43882.987870370373</v>
      </c>
      <c r="B5369" t="str">
        <f t="shared" ref="B5369:B5370" si="106">HYPERLINK("https://twitter.com/sabhatansabiz","@sabhatansabiz")</f>
        <v>@sabhatansabiz</v>
      </c>
      <c r="C5369" t="s">
        <v>4155</v>
      </c>
      <c r="D5369">
        <v>2</v>
      </c>
      <c r="E5369">
        <v>0</v>
      </c>
      <c r="F5369">
        <v>1584</v>
      </c>
    </row>
    <row r="5370" spans="1:6" ht="12.75">
      <c r="A5370" s="2">
        <v>43882.987870370373</v>
      </c>
      <c r="B5370" t="str">
        <f t="shared" si="106"/>
        <v>@sabhatansabiz</v>
      </c>
      <c r="C5370" t="s">
        <v>4156</v>
      </c>
      <c r="D5370">
        <v>2</v>
      </c>
      <c r="E5370">
        <v>0</v>
      </c>
      <c r="F5370">
        <v>1584</v>
      </c>
    </row>
    <row r="5371" spans="1:6" ht="12.75">
      <c r="A5371" s="2">
        <v>43882.987557870365</v>
      </c>
      <c r="B5371" t="str">
        <f t="shared" ref="B5371:B5372" si="107">HYPERLINK("https://twitter.com/radar_malang","@radar_malang")</f>
        <v>@radar_malang</v>
      </c>
      <c r="C5371" t="s">
        <v>4160</v>
      </c>
      <c r="D5371">
        <v>2</v>
      </c>
      <c r="E5371">
        <v>0</v>
      </c>
      <c r="F5371">
        <v>108629</v>
      </c>
    </row>
    <row r="5372" spans="1:6" ht="12.75">
      <c r="A5372" s="2">
        <v>43882.987546296295</v>
      </c>
      <c r="B5372" t="str">
        <f t="shared" si="107"/>
        <v>@radar_malang</v>
      </c>
      <c r="C5372" t="s">
        <v>4161</v>
      </c>
      <c r="D5372">
        <v>2</v>
      </c>
      <c r="E5372">
        <v>0</v>
      </c>
      <c r="F5372">
        <v>108629</v>
      </c>
    </row>
    <row r="5373" spans="1:6" ht="12.75">
      <c r="A5373" s="2">
        <v>43882.986342592594</v>
      </c>
      <c r="B5373" t="str">
        <f>HYPERLINK("https://twitter.com/Denny50457565","@Denny50457565")</f>
        <v>@Denny50457565</v>
      </c>
      <c r="C5373" t="s">
        <v>4162</v>
      </c>
      <c r="D5373">
        <v>0</v>
      </c>
      <c r="E5373">
        <v>1</v>
      </c>
      <c r="F5373">
        <v>2</v>
      </c>
    </row>
    <row r="5374" spans="1:6" ht="12.75">
      <c r="A5374" s="2">
        <v>43882.985416666663</v>
      </c>
      <c r="B5374" t="str">
        <f>HYPERLINK("https://twitter.com/germantantra","@germantantra")</f>
        <v>@germantantra</v>
      </c>
      <c r="C5374" t="s">
        <v>3948</v>
      </c>
      <c r="D5374">
        <v>10</v>
      </c>
      <c r="E5374">
        <v>0</v>
      </c>
      <c r="F5374">
        <v>108</v>
      </c>
    </row>
    <row r="5375" spans="1:6" ht="12.75">
      <c r="A5375" s="2">
        <v>43882.984988425931</v>
      </c>
      <c r="B5375" t="str">
        <f>HYPERLINK("https://twitter.com/Ikeeper24","@Ikeeper24")</f>
        <v>@Ikeeper24</v>
      </c>
      <c r="C5375" t="s">
        <v>2711</v>
      </c>
      <c r="D5375">
        <v>141</v>
      </c>
      <c r="E5375">
        <v>0</v>
      </c>
      <c r="F5375">
        <v>107</v>
      </c>
    </row>
    <row r="5376" spans="1:6" ht="12.75">
      <c r="A5376" s="2">
        <v>43882.983900462961</v>
      </c>
      <c r="B5376" t="str">
        <f>HYPERLINK("https://twitter.com/hamburgerhands","@hamburgerhands")</f>
        <v>@hamburgerhands</v>
      </c>
      <c r="C5376" t="s">
        <v>2087</v>
      </c>
      <c r="D5376">
        <v>21</v>
      </c>
      <c r="E5376">
        <v>0</v>
      </c>
      <c r="F5376">
        <v>140</v>
      </c>
    </row>
    <row r="5377" spans="1:6" ht="12.75">
      <c r="A5377" s="2">
        <v>43882.983437499999</v>
      </c>
      <c r="B5377" t="str">
        <f>HYPERLINK("https://twitter.com/Artharf","@Artharf")</f>
        <v>@Artharf</v>
      </c>
      <c r="C5377" t="s">
        <v>4163</v>
      </c>
      <c r="D5377">
        <v>0</v>
      </c>
      <c r="E5377">
        <v>0</v>
      </c>
      <c r="F5377">
        <v>301</v>
      </c>
    </row>
    <row r="5378" spans="1:6" ht="12.75">
      <c r="A5378" s="2">
        <v>43882.983136574076</v>
      </c>
      <c r="B5378" t="str">
        <f>HYPERLINK("https://twitter.com/lukmanalwahid","@lukmanalwahid")</f>
        <v>@lukmanalwahid</v>
      </c>
      <c r="C5378" t="s">
        <v>4164</v>
      </c>
      <c r="D5378">
        <v>0</v>
      </c>
      <c r="E5378">
        <v>0</v>
      </c>
      <c r="F5378">
        <v>126</v>
      </c>
    </row>
    <row r="5379" spans="1:6" ht="12.75">
      <c r="A5379" s="2">
        <v>43882.982754629629</v>
      </c>
      <c r="B5379" t="str">
        <f>HYPERLINK("https://twitter.com/billysirait16","@billysirait16")</f>
        <v>@billysirait16</v>
      </c>
      <c r="C5379" t="s">
        <v>4165</v>
      </c>
      <c r="D5379">
        <v>0</v>
      </c>
      <c r="E5379">
        <v>0</v>
      </c>
      <c r="F5379">
        <v>7</v>
      </c>
    </row>
    <row r="5380" spans="1:6" ht="12.75">
      <c r="A5380" s="2">
        <v>43882.982152777782</v>
      </c>
      <c r="B5380" t="str">
        <f>HYPERLINK("https://twitter.com/orngasing","@orngasing")</f>
        <v>@orngasing</v>
      </c>
      <c r="C5380" t="s">
        <v>513</v>
      </c>
      <c r="D5380">
        <v>23253</v>
      </c>
      <c r="E5380">
        <v>0</v>
      </c>
      <c r="F5380">
        <v>25</v>
      </c>
    </row>
    <row r="5381" spans="1:6" ht="12.75">
      <c r="A5381" s="2">
        <v>43882.981527777782</v>
      </c>
      <c r="B5381" t="str">
        <f>HYPERLINK("https://twitter.com/hajinewsonline","@hajinewsonline")</f>
        <v>@hajinewsonline</v>
      </c>
      <c r="C5381" t="s">
        <v>4166</v>
      </c>
      <c r="D5381">
        <v>0</v>
      </c>
      <c r="E5381">
        <v>0</v>
      </c>
      <c r="F5381">
        <v>23</v>
      </c>
    </row>
    <row r="5382" spans="1:6" ht="12.75">
      <c r="A5382" s="2">
        <v>43882.981296296297</v>
      </c>
      <c r="B5382" t="str">
        <f>HYPERLINK("https://twitter.com/vlanilla_","@vlanilla_")</f>
        <v>@vlanilla_</v>
      </c>
      <c r="C5382" t="s">
        <v>4167</v>
      </c>
      <c r="D5382">
        <v>2</v>
      </c>
      <c r="E5382">
        <v>0</v>
      </c>
      <c r="F5382">
        <v>181</v>
      </c>
    </row>
    <row r="5383" spans="1:6" ht="12.75">
      <c r="A5383" s="2">
        <v>43882.98064814815</v>
      </c>
      <c r="B5383" t="str">
        <f>HYPERLINK("https://twitter.com/kondekturbus_","@kondekturbus_")</f>
        <v>@kondekturbus_</v>
      </c>
      <c r="C5383" t="s">
        <v>4134</v>
      </c>
      <c r="D5383">
        <v>4</v>
      </c>
      <c r="E5383">
        <v>0</v>
      </c>
      <c r="F5383">
        <v>14192</v>
      </c>
    </row>
    <row r="5384" spans="1:6" ht="12.75">
      <c r="A5384" s="2">
        <v>43882.980127314819</v>
      </c>
      <c r="B5384" t="str">
        <f>HYPERLINK("https://twitter.com/aliviqbal","@aliviqbal")</f>
        <v>@aliviqbal</v>
      </c>
      <c r="C5384" t="s">
        <v>2087</v>
      </c>
      <c r="D5384">
        <v>21</v>
      </c>
      <c r="E5384">
        <v>0</v>
      </c>
      <c r="F5384">
        <v>1362</v>
      </c>
    </row>
    <row r="5385" spans="1:6" ht="12.75">
      <c r="A5385" s="2">
        <v>43882.979872685188</v>
      </c>
      <c r="B5385" t="str">
        <f>HYPERLINK("https://twitter.com/hp_astoro","@hp_astoro")</f>
        <v>@hp_astoro</v>
      </c>
      <c r="C5385" t="s">
        <v>2962</v>
      </c>
      <c r="D5385">
        <v>21</v>
      </c>
      <c r="E5385">
        <v>0</v>
      </c>
      <c r="F5385">
        <v>641</v>
      </c>
    </row>
    <row r="5386" spans="1:6" ht="12.75">
      <c r="A5386" s="2">
        <v>43882.979479166665</v>
      </c>
      <c r="B5386" t="str">
        <f>HYPERLINK("https://twitter.com/nabeelhakim18","@nabeelhakim18")</f>
        <v>@nabeelhakim18</v>
      </c>
      <c r="C5386" t="s">
        <v>2711</v>
      </c>
      <c r="D5386">
        <v>141</v>
      </c>
      <c r="E5386">
        <v>0</v>
      </c>
      <c r="F5386">
        <v>295</v>
      </c>
    </row>
    <row r="5387" spans="1:6" ht="12.75">
      <c r="A5387" s="2">
        <v>43882.979027777779</v>
      </c>
      <c r="B5387" t="str">
        <f>HYPERLINK("https://twitter.com/shfqhaikal_","@shfqhaikal_")</f>
        <v>@shfqhaikal_</v>
      </c>
      <c r="C5387" t="s">
        <v>2711</v>
      </c>
      <c r="D5387">
        <v>141</v>
      </c>
      <c r="E5387">
        <v>0</v>
      </c>
      <c r="F5387">
        <v>544</v>
      </c>
    </row>
    <row r="5388" spans="1:6" ht="12.75">
      <c r="A5388" s="2">
        <v>43882.978634259256</v>
      </c>
      <c r="B5388" t="str">
        <f>HYPERLINK("https://twitter.com/indonesia_14","@indonesia_14")</f>
        <v>@indonesia_14</v>
      </c>
      <c r="C5388" t="s">
        <v>4168</v>
      </c>
      <c r="D5388">
        <v>0</v>
      </c>
      <c r="E5388">
        <v>0</v>
      </c>
      <c r="F5388">
        <v>311</v>
      </c>
    </row>
    <row r="5389" spans="1:6" ht="12.75">
      <c r="A5389" s="2">
        <v>43882.976759259254</v>
      </c>
      <c r="B5389" t="str">
        <f>HYPERLINK("https://twitter.com/titieyara","@titieyara")</f>
        <v>@titieyara</v>
      </c>
      <c r="C5389" t="s">
        <v>2087</v>
      </c>
      <c r="D5389">
        <v>21</v>
      </c>
      <c r="E5389">
        <v>0</v>
      </c>
      <c r="F5389">
        <v>342</v>
      </c>
    </row>
    <row r="5390" spans="1:6" ht="12.75">
      <c r="A5390" s="2">
        <v>43882.9765625</v>
      </c>
      <c r="B5390" t="str">
        <f>HYPERLINK("https://twitter.com/dianharia1","@dianharia1")</f>
        <v>@dianharia1</v>
      </c>
      <c r="C5390" t="s">
        <v>4169</v>
      </c>
      <c r="D5390">
        <v>0</v>
      </c>
      <c r="E5390">
        <v>0</v>
      </c>
      <c r="F5390">
        <v>0</v>
      </c>
    </row>
    <row r="5391" spans="1:6" ht="12.75">
      <c r="A5391" s="2">
        <v>43882.976018518515</v>
      </c>
      <c r="B5391" t="str">
        <f>HYPERLINK("https://twitter.com/trickymindful","@trickymindful")</f>
        <v>@trickymindful</v>
      </c>
      <c r="C5391" t="s">
        <v>4134</v>
      </c>
      <c r="D5391">
        <v>4</v>
      </c>
      <c r="E5391">
        <v>0</v>
      </c>
      <c r="F5391">
        <v>798</v>
      </c>
    </row>
    <row r="5392" spans="1:6" ht="12.75">
      <c r="A5392" s="2">
        <v>43882.975972222222</v>
      </c>
      <c r="B5392" t="str">
        <f>HYPERLINK("https://twitter.com/AnakLolina","@AnakLolina")</f>
        <v>@AnakLolina</v>
      </c>
      <c r="C5392" t="s">
        <v>3948</v>
      </c>
      <c r="D5392">
        <v>10</v>
      </c>
      <c r="E5392">
        <v>0</v>
      </c>
      <c r="F5392">
        <v>14742</v>
      </c>
    </row>
    <row r="5393" spans="1:6" ht="12.75">
      <c r="A5393" s="2">
        <v>43882.975949074069</v>
      </c>
      <c r="B5393" t="str">
        <f>HYPERLINK("https://twitter.com/rinmamak","@rinmamak")</f>
        <v>@rinmamak</v>
      </c>
      <c r="C5393" t="s">
        <v>177</v>
      </c>
      <c r="D5393">
        <v>802</v>
      </c>
      <c r="E5393">
        <v>0</v>
      </c>
      <c r="F5393">
        <v>707</v>
      </c>
    </row>
    <row r="5394" spans="1:6" ht="12.75">
      <c r="A5394" s="2">
        <v>43882.975937499999</v>
      </c>
      <c r="B5394" t="str">
        <f>HYPERLINK("https://twitter.com/Berryanggaraa","@Berryanggaraa")</f>
        <v>@Berryanggaraa</v>
      </c>
      <c r="C5394" t="s">
        <v>4170</v>
      </c>
      <c r="D5394">
        <v>0</v>
      </c>
      <c r="E5394">
        <v>0</v>
      </c>
      <c r="F5394">
        <v>434</v>
      </c>
    </row>
    <row r="5395" spans="1:6" ht="12.75">
      <c r="A5395" s="2">
        <v>43882.975613425922</v>
      </c>
      <c r="B5395" t="str">
        <f>HYPERLINK("https://twitter.com/davirest","@davirest")</f>
        <v>@davirest</v>
      </c>
      <c r="C5395" t="s">
        <v>3224</v>
      </c>
      <c r="D5395">
        <v>13</v>
      </c>
      <c r="E5395">
        <v>0</v>
      </c>
      <c r="F5395">
        <v>233</v>
      </c>
    </row>
    <row r="5396" spans="1:6" ht="12.75">
      <c r="A5396" s="2">
        <v>43882.975393518514</v>
      </c>
      <c r="B5396" t="str">
        <f>HYPERLINK("https://twitter.com/fandomofglory","@fandomofglory")</f>
        <v>@fandomofglory</v>
      </c>
      <c r="C5396" t="s">
        <v>2087</v>
      </c>
      <c r="D5396">
        <v>21</v>
      </c>
      <c r="E5396">
        <v>0</v>
      </c>
      <c r="F5396">
        <v>247</v>
      </c>
    </row>
    <row r="5397" spans="1:6" ht="12.75">
      <c r="A5397" s="2">
        <v>43882.975150462968</v>
      </c>
      <c r="B5397" t="str">
        <f>HYPERLINK("https://twitter.com/cay612","@cay612")</f>
        <v>@cay612</v>
      </c>
      <c r="C5397" t="s">
        <v>4134</v>
      </c>
      <c r="D5397">
        <v>4</v>
      </c>
      <c r="E5397">
        <v>0</v>
      </c>
      <c r="F5397">
        <v>77</v>
      </c>
    </row>
    <row r="5398" spans="1:6" ht="12.75">
      <c r="A5398" s="2">
        <v>43882.97493055556</v>
      </c>
      <c r="B5398" t="str">
        <f>HYPERLINK("https://twitter.com/snowpeach23","@snowpeach23")</f>
        <v>@snowpeach23</v>
      </c>
      <c r="C5398" t="s">
        <v>4171</v>
      </c>
      <c r="D5398">
        <v>0</v>
      </c>
      <c r="E5398">
        <v>0</v>
      </c>
      <c r="F5398">
        <v>53</v>
      </c>
    </row>
    <row r="5399" spans="1:6" ht="12.75">
      <c r="A5399" s="2">
        <v>43882.974756944444</v>
      </c>
      <c r="B5399" t="str">
        <f>HYPERLINK("https://twitter.com/alongdesa","@alongdesa")</f>
        <v>@alongdesa</v>
      </c>
      <c r="C5399" t="s">
        <v>3925</v>
      </c>
      <c r="D5399">
        <v>1</v>
      </c>
      <c r="E5399">
        <v>0</v>
      </c>
      <c r="F5399">
        <v>1177</v>
      </c>
    </row>
    <row r="5400" spans="1:6" ht="12.75">
      <c r="A5400" s="2">
        <v>43882.974548611106</v>
      </c>
      <c r="B5400" t="str">
        <f>HYPERLINK("https://twitter.com/jilansy","@jilansy")</f>
        <v>@jilansy</v>
      </c>
      <c r="C5400" t="s">
        <v>2087</v>
      </c>
      <c r="D5400">
        <v>21</v>
      </c>
      <c r="E5400">
        <v>0</v>
      </c>
      <c r="F5400">
        <v>1074</v>
      </c>
    </row>
    <row r="5401" spans="1:6" ht="12.75">
      <c r="A5401" s="2">
        <v>43882.974236111113</v>
      </c>
      <c r="B5401" t="str">
        <f>HYPERLINK("https://twitter.com/LanonJohor5","@LanonJohor5")</f>
        <v>@LanonJohor5</v>
      </c>
      <c r="C5401" t="s">
        <v>4172</v>
      </c>
      <c r="D5401">
        <v>1</v>
      </c>
      <c r="E5401">
        <v>1</v>
      </c>
      <c r="F5401">
        <v>782</v>
      </c>
    </row>
    <row r="5402" spans="1:6" ht="12.75">
      <c r="A5402" s="2">
        <v>43882.974120370374</v>
      </c>
      <c r="B5402" t="str">
        <f>HYPERLINK("https://twitter.com/mtaufikmJKT48","@mtaufikmJKT48")</f>
        <v>@mtaufikmJKT48</v>
      </c>
      <c r="C5402" t="s">
        <v>4134</v>
      </c>
      <c r="D5402">
        <v>4</v>
      </c>
      <c r="E5402">
        <v>0</v>
      </c>
      <c r="F5402">
        <v>1456</v>
      </c>
    </row>
    <row r="5403" spans="1:6" ht="12.75">
      <c r="A5403" s="2">
        <v>43882.973819444444</v>
      </c>
      <c r="B5403" t="str">
        <f>HYPERLINK("https://twitter.com/RadioElshinta","@RadioElshinta")</f>
        <v>@RadioElshinta</v>
      </c>
      <c r="C5403" t="s">
        <v>4173</v>
      </c>
      <c r="D5403">
        <v>4</v>
      </c>
      <c r="E5403">
        <v>3</v>
      </c>
      <c r="F5403">
        <v>3634107</v>
      </c>
    </row>
    <row r="5404" spans="1:6" ht="12.75">
      <c r="A5404" s="2">
        <v>43882.973425925928</v>
      </c>
      <c r="B5404" t="str">
        <f>HYPERLINK("https://twitter.com/4_devout","@4_devout")</f>
        <v>@4_devout</v>
      </c>
      <c r="C5404" t="s">
        <v>3480</v>
      </c>
      <c r="D5404">
        <v>4</v>
      </c>
      <c r="E5404">
        <v>0</v>
      </c>
      <c r="F5404">
        <v>608</v>
      </c>
    </row>
    <row r="5405" spans="1:6" ht="12.75">
      <c r="A5405" s="2">
        <v>43882.972905092596</v>
      </c>
      <c r="B5405" t="str">
        <f>HYPERLINK("https://twitter.com/huriricane_","@huriricane_")</f>
        <v>@huriricane_</v>
      </c>
      <c r="C5405" t="s">
        <v>2087</v>
      </c>
      <c r="D5405">
        <v>21</v>
      </c>
      <c r="E5405">
        <v>0</v>
      </c>
      <c r="F5405">
        <v>459</v>
      </c>
    </row>
    <row r="5406" spans="1:6" ht="12.75">
      <c r="A5406" s="2">
        <v>43882.972766203704</v>
      </c>
      <c r="B5406" t="str">
        <f>HYPERLINK("https://twitter.com/jawapos","@jawapos")</f>
        <v>@jawapos</v>
      </c>
      <c r="C5406" t="s">
        <v>4160</v>
      </c>
      <c r="D5406">
        <v>0</v>
      </c>
      <c r="E5406">
        <v>3</v>
      </c>
      <c r="F5406">
        <v>119944</v>
      </c>
    </row>
    <row r="5407" spans="1:6" ht="12.75">
      <c r="A5407" s="2">
        <v>43882.972430555557</v>
      </c>
      <c r="B5407" t="str">
        <f>HYPERLINK("https://twitter.com/yentiliu_meteor","@yentiliu_meteor")</f>
        <v>@yentiliu_meteor</v>
      </c>
      <c r="C5407" t="s">
        <v>2101</v>
      </c>
      <c r="D5407">
        <v>6</v>
      </c>
      <c r="E5407">
        <v>0</v>
      </c>
      <c r="F5407">
        <v>137</v>
      </c>
    </row>
    <row r="5408" spans="1:6" ht="12.75">
      <c r="A5408" s="2">
        <v>43882.971944444449</v>
      </c>
      <c r="B5408" t="str">
        <f>HYPERLINK("https://twitter.com/candyylolyy","@candyylolyy")</f>
        <v>@candyylolyy</v>
      </c>
      <c r="C5408" t="s">
        <v>2087</v>
      </c>
      <c r="D5408">
        <v>21</v>
      </c>
      <c r="E5408">
        <v>0</v>
      </c>
      <c r="F5408">
        <v>152</v>
      </c>
    </row>
    <row r="5409" spans="1:6" ht="12.75">
      <c r="A5409" s="2">
        <v>43882.971909722226</v>
      </c>
      <c r="B5409" t="str">
        <f>HYPERLINK("https://twitter.com/sabhatansabiz","@sabhatansabiz")</f>
        <v>@sabhatansabiz</v>
      </c>
      <c r="C5409" t="s">
        <v>4156</v>
      </c>
      <c r="D5409">
        <v>2</v>
      </c>
      <c r="E5409">
        <v>0</v>
      </c>
      <c r="F5409">
        <v>1584</v>
      </c>
    </row>
    <row r="5410" spans="1:6" ht="12.75">
      <c r="A5410" s="2">
        <v>43882.971909722226</v>
      </c>
      <c r="B5410" t="str">
        <f>HYPERLINK("https://twitter.com/updatedotid","@updatedotid")</f>
        <v>@updatedotid</v>
      </c>
      <c r="C5410" t="s">
        <v>4156</v>
      </c>
      <c r="D5410">
        <v>2</v>
      </c>
      <c r="E5410">
        <v>0</v>
      </c>
      <c r="F5410">
        <v>1620</v>
      </c>
    </row>
    <row r="5411" spans="1:6" ht="12.75">
      <c r="A5411" s="2">
        <v>43882.971689814818</v>
      </c>
      <c r="B5411" t="str">
        <f>HYPERLINK("https://twitter.com/le_petitlulu31","@le_petitlulu31")</f>
        <v>@le_petitlulu31</v>
      </c>
      <c r="C5411" t="s">
        <v>2087</v>
      </c>
      <c r="D5411">
        <v>21</v>
      </c>
      <c r="E5411">
        <v>0</v>
      </c>
      <c r="F5411">
        <v>449</v>
      </c>
    </row>
    <row r="5412" spans="1:6" ht="12.75">
      <c r="A5412" s="2">
        <v>43882.971620370372</v>
      </c>
      <c r="B5412" t="str">
        <f>HYPERLINK("https://twitter.com/blackwhiteoo","@blackwhiteoo")</f>
        <v>@blackwhiteoo</v>
      </c>
      <c r="C5412" t="s">
        <v>2087</v>
      </c>
      <c r="D5412">
        <v>21</v>
      </c>
      <c r="E5412">
        <v>0</v>
      </c>
      <c r="F5412">
        <v>118</v>
      </c>
    </row>
    <row r="5413" spans="1:6" ht="12.75">
      <c r="A5413" s="2">
        <v>43882.971585648149</v>
      </c>
      <c r="B5413" t="str">
        <f>HYPERLINK("https://twitter.com/radar_malang","@radar_malang")</f>
        <v>@radar_malang</v>
      </c>
      <c r="C5413" t="s">
        <v>4161</v>
      </c>
      <c r="D5413">
        <v>2</v>
      </c>
      <c r="E5413">
        <v>0</v>
      </c>
      <c r="F5413">
        <v>108629</v>
      </c>
    </row>
    <row r="5414" spans="1:6" ht="12.75">
      <c r="A5414" s="2">
        <v>43882.971504629633</v>
      </c>
      <c r="B5414" t="str">
        <f>HYPERLINK("https://twitter.com/bloominesque","@bloominesque")</f>
        <v>@bloominesque</v>
      </c>
      <c r="C5414" t="s">
        <v>2087</v>
      </c>
      <c r="D5414">
        <v>21</v>
      </c>
      <c r="E5414">
        <v>0</v>
      </c>
      <c r="F5414">
        <v>27</v>
      </c>
    </row>
    <row r="5415" spans="1:6" ht="12.75">
      <c r="A5415" s="2">
        <v>43882.971400462964</v>
      </c>
      <c r="B5415" t="str">
        <f>HYPERLINK("https://twitter.com/mustikaayuKD","@mustikaayuKD")</f>
        <v>@mustikaayuKD</v>
      </c>
      <c r="C5415" t="s">
        <v>4174</v>
      </c>
      <c r="D5415">
        <v>1</v>
      </c>
      <c r="E5415">
        <v>0</v>
      </c>
      <c r="F5415">
        <v>895</v>
      </c>
    </row>
    <row r="5416" spans="1:6" ht="12.75">
      <c r="A5416" s="2">
        <v>43882.971307870372</v>
      </c>
      <c r="B5416" t="str">
        <f>HYPERLINK("https://twitter.com/KMNRDR_RX","@KMNRDR_RX")</f>
        <v>@KMNRDR_RX</v>
      </c>
      <c r="C5416" t="s">
        <v>2087</v>
      </c>
      <c r="D5416">
        <v>21</v>
      </c>
      <c r="E5416">
        <v>0</v>
      </c>
      <c r="F5416">
        <v>350</v>
      </c>
    </row>
    <row r="5417" spans="1:6" ht="12.75">
      <c r="A5417" s="2">
        <v>43882.970925925925</v>
      </c>
      <c r="B5417" t="str">
        <f>HYPERLINK("https://twitter.com/Gennome2","@Gennome2")</f>
        <v>@Gennome2</v>
      </c>
      <c r="C5417" t="s">
        <v>4149</v>
      </c>
      <c r="D5417">
        <v>4</v>
      </c>
      <c r="E5417">
        <v>0</v>
      </c>
      <c r="F5417">
        <v>1676</v>
      </c>
    </row>
    <row r="5418" spans="1:6" ht="12.75">
      <c r="A5418" s="2">
        <v>43882.970868055556</v>
      </c>
      <c r="B5418" t="str">
        <f>HYPERLINK("https://twitter.com/BackSayur","@BackSayur")</f>
        <v>@BackSayur</v>
      </c>
      <c r="C5418" t="s">
        <v>2087</v>
      </c>
      <c r="D5418">
        <v>21</v>
      </c>
      <c r="E5418">
        <v>0</v>
      </c>
      <c r="F5418">
        <v>1001</v>
      </c>
    </row>
    <row r="5419" spans="1:6" ht="12.75">
      <c r="A5419" s="2">
        <v>43882.97074074074</v>
      </c>
      <c r="B5419" t="str">
        <f>HYPERLINK("https://twitter.com/DrewLim8","@DrewLim8")</f>
        <v>@DrewLim8</v>
      </c>
      <c r="C5419" t="s">
        <v>4175</v>
      </c>
      <c r="D5419">
        <v>0</v>
      </c>
      <c r="E5419">
        <v>0</v>
      </c>
      <c r="F5419">
        <v>1468</v>
      </c>
    </row>
    <row r="5420" spans="1:6" ht="12.75">
      <c r="A5420" s="2">
        <v>43882.970601851848</v>
      </c>
      <c r="B5420" t="str">
        <f>HYPERLINK("https://twitter.com/legitnghausa","@legitnghausa")</f>
        <v>@legitnghausa</v>
      </c>
      <c r="C5420" t="s">
        <v>4176</v>
      </c>
      <c r="D5420">
        <v>0</v>
      </c>
      <c r="E5420">
        <v>4</v>
      </c>
      <c r="F5420">
        <v>31420</v>
      </c>
    </row>
    <row r="5421" spans="1:6" ht="12.75">
      <c r="A5421" s="2">
        <v>43882.969976851848</v>
      </c>
      <c r="B5421" t="str">
        <f>HYPERLINK("https://twitter.com/PriskyPribadi74","@PriskyPribadi74")</f>
        <v>@PriskyPribadi74</v>
      </c>
      <c r="C5421" t="s">
        <v>4149</v>
      </c>
      <c r="D5421">
        <v>4</v>
      </c>
      <c r="E5421">
        <v>0</v>
      </c>
      <c r="F5421">
        <v>18</v>
      </c>
    </row>
    <row r="5422" spans="1:6" ht="12.75">
      <c r="A5422" s="2">
        <v>43882.969502314816</v>
      </c>
      <c r="B5422" t="str">
        <f>HYPERLINK("https://twitter.com/IvyLiau","@IvyLiau")</f>
        <v>@IvyLiau</v>
      </c>
      <c r="C5422" t="s">
        <v>2087</v>
      </c>
      <c r="D5422">
        <v>21</v>
      </c>
      <c r="E5422">
        <v>0</v>
      </c>
      <c r="F5422">
        <v>534</v>
      </c>
    </row>
    <row r="5423" spans="1:6" ht="12.75">
      <c r="A5423" s="2">
        <v>43882.969328703708</v>
      </c>
      <c r="B5423" t="str">
        <f>HYPERLINK("https://twitter.com/adriankusaihir1","@adriankusaihir1")</f>
        <v>@adriankusaihir1</v>
      </c>
      <c r="C5423" t="s">
        <v>3302</v>
      </c>
      <c r="D5423">
        <v>31</v>
      </c>
      <c r="E5423">
        <v>0</v>
      </c>
      <c r="F5423">
        <v>84</v>
      </c>
    </row>
    <row r="5424" spans="1:6" ht="12.75">
      <c r="A5424" s="2">
        <v>43882.969166666662</v>
      </c>
      <c r="B5424" t="str">
        <f>HYPERLINK("https://twitter.com/KBRITokyo","@KBRITokyo")</f>
        <v>@KBRITokyo</v>
      </c>
      <c r="C5424" t="s">
        <v>4177</v>
      </c>
      <c r="D5424">
        <v>21</v>
      </c>
      <c r="E5424">
        <v>15</v>
      </c>
      <c r="F5424">
        <v>18697</v>
      </c>
    </row>
    <row r="5425" spans="1:6" ht="12.75">
      <c r="A5425" s="2">
        <v>43882.968958333338</v>
      </c>
      <c r="B5425" t="str">
        <f>HYPERLINK("https://twitter.com/iamfikar","@iamfikar")</f>
        <v>@iamfikar</v>
      </c>
      <c r="C5425" t="s">
        <v>177</v>
      </c>
      <c r="D5425">
        <v>802</v>
      </c>
      <c r="E5425">
        <v>0</v>
      </c>
      <c r="F5425">
        <v>119</v>
      </c>
    </row>
    <row r="5426" spans="1:6" ht="12.75">
      <c r="A5426" s="2">
        <v>43882.968842592592</v>
      </c>
      <c r="B5426" t="str">
        <f>HYPERLINK("https://twitter.com/hemaviton99","@hemaviton99")</f>
        <v>@hemaviton99</v>
      </c>
      <c r="C5426" t="s">
        <v>177</v>
      </c>
      <c r="D5426">
        <v>802</v>
      </c>
      <c r="E5426">
        <v>0</v>
      </c>
      <c r="F5426">
        <v>4400</v>
      </c>
    </row>
    <row r="5427" spans="1:6" ht="12.75">
      <c r="A5427" s="2">
        <v>43882.96875</v>
      </c>
      <c r="B5427" t="str">
        <f>HYPERLINK("https://twitter.com/CNNIDdaily","@CNNIDdaily")</f>
        <v>@CNNIDdaily</v>
      </c>
      <c r="C5427" t="s">
        <v>4178</v>
      </c>
      <c r="D5427">
        <v>4</v>
      </c>
      <c r="E5427">
        <v>2</v>
      </c>
      <c r="F5427">
        <v>117902</v>
      </c>
    </row>
    <row r="5428" spans="1:6" ht="12.75">
      <c r="A5428" s="2">
        <v>43882.9683912037</v>
      </c>
      <c r="B5428" t="str">
        <f>HYPERLINK("https://twitter.com/MalinParmato7","@MalinParmato7")</f>
        <v>@MalinParmato7</v>
      </c>
      <c r="C5428" t="s">
        <v>3141</v>
      </c>
      <c r="D5428">
        <v>18</v>
      </c>
      <c r="E5428">
        <v>0</v>
      </c>
      <c r="F5428">
        <v>275</v>
      </c>
    </row>
    <row r="5429" spans="1:6" ht="12.75">
      <c r="A5429" s="2">
        <v>43882.967731481476</v>
      </c>
      <c r="B5429" t="str">
        <f>HYPERLINK("https://twitter.com/SouthTangerang","@SouthTangerang")</f>
        <v>@SouthTangerang</v>
      </c>
      <c r="C5429" t="s">
        <v>4179</v>
      </c>
      <c r="D5429">
        <v>0</v>
      </c>
      <c r="E5429">
        <v>0</v>
      </c>
      <c r="F5429">
        <v>1977</v>
      </c>
    </row>
    <row r="5430" spans="1:6" ht="12.75">
      <c r="A5430" s="2">
        <v>43882.967592592591</v>
      </c>
      <c r="B5430" t="str">
        <f>HYPERLINK("https://twitter.com/ilman__nafian","@ilman__nafian")</f>
        <v>@ilman__nafian</v>
      </c>
      <c r="C5430" t="s">
        <v>4180</v>
      </c>
      <c r="D5430">
        <v>0</v>
      </c>
      <c r="E5430">
        <v>4</v>
      </c>
      <c r="F5430">
        <v>2137</v>
      </c>
    </row>
    <row r="5431" spans="1:6" ht="12.75">
      <c r="A5431" s="2">
        <v>43882.967210648145</v>
      </c>
      <c r="B5431" t="str">
        <f>HYPERLINK("https://twitter.com/RepublikTweep","@RepublikTweep")</f>
        <v>@RepublikTweep</v>
      </c>
      <c r="C5431" t="s">
        <v>4181</v>
      </c>
      <c r="D5431">
        <v>0</v>
      </c>
      <c r="E5431">
        <v>0</v>
      </c>
      <c r="F5431">
        <v>27309</v>
      </c>
    </row>
    <row r="5432" spans="1:6" ht="12.75">
      <c r="A5432" s="2">
        <v>43882.96670138889</v>
      </c>
      <c r="B5432" t="str">
        <f>HYPERLINK("https://twitter.com/dewahelga","@dewahelga")</f>
        <v>@dewahelga</v>
      </c>
      <c r="C5432" t="s">
        <v>4182</v>
      </c>
      <c r="D5432">
        <v>1</v>
      </c>
      <c r="E5432">
        <v>0</v>
      </c>
      <c r="F5432">
        <v>1149</v>
      </c>
    </row>
    <row r="5433" spans="1:6" ht="12.75">
      <c r="A5433" s="2">
        <v>43882.96670138889</v>
      </c>
      <c r="B5433" t="str">
        <f>HYPERLINK("https://twitter.com/bulansridevi","@bulansridevi")</f>
        <v>@bulansridevi</v>
      </c>
      <c r="C5433" t="s">
        <v>4183</v>
      </c>
      <c r="D5433">
        <v>0</v>
      </c>
      <c r="E5433">
        <v>1</v>
      </c>
      <c r="F5433">
        <v>1084</v>
      </c>
    </row>
    <row r="5434" spans="1:6" ht="12.75">
      <c r="A5434" s="2">
        <v>43882.966481481482</v>
      </c>
      <c r="B5434" t="str">
        <f>HYPERLINK("https://twitter.com/Collowfreeman2","@Collowfreeman2")</f>
        <v>@Collowfreeman2</v>
      </c>
      <c r="C5434" t="s">
        <v>4184</v>
      </c>
      <c r="D5434">
        <v>0</v>
      </c>
      <c r="E5434">
        <v>1</v>
      </c>
      <c r="F5434">
        <v>92</v>
      </c>
    </row>
    <row r="5435" spans="1:6" ht="12.75">
      <c r="A5435" s="2">
        <v>43882.965949074074</v>
      </c>
      <c r="B5435" t="str">
        <f>HYPERLINK("https://twitter.com/mohamadfahrozi4","@mohamadfahrozi4")</f>
        <v>@mohamadfahrozi4</v>
      </c>
      <c r="C5435" t="s">
        <v>177</v>
      </c>
      <c r="D5435">
        <v>802</v>
      </c>
      <c r="E5435">
        <v>0</v>
      </c>
      <c r="F5435">
        <v>6</v>
      </c>
    </row>
    <row r="5436" spans="1:6" ht="12.75">
      <c r="A5436" s="2">
        <v>43882.965775462959</v>
      </c>
      <c r="B5436" t="str">
        <f>HYPERLINK("https://twitter.com/desty2_","@desty2_")</f>
        <v>@desty2_</v>
      </c>
      <c r="C5436" t="s">
        <v>4185</v>
      </c>
      <c r="D5436">
        <v>0</v>
      </c>
      <c r="E5436">
        <v>1</v>
      </c>
      <c r="F5436">
        <v>94</v>
      </c>
    </row>
    <row r="5437" spans="1:6" ht="12.75">
      <c r="A5437" s="2">
        <v>43882.964942129634</v>
      </c>
      <c r="B5437" t="str">
        <f>HYPERLINK("https://twitter.com/imbangimedia","@imbangimedia")</f>
        <v>@imbangimedia</v>
      </c>
      <c r="C5437" t="s">
        <v>4186</v>
      </c>
      <c r="D5437">
        <v>6</v>
      </c>
      <c r="E5437">
        <v>0</v>
      </c>
      <c r="F5437">
        <v>4136</v>
      </c>
    </row>
    <row r="5438" spans="1:6" ht="12.75">
      <c r="A5438" s="2">
        <v>43882.963587962964</v>
      </c>
      <c r="B5438" t="str">
        <f>HYPERLINK("https://twitter.com/failedword","@failedword")</f>
        <v>@failedword</v>
      </c>
      <c r="C5438" t="s">
        <v>4073</v>
      </c>
      <c r="D5438">
        <v>10</v>
      </c>
      <c r="E5438">
        <v>0</v>
      </c>
      <c r="F5438">
        <v>1242</v>
      </c>
    </row>
    <row r="5439" spans="1:6" ht="12.75">
      <c r="A5439" s="2">
        <v>43882.963414351849</v>
      </c>
      <c r="B5439" t="str">
        <f>HYPERLINK("https://twitter.com/zkdlinkaiuwu","@zkdlinkaiuwu")</f>
        <v>@zkdlinkaiuwu</v>
      </c>
      <c r="C5439" t="s">
        <v>513</v>
      </c>
      <c r="D5439">
        <v>23253</v>
      </c>
      <c r="E5439">
        <v>0</v>
      </c>
      <c r="F5439">
        <v>272</v>
      </c>
    </row>
    <row r="5440" spans="1:6" ht="12.75">
      <c r="A5440" s="2">
        <v>43882.96303240741</v>
      </c>
      <c r="B5440" t="str">
        <f>HYPERLINK("https://twitter.com/KyleSherena","@KyleSherena")</f>
        <v>@KyleSherena</v>
      </c>
      <c r="C5440" t="s">
        <v>4187</v>
      </c>
      <c r="D5440">
        <v>0</v>
      </c>
      <c r="E5440">
        <v>0</v>
      </c>
      <c r="F5440">
        <v>24</v>
      </c>
    </row>
    <row r="5441" spans="1:6" ht="12.75">
      <c r="A5441" s="2">
        <v>43882.962152777778</v>
      </c>
      <c r="B5441" t="str">
        <f>HYPERLINK("https://twitter.com/MalayCyberForce","@MalayCyberForce")</f>
        <v>@MalayCyberForce</v>
      </c>
      <c r="C5441" t="s">
        <v>4188</v>
      </c>
      <c r="D5441">
        <v>0</v>
      </c>
      <c r="E5441">
        <v>0</v>
      </c>
      <c r="F5441">
        <v>102</v>
      </c>
    </row>
    <row r="5442" spans="1:6" ht="12.75">
      <c r="A5442" s="2">
        <v>43882.961516203708</v>
      </c>
      <c r="B5442" t="str">
        <f>HYPERLINK("https://twitter.com/DidiRosadi_","@DidiRosadi_")</f>
        <v>@DidiRosadi_</v>
      </c>
      <c r="C5442" t="s">
        <v>3508</v>
      </c>
      <c r="D5442">
        <v>73</v>
      </c>
      <c r="E5442">
        <v>0</v>
      </c>
      <c r="F5442">
        <v>1064</v>
      </c>
    </row>
    <row r="5443" spans="1:6" ht="12.75">
      <c r="A5443" s="2">
        <v>43882.960902777777</v>
      </c>
      <c r="B5443" t="str">
        <f>HYPERLINK("https://twitter.com/FadzliShafiq","@FadzliShafiq")</f>
        <v>@FadzliShafiq</v>
      </c>
      <c r="C5443" t="s">
        <v>2711</v>
      </c>
      <c r="D5443">
        <v>141</v>
      </c>
      <c r="E5443">
        <v>0</v>
      </c>
      <c r="F5443">
        <v>459</v>
      </c>
    </row>
    <row r="5444" spans="1:6" ht="12.75">
      <c r="A5444" s="2">
        <v>43882.9606712963</v>
      </c>
      <c r="B5444" t="str">
        <f>HYPERLINK("https://twitter.com/Meor_M_Azim","@Meor_M_Azim")</f>
        <v>@Meor_M_Azim</v>
      </c>
      <c r="C5444" t="s">
        <v>4189</v>
      </c>
      <c r="D5444">
        <v>0</v>
      </c>
      <c r="E5444">
        <v>1</v>
      </c>
      <c r="F5444">
        <v>127</v>
      </c>
    </row>
    <row r="5445" spans="1:6" ht="12.75">
      <c r="A5445" s="2">
        <v>43882.960405092592</v>
      </c>
      <c r="B5445" t="str">
        <f>HYPERLINK("https://twitter.com/YoungBepe20","@YoungBepe20")</f>
        <v>@YoungBepe20</v>
      </c>
      <c r="C5445" t="s">
        <v>3508</v>
      </c>
      <c r="D5445">
        <v>73</v>
      </c>
      <c r="E5445">
        <v>0</v>
      </c>
      <c r="F5445">
        <v>325</v>
      </c>
    </row>
    <row r="5446" spans="1:6" ht="12.75">
      <c r="A5446" s="2">
        <v>43882.960277777776</v>
      </c>
      <c r="B5446" t="str">
        <f>HYPERLINK("https://twitter.com/hajinewsonline","@hajinewsonline")</f>
        <v>@hajinewsonline</v>
      </c>
      <c r="C5446" t="s">
        <v>4190</v>
      </c>
      <c r="D5446">
        <v>0</v>
      </c>
      <c r="E5446">
        <v>0</v>
      </c>
      <c r="F5446">
        <v>23</v>
      </c>
    </row>
    <row r="5447" spans="1:6" ht="12.75">
      <c r="A5447" s="2">
        <v>43882.960034722222</v>
      </c>
      <c r="B5447" t="str">
        <f>HYPERLINK("https://twitter.com/oryjone","@oryjone")</f>
        <v>@oryjone</v>
      </c>
      <c r="C5447" t="s">
        <v>4191</v>
      </c>
      <c r="D5447">
        <v>1</v>
      </c>
      <c r="E5447">
        <v>0</v>
      </c>
      <c r="F5447">
        <v>259</v>
      </c>
    </row>
    <row r="5448" spans="1:6" ht="12.75">
      <c r="A5448" s="2">
        <v>43882.959513888884</v>
      </c>
      <c r="B5448" t="str">
        <f>HYPERLINK("https://twitter.com/kiyudgirl","@kiyudgirl")</f>
        <v>@kiyudgirl</v>
      </c>
      <c r="C5448" t="s">
        <v>4192</v>
      </c>
      <c r="D5448">
        <v>0</v>
      </c>
      <c r="E5448">
        <v>0</v>
      </c>
      <c r="F5448">
        <v>1937</v>
      </c>
    </row>
    <row r="5449" spans="1:6" ht="12.75">
      <c r="A5449" s="2">
        <v>43882.959074074075</v>
      </c>
      <c r="B5449" t="str">
        <f>HYPERLINK("https://twitter.com/Meor_M_Azim","@Meor_M_Azim")</f>
        <v>@Meor_M_Azim</v>
      </c>
      <c r="C5449" t="s">
        <v>4193</v>
      </c>
      <c r="D5449">
        <v>0</v>
      </c>
      <c r="E5449">
        <v>0</v>
      </c>
      <c r="F5449">
        <v>127</v>
      </c>
    </row>
    <row r="5450" spans="1:6" ht="12.75">
      <c r="A5450" s="2">
        <v>43882.95894675926</v>
      </c>
      <c r="B5450" t="str">
        <f>HYPERLINK("https://twitter.com/japosumi1979","@japosumi1979")</f>
        <v>@japosumi1979</v>
      </c>
      <c r="C5450" t="s">
        <v>4194</v>
      </c>
      <c r="D5450">
        <v>0</v>
      </c>
      <c r="E5450">
        <v>0</v>
      </c>
      <c r="F5450">
        <v>4</v>
      </c>
    </row>
    <row r="5451" spans="1:6" ht="12.75">
      <c r="A5451" s="2">
        <v>43882.957962962959</v>
      </c>
      <c r="B5451" t="str">
        <f>HYPERLINK("https://twitter.com/evalez_fr","@evalez_fr")</f>
        <v>@evalez_fr</v>
      </c>
      <c r="C5451" t="s">
        <v>4195</v>
      </c>
      <c r="D5451">
        <v>0</v>
      </c>
      <c r="E5451">
        <v>0</v>
      </c>
      <c r="F5451">
        <v>8744</v>
      </c>
    </row>
    <row r="5452" spans="1:6" ht="12.75">
      <c r="A5452" s="2">
        <v>43882.956458333334</v>
      </c>
      <c r="B5452" t="str">
        <f>HYPERLINK("https://twitter.com/adityaole","@adityaole")</f>
        <v>@adityaole</v>
      </c>
      <c r="C5452" t="s">
        <v>1407</v>
      </c>
      <c r="D5452">
        <v>9738</v>
      </c>
      <c r="E5452">
        <v>0</v>
      </c>
      <c r="F5452">
        <v>693</v>
      </c>
    </row>
    <row r="5453" spans="1:6" ht="12.75">
      <c r="A5453" s="2">
        <v>43882.956273148149</v>
      </c>
      <c r="B5453" t="str">
        <f>HYPERLINK("https://twitter.com/yatsupriatnadwi","@yatsupriatnadwi")</f>
        <v>@yatsupriatnadwi</v>
      </c>
      <c r="C5453" t="s">
        <v>177</v>
      </c>
      <c r="D5453">
        <v>797</v>
      </c>
      <c r="E5453">
        <v>0</v>
      </c>
      <c r="F5453">
        <v>2513</v>
      </c>
    </row>
    <row r="5454" spans="1:6" ht="12.75">
      <c r="A5454" s="2">
        <v>43882.956053240741</v>
      </c>
      <c r="B5454" t="str">
        <f>HYPERLINK("https://twitter.com/topinfo_id","@topinfo_id")</f>
        <v>@topinfo_id</v>
      </c>
      <c r="C5454" t="s">
        <v>4196</v>
      </c>
      <c r="D5454">
        <v>0</v>
      </c>
      <c r="E5454">
        <v>0</v>
      </c>
      <c r="F5454">
        <v>10</v>
      </c>
    </row>
    <row r="5455" spans="1:6" ht="12.75">
      <c r="A5455" s="2">
        <v>43882.95548611111</v>
      </c>
      <c r="B5455" t="str">
        <f>HYPERLINK("https://twitter.com/Metro_TV","@Metro_TV")</f>
        <v>@Metro_TV</v>
      </c>
      <c r="C5455" t="s">
        <v>4197</v>
      </c>
      <c r="D5455">
        <v>0</v>
      </c>
      <c r="E5455">
        <v>5</v>
      </c>
      <c r="F5455">
        <v>10511391</v>
      </c>
    </row>
    <row r="5456" spans="1:6" ht="12.75">
      <c r="A5456" s="2">
        <v>43882.954791666663</v>
      </c>
      <c r="B5456" t="str">
        <f>HYPERLINK("https://twitter.com/hemaviton99","@hemaviton99")</f>
        <v>@hemaviton99</v>
      </c>
      <c r="C5456" t="s">
        <v>4167</v>
      </c>
      <c r="D5456">
        <v>1</v>
      </c>
      <c r="E5456">
        <v>0</v>
      </c>
      <c r="F5456">
        <v>4398</v>
      </c>
    </row>
    <row r="5457" spans="1:6" ht="12.75">
      <c r="A5457" s="2">
        <v>43882.954629629632</v>
      </c>
      <c r="B5457" t="str">
        <f>HYPERLINK("https://twitter.com/ardanaf","@ardanaf")</f>
        <v>@ardanaf</v>
      </c>
      <c r="C5457" t="s">
        <v>4198</v>
      </c>
      <c r="D5457">
        <v>1</v>
      </c>
      <c r="E5457">
        <v>0</v>
      </c>
      <c r="F5457">
        <v>571</v>
      </c>
    </row>
    <row r="5458" spans="1:6" ht="12.75">
      <c r="A5458" s="2">
        <v>43882.954583333332</v>
      </c>
      <c r="B5458" t="str">
        <f>HYPERLINK("https://twitter.com/topinfo_id","@topinfo_id")</f>
        <v>@topinfo_id</v>
      </c>
      <c r="C5458" t="s">
        <v>4196</v>
      </c>
      <c r="D5458">
        <v>0</v>
      </c>
      <c r="E5458">
        <v>0</v>
      </c>
      <c r="F5458">
        <v>10</v>
      </c>
    </row>
    <row r="5459" spans="1:6" ht="12.75">
      <c r="A5459" s="2">
        <v>43882.953796296293</v>
      </c>
      <c r="B5459" t="str">
        <f>HYPERLINK("https://twitter.com/koloni_saham","@koloni_saham")</f>
        <v>@koloni_saham</v>
      </c>
      <c r="C5459" t="s">
        <v>4199</v>
      </c>
      <c r="D5459">
        <v>0</v>
      </c>
      <c r="E5459">
        <v>0</v>
      </c>
      <c r="F5459">
        <v>54</v>
      </c>
    </row>
    <row r="5460" spans="1:6" ht="12.75">
      <c r="A5460" s="2">
        <v>43882.953784722224</v>
      </c>
      <c r="B5460" t="str">
        <f>HYPERLINK("https://twitter.com/Faizal5932","@Faizal5932")</f>
        <v>@Faizal5932</v>
      </c>
      <c r="C5460" t="s">
        <v>2711</v>
      </c>
      <c r="D5460">
        <v>136</v>
      </c>
      <c r="E5460">
        <v>0</v>
      </c>
      <c r="F5460">
        <v>71</v>
      </c>
    </row>
    <row r="5461" spans="1:6" ht="12.75">
      <c r="A5461" s="2">
        <v>43882.953599537039</v>
      </c>
      <c r="B5461" t="str">
        <f>HYPERLINK("https://twitter.com/njuneiy","@njuneiy")</f>
        <v>@njuneiy</v>
      </c>
      <c r="C5461" t="s">
        <v>4200</v>
      </c>
      <c r="D5461">
        <v>0</v>
      </c>
      <c r="E5461">
        <v>0</v>
      </c>
      <c r="F5461">
        <v>2013</v>
      </c>
    </row>
    <row r="5462" spans="1:6" ht="12.75">
      <c r="A5462" s="2">
        <v>43882.952627314815</v>
      </c>
      <c r="B5462" t="str">
        <f>HYPERLINK("https://twitter.com/kiyudgirl","@kiyudgirl")</f>
        <v>@kiyudgirl</v>
      </c>
      <c r="C5462" t="s">
        <v>4201</v>
      </c>
      <c r="D5462">
        <v>0</v>
      </c>
      <c r="E5462">
        <v>0</v>
      </c>
      <c r="F5462">
        <v>1937</v>
      </c>
    </row>
    <row r="5463" spans="1:6" ht="12.75">
      <c r="A5463" s="2">
        <v>43882.952361111107</v>
      </c>
      <c r="B5463" t="str">
        <f>HYPERLINK("https://twitter.com/coffeeandme_","@coffeeandme_")</f>
        <v>@coffeeandme_</v>
      </c>
      <c r="C5463" t="s">
        <v>4202</v>
      </c>
      <c r="D5463">
        <v>0</v>
      </c>
      <c r="E5463">
        <v>1</v>
      </c>
      <c r="F5463">
        <v>1092</v>
      </c>
    </row>
    <row r="5464" spans="1:6" ht="12.75">
      <c r="A5464" s="2">
        <v>43882.951840277776</v>
      </c>
      <c r="B5464" t="str">
        <f>HYPERLINK("https://twitter.com/paldutdut","@paldutdut")</f>
        <v>@paldutdut</v>
      </c>
      <c r="C5464" t="s">
        <v>4203</v>
      </c>
      <c r="D5464">
        <v>0</v>
      </c>
      <c r="E5464">
        <v>0</v>
      </c>
      <c r="F5464">
        <v>283</v>
      </c>
    </row>
    <row r="5465" spans="1:6" ht="12.75">
      <c r="A5465" s="2">
        <v>43882.951597222222</v>
      </c>
      <c r="B5465" t="str">
        <f>HYPERLINK("https://twitter.com/jawapos","@jawapos")</f>
        <v>@jawapos</v>
      </c>
      <c r="C5465" t="s">
        <v>4161</v>
      </c>
      <c r="D5465">
        <v>1</v>
      </c>
      <c r="E5465">
        <v>5</v>
      </c>
      <c r="F5465">
        <v>119927</v>
      </c>
    </row>
    <row r="5466" spans="1:6" ht="12.75">
      <c r="A5466" s="2">
        <v>43882.949965277774</v>
      </c>
      <c r="B5466" t="str">
        <f>HYPERLINK("https://twitter.com/aguzts_","@aguzts_")</f>
        <v>@aguzts_</v>
      </c>
      <c r="C5466" t="s">
        <v>4204</v>
      </c>
      <c r="D5466">
        <v>1</v>
      </c>
      <c r="E5466">
        <v>0</v>
      </c>
      <c r="F5466">
        <v>664</v>
      </c>
    </row>
    <row r="5467" spans="1:6" ht="12.75">
      <c r="A5467" s="2">
        <v>43882.949872685189</v>
      </c>
      <c r="B5467" t="str">
        <f>HYPERLINK("https://twitter.com/realprincetotty","@realprincetotty")</f>
        <v>@realprincetotty</v>
      </c>
      <c r="C5467" t="s">
        <v>4205</v>
      </c>
      <c r="D5467">
        <v>0</v>
      </c>
      <c r="E5467">
        <v>0</v>
      </c>
      <c r="F5467">
        <v>731</v>
      </c>
    </row>
    <row r="5468" spans="1:6" ht="12.75">
      <c r="A5468" s="2">
        <v>43882.949212962965</v>
      </c>
      <c r="B5468" t="str">
        <f>HYPERLINK("https://twitter.com/spiderr__matrix","@spiderr__matrix")</f>
        <v>@spiderr__matrix</v>
      </c>
      <c r="C5468" t="s">
        <v>4206</v>
      </c>
      <c r="D5468">
        <v>0</v>
      </c>
      <c r="E5468">
        <v>1</v>
      </c>
      <c r="F5468">
        <v>4860</v>
      </c>
    </row>
    <row r="5469" spans="1:6" ht="12.75">
      <c r="A5469" s="2">
        <v>43882.948576388888</v>
      </c>
      <c r="B5469" t="str">
        <f>HYPERLINK("https://twitter.com/sifulan_jr","@sifulan_jr")</f>
        <v>@sifulan_jr</v>
      </c>
      <c r="C5469" t="s">
        <v>3532</v>
      </c>
      <c r="D5469">
        <v>37</v>
      </c>
      <c r="E5469">
        <v>0</v>
      </c>
      <c r="F5469">
        <v>298</v>
      </c>
    </row>
    <row r="5470" spans="1:6" ht="12.75">
      <c r="A5470" s="2">
        <v>43882.947499999995</v>
      </c>
      <c r="B5470" t="str">
        <f>HYPERLINK("https://twitter.com/amrirahmaad","@amrirahmaad")</f>
        <v>@amrirahmaad</v>
      </c>
      <c r="C5470" t="s">
        <v>4207</v>
      </c>
      <c r="D5470">
        <v>0</v>
      </c>
      <c r="E5470">
        <v>0</v>
      </c>
      <c r="F5470">
        <v>429</v>
      </c>
    </row>
    <row r="5471" spans="1:6" ht="12.75">
      <c r="A5471" s="2">
        <v>43882.94740740741</v>
      </c>
      <c r="B5471" t="str">
        <f>HYPERLINK("https://twitter.com/MalvaSelena","@MalvaSelena")</f>
        <v>@MalvaSelena</v>
      </c>
      <c r="C5471" t="s">
        <v>3948</v>
      </c>
      <c r="D5471">
        <v>8</v>
      </c>
      <c r="E5471">
        <v>0</v>
      </c>
      <c r="F5471">
        <v>4654</v>
      </c>
    </row>
    <row r="5472" spans="1:6" ht="12.75">
      <c r="A5472" s="2">
        <v>43882.946921296301</v>
      </c>
      <c r="B5472" t="str">
        <f>HYPERLINK("https://twitter.com/Monbebe_Ami","@Monbebe_Ami")</f>
        <v>@Monbebe_Ami</v>
      </c>
      <c r="C5472" t="s">
        <v>4208</v>
      </c>
      <c r="D5472">
        <v>0</v>
      </c>
      <c r="E5472">
        <v>0</v>
      </c>
      <c r="F5472">
        <v>633</v>
      </c>
    </row>
    <row r="5473" spans="1:6" ht="12.75">
      <c r="A5473" s="2">
        <v>43882.946331018524</v>
      </c>
      <c r="B5473" t="str">
        <f>HYPERLINK("https://twitter.com/Gladislagiwoy","@Gladislagiwoy")</f>
        <v>@Gladislagiwoy</v>
      </c>
      <c r="C5473" t="s">
        <v>3948</v>
      </c>
      <c r="D5473">
        <v>8</v>
      </c>
      <c r="E5473">
        <v>0</v>
      </c>
      <c r="F5473">
        <v>1643</v>
      </c>
    </row>
    <row r="5474" spans="1:6" ht="12.75">
      <c r="A5474" s="2">
        <v>43882.945937500001</v>
      </c>
      <c r="B5474" t="str">
        <f>HYPERLINK("https://twitter.com/MSyakir_R","@MSyakir_R")</f>
        <v>@MSyakir_R</v>
      </c>
      <c r="C5474" t="s">
        <v>4209</v>
      </c>
      <c r="D5474">
        <v>0</v>
      </c>
      <c r="E5474">
        <v>0</v>
      </c>
      <c r="F5474">
        <v>246</v>
      </c>
    </row>
    <row r="5475" spans="1:6" ht="12.75">
      <c r="A5475" s="2">
        <v>43882.940486111111</v>
      </c>
      <c r="B5475" t="str">
        <f>HYPERLINK("https://twitter.com/TMukherjee6","@TMukherjee6")</f>
        <v>@TMukherjee6</v>
      </c>
      <c r="C5475" t="s">
        <v>4210</v>
      </c>
      <c r="D5475">
        <v>0</v>
      </c>
      <c r="E5475">
        <v>0</v>
      </c>
      <c r="F5475">
        <v>6</v>
      </c>
    </row>
    <row r="5476" spans="1:6" ht="12.75">
      <c r="A5476" s="2">
        <v>43882.939872685187</v>
      </c>
      <c r="B5476" t="str">
        <f>HYPERLINK("https://twitter.com/arjuno_ireng01","@arjuno_ireng01")</f>
        <v>@arjuno_ireng01</v>
      </c>
      <c r="C5476" t="s">
        <v>3948</v>
      </c>
      <c r="D5476">
        <v>8</v>
      </c>
      <c r="E5476">
        <v>0</v>
      </c>
      <c r="F5476">
        <v>10401</v>
      </c>
    </row>
    <row r="5477" spans="1:6" ht="12.75">
      <c r="A5477" s="2">
        <v>43882.939826388887</v>
      </c>
      <c r="B5477" t="str">
        <f>HYPERLINK("https://twitter.com/veraagustian_","@veraagustian_")</f>
        <v>@veraagustian_</v>
      </c>
      <c r="C5477" t="s">
        <v>3995</v>
      </c>
      <c r="D5477">
        <v>8</v>
      </c>
      <c r="E5477">
        <v>0</v>
      </c>
      <c r="F5477">
        <v>2984</v>
      </c>
    </row>
    <row r="5478" spans="1:6" ht="12.75">
      <c r="A5478" s="2">
        <v>43882.938969907409</v>
      </c>
      <c r="B5478" t="str">
        <f>HYPERLINK("https://twitter.com/wisanggeni_084","@wisanggeni_084")</f>
        <v>@wisanggeni_084</v>
      </c>
      <c r="C5478" t="s">
        <v>4211</v>
      </c>
      <c r="D5478">
        <v>1</v>
      </c>
      <c r="E5478">
        <v>0</v>
      </c>
      <c r="F5478">
        <v>16379</v>
      </c>
    </row>
    <row r="5479" spans="1:6" ht="12.75">
      <c r="A5479" s="2">
        <v>43882.938784722224</v>
      </c>
      <c r="B5479" t="str">
        <f>HYPERLINK("https://twitter.com/CANDAdanBISNIS","@CANDAdanBISNIS")</f>
        <v>@CANDAdanBISNIS</v>
      </c>
      <c r="C5479" t="s">
        <v>4212</v>
      </c>
      <c r="D5479">
        <v>1</v>
      </c>
      <c r="E5479">
        <v>4</v>
      </c>
      <c r="F5479">
        <v>12291</v>
      </c>
    </row>
    <row r="5480" spans="1:6" ht="12.75">
      <c r="A5480" s="2">
        <v>43882.938599537039</v>
      </c>
      <c r="B5480" t="str">
        <f>HYPERLINK("https://twitter.com/delaMayore","@delaMayore")</f>
        <v>@delaMayore</v>
      </c>
      <c r="C5480" t="s">
        <v>4213</v>
      </c>
      <c r="D5480">
        <v>0</v>
      </c>
      <c r="E5480">
        <v>0</v>
      </c>
      <c r="F5480">
        <v>184</v>
      </c>
    </row>
    <row r="5481" spans="1:6" ht="12.75">
      <c r="A5481" s="2">
        <v>43882.938333333332</v>
      </c>
      <c r="B5481" t="str">
        <f>HYPERLINK("https://twitter.com/KATADATAcoid","@KATADATAcoid")</f>
        <v>@KATADATAcoid</v>
      </c>
      <c r="C5481" t="s">
        <v>4214</v>
      </c>
      <c r="D5481">
        <v>1</v>
      </c>
      <c r="E5481">
        <v>0</v>
      </c>
      <c r="F5481">
        <v>41223</v>
      </c>
    </row>
    <row r="5482" spans="1:6" ht="12.75">
      <c r="A5482" s="2">
        <v>43882.937962962962</v>
      </c>
      <c r="B5482" t="str">
        <f>HYPERLINK("https://twitter.com/AhmadNa58998784","@AhmadNa58998784")</f>
        <v>@AhmadNa58998784</v>
      </c>
      <c r="C5482" t="s">
        <v>4215</v>
      </c>
      <c r="D5482">
        <v>0</v>
      </c>
      <c r="E5482">
        <v>1</v>
      </c>
      <c r="F5482">
        <v>8</v>
      </c>
    </row>
    <row r="5483" spans="1:6" ht="12.75">
      <c r="A5483" s="2">
        <v>43882.937592592592</v>
      </c>
      <c r="B5483" t="str">
        <f>HYPERLINK("https://twitter.com/prapti_sulistia","@prapti_sulistia")</f>
        <v>@prapti_sulistia</v>
      </c>
      <c r="C5483" t="s">
        <v>4216</v>
      </c>
      <c r="D5483">
        <v>1</v>
      </c>
      <c r="E5483">
        <v>0</v>
      </c>
      <c r="F5483">
        <v>362</v>
      </c>
    </row>
    <row r="5484" spans="1:6" ht="12.75">
      <c r="A5484" s="2">
        <v>43882.937592592592</v>
      </c>
      <c r="B5484" t="str">
        <f>HYPERLINK("https://twitter.com/delaMayore","@delaMayore")</f>
        <v>@delaMayore</v>
      </c>
      <c r="C5484" t="s">
        <v>4217</v>
      </c>
      <c r="D5484">
        <v>0</v>
      </c>
      <c r="E5484">
        <v>1</v>
      </c>
      <c r="F5484">
        <v>184</v>
      </c>
    </row>
    <row r="5485" spans="1:6" ht="12.75">
      <c r="A5485" s="2">
        <v>43882.937534722223</v>
      </c>
      <c r="B5485" t="str">
        <f>HYPERLINK("https://twitter.com/dumplingkisses","@dumplingkisses")</f>
        <v>@dumplingkisses</v>
      </c>
      <c r="C5485" t="s">
        <v>4218</v>
      </c>
      <c r="D5485">
        <v>0</v>
      </c>
      <c r="E5485">
        <v>0</v>
      </c>
      <c r="F5485">
        <v>149</v>
      </c>
    </row>
    <row r="5486" spans="1:6" ht="12.75">
      <c r="A5486" s="2">
        <v>43882.936562499999</v>
      </c>
      <c r="B5486" t="str">
        <f>HYPERLINK("https://twitter.com/delaMayore","@delaMayore")</f>
        <v>@delaMayore</v>
      </c>
      <c r="C5486" t="s">
        <v>4219</v>
      </c>
      <c r="D5486">
        <v>0</v>
      </c>
      <c r="E5486">
        <v>0</v>
      </c>
      <c r="F5486">
        <v>184</v>
      </c>
    </row>
    <row r="5487" spans="1:6" ht="12.75">
      <c r="A5487" s="2">
        <v>43882.936539351853</v>
      </c>
      <c r="B5487" t="str">
        <f>HYPERLINK("https://twitter.com/Airlangga_yuda","@Airlangga_yuda")</f>
        <v>@Airlangga_yuda</v>
      </c>
      <c r="C5487" t="s">
        <v>3948</v>
      </c>
      <c r="D5487">
        <v>8</v>
      </c>
      <c r="E5487">
        <v>0</v>
      </c>
      <c r="F5487">
        <v>948</v>
      </c>
    </row>
    <row r="5488" spans="1:6" ht="12.75">
      <c r="A5488" s="2">
        <v>43882.936273148152</v>
      </c>
      <c r="B5488" t="str">
        <f>HYPERLINK("https://twitter.com/AdjiBrahmantyo","@AdjiBrahmantyo")</f>
        <v>@AdjiBrahmantyo</v>
      </c>
      <c r="C5488" t="s">
        <v>4220</v>
      </c>
      <c r="D5488">
        <v>0</v>
      </c>
      <c r="E5488">
        <v>0</v>
      </c>
      <c r="F5488">
        <v>16</v>
      </c>
    </row>
    <row r="5489" spans="1:6" ht="12.75">
      <c r="A5489" s="2">
        <v>43882.935810185183</v>
      </c>
      <c r="B5489" t="str">
        <f>HYPERLINK("https://twitter.com/beatrice_health","@beatrice_health")</f>
        <v>@beatrice_health</v>
      </c>
      <c r="C5489" t="s">
        <v>2147</v>
      </c>
      <c r="D5489">
        <v>585</v>
      </c>
      <c r="E5489">
        <v>0</v>
      </c>
      <c r="F5489">
        <v>260</v>
      </c>
    </row>
    <row r="5490" spans="1:6" ht="12.75">
      <c r="A5490" s="2">
        <v>43882.935277777782</v>
      </c>
      <c r="B5490" t="str">
        <f>HYPERLINK("https://twitter.com/ruben_yuanito","@ruben_yuanito")</f>
        <v>@ruben_yuanito</v>
      </c>
      <c r="C5490" t="s">
        <v>3532</v>
      </c>
      <c r="D5490">
        <v>37</v>
      </c>
      <c r="E5490">
        <v>0</v>
      </c>
      <c r="F5490">
        <v>2403</v>
      </c>
    </row>
    <row r="5491" spans="1:6" ht="12.75">
      <c r="A5491" s="2">
        <v>43882.935277777782</v>
      </c>
      <c r="B5491" t="str">
        <f>HYPERLINK("https://twitter.com/anita81692023","@anita81692023")</f>
        <v>@anita81692023</v>
      </c>
      <c r="C5491" t="s">
        <v>4221</v>
      </c>
      <c r="D5491">
        <v>1</v>
      </c>
      <c r="E5491">
        <v>3</v>
      </c>
      <c r="F5491">
        <v>138</v>
      </c>
    </row>
    <row r="5492" spans="1:6" ht="12.75">
      <c r="A5492" s="2">
        <v>43882.935023148151</v>
      </c>
      <c r="B5492" t="str">
        <f>HYPERLINK("https://twitter.com/1_devout","@1_devout")</f>
        <v>@1_devout</v>
      </c>
      <c r="C5492" t="s">
        <v>3480</v>
      </c>
      <c r="D5492">
        <v>3</v>
      </c>
      <c r="E5492">
        <v>0</v>
      </c>
      <c r="F5492">
        <v>31</v>
      </c>
    </row>
    <row r="5493" spans="1:6" ht="12.75">
      <c r="A5493" s="2">
        <v>43882.934537037036</v>
      </c>
      <c r="B5493" t="str">
        <f>HYPERLINK("https://twitter.com/Amjmj9","@Amjmj9")</f>
        <v>@Amjmj9</v>
      </c>
      <c r="C5493" t="s">
        <v>4222</v>
      </c>
      <c r="D5493">
        <v>1</v>
      </c>
      <c r="E5493">
        <v>0</v>
      </c>
      <c r="F5493">
        <v>42</v>
      </c>
    </row>
    <row r="5494" spans="1:6" ht="12.75">
      <c r="A5494" s="2">
        <v>43882.93450231482</v>
      </c>
      <c r="B5494" t="str">
        <f>HYPERLINK("https://twitter.com/pelindungbesi","@pelindungbesi")</f>
        <v>@pelindungbesi</v>
      </c>
      <c r="C5494" t="s">
        <v>2711</v>
      </c>
      <c r="D5494">
        <v>136</v>
      </c>
      <c r="E5494">
        <v>0</v>
      </c>
      <c r="F5494">
        <v>92</v>
      </c>
    </row>
    <row r="5495" spans="1:6" ht="12.75">
      <c r="A5495" s="2">
        <v>43882.93445601852</v>
      </c>
      <c r="B5495" t="str">
        <f>HYPERLINK("https://twitter.com/HendraLaurensi_","@HendraLaurensi_")</f>
        <v>@HendraLaurensi_</v>
      </c>
      <c r="C5495" t="s">
        <v>3948</v>
      </c>
      <c r="D5495">
        <v>8</v>
      </c>
      <c r="E5495">
        <v>0</v>
      </c>
      <c r="F5495">
        <v>2406</v>
      </c>
    </row>
    <row r="5496" spans="1:6" ht="12.75">
      <c r="A5496" s="2">
        <v>43882.934444444443</v>
      </c>
      <c r="B5496" t="str">
        <f>HYPERLINK("https://twitter.com/BoysFrente","@BoysFrente")</f>
        <v>@BoysFrente</v>
      </c>
      <c r="C5496" t="s">
        <v>3508</v>
      </c>
      <c r="D5496">
        <v>71</v>
      </c>
      <c r="E5496">
        <v>0</v>
      </c>
      <c r="F5496">
        <v>27</v>
      </c>
    </row>
    <row r="5497" spans="1:6" ht="12.75">
      <c r="A5497" s="2">
        <v>43882.933344907404</v>
      </c>
      <c r="B5497" t="str">
        <f>HYPERLINK("https://twitter.com/Real_kudo","@Real_kudo")</f>
        <v>@Real_kudo</v>
      </c>
      <c r="C5497" t="s">
        <v>3948</v>
      </c>
      <c r="D5497">
        <v>8</v>
      </c>
      <c r="E5497">
        <v>0</v>
      </c>
      <c r="F5497">
        <v>4623</v>
      </c>
    </row>
    <row r="5498" spans="1:6" ht="12.75">
      <c r="A5498" s="2">
        <v>43882.933182870373</v>
      </c>
      <c r="B5498" t="str">
        <f>HYPERLINK("https://twitter.com/KelianBanjar_GK","@KelianBanjar_GK")</f>
        <v>@KelianBanjar_GK</v>
      </c>
      <c r="C5498" t="s">
        <v>3948</v>
      </c>
      <c r="D5498">
        <v>8</v>
      </c>
      <c r="E5498">
        <v>0</v>
      </c>
      <c r="F5498">
        <v>8674</v>
      </c>
    </row>
    <row r="5499" spans="1:6" ht="12.75">
      <c r="A5499" s="2">
        <v>43882.933148148149</v>
      </c>
      <c r="B5499" t="str">
        <f>HYPERLINK("https://twitter.com/chocolatouss","@chocolatouss")</f>
        <v>@chocolatouss</v>
      </c>
      <c r="C5499" t="s">
        <v>2373</v>
      </c>
      <c r="D5499">
        <v>285</v>
      </c>
      <c r="E5499">
        <v>0</v>
      </c>
      <c r="F5499">
        <v>515</v>
      </c>
    </row>
    <row r="5500" spans="1:6" ht="12.75">
      <c r="A5500" s="2">
        <v>43882.932974537034</v>
      </c>
      <c r="B5500" t="str">
        <f>HYPERLINK("https://twitter.com/retno_setyowat","@retno_setyowat")</f>
        <v>@retno_setyowat</v>
      </c>
      <c r="C5500" t="s">
        <v>3948</v>
      </c>
      <c r="D5500">
        <v>8</v>
      </c>
      <c r="E5500">
        <v>0</v>
      </c>
      <c r="F5500">
        <v>5631</v>
      </c>
    </row>
    <row r="5501" spans="1:6" ht="12.75">
      <c r="A5501" s="2">
        <v>43882.932824074072</v>
      </c>
      <c r="B5501" t="str">
        <f>HYPERLINK("https://twitter.com/PriskyPribadi74","@PriskyPribadi74")</f>
        <v>@PriskyPribadi74</v>
      </c>
      <c r="C5501" t="s">
        <v>4223</v>
      </c>
      <c r="D5501">
        <v>1</v>
      </c>
      <c r="E5501">
        <v>0</v>
      </c>
      <c r="F5501">
        <v>18</v>
      </c>
    </row>
    <row r="5502" spans="1:6" ht="12.75">
      <c r="A5502" s="2">
        <v>43882.932569444441</v>
      </c>
      <c r="B5502" t="str">
        <f>HYPERLINK("https://twitter.com/abifchreza","@abifchreza")</f>
        <v>@abifchreza</v>
      </c>
      <c r="C5502" t="s">
        <v>513</v>
      </c>
      <c r="D5502">
        <v>23251</v>
      </c>
      <c r="E5502">
        <v>0</v>
      </c>
      <c r="F5502">
        <v>49</v>
      </c>
    </row>
    <row r="5503" spans="1:6" ht="12.75">
      <c r="A5503" s="2">
        <v>43882.932233796295</v>
      </c>
      <c r="B5503" t="str">
        <f>HYPERLINK("https://twitter.com/adhet11a","@adhet11a")</f>
        <v>@adhet11a</v>
      </c>
      <c r="C5503" t="s">
        <v>4224</v>
      </c>
      <c r="D5503">
        <v>2</v>
      </c>
      <c r="E5503">
        <v>0</v>
      </c>
      <c r="F5503">
        <v>228</v>
      </c>
    </row>
    <row r="5504" spans="1:6" ht="12.75">
      <c r="A5504" s="2">
        <v>43882.93167824074</v>
      </c>
      <c r="B5504" t="str">
        <f>HYPERLINK("https://twitter.com/shaveria8","@shaveria8")</f>
        <v>@shaveria8</v>
      </c>
      <c r="C5504" t="s">
        <v>4225</v>
      </c>
      <c r="D5504">
        <v>0</v>
      </c>
      <c r="E5504">
        <v>0</v>
      </c>
      <c r="F5504">
        <v>17</v>
      </c>
    </row>
    <row r="5505" spans="1:6" ht="12.75">
      <c r="A5505" s="2">
        <v>43882.931284722217</v>
      </c>
      <c r="B5505" t="str">
        <f>HYPERLINK("https://twitter.com/idpenamini","@idpenamini")</f>
        <v>@idpenamini</v>
      </c>
      <c r="C5505" t="s">
        <v>4226</v>
      </c>
      <c r="D5505">
        <v>0</v>
      </c>
      <c r="E5505">
        <v>0</v>
      </c>
      <c r="F5505">
        <v>172</v>
      </c>
    </row>
    <row r="5506" spans="1:6" ht="12.75">
      <c r="A5506" s="2">
        <v>43882.931122685186</v>
      </c>
      <c r="B5506" t="str">
        <f>HYPERLINK("https://twitter.com/Official_bery","@Official_bery")</f>
        <v>@Official_bery</v>
      </c>
      <c r="C5506" t="s">
        <v>4227</v>
      </c>
      <c r="D5506">
        <v>6</v>
      </c>
      <c r="E5506">
        <v>0</v>
      </c>
      <c r="F5506">
        <v>206</v>
      </c>
    </row>
    <row r="5507" spans="1:6" ht="12.75">
      <c r="A5507" s="2">
        <v>43882.930405092593</v>
      </c>
      <c r="B5507" t="str">
        <f>HYPERLINK("https://twitter.com/smile_guys","@smile_guys")</f>
        <v>@smile_guys</v>
      </c>
      <c r="C5507" t="s">
        <v>3873</v>
      </c>
      <c r="D5507">
        <v>5</v>
      </c>
      <c r="E5507">
        <v>0</v>
      </c>
      <c r="F5507">
        <v>123</v>
      </c>
    </row>
    <row r="5508" spans="1:6" ht="12.75">
      <c r="A5508" s="2">
        <v>43882.929282407407</v>
      </c>
      <c r="B5508" t="str">
        <f>HYPERLINK("https://twitter.com/watashiwayuki_","@watashiwayuki_")</f>
        <v>@watashiwayuki_</v>
      </c>
      <c r="C5508" t="s">
        <v>2711</v>
      </c>
      <c r="D5508">
        <v>136</v>
      </c>
      <c r="E5508">
        <v>0</v>
      </c>
      <c r="F5508">
        <v>564</v>
      </c>
    </row>
    <row r="5509" spans="1:6" ht="12.75">
      <c r="A5509" s="2">
        <v>43882.928773148145</v>
      </c>
      <c r="B5509" t="str">
        <f>HYPERLINK("https://twitter.com/jenggo008","@jenggo008")</f>
        <v>@jenggo008</v>
      </c>
      <c r="C5509" t="s">
        <v>2962</v>
      </c>
      <c r="D5509">
        <v>19</v>
      </c>
      <c r="E5509">
        <v>0</v>
      </c>
      <c r="F5509">
        <v>524</v>
      </c>
    </row>
    <row r="5510" spans="1:6" ht="12.75">
      <c r="A5510" s="2">
        <v>43882.928611111114</v>
      </c>
      <c r="B5510" t="str">
        <f>HYPERLINK("https://twitter.com/alva_roe_lee_","@alva_roe_lee_")</f>
        <v>@alva_roe_lee_</v>
      </c>
      <c r="C5510" t="s">
        <v>4228</v>
      </c>
      <c r="D5510">
        <v>8</v>
      </c>
      <c r="E5510">
        <v>13</v>
      </c>
      <c r="F5510">
        <v>3365</v>
      </c>
    </row>
    <row r="5511" spans="1:6" ht="12.75">
      <c r="A5511" s="2">
        <v>43882.926412037035</v>
      </c>
      <c r="B5511" t="str">
        <f>HYPERLINK("https://twitter.com/MuadzHalim","@MuadzHalim")</f>
        <v>@MuadzHalim</v>
      </c>
      <c r="C5511" t="s">
        <v>2711</v>
      </c>
      <c r="D5511">
        <v>136</v>
      </c>
      <c r="E5511">
        <v>0</v>
      </c>
      <c r="F5511">
        <v>224</v>
      </c>
    </row>
    <row r="5512" spans="1:6" ht="12.75">
      <c r="A5512" s="2">
        <v>43882.92633101852</v>
      </c>
      <c r="B5512" t="str">
        <f>HYPERLINK("https://twitter.com/ichasoe","@ichasoe")</f>
        <v>@ichasoe</v>
      </c>
      <c r="C5512" t="s">
        <v>3873</v>
      </c>
      <c r="D5512">
        <v>5</v>
      </c>
      <c r="E5512">
        <v>0</v>
      </c>
      <c r="F5512">
        <v>98</v>
      </c>
    </row>
    <row r="5513" spans="1:6" ht="12.75">
      <c r="A5513" s="2">
        <v>43882.926076388889</v>
      </c>
      <c r="B5513" t="str">
        <f>HYPERLINK("https://twitter.com/galamedianews","@galamedianews")</f>
        <v>@galamedianews</v>
      </c>
      <c r="C5513" t="s">
        <v>4229</v>
      </c>
      <c r="D5513">
        <v>0</v>
      </c>
      <c r="E5513">
        <v>0</v>
      </c>
      <c r="F5513">
        <v>13755</v>
      </c>
    </row>
    <row r="5514" spans="1:6" ht="12.75">
      <c r="A5514" s="2">
        <v>43882.926064814819</v>
      </c>
      <c r="B5514" t="str">
        <f>HYPERLINK("https://twitter.com/lucha_shandy","@lucha_shandy")</f>
        <v>@lucha_shandy</v>
      </c>
      <c r="C5514" t="s">
        <v>4230</v>
      </c>
      <c r="D5514">
        <v>0</v>
      </c>
      <c r="E5514">
        <v>1</v>
      </c>
      <c r="F5514">
        <v>85</v>
      </c>
    </row>
    <row r="5515" spans="1:6" ht="12.75">
      <c r="A5515" s="2">
        <v>43882.925717592589</v>
      </c>
      <c r="B5515" t="str">
        <f>HYPERLINK("https://twitter.com/Firmanbudianap2","@Firmanbudianap2")</f>
        <v>@Firmanbudianap2</v>
      </c>
      <c r="C5515" t="s">
        <v>3873</v>
      </c>
      <c r="D5515">
        <v>5</v>
      </c>
      <c r="E5515">
        <v>0</v>
      </c>
      <c r="F5515">
        <v>156</v>
      </c>
    </row>
    <row r="5516" spans="1:6" ht="12.75">
      <c r="A5516" s="2">
        <v>43882.923587962963</v>
      </c>
      <c r="B5516" t="str">
        <f>HYPERLINK("https://twitter.com/PribumiMalaka","@PribumiMalaka")</f>
        <v>@PribumiMalaka</v>
      </c>
      <c r="C5516" t="s">
        <v>3873</v>
      </c>
      <c r="D5516">
        <v>5</v>
      </c>
      <c r="E5516">
        <v>0</v>
      </c>
      <c r="F5516">
        <v>112</v>
      </c>
    </row>
    <row r="5517" spans="1:6" ht="12.75">
      <c r="A5517" s="2">
        <v>43882.923136574071</v>
      </c>
      <c r="B5517" t="str">
        <f>HYPERLINK("https://twitter.com/hfiiiz_","@hfiiiz_")</f>
        <v>@hfiiiz_</v>
      </c>
      <c r="C5517" t="s">
        <v>3883</v>
      </c>
      <c r="D5517">
        <v>4</v>
      </c>
      <c r="E5517">
        <v>0</v>
      </c>
      <c r="F5517">
        <v>439</v>
      </c>
    </row>
    <row r="5518" spans="1:6" ht="12.75">
      <c r="A5518" s="2">
        <v>43882.922858796301</v>
      </c>
      <c r="B5518" t="str">
        <f>HYPERLINK("https://twitter.com/nananuguseyo","@nananuguseyo")</f>
        <v>@nananuguseyo</v>
      </c>
      <c r="C5518" t="s">
        <v>4231</v>
      </c>
      <c r="D5518">
        <v>0</v>
      </c>
      <c r="E5518">
        <v>0</v>
      </c>
      <c r="F5518">
        <v>191</v>
      </c>
    </row>
    <row r="5519" spans="1:6" ht="12.75">
      <c r="A5519" s="2">
        <v>43882.922094907408</v>
      </c>
      <c r="B5519" t="str">
        <f>HYPERLINK("https://twitter.com/OscarAndry20","@OscarAndry20")</f>
        <v>@OscarAndry20</v>
      </c>
      <c r="C5519" t="s">
        <v>177</v>
      </c>
      <c r="D5519">
        <v>797</v>
      </c>
      <c r="E5519">
        <v>0</v>
      </c>
      <c r="F5519">
        <v>162</v>
      </c>
    </row>
    <row r="5520" spans="1:6" ht="12.75">
      <c r="A5520" s="2">
        <v>43882.921759259261</v>
      </c>
      <c r="B5520" t="str">
        <f>HYPERLINK("https://twitter.com/SydSalesman","@SydSalesman")</f>
        <v>@SydSalesman</v>
      </c>
      <c r="C5520" t="s">
        <v>3480</v>
      </c>
      <c r="D5520">
        <v>3</v>
      </c>
      <c r="E5520">
        <v>0</v>
      </c>
      <c r="F5520">
        <v>6239</v>
      </c>
    </row>
    <row r="5521" spans="1:6" ht="12.75">
      <c r="A5521" s="2">
        <v>43882.92082175926</v>
      </c>
      <c r="B5521" t="str">
        <f>HYPERLINK("https://twitter.com/wfianwr_","@wfianwr_")</f>
        <v>@wfianwr_</v>
      </c>
      <c r="C5521" t="s">
        <v>2711</v>
      </c>
      <c r="D5521">
        <v>136</v>
      </c>
      <c r="E5521">
        <v>0</v>
      </c>
      <c r="F5521">
        <v>262</v>
      </c>
    </row>
    <row r="5522" spans="1:6" ht="12.75">
      <c r="A5522" s="2">
        <v>43882.920798611114</v>
      </c>
      <c r="B5522" t="str">
        <f>HYPERLINK("https://twitter.com/UrubingDilah","@UrubingDilah")</f>
        <v>@UrubingDilah</v>
      </c>
      <c r="C5522" t="s">
        <v>4232</v>
      </c>
      <c r="D5522">
        <v>33</v>
      </c>
      <c r="E5522">
        <v>0</v>
      </c>
      <c r="F5522">
        <v>1355</v>
      </c>
    </row>
    <row r="5523" spans="1:6" ht="12.75">
      <c r="A5523" s="2">
        <v>43882.920138888891</v>
      </c>
      <c r="B5523" t="str">
        <f>HYPERLINK("https://twitter.com/kompascom","@kompascom")</f>
        <v>@kompascom</v>
      </c>
      <c r="C5523" t="s">
        <v>4233</v>
      </c>
      <c r="D5523">
        <v>5</v>
      </c>
      <c r="E5523">
        <v>18</v>
      </c>
      <c r="F5523">
        <v>7506761</v>
      </c>
    </row>
    <row r="5524" spans="1:6" ht="12.75">
      <c r="A5524" s="2">
        <v>43882.920104166667</v>
      </c>
      <c r="B5524" t="str">
        <f>HYPERLINK("https://twitter.com/mdsani","@mdsani")</f>
        <v>@mdsani</v>
      </c>
      <c r="C5524" t="s">
        <v>4234</v>
      </c>
      <c r="D5524">
        <v>1</v>
      </c>
      <c r="E5524">
        <v>0</v>
      </c>
      <c r="F5524">
        <v>230</v>
      </c>
    </row>
    <row r="5525" spans="1:6" ht="12.75">
      <c r="A5525" s="2">
        <v>43882.919918981483</v>
      </c>
      <c r="B5525" t="str">
        <f>HYPERLINK("https://twitter.com/JKDaulay","@JKDaulay")</f>
        <v>@JKDaulay</v>
      </c>
      <c r="C5525" t="s">
        <v>4235</v>
      </c>
      <c r="D5525">
        <v>1</v>
      </c>
      <c r="E5525">
        <v>0</v>
      </c>
      <c r="F5525">
        <v>2737</v>
      </c>
    </row>
    <row r="5526" spans="1:6" ht="12.75">
      <c r="A5526" s="2">
        <v>43882.919363425928</v>
      </c>
      <c r="B5526" t="str">
        <f>HYPERLINK("https://twitter.com/rbhirnawan","@rbhirnawan")</f>
        <v>@rbhirnawan</v>
      </c>
      <c r="C5526" t="s">
        <v>4236</v>
      </c>
      <c r="D5526">
        <v>1</v>
      </c>
      <c r="E5526">
        <v>2</v>
      </c>
      <c r="F5526">
        <v>109</v>
      </c>
    </row>
    <row r="5527" spans="1:6" ht="12.75">
      <c r="A5527" s="2">
        <v>43882.919189814813</v>
      </c>
      <c r="B5527" t="str">
        <f>HYPERLINK("https://twitter.com/3_devout","@3_devout")</f>
        <v>@3_devout</v>
      </c>
      <c r="C5527" t="s">
        <v>4237</v>
      </c>
      <c r="D5527">
        <v>3</v>
      </c>
      <c r="E5527">
        <v>0</v>
      </c>
      <c r="F5527">
        <v>1045</v>
      </c>
    </row>
    <row r="5528" spans="1:6" ht="12.75">
      <c r="A5528" s="2">
        <v>43882.918020833335</v>
      </c>
      <c r="B5528" t="str">
        <f>HYPERLINK("https://twitter.com/RismaStgg","@RismaStgg")</f>
        <v>@RismaStgg</v>
      </c>
      <c r="C5528" t="s">
        <v>4238</v>
      </c>
      <c r="D5528">
        <v>7</v>
      </c>
      <c r="E5528">
        <v>0</v>
      </c>
      <c r="F5528">
        <v>109</v>
      </c>
    </row>
    <row r="5529" spans="1:6" ht="12.75">
      <c r="A5529" s="2">
        <v>43882.917997685188</v>
      </c>
      <c r="B5529" t="str">
        <f>HYPERLINK("https://twitter.com/mann_cak","@mann_cak")</f>
        <v>@mann_cak</v>
      </c>
      <c r="C5529" t="s">
        <v>4239</v>
      </c>
      <c r="D5529">
        <v>0</v>
      </c>
      <c r="E5529">
        <v>0</v>
      </c>
      <c r="F5529">
        <v>18</v>
      </c>
    </row>
    <row r="5530" spans="1:6" ht="12.75">
      <c r="A5530" s="2">
        <v>43882.917939814812</v>
      </c>
      <c r="B5530" t="str">
        <f>HYPERLINK("https://twitter.com/evereeze","@evereeze")</f>
        <v>@evereeze</v>
      </c>
      <c r="C5530" t="s">
        <v>4240</v>
      </c>
      <c r="D5530">
        <v>6</v>
      </c>
      <c r="E5530">
        <v>0</v>
      </c>
      <c r="F5530">
        <v>290</v>
      </c>
    </row>
    <row r="5531" spans="1:6" ht="12.75">
      <c r="A5531" s="2">
        <v>43882.914143518516</v>
      </c>
      <c r="B5531" t="str">
        <f>HYPERLINK("https://twitter.com/TanSue10","@TanSue10")</f>
        <v>@TanSue10</v>
      </c>
      <c r="C5531" t="s">
        <v>4241</v>
      </c>
      <c r="D5531">
        <v>0</v>
      </c>
      <c r="E5531">
        <v>0</v>
      </c>
      <c r="F5531">
        <v>23</v>
      </c>
    </row>
    <row r="5532" spans="1:6" ht="12.75">
      <c r="A5532" s="2">
        <v>43882.913344907407</v>
      </c>
      <c r="B5532" t="str">
        <f>HYPERLINK("https://twitter.com/progjo","@progjo")</f>
        <v>@progjo</v>
      </c>
      <c r="C5532" t="s">
        <v>4228</v>
      </c>
      <c r="D5532">
        <v>0</v>
      </c>
      <c r="E5532">
        <v>0</v>
      </c>
      <c r="F5532">
        <v>4260</v>
      </c>
    </row>
    <row r="5533" spans="1:6" ht="12.75">
      <c r="A5533" s="2">
        <v>43882.912858796291</v>
      </c>
      <c r="B5533" t="str">
        <f>HYPERLINK("https://twitter.com/nandapradha_","@nandapradha_")</f>
        <v>@nandapradha_</v>
      </c>
      <c r="C5533" t="s">
        <v>4242</v>
      </c>
      <c r="D5533">
        <v>0</v>
      </c>
      <c r="E5533">
        <v>1</v>
      </c>
      <c r="F5533">
        <v>1934</v>
      </c>
    </row>
    <row r="5534" spans="1:6" ht="12.75">
      <c r="A5534" s="2">
        <v>43882.912511574075</v>
      </c>
      <c r="B5534" t="str">
        <f>HYPERLINK("https://twitter.com/RayAlpin","@RayAlpin")</f>
        <v>@RayAlpin</v>
      </c>
      <c r="C5534" t="s">
        <v>4069</v>
      </c>
      <c r="D5534">
        <v>1</v>
      </c>
      <c r="E5534">
        <v>0</v>
      </c>
      <c r="F5534">
        <v>402</v>
      </c>
    </row>
    <row r="5535" spans="1:6" ht="12.75">
      <c r="A5535" s="2">
        <v>43882.912210648152</v>
      </c>
      <c r="B5535" t="str">
        <f>HYPERLINK("https://twitter.com/AEPishere","@AEPishere")</f>
        <v>@AEPishere</v>
      </c>
      <c r="C5535" t="s">
        <v>4238</v>
      </c>
      <c r="D5535">
        <v>7</v>
      </c>
      <c r="E5535">
        <v>0</v>
      </c>
      <c r="F5535">
        <v>3013</v>
      </c>
    </row>
    <row r="5536" spans="1:6" ht="12.75">
      <c r="A5536" s="2">
        <v>43882.911863425921</v>
      </c>
      <c r="B5536" t="str">
        <f>HYPERLINK("https://twitter.com/Tatasurrya","@Tatasurrya")</f>
        <v>@Tatasurrya</v>
      </c>
      <c r="C5536" t="s">
        <v>4243</v>
      </c>
      <c r="D5536">
        <v>0</v>
      </c>
      <c r="E5536">
        <v>0</v>
      </c>
      <c r="F5536">
        <v>178</v>
      </c>
    </row>
    <row r="5537" spans="1:6" ht="12.75">
      <c r="A5537" s="2">
        <v>43882.911782407406</v>
      </c>
      <c r="B5537" t="str">
        <f>HYPERLINK("https://twitter.com/bellaablee","@bellaablee")</f>
        <v>@bellaablee</v>
      </c>
      <c r="C5537" t="s">
        <v>4238</v>
      </c>
      <c r="D5537">
        <v>7</v>
      </c>
      <c r="E5537">
        <v>0</v>
      </c>
      <c r="F5537">
        <v>197</v>
      </c>
    </row>
    <row r="5538" spans="1:6" ht="12.75">
      <c r="A5538" s="2">
        <v>43882.911747685182</v>
      </c>
      <c r="B5538" t="str">
        <f>HYPERLINK("https://twitter.com/fadjroeL","@fadjroeL")</f>
        <v>@fadjroeL</v>
      </c>
      <c r="C5538" t="s">
        <v>4244</v>
      </c>
      <c r="D5538">
        <v>1</v>
      </c>
      <c r="E5538">
        <v>0</v>
      </c>
      <c r="F5538">
        <v>995394</v>
      </c>
    </row>
    <row r="5539" spans="1:6" ht="12.75">
      <c r="A5539" s="2">
        <v>43882.911122685182</v>
      </c>
      <c r="B5539" t="str">
        <f>HYPERLINK("https://twitter.com/wayanandre95","@wayanandre95")</f>
        <v>@wayanandre95</v>
      </c>
      <c r="C5539" t="s">
        <v>4245</v>
      </c>
      <c r="D5539">
        <v>6</v>
      </c>
      <c r="E5539">
        <v>0</v>
      </c>
      <c r="F5539">
        <v>1</v>
      </c>
    </row>
    <row r="5540" spans="1:6" ht="12.75">
      <c r="A5540" s="2">
        <v>43882.910497685181</v>
      </c>
      <c r="B5540" t="str">
        <f>HYPERLINK("https://twitter.com/sindoe","@sindoe")</f>
        <v>@sindoe</v>
      </c>
      <c r="C5540" t="s">
        <v>4246</v>
      </c>
      <c r="D5540">
        <v>1</v>
      </c>
      <c r="E5540">
        <v>0</v>
      </c>
      <c r="F5540">
        <v>120</v>
      </c>
    </row>
    <row r="5541" spans="1:6" ht="12.75">
      <c r="A5541" s="2">
        <v>43882.910486111112</v>
      </c>
      <c r="B5541" t="str">
        <f>HYPERLINK("https://twitter.com/topinfo_id","@topinfo_id")</f>
        <v>@topinfo_id</v>
      </c>
      <c r="C5541" t="s">
        <v>4247</v>
      </c>
      <c r="D5541">
        <v>0</v>
      </c>
      <c r="E5541">
        <v>1</v>
      </c>
      <c r="F5541">
        <v>10</v>
      </c>
    </row>
    <row r="5542" spans="1:6" ht="12.75">
      <c r="A5542" s="2">
        <v>43882.910150462965</v>
      </c>
      <c r="B5542" t="str">
        <f>HYPERLINK("https://twitter.com/akusukakochengg","@akusukakochengg")</f>
        <v>@akusukakochengg</v>
      </c>
      <c r="C5542" t="s">
        <v>1407</v>
      </c>
      <c r="D5542">
        <v>9738</v>
      </c>
      <c r="E5542">
        <v>0</v>
      </c>
      <c r="F5542">
        <v>124</v>
      </c>
    </row>
    <row r="5543" spans="1:6" ht="12.75">
      <c r="A5543" s="2">
        <v>43882.909409722226</v>
      </c>
      <c r="B5543" t="str">
        <f>HYPERLINK("https://twitter.com/Dhan61152962","@Dhan61152962")</f>
        <v>@Dhan61152962</v>
      </c>
      <c r="C5543" t="s">
        <v>3853</v>
      </c>
      <c r="D5543">
        <v>3</v>
      </c>
      <c r="E5543">
        <v>0</v>
      </c>
      <c r="F5543">
        <v>346</v>
      </c>
    </row>
    <row r="5544" spans="1:6" ht="12.75">
      <c r="A5544" s="2">
        <v>43882.908657407403</v>
      </c>
      <c r="B5544" t="str">
        <f>HYPERLINK("https://twitter.com/jokoselong","@jokoselong")</f>
        <v>@jokoselong</v>
      </c>
      <c r="C5544" t="s">
        <v>4238</v>
      </c>
      <c r="D5544">
        <v>7</v>
      </c>
      <c r="E5544">
        <v>0</v>
      </c>
      <c r="F5544">
        <v>1773</v>
      </c>
    </row>
    <row r="5545" spans="1:6" ht="12.75">
      <c r="A5545" s="2">
        <v>43882.908310185187</v>
      </c>
      <c r="B5545" t="str">
        <f>HYPERLINK("https://twitter.com/Mr_Widodo_","@Mr_Widodo_")</f>
        <v>@Mr_Widodo_</v>
      </c>
      <c r="C5545" t="s">
        <v>4248</v>
      </c>
      <c r="D5545">
        <v>0</v>
      </c>
      <c r="E5545">
        <v>0</v>
      </c>
      <c r="F5545">
        <v>178</v>
      </c>
    </row>
    <row r="5546" spans="1:6" ht="12.75">
      <c r="A5546" s="2">
        <v>43882.90730324074</v>
      </c>
      <c r="B5546" t="str">
        <f>HYPERLINK("https://twitter.com/veraagustian_","@veraagustian_")</f>
        <v>@veraagustian_</v>
      </c>
      <c r="C5546" t="s">
        <v>3532</v>
      </c>
      <c r="D5546">
        <v>35</v>
      </c>
      <c r="E5546">
        <v>0</v>
      </c>
      <c r="F5546">
        <v>2983</v>
      </c>
    </row>
    <row r="5547" spans="1:6" ht="12.75">
      <c r="A5547" s="2">
        <v>43882.90730324074</v>
      </c>
      <c r="B5547" t="str">
        <f>HYPERLINK("https://twitter.com/NursandiGatot","@NursandiGatot")</f>
        <v>@NursandiGatot</v>
      </c>
      <c r="C5547" t="s">
        <v>4249</v>
      </c>
      <c r="D5547">
        <v>0</v>
      </c>
      <c r="E5547">
        <v>0</v>
      </c>
      <c r="F5547">
        <v>41</v>
      </c>
    </row>
    <row r="5548" spans="1:6" ht="12.75">
      <c r="A5548" s="2">
        <v>43882.90730324074</v>
      </c>
      <c r="B5548" t="str">
        <f>HYPERLINK("https://twitter.com/jojoisluv","@jojoisluv")</f>
        <v>@jojoisluv</v>
      </c>
      <c r="C5548" t="s">
        <v>4250</v>
      </c>
      <c r="D5548">
        <v>0</v>
      </c>
      <c r="E5548">
        <v>0</v>
      </c>
      <c r="F5548">
        <v>450</v>
      </c>
    </row>
    <row r="5549" spans="1:6" ht="12.75">
      <c r="A5549" s="2">
        <v>43882.906574074077</v>
      </c>
      <c r="B5549" t="str">
        <f>HYPERLINK("https://twitter.com/aripinkturtle","@aripinkturtle")</f>
        <v>@aripinkturtle</v>
      </c>
      <c r="C5549" t="s">
        <v>4238</v>
      </c>
      <c r="D5549">
        <v>7</v>
      </c>
      <c r="E5549">
        <v>0</v>
      </c>
      <c r="F5549">
        <v>138</v>
      </c>
    </row>
    <row r="5550" spans="1:6" ht="12.75">
      <c r="A5550" s="2">
        <v>43882.906331018516</v>
      </c>
      <c r="B5550" t="str">
        <f>HYPERLINK("https://twitter.com/GATRA_News","@GATRA_News")</f>
        <v>@GATRA_News</v>
      </c>
      <c r="C5550" t="s">
        <v>4251</v>
      </c>
      <c r="D5550">
        <v>0</v>
      </c>
      <c r="E5550">
        <v>0</v>
      </c>
      <c r="F5550">
        <v>23139</v>
      </c>
    </row>
    <row r="5551" spans="1:6" ht="12.75">
      <c r="A5551" s="2">
        <v>43882.906319444446</v>
      </c>
      <c r="B5551" t="str">
        <f>HYPERLINK("https://twitter.com/DetaqDenny","@DetaqDenny")</f>
        <v>@DetaqDenny</v>
      </c>
      <c r="C5551" t="s">
        <v>4252</v>
      </c>
      <c r="D5551">
        <v>28</v>
      </c>
      <c r="E5551">
        <v>0</v>
      </c>
      <c r="F5551">
        <v>591</v>
      </c>
    </row>
    <row r="5552" spans="1:6" ht="12.75">
      <c r="A5552" s="2">
        <v>43882.906296296293</v>
      </c>
      <c r="B5552" t="str">
        <f>HYPERLINK("https://twitter.com/forddyce92","@forddyce92")</f>
        <v>@forddyce92</v>
      </c>
      <c r="C5552" t="s">
        <v>4253</v>
      </c>
      <c r="D5552">
        <v>0</v>
      </c>
      <c r="E5552">
        <v>0</v>
      </c>
      <c r="F5552">
        <v>26</v>
      </c>
    </row>
    <row r="5553" spans="1:6" ht="12.75">
      <c r="A5553" s="2">
        <v>43882.905671296292</v>
      </c>
      <c r="B5553" t="str">
        <f>HYPERLINK("https://twitter.com/makkaumakaku","@makkaumakaku")</f>
        <v>@makkaumakaku</v>
      </c>
      <c r="C5553" t="s">
        <v>2711</v>
      </c>
      <c r="D5553">
        <v>130</v>
      </c>
      <c r="E5553">
        <v>0</v>
      </c>
      <c r="F5553">
        <v>19</v>
      </c>
    </row>
    <row r="5554" spans="1:6" ht="12.75">
      <c r="A5554" s="2">
        <v>43882.905347222222</v>
      </c>
      <c r="B5554" t="str">
        <f>HYPERLINK("https://twitter.com/ReiMichie99","@ReiMichie99")</f>
        <v>@ReiMichie99</v>
      </c>
      <c r="C5554" t="s">
        <v>4254</v>
      </c>
      <c r="D5554">
        <v>0</v>
      </c>
      <c r="E5554">
        <v>0</v>
      </c>
      <c r="F5554">
        <v>11</v>
      </c>
    </row>
    <row r="5555" spans="1:6" ht="12.75">
      <c r="A5555" s="2">
        <v>43882.904942129629</v>
      </c>
      <c r="B5555" t="str">
        <f>HYPERLINK("https://twitter.com/AdhwaIsraq","@AdhwaIsraq")</f>
        <v>@AdhwaIsraq</v>
      </c>
      <c r="C5555" t="s">
        <v>2711</v>
      </c>
      <c r="D5555">
        <v>130</v>
      </c>
      <c r="E5555">
        <v>0</v>
      </c>
      <c r="F5555">
        <v>454</v>
      </c>
    </row>
    <row r="5556" spans="1:6" ht="12.75">
      <c r="A5556" s="2">
        <v>43882.904837962968</v>
      </c>
      <c r="B5556" t="str">
        <f>HYPERLINK("https://twitter.com/HarianInhua","@HarianInhua")</f>
        <v>@HarianInhua</v>
      </c>
      <c r="C5556" t="s">
        <v>4255</v>
      </c>
      <c r="D5556">
        <v>0</v>
      </c>
      <c r="E5556">
        <v>0</v>
      </c>
      <c r="F5556">
        <v>87</v>
      </c>
    </row>
    <row r="5557" spans="1:6" ht="12.75">
      <c r="A5557" s="2">
        <v>43882.903715277775</v>
      </c>
      <c r="B5557" t="str">
        <f>HYPERLINK("https://twitter.com/HarisSekipi","@HarisSekipi")</f>
        <v>@HarisSekipi</v>
      </c>
      <c r="C5557" t="s">
        <v>2165</v>
      </c>
      <c r="D5557">
        <v>98</v>
      </c>
      <c r="E5557">
        <v>0</v>
      </c>
      <c r="F5557">
        <v>1873</v>
      </c>
    </row>
    <row r="5558" spans="1:6" ht="12.75">
      <c r="A5558" s="2">
        <v>43882.903391203705</v>
      </c>
      <c r="B5558" t="str">
        <f>HYPERLINK("https://twitter.com/GunawanTHENEXT","@GunawanTHENEXT")</f>
        <v>@GunawanTHENEXT</v>
      </c>
      <c r="C5558" t="s">
        <v>4238</v>
      </c>
      <c r="D5558">
        <v>7</v>
      </c>
      <c r="E5558">
        <v>0</v>
      </c>
      <c r="F5558">
        <v>1559</v>
      </c>
    </row>
    <row r="5559" spans="1:6" ht="12.75">
      <c r="A5559" s="2">
        <v>43882.902592592596</v>
      </c>
      <c r="B5559" t="str">
        <f>HYPERLINK("https://twitter.com/Herrreza","@Herrreza")</f>
        <v>@Herrreza</v>
      </c>
      <c r="C5559" t="s">
        <v>4238</v>
      </c>
      <c r="D5559">
        <v>7</v>
      </c>
      <c r="E5559">
        <v>0</v>
      </c>
      <c r="F5559">
        <v>29448</v>
      </c>
    </row>
    <row r="5560" spans="1:6" ht="12.75">
      <c r="A5560" s="2">
        <v>43882.90253472222</v>
      </c>
      <c r="B5560" t="str">
        <f>HYPERLINK("https://twitter.com/YEngran","@YEngran")</f>
        <v>@YEngran</v>
      </c>
      <c r="C5560" t="s">
        <v>4256</v>
      </c>
      <c r="D5560">
        <v>0</v>
      </c>
      <c r="E5560">
        <v>1</v>
      </c>
      <c r="F5560">
        <v>256</v>
      </c>
    </row>
    <row r="5561" spans="1:6" ht="12.75">
      <c r="A5561" s="2">
        <v>43882.902418981481</v>
      </c>
      <c r="B5561" t="str">
        <f>HYPERLINK("https://twitter.com/gadisresidu_b3","@gadisresidu_b3")</f>
        <v>@gadisresidu_b3</v>
      </c>
      <c r="C5561" t="s">
        <v>3853</v>
      </c>
      <c r="D5561">
        <v>3</v>
      </c>
      <c r="E5561">
        <v>0</v>
      </c>
      <c r="F5561">
        <v>2069</v>
      </c>
    </row>
    <row r="5562" spans="1:6" ht="12.75">
      <c r="A5562" s="2">
        <v>43882.90221064815</v>
      </c>
      <c r="B5562" t="str">
        <f>HYPERLINK("https://twitter.com/MawarSolitaire","@MawarSolitaire")</f>
        <v>@MawarSolitaire</v>
      </c>
      <c r="C5562" t="s">
        <v>4257</v>
      </c>
      <c r="D5562">
        <v>4</v>
      </c>
      <c r="E5562">
        <v>0</v>
      </c>
      <c r="F5562">
        <v>273</v>
      </c>
    </row>
    <row r="5563" spans="1:6" ht="12.75">
      <c r="A5563" s="2">
        <v>43882.902175925927</v>
      </c>
      <c r="B5563" t="str">
        <f>HYPERLINK("https://twitter.com/mediaindonesia","@mediaindonesia")</f>
        <v>@mediaindonesia</v>
      </c>
      <c r="C5563" t="s">
        <v>4258</v>
      </c>
      <c r="D5563">
        <v>7</v>
      </c>
      <c r="E5563">
        <v>5</v>
      </c>
      <c r="F5563">
        <v>1417757</v>
      </c>
    </row>
    <row r="5564" spans="1:6" ht="12.75">
      <c r="A5564" s="2">
        <v>43882.901087962964</v>
      </c>
      <c r="B5564" t="str">
        <f>HYPERLINK("https://twitter.com/efatagloria","@efatagloria")</f>
        <v>@efatagloria</v>
      </c>
      <c r="C5564" t="s">
        <v>4259</v>
      </c>
      <c r="D5564">
        <v>0</v>
      </c>
      <c r="E5564">
        <v>0</v>
      </c>
      <c r="F5564">
        <v>861</v>
      </c>
    </row>
    <row r="5565" spans="1:6" ht="12.75">
      <c r="A5565" s="2">
        <v>43882.900787037041</v>
      </c>
      <c r="B5565" t="str">
        <f>HYPERLINK("https://twitter.com/Pranawidjaja","@Pranawidjaja")</f>
        <v>@Pranawidjaja</v>
      </c>
      <c r="C5565" t="s">
        <v>4260</v>
      </c>
      <c r="D5565">
        <v>0</v>
      </c>
      <c r="E5565">
        <v>0</v>
      </c>
      <c r="F5565">
        <v>277</v>
      </c>
    </row>
    <row r="5566" spans="1:6" ht="12.75">
      <c r="A5566" s="2">
        <v>43882.90043981481</v>
      </c>
      <c r="B5566" t="str">
        <f>HYPERLINK("https://twitter.com/Metro_TV","@Metro_TV")</f>
        <v>@Metro_TV</v>
      </c>
      <c r="C5566" t="s">
        <v>4261</v>
      </c>
      <c r="D5566">
        <v>0</v>
      </c>
      <c r="E5566">
        <v>6</v>
      </c>
      <c r="F5566">
        <v>10511356</v>
      </c>
    </row>
    <row r="5567" spans="1:6" ht="12.75">
      <c r="A5567" s="2">
        <v>43882.900081018517</v>
      </c>
      <c r="B5567" t="str">
        <f>HYPERLINK("https://twitter.com/northhkorea","@northhkorea")</f>
        <v>@northhkorea</v>
      </c>
      <c r="C5567" t="s">
        <v>4262</v>
      </c>
      <c r="D5567">
        <v>0</v>
      </c>
      <c r="E5567">
        <v>0</v>
      </c>
      <c r="F5567">
        <v>827</v>
      </c>
    </row>
    <row r="5568" spans="1:6" ht="12.75">
      <c r="A5568" s="2">
        <v>43882.899930555555</v>
      </c>
      <c r="B5568" t="str">
        <f>HYPERLINK("https://twitter.com/saluran8","@saluran8")</f>
        <v>@saluran8</v>
      </c>
      <c r="C5568" t="s">
        <v>4263</v>
      </c>
      <c r="D5568">
        <v>0</v>
      </c>
      <c r="E5568">
        <v>0</v>
      </c>
      <c r="F5568">
        <v>128806</v>
      </c>
    </row>
    <row r="5569" spans="1:6" ht="12.75">
      <c r="A5569" s="2">
        <v>43882.8984375</v>
      </c>
      <c r="B5569" t="str">
        <f>HYPERLINK("https://twitter.com/lutfyusuf666","@lutfyusuf666")</f>
        <v>@lutfyusuf666</v>
      </c>
      <c r="C5569" t="s">
        <v>4264</v>
      </c>
      <c r="D5569">
        <v>0</v>
      </c>
      <c r="E5569">
        <v>0</v>
      </c>
      <c r="F5569">
        <v>462</v>
      </c>
    </row>
    <row r="5570" spans="1:6" ht="12.75">
      <c r="A5570" s="2">
        <v>43882.8981712963</v>
      </c>
      <c r="B5570" t="str">
        <f>HYPERLINK("https://twitter.com/DonayAlexi","@DonayAlexi")</f>
        <v>@DonayAlexi</v>
      </c>
      <c r="C5570" t="s">
        <v>4265</v>
      </c>
      <c r="D5570">
        <v>3</v>
      </c>
      <c r="E5570">
        <v>0</v>
      </c>
      <c r="F5570">
        <v>3</v>
      </c>
    </row>
    <row r="5571" spans="1:6" ht="12.75">
      <c r="A5571" s="2">
        <v>43882.897407407407</v>
      </c>
      <c r="B5571" t="str">
        <f>HYPERLINK("https://twitter.com/ustazzorro","@ustazzorro")</f>
        <v>@ustazzorro</v>
      </c>
      <c r="C5571" t="s">
        <v>4266</v>
      </c>
      <c r="D5571">
        <v>0</v>
      </c>
      <c r="E5571">
        <v>0</v>
      </c>
      <c r="F5571">
        <v>1</v>
      </c>
    </row>
    <row r="5572" spans="1:6" ht="12.75">
      <c r="A5572" s="2">
        <v>43882.896898148145</v>
      </c>
      <c r="B5572" t="str">
        <f>HYPERLINK("https://twitter.com/gamaununggulagi","@gamaununggulagi")</f>
        <v>@gamaununggulagi</v>
      </c>
      <c r="C5572" t="s">
        <v>1407</v>
      </c>
      <c r="D5572">
        <v>9738</v>
      </c>
      <c r="E5572">
        <v>0</v>
      </c>
      <c r="F5572">
        <v>803</v>
      </c>
    </row>
    <row r="5573" spans="1:6" ht="12.75">
      <c r="A5573" s="2">
        <v>43882.896724537037</v>
      </c>
      <c r="B5573" t="str">
        <f>HYPERLINK("https://twitter.com/ylmlxoxo","@ylmlxoxo")</f>
        <v>@ylmlxoxo</v>
      </c>
      <c r="C5573" t="s">
        <v>4267</v>
      </c>
      <c r="D5573">
        <v>0</v>
      </c>
      <c r="E5573">
        <v>0</v>
      </c>
      <c r="F5573">
        <v>40</v>
      </c>
    </row>
    <row r="5574" spans="1:6" ht="12.75">
      <c r="A5574" s="2">
        <v>43882.895995370374</v>
      </c>
      <c r="B5574" t="str">
        <f>HYPERLINK("https://twitter.com/gamaununggulagi","@gamaununggulagi")</f>
        <v>@gamaununggulagi</v>
      </c>
      <c r="C5574" t="s">
        <v>2467</v>
      </c>
      <c r="D5574">
        <v>902</v>
      </c>
      <c r="E5574">
        <v>0</v>
      </c>
      <c r="F5574">
        <v>803</v>
      </c>
    </row>
    <row r="5575" spans="1:6" ht="12.75">
      <c r="A5575" s="2">
        <v>43882.894756944443</v>
      </c>
      <c r="B5575" t="str">
        <f>HYPERLINK("https://twitter.com/khalidkormain_","@khalidkormain_")</f>
        <v>@khalidkormain_</v>
      </c>
      <c r="C5575" t="s">
        <v>2711</v>
      </c>
      <c r="D5575">
        <v>130</v>
      </c>
      <c r="E5575">
        <v>0</v>
      </c>
      <c r="F5575">
        <v>296</v>
      </c>
    </row>
    <row r="5576" spans="1:6" ht="12.75">
      <c r="A5576" s="2">
        <v>43882.894062499996</v>
      </c>
      <c r="B5576" t="str">
        <f>HYPERLINK("https://twitter.com/liputan6dotcom","@liputan6dotcom")</f>
        <v>@liputan6dotcom</v>
      </c>
      <c r="C5576" t="s">
        <v>4268</v>
      </c>
      <c r="D5576">
        <v>0</v>
      </c>
      <c r="E5576">
        <v>2</v>
      </c>
      <c r="F5576">
        <v>3627436</v>
      </c>
    </row>
    <row r="5577" spans="1:6" ht="12.75">
      <c r="A5577" s="2">
        <v>43882.893969907411</v>
      </c>
      <c r="B5577" t="str">
        <f>HYPERLINK("https://twitter.com/andarualbi","@andarualbi")</f>
        <v>@andarualbi</v>
      </c>
      <c r="C5577" t="s">
        <v>4269</v>
      </c>
      <c r="D5577">
        <v>0</v>
      </c>
      <c r="E5577">
        <v>0</v>
      </c>
      <c r="F5577">
        <v>175</v>
      </c>
    </row>
    <row r="5578" spans="1:6" ht="12.75">
      <c r="A5578" s="2">
        <v>43882.893159722225</v>
      </c>
      <c r="B5578" t="str">
        <f>HYPERLINK("https://twitter.com/ballambinlove","@ballambinlove")</f>
        <v>@ballambinlove</v>
      </c>
      <c r="C5578" t="s">
        <v>4270</v>
      </c>
      <c r="D5578">
        <v>1</v>
      </c>
      <c r="E5578">
        <v>0</v>
      </c>
      <c r="F5578">
        <v>1014</v>
      </c>
    </row>
    <row r="5579" spans="1:6" ht="12.75">
      <c r="A5579" s="2">
        <v>43882.892557870371</v>
      </c>
      <c r="B5579" t="str">
        <f>HYPERLINK("https://twitter.com/bpriady","@bpriady")</f>
        <v>@bpriady</v>
      </c>
      <c r="C5579" t="s">
        <v>4271</v>
      </c>
      <c r="D5579">
        <v>4</v>
      </c>
      <c r="E5579">
        <v>0</v>
      </c>
      <c r="F5579">
        <v>599</v>
      </c>
    </row>
    <row r="5580" spans="1:6" ht="12.75">
      <c r="A5580" s="2">
        <v>43882.89130787037</v>
      </c>
      <c r="B5580" t="str">
        <f>HYPERLINK("https://twitter.com/racheel_sibuea","@racheel_sibuea")</f>
        <v>@racheel_sibuea</v>
      </c>
      <c r="C5580" t="s">
        <v>4272</v>
      </c>
      <c r="D5580">
        <v>1</v>
      </c>
      <c r="E5580">
        <v>0</v>
      </c>
      <c r="F5580">
        <v>55</v>
      </c>
    </row>
    <row r="5581" spans="1:6" ht="12.75">
      <c r="A5581" s="2">
        <v>43882.891250000001</v>
      </c>
      <c r="B5581" t="str">
        <f>HYPERLINK("https://twitter.com/tua_serdadu","@tua_serdadu")</f>
        <v>@tua_serdadu</v>
      </c>
      <c r="C5581" t="s">
        <v>2165</v>
      </c>
      <c r="D5581">
        <v>98</v>
      </c>
      <c r="E5581">
        <v>0</v>
      </c>
      <c r="F5581">
        <v>516</v>
      </c>
    </row>
    <row r="5582" spans="1:6" ht="12.75">
      <c r="A5582" s="2">
        <v>43882.890370370369</v>
      </c>
      <c r="B5582" t="str">
        <f>HYPERLINK("https://twitter.com/Beritasatu","@Beritasatu")</f>
        <v>@Beritasatu</v>
      </c>
      <c r="C5582" t="s">
        <v>4273</v>
      </c>
      <c r="D5582">
        <v>1</v>
      </c>
      <c r="E5582">
        <v>4</v>
      </c>
      <c r="F5582">
        <v>615196</v>
      </c>
    </row>
    <row r="5583" spans="1:6" ht="12.75">
      <c r="A5583" s="2">
        <v>43882.889849537038</v>
      </c>
      <c r="B5583" t="str">
        <f>HYPERLINK("https://twitter.com/SreerajManogran","@SreerajManogran")</f>
        <v>@SreerajManogran</v>
      </c>
      <c r="C5583" t="s">
        <v>4274</v>
      </c>
      <c r="D5583">
        <v>0</v>
      </c>
      <c r="E5583">
        <v>1</v>
      </c>
      <c r="F5583">
        <v>76</v>
      </c>
    </row>
    <row r="5584" spans="1:6" ht="12.75">
      <c r="A5584" s="2">
        <v>43882.888888888891</v>
      </c>
      <c r="B5584" t="str">
        <f>HYPERLINK("https://twitter.com/azrielariq","@azrielariq")</f>
        <v>@azrielariq</v>
      </c>
      <c r="C5584" t="s">
        <v>4275</v>
      </c>
      <c r="D5584">
        <v>0</v>
      </c>
      <c r="E5584">
        <v>0</v>
      </c>
      <c r="F5584">
        <v>64</v>
      </c>
    </row>
    <row r="5585" spans="1:6" ht="12.75">
      <c r="A5585" s="2">
        <v>43882.888518518521</v>
      </c>
      <c r="B5585" t="str">
        <f>HYPERLINK("https://twitter.com/Rakha_boumi","@Rakha_boumi")</f>
        <v>@Rakha_boumi</v>
      </c>
      <c r="C5585" t="s">
        <v>3532</v>
      </c>
      <c r="D5585">
        <v>35</v>
      </c>
      <c r="E5585">
        <v>0</v>
      </c>
      <c r="F5585">
        <v>1364</v>
      </c>
    </row>
    <row r="5586" spans="1:6" ht="12.75">
      <c r="A5586" s="2">
        <v>43882.888483796298</v>
      </c>
      <c r="B5586" t="str">
        <f>HYPERLINK("https://twitter.com/luthfiyusuf5","@luthfiyusuf5")</f>
        <v>@luthfiyusuf5</v>
      </c>
      <c r="C5586" t="s">
        <v>3853</v>
      </c>
      <c r="D5586">
        <v>3</v>
      </c>
      <c r="E5586">
        <v>0</v>
      </c>
      <c r="F5586">
        <v>1017</v>
      </c>
    </row>
    <row r="5587" spans="1:6" ht="12.75">
      <c r="A5587" s="2">
        <v>43882.888437500005</v>
      </c>
      <c r="B5587" t="str">
        <f>HYPERLINK("https://twitter.com/ammarshauqiii","@ammarshauqiii")</f>
        <v>@ammarshauqiii</v>
      </c>
      <c r="C5587" t="s">
        <v>2711</v>
      </c>
      <c r="D5587">
        <v>130</v>
      </c>
      <c r="E5587">
        <v>0</v>
      </c>
      <c r="F5587">
        <v>319</v>
      </c>
    </row>
    <row r="5588" spans="1:6" ht="12.75">
      <c r="A5588" s="2">
        <v>43882.88790509259</v>
      </c>
      <c r="B5588" t="str">
        <f>HYPERLINK("https://twitter.com/ellys_kerhi","@ellys_kerhi")</f>
        <v>@ellys_kerhi</v>
      </c>
      <c r="C5588" t="s">
        <v>4276</v>
      </c>
      <c r="D5588">
        <v>0</v>
      </c>
      <c r="E5588">
        <v>0</v>
      </c>
      <c r="F5588">
        <v>1068</v>
      </c>
    </row>
    <row r="5589" spans="1:6" ht="12.75">
      <c r="A5589" s="2">
        <v>43882.887592592597</v>
      </c>
      <c r="B5589" t="str">
        <f>HYPERLINK("https://twitter.com/Irham_HakimiMH","@Irham_HakimiMH")</f>
        <v>@Irham_HakimiMH</v>
      </c>
      <c r="C5589" t="s">
        <v>2711</v>
      </c>
      <c r="D5589">
        <v>130</v>
      </c>
      <c r="E5589">
        <v>0</v>
      </c>
      <c r="F5589">
        <v>833</v>
      </c>
    </row>
    <row r="5590" spans="1:6" ht="12.75">
      <c r="A5590" s="2">
        <v>43882.887569444443</v>
      </c>
      <c r="B5590" t="str">
        <f>HYPERLINK("https://twitter.com/cendananews","@cendananews")</f>
        <v>@cendananews</v>
      </c>
      <c r="C5590" t="s">
        <v>4277</v>
      </c>
      <c r="D5590">
        <v>0</v>
      </c>
      <c r="E5590">
        <v>0</v>
      </c>
      <c r="F5590">
        <v>4563</v>
      </c>
    </row>
    <row r="5591" spans="1:6" ht="12.75">
      <c r="A5591" s="2">
        <v>43882.88726851852</v>
      </c>
      <c r="B5591" t="str">
        <f>HYPERLINK("https://twitter.com/jammy_shiba","@jammy_shiba")</f>
        <v>@jammy_shiba</v>
      </c>
      <c r="C5591" t="s">
        <v>4278</v>
      </c>
      <c r="D5591">
        <v>0</v>
      </c>
      <c r="E5591">
        <v>0</v>
      </c>
      <c r="F5591">
        <v>129</v>
      </c>
    </row>
    <row r="5592" spans="1:6" ht="12.75">
      <c r="A5592" s="2">
        <v>43882.887129629627</v>
      </c>
      <c r="B5592" t="str">
        <f>HYPERLINK("https://twitter.com/ellys_kerhi","@ellys_kerhi")</f>
        <v>@ellys_kerhi</v>
      </c>
      <c r="C5592" t="s">
        <v>4276</v>
      </c>
      <c r="D5592">
        <v>0</v>
      </c>
      <c r="E5592">
        <v>0</v>
      </c>
      <c r="F5592">
        <v>1068</v>
      </c>
    </row>
    <row r="5593" spans="1:6" ht="12.75">
      <c r="A5593" s="2">
        <v>43882.887048611112</v>
      </c>
      <c r="B5593" t="str">
        <f>HYPERLINK("https://twitter.com/RadioElshinta","@RadioElshinta")</f>
        <v>@RadioElshinta</v>
      </c>
      <c r="C5593" t="s">
        <v>4279</v>
      </c>
      <c r="D5593">
        <v>1</v>
      </c>
      <c r="E5593">
        <v>6</v>
      </c>
      <c r="F5593">
        <v>3634089</v>
      </c>
    </row>
    <row r="5594" spans="1:6" ht="12.75">
      <c r="A5594" s="2">
        <v>43882.88652777778</v>
      </c>
      <c r="B5594" t="str">
        <f>HYPERLINK("https://twitter.com/Panembahan_alit","@Panembahan_alit")</f>
        <v>@Panembahan_alit</v>
      </c>
      <c r="C5594" t="s">
        <v>3532</v>
      </c>
      <c r="D5594">
        <v>35</v>
      </c>
      <c r="E5594">
        <v>0</v>
      </c>
      <c r="F5594">
        <v>328</v>
      </c>
    </row>
    <row r="5595" spans="1:6" ht="12.75">
      <c r="A5595" s="2">
        <v>43882.885763888888</v>
      </c>
      <c r="B5595" t="str">
        <f>HYPERLINK("https://twitter.com/kamilghazi","@kamilghazi")</f>
        <v>@kamilghazi</v>
      </c>
      <c r="C5595" t="s">
        <v>2711</v>
      </c>
      <c r="D5595">
        <v>130</v>
      </c>
      <c r="E5595">
        <v>0</v>
      </c>
      <c r="F5595">
        <v>147</v>
      </c>
    </row>
    <row r="5596" spans="1:6" ht="12.75">
      <c r="A5596" s="2">
        <v>43882.885509259257</v>
      </c>
      <c r="B5596" t="str">
        <f>HYPERLINK("https://twitter.com/projekmm","@projekmm")</f>
        <v>@projekmm</v>
      </c>
      <c r="C5596" t="s">
        <v>2425</v>
      </c>
      <c r="D5596">
        <v>0</v>
      </c>
      <c r="E5596">
        <v>0</v>
      </c>
      <c r="F5596">
        <v>1655</v>
      </c>
    </row>
    <row r="5597" spans="1:6" ht="12.75">
      <c r="A5597" s="2">
        <v>43882.884571759263</v>
      </c>
      <c r="B5597" t="str">
        <f>HYPERLINK("https://twitter.com/BinsarEdwart","@BinsarEdwart")</f>
        <v>@BinsarEdwart</v>
      </c>
      <c r="C5597" t="s">
        <v>4280</v>
      </c>
      <c r="D5597">
        <v>0</v>
      </c>
      <c r="E5597">
        <v>0</v>
      </c>
      <c r="F5597">
        <v>4</v>
      </c>
    </row>
    <row r="5598" spans="1:6" ht="12.75">
      <c r="A5598" s="2">
        <v>43882.88417824074</v>
      </c>
      <c r="B5598" t="str">
        <f>HYPERLINK("https://twitter.com/juspri_mn","@juspri_mn")</f>
        <v>@juspri_mn</v>
      </c>
      <c r="C5598" t="s">
        <v>4281</v>
      </c>
      <c r="D5598">
        <v>0</v>
      </c>
      <c r="E5598">
        <v>0</v>
      </c>
      <c r="F5598">
        <v>808</v>
      </c>
    </row>
    <row r="5599" spans="1:6" ht="12.75">
      <c r="A5599" s="2">
        <v>43882.883483796293</v>
      </c>
      <c r="B5599" t="str">
        <f>HYPERLINK("https://twitter.com/ReniHerlina12","@ReniHerlina12")</f>
        <v>@ReniHerlina12</v>
      </c>
      <c r="C5599" t="s">
        <v>4282</v>
      </c>
      <c r="D5599">
        <v>1</v>
      </c>
      <c r="E5599">
        <v>0</v>
      </c>
      <c r="F5599">
        <v>562</v>
      </c>
    </row>
    <row r="5600" spans="1:6" ht="12.75">
      <c r="A5600" s="2">
        <v>43882.883391203708</v>
      </c>
      <c r="B5600" t="str">
        <f>HYPERLINK("https://twitter.com/ivooxid","@ivooxid")</f>
        <v>@ivooxid</v>
      </c>
      <c r="C5600" t="s">
        <v>4283</v>
      </c>
      <c r="D5600">
        <v>0</v>
      </c>
      <c r="E5600">
        <v>0</v>
      </c>
      <c r="F5600">
        <v>1426</v>
      </c>
    </row>
    <row r="5601" spans="1:6" ht="12.75">
      <c r="A5601" s="2">
        <v>43882.883206018523</v>
      </c>
      <c r="B5601" t="str">
        <f>HYPERLINK("https://twitter.com/EmorBroery","@EmorBroery")</f>
        <v>@EmorBroery</v>
      </c>
      <c r="C5601" t="s">
        <v>4284</v>
      </c>
      <c r="D5601">
        <v>0</v>
      </c>
      <c r="E5601">
        <v>2</v>
      </c>
      <c r="F5601">
        <v>63</v>
      </c>
    </row>
    <row r="5602" spans="1:6" ht="12.75">
      <c r="A5602" s="2">
        <v>43882.883020833338</v>
      </c>
      <c r="B5602" t="str">
        <f>HYPERLINK("https://twitter.com/rezkiantika","@rezkiantika")</f>
        <v>@rezkiantika</v>
      </c>
      <c r="C5602" t="s">
        <v>4285</v>
      </c>
      <c r="D5602">
        <v>0</v>
      </c>
      <c r="E5602">
        <v>0</v>
      </c>
      <c r="F5602">
        <v>1133</v>
      </c>
    </row>
    <row r="5603" spans="1:6" ht="12.75">
      <c r="A5603" s="2">
        <v>43882.882743055554</v>
      </c>
      <c r="B5603" t="str">
        <f>HYPERLINK("https://twitter.com/Trieszeguet","@Trieszeguet")</f>
        <v>@Trieszeguet</v>
      </c>
      <c r="C5603" t="s">
        <v>4286</v>
      </c>
      <c r="D5603">
        <v>0</v>
      </c>
      <c r="E5603">
        <v>0</v>
      </c>
      <c r="F5603">
        <v>40</v>
      </c>
    </row>
    <row r="5604" spans="1:6" ht="12.75">
      <c r="A5604" s="2">
        <v>43882.882337962961</v>
      </c>
      <c r="B5604" t="str">
        <f>HYPERLINK("https://twitter.com/GhazaliResab","@GhazaliResab")</f>
        <v>@GhazaliResab</v>
      </c>
      <c r="C5604" t="s">
        <v>4287</v>
      </c>
      <c r="D5604">
        <v>0</v>
      </c>
      <c r="E5604">
        <v>2</v>
      </c>
      <c r="F5604">
        <v>275</v>
      </c>
    </row>
    <row r="5605" spans="1:6" ht="12.75">
      <c r="A5605" s="2">
        <v>43882.882048611107</v>
      </c>
      <c r="B5605" t="str">
        <f>HYPERLINK("https://twitter.com/jammy_shiba","@jammy_shiba")</f>
        <v>@jammy_shiba</v>
      </c>
      <c r="C5605" t="s">
        <v>4288</v>
      </c>
      <c r="D5605">
        <v>0</v>
      </c>
      <c r="E5605">
        <v>0</v>
      </c>
      <c r="F5605">
        <v>129</v>
      </c>
    </row>
    <row r="5606" spans="1:6" ht="12.75">
      <c r="A5606" s="2">
        <v>43882.881770833337</v>
      </c>
      <c r="B5606" t="str">
        <f>HYPERLINK("https://twitter.com/zakky17_","@zakky17_")</f>
        <v>@zakky17_</v>
      </c>
      <c r="C5606" t="s">
        <v>4289</v>
      </c>
      <c r="D5606">
        <v>0</v>
      </c>
      <c r="E5606">
        <v>0</v>
      </c>
      <c r="F5606">
        <v>518</v>
      </c>
    </row>
    <row r="5607" spans="1:6" ht="12.75">
      <c r="A5607" s="2">
        <v>43882.881481481483</v>
      </c>
      <c r="B5607" t="str">
        <f>HYPERLINK("https://twitter.com/ghanimkrm","@ghanimkrm")</f>
        <v>@ghanimkrm</v>
      </c>
      <c r="C5607" t="s">
        <v>513</v>
      </c>
      <c r="D5607">
        <v>23250</v>
      </c>
      <c r="E5607">
        <v>0</v>
      </c>
      <c r="F5607">
        <v>519</v>
      </c>
    </row>
    <row r="5608" spans="1:6" ht="12.75">
      <c r="A5608" s="2">
        <v>43882.881423611107</v>
      </c>
      <c r="B5608" t="str">
        <f>HYPERLINK("https://twitter.com/NazrulFitri53","@NazrulFitri53")</f>
        <v>@NazrulFitri53</v>
      </c>
      <c r="C5608" t="s">
        <v>2711</v>
      </c>
      <c r="D5608">
        <v>130</v>
      </c>
      <c r="E5608">
        <v>0</v>
      </c>
      <c r="F5608">
        <v>55</v>
      </c>
    </row>
    <row r="5609" spans="1:6" ht="12.75">
      <c r="A5609" s="2">
        <v>43882.880995370375</v>
      </c>
      <c r="B5609" t="str">
        <f>HYPERLINK("https://twitter.com/fuggiocahyo","@fuggiocahyo")</f>
        <v>@fuggiocahyo</v>
      </c>
      <c r="C5609" t="s">
        <v>2692</v>
      </c>
      <c r="D5609">
        <v>2038</v>
      </c>
      <c r="E5609">
        <v>0</v>
      </c>
      <c r="F5609">
        <v>462</v>
      </c>
    </row>
    <row r="5610" spans="1:6" ht="12.75">
      <c r="A5610" s="2">
        <v>43882.880902777775</v>
      </c>
      <c r="B5610" t="str">
        <f>HYPERLINK("https://twitter.com/ellys_kerhi","@ellys_kerhi")</f>
        <v>@ellys_kerhi</v>
      </c>
      <c r="C5610" t="s">
        <v>4290</v>
      </c>
      <c r="D5610">
        <v>0</v>
      </c>
      <c r="E5610">
        <v>1</v>
      </c>
      <c r="F5610">
        <v>1068</v>
      </c>
    </row>
    <row r="5611" spans="1:6" ht="12.75">
      <c r="A5611" s="2">
        <v>43882.880474537036</v>
      </c>
      <c r="B5611" t="str">
        <f>HYPERLINK("https://twitter.com/MarieskaV","@MarieskaV")</f>
        <v>@MarieskaV</v>
      </c>
      <c r="C5611" t="s">
        <v>4291</v>
      </c>
      <c r="D5611">
        <v>0</v>
      </c>
      <c r="E5611">
        <v>0</v>
      </c>
      <c r="F5611">
        <v>304</v>
      </c>
    </row>
    <row r="5612" spans="1:6" ht="12.75">
      <c r="A5612" s="2">
        <v>43882.880243055552</v>
      </c>
      <c r="B5612" t="str">
        <f>HYPERLINK("https://twitter.com/BincangSyariah","@BincangSyariah")</f>
        <v>@BincangSyariah</v>
      </c>
      <c r="C5612" t="s">
        <v>4292</v>
      </c>
      <c r="D5612">
        <v>0</v>
      </c>
      <c r="E5612">
        <v>2</v>
      </c>
      <c r="F5612">
        <v>24700</v>
      </c>
    </row>
    <row r="5613" spans="1:6" ht="12.75">
      <c r="A5613" s="2">
        <v>43882.87899305555</v>
      </c>
      <c r="B5613" t="str">
        <f>HYPERLINK("https://twitter.com/beritalimacom","@beritalimacom")</f>
        <v>@beritalimacom</v>
      </c>
      <c r="C5613" t="s">
        <v>3376</v>
      </c>
      <c r="D5613">
        <v>0</v>
      </c>
      <c r="E5613">
        <v>0</v>
      </c>
      <c r="F5613">
        <v>1448</v>
      </c>
    </row>
    <row r="5614" spans="1:6" ht="12.75">
      <c r="A5614" s="2">
        <v>43882.87881944445</v>
      </c>
      <c r="B5614" t="str">
        <f>HYPERLINK("https://twitter.com/jammy_shiba","@jammy_shiba")</f>
        <v>@jammy_shiba</v>
      </c>
      <c r="C5614" t="s">
        <v>4293</v>
      </c>
      <c r="D5614">
        <v>0</v>
      </c>
      <c r="E5614">
        <v>0</v>
      </c>
      <c r="F5614">
        <v>129</v>
      </c>
    </row>
    <row r="5615" spans="1:6" ht="12.75">
      <c r="A5615" s="2">
        <v>43882.878587962958</v>
      </c>
      <c r="B5615" t="str">
        <f>HYPERLINK("https://twitter.com/ROROMENDUT","@ROROMENDUT")</f>
        <v>@ROROMENDUT</v>
      </c>
      <c r="C5615" t="s">
        <v>4271</v>
      </c>
      <c r="D5615">
        <v>4</v>
      </c>
      <c r="E5615">
        <v>0</v>
      </c>
      <c r="F5615">
        <v>61</v>
      </c>
    </row>
    <row r="5616" spans="1:6" ht="12.75">
      <c r="A5616" s="2">
        <v>43882.878483796296</v>
      </c>
      <c r="B5616" t="str">
        <f>HYPERLINK("https://twitter.com/HarapanSiahaan2","@HarapanSiahaan2")</f>
        <v>@HarapanSiahaan2</v>
      </c>
      <c r="C5616" t="s">
        <v>3532</v>
      </c>
      <c r="D5616">
        <v>35</v>
      </c>
      <c r="E5616">
        <v>0</v>
      </c>
      <c r="F5616">
        <v>113</v>
      </c>
    </row>
    <row r="5617" spans="1:6" ht="12.75">
      <c r="A5617" s="2">
        <v>43882.878344907411</v>
      </c>
      <c r="B5617" t="str">
        <f>HYPERLINK("https://twitter.com/TEGUHSA88193635","@TEGUHSA88193635")</f>
        <v>@TEGUHSA88193635</v>
      </c>
      <c r="C5617" t="s">
        <v>4294</v>
      </c>
      <c r="D5617">
        <v>47</v>
      </c>
      <c r="E5617">
        <v>0</v>
      </c>
      <c r="F5617">
        <v>16</v>
      </c>
    </row>
    <row r="5618" spans="1:6" ht="12.75">
      <c r="A5618" s="2">
        <v>43882.877916666665</v>
      </c>
      <c r="B5618" t="str">
        <f>HYPERLINK("https://twitter.com/Rogerma37137317","@Rogerma37137317")</f>
        <v>@Rogerma37137317</v>
      </c>
      <c r="C5618" t="s">
        <v>4295</v>
      </c>
      <c r="D5618">
        <v>0</v>
      </c>
      <c r="E5618">
        <v>0</v>
      </c>
      <c r="F5618">
        <v>380</v>
      </c>
    </row>
    <row r="5619" spans="1:6" ht="12.75">
      <c r="A5619" s="2">
        <v>43882.877754629633</v>
      </c>
      <c r="B5619" t="str">
        <f>HYPERLINK("https://twitter.com/HenkMizell","@HenkMizell")</f>
        <v>@HenkMizell</v>
      </c>
      <c r="C5619" t="s">
        <v>4296</v>
      </c>
      <c r="D5619">
        <v>0</v>
      </c>
      <c r="E5619">
        <v>0</v>
      </c>
      <c r="F5619">
        <v>19</v>
      </c>
    </row>
    <row r="5620" spans="1:6" ht="12.75">
      <c r="A5620" s="2">
        <v>43882.877199074079</v>
      </c>
      <c r="B5620" t="str">
        <f>HYPERLINK("https://twitter.com/tuwuh_maranatha","@tuwuh_maranatha")</f>
        <v>@tuwuh_maranatha</v>
      </c>
      <c r="C5620" t="s">
        <v>4297</v>
      </c>
      <c r="D5620">
        <v>0</v>
      </c>
      <c r="E5620">
        <v>0</v>
      </c>
      <c r="F5620">
        <v>368</v>
      </c>
    </row>
    <row r="5621" spans="1:6" ht="12.75">
      <c r="A5621" s="2">
        <v>43882.876412037032</v>
      </c>
      <c r="B5621" t="str">
        <f>HYPERLINK("https://twitter.com/Rogerma37137317","@Rogerma37137317")</f>
        <v>@Rogerma37137317</v>
      </c>
      <c r="C5621" t="s">
        <v>4295</v>
      </c>
      <c r="D5621">
        <v>0</v>
      </c>
      <c r="E5621">
        <v>0</v>
      </c>
      <c r="F5621">
        <v>380</v>
      </c>
    </row>
    <row r="5622" spans="1:6" ht="12.75">
      <c r="A5622" s="2">
        <v>43882.876250000001</v>
      </c>
      <c r="B5622" t="str">
        <f>HYPERLINK("https://twitter.com/kasehsaulmouk","@kasehsaulmouk")</f>
        <v>@kasehsaulmouk</v>
      </c>
      <c r="C5622" t="s">
        <v>4298</v>
      </c>
      <c r="D5622">
        <v>1</v>
      </c>
      <c r="E5622">
        <v>0</v>
      </c>
      <c r="F5622">
        <v>3610</v>
      </c>
    </row>
    <row r="5623" spans="1:6" ht="12.75">
      <c r="A5623" s="2">
        <v>43882.87599537037</v>
      </c>
      <c r="B5623" t="str">
        <f>HYPERLINK("https://twitter.com/gilangputra1497","@gilangputra1497")</f>
        <v>@gilangputra1497</v>
      </c>
      <c r="C5623" t="s">
        <v>2119</v>
      </c>
      <c r="D5623">
        <v>355</v>
      </c>
      <c r="E5623">
        <v>0</v>
      </c>
      <c r="F5623">
        <v>101</v>
      </c>
    </row>
    <row r="5624" spans="1:6" ht="12.75">
      <c r="A5624" s="2">
        <v>43882.875960648147</v>
      </c>
      <c r="B5624" t="str">
        <f>HYPERLINK("https://twitter.com/lordanrijon","@lordanrijon")</f>
        <v>@lordanrijon</v>
      </c>
      <c r="C5624" t="s">
        <v>4073</v>
      </c>
      <c r="D5624">
        <v>8</v>
      </c>
      <c r="E5624">
        <v>0</v>
      </c>
      <c r="F5624">
        <v>435</v>
      </c>
    </row>
    <row r="5625" spans="1:6" ht="12.75">
      <c r="A5625" s="2">
        <v>43882.875949074078</v>
      </c>
      <c r="B5625" t="str">
        <f>HYPERLINK("https://twitter.com/Bang_Opikk","@Bang_Opikk")</f>
        <v>@Bang_Opikk</v>
      </c>
      <c r="C5625" t="s">
        <v>4299</v>
      </c>
      <c r="D5625">
        <v>0</v>
      </c>
      <c r="E5625">
        <v>0</v>
      </c>
      <c r="F5625">
        <v>173</v>
      </c>
    </row>
    <row r="5626" spans="1:6" ht="12.75">
      <c r="A5626" s="2">
        <v>43882.875856481478</v>
      </c>
      <c r="B5626" t="str">
        <f>HYPERLINK("https://twitter.com/Cherul16","@Cherul16")</f>
        <v>@Cherul16</v>
      </c>
      <c r="C5626" t="s">
        <v>2178</v>
      </c>
      <c r="D5626">
        <v>222</v>
      </c>
      <c r="E5626">
        <v>0</v>
      </c>
      <c r="F5626">
        <v>1309</v>
      </c>
    </row>
    <row r="5627" spans="1:6" ht="12.75">
      <c r="A5627" s="2">
        <v>43882.875740740739</v>
      </c>
      <c r="B5627" t="str">
        <f>HYPERLINK("https://twitter.com/AJangJoDo","@AJangJoDo")</f>
        <v>@AJangJoDo</v>
      </c>
      <c r="C5627" t="s">
        <v>4300</v>
      </c>
      <c r="D5627">
        <v>0</v>
      </c>
      <c r="E5627">
        <v>0</v>
      </c>
      <c r="F5627">
        <v>122</v>
      </c>
    </row>
    <row r="5628" spans="1:6" ht="12.75">
      <c r="A5628" s="2">
        <v>43882.875590277778</v>
      </c>
      <c r="B5628" t="str">
        <f>HYPERLINK("https://twitter.com/adamhaniif69","@adamhaniif69")</f>
        <v>@adamhaniif69</v>
      </c>
      <c r="C5628" t="s">
        <v>4301</v>
      </c>
      <c r="D5628">
        <v>1</v>
      </c>
      <c r="E5628">
        <v>0</v>
      </c>
      <c r="F5628">
        <v>90</v>
      </c>
    </row>
    <row r="5629" spans="1:6" ht="12.75">
      <c r="A5629" s="2">
        <v>43882.875543981485</v>
      </c>
      <c r="B5629" t="str">
        <f>HYPERLINK("https://twitter.com/rakyatpancasila","@rakyatpancasila")</f>
        <v>@rakyatpancasila</v>
      </c>
      <c r="C5629" t="s">
        <v>2119</v>
      </c>
      <c r="D5629">
        <v>355</v>
      </c>
      <c r="E5629">
        <v>0</v>
      </c>
      <c r="F5629">
        <v>26</v>
      </c>
    </row>
    <row r="5630" spans="1:6" ht="12.75">
      <c r="A5630" s="2">
        <v>43882.875138888892</v>
      </c>
      <c r="B5630" t="str">
        <f>HYPERLINK("https://twitter.com/GagakNeww2","@GagakNeww2")</f>
        <v>@GagakNeww2</v>
      </c>
      <c r="C5630" t="s">
        <v>4302</v>
      </c>
      <c r="D5630">
        <v>0</v>
      </c>
      <c r="E5630">
        <v>0</v>
      </c>
      <c r="F5630">
        <v>415</v>
      </c>
    </row>
    <row r="5631" spans="1:6" ht="12.75">
      <c r="A5631" s="2">
        <v>43882.875092592592</v>
      </c>
      <c r="B5631" t="str">
        <f>HYPERLINK("https://twitter.com/ijatcool00","@ijatcool00")</f>
        <v>@ijatcool00</v>
      </c>
      <c r="C5631" t="s">
        <v>3883</v>
      </c>
      <c r="D5631">
        <v>3</v>
      </c>
      <c r="E5631">
        <v>0</v>
      </c>
      <c r="F5631">
        <v>493</v>
      </c>
    </row>
    <row r="5632" spans="1:6" ht="12.75">
      <c r="A5632" s="2">
        <v>43882.875023148154</v>
      </c>
      <c r="B5632" t="str">
        <f>HYPERLINK("https://twitter.com/tempodotco","@tempodotco")</f>
        <v>@tempodotco</v>
      </c>
      <c r="C5632" t="s">
        <v>4303</v>
      </c>
      <c r="D5632">
        <v>1</v>
      </c>
      <c r="E5632">
        <v>0</v>
      </c>
      <c r="F5632">
        <v>1708269</v>
      </c>
    </row>
    <row r="5633" spans="1:6" ht="12.75">
      <c r="A5633" s="2">
        <v>43882.874953703707</v>
      </c>
      <c r="B5633" t="str">
        <f>HYPERLINK("https://twitter.com/Rsconic_","@Rsconic_")</f>
        <v>@Rsconic_</v>
      </c>
      <c r="C5633" t="s">
        <v>4304</v>
      </c>
      <c r="D5633">
        <v>0</v>
      </c>
      <c r="E5633">
        <v>0</v>
      </c>
      <c r="F5633">
        <v>417</v>
      </c>
    </row>
    <row r="5634" spans="1:6" ht="12.75">
      <c r="A5634" s="2">
        <v>43882.874837962961</v>
      </c>
      <c r="B5634" t="str">
        <f>HYPERLINK("https://twitter.com/hendryan_edy","@hendryan_edy")</f>
        <v>@hendryan_edy</v>
      </c>
      <c r="C5634" t="s">
        <v>4305</v>
      </c>
      <c r="D5634">
        <v>0</v>
      </c>
      <c r="E5634">
        <v>1</v>
      </c>
      <c r="F5634">
        <v>208</v>
      </c>
    </row>
    <row r="5635" spans="1:6" ht="12.75">
      <c r="A5635" s="2">
        <v>43882.8747337963</v>
      </c>
      <c r="B5635" t="str">
        <f>HYPERLINK("https://twitter.com/BroKay8","@BroKay8")</f>
        <v>@BroKay8</v>
      </c>
      <c r="C5635" t="s">
        <v>4306</v>
      </c>
      <c r="D5635">
        <v>3</v>
      </c>
      <c r="E5635">
        <v>0</v>
      </c>
      <c r="F5635">
        <v>116</v>
      </c>
    </row>
    <row r="5636" spans="1:6" ht="12.75">
      <c r="A5636" s="2">
        <v>43882.874328703707</v>
      </c>
      <c r="B5636" t="str">
        <f>HYPERLINK("https://twitter.com/Panderaja13","@Panderaja13")</f>
        <v>@Panderaja13</v>
      </c>
      <c r="C5636" t="s">
        <v>2119</v>
      </c>
      <c r="D5636">
        <v>355</v>
      </c>
      <c r="E5636">
        <v>0</v>
      </c>
      <c r="F5636">
        <v>540</v>
      </c>
    </row>
    <row r="5637" spans="1:6" ht="12.75">
      <c r="A5637" s="2">
        <v>43882.874212962968</v>
      </c>
      <c r="B5637" t="str">
        <f>HYPERLINK("https://twitter.com/glenn_mandagi16","@glenn_mandagi16")</f>
        <v>@glenn_mandagi16</v>
      </c>
      <c r="C5637" t="s">
        <v>4271</v>
      </c>
      <c r="D5637">
        <v>2</v>
      </c>
      <c r="E5637">
        <v>0</v>
      </c>
      <c r="F5637">
        <v>78</v>
      </c>
    </row>
    <row r="5638" spans="1:6" ht="12.75">
      <c r="A5638" s="2">
        <v>43882.874120370368</v>
      </c>
      <c r="B5638" t="str">
        <f>HYPERLINK("https://twitter.com/topinfo_id","@topinfo_id")</f>
        <v>@topinfo_id</v>
      </c>
      <c r="C5638" t="s">
        <v>4307</v>
      </c>
      <c r="D5638">
        <v>0</v>
      </c>
      <c r="E5638">
        <v>0</v>
      </c>
      <c r="F5638">
        <v>10</v>
      </c>
    </row>
    <row r="5639" spans="1:6" ht="12.75">
      <c r="A5639" s="2">
        <v>43882.874074074076</v>
      </c>
      <c r="B5639" t="str">
        <f>HYPERLINK("https://twitter.com/agustin_sastra","@agustin_sastra")</f>
        <v>@agustin_sastra</v>
      </c>
      <c r="C5639" t="s">
        <v>2962</v>
      </c>
      <c r="D5639">
        <v>16</v>
      </c>
      <c r="E5639">
        <v>0</v>
      </c>
      <c r="F5639">
        <v>533</v>
      </c>
    </row>
    <row r="5640" spans="1:6" ht="12.75">
      <c r="A5640" s="2">
        <v>43882.873865740738</v>
      </c>
      <c r="B5640" t="str">
        <f>HYPERLINK("https://twitter.com/Yoshua_Gultom","@Yoshua_Gultom")</f>
        <v>@Yoshua_Gultom</v>
      </c>
      <c r="C5640" t="s">
        <v>3532</v>
      </c>
      <c r="D5640">
        <v>31</v>
      </c>
      <c r="E5640">
        <v>0</v>
      </c>
      <c r="F5640">
        <v>210</v>
      </c>
    </row>
    <row r="5641" spans="1:6" ht="12.75">
      <c r="A5641" s="2">
        <v>43882.873287037037</v>
      </c>
      <c r="B5641" t="str">
        <f>HYPERLINK("https://twitter.com/sabhatansabiz","@sabhatansabiz")</f>
        <v>@sabhatansabiz</v>
      </c>
      <c r="C5641" t="s">
        <v>4308</v>
      </c>
      <c r="D5641">
        <v>2</v>
      </c>
      <c r="E5641">
        <v>0</v>
      </c>
      <c r="F5641">
        <v>1584</v>
      </c>
    </row>
    <row r="5642" spans="1:6" ht="12.75">
      <c r="A5642" s="2">
        <v>43882.873217592598</v>
      </c>
      <c r="B5642" t="str">
        <f>HYPERLINK("https://twitter.com/myatharva","@myatharva")</f>
        <v>@myatharva</v>
      </c>
      <c r="C5642" t="s">
        <v>2119</v>
      </c>
      <c r="D5642">
        <v>355</v>
      </c>
      <c r="E5642">
        <v>0</v>
      </c>
      <c r="F5642">
        <v>4019</v>
      </c>
    </row>
    <row r="5643" spans="1:6" ht="12.75">
      <c r="A5643" s="2">
        <v>43882.87300925926</v>
      </c>
      <c r="B5643" t="str">
        <f>HYPERLINK("https://twitter.com/retno_setyowat","@retno_setyowat")</f>
        <v>@retno_setyowat</v>
      </c>
      <c r="C5643" t="s">
        <v>2119</v>
      </c>
      <c r="D5643">
        <v>355</v>
      </c>
      <c r="E5643">
        <v>0</v>
      </c>
      <c r="F5643">
        <v>5629</v>
      </c>
    </row>
    <row r="5644" spans="1:6" ht="12.75">
      <c r="A5644" s="2">
        <v>43882.87300925926</v>
      </c>
      <c r="B5644" t="str">
        <f>HYPERLINK("https://twitter.com/republikaonline","@republikaonline")</f>
        <v>@republikaonline</v>
      </c>
      <c r="C5644" t="s">
        <v>4309</v>
      </c>
      <c r="D5644">
        <v>2</v>
      </c>
      <c r="E5644">
        <v>3</v>
      </c>
      <c r="F5644">
        <v>1211804</v>
      </c>
    </row>
    <row r="5645" spans="1:6" ht="12.75">
      <c r="A5645" s="2">
        <v>43882.872395833328</v>
      </c>
      <c r="B5645" t="str">
        <f>HYPERLINK("https://twitter.com/_bookalicious","@_bookalicious")</f>
        <v>@_bookalicious</v>
      </c>
      <c r="C5645" t="s">
        <v>2711</v>
      </c>
      <c r="D5645">
        <v>123</v>
      </c>
      <c r="E5645">
        <v>0</v>
      </c>
      <c r="F5645">
        <v>8</v>
      </c>
    </row>
    <row r="5646" spans="1:6" ht="12.75">
      <c r="A5646" s="2">
        <v>43882.871550925927</v>
      </c>
      <c r="B5646" t="str">
        <f>HYPERLINK("https://twitter.com/updatedotid","@updatedotid")</f>
        <v>@updatedotid</v>
      </c>
      <c r="C5646" t="s">
        <v>4308</v>
      </c>
      <c r="D5646">
        <v>2</v>
      </c>
      <c r="E5646">
        <v>0</v>
      </c>
      <c r="F5646">
        <v>1620</v>
      </c>
    </row>
    <row r="5647" spans="1:6" ht="12.75">
      <c r="A5647" s="2">
        <v>43882.87122685185</v>
      </c>
      <c r="B5647" t="str">
        <f>HYPERLINK("https://twitter.com/radar_malang","@radar_malang")</f>
        <v>@radar_malang</v>
      </c>
      <c r="C5647" t="s">
        <v>4291</v>
      </c>
      <c r="D5647">
        <v>2</v>
      </c>
      <c r="E5647">
        <v>0</v>
      </c>
      <c r="F5647">
        <v>108627</v>
      </c>
    </row>
    <row r="5648" spans="1:6" ht="12.75">
      <c r="A5648" s="2">
        <v>43882.871215277773</v>
      </c>
      <c r="B5648" t="str">
        <f>HYPERLINK("https://twitter.com/adityaaaaaiw","@adityaaaaaiw")</f>
        <v>@adityaaaaaiw</v>
      </c>
      <c r="C5648" t="s">
        <v>4020</v>
      </c>
      <c r="D5648">
        <v>49</v>
      </c>
      <c r="E5648">
        <v>0</v>
      </c>
      <c r="F5648">
        <v>265</v>
      </c>
    </row>
    <row r="5649" spans="1:6" ht="12.75">
      <c r="A5649" s="2">
        <v>43882.870983796296</v>
      </c>
      <c r="B5649" t="str">
        <f>HYPERLINK("https://twitter.com/Zamyusof2","@Zamyusof2")</f>
        <v>@Zamyusof2</v>
      </c>
      <c r="C5649" t="s">
        <v>4306</v>
      </c>
      <c r="D5649">
        <v>3</v>
      </c>
      <c r="E5649">
        <v>0</v>
      </c>
      <c r="F5649">
        <v>1168</v>
      </c>
    </row>
    <row r="5650" spans="1:6" ht="12.75">
      <c r="A5650" s="2">
        <v>43882.870775462958</v>
      </c>
      <c r="B5650" t="str">
        <f>HYPERLINK("https://twitter.com/Agdwipa1","@Agdwipa1")</f>
        <v>@Agdwipa1</v>
      </c>
      <c r="C5650" t="s">
        <v>2119</v>
      </c>
      <c r="D5650">
        <v>355</v>
      </c>
      <c r="E5650">
        <v>0</v>
      </c>
      <c r="F5650">
        <v>16</v>
      </c>
    </row>
    <row r="5651" spans="1:6" ht="12.75">
      <c r="A5651" s="2">
        <v>43882.870659722219</v>
      </c>
      <c r="B5651" t="str">
        <f>HYPERLINK("https://twitter.com/bessa_2019","@bessa_2019")</f>
        <v>@bessa_2019</v>
      </c>
      <c r="C5651" t="s">
        <v>2711</v>
      </c>
      <c r="D5651">
        <v>123</v>
      </c>
      <c r="E5651">
        <v>0</v>
      </c>
      <c r="F5651">
        <v>256</v>
      </c>
    </row>
    <row r="5652" spans="1:6" ht="12.75">
      <c r="A5652" s="2">
        <v>43882.870474537034</v>
      </c>
      <c r="B5652" t="str">
        <f>HYPERLINK("https://twitter.com/mrs_geebae","@mrs_geebae")</f>
        <v>@mrs_geebae</v>
      </c>
      <c r="C5652" t="s">
        <v>177</v>
      </c>
      <c r="D5652">
        <v>794</v>
      </c>
      <c r="E5652">
        <v>0</v>
      </c>
      <c r="F5652">
        <v>0</v>
      </c>
    </row>
    <row r="5653" spans="1:6" ht="12.75">
      <c r="A5653" s="2">
        <v>43882.870381944449</v>
      </c>
      <c r="B5653" t="str">
        <f>HYPERLINK("https://twitter.com/LaRose78992426","@LaRose78992426")</f>
        <v>@LaRose78992426</v>
      </c>
      <c r="C5653" t="s">
        <v>2119</v>
      </c>
      <c r="D5653">
        <v>355</v>
      </c>
      <c r="E5653">
        <v>0</v>
      </c>
      <c r="F5653">
        <v>267</v>
      </c>
    </row>
    <row r="5654" spans="1:6" ht="12.75">
      <c r="A5654" s="2">
        <v>43882.869317129633</v>
      </c>
      <c r="B5654" t="str">
        <f>HYPERLINK("https://twitter.com/raplee","@raplee")</f>
        <v>@raplee</v>
      </c>
      <c r="C5654" t="s">
        <v>4073</v>
      </c>
      <c r="D5654">
        <v>8</v>
      </c>
      <c r="E5654">
        <v>0</v>
      </c>
      <c r="F5654">
        <v>1227</v>
      </c>
    </row>
    <row r="5655" spans="1:6" ht="12.75">
      <c r="A5655" s="2">
        <v>43882.86923611111</v>
      </c>
      <c r="B5655" t="str">
        <f>HYPERLINK("https://twitter.com/hapeproperti","@hapeproperti")</f>
        <v>@hapeproperti</v>
      </c>
      <c r="C5655" t="s">
        <v>4310</v>
      </c>
      <c r="D5655">
        <v>0</v>
      </c>
      <c r="E5655">
        <v>0</v>
      </c>
      <c r="F5655">
        <v>1603</v>
      </c>
    </row>
    <row r="5656" spans="1:6" ht="12.75">
      <c r="A5656" s="2">
        <v>43882.869097222225</v>
      </c>
      <c r="B5656" t="str">
        <f>HYPERLINK("https://twitter.com/4_devout","@4_devout")</f>
        <v>@4_devout</v>
      </c>
      <c r="C5656" t="s">
        <v>4311</v>
      </c>
      <c r="D5656">
        <v>2</v>
      </c>
      <c r="E5656">
        <v>0</v>
      </c>
      <c r="F5656">
        <v>608</v>
      </c>
    </row>
    <row r="5657" spans="1:6" ht="12.75">
      <c r="A5657" s="2">
        <v>43882.868784722217</v>
      </c>
      <c r="B5657" t="str">
        <f>HYPERLINK("https://twitter.com/kompascom","@kompascom")</f>
        <v>@kompascom</v>
      </c>
      <c r="C5657" t="s">
        <v>4312</v>
      </c>
      <c r="D5657">
        <v>0</v>
      </c>
      <c r="E5657">
        <v>6</v>
      </c>
      <c r="F5657">
        <v>7506580</v>
      </c>
    </row>
    <row r="5658" spans="1:6" ht="12.75">
      <c r="A5658" s="2">
        <v>43882.868773148148</v>
      </c>
      <c r="B5658" t="str">
        <f>HYPERLINK("https://twitter.com/HadiNasrulhaq","@HadiNasrulhaq")</f>
        <v>@HadiNasrulhaq</v>
      </c>
      <c r="C5658" t="s">
        <v>2711</v>
      </c>
      <c r="D5658">
        <v>123</v>
      </c>
      <c r="E5658">
        <v>0</v>
      </c>
      <c r="F5658">
        <v>139</v>
      </c>
    </row>
    <row r="5659" spans="1:6" ht="12.75">
      <c r="A5659" s="2">
        <v>43882.868726851855</v>
      </c>
      <c r="B5659" t="str">
        <f>HYPERLINK("https://twitter.com/noornieyazman","@noornieyazman")</f>
        <v>@noornieyazman</v>
      </c>
      <c r="C5659" t="s">
        <v>2711</v>
      </c>
      <c r="D5659">
        <v>123</v>
      </c>
      <c r="E5659">
        <v>0</v>
      </c>
      <c r="F5659">
        <v>973</v>
      </c>
    </row>
    <row r="5660" spans="1:6" ht="12.75">
      <c r="A5660" s="2">
        <v>43882.868217592593</v>
      </c>
      <c r="B5660" t="str">
        <f>HYPERLINK("https://twitter.com/RangCebol","@RangCebol")</f>
        <v>@RangCebol</v>
      </c>
      <c r="C5660" t="s">
        <v>3532</v>
      </c>
      <c r="D5660">
        <v>31</v>
      </c>
      <c r="E5660">
        <v>0</v>
      </c>
      <c r="F5660">
        <v>15</v>
      </c>
    </row>
    <row r="5661" spans="1:6" ht="12.75">
      <c r="A5661" s="2">
        <v>43882.867986111116</v>
      </c>
      <c r="B5661" t="str">
        <f>HYPERLINK("https://twitter.com/izwanJ_R","@izwanJ_R")</f>
        <v>@izwanJ_R</v>
      </c>
      <c r="C5661" t="s">
        <v>2711</v>
      </c>
      <c r="D5661">
        <v>123</v>
      </c>
      <c r="E5661">
        <v>0</v>
      </c>
      <c r="F5661">
        <v>706</v>
      </c>
    </row>
    <row r="5662" spans="1:6" ht="12.75">
      <c r="A5662" s="2">
        <v>43882.867222222223</v>
      </c>
      <c r="B5662" t="str">
        <f>HYPERLINK("https://twitter.com/lhmhl_","@lhmhl_")</f>
        <v>@lhmhl_</v>
      </c>
      <c r="C5662" t="s">
        <v>4313</v>
      </c>
      <c r="D5662">
        <v>0</v>
      </c>
      <c r="E5662">
        <v>0</v>
      </c>
      <c r="F5662">
        <v>0</v>
      </c>
    </row>
    <row r="5663" spans="1:6" ht="12.75">
      <c r="A5663" s="2">
        <v>43882.866701388892</v>
      </c>
      <c r="B5663" t="str">
        <f>HYPERLINK("https://twitter.com/vivi_banseng","@vivi_banseng")</f>
        <v>@vivi_banseng</v>
      </c>
      <c r="C5663" t="s">
        <v>2119</v>
      </c>
      <c r="D5663">
        <v>355</v>
      </c>
      <c r="E5663">
        <v>0</v>
      </c>
      <c r="F5663">
        <v>1827</v>
      </c>
    </row>
    <row r="5664" spans="1:6" ht="12.75">
      <c r="A5664" s="2">
        <v>43882.866597222222</v>
      </c>
      <c r="B5664" t="str">
        <f>HYPERLINK("https://twitter.com/ISIS_Slay3r","@ISIS_Slay3r")</f>
        <v>@ISIS_Slay3r</v>
      </c>
      <c r="C5664" t="s">
        <v>4314</v>
      </c>
      <c r="D5664">
        <v>2</v>
      </c>
      <c r="E5664">
        <v>0</v>
      </c>
      <c r="F5664">
        <v>313</v>
      </c>
    </row>
    <row r="5665" spans="1:6" ht="12.75">
      <c r="A5665" s="2">
        <v>43882.86650462963</v>
      </c>
      <c r="B5665" t="str">
        <f>HYPERLINK("https://twitter.com/Abindi2","@Abindi2")</f>
        <v>@Abindi2</v>
      </c>
      <c r="C5665" t="s">
        <v>4315</v>
      </c>
      <c r="D5665">
        <v>0</v>
      </c>
      <c r="E5665">
        <v>0</v>
      </c>
      <c r="F5665">
        <v>0</v>
      </c>
    </row>
    <row r="5666" spans="1:6" ht="12.75">
      <c r="A5666" s="2">
        <v>43882.866319444445</v>
      </c>
      <c r="B5666" t="str">
        <f>HYPERLINK("https://twitter.com/rachflowy","@rachflowy")</f>
        <v>@rachflowy</v>
      </c>
      <c r="C5666" t="s">
        <v>2119</v>
      </c>
      <c r="D5666">
        <v>355</v>
      </c>
      <c r="E5666">
        <v>0</v>
      </c>
      <c r="F5666">
        <v>54</v>
      </c>
    </row>
    <row r="5667" spans="1:6" ht="12.75">
      <c r="A5667" s="2">
        <v>43882.866249999999</v>
      </c>
      <c r="B5667" t="str">
        <f>HYPERLINK("https://twitter.com/antarasumbar","@antarasumbar")</f>
        <v>@antarasumbar</v>
      </c>
      <c r="C5667" t="s">
        <v>4316</v>
      </c>
      <c r="D5667">
        <v>0</v>
      </c>
      <c r="E5667">
        <v>0</v>
      </c>
      <c r="F5667">
        <v>9075</v>
      </c>
    </row>
    <row r="5668" spans="1:6" ht="12.75">
      <c r="A5668" s="2">
        <v>43882.865486111114</v>
      </c>
      <c r="B5668" t="str">
        <f>HYPERLINK("https://twitter.com/KiryuuKuzuryu","@KiryuuKuzuryu")</f>
        <v>@KiryuuKuzuryu</v>
      </c>
      <c r="C5668" t="s">
        <v>2711</v>
      </c>
      <c r="D5668">
        <v>123</v>
      </c>
      <c r="E5668">
        <v>0</v>
      </c>
      <c r="F5668">
        <v>194</v>
      </c>
    </row>
    <row r="5669" spans="1:6" ht="12.75">
      <c r="A5669" s="2">
        <v>43882.865208333329</v>
      </c>
      <c r="B5669" t="str">
        <f>HYPERLINK("https://twitter.com/Donie248","@Donie248")</f>
        <v>@Donie248</v>
      </c>
      <c r="C5669" t="s">
        <v>2119</v>
      </c>
      <c r="D5669">
        <v>355</v>
      </c>
      <c r="E5669">
        <v>0</v>
      </c>
      <c r="F5669">
        <v>287</v>
      </c>
    </row>
    <row r="5670" spans="1:6" ht="12.75">
      <c r="A5670" s="2">
        <v>43882.865069444444</v>
      </c>
      <c r="B5670" t="str">
        <f>HYPERLINK("https://twitter.com/Michael79820241","@Michael79820241")</f>
        <v>@Michael79820241</v>
      </c>
      <c r="C5670" t="s">
        <v>2119</v>
      </c>
      <c r="D5670">
        <v>355</v>
      </c>
      <c r="E5670">
        <v>0</v>
      </c>
      <c r="F5670">
        <v>104</v>
      </c>
    </row>
    <row r="5671" spans="1:6" ht="12.75">
      <c r="A5671" s="2">
        <v>43882.864965277782</v>
      </c>
      <c r="B5671" t="str">
        <f>HYPERLINK("https://twitter.com/liboriuswagner","@liboriuswagner")</f>
        <v>@liboriuswagner</v>
      </c>
      <c r="C5671" t="s">
        <v>2119</v>
      </c>
      <c r="D5671">
        <v>355</v>
      </c>
      <c r="E5671">
        <v>0</v>
      </c>
      <c r="F5671">
        <v>283</v>
      </c>
    </row>
    <row r="5672" spans="1:6" ht="12.75">
      <c r="A5672" s="2">
        <v>43882.864664351851</v>
      </c>
      <c r="B5672" t="str">
        <f>HYPERLINK("https://twitter.com/trisonsimanguns","@trisonsimanguns")</f>
        <v>@trisonsimanguns</v>
      </c>
      <c r="C5672" t="s">
        <v>4317</v>
      </c>
      <c r="D5672">
        <v>0</v>
      </c>
      <c r="E5672">
        <v>1</v>
      </c>
      <c r="F5672">
        <v>1958</v>
      </c>
    </row>
    <row r="5673" spans="1:6" ht="12.75">
      <c r="A5673" s="2">
        <v>43882.86440972222</v>
      </c>
      <c r="B5673" t="str">
        <f>HYPERLINK("https://twitter.com/champoet","@champoet")</f>
        <v>@champoet</v>
      </c>
      <c r="C5673" t="s">
        <v>3532</v>
      </c>
      <c r="D5673">
        <v>31</v>
      </c>
      <c r="E5673">
        <v>0</v>
      </c>
      <c r="F5673">
        <v>248</v>
      </c>
    </row>
    <row r="5674" spans="1:6" ht="12.75">
      <c r="A5674" s="2">
        <v>43882.864270833335</v>
      </c>
      <c r="B5674" t="str">
        <f>HYPERLINK("https://twitter.com/isis_souza15","@isis_souza15")</f>
        <v>@isis_souza15</v>
      </c>
      <c r="C5674" t="s">
        <v>4318</v>
      </c>
      <c r="D5674">
        <v>3</v>
      </c>
      <c r="E5674">
        <v>0</v>
      </c>
      <c r="F5674">
        <v>255</v>
      </c>
    </row>
    <row r="5675" spans="1:6" ht="12.75">
      <c r="A5675" s="2">
        <v>43882.864027777774</v>
      </c>
      <c r="B5675" t="str">
        <f>HYPERLINK("https://twitter.com/iqbalajaiqbal","@iqbalajaiqbal")</f>
        <v>@iqbalajaiqbal</v>
      </c>
      <c r="C5675" t="s">
        <v>3532</v>
      </c>
      <c r="D5675">
        <v>31</v>
      </c>
      <c r="E5675">
        <v>0</v>
      </c>
      <c r="F5675">
        <v>116</v>
      </c>
    </row>
    <row r="5676" spans="1:6" ht="12.75">
      <c r="A5676" s="2">
        <v>43882.863726851851</v>
      </c>
      <c r="B5676" t="str">
        <f>HYPERLINK("https://twitter.com/cokymarbun","@cokymarbun")</f>
        <v>@cokymarbun</v>
      </c>
      <c r="C5676" t="s">
        <v>2119</v>
      </c>
      <c r="D5676">
        <v>355</v>
      </c>
      <c r="E5676">
        <v>0</v>
      </c>
      <c r="F5676">
        <v>1353</v>
      </c>
    </row>
    <row r="5677" spans="1:6" ht="12.75">
      <c r="A5677" s="2">
        <v>43882.863530092596</v>
      </c>
      <c r="B5677" t="str">
        <f>HYPERLINK("https://twitter.com/theidlewords","@theidlewords")</f>
        <v>@theidlewords</v>
      </c>
      <c r="C5677" t="s">
        <v>2711</v>
      </c>
      <c r="D5677">
        <v>123</v>
      </c>
      <c r="E5677">
        <v>0</v>
      </c>
      <c r="F5677">
        <v>1854</v>
      </c>
    </row>
    <row r="5678" spans="1:6" ht="12.75">
      <c r="A5678" s="2">
        <v>43882.863449074073</v>
      </c>
      <c r="B5678" t="str">
        <f>HYPERLINK("https://twitter.com/idntimes","@idntimes")</f>
        <v>@idntimes</v>
      </c>
      <c r="C5678" t="s">
        <v>4319</v>
      </c>
      <c r="D5678">
        <v>0</v>
      </c>
      <c r="E5678">
        <v>0</v>
      </c>
      <c r="F5678">
        <v>393137</v>
      </c>
    </row>
    <row r="5679" spans="1:6" ht="12.75">
      <c r="A5679" s="2">
        <v>43882.86341435185</v>
      </c>
      <c r="B5679" t="str">
        <f>HYPERLINK("https://twitter.com/99Ohhani","@99Ohhani")</f>
        <v>@99Ohhani</v>
      </c>
      <c r="C5679" t="s">
        <v>3532</v>
      </c>
      <c r="D5679">
        <v>31</v>
      </c>
      <c r="E5679">
        <v>0</v>
      </c>
      <c r="F5679">
        <v>1338</v>
      </c>
    </row>
    <row r="5680" spans="1:6" ht="12.75">
      <c r="A5680" s="2">
        <v>43882.862962962958</v>
      </c>
      <c r="B5680" t="str">
        <f>HYPERLINK("https://twitter.com/aykcid","@aykcid")</f>
        <v>@aykcid</v>
      </c>
      <c r="C5680" t="s">
        <v>4320</v>
      </c>
      <c r="D5680">
        <v>0</v>
      </c>
      <c r="E5680">
        <v>0</v>
      </c>
      <c r="F5680">
        <v>102</v>
      </c>
    </row>
    <row r="5681" spans="1:6" ht="12.75">
      <c r="A5681" s="2">
        <v>43882.862881944442</v>
      </c>
      <c r="B5681" t="str">
        <f>HYPERLINK("https://twitter.com/HighwayHeaven07","@HighwayHeaven07")</f>
        <v>@HighwayHeaven07</v>
      </c>
      <c r="C5681" t="s">
        <v>4321</v>
      </c>
      <c r="D5681">
        <v>17</v>
      </c>
      <c r="E5681">
        <v>0</v>
      </c>
      <c r="F5681">
        <v>54</v>
      </c>
    </row>
    <row r="5682" spans="1:6" ht="12.75">
      <c r="A5682" s="2">
        <v>43882.862361111111</v>
      </c>
      <c r="B5682" t="str">
        <f>HYPERLINK("https://twitter.com/heriapit","@heriapit")</f>
        <v>@heriapit</v>
      </c>
      <c r="C5682" t="s">
        <v>4322</v>
      </c>
      <c r="D5682">
        <v>0</v>
      </c>
      <c r="E5682">
        <v>0</v>
      </c>
      <c r="F5682">
        <v>23</v>
      </c>
    </row>
    <row r="5683" spans="1:6" ht="12.75">
      <c r="A5683" s="2">
        <v>43882.862314814818</v>
      </c>
      <c r="B5683" t="str">
        <f>HYPERLINK("https://twitter.com/fadhilferdaus","@fadhilferdaus")</f>
        <v>@fadhilferdaus</v>
      </c>
      <c r="C5683" t="s">
        <v>4323</v>
      </c>
      <c r="D5683">
        <v>0</v>
      </c>
      <c r="E5683">
        <v>0</v>
      </c>
      <c r="F5683">
        <v>58</v>
      </c>
    </row>
    <row r="5684" spans="1:6" ht="12.75">
      <c r="A5684" s="2">
        <v>43882.862268518518</v>
      </c>
      <c r="B5684" t="str">
        <f>HYPERLINK("https://twitter.com/fxrhnh","@fxrhnh")</f>
        <v>@fxrhnh</v>
      </c>
      <c r="C5684" t="s">
        <v>2711</v>
      </c>
      <c r="D5684">
        <v>123</v>
      </c>
      <c r="E5684">
        <v>0</v>
      </c>
      <c r="F5684">
        <v>677</v>
      </c>
    </row>
    <row r="5685" spans="1:6" ht="12.75">
      <c r="A5685" s="2">
        <v>43882.862210648149</v>
      </c>
      <c r="B5685" t="str">
        <f>HYPERLINK("https://twitter.com/mostradio1058fm","@mostradio1058fm")</f>
        <v>@mostradio1058fm</v>
      </c>
      <c r="C5685" t="s">
        <v>4324</v>
      </c>
      <c r="D5685">
        <v>0</v>
      </c>
      <c r="E5685">
        <v>0</v>
      </c>
      <c r="F5685">
        <v>75408</v>
      </c>
    </row>
    <row r="5686" spans="1:6" ht="12.75">
      <c r="A5686" s="2">
        <v>43882.861979166672</v>
      </c>
      <c r="B5686" t="str">
        <f>HYPERLINK("https://twitter.com/Shera_Yuuri","@Shera_Yuuri")</f>
        <v>@Shera_Yuuri</v>
      </c>
      <c r="C5686" t="s">
        <v>2711</v>
      </c>
      <c r="D5686">
        <v>123</v>
      </c>
      <c r="E5686">
        <v>0</v>
      </c>
      <c r="F5686">
        <v>144</v>
      </c>
    </row>
    <row r="5687" spans="1:6" ht="12.75">
      <c r="A5687" s="2">
        <v>43882.861481481479</v>
      </c>
      <c r="B5687" t="str">
        <f>HYPERLINK("https://twitter.com/boboho378","@boboho378")</f>
        <v>@boboho378</v>
      </c>
      <c r="C5687" t="s">
        <v>2119</v>
      </c>
      <c r="D5687">
        <v>355</v>
      </c>
      <c r="E5687">
        <v>0</v>
      </c>
      <c r="F5687">
        <v>150</v>
      </c>
    </row>
    <row r="5688" spans="1:6" ht="12.75">
      <c r="A5688" s="2">
        <v>43882.861354166671</v>
      </c>
      <c r="B5688" t="str">
        <f>HYPERLINK("https://twitter.com/bintangcanopus_","@bintangcanopus_")</f>
        <v>@bintangcanopus_</v>
      </c>
      <c r="C5688" t="s">
        <v>4325</v>
      </c>
      <c r="D5688">
        <v>0</v>
      </c>
      <c r="E5688">
        <v>0</v>
      </c>
      <c r="F5688">
        <v>478</v>
      </c>
    </row>
    <row r="5689" spans="1:6" ht="12.75">
      <c r="A5689" s="2">
        <v>43882.861284722225</v>
      </c>
      <c r="B5689" t="str">
        <f>HYPERLINK("https://twitter.com/manora6383","@manora6383")</f>
        <v>@manora6383</v>
      </c>
      <c r="C5689" t="s">
        <v>4306</v>
      </c>
      <c r="D5689">
        <v>3</v>
      </c>
      <c r="E5689">
        <v>0</v>
      </c>
      <c r="F5689">
        <v>138</v>
      </c>
    </row>
    <row r="5690" spans="1:6" ht="12.75">
      <c r="A5690" s="2">
        <v>43882.861111111109</v>
      </c>
      <c r="B5690" t="str">
        <f>HYPERLINK("https://twitter.com/intansavhyraa","@intansavhyraa")</f>
        <v>@intansavhyraa</v>
      </c>
      <c r="C5690" t="s">
        <v>4326</v>
      </c>
      <c r="D5690">
        <v>3</v>
      </c>
      <c r="E5690">
        <v>0</v>
      </c>
      <c r="F5690">
        <v>867</v>
      </c>
    </row>
    <row r="5691" spans="1:6" ht="12.75">
      <c r="A5691" s="2">
        <v>43882.860960648148</v>
      </c>
      <c r="B5691" t="str">
        <f>HYPERLINK("https://twitter.com/nandothok","@nandothok")</f>
        <v>@nandothok</v>
      </c>
      <c r="C5691" t="s">
        <v>2119</v>
      </c>
      <c r="D5691">
        <v>355</v>
      </c>
      <c r="E5691">
        <v>0</v>
      </c>
      <c r="F5691">
        <v>334</v>
      </c>
    </row>
    <row r="5692" spans="1:6" ht="12.75">
      <c r="A5692" s="2">
        <v>43882.860613425924</v>
      </c>
      <c r="B5692" t="str">
        <f>HYPERLINK("https://twitter.com/anam_arista","@anam_arista")</f>
        <v>@anam_arista</v>
      </c>
      <c r="C5692" t="s">
        <v>2119</v>
      </c>
      <c r="D5692">
        <v>355</v>
      </c>
      <c r="E5692">
        <v>0</v>
      </c>
      <c r="F5692">
        <v>32</v>
      </c>
    </row>
    <row r="5693" spans="1:6" ht="12.75">
      <c r="A5693" s="2">
        <v>43882.860416666663</v>
      </c>
      <c r="B5693" t="str">
        <f>HYPERLINK("https://twitter.com/kadrun77853825","@kadrun77853825")</f>
        <v>@kadrun77853825</v>
      </c>
      <c r="C5693" t="s">
        <v>2119</v>
      </c>
      <c r="D5693">
        <v>355</v>
      </c>
      <c r="E5693">
        <v>0</v>
      </c>
      <c r="F5693">
        <v>963</v>
      </c>
    </row>
    <row r="5694" spans="1:6" ht="12.75">
      <c r="A5694" s="2">
        <v>43882.860081018516</v>
      </c>
      <c r="B5694" t="str">
        <f>HYPERLINK("https://twitter.com/Mat_Erk","@Mat_Erk")</f>
        <v>@Mat_Erk</v>
      </c>
      <c r="C5694" t="s">
        <v>4327</v>
      </c>
      <c r="D5694">
        <v>0</v>
      </c>
      <c r="E5694">
        <v>0</v>
      </c>
      <c r="F5694">
        <v>96</v>
      </c>
    </row>
    <row r="5695" spans="1:6" ht="12.75">
      <c r="A5695" s="2">
        <v>43882.859907407408</v>
      </c>
      <c r="B5695" t="str">
        <f>HYPERLINK("https://twitter.com/dwiraha00586436","@dwiraha00586436")</f>
        <v>@dwiraha00586436</v>
      </c>
      <c r="C5695" t="s">
        <v>4328</v>
      </c>
      <c r="D5695">
        <v>0</v>
      </c>
      <c r="E5695">
        <v>0</v>
      </c>
      <c r="F5695">
        <v>6</v>
      </c>
    </row>
    <row r="5696" spans="1:6" ht="12.75">
      <c r="A5696" s="2">
        <v>43882.85938657407</v>
      </c>
      <c r="B5696" t="str">
        <f>HYPERLINK("https://twitter.com/yanxsetiahardja","@yanxsetiahardja")</f>
        <v>@yanxsetiahardja</v>
      </c>
      <c r="C5696" t="s">
        <v>4329</v>
      </c>
      <c r="D5696">
        <v>41</v>
      </c>
      <c r="E5696">
        <v>0</v>
      </c>
      <c r="F5696">
        <v>273</v>
      </c>
    </row>
    <row r="5697" spans="1:6" ht="12.75">
      <c r="A5697" s="2">
        <v>43882.858182870375</v>
      </c>
      <c r="B5697" t="str">
        <f>HYPERLINK("https://twitter.com/fitzalku","@fitzalku")</f>
        <v>@fitzalku</v>
      </c>
      <c r="C5697" t="s">
        <v>2119</v>
      </c>
      <c r="D5697">
        <v>355</v>
      </c>
      <c r="E5697">
        <v>0</v>
      </c>
      <c r="F5697">
        <v>18</v>
      </c>
    </row>
    <row r="5698" spans="1:6" ht="12.75">
      <c r="A5698" s="2">
        <v>43882.858171296291</v>
      </c>
      <c r="B5698" t="str">
        <f>HYPERLINK("https://twitter.com/butterfly66613","@butterfly66613")</f>
        <v>@butterfly66613</v>
      </c>
      <c r="C5698" t="s">
        <v>4330</v>
      </c>
      <c r="D5698">
        <v>0</v>
      </c>
      <c r="E5698">
        <v>0</v>
      </c>
      <c r="F5698">
        <v>36</v>
      </c>
    </row>
    <row r="5699" spans="1:6" ht="12.75">
      <c r="A5699" s="2">
        <v>43882.858101851853</v>
      </c>
      <c r="B5699" t="str">
        <f>HYPERLINK("https://twitter.com/demokrasicoid","@demokrasicoid")</f>
        <v>@demokrasicoid</v>
      </c>
      <c r="C5699" t="s">
        <v>4331</v>
      </c>
      <c r="D5699">
        <v>0</v>
      </c>
      <c r="E5699">
        <v>0</v>
      </c>
      <c r="F5699">
        <v>22442</v>
      </c>
    </row>
    <row r="5700" spans="1:6" ht="12.75">
      <c r="A5700" s="2">
        <v>43882.857800925922</v>
      </c>
      <c r="B5700" t="str">
        <f>HYPERLINK("https://twitter.com/semiaji_w","@semiaji_w")</f>
        <v>@semiaji_w</v>
      </c>
      <c r="C5700" t="s">
        <v>2119</v>
      </c>
      <c r="D5700">
        <v>355</v>
      </c>
      <c r="E5700">
        <v>0</v>
      </c>
      <c r="F5700">
        <v>23848</v>
      </c>
    </row>
    <row r="5701" spans="1:6" ht="12.75">
      <c r="A5701" s="2">
        <v>43882.857685185183</v>
      </c>
      <c r="B5701" t="str">
        <f>HYPERLINK("https://twitter.com/forddyce92","@forddyce92")</f>
        <v>@forddyce92</v>
      </c>
      <c r="C5701" t="s">
        <v>4332</v>
      </c>
      <c r="D5701">
        <v>0</v>
      </c>
      <c r="E5701">
        <v>0</v>
      </c>
      <c r="F5701">
        <v>26</v>
      </c>
    </row>
    <row r="5702" spans="1:6" ht="12.75">
      <c r="A5702" s="2">
        <v>43882.857592592598</v>
      </c>
      <c r="B5702" t="str">
        <f>HYPERLINK("https://twitter.com/Fannytjio1","@Fannytjio1")</f>
        <v>@Fannytjio1</v>
      </c>
      <c r="C5702" t="s">
        <v>2119</v>
      </c>
      <c r="D5702">
        <v>355</v>
      </c>
      <c r="E5702">
        <v>0</v>
      </c>
      <c r="F5702">
        <v>38</v>
      </c>
    </row>
    <row r="5703" spans="1:6" ht="12.75">
      <c r="A5703" s="2">
        <v>43882.85701388889</v>
      </c>
      <c r="B5703" t="str">
        <f>HYPERLINK("https://twitter.com/AlBanna57697952","@AlBanna57697952")</f>
        <v>@AlBanna57697952</v>
      </c>
      <c r="C5703" t="s">
        <v>2119</v>
      </c>
      <c r="D5703">
        <v>355</v>
      </c>
      <c r="E5703">
        <v>0</v>
      </c>
      <c r="F5703">
        <v>48</v>
      </c>
    </row>
    <row r="5704" spans="1:6" ht="12.75">
      <c r="A5704" s="2">
        <v>43882.856840277775</v>
      </c>
      <c r="B5704" t="str">
        <f>HYPERLINK("https://twitter.com/PribumiMalaka","@PribumiMalaka")</f>
        <v>@PribumiMalaka</v>
      </c>
      <c r="C5704" t="s">
        <v>4333</v>
      </c>
      <c r="D5704">
        <v>1</v>
      </c>
      <c r="E5704">
        <v>0</v>
      </c>
      <c r="F5704">
        <v>112</v>
      </c>
    </row>
    <row r="5705" spans="1:6" ht="12.75">
      <c r="A5705" s="2">
        <v>43882.856724537036</v>
      </c>
      <c r="B5705" t="str">
        <f>HYPERLINK("https://twitter.com/muriloviniicius","@muriloviniicius")</f>
        <v>@muriloviniicius</v>
      </c>
      <c r="C5705" t="s">
        <v>4334</v>
      </c>
      <c r="D5705">
        <v>0</v>
      </c>
      <c r="E5705">
        <v>0</v>
      </c>
      <c r="F5705">
        <v>56</v>
      </c>
    </row>
    <row r="5706" spans="1:6" ht="12.75">
      <c r="A5706" s="2">
        <v>43882.856412037036</v>
      </c>
      <c r="B5706" t="str">
        <f>HYPERLINK("https://twitter.com/jawapos","@jawapos")</f>
        <v>@jawapos</v>
      </c>
      <c r="C5706" t="s">
        <v>4291</v>
      </c>
      <c r="D5706">
        <v>1</v>
      </c>
      <c r="E5706">
        <v>0</v>
      </c>
      <c r="F5706">
        <v>119876</v>
      </c>
    </row>
    <row r="5707" spans="1:6" ht="12.75">
      <c r="A5707" s="2">
        <v>43882.856412037036</v>
      </c>
      <c r="B5707" t="str">
        <f>HYPERLINK("https://twitter.com/J_JK2019","@J_JK2019")</f>
        <v>@J_JK2019</v>
      </c>
      <c r="C5707" t="s">
        <v>2119</v>
      </c>
      <c r="D5707">
        <v>355</v>
      </c>
      <c r="E5707">
        <v>0</v>
      </c>
      <c r="F5707">
        <v>796</v>
      </c>
    </row>
    <row r="5708" spans="1:6" ht="12.75">
      <c r="A5708" s="2">
        <v>43882.856273148151</v>
      </c>
      <c r="B5708" t="str">
        <f>HYPERLINK("https://twitter.com/okezonenews","@okezonenews")</f>
        <v>@okezonenews</v>
      </c>
      <c r="C5708" t="s">
        <v>4335</v>
      </c>
      <c r="D5708">
        <v>0</v>
      </c>
      <c r="E5708">
        <v>0</v>
      </c>
      <c r="F5708">
        <v>1743172</v>
      </c>
    </row>
    <row r="5709" spans="1:6" ht="12.75">
      <c r="A5709" s="2">
        <v>43882.856041666666</v>
      </c>
      <c r="B5709" t="str">
        <f>HYPERLINK("https://twitter.com/bambam969iclou1","@bambam969iclou1")</f>
        <v>@bambam969iclou1</v>
      </c>
      <c r="C5709" t="s">
        <v>2119</v>
      </c>
      <c r="D5709">
        <v>355</v>
      </c>
      <c r="E5709">
        <v>0</v>
      </c>
      <c r="F5709">
        <v>1200</v>
      </c>
    </row>
    <row r="5710" spans="1:6" ht="12.75">
      <c r="A5710" s="2">
        <v>43882.855856481481</v>
      </c>
      <c r="B5710" t="str">
        <f>HYPERLINK("https://twitter.com/htsubiyantoro","@htsubiyantoro")</f>
        <v>@htsubiyantoro</v>
      </c>
      <c r="C5710" t="s">
        <v>2119</v>
      </c>
      <c r="D5710">
        <v>355</v>
      </c>
      <c r="E5710">
        <v>0</v>
      </c>
      <c r="F5710">
        <v>2774</v>
      </c>
    </row>
    <row r="5711" spans="1:6" ht="12.75">
      <c r="A5711" s="2">
        <v>43882.855729166666</v>
      </c>
      <c r="B5711" t="str">
        <f>HYPERLINK("https://twitter.com/amexcahndeso","@amexcahndeso")</f>
        <v>@amexcahndeso</v>
      </c>
      <c r="C5711" t="s">
        <v>4336</v>
      </c>
      <c r="D5711">
        <v>0</v>
      </c>
      <c r="E5711">
        <v>0</v>
      </c>
      <c r="F5711">
        <v>582</v>
      </c>
    </row>
    <row r="5712" spans="1:6" ht="12.75">
      <c r="A5712" s="2">
        <v>43882.854490740741</v>
      </c>
      <c r="B5712" t="str">
        <f>HYPERLINK("https://twitter.com/hyeneulssi","@hyeneulssi")</f>
        <v>@hyeneulssi</v>
      </c>
      <c r="C5712" t="s">
        <v>4337</v>
      </c>
      <c r="D5712">
        <v>0</v>
      </c>
      <c r="E5712">
        <v>1</v>
      </c>
      <c r="F5712">
        <v>240</v>
      </c>
    </row>
    <row r="5713" spans="1:6" ht="12.75">
      <c r="A5713" s="2">
        <v>43882.85434027778</v>
      </c>
      <c r="B5713" t="str">
        <f>HYPERLINK("https://twitter.com/MNCNewsroom","@MNCNewsroom")</f>
        <v>@MNCNewsroom</v>
      </c>
      <c r="C5713" t="s">
        <v>4338</v>
      </c>
      <c r="D5713">
        <v>0</v>
      </c>
      <c r="E5713">
        <v>0</v>
      </c>
      <c r="F5713">
        <v>17548</v>
      </c>
    </row>
    <row r="5714" spans="1:6" ht="12.75">
      <c r="A5714" s="2">
        <v>43882.853634259256</v>
      </c>
      <c r="B5714" t="str">
        <f>HYPERLINK("https://twitter.com/RcIbee","@RcIbee")</f>
        <v>@RcIbee</v>
      </c>
      <c r="C5714" t="s">
        <v>2119</v>
      </c>
      <c r="D5714">
        <v>355</v>
      </c>
      <c r="E5714">
        <v>0</v>
      </c>
      <c r="F5714">
        <v>361</v>
      </c>
    </row>
    <row r="5715" spans="1:6" ht="12.75">
      <c r="A5715" s="2">
        <v>43882.853506944448</v>
      </c>
      <c r="B5715" t="str">
        <f>HYPERLINK("https://twitter.com/AnakAbuNawas","@AnakAbuNawas")</f>
        <v>@AnakAbuNawas</v>
      </c>
      <c r="C5715" t="s">
        <v>3532</v>
      </c>
      <c r="D5715">
        <v>31</v>
      </c>
      <c r="E5715">
        <v>0</v>
      </c>
      <c r="F5715">
        <v>94</v>
      </c>
    </row>
    <row r="5716" spans="1:6" ht="12.75">
      <c r="A5716" s="2">
        <v>43882.853136574078</v>
      </c>
      <c r="B5716" t="str">
        <f>HYPERLINK("https://twitter.com/Mangkel_on","@Mangkel_on")</f>
        <v>@Mangkel_on</v>
      </c>
      <c r="C5716" t="s">
        <v>3532</v>
      </c>
      <c r="D5716">
        <v>31</v>
      </c>
      <c r="E5716">
        <v>0</v>
      </c>
      <c r="F5716">
        <v>714</v>
      </c>
    </row>
    <row r="5717" spans="1:6" ht="12.75">
      <c r="A5717" s="2">
        <v>43882.853067129632</v>
      </c>
      <c r="B5717" t="str">
        <f>HYPERLINK("https://twitter.com/ronindrawan","@ronindrawan")</f>
        <v>@ronindrawan</v>
      </c>
      <c r="C5717" t="s">
        <v>2119</v>
      </c>
      <c r="D5717">
        <v>355</v>
      </c>
      <c r="E5717">
        <v>0</v>
      </c>
      <c r="F5717">
        <v>719</v>
      </c>
    </row>
    <row r="5718" spans="1:6" ht="12.75">
      <c r="A5718" s="2">
        <v>43882.85256944444</v>
      </c>
      <c r="B5718" t="str">
        <f>HYPERLINK("https://twitter.com/catreonot","@catreonot")</f>
        <v>@catreonot</v>
      </c>
      <c r="C5718" t="s">
        <v>4073</v>
      </c>
      <c r="D5718">
        <v>8</v>
      </c>
      <c r="E5718">
        <v>0</v>
      </c>
      <c r="F5718">
        <v>211</v>
      </c>
    </row>
    <row r="5719" spans="1:6" ht="12.75">
      <c r="A5719" s="2">
        <v>43882.852210648147</v>
      </c>
      <c r="B5719" t="str">
        <f>HYPERLINK("https://twitter.com/MelayuTulin72","@MelayuTulin72")</f>
        <v>@MelayuTulin72</v>
      </c>
      <c r="C5719" t="s">
        <v>4339</v>
      </c>
      <c r="D5719">
        <v>3</v>
      </c>
      <c r="E5719">
        <v>3</v>
      </c>
      <c r="F5719">
        <v>410</v>
      </c>
    </row>
    <row r="5720" spans="1:6" ht="12.75">
      <c r="A5720" s="2">
        <v>43882.852106481485</v>
      </c>
      <c r="B5720" t="str">
        <f>HYPERLINK("https://twitter.com/Elmiimiarti","@Elmiimiarti")</f>
        <v>@Elmiimiarti</v>
      </c>
      <c r="C5720" t="s">
        <v>2467</v>
      </c>
      <c r="D5720">
        <v>901</v>
      </c>
      <c r="E5720">
        <v>0</v>
      </c>
      <c r="F5720">
        <v>425</v>
      </c>
    </row>
    <row r="5721" spans="1:6" ht="12.75">
      <c r="A5721" s="2">
        <v>43882.834918981476</v>
      </c>
      <c r="B5721" t="str">
        <f>HYPERLINK("https://twitter.com/PEDOMAN_id","@PEDOMAN_id")</f>
        <v>@PEDOMAN_id</v>
      </c>
      <c r="C5721" t="s">
        <v>4340</v>
      </c>
      <c r="D5721">
        <v>0</v>
      </c>
      <c r="E5721">
        <v>0</v>
      </c>
      <c r="F5721">
        <v>60375</v>
      </c>
    </row>
    <row r="5722" spans="1:6" ht="12.75">
      <c r="A5722" s="2">
        <v>43882.834710648152</v>
      </c>
      <c r="B5722" t="str">
        <f>HYPERLINK("https://twitter.com/BillTemporo","@BillTemporo")</f>
        <v>@BillTemporo</v>
      </c>
      <c r="C5722" t="s">
        <v>832</v>
      </c>
      <c r="D5722">
        <v>0</v>
      </c>
      <c r="E5722">
        <v>0</v>
      </c>
      <c r="F5722">
        <v>11</v>
      </c>
    </row>
    <row r="5723" spans="1:6" ht="12.75">
      <c r="A5723" s="2">
        <v>43882.83458333333</v>
      </c>
      <c r="B5723" t="str">
        <f>HYPERLINK("https://twitter.com/AnikXelfi","@AnikXelfi")</f>
        <v>@AnikXelfi</v>
      </c>
      <c r="C5723" t="s">
        <v>2119</v>
      </c>
      <c r="D5723">
        <v>310</v>
      </c>
      <c r="E5723">
        <v>0</v>
      </c>
      <c r="F5723">
        <v>206</v>
      </c>
    </row>
    <row r="5724" spans="1:6" ht="12.75">
      <c r="A5724" s="2">
        <v>43882.834548611107</v>
      </c>
      <c r="B5724" t="str">
        <f>HYPERLINK("https://twitter.com/Iwan90","@Iwan90")</f>
        <v>@Iwan90</v>
      </c>
      <c r="C5724" t="s">
        <v>2119</v>
      </c>
      <c r="D5724">
        <v>310</v>
      </c>
      <c r="E5724">
        <v>0</v>
      </c>
      <c r="F5724">
        <v>5034</v>
      </c>
    </row>
    <row r="5725" spans="1:6" ht="12.75">
      <c r="A5725" s="2">
        <v>43882.833715277782</v>
      </c>
      <c r="B5725" t="str">
        <f>HYPERLINK("https://twitter.com/sayangicom","@sayangicom")</f>
        <v>@sayangicom</v>
      </c>
      <c r="C5725" t="s">
        <v>4341</v>
      </c>
      <c r="D5725">
        <v>0</v>
      </c>
      <c r="E5725">
        <v>0</v>
      </c>
      <c r="F5725">
        <v>1564</v>
      </c>
    </row>
    <row r="5726" spans="1:6" ht="12.75">
      <c r="A5726" s="2">
        <v>43882.833634259259</v>
      </c>
      <c r="B5726" t="str">
        <f>HYPERLINK("https://twitter.com/Izznaq","@Izznaq")</f>
        <v>@Izznaq</v>
      </c>
      <c r="C5726" t="s">
        <v>2119</v>
      </c>
      <c r="D5726">
        <v>310</v>
      </c>
      <c r="E5726">
        <v>0</v>
      </c>
      <c r="F5726">
        <v>856</v>
      </c>
    </row>
    <row r="5727" spans="1:6" ht="12.75">
      <c r="A5727" s="2">
        <v>43882.833530092597</v>
      </c>
      <c r="B5727" t="str">
        <f>HYPERLINK("https://twitter.com/zizak_63","@zizak_63")</f>
        <v>@zizak_63</v>
      </c>
      <c r="C5727" t="s">
        <v>4342</v>
      </c>
      <c r="D5727">
        <v>0</v>
      </c>
      <c r="E5727">
        <v>0</v>
      </c>
      <c r="F5727">
        <v>434</v>
      </c>
    </row>
    <row r="5728" spans="1:6" ht="12.75">
      <c r="A5728" s="2">
        <v>43882.83326388889</v>
      </c>
      <c r="B5728" t="str">
        <f>HYPERLINK("https://twitter.com/AgusRiy76548135","@AgusRiy76548135")</f>
        <v>@AgusRiy76548135</v>
      </c>
      <c r="C5728" t="s">
        <v>2119</v>
      </c>
      <c r="D5728">
        <v>310</v>
      </c>
      <c r="E5728">
        <v>0</v>
      </c>
      <c r="F5728">
        <v>2</v>
      </c>
    </row>
    <row r="5729" spans="1:6" ht="12.75">
      <c r="A5729" s="2">
        <v>43882.83216435185</v>
      </c>
      <c r="B5729" t="str">
        <f>HYPERLINK("https://twitter.com/_bellm","@_bellm")</f>
        <v>@_bellm</v>
      </c>
      <c r="C5729" t="s">
        <v>2711</v>
      </c>
      <c r="D5729">
        <v>108</v>
      </c>
      <c r="E5729">
        <v>0</v>
      </c>
      <c r="F5729">
        <v>83</v>
      </c>
    </row>
    <row r="5730" spans="1:6" ht="12.75">
      <c r="A5730" s="2">
        <v>43882.831782407404</v>
      </c>
      <c r="B5730" t="str">
        <f>HYPERLINK("https://twitter.com/Gulai_puyu","@Gulai_puyu")</f>
        <v>@Gulai_puyu</v>
      </c>
      <c r="C5730" t="s">
        <v>2119</v>
      </c>
      <c r="D5730">
        <v>310</v>
      </c>
      <c r="E5730">
        <v>0</v>
      </c>
      <c r="F5730">
        <v>456</v>
      </c>
    </row>
    <row r="5731" spans="1:6" ht="12.75">
      <c r="A5731" s="2">
        <v>43882.830451388887</v>
      </c>
      <c r="B5731" t="str">
        <f>HYPERLINK("https://twitter.com/aceh_antaranews","@aceh_antaranews")</f>
        <v>@aceh_antaranews</v>
      </c>
      <c r="C5731" t="s">
        <v>4343</v>
      </c>
      <c r="D5731">
        <v>0</v>
      </c>
      <c r="E5731">
        <v>0</v>
      </c>
      <c r="F5731">
        <v>1846</v>
      </c>
    </row>
    <row r="5732" spans="1:6" ht="12.75">
      <c r="A5732" s="2">
        <v>43882.830138888894</v>
      </c>
      <c r="B5732" t="str">
        <f>HYPERLINK("https://twitter.com/dhe_enoily","@dhe_enoily")</f>
        <v>@dhe_enoily</v>
      </c>
      <c r="C5732" t="s">
        <v>4344</v>
      </c>
      <c r="D5732">
        <v>1</v>
      </c>
      <c r="E5732">
        <v>0</v>
      </c>
      <c r="F5732">
        <v>2686</v>
      </c>
    </row>
    <row r="5733" spans="1:6" ht="12.75">
      <c r="A5733" s="2">
        <v>43882.830138888894</v>
      </c>
      <c r="B5733" t="str">
        <f>HYPERLINK("https://twitter.com/lovingyoun_","@lovingyoun_")</f>
        <v>@lovingyoun_</v>
      </c>
      <c r="C5733" t="s">
        <v>4345</v>
      </c>
      <c r="D5733">
        <v>0</v>
      </c>
      <c r="E5733">
        <v>0</v>
      </c>
      <c r="F5733">
        <v>16</v>
      </c>
    </row>
    <row r="5734" spans="1:6" ht="12.75">
      <c r="A5734" s="2">
        <v>43882.83</v>
      </c>
      <c r="B5734" t="str">
        <f>HYPERLINK("https://twitter.com/LineSpas","@LineSpas")</f>
        <v>@LineSpas</v>
      </c>
      <c r="C5734" t="s">
        <v>2119</v>
      </c>
      <c r="D5734">
        <v>310</v>
      </c>
      <c r="E5734">
        <v>0</v>
      </c>
      <c r="F5734">
        <v>66</v>
      </c>
    </row>
    <row r="5735" spans="1:6" ht="12.75">
      <c r="A5735" s="2">
        <v>43882.83</v>
      </c>
      <c r="B5735" t="str">
        <f>HYPERLINK("https://twitter.com/SabarHutapea2","@SabarHutapea2")</f>
        <v>@SabarHutapea2</v>
      </c>
      <c r="C5735" t="s">
        <v>2119</v>
      </c>
      <c r="D5735">
        <v>310</v>
      </c>
      <c r="E5735">
        <v>0</v>
      </c>
      <c r="F5735">
        <v>62</v>
      </c>
    </row>
    <row r="5736" spans="1:6" ht="12.75">
      <c r="A5736" s="2">
        <v>43882.829780092594</v>
      </c>
      <c r="B5736" t="str">
        <f>HYPERLINK("https://twitter.com/karmatiranda","@karmatiranda")</f>
        <v>@karmatiranda</v>
      </c>
      <c r="C5736" t="s">
        <v>4346</v>
      </c>
      <c r="D5736">
        <v>0</v>
      </c>
      <c r="E5736">
        <v>0</v>
      </c>
      <c r="F5736">
        <v>8</v>
      </c>
    </row>
    <row r="5737" spans="1:6" ht="12.75">
      <c r="A5737" s="2">
        <v>43882.829340277778</v>
      </c>
      <c r="B5737" t="str">
        <f>HYPERLINK("https://twitter.com/loved_meiri","@loved_meiri")</f>
        <v>@loved_meiri</v>
      </c>
      <c r="C5737" t="s">
        <v>4347</v>
      </c>
      <c r="D5737">
        <v>3</v>
      </c>
      <c r="E5737">
        <v>0</v>
      </c>
      <c r="F5737">
        <v>92</v>
      </c>
    </row>
    <row r="5738" spans="1:6" ht="12.75">
      <c r="A5738" s="2">
        <v>43882.828946759255</v>
      </c>
      <c r="B5738" t="str">
        <f>HYPERLINK("https://twitter.com/gunturPangestu_","@gunturPangestu_")</f>
        <v>@gunturPangestu_</v>
      </c>
      <c r="C5738" t="s">
        <v>4348</v>
      </c>
      <c r="D5738">
        <v>0</v>
      </c>
      <c r="E5738">
        <v>0</v>
      </c>
      <c r="F5738">
        <v>78</v>
      </c>
    </row>
    <row r="5739" spans="1:6" ht="12.75">
      <c r="A5739" s="2">
        <v>43882.828703703708</v>
      </c>
      <c r="B5739" t="str">
        <f>HYPERLINK("https://twitter.com/pilotignews","@pilotignews")</f>
        <v>@pilotignews</v>
      </c>
      <c r="C5739" t="s">
        <v>4307</v>
      </c>
      <c r="D5739">
        <v>0</v>
      </c>
      <c r="E5739">
        <v>0</v>
      </c>
      <c r="F5739">
        <v>28</v>
      </c>
    </row>
    <row r="5740" spans="1:6" ht="12.75">
      <c r="A5740" s="2">
        <v>43882.828599537039</v>
      </c>
      <c r="B5740" t="str">
        <f>HYPERLINK("https://twitter.com/MohHana09469935","@MohHana09469935")</f>
        <v>@MohHana09469935</v>
      </c>
      <c r="C5740" t="s">
        <v>2119</v>
      </c>
      <c r="D5740">
        <v>310</v>
      </c>
      <c r="E5740">
        <v>0</v>
      </c>
      <c r="F5740">
        <v>832</v>
      </c>
    </row>
    <row r="5741" spans="1:6" ht="12.75">
      <c r="A5741" s="2">
        <v>43882.828576388885</v>
      </c>
      <c r="B5741" t="str">
        <f>HYPERLINK("https://twitter.com/ZzzMeoz","@ZzzMeoz")</f>
        <v>@ZzzMeoz</v>
      </c>
      <c r="C5741" t="s">
        <v>2711</v>
      </c>
      <c r="D5741">
        <v>108</v>
      </c>
      <c r="E5741">
        <v>0</v>
      </c>
      <c r="F5741">
        <v>63</v>
      </c>
    </row>
    <row r="5742" spans="1:6" ht="12.75">
      <c r="A5742" s="2">
        <v>43882.827731481477</v>
      </c>
      <c r="B5742" t="str">
        <f>HYPERLINK("https://twitter.com/yawdasih","@yawdasih")</f>
        <v>@yawdasih</v>
      </c>
      <c r="C5742" t="s">
        <v>4349</v>
      </c>
      <c r="D5742">
        <v>0</v>
      </c>
      <c r="E5742">
        <v>0</v>
      </c>
      <c r="F5742">
        <v>322</v>
      </c>
    </row>
    <row r="5743" spans="1:6" ht="12.75">
      <c r="A5743" s="2">
        <v>43882.827662037038</v>
      </c>
      <c r="B5743" t="str">
        <f>HYPERLINK("https://twitter.com/HenkMizell","@HenkMizell")</f>
        <v>@HenkMizell</v>
      </c>
      <c r="C5743" t="s">
        <v>4350</v>
      </c>
      <c r="D5743">
        <v>0</v>
      </c>
      <c r="E5743">
        <v>0</v>
      </c>
      <c r="F5743">
        <v>19</v>
      </c>
    </row>
    <row r="5744" spans="1:6" ht="12.75">
      <c r="A5744" s="2">
        <v>43882.827546296292</v>
      </c>
      <c r="B5744" t="str">
        <f>HYPERLINK("https://twitter.com/propoflo","@propoflo")</f>
        <v>@propoflo</v>
      </c>
      <c r="C5744" t="s">
        <v>4351</v>
      </c>
      <c r="D5744">
        <v>0</v>
      </c>
      <c r="E5744">
        <v>0</v>
      </c>
      <c r="F5744">
        <v>87</v>
      </c>
    </row>
    <row r="5745" spans="1:6" ht="12.75">
      <c r="A5745" s="2">
        <v>43882.827546296292</v>
      </c>
      <c r="B5745" t="str">
        <f>HYPERLINK("https://twitter.com/Egha_Soft","@Egha_Soft")</f>
        <v>@Egha_Soft</v>
      </c>
      <c r="C5745" t="s">
        <v>2119</v>
      </c>
      <c r="D5745">
        <v>310</v>
      </c>
      <c r="E5745">
        <v>0</v>
      </c>
      <c r="F5745">
        <v>3315</v>
      </c>
    </row>
    <row r="5746" spans="1:6" ht="12.75">
      <c r="A5746" s="2">
        <v>43882.826944444445</v>
      </c>
      <c r="B5746" t="str">
        <f>HYPERLINK("https://twitter.com/lazuardanie82","@lazuardanie82")</f>
        <v>@lazuardanie82</v>
      </c>
      <c r="C5746" t="s">
        <v>2119</v>
      </c>
      <c r="D5746">
        <v>310</v>
      </c>
      <c r="E5746">
        <v>0</v>
      </c>
      <c r="F5746">
        <v>471</v>
      </c>
    </row>
    <row r="5747" spans="1:6" ht="12.75">
      <c r="A5747" s="2">
        <v>43882.826944444445</v>
      </c>
      <c r="B5747" t="str">
        <f>HYPERLINK("https://twitter.com/official_masboy","@official_masboy")</f>
        <v>@official_masboy</v>
      </c>
      <c r="C5747" t="s">
        <v>2119</v>
      </c>
      <c r="D5747">
        <v>310</v>
      </c>
      <c r="E5747">
        <v>0</v>
      </c>
      <c r="F5747">
        <v>65</v>
      </c>
    </row>
    <row r="5748" spans="1:6" ht="12.75">
      <c r="A5748" s="2">
        <v>43882.826863425929</v>
      </c>
      <c r="B5748" t="str">
        <f>HYPERLINK("https://twitter.com/sweethellena","@sweethellena")</f>
        <v>@sweethellena</v>
      </c>
      <c r="C5748" t="s">
        <v>4352</v>
      </c>
      <c r="D5748">
        <v>0</v>
      </c>
      <c r="E5748">
        <v>0</v>
      </c>
      <c r="F5748">
        <v>6157</v>
      </c>
    </row>
    <row r="5749" spans="1:6" ht="12.75">
      <c r="A5749" s="2">
        <v>43882.826574074075</v>
      </c>
      <c r="B5749" t="str">
        <f>HYPERLINK("https://twitter.com/pantau_com","@pantau_com")</f>
        <v>@pantau_com</v>
      </c>
      <c r="C5749" t="s">
        <v>4353</v>
      </c>
      <c r="D5749">
        <v>0</v>
      </c>
      <c r="E5749">
        <v>0</v>
      </c>
      <c r="F5749">
        <v>2109</v>
      </c>
    </row>
    <row r="5750" spans="1:6" ht="12.75">
      <c r="A5750" s="2">
        <v>43882.826435185183</v>
      </c>
      <c r="B5750" t="str">
        <f>HYPERLINK("https://twitter.com/Hegie_bae","@Hegie_bae")</f>
        <v>@Hegie_bae</v>
      </c>
      <c r="C5750" t="s">
        <v>3532</v>
      </c>
      <c r="D5750">
        <v>19</v>
      </c>
      <c r="E5750">
        <v>0</v>
      </c>
      <c r="F5750">
        <v>383</v>
      </c>
    </row>
    <row r="5751" spans="1:6" ht="12.75">
      <c r="A5751" s="2">
        <v>43882.825682870374</v>
      </c>
      <c r="B5751" t="str">
        <f>HYPERLINK("https://twitter.com/YohanesPatty2","@YohanesPatty2")</f>
        <v>@YohanesPatty2</v>
      </c>
      <c r="C5751" t="s">
        <v>4354</v>
      </c>
      <c r="D5751">
        <v>0</v>
      </c>
      <c r="E5751">
        <v>0</v>
      </c>
      <c r="F5751">
        <v>5640</v>
      </c>
    </row>
    <row r="5752" spans="1:6" ht="12.75">
      <c r="A5752" s="2">
        <v>43882.825590277775</v>
      </c>
      <c r="B5752" t="str">
        <f>HYPERLINK("https://twitter.com/SMentariS","@SMentariS")</f>
        <v>@SMentariS</v>
      </c>
      <c r="C5752" t="s">
        <v>2119</v>
      </c>
      <c r="D5752">
        <v>310</v>
      </c>
      <c r="E5752">
        <v>0</v>
      </c>
      <c r="F5752">
        <v>670</v>
      </c>
    </row>
    <row r="5753" spans="1:6" ht="12.75">
      <c r="A5753" s="2">
        <v>43882.825208333335</v>
      </c>
      <c r="B5753" t="str">
        <f>HYPERLINK("https://twitter.com/John_Muhan","@John_Muhan")</f>
        <v>@John_Muhan</v>
      </c>
      <c r="C5753" t="s">
        <v>3532</v>
      </c>
      <c r="D5753">
        <v>19</v>
      </c>
      <c r="E5753">
        <v>0</v>
      </c>
      <c r="F5753">
        <v>801</v>
      </c>
    </row>
    <row r="5754" spans="1:6" ht="12.75">
      <c r="A5754" s="2">
        <v>43882.825023148151</v>
      </c>
      <c r="B5754" t="str">
        <f>HYPERLINK("https://twitter.com/notacoffeemaker","@notacoffeemaker")</f>
        <v>@notacoffeemaker</v>
      </c>
      <c r="C5754" t="s">
        <v>4355</v>
      </c>
      <c r="D5754">
        <v>0</v>
      </c>
      <c r="E5754">
        <v>0</v>
      </c>
      <c r="F5754">
        <v>533</v>
      </c>
    </row>
    <row r="5755" spans="1:6" ht="12.75">
      <c r="A5755" s="2">
        <v>43882.824583333335</v>
      </c>
      <c r="B5755" t="str">
        <f>HYPERLINK("https://twitter.com/wahyukencono","@wahyukencono")</f>
        <v>@wahyukencono</v>
      </c>
      <c r="C5755" t="s">
        <v>4356</v>
      </c>
      <c r="D5755">
        <v>0</v>
      </c>
      <c r="E5755">
        <v>0</v>
      </c>
      <c r="F5755">
        <v>1063</v>
      </c>
    </row>
    <row r="5756" spans="1:6" ht="12.75">
      <c r="A5756" s="2">
        <v>43882.824247685188</v>
      </c>
      <c r="B5756" t="str">
        <f>HYPERLINK("https://twitter.com/WSetyorini2","@WSetyorini2")</f>
        <v>@WSetyorini2</v>
      </c>
      <c r="C5756" t="s">
        <v>4357</v>
      </c>
      <c r="D5756">
        <v>1</v>
      </c>
      <c r="E5756">
        <v>0</v>
      </c>
      <c r="F5756">
        <v>1157</v>
      </c>
    </row>
    <row r="5757" spans="1:6" ht="12.75">
      <c r="A5757" s="2">
        <v>43882.824236111112</v>
      </c>
      <c r="B5757" t="str">
        <f>HYPERLINK("https://twitter.com/winseulbear","@winseulbear")</f>
        <v>@winseulbear</v>
      </c>
      <c r="C5757" t="s">
        <v>4358</v>
      </c>
      <c r="D5757">
        <v>0</v>
      </c>
      <c r="E5757">
        <v>1</v>
      </c>
      <c r="F5757">
        <v>1239</v>
      </c>
    </row>
    <row r="5758" spans="1:6" ht="12.75">
      <c r="A5758" s="2">
        <v>43882.824236111112</v>
      </c>
      <c r="B5758" t="str">
        <f>HYPERLINK("https://twitter.com/huget_awabiw","@huget_awabiw")</f>
        <v>@huget_awabiw</v>
      </c>
      <c r="C5758" t="s">
        <v>4359</v>
      </c>
      <c r="D5758">
        <v>0</v>
      </c>
      <c r="E5758">
        <v>0</v>
      </c>
      <c r="F5758">
        <v>96</v>
      </c>
    </row>
    <row r="5759" spans="1:6" ht="12.75">
      <c r="A5759" s="2">
        <v>43882.823854166665</v>
      </c>
      <c r="B5759" t="str">
        <f>HYPERLINK("https://twitter.com/DadiPujiadiReza","@DadiPujiadiReza")</f>
        <v>@DadiPujiadiReza</v>
      </c>
      <c r="C5759" t="s">
        <v>3532</v>
      </c>
      <c r="D5759">
        <v>19</v>
      </c>
      <c r="E5759">
        <v>0</v>
      </c>
      <c r="F5759">
        <v>1763</v>
      </c>
    </row>
    <row r="5760" spans="1:6" ht="12.75">
      <c r="A5760" s="2">
        <v>43882.823564814811</v>
      </c>
      <c r="B5760" t="str">
        <f>HYPERLINK("https://twitter.com/R0cky1234_","@R0cky1234_")</f>
        <v>@R0cky1234_</v>
      </c>
      <c r="C5760" t="s">
        <v>3508</v>
      </c>
      <c r="D5760">
        <v>68</v>
      </c>
      <c r="E5760">
        <v>0</v>
      </c>
      <c r="F5760">
        <v>47</v>
      </c>
    </row>
    <row r="5761" spans="1:6" ht="12.75">
      <c r="A5761" s="2">
        <v>43882.823553240742</v>
      </c>
      <c r="B5761" t="str">
        <f>HYPERLINK("https://twitter.com/rieanggraeni88","@rieanggraeni88")</f>
        <v>@rieanggraeni88</v>
      </c>
      <c r="C5761" t="s">
        <v>2119</v>
      </c>
      <c r="D5761">
        <v>310</v>
      </c>
      <c r="E5761">
        <v>0</v>
      </c>
      <c r="F5761">
        <v>743</v>
      </c>
    </row>
    <row r="5762" spans="1:6" ht="12.75">
      <c r="A5762" s="2">
        <v>43882.823460648149</v>
      </c>
      <c r="B5762" t="str">
        <f>HYPERLINK("https://twitter.com/WSetyorini2","@WSetyorini2")</f>
        <v>@WSetyorini2</v>
      </c>
      <c r="C5762" t="s">
        <v>3532</v>
      </c>
      <c r="D5762">
        <v>19</v>
      </c>
      <c r="E5762">
        <v>0</v>
      </c>
      <c r="F5762">
        <v>1157</v>
      </c>
    </row>
    <row r="5763" spans="1:6" ht="12.75">
      <c r="A5763" s="2">
        <v>43882.822152777779</v>
      </c>
      <c r="B5763" t="str">
        <f>HYPERLINK("https://twitter.com/Rasheed_inn","@Rasheed_inn")</f>
        <v>@Rasheed_inn</v>
      </c>
      <c r="C5763" t="s">
        <v>4360</v>
      </c>
      <c r="D5763">
        <v>197</v>
      </c>
      <c r="E5763">
        <v>0</v>
      </c>
      <c r="F5763">
        <v>3511</v>
      </c>
    </row>
    <row r="5764" spans="1:6" ht="12.75">
      <c r="A5764" s="2">
        <v>43882.821863425925</v>
      </c>
      <c r="B5764" t="str">
        <f>HYPERLINK("https://twitter.com/sweethellena","@sweethellena")</f>
        <v>@sweethellena</v>
      </c>
      <c r="C5764" t="s">
        <v>4361</v>
      </c>
      <c r="D5764">
        <v>0</v>
      </c>
      <c r="E5764">
        <v>0</v>
      </c>
      <c r="F5764">
        <v>6157</v>
      </c>
    </row>
    <row r="5765" spans="1:6" ht="12.75">
      <c r="A5765" s="2">
        <v>43882.820868055554</v>
      </c>
      <c r="B5765" t="str">
        <f>HYPERLINK("https://twitter.com/tehcemplung","@tehcemplung")</f>
        <v>@tehcemplung</v>
      </c>
      <c r="C5765" t="s">
        <v>4362</v>
      </c>
      <c r="D5765">
        <v>0</v>
      </c>
      <c r="E5765">
        <v>0</v>
      </c>
      <c r="F5765">
        <v>5535</v>
      </c>
    </row>
    <row r="5766" spans="1:6" ht="12.75">
      <c r="A5766" s="2">
        <v>43882.820497685185</v>
      </c>
      <c r="B5766" t="str">
        <f>HYPERLINK("https://twitter.com/ibra_zycko","@ibra_zycko")</f>
        <v>@ibra_zycko</v>
      </c>
      <c r="C5766" t="s">
        <v>2119</v>
      </c>
      <c r="D5766">
        <v>310</v>
      </c>
      <c r="E5766">
        <v>0</v>
      </c>
      <c r="F5766">
        <v>1387</v>
      </c>
    </row>
    <row r="5767" spans="1:6" ht="12.75">
      <c r="A5767" s="2">
        <v>43882.820370370369</v>
      </c>
      <c r="B5767" t="str">
        <f>HYPERLINK("https://twitter.com/RibakSude88","@RibakSude88")</f>
        <v>@RibakSude88</v>
      </c>
      <c r="C5767" t="s">
        <v>4363</v>
      </c>
      <c r="D5767">
        <v>0</v>
      </c>
      <c r="E5767">
        <v>0</v>
      </c>
      <c r="F5767">
        <v>86</v>
      </c>
    </row>
    <row r="5768" spans="1:6" ht="12.75">
      <c r="A5768" s="2">
        <v>43882.819930555561</v>
      </c>
      <c r="B5768" t="str">
        <f>HYPERLINK("https://twitter.com/givanet81","@givanet81")</f>
        <v>@givanet81</v>
      </c>
      <c r="C5768" t="s">
        <v>4364</v>
      </c>
      <c r="D5768">
        <v>0</v>
      </c>
      <c r="E5768">
        <v>0</v>
      </c>
      <c r="F5768">
        <v>96</v>
      </c>
    </row>
    <row r="5769" spans="1:6" ht="12.75">
      <c r="A5769" s="2">
        <v>43882.81962962963</v>
      </c>
      <c r="B5769" t="str">
        <f>HYPERLINK("https://twitter.com/utakut","@utakut")</f>
        <v>@utakut</v>
      </c>
      <c r="C5769" t="s">
        <v>4365</v>
      </c>
      <c r="D5769">
        <v>0</v>
      </c>
      <c r="E5769">
        <v>0</v>
      </c>
      <c r="F5769">
        <v>144</v>
      </c>
    </row>
    <row r="5770" spans="1:6" ht="12.75">
      <c r="A5770" s="2">
        <v>43882.818692129629</v>
      </c>
      <c r="B5770" t="str">
        <f>HYPERLINK("https://twitter.com/dedisagala24","@dedisagala24")</f>
        <v>@dedisagala24</v>
      </c>
      <c r="C5770" t="s">
        <v>4360</v>
      </c>
      <c r="D5770">
        <v>197</v>
      </c>
      <c r="E5770">
        <v>0</v>
      </c>
      <c r="F5770">
        <v>1642</v>
      </c>
    </row>
    <row r="5771" spans="1:6" ht="12.75">
      <c r="A5771" s="2">
        <v>43882.818043981482</v>
      </c>
      <c r="B5771" t="str">
        <f>HYPERLINK("https://twitter.com/mrsnail22","@mrsnail22")</f>
        <v>@mrsnail22</v>
      </c>
      <c r="C5771" t="s">
        <v>2119</v>
      </c>
      <c r="D5771">
        <v>310</v>
      </c>
      <c r="E5771">
        <v>0</v>
      </c>
      <c r="F5771">
        <v>412</v>
      </c>
    </row>
    <row r="5772" spans="1:6" ht="12.75">
      <c r="A5772" s="2">
        <v>43882.817476851851</v>
      </c>
      <c r="B5772" t="str">
        <f>HYPERLINK("https://twitter.com/DavidCh02636461","@DavidCh02636461")</f>
        <v>@DavidCh02636461</v>
      </c>
      <c r="C5772" t="s">
        <v>2119</v>
      </c>
      <c r="D5772">
        <v>310</v>
      </c>
      <c r="E5772">
        <v>0</v>
      </c>
      <c r="F5772">
        <v>72</v>
      </c>
    </row>
    <row r="5773" spans="1:6" ht="12.75">
      <c r="A5773" s="2">
        <v>43882.817372685182</v>
      </c>
      <c r="B5773" t="str">
        <f>HYPERLINK("https://twitter.com/dmskuy","@dmskuy")</f>
        <v>@dmskuy</v>
      </c>
      <c r="C5773" t="s">
        <v>4366</v>
      </c>
      <c r="D5773">
        <v>0</v>
      </c>
      <c r="E5773">
        <v>0</v>
      </c>
      <c r="F5773">
        <v>64</v>
      </c>
    </row>
    <row r="5774" spans="1:6" ht="12.75">
      <c r="A5774" s="2">
        <v>43882.81731481482</v>
      </c>
      <c r="B5774" t="str">
        <f>HYPERLINK("https://twitter.com/tweetaje_aje","@tweetaje_aje")</f>
        <v>@tweetaje_aje</v>
      </c>
      <c r="C5774" t="s">
        <v>4347</v>
      </c>
      <c r="D5774">
        <v>3</v>
      </c>
      <c r="E5774">
        <v>0</v>
      </c>
      <c r="F5774">
        <v>26</v>
      </c>
    </row>
    <row r="5775" spans="1:6" ht="12.75">
      <c r="A5775" s="2">
        <v>43882.81722222222</v>
      </c>
      <c r="B5775" t="str">
        <f>HYPERLINK("https://twitter.com/blue_saucer","@blue_saucer")</f>
        <v>@blue_saucer</v>
      </c>
      <c r="C5775" t="s">
        <v>4367</v>
      </c>
      <c r="D5775">
        <v>1</v>
      </c>
      <c r="E5775">
        <v>0</v>
      </c>
      <c r="F5775">
        <v>260</v>
      </c>
    </row>
    <row r="5776" spans="1:6" ht="12.75">
      <c r="A5776" s="2">
        <v>43882.817106481481</v>
      </c>
      <c r="B5776" t="str">
        <f>HYPERLINK("https://twitter.com/jiafarid","@jiafarid")</f>
        <v>@jiafarid</v>
      </c>
      <c r="C5776" t="s">
        <v>2119</v>
      </c>
      <c r="D5776">
        <v>310</v>
      </c>
      <c r="E5776">
        <v>0</v>
      </c>
      <c r="F5776">
        <v>16</v>
      </c>
    </row>
    <row r="5777" spans="1:6" ht="12.75">
      <c r="A5777" s="2">
        <v>43882.816990740743</v>
      </c>
      <c r="B5777" t="str">
        <f>HYPERLINK("https://twitter.com/e100ss","@e100ss")</f>
        <v>@e100ss</v>
      </c>
      <c r="C5777" t="s">
        <v>4368</v>
      </c>
      <c r="D5777">
        <v>1</v>
      </c>
      <c r="E5777">
        <v>0</v>
      </c>
      <c r="F5777">
        <v>779950</v>
      </c>
    </row>
    <row r="5778" spans="1:6" ht="12.75">
      <c r="A5778" s="2">
        <v>43882.816979166666</v>
      </c>
      <c r="B5778" t="str">
        <f>HYPERLINK("https://twitter.com/edotssss","@edotssss")</f>
        <v>@edotssss</v>
      </c>
      <c r="C5778" t="s">
        <v>2119</v>
      </c>
      <c r="D5778">
        <v>310</v>
      </c>
      <c r="E5778">
        <v>0</v>
      </c>
      <c r="F5778">
        <v>402</v>
      </c>
    </row>
    <row r="5779" spans="1:6" ht="12.75">
      <c r="A5779" s="2">
        <v>43882.816354166665</v>
      </c>
      <c r="B5779" t="str">
        <f>HYPERLINK("https://twitter.com/LC01L","@LC01L")</f>
        <v>@LC01L</v>
      </c>
      <c r="C5779" t="s">
        <v>2119</v>
      </c>
      <c r="D5779">
        <v>310</v>
      </c>
      <c r="E5779">
        <v>0</v>
      </c>
      <c r="F5779">
        <v>233</v>
      </c>
    </row>
    <row r="5780" spans="1:6" ht="12.75">
      <c r="A5780" s="2">
        <v>43882.81631944445</v>
      </c>
      <c r="B5780" t="str">
        <f>HYPERLINK("https://twitter.com/jeonminss","@jeonminss")</f>
        <v>@jeonminss</v>
      </c>
      <c r="C5780" t="s">
        <v>4369</v>
      </c>
      <c r="D5780">
        <v>0</v>
      </c>
      <c r="E5780">
        <v>0</v>
      </c>
      <c r="F5780">
        <v>837</v>
      </c>
    </row>
    <row r="5781" spans="1:6" ht="12.75">
      <c r="A5781" s="2">
        <v>43882.81631944445</v>
      </c>
      <c r="B5781" t="str">
        <f>HYPERLINK("https://twitter.com/ayuarisyapd","@ayuarisyapd")</f>
        <v>@ayuarisyapd</v>
      </c>
      <c r="C5781" t="s">
        <v>513</v>
      </c>
      <c r="D5781">
        <v>23250</v>
      </c>
      <c r="E5781">
        <v>0</v>
      </c>
      <c r="F5781">
        <v>1646</v>
      </c>
    </row>
    <row r="5782" spans="1:6" ht="12.75">
      <c r="A5782" s="2">
        <v>43882.815995370373</v>
      </c>
      <c r="B5782" t="str">
        <f>HYPERLINK("https://twitter.com/lawjusticeco","@lawjusticeco")</f>
        <v>@lawjusticeco</v>
      </c>
      <c r="C5782" t="s">
        <v>4370</v>
      </c>
      <c r="D5782">
        <v>1</v>
      </c>
      <c r="E5782">
        <v>0</v>
      </c>
      <c r="F5782">
        <v>4929</v>
      </c>
    </row>
    <row r="5783" spans="1:6" ht="12.75">
      <c r="A5783" s="2">
        <v>43882.815648148149</v>
      </c>
      <c r="B5783" t="str">
        <f>HYPERLINK("https://twitter.com/OhhAceeed20","@OhhAceeed20")</f>
        <v>@OhhAceeed20</v>
      </c>
      <c r="C5783" t="s">
        <v>4347</v>
      </c>
      <c r="D5783">
        <v>3</v>
      </c>
      <c r="E5783">
        <v>0</v>
      </c>
      <c r="F5783">
        <v>157</v>
      </c>
    </row>
    <row r="5784" spans="1:6" ht="12.75">
      <c r="A5784" s="2">
        <v>43882.814849537041</v>
      </c>
      <c r="B5784" t="str">
        <f>HYPERLINK("https://twitter.com/witchermelayu","@witchermelayu")</f>
        <v>@witchermelayu</v>
      </c>
      <c r="C5784" t="s">
        <v>2711</v>
      </c>
      <c r="D5784">
        <v>108</v>
      </c>
      <c r="E5784">
        <v>0</v>
      </c>
      <c r="F5784">
        <v>74</v>
      </c>
    </row>
    <row r="5785" spans="1:6" ht="12.75">
      <c r="A5785" s="2">
        <v>43882.814629629633</v>
      </c>
      <c r="B5785" t="str">
        <f>HYPERLINK("https://twitter.com/updatedotid","@updatedotid")</f>
        <v>@updatedotid</v>
      </c>
      <c r="C5785" t="s">
        <v>4371</v>
      </c>
      <c r="D5785">
        <v>2</v>
      </c>
      <c r="E5785">
        <v>0</v>
      </c>
      <c r="F5785">
        <v>1620</v>
      </c>
    </row>
    <row r="5786" spans="1:6" ht="12.75">
      <c r="A5786" s="2">
        <v>43882.814479166671</v>
      </c>
      <c r="B5786" t="str">
        <f>HYPERLINK("https://twitter.com/gadisresidu_b3","@gadisresidu_b3")</f>
        <v>@gadisresidu_b3</v>
      </c>
      <c r="C5786" t="s">
        <v>4372</v>
      </c>
      <c r="D5786">
        <v>0</v>
      </c>
      <c r="E5786">
        <v>3</v>
      </c>
      <c r="F5786">
        <v>2068</v>
      </c>
    </row>
    <row r="5787" spans="1:6" ht="12.75">
      <c r="A5787" s="2">
        <v>43882.814270833333</v>
      </c>
      <c r="B5787" t="str">
        <f>HYPERLINK("https://twitter.com/jodragon51","@jodragon51")</f>
        <v>@jodragon51</v>
      </c>
      <c r="C5787" t="s">
        <v>4314</v>
      </c>
      <c r="D5787">
        <v>1</v>
      </c>
      <c r="E5787">
        <v>0</v>
      </c>
      <c r="F5787">
        <v>29</v>
      </c>
    </row>
    <row r="5788" spans="1:6" ht="12.75">
      <c r="A5788" s="2">
        <v>43882.814201388886</v>
      </c>
      <c r="B5788" t="str">
        <f>HYPERLINK("https://twitter.com/bromo_eyang","@bromo_eyang")</f>
        <v>@bromo_eyang</v>
      </c>
      <c r="C5788" t="s">
        <v>2119</v>
      </c>
      <c r="D5788">
        <v>310</v>
      </c>
      <c r="E5788">
        <v>0</v>
      </c>
      <c r="F5788">
        <v>71</v>
      </c>
    </row>
    <row r="5789" spans="1:6" ht="12.75">
      <c r="A5789" s="2">
        <v>43882.814004629632</v>
      </c>
      <c r="B5789" t="str">
        <f>HYPERLINK("https://twitter.com/BillTemporo","@BillTemporo")</f>
        <v>@BillTemporo</v>
      </c>
      <c r="C5789" t="s">
        <v>2092</v>
      </c>
      <c r="D5789">
        <v>0</v>
      </c>
      <c r="E5789">
        <v>0</v>
      </c>
      <c r="F5789">
        <v>11</v>
      </c>
    </row>
    <row r="5790" spans="1:6" ht="12.75">
      <c r="A5790" s="2">
        <v>43882.813969907409</v>
      </c>
      <c r="B5790" t="str">
        <f>HYPERLINK("https://twitter.com/kompascom","@kompascom")</f>
        <v>@kompascom</v>
      </c>
      <c r="C5790" t="s">
        <v>4373</v>
      </c>
      <c r="D5790">
        <v>3</v>
      </c>
      <c r="E5790">
        <v>5</v>
      </c>
      <c r="F5790">
        <v>7506514</v>
      </c>
    </row>
    <row r="5791" spans="1:6" ht="12.75">
      <c r="A5791" s="2">
        <v>43882.813969907409</v>
      </c>
      <c r="B5791" t="str">
        <f>HYPERLINK("https://twitter.com/sabhatansabiz","@sabhatansabiz")</f>
        <v>@sabhatansabiz</v>
      </c>
      <c r="C5791" t="s">
        <v>4371</v>
      </c>
      <c r="D5791">
        <v>2</v>
      </c>
      <c r="E5791">
        <v>0</v>
      </c>
      <c r="F5791">
        <v>1584</v>
      </c>
    </row>
    <row r="5792" spans="1:6" ht="12.75">
      <c r="A5792" s="2">
        <v>43882.81350694444</v>
      </c>
      <c r="B5792" t="str">
        <f>HYPERLINK("https://twitter.com/farhanpenyiar","@farhanpenyiar")</f>
        <v>@farhanpenyiar</v>
      </c>
      <c r="C5792" t="s">
        <v>4374</v>
      </c>
      <c r="D5792">
        <v>3</v>
      </c>
      <c r="E5792">
        <v>0</v>
      </c>
      <c r="F5792">
        <v>424395</v>
      </c>
    </row>
    <row r="5793" spans="1:6" ht="12.75">
      <c r="A5793" s="2">
        <v>43882.813275462962</v>
      </c>
      <c r="B5793" t="str">
        <f>HYPERLINK("https://twitter.com/fandy18058347","@fandy18058347")</f>
        <v>@fandy18058347</v>
      </c>
      <c r="C5793" t="s">
        <v>4375</v>
      </c>
      <c r="D5793">
        <v>1</v>
      </c>
      <c r="E5793">
        <v>0</v>
      </c>
      <c r="F5793">
        <v>216</v>
      </c>
    </row>
    <row r="5794" spans="1:6" ht="12.75">
      <c r="A5794" s="2">
        <v>43882.81322916667</v>
      </c>
      <c r="B5794" t="str">
        <f>HYPERLINK("https://twitter.com/radar_malang","@radar_malang")</f>
        <v>@radar_malang</v>
      </c>
      <c r="C5794" t="s">
        <v>4376</v>
      </c>
      <c r="D5794">
        <v>2</v>
      </c>
      <c r="E5794">
        <v>0</v>
      </c>
      <c r="F5794">
        <v>108626</v>
      </c>
    </row>
    <row r="5795" spans="1:6" ht="12.75">
      <c r="A5795" s="2">
        <v>43882.812708333338</v>
      </c>
      <c r="B5795" t="str">
        <f>HYPERLINK("https://twitter.com/_____adamzzz","@_____adamzzz")</f>
        <v>@_____adamzzz</v>
      </c>
      <c r="C5795" t="s">
        <v>2711</v>
      </c>
      <c r="D5795">
        <v>108</v>
      </c>
      <c r="E5795">
        <v>0</v>
      </c>
      <c r="F5795">
        <v>66</v>
      </c>
    </row>
    <row r="5796" spans="1:6" ht="12.75">
      <c r="A5796" s="2">
        <v>43882.812534722223</v>
      </c>
      <c r="B5796" t="str">
        <f>HYPERLINK("https://twitter.com/CtrlSec","@CtrlSec")</f>
        <v>@CtrlSec</v>
      </c>
      <c r="C5796" t="s">
        <v>4377</v>
      </c>
      <c r="D5796">
        <v>1</v>
      </c>
      <c r="E5796">
        <v>1</v>
      </c>
      <c r="F5796">
        <v>25581</v>
      </c>
    </row>
    <row r="5797" spans="1:6" ht="12.75">
      <c r="A5797" s="2">
        <v>43882.812476851846</v>
      </c>
      <c r="B5797" t="str">
        <f>HYPERLINK("https://twitter.com/Antara_Kalteng","@Antara_Kalteng")</f>
        <v>@Antara_Kalteng</v>
      </c>
      <c r="C5797" t="s">
        <v>4378</v>
      </c>
      <c r="D5797">
        <v>0</v>
      </c>
      <c r="E5797">
        <v>0</v>
      </c>
      <c r="F5797">
        <v>4635</v>
      </c>
    </row>
    <row r="5798" spans="1:6" ht="12.75">
      <c r="A5798" s="2">
        <v>43882.812453703707</v>
      </c>
      <c r="B5798" t="str">
        <f>HYPERLINK("https://twitter.com/burhanfms","@burhanfms")</f>
        <v>@burhanfms</v>
      </c>
      <c r="C5798" t="s">
        <v>4379</v>
      </c>
      <c r="D5798">
        <v>0</v>
      </c>
      <c r="E5798">
        <v>0</v>
      </c>
      <c r="F5798">
        <v>705</v>
      </c>
    </row>
    <row r="5799" spans="1:6" ht="12.75">
      <c r="A5799" s="2">
        <v>43882.812303240746</v>
      </c>
      <c r="B5799" t="str">
        <f>HYPERLINK("https://twitter.com/LNababan2","@LNababan2")</f>
        <v>@LNababan2</v>
      </c>
      <c r="C5799" t="s">
        <v>2119</v>
      </c>
      <c r="D5799">
        <v>310</v>
      </c>
      <c r="E5799">
        <v>0</v>
      </c>
      <c r="F5799">
        <v>2020</v>
      </c>
    </row>
    <row r="5800" spans="1:6" ht="12.75">
      <c r="A5800" s="2">
        <v>43882.812071759261</v>
      </c>
      <c r="B5800" t="str">
        <f>HYPERLINK("https://twitter.com/ck_audrey","@ck_audrey")</f>
        <v>@ck_audrey</v>
      </c>
      <c r="C5800" t="s">
        <v>2119</v>
      </c>
      <c r="D5800">
        <v>310</v>
      </c>
      <c r="E5800">
        <v>0</v>
      </c>
      <c r="F5800">
        <v>657</v>
      </c>
    </row>
    <row r="5801" spans="1:6" ht="12.75">
      <c r="A5801" s="2">
        <v>43882.811921296292</v>
      </c>
      <c r="B5801" t="str">
        <f>HYPERLINK("https://twitter.com/4DeeW","@4DeeW")</f>
        <v>@4DeeW</v>
      </c>
      <c r="C5801" t="s">
        <v>2692</v>
      </c>
      <c r="D5801">
        <v>2037</v>
      </c>
      <c r="E5801">
        <v>0</v>
      </c>
      <c r="F5801">
        <v>427</v>
      </c>
    </row>
    <row r="5802" spans="1:6" ht="12.75">
      <c r="A5802" s="2">
        <v>43882.811828703707</v>
      </c>
      <c r="B5802" t="str">
        <f>HYPERLINK("https://twitter.com/TurnBackWahabi","@TurnBackWahabi")</f>
        <v>@TurnBackWahabi</v>
      </c>
      <c r="C5802" t="s">
        <v>3532</v>
      </c>
      <c r="D5802">
        <v>19</v>
      </c>
      <c r="E5802">
        <v>0</v>
      </c>
      <c r="F5802">
        <v>390</v>
      </c>
    </row>
    <row r="5803" spans="1:6" ht="12.75">
      <c r="A5803" s="2">
        <v>43882.81181712963</v>
      </c>
      <c r="B5803" t="str">
        <f>HYPERLINK("https://twitter.com/dominicus_nico","@dominicus_nico")</f>
        <v>@dominicus_nico</v>
      </c>
      <c r="C5803" t="s">
        <v>4380</v>
      </c>
      <c r="D5803">
        <v>1</v>
      </c>
      <c r="E5803">
        <v>3</v>
      </c>
      <c r="F5803">
        <v>222</v>
      </c>
    </row>
    <row r="5804" spans="1:6" ht="12.75">
      <c r="A5804" s="2">
        <v>43882.811643518522</v>
      </c>
      <c r="B5804" t="str">
        <f>HYPERLINK("https://twitter.com/Apollo668265953","@Apollo668265953")</f>
        <v>@Apollo668265953</v>
      </c>
      <c r="C5804" t="s">
        <v>3836</v>
      </c>
      <c r="D5804">
        <v>10</v>
      </c>
      <c r="E5804">
        <v>0</v>
      </c>
      <c r="F5804">
        <v>126</v>
      </c>
    </row>
    <row r="5805" spans="1:6" ht="12.75">
      <c r="A5805" s="2">
        <v>43882.81150462963</v>
      </c>
      <c r="B5805" t="str">
        <f>HYPERLINK("https://twitter.com/willyyeremi","@willyyeremi")</f>
        <v>@willyyeremi</v>
      </c>
      <c r="C5805" t="s">
        <v>4381</v>
      </c>
      <c r="D5805">
        <v>0</v>
      </c>
      <c r="E5805">
        <v>0</v>
      </c>
      <c r="F5805">
        <v>153</v>
      </c>
    </row>
    <row r="5806" spans="1:6" ht="12.75">
      <c r="A5806" s="2">
        <v>43882.811319444445</v>
      </c>
      <c r="B5806" t="str">
        <f>HYPERLINK("https://twitter.com/dedisagala24","@dedisagala24")</f>
        <v>@dedisagala24</v>
      </c>
      <c r="C5806" t="s">
        <v>177</v>
      </c>
      <c r="D5806">
        <v>791</v>
      </c>
      <c r="E5806">
        <v>0</v>
      </c>
      <c r="F5806">
        <v>1642</v>
      </c>
    </row>
    <row r="5807" spans="1:6" ht="12.75">
      <c r="A5807" s="2">
        <v>43882.811192129629</v>
      </c>
      <c r="B5807" t="str">
        <f>HYPERLINK("https://twitter.com/din_choer","@din_choer")</f>
        <v>@din_choer</v>
      </c>
      <c r="C5807" t="s">
        <v>4382</v>
      </c>
      <c r="D5807">
        <v>0</v>
      </c>
      <c r="E5807">
        <v>1</v>
      </c>
      <c r="F5807">
        <v>622</v>
      </c>
    </row>
    <row r="5808" spans="1:6" ht="12.75">
      <c r="A5808" s="2">
        <v>43882.811180555553</v>
      </c>
      <c r="B5808" t="str">
        <f>HYPERLINK("https://twitter.com/NvlDiab","@NvlDiab")</f>
        <v>@NvlDiab</v>
      </c>
      <c r="C5808" t="s">
        <v>4383</v>
      </c>
      <c r="D5808">
        <v>0</v>
      </c>
      <c r="E5808">
        <v>0</v>
      </c>
      <c r="F5808">
        <v>149</v>
      </c>
    </row>
    <row r="5809" spans="1:6" ht="12.75">
      <c r="A5809" s="2">
        <v>43882.81082175926</v>
      </c>
      <c r="B5809" t="str">
        <f>HYPERLINK("https://twitter.com/igbal_wibowo","@igbal_wibowo")</f>
        <v>@igbal_wibowo</v>
      </c>
      <c r="C5809" t="s">
        <v>3532</v>
      </c>
      <c r="D5809">
        <v>19</v>
      </c>
      <c r="E5809">
        <v>0</v>
      </c>
      <c r="F5809">
        <v>39</v>
      </c>
    </row>
    <row r="5810" spans="1:6" ht="12.75">
      <c r="A5810" s="2">
        <v>43882.810717592598</v>
      </c>
      <c r="B5810" t="str">
        <f>HYPERLINK("https://twitter.com/GetsemaniKaro","@GetsemaniKaro")</f>
        <v>@GetsemaniKaro</v>
      </c>
      <c r="C5810" t="s">
        <v>4384</v>
      </c>
      <c r="D5810">
        <v>0</v>
      </c>
      <c r="E5810">
        <v>1</v>
      </c>
      <c r="F5810">
        <v>843</v>
      </c>
    </row>
    <row r="5811" spans="1:6" ht="12.75">
      <c r="A5811" s="2">
        <v>43882.810555555552</v>
      </c>
      <c r="B5811" t="str">
        <f>HYPERLINK("https://twitter.com/SoniMsi07","@SoniMsi07")</f>
        <v>@SoniMsi07</v>
      </c>
      <c r="C5811" t="s">
        <v>2962</v>
      </c>
      <c r="D5811">
        <v>15</v>
      </c>
      <c r="E5811">
        <v>0</v>
      </c>
      <c r="F5811">
        <v>249</v>
      </c>
    </row>
    <row r="5812" spans="1:6" ht="12.75">
      <c r="A5812" s="2">
        <v>43882.81049768519</v>
      </c>
      <c r="B5812" t="str">
        <f>HYPERLINK("https://twitter.com/xapanstonex","@xapanstonex")</f>
        <v>@xapanstonex</v>
      </c>
      <c r="C5812" t="s">
        <v>4385</v>
      </c>
      <c r="D5812">
        <v>0</v>
      </c>
      <c r="E5812">
        <v>0</v>
      </c>
      <c r="F5812">
        <v>37</v>
      </c>
    </row>
    <row r="5813" spans="1:6" ht="12.75">
      <c r="A5813" s="2">
        <v>43882.809675925921</v>
      </c>
      <c r="B5813" t="str">
        <f>HYPERLINK("https://twitter.com/dididkusuma","@dididkusuma")</f>
        <v>@dididkusuma</v>
      </c>
      <c r="C5813" t="s">
        <v>2119</v>
      </c>
      <c r="D5813">
        <v>310</v>
      </c>
      <c r="E5813">
        <v>0</v>
      </c>
      <c r="F5813">
        <v>2175</v>
      </c>
    </row>
    <row r="5814" spans="1:6" ht="12.75">
      <c r="A5814" s="2">
        <v>43882.809629629628</v>
      </c>
      <c r="B5814" t="str">
        <f>HYPERLINK("https://twitter.com/Ayash_Azza","@Ayash_Azza")</f>
        <v>@Ayash_Azza</v>
      </c>
      <c r="C5814" t="s">
        <v>3532</v>
      </c>
      <c r="D5814">
        <v>19</v>
      </c>
      <c r="E5814">
        <v>0</v>
      </c>
      <c r="F5814">
        <v>458</v>
      </c>
    </row>
    <row r="5815" spans="1:6" ht="12.75">
      <c r="A5815" s="2">
        <v>43882.809525462959</v>
      </c>
      <c r="B5815" t="str">
        <f>HYPERLINK("https://twitter.com/Bjang99","@Bjang99")</f>
        <v>@Bjang99</v>
      </c>
      <c r="C5815" t="s">
        <v>3532</v>
      </c>
      <c r="D5815">
        <v>19</v>
      </c>
      <c r="E5815">
        <v>0</v>
      </c>
      <c r="F5815">
        <v>251</v>
      </c>
    </row>
    <row r="5816" spans="1:6" ht="12.75">
      <c r="A5816" s="2">
        <v>43882.809398148151</v>
      </c>
      <c r="B5816" t="str">
        <f>HYPERLINK("https://twitter.com/Marul_wadi","@Marul_wadi")</f>
        <v>@Marul_wadi</v>
      </c>
      <c r="C5816" t="s">
        <v>4386</v>
      </c>
      <c r="D5816">
        <v>0</v>
      </c>
      <c r="E5816">
        <v>0</v>
      </c>
      <c r="F5816">
        <v>446</v>
      </c>
    </row>
    <row r="5817" spans="1:6" ht="12.75">
      <c r="A5817" s="2">
        <v>43882.809374999997</v>
      </c>
      <c r="B5817" t="str">
        <f>HYPERLINK("https://twitter.com/becak125cc","@becak125cc")</f>
        <v>@becak125cc</v>
      </c>
      <c r="C5817" t="s">
        <v>2962</v>
      </c>
      <c r="D5817">
        <v>15</v>
      </c>
      <c r="E5817">
        <v>0</v>
      </c>
      <c r="F5817">
        <v>514</v>
      </c>
    </row>
    <row r="5818" spans="1:6" ht="12.75">
      <c r="A5818" s="2">
        <v>43882.809317129635</v>
      </c>
      <c r="B5818" t="str">
        <f>HYPERLINK("https://twitter.com/jeponshorse","@jeponshorse")</f>
        <v>@jeponshorse</v>
      </c>
      <c r="C5818" t="s">
        <v>2119</v>
      </c>
      <c r="D5818">
        <v>310</v>
      </c>
      <c r="E5818">
        <v>0</v>
      </c>
      <c r="F5818">
        <v>235</v>
      </c>
    </row>
    <row r="5819" spans="1:6" ht="12.75">
      <c r="A5819" s="2">
        <v>43882.809247685189</v>
      </c>
      <c r="B5819" t="str">
        <f>HYPERLINK("https://twitter.com/TitoJalu","@TitoJalu")</f>
        <v>@TitoJalu</v>
      </c>
      <c r="C5819" t="s">
        <v>3532</v>
      </c>
      <c r="D5819">
        <v>19</v>
      </c>
      <c r="E5819">
        <v>0</v>
      </c>
      <c r="F5819">
        <v>9033</v>
      </c>
    </row>
    <row r="5820" spans="1:6" ht="12.75">
      <c r="A5820" s="2">
        <v>43882.809131944443</v>
      </c>
      <c r="B5820" t="str">
        <f>HYPERLINK("https://twitter.com/blogcurhatku","@blogcurhatku")</f>
        <v>@blogcurhatku</v>
      </c>
      <c r="C5820" t="s">
        <v>2165</v>
      </c>
      <c r="D5820">
        <v>96</v>
      </c>
      <c r="E5820">
        <v>0</v>
      </c>
      <c r="F5820">
        <v>315</v>
      </c>
    </row>
    <row r="5821" spans="1:6" ht="12.75">
      <c r="A5821" s="2">
        <v>43882.793020833335</v>
      </c>
      <c r="B5821" t="str">
        <f>HYPERLINK("https://twitter.com/BillTemporo","@BillTemporo")</f>
        <v>@BillTemporo</v>
      </c>
      <c r="C5821" t="s">
        <v>889</v>
      </c>
      <c r="D5821">
        <v>0</v>
      </c>
      <c r="E5821">
        <v>0</v>
      </c>
      <c r="F5821">
        <v>11</v>
      </c>
    </row>
    <row r="5822" spans="1:6" ht="12.75">
      <c r="A5822" s="2">
        <v>43882.792905092589</v>
      </c>
      <c r="B5822" t="str">
        <f>HYPERLINK("https://twitter.com/ReiMichie99","@ReiMichie99")</f>
        <v>@ReiMichie99</v>
      </c>
      <c r="C5822" t="s">
        <v>4387</v>
      </c>
      <c r="D5822">
        <v>0</v>
      </c>
      <c r="E5822">
        <v>0</v>
      </c>
      <c r="F5822">
        <v>7</v>
      </c>
    </row>
    <row r="5823" spans="1:6" ht="12.75">
      <c r="A5823" s="2">
        <v>43882.792824074073</v>
      </c>
      <c r="B5823" t="str">
        <f>HYPERLINK("https://twitter.com/tribunmedan","@tribunmedan")</f>
        <v>@tribunmedan</v>
      </c>
      <c r="C5823" t="s">
        <v>4388</v>
      </c>
      <c r="D5823">
        <v>0</v>
      </c>
      <c r="E5823">
        <v>0</v>
      </c>
      <c r="F5823">
        <v>72722</v>
      </c>
    </row>
    <row r="5824" spans="1:6" ht="12.75">
      <c r="A5824" s="2">
        <v>43882.792592592596</v>
      </c>
      <c r="B5824" t="str">
        <f>HYPERLINK("https://twitter.com/AgungKS__","@AgungKS__")</f>
        <v>@AgungKS__</v>
      </c>
      <c r="C5824" t="s">
        <v>3508</v>
      </c>
      <c r="D5824">
        <v>64</v>
      </c>
      <c r="E5824">
        <v>0</v>
      </c>
      <c r="F5824">
        <v>202</v>
      </c>
    </row>
    <row r="5825" spans="1:6" ht="12.75">
      <c r="A5825" s="2">
        <v>43882.792361111111</v>
      </c>
      <c r="B5825" t="str">
        <f>HYPERLINK("https://twitter.com/wisanggeni_084","@wisanggeni_084")</f>
        <v>@wisanggeni_084</v>
      </c>
      <c r="C5825" t="s">
        <v>4389</v>
      </c>
      <c r="D5825">
        <v>1</v>
      </c>
      <c r="E5825">
        <v>0</v>
      </c>
      <c r="F5825">
        <v>16358</v>
      </c>
    </row>
    <row r="5826" spans="1:6" ht="12.75">
      <c r="A5826" s="2">
        <v>43882.792361111111</v>
      </c>
      <c r="B5826" t="str">
        <f>HYPERLINK("https://twitter.com/Ayaize","@Ayaize")</f>
        <v>@Ayaize</v>
      </c>
      <c r="C5826" t="s">
        <v>4390</v>
      </c>
      <c r="D5826">
        <v>0</v>
      </c>
      <c r="E5826">
        <v>0</v>
      </c>
      <c r="F5826">
        <v>7474</v>
      </c>
    </row>
    <row r="5827" spans="1:6" ht="12.75">
      <c r="A5827" s="2">
        <v>43882.792268518519</v>
      </c>
      <c r="B5827" t="str">
        <f>HYPERLINK("https://twitter.com/mdfajar","@mdfajar")</f>
        <v>@mdfajar</v>
      </c>
      <c r="C5827" t="s">
        <v>4391</v>
      </c>
      <c r="D5827">
        <v>0</v>
      </c>
      <c r="E5827">
        <v>0</v>
      </c>
      <c r="F5827">
        <v>124</v>
      </c>
    </row>
    <row r="5828" spans="1:6" ht="12.75">
      <c r="A5828" s="2">
        <v>43882.792199074072</v>
      </c>
      <c r="B5828" t="str">
        <f>HYPERLINK("https://twitter.com/topinfo_id","@topinfo_id")</f>
        <v>@topinfo_id</v>
      </c>
      <c r="C5828" t="s">
        <v>4392</v>
      </c>
      <c r="D5828">
        <v>0</v>
      </c>
      <c r="E5828">
        <v>0</v>
      </c>
      <c r="F5828">
        <v>9</v>
      </c>
    </row>
    <row r="5829" spans="1:6" ht="12.75">
      <c r="A5829" s="2">
        <v>43882.792118055557</v>
      </c>
      <c r="B5829" t="str">
        <f>HYPERLINK("https://twitter.com/Ganverz98","@Ganverz98")</f>
        <v>@Ganverz98</v>
      </c>
      <c r="C5829" t="s">
        <v>4393</v>
      </c>
      <c r="D5829">
        <v>0</v>
      </c>
      <c r="E5829">
        <v>0</v>
      </c>
      <c r="F5829">
        <v>640</v>
      </c>
    </row>
    <row r="5830" spans="1:6" ht="12.75">
      <c r="A5830" s="2">
        <v>43882.791863425926</v>
      </c>
      <c r="B5830" t="str">
        <f>HYPERLINK("https://twitter.com/DhimazAriya","@DhimazAriya")</f>
        <v>@DhimazAriya</v>
      </c>
      <c r="C5830" t="s">
        <v>4394</v>
      </c>
      <c r="D5830">
        <v>1</v>
      </c>
      <c r="E5830">
        <v>1</v>
      </c>
      <c r="F5830">
        <v>1685</v>
      </c>
    </row>
    <row r="5831" spans="1:6" ht="12.75">
      <c r="A5831" s="2">
        <v>43882.791516203702</v>
      </c>
      <c r="B5831" t="str">
        <f>HYPERLINK("https://twitter.com/lukmanalwahid","@lukmanalwahid")</f>
        <v>@lukmanalwahid</v>
      </c>
      <c r="C5831" t="s">
        <v>4395</v>
      </c>
      <c r="D5831">
        <v>0</v>
      </c>
      <c r="E5831">
        <v>0</v>
      </c>
      <c r="F5831">
        <v>121</v>
      </c>
    </row>
    <row r="5832" spans="1:6" ht="12.75">
      <c r="A5832" s="2">
        <v>43882.79142361111</v>
      </c>
      <c r="B5832" t="str">
        <f>HYPERLINK("https://twitter.com/jejeswrh","@jejeswrh")</f>
        <v>@jejeswrh</v>
      </c>
      <c r="C5832" t="s">
        <v>1813</v>
      </c>
      <c r="D5832">
        <v>685</v>
      </c>
      <c r="E5832">
        <v>0</v>
      </c>
      <c r="F5832">
        <v>102</v>
      </c>
    </row>
    <row r="5833" spans="1:6" ht="12.75">
      <c r="A5833" s="2">
        <v>43882.791331018518</v>
      </c>
      <c r="B5833" t="str">
        <f>HYPERLINK("https://twitter.com/sinach_z","@sinach_z")</f>
        <v>@sinach_z</v>
      </c>
      <c r="C5833" t="s">
        <v>2711</v>
      </c>
      <c r="D5833">
        <v>90</v>
      </c>
      <c r="E5833">
        <v>0</v>
      </c>
      <c r="F5833">
        <v>1128</v>
      </c>
    </row>
    <row r="5834" spans="1:6" ht="12.75">
      <c r="A5834" s="2">
        <v>43882.791261574079</v>
      </c>
      <c r="B5834" t="str">
        <f>HYPERLINK("https://twitter.com/BeritaCenter","@BeritaCenter")</f>
        <v>@BeritaCenter</v>
      </c>
      <c r="C5834" t="s">
        <v>4396</v>
      </c>
      <c r="D5834">
        <v>0</v>
      </c>
      <c r="E5834">
        <v>0</v>
      </c>
      <c r="F5834">
        <v>9431</v>
      </c>
    </row>
    <row r="5835" spans="1:6" ht="12.75">
      <c r="A5835" s="2">
        <v>43882.790567129632</v>
      </c>
      <c r="B5835" t="str">
        <f>HYPERLINK("https://twitter.com/jejeswrh","@jejeswrh")</f>
        <v>@jejeswrh</v>
      </c>
      <c r="C5835" t="s">
        <v>2370</v>
      </c>
      <c r="D5835">
        <v>759</v>
      </c>
      <c r="E5835">
        <v>0</v>
      </c>
      <c r="F5835">
        <v>102</v>
      </c>
    </row>
    <row r="5836" spans="1:6" ht="12.75">
      <c r="A5836" s="2">
        <v>43882.79042824074</v>
      </c>
      <c r="B5836" t="str">
        <f>HYPERLINK("https://twitter.com/Beritadotnews","@Beritadotnews")</f>
        <v>@Beritadotnews</v>
      </c>
      <c r="C5836" t="s">
        <v>4397</v>
      </c>
      <c r="D5836">
        <v>0</v>
      </c>
      <c r="E5836">
        <v>0</v>
      </c>
      <c r="F5836">
        <v>37</v>
      </c>
    </row>
    <row r="5837" spans="1:6" ht="12.75">
      <c r="A5837" s="2">
        <v>43882.790370370371</v>
      </c>
      <c r="B5837" t="str">
        <f>HYPERLINK("https://twitter.com/jejeswrh","@jejeswrh")</f>
        <v>@jejeswrh</v>
      </c>
      <c r="C5837" t="s">
        <v>2124</v>
      </c>
      <c r="D5837">
        <v>1743</v>
      </c>
      <c r="E5837">
        <v>0</v>
      </c>
      <c r="F5837">
        <v>102</v>
      </c>
    </row>
    <row r="5838" spans="1:6" ht="12.75">
      <c r="A5838" s="2">
        <v>43882.790185185186</v>
      </c>
      <c r="B5838" t="str">
        <f>HYPERLINK("https://twitter.com/dirmanrdl","@dirmanrdl")</f>
        <v>@dirmanrdl</v>
      </c>
      <c r="C5838" t="s">
        <v>2119</v>
      </c>
      <c r="D5838">
        <v>272</v>
      </c>
      <c r="E5838">
        <v>0</v>
      </c>
      <c r="F5838">
        <v>197</v>
      </c>
    </row>
    <row r="5839" spans="1:6" ht="12.75">
      <c r="A5839" s="2">
        <v>43882.789722222224</v>
      </c>
      <c r="B5839" t="str">
        <f>HYPERLINK("https://twitter.com/AniesSubianto","@AniesSubianto")</f>
        <v>@AniesSubianto</v>
      </c>
      <c r="C5839" t="s">
        <v>2119</v>
      </c>
      <c r="D5839">
        <v>272</v>
      </c>
      <c r="E5839">
        <v>0</v>
      </c>
      <c r="F5839">
        <v>279</v>
      </c>
    </row>
    <row r="5840" spans="1:6" ht="12.75">
      <c r="A5840" s="2">
        <v>43882.789687500001</v>
      </c>
      <c r="B5840" t="str">
        <f>HYPERLINK("https://twitter.com/manisso_jr","@manisso_jr")</f>
        <v>@manisso_jr</v>
      </c>
      <c r="C5840" t="s">
        <v>2119</v>
      </c>
      <c r="D5840">
        <v>272</v>
      </c>
      <c r="E5840">
        <v>0</v>
      </c>
      <c r="F5840">
        <v>30</v>
      </c>
    </row>
    <row r="5841" spans="1:6" ht="12.75">
      <c r="A5841" s="2">
        <v>43882.789490740739</v>
      </c>
      <c r="B5841" t="str">
        <f>HYPERLINK("https://twitter.com/ReiMichie99","@ReiMichie99")</f>
        <v>@ReiMichie99</v>
      </c>
      <c r="C5841" t="s">
        <v>4398</v>
      </c>
      <c r="D5841">
        <v>0</v>
      </c>
      <c r="E5841">
        <v>0</v>
      </c>
      <c r="F5841">
        <v>7</v>
      </c>
    </row>
    <row r="5842" spans="1:6" ht="12.75">
      <c r="A5842" s="2">
        <v>43882.789479166662</v>
      </c>
      <c r="B5842" t="str">
        <f>HYPERLINK("https://twitter.com/rabutuhfollower","@rabutuhfollower")</f>
        <v>@rabutuhfollower</v>
      </c>
      <c r="C5842" t="s">
        <v>2119</v>
      </c>
      <c r="D5842">
        <v>272</v>
      </c>
      <c r="E5842">
        <v>0</v>
      </c>
      <c r="F5842">
        <v>196</v>
      </c>
    </row>
    <row r="5843" spans="1:6" ht="12.75">
      <c r="A5843" s="2">
        <v>43882.78943287037</v>
      </c>
      <c r="B5843" t="str">
        <f>HYPERLINK("https://twitter.com/anaksemantan1","@anaksemantan1")</f>
        <v>@anaksemantan1</v>
      </c>
      <c r="C5843" t="s">
        <v>4399</v>
      </c>
      <c r="D5843">
        <v>0</v>
      </c>
      <c r="E5843">
        <v>0</v>
      </c>
      <c r="F5843">
        <v>0</v>
      </c>
    </row>
    <row r="5844" spans="1:6" ht="12.75">
      <c r="A5844" s="2">
        <v>43882.789409722223</v>
      </c>
      <c r="B5844" t="str">
        <f>HYPERLINK("https://twitter.com/kartikahari13","@kartikahari13")</f>
        <v>@kartikahari13</v>
      </c>
      <c r="C5844" t="s">
        <v>4400</v>
      </c>
      <c r="D5844">
        <v>1</v>
      </c>
      <c r="E5844">
        <v>0</v>
      </c>
      <c r="F5844">
        <v>1394</v>
      </c>
    </row>
    <row r="5845" spans="1:6" ht="12.75">
      <c r="A5845" s="2">
        <v>43882.789016203707</v>
      </c>
      <c r="B5845" t="str">
        <f>HYPERLINK("https://twitter.com/faizah_kirana","@faizah_kirana")</f>
        <v>@faizah_kirana</v>
      </c>
      <c r="C5845" t="s">
        <v>2119</v>
      </c>
      <c r="D5845">
        <v>272</v>
      </c>
      <c r="E5845">
        <v>0</v>
      </c>
      <c r="F5845">
        <v>39</v>
      </c>
    </row>
    <row r="5846" spans="1:6" ht="12.75">
      <c r="A5846" s="2">
        <v>43882.788842592592</v>
      </c>
      <c r="B5846" t="str">
        <f>HYPERLINK("https://twitter.com/SlametMuslim","@SlametMuslim")</f>
        <v>@SlametMuslim</v>
      </c>
      <c r="C5846" t="s">
        <v>4401</v>
      </c>
      <c r="D5846">
        <v>1</v>
      </c>
      <c r="E5846">
        <v>0</v>
      </c>
      <c r="F5846">
        <v>7525</v>
      </c>
    </row>
    <row r="5847" spans="1:6" ht="12.75">
      <c r="A5847" s="2">
        <v>43882.788541666669</v>
      </c>
      <c r="B5847" t="str">
        <f>HYPERLINK("https://twitter.com/muezmahmood","@muezmahmood")</f>
        <v>@muezmahmood</v>
      </c>
      <c r="C5847" t="s">
        <v>4402</v>
      </c>
      <c r="D5847">
        <v>0</v>
      </c>
      <c r="E5847">
        <v>0</v>
      </c>
      <c r="F5847">
        <v>145</v>
      </c>
    </row>
    <row r="5848" spans="1:6" ht="12.75">
      <c r="A5848" s="2">
        <v>43882.788402777776</v>
      </c>
      <c r="B5848" t="str">
        <f>HYPERLINK("https://twitter.com/unahusnae","@unahusnae")</f>
        <v>@unahusnae</v>
      </c>
      <c r="C5848" t="s">
        <v>2711</v>
      </c>
      <c r="D5848">
        <v>90</v>
      </c>
      <c r="E5848">
        <v>0</v>
      </c>
      <c r="F5848">
        <v>44</v>
      </c>
    </row>
    <row r="5849" spans="1:6" ht="12.75">
      <c r="A5849" s="2">
        <v>43882.788356481484</v>
      </c>
      <c r="B5849" t="str">
        <f>HYPERLINK("https://twitter.com/HeriPurwanto99","@HeriPurwanto99")</f>
        <v>@HeriPurwanto99</v>
      </c>
      <c r="C5849" t="s">
        <v>2119</v>
      </c>
      <c r="D5849">
        <v>272</v>
      </c>
      <c r="E5849">
        <v>0</v>
      </c>
      <c r="F5849">
        <v>116</v>
      </c>
    </row>
    <row r="5850" spans="1:6" ht="12.75">
      <c r="A5850" s="2">
        <v>43882.788229166668</v>
      </c>
      <c r="B5850" t="str">
        <f>HYPERLINK("https://twitter.com/Helmi67711233","@Helmi67711233")</f>
        <v>@Helmi67711233</v>
      </c>
      <c r="C5850" t="s">
        <v>4403</v>
      </c>
      <c r="D5850">
        <v>0</v>
      </c>
      <c r="E5850">
        <v>0</v>
      </c>
      <c r="F5850">
        <v>271</v>
      </c>
    </row>
    <row r="5851" spans="1:6" ht="12.75">
      <c r="A5851" s="2">
        <v>43882.787893518514</v>
      </c>
      <c r="B5851" t="str">
        <f>HYPERLINK("https://twitter.com/KompasTV","@KompasTV")</f>
        <v>@KompasTV</v>
      </c>
      <c r="C5851" t="s">
        <v>4404</v>
      </c>
      <c r="D5851">
        <v>1</v>
      </c>
      <c r="E5851">
        <v>1</v>
      </c>
      <c r="F5851">
        <v>2945492</v>
      </c>
    </row>
    <row r="5852" spans="1:6" ht="12.75">
      <c r="A5852" s="2">
        <v>43882.786620370374</v>
      </c>
      <c r="B5852" t="str">
        <f>HYPERLINK("https://twitter.com/idntimes","@idntimes")</f>
        <v>@idntimes</v>
      </c>
      <c r="C5852" t="s">
        <v>4405</v>
      </c>
      <c r="D5852">
        <v>0</v>
      </c>
      <c r="E5852">
        <v>0</v>
      </c>
      <c r="F5852">
        <v>393130</v>
      </c>
    </row>
    <row r="5853" spans="1:6" ht="12.75">
      <c r="A5853" s="2">
        <v>43882.786412037036</v>
      </c>
      <c r="B5853" t="str">
        <f>HYPERLINK("https://twitter.com/SlametMuslim","@SlametMuslim")</f>
        <v>@SlametMuslim</v>
      </c>
      <c r="C5853" t="s">
        <v>4406</v>
      </c>
      <c r="D5853">
        <v>0</v>
      </c>
      <c r="E5853">
        <v>0</v>
      </c>
      <c r="F5853">
        <v>7525</v>
      </c>
    </row>
    <row r="5854" spans="1:6" ht="12.75">
      <c r="A5854" s="2">
        <v>43882.786273148144</v>
      </c>
      <c r="B5854" t="str">
        <f>HYPERLINK("https://twitter.com/Tulang_Godang","@Tulang_Godang")</f>
        <v>@Tulang_Godang</v>
      </c>
      <c r="C5854" t="s">
        <v>2119</v>
      </c>
      <c r="D5854">
        <v>272</v>
      </c>
      <c r="E5854">
        <v>0</v>
      </c>
      <c r="F5854">
        <v>570</v>
      </c>
    </row>
    <row r="5855" spans="1:6" ht="12.75">
      <c r="A5855" s="2">
        <v>43882.786215277782</v>
      </c>
      <c r="B5855" t="str">
        <f>HYPERLINK("https://twitter.com/daruratdisko__","@daruratdisko__")</f>
        <v>@daruratdisko__</v>
      </c>
      <c r="C5855" t="s">
        <v>4407</v>
      </c>
      <c r="D5855">
        <v>0</v>
      </c>
      <c r="E5855">
        <v>0</v>
      </c>
      <c r="F5855">
        <v>645</v>
      </c>
    </row>
    <row r="5856" spans="1:6" ht="12.75">
      <c r="A5856" s="2">
        <v>43882.786006944443</v>
      </c>
      <c r="B5856" t="str">
        <f>HYPERLINK("https://twitter.com/LaingenLisa","@LaingenLisa")</f>
        <v>@LaingenLisa</v>
      </c>
      <c r="C5856" t="s">
        <v>2962</v>
      </c>
      <c r="D5856">
        <v>12</v>
      </c>
      <c r="E5856">
        <v>0</v>
      </c>
      <c r="F5856">
        <v>3206</v>
      </c>
    </row>
    <row r="5857" spans="1:6" ht="12.75">
      <c r="A5857" s="2">
        <v>43882.785694444443</v>
      </c>
      <c r="B5857" t="str">
        <f>HYPERLINK("https://twitter.com/Samuja9","@Samuja9")</f>
        <v>@Samuja9</v>
      </c>
      <c r="C5857" t="s">
        <v>2119</v>
      </c>
      <c r="D5857">
        <v>272</v>
      </c>
      <c r="E5857">
        <v>0</v>
      </c>
      <c r="F5857">
        <v>1121</v>
      </c>
    </row>
    <row r="5858" spans="1:6" ht="12.75">
      <c r="A5858" s="2">
        <v>43882.785601851851</v>
      </c>
      <c r="B5858" t="str">
        <f>HYPERLINK("https://twitter.com/wansenk_ajah","@wansenk_ajah")</f>
        <v>@wansenk_ajah</v>
      </c>
      <c r="C5858" t="s">
        <v>2119</v>
      </c>
      <c r="D5858">
        <v>272</v>
      </c>
      <c r="E5858">
        <v>0</v>
      </c>
      <c r="F5858">
        <v>5047</v>
      </c>
    </row>
    <row r="5859" spans="1:6" ht="12.75">
      <c r="A5859" s="2">
        <v>43882.785462962958</v>
      </c>
      <c r="B5859" t="str">
        <f>HYPERLINK("https://twitter.com/FairuzRusli","@FairuzRusli")</f>
        <v>@FairuzRusli</v>
      </c>
      <c r="C5859" t="s">
        <v>4408</v>
      </c>
      <c r="D5859">
        <v>0</v>
      </c>
      <c r="E5859">
        <v>0</v>
      </c>
      <c r="F5859">
        <v>953</v>
      </c>
    </row>
    <row r="5860" spans="1:6" ht="12.75">
      <c r="A5860" s="2">
        <v>43882.785451388889</v>
      </c>
      <c r="B5860" t="str">
        <f>HYPERLINK("https://twitter.com/tempodotco","@tempodotco")</f>
        <v>@tempodotco</v>
      </c>
      <c r="C5860" t="s">
        <v>4409</v>
      </c>
      <c r="D5860">
        <v>0</v>
      </c>
      <c r="E5860">
        <v>3</v>
      </c>
      <c r="F5860">
        <v>1708188</v>
      </c>
    </row>
    <row r="5861" spans="1:6" ht="12.75">
      <c r="A5861" s="2">
        <v>43882.785324074073</v>
      </c>
      <c r="B5861" t="str">
        <f>HYPERLINK("https://twitter.com/an_brilli","@an_brilli")</f>
        <v>@an_brilli</v>
      </c>
      <c r="C5861" t="s">
        <v>2119</v>
      </c>
      <c r="D5861">
        <v>272</v>
      </c>
      <c r="E5861">
        <v>0</v>
      </c>
      <c r="F5861">
        <v>737</v>
      </c>
    </row>
    <row r="5862" spans="1:6" ht="12.75">
      <c r="A5862" s="2">
        <v>43882.785266203704</v>
      </c>
      <c r="B5862" t="str">
        <f>HYPERLINK("https://twitter.com/rommy_analyst","@rommy_analyst")</f>
        <v>@rommy_analyst</v>
      </c>
      <c r="C5862" t="s">
        <v>4410</v>
      </c>
      <c r="D5862">
        <v>4</v>
      </c>
      <c r="E5862">
        <v>0</v>
      </c>
      <c r="F5862">
        <v>95</v>
      </c>
    </row>
    <row r="5863" spans="1:6" ht="12.75">
      <c r="A5863" s="2">
        <v>43882.785208333335</v>
      </c>
      <c r="B5863" t="str">
        <f>HYPERLINK("https://twitter.com/sleepykonic","@sleepykonic")</f>
        <v>@sleepykonic</v>
      </c>
      <c r="C5863" t="s">
        <v>4411</v>
      </c>
      <c r="D5863">
        <v>0</v>
      </c>
      <c r="E5863">
        <v>0</v>
      </c>
      <c r="F5863">
        <v>1718</v>
      </c>
    </row>
    <row r="5864" spans="1:6" ht="12.75">
      <c r="A5864" s="2">
        <v>43882.78497685185</v>
      </c>
      <c r="B5864" t="str">
        <f>HYPERLINK("https://twitter.com/Aditwitjaksono_","@Aditwitjaksono_")</f>
        <v>@Aditwitjaksono_</v>
      </c>
      <c r="C5864" t="s">
        <v>4412</v>
      </c>
      <c r="D5864">
        <v>775</v>
      </c>
      <c r="E5864">
        <v>0</v>
      </c>
      <c r="F5864">
        <v>505</v>
      </c>
    </row>
    <row r="5865" spans="1:6" ht="12.75">
      <c r="A5865" s="2">
        <v>43882.784861111111</v>
      </c>
      <c r="B5865" t="str">
        <f>HYPERLINK("https://twitter.com/radenamin211","@radenamin211")</f>
        <v>@radenamin211</v>
      </c>
      <c r="C5865" t="s">
        <v>2119</v>
      </c>
      <c r="D5865">
        <v>272</v>
      </c>
      <c r="E5865">
        <v>0</v>
      </c>
      <c r="F5865">
        <v>8</v>
      </c>
    </row>
    <row r="5866" spans="1:6" ht="12.75">
      <c r="A5866" s="2">
        <v>43882.784421296295</v>
      </c>
      <c r="B5866" t="str">
        <f>HYPERLINK("https://twitter.com/Mazggg","@Mazggg")</f>
        <v>@Mazggg</v>
      </c>
      <c r="C5866" t="s">
        <v>2119</v>
      </c>
      <c r="D5866">
        <v>272</v>
      </c>
      <c r="E5866">
        <v>0</v>
      </c>
      <c r="F5866">
        <v>1965</v>
      </c>
    </row>
    <row r="5867" spans="1:6" ht="12.75">
      <c r="A5867" s="2">
        <v>43882.784409722226</v>
      </c>
      <c r="B5867" t="str">
        <f>HYPERLINK("https://twitter.com/tribunnewswiki","@tribunnewswiki")</f>
        <v>@tribunnewswiki</v>
      </c>
      <c r="C5867" t="s">
        <v>4413</v>
      </c>
      <c r="D5867">
        <v>0</v>
      </c>
      <c r="E5867">
        <v>0</v>
      </c>
      <c r="F5867">
        <v>112</v>
      </c>
    </row>
    <row r="5868" spans="1:6" ht="12.75">
      <c r="A5868" s="2">
        <v>43882.784409722226</v>
      </c>
      <c r="B5868" t="str">
        <f>HYPERLINK("https://twitter.com/PJustitia7","@PJustitia7")</f>
        <v>@PJustitia7</v>
      </c>
      <c r="C5868" t="s">
        <v>4414</v>
      </c>
      <c r="D5868">
        <v>0</v>
      </c>
      <c r="E5868">
        <v>0</v>
      </c>
      <c r="F5868">
        <v>694</v>
      </c>
    </row>
    <row r="5869" spans="1:6" ht="12.75">
      <c r="A5869" s="2">
        <v>43882.784085648149</v>
      </c>
      <c r="B5869" t="str">
        <f>HYPERLINK("https://twitter.com/mukafals","@mukafals")</f>
        <v>@mukafals</v>
      </c>
      <c r="C5869" t="s">
        <v>4415</v>
      </c>
      <c r="D5869">
        <v>134</v>
      </c>
      <c r="E5869">
        <v>0</v>
      </c>
      <c r="F5869">
        <v>11</v>
      </c>
    </row>
    <row r="5870" spans="1:6" ht="12.75">
      <c r="A5870" s="2">
        <v>43882.784062499995</v>
      </c>
      <c r="B5870" t="str">
        <f>HYPERLINK("https://twitter.com/AgungWidrajat","@AgungWidrajat")</f>
        <v>@AgungWidrajat</v>
      </c>
      <c r="C5870" t="s">
        <v>2962</v>
      </c>
      <c r="D5870">
        <v>12</v>
      </c>
      <c r="E5870">
        <v>0</v>
      </c>
      <c r="F5870">
        <v>2302</v>
      </c>
    </row>
    <row r="5871" spans="1:6" ht="12.75">
      <c r="A5871" s="2">
        <v>43882.78402777778</v>
      </c>
      <c r="B5871" t="str">
        <f>HYPERLINK("https://twitter.com/Zudis5","@Zudis5")</f>
        <v>@Zudis5</v>
      </c>
      <c r="C5871" t="s">
        <v>2119</v>
      </c>
      <c r="D5871">
        <v>272</v>
      </c>
      <c r="E5871">
        <v>0</v>
      </c>
      <c r="F5871">
        <v>238</v>
      </c>
    </row>
    <row r="5872" spans="1:6" ht="12.75">
      <c r="A5872" s="2">
        <v>43882.783877314811</v>
      </c>
      <c r="B5872" t="str">
        <f>HYPERLINK("https://twitter.com/XtoperFerry","@XtoperFerry")</f>
        <v>@XtoperFerry</v>
      </c>
      <c r="C5872" t="s">
        <v>2119</v>
      </c>
      <c r="D5872">
        <v>272</v>
      </c>
      <c r="E5872">
        <v>0</v>
      </c>
      <c r="F5872">
        <v>205</v>
      </c>
    </row>
    <row r="5873" spans="1:6" ht="12.75">
      <c r="A5873" s="2">
        <v>43882.783680555556</v>
      </c>
      <c r="B5873" t="str">
        <f>HYPERLINK("https://twitter.com/Anggoro_Irvan_S","@Anggoro_Irvan_S")</f>
        <v>@Anggoro_Irvan_S</v>
      </c>
      <c r="C5873" t="s">
        <v>2165</v>
      </c>
      <c r="D5873">
        <v>93</v>
      </c>
      <c r="E5873">
        <v>0</v>
      </c>
      <c r="F5873">
        <v>1177</v>
      </c>
    </row>
    <row r="5874" spans="1:6" ht="12.75">
      <c r="A5874" s="2">
        <v>43882.783518518518</v>
      </c>
      <c r="B5874" t="str">
        <f>HYPERLINK("https://twitter.com/JurnaliSarungan","@JurnaliSarungan")</f>
        <v>@JurnaliSarungan</v>
      </c>
      <c r="C5874" t="s">
        <v>4416</v>
      </c>
      <c r="D5874">
        <v>0</v>
      </c>
      <c r="E5874">
        <v>0</v>
      </c>
      <c r="F5874">
        <v>811</v>
      </c>
    </row>
    <row r="5875" spans="1:6" ht="12.75">
      <c r="A5875" s="2">
        <v>43882.783483796295</v>
      </c>
      <c r="B5875" t="str">
        <f>HYPERLINK("https://twitter.com/elittledesantis","@elittledesantis")</f>
        <v>@elittledesantis</v>
      </c>
      <c r="C5875" t="s">
        <v>3176</v>
      </c>
      <c r="D5875">
        <v>3</v>
      </c>
      <c r="E5875">
        <v>0</v>
      </c>
      <c r="F5875">
        <v>13</v>
      </c>
    </row>
    <row r="5876" spans="1:6" ht="12.75">
      <c r="A5876" s="2">
        <v>43882.783113425925</v>
      </c>
      <c r="B5876" t="str">
        <f>HYPERLINK("https://twitter.com/radityapinaruh","@radityapinaruh")</f>
        <v>@radityapinaruh</v>
      </c>
      <c r="C5876" t="s">
        <v>2119</v>
      </c>
      <c r="D5876">
        <v>272</v>
      </c>
      <c r="E5876">
        <v>0</v>
      </c>
      <c r="F5876">
        <v>46</v>
      </c>
    </row>
    <row r="5877" spans="1:6" ht="12.75">
      <c r="A5877" s="2">
        <v>43882.78292824074</v>
      </c>
      <c r="B5877" t="str">
        <f>HYPERLINK("https://twitter.com/ivooxid","@ivooxid")</f>
        <v>@ivooxid</v>
      </c>
      <c r="C5877" t="s">
        <v>4417</v>
      </c>
      <c r="D5877">
        <v>0</v>
      </c>
      <c r="E5877">
        <v>0</v>
      </c>
      <c r="F5877">
        <v>1425</v>
      </c>
    </row>
    <row r="5878" spans="1:6" ht="12.75">
      <c r="A5878" s="2">
        <v>43882.782569444447</v>
      </c>
      <c r="B5878" t="str">
        <f>HYPERLINK("https://twitter.com/shamirsetyadi","@shamirsetyadi")</f>
        <v>@shamirsetyadi</v>
      </c>
      <c r="C5878" t="s">
        <v>2119</v>
      </c>
      <c r="D5878">
        <v>272</v>
      </c>
      <c r="E5878">
        <v>0</v>
      </c>
      <c r="F5878">
        <v>995</v>
      </c>
    </row>
    <row r="5879" spans="1:6" ht="12.75">
      <c r="A5879" s="2">
        <v>43882.782511574071</v>
      </c>
      <c r="B5879" t="str">
        <f>HYPERLINK("https://twitter.com/jee_creepers","@jee_creepers")</f>
        <v>@jee_creepers</v>
      </c>
      <c r="C5879" t="s">
        <v>4418</v>
      </c>
      <c r="D5879">
        <v>7</v>
      </c>
      <c r="E5879">
        <v>0</v>
      </c>
      <c r="F5879">
        <v>711</v>
      </c>
    </row>
    <row r="5880" spans="1:6" ht="12.75">
      <c r="A5880" s="2">
        <v>43882.781898148147</v>
      </c>
      <c r="B5880" t="str">
        <f>HYPERLINK("https://twitter.com/idntimes","@idntimes")</f>
        <v>@idntimes</v>
      </c>
      <c r="C5880" t="s">
        <v>4419</v>
      </c>
      <c r="D5880">
        <v>0</v>
      </c>
      <c r="E5880">
        <v>0</v>
      </c>
      <c r="F5880">
        <v>393130</v>
      </c>
    </row>
    <row r="5881" spans="1:6" ht="12.75">
      <c r="A5881" s="2">
        <v>43882.781064814815</v>
      </c>
      <c r="B5881" t="str">
        <f>HYPERLINK("https://twitter.com/AlbRiko","@AlbRiko")</f>
        <v>@AlbRiko</v>
      </c>
      <c r="C5881" t="s">
        <v>4420</v>
      </c>
      <c r="D5881">
        <v>0</v>
      </c>
      <c r="E5881">
        <v>0</v>
      </c>
      <c r="F5881">
        <v>342</v>
      </c>
    </row>
    <row r="5882" spans="1:6" ht="12.75">
      <c r="A5882" s="2">
        <v>43882.7809837963</v>
      </c>
      <c r="B5882" t="str">
        <f>HYPERLINK("https://twitter.com/WiraPra90","@WiraPra90")</f>
        <v>@WiraPra90</v>
      </c>
      <c r="C5882" t="s">
        <v>2119</v>
      </c>
      <c r="D5882">
        <v>272</v>
      </c>
      <c r="E5882">
        <v>0</v>
      </c>
      <c r="F5882">
        <v>1562</v>
      </c>
    </row>
    <row r="5883" spans="1:6" ht="12.75">
      <c r="A5883" s="2">
        <v>43882.780439814815</v>
      </c>
      <c r="B5883" t="str">
        <f>HYPERLINK("https://twitter.com/ISIS_Balik_NO","@ISIS_Balik_NO")</f>
        <v>@ISIS_Balik_NO</v>
      </c>
      <c r="C5883" t="s">
        <v>4421</v>
      </c>
      <c r="D5883">
        <v>0</v>
      </c>
      <c r="E5883">
        <v>0</v>
      </c>
      <c r="F5883">
        <v>6093</v>
      </c>
    </row>
    <row r="5884" spans="1:6" ht="12.75">
      <c r="A5884" s="2">
        <v>43882.779756944445</v>
      </c>
      <c r="B5884" t="str">
        <f>HYPERLINK("https://twitter.com/SeketulMelon","@SeketulMelon")</f>
        <v>@SeketulMelon</v>
      </c>
      <c r="C5884" t="s">
        <v>2711</v>
      </c>
      <c r="D5884">
        <v>90</v>
      </c>
      <c r="E5884">
        <v>0</v>
      </c>
      <c r="F5884">
        <v>288</v>
      </c>
    </row>
    <row r="5885" spans="1:6" ht="12.75">
      <c r="A5885" s="2">
        <v>43882.779675925922</v>
      </c>
      <c r="B5885" t="str">
        <f>HYPERLINK("https://twitter.com/Dikakecly","@Dikakecly")</f>
        <v>@Dikakecly</v>
      </c>
      <c r="C5885" t="s">
        <v>3508</v>
      </c>
      <c r="D5885">
        <v>64</v>
      </c>
      <c r="E5885">
        <v>0</v>
      </c>
      <c r="F5885">
        <v>482</v>
      </c>
    </row>
    <row r="5886" spans="1:6" ht="12.75">
      <c r="A5886" s="2">
        <v>43882.778865740736</v>
      </c>
      <c r="B5886" t="str">
        <f>HYPERLINK("https://twitter.com/kartikahari13","@kartikahari13")</f>
        <v>@kartikahari13</v>
      </c>
      <c r="C5886" t="s">
        <v>3508</v>
      </c>
      <c r="D5886">
        <v>64</v>
      </c>
      <c r="E5886">
        <v>0</v>
      </c>
      <c r="F5886">
        <v>1394</v>
      </c>
    </row>
    <row r="5887" spans="1:6" ht="12.75">
      <c r="A5887" s="2">
        <v>43882.778761574074</v>
      </c>
      <c r="B5887" t="str">
        <f>HYPERLINK("https://twitter.com/IArief18","@IArief18")</f>
        <v>@IArief18</v>
      </c>
      <c r="C5887" t="s">
        <v>2119</v>
      </c>
      <c r="D5887">
        <v>272</v>
      </c>
      <c r="E5887">
        <v>0</v>
      </c>
      <c r="F5887">
        <v>17</v>
      </c>
    </row>
    <row r="5888" spans="1:6" ht="12.75">
      <c r="A5888" s="2">
        <v>43882.778599537036</v>
      </c>
      <c r="B5888" t="str">
        <f>HYPERLINK("https://twitter.com/burungpipit74","@burungpipit74")</f>
        <v>@burungpipit74</v>
      </c>
      <c r="C5888" t="s">
        <v>4422</v>
      </c>
      <c r="D5888">
        <v>3</v>
      </c>
      <c r="E5888">
        <v>0</v>
      </c>
      <c r="F5888">
        <v>3366</v>
      </c>
    </row>
    <row r="5889" spans="1:6" ht="12.75">
      <c r="A5889" s="2">
        <v>43882.778483796297</v>
      </c>
      <c r="B5889" t="str">
        <f>HYPERLINK("https://twitter.com/elinumtechnolog","@elinumtechnolog")</f>
        <v>@elinumtechnolog</v>
      </c>
      <c r="C5889" t="s">
        <v>4423</v>
      </c>
      <c r="D5889">
        <v>4</v>
      </c>
      <c r="E5889">
        <v>0</v>
      </c>
      <c r="F5889">
        <v>1</v>
      </c>
    </row>
    <row r="5890" spans="1:6" ht="12.75">
      <c r="A5890" s="2">
        <v>43882.778136574074</v>
      </c>
      <c r="B5890" t="str">
        <f>HYPERLINK("https://twitter.com/ISIS_Balik_NO","@ISIS_Balik_NO")</f>
        <v>@ISIS_Balik_NO</v>
      </c>
      <c r="C5890" t="s">
        <v>4424</v>
      </c>
      <c r="D5890">
        <v>74</v>
      </c>
      <c r="E5890">
        <v>0</v>
      </c>
      <c r="F5890">
        <v>6093</v>
      </c>
    </row>
    <row r="5891" spans="1:6" ht="12.75">
      <c r="A5891" s="2">
        <v>43882.778067129635</v>
      </c>
      <c r="B5891" t="str">
        <f>HYPERLINK("https://twitter.com/Faedah15733319","@Faedah15733319")</f>
        <v>@Faedah15733319</v>
      </c>
      <c r="C5891" t="s">
        <v>2119</v>
      </c>
      <c r="D5891">
        <v>272</v>
      </c>
      <c r="E5891">
        <v>0</v>
      </c>
      <c r="F5891">
        <v>1</v>
      </c>
    </row>
    <row r="5892" spans="1:6" ht="12.75">
      <c r="A5892" s="2">
        <v>43882.777962962966</v>
      </c>
      <c r="B5892" t="str">
        <f>HYPERLINK("https://twitter.com/sukati_la","@sukati_la")</f>
        <v>@sukati_la</v>
      </c>
      <c r="C5892" t="s">
        <v>2711</v>
      </c>
      <c r="D5892">
        <v>90</v>
      </c>
      <c r="E5892">
        <v>0</v>
      </c>
      <c r="F5892">
        <v>65</v>
      </c>
    </row>
    <row r="5893" spans="1:6" ht="12.75">
      <c r="A5893" s="2">
        <v>43882.777685185181</v>
      </c>
      <c r="B5893" t="str">
        <f>HYPERLINK("https://twitter.com/dominixus","@dominixus")</f>
        <v>@dominixus</v>
      </c>
      <c r="C5893" t="s">
        <v>4425</v>
      </c>
      <c r="D5893">
        <v>2</v>
      </c>
      <c r="E5893">
        <v>0</v>
      </c>
      <c r="F5893">
        <v>735</v>
      </c>
    </row>
    <row r="5894" spans="1:6" ht="12.75">
      <c r="A5894" s="2">
        <v>43882.777349537035</v>
      </c>
      <c r="B5894" t="str">
        <f>HYPERLINK("https://twitter.com/lubatkv","@lubatkv")</f>
        <v>@lubatkv</v>
      </c>
      <c r="C5894" t="s">
        <v>4426</v>
      </c>
      <c r="D5894">
        <v>0</v>
      </c>
      <c r="E5894">
        <v>0</v>
      </c>
      <c r="F5894">
        <v>218</v>
      </c>
    </row>
    <row r="5895" spans="1:6" ht="12.75">
      <c r="A5895" s="2">
        <v>43882.776944444442</v>
      </c>
      <c r="B5895" t="str">
        <f>HYPERLINK("https://twitter.com/republikaonline","@republikaonline")</f>
        <v>@republikaonline</v>
      </c>
      <c r="C5895" t="s">
        <v>4427</v>
      </c>
      <c r="D5895">
        <v>0</v>
      </c>
      <c r="E5895">
        <v>2</v>
      </c>
      <c r="F5895">
        <v>1211770</v>
      </c>
    </row>
    <row r="5896" spans="1:6" ht="12.75">
      <c r="A5896" s="2">
        <v>43882.776898148149</v>
      </c>
      <c r="B5896" t="str">
        <f>HYPERLINK("https://twitter.com/cemara____","@cemara____")</f>
        <v>@cemara____</v>
      </c>
      <c r="C5896" t="s">
        <v>2119</v>
      </c>
      <c r="D5896">
        <v>272</v>
      </c>
      <c r="E5896">
        <v>0</v>
      </c>
      <c r="F5896">
        <v>36</v>
      </c>
    </row>
    <row r="5897" spans="1:6" ht="12.75">
      <c r="A5897" s="2">
        <v>43882.776817129634</v>
      </c>
      <c r="B5897" t="str">
        <f>HYPERLINK("https://twitter.com/fancok20","@fancok20")</f>
        <v>@fancok20</v>
      </c>
      <c r="C5897" t="s">
        <v>3508</v>
      </c>
      <c r="D5897">
        <v>64</v>
      </c>
      <c r="E5897">
        <v>0</v>
      </c>
      <c r="F5897">
        <v>133</v>
      </c>
    </row>
    <row r="5898" spans="1:6" ht="12.75">
      <c r="A5898" s="2">
        <v>43882.77648148148</v>
      </c>
      <c r="B5898" t="str">
        <f>HYPERLINK("https://twitter.com/pabra_id","@pabra_id")</f>
        <v>@pabra_id</v>
      </c>
      <c r="C5898" t="s">
        <v>4422</v>
      </c>
      <c r="D5898">
        <v>3</v>
      </c>
      <c r="E5898">
        <v>0</v>
      </c>
      <c r="F5898">
        <v>46</v>
      </c>
    </row>
    <row r="5899" spans="1:6" ht="12.75">
      <c r="A5899" s="2">
        <v>43882.776342592595</v>
      </c>
      <c r="B5899" t="str">
        <f>HYPERLINK("https://twitter.com/danishhnazri","@danishhnazri")</f>
        <v>@danishhnazri</v>
      </c>
      <c r="C5899" t="s">
        <v>4428</v>
      </c>
      <c r="D5899">
        <v>0</v>
      </c>
      <c r="E5899">
        <v>0</v>
      </c>
      <c r="F5899">
        <v>68</v>
      </c>
    </row>
    <row r="5900" spans="1:6" ht="12.75">
      <c r="A5900" s="2">
        <v>43882.776296296295</v>
      </c>
      <c r="B5900" t="str">
        <f>HYPERLINK("https://twitter.com/CNNIDdaily","@CNNIDdaily")</f>
        <v>@CNNIDdaily</v>
      </c>
      <c r="C5900" t="s">
        <v>4429</v>
      </c>
      <c r="D5900">
        <v>0</v>
      </c>
      <c r="E5900">
        <v>3</v>
      </c>
      <c r="F5900">
        <v>117841</v>
      </c>
    </row>
    <row r="5901" spans="1:6" ht="12.75">
      <c r="A5901" s="2">
        <v>43882.776192129633</v>
      </c>
      <c r="B5901" t="str">
        <f>HYPERLINK("https://twitter.com/budisantosodarm","@budisantosodarm")</f>
        <v>@budisantosodarm</v>
      </c>
      <c r="C5901" t="s">
        <v>4430</v>
      </c>
      <c r="D5901">
        <v>0</v>
      </c>
      <c r="E5901">
        <v>3</v>
      </c>
      <c r="F5901">
        <v>25</v>
      </c>
    </row>
    <row r="5902" spans="1:6" ht="12.75">
      <c r="A5902" s="2">
        <v>43882.776030092587</v>
      </c>
      <c r="B5902" t="str">
        <f>HYPERLINK("https://twitter.com/AmeenRassin","@AmeenRassin")</f>
        <v>@AmeenRassin</v>
      </c>
      <c r="C5902" t="s">
        <v>2711</v>
      </c>
      <c r="D5902">
        <v>90</v>
      </c>
      <c r="E5902">
        <v>0</v>
      </c>
      <c r="F5902">
        <v>304</v>
      </c>
    </row>
    <row r="5903" spans="1:6" ht="12.75">
      <c r="A5903" s="2">
        <v>43882.775462962964</v>
      </c>
      <c r="B5903" t="str">
        <f>HYPERLINK("https://twitter.com/Aksarakacau1407","@Aksarakacau1407")</f>
        <v>@Aksarakacau1407</v>
      </c>
      <c r="C5903" t="s">
        <v>4431</v>
      </c>
      <c r="D5903">
        <v>0</v>
      </c>
      <c r="E5903">
        <v>0</v>
      </c>
      <c r="F5903">
        <v>165</v>
      </c>
    </row>
    <row r="5904" spans="1:6" ht="12.75">
      <c r="A5904" s="2">
        <v>43882.774976851855</v>
      </c>
      <c r="B5904" t="str">
        <f>HYPERLINK("https://twitter.com/abetpunx","@abetpunx")</f>
        <v>@abetpunx</v>
      </c>
      <c r="C5904" t="s">
        <v>4432</v>
      </c>
      <c r="D5904">
        <v>0</v>
      </c>
      <c r="E5904">
        <v>0</v>
      </c>
      <c r="F5904">
        <v>507</v>
      </c>
    </row>
    <row r="5905" spans="1:6" ht="12.75">
      <c r="A5905" s="2">
        <v>43882.774907407409</v>
      </c>
      <c r="B5905" t="str">
        <f>HYPERLINK("https://twitter.com/AriePutraWijay1","@AriePutraWijay1")</f>
        <v>@AriePutraWijay1</v>
      </c>
      <c r="C5905" t="s">
        <v>2119</v>
      </c>
      <c r="D5905">
        <v>272</v>
      </c>
      <c r="E5905">
        <v>0</v>
      </c>
      <c r="F5905">
        <v>144</v>
      </c>
    </row>
    <row r="5906" spans="1:6" ht="12.75">
      <c r="A5906" s="2">
        <v>43882.774861111116</v>
      </c>
      <c r="B5906" t="str">
        <f>HYPERLINK("https://twitter.com/bffb300aff02425","@bffb300aff02425")</f>
        <v>@bffb300aff02425</v>
      </c>
      <c r="C5906" t="s">
        <v>2119</v>
      </c>
      <c r="D5906">
        <v>272</v>
      </c>
      <c r="E5906">
        <v>0</v>
      </c>
      <c r="F5906">
        <v>518</v>
      </c>
    </row>
    <row r="5907" spans="1:6" ht="12.75">
      <c r="A5907" s="2">
        <v>43882.774537037039</v>
      </c>
      <c r="B5907" t="str">
        <f>HYPERLINK("https://twitter.com/Defree","@Defree")</f>
        <v>@Defree</v>
      </c>
      <c r="C5907" t="s">
        <v>4433</v>
      </c>
      <c r="D5907">
        <v>0</v>
      </c>
      <c r="E5907">
        <v>0</v>
      </c>
      <c r="F5907">
        <v>202</v>
      </c>
    </row>
    <row r="5908" spans="1:6" ht="12.75">
      <c r="A5908" s="2">
        <v>43882.774224537032</v>
      </c>
      <c r="B5908" t="str">
        <f>HYPERLINK("https://twitter.com/anttieee","@anttieee")</f>
        <v>@anttieee</v>
      </c>
      <c r="C5908" t="s">
        <v>4434</v>
      </c>
      <c r="D5908">
        <v>2</v>
      </c>
      <c r="E5908">
        <v>0</v>
      </c>
      <c r="F5908">
        <v>92</v>
      </c>
    </row>
    <row r="5909" spans="1:6" ht="12.75">
      <c r="A5909" s="2">
        <v>43882.774189814816</v>
      </c>
      <c r="B5909" t="str">
        <f>HYPERLINK("https://twitter.com/Aksarakacau1407","@Aksarakacau1407")</f>
        <v>@Aksarakacau1407</v>
      </c>
      <c r="C5909" t="s">
        <v>4435</v>
      </c>
      <c r="D5909">
        <v>0</v>
      </c>
      <c r="E5909">
        <v>0</v>
      </c>
      <c r="F5909">
        <v>165</v>
      </c>
    </row>
    <row r="5910" spans="1:6" ht="12.75">
      <c r="A5910" s="2">
        <v>43882.773356481484</v>
      </c>
      <c r="B5910" t="str">
        <f>HYPERLINK("https://twitter.com/namakamusayang","@namakamusayang")</f>
        <v>@namakamusayang</v>
      </c>
      <c r="C5910" t="s">
        <v>2119</v>
      </c>
      <c r="D5910">
        <v>272</v>
      </c>
      <c r="E5910">
        <v>0</v>
      </c>
      <c r="F5910">
        <v>688</v>
      </c>
    </row>
    <row r="5911" spans="1:6" ht="12.75">
      <c r="A5911" s="2">
        <v>43882.772592592592</v>
      </c>
      <c r="B5911" t="str">
        <f>HYPERLINK("https://twitter.com/Aksarakacau1407","@Aksarakacau1407")</f>
        <v>@Aksarakacau1407</v>
      </c>
      <c r="C5911" t="s">
        <v>4436</v>
      </c>
      <c r="D5911">
        <v>0</v>
      </c>
      <c r="E5911">
        <v>0</v>
      </c>
      <c r="F5911">
        <v>165</v>
      </c>
    </row>
    <row r="5912" spans="1:6" ht="12.75">
      <c r="A5912" s="2">
        <v>43882.772349537037</v>
      </c>
      <c r="B5912" t="str">
        <f>HYPERLINK("https://twitter.com/AhmadD_dat","@AhmadD_dat")</f>
        <v>@AhmadD_dat</v>
      </c>
      <c r="C5912" t="s">
        <v>2711</v>
      </c>
      <c r="D5912">
        <v>90</v>
      </c>
      <c r="E5912">
        <v>0</v>
      </c>
      <c r="F5912">
        <v>125</v>
      </c>
    </row>
    <row r="5913" spans="1:6" ht="12.75">
      <c r="A5913" s="2">
        <v>43882.772106481483</v>
      </c>
      <c r="B5913" t="str">
        <f>HYPERLINK("https://twitter.com/elinumtechnolog","@elinumtechnolog")</f>
        <v>@elinumtechnolog</v>
      </c>
      <c r="C5913" t="s">
        <v>2146</v>
      </c>
      <c r="D5913">
        <v>3</v>
      </c>
      <c r="E5913">
        <v>0</v>
      </c>
      <c r="F5913">
        <v>1</v>
      </c>
    </row>
    <row r="5914" spans="1:6" ht="12.75">
      <c r="A5914" s="2">
        <v>43882.772048611107</v>
      </c>
      <c r="B5914" t="str">
        <f>HYPERLINK("https://twitter.com/windideh","@windideh")</f>
        <v>@windideh</v>
      </c>
      <c r="C5914" t="s">
        <v>2711</v>
      </c>
      <c r="D5914">
        <v>90</v>
      </c>
      <c r="E5914">
        <v>0</v>
      </c>
      <c r="F5914">
        <v>14</v>
      </c>
    </row>
    <row r="5915" spans="1:6" ht="12.75">
      <c r="A5915" s="2">
        <v>43882.771921296298</v>
      </c>
      <c r="B5915" t="str">
        <f>HYPERLINK("https://twitter.com/tvOneNews","@tvOneNews")</f>
        <v>@tvOneNews</v>
      </c>
      <c r="C5915" t="s">
        <v>4437</v>
      </c>
      <c r="D5915">
        <v>0</v>
      </c>
      <c r="E5915">
        <v>1</v>
      </c>
      <c r="F5915">
        <v>8718223</v>
      </c>
    </row>
    <row r="5916" spans="1:6" ht="12.75">
      <c r="A5916" s="2">
        <v>43882.77144675926</v>
      </c>
      <c r="B5916" t="str">
        <f>HYPERLINK("https://twitter.com/RinjaniJB","@RinjaniJB")</f>
        <v>@RinjaniJB</v>
      </c>
      <c r="C5916" t="s">
        <v>4422</v>
      </c>
      <c r="D5916">
        <v>3</v>
      </c>
      <c r="E5916">
        <v>0</v>
      </c>
      <c r="F5916">
        <v>19197</v>
      </c>
    </row>
    <row r="5917" spans="1:6" ht="12.75">
      <c r="A5917" s="2">
        <v>43882.771261574075</v>
      </c>
      <c r="B5917" t="str">
        <f>HYPERLINK("https://twitter.com/santos62658028","@santos62658028")</f>
        <v>@santos62658028</v>
      </c>
      <c r="C5917" t="s">
        <v>4438</v>
      </c>
      <c r="D5917">
        <v>14</v>
      </c>
      <c r="E5917">
        <v>0</v>
      </c>
      <c r="F5917">
        <v>1477</v>
      </c>
    </row>
    <row r="5918" spans="1:6" ht="12.75">
      <c r="A5918" s="2">
        <v>43882.770960648151</v>
      </c>
      <c r="B5918" t="str">
        <f>HYPERLINK("https://twitter.com/AnomanRadikal","@AnomanRadikal")</f>
        <v>@AnomanRadikal</v>
      </c>
      <c r="C5918" t="s">
        <v>2119</v>
      </c>
      <c r="D5918">
        <v>272</v>
      </c>
      <c r="E5918">
        <v>0</v>
      </c>
      <c r="F5918">
        <v>374</v>
      </c>
    </row>
    <row r="5919" spans="1:6" ht="12.75">
      <c r="A5919" s="2">
        <v>43882.770810185189</v>
      </c>
      <c r="B5919" t="str">
        <f>HYPERLINK("https://twitter.com/Ca91786","@Ca91786")</f>
        <v>@Ca91786</v>
      </c>
      <c r="C5919" t="s">
        <v>4439</v>
      </c>
      <c r="D5919">
        <v>0</v>
      </c>
      <c r="E5919">
        <v>1</v>
      </c>
      <c r="F5919">
        <v>195</v>
      </c>
    </row>
    <row r="5920" spans="1:6" ht="12.75">
      <c r="A5920" s="2">
        <v>43882.770497685182</v>
      </c>
      <c r="B5920" t="str">
        <f>HYPERLINK("https://twitter.com/AzharHamzah10","@AzharHamzah10")</f>
        <v>@AzharHamzah10</v>
      </c>
      <c r="C5920" t="s">
        <v>2711</v>
      </c>
      <c r="D5920">
        <v>90</v>
      </c>
      <c r="E5920">
        <v>0</v>
      </c>
      <c r="F5920">
        <v>13</v>
      </c>
    </row>
    <row r="5921" spans="1:6" ht="12.75">
      <c r="A5921" s="2">
        <v>43882.751493055555</v>
      </c>
      <c r="B5921" t="str">
        <f>HYPERLINK("https://twitter.com/sinner_MSK24","@sinner_MSK24")</f>
        <v>@sinner_MSK24</v>
      </c>
      <c r="C5921" t="s">
        <v>2711</v>
      </c>
      <c r="D5921">
        <v>65</v>
      </c>
      <c r="E5921">
        <v>0</v>
      </c>
      <c r="F5921">
        <v>139</v>
      </c>
    </row>
    <row r="5922" spans="1:6" ht="12.75">
      <c r="A5922" s="2">
        <v>43882.751400462963</v>
      </c>
      <c r="B5922" t="str">
        <f>HYPERLINK("https://twitter.com/AgungWidrajat","@AgungWidrajat")</f>
        <v>@AgungWidrajat</v>
      </c>
      <c r="C5922" t="s">
        <v>2119</v>
      </c>
      <c r="D5922">
        <v>221</v>
      </c>
      <c r="E5922">
        <v>0</v>
      </c>
      <c r="F5922">
        <v>2301</v>
      </c>
    </row>
    <row r="5923" spans="1:6" ht="12.75">
      <c r="A5923" s="2">
        <v>43882.751307870371</v>
      </c>
      <c r="B5923" t="str">
        <f>HYPERLINK("https://twitter.com/sunnyfuad","@sunnyfuad")</f>
        <v>@sunnyfuad</v>
      </c>
      <c r="C5923" t="s">
        <v>4440</v>
      </c>
      <c r="D5923">
        <v>0</v>
      </c>
      <c r="E5923">
        <v>0</v>
      </c>
      <c r="F5923">
        <v>46</v>
      </c>
    </row>
    <row r="5924" spans="1:6" ht="12.75">
      <c r="A5924" s="2">
        <v>43882.751226851848</v>
      </c>
      <c r="B5924" t="str">
        <f>HYPERLINK("https://twitter.com/al_deee","@al_deee")</f>
        <v>@al_deee</v>
      </c>
      <c r="C5924" t="s">
        <v>2119</v>
      </c>
      <c r="D5924">
        <v>221</v>
      </c>
      <c r="E5924">
        <v>0</v>
      </c>
      <c r="F5924">
        <v>362</v>
      </c>
    </row>
    <row r="5925" spans="1:6" ht="12.75">
      <c r="A5925" s="2">
        <v>43882.751203703709</v>
      </c>
      <c r="B5925" t="str">
        <f>HYPERLINK("https://twitter.com/AndrianaRustam","@AndrianaRustam")</f>
        <v>@AndrianaRustam</v>
      </c>
      <c r="C5925" t="s">
        <v>2119</v>
      </c>
      <c r="D5925">
        <v>221</v>
      </c>
      <c r="E5925">
        <v>0</v>
      </c>
      <c r="F5925">
        <v>300</v>
      </c>
    </row>
    <row r="5926" spans="1:6" ht="12.75">
      <c r="A5926" s="2">
        <v>43882.75099537037</v>
      </c>
      <c r="B5926" t="str">
        <f>HYPERLINK("https://twitter.com/panggilfido","@panggilfido")</f>
        <v>@panggilfido</v>
      </c>
      <c r="C5926" t="s">
        <v>3836</v>
      </c>
      <c r="D5926">
        <v>1</v>
      </c>
      <c r="E5926">
        <v>0</v>
      </c>
      <c r="F5926">
        <v>118</v>
      </c>
    </row>
    <row r="5927" spans="1:6" ht="12.75">
      <c r="A5927" s="2">
        <v>43882.750451388885</v>
      </c>
      <c r="B5927" t="str">
        <f>HYPERLINK("https://twitter.com/afiqAdha","@afiqAdha")</f>
        <v>@afiqAdha</v>
      </c>
      <c r="C5927" t="s">
        <v>2711</v>
      </c>
      <c r="D5927">
        <v>65</v>
      </c>
      <c r="E5927">
        <v>0</v>
      </c>
      <c r="F5927">
        <v>97</v>
      </c>
    </row>
    <row r="5928" spans="1:6" ht="12.75">
      <c r="A5928" s="2">
        <v>43882.750300925924</v>
      </c>
      <c r="B5928" t="str">
        <f>HYPERLINK("https://twitter.com/jarifpratama","@jarifpratama")</f>
        <v>@jarifpratama</v>
      </c>
      <c r="C5928" t="s">
        <v>2119</v>
      </c>
      <c r="D5928">
        <v>221</v>
      </c>
      <c r="E5928">
        <v>0</v>
      </c>
      <c r="F5928">
        <v>534</v>
      </c>
    </row>
    <row r="5929" spans="1:6" ht="12.75">
      <c r="A5929" s="2">
        <v>43882.750185185185</v>
      </c>
      <c r="B5929" t="str">
        <f>HYPERLINK("https://twitter.com/VICE_ID","@VICE_ID")</f>
        <v>@VICE_ID</v>
      </c>
      <c r="C5929" t="s">
        <v>4441</v>
      </c>
      <c r="D5929">
        <v>1</v>
      </c>
      <c r="E5929">
        <v>4</v>
      </c>
      <c r="F5929">
        <v>237410</v>
      </c>
    </row>
    <row r="5930" spans="1:6" ht="12.75">
      <c r="A5930" s="2">
        <v>43882.7497337963</v>
      </c>
      <c r="B5930" t="str">
        <f>HYPERLINK("https://twitter.com/BambangTenan","@BambangTenan")</f>
        <v>@BambangTenan</v>
      </c>
      <c r="C5930" t="s">
        <v>2119</v>
      </c>
      <c r="D5930">
        <v>221</v>
      </c>
      <c r="E5930">
        <v>0</v>
      </c>
      <c r="F5930">
        <v>1034</v>
      </c>
    </row>
    <row r="5931" spans="1:6" ht="12.75">
      <c r="A5931" s="2">
        <v>43882.749502314815</v>
      </c>
      <c r="B5931" t="str">
        <f>HYPERLINK("https://twitter.com/pantau_com","@pantau_com")</f>
        <v>@pantau_com</v>
      </c>
      <c r="C5931" t="s">
        <v>4442</v>
      </c>
      <c r="D5931">
        <v>0</v>
      </c>
      <c r="E5931">
        <v>0</v>
      </c>
      <c r="F5931">
        <v>2109</v>
      </c>
    </row>
    <row r="5932" spans="1:6" ht="12.75">
      <c r="A5932" s="2">
        <v>43882.74927083333</v>
      </c>
      <c r="B5932" t="str">
        <f>HYPERLINK("https://twitter.com/marlianelnino","@marlianelnino")</f>
        <v>@marlianelnino</v>
      </c>
      <c r="C5932" t="s">
        <v>4443</v>
      </c>
      <c r="D5932">
        <v>0</v>
      </c>
      <c r="E5932">
        <v>0</v>
      </c>
      <c r="F5932">
        <v>2438</v>
      </c>
    </row>
    <row r="5933" spans="1:6" ht="12.75">
      <c r="A5933" s="2">
        <v>43882.749143518522</v>
      </c>
      <c r="B5933" t="str">
        <f>HYPERLINK("https://twitter.com/CarikeadilanDi","@CarikeadilanDi")</f>
        <v>@CarikeadilanDi</v>
      </c>
      <c r="C5933" t="s">
        <v>4257</v>
      </c>
      <c r="D5933">
        <v>3</v>
      </c>
      <c r="E5933">
        <v>0</v>
      </c>
      <c r="F5933">
        <v>545</v>
      </c>
    </row>
    <row r="5934" spans="1:6" ht="12.75">
      <c r="A5934" s="2">
        <v>43882.748668981483</v>
      </c>
      <c r="B5934" t="str">
        <f>HYPERLINK("https://twitter.com/DK340_","@DK340_")</f>
        <v>@DK340_</v>
      </c>
      <c r="C5934" t="s">
        <v>2119</v>
      </c>
      <c r="D5934">
        <v>221</v>
      </c>
      <c r="E5934">
        <v>0</v>
      </c>
      <c r="F5934">
        <v>312</v>
      </c>
    </row>
    <row r="5935" spans="1:6" ht="12.75">
      <c r="A5935" s="2">
        <v>43882.748229166667</v>
      </c>
      <c r="B5935" t="str">
        <f>HYPERLINK("https://twitter.com/ruangobrol_id","@ruangobrol_id")</f>
        <v>@ruangobrol_id</v>
      </c>
      <c r="C5935" t="s">
        <v>4444</v>
      </c>
      <c r="D5935">
        <v>0</v>
      </c>
      <c r="E5935">
        <v>0</v>
      </c>
      <c r="F5935">
        <v>160</v>
      </c>
    </row>
    <row r="5936" spans="1:6" ht="12.75">
      <c r="A5936" s="2">
        <v>43882.747939814813</v>
      </c>
      <c r="B5936" t="str">
        <f>HYPERLINK("https://twitter.com/kompascom","@kompascom")</f>
        <v>@kompascom</v>
      </c>
      <c r="C5936" t="s">
        <v>4445</v>
      </c>
      <c r="D5936">
        <v>0</v>
      </c>
      <c r="E5936">
        <v>1</v>
      </c>
      <c r="F5936">
        <v>7506388</v>
      </c>
    </row>
    <row r="5937" spans="1:6" ht="12.75">
      <c r="A5937" s="2">
        <v>43882.747893518521</v>
      </c>
      <c r="B5937" t="str">
        <f>HYPERLINK("https://twitter.com/ASagittarie","@ASagittarie")</f>
        <v>@ASagittarie</v>
      </c>
      <c r="C5937" t="s">
        <v>4446</v>
      </c>
      <c r="D5937">
        <v>0</v>
      </c>
      <c r="E5937">
        <v>0</v>
      </c>
      <c r="F5937">
        <v>131</v>
      </c>
    </row>
    <row r="5938" spans="1:6" ht="12.75">
      <c r="A5938" s="2">
        <v>43882.747881944444</v>
      </c>
      <c r="B5938" t="str">
        <f>HYPERLINK("https://twitter.com/wisanggeni_084","@wisanggeni_084")</f>
        <v>@wisanggeni_084</v>
      </c>
      <c r="C5938" t="s">
        <v>4447</v>
      </c>
      <c r="D5938">
        <v>1</v>
      </c>
      <c r="E5938">
        <v>0</v>
      </c>
      <c r="F5938">
        <v>16352</v>
      </c>
    </row>
    <row r="5939" spans="1:6" ht="12.75">
      <c r="A5939" s="2">
        <v>43882.747800925921</v>
      </c>
      <c r="B5939" t="str">
        <f>HYPERLINK("https://twitter.com/Bulls23_MJ","@Bulls23_MJ")</f>
        <v>@Bulls23_MJ</v>
      </c>
      <c r="C5939" t="s">
        <v>4448</v>
      </c>
      <c r="D5939">
        <v>0</v>
      </c>
      <c r="E5939">
        <v>0</v>
      </c>
      <c r="F5939">
        <v>245</v>
      </c>
    </row>
    <row r="5940" spans="1:6" ht="12.75">
      <c r="A5940" s="2">
        <v>43882.747615740736</v>
      </c>
      <c r="B5940" t="str">
        <f>HYPERLINK("https://twitter.com/mudha_satriya","@mudha_satriya")</f>
        <v>@mudha_satriya</v>
      </c>
      <c r="C5940" t="s">
        <v>4449</v>
      </c>
      <c r="D5940">
        <v>1</v>
      </c>
      <c r="E5940">
        <v>0</v>
      </c>
      <c r="F5940">
        <v>1875</v>
      </c>
    </row>
    <row r="5941" spans="1:6" ht="12.75">
      <c r="A5941" s="2">
        <v>43882.747442129628</v>
      </c>
      <c r="B5941" t="str">
        <f>HYPERLINK("https://twitter.com/GKMedan","@GKMedan")</f>
        <v>@GKMedan</v>
      </c>
      <c r="C5941" t="s">
        <v>2165</v>
      </c>
      <c r="D5941">
        <v>87</v>
      </c>
      <c r="E5941">
        <v>0</v>
      </c>
      <c r="F5941">
        <v>91</v>
      </c>
    </row>
    <row r="5942" spans="1:6" ht="12.75">
      <c r="A5942" s="2">
        <v>43882.747442129628</v>
      </c>
      <c r="B5942" t="str">
        <f>HYPERLINK("https://twitter.com/bangtoyib1818","@bangtoyib1818")</f>
        <v>@bangtoyib1818</v>
      </c>
      <c r="C5942" t="s">
        <v>4450</v>
      </c>
      <c r="D5942">
        <v>1</v>
      </c>
      <c r="E5942">
        <v>1</v>
      </c>
      <c r="F5942">
        <v>907</v>
      </c>
    </row>
    <row r="5943" spans="1:6" ht="12.75">
      <c r="A5943" s="2">
        <v>43882.747407407413</v>
      </c>
      <c r="B5943" t="str">
        <f>HYPERLINK("https://twitter.com/CALLMEAJWAD","@CALLMEAJWAD")</f>
        <v>@CALLMEAJWAD</v>
      </c>
      <c r="C5943" t="s">
        <v>2711</v>
      </c>
      <c r="D5943">
        <v>65</v>
      </c>
      <c r="E5943">
        <v>0</v>
      </c>
      <c r="F5943">
        <v>197</v>
      </c>
    </row>
    <row r="5944" spans="1:6" ht="12.75">
      <c r="A5944" s="2">
        <v>43882.747361111113</v>
      </c>
      <c r="B5944" t="str">
        <f>HYPERLINK("https://twitter.com/ANTARABengkulu","@ANTARABengkulu")</f>
        <v>@ANTARABengkulu</v>
      </c>
      <c r="C5944" t="s">
        <v>4451</v>
      </c>
      <c r="D5944">
        <v>0</v>
      </c>
      <c r="E5944">
        <v>0</v>
      </c>
      <c r="F5944">
        <v>2109</v>
      </c>
    </row>
    <row r="5945" spans="1:6" ht="12.75">
      <c r="A5945" s="2">
        <v>43882.746562500004</v>
      </c>
      <c r="B5945" t="str">
        <f>HYPERLINK("https://twitter.com/bang__ajoen","@bang__ajoen")</f>
        <v>@bang__ajoen</v>
      </c>
      <c r="C5945" t="s">
        <v>2119</v>
      </c>
      <c r="D5945">
        <v>221</v>
      </c>
      <c r="E5945">
        <v>0</v>
      </c>
      <c r="F5945">
        <v>1795</v>
      </c>
    </row>
    <row r="5946" spans="1:6" ht="12.75">
      <c r="A5946" s="2">
        <v>43882.746354166666</v>
      </c>
      <c r="B5946" t="str">
        <f>HYPERLINK("https://twitter.com/amiata_flores","@amiata_flores")</f>
        <v>@amiata_flores</v>
      </c>
      <c r="C5946" t="s">
        <v>2119</v>
      </c>
      <c r="D5946">
        <v>221</v>
      </c>
      <c r="E5946">
        <v>0</v>
      </c>
      <c r="F5946">
        <v>229</v>
      </c>
    </row>
    <row r="5947" spans="1:6" ht="12.75">
      <c r="A5947" s="2">
        <v>43882.746296296296</v>
      </c>
      <c r="B5947" t="str">
        <f>HYPERLINK("https://twitter.com/isis_allanah","@isis_allanah")</f>
        <v>@isis_allanah</v>
      </c>
      <c r="C5947" t="s">
        <v>4452</v>
      </c>
      <c r="D5947">
        <v>0</v>
      </c>
      <c r="E5947">
        <v>0</v>
      </c>
      <c r="F5947">
        <v>1166</v>
      </c>
    </row>
    <row r="5948" spans="1:6" ht="12.75">
      <c r="A5948" s="2">
        <v>43882.745462962965</v>
      </c>
      <c r="B5948" t="str">
        <f>HYPERLINK("https://twitter.com/CharlieYoungky","@CharlieYoungky")</f>
        <v>@CharlieYoungky</v>
      </c>
      <c r="C5948" t="s">
        <v>2119</v>
      </c>
      <c r="D5948">
        <v>221</v>
      </c>
      <c r="E5948">
        <v>0</v>
      </c>
      <c r="F5948">
        <v>1659</v>
      </c>
    </row>
    <row r="5949" spans="1:6" ht="12.75">
      <c r="A5949" s="2">
        <v>43882.745347222226</v>
      </c>
      <c r="B5949" t="str">
        <f>HYPERLINK("https://twitter.com/macangge","@macangge")</f>
        <v>@macangge</v>
      </c>
      <c r="C5949" t="s">
        <v>2711</v>
      </c>
      <c r="D5949">
        <v>65</v>
      </c>
      <c r="E5949">
        <v>0</v>
      </c>
      <c r="F5949">
        <v>376</v>
      </c>
    </row>
    <row r="5950" spans="1:6" ht="12.75">
      <c r="A5950" s="2">
        <v>43882.74523148148</v>
      </c>
      <c r="B5950" t="str">
        <f>HYPERLINK("https://twitter.com/Sastroklengsre1","@Sastroklengsre1")</f>
        <v>@Sastroklengsre1</v>
      </c>
      <c r="C5950" t="s">
        <v>2119</v>
      </c>
      <c r="D5950">
        <v>221</v>
      </c>
      <c r="E5950">
        <v>0</v>
      </c>
      <c r="F5950">
        <v>2345</v>
      </c>
    </row>
    <row r="5951" spans="1:6" ht="12.75">
      <c r="A5951" s="2">
        <v>43882.745069444441</v>
      </c>
      <c r="B5951" t="str">
        <f>HYPERLINK("https://twitter.com/CahyH1","@CahyH1")</f>
        <v>@CahyH1</v>
      </c>
      <c r="C5951" t="s">
        <v>2165</v>
      </c>
      <c r="D5951">
        <v>87</v>
      </c>
      <c r="E5951">
        <v>0</v>
      </c>
      <c r="F5951">
        <v>124</v>
      </c>
    </row>
    <row r="5952" spans="1:6" ht="12.75">
      <c r="A5952" s="2">
        <v>43882.744884259257</v>
      </c>
      <c r="B5952" t="str">
        <f>HYPERLINK("https://twitter.com/gjeunbie","@gjeunbie")</f>
        <v>@gjeunbie</v>
      </c>
      <c r="C5952" t="s">
        <v>4453</v>
      </c>
      <c r="D5952">
        <v>0</v>
      </c>
      <c r="E5952">
        <v>0</v>
      </c>
      <c r="F5952">
        <v>445</v>
      </c>
    </row>
    <row r="5953" spans="1:6" ht="12.75">
      <c r="A5953" s="2">
        <v>43882.744560185187</v>
      </c>
      <c r="B5953" t="str">
        <f>HYPERLINK("https://twitter.com/pilotignews","@pilotignews")</f>
        <v>@pilotignews</v>
      </c>
      <c r="C5953" t="s">
        <v>4392</v>
      </c>
      <c r="D5953">
        <v>0</v>
      </c>
      <c r="E5953">
        <v>0</v>
      </c>
      <c r="F5953">
        <v>28</v>
      </c>
    </row>
    <row r="5954" spans="1:6" ht="12.75">
      <c r="A5954" s="2">
        <v>43882.744363425925</v>
      </c>
      <c r="B5954" t="str">
        <f>HYPERLINK("https://twitter.com/kahirulanuaar","@kahirulanuaar")</f>
        <v>@kahirulanuaar</v>
      </c>
      <c r="C5954" t="s">
        <v>2711</v>
      </c>
      <c r="D5954">
        <v>65</v>
      </c>
      <c r="E5954">
        <v>0</v>
      </c>
      <c r="F5954">
        <v>223</v>
      </c>
    </row>
    <row r="5955" spans="1:6" ht="12.75">
      <c r="A5955" s="2">
        <v>43882.744212962964</v>
      </c>
      <c r="B5955" t="str">
        <f>HYPERLINK("https://twitter.com/kerik_kerik","@kerik_kerik")</f>
        <v>@kerik_kerik</v>
      </c>
      <c r="C5955" t="s">
        <v>2711</v>
      </c>
      <c r="D5955">
        <v>65</v>
      </c>
      <c r="E5955">
        <v>0</v>
      </c>
      <c r="F5955">
        <v>122</v>
      </c>
    </row>
    <row r="5956" spans="1:6" ht="12.75">
      <c r="A5956" s="2">
        <v>43882.744016203702</v>
      </c>
      <c r="B5956" t="str">
        <f>HYPERLINK("https://twitter.com/ohnay__","@ohnay__")</f>
        <v>@ohnay__</v>
      </c>
      <c r="C5956" t="s">
        <v>4454</v>
      </c>
      <c r="D5956">
        <v>0</v>
      </c>
      <c r="E5956">
        <v>0</v>
      </c>
      <c r="F5956">
        <v>1538</v>
      </c>
    </row>
    <row r="5957" spans="1:6" ht="12.75">
      <c r="A5957" s="2">
        <v>43882.743923611109</v>
      </c>
      <c r="B5957" t="str">
        <f>HYPERLINK("https://twitter.com/mahmudfauzinas1","@mahmudfauzinas1")</f>
        <v>@mahmudfauzinas1</v>
      </c>
      <c r="C5957" t="s">
        <v>2119</v>
      </c>
      <c r="D5957">
        <v>221</v>
      </c>
      <c r="E5957">
        <v>0</v>
      </c>
      <c r="F5957">
        <v>105</v>
      </c>
    </row>
    <row r="5958" spans="1:6" ht="12.75">
      <c r="A5958" s="2">
        <v>43882.743888888886</v>
      </c>
      <c r="B5958" t="str">
        <f>HYPERLINK("https://twitter.com/putuartayasa","@putuartayasa")</f>
        <v>@putuartayasa</v>
      </c>
      <c r="C5958" t="s">
        <v>2119</v>
      </c>
      <c r="D5958">
        <v>221</v>
      </c>
      <c r="E5958">
        <v>0</v>
      </c>
      <c r="F5958">
        <v>87</v>
      </c>
    </row>
    <row r="5959" spans="1:6" ht="12.75">
      <c r="A5959" s="2">
        <v>43882.743854166663</v>
      </c>
      <c r="B5959" t="str">
        <f>HYPERLINK("https://twitter.com/elameenrahmeet_","@elameenrahmeet_")</f>
        <v>@elameenrahmeet_</v>
      </c>
      <c r="C5959" t="s">
        <v>2711</v>
      </c>
      <c r="D5959">
        <v>65</v>
      </c>
      <c r="E5959">
        <v>0</v>
      </c>
      <c r="F5959">
        <v>971</v>
      </c>
    </row>
    <row r="5960" spans="1:6" ht="12.75">
      <c r="A5960" s="2">
        <v>43882.743773148148</v>
      </c>
      <c r="B5960" t="str">
        <f>HYPERLINK("https://twitter.com/hariankompas","@hariankompas")</f>
        <v>@hariankompas</v>
      </c>
      <c r="C5960" t="s">
        <v>4455</v>
      </c>
      <c r="D5960">
        <v>0</v>
      </c>
      <c r="E5960">
        <v>0</v>
      </c>
      <c r="F5960">
        <v>786804</v>
      </c>
    </row>
    <row r="5961" spans="1:6" ht="12.75">
      <c r="A5961" s="2">
        <v>43882.743692129632</v>
      </c>
      <c r="B5961" t="str">
        <f>HYPERLINK("https://twitter.com/_aLLhibah","@_aLLhibah")</f>
        <v>@_aLLhibah</v>
      </c>
      <c r="C5961" t="s">
        <v>2119</v>
      </c>
      <c r="D5961">
        <v>221</v>
      </c>
      <c r="E5961">
        <v>0</v>
      </c>
      <c r="F5961">
        <v>2071</v>
      </c>
    </row>
    <row r="5962" spans="1:6" ht="12.75">
      <c r="A5962" s="2">
        <v>43882.743530092594</v>
      </c>
      <c r="B5962" t="str">
        <f>HYPERLINK("https://twitter.com/ursweetgrinder","@ursweetgrinder")</f>
        <v>@ursweetgrinder</v>
      </c>
      <c r="C5962" t="s">
        <v>4456</v>
      </c>
      <c r="D5962">
        <v>0</v>
      </c>
      <c r="E5962">
        <v>4</v>
      </c>
      <c r="F5962">
        <v>3</v>
      </c>
    </row>
    <row r="5963" spans="1:6" ht="12.75">
      <c r="A5963" s="2">
        <v>43882.743090277778</v>
      </c>
      <c r="B5963" t="str">
        <f>HYPERLINK("https://twitter.com/forddyce92","@forddyce92")</f>
        <v>@forddyce92</v>
      </c>
      <c r="C5963" t="s">
        <v>4457</v>
      </c>
      <c r="D5963">
        <v>0</v>
      </c>
      <c r="E5963">
        <v>0</v>
      </c>
      <c r="F5963">
        <v>26</v>
      </c>
    </row>
    <row r="5964" spans="1:6" ht="12.75">
      <c r="A5964" s="2">
        <v>43882.743043981478</v>
      </c>
      <c r="B5964" t="str">
        <f>HYPERLINK("https://twitter.com/RiriJreeng","@RiriJreeng")</f>
        <v>@RiriJreeng</v>
      </c>
      <c r="C5964" t="s">
        <v>4458</v>
      </c>
      <c r="D5964">
        <v>2</v>
      </c>
      <c r="E5964">
        <v>0</v>
      </c>
      <c r="F5964">
        <v>5719</v>
      </c>
    </row>
    <row r="5965" spans="1:6" ht="12.75">
      <c r="A5965" s="2">
        <v>43882.74291666667</v>
      </c>
      <c r="B5965" t="str">
        <f>HYPERLINK("https://twitter.com/N_Izziany","@N_Izziany")</f>
        <v>@N_Izziany</v>
      </c>
      <c r="C5965" t="s">
        <v>2711</v>
      </c>
      <c r="D5965">
        <v>65</v>
      </c>
      <c r="E5965">
        <v>0</v>
      </c>
      <c r="F5965">
        <v>453</v>
      </c>
    </row>
    <row r="5966" spans="1:6" ht="12.75">
      <c r="A5966" s="2">
        <v>43882.742893518516</v>
      </c>
      <c r="B5966" t="str">
        <f>HYPERLINK("https://twitter.com/shahreez31","@shahreez31")</f>
        <v>@shahreez31</v>
      </c>
      <c r="C5966" t="s">
        <v>2711</v>
      </c>
      <c r="D5966">
        <v>65</v>
      </c>
      <c r="E5966">
        <v>0</v>
      </c>
      <c r="F5966">
        <v>307</v>
      </c>
    </row>
    <row r="5967" spans="1:6" ht="12.75">
      <c r="A5967" s="2">
        <v>43882.742569444439</v>
      </c>
      <c r="B5967" t="str">
        <f>HYPERLINK("https://twitter.com/mimiweeka","@mimiweeka")</f>
        <v>@mimiweeka</v>
      </c>
      <c r="C5967" t="s">
        <v>4458</v>
      </c>
      <c r="D5967">
        <v>2</v>
      </c>
      <c r="E5967">
        <v>0</v>
      </c>
      <c r="F5967">
        <v>451</v>
      </c>
    </row>
    <row r="5968" spans="1:6" ht="12.75">
      <c r="A5968" s="2">
        <v>43882.742523148147</v>
      </c>
      <c r="B5968" t="str">
        <f>HYPERLINK("https://twitter.com/harakatuna","@harakatuna")</f>
        <v>@harakatuna</v>
      </c>
      <c r="C5968" t="s">
        <v>4459</v>
      </c>
      <c r="D5968">
        <v>0</v>
      </c>
      <c r="E5968">
        <v>0</v>
      </c>
      <c r="F5968">
        <v>408</v>
      </c>
    </row>
    <row r="5969" spans="1:6" ht="12.75">
      <c r="A5969" s="2">
        <v>43882.742326388892</v>
      </c>
      <c r="B5969" t="str">
        <f>HYPERLINK("https://twitter.com/bukanpriska","@bukanpriska")</f>
        <v>@bukanpriska</v>
      </c>
      <c r="C5969" t="s">
        <v>4460</v>
      </c>
      <c r="D5969">
        <v>0</v>
      </c>
      <c r="E5969">
        <v>0</v>
      </c>
      <c r="F5969">
        <v>21</v>
      </c>
    </row>
    <row r="5970" spans="1:6" ht="12.75">
      <c r="A5970" s="2">
        <v>43882.742106481484</v>
      </c>
      <c r="B5970" t="str">
        <f>HYPERLINK("https://twitter.com/OpsGabNU","@OpsGabNU")</f>
        <v>@OpsGabNU</v>
      </c>
      <c r="C5970" t="s">
        <v>2165</v>
      </c>
      <c r="D5970">
        <v>87</v>
      </c>
      <c r="E5970">
        <v>0</v>
      </c>
      <c r="F5970">
        <v>335</v>
      </c>
    </row>
    <row r="5971" spans="1:6" ht="12.75">
      <c r="A5971" s="2">
        <v>43882.7418287037</v>
      </c>
      <c r="B5971" t="str">
        <f>HYPERLINK("https://twitter.com/harakatuna","@harakatuna")</f>
        <v>@harakatuna</v>
      </c>
      <c r="C5971" t="s">
        <v>3346</v>
      </c>
      <c r="D5971">
        <v>0</v>
      </c>
      <c r="E5971">
        <v>0</v>
      </c>
      <c r="F5971">
        <v>408</v>
      </c>
    </row>
    <row r="5972" spans="1:6" ht="12.75">
      <c r="A5972" s="2">
        <v>43882.741747685184</v>
      </c>
      <c r="B5972" t="str">
        <f>HYPERLINK("https://twitter.com/JohnIrwan4","@JohnIrwan4")</f>
        <v>@JohnIrwan4</v>
      </c>
      <c r="C5972" t="s">
        <v>4461</v>
      </c>
      <c r="D5972">
        <v>1</v>
      </c>
      <c r="E5972">
        <v>0</v>
      </c>
      <c r="F5972">
        <v>2336</v>
      </c>
    </row>
    <row r="5973" spans="1:6" ht="12.75">
      <c r="A5973" s="2">
        <v>43882.741516203707</v>
      </c>
      <c r="B5973" t="str">
        <f>HYPERLINK("https://twitter.com/shazmiehazim","@shazmiehazim")</f>
        <v>@shazmiehazim</v>
      </c>
      <c r="C5973" t="s">
        <v>2711</v>
      </c>
      <c r="D5973">
        <v>65</v>
      </c>
      <c r="E5973">
        <v>0</v>
      </c>
      <c r="F5973">
        <v>334</v>
      </c>
    </row>
    <row r="5974" spans="1:6" ht="12.75">
      <c r="A5974" s="2">
        <v>43882.74145833333</v>
      </c>
      <c r="B5974" t="str">
        <f>HYPERLINK("https://twitter.com/AzmiDan","@AzmiDan")</f>
        <v>@AzmiDan</v>
      </c>
      <c r="C5974" t="s">
        <v>2711</v>
      </c>
      <c r="D5974">
        <v>65</v>
      </c>
      <c r="E5974">
        <v>0</v>
      </c>
      <c r="F5974">
        <v>126</v>
      </c>
    </row>
    <row r="5975" spans="1:6" ht="12.75">
      <c r="A5975" s="2">
        <v>43882.741331018522</v>
      </c>
      <c r="B5975" t="str">
        <f>HYPERLINK("https://twitter.com/Josef_Han","@Josef_Han")</f>
        <v>@Josef_Han</v>
      </c>
      <c r="C5975" t="s">
        <v>2119</v>
      </c>
      <c r="D5975">
        <v>221</v>
      </c>
      <c r="E5975">
        <v>0</v>
      </c>
      <c r="F5975">
        <v>266</v>
      </c>
    </row>
    <row r="5976" spans="1:6" ht="12.75">
      <c r="A5976" s="2">
        <v>43882.741041666668</v>
      </c>
      <c r="B5976" t="str">
        <f>HYPERLINK("https://twitter.com/nalasandii77","@nalasandii77")</f>
        <v>@nalasandii77</v>
      </c>
      <c r="C5976" t="s">
        <v>2711</v>
      </c>
      <c r="D5976">
        <v>65</v>
      </c>
      <c r="E5976">
        <v>0</v>
      </c>
      <c r="F5976">
        <v>40</v>
      </c>
    </row>
    <row r="5977" spans="1:6" ht="12.75">
      <c r="A5977" s="2">
        <v>43882.740856481483</v>
      </c>
      <c r="B5977" t="str">
        <f>HYPERLINK("https://twitter.com/zakimuhd_","@zakimuhd_")</f>
        <v>@zakimuhd_</v>
      </c>
      <c r="C5977" t="s">
        <v>2711</v>
      </c>
      <c r="D5977">
        <v>65</v>
      </c>
      <c r="E5977">
        <v>0</v>
      </c>
      <c r="F5977">
        <v>157</v>
      </c>
    </row>
    <row r="5978" spans="1:6" ht="12.75">
      <c r="A5978" s="2">
        <v>43882.740439814814</v>
      </c>
      <c r="B5978" t="str">
        <f>HYPERLINK("https://twitter.com/ahmuhib","@ahmuhib")</f>
        <v>@ahmuhib</v>
      </c>
      <c r="C5978" t="s">
        <v>2711</v>
      </c>
      <c r="D5978">
        <v>65</v>
      </c>
      <c r="E5978">
        <v>0</v>
      </c>
      <c r="F5978">
        <v>248</v>
      </c>
    </row>
    <row r="5979" spans="1:6" ht="12.75">
      <c r="A5979" s="2">
        <v>43882.740300925929</v>
      </c>
      <c r="B5979" t="str">
        <f>HYPERLINK("https://twitter.com/SakinahAbdull11","@SakinahAbdull11")</f>
        <v>@SakinahAbdull11</v>
      </c>
      <c r="C5979" t="s">
        <v>3302</v>
      </c>
      <c r="D5979">
        <v>28</v>
      </c>
      <c r="E5979">
        <v>0</v>
      </c>
      <c r="F5979">
        <v>702</v>
      </c>
    </row>
    <row r="5980" spans="1:6" ht="12.75">
      <c r="A5980" s="2">
        <v>43882.740266203706</v>
      </c>
      <c r="B5980" t="str">
        <f>HYPERLINK("https://twitter.com/niatanbaik","@niatanbaik")</f>
        <v>@niatanbaik</v>
      </c>
      <c r="C5980" t="s">
        <v>3176</v>
      </c>
      <c r="D5980">
        <v>2</v>
      </c>
      <c r="E5980">
        <v>0</v>
      </c>
      <c r="F5980">
        <v>531</v>
      </c>
    </row>
    <row r="5981" spans="1:6" ht="12.75">
      <c r="A5981" s="2">
        <v>43882.739699074074</v>
      </c>
      <c r="B5981" t="str">
        <f>HYPERLINK("https://twitter.com/muadzishak","@muadzishak")</f>
        <v>@muadzishak</v>
      </c>
      <c r="C5981" t="s">
        <v>2711</v>
      </c>
      <c r="D5981">
        <v>65</v>
      </c>
      <c r="E5981">
        <v>0</v>
      </c>
      <c r="F5981">
        <v>319</v>
      </c>
    </row>
    <row r="5982" spans="1:6" ht="12.75">
      <c r="A5982" s="2">
        <v>43882.739664351851</v>
      </c>
      <c r="B5982" t="str">
        <f>HYPERLINK("https://twitter.com/infobolaaja889","@infobolaaja889")</f>
        <v>@infobolaaja889</v>
      </c>
      <c r="C5982" t="s">
        <v>4462</v>
      </c>
      <c r="D5982">
        <v>0</v>
      </c>
      <c r="E5982">
        <v>0</v>
      </c>
      <c r="F5982">
        <v>31</v>
      </c>
    </row>
    <row r="5983" spans="1:6" ht="12.75">
      <c r="A5983" s="2">
        <v>43882.739652777775</v>
      </c>
      <c r="B5983" t="str">
        <f>HYPERLINK("https://twitter.com/BaliHanafi","@BaliHanafi")</f>
        <v>@BaliHanafi</v>
      </c>
      <c r="C5983" t="s">
        <v>2119</v>
      </c>
      <c r="D5983">
        <v>221</v>
      </c>
      <c r="E5983">
        <v>0</v>
      </c>
      <c r="F5983">
        <v>402</v>
      </c>
    </row>
    <row r="5984" spans="1:6" ht="12.75">
      <c r="A5984" s="2">
        <v>43882.739641203705</v>
      </c>
      <c r="B5984" t="str">
        <f>HYPERLINK("https://twitter.com/widya1180465195","@widya1180465195")</f>
        <v>@widya1180465195</v>
      </c>
      <c r="C5984" t="s">
        <v>4462</v>
      </c>
      <c r="D5984">
        <v>0</v>
      </c>
      <c r="E5984">
        <v>0</v>
      </c>
      <c r="F5984">
        <v>25</v>
      </c>
    </row>
    <row r="5985" spans="1:6" ht="12.75">
      <c r="A5985" s="2">
        <v>43882.739641203705</v>
      </c>
      <c r="B5985" t="str">
        <f>HYPERLINK("https://twitter.com/forddyce92","@forddyce92")</f>
        <v>@forddyce92</v>
      </c>
      <c r="C5985" t="s">
        <v>4463</v>
      </c>
      <c r="D5985">
        <v>0</v>
      </c>
      <c r="E5985">
        <v>0</v>
      </c>
      <c r="F5985">
        <v>26</v>
      </c>
    </row>
    <row r="5986" spans="1:6" ht="12.75">
      <c r="A5986" s="2">
        <v>43882.739629629628</v>
      </c>
      <c r="B5986" t="str">
        <f>HYPERLINK("https://twitter.com/qqmulia","@qqmulia")</f>
        <v>@qqmulia</v>
      </c>
      <c r="C5986" t="s">
        <v>4462</v>
      </c>
      <c r="D5986">
        <v>0</v>
      </c>
      <c r="E5986">
        <v>0</v>
      </c>
      <c r="F5986">
        <v>118</v>
      </c>
    </row>
    <row r="5987" spans="1:6" ht="12.75">
      <c r="A5987" s="2">
        <v>43882.739583333328</v>
      </c>
      <c r="B5987" t="str">
        <f>HYPERLINK("https://twitter.com/tyjfrnsa","@tyjfrnsa")</f>
        <v>@tyjfrnsa</v>
      </c>
      <c r="C5987" t="s">
        <v>3176</v>
      </c>
      <c r="D5987">
        <v>2</v>
      </c>
      <c r="E5987">
        <v>0</v>
      </c>
      <c r="F5987">
        <v>76</v>
      </c>
    </row>
    <row r="5988" spans="1:6" ht="12.75">
      <c r="A5988" s="2">
        <v>43882.739479166667</v>
      </c>
      <c r="B5988" t="str">
        <f>HYPERLINK("https://twitter.com/dagadgetboi","@dagadgetboi")</f>
        <v>@dagadgetboi</v>
      </c>
      <c r="C5988" t="s">
        <v>2119</v>
      </c>
      <c r="D5988">
        <v>221</v>
      </c>
      <c r="E5988">
        <v>0</v>
      </c>
      <c r="F5988">
        <v>1079</v>
      </c>
    </row>
    <row r="5989" spans="1:6" ht="12.75">
      <c r="A5989" s="2">
        <v>43882.739340277782</v>
      </c>
      <c r="B5989" t="str">
        <f>HYPERLINK("https://twitter.com/abdullahfikrii","@abdullahfikrii")</f>
        <v>@abdullahfikrii</v>
      </c>
      <c r="C5989" t="s">
        <v>2711</v>
      </c>
      <c r="D5989">
        <v>65</v>
      </c>
      <c r="E5989">
        <v>0</v>
      </c>
      <c r="F5989">
        <v>153</v>
      </c>
    </row>
    <row r="5990" spans="1:6" ht="12.75">
      <c r="A5990" s="2">
        <v>43882.739085648151</v>
      </c>
      <c r="B5990" t="str">
        <f>HYPERLINK("https://twitter.com/HilmyIrham","@HilmyIrham")</f>
        <v>@HilmyIrham</v>
      </c>
      <c r="C5990" t="s">
        <v>2119</v>
      </c>
      <c r="D5990">
        <v>221</v>
      </c>
      <c r="E5990">
        <v>0</v>
      </c>
      <c r="F5990">
        <v>354</v>
      </c>
    </row>
    <row r="5991" spans="1:6" ht="12.75">
      <c r="A5991" s="2">
        <v>43882.738784722227</v>
      </c>
      <c r="B5991" t="str">
        <f>HYPERLINK("https://twitter.com/sorayalibby","@sorayalibby")</f>
        <v>@sorayalibby</v>
      </c>
      <c r="C5991" t="s">
        <v>4464</v>
      </c>
      <c r="D5991">
        <v>0</v>
      </c>
      <c r="E5991">
        <v>0</v>
      </c>
      <c r="F5991">
        <v>618</v>
      </c>
    </row>
    <row r="5992" spans="1:6" ht="12.75">
      <c r="A5992" s="2">
        <v>43882.738530092596</v>
      </c>
      <c r="B5992" t="str">
        <f>HYPERLINK("https://twitter.com/haikalhzlm","@haikalhzlm")</f>
        <v>@haikalhzlm</v>
      </c>
      <c r="C5992" t="s">
        <v>2711</v>
      </c>
      <c r="D5992">
        <v>65</v>
      </c>
      <c r="E5992">
        <v>0</v>
      </c>
      <c r="F5992">
        <v>298</v>
      </c>
    </row>
    <row r="5993" spans="1:6" ht="12.75">
      <c r="A5993" s="2">
        <v>43882.73847222222</v>
      </c>
      <c r="B5993" t="str">
        <f>HYPERLINK("https://twitter.com/dergrosenjoe135","@dergrosenjoe135")</f>
        <v>@dergrosenjoe135</v>
      </c>
      <c r="C5993" t="s">
        <v>2119</v>
      </c>
      <c r="D5993">
        <v>221</v>
      </c>
      <c r="E5993">
        <v>0</v>
      </c>
      <c r="F5993">
        <v>2561</v>
      </c>
    </row>
    <row r="5994" spans="1:6" ht="12.75">
      <c r="A5994" s="2">
        <v>43882.738425925927</v>
      </c>
      <c r="B5994" t="str">
        <f>HYPERLINK("https://twitter.com/KemenkesRI","@KemenkesRI")</f>
        <v>@KemenkesRI</v>
      </c>
      <c r="C5994" t="s">
        <v>4465</v>
      </c>
      <c r="D5994">
        <v>2</v>
      </c>
      <c r="E5994">
        <v>2</v>
      </c>
      <c r="F5994">
        <v>246898</v>
      </c>
    </row>
    <row r="5995" spans="1:6" ht="12.75">
      <c r="A5995" s="2">
        <v>43882.738229166665</v>
      </c>
      <c r="B5995" t="str">
        <f>HYPERLINK("https://twitter.com/kompascom","@kompascom")</f>
        <v>@kompascom</v>
      </c>
      <c r="C5995" t="s">
        <v>4466</v>
      </c>
      <c r="D5995">
        <v>2</v>
      </c>
      <c r="E5995">
        <v>2</v>
      </c>
      <c r="F5995">
        <v>7506388</v>
      </c>
    </row>
    <row r="5996" spans="1:6" ht="12.75">
      <c r="A5996" s="2">
        <v>43882.737893518519</v>
      </c>
      <c r="B5996" t="str">
        <f>HYPERLINK("https://twitter.com/CyberFollback","@CyberFollback")</f>
        <v>@CyberFollback</v>
      </c>
      <c r="C5996" t="s">
        <v>2165</v>
      </c>
      <c r="D5996">
        <v>87</v>
      </c>
      <c r="E5996">
        <v>0</v>
      </c>
      <c r="F5996">
        <v>422</v>
      </c>
    </row>
    <row r="5997" spans="1:6" ht="12.75">
      <c r="A5997" s="2">
        <v>43882.737395833334</v>
      </c>
      <c r="B5997" t="str">
        <f>HYPERLINK("https://twitter.com/20detik","@20detik")</f>
        <v>@20detik</v>
      </c>
      <c r="C5997" t="s">
        <v>4467</v>
      </c>
      <c r="D5997">
        <v>0</v>
      </c>
      <c r="E5997">
        <v>0</v>
      </c>
      <c r="F5997">
        <v>80654</v>
      </c>
    </row>
    <row r="5998" spans="1:6" ht="12.75">
      <c r="A5998" s="2">
        <v>43882.737187499995</v>
      </c>
      <c r="B5998" t="str">
        <f>HYPERLINK("https://twitter.com/FaktaNew5","@FaktaNew5")</f>
        <v>@FaktaNew5</v>
      </c>
      <c r="C5998" t="s">
        <v>2159</v>
      </c>
      <c r="D5998">
        <v>0</v>
      </c>
      <c r="E5998">
        <v>0</v>
      </c>
      <c r="F5998">
        <v>175</v>
      </c>
    </row>
    <row r="5999" spans="1:6" ht="12.75">
      <c r="A5999" s="2">
        <v>43882.737071759257</v>
      </c>
      <c r="B5999" t="str">
        <f>HYPERLINK("https://twitter.com/owicaksana","@owicaksana")</f>
        <v>@owicaksana</v>
      </c>
      <c r="C5999" t="s">
        <v>2119</v>
      </c>
      <c r="D5999">
        <v>221</v>
      </c>
      <c r="E5999">
        <v>0</v>
      </c>
      <c r="F5999">
        <v>2589</v>
      </c>
    </row>
    <row r="6000" spans="1:6" ht="12.75">
      <c r="A6000" s="2">
        <v>43882.737060185187</v>
      </c>
      <c r="B6000" t="str">
        <f>HYPERLINK("https://twitter.com/cheonmaneyoo","@cheonmaneyoo")</f>
        <v>@cheonmaneyoo</v>
      </c>
      <c r="C6000" t="s">
        <v>2711</v>
      </c>
      <c r="D6000">
        <v>65</v>
      </c>
      <c r="E6000">
        <v>0</v>
      </c>
      <c r="F6000">
        <v>60</v>
      </c>
    </row>
    <row r="6001" spans="1:6" ht="12.75">
      <c r="A6001" s="2">
        <v>43882.736979166672</v>
      </c>
      <c r="B6001" t="str">
        <f>HYPERLINK("https://twitter.com/JfSigumonrong","@JfSigumonrong")</f>
        <v>@JfSigumonrong</v>
      </c>
      <c r="C6001" t="s">
        <v>2119</v>
      </c>
      <c r="D6001">
        <v>221</v>
      </c>
      <c r="E6001">
        <v>0</v>
      </c>
      <c r="F6001">
        <v>32</v>
      </c>
    </row>
    <row r="6002" spans="1:6" ht="12.75">
      <c r="A6002" s="2">
        <v>43882.736759259264</v>
      </c>
      <c r="B6002" t="str">
        <f>HYPERLINK("https://twitter.com/isis_eve","@isis_eve")</f>
        <v>@isis_eve</v>
      </c>
      <c r="C6002" t="s">
        <v>4468</v>
      </c>
      <c r="D6002">
        <v>207</v>
      </c>
      <c r="E6002">
        <v>0</v>
      </c>
      <c r="F6002">
        <v>217</v>
      </c>
    </row>
    <row r="6003" spans="1:6" ht="12.75">
      <c r="A6003" s="2">
        <v>43882.736562499995</v>
      </c>
      <c r="B6003" t="str">
        <f>HYPERLINK("https://twitter.com/thegedebe","@thegedebe")</f>
        <v>@thegedebe</v>
      </c>
      <c r="C6003" t="s">
        <v>2711</v>
      </c>
      <c r="D6003">
        <v>65</v>
      </c>
      <c r="E6003">
        <v>0</v>
      </c>
      <c r="F6003">
        <v>190</v>
      </c>
    </row>
    <row r="6004" spans="1:6" ht="12.75">
      <c r="A6004" s="2">
        <v>43882.736481481479</v>
      </c>
      <c r="B6004" t="str">
        <f>HYPERLINK("https://twitter.com/miraigadget89","@miraigadget89")</f>
        <v>@miraigadget89</v>
      </c>
      <c r="C6004" t="s">
        <v>4469</v>
      </c>
      <c r="D6004">
        <v>0</v>
      </c>
      <c r="E6004">
        <v>0</v>
      </c>
      <c r="F6004">
        <v>2</v>
      </c>
    </row>
    <row r="6005" spans="1:6" ht="12.75">
      <c r="A6005" s="2">
        <v>43882.73642361111</v>
      </c>
      <c r="B6005" t="str">
        <f>HYPERLINK("https://twitter.com/bintangwasii","@bintangwasii")</f>
        <v>@bintangwasii</v>
      </c>
      <c r="C6005" t="s">
        <v>3508</v>
      </c>
      <c r="D6005">
        <v>60</v>
      </c>
      <c r="E6005">
        <v>0</v>
      </c>
      <c r="F6005">
        <v>206</v>
      </c>
    </row>
    <row r="6006" spans="1:6" ht="12.75">
      <c r="A6006" s="2">
        <v>43882.735833333332</v>
      </c>
      <c r="B6006" t="str">
        <f>HYPERLINK("https://twitter.com/MaruHiroReiwa","@MaruHiroReiwa")</f>
        <v>@MaruHiroReiwa</v>
      </c>
      <c r="C6006" t="s">
        <v>177</v>
      </c>
      <c r="D6006">
        <v>786</v>
      </c>
      <c r="E6006">
        <v>0</v>
      </c>
      <c r="F6006">
        <v>62</v>
      </c>
    </row>
    <row r="6007" spans="1:6" ht="12.75">
      <c r="A6007" s="2">
        <v>43882.735567129625</v>
      </c>
      <c r="B6007" t="str">
        <f>HYPERLINK("https://twitter.com/Nanda_Emirates","@Nanda_Emirates")</f>
        <v>@Nanda_Emirates</v>
      </c>
      <c r="C6007" t="s">
        <v>2930</v>
      </c>
      <c r="D6007">
        <v>150</v>
      </c>
      <c r="E6007">
        <v>0</v>
      </c>
      <c r="F6007">
        <v>326</v>
      </c>
    </row>
    <row r="6008" spans="1:6" ht="12.75">
      <c r="A6008" s="2">
        <v>43882.735497685186</v>
      </c>
      <c r="B6008" t="str">
        <f>HYPERLINK("https://twitter.com/j1mspc","@j1mspc")</f>
        <v>@j1mspc</v>
      </c>
      <c r="C6008" t="s">
        <v>2711</v>
      </c>
      <c r="D6008">
        <v>65</v>
      </c>
      <c r="E6008">
        <v>0</v>
      </c>
      <c r="F6008">
        <v>177</v>
      </c>
    </row>
    <row r="6009" spans="1:6" ht="12.75">
      <c r="A6009" s="2">
        <v>43882.735393518524</v>
      </c>
      <c r="B6009" t="str">
        <f>HYPERLINK("https://twitter.com/thirahzi","@thirahzi")</f>
        <v>@thirahzi</v>
      </c>
      <c r="C6009" t="s">
        <v>2711</v>
      </c>
      <c r="D6009">
        <v>65</v>
      </c>
      <c r="E6009">
        <v>0</v>
      </c>
      <c r="F6009">
        <v>9</v>
      </c>
    </row>
    <row r="6010" spans="1:6" ht="12.75">
      <c r="A6010" s="2">
        <v>43882.735208333332</v>
      </c>
      <c r="B6010" t="str">
        <f>HYPERLINK("https://twitter.com/bulenesiaaa","@bulenesiaaa")</f>
        <v>@bulenesiaaa</v>
      </c>
      <c r="C6010" t="s">
        <v>4148</v>
      </c>
      <c r="D6010">
        <v>1</v>
      </c>
      <c r="E6010">
        <v>0</v>
      </c>
      <c r="F6010">
        <v>123</v>
      </c>
    </row>
    <row r="6011" spans="1:6" ht="12.75">
      <c r="A6011" s="2">
        <v>43882.734942129631</v>
      </c>
      <c r="B6011" t="str">
        <f>HYPERLINK("https://twitter.com/anam30_","@anam30_")</f>
        <v>@anam30_</v>
      </c>
      <c r="C6011" t="s">
        <v>2165</v>
      </c>
      <c r="D6011">
        <v>87</v>
      </c>
      <c r="E6011">
        <v>0</v>
      </c>
      <c r="F6011">
        <v>570</v>
      </c>
    </row>
    <row r="6012" spans="1:6" ht="12.75">
      <c r="A6012" s="2">
        <v>43882.734814814816</v>
      </c>
      <c r="B6012" t="str">
        <f>HYPERLINK("https://twitter.com/memtest86","@memtest86")</f>
        <v>@memtest86</v>
      </c>
      <c r="C6012" t="s">
        <v>4470</v>
      </c>
      <c r="D6012">
        <v>0</v>
      </c>
      <c r="E6012">
        <v>0</v>
      </c>
      <c r="F6012">
        <v>31</v>
      </c>
    </row>
    <row r="6013" spans="1:6" ht="12.75">
      <c r="A6013" s="2">
        <v>43882.734444444446</v>
      </c>
      <c r="B6013" t="str">
        <f>HYPERLINK("https://twitter.com/mavanny92","@mavanny92")</f>
        <v>@mavanny92</v>
      </c>
      <c r="C6013" t="s">
        <v>3508</v>
      </c>
      <c r="D6013">
        <v>60</v>
      </c>
      <c r="E6013">
        <v>0</v>
      </c>
      <c r="F6013">
        <v>49</v>
      </c>
    </row>
    <row r="6014" spans="1:6" ht="12.75">
      <c r="A6014" s="2">
        <v>43882.7341087963</v>
      </c>
      <c r="B6014" t="str">
        <f>HYPERLINK("https://twitter.com/sis_kiera93","@sis_kiera93")</f>
        <v>@sis_kiera93</v>
      </c>
      <c r="C6014" t="s">
        <v>2711</v>
      </c>
      <c r="D6014">
        <v>65</v>
      </c>
      <c r="E6014">
        <v>0</v>
      </c>
      <c r="F6014">
        <v>65</v>
      </c>
    </row>
    <row r="6015" spans="1:6" ht="12.75">
      <c r="A6015" s="2">
        <v>43882.734050925923</v>
      </c>
      <c r="B6015" t="str">
        <f>HYPERLINK("https://twitter.com/suaradotcom","@suaradotcom")</f>
        <v>@suaradotcom</v>
      </c>
      <c r="C6015" t="s">
        <v>4471</v>
      </c>
      <c r="D6015">
        <v>0</v>
      </c>
      <c r="E6015">
        <v>0</v>
      </c>
      <c r="F6015">
        <v>24196</v>
      </c>
    </row>
    <row r="6016" spans="1:6" ht="12.75">
      <c r="A6016" s="2">
        <v>43882.734039351853</v>
      </c>
      <c r="B6016" t="str">
        <f>HYPERLINK("https://twitter.com/MT_Reborn","@MT_Reborn")</f>
        <v>@MT_Reborn</v>
      </c>
      <c r="C6016" t="s">
        <v>4472</v>
      </c>
      <c r="D6016">
        <v>0</v>
      </c>
      <c r="E6016">
        <v>1</v>
      </c>
      <c r="F6016">
        <v>8036</v>
      </c>
    </row>
    <row r="6017" spans="1:6" ht="12.75">
      <c r="A6017" s="2">
        <v>43882.733796296292</v>
      </c>
      <c r="B6017" t="str">
        <f>HYPERLINK("https://twitter.com/mfmy01","@mfmy01")</f>
        <v>@mfmy01</v>
      </c>
      <c r="C6017" t="s">
        <v>2711</v>
      </c>
      <c r="D6017">
        <v>65</v>
      </c>
      <c r="E6017">
        <v>0</v>
      </c>
      <c r="F6017">
        <v>40</v>
      </c>
    </row>
    <row r="6018" spans="1:6" ht="12.75">
      <c r="A6018" s="2">
        <v>43882.733657407407</v>
      </c>
      <c r="B6018" t="str">
        <f>HYPERLINK("https://twitter.com/jodohkudikorea","@jodohkudikorea")</f>
        <v>@jodohkudikorea</v>
      </c>
      <c r="C6018" t="s">
        <v>2370</v>
      </c>
      <c r="D6018">
        <v>758</v>
      </c>
      <c r="E6018">
        <v>0</v>
      </c>
      <c r="F6018">
        <v>375</v>
      </c>
    </row>
    <row r="6019" spans="1:6" ht="12.75">
      <c r="A6019" s="2">
        <v>43882.733576388884</v>
      </c>
      <c r="B6019" t="str">
        <f>HYPERLINK("https://twitter.com/NashrudinAris","@NashrudinAris")</f>
        <v>@NashrudinAris</v>
      </c>
      <c r="C6019" t="s">
        <v>2711</v>
      </c>
      <c r="D6019">
        <v>65</v>
      </c>
      <c r="E6019">
        <v>0</v>
      </c>
      <c r="F6019">
        <v>383</v>
      </c>
    </row>
    <row r="6020" spans="1:6" ht="12.75">
      <c r="A6020" s="2">
        <v>43882.733148148152</v>
      </c>
      <c r="B6020" t="str">
        <f>HYPERLINK("https://twitter.com/RudyFarthuack","@RudyFarthuack")</f>
        <v>@RudyFarthuack</v>
      </c>
      <c r="C6020" t="s">
        <v>4473</v>
      </c>
      <c r="D6020">
        <v>0</v>
      </c>
      <c r="E6020">
        <v>0</v>
      </c>
      <c r="F6020">
        <v>1044</v>
      </c>
    </row>
    <row r="6021" spans="1:6" ht="12.75">
      <c r="A6021" s="2">
        <v>43882.70958333333</v>
      </c>
      <c r="B6021" t="str">
        <f>HYPERLINK("https://twitter.com/salsabila0307","@salsabila0307")</f>
        <v>@salsabila0307</v>
      </c>
      <c r="C6021" t="s">
        <v>4474</v>
      </c>
      <c r="D6021">
        <v>0</v>
      </c>
      <c r="E6021">
        <v>0</v>
      </c>
      <c r="F6021">
        <v>4355</v>
      </c>
    </row>
    <row r="6022" spans="1:6" ht="12.75">
      <c r="A6022" s="2">
        <v>43882.708692129629</v>
      </c>
      <c r="B6022" t="str">
        <f>HYPERLINK("https://twitter.com/CyberNU2","@CyberNU2")</f>
        <v>@CyberNU2</v>
      </c>
      <c r="C6022" t="s">
        <v>2165</v>
      </c>
      <c r="D6022">
        <v>76</v>
      </c>
      <c r="E6022">
        <v>0</v>
      </c>
      <c r="F6022">
        <v>311</v>
      </c>
    </row>
    <row r="6023" spans="1:6" ht="12.75">
      <c r="A6023" s="2">
        <v>43882.708333333328</v>
      </c>
      <c r="B6023" t="str">
        <f>HYPERLINK("https://twitter.com/OfficialiNewsTV","@OfficialiNewsTV")</f>
        <v>@OfficialiNewsTV</v>
      </c>
      <c r="C6023" t="s">
        <v>4475</v>
      </c>
      <c r="D6023">
        <v>0</v>
      </c>
      <c r="E6023">
        <v>0</v>
      </c>
      <c r="F6023">
        <v>96099</v>
      </c>
    </row>
    <row r="6024" spans="1:6" ht="12.75">
      <c r="A6024" s="2">
        <v>43882.70826388889</v>
      </c>
      <c r="B6024" t="str">
        <f>HYPERLINK("https://twitter.com/karnisuru","@karnisuru")</f>
        <v>@karnisuru</v>
      </c>
      <c r="C6024" t="s">
        <v>2119</v>
      </c>
      <c r="D6024">
        <v>177</v>
      </c>
      <c r="E6024">
        <v>0</v>
      </c>
      <c r="F6024">
        <v>182</v>
      </c>
    </row>
    <row r="6025" spans="1:6" ht="12.75">
      <c r="A6025" s="2">
        <v>43882.708252314813</v>
      </c>
      <c r="B6025" t="str">
        <f>HYPERLINK("https://twitter.com/Axxr_55","@Axxr_55")</f>
        <v>@Axxr_55</v>
      </c>
      <c r="C6025" t="s">
        <v>4476</v>
      </c>
      <c r="D6025">
        <v>0</v>
      </c>
      <c r="E6025">
        <v>0</v>
      </c>
      <c r="F6025">
        <v>482</v>
      </c>
    </row>
    <row r="6026" spans="1:6" ht="12.75">
      <c r="A6026" s="2">
        <v>43882.707974537036</v>
      </c>
      <c r="B6026" t="str">
        <f>HYPERLINK("https://twitter.com/luke_v_zakaria","@luke_v_zakaria")</f>
        <v>@luke_v_zakaria</v>
      </c>
      <c r="C6026" t="s">
        <v>2119</v>
      </c>
      <c r="D6026">
        <v>177</v>
      </c>
      <c r="E6026">
        <v>0</v>
      </c>
      <c r="F6026">
        <v>243</v>
      </c>
    </row>
    <row r="6027" spans="1:6" ht="12.75">
      <c r="A6027" s="2">
        <v>43882.707905092597</v>
      </c>
      <c r="B6027" t="str">
        <f>HYPERLINK("https://twitter.com/calvinyounglee","@calvinyounglee")</f>
        <v>@calvinyounglee</v>
      </c>
      <c r="C6027" t="s">
        <v>4477</v>
      </c>
      <c r="D6027">
        <v>2</v>
      </c>
      <c r="E6027">
        <v>0</v>
      </c>
      <c r="F6027">
        <v>390</v>
      </c>
    </row>
    <row r="6028" spans="1:6" ht="12.75">
      <c r="A6028" s="2">
        <v>43882.707800925928</v>
      </c>
      <c r="B6028" t="str">
        <f>HYPERLINK("https://twitter.com/Kah11Hau11","@Kah11Hau11")</f>
        <v>@Kah11Hau11</v>
      </c>
      <c r="C6028" t="s">
        <v>4478</v>
      </c>
      <c r="D6028">
        <v>1</v>
      </c>
      <c r="E6028">
        <v>0</v>
      </c>
      <c r="F6028">
        <v>1614</v>
      </c>
    </row>
    <row r="6029" spans="1:6" ht="12.75">
      <c r="A6029" s="2">
        <v>43882.706909722227</v>
      </c>
      <c r="B6029" t="str">
        <f>HYPERLINK("https://twitter.com/as_Smr","@as_Smr")</f>
        <v>@as_Smr</v>
      </c>
      <c r="C6029" t="s">
        <v>2119</v>
      </c>
      <c r="D6029">
        <v>177</v>
      </c>
      <c r="E6029">
        <v>0</v>
      </c>
      <c r="F6029">
        <v>117</v>
      </c>
    </row>
    <row r="6030" spans="1:6" ht="12.75">
      <c r="A6030" s="2">
        <v>43882.706828703704</v>
      </c>
      <c r="B6030" t="str">
        <f>HYPERLINK("https://twitter.com/ekurnia82","@ekurnia82")</f>
        <v>@ekurnia82</v>
      </c>
      <c r="C6030" t="s">
        <v>4477</v>
      </c>
      <c r="D6030">
        <v>2</v>
      </c>
      <c r="E6030">
        <v>0</v>
      </c>
      <c r="F6030">
        <v>1549</v>
      </c>
    </row>
    <row r="6031" spans="1:6" ht="12.75">
      <c r="A6031" s="2">
        <v>43882.706828703704</v>
      </c>
      <c r="B6031" t="str">
        <f>HYPERLINK("https://twitter.com/rafraj_00","@rafraj_00")</f>
        <v>@rafraj_00</v>
      </c>
      <c r="C6031" t="s">
        <v>4479</v>
      </c>
      <c r="D6031">
        <v>0</v>
      </c>
      <c r="E6031">
        <v>0</v>
      </c>
      <c r="F6031">
        <v>194</v>
      </c>
    </row>
    <row r="6032" spans="1:6" ht="12.75">
      <c r="A6032" s="2">
        <v>43882.705451388887</v>
      </c>
      <c r="B6032" t="str">
        <f>HYPERLINK("https://twitter.com/eva_savatra","@eva_savatra")</f>
        <v>@eva_savatra</v>
      </c>
      <c r="C6032" t="s">
        <v>2119</v>
      </c>
      <c r="D6032">
        <v>177</v>
      </c>
      <c r="E6032">
        <v>0</v>
      </c>
      <c r="F6032">
        <v>3</v>
      </c>
    </row>
    <row r="6033" spans="1:6" ht="12.75">
      <c r="A6033" s="2">
        <v>43882.704953703702</v>
      </c>
      <c r="B6033" t="str">
        <f>HYPERLINK("https://twitter.com/rafraj_00","@rafraj_00")</f>
        <v>@rafraj_00</v>
      </c>
      <c r="C6033" t="s">
        <v>4480</v>
      </c>
      <c r="D6033">
        <v>0</v>
      </c>
      <c r="E6033">
        <v>0</v>
      </c>
      <c r="F6033">
        <v>194</v>
      </c>
    </row>
    <row r="6034" spans="1:6" ht="12.75">
      <c r="A6034" s="2">
        <v>43882.704884259263</v>
      </c>
      <c r="B6034" t="str">
        <f>HYPERLINK("https://twitter.com/JannesHutajulu","@JannesHutajulu")</f>
        <v>@JannesHutajulu</v>
      </c>
      <c r="C6034" t="s">
        <v>2119</v>
      </c>
      <c r="D6034">
        <v>177</v>
      </c>
      <c r="E6034">
        <v>0</v>
      </c>
      <c r="F6034">
        <v>2363</v>
      </c>
    </row>
    <row r="6035" spans="1:6" ht="12.75">
      <c r="A6035" s="2">
        <v>43882.704537037032</v>
      </c>
      <c r="B6035" t="str">
        <f>HYPERLINK("https://twitter.com/kompascom","@kompascom")</f>
        <v>@kompascom</v>
      </c>
      <c r="C6035" t="s">
        <v>4481</v>
      </c>
      <c r="D6035">
        <v>2</v>
      </c>
      <c r="E6035">
        <v>2</v>
      </c>
      <c r="F6035">
        <v>7506331</v>
      </c>
    </row>
    <row r="6036" spans="1:6" ht="12.75">
      <c r="A6036" s="2">
        <v>43882.704502314809</v>
      </c>
      <c r="B6036" t="str">
        <f>HYPERLINK("https://twitter.com/KATADATAcoid","@KATADATAcoid")</f>
        <v>@KATADATAcoid</v>
      </c>
      <c r="C6036" t="s">
        <v>4482</v>
      </c>
      <c r="D6036">
        <v>0</v>
      </c>
      <c r="E6036">
        <v>0</v>
      </c>
      <c r="F6036">
        <v>41212</v>
      </c>
    </row>
    <row r="6037" spans="1:6" ht="12.75">
      <c r="A6037" s="2">
        <v>43882.704247685186</v>
      </c>
      <c r="B6037" t="str">
        <f>HYPERLINK("https://twitter.com/Isis_brms","@Isis_brms")</f>
        <v>@Isis_brms</v>
      </c>
      <c r="C6037" t="s">
        <v>4483</v>
      </c>
      <c r="D6037">
        <v>0</v>
      </c>
      <c r="E6037">
        <v>0</v>
      </c>
      <c r="F6037">
        <v>291</v>
      </c>
    </row>
    <row r="6038" spans="1:6" ht="12.75">
      <c r="A6038" s="2">
        <v>43882.704236111109</v>
      </c>
      <c r="B6038" t="str">
        <f>HYPERLINK("https://twitter.com/KemenkesRI","@KemenkesRI")</f>
        <v>@KemenkesRI</v>
      </c>
      <c r="C6038" t="s">
        <v>4484</v>
      </c>
      <c r="D6038">
        <v>0</v>
      </c>
      <c r="E6038">
        <v>0</v>
      </c>
      <c r="F6038">
        <v>246885</v>
      </c>
    </row>
    <row r="6039" spans="1:6" ht="12.75">
      <c r="A6039" s="2">
        <v>43882.704097222224</v>
      </c>
      <c r="B6039" t="str">
        <f>HYPERLINK("https://twitter.com/valkenbach","@valkenbach")</f>
        <v>@valkenbach</v>
      </c>
      <c r="C6039" t="s">
        <v>3508</v>
      </c>
      <c r="D6039">
        <v>56</v>
      </c>
      <c r="E6039">
        <v>0</v>
      </c>
      <c r="F6039">
        <v>153</v>
      </c>
    </row>
    <row r="6040" spans="1:6" ht="12.75">
      <c r="A6040" s="2">
        <v>43882.703726851847</v>
      </c>
      <c r="B6040" t="str">
        <f>HYPERLINK("https://twitter.com/canthingku","@canthingku")</f>
        <v>@canthingku</v>
      </c>
      <c r="C6040" t="s">
        <v>2119</v>
      </c>
      <c r="D6040">
        <v>177</v>
      </c>
      <c r="E6040">
        <v>0</v>
      </c>
      <c r="F6040">
        <v>1084</v>
      </c>
    </row>
    <row r="6041" spans="1:6" ht="12.75">
      <c r="A6041" s="2">
        <v>43882.703553240739</v>
      </c>
      <c r="B6041" t="str">
        <f>HYPERLINK("https://twitter.com/calvinyounglee","@calvinyounglee")</f>
        <v>@calvinyounglee</v>
      </c>
      <c r="C6041" t="s">
        <v>2119</v>
      </c>
      <c r="D6041">
        <v>177</v>
      </c>
      <c r="E6041">
        <v>0</v>
      </c>
      <c r="F6041">
        <v>390</v>
      </c>
    </row>
    <row r="6042" spans="1:6" ht="12.75">
      <c r="A6042" s="2">
        <v>43882.703553240739</v>
      </c>
      <c r="B6042" t="str">
        <f>HYPERLINK("https://twitter.com/frida_rahardjo","@frida_rahardjo")</f>
        <v>@frida_rahardjo</v>
      </c>
      <c r="C6042" t="s">
        <v>2119</v>
      </c>
      <c r="D6042">
        <v>177</v>
      </c>
      <c r="E6042">
        <v>0</v>
      </c>
      <c r="F6042">
        <v>1443</v>
      </c>
    </row>
    <row r="6043" spans="1:6" ht="12.75">
      <c r="A6043" s="2">
        <v>43882.703530092593</v>
      </c>
      <c r="B6043" t="str">
        <f>HYPERLINK("https://twitter.com/R1FQ2","@R1FQ2")</f>
        <v>@R1FQ2</v>
      </c>
      <c r="C6043" t="s">
        <v>2119</v>
      </c>
      <c r="D6043">
        <v>177</v>
      </c>
      <c r="E6043">
        <v>0</v>
      </c>
      <c r="F6043">
        <v>126</v>
      </c>
    </row>
    <row r="6044" spans="1:6" ht="12.75">
      <c r="A6044" s="2">
        <v>43882.7028587963</v>
      </c>
      <c r="B6044" t="str">
        <f t="shared" ref="B6044:B6045" si="108">HYPERLINK("https://twitter.com/vanyammarsh_","@vanyammarsh_")</f>
        <v>@vanyammarsh_</v>
      </c>
      <c r="C6044" t="s">
        <v>4485</v>
      </c>
      <c r="D6044">
        <v>0</v>
      </c>
      <c r="E6044">
        <v>0</v>
      </c>
      <c r="F6044">
        <v>62</v>
      </c>
    </row>
    <row r="6045" spans="1:6" ht="12.75">
      <c r="A6045" s="2">
        <v>43882.702847222223</v>
      </c>
      <c r="B6045" t="str">
        <f t="shared" si="108"/>
        <v>@vanyammarsh_</v>
      </c>
      <c r="C6045" t="s">
        <v>4486</v>
      </c>
      <c r="D6045">
        <v>0</v>
      </c>
      <c r="E6045">
        <v>0</v>
      </c>
      <c r="F6045">
        <v>62</v>
      </c>
    </row>
    <row r="6046" spans="1:6" ht="12.75">
      <c r="A6046" s="2">
        <v>43882.7028125</v>
      </c>
      <c r="B6046" t="str">
        <f>HYPERLINK("https://twitter.com/AminArsanHRP","@AminArsanHRP")</f>
        <v>@AminArsanHRP</v>
      </c>
      <c r="C6046" t="s">
        <v>4487</v>
      </c>
      <c r="D6046">
        <v>0</v>
      </c>
      <c r="E6046">
        <v>0</v>
      </c>
      <c r="F6046">
        <v>319</v>
      </c>
    </row>
    <row r="6047" spans="1:6" ht="12.75">
      <c r="A6047" s="2">
        <v>43882.702314814815</v>
      </c>
      <c r="B6047" t="str">
        <f>HYPERLINK("https://twitter.com/LianAndis","@LianAndis")</f>
        <v>@LianAndis</v>
      </c>
      <c r="C6047" t="s">
        <v>2119</v>
      </c>
      <c r="D6047">
        <v>177</v>
      </c>
      <c r="E6047">
        <v>0</v>
      </c>
      <c r="F6047">
        <v>33</v>
      </c>
    </row>
    <row r="6048" spans="1:6" ht="12.75">
      <c r="A6048" s="2">
        <v>43882.701319444444</v>
      </c>
      <c r="B6048" t="str">
        <f>HYPERLINK("https://twitter.com/Bentir16","@Bentir16")</f>
        <v>@Bentir16</v>
      </c>
      <c r="C6048" t="s">
        <v>2119</v>
      </c>
      <c r="D6048">
        <v>177</v>
      </c>
      <c r="E6048">
        <v>0</v>
      </c>
      <c r="F6048">
        <v>722</v>
      </c>
    </row>
    <row r="6049" spans="1:6" ht="12.75">
      <c r="A6049" s="2">
        <v>43882.701215277775</v>
      </c>
      <c r="B6049" t="str">
        <f>HYPERLINK("https://twitter.com/rio_ayong","@rio_ayong")</f>
        <v>@rio_ayong</v>
      </c>
      <c r="C6049" t="s">
        <v>2119</v>
      </c>
      <c r="D6049">
        <v>177</v>
      </c>
      <c r="E6049">
        <v>0</v>
      </c>
      <c r="F6049">
        <v>213</v>
      </c>
    </row>
    <row r="6050" spans="1:6" ht="12.75">
      <c r="A6050" s="2">
        <v>43882.700902777782</v>
      </c>
      <c r="B6050" t="str">
        <f>HYPERLINK("https://twitter.com/OomAlamsyah","@OomAlamsyah")</f>
        <v>@OomAlamsyah</v>
      </c>
      <c r="C6050" t="s">
        <v>2119</v>
      </c>
      <c r="D6050">
        <v>177</v>
      </c>
      <c r="E6050">
        <v>0</v>
      </c>
      <c r="F6050">
        <v>126</v>
      </c>
    </row>
    <row r="6051" spans="1:6" ht="12.75">
      <c r="A6051" s="2">
        <v>43882.700046296297</v>
      </c>
      <c r="B6051" t="str">
        <f>HYPERLINK("https://twitter.com/adhinona","@adhinona")</f>
        <v>@adhinona</v>
      </c>
      <c r="C6051" t="s">
        <v>3508</v>
      </c>
      <c r="D6051">
        <v>56</v>
      </c>
      <c r="E6051">
        <v>0</v>
      </c>
      <c r="F6051">
        <v>1646</v>
      </c>
    </row>
    <row r="6052" spans="1:6" ht="12.75">
      <c r="A6052" s="2">
        <v>43882.699988425928</v>
      </c>
      <c r="B6052" t="str">
        <f>HYPERLINK("https://twitter.com/yenchDeLuna","@yenchDeLuna")</f>
        <v>@yenchDeLuna</v>
      </c>
      <c r="C6052" t="s">
        <v>3483</v>
      </c>
      <c r="D6052">
        <v>33</v>
      </c>
      <c r="E6052">
        <v>0</v>
      </c>
      <c r="F6052">
        <v>431</v>
      </c>
    </row>
    <row r="6053" spans="1:6" ht="12.75">
      <c r="A6053" s="2">
        <v>43882.699942129635</v>
      </c>
      <c r="B6053" t="str">
        <f>HYPERLINK("https://twitter.com/HilalAsyraf","@HilalAsyraf")</f>
        <v>@HilalAsyraf</v>
      </c>
      <c r="C6053" t="s">
        <v>4488</v>
      </c>
      <c r="D6053">
        <v>0</v>
      </c>
      <c r="E6053">
        <v>1</v>
      </c>
      <c r="F6053">
        <v>124972</v>
      </c>
    </row>
    <row r="6054" spans="1:6" ht="12.75">
      <c r="A6054" s="2">
        <v>43882.699756944443</v>
      </c>
      <c r="B6054" t="str">
        <f>HYPERLINK("https://twitter.com/AnakKolong___","@AnakKolong___")</f>
        <v>@AnakKolong___</v>
      </c>
      <c r="C6054" t="s">
        <v>4489</v>
      </c>
      <c r="D6054">
        <v>1</v>
      </c>
      <c r="E6054">
        <v>0</v>
      </c>
      <c r="F6054">
        <v>6404</v>
      </c>
    </row>
    <row r="6055" spans="1:6" ht="12.75">
      <c r="A6055" s="2">
        <v>43882.699490740742</v>
      </c>
      <c r="B6055" t="str">
        <f>HYPERLINK("https://twitter.com/Frans_Priyo","@Frans_Priyo")</f>
        <v>@Frans_Priyo</v>
      </c>
      <c r="C6055" t="s">
        <v>4490</v>
      </c>
      <c r="D6055">
        <v>1</v>
      </c>
      <c r="E6055">
        <v>1</v>
      </c>
      <c r="F6055">
        <v>3119</v>
      </c>
    </row>
    <row r="6056" spans="1:6" ht="12.75">
      <c r="A6056" s="2">
        <v>43882.698969907404</v>
      </c>
      <c r="B6056" t="str">
        <f>HYPERLINK("https://twitter.com/nursholih354","@nursholih354")</f>
        <v>@nursholih354</v>
      </c>
      <c r="C6056" t="s">
        <v>4491</v>
      </c>
      <c r="D6056">
        <v>3</v>
      </c>
      <c r="E6056">
        <v>0</v>
      </c>
      <c r="F6056">
        <v>1980</v>
      </c>
    </row>
    <row r="6057" spans="1:6" ht="12.75">
      <c r="A6057" s="2">
        <v>43882.698680555557</v>
      </c>
      <c r="B6057" t="str">
        <f>HYPERLINK("https://twitter.com/anantanurizki","@anantanurizki")</f>
        <v>@anantanurizki</v>
      </c>
      <c r="C6057" t="s">
        <v>4492</v>
      </c>
      <c r="D6057">
        <v>0</v>
      </c>
      <c r="E6057">
        <v>0</v>
      </c>
      <c r="F6057">
        <v>584</v>
      </c>
    </row>
    <row r="6058" spans="1:6" ht="12.75">
      <c r="A6058" s="2">
        <v>43882.698344907403</v>
      </c>
      <c r="B6058" t="str">
        <f>HYPERLINK("https://twitter.com/anggihawawi","@anggihawawi")</f>
        <v>@anggihawawi</v>
      </c>
      <c r="C6058" t="s">
        <v>2119</v>
      </c>
      <c r="D6058">
        <v>177</v>
      </c>
      <c r="E6058">
        <v>0</v>
      </c>
      <c r="F6058">
        <v>18</v>
      </c>
    </row>
    <row r="6059" spans="1:6" ht="12.75">
      <c r="A6059" s="2">
        <v>43882.69831018518</v>
      </c>
      <c r="B6059" t="str">
        <f>HYPERLINK("https://twitter.com/A_Mukminin","@A_Mukminin")</f>
        <v>@A_Mukminin</v>
      </c>
      <c r="C6059" t="s">
        <v>2119</v>
      </c>
      <c r="D6059">
        <v>177</v>
      </c>
      <c r="E6059">
        <v>0</v>
      </c>
      <c r="F6059">
        <v>514</v>
      </c>
    </row>
    <row r="6060" spans="1:6" ht="12.75">
      <c r="A6060" s="2">
        <v>43882.698229166665</v>
      </c>
      <c r="B6060" t="str">
        <f>HYPERLINK("https://twitter.com/BanserMedan","@BanserMedan")</f>
        <v>@BanserMedan</v>
      </c>
      <c r="C6060" t="s">
        <v>2165</v>
      </c>
      <c r="D6060">
        <v>76</v>
      </c>
      <c r="E6060">
        <v>0</v>
      </c>
      <c r="F6060">
        <v>241</v>
      </c>
    </row>
    <row r="6061" spans="1:6" ht="12.75">
      <c r="A6061" s="2">
        <v>43882.698217592595</v>
      </c>
      <c r="B6061" t="str">
        <f>HYPERLINK("https://twitter.com/Joe48834194","@Joe48834194")</f>
        <v>@Joe48834194</v>
      </c>
      <c r="C6061" t="s">
        <v>4493</v>
      </c>
      <c r="D6061">
        <v>0</v>
      </c>
      <c r="E6061">
        <v>0</v>
      </c>
      <c r="F6061">
        <v>5</v>
      </c>
    </row>
    <row r="6062" spans="1:6" ht="12.75">
      <c r="A6062" s="2">
        <v>43882.696631944447</v>
      </c>
      <c r="B6062" t="str">
        <f>HYPERLINK("https://twitter.com/zizahrachman1","@zizahrachman1")</f>
        <v>@zizahrachman1</v>
      </c>
      <c r="C6062" t="s">
        <v>513</v>
      </c>
      <c r="D6062">
        <v>23248</v>
      </c>
      <c r="E6062">
        <v>0</v>
      </c>
      <c r="F6062">
        <v>133</v>
      </c>
    </row>
    <row r="6063" spans="1:6" ht="12.75">
      <c r="A6063" s="2">
        <v>43882.696469907409</v>
      </c>
      <c r="B6063" t="str">
        <f>HYPERLINK("https://twitter.com/rikardoar","@rikardoar")</f>
        <v>@rikardoar</v>
      </c>
      <c r="C6063" t="s">
        <v>2984</v>
      </c>
      <c r="D6063">
        <v>6</v>
      </c>
      <c r="E6063">
        <v>0</v>
      </c>
      <c r="F6063">
        <v>163</v>
      </c>
    </row>
    <row r="6064" spans="1:6" ht="12.75">
      <c r="A6064" s="2">
        <v>43882.696122685185</v>
      </c>
      <c r="B6064" t="str">
        <f>HYPERLINK("https://twitter.com/alifaprilioo","@alifaprilioo")</f>
        <v>@alifaprilioo</v>
      </c>
      <c r="C6064" t="s">
        <v>3508</v>
      </c>
      <c r="D6064">
        <v>56</v>
      </c>
      <c r="E6064">
        <v>0</v>
      </c>
      <c r="F6064">
        <v>1985</v>
      </c>
    </row>
    <row r="6065" spans="1:6" ht="12.75">
      <c r="A6065" s="2">
        <v>43882.695983796293</v>
      </c>
      <c r="B6065" t="str">
        <f>HYPERLINK("https://twitter.com/pilotignews","@pilotignews")</f>
        <v>@pilotignews</v>
      </c>
      <c r="C6065" t="s">
        <v>4494</v>
      </c>
      <c r="D6065">
        <v>0</v>
      </c>
      <c r="E6065">
        <v>0</v>
      </c>
      <c r="F6065">
        <v>28</v>
      </c>
    </row>
    <row r="6066" spans="1:6" ht="12.75">
      <c r="A6066" s="2">
        <v>43882.695740740739</v>
      </c>
      <c r="B6066" t="str">
        <f>HYPERLINK("https://twitter.com/gunalantriwibo1","@gunalantriwibo1")</f>
        <v>@gunalantriwibo1</v>
      </c>
      <c r="C6066" t="s">
        <v>4495</v>
      </c>
      <c r="D6066">
        <v>0</v>
      </c>
      <c r="E6066">
        <v>0</v>
      </c>
      <c r="F6066">
        <v>19</v>
      </c>
    </row>
    <row r="6067" spans="1:6" ht="12.75">
      <c r="A6067" s="2">
        <v>43882.695729166662</v>
      </c>
      <c r="B6067" t="str">
        <f>HYPERLINK("https://twitter.com/razak_thaib","@razak_thaib")</f>
        <v>@razak_thaib</v>
      </c>
      <c r="C6067" t="s">
        <v>4496</v>
      </c>
      <c r="D6067">
        <v>0</v>
      </c>
      <c r="E6067">
        <v>0</v>
      </c>
      <c r="F6067">
        <v>1</v>
      </c>
    </row>
    <row r="6068" spans="1:6" ht="12.75">
      <c r="A6068" s="2">
        <v>43882.695532407408</v>
      </c>
      <c r="B6068" t="str">
        <f>HYPERLINK("https://twitter.com/nanuths","@nanuths")</f>
        <v>@nanuths</v>
      </c>
      <c r="C6068" t="s">
        <v>2119</v>
      </c>
      <c r="D6068">
        <v>177</v>
      </c>
      <c r="E6068">
        <v>0</v>
      </c>
      <c r="F6068">
        <v>653</v>
      </c>
    </row>
    <row r="6069" spans="1:6" ht="12.75">
      <c r="A6069" s="2">
        <v>43882.695162037038</v>
      </c>
      <c r="B6069" t="str">
        <f>HYPERLINK("https://twitter.com/bang_ajoen79","@bang_ajoen79")</f>
        <v>@bang_ajoen79</v>
      </c>
      <c r="C6069" t="s">
        <v>2119</v>
      </c>
      <c r="D6069">
        <v>177</v>
      </c>
      <c r="E6069">
        <v>0</v>
      </c>
      <c r="F6069">
        <v>3213</v>
      </c>
    </row>
    <row r="6070" spans="1:6" ht="12.75">
      <c r="A6070" s="2">
        <v>43882.6950462963</v>
      </c>
      <c r="B6070" t="str">
        <f>HYPERLINK("https://twitter.com/LogamMuliaEmas","@LogamMuliaEmas")</f>
        <v>@LogamMuliaEmas</v>
      </c>
      <c r="C6070" t="s">
        <v>2165</v>
      </c>
      <c r="D6070">
        <v>76</v>
      </c>
      <c r="E6070">
        <v>0</v>
      </c>
      <c r="F6070">
        <v>236</v>
      </c>
    </row>
    <row r="6071" spans="1:6" ht="12.75">
      <c r="A6071" s="2">
        <v>43882.694907407407</v>
      </c>
      <c r="B6071" t="str">
        <f>HYPERLINK("https://twitter.com/ivooxid","@ivooxid")</f>
        <v>@ivooxid</v>
      </c>
      <c r="C6071" t="s">
        <v>4497</v>
      </c>
      <c r="D6071">
        <v>0</v>
      </c>
      <c r="E6071">
        <v>0</v>
      </c>
      <c r="F6071">
        <v>1425</v>
      </c>
    </row>
    <row r="6072" spans="1:6" ht="12.75">
      <c r="A6072" s="2">
        <v>43882.69467592593</v>
      </c>
      <c r="B6072" t="str">
        <f>HYPERLINK("https://twitter.com/Nusantara_TV","@Nusantara_TV")</f>
        <v>@Nusantara_TV</v>
      </c>
      <c r="C6072" t="s">
        <v>4498</v>
      </c>
      <c r="D6072">
        <v>0</v>
      </c>
      <c r="E6072">
        <v>0</v>
      </c>
      <c r="F6072">
        <v>492</v>
      </c>
    </row>
    <row r="6073" spans="1:6" ht="12.75">
      <c r="A6073" s="2">
        <v>43882.694513888884</v>
      </c>
      <c r="B6073" t="str">
        <f>HYPERLINK("https://twitter.com/forddyce92","@forddyce92")</f>
        <v>@forddyce92</v>
      </c>
      <c r="C6073" t="s">
        <v>4499</v>
      </c>
      <c r="D6073">
        <v>0</v>
      </c>
      <c r="E6073">
        <v>0</v>
      </c>
      <c r="F6073">
        <v>26</v>
      </c>
    </row>
    <row r="6074" spans="1:6" ht="12.75">
      <c r="A6074" s="2">
        <v>43882.694039351853</v>
      </c>
      <c r="B6074" t="str">
        <f>HYPERLINK("https://twitter.com/yusup_gallagher","@yusup_gallagher")</f>
        <v>@yusup_gallagher</v>
      </c>
      <c r="C6074" t="s">
        <v>3508</v>
      </c>
      <c r="D6074">
        <v>56</v>
      </c>
      <c r="E6074">
        <v>0</v>
      </c>
      <c r="F6074">
        <v>346</v>
      </c>
    </row>
    <row r="6075" spans="1:6" ht="12.75">
      <c r="A6075" s="2">
        <v>43882.692893518513</v>
      </c>
      <c r="B6075" t="str">
        <f>HYPERLINK("https://twitter.com/Sastroklengsre1","@Sastroklengsre1")</f>
        <v>@Sastroklengsre1</v>
      </c>
      <c r="C6075" t="s">
        <v>3975</v>
      </c>
      <c r="D6075">
        <v>3</v>
      </c>
      <c r="E6075">
        <v>0</v>
      </c>
      <c r="F6075">
        <v>2345</v>
      </c>
    </row>
    <row r="6076" spans="1:6" ht="12.75">
      <c r="A6076" s="2">
        <v>43882.692708333328</v>
      </c>
      <c r="B6076" t="str">
        <f>HYPERLINK("https://twitter.com/2103_R4CHM4","@2103_R4CHM4")</f>
        <v>@2103_R4CHM4</v>
      </c>
      <c r="C6076" t="s">
        <v>4500</v>
      </c>
      <c r="D6076">
        <v>3</v>
      </c>
      <c r="E6076">
        <v>0</v>
      </c>
      <c r="F6076">
        <v>2433</v>
      </c>
    </row>
    <row r="6077" spans="1:6" ht="12.75">
      <c r="A6077" s="2">
        <v>43882.692349537036</v>
      </c>
      <c r="B6077" t="str">
        <f>HYPERLINK("https://twitter.com/arien06","@arien06")</f>
        <v>@arien06</v>
      </c>
      <c r="C6077" t="s">
        <v>2119</v>
      </c>
      <c r="D6077">
        <v>177</v>
      </c>
      <c r="E6077">
        <v>0</v>
      </c>
      <c r="F6077">
        <v>1729</v>
      </c>
    </row>
    <row r="6078" spans="1:6" ht="12.75">
      <c r="A6078" s="2">
        <v>43882.692337962959</v>
      </c>
      <c r="B6078" t="str">
        <f>HYPERLINK("https://twitter.com/encisflower2020","@encisflower2020")</f>
        <v>@encisflower2020</v>
      </c>
      <c r="C6078" t="s">
        <v>177</v>
      </c>
      <c r="D6078">
        <v>783</v>
      </c>
      <c r="E6078">
        <v>0</v>
      </c>
      <c r="F6078">
        <v>2</v>
      </c>
    </row>
    <row r="6079" spans="1:6" ht="12.75">
      <c r="A6079" s="2">
        <v>43882.692175925928</v>
      </c>
      <c r="B6079" t="str">
        <f>HYPERLINK("https://twitter.com/wni_jmsri","@wni_jmsri")</f>
        <v>@wni_jmsri</v>
      </c>
      <c r="C6079" t="s">
        <v>4501</v>
      </c>
      <c r="D6079">
        <v>0</v>
      </c>
      <c r="E6079">
        <v>0</v>
      </c>
      <c r="F6079">
        <v>195</v>
      </c>
    </row>
    <row r="6080" spans="1:6" ht="12.75">
      <c r="A6080" s="2">
        <v>43882.692141203705</v>
      </c>
      <c r="B6080" t="str">
        <f>HYPERLINK("https://twitter.com/KBRI_Beijing","@KBRI_Beijing")</f>
        <v>@KBRI_Beijing</v>
      </c>
      <c r="C6080" t="s">
        <v>4502</v>
      </c>
      <c r="D6080">
        <v>0</v>
      </c>
      <c r="E6080">
        <v>1</v>
      </c>
      <c r="F6080">
        <v>1037</v>
      </c>
    </row>
    <row r="6081" spans="1:6" ht="12.75">
      <c r="A6081" s="2">
        <v>43882.692071759258</v>
      </c>
      <c r="B6081" t="str">
        <f>HYPERLINK("https://twitter.com/TJumiat","@TJumiat")</f>
        <v>@TJumiat</v>
      </c>
      <c r="C6081" t="s">
        <v>2119</v>
      </c>
      <c r="D6081">
        <v>177</v>
      </c>
      <c r="E6081">
        <v>0</v>
      </c>
      <c r="F6081">
        <v>158</v>
      </c>
    </row>
    <row r="6082" spans="1:6" ht="12.75">
      <c r="A6082" s="2">
        <v>43882.691388888888</v>
      </c>
      <c r="B6082" t="str">
        <f>HYPERLINK("https://twitter.com/JhonHtjl","@JhonHtjl")</f>
        <v>@JhonHtjl</v>
      </c>
      <c r="C6082" t="s">
        <v>2119</v>
      </c>
      <c r="D6082">
        <v>177</v>
      </c>
      <c r="E6082">
        <v>0</v>
      </c>
      <c r="F6082">
        <v>4252</v>
      </c>
    </row>
    <row r="6083" spans="1:6" ht="12.75">
      <c r="A6083" s="2">
        <v>43882.691261574073</v>
      </c>
      <c r="B6083" t="str">
        <f>HYPERLINK("https://twitter.com/Had1Nasution","@Had1Nasution")</f>
        <v>@Had1Nasution</v>
      </c>
      <c r="C6083" t="s">
        <v>4503</v>
      </c>
      <c r="D6083">
        <v>0</v>
      </c>
      <c r="E6083">
        <v>0</v>
      </c>
      <c r="F6083">
        <v>1004</v>
      </c>
    </row>
    <row r="6084" spans="1:6" ht="12.75">
      <c r="A6084" s="2">
        <v>43882.689791666664</v>
      </c>
      <c r="B6084" t="str">
        <f>HYPERLINK("https://twitter.com/samudranesiaID","@samudranesiaID")</f>
        <v>@samudranesiaID</v>
      </c>
      <c r="C6084" t="s">
        <v>4504</v>
      </c>
      <c r="D6084">
        <v>0</v>
      </c>
      <c r="E6084">
        <v>0</v>
      </c>
      <c r="F6084">
        <v>356</v>
      </c>
    </row>
    <row r="6085" spans="1:6" ht="12.75">
      <c r="A6085" s="2">
        <v>43882.68959490741</v>
      </c>
      <c r="B6085" t="str">
        <f>HYPERLINK("https://twitter.com/ElshintaTegal_","@ElshintaTegal_")</f>
        <v>@ElshintaTegal_</v>
      </c>
      <c r="C6085" t="s">
        <v>4505</v>
      </c>
      <c r="D6085">
        <v>0</v>
      </c>
      <c r="E6085">
        <v>0</v>
      </c>
      <c r="F6085">
        <v>33</v>
      </c>
    </row>
    <row r="6086" spans="1:6" ht="12.75">
      <c r="A6086" s="2">
        <v>43882.689340277779</v>
      </c>
      <c r="B6086" t="str">
        <f>HYPERLINK("https://twitter.com/ChantiqPutriAyu","@ChantiqPutriAyu")</f>
        <v>@ChantiqPutriAyu</v>
      </c>
      <c r="C6086" t="s">
        <v>2119</v>
      </c>
      <c r="D6086">
        <v>177</v>
      </c>
      <c r="E6086">
        <v>0</v>
      </c>
      <c r="F6086">
        <v>531</v>
      </c>
    </row>
    <row r="6087" spans="1:6" ht="12.75">
      <c r="A6087" s="2">
        <v>43882.689270833333</v>
      </c>
      <c r="B6087" t="str">
        <f>HYPERLINK("https://twitter.com/Rah61mad","@Rah61mad")</f>
        <v>@Rah61mad</v>
      </c>
      <c r="C6087" t="s">
        <v>4506</v>
      </c>
      <c r="D6087">
        <v>2</v>
      </c>
      <c r="E6087">
        <v>0</v>
      </c>
      <c r="F6087">
        <v>157</v>
      </c>
    </row>
    <row r="6088" spans="1:6" ht="12.75">
      <c r="A6088" s="2">
        <v>43882.688923611116</v>
      </c>
      <c r="B6088" t="str">
        <f>HYPERLINK("https://twitter.com/bangunparinata","@bangunparinata")</f>
        <v>@bangunparinata</v>
      </c>
      <c r="C6088" t="s">
        <v>4507</v>
      </c>
      <c r="D6088">
        <v>0</v>
      </c>
      <c r="E6088">
        <v>0</v>
      </c>
      <c r="F6088">
        <v>392</v>
      </c>
    </row>
    <row r="6089" spans="1:6" ht="12.75">
      <c r="A6089" s="2">
        <v>43882.688622685186</v>
      </c>
      <c r="B6089" t="str">
        <f>HYPERLINK("https://twitter.com/topinfo_id","@topinfo_id")</f>
        <v>@topinfo_id</v>
      </c>
      <c r="C6089" t="s">
        <v>4508</v>
      </c>
      <c r="D6089">
        <v>0</v>
      </c>
      <c r="E6089">
        <v>0</v>
      </c>
      <c r="F6089">
        <v>10</v>
      </c>
    </row>
    <row r="6090" spans="1:6" ht="12.75">
      <c r="A6090" s="2">
        <v>43882.687893518523</v>
      </c>
      <c r="B6090" t="str">
        <f>HYPERLINK("https://twitter.com/yudi732002","@yudi732002")</f>
        <v>@yudi732002</v>
      </c>
      <c r="C6090" t="s">
        <v>2119</v>
      </c>
      <c r="D6090">
        <v>177</v>
      </c>
      <c r="E6090">
        <v>0</v>
      </c>
      <c r="F6090">
        <v>636</v>
      </c>
    </row>
    <row r="6091" spans="1:6" ht="12.75">
      <c r="A6091" s="2">
        <v>43882.687557870369</v>
      </c>
      <c r="B6091" t="str">
        <f>HYPERLINK("https://twitter.com/bisnisindgroup","@bisnisindgroup")</f>
        <v>@bisnisindgroup</v>
      </c>
      <c r="C6091" t="s">
        <v>4509</v>
      </c>
      <c r="D6091">
        <v>0</v>
      </c>
      <c r="E6091">
        <v>0</v>
      </c>
      <c r="F6091">
        <v>7335</v>
      </c>
    </row>
    <row r="6092" spans="1:6" ht="12.75">
      <c r="A6092" s="2">
        <v>43882.687557870369</v>
      </c>
      <c r="B6092" t="str">
        <f>HYPERLINK("https://twitter.com/Bisniscom","@Bisniscom")</f>
        <v>@Bisniscom</v>
      </c>
      <c r="C6092" t="s">
        <v>4509</v>
      </c>
      <c r="D6092">
        <v>0</v>
      </c>
      <c r="E6092">
        <v>0</v>
      </c>
      <c r="F6092">
        <v>993116</v>
      </c>
    </row>
    <row r="6093" spans="1:6" ht="12.75">
      <c r="A6093" s="2">
        <v>43882.687337962961</v>
      </c>
      <c r="B6093" t="str">
        <f>HYPERLINK("https://twitter.com/AntamEmas","@AntamEmas")</f>
        <v>@AntamEmas</v>
      </c>
      <c r="C6093" t="s">
        <v>2165</v>
      </c>
      <c r="D6093">
        <v>76</v>
      </c>
      <c r="E6093">
        <v>0</v>
      </c>
      <c r="F6093">
        <v>250</v>
      </c>
    </row>
    <row r="6094" spans="1:6" ht="12.75">
      <c r="A6094" s="2">
        <v>43882.687222222223</v>
      </c>
      <c r="B6094" t="str">
        <f>HYPERLINK("https://twitter.com/AbdillahManu","@AbdillahManu")</f>
        <v>@AbdillahManu</v>
      </c>
      <c r="C6094" t="s">
        <v>4257</v>
      </c>
      <c r="D6094">
        <v>2</v>
      </c>
      <c r="E6094">
        <v>0</v>
      </c>
      <c r="F6094">
        <v>11</v>
      </c>
    </row>
    <row r="6095" spans="1:6" ht="12.75">
      <c r="A6095" s="2">
        <v>43882.687106481477</v>
      </c>
      <c r="B6095" t="str">
        <f>HYPERLINK("https://twitter.com/sham6000","@sham6000")</f>
        <v>@sham6000</v>
      </c>
      <c r="C6095" t="s">
        <v>4510</v>
      </c>
      <c r="D6095">
        <v>0</v>
      </c>
      <c r="E6095">
        <v>0</v>
      </c>
      <c r="F6095">
        <v>0</v>
      </c>
    </row>
    <row r="6096" spans="1:6" ht="12.75">
      <c r="A6096" s="2">
        <v>43882.686805555553</v>
      </c>
      <c r="B6096" t="str">
        <f>HYPERLINK("https://twitter.com/azie_nam","@azie_nam")</f>
        <v>@azie_nam</v>
      </c>
      <c r="C6096" t="s">
        <v>4511</v>
      </c>
      <c r="D6096">
        <v>0</v>
      </c>
      <c r="E6096">
        <v>0</v>
      </c>
      <c r="F6096">
        <v>111</v>
      </c>
    </row>
    <row r="6097" spans="1:6" ht="12.75">
      <c r="A6097" s="2">
        <v>43882.686793981484</v>
      </c>
      <c r="B6097" t="str">
        <f>HYPERLINK("https://twitter.com/dRockError","@dRockError")</f>
        <v>@dRockError</v>
      </c>
      <c r="C6097" t="s">
        <v>3975</v>
      </c>
      <c r="D6097">
        <v>3</v>
      </c>
      <c r="E6097">
        <v>0</v>
      </c>
      <c r="F6097">
        <v>4591</v>
      </c>
    </row>
    <row r="6098" spans="1:6" ht="12.75">
      <c r="A6098" s="2">
        <v>43882.686643518522</v>
      </c>
      <c r="B6098" t="str">
        <f>HYPERLINK("https://twitter.com/Axxr_55","@Axxr_55")</f>
        <v>@Axxr_55</v>
      </c>
      <c r="C6098" t="s">
        <v>4512</v>
      </c>
      <c r="D6098">
        <v>0</v>
      </c>
      <c r="E6098">
        <v>0</v>
      </c>
      <c r="F6098">
        <v>482</v>
      </c>
    </row>
    <row r="6099" spans="1:6" ht="12.75">
      <c r="A6099" s="2">
        <v>43882.686435185184</v>
      </c>
      <c r="B6099" t="str">
        <f>HYPERLINK("https://twitter.com/Dhan61152962","@Dhan61152962")</f>
        <v>@Dhan61152962</v>
      </c>
      <c r="C6099" t="s">
        <v>2119</v>
      </c>
      <c r="D6099">
        <v>177</v>
      </c>
      <c r="E6099">
        <v>0</v>
      </c>
      <c r="F6099">
        <v>345</v>
      </c>
    </row>
    <row r="6100" spans="1:6" ht="12.75">
      <c r="A6100" s="2">
        <v>43882.686412037037</v>
      </c>
      <c r="B6100" t="str">
        <f>HYPERLINK("https://twitter.com/Ardi_Light","@Ardi_Light")</f>
        <v>@Ardi_Light</v>
      </c>
      <c r="C6100" t="s">
        <v>4513</v>
      </c>
      <c r="D6100">
        <v>245</v>
      </c>
      <c r="E6100">
        <v>0</v>
      </c>
      <c r="F6100">
        <v>12</v>
      </c>
    </row>
    <row r="6101" spans="1:6" ht="12.75">
      <c r="A6101" s="2">
        <v>43882.686157407406</v>
      </c>
      <c r="B6101" t="str">
        <f>HYPERLINK("https://twitter.com/warta_tangerang","@warta_tangerang")</f>
        <v>@warta_tangerang</v>
      </c>
      <c r="C6101" t="s">
        <v>3376</v>
      </c>
      <c r="D6101">
        <v>0</v>
      </c>
      <c r="E6101">
        <v>0</v>
      </c>
      <c r="F6101">
        <v>8555</v>
      </c>
    </row>
    <row r="6102" spans="1:6" ht="12.75">
      <c r="A6102" s="2">
        <v>43882.68614583333</v>
      </c>
      <c r="B6102" t="str">
        <f>HYPERLINK("https://twitter.com/BeaniessSa","@BeaniessSa")</f>
        <v>@BeaniessSa</v>
      </c>
      <c r="C6102" t="s">
        <v>4514</v>
      </c>
      <c r="D6102">
        <v>0</v>
      </c>
      <c r="E6102">
        <v>0</v>
      </c>
      <c r="F6102">
        <v>137</v>
      </c>
    </row>
    <row r="6103" spans="1:6" ht="12.75">
      <c r="A6103" s="2">
        <v>43882.685694444444</v>
      </c>
      <c r="B6103" t="str">
        <f>HYPERLINK("https://twitter.com/nyongadhie","@nyongadhie")</f>
        <v>@nyongadhie</v>
      </c>
      <c r="C6103" t="s">
        <v>3975</v>
      </c>
      <c r="D6103">
        <v>3</v>
      </c>
      <c r="E6103">
        <v>0</v>
      </c>
      <c r="F6103">
        <v>909</v>
      </c>
    </row>
    <row r="6104" spans="1:6" ht="12.75">
      <c r="A6104" s="2">
        <v>43882.685613425929</v>
      </c>
      <c r="B6104" t="str">
        <f>HYPERLINK("https://twitter.com/hasifhe","@hasifhe")</f>
        <v>@hasifhe</v>
      </c>
      <c r="C6104" t="s">
        <v>4515</v>
      </c>
      <c r="D6104">
        <v>0</v>
      </c>
      <c r="E6104">
        <v>0</v>
      </c>
      <c r="F6104">
        <v>273</v>
      </c>
    </row>
    <row r="6105" spans="1:6" ht="12.75">
      <c r="A6105" s="2">
        <v>43882.685185185182</v>
      </c>
      <c r="B6105" t="str">
        <f>HYPERLINK("https://twitter.com/Aryprasetyo85","@Aryprasetyo85")</f>
        <v>@Aryprasetyo85</v>
      </c>
      <c r="C6105" t="s">
        <v>4516</v>
      </c>
      <c r="D6105">
        <v>3</v>
      </c>
      <c r="E6105">
        <v>11</v>
      </c>
      <c r="F6105">
        <v>39031</v>
      </c>
    </row>
    <row r="6106" spans="1:6" ht="12.75">
      <c r="A6106" s="2">
        <v>43882.684490740736</v>
      </c>
      <c r="B6106" t="str">
        <f>HYPERLINK("https://twitter.com/PsiMdn","@PsiMdn")</f>
        <v>@PsiMdn</v>
      </c>
      <c r="C6106" t="s">
        <v>2165</v>
      </c>
      <c r="D6106">
        <v>76</v>
      </c>
      <c r="E6106">
        <v>0</v>
      </c>
      <c r="F6106">
        <v>113</v>
      </c>
    </row>
    <row r="6107" spans="1:6" ht="12.75">
      <c r="A6107" s="2">
        <v>43882.684363425928</v>
      </c>
      <c r="B6107" t="str">
        <f>HYPERLINK("https://twitter.com/fauzijamal4","@fauzijamal4")</f>
        <v>@fauzijamal4</v>
      </c>
      <c r="C6107" t="s">
        <v>4517</v>
      </c>
      <c r="D6107">
        <v>0</v>
      </c>
      <c r="E6107">
        <v>0</v>
      </c>
      <c r="F6107">
        <v>28</v>
      </c>
    </row>
    <row r="6108" spans="1:6" ht="12.75">
      <c r="A6108" s="2">
        <v>43882.683935185181</v>
      </c>
      <c r="B6108" t="str">
        <f>HYPERLINK("https://twitter.com/__Aiek__Channel","@__Aiek__Channel")</f>
        <v>@__Aiek__Channel</v>
      </c>
      <c r="C6108" t="s">
        <v>4500</v>
      </c>
      <c r="D6108">
        <v>3</v>
      </c>
      <c r="E6108">
        <v>0</v>
      </c>
      <c r="F6108">
        <v>8835</v>
      </c>
    </row>
    <row r="6109" spans="1:6" ht="12.75">
      <c r="A6109" s="2">
        <v>43882.683842592596</v>
      </c>
      <c r="B6109" t="str">
        <f>HYPERLINK("https://twitter.com/syakirasyakir","@syakirasyakir")</f>
        <v>@syakirasyakir</v>
      </c>
      <c r="C6109" t="s">
        <v>4518</v>
      </c>
      <c r="D6109">
        <v>3</v>
      </c>
      <c r="E6109">
        <v>3</v>
      </c>
      <c r="F6109">
        <v>678</v>
      </c>
    </row>
    <row r="6110" spans="1:6" ht="12.75">
      <c r="A6110" s="2">
        <v>43882.683761574073</v>
      </c>
      <c r="B6110" t="str">
        <f>HYPERLINK("https://twitter.com/Helmi67711233","@Helmi67711233")</f>
        <v>@Helmi67711233</v>
      </c>
      <c r="C6110" t="s">
        <v>4519</v>
      </c>
      <c r="D6110">
        <v>0</v>
      </c>
      <c r="E6110">
        <v>0</v>
      </c>
      <c r="F6110">
        <v>271</v>
      </c>
    </row>
    <row r="6111" spans="1:6" ht="12.75">
      <c r="A6111" s="2">
        <v>43882.683715277773</v>
      </c>
      <c r="B6111" t="str">
        <f>HYPERLINK("https://twitter.com/ebithEBITH","@ebithEBITH")</f>
        <v>@ebithEBITH</v>
      </c>
      <c r="C6111" t="s">
        <v>4520</v>
      </c>
      <c r="D6111">
        <v>1</v>
      </c>
      <c r="E6111">
        <v>0</v>
      </c>
      <c r="F6111">
        <v>29565</v>
      </c>
    </row>
    <row r="6112" spans="1:6" ht="12.75">
      <c r="A6112" s="2">
        <v>43882.683703703704</v>
      </c>
      <c r="B6112" t="str">
        <f>HYPERLINK("https://twitter.com/wartaIDN","@wartaIDN")</f>
        <v>@wartaIDN</v>
      </c>
      <c r="C6112" t="s">
        <v>3376</v>
      </c>
      <c r="D6112">
        <v>0</v>
      </c>
      <c r="E6112">
        <v>0</v>
      </c>
      <c r="F6112">
        <v>7769</v>
      </c>
    </row>
    <row r="6113" spans="1:6" ht="12.75">
      <c r="A6113" s="2">
        <v>43882.683483796296</v>
      </c>
      <c r="B6113" t="str">
        <f>HYPERLINK("https://twitter.com/beatrice_health","@beatrice_health")</f>
        <v>@beatrice_health</v>
      </c>
      <c r="C6113" t="s">
        <v>4521</v>
      </c>
      <c r="D6113">
        <v>1</v>
      </c>
      <c r="E6113">
        <v>0</v>
      </c>
      <c r="F6113">
        <v>255</v>
      </c>
    </row>
    <row r="6114" spans="1:6" ht="12.75">
      <c r="A6114" s="2">
        <v>43882.683391203704</v>
      </c>
      <c r="B6114" t="str">
        <f>HYPERLINK("https://twitter.com/bisnisindgroup","@bisnisindgroup")</f>
        <v>@bisnisindgroup</v>
      </c>
      <c r="C6114" t="s">
        <v>4522</v>
      </c>
      <c r="D6114">
        <v>1</v>
      </c>
      <c r="E6114">
        <v>0</v>
      </c>
      <c r="F6114">
        <v>7335</v>
      </c>
    </row>
    <row r="6115" spans="1:6" ht="12.75">
      <c r="A6115" s="2">
        <v>43882.683263888888</v>
      </c>
      <c r="B6115" t="str">
        <f>HYPERLINK("https://twitter.com/2019jkwsaja","@2019jkwsaja")</f>
        <v>@2019jkwsaja</v>
      </c>
      <c r="C6115" t="s">
        <v>2119</v>
      </c>
      <c r="D6115">
        <v>177</v>
      </c>
      <c r="E6115">
        <v>0</v>
      </c>
      <c r="F6115">
        <v>2584</v>
      </c>
    </row>
    <row r="6116" spans="1:6" ht="12.75">
      <c r="A6116" s="2">
        <v>43882.683171296296</v>
      </c>
      <c r="B6116" t="str">
        <f>HYPERLINK("https://twitter.com/fans_ayanami","@fans_ayanami")</f>
        <v>@fans_ayanami</v>
      </c>
      <c r="C6116" t="s">
        <v>4523</v>
      </c>
      <c r="D6116">
        <v>1</v>
      </c>
      <c r="E6116">
        <v>0</v>
      </c>
      <c r="F6116">
        <v>455</v>
      </c>
    </row>
    <row r="6117" spans="1:6" ht="12.75">
      <c r="A6117" s="2">
        <v>43882.68304398148</v>
      </c>
      <c r="B6117" t="str">
        <f>HYPERLINK("https://twitter.com/MahadikaZ","@MahadikaZ")</f>
        <v>@MahadikaZ</v>
      </c>
      <c r="C6117" t="s">
        <v>4524</v>
      </c>
      <c r="D6117">
        <v>2</v>
      </c>
      <c r="E6117">
        <v>0</v>
      </c>
      <c r="F6117">
        <v>120</v>
      </c>
    </row>
    <row r="6118" spans="1:6" ht="12.75">
      <c r="A6118" s="2">
        <v>43882.683020833334</v>
      </c>
      <c r="B6118" t="str">
        <f>HYPERLINK("https://twitter.com/HeldaSani","@HeldaSani")</f>
        <v>@HeldaSani</v>
      </c>
      <c r="C6118" t="s">
        <v>4525</v>
      </c>
      <c r="D6118">
        <v>0</v>
      </c>
      <c r="E6118">
        <v>0</v>
      </c>
      <c r="F6118">
        <v>37</v>
      </c>
    </row>
    <row r="6119" spans="1:6" ht="12.75">
      <c r="A6119" s="2">
        <v>43882.682858796295</v>
      </c>
      <c r="B6119" t="str">
        <f>HYPERLINK("https://twitter.com/Rayvita","@Rayvita")</f>
        <v>@Rayvita</v>
      </c>
      <c r="C6119" t="s">
        <v>2119</v>
      </c>
      <c r="D6119">
        <v>177</v>
      </c>
      <c r="E6119">
        <v>0</v>
      </c>
      <c r="F6119">
        <v>331</v>
      </c>
    </row>
    <row r="6120" spans="1:6" ht="12.75">
      <c r="A6120" s="2">
        <v>43882.682719907403</v>
      </c>
      <c r="B6120" t="str">
        <f>HYPERLINK("https://twitter.com/tempodotco","@tempodotco")</f>
        <v>@tempodotco</v>
      </c>
      <c r="C6120" t="s">
        <v>4526</v>
      </c>
      <c r="D6120">
        <v>2</v>
      </c>
      <c r="E6120">
        <v>1</v>
      </c>
      <c r="F6120">
        <v>1708106</v>
      </c>
    </row>
    <row r="6121" spans="1:6" ht="12.75">
      <c r="A6121" s="2">
        <v>43882.667939814812</v>
      </c>
      <c r="B6121" t="str">
        <f>HYPERLINK("https://twitter.com/eizanfolks","@eizanfolks")</f>
        <v>@eizanfolks</v>
      </c>
      <c r="C6121" t="s">
        <v>4527</v>
      </c>
      <c r="D6121">
        <v>1</v>
      </c>
      <c r="E6121">
        <v>0</v>
      </c>
      <c r="F6121">
        <v>8243</v>
      </c>
    </row>
    <row r="6122" spans="1:6" ht="12.75">
      <c r="A6122" s="2">
        <v>43882.667939814812</v>
      </c>
      <c r="B6122" t="str">
        <f>HYPERLINK("https://twitter.com/startingwithL","@startingwithL")</f>
        <v>@startingwithL</v>
      </c>
      <c r="C6122" t="s">
        <v>4528</v>
      </c>
      <c r="D6122">
        <v>1</v>
      </c>
      <c r="E6122">
        <v>0</v>
      </c>
      <c r="F6122">
        <v>95</v>
      </c>
    </row>
    <row r="6123" spans="1:6" ht="12.75">
      <c r="A6123" s="2">
        <v>43882.667812500003</v>
      </c>
      <c r="B6123" t="str">
        <f>HYPERLINK("https://twitter.com/DapurSeksi","@DapurSeksi")</f>
        <v>@DapurSeksi</v>
      </c>
      <c r="C6123" t="s">
        <v>2165</v>
      </c>
      <c r="D6123">
        <v>66</v>
      </c>
      <c r="E6123">
        <v>0</v>
      </c>
      <c r="F6123">
        <v>73</v>
      </c>
    </row>
    <row r="6124" spans="1:6" ht="12.75">
      <c r="A6124" s="2">
        <v>43882.667627314819</v>
      </c>
      <c r="B6124" t="str">
        <f>HYPERLINK("https://twitter.com/yana_udiyatna","@yana_udiyatna")</f>
        <v>@yana_udiyatna</v>
      </c>
      <c r="C6124" t="s">
        <v>4529</v>
      </c>
      <c r="D6124">
        <v>1</v>
      </c>
      <c r="E6124">
        <v>1</v>
      </c>
      <c r="F6124">
        <v>3311</v>
      </c>
    </row>
    <row r="6125" spans="1:6" ht="12.75">
      <c r="A6125" s="2">
        <v>43882.667407407411</v>
      </c>
      <c r="B6125" t="str">
        <f t="shared" ref="B6125:B6126" si="109">HYPERLINK("https://twitter.com/akuikibutoijo","@akuikibutoijo")</f>
        <v>@akuikibutoijo</v>
      </c>
      <c r="C6125" t="s">
        <v>4530</v>
      </c>
      <c r="D6125">
        <v>0</v>
      </c>
      <c r="E6125">
        <v>0</v>
      </c>
      <c r="F6125">
        <v>106</v>
      </c>
    </row>
    <row r="6126" spans="1:6" ht="12.75">
      <c r="A6126" s="2">
        <v>43882.667395833334</v>
      </c>
      <c r="B6126" t="str">
        <f t="shared" si="109"/>
        <v>@akuikibutoijo</v>
      </c>
      <c r="C6126" t="s">
        <v>4531</v>
      </c>
      <c r="D6126">
        <v>0</v>
      </c>
      <c r="E6126">
        <v>0</v>
      </c>
      <c r="F6126">
        <v>106</v>
      </c>
    </row>
    <row r="6127" spans="1:6" ht="12.75">
      <c r="A6127" s="2">
        <v>43882.667071759264</v>
      </c>
      <c r="B6127" t="str">
        <f>HYPERLINK("https://twitter.com/leksono_duto","@leksono_duto")</f>
        <v>@leksono_duto</v>
      </c>
      <c r="C6127" t="s">
        <v>4532</v>
      </c>
      <c r="D6127">
        <v>1</v>
      </c>
      <c r="E6127">
        <v>0</v>
      </c>
      <c r="F6127">
        <v>33</v>
      </c>
    </row>
    <row r="6128" spans="1:6" ht="12.75">
      <c r="A6128" s="2">
        <v>43882.66706018518</v>
      </c>
      <c r="B6128" t="str">
        <f>HYPERLINK("https://twitter.com/forddyce92","@forddyce92")</f>
        <v>@forddyce92</v>
      </c>
      <c r="C6128" t="s">
        <v>4533</v>
      </c>
      <c r="D6128">
        <v>0</v>
      </c>
      <c r="E6128">
        <v>0</v>
      </c>
      <c r="F6128">
        <v>26</v>
      </c>
    </row>
    <row r="6129" spans="1:6" ht="12.75">
      <c r="A6129" s="2">
        <v>43882.667013888888</v>
      </c>
      <c r="B6129" t="str">
        <f>HYPERLINK("https://twitter.com/Partono_ADjem","@Partono_ADjem")</f>
        <v>@Partono_ADjem</v>
      </c>
      <c r="C6129" t="s">
        <v>4534</v>
      </c>
      <c r="D6129">
        <v>3</v>
      </c>
      <c r="E6129">
        <v>0</v>
      </c>
      <c r="F6129">
        <v>6897</v>
      </c>
    </row>
    <row r="6130" spans="1:6" ht="12.75">
      <c r="A6130" s="2">
        <v>43882.66679398148</v>
      </c>
      <c r="B6130" t="str">
        <f>HYPERLINK("https://twitter.com/DamnLoveNKRI","@DamnLoveNKRI")</f>
        <v>@DamnLoveNKRI</v>
      </c>
      <c r="C6130" t="s">
        <v>4535</v>
      </c>
      <c r="D6130">
        <v>0</v>
      </c>
      <c r="E6130">
        <v>0</v>
      </c>
      <c r="F6130">
        <v>694</v>
      </c>
    </row>
    <row r="6131" spans="1:6" ht="12.75">
      <c r="A6131" s="2">
        <v>43882.666678240741</v>
      </c>
      <c r="B6131" t="str">
        <f>HYPERLINK("https://twitter.com/SeputariNews","@SeputariNews")</f>
        <v>@SeputariNews</v>
      </c>
      <c r="C6131" t="s">
        <v>4536</v>
      </c>
      <c r="D6131">
        <v>1</v>
      </c>
      <c r="E6131">
        <v>0</v>
      </c>
      <c r="F6131">
        <v>438672</v>
      </c>
    </row>
    <row r="6132" spans="1:6" ht="12.75">
      <c r="A6132" s="2">
        <v>43882.666354166664</v>
      </c>
      <c r="B6132" t="str">
        <f>HYPERLINK("https://twitter.com/alnsasongko","@alnsasongko")</f>
        <v>@alnsasongko</v>
      </c>
      <c r="C6132" t="s">
        <v>2119</v>
      </c>
      <c r="D6132">
        <v>131</v>
      </c>
      <c r="E6132">
        <v>0</v>
      </c>
      <c r="F6132">
        <v>59</v>
      </c>
    </row>
    <row r="6133" spans="1:6" ht="12.75">
      <c r="A6133" s="2">
        <v>43882.666273148148</v>
      </c>
      <c r="B6133" t="str">
        <f>HYPERLINK("https://twitter.com/PR3D4TO2","@PR3D4TO2")</f>
        <v>@PR3D4TO2</v>
      </c>
      <c r="C6133" t="s">
        <v>2119</v>
      </c>
      <c r="D6133">
        <v>131</v>
      </c>
      <c r="E6133">
        <v>0</v>
      </c>
      <c r="F6133">
        <v>1011</v>
      </c>
    </row>
    <row r="6134" spans="1:6" ht="12.75">
      <c r="A6134" s="2">
        <v>43882.666145833333</v>
      </c>
      <c r="B6134" t="str">
        <f>HYPERLINK("https://twitter.com/Apollo668265953","@Apollo668265953")</f>
        <v>@Apollo668265953</v>
      </c>
      <c r="C6134" t="s">
        <v>4537</v>
      </c>
      <c r="D6134">
        <v>1</v>
      </c>
      <c r="E6134">
        <v>0</v>
      </c>
      <c r="F6134">
        <v>125</v>
      </c>
    </row>
    <row r="6135" spans="1:6" ht="12.75">
      <c r="A6135" s="2">
        <v>43882.666076388894</v>
      </c>
      <c r="B6135" t="str">
        <f>HYPERLINK("https://twitter.com/OrangBerkuasa","@OrangBerkuasa")</f>
        <v>@OrangBerkuasa</v>
      </c>
      <c r="C6135" t="s">
        <v>2165</v>
      </c>
      <c r="D6135">
        <v>66</v>
      </c>
      <c r="E6135">
        <v>0</v>
      </c>
      <c r="F6135">
        <v>72</v>
      </c>
    </row>
    <row r="6136" spans="1:6" ht="12.75">
      <c r="A6136" s="2">
        <v>43882.665474537032</v>
      </c>
      <c r="B6136" t="str">
        <f>HYPERLINK("https://twitter.com/banglintas","@banglintas")</f>
        <v>@banglintas</v>
      </c>
      <c r="C6136" t="s">
        <v>4538</v>
      </c>
      <c r="D6136">
        <v>0</v>
      </c>
      <c r="E6136">
        <v>0</v>
      </c>
      <c r="F6136">
        <v>54</v>
      </c>
    </row>
    <row r="6137" spans="1:6" ht="12.75">
      <c r="A6137" s="2">
        <v>43882.665208333332</v>
      </c>
      <c r="B6137" t="str">
        <f>HYPERLINK("https://twitter.com/endeeste","@endeeste")</f>
        <v>@endeeste</v>
      </c>
      <c r="C6137" t="s">
        <v>2119</v>
      </c>
      <c r="D6137">
        <v>131</v>
      </c>
      <c r="E6137">
        <v>0</v>
      </c>
      <c r="F6137">
        <v>226</v>
      </c>
    </row>
    <row r="6138" spans="1:6" ht="12.75">
      <c r="A6138" s="2">
        <v>43882.665162037039</v>
      </c>
      <c r="B6138" t="str">
        <f>HYPERLINK("https://twitter.com/OrenBarat","@OrenBarat")</f>
        <v>@OrenBarat</v>
      </c>
      <c r="C6138" t="s">
        <v>4539</v>
      </c>
      <c r="D6138">
        <v>0</v>
      </c>
      <c r="E6138">
        <v>0</v>
      </c>
      <c r="F6138">
        <v>72938</v>
      </c>
    </row>
    <row r="6139" spans="1:6" ht="12.75">
      <c r="A6139" s="2">
        <v>43882.664918981478</v>
      </c>
      <c r="B6139" t="str">
        <f>HYPERLINK("https://twitter.com/Yayah92929288","@Yayah92929288")</f>
        <v>@Yayah92929288</v>
      </c>
      <c r="C6139" t="s">
        <v>4540</v>
      </c>
      <c r="D6139">
        <v>0</v>
      </c>
      <c r="E6139">
        <v>0</v>
      </c>
      <c r="F6139">
        <v>0</v>
      </c>
    </row>
    <row r="6140" spans="1:6" ht="12.75">
      <c r="A6140" s="2">
        <v>43882.664918981478</v>
      </c>
      <c r="B6140" t="str">
        <f>HYPERLINK("https://twitter.com/ArtiRimba","@ArtiRimba")</f>
        <v>@ArtiRimba</v>
      </c>
      <c r="C6140" t="s">
        <v>2119</v>
      </c>
      <c r="D6140">
        <v>131</v>
      </c>
      <c r="E6140">
        <v>0</v>
      </c>
      <c r="F6140">
        <v>17</v>
      </c>
    </row>
    <row r="6141" spans="1:6" ht="12.75">
      <c r="A6141" s="2">
        <v>43882.66469907407</v>
      </c>
      <c r="B6141" t="str">
        <f>HYPERLINK("https://twitter.com/Hlmn_JR","@Hlmn_JR")</f>
        <v>@Hlmn_JR</v>
      </c>
      <c r="C6141" t="s">
        <v>3508</v>
      </c>
      <c r="D6141">
        <v>49</v>
      </c>
      <c r="E6141">
        <v>0</v>
      </c>
      <c r="F6141">
        <v>338</v>
      </c>
    </row>
    <row r="6142" spans="1:6" ht="12.75">
      <c r="A6142" s="2">
        <v>43882.664537037039</v>
      </c>
      <c r="B6142" t="str">
        <f>HYPERLINK("https://twitter.com/Kah11Hau11","@Kah11Hau11")</f>
        <v>@Kah11Hau11</v>
      </c>
      <c r="C6142" t="s">
        <v>4541</v>
      </c>
      <c r="D6142">
        <v>0</v>
      </c>
      <c r="E6142">
        <v>0</v>
      </c>
      <c r="F6142">
        <v>1614</v>
      </c>
    </row>
    <row r="6143" spans="1:6" ht="12.75">
      <c r="A6143" s="2">
        <v>43882.664178240739</v>
      </c>
      <c r="B6143" t="str">
        <f>HYPERLINK("https://twitter.com/times_idn","@times_idn")</f>
        <v>@times_idn</v>
      </c>
      <c r="C6143" t="s">
        <v>4542</v>
      </c>
      <c r="D6143">
        <v>0</v>
      </c>
      <c r="E6143">
        <v>0</v>
      </c>
      <c r="F6143">
        <v>765</v>
      </c>
    </row>
    <row r="6144" spans="1:6" ht="12.75">
      <c r="A6144" s="2">
        <v>43882.663935185185</v>
      </c>
      <c r="B6144" t="str">
        <f>HYPERLINK("https://twitter.com/toecloud","@toecloud")</f>
        <v>@toecloud</v>
      </c>
      <c r="C6144" t="s">
        <v>4543</v>
      </c>
      <c r="D6144">
        <v>0</v>
      </c>
      <c r="E6144">
        <v>0</v>
      </c>
      <c r="F6144">
        <v>574</v>
      </c>
    </row>
    <row r="6145" spans="1:6" ht="12.75">
      <c r="A6145" s="2">
        <v>43882.663472222222</v>
      </c>
      <c r="B6145" t="str">
        <f>HYPERLINK("https://twitter.com/kumparan","@kumparan")</f>
        <v>@kumparan</v>
      </c>
      <c r="C6145" t="s">
        <v>4544</v>
      </c>
      <c r="D6145">
        <v>0</v>
      </c>
      <c r="E6145">
        <v>0</v>
      </c>
      <c r="F6145">
        <v>326402</v>
      </c>
    </row>
    <row r="6146" spans="1:6" ht="12.75">
      <c r="A6146" s="2">
        <v>43882.663252314815</v>
      </c>
      <c r="B6146" t="str">
        <f>HYPERLINK("https://twitter.com/mis_septa","@mis_septa")</f>
        <v>@mis_septa</v>
      </c>
      <c r="C6146" t="s">
        <v>4545</v>
      </c>
      <c r="D6146">
        <v>0</v>
      </c>
      <c r="E6146">
        <v>0</v>
      </c>
      <c r="F6146">
        <v>7</v>
      </c>
    </row>
    <row r="6147" spans="1:6" ht="12.75">
      <c r="A6147" s="2">
        <v>43882.663101851853</v>
      </c>
      <c r="B6147" t="str">
        <f>HYPERLINK("https://twitter.com/shiitenews110","@shiitenews110")</f>
        <v>@shiitenews110</v>
      </c>
      <c r="C6147" t="s">
        <v>4546</v>
      </c>
      <c r="D6147">
        <v>0</v>
      </c>
      <c r="E6147">
        <v>0</v>
      </c>
      <c r="F6147">
        <v>39313</v>
      </c>
    </row>
    <row r="6148" spans="1:6" ht="12.75">
      <c r="A6148" s="2">
        <v>43882.663043981476</v>
      </c>
      <c r="B6148" t="str">
        <f>HYPERLINK("https://twitter.com/firdaus","@firdaus")</f>
        <v>@firdaus</v>
      </c>
      <c r="C6148" t="s">
        <v>4547</v>
      </c>
      <c r="D6148">
        <v>1</v>
      </c>
      <c r="E6148">
        <v>0</v>
      </c>
      <c r="F6148">
        <v>530</v>
      </c>
    </row>
    <row r="6149" spans="1:6" ht="12.75">
      <c r="A6149" s="2">
        <v>43882.662268518514</v>
      </c>
      <c r="B6149" t="str">
        <f>HYPERLINK("https://twitter.com/AnggaKaharap","@AnggaKaharap")</f>
        <v>@AnggaKaharap</v>
      </c>
      <c r="C6149" t="s">
        <v>2141</v>
      </c>
      <c r="D6149">
        <v>106</v>
      </c>
      <c r="E6149">
        <v>0</v>
      </c>
      <c r="F6149">
        <v>516</v>
      </c>
    </row>
    <row r="6150" spans="1:6" ht="12.75">
      <c r="A6150" s="2">
        <v>43882.661817129629</v>
      </c>
      <c r="B6150" t="str">
        <f>HYPERLINK("https://twitter.com/SSSS_KI016","@SSSS_KI016")</f>
        <v>@SSSS_KI016</v>
      </c>
      <c r="C6150" t="s">
        <v>2984</v>
      </c>
      <c r="D6150">
        <v>5</v>
      </c>
      <c r="E6150">
        <v>0</v>
      </c>
      <c r="F6150">
        <v>294</v>
      </c>
    </row>
    <row r="6151" spans="1:6" ht="12.75">
      <c r="A6151" s="2">
        <v>43882.661770833336</v>
      </c>
      <c r="B6151" t="str">
        <f>HYPERLINK("https://twitter.com/jwhsibarani","@jwhsibarani")</f>
        <v>@jwhsibarani</v>
      </c>
      <c r="C6151" t="s">
        <v>2119</v>
      </c>
      <c r="D6151">
        <v>131</v>
      </c>
      <c r="E6151">
        <v>0</v>
      </c>
      <c r="F6151">
        <v>65</v>
      </c>
    </row>
    <row r="6152" spans="1:6" ht="12.75">
      <c r="A6152" s="2">
        <v>43882.66170138889</v>
      </c>
      <c r="B6152" t="str">
        <f>HYPERLINK("https://twitter.com/su7loo","@su7loo")</f>
        <v>@su7loo</v>
      </c>
      <c r="C6152" t="s">
        <v>2962</v>
      </c>
      <c r="D6152">
        <v>9</v>
      </c>
      <c r="E6152">
        <v>0</v>
      </c>
      <c r="F6152">
        <v>1142</v>
      </c>
    </row>
    <row r="6153" spans="1:6" ht="12.75">
      <c r="A6153" s="2">
        <v>43882.661620370374</v>
      </c>
      <c r="B6153" t="str">
        <f>HYPERLINK("https://twitter.com/CetakTukang","@CetakTukang")</f>
        <v>@CetakTukang</v>
      </c>
      <c r="C6153" t="s">
        <v>4548</v>
      </c>
      <c r="D6153">
        <v>0</v>
      </c>
      <c r="E6153">
        <v>0</v>
      </c>
      <c r="F6153">
        <v>572</v>
      </c>
    </row>
    <row r="6154" spans="1:6" ht="12.75">
      <c r="A6154" s="2">
        <v>43882.661493055552</v>
      </c>
      <c r="B6154" t="str">
        <f>HYPERLINK("https://twitter.com/anwari_novian","@anwari_novian")</f>
        <v>@anwari_novian</v>
      </c>
      <c r="C6154" t="s">
        <v>2119</v>
      </c>
      <c r="D6154">
        <v>131</v>
      </c>
      <c r="E6154">
        <v>0</v>
      </c>
      <c r="F6154">
        <v>16</v>
      </c>
    </row>
    <row r="6155" spans="1:6" ht="12.75">
      <c r="A6155" s="2">
        <v>43882.661145833335</v>
      </c>
      <c r="B6155" t="str">
        <f>HYPERLINK("https://twitter.com/sugi_0706","@sugi_0706")</f>
        <v>@sugi_0706</v>
      </c>
      <c r="C6155" t="s">
        <v>4549</v>
      </c>
      <c r="D6155">
        <v>0</v>
      </c>
      <c r="E6155">
        <v>0</v>
      </c>
      <c r="F6155">
        <v>4875</v>
      </c>
    </row>
    <row r="6156" spans="1:6" ht="12.75">
      <c r="A6156" s="2">
        <v>43882.661134259259</v>
      </c>
      <c r="B6156" t="str">
        <f>HYPERLINK("https://twitter.com/ichaddl","@ichaddl")</f>
        <v>@ichaddl</v>
      </c>
      <c r="C6156" t="s">
        <v>2119</v>
      </c>
      <c r="D6156">
        <v>131</v>
      </c>
      <c r="E6156">
        <v>0</v>
      </c>
      <c r="F6156">
        <v>304</v>
      </c>
    </row>
    <row r="6157" spans="1:6" ht="12.75">
      <c r="A6157" s="2">
        <v>43882.660960648151</v>
      </c>
      <c r="B6157" t="str">
        <f>HYPERLINK("https://twitter.com/FerryNLangelo","@FerryNLangelo")</f>
        <v>@FerryNLangelo</v>
      </c>
      <c r="C6157" t="s">
        <v>2119</v>
      </c>
      <c r="D6157">
        <v>131</v>
      </c>
      <c r="E6157">
        <v>0</v>
      </c>
      <c r="F6157">
        <v>3734</v>
      </c>
    </row>
    <row r="6158" spans="1:6" ht="12.75">
      <c r="A6158" s="2">
        <v>43882.660405092596</v>
      </c>
      <c r="B6158" t="str">
        <f>HYPERLINK("https://twitter.com/tedi_pirmansyah","@tedi_pirmansyah")</f>
        <v>@tedi_pirmansyah</v>
      </c>
      <c r="C6158" t="s">
        <v>2119</v>
      </c>
      <c r="D6158">
        <v>131</v>
      </c>
      <c r="E6158">
        <v>0</v>
      </c>
      <c r="F6158">
        <v>442</v>
      </c>
    </row>
    <row r="6159" spans="1:6" ht="12.75">
      <c r="A6159" s="2">
        <v>43882.660358796296</v>
      </c>
      <c r="B6159" t="str">
        <f>HYPERLINK("https://twitter.com/R13t0p","@R13t0p")</f>
        <v>@R13t0p</v>
      </c>
      <c r="C6159" t="s">
        <v>2692</v>
      </c>
      <c r="D6159">
        <v>2035</v>
      </c>
      <c r="E6159">
        <v>0</v>
      </c>
      <c r="F6159">
        <v>144</v>
      </c>
    </row>
    <row r="6160" spans="1:6" ht="12.75">
      <c r="A6160" s="2">
        <v>43882.659884259258</v>
      </c>
      <c r="B6160" t="str">
        <f>HYPERLINK("https://twitter.com/adefirman_syah","@adefirman_syah")</f>
        <v>@adefirman_syah</v>
      </c>
      <c r="C6160" t="s">
        <v>4550</v>
      </c>
      <c r="D6160">
        <v>0</v>
      </c>
      <c r="E6160">
        <v>0</v>
      </c>
      <c r="F6160">
        <v>3309</v>
      </c>
    </row>
    <row r="6161" spans="1:6" ht="12.75">
      <c r="A6161" s="2">
        <v>43882.659618055557</v>
      </c>
      <c r="B6161" t="str">
        <f>HYPERLINK("https://twitter.com/yth_prayoga","@yth_prayoga")</f>
        <v>@yth_prayoga</v>
      </c>
      <c r="C6161" t="s">
        <v>3508</v>
      </c>
      <c r="D6161">
        <v>49</v>
      </c>
      <c r="E6161">
        <v>0</v>
      </c>
      <c r="F6161">
        <v>685</v>
      </c>
    </row>
    <row r="6162" spans="1:6" ht="12.75">
      <c r="A6162" s="2">
        <v>43882.659259259264</v>
      </c>
      <c r="B6162" t="str">
        <f>HYPERLINK("https://twitter.com/bekchoy","@bekchoy")</f>
        <v>@bekchoy</v>
      </c>
      <c r="C6162" t="s">
        <v>2119</v>
      </c>
      <c r="D6162">
        <v>131</v>
      </c>
      <c r="E6162">
        <v>0</v>
      </c>
      <c r="F6162">
        <v>145</v>
      </c>
    </row>
    <row r="6163" spans="1:6" ht="12.75">
      <c r="A6163" s="2">
        <v>43882.658668981487</v>
      </c>
      <c r="B6163" t="str">
        <f>HYPERLINK("https://twitter.com/Iyo63579667","@Iyo63579667")</f>
        <v>@Iyo63579667</v>
      </c>
      <c r="C6163" t="s">
        <v>2119</v>
      </c>
      <c r="D6163">
        <v>131</v>
      </c>
      <c r="E6163">
        <v>0</v>
      </c>
      <c r="F6163">
        <v>86</v>
      </c>
    </row>
    <row r="6164" spans="1:6" ht="12.75">
      <c r="A6164" s="2">
        <v>43882.658495370371</v>
      </c>
      <c r="B6164" t="str">
        <f>HYPERLINK("https://twitter.com/pilotignews","@pilotignews")</f>
        <v>@pilotignews</v>
      </c>
      <c r="C6164" t="s">
        <v>4508</v>
      </c>
      <c r="D6164">
        <v>0</v>
      </c>
      <c r="E6164">
        <v>0</v>
      </c>
      <c r="F6164">
        <v>28</v>
      </c>
    </row>
    <row r="6165" spans="1:6" ht="12.75">
      <c r="A6165" s="2">
        <v>43882.658310185187</v>
      </c>
      <c r="B6165" t="str">
        <f>HYPERLINK("https://twitter.com/Chamberafli","@Chamberafli")</f>
        <v>@Chamberafli</v>
      </c>
      <c r="C6165" t="s">
        <v>3508</v>
      </c>
      <c r="D6165">
        <v>49</v>
      </c>
      <c r="E6165">
        <v>0</v>
      </c>
      <c r="F6165">
        <v>777</v>
      </c>
    </row>
    <row r="6166" spans="1:6" ht="12.75">
      <c r="A6166" s="2">
        <v>43882.65829861111</v>
      </c>
      <c r="B6166" t="str">
        <f>HYPERLINK("https://twitter.com/sahuri00665941","@sahuri00665941")</f>
        <v>@sahuri00665941</v>
      </c>
      <c r="C6166" t="s">
        <v>177</v>
      </c>
      <c r="D6166">
        <v>782</v>
      </c>
      <c r="E6166">
        <v>0</v>
      </c>
      <c r="F6166">
        <v>15</v>
      </c>
    </row>
    <row r="6167" spans="1:6" ht="12.75">
      <c r="A6167" s="2">
        <v>43882.657962962963</v>
      </c>
      <c r="B6167" t="str">
        <f>HYPERLINK("https://twitter.com/Amjmj9","@Amjmj9")</f>
        <v>@Amjmj9</v>
      </c>
      <c r="C6167" t="s">
        <v>4506</v>
      </c>
      <c r="D6167">
        <v>1</v>
      </c>
      <c r="E6167">
        <v>0</v>
      </c>
      <c r="F6167">
        <v>41</v>
      </c>
    </row>
    <row r="6168" spans="1:6" ht="12.75">
      <c r="A6168" s="2">
        <v>43882.657523148147</v>
      </c>
      <c r="B6168" t="str">
        <f>HYPERLINK("https://twitter.com/Amir_Kazan","@Amir_Kazan")</f>
        <v>@Amir_Kazan</v>
      </c>
      <c r="C6168" t="s">
        <v>4551</v>
      </c>
      <c r="D6168">
        <v>4</v>
      </c>
      <c r="E6168">
        <v>0</v>
      </c>
      <c r="F6168">
        <v>460</v>
      </c>
    </row>
    <row r="6169" spans="1:6" ht="12.75">
      <c r="A6169" s="2">
        <v>43882.657476851848</v>
      </c>
      <c r="B6169" t="str">
        <f>HYPERLINK("https://twitter.com/Xaver25761586","@Xaver25761586")</f>
        <v>@Xaver25761586</v>
      </c>
      <c r="C6169" t="s">
        <v>2119</v>
      </c>
      <c r="D6169">
        <v>131</v>
      </c>
      <c r="E6169">
        <v>0</v>
      </c>
      <c r="F6169">
        <v>503</v>
      </c>
    </row>
    <row r="6170" spans="1:6" ht="12.75">
      <c r="A6170" s="2">
        <v>43882.656944444447</v>
      </c>
      <c r="B6170" t="str">
        <f>HYPERLINK("https://twitter.com/Fahmibisyir","@Fahmibisyir")</f>
        <v>@Fahmibisyir</v>
      </c>
      <c r="C6170" t="s">
        <v>4552</v>
      </c>
      <c r="D6170">
        <v>0</v>
      </c>
      <c r="E6170">
        <v>0</v>
      </c>
      <c r="F6170">
        <v>204</v>
      </c>
    </row>
    <row r="6171" spans="1:6" ht="12.75">
      <c r="A6171" s="2">
        <v>43882.656018518523</v>
      </c>
      <c r="B6171" t="str">
        <f>HYPERLINK("https://twitter.com/Nabila88007645","@Nabila88007645")</f>
        <v>@Nabila88007645</v>
      </c>
      <c r="C6171" t="s">
        <v>4553</v>
      </c>
      <c r="D6171">
        <v>0</v>
      </c>
      <c r="E6171">
        <v>0</v>
      </c>
      <c r="F6171">
        <v>17</v>
      </c>
    </row>
    <row r="6172" spans="1:6" ht="12.75">
      <c r="A6172" s="2">
        <v>43882.655277777776</v>
      </c>
      <c r="B6172" t="str">
        <f>HYPERLINK("https://twitter.com/Koharrasmadi1","@Koharrasmadi1")</f>
        <v>@Koharrasmadi1</v>
      </c>
      <c r="C6172" t="s">
        <v>2119</v>
      </c>
      <c r="D6172">
        <v>131</v>
      </c>
      <c r="E6172">
        <v>0</v>
      </c>
      <c r="F6172">
        <v>547</v>
      </c>
    </row>
    <row r="6173" spans="1:6" ht="12.75">
      <c r="A6173" s="2">
        <v>43882.65524305556</v>
      </c>
      <c r="B6173" t="str">
        <f>HYPERLINK("https://twitter.com/kbenaranHakiki","@kbenaranHakiki")</f>
        <v>@kbenaranHakiki</v>
      </c>
      <c r="C6173" t="s">
        <v>4111</v>
      </c>
      <c r="D6173">
        <v>1</v>
      </c>
      <c r="E6173">
        <v>0</v>
      </c>
      <c r="F6173">
        <v>1394</v>
      </c>
    </row>
    <row r="6174" spans="1:6" ht="12.75">
      <c r="A6174" s="2">
        <v>43882.654837962968</v>
      </c>
      <c r="B6174" t="str">
        <f>HYPERLINK("https://twitter.com/ariffarhan","@ariffarhan")</f>
        <v>@ariffarhan</v>
      </c>
      <c r="C6174" t="s">
        <v>4554</v>
      </c>
      <c r="D6174">
        <v>1</v>
      </c>
      <c r="E6174">
        <v>0</v>
      </c>
      <c r="F6174">
        <v>390</v>
      </c>
    </row>
    <row r="6175" spans="1:6" ht="12.75">
      <c r="A6175" s="2">
        <v>43882.654780092591</v>
      </c>
      <c r="B6175" t="str">
        <f>HYPERLINK("https://twitter.com/ceknricekcom_id","@ceknricekcom_id")</f>
        <v>@ceknricekcom_id</v>
      </c>
      <c r="C6175" t="s">
        <v>4555</v>
      </c>
      <c r="D6175">
        <v>0</v>
      </c>
      <c r="E6175">
        <v>0</v>
      </c>
      <c r="F6175">
        <v>29567</v>
      </c>
    </row>
    <row r="6176" spans="1:6" ht="12.75">
      <c r="A6176" s="2">
        <v>43882.654351851852</v>
      </c>
      <c r="B6176" t="str">
        <f>HYPERLINK("https://twitter.com/UlarLaut77","@UlarLaut77")</f>
        <v>@UlarLaut77</v>
      </c>
      <c r="C6176" t="s">
        <v>4556</v>
      </c>
      <c r="D6176">
        <v>2</v>
      </c>
      <c r="E6176">
        <v>0</v>
      </c>
      <c r="F6176">
        <v>64</v>
      </c>
    </row>
    <row r="6177" spans="1:6" ht="12.75">
      <c r="A6177" s="2">
        <v>43882.654305555552</v>
      </c>
      <c r="B6177" t="str">
        <f>HYPERLINK("https://twitter.com/JJMan85","@JJMan85")</f>
        <v>@JJMan85</v>
      </c>
      <c r="C6177" t="s">
        <v>4551</v>
      </c>
      <c r="D6177">
        <v>4</v>
      </c>
      <c r="E6177">
        <v>0</v>
      </c>
      <c r="F6177">
        <v>133</v>
      </c>
    </row>
    <row r="6178" spans="1:6" ht="12.75">
      <c r="A6178" s="2">
        <v>43882.654143518521</v>
      </c>
      <c r="B6178" t="str">
        <f>HYPERLINK("https://twitter.com/prajnamu","@prajnamu")</f>
        <v>@prajnamu</v>
      </c>
      <c r="C6178" t="s">
        <v>4557</v>
      </c>
      <c r="D6178">
        <v>3</v>
      </c>
      <c r="E6178">
        <v>0</v>
      </c>
      <c r="F6178">
        <v>2335</v>
      </c>
    </row>
    <row r="6179" spans="1:6" ht="12.75">
      <c r="A6179" s="2">
        <v>43882.653969907406</v>
      </c>
      <c r="B6179" t="str">
        <f>HYPERLINK("https://twitter.com/pratama_ahong","@pratama_ahong")</f>
        <v>@pratama_ahong</v>
      </c>
      <c r="C6179" t="s">
        <v>2165</v>
      </c>
      <c r="D6179">
        <v>66</v>
      </c>
      <c r="E6179">
        <v>0</v>
      </c>
      <c r="F6179">
        <v>11</v>
      </c>
    </row>
    <row r="6180" spans="1:6" ht="12.75">
      <c r="A6180" s="2">
        <v>43882.653831018513</v>
      </c>
      <c r="B6180" t="str">
        <f>HYPERLINK("https://twitter.com/nawa_diant","@nawa_diant")</f>
        <v>@nawa_diant</v>
      </c>
      <c r="C6180" t="s">
        <v>624</v>
      </c>
      <c r="D6180">
        <v>1895</v>
      </c>
      <c r="E6180">
        <v>0</v>
      </c>
      <c r="F6180">
        <v>577</v>
      </c>
    </row>
    <row r="6181" spans="1:6" ht="12.75">
      <c r="A6181" s="2">
        <v>43882.653634259259</v>
      </c>
      <c r="B6181" t="str">
        <f>HYPERLINK("https://twitter.com/rakhmatdipraja","@rakhmatdipraja")</f>
        <v>@rakhmatdipraja</v>
      </c>
      <c r="C6181" t="s">
        <v>2119</v>
      </c>
      <c r="D6181">
        <v>131</v>
      </c>
      <c r="E6181">
        <v>0</v>
      </c>
      <c r="F6181">
        <v>5283</v>
      </c>
    </row>
    <row r="6182" spans="1:6" ht="12.75">
      <c r="A6182" s="2">
        <v>43882.653090277774</v>
      </c>
      <c r="B6182" t="str">
        <f>HYPERLINK("https://twitter.com/Kars104","@Kars104")</f>
        <v>@Kars104</v>
      </c>
      <c r="C6182" t="s">
        <v>4558</v>
      </c>
      <c r="D6182">
        <v>0</v>
      </c>
      <c r="E6182">
        <v>1</v>
      </c>
      <c r="F6182">
        <v>1748</v>
      </c>
    </row>
    <row r="6183" spans="1:6" ht="12.75">
      <c r="A6183" s="2">
        <v>43882.653090277774</v>
      </c>
      <c r="B6183" t="str">
        <f>HYPERLINK("https://twitter.com/Nusantara_TV","@Nusantara_TV")</f>
        <v>@Nusantara_TV</v>
      </c>
      <c r="C6183" t="s">
        <v>4559</v>
      </c>
      <c r="D6183">
        <v>0</v>
      </c>
      <c r="E6183">
        <v>0</v>
      </c>
      <c r="F6183">
        <v>492</v>
      </c>
    </row>
    <row r="6184" spans="1:6" ht="12.75">
      <c r="A6184" s="2">
        <v>43882.652997685189</v>
      </c>
      <c r="B6184" t="str">
        <f>HYPERLINK("https://twitter.com/burungbyn","@burungbyn")</f>
        <v>@burungbyn</v>
      </c>
      <c r="C6184" t="s">
        <v>4560</v>
      </c>
      <c r="D6184">
        <v>0</v>
      </c>
      <c r="E6184">
        <v>0</v>
      </c>
      <c r="F6184">
        <v>32</v>
      </c>
    </row>
    <row r="6185" spans="1:6" ht="12.75">
      <c r="A6185" s="2">
        <v>43882.652962962966</v>
      </c>
      <c r="B6185" t="str">
        <f>HYPERLINK("https://twitter.com/cebong_RI","@cebong_RI")</f>
        <v>@cebong_RI</v>
      </c>
      <c r="C6185" t="s">
        <v>2165</v>
      </c>
      <c r="D6185">
        <v>66</v>
      </c>
      <c r="E6185">
        <v>0</v>
      </c>
      <c r="F6185">
        <v>344</v>
      </c>
    </row>
    <row r="6186" spans="1:6" ht="12.75">
      <c r="A6186" s="2">
        <v>43882.652627314819</v>
      </c>
      <c r="B6186" t="str">
        <f>HYPERLINK("https://twitter.com/Dreamcoid","@Dreamcoid")</f>
        <v>@Dreamcoid</v>
      </c>
      <c r="C6186" t="s">
        <v>4561</v>
      </c>
      <c r="D6186">
        <v>0</v>
      </c>
      <c r="E6186">
        <v>0</v>
      </c>
      <c r="F6186">
        <v>11579</v>
      </c>
    </row>
    <row r="6187" spans="1:6" ht="12.75">
      <c r="A6187" s="2">
        <v>43882.652083333334</v>
      </c>
      <c r="B6187" t="str">
        <f>HYPERLINK("https://twitter.com/kompascom","@kompascom")</f>
        <v>@kompascom</v>
      </c>
      <c r="C6187" t="s">
        <v>4562</v>
      </c>
      <c r="D6187">
        <v>2</v>
      </c>
      <c r="E6187">
        <v>10</v>
      </c>
      <c r="F6187">
        <v>7506272</v>
      </c>
    </row>
    <row r="6188" spans="1:6" ht="12.75">
      <c r="A6188" s="2">
        <v>43882.651828703703</v>
      </c>
      <c r="B6188" t="str">
        <f>HYPERLINK("https://twitter.com/dionbangsat","@dionbangsat")</f>
        <v>@dionbangsat</v>
      </c>
      <c r="C6188" t="s">
        <v>2119</v>
      </c>
      <c r="D6188">
        <v>131</v>
      </c>
      <c r="E6188">
        <v>0</v>
      </c>
      <c r="F6188">
        <v>6389</v>
      </c>
    </row>
    <row r="6189" spans="1:6" ht="12.75">
      <c r="A6189" s="2">
        <v>43882.651608796295</v>
      </c>
      <c r="B6189" t="str">
        <f>HYPERLINK("https://twitter.com/republikaonline","@republikaonline")</f>
        <v>@republikaonline</v>
      </c>
      <c r="C6189" t="s">
        <v>4563</v>
      </c>
      <c r="D6189">
        <v>0</v>
      </c>
      <c r="E6189">
        <v>1</v>
      </c>
      <c r="F6189">
        <v>1211744</v>
      </c>
    </row>
    <row r="6190" spans="1:6" ht="12.75">
      <c r="A6190" s="2">
        <v>43882.651562500003</v>
      </c>
      <c r="B6190" t="str">
        <f>HYPERLINK("https://twitter.com/shahreez31","@shahreez31")</f>
        <v>@shahreez31</v>
      </c>
      <c r="C6190" t="s">
        <v>4551</v>
      </c>
      <c r="D6190">
        <v>4</v>
      </c>
      <c r="E6190">
        <v>0</v>
      </c>
      <c r="F6190">
        <v>307</v>
      </c>
    </row>
    <row r="6191" spans="1:6" ht="12.75">
      <c r="A6191" s="2">
        <v>43882.651423611111</v>
      </c>
      <c r="B6191" t="str">
        <f>HYPERLINK("https://twitter.com/taamm4ra","@taamm4ra")</f>
        <v>@taamm4ra</v>
      </c>
      <c r="C6191" t="s">
        <v>4564</v>
      </c>
      <c r="D6191">
        <v>0</v>
      </c>
      <c r="E6191">
        <v>0</v>
      </c>
      <c r="F6191">
        <v>3</v>
      </c>
    </row>
    <row r="6192" spans="1:6" ht="12.75">
      <c r="A6192" s="2">
        <v>43882.651400462964</v>
      </c>
      <c r="B6192" t="str">
        <f>HYPERLINK("https://twitter.com/abgrara","@abgrara")</f>
        <v>@abgrara</v>
      </c>
      <c r="C6192" t="s">
        <v>4565</v>
      </c>
      <c r="D6192">
        <v>0</v>
      </c>
      <c r="E6192">
        <v>0</v>
      </c>
      <c r="F6192">
        <v>45</v>
      </c>
    </row>
    <row r="6193" spans="1:6" ht="12.75">
      <c r="A6193" s="2">
        <v>43882.651064814811</v>
      </c>
      <c r="B6193" t="str">
        <f>HYPERLINK("https://twitter.com/taamm4ra","@taamm4ra")</f>
        <v>@taamm4ra</v>
      </c>
      <c r="C6193" t="s">
        <v>4566</v>
      </c>
      <c r="D6193">
        <v>0</v>
      </c>
      <c r="E6193">
        <v>0</v>
      </c>
      <c r="F6193">
        <v>3</v>
      </c>
    </row>
    <row r="6194" spans="1:6" ht="12.75">
      <c r="A6194" s="2">
        <v>43882.650925925926</v>
      </c>
      <c r="B6194" t="str">
        <f>HYPERLINK("https://twitter.com/The_UglyOrgan","@The_UglyOrgan")</f>
        <v>@The_UglyOrgan</v>
      </c>
      <c r="C6194" t="s">
        <v>4551</v>
      </c>
      <c r="D6194">
        <v>4</v>
      </c>
      <c r="E6194">
        <v>0</v>
      </c>
      <c r="F6194">
        <v>5617</v>
      </c>
    </row>
    <row r="6195" spans="1:6" ht="12.75">
      <c r="A6195" s="2">
        <v>43882.650868055556</v>
      </c>
      <c r="B6195" t="str">
        <f>HYPERLINK("https://twitter.com/ceknricekcom_id","@ceknricekcom_id")</f>
        <v>@ceknricekcom_id</v>
      </c>
      <c r="C6195" t="s">
        <v>4567</v>
      </c>
      <c r="D6195">
        <v>0</v>
      </c>
      <c r="E6195">
        <v>0</v>
      </c>
      <c r="F6195">
        <v>29567</v>
      </c>
    </row>
    <row r="6196" spans="1:6" ht="12.75">
      <c r="A6196" s="2">
        <v>43882.650231481486</v>
      </c>
      <c r="B6196" t="str">
        <f>HYPERLINK("https://twitter.com/MiraOnce","@MiraOnce")</f>
        <v>@MiraOnce</v>
      </c>
      <c r="C6196" t="s">
        <v>4568</v>
      </c>
      <c r="D6196">
        <v>0</v>
      </c>
      <c r="E6196">
        <v>0</v>
      </c>
      <c r="F6196">
        <v>4</v>
      </c>
    </row>
    <row r="6197" spans="1:6" ht="12.75">
      <c r="A6197" s="2">
        <v>43882.650138888886</v>
      </c>
      <c r="B6197" t="str">
        <f>HYPERLINK("https://twitter.com/RKLANews","@RKLANews")</f>
        <v>@RKLANews</v>
      </c>
      <c r="C6197" t="s">
        <v>2165</v>
      </c>
      <c r="D6197">
        <v>66</v>
      </c>
      <c r="E6197">
        <v>0</v>
      </c>
      <c r="F6197">
        <v>273</v>
      </c>
    </row>
    <row r="6198" spans="1:6" ht="12.75">
      <c r="A6198" s="2">
        <v>43882.65011574074</v>
      </c>
      <c r="B6198" t="str">
        <f>HYPERLINK("https://twitter.com/panjianom102","@panjianom102")</f>
        <v>@panjianom102</v>
      </c>
      <c r="C6198" t="s">
        <v>2116</v>
      </c>
      <c r="D6198">
        <v>15</v>
      </c>
      <c r="E6198">
        <v>0</v>
      </c>
      <c r="F6198">
        <v>1299</v>
      </c>
    </row>
    <row r="6199" spans="1:6" ht="12.75">
      <c r="A6199" s="2">
        <v>43882.649004629631</v>
      </c>
      <c r="B6199" t="str">
        <f>HYPERLINK("https://twitter.com/christiyantosw","@christiyantosw")</f>
        <v>@christiyantosw</v>
      </c>
      <c r="C6199" t="s">
        <v>2119</v>
      </c>
      <c r="D6199">
        <v>131</v>
      </c>
      <c r="E6199">
        <v>0</v>
      </c>
      <c r="F6199">
        <v>3074</v>
      </c>
    </row>
    <row r="6200" spans="1:6" ht="12.75">
      <c r="A6200" s="2">
        <v>43882.648831018523</v>
      </c>
      <c r="B6200" t="str">
        <f>HYPERLINK("https://twitter.com/ziel3ak","@ziel3ak")</f>
        <v>@ziel3ak</v>
      </c>
      <c r="C6200" t="s">
        <v>1951</v>
      </c>
      <c r="D6200">
        <v>0</v>
      </c>
      <c r="E6200">
        <v>0</v>
      </c>
      <c r="F6200">
        <v>9</v>
      </c>
    </row>
    <row r="6201" spans="1:6" ht="12.75">
      <c r="A6201" s="2">
        <v>43882.648553240739</v>
      </c>
      <c r="B6201" t="str">
        <f>HYPERLINK("https://twitter.com/awan137","@awan137")</f>
        <v>@awan137</v>
      </c>
      <c r="C6201" t="s">
        <v>2116</v>
      </c>
      <c r="D6201">
        <v>15</v>
      </c>
      <c r="E6201">
        <v>0</v>
      </c>
      <c r="F6201">
        <v>230</v>
      </c>
    </row>
    <row r="6202" spans="1:6" ht="12.75">
      <c r="A6202" s="2">
        <v>43882.648368055554</v>
      </c>
      <c r="B6202" t="str">
        <f>HYPERLINK("https://twitter.com/KAPTinfo","@KAPTinfo")</f>
        <v>@KAPTinfo</v>
      </c>
      <c r="C6202" t="s">
        <v>2165</v>
      </c>
      <c r="D6202">
        <v>66</v>
      </c>
      <c r="E6202">
        <v>0</v>
      </c>
      <c r="F6202">
        <v>292</v>
      </c>
    </row>
    <row r="6203" spans="1:6" ht="12.75">
      <c r="A6203" s="2">
        <v>43882.648310185185</v>
      </c>
      <c r="B6203" t="str">
        <f>HYPERLINK("https://twitter.com/abgrara","@abgrara")</f>
        <v>@abgrara</v>
      </c>
      <c r="C6203" t="s">
        <v>4569</v>
      </c>
      <c r="D6203">
        <v>1</v>
      </c>
      <c r="E6203">
        <v>1</v>
      </c>
      <c r="F6203">
        <v>45</v>
      </c>
    </row>
    <row r="6204" spans="1:6" ht="12.75">
      <c r="A6204" s="2">
        <v>43882.648182870369</v>
      </c>
      <c r="B6204" t="str">
        <f>HYPERLINK("https://twitter.com/abil_habibi","@abil_habibi")</f>
        <v>@abil_habibi</v>
      </c>
      <c r="C6204" t="s">
        <v>3995</v>
      </c>
      <c r="D6204">
        <v>7</v>
      </c>
      <c r="E6204">
        <v>0</v>
      </c>
      <c r="F6204">
        <v>1450</v>
      </c>
    </row>
    <row r="6205" spans="1:6" ht="12.75">
      <c r="A6205" s="2">
        <v>43882.6481712963</v>
      </c>
      <c r="B6205" t="str">
        <f>HYPERLINK("https://twitter.com/zkdlvouztweet","@zkdlvouztweet")</f>
        <v>@zkdlvouztweet</v>
      </c>
      <c r="C6205" t="s">
        <v>2692</v>
      </c>
      <c r="D6205">
        <v>2035</v>
      </c>
      <c r="E6205">
        <v>0</v>
      </c>
      <c r="F6205">
        <v>49</v>
      </c>
    </row>
    <row r="6206" spans="1:6" ht="12.75">
      <c r="A6206" s="2">
        <v>43882.648113425923</v>
      </c>
      <c r="B6206" t="str">
        <f>HYPERLINK("https://twitter.com/Dilla_put3","@Dilla_put3")</f>
        <v>@Dilla_put3</v>
      </c>
      <c r="C6206" t="s">
        <v>2165</v>
      </c>
      <c r="D6206">
        <v>66</v>
      </c>
      <c r="E6206">
        <v>0</v>
      </c>
      <c r="F6206">
        <v>114</v>
      </c>
    </row>
    <row r="6207" spans="1:6" ht="12.75">
      <c r="A6207" s="2">
        <v>43882.647951388892</v>
      </c>
      <c r="B6207" t="str">
        <f>HYPERLINK("https://twitter.com/AnnaHan88298646","@AnnaHan88298646")</f>
        <v>@AnnaHan88298646</v>
      </c>
      <c r="C6207" t="s">
        <v>4570</v>
      </c>
      <c r="D6207">
        <v>1</v>
      </c>
      <c r="E6207">
        <v>0</v>
      </c>
      <c r="F6207">
        <v>25</v>
      </c>
    </row>
    <row r="6208" spans="1:6" ht="12.75">
      <c r="A6208" s="2">
        <v>43882.647789351853</v>
      </c>
      <c r="B6208" t="str">
        <f>HYPERLINK("https://twitter.com/Cupido_07","@Cupido_07")</f>
        <v>@Cupido_07</v>
      </c>
      <c r="C6208" t="s">
        <v>4571</v>
      </c>
      <c r="D6208">
        <v>0</v>
      </c>
      <c r="E6208">
        <v>0</v>
      </c>
      <c r="F6208">
        <v>95</v>
      </c>
    </row>
    <row r="6209" spans="1:6" ht="12.75">
      <c r="A6209" s="2">
        <v>43882.64744212963</v>
      </c>
      <c r="B6209" t="str">
        <f>HYPERLINK("https://twitter.com/lord_sbt","@lord_sbt")</f>
        <v>@lord_sbt</v>
      </c>
      <c r="C6209" t="s">
        <v>2119</v>
      </c>
      <c r="D6209">
        <v>131</v>
      </c>
      <c r="E6209">
        <v>0</v>
      </c>
      <c r="F6209">
        <v>711</v>
      </c>
    </row>
    <row r="6210" spans="1:6" ht="12.75">
      <c r="A6210" s="2">
        <v>43882.64675925926</v>
      </c>
      <c r="B6210" t="str">
        <f>HYPERLINK("https://twitter.com/SydSalesman","@SydSalesman")</f>
        <v>@SydSalesman</v>
      </c>
      <c r="C6210" t="s">
        <v>4311</v>
      </c>
      <c r="D6210">
        <v>1</v>
      </c>
      <c r="E6210">
        <v>0</v>
      </c>
      <c r="F6210">
        <v>6235</v>
      </c>
    </row>
    <row r="6211" spans="1:6" ht="12.75">
      <c r="A6211" s="2">
        <v>43882.646689814814</v>
      </c>
      <c r="B6211" t="str">
        <f>HYPERLINK("https://twitter.com/hackerunited","@hackerunited")</f>
        <v>@hackerunited</v>
      </c>
      <c r="C6211" t="s">
        <v>4572</v>
      </c>
      <c r="D6211">
        <v>4</v>
      </c>
      <c r="E6211">
        <v>3</v>
      </c>
      <c r="F6211">
        <v>502</v>
      </c>
    </row>
    <row r="6212" spans="1:6" ht="12.75">
      <c r="A6212" s="2">
        <v>43882.646273148144</v>
      </c>
      <c r="B6212" t="str">
        <f>HYPERLINK("https://twitter.com/AgielRizky","@AgielRizky")</f>
        <v>@AgielRizky</v>
      </c>
      <c r="C6212" t="s">
        <v>4573</v>
      </c>
      <c r="D6212">
        <v>0</v>
      </c>
      <c r="E6212">
        <v>0</v>
      </c>
      <c r="F6212">
        <v>302</v>
      </c>
    </row>
    <row r="6213" spans="1:6" ht="12.75">
      <c r="A6213" s="2">
        <v>43882.646273148144</v>
      </c>
      <c r="B6213" t="str">
        <f>HYPERLINK("https://twitter.com/Masbedjo19","@Masbedjo19")</f>
        <v>@Masbedjo19</v>
      </c>
      <c r="C6213" t="s">
        <v>2119</v>
      </c>
      <c r="D6213">
        <v>131</v>
      </c>
      <c r="E6213">
        <v>0</v>
      </c>
      <c r="F6213">
        <v>107</v>
      </c>
    </row>
    <row r="6214" spans="1:6" ht="12.75">
      <c r="A6214" s="2">
        <v>43882.646064814813</v>
      </c>
      <c r="B6214" t="str">
        <f>HYPERLINK("https://twitter.com/Iwan_Kapuk","@Iwan_Kapuk")</f>
        <v>@Iwan_Kapuk</v>
      </c>
      <c r="C6214" t="s">
        <v>2119</v>
      </c>
      <c r="D6214">
        <v>131</v>
      </c>
      <c r="E6214">
        <v>0</v>
      </c>
      <c r="F6214">
        <v>2741</v>
      </c>
    </row>
    <row r="6215" spans="1:6" ht="12.75">
      <c r="A6215" s="2">
        <v>43882.645995370374</v>
      </c>
      <c r="B6215" t="str">
        <f>HYPERLINK("https://twitter.com/Reality09222585","@Reality09222585")</f>
        <v>@Reality09222585</v>
      </c>
      <c r="C6215" t="s">
        <v>4574</v>
      </c>
      <c r="D6215">
        <v>0</v>
      </c>
      <c r="E6215">
        <v>0</v>
      </c>
      <c r="F6215">
        <v>35</v>
      </c>
    </row>
    <row r="6216" spans="1:6" ht="12.75">
      <c r="A6216" s="2">
        <v>43882.645879629628</v>
      </c>
      <c r="B6216" t="str">
        <f>HYPERLINK("https://twitter.com/IkhlasSajadeh","@IkhlasSajadeh")</f>
        <v>@IkhlasSajadeh</v>
      </c>
      <c r="C6216" t="s">
        <v>4575</v>
      </c>
      <c r="D6216">
        <v>0</v>
      </c>
      <c r="E6216">
        <v>0</v>
      </c>
      <c r="F6216">
        <v>78</v>
      </c>
    </row>
    <row r="6217" spans="1:6" ht="12.75">
      <c r="A6217" s="2">
        <v>43882.645578703705</v>
      </c>
      <c r="B6217" t="str">
        <f>HYPERLINK("https://twitter.com/Putri_Yupri","@Putri_Yupri")</f>
        <v>@Putri_Yupri</v>
      </c>
      <c r="C6217" t="s">
        <v>4240</v>
      </c>
      <c r="D6217">
        <v>5</v>
      </c>
      <c r="E6217">
        <v>0</v>
      </c>
      <c r="F6217">
        <v>35</v>
      </c>
    </row>
    <row r="6218" spans="1:6" ht="12.75">
      <c r="A6218" s="2">
        <v>43882.64534722222</v>
      </c>
      <c r="B6218" t="str">
        <f>HYPERLINK("https://twitter.com/epe_oke","@epe_oke")</f>
        <v>@epe_oke</v>
      </c>
      <c r="C6218" t="s">
        <v>3398</v>
      </c>
      <c r="D6218">
        <v>101</v>
      </c>
      <c r="E6218">
        <v>0</v>
      </c>
      <c r="F6218">
        <v>27</v>
      </c>
    </row>
    <row r="6219" spans="1:6" ht="12.75">
      <c r="A6219" s="2">
        <v>43882.644895833335</v>
      </c>
      <c r="B6219" t="str">
        <f>HYPERLINK("https://twitter.com/azril_me","@azril_me")</f>
        <v>@azril_me</v>
      </c>
      <c r="C6219" t="s">
        <v>2119</v>
      </c>
      <c r="D6219">
        <v>131</v>
      </c>
      <c r="E6219">
        <v>0</v>
      </c>
      <c r="F6219">
        <v>1076</v>
      </c>
    </row>
    <row r="6220" spans="1:6" ht="12.75">
      <c r="A6220" s="2">
        <v>43882.644780092596</v>
      </c>
      <c r="B6220" t="str">
        <f>HYPERLINK("https://twitter.com/3_devout","@3_devout")</f>
        <v>@3_devout</v>
      </c>
      <c r="C6220" t="s">
        <v>4576</v>
      </c>
      <c r="D6220">
        <v>1</v>
      </c>
      <c r="E6220">
        <v>2</v>
      </c>
      <c r="F6220">
        <v>1043</v>
      </c>
    </row>
    <row r="6221" spans="1:6" ht="12.75">
      <c r="A6221" s="2">
        <v>43882.625428240739</v>
      </c>
      <c r="B6221" t="str">
        <f>HYPERLINK("https://twitter.com/Nisamelanie1","@Nisamelanie1")</f>
        <v>@Nisamelanie1</v>
      </c>
      <c r="C6221" t="s">
        <v>177</v>
      </c>
      <c r="D6221">
        <v>777</v>
      </c>
      <c r="E6221">
        <v>0</v>
      </c>
      <c r="F6221">
        <v>0</v>
      </c>
    </row>
    <row r="6222" spans="1:6" ht="12.75">
      <c r="A6222" s="2">
        <v>43882.624780092592</v>
      </c>
      <c r="B6222" t="str">
        <f>HYPERLINK("https://twitter.com/lidah_tornado","@lidah_tornado")</f>
        <v>@lidah_tornado</v>
      </c>
      <c r="C6222" t="s">
        <v>4577</v>
      </c>
      <c r="D6222">
        <v>0</v>
      </c>
      <c r="E6222">
        <v>0</v>
      </c>
      <c r="F6222">
        <v>2863</v>
      </c>
    </row>
    <row r="6223" spans="1:6" ht="12.75">
      <c r="A6223" s="2">
        <v>43882.624571759261</v>
      </c>
      <c r="B6223" t="str">
        <f>HYPERLINK("https://twitter.com/McFatimah","@McFatimah")</f>
        <v>@McFatimah</v>
      </c>
      <c r="C6223" t="s">
        <v>2119</v>
      </c>
      <c r="D6223">
        <v>83</v>
      </c>
      <c r="E6223">
        <v>0</v>
      </c>
      <c r="F6223">
        <v>1389</v>
      </c>
    </row>
    <row r="6224" spans="1:6" ht="12.75">
      <c r="A6224" s="2">
        <v>43882.624513888892</v>
      </c>
      <c r="B6224" t="str">
        <f>HYPERLINK("https://twitter.com/DodykAS_P3MDPrb","@DodykAS_P3MDPrb")</f>
        <v>@DodykAS_P3MDPrb</v>
      </c>
      <c r="C6224" t="s">
        <v>3995</v>
      </c>
      <c r="D6224">
        <v>6</v>
      </c>
      <c r="E6224">
        <v>0</v>
      </c>
      <c r="F6224">
        <v>1100</v>
      </c>
    </row>
    <row r="6225" spans="1:6" ht="12.75">
      <c r="A6225" s="2">
        <v>43882.624456018515</v>
      </c>
      <c r="B6225" t="str">
        <f>HYPERLINK("https://twitter.com/SydSalesman","@SydSalesman")</f>
        <v>@SydSalesman</v>
      </c>
      <c r="C6225" t="s">
        <v>2119</v>
      </c>
      <c r="D6225">
        <v>83</v>
      </c>
      <c r="E6225">
        <v>0</v>
      </c>
      <c r="F6225">
        <v>6235</v>
      </c>
    </row>
    <row r="6226" spans="1:6" ht="12.75">
      <c r="A6226" s="2">
        <v>43882.624386574069</v>
      </c>
      <c r="B6226" t="str">
        <f>HYPERLINK("https://twitter.com/weddie_s","@weddie_s")</f>
        <v>@weddie_s</v>
      </c>
      <c r="C6226" t="s">
        <v>4557</v>
      </c>
      <c r="D6226">
        <v>1</v>
      </c>
      <c r="E6226">
        <v>0</v>
      </c>
      <c r="F6226">
        <v>2711</v>
      </c>
    </row>
    <row r="6227" spans="1:6" ht="12.75">
      <c r="A6227" s="2">
        <v>43882.624282407407</v>
      </c>
      <c r="B6227" t="str">
        <f>HYPERLINK("https://twitter.com/fajaralam9","@fajaralam9")</f>
        <v>@fajaralam9</v>
      </c>
      <c r="C6227" t="s">
        <v>4578</v>
      </c>
      <c r="D6227">
        <v>0</v>
      </c>
      <c r="E6227">
        <v>0</v>
      </c>
      <c r="F6227">
        <v>1937</v>
      </c>
    </row>
    <row r="6228" spans="1:6" ht="12.75">
      <c r="A6228" s="2">
        <v>43882.624166666668</v>
      </c>
      <c r="B6228" t="str">
        <f>HYPERLINK("https://twitter.com/Roni64831039","@Roni64831039")</f>
        <v>@Roni64831039</v>
      </c>
      <c r="C6228" t="s">
        <v>2962</v>
      </c>
      <c r="D6228">
        <v>7</v>
      </c>
      <c r="E6228">
        <v>0</v>
      </c>
      <c r="F6228">
        <v>215</v>
      </c>
    </row>
    <row r="6229" spans="1:6" ht="12.75">
      <c r="A6229" s="2">
        <v>43882.624120370368</v>
      </c>
      <c r="B6229" t="str">
        <f>HYPERLINK("https://twitter.com/Kenzu_KPTB","@Kenzu_KPTB")</f>
        <v>@Kenzu_KPTB</v>
      </c>
      <c r="C6229" t="s">
        <v>2119</v>
      </c>
      <c r="D6229">
        <v>83</v>
      </c>
      <c r="E6229">
        <v>0</v>
      </c>
      <c r="F6229">
        <v>1931</v>
      </c>
    </row>
    <row r="6230" spans="1:6" ht="12.75">
      <c r="A6230" s="2">
        <v>43882.624050925922</v>
      </c>
      <c r="B6230" t="str">
        <f>HYPERLINK("https://twitter.com/Ahjeong12","@Ahjeong12")</f>
        <v>@Ahjeong12</v>
      </c>
      <c r="C6230" t="s">
        <v>4240</v>
      </c>
      <c r="D6230">
        <v>4</v>
      </c>
      <c r="E6230">
        <v>0</v>
      </c>
      <c r="F6230">
        <v>84</v>
      </c>
    </row>
    <row r="6231" spans="1:6" ht="12.75">
      <c r="A6231" s="2">
        <v>43882.623900462961</v>
      </c>
      <c r="B6231" t="str">
        <f>HYPERLINK("https://twitter.com/fkptcenter","@fkptcenter")</f>
        <v>@fkptcenter</v>
      </c>
      <c r="C6231" t="s">
        <v>4579</v>
      </c>
      <c r="D6231">
        <v>0</v>
      </c>
      <c r="E6231">
        <v>0</v>
      </c>
      <c r="F6231">
        <v>135</v>
      </c>
    </row>
    <row r="6232" spans="1:6" ht="12.75">
      <c r="A6232" s="2">
        <v>43882.623761574076</v>
      </c>
      <c r="B6232" t="str">
        <f>HYPERLINK("https://twitter.com/becak125cc","@becak125cc")</f>
        <v>@becak125cc</v>
      </c>
      <c r="C6232" t="s">
        <v>2674</v>
      </c>
      <c r="D6232">
        <v>89</v>
      </c>
      <c r="E6232">
        <v>0</v>
      </c>
      <c r="F6232">
        <v>507</v>
      </c>
    </row>
    <row r="6233" spans="1:6" ht="12.75">
      <c r="A6233" s="2">
        <v>43882.623680555553</v>
      </c>
      <c r="B6233" t="str">
        <f>HYPERLINK("https://twitter.com/AnakLolina","@AnakLolina")</f>
        <v>@AnakLolina</v>
      </c>
      <c r="C6233" t="s">
        <v>2119</v>
      </c>
      <c r="D6233">
        <v>83</v>
      </c>
      <c r="E6233">
        <v>0</v>
      </c>
      <c r="F6233">
        <v>14726</v>
      </c>
    </row>
    <row r="6234" spans="1:6" ht="12.75">
      <c r="A6234" s="2">
        <v>43882.623356481483</v>
      </c>
      <c r="B6234" t="str">
        <f>HYPERLINK("https://twitter.com/fajaralam9","@fajaralam9")</f>
        <v>@fajaralam9</v>
      </c>
      <c r="C6234" t="s">
        <v>4580</v>
      </c>
      <c r="D6234">
        <v>0</v>
      </c>
      <c r="E6234">
        <v>0</v>
      </c>
      <c r="F6234">
        <v>1937</v>
      </c>
    </row>
    <row r="6235" spans="1:6" ht="12.75">
      <c r="A6235" s="2">
        <v>43882.622939814813</v>
      </c>
      <c r="B6235" t="str">
        <f>HYPERLINK("https://twitter.com/RagilHadiwibowo","@RagilHadiwibowo")</f>
        <v>@RagilHadiwibowo</v>
      </c>
      <c r="C6235" t="s">
        <v>4581</v>
      </c>
      <c r="D6235">
        <v>1</v>
      </c>
      <c r="E6235">
        <v>0</v>
      </c>
      <c r="F6235">
        <v>92</v>
      </c>
    </row>
    <row r="6236" spans="1:6" ht="12.75">
      <c r="A6236" s="2">
        <v>43882.622233796297</v>
      </c>
      <c r="B6236" t="str">
        <f>HYPERLINK("https://twitter.com/harian_riau","@harian_riau")</f>
        <v>@harian_riau</v>
      </c>
      <c r="C6236" t="s">
        <v>4582</v>
      </c>
      <c r="D6236">
        <v>1</v>
      </c>
      <c r="E6236">
        <v>0</v>
      </c>
      <c r="F6236">
        <v>663</v>
      </c>
    </row>
    <row r="6237" spans="1:6" ht="12.75">
      <c r="A6237" s="2">
        <v>43882.622106481482</v>
      </c>
      <c r="B6237" t="str">
        <f>HYPERLINK("https://twitter.com/Yadie050977","@Yadie050977")</f>
        <v>@Yadie050977</v>
      </c>
      <c r="C6237" t="s">
        <v>2119</v>
      </c>
      <c r="D6237">
        <v>83</v>
      </c>
      <c r="E6237">
        <v>0</v>
      </c>
      <c r="F6237">
        <v>1206</v>
      </c>
    </row>
    <row r="6238" spans="1:6" ht="12.75">
      <c r="A6238" s="2">
        <v>43882.621481481481</v>
      </c>
      <c r="B6238" t="str">
        <f>HYPERLINK("https://twitter.com/CamelR20","@CamelR20")</f>
        <v>@CamelR20</v>
      </c>
      <c r="C6238" t="s">
        <v>2165</v>
      </c>
      <c r="D6238">
        <v>53</v>
      </c>
      <c r="E6238">
        <v>0</v>
      </c>
      <c r="F6238">
        <v>258</v>
      </c>
    </row>
    <row r="6239" spans="1:6" ht="12.75">
      <c r="A6239" s="2">
        <v>43882.621423611112</v>
      </c>
      <c r="B6239" t="str">
        <f>HYPERLINK("https://twitter.com/dipa28116921","@dipa28116921")</f>
        <v>@dipa28116921</v>
      </c>
      <c r="C6239" t="s">
        <v>1407</v>
      </c>
      <c r="D6239">
        <v>9733</v>
      </c>
      <c r="E6239">
        <v>0</v>
      </c>
      <c r="F6239">
        <v>0</v>
      </c>
    </row>
    <row r="6240" spans="1:6" ht="12.75">
      <c r="A6240" s="2">
        <v>43882.62122685185</v>
      </c>
      <c r="B6240" t="str">
        <f>HYPERLINK("https://twitter.com/ras_af06","@ras_af06")</f>
        <v>@ras_af06</v>
      </c>
      <c r="C6240" t="s">
        <v>2116</v>
      </c>
      <c r="D6240">
        <v>13</v>
      </c>
      <c r="E6240">
        <v>0</v>
      </c>
      <c r="F6240">
        <v>134</v>
      </c>
    </row>
    <row r="6241" spans="1:6" ht="12.75">
      <c r="A6241" s="2">
        <v>43882.621134259258</v>
      </c>
      <c r="B6241" t="str">
        <f>HYPERLINK("https://twitter.com/ITTRsince1960","@ITTRsince1960")</f>
        <v>@ITTRsince1960</v>
      </c>
      <c r="C6241" t="s">
        <v>4583</v>
      </c>
      <c r="D6241">
        <v>0</v>
      </c>
      <c r="E6241">
        <v>0</v>
      </c>
      <c r="F6241">
        <v>48</v>
      </c>
    </row>
    <row r="6242" spans="1:6" ht="12.75">
      <c r="A6242" s="2">
        <v>43882.621064814812</v>
      </c>
      <c r="B6242" t="str">
        <f>HYPERLINK("https://twitter.com/Dianadjiemunaji","@Dianadjiemunaji")</f>
        <v>@Dianadjiemunaji</v>
      </c>
      <c r="C6242" t="s">
        <v>2119</v>
      </c>
      <c r="D6242">
        <v>83</v>
      </c>
      <c r="E6242">
        <v>0</v>
      </c>
      <c r="F6242">
        <v>1560</v>
      </c>
    </row>
    <row r="6243" spans="1:6" ht="12.75">
      <c r="A6243" s="2">
        <v>43882.620821759258</v>
      </c>
      <c r="B6243" t="str">
        <f>HYPERLINK("https://twitter.com/setkabgoid","@setkabgoid")</f>
        <v>@setkabgoid</v>
      </c>
      <c r="C6243" t="s">
        <v>4584</v>
      </c>
      <c r="D6243">
        <v>1</v>
      </c>
      <c r="E6243">
        <v>3</v>
      </c>
      <c r="F6243">
        <v>1026565</v>
      </c>
    </row>
    <row r="6244" spans="1:6" ht="12.75">
      <c r="A6244" s="2">
        <v>43882.620648148149</v>
      </c>
      <c r="B6244" t="str">
        <f>HYPERLINK("https://twitter.com/achzam_prabu","@achzam_prabu")</f>
        <v>@achzam_prabu</v>
      </c>
      <c r="C6244" t="s">
        <v>2119</v>
      </c>
      <c r="D6244">
        <v>83</v>
      </c>
      <c r="E6244">
        <v>0</v>
      </c>
      <c r="F6244">
        <v>4834</v>
      </c>
    </row>
    <row r="6245" spans="1:6" ht="12.75">
      <c r="A6245" s="2">
        <v>43882.620069444441</v>
      </c>
      <c r="B6245" t="str">
        <f>HYPERLINK("https://twitter.com/QMSKN","@QMSKN")</f>
        <v>@QMSKN</v>
      </c>
      <c r="C6245" t="s">
        <v>2753</v>
      </c>
      <c r="D6245">
        <v>5</v>
      </c>
      <c r="E6245">
        <v>0</v>
      </c>
      <c r="F6245">
        <v>946</v>
      </c>
    </row>
    <row r="6246" spans="1:6" ht="12.75">
      <c r="A6246" s="2">
        <v>43882.61990740741</v>
      </c>
      <c r="B6246" t="str">
        <f>HYPERLINK("https://twitter.com/antar_kabar","@antar_kabar")</f>
        <v>@antar_kabar</v>
      </c>
      <c r="C6246" t="s">
        <v>4585</v>
      </c>
      <c r="D6246">
        <v>0</v>
      </c>
      <c r="E6246">
        <v>0</v>
      </c>
      <c r="F6246">
        <v>1128</v>
      </c>
    </row>
    <row r="6247" spans="1:6" ht="12.75">
      <c r="A6247" s="2">
        <v>43882.619884259257</v>
      </c>
      <c r="B6247" t="str">
        <f>HYPERLINK("https://twitter.com/HeryKur12","@HeryKur12")</f>
        <v>@HeryKur12</v>
      </c>
      <c r="C6247" t="s">
        <v>3508</v>
      </c>
      <c r="D6247">
        <v>42</v>
      </c>
      <c r="E6247">
        <v>0</v>
      </c>
      <c r="F6247">
        <v>380</v>
      </c>
    </row>
    <row r="6248" spans="1:6" ht="12.75">
      <c r="A6248" s="2">
        <v>43882.619155092594</v>
      </c>
      <c r="B6248" t="str">
        <f>HYPERLINK("https://twitter.com/MariawanDede","@MariawanDede")</f>
        <v>@MariawanDede</v>
      </c>
      <c r="C6248" t="s">
        <v>2119</v>
      </c>
      <c r="D6248">
        <v>83</v>
      </c>
      <c r="E6248">
        <v>0</v>
      </c>
      <c r="F6248">
        <v>1852</v>
      </c>
    </row>
    <row r="6249" spans="1:6" ht="12.75">
      <c r="A6249" s="2">
        <v>43882.619027777779</v>
      </c>
      <c r="B6249" t="str">
        <f>HYPERLINK("https://twitter.com/baniarrantisi","@baniarrantisi")</f>
        <v>@baniarrantisi</v>
      </c>
      <c r="C6249" t="s">
        <v>4586</v>
      </c>
      <c r="D6249">
        <v>0</v>
      </c>
      <c r="E6249">
        <v>0</v>
      </c>
      <c r="F6249">
        <v>452</v>
      </c>
    </row>
    <row r="6250" spans="1:6" ht="12.75">
      <c r="A6250" s="2">
        <v>43882.618923611109</v>
      </c>
      <c r="B6250" t="str">
        <f>HYPERLINK("https://twitter.com/Ferysplace","@Ferysplace")</f>
        <v>@Ferysplace</v>
      </c>
      <c r="C6250" t="s">
        <v>2119</v>
      </c>
      <c r="D6250">
        <v>83</v>
      </c>
      <c r="E6250">
        <v>0</v>
      </c>
      <c r="F6250">
        <v>584</v>
      </c>
    </row>
    <row r="6251" spans="1:6" ht="12.75">
      <c r="A6251" s="2">
        <v>43882.618888888886</v>
      </c>
      <c r="B6251" t="str">
        <f>HYPERLINK("https://twitter.com/hemaviton99","@hemaviton99")</f>
        <v>@hemaviton99</v>
      </c>
      <c r="C6251" t="s">
        <v>4587</v>
      </c>
      <c r="D6251">
        <v>1</v>
      </c>
      <c r="E6251">
        <v>0</v>
      </c>
      <c r="F6251">
        <v>4342</v>
      </c>
    </row>
    <row r="6252" spans="1:6" ht="12.75">
      <c r="A6252" s="2">
        <v>43882.618877314817</v>
      </c>
      <c r="B6252" t="str">
        <f>HYPERLINK("https://twitter.com/ArjunaTirto","@ArjunaTirto")</f>
        <v>@ArjunaTirto</v>
      </c>
      <c r="C6252" t="s">
        <v>2119</v>
      </c>
      <c r="D6252">
        <v>83</v>
      </c>
      <c r="E6252">
        <v>0</v>
      </c>
      <c r="F6252">
        <v>223</v>
      </c>
    </row>
    <row r="6253" spans="1:6" ht="12.75">
      <c r="A6253" s="2">
        <v>43882.618576388893</v>
      </c>
      <c r="B6253" t="str">
        <f>HYPERLINK("https://twitter.com/Link_GarisLucu","@Link_GarisLucu")</f>
        <v>@Link_GarisLucu</v>
      </c>
      <c r="C6253" t="s">
        <v>2119</v>
      </c>
      <c r="D6253">
        <v>83</v>
      </c>
      <c r="E6253">
        <v>0</v>
      </c>
      <c r="F6253">
        <v>254</v>
      </c>
    </row>
    <row r="6254" spans="1:6" ht="12.75">
      <c r="A6254" s="2">
        <v>43882.618449074071</v>
      </c>
      <c r="B6254" t="str">
        <f>HYPERLINK("https://twitter.com/arumnkri","@arumnkri")</f>
        <v>@arumnkri</v>
      </c>
      <c r="C6254" t="s">
        <v>2165</v>
      </c>
      <c r="D6254">
        <v>53</v>
      </c>
      <c r="E6254">
        <v>0</v>
      </c>
      <c r="F6254">
        <v>1108</v>
      </c>
    </row>
    <row r="6255" spans="1:6" ht="12.75">
      <c r="A6255" s="2">
        <v>43882.618437500001</v>
      </c>
      <c r="B6255" t="str">
        <f>HYPERLINK("https://twitter.com/kafirliberal","@kafirliberal")</f>
        <v>@kafirliberal</v>
      </c>
      <c r="C6255" t="s">
        <v>4588</v>
      </c>
      <c r="D6255">
        <v>0</v>
      </c>
      <c r="E6255">
        <v>0</v>
      </c>
      <c r="F6255">
        <v>5194</v>
      </c>
    </row>
    <row r="6256" spans="1:6" ht="12.75">
      <c r="A6256" s="2">
        <v>43882.618379629625</v>
      </c>
      <c r="B6256" t="str">
        <f>HYPERLINK("https://twitter.com/baniarrantisi","@baniarrantisi")</f>
        <v>@baniarrantisi</v>
      </c>
      <c r="C6256" t="s">
        <v>4589</v>
      </c>
      <c r="D6256">
        <v>0</v>
      </c>
      <c r="E6256">
        <v>0</v>
      </c>
      <c r="F6256">
        <v>452</v>
      </c>
    </row>
    <row r="6257" spans="1:6" ht="12.75">
      <c r="A6257" s="2">
        <v>43882.618321759262</v>
      </c>
      <c r="B6257" t="str">
        <f>HYPERLINK("https://twitter.com/alex_hunter146","@alex_hunter146")</f>
        <v>@alex_hunter146</v>
      </c>
      <c r="C6257" t="s">
        <v>4590</v>
      </c>
      <c r="D6257">
        <v>1</v>
      </c>
      <c r="E6257">
        <v>1</v>
      </c>
      <c r="F6257">
        <v>1413</v>
      </c>
    </row>
    <row r="6258" spans="1:6" ht="12.75">
      <c r="A6258" s="2">
        <v>43882.618263888886</v>
      </c>
      <c r="B6258" t="str">
        <f>HYPERLINK("https://twitter.com/jjsengui","@jjsengui")</f>
        <v>@jjsengui</v>
      </c>
      <c r="C6258" t="s">
        <v>2119</v>
      </c>
      <c r="D6258">
        <v>83</v>
      </c>
      <c r="E6258">
        <v>0</v>
      </c>
      <c r="F6258">
        <v>840</v>
      </c>
    </row>
    <row r="6259" spans="1:6" ht="12.75">
      <c r="A6259" s="2">
        <v>43882.618032407408</v>
      </c>
      <c r="B6259" t="str">
        <f>HYPERLINK("https://twitter.com/PejuangIslamNU","@PejuangIslamNU")</f>
        <v>@PejuangIslamNU</v>
      </c>
      <c r="C6259" t="s">
        <v>2165</v>
      </c>
      <c r="D6259">
        <v>53</v>
      </c>
      <c r="E6259">
        <v>0</v>
      </c>
      <c r="F6259">
        <v>298</v>
      </c>
    </row>
    <row r="6260" spans="1:6" ht="12.75">
      <c r="A6260" s="2">
        <v>43882.616666666669</v>
      </c>
      <c r="B6260" t="str">
        <f>HYPERLINK("https://twitter.com/SonoraFM92","@SonoraFM92")</f>
        <v>@SonoraFM92</v>
      </c>
      <c r="C6260" t="s">
        <v>2114</v>
      </c>
      <c r="D6260">
        <v>0</v>
      </c>
      <c r="E6260">
        <v>0</v>
      </c>
      <c r="F6260">
        <v>292810</v>
      </c>
    </row>
    <row r="6261" spans="1:6" ht="12.75">
      <c r="A6261" s="2">
        <v>43882.616377314815</v>
      </c>
      <c r="B6261" t="str">
        <f>HYPERLINK("https://twitter.com/elshintamedan","@elshintamedan")</f>
        <v>@elshintamedan</v>
      </c>
      <c r="C6261" t="s">
        <v>4591</v>
      </c>
      <c r="D6261">
        <v>0</v>
      </c>
      <c r="E6261">
        <v>0</v>
      </c>
      <c r="F6261">
        <v>1727</v>
      </c>
    </row>
    <row r="6262" spans="1:6" ht="12.75">
      <c r="A6262" s="2">
        <v>43882.61619212963</v>
      </c>
      <c r="B6262" t="str">
        <f>HYPERLINK("https://twitter.com/BeritaCenter","@BeritaCenter")</f>
        <v>@BeritaCenter</v>
      </c>
      <c r="C6262" t="s">
        <v>4592</v>
      </c>
      <c r="D6262">
        <v>0</v>
      </c>
      <c r="E6262">
        <v>0</v>
      </c>
      <c r="F6262">
        <v>9431</v>
      </c>
    </row>
    <row r="6263" spans="1:6" ht="12.75">
      <c r="A6263" s="2">
        <v>43882.61618055556</v>
      </c>
      <c r="B6263" t="str">
        <f>HYPERLINK("https://twitter.com/gus55177350","@gus55177350")</f>
        <v>@gus55177350</v>
      </c>
      <c r="C6263" t="s">
        <v>4593</v>
      </c>
      <c r="D6263">
        <v>1</v>
      </c>
      <c r="E6263">
        <v>0</v>
      </c>
      <c r="F6263">
        <v>35</v>
      </c>
    </row>
    <row r="6264" spans="1:6" ht="12.75">
      <c r="A6264" s="2">
        <v>43882.616145833337</v>
      </c>
      <c r="B6264" t="str">
        <f>HYPERLINK("https://twitter.com/Abydar4","@Abydar4")</f>
        <v>@Abydar4</v>
      </c>
      <c r="C6264" t="s">
        <v>2119</v>
      </c>
      <c r="D6264">
        <v>83</v>
      </c>
      <c r="E6264">
        <v>0</v>
      </c>
      <c r="F6264">
        <v>572</v>
      </c>
    </row>
    <row r="6265" spans="1:6" ht="12.75">
      <c r="A6265" s="2">
        <v>43882.61555555556</v>
      </c>
      <c r="B6265" t="str">
        <f>HYPERLINK("https://twitter.com/WR_4AG226","@WR_4AG226")</f>
        <v>@WR_4AG226</v>
      </c>
      <c r="C6265" t="s">
        <v>2962</v>
      </c>
      <c r="D6265">
        <v>7</v>
      </c>
      <c r="E6265">
        <v>0</v>
      </c>
      <c r="F6265">
        <v>55401</v>
      </c>
    </row>
    <row r="6266" spans="1:6" ht="12.75">
      <c r="A6266" s="2">
        <v>43882.615520833337</v>
      </c>
      <c r="B6266" t="str">
        <f>HYPERLINK("https://twitter.com/Gibranarsys_","@Gibranarsys_")</f>
        <v>@Gibranarsys_</v>
      </c>
      <c r="C6266" t="s">
        <v>3508</v>
      </c>
      <c r="D6266">
        <v>42</v>
      </c>
      <c r="E6266">
        <v>0</v>
      </c>
      <c r="F6266">
        <v>74</v>
      </c>
    </row>
    <row r="6267" spans="1:6" ht="12.75">
      <c r="A6267" s="2">
        <v>43882.615358796298</v>
      </c>
      <c r="B6267" t="str">
        <f>HYPERLINK("https://twitter.com/shaff_nk","@shaff_nk")</f>
        <v>@shaff_nk</v>
      </c>
      <c r="C6267" t="s">
        <v>4240</v>
      </c>
      <c r="D6267">
        <v>4</v>
      </c>
      <c r="E6267">
        <v>0</v>
      </c>
      <c r="F6267">
        <v>1091</v>
      </c>
    </row>
    <row r="6268" spans="1:6" ht="12.75">
      <c r="A6268" s="2">
        <v>43882.61513888889</v>
      </c>
      <c r="B6268" t="str">
        <f>HYPERLINK("https://twitter.com/Ramdhan1980","@Ramdhan1980")</f>
        <v>@Ramdhan1980</v>
      </c>
      <c r="C6268" t="s">
        <v>2119</v>
      </c>
      <c r="D6268">
        <v>83</v>
      </c>
      <c r="E6268">
        <v>0</v>
      </c>
      <c r="F6268">
        <v>55</v>
      </c>
    </row>
    <row r="6269" spans="1:6" ht="12.75">
      <c r="A6269" s="2">
        <v>43882.614768518513</v>
      </c>
      <c r="B6269" t="str">
        <f>HYPERLINK("https://twitter.com/Tandaseru_id","@Tandaseru_id")</f>
        <v>@Tandaseru_id</v>
      </c>
      <c r="C6269" t="s">
        <v>4594</v>
      </c>
      <c r="D6269">
        <v>0</v>
      </c>
      <c r="E6269">
        <v>0</v>
      </c>
      <c r="F6269">
        <v>540</v>
      </c>
    </row>
    <row r="6270" spans="1:6" ht="12.75">
      <c r="A6270" s="2">
        <v>43882.614571759259</v>
      </c>
      <c r="B6270" t="str">
        <f>HYPERLINK("https://twitter.com/BahagiaGuru","@BahagiaGuru")</f>
        <v>@BahagiaGuru</v>
      </c>
      <c r="C6270" t="s">
        <v>2165</v>
      </c>
      <c r="D6270">
        <v>53</v>
      </c>
      <c r="E6270">
        <v>0</v>
      </c>
      <c r="F6270">
        <v>403</v>
      </c>
    </row>
    <row r="6271" spans="1:6" ht="12.75">
      <c r="A6271" s="2">
        <v>43882.614039351851</v>
      </c>
      <c r="B6271" t="str">
        <f>HYPERLINK("https://twitter.com/tvOneNews","@tvOneNews")</f>
        <v>@tvOneNews</v>
      </c>
      <c r="C6271" t="s">
        <v>4595</v>
      </c>
      <c r="D6271">
        <v>1</v>
      </c>
      <c r="E6271">
        <v>4</v>
      </c>
      <c r="F6271">
        <v>8718328</v>
      </c>
    </row>
    <row r="6272" spans="1:6" ht="12.75">
      <c r="A6272" s="2">
        <v>43882.613969907412</v>
      </c>
      <c r="B6272" t="str">
        <f>HYPERLINK("https://twitter.com/syahdic016","@syahdic016")</f>
        <v>@syahdic016</v>
      </c>
      <c r="C6272" t="s">
        <v>2119</v>
      </c>
      <c r="D6272">
        <v>83</v>
      </c>
      <c r="E6272">
        <v>0</v>
      </c>
      <c r="F6272">
        <v>6743</v>
      </c>
    </row>
    <row r="6273" spans="1:6" ht="12.75">
      <c r="A6273" s="2">
        <v>43882.613055555557</v>
      </c>
      <c r="B6273" t="str">
        <f>HYPERLINK("https://twitter.com/SariniDwi","@SariniDwi")</f>
        <v>@SariniDwi</v>
      </c>
      <c r="C6273" t="s">
        <v>4596</v>
      </c>
      <c r="D6273">
        <v>0</v>
      </c>
      <c r="E6273">
        <v>0</v>
      </c>
      <c r="F6273">
        <v>12</v>
      </c>
    </row>
    <row r="6274" spans="1:6" ht="12.75">
      <c r="A6274" s="2">
        <v>43882.612939814819</v>
      </c>
      <c r="B6274" t="str">
        <f>HYPERLINK("https://twitter.com/antarajatimcom","@antarajatimcom")</f>
        <v>@antarajatimcom</v>
      </c>
      <c r="C6274" t="s">
        <v>4597</v>
      </c>
      <c r="D6274">
        <v>0</v>
      </c>
      <c r="E6274">
        <v>0</v>
      </c>
      <c r="F6274">
        <v>834</v>
      </c>
    </row>
    <row r="6275" spans="1:6" ht="12.75">
      <c r="A6275" s="2">
        <v>43882.612800925926</v>
      </c>
      <c r="B6275" t="str">
        <f>HYPERLINK("https://twitter.com/MhSamsulHadi","@MhSamsulHadi")</f>
        <v>@MhSamsulHadi</v>
      </c>
      <c r="C6275" t="s">
        <v>4598</v>
      </c>
      <c r="D6275">
        <v>1</v>
      </c>
      <c r="E6275">
        <v>0</v>
      </c>
      <c r="F6275">
        <v>14073</v>
      </c>
    </row>
    <row r="6276" spans="1:6" ht="12.75">
      <c r="A6276" s="2">
        <v>43882.612754629634</v>
      </c>
      <c r="B6276" t="str">
        <f>HYPERLINK("https://twitter.com/SlowAja12","@SlowAja12")</f>
        <v>@SlowAja12</v>
      </c>
      <c r="C6276" t="s">
        <v>177</v>
      </c>
      <c r="D6276">
        <v>777</v>
      </c>
      <c r="E6276">
        <v>0</v>
      </c>
      <c r="F6276">
        <v>10</v>
      </c>
    </row>
    <row r="6277" spans="1:6" ht="12.75">
      <c r="A6277" s="2">
        <v>43882.611990740741</v>
      </c>
      <c r="B6277" t="str">
        <f>HYPERLINK("https://twitter.com/Fian_BoysSan","@Fian_BoysSan")</f>
        <v>@Fian_BoysSan</v>
      </c>
      <c r="C6277" t="s">
        <v>3508</v>
      </c>
      <c r="D6277">
        <v>42</v>
      </c>
      <c r="E6277">
        <v>0</v>
      </c>
      <c r="F6277">
        <v>440</v>
      </c>
    </row>
    <row r="6278" spans="1:6" ht="12.75">
      <c r="A6278" s="2">
        <v>43882.611932870372</v>
      </c>
      <c r="B6278" t="str">
        <f>HYPERLINK("https://twitter.com/UghteaSantuy1","@UghteaSantuy1")</f>
        <v>@UghteaSantuy1</v>
      </c>
      <c r="C6278" t="s">
        <v>2119</v>
      </c>
      <c r="D6278">
        <v>83</v>
      </c>
      <c r="E6278">
        <v>0</v>
      </c>
      <c r="F6278">
        <v>760</v>
      </c>
    </row>
    <row r="6279" spans="1:6" ht="12.75">
      <c r="A6279" s="2">
        <v>43882.611909722225</v>
      </c>
      <c r="B6279" t="str">
        <f>HYPERLINK("https://twitter.com/MVVZ3","@MVVZ3")</f>
        <v>@MVVZ3</v>
      </c>
      <c r="C6279" t="s">
        <v>3302</v>
      </c>
      <c r="D6279">
        <v>27</v>
      </c>
      <c r="E6279">
        <v>0</v>
      </c>
      <c r="F6279">
        <v>1047</v>
      </c>
    </row>
    <row r="6280" spans="1:6" ht="12.75">
      <c r="A6280" s="2">
        <v>43882.61173611111</v>
      </c>
      <c r="B6280" t="str">
        <f>HYPERLINK("https://twitter.com/Mar33Cj","@Mar33Cj")</f>
        <v>@Mar33Cj</v>
      </c>
      <c r="C6280" t="s">
        <v>2119</v>
      </c>
      <c r="D6280">
        <v>83</v>
      </c>
      <c r="E6280">
        <v>0</v>
      </c>
      <c r="F6280">
        <v>4685</v>
      </c>
    </row>
    <row r="6281" spans="1:6" ht="12.75">
      <c r="A6281" s="2">
        <v>43882.611724537041</v>
      </c>
      <c r="B6281" t="str">
        <f>HYPERLINK("https://twitter.com/becak125cc","@becak125cc")</f>
        <v>@becak125cc</v>
      </c>
      <c r="C6281" t="s">
        <v>2119</v>
      </c>
      <c r="D6281">
        <v>83</v>
      </c>
      <c r="E6281">
        <v>0</v>
      </c>
      <c r="F6281">
        <v>507</v>
      </c>
    </row>
    <row r="6282" spans="1:6" ht="12.75">
      <c r="A6282" s="2">
        <v>43882.611712962964</v>
      </c>
      <c r="B6282" t="str">
        <f>HYPERLINK("https://twitter.com/okezonenews","@okezonenews")</f>
        <v>@okezonenews</v>
      </c>
      <c r="C6282" t="s">
        <v>4599</v>
      </c>
      <c r="D6282">
        <v>0</v>
      </c>
      <c r="E6282">
        <v>0</v>
      </c>
      <c r="F6282">
        <v>1743129</v>
      </c>
    </row>
    <row r="6283" spans="1:6" ht="12.75">
      <c r="A6283" s="2">
        <v>43882.611585648148</v>
      </c>
      <c r="B6283" t="str">
        <f>HYPERLINK("https://twitter.com/KEZIAAM0UR","@KEZIAAM0UR")</f>
        <v>@KEZIAAM0UR</v>
      </c>
      <c r="C6283" t="s">
        <v>4600</v>
      </c>
      <c r="D6283">
        <v>0</v>
      </c>
      <c r="E6283">
        <v>0</v>
      </c>
      <c r="F6283">
        <v>99</v>
      </c>
    </row>
    <row r="6284" spans="1:6" ht="12.75">
      <c r="A6284" s="2">
        <v>43882.611412037033</v>
      </c>
      <c r="B6284" t="str">
        <f>HYPERLINK("https://twitter.com/fuckingpratama","@fuckingpratama")</f>
        <v>@fuckingpratama</v>
      </c>
      <c r="C6284" t="s">
        <v>3508</v>
      </c>
      <c r="D6284">
        <v>42</v>
      </c>
      <c r="E6284">
        <v>0</v>
      </c>
      <c r="F6284">
        <v>229</v>
      </c>
    </row>
    <row r="6285" spans="1:6" ht="12.75">
      <c r="A6285" s="2">
        <v>43882.611226851848</v>
      </c>
      <c r="B6285" t="str">
        <f>HYPERLINK("https://twitter.com/no_micin99","@no_micin99")</f>
        <v>@no_micin99</v>
      </c>
      <c r="C6285" t="s">
        <v>2119</v>
      </c>
      <c r="D6285">
        <v>83</v>
      </c>
      <c r="E6285">
        <v>0</v>
      </c>
      <c r="F6285">
        <v>1802</v>
      </c>
    </row>
    <row r="6286" spans="1:6" ht="12.75">
      <c r="A6286" s="2">
        <v>43882.610509259262</v>
      </c>
      <c r="B6286" t="str">
        <f>HYPERLINK("https://twitter.com/wow_keren","@wow_keren")</f>
        <v>@wow_keren</v>
      </c>
      <c r="C6286" t="s">
        <v>4601</v>
      </c>
      <c r="D6286">
        <v>0</v>
      </c>
      <c r="E6286">
        <v>0</v>
      </c>
      <c r="F6286">
        <v>32017</v>
      </c>
    </row>
    <row r="6287" spans="1:6" ht="12.75">
      <c r="A6287" s="2">
        <v>43882.610486111109</v>
      </c>
      <c r="B6287" t="str">
        <f>HYPERLINK("https://twitter.com/HDblek","@HDblek")</f>
        <v>@HDblek</v>
      </c>
      <c r="C6287" t="s">
        <v>4602</v>
      </c>
      <c r="D6287">
        <v>0</v>
      </c>
      <c r="E6287">
        <v>0</v>
      </c>
      <c r="F6287">
        <v>23</v>
      </c>
    </row>
    <row r="6288" spans="1:6" ht="12.75">
      <c r="A6288" s="2">
        <v>43882.610219907408</v>
      </c>
      <c r="B6288" t="str">
        <f>HYPERLINK("https://twitter.com/FOS_PERSIJA","@FOS_PERSIJA")</f>
        <v>@FOS_PERSIJA</v>
      </c>
      <c r="C6288" t="s">
        <v>4603</v>
      </c>
      <c r="D6288">
        <v>1</v>
      </c>
      <c r="E6288">
        <v>0</v>
      </c>
      <c r="F6288">
        <v>1473</v>
      </c>
    </row>
    <row r="6289" spans="1:6" ht="12.75">
      <c r="A6289" s="2">
        <v>43882.610127314816</v>
      </c>
      <c r="B6289" t="str">
        <f>HYPERLINK("https://twitter.com/MilanoRere","@MilanoRere")</f>
        <v>@MilanoRere</v>
      </c>
      <c r="C6289" t="s">
        <v>2165</v>
      </c>
      <c r="D6289">
        <v>53</v>
      </c>
      <c r="E6289">
        <v>0</v>
      </c>
      <c r="F6289">
        <v>338</v>
      </c>
    </row>
    <row r="6290" spans="1:6" ht="12.75">
      <c r="A6290" s="2">
        <v>43882.61001157407</v>
      </c>
      <c r="B6290" t="str">
        <f>HYPERLINK("https://twitter.com/aladintea70","@aladintea70")</f>
        <v>@aladintea70</v>
      </c>
      <c r="C6290" t="s">
        <v>2674</v>
      </c>
      <c r="D6290">
        <v>89</v>
      </c>
      <c r="E6290">
        <v>0</v>
      </c>
      <c r="F6290">
        <v>905</v>
      </c>
    </row>
    <row r="6291" spans="1:6" ht="12.75">
      <c r="A6291" s="2">
        <v>43882.609814814816</v>
      </c>
      <c r="B6291" t="str">
        <f>HYPERLINK("https://twitter.com/lordmadonass","@lordmadonass")</f>
        <v>@lordmadonass</v>
      </c>
      <c r="C6291" t="s">
        <v>3508</v>
      </c>
      <c r="D6291">
        <v>42</v>
      </c>
      <c r="E6291">
        <v>0</v>
      </c>
      <c r="F6291">
        <v>294</v>
      </c>
    </row>
    <row r="6292" spans="1:6" ht="12.75">
      <c r="A6292" s="2">
        <v>43882.609085648146</v>
      </c>
      <c r="B6292" t="str">
        <f>HYPERLINK("https://twitter.com/TeyengCekap","@TeyengCekap")</f>
        <v>@TeyengCekap</v>
      </c>
      <c r="C6292" t="s">
        <v>2119</v>
      </c>
      <c r="D6292">
        <v>83</v>
      </c>
      <c r="E6292">
        <v>0</v>
      </c>
      <c r="F6292">
        <v>5072</v>
      </c>
    </row>
    <row r="6293" spans="1:6" ht="12.75">
      <c r="A6293" s="2">
        <v>43882.608287037037</v>
      </c>
      <c r="B6293" t="str">
        <f>HYPERLINK("https://twitter.com/ki_kik97","@ki_kik97")</f>
        <v>@ki_kik97</v>
      </c>
      <c r="C6293" t="s">
        <v>2165</v>
      </c>
      <c r="D6293">
        <v>53</v>
      </c>
      <c r="E6293">
        <v>0</v>
      </c>
      <c r="F6293">
        <v>417</v>
      </c>
    </row>
    <row r="6294" spans="1:6" ht="12.75">
      <c r="A6294" s="2">
        <v>43882.607789351852</v>
      </c>
      <c r="B6294" t="str">
        <f>HYPERLINK("https://twitter.com/Tandaseru_id","@Tandaseru_id")</f>
        <v>@Tandaseru_id</v>
      </c>
      <c r="C6294" t="s">
        <v>4604</v>
      </c>
      <c r="D6294">
        <v>0</v>
      </c>
      <c r="E6294">
        <v>0</v>
      </c>
      <c r="F6294">
        <v>540</v>
      </c>
    </row>
    <row r="6295" spans="1:6" ht="12.75">
      <c r="A6295" s="2">
        <v>43882.607395833329</v>
      </c>
      <c r="B6295" t="str">
        <f>HYPERLINK("https://twitter.com/dimasfathur7","@dimasfathur7")</f>
        <v>@dimasfathur7</v>
      </c>
      <c r="C6295" t="s">
        <v>3508</v>
      </c>
      <c r="D6295">
        <v>42</v>
      </c>
      <c r="E6295">
        <v>0</v>
      </c>
      <c r="F6295">
        <v>1</v>
      </c>
    </row>
    <row r="6296" spans="1:6" ht="12.75">
      <c r="A6296" s="2">
        <v>43882.607129629629</v>
      </c>
      <c r="B6296" t="str">
        <f>HYPERLINK("https://twitter.com/Jaysyku","@Jaysyku")</f>
        <v>@Jaysyku</v>
      </c>
      <c r="C6296" t="s">
        <v>4605</v>
      </c>
      <c r="D6296">
        <v>1547</v>
      </c>
      <c r="E6296">
        <v>0</v>
      </c>
      <c r="F6296">
        <v>223</v>
      </c>
    </row>
    <row r="6297" spans="1:6" ht="12.75">
      <c r="A6297" s="2">
        <v>43882.606944444444</v>
      </c>
      <c r="B6297" t="str">
        <f>HYPERLINK("https://twitter.com/sundaruu","@sundaruu")</f>
        <v>@sundaruu</v>
      </c>
      <c r="C6297" t="s">
        <v>4606</v>
      </c>
      <c r="D6297">
        <v>0</v>
      </c>
      <c r="E6297">
        <v>0</v>
      </c>
      <c r="F6297">
        <v>96</v>
      </c>
    </row>
    <row r="6298" spans="1:6" ht="12.75">
      <c r="A6298" s="2">
        <v>43882.606712962966</v>
      </c>
      <c r="B6298" t="str">
        <f>HYPERLINK("https://twitter.com/AgoengTrezy","@AgoengTrezy")</f>
        <v>@AgoengTrezy</v>
      </c>
      <c r="C6298" t="s">
        <v>2119</v>
      </c>
      <c r="D6298">
        <v>83</v>
      </c>
      <c r="E6298">
        <v>0</v>
      </c>
      <c r="F6298">
        <v>160</v>
      </c>
    </row>
    <row r="6299" spans="1:6" ht="12.75">
      <c r="A6299" s="2">
        <v>43882.60659722222</v>
      </c>
      <c r="B6299" t="str">
        <f>HYPERLINK("https://twitter.com/emilhardi","@emilhardi")</f>
        <v>@emilhardi</v>
      </c>
      <c r="C6299" t="s">
        <v>2165</v>
      </c>
      <c r="D6299">
        <v>53</v>
      </c>
      <c r="E6299">
        <v>0</v>
      </c>
      <c r="F6299">
        <v>635</v>
      </c>
    </row>
    <row r="6300" spans="1:6" ht="12.75">
      <c r="A6300" s="2">
        <v>43882.606412037036</v>
      </c>
      <c r="B6300" t="str">
        <f>HYPERLINK("https://twitter.com/HDblek","@HDblek")</f>
        <v>@HDblek</v>
      </c>
      <c r="C6300" t="s">
        <v>2119</v>
      </c>
      <c r="D6300">
        <v>83</v>
      </c>
      <c r="E6300">
        <v>0</v>
      </c>
      <c r="F6300">
        <v>23</v>
      </c>
    </row>
    <row r="6301" spans="1:6" ht="12.75">
      <c r="A6301" s="2">
        <v>43882.606400462959</v>
      </c>
      <c r="B6301" t="str">
        <f>HYPERLINK("https://twitter.com/arjuno_ireng01","@arjuno_ireng01")</f>
        <v>@arjuno_ireng01</v>
      </c>
      <c r="C6301" t="s">
        <v>2119</v>
      </c>
      <c r="D6301">
        <v>83</v>
      </c>
      <c r="E6301">
        <v>0</v>
      </c>
      <c r="F6301">
        <v>10382</v>
      </c>
    </row>
    <row r="6302" spans="1:6" ht="12.75">
      <c r="A6302" s="2">
        <v>43882.606354166666</v>
      </c>
      <c r="B6302" t="str">
        <f>HYPERLINK("https://twitter.com/J4lakBali","@J4lakBali")</f>
        <v>@J4lakBali</v>
      </c>
      <c r="C6302" t="s">
        <v>2119</v>
      </c>
      <c r="D6302">
        <v>83</v>
      </c>
      <c r="E6302">
        <v>0</v>
      </c>
      <c r="F6302">
        <v>2919</v>
      </c>
    </row>
    <row r="6303" spans="1:6" ht="12.75">
      <c r="A6303" s="2">
        <v>43882.606319444443</v>
      </c>
      <c r="B6303" t="str">
        <f>HYPERLINK("https://twitter.com/5Y5_one_70","@5Y5_one_70")</f>
        <v>@5Y5_one_70</v>
      </c>
      <c r="C6303" t="s">
        <v>2119</v>
      </c>
      <c r="D6303">
        <v>83</v>
      </c>
      <c r="E6303">
        <v>0</v>
      </c>
      <c r="F6303">
        <v>6676</v>
      </c>
    </row>
    <row r="6304" spans="1:6" ht="12.75">
      <c r="A6304" s="2">
        <v>43882.605509259258</v>
      </c>
      <c r="B6304" t="str">
        <f>HYPERLINK("https://twitter.com/DhimNov","@DhimNov")</f>
        <v>@DhimNov</v>
      </c>
      <c r="C6304" t="s">
        <v>4607</v>
      </c>
      <c r="D6304">
        <v>0</v>
      </c>
      <c r="E6304">
        <v>0</v>
      </c>
      <c r="F6304">
        <v>166</v>
      </c>
    </row>
    <row r="6305" spans="1:6" ht="12.75">
      <c r="A6305" s="2">
        <v>43882.605347222227</v>
      </c>
      <c r="B6305" t="str">
        <f>HYPERLINK("https://twitter.com/ZulkifliFikri","@ZulkifliFikri")</f>
        <v>@ZulkifliFikri</v>
      </c>
      <c r="C6305" t="s">
        <v>3508</v>
      </c>
      <c r="D6305">
        <v>42</v>
      </c>
      <c r="E6305">
        <v>0</v>
      </c>
      <c r="F6305">
        <v>362</v>
      </c>
    </row>
    <row r="6306" spans="1:6" ht="12.75">
      <c r="A6306" s="2">
        <v>43882.605115740742</v>
      </c>
      <c r="B6306" t="str">
        <f>HYPERLINK("https://twitter.com/Looossssske","@Looossssske")</f>
        <v>@Looossssske</v>
      </c>
      <c r="C6306" t="s">
        <v>4608</v>
      </c>
      <c r="D6306">
        <v>0</v>
      </c>
      <c r="E6306">
        <v>0</v>
      </c>
      <c r="F6306">
        <v>0</v>
      </c>
    </row>
    <row r="6307" spans="1:6" ht="12.75">
      <c r="A6307" s="2">
        <v>43882.605092592596</v>
      </c>
      <c r="B6307" t="str">
        <f>HYPERLINK("https://twitter.com/DewyKom","@DewyKom")</f>
        <v>@DewyKom</v>
      </c>
      <c r="C6307" t="s">
        <v>2165</v>
      </c>
      <c r="D6307">
        <v>53</v>
      </c>
      <c r="E6307">
        <v>0</v>
      </c>
      <c r="F6307">
        <v>332</v>
      </c>
    </row>
    <row r="6308" spans="1:6" ht="12.75">
      <c r="A6308" s="2">
        <v>43882.604756944449</v>
      </c>
      <c r="B6308" t="str">
        <f>HYPERLINK("https://twitter.com/BatamPos","@BatamPos")</f>
        <v>@BatamPos</v>
      </c>
      <c r="C6308" t="s">
        <v>4609</v>
      </c>
      <c r="D6308">
        <v>0</v>
      </c>
      <c r="E6308">
        <v>0</v>
      </c>
      <c r="F6308">
        <v>67391</v>
      </c>
    </row>
    <row r="6309" spans="1:6" ht="12.75">
      <c r="A6309" s="2">
        <v>43882.60429398148</v>
      </c>
      <c r="B6309" t="str">
        <f>HYPERLINK("https://twitter.com/janggarsihombi1","@janggarsihombi1")</f>
        <v>@janggarsihombi1</v>
      </c>
      <c r="C6309" t="s">
        <v>2119</v>
      </c>
      <c r="D6309">
        <v>83</v>
      </c>
      <c r="E6309">
        <v>0</v>
      </c>
      <c r="F6309">
        <v>10</v>
      </c>
    </row>
    <row r="6310" spans="1:6" ht="12.75">
      <c r="A6310" s="2">
        <v>43882.60423611111</v>
      </c>
      <c r="B6310" t="str">
        <f>HYPERLINK("https://twitter.com/Prabowobhp","@Prabowobhp")</f>
        <v>@Prabowobhp</v>
      </c>
      <c r="C6310" t="s">
        <v>2119</v>
      </c>
      <c r="D6310">
        <v>83</v>
      </c>
      <c r="E6310">
        <v>0</v>
      </c>
      <c r="F6310">
        <v>721</v>
      </c>
    </row>
    <row r="6311" spans="1:6" ht="12.75">
      <c r="A6311" s="2">
        <v>43882.60365740741</v>
      </c>
      <c r="B6311" t="str">
        <f>HYPERLINK("https://twitter.com/Eben_Haizer","@Eben_Haizer")</f>
        <v>@Eben_Haizer</v>
      </c>
      <c r="C6311" t="s">
        <v>2119</v>
      </c>
      <c r="D6311">
        <v>83</v>
      </c>
      <c r="E6311">
        <v>0</v>
      </c>
      <c r="F6311">
        <v>286</v>
      </c>
    </row>
    <row r="6312" spans="1:6" ht="12.75">
      <c r="A6312" s="2">
        <v>43882.603599537033</v>
      </c>
      <c r="B6312" t="str">
        <f>HYPERLINK("https://twitter.com/Arjuna77168710","@Arjuna77168710")</f>
        <v>@Arjuna77168710</v>
      </c>
      <c r="C6312" t="s">
        <v>2165</v>
      </c>
      <c r="D6312">
        <v>53</v>
      </c>
      <c r="E6312">
        <v>0</v>
      </c>
      <c r="F6312">
        <v>11</v>
      </c>
    </row>
    <row r="6313" spans="1:6" ht="12.75">
      <c r="A6313" s="2">
        <v>43882.603275462963</v>
      </c>
      <c r="B6313" t="str">
        <f>HYPERLINK("https://twitter.com/imanhidayat1280","@imanhidayat1280")</f>
        <v>@imanhidayat1280</v>
      </c>
      <c r="C6313" t="s">
        <v>177</v>
      </c>
      <c r="D6313">
        <v>777</v>
      </c>
      <c r="E6313">
        <v>0</v>
      </c>
      <c r="F6313">
        <v>605</v>
      </c>
    </row>
    <row r="6314" spans="1:6" ht="12.75">
      <c r="A6314" s="2">
        <v>43882.603263888886</v>
      </c>
      <c r="B6314" t="str">
        <f>HYPERLINK("https://twitter.com/doyokijay","@doyokijay")</f>
        <v>@doyokijay</v>
      </c>
      <c r="C6314" t="s">
        <v>4252</v>
      </c>
      <c r="D6314">
        <v>26</v>
      </c>
      <c r="E6314">
        <v>0</v>
      </c>
      <c r="F6314">
        <v>302</v>
      </c>
    </row>
    <row r="6315" spans="1:6" ht="12.75">
      <c r="A6315" s="2">
        <v>43882.60319444444</v>
      </c>
      <c r="B6315" t="str">
        <f>HYPERLINK("https://twitter.com/AlfiansyahKurn5","@AlfiansyahKurn5")</f>
        <v>@AlfiansyahKurn5</v>
      </c>
      <c r="C6315" t="s">
        <v>513</v>
      </c>
      <c r="D6315">
        <v>23246</v>
      </c>
      <c r="E6315">
        <v>0</v>
      </c>
      <c r="F6315">
        <v>22</v>
      </c>
    </row>
    <row r="6316" spans="1:6" ht="12.75">
      <c r="A6316" s="2">
        <v>43882.603020833332</v>
      </c>
      <c r="B6316" t="str">
        <f>HYPERLINK("https://twitter.com/satrio_swr","@satrio_swr")</f>
        <v>@satrio_swr</v>
      </c>
      <c r="C6316" t="s">
        <v>2119</v>
      </c>
      <c r="D6316">
        <v>83</v>
      </c>
      <c r="E6316">
        <v>0</v>
      </c>
      <c r="F6316">
        <v>870</v>
      </c>
    </row>
    <row r="6317" spans="1:6" ht="12.75">
      <c r="A6317" s="2">
        <v>43882.602731481486</v>
      </c>
      <c r="B6317" t="str">
        <f>HYPERLINK("https://twitter.com/Andilagisinau","@Andilagisinau")</f>
        <v>@Andilagisinau</v>
      </c>
      <c r="C6317" t="s">
        <v>2119</v>
      </c>
      <c r="D6317">
        <v>83</v>
      </c>
      <c r="E6317">
        <v>0</v>
      </c>
      <c r="F6317">
        <v>2010</v>
      </c>
    </row>
    <row r="6318" spans="1:6" ht="12.75">
      <c r="A6318" s="2">
        <v>43882.602442129632</v>
      </c>
      <c r="B6318" t="str">
        <f>HYPERLINK("https://twitter.com/Sup3rG1rls","@Sup3rG1rls")</f>
        <v>@Sup3rG1rls</v>
      </c>
      <c r="C6318" t="s">
        <v>2165</v>
      </c>
      <c r="D6318">
        <v>53</v>
      </c>
      <c r="E6318">
        <v>0</v>
      </c>
      <c r="F6318">
        <v>3919</v>
      </c>
    </row>
    <row r="6319" spans="1:6" ht="12.75">
      <c r="A6319" s="2">
        <v>43882.602025462962</v>
      </c>
      <c r="B6319" t="str">
        <f>HYPERLINK("https://twitter.com/kimansu","@kimansu")</f>
        <v>@kimansu</v>
      </c>
      <c r="C6319" t="s">
        <v>2119</v>
      </c>
      <c r="D6319">
        <v>83</v>
      </c>
      <c r="E6319">
        <v>0</v>
      </c>
      <c r="F6319">
        <v>382</v>
      </c>
    </row>
    <row r="6320" spans="1:6" ht="12.75">
      <c r="A6320" s="2">
        <v>43882.601840277777</v>
      </c>
      <c r="B6320" t="str">
        <f>HYPERLINK("https://twitter.com/bahasnain","@bahasnain")</f>
        <v>@bahasnain</v>
      </c>
      <c r="C6320" t="s">
        <v>4610</v>
      </c>
      <c r="D6320">
        <v>0</v>
      </c>
      <c r="E6320">
        <v>1</v>
      </c>
      <c r="F6320">
        <v>12</v>
      </c>
    </row>
    <row r="6321" spans="1:6" ht="12.75">
      <c r="A6321" s="2">
        <v>43882.584872685184</v>
      </c>
      <c r="B6321" t="str">
        <f>HYPERLINK("https://twitter.com/Gregori_shire","@Gregori_shire")</f>
        <v>@Gregori_shire</v>
      </c>
      <c r="C6321" t="s">
        <v>2119</v>
      </c>
      <c r="D6321">
        <v>5</v>
      </c>
      <c r="E6321">
        <v>0</v>
      </c>
      <c r="F6321">
        <v>147</v>
      </c>
    </row>
    <row r="6322" spans="1:6" ht="12.75">
      <c r="A6322" s="2">
        <v>43882.584699074076</v>
      </c>
      <c r="B6322" t="str">
        <f>HYPERLINK("https://twitter.com/IncuAba","@IncuAba")</f>
        <v>@IncuAba</v>
      </c>
      <c r="C6322" t="s">
        <v>2165</v>
      </c>
      <c r="D6322">
        <v>18</v>
      </c>
      <c r="E6322">
        <v>0</v>
      </c>
      <c r="F6322">
        <v>110</v>
      </c>
    </row>
    <row r="6323" spans="1:6" ht="12.75">
      <c r="A6323" s="2">
        <v>43882.584560185191</v>
      </c>
      <c r="B6323" t="str">
        <f>HYPERLINK("https://twitter.com/indihomeborneo","@indihomeborneo")</f>
        <v>@indihomeborneo</v>
      </c>
      <c r="C6323" t="s">
        <v>4611</v>
      </c>
      <c r="D6323">
        <v>0</v>
      </c>
      <c r="E6323">
        <v>0</v>
      </c>
      <c r="F6323">
        <v>99</v>
      </c>
    </row>
    <row r="6324" spans="1:6" ht="12.75">
      <c r="A6324" s="2">
        <v>43882.584409722222</v>
      </c>
      <c r="B6324" t="str">
        <f>HYPERLINK("https://twitter.com/effendy_seven","@effendy_seven")</f>
        <v>@effendy_seven</v>
      </c>
      <c r="C6324" t="s">
        <v>2119</v>
      </c>
      <c r="D6324">
        <v>5</v>
      </c>
      <c r="E6324">
        <v>0</v>
      </c>
      <c r="F6324">
        <v>3836</v>
      </c>
    </row>
    <row r="6325" spans="1:6" ht="12.75">
      <c r="A6325" s="2">
        <v>43882.584201388891</v>
      </c>
      <c r="B6325" t="str">
        <f>HYPERLINK("https://twitter.com/woelannnn","@woelannnn")</f>
        <v>@woelannnn</v>
      </c>
      <c r="C6325" t="s">
        <v>2119</v>
      </c>
      <c r="D6325">
        <v>5</v>
      </c>
      <c r="E6325">
        <v>0</v>
      </c>
      <c r="F6325">
        <v>20871</v>
      </c>
    </row>
    <row r="6326" spans="1:6" ht="12.75">
      <c r="A6326" s="2">
        <v>43882.584143518514</v>
      </c>
      <c r="B6326" t="str">
        <f>HYPERLINK("https://twitter.com/pujangga1123","@pujangga1123")</f>
        <v>@pujangga1123</v>
      </c>
      <c r="C6326" t="s">
        <v>2119</v>
      </c>
      <c r="D6326">
        <v>5</v>
      </c>
      <c r="E6326">
        <v>0</v>
      </c>
      <c r="F6326">
        <v>13009</v>
      </c>
    </row>
    <row r="6327" spans="1:6" ht="12.75">
      <c r="A6327" s="2">
        <v>43882.583958333329</v>
      </c>
      <c r="B6327" t="str">
        <f>HYPERLINK("https://twitter.com/PToleransi","@PToleransi")</f>
        <v>@PToleransi</v>
      </c>
      <c r="C6327" t="s">
        <v>2165</v>
      </c>
      <c r="D6327">
        <v>18</v>
      </c>
      <c r="E6327">
        <v>0</v>
      </c>
      <c r="F6327">
        <v>371</v>
      </c>
    </row>
    <row r="6328" spans="1:6" ht="12.75">
      <c r="A6328" s="2">
        <v>43882.583865740744</v>
      </c>
      <c r="B6328" t="str">
        <f>HYPERLINK("https://twitter.com/AminSiregar75","@AminSiregar75")</f>
        <v>@AminSiregar75</v>
      </c>
      <c r="C6328" t="s">
        <v>2119</v>
      </c>
      <c r="D6328">
        <v>5</v>
      </c>
      <c r="E6328">
        <v>0</v>
      </c>
      <c r="F6328">
        <v>2632</v>
      </c>
    </row>
    <row r="6329" spans="1:6" ht="12.75">
      <c r="A6329" s="2">
        <v>43882.583680555559</v>
      </c>
      <c r="B6329" t="str">
        <f>HYPERLINK("https://twitter.com/DestinAsianID","@DestinAsianID")</f>
        <v>@DestinAsianID</v>
      </c>
      <c r="C6329" t="s">
        <v>4612</v>
      </c>
      <c r="D6329">
        <v>0</v>
      </c>
      <c r="E6329">
        <v>0</v>
      </c>
      <c r="F6329">
        <v>4206</v>
      </c>
    </row>
    <row r="6330" spans="1:6" ht="12.75">
      <c r="A6330" s="2">
        <v>43882.583495370374</v>
      </c>
      <c r="B6330" t="str">
        <f>HYPERLINK("https://twitter.com/WahabisLokal","@WahabisLokal")</f>
        <v>@WahabisLokal</v>
      </c>
      <c r="C6330" t="s">
        <v>4613</v>
      </c>
      <c r="D6330">
        <v>5</v>
      </c>
      <c r="E6330">
        <v>5</v>
      </c>
      <c r="F6330">
        <v>19861</v>
      </c>
    </row>
    <row r="6331" spans="1:6" ht="12.75">
      <c r="A6331" s="2">
        <v>43882.583425925928</v>
      </c>
      <c r="B6331" t="str">
        <f>HYPERLINK("https://twitter.com/arjasenasapta5","@arjasenasapta5")</f>
        <v>@arjasenasapta5</v>
      </c>
      <c r="C6331" t="s">
        <v>3508</v>
      </c>
      <c r="D6331">
        <v>30</v>
      </c>
      <c r="E6331">
        <v>0</v>
      </c>
      <c r="F6331">
        <v>47</v>
      </c>
    </row>
    <row r="6332" spans="1:6" ht="12.75">
      <c r="A6332" s="2">
        <v>43882.583321759259</v>
      </c>
      <c r="B6332" t="str">
        <f>HYPERLINK("https://twitter.com/himahi_UB","@himahi_UB")</f>
        <v>@himahi_UB</v>
      </c>
      <c r="C6332" t="s">
        <v>4614</v>
      </c>
      <c r="D6332">
        <v>0</v>
      </c>
      <c r="E6332">
        <v>0</v>
      </c>
      <c r="F6332">
        <v>1899</v>
      </c>
    </row>
    <row r="6333" spans="1:6" ht="12.75">
      <c r="A6333" s="2">
        <v>43882.582870370374</v>
      </c>
      <c r="B6333" t="str">
        <f t="shared" ref="B6333:B6334" si="110">HYPERLINK("https://twitter.com/PojokNU","@PojokNU")</f>
        <v>@PojokNU</v>
      </c>
      <c r="C6333" t="s">
        <v>3346</v>
      </c>
      <c r="D6333">
        <v>0</v>
      </c>
      <c r="E6333">
        <v>0</v>
      </c>
      <c r="F6333">
        <v>701</v>
      </c>
    </row>
    <row r="6334" spans="1:6" ht="12.75">
      <c r="A6334" s="2">
        <v>43882.582858796297</v>
      </c>
      <c r="B6334" t="str">
        <f t="shared" si="110"/>
        <v>@PojokNU</v>
      </c>
      <c r="C6334" t="s">
        <v>4459</v>
      </c>
      <c r="D6334">
        <v>0</v>
      </c>
      <c r="E6334">
        <v>0</v>
      </c>
      <c r="F6334">
        <v>701</v>
      </c>
    </row>
    <row r="6335" spans="1:6" ht="12.75">
      <c r="A6335" s="2">
        <v>43882.581759259258</v>
      </c>
      <c r="B6335" t="str">
        <f>HYPERLINK("https://twitter.com/MadamJudes","@MadamJudes")</f>
        <v>@MadamJudes</v>
      </c>
      <c r="C6335" t="s">
        <v>2165</v>
      </c>
      <c r="D6335">
        <v>18</v>
      </c>
      <c r="E6335">
        <v>0</v>
      </c>
      <c r="F6335">
        <v>96</v>
      </c>
    </row>
    <row r="6336" spans="1:6" ht="12.75">
      <c r="A6336" s="2">
        <v>43882.581655092596</v>
      </c>
      <c r="B6336" t="str">
        <f>HYPERLINK("https://twitter.com/Galuhramadhania","@Galuhramadhania")</f>
        <v>@Galuhramadhania</v>
      </c>
      <c r="C6336" t="s">
        <v>4615</v>
      </c>
      <c r="D6336">
        <v>7</v>
      </c>
      <c r="E6336">
        <v>0</v>
      </c>
      <c r="F6336">
        <v>1967</v>
      </c>
    </row>
    <row r="6337" spans="1:6" ht="12.75">
      <c r="A6337" s="2">
        <v>43882.581655092596</v>
      </c>
      <c r="B6337" t="str">
        <f>HYPERLINK("https://twitter.com/Regenbenhaloho","@Regenbenhaloho")</f>
        <v>@Regenbenhaloho</v>
      </c>
      <c r="C6337" t="s">
        <v>4616</v>
      </c>
      <c r="D6337">
        <v>0</v>
      </c>
      <c r="E6337">
        <v>0</v>
      </c>
      <c r="F6337">
        <v>363</v>
      </c>
    </row>
    <row r="6338" spans="1:6" ht="12.75">
      <c r="A6338" s="2">
        <v>43882.580729166672</v>
      </c>
      <c r="B6338" t="str">
        <f>HYPERLINK("https://twitter.com/aya_ddt","@aya_ddt")</f>
        <v>@aya_ddt</v>
      </c>
      <c r="C6338" t="s">
        <v>4617</v>
      </c>
      <c r="D6338">
        <v>5</v>
      </c>
      <c r="E6338">
        <v>0</v>
      </c>
      <c r="F6338">
        <v>434</v>
      </c>
    </row>
    <row r="6339" spans="1:6" ht="12.75">
      <c r="A6339" s="2">
        <v>43882.580636574072</v>
      </c>
      <c r="B6339" t="str">
        <f>HYPERLINK("https://twitter.com/Galuhramadhania","@Galuhramadhania")</f>
        <v>@Galuhramadhania</v>
      </c>
      <c r="C6339" t="s">
        <v>4618</v>
      </c>
      <c r="D6339">
        <v>4</v>
      </c>
      <c r="E6339">
        <v>0</v>
      </c>
      <c r="F6339">
        <v>1967</v>
      </c>
    </row>
    <row r="6340" spans="1:6" ht="12.75">
      <c r="A6340" s="2">
        <v>43882.58048611111</v>
      </c>
      <c r="B6340" t="str">
        <f>HYPERLINK("https://twitter.com/CumiCue","@CumiCue")</f>
        <v>@CumiCue</v>
      </c>
      <c r="C6340" t="s">
        <v>4252</v>
      </c>
      <c r="D6340">
        <v>23</v>
      </c>
      <c r="E6340">
        <v>0</v>
      </c>
      <c r="F6340">
        <v>4444</v>
      </c>
    </row>
    <row r="6341" spans="1:6" ht="12.75">
      <c r="A6341" s="2">
        <v>43882.58048611111</v>
      </c>
      <c r="B6341" t="str">
        <f>HYPERLINK("https://twitter.com/pengenndut","@pengenndut")</f>
        <v>@pengenndut</v>
      </c>
      <c r="C6341" t="s">
        <v>4619</v>
      </c>
      <c r="D6341">
        <v>0</v>
      </c>
      <c r="E6341">
        <v>0</v>
      </c>
      <c r="F6341">
        <v>918</v>
      </c>
    </row>
    <row r="6342" spans="1:6" ht="12.75">
      <c r="A6342" s="2">
        <v>43882.580439814818</v>
      </c>
      <c r="B6342" t="str">
        <f>HYPERLINK("https://twitter.com/AlamNahdliyin","@AlamNahdliyin")</f>
        <v>@AlamNahdliyin</v>
      </c>
      <c r="C6342" t="s">
        <v>2165</v>
      </c>
      <c r="D6342">
        <v>18</v>
      </c>
      <c r="E6342">
        <v>0</v>
      </c>
      <c r="F6342">
        <v>554</v>
      </c>
    </row>
    <row r="6343" spans="1:6" ht="12.75">
      <c r="A6343" s="2">
        <v>43882.580416666664</v>
      </c>
      <c r="B6343" t="str">
        <f>HYPERLINK("https://twitter.com/ApriliaLin","@ApriliaLin")</f>
        <v>@ApriliaLin</v>
      </c>
      <c r="C6343" t="s">
        <v>4252</v>
      </c>
      <c r="D6343">
        <v>23</v>
      </c>
      <c r="E6343">
        <v>0</v>
      </c>
      <c r="F6343">
        <v>26582</v>
      </c>
    </row>
    <row r="6344" spans="1:6" ht="12.75">
      <c r="A6344" s="2">
        <v>43882.580243055556</v>
      </c>
      <c r="B6344" t="str">
        <f>HYPERLINK("https://twitter.com/Galuhramadhania","@Galuhramadhania")</f>
        <v>@Galuhramadhania</v>
      </c>
      <c r="C6344" t="s">
        <v>177</v>
      </c>
      <c r="D6344">
        <v>771</v>
      </c>
      <c r="E6344">
        <v>0</v>
      </c>
      <c r="F6344">
        <v>1967</v>
      </c>
    </row>
    <row r="6345" spans="1:6" ht="12.75">
      <c r="A6345" s="2">
        <v>43882.579861111109</v>
      </c>
      <c r="B6345" t="str">
        <f>HYPERLINK("https://twitter.com/joyabeneran","@joyabeneran")</f>
        <v>@joyabeneran</v>
      </c>
      <c r="C6345" t="s">
        <v>3508</v>
      </c>
      <c r="D6345">
        <v>30</v>
      </c>
      <c r="E6345">
        <v>0</v>
      </c>
      <c r="F6345">
        <v>312</v>
      </c>
    </row>
    <row r="6346" spans="1:6" ht="12.75">
      <c r="A6346" s="2">
        <v>43882.579861111109</v>
      </c>
      <c r="B6346" t="str">
        <f>HYPERLINK("https://twitter.com/rahmanrendy_","@rahmanrendy_")</f>
        <v>@rahmanrendy_</v>
      </c>
      <c r="C6346" t="s">
        <v>3508</v>
      </c>
      <c r="D6346">
        <v>30</v>
      </c>
      <c r="E6346">
        <v>0</v>
      </c>
      <c r="F6346">
        <v>1016</v>
      </c>
    </row>
    <row r="6347" spans="1:6" ht="12.75">
      <c r="A6347" s="2">
        <v>43882.57980324074</v>
      </c>
      <c r="B6347" t="str">
        <f>HYPERLINK("https://twitter.com/Faat_Ip","@Faat_Ip")</f>
        <v>@Faat_Ip</v>
      </c>
      <c r="C6347" t="s">
        <v>4620</v>
      </c>
      <c r="D6347">
        <v>0</v>
      </c>
      <c r="E6347">
        <v>1</v>
      </c>
      <c r="F6347">
        <v>2105</v>
      </c>
    </row>
    <row r="6348" spans="1:6" ht="12.75">
      <c r="A6348" s="2">
        <v>43882.579780092594</v>
      </c>
      <c r="B6348" t="str">
        <f>HYPERLINK("https://twitter.com/mtrrwnd","@mtrrwnd")</f>
        <v>@mtrrwnd</v>
      </c>
      <c r="C6348" t="s">
        <v>2984</v>
      </c>
      <c r="D6348">
        <v>3</v>
      </c>
      <c r="E6348">
        <v>0</v>
      </c>
      <c r="F6348">
        <v>97</v>
      </c>
    </row>
    <row r="6349" spans="1:6" ht="12.75">
      <c r="A6349" s="2">
        <v>43882.579722222217</v>
      </c>
      <c r="B6349" t="str">
        <f>HYPERLINK("https://twitter.com/HaloBCA","@HaloBCA")</f>
        <v>@HaloBCA</v>
      </c>
      <c r="C6349" t="s">
        <v>4621</v>
      </c>
      <c r="D6349">
        <v>0</v>
      </c>
      <c r="E6349">
        <v>1</v>
      </c>
      <c r="F6349">
        <v>231347</v>
      </c>
    </row>
    <row r="6350" spans="1:6" ht="12.75">
      <c r="A6350" s="2">
        <v>43882.579664351855</v>
      </c>
      <c r="B6350" t="str">
        <f>HYPERLINK("https://twitter.com/TribunusAntara","@TribunusAntara")</f>
        <v>@TribunusAntara</v>
      </c>
      <c r="C6350" t="s">
        <v>2165</v>
      </c>
      <c r="D6350">
        <v>18</v>
      </c>
      <c r="E6350">
        <v>0</v>
      </c>
      <c r="F6350">
        <v>5860</v>
      </c>
    </row>
    <row r="6351" spans="1:6" ht="12.75">
      <c r="A6351" s="2">
        <v>43882.579513888893</v>
      </c>
      <c r="B6351" t="str">
        <f>HYPERLINK("https://twitter.com/sukatanyaj","@sukatanyaj")</f>
        <v>@sukatanyaj</v>
      </c>
      <c r="C6351" t="s">
        <v>4020</v>
      </c>
      <c r="D6351">
        <v>44</v>
      </c>
      <c r="E6351">
        <v>0</v>
      </c>
      <c r="F6351">
        <v>5689</v>
      </c>
    </row>
    <row r="6352" spans="1:6" ht="12.75">
      <c r="A6352" s="2">
        <v>43882.579259259262</v>
      </c>
      <c r="B6352" t="str">
        <f>HYPERLINK("https://twitter.com/Ganysherdwi","@Ganysherdwi")</f>
        <v>@Ganysherdwi</v>
      </c>
      <c r="C6352" t="s">
        <v>2692</v>
      </c>
      <c r="D6352">
        <v>2032</v>
      </c>
      <c r="E6352">
        <v>0</v>
      </c>
      <c r="F6352">
        <v>274</v>
      </c>
    </row>
    <row r="6353" spans="1:6" ht="12.75">
      <c r="A6353" s="2">
        <v>43882.579004629632</v>
      </c>
      <c r="B6353" t="str">
        <f>HYPERLINK("https://twitter.com/ElshintaDotcom","@ElshintaDotcom")</f>
        <v>@ElshintaDotcom</v>
      </c>
      <c r="C6353" t="s">
        <v>4622</v>
      </c>
      <c r="D6353">
        <v>0</v>
      </c>
      <c r="E6353">
        <v>1</v>
      </c>
      <c r="F6353">
        <v>27886</v>
      </c>
    </row>
    <row r="6354" spans="1:6" ht="12.75">
      <c r="A6354" s="2">
        <v>43882.578680555554</v>
      </c>
      <c r="B6354" t="str">
        <f>HYPERLINK("https://twitter.com/ferry_adamhar","@ferry_adamhar")</f>
        <v>@ferry_adamhar</v>
      </c>
      <c r="C6354" t="s">
        <v>4623</v>
      </c>
      <c r="D6354">
        <v>6</v>
      </c>
      <c r="E6354">
        <v>0</v>
      </c>
      <c r="F6354">
        <v>10</v>
      </c>
    </row>
    <row r="6355" spans="1:6" ht="12.75">
      <c r="A6355" s="2">
        <v>43882.578206018516</v>
      </c>
      <c r="B6355" t="str">
        <f>HYPERLINK("https://twitter.com/eka_aditya33","@eka_aditya33")</f>
        <v>@eka_aditya33</v>
      </c>
      <c r="C6355" t="s">
        <v>3508</v>
      </c>
      <c r="D6355">
        <v>30</v>
      </c>
      <c r="E6355">
        <v>0</v>
      </c>
      <c r="F6355">
        <v>338</v>
      </c>
    </row>
    <row r="6356" spans="1:6" ht="12.75">
      <c r="A6356" s="2">
        <v>43882.578067129631</v>
      </c>
      <c r="B6356" t="str">
        <f>HYPERLINK("https://twitter.com/PCNUMedan","@PCNUMedan")</f>
        <v>@PCNUMedan</v>
      </c>
      <c r="C6356" t="s">
        <v>2165</v>
      </c>
      <c r="D6356">
        <v>18</v>
      </c>
      <c r="E6356">
        <v>0</v>
      </c>
      <c r="F6356">
        <v>336</v>
      </c>
    </row>
    <row r="6357" spans="1:6" ht="12.75">
      <c r="A6357" s="2">
        <v>43882.576990740738</v>
      </c>
      <c r="B6357" t="str">
        <f>HYPERLINK("https://twitter.com/_arisusilo","@_arisusilo")</f>
        <v>@_arisusilo</v>
      </c>
      <c r="C6357" t="s">
        <v>3508</v>
      </c>
      <c r="D6357">
        <v>30</v>
      </c>
      <c r="E6357">
        <v>0</v>
      </c>
      <c r="F6357">
        <v>481</v>
      </c>
    </row>
    <row r="6358" spans="1:6" ht="12.75">
      <c r="A6358" s="2">
        <v>43882.576944444445</v>
      </c>
      <c r="B6358" t="str">
        <f>HYPERLINK("https://twitter.com/ferry_adamhar","@ferry_adamhar")</f>
        <v>@ferry_adamhar</v>
      </c>
      <c r="C6358" t="s">
        <v>4624</v>
      </c>
      <c r="D6358">
        <v>1</v>
      </c>
      <c r="E6358">
        <v>0</v>
      </c>
      <c r="F6358">
        <v>10</v>
      </c>
    </row>
    <row r="6359" spans="1:6" ht="12.75">
      <c r="A6359" s="2">
        <v>43882.57677083333</v>
      </c>
      <c r="B6359" t="str">
        <f>HYPERLINK("https://twitter.com/axqcrux","@axqcrux")</f>
        <v>@axqcrux</v>
      </c>
      <c r="C6359" t="s">
        <v>4625</v>
      </c>
      <c r="D6359">
        <v>0</v>
      </c>
      <c r="E6359">
        <v>0</v>
      </c>
      <c r="F6359">
        <v>169</v>
      </c>
    </row>
    <row r="6360" spans="1:6" ht="12.75">
      <c r="A6360" s="2">
        <v>43882.576550925922</v>
      </c>
      <c r="B6360" t="str">
        <f>HYPERLINK("https://twitter.com/pengenndut","@pengenndut")</f>
        <v>@pengenndut</v>
      </c>
      <c r="C6360" t="s">
        <v>4626</v>
      </c>
      <c r="D6360">
        <v>0</v>
      </c>
      <c r="E6360">
        <v>0</v>
      </c>
      <c r="F6360">
        <v>918</v>
      </c>
    </row>
    <row r="6361" spans="1:6" ht="12.75">
      <c r="A6361" s="2">
        <v>43882.576388888891</v>
      </c>
      <c r="B6361" t="str">
        <f>HYPERLINK("https://twitter.com/AkbarDaafa","@AkbarDaafa")</f>
        <v>@AkbarDaafa</v>
      </c>
      <c r="C6361" t="s">
        <v>177</v>
      </c>
      <c r="D6361">
        <v>771</v>
      </c>
      <c r="E6361">
        <v>0</v>
      </c>
      <c r="F6361">
        <v>1</v>
      </c>
    </row>
    <row r="6362" spans="1:6" ht="12.75">
      <c r="A6362" s="2">
        <v>43882.576087962967</v>
      </c>
      <c r="B6362" t="str">
        <f>HYPERLINK("https://twitter.com/ElshintaDotcom","@ElshintaDotcom")</f>
        <v>@ElshintaDotcom</v>
      </c>
      <c r="C6362" t="s">
        <v>4627</v>
      </c>
      <c r="D6362">
        <v>0</v>
      </c>
      <c r="E6362">
        <v>0</v>
      </c>
      <c r="F6362">
        <v>27886</v>
      </c>
    </row>
    <row r="6363" spans="1:6" ht="12.75">
      <c r="A6363" s="2">
        <v>43882.575682870374</v>
      </c>
      <c r="B6363" t="str">
        <f>HYPERLINK("https://twitter.com/C45One","@C45One")</f>
        <v>@C45One</v>
      </c>
      <c r="C6363" t="s">
        <v>2165</v>
      </c>
      <c r="D6363">
        <v>18</v>
      </c>
      <c r="E6363">
        <v>0</v>
      </c>
      <c r="F6363">
        <v>1890</v>
      </c>
    </row>
    <row r="6364" spans="1:6" ht="12.75">
      <c r="A6364" s="2">
        <v>43882.575671296298</v>
      </c>
      <c r="B6364" t="str">
        <f>HYPERLINK("https://twitter.com/SayaPSI","@SayaPSI")</f>
        <v>@SayaPSI</v>
      </c>
      <c r="C6364" t="s">
        <v>2165</v>
      </c>
      <c r="D6364">
        <v>18</v>
      </c>
      <c r="E6364">
        <v>0</v>
      </c>
      <c r="F6364">
        <v>339</v>
      </c>
    </row>
    <row r="6365" spans="1:6" ht="12.75">
      <c r="A6365" s="2">
        <v>43882.575104166666</v>
      </c>
      <c r="B6365" t="str">
        <f>HYPERLINK("https://twitter.com/JanggutMbah","@JanggutMbah")</f>
        <v>@JanggutMbah</v>
      </c>
      <c r="C6365" t="s">
        <v>177</v>
      </c>
      <c r="D6365">
        <v>771</v>
      </c>
      <c r="E6365">
        <v>0</v>
      </c>
      <c r="F6365">
        <v>2407</v>
      </c>
    </row>
    <row r="6366" spans="1:6" ht="12.75">
      <c r="A6366" s="2">
        <v>43882.574652777781</v>
      </c>
      <c r="B6366" t="str">
        <f>HYPERLINK("https://twitter.com/sirodjudin01","@sirodjudin01")</f>
        <v>@sirodjudin01</v>
      </c>
      <c r="C6366" t="s">
        <v>4252</v>
      </c>
      <c r="D6366">
        <v>23</v>
      </c>
      <c r="E6366">
        <v>0</v>
      </c>
      <c r="F6366">
        <v>8156</v>
      </c>
    </row>
    <row r="6367" spans="1:6" ht="12.75">
      <c r="A6367" s="2">
        <v>43882.573854166665</v>
      </c>
      <c r="B6367" t="str">
        <f>HYPERLINK("https://twitter.com/RKLAJaya","@RKLAJaya")</f>
        <v>@RKLAJaya</v>
      </c>
      <c r="C6367" t="s">
        <v>2165</v>
      </c>
      <c r="D6367">
        <v>18</v>
      </c>
      <c r="E6367">
        <v>0</v>
      </c>
      <c r="F6367">
        <v>486</v>
      </c>
    </row>
    <row r="6368" spans="1:6" ht="12.75">
      <c r="A6368" s="2">
        <v>43882.573645833334</v>
      </c>
      <c r="B6368" t="str">
        <f>HYPERLINK("https://twitter.com/makassarterkini","@makassarterkini")</f>
        <v>@makassarterkini</v>
      </c>
      <c r="C6368" t="s">
        <v>4628</v>
      </c>
      <c r="D6368">
        <v>0</v>
      </c>
      <c r="E6368">
        <v>0</v>
      </c>
      <c r="F6368">
        <v>9585</v>
      </c>
    </row>
    <row r="6369" spans="1:6" ht="12.75">
      <c r="A6369" s="2">
        <v>43882.573530092588</v>
      </c>
      <c r="B6369" t="str">
        <f>HYPERLINK("https://twitter.com/5Y5_one_70","@5Y5_one_70")</f>
        <v>@5Y5_one_70</v>
      </c>
      <c r="C6369" t="s">
        <v>4252</v>
      </c>
      <c r="D6369">
        <v>23</v>
      </c>
      <c r="E6369">
        <v>0</v>
      </c>
      <c r="F6369">
        <v>6674</v>
      </c>
    </row>
    <row r="6370" spans="1:6" ht="12.75">
      <c r="A6370" s="2">
        <v>43882.573495370365</v>
      </c>
      <c r="B6370" t="str">
        <f>HYPERLINK("https://twitter.com/afusanidya","@afusanidya")</f>
        <v>@afusanidya</v>
      </c>
      <c r="C6370" t="s">
        <v>2692</v>
      </c>
      <c r="D6370">
        <v>2032</v>
      </c>
      <c r="E6370">
        <v>0</v>
      </c>
      <c r="F6370">
        <v>1515</v>
      </c>
    </row>
    <row r="6371" spans="1:6" ht="12.75">
      <c r="A6371" s="2">
        <v>43882.57331018518</v>
      </c>
      <c r="B6371" t="str">
        <f>HYPERLINK("https://twitter.com/elshintamedan","@elshintamedan")</f>
        <v>@elshintamedan</v>
      </c>
      <c r="C6371" t="s">
        <v>4591</v>
      </c>
      <c r="D6371">
        <v>0</v>
      </c>
      <c r="E6371">
        <v>0</v>
      </c>
      <c r="F6371">
        <v>1727</v>
      </c>
    </row>
    <row r="6372" spans="1:6" ht="12.75">
      <c r="A6372" s="2">
        <v>43882.573159722218</v>
      </c>
      <c r="B6372" t="str">
        <f>HYPERLINK("https://twitter.com/tujuhlipa","@tujuhlipa")</f>
        <v>@tujuhlipa</v>
      </c>
      <c r="C6372" t="s">
        <v>2984</v>
      </c>
      <c r="D6372">
        <v>3</v>
      </c>
      <c r="E6372">
        <v>0</v>
      </c>
      <c r="F6372">
        <v>1520</v>
      </c>
    </row>
    <row r="6373" spans="1:6" ht="12.75">
      <c r="A6373" s="2">
        <v>43882.572372685187</v>
      </c>
      <c r="B6373" t="str">
        <f>HYPERLINK("https://twitter.com/vitaedina_NS","@vitaedina_NS")</f>
        <v>@vitaedina_NS</v>
      </c>
      <c r="C6373" t="s">
        <v>177</v>
      </c>
      <c r="D6373">
        <v>771</v>
      </c>
      <c r="E6373">
        <v>0</v>
      </c>
      <c r="F6373">
        <v>369</v>
      </c>
    </row>
    <row r="6374" spans="1:6" ht="12.75">
      <c r="A6374" s="2">
        <v>43882.572280092594</v>
      </c>
      <c r="B6374" t="str">
        <f>HYPERLINK("https://twitter.com/greenteatampan","@greenteatampan")</f>
        <v>@greenteatampan</v>
      </c>
      <c r="C6374" t="s">
        <v>3508</v>
      </c>
      <c r="D6374">
        <v>30</v>
      </c>
      <c r="E6374">
        <v>0</v>
      </c>
      <c r="F6374">
        <v>134</v>
      </c>
    </row>
    <row r="6375" spans="1:6" ht="12.75">
      <c r="A6375" s="2">
        <v>43882.571585648147</v>
      </c>
      <c r="B6375" t="str">
        <f>HYPERLINK("https://twitter.com/Union5Sekawan","@Union5Sekawan")</f>
        <v>@Union5Sekawan</v>
      </c>
      <c r="C6375" t="s">
        <v>2165</v>
      </c>
      <c r="D6375">
        <v>18</v>
      </c>
      <c r="E6375">
        <v>0</v>
      </c>
      <c r="F6375">
        <v>443</v>
      </c>
    </row>
    <row r="6376" spans="1:6" ht="12.75">
      <c r="A6376" s="2">
        <v>43882.571388888886</v>
      </c>
      <c r="B6376" t="str">
        <f>HYPERLINK("https://twitter.com/mandiricard","@mandiricard")</f>
        <v>@mandiricard</v>
      </c>
      <c r="C6376" t="s">
        <v>4629</v>
      </c>
      <c r="D6376">
        <v>0</v>
      </c>
      <c r="E6376">
        <v>0</v>
      </c>
      <c r="F6376">
        <v>108682</v>
      </c>
    </row>
    <row r="6377" spans="1:6" ht="12.75">
      <c r="A6377" s="2">
        <v>43882.570914351847</v>
      </c>
      <c r="B6377" t="str">
        <f>HYPERLINK("https://twitter.com/HaniahHanamichi","@HaniahHanamichi")</f>
        <v>@HaniahHanamichi</v>
      </c>
      <c r="C6377" t="s">
        <v>4615</v>
      </c>
      <c r="D6377">
        <v>7</v>
      </c>
      <c r="E6377">
        <v>0</v>
      </c>
      <c r="F6377">
        <v>2330</v>
      </c>
    </row>
    <row r="6378" spans="1:6" ht="12.75">
      <c r="A6378" s="2">
        <v>43882.570451388892</v>
      </c>
      <c r="B6378" t="str">
        <f>HYPERLINK("https://twitter.com/AEPishere","@AEPishere")</f>
        <v>@AEPishere</v>
      </c>
      <c r="C6378" t="s">
        <v>4077</v>
      </c>
      <c r="D6378">
        <v>19</v>
      </c>
      <c r="E6378">
        <v>0</v>
      </c>
      <c r="F6378">
        <v>3011</v>
      </c>
    </row>
    <row r="6379" spans="1:6" ht="12.75">
      <c r="A6379" s="2">
        <v>43882.570381944446</v>
      </c>
      <c r="B6379" t="str">
        <f>HYPERLINK("https://twitter.com/OppoMeneh2","@OppoMeneh2")</f>
        <v>@OppoMeneh2</v>
      </c>
      <c r="C6379" t="s">
        <v>2165</v>
      </c>
      <c r="D6379">
        <v>18</v>
      </c>
      <c r="E6379">
        <v>0</v>
      </c>
      <c r="F6379">
        <v>233</v>
      </c>
    </row>
    <row r="6380" spans="1:6" ht="12.75">
      <c r="A6380" s="2">
        <v>43882.569861111115</v>
      </c>
      <c r="B6380" t="str">
        <f>HYPERLINK("https://twitter.com/AbotMlayu","@AbotMlayu")</f>
        <v>@AbotMlayu</v>
      </c>
      <c r="C6380" t="s">
        <v>3508</v>
      </c>
      <c r="D6380">
        <v>30</v>
      </c>
      <c r="E6380">
        <v>0</v>
      </c>
      <c r="F6380">
        <v>519</v>
      </c>
    </row>
    <row r="6381" spans="1:6" ht="12.75">
      <c r="A6381" s="2">
        <v>43882.56958333333</v>
      </c>
      <c r="B6381" t="str">
        <f>HYPERLINK("https://twitter.com/HaniahHanamichi","@HaniahHanamichi")</f>
        <v>@HaniahHanamichi</v>
      </c>
      <c r="C6381" t="s">
        <v>4618</v>
      </c>
      <c r="D6381">
        <v>4</v>
      </c>
      <c r="E6381">
        <v>0</v>
      </c>
      <c r="F6381">
        <v>2330</v>
      </c>
    </row>
    <row r="6382" spans="1:6" ht="12.75">
      <c r="A6382" s="2">
        <v>43882.569398148145</v>
      </c>
      <c r="B6382" t="str">
        <f>HYPERLINK("https://twitter.com/itsme_vtr","@itsme_vtr")</f>
        <v>@itsme_vtr</v>
      </c>
      <c r="C6382" t="s">
        <v>3483</v>
      </c>
      <c r="D6382">
        <v>32</v>
      </c>
      <c r="E6382">
        <v>0</v>
      </c>
      <c r="F6382">
        <v>42</v>
      </c>
    </row>
    <row r="6383" spans="1:6" ht="12.75">
      <c r="A6383" s="2">
        <v>43882.569236111114</v>
      </c>
      <c r="B6383" t="str">
        <f>HYPERLINK("https://twitter.com/HaniahHanamichi","@HaniahHanamichi")</f>
        <v>@HaniahHanamichi</v>
      </c>
      <c r="C6383" t="s">
        <v>177</v>
      </c>
      <c r="D6383">
        <v>771</v>
      </c>
      <c r="E6383">
        <v>0</v>
      </c>
      <c r="F6383">
        <v>2330</v>
      </c>
    </row>
    <row r="6384" spans="1:6" ht="12.75">
      <c r="A6384" s="2">
        <v>43882.568923611107</v>
      </c>
      <c r="B6384" t="str">
        <f>HYPERLINK("https://twitter.com/kodokpangeran5","@kodokpangeran5")</f>
        <v>@kodokpangeran5</v>
      </c>
      <c r="C6384" t="s">
        <v>4630</v>
      </c>
      <c r="D6384">
        <v>0</v>
      </c>
      <c r="E6384">
        <v>0</v>
      </c>
      <c r="F6384">
        <v>100</v>
      </c>
    </row>
    <row r="6385" spans="1:6" ht="12.75">
      <c r="A6385" s="2">
        <v>43882.568611111114</v>
      </c>
      <c r="B6385" t="str">
        <f>HYPERLINK("https://twitter.com/sandalista1789","@sandalista1789")</f>
        <v>@sandalista1789</v>
      </c>
      <c r="C6385" t="s">
        <v>4257</v>
      </c>
      <c r="D6385">
        <v>1</v>
      </c>
      <c r="E6385">
        <v>0</v>
      </c>
      <c r="F6385">
        <v>27096</v>
      </c>
    </row>
    <row r="6386" spans="1:6" ht="12.75">
      <c r="A6386" s="2">
        <v>43882.568506944444</v>
      </c>
      <c r="B6386" t="str">
        <f>HYPERLINK("https://twitter.com/LaMei88","@LaMei88")</f>
        <v>@LaMei88</v>
      </c>
      <c r="C6386" t="s">
        <v>2165</v>
      </c>
      <c r="D6386">
        <v>18</v>
      </c>
      <c r="E6386">
        <v>0</v>
      </c>
      <c r="F6386">
        <v>394</v>
      </c>
    </row>
    <row r="6387" spans="1:6" ht="12.75">
      <c r="A6387" s="2">
        <v>43882.568020833336</v>
      </c>
      <c r="B6387" t="str">
        <f>HYPERLINK("https://twitter.com/fauziagustian","@fauziagustian")</f>
        <v>@fauziagustian</v>
      </c>
      <c r="C6387" t="s">
        <v>4631</v>
      </c>
      <c r="D6387">
        <v>1</v>
      </c>
      <c r="E6387">
        <v>0</v>
      </c>
      <c r="F6387">
        <v>208</v>
      </c>
    </row>
    <row r="6388" spans="1:6" ht="12.75">
      <c r="A6388" s="2">
        <v>43882.567835648151</v>
      </c>
      <c r="B6388" t="str">
        <f>HYPERLINK("https://twitter.com/awopi_","@awopi_")</f>
        <v>@awopi_</v>
      </c>
      <c r="C6388" t="s">
        <v>4632</v>
      </c>
      <c r="D6388">
        <v>0</v>
      </c>
      <c r="E6388">
        <v>1</v>
      </c>
      <c r="F6388">
        <v>2322</v>
      </c>
    </row>
    <row r="6389" spans="1:6" ht="12.75">
      <c r="A6389" s="2">
        <v>43882.567511574074</v>
      </c>
      <c r="B6389" t="str">
        <f>HYPERLINK("https://twitter.com/TahuPedas7","@TahuPedas7")</f>
        <v>@TahuPedas7</v>
      </c>
      <c r="C6389" t="s">
        <v>4633</v>
      </c>
      <c r="D6389">
        <v>0</v>
      </c>
      <c r="E6389">
        <v>0</v>
      </c>
      <c r="F6389">
        <v>92</v>
      </c>
    </row>
    <row r="6390" spans="1:6" ht="12.75">
      <c r="A6390" s="2">
        <v>43882.567442129628</v>
      </c>
      <c r="B6390" t="str">
        <f>HYPERLINK("https://twitter.com/FraksiPdi","@FraksiPdi")</f>
        <v>@FraksiPdi</v>
      </c>
      <c r="C6390" t="s">
        <v>4634</v>
      </c>
      <c r="D6390">
        <v>11</v>
      </c>
      <c r="E6390">
        <v>0</v>
      </c>
      <c r="F6390">
        <v>14</v>
      </c>
    </row>
    <row r="6391" spans="1:6" ht="12.75">
      <c r="A6391" s="2">
        <v>43882.567245370374</v>
      </c>
      <c r="B6391" t="str">
        <f>HYPERLINK("https://twitter.com/Rudimahielda","@Rudimahielda")</f>
        <v>@Rudimahielda</v>
      </c>
      <c r="C6391" t="s">
        <v>3508</v>
      </c>
      <c r="D6391">
        <v>30</v>
      </c>
      <c r="E6391">
        <v>0</v>
      </c>
      <c r="F6391">
        <v>245</v>
      </c>
    </row>
    <row r="6392" spans="1:6" ht="12.75">
      <c r="A6392" s="2">
        <v>43882.567210648151</v>
      </c>
      <c r="B6392" t="str">
        <f>HYPERLINK("https://twitter.com/irfanraviandis","@irfanraviandis")</f>
        <v>@irfanraviandis</v>
      </c>
      <c r="C6392" t="s">
        <v>177</v>
      </c>
      <c r="D6392">
        <v>771</v>
      </c>
      <c r="E6392">
        <v>0</v>
      </c>
      <c r="F6392">
        <v>672</v>
      </c>
    </row>
    <row r="6393" spans="1:6" ht="12.75">
      <c r="A6393" s="2">
        <v>43882.566805555558</v>
      </c>
      <c r="B6393" t="str">
        <f>HYPERLINK("https://twitter.com/minhyunsc","@minhyunsc")</f>
        <v>@minhyunsc</v>
      </c>
      <c r="C6393" t="s">
        <v>4633</v>
      </c>
      <c r="D6393">
        <v>0</v>
      </c>
      <c r="E6393">
        <v>0</v>
      </c>
      <c r="F6393">
        <v>7523</v>
      </c>
    </row>
    <row r="6394" spans="1:6" ht="12.75">
      <c r="A6394" s="2">
        <v>43882.566192129627</v>
      </c>
      <c r="B6394" t="str">
        <f>HYPERLINK("https://twitter.com/pinkyguuy","@pinkyguuy")</f>
        <v>@pinkyguuy</v>
      </c>
      <c r="C6394" t="s">
        <v>4635</v>
      </c>
      <c r="D6394">
        <v>0</v>
      </c>
      <c r="E6394">
        <v>0</v>
      </c>
      <c r="F6394">
        <v>5</v>
      </c>
    </row>
    <row r="6395" spans="1:6" ht="12.75">
      <c r="A6395" s="2">
        <v>43882.566087962958</v>
      </c>
      <c r="B6395" t="str">
        <f>HYPERLINK("https://twitter.com/cameliaria1","@cameliaria1")</f>
        <v>@cameliaria1</v>
      </c>
      <c r="C6395" t="s">
        <v>4636</v>
      </c>
      <c r="D6395">
        <v>0</v>
      </c>
      <c r="E6395">
        <v>0</v>
      </c>
      <c r="F6395">
        <v>52</v>
      </c>
    </row>
    <row r="6396" spans="1:6" ht="12.75">
      <c r="A6396" s="2">
        <v>43882.565995370373</v>
      </c>
      <c r="B6396" t="str">
        <f>HYPERLINK("https://twitter.com/hendranokoarie1","@hendranokoarie1")</f>
        <v>@hendranokoarie1</v>
      </c>
      <c r="C6396" t="s">
        <v>4634</v>
      </c>
      <c r="D6396">
        <v>11</v>
      </c>
      <c r="E6396">
        <v>0</v>
      </c>
      <c r="F6396">
        <v>140</v>
      </c>
    </row>
    <row r="6397" spans="1:6" ht="12.75">
      <c r="A6397" s="2">
        <v>43882.565995370373</v>
      </c>
      <c r="B6397" t="str">
        <f>HYPERLINK("https://twitter.com/Gun2agGun","@Gun2agGun")</f>
        <v>@Gun2agGun</v>
      </c>
      <c r="C6397" t="s">
        <v>4637</v>
      </c>
      <c r="D6397">
        <v>0</v>
      </c>
      <c r="E6397">
        <v>0</v>
      </c>
      <c r="F6397">
        <v>56</v>
      </c>
    </row>
    <row r="6398" spans="1:6" ht="12.75">
      <c r="A6398" s="2">
        <v>43882.565844907411</v>
      </c>
      <c r="B6398" t="str">
        <f>HYPERLINK("https://twitter.com/PutraJaguar8","@PutraJaguar8")</f>
        <v>@PutraJaguar8</v>
      </c>
      <c r="C6398" t="s">
        <v>4630</v>
      </c>
      <c r="D6398">
        <v>0</v>
      </c>
      <c r="E6398">
        <v>0</v>
      </c>
      <c r="F6398">
        <v>2</v>
      </c>
    </row>
    <row r="6399" spans="1:6" ht="12.75">
      <c r="A6399" s="2">
        <v>43882.565659722226</v>
      </c>
      <c r="B6399" t="str">
        <f>HYPERLINK("https://twitter.com/mutiaraazahri27","@mutiaraazahri27")</f>
        <v>@mutiaraazahri27</v>
      </c>
      <c r="C6399" t="s">
        <v>177</v>
      </c>
      <c r="D6399">
        <v>771</v>
      </c>
      <c r="E6399">
        <v>0</v>
      </c>
      <c r="F6399">
        <v>151</v>
      </c>
    </row>
    <row r="6400" spans="1:6" ht="12.75">
      <c r="A6400" s="2">
        <v>43882.565601851849</v>
      </c>
      <c r="B6400" t="str">
        <f>HYPERLINK("https://twitter.com/PutraJaguar8","@PutraJaguar8")</f>
        <v>@PutraJaguar8</v>
      </c>
      <c r="C6400" t="s">
        <v>4633</v>
      </c>
      <c r="D6400">
        <v>0</v>
      </c>
      <c r="E6400">
        <v>0</v>
      </c>
      <c r="F6400">
        <v>2</v>
      </c>
    </row>
    <row r="6401" spans="1:6" ht="12.75">
      <c r="A6401" s="2">
        <v>43882.565532407403</v>
      </c>
      <c r="B6401" t="str">
        <f>HYPERLINK("https://twitter.com/PerbanyakB","@PerbanyakB")</f>
        <v>@PerbanyakB</v>
      </c>
      <c r="C6401" t="s">
        <v>2165</v>
      </c>
      <c r="D6401">
        <v>18</v>
      </c>
      <c r="E6401">
        <v>0</v>
      </c>
      <c r="F6401">
        <v>512</v>
      </c>
    </row>
    <row r="6402" spans="1:6" ht="12.75">
      <c r="A6402" s="2">
        <v>43882.564826388887</v>
      </c>
      <c r="B6402" t="str">
        <f>HYPERLINK("https://twitter.com/lambeintel","@lambeintel")</f>
        <v>@lambeintel</v>
      </c>
      <c r="C6402" t="s">
        <v>4224</v>
      </c>
      <c r="D6402">
        <v>1</v>
      </c>
      <c r="E6402">
        <v>0</v>
      </c>
      <c r="F6402">
        <v>1405</v>
      </c>
    </row>
    <row r="6403" spans="1:6" ht="12.75">
      <c r="A6403" s="2">
        <v>43882.564236111109</v>
      </c>
      <c r="B6403" t="str">
        <f>HYPERLINK("https://twitter.com/GateJannah","@GateJannah")</f>
        <v>@GateJannah</v>
      </c>
      <c r="C6403" t="s">
        <v>4020</v>
      </c>
      <c r="D6403">
        <v>44</v>
      </c>
      <c r="E6403">
        <v>0</v>
      </c>
      <c r="F6403">
        <v>851</v>
      </c>
    </row>
    <row r="6404" spans="1:6" ht="12.75">
      <c r="A6404" s="2">
        <v>43882.564155092594</v>
      </c>
      <c r="B6404" t="str">
        <f>HYPERLINK("https://twitter.com/SydSalesman","@SydSalesman")</f>
        <v>@SydSalesman</v>
      </c>
      <c r="C6404" t="s">
        <v>3995</v>
      </c>
      <c r="D6404">
        <v>5</v>
      </c>
      <c r="E6404">
        <v>0</v>
      </c>
      <c r="F6404">
        <v>6234</v>
      </c>
    </row>
    <row r="6405" spans="1:6" ht="12.75">
      <c r="A6405" s="2">
        <v>43882.564097222217</v>
      </c>
      <c r="B6405" t="str">
        <f>HYPERLINK("https://twitter.com/SevenSeas87","@SevenSeas87")</f>
        <v>@SevenSeas87</v>
      </c>
      <c r="C6405" t="s">
        <v>4020</v>
      </c>
      <c r="D6405">
        <v>44</v>
      </c>
      <c r="E6405">
        <v>0</v>
      </c>
      <c r="F6405">
        <v>1352</v>
      </c>
    </row>
    <row r="6406" spans="1:6" ht="12.75">
      <c r="A6406" s="2">
        <v>43882.563935185186</v>
      </c>
      <c r="B6406" t="str">
        <f>HYPERLINK("https://twitter.com/herlambang_tan","@herlambang_tan")</f>
        <v>@herlambang_tan</v>
      </c>
      <c r="C6406" t="s">
        <v>4617</v>
      </c>
      <c r="D6406">
        <v>5</v>
      </c>
      <c r="E6406">
        <v>0</v>
      </c>
      <c r="F6406">
        <v>2365</v>
      </c>
    </row>
    <row r="6407" spans="1:6" ht="12.75">
      <c r="A6407" s="2">
        <v>43882.56386574074</v>
      </c>
      <c r="B6407" t="str">
        <f>HYPERLINK("https://twitter.com/RahmanAkly","@RahmanAkly")</f>
        <v>@RahmanAkly</v>
      </c>
      <c r="C6407" t="s">
        <v>4077</v>
      </c>
      <c r="D6407">
        <v>19</v>
      </c>
      <c r="E6407">
        <v>0</v>
      </c>
      <c r="F6407">
        <v>482</v>
      </c>
    </row>
    <row r="6408" spans="1:6" ht="12.75">
      <c r="A6408" s="2">
        <v>43882.563657407409</v>
      </c>
      <c r="B6408" t="str">
        <f>HYPERLINK("https://twitter.com/takiyagenjey","@takiyagenjey")</f>
        <v>@takiyagenjey</v>
      </c>
      <c r="C6408" t="s">
        <v>4638</v>
      </c>
      <c r="D6408">
        <v>0</v>
      </c>
      <c r="E6408">
        <v>0</v>
      </c>
      <c r="F6408">
        <v>45</v>
      </c>
    </row>
    <row r="6409" spans="1:6" ht="12.75">
      <c r="A6409" s="2">
        <v>43882.563310185185</v>
      </c>
      <c r="B6409" t="str">
        <f>HYPERLINK("https://twitter.com/auliasoebardi","@auliasoebardi")</f>
        <v>@auliasoebardi</v>
      </c>
      <c r="C6409" t="s">
        <v>2984</v>
      </c>
      <c r="D6409">
        <v>3</v>
      </c>
      <c r="E6409">
        <v>0</v>
      </c>
      <c r="F6409">
        <v>1574</v>
      </c>
    </row>
    <row r="6410" spans="1:6" ht="12.75">
      <c r="A6410" s="2">
        <v>43882.56318287037</v>
      </c>
      <c r="B6410" t="str">
        <f>HYPERLINK("https://twitter.com/aliomusiclover","@aliomusiclover")</f>
        <v>@aliomusiclover</v>
      </c>
      <c r="C6410" t="s">
        <v>3483</v>
      </c>
      <c r="D6410">
        <v>32</v>
      </c>
      <c r="E6410">
        <v>0</v>
      </c>
      <c r="F6410">
        <v>7</v>
      </c>
    </row>
    <row r="6411" spans="1:6" ht="12.75">
      <c r="A6411" s="2">
        <v>43882.562962962962</v>
      </c>
      <c r="B6411" t="str">
        <f>HYPERLINK("https://twitter.com/Ca91786","@Ca91786")</f>
        <v>@Ca91786</v>
      </c>
      <c r="C6411" t="s">
        <v>4639</v>
      </c>
      <c r="D6411">
        <v>0</v>
      </c>
      <c r="E6411">
        <v>1</v>
      </c>
      <c r="F6411">
        <v>193</v>
      </c>
    </row>
    <row r="6412" spans="1:6" ht="12.75">
      <c r="A6412" s="2">
        <v>43882.562743055554</v>
      </c>
      <c r="B6412" t="str">
        <f>HYPERLINK("https://twitter.com/YoyokSubandriy3","@YoyokSubandriy3")</f>
        <v>@YoyokSubandriy3</v>
      </c>
      <c r="C6412" t="s">
        <v>2165</v>
      </c>
      <c r="D6412">
        <v>18</v>
      </c>
      <c r="E6412">
        <v>0</v>
      </c>
      <c r="F6412">
        <v>1374</v>
      </c>
    </row>
    <row r="6413" spans="1:6" ht="12.75">
      <c r="A6413" s="2">
        <v>43882.561562499999</v>
      </c>
      <c r="B6413" t="str">
        <f>HYPERLINK("https://twitter.com/ariefnoviandi_","@ariefnoviandi_")</f>
        <v>@ariefnoviandi_</v>
      </c>
      <c r="C6413" t="s">
        <v>2165</v>
      </c>
      <c r="D6413">
        <v>18</v>
      </c>
      <c r="E6413">
        <v>0</v>
      </c>
      <c r="F6413">
        <v>2144</v>
      </c>
    </row>
    <row r="6414" spans="1:6" ht="12.75">
      <c r="A6414" s="2">
        <v>43882.561307870375</v>
      </c>
      <c r="B6414" t="str">
        <f>HYPERLINK("https://twitter.com/PutraJaguar8","@PutraJaguar8")</f>
        <v>@PutraJaguar8</v>
      </c>
      <c r="C6414" t="s">
        <v>4640</v>
      </c>
      <c r="D6414">
        <v>0</v>
      </c>
      <c r="E6414">
        <v>0</v>
      </c>
      <c r="F6414">
        <v>2</v>
      </c>
    </row>
    <row r="6415" spans="1:6" ht="12.75">
      <c r="A6415" s="2">
        <v>43882.560798611114</v>
      </c>
      <c r="B6415" t="str">
        <f>HYPERLINK("https://twitter.com/Bola2Indonesia","@Bola2Indonesia")</f>
        <v>@Bola2Indonesia</v>
      </c>
      <c r="C6415" t="s">
        <v>2165</v>
      </c>
      <c r="D6415">
        <v>18</v>
      </c>
      <c r="E6415">
        <v>0</v>
      </c>
      <c r="F6415">
        <v>488</v>
      </c>
    </row>
    <row r="6416" spans="1:6" ht="12.75">
      <c r="A6416" s="2">
        <v>43882.560520833329</v>
      </c>
      <c r="B6416" t="str">
        <f>HYPERLINK("https://twitter.com/ryolandafit","@ryolandafit")</f>
        <v>@ryolandafit</v>
      </c>
      <c r="C6416" t="s">
        <v>4641</v>
      </c>
      <c r="D6416">
        <v>1</v>
      </c>
      <c r="E6416">
        <v>0</v>
      </c>
      <c r="F6416">
        <v>649</v>
      </c>
    </row>
    <row r="6417" spans="1:6" ht="12.75">
      <c r="A6417" s="2">
        <v>43882.56040509259</v>
      </c>
      <c r="B6417" t="str">
        <f>HYPERLINK("https://twitter.com/Agamajinasi","@Agamajinasi")</f>
        <v>@Agamajinasi</v>
      </c>
      <c r="C6417" t="s">
        <v>4642</v>
      </c>
      <c r="D6417">
        <v>3</v>
      </c>
      <c r="E6417">
        <v>3</v>
      </c>
      <c r="F6417">
        <v>27456</v>
      </c>
    </row>
    <row r="6418" spans="1:6" ht="12.75">
      <c r="A6418" s="2">
        <v>43882.560393518521</v>
      </c>
      <c r="B6418" t="str">
        <f>HYPERLINK("https://twitter.com/PriskyPribadi74","@PriskyPribadi74")</f>
        <v>@PriskyPribadi74</v>
      </c>
      <c r="C6418" t="s">
        <v>4643</v>
      </c>
      <c r="D6418">
        <v>2</v>
      </c>
      <c r="E6418">
        <v>0</v>
      </c>
      <c r="F6418">
        <v>18</v>
      </c>
    </row>
    <row r="6419" spans="1:6" ht="12.75">
      <c r="A6419" s="2">
        <v>43882.560243055559</v>
      </c>
      <c r="B6419" t="str">
        <f>HYPERLINK("https://twitter.com/YogaAdrianyoga6","@YogaAdrianyoga6")</f>
        <v>@YogaAdrianyoga6</v>
      </c>
      <c r="C6419" t="s">
        <v>2116</v>
      </c>
      <c r="D6419">
        <v>11</v>
      </c>
      <c r="E6419">
        <v>0</v>
      </c>
      <c r="F6419">
        <v>783</v>
      </c>
    </row>
    <row r="6420" spans="1:6" ht="12.75">
      <c r="A6420" s="2">
        <v>43882.559999999998</v>
      </c>
      <c r="B6420" t="str">
        <f>HYPERLINK("https://twitter.com/SaatTobat","@SaatTobat")</f>
        <v>@SaatTobat</v>
      </c>
      <c r="C6420" t="s">
        <v>4644</v>
      </c>
      <c r="D6420">
        <v>5</v>
      </c>
      <c r="E6420">
        <v>0</v>
      </c>
      <c r="F6420">
        <v>1057</v>
      </c>
    </row>
    <row r="6421" spans="1:6" ht="12.75">
      <c r="A6421" s="2">
        <v>43882.542847222227</v>
      </c>
      <c r="B6421" t="str">
        <f>HYPERLINK("https://twitter.com/mudha_satriya","@mudha_satriya")</f>
        <v>@mudha_satriya</v>
      </c>
      <c r="C6421" t="s">
        <v>4645</v>
      </c>
      <c r="D6421">
        <v>3</v>
      </c>
      <c r="E6421">
        <v>0</v>
      </c>
      <c r="F6421">
        <v>1873</v>
      </c>
    </row>
    <row r="6422" spans="1:6" ht="12.75">
      <c r="A6422" s="2">
        <v>43882.542638888888</v>
      </c>
      <c r="B6422" t="str">
        <f>HYPERLINK("https://twitter.com/akhifatoni","@akhifatoni")</f>
        <v>@akhifatoni</v>
      </c>
      <c r="C6422" t="s">
        <v>3302</v>
      </c>
      <c r="D6422">
        <v>26</v>
      </c>
      <c r="E6422">
        <v>0</v>
      </c>
      <c r="F6422">
        <v>376</v>
      </c>
    </row>
    <row r="6423" spans="1:6" ht="12.75">
      <c r="A6423" s="2">
        <v>43882.542488425926</v>
      </c>
      <c r="B6423" t="str">
        <f>HYPERLINK("https://twitter.com/ellstormy","@ellstormy")</f>
        <v>@ellstormy</v>
      </c>
      <c r="C6423" t="s">
        <v>2116</v>
      </c>
      <c r="D6423">
        <v>4</v>
      </c>
      <c r="E6423">
        <v>0</v>
      </c>
      <c r="F6423">
        <v>1579</v>
      </c>
    </row>
    <row r="6424" spans="1:6" ht="12.75">
      <c r="A6424" s="2">
        <v>43882.542303240742</v>
      </c>
      <c r="B6424" t="str">
        <f>HYPERLINK("https://twitter.com/trubusid","@trubusid")</f>
        <v>@trubusid</v>
      </c>
      <c r="C6424" t="s">
        <v>4646</v>
      </c>
      <c r="D6424">
        <v>0</v>
      </c>
      <c r="E6424">
        <v>0</v>
      </c>
      <c r="F6424">
        <v>1023</v>
      </c>
    </row>
    <row r="6425" spans="1:6" ht="12.75">
      <c r="A6425" s="2">
        <v>43882.542094907403</v>
      </c>
      <c r="B6425" t="str">
        <f>HYPERLINK("https://twitter.com/mudha_satriya","@mudha_satriya")</f>
        <v>@mudha_satriya</v>
      </c>
      <c r="C6425" t="s">
        <v>4647</v>
      </c>
      <c r="D6425">
        <v>3</v>
      </c>
      <c r="E6425">
        <v>0</v>
      </c>
      <c r="F6425">
        <v>1873</v>
      </c>
    </row>
    <row r="6426" spans="1:6" ht="12.75">
      <c r="A6426" s="2">
        <v>43882.542037037041</v>
      </c>
      <c r="B6426" t="str">
        <f>HYPERLINK("https://twitter.com/KTabahawa","@KTabahawa")</f>
        <v>@KTabahawa</v>
      </c>
      <c r="C6426" t="s">
        <v>4648</v>
      </c>
      <c r="D6426">
        <v>2</v>
      </c>
      <c r="E6426">
        <v>0</v>
      </c>
      <c r="F6426">
        <v>928</v>
      </c>
    </row>
    <row r="6427" spans="1:6" ht="12.75">
      <c r="A6427" s="2">
        <v>43882.540613425925</v>
      </c>
      <c r="B6427" t="str">
        <f>HYPERLINK("https://twitter.com/Aininoer12","@Aininoer12")</f>
        <v>@Aininoer12</v>
      </c>
      <c r="C6427" t="s">
        <v>2116</v>
      </c>
      <c r="D6427">
        <v>4</v>
      </c>
      <c r="E6427">
        <v>0</v>
      </c>
      <c r="F6427">
        <v>6054</v>
      </c>
    </row>
    <row r="6428" spans="1:6" ht="12.75">
      <c r="A6428" s="2">
        <v>43882.540289351848</v>
      </c>
      <c r="B6428" t="str">
        <f>HYPERLINK("https://twitter.com/jen01073458","@jen01073458")</f>
        <v>@jen01073458</v>
      </c>
      <c r="C6428" t="s">
        <v>1407</v>
      </c>
      <c r="D6428">
        <v>9732</v>
      </c>
      <c r="E6428">
        <v>0</v>
      </c>
      <c r="F6428">
        <v>7</v>
      </c>
    </row>
    <row r="6429" spans="1:6" ht="12.75">
      <c r="A6429" s="2">
        <v>43882.539907407408</v>
      </c>
      <c r="B6429" t="str">
        <f>HYPERLINK("https://twitter.com/Joker_SantuyLho","@Joker_SantuyLho")</f>
        <v>@Joker_SantuyLho</v>
      </c>
      <c r="C6429" t="s">
        <v>2116</v>
      </c>
      <c r="D6429">
        <v>4</v>
      </c>
      <c r="E6429">
        <v>0</v>
      </c>
      <c r="F6429">
        <v>479</v>
      </c>
    </row>
    <row r="6430" spans="1:6" ht="12.75">
      <c r="A6430" s="2">
        <v>43882.539664351847</v>
      </c>
      <c r="B6430" t="str">
        <f>HYPERLINK("https://twitter.com/SydSalesman","@SydSalesman")</f>
        <v>@SydSalesman</v>
      </c>
      <c r="C6430" t="s">
        <v>2116</v>
      </c>
      <c r="D6430">
        <v>4</v>
      </c>
      <c r="E6430">
        <v>0</v>
      </c>
      <c r="F6430">
        <v>6234</v>
      </c>
    </row>
    <row r="6431" spans="1:6" ht="12.75">
      <c r="A6431" s="2">
        <v>43882.539270833338</v>
      </c>
      <c r="B6431" t="str">
        <f>HYPERLINK("https://twitter.com/AnakKolong___","@AnakKolong___")</f>
        <v>@AnakKolong___</v>
      </c>
      <c r="C6431" t="s">
        <v>4649</v>
      </c>
      <c r="D6431">
        <v>4</v>
      </c>
      <c r="E6431">
        <v>7</v>
      </c>
      <c r="F6431">
        <v>6398</v>
      </c>
    </row>
    <row r="6432" spans="1:6" ht="12.75">
      <c r="A6432" s="2">
        <v>43882.537650462968</v>
      </c>
      <c r="B6432" t="str">
        <f>HYPERLINK("https://twitter.com/octaff","@octaff")</f>
        <v>@octaff</v>
      </c>
      <c r="C6432" t="s">
        <v>4329</v>
      </c>
      <c r="D6432">
        <v>40</v>
      </c>
      <c r="E6432">
        <v>0</v>
      </c>
      <c r="F6432">
        <v>25</v>
      </c>
    </row>
    <row r="6433" spans="1:6" ht="12.75">
      <c r="A6433" s="2">
        <v>43882.537569444445</v>
      </c>
      <c r="B6433" t="str">
        <f>HYPERLINK("https://twitter.com/Herlina86712408","@Herlina86712408")</f>
        <v>@Herlina86712408</v>
      </c>
      <c r="C6433" t="s">
        <v>177</v>
      </c>
      <c r="D6433">
        <v>756</v>
      </c>
      <c r="E6433">
        <v>0</v>
      </c>
      <c r="F6433">
        <v>19</v>
      </c>
    </row>
    <row r="6434" spans="1:6" ht="12.75">
      <c r="A6434" s="2">
        <v>43882.537465277783</v>
      </c>
      <c r="B6434" t="str">
        <f>HYPERLINK("https://twitter.com/Frend81739521","@Frend81739521")</f>
        <v>@Frend81739521</v>
      </c>
      <c r="C6434" t="s">
        <v>4650</v>
      </c>
      <c r="D6434">
        <v>0</v>
      </c>
      <c r="E6434">
        <v>0</v>
      </c>
      <c r="F6434">
        <v>3</v>
      </c>
    </row>
    <row r="6435" spans="1:6" ht="12.75">
      <c r="A6435" s="2">
        <v>43882.537002314813</v>
      </c>
      <c r="B6435" t="str">
        <f>HYPERLINK("https://twitter.com/blemod","@blemod")</f>
        <v>@blemod</v>
      </c>
      <c r="C6435" t="s">
        <v>4252</v>
      </c>
      <c r="D6435">
        <v>18</v>
      </c>
      <c r="E6435">
        <v>0</v>
      </c>
      <c r="F6435">
        <v>1187</v>
      </c>
    </row>
    <row r="6436" spans="1:6" ht="12.75">
      <c r="A6436" s="2">
        <v>43882.536238425921</v>
      </c>
      <c r="B6436" t="str">
        <f>HYPERLINK("https://twitter.com/Nazliariska","@Nazliariska")</f>
        <v>@Nazliariska</v>
      </c>
      <c r="C6436" t="s">
        <v>177</v>
      </c>
      <c r="D6436">
        <v>756</v>
      </c>
      <c r="E6436">
        <v>0</v>
      </c>
      <c r="F6436">
        <v>231</v>
      </c>
    </row>
    <row r="6437" spans="1:6" ht="12.75">
      <c r="A6437" s="2">
        <v>43882.535462962958</v>
      </c>
      <c r="B6437" t="str">
        <f>HYPERLINK("https://twitter.com/TimDavid4u","@TimDavid4u")</f>
        <v>@TimDavid4u</v>
      </c>
      <c r="C6437" t="s">
        <v>4360</v>
      </c>
      <c r="D6437">
        <v>195</v>
      </c>
      <c r="E6437">
        <v>0</v>
      </c>
      <c r="F6437">
        <v>1257</v>
      </c>
    </row>
    <row r="6438" spans="1:6" ht="12.75">
      <c r="A6438" s="2">
        <v>43882.535231481481</v>
      </c>
      <c r="B6438" t="str">
        <f>HYPERLINK("https://twitter.com/AnakLolina","@AnakLolina")</f>
        <v>@AnakLolina</v>
      </c>
      <c r="C6438" t="s">
        <v>4252</v>
      </c>
      <c r="D6438">
        <v>18</v>
      </c>
      <c r="E6438">
        <v>0</v>
      </c>
      <c r="F6438">
        <v>14723</v>
      </c>
    </row>
    <row r="6439" spans="1:6" ht="12.75">
      <c r="A6439" s="2">
        <v>43882.535046296296</v>
      </c>
      <c r="B6439" t="str">
        <f t="shared" ref="B6439:B6446" si="111">HYPERLINK("https://twitter.com/AnakKolong___","@AnakKolong___")</f>
        <v>@AnakKolong___</v>
      </c>
      <c r="C6439" t="s">
        <v>4648</v>
      </c>
      <c r="D6439">
        <v>2</v>
      </c>
      <c r="E6439">
        <v>0</v>
      </c>
      <c r="F6439">
        <v>6398</v>
      </c>
    </row>
    <row r="6440" spans="1:6" ht="12.75">
      <c r="A6440" s="2">
        <v>43882.535011574073</v>
      </c>
      <c r="B6440" t="str">
        <f t="shared" si="111"/>
        <v>@AnakKolong___</v>
      </c>
      <c r="C6440" t="s">
        <v>4644</v>
      </c>
      <c r="D6440">
        <v>1</v>
      </c>
      <c r="E6440">
        <v>0</v>
      </c>
      <c r="F6440">
        <v>6398</v>
      </c>
    </row>
    <row r="6441" spans="1:6" ht="12.75">
      <c r="A6441" s="2">
        <v>43882.534942129627</v>
      </c>
      <c r="B6441" t="str">
        <f t="shared" si="111"/>
        <v>@AnakKolong___</v>
      </c>
      <c r="C6441" t="s">
        <v>4651</v>
      </c>
      <c r="D6441">
        <v>1</v>
      </c>
      <c r="E6441">
        <v>0</v>
      </c>
      <c r="F6441">
        <v>6398</v>
      </c>
    </row>
    <row r="6442" spans="1:6" ht="12.75">
      <c r="A6442" s="2">
        <v>43882.534907407404</v>
      </c>
      <c r="B6442" t="str">
        <f t="shared" si="111"/>
        <v>@AnakKolong___</v>
      </c>
      <c r="C6442" t="s">
        <v>4652</v>
      </c>
      <c r="D6442">
        <v>1</v>
      </c>
      <c r="E6442">
        <v>0</v>
      </c>
      <c r="F6442">
        <v>6398</v>
      </c>
    </row>
    <row r="6443" spans="1:6" ht="12.75">
      <c r="A6443" s="2">
        <v>43882.534884259258</v>
      </c>
      <c r="B6443" t="str">
        <f t="shared" si="111"/>
        <v>@AnakKolong___</v>
      </c>
      <c r="C6443" t="s">
        <v>4653</v>
      </c>
      <c r="D6443">
        <v>1</v>
      </c>
      <c r="E6443">
        <v>0</v>
      </c>
      <c r="F6443">
        <v>6398</v>
      </c>
    </row>
    <row r="6444" spans="1:6" ht="12.75">
      <c r="A6444" s="2">
        <v>43882.534849537042</v>
      </c>
      <c r="B6444" t="str">
        <f t="shared" si="111"/>
        <v>@AnakKolong___</v>
      </c>
      <c r="C6444" t="s">
        <v>4654</v>
      </c>
      <c r="D6444">
        <v>1</v>
      </c>
      <c r="E6444">
        <v>0</v>
      </c>
      <c r="F6444">
        <v>6398</v>
      </c>
    </row>
    <row r="6445" spans="1:6" ht="12.75">
      <c r="A6445" s="2">
        <v>43882.534826388888</v>
      </c>
      <c r="B6445" t="str">
        <f t="shared" si="111"/>
        <v>@AnakKolong___</v>
      </c>
      <c r="C6445" t="s">
        <v>4655</v>
      </c>
      <c r="D6445">
        <v>1</v>
      </c>
      <c r="E6445">
        <v>0</v>
      </c>
      <c r="F6445">
        <v>6398</v>
      </c>
    </row>
    <row r="6446" spans="1:6" ht="12.75">
      <c r="A6446" s="2">
        <v>43882.534780092596</v>
      </c>
      <c r="B6446" t="str">
        <f t="shared" si="111"/>
        <v>@AnakKolong___</v>
      </c>
      <c r="C6446" t="s">
        <v>4656</v>
      </c>
      <c r="D6446">
        <v>1</v>
      </c>
      <c r="E6446">
        <v>0</v>
      </c>
      <c r="F6446">
        <v>6398</v>
      </c>
    </row>
    <row r="6447" spans="1:6" ht="12.75">
      <c r="A6447" s="2">
        <v>43882.534756944442</v>
      </c>
      <c r="B6447" t="str">
        <f>HYPERLINK("https://twitter.com/KontanNews","@KontanNews")</f>
        <v>@KontanNews</v>
      </c>
      <c r="C6447" t="s">
        <v>4657</v>
      </c>
      <c r="D6447">
        <v>0</v>
      </c>
      <c r="E6447">
        <v>0</v>
      </c>
      <c r="F6447">
        <v>316877</v>
      </c>
    </row>
    <row r="6448" spans="1:6" ht="12.75">
      <c r="A6448" s="2">
        <v>43882.533726851849</v>
      </c>
      <c r="B6448" t="str">
        <f>HYPERLINK("https://twitter.com/wjjeje","@wjjeje")</f>
        <v>@wjjeje</v>
      </c>
      <c r="C6448" t="s">
        <v>4643</v>
      </c>
      <c r="D6448">
        <v>1</v>
      </c>
      <c r="E6448">
        <v>0</v>
      </c>
      <c r="F6448">
        <v>983</v>
      </c>
    </row>
    <row r="6449" spans="1:6" ht="12.75">
      <c r="A6449" s="2">
        <v>43882.533275462964</v>
      </c>
      <c r="B6449" t="str">
        <f>HYPERLINK("https://twitter.com/beatrice_health","@beatrice_health")</f>
        <v>@beatrice_health</v>
      </c>
      <c r="C6449" t="s">
        <v>4658</v>
      </c>
      <c r="D6449">
        <v>1</v>
      </c>
      <c r="E6449">
        <v>0</v>
      </c>
      <c r="F6449">
        <v>250</v>
      </c>
    </row>
    <row r="6450" spans="1:6" ht="12.75">
      <c r="A6450" s="2">
        <v>43882.533136574071</v>
      </c>
      <c r="B6450" t="str">
        <f>HYPERLINK("https://twitter.com/tani_suara","@tani_suara")</f>
        <v>@tani_suara</v>
      </c>
      <c r="C6450" t="s">
        <v>4659</v>
      </c>
      <c r="D6450">
        <v>1</v>
      </c>
      <c r="E6450">
        <v>0</v>
      </c>
      <c r="F6450">
        <v>73</v>
      </c>
    </row>
    <row r="6451" spans="1:6" ht="12.75">
      <c r="A6451" s="2">
        <v>43882.533043981486</v>
      </c>
      <c r="B6451" t="str">
        <f>HYPERLINK("https://twitter.com/terevishita","@terevishita")</f>
        <v>@terevishita</v>
      </c>
      <c r="C6451" t="s">
        <v>4660</v>
      </c>
      <c r="D6451">
        <v>3</v>
      </c>
      <c r="E6451">
        <v>0</v>
      </c>
      <c r="F6451">
        <v>70</v>
      </c>
    </row>
    <row r="6452" spans="1:6" ht="12.75">
      <c r="A6452" s="2">
        <v>43882.532708333332</v>
      </c>
      <c r="B6452" t="str">
        <f>HYPERLINK("https://twitter.com/ElshintaTegal_","@ElshintaTegal_")</f>
        <v>@ElshintaTegal_</v>
      </c>
      <c r="C6452" t="s">
        <v>4661</v>
      </c>
      <c r="D6452">
        <v>0</v>
      </c>
      <c r="E6452">
        <v>0</v>
      </c>
      <c r="F6452">
        <v>33</v>
      </c>
    </row>
    <row r="6453" spans="1:6" ht="12.75">
      <c r="A6453" s="2">
        <v>43882.532488425924</v>
      </c>
      <c r="B6453" t="str">
        <f>HYPERLINK("https://twitter.com/Firdaus07610087","@Firdaus07610087")</f>
        <v>@Firdaus07610087</v>
      </c>
      <c r="C6453" t="s">
        <v>4252</v>
      </c>
      <c r="D6453">
        <v>18</v>
      </c>
      <c r="E6453">
        <v>0</v>
      </c>
      <c r="F6453">
        <v>308</v>
      </c>
    </row>
    <row r="6454" spans="1:6" ht="12.75">
      <c r="A6454" s="2">
        <v>43882.532071759255</v>
      </c>
      <c r="B6454" t="str">
        <f>HYPERLINK("https://twitter.com/ryryanry","@ryryanry")</f>
        <v>@ryryanry</v>
      </c>
      <c r="C6454" t="s">
        <v>4662</v>
      </c>
      <c r="D6454">
        <v>0</v>
      </c>
      <c r="E6454">
        <v>0</v>
      </c>
      <c r="F6454">
        <v>17</v>
      </c>
    </row>
    <row r="6455" spans="1:6" ht="12.75">
      <c r="A6455" s="2">
        <v>43882.532048611116</v>
      </c>
      <c r="B6455" t="str">
        <f>HYPERLINK("https://twitter.com/CNNIDdaily","@CNNIDdaily")</f>
        <v>@CNNIDdaily</v>
      </c>
      <c r="C6455" t="s">
        <v>4663</v>
      </c>
      <c r="D6455">
        <v>1</v>
      </c>
      <c r="E6455">
        <v>1</v>
      </c>
      <c r="F6455">
        <v>117759</v>
      </c>
    </row>
    <row r="6456" spans="1:6" ht="12.75">
      <c r="A6456" s="2">
        <v>43882.531643518523</v>
      </c>
      <c r="B6456" t="str">
        <f t="shared" ref="B6456:B6463" si="112">HYPERLINK("https://twitter.com/BakarSmith","@BakarSmith")</f>
        <v>@BakarSmith</v>
      </c>
      <c r="C6456" t="s">
        <v>4664</v>
      </c>
      <c r="D6456">
        <v>2</v>
      </c>
      <c r="E6456">
        <v>5</v>
      </c>
      <c r="F6456">
        <v>21651</v>
      </c>
    </row>
    <row r="6457" spans="1:6" ht="12.75">
      <c r="A6457" s="2">
        <v>43882.531631944439</v>
      </c>
      <c r="B6457" t="str">
        <f t="shared" si="112"/>
        <v>@BakarSmith</v>
      </c>
      <c r="C6457" t="s">
        <v>4665</v>
      </c>
      <c r="D6457">
        <v>1</v>
      </c>
      <c r="E6457">
        <v>4</v>
      </c>
      <c r="F6457">
        <v>21651</v>
      </c>
    </row>
    <row r="6458" spans="1:6" ht="12.75">
      <c r="A6458" s="2">
        <v>43882.5316087963</v>
      </c>
      <c r="B6458" t="str">
        <f t="shared" si="112"/>
        <v>@BakarSmith</v>
      </c>
      <c r="C6458" t="s">
        <v>4666</v>
      </c>
      <c r="D6458">
        <v>1</v>
      </c>
      <c r="E6458">
        <v>1</v>
      </c>
      <c r="F6458">
        <v>21651</v>
      </c>
    </row>
    <row r="6459" spans="1:6" ht="12.75">
      <c r="A6459" s="2">
        <v>43882.531597222223</v>
      </c>
      <c r="B6459" t="str">
        <f t="shared" si="112"/>
        <v>@BakarSmith</v>
      </c>
      <c r="C6459" t="s">
        <v>4667</v>
      </c>
      <c r="D6459">
        <v>1</v>
      </c>
      <c r="E6459">
        <v>2</v>
      </c>
      <c r="F6459">
        <v>21651</v>
      </c>
    </row>
    <row r="6460" spans="1:6" ht="12.75">
      <c r="A6460" s="2">
        <v>43882.531597222223</v>
      </c>
      <c r="B6460" t="str">
        <f t="shared" si="112"/>
        <v>@BakarSmith</v>
      </c>
      <c r="C6460" t="s">
        <v>4668</v>
      </c>
      <c r="D6460">
        <v>1</v>
      </c>
      <c r="E6460">
        <v>2</v>
      </c>
      <c r="F6460">
        <v>21651</v>
      </c>
    </row>
    <row r="6461" spans="1:6" ht="12.75">
      <c r="A6461" s="2">
        <v>43882.531585648147</v>
      </c>
      <c r="B6461" t="str">
        <f t="shared" si="112"/>
        <v>@BakarSmith</v>
      </c>
      <c r="C6461" t="s">
        <v>4669</v>
      </c>
      <c r="D6461">
        <v>1</v>
      </c>
      <c r="E6461">
        <v>2</v>
      </c>
      <c r="F6461">
        <v>21651</v>
      </c>
    </row>
    <row r="6462" spans="1:6" ht="12.75">
      <c r="A6462" s="2">
        <v>43882.531574074077</v>
      </c>
      <c r="B6462" t="str">
        <f t="shared" si="112"/>
        <v>@BakarSmith</v>
      </c>
      <c r="C6462" t="s">
        <v>4670</v>
      </c>
      <c r="D6462">
        <v>1</v>
      </c>
      <c r="E6462">
        <v>2</v>
      </c>
      <c r="F6462">
        <v>21651</v>
      </c>
    </row>
    <row r="6463" spans="1:6" ht="12.75">
      <c r="A6463" s="2">
        <v>43882.531539351854</v>
      </c>
      <c r="B6463" t="str">
        <f t="shared" si="112"/>
        <v>@BakarSmith</v>
      </c>
      <c r="C6463" t="s">
        <v>4671</v>
      </c>
      <c r="D6463">
        <v>1</v>
      </c>
      <c r="E6463">
        <v>2</v>
      </c>
      <c r="F6463">
        <v>21651</v>
      </c>
    </row>
    <row r="6464" spans="1:6" ht="12.75">
      <c r="A6464" s="2">
        <v>43882.531481481477</v>
      </c>
      <c r="B6464" t="str">
        <f>HYPERLINK("https://twitter.com/heri_purnama","@heri_purnama")</f>
        <v>@heri_purnama</v>
      </c>
      <c r="C6464" t="s">
        <v>4252</v>
      </c>
      <c r="D6464">
        <v>18</v>
      </c>
      <c r="E6464">
        <v>0</v>
      </c>
      <c r="F6464">
        <v>521</v>
      </c>
    </row>
    <row r="6465" spans="1:6" ht="12.75">
      <c r="A6465" s="2">
        <v>43882.531284722223</v>
      </c>
      <c r="B6465" t="str">
        <f>HYPERLINK("https://twitter.com/demotivacot","@demotivacot")</f>
        <v>@demotivacot</v>
      </c>
      <c r="C6465" t="s">
        <v>4672</v>
      </c>
      <c r="D6465">
        <v>0</v>
      </c>
      <c r="E6465">
        <v>0</v>
      </c>
      <c r="F6465">
        <v>603</v>
      </c>
    </row>
    <row r="6466" spans="1:6" ht="12.75">
      <c r="A6466" s="2">
        <v>43882.53087962963</v>
      </c>
      <c r="B6466" t="str">
        <f>HYPERLINK("https://twitter.com/Suhaimi42879488","@Suhaimi42879488")</f>
        <v>@Suhaimi42879488</v>
      </c>
      <c r="C6466" t="s">
        <v>4673</v>
      </c>
      <c r="D6466">
        <v>0</v>
      </c>
      <c r="E6466">
        <v>0</v>
      </c>
      <c r="F6466">
        <v>1</v>
      </c>
    </row>
    <row r="6467" spans="1:6" ht="12.75">
      <c r="A6467" s="2">
        <v>43882.530590277776</v>
      </c>
      <c r="B6467" t="str">
        <f>HYPERLINK("https://twitter.com/D3mocrata","@D3mocrata")</f>
        <v>@D3mocrata</v>
      </c>
      <c r="C6467" t="s">
        <v>4674</v>
      </c>
      <c r="D6467">
        <v>0</v>
      </c>
      <c r="E6467">
        <v>0</v>
      </c>
      <c r="F6467">
        <v>1563</v>
      </c>
    </row>
    <row r="6468" spans="1:6" ht="12.75">
      <c r="A6468" s="2">
        <v>43882.530381944445</v>
      </c>
      <c r="B6468" t="str">
        <f>HYPERLINK("https://twitter.com/tani_suara","@tani_suara")</f>
        <v>@tani_suara</v>
      </c>
      <c r="C6468" t="s">
        <v>4659</v>
      </c>
      <c r="D6468">
        <v>0</v>
      </c>
      <c r="E6468">
        <v>0</v>
      </c>
      <c r="F6468">
        <v>73</v>
      </c>
    </row>
    <row r="6469" spans="1:6" ht="12.75">
      <c r="A6469" s="2">
        <v>43882.529374999998</v>
      </c>
      <c r="B6469" t="str">
        <f>HYPERLINK("https://twitter.com/MudasirRomini","@MudasirRomini")</f>
        <v>@MudasirRomini</v>
      </c>
      <c r="C6469" t="s">
        <v>4252</v>
      </c>
      <c r="D6469">
        <v>18</v>
      </c>
      <c r="E6469">
        <v>0</v>
      </c>
      <c r="F6469">
        <v>7610</v>
      </c>
    </row>
    <row r="6470" spans="1:6" ht="12.75">
      <c r="A6470" s="2">
        <v>43882.528171296297</v>
      </c>
      <c r="B6470" t="str">
        <f>HYPERLINK("https://twitter.com/anislcrm","@anislcrm")</f>
        <v>@anislcrm</v>
      </c>
      <c r="C6470" t="s">
        <v>4675</v>
      </c>
      <c r="D6470">
        <v>0</v>
      </c>
      <c r="E6470">
        <v>1</v>
      </c>
      <c r="F6470">
        <v>127</v>
      </c>
    </row>
    <row r="6471" spans="1:6" ht="12.75">
      <c r="A6471" s="2">
        <v>43882.527268518519</v>
      </c>
      <c r="B6471" t="str">
        <f>HYPERLINK("https://twitter.com/ryolandafit","@ryolandafit")</f>
        <v>@ryolandafit</v>
      </c>
      <c r="C6471" t="s">
        <v>4647</v>
      </c>
      <c r="D6471">
        <v>3</v>
      </c>
      <c r="E6471">
        <v>0</v>
      </c>
      <c r="F6471">
        <v>649</v>
      </c>
    </row>
    <row r="6472" spans="1:6" ht="12.75">
      <c r="A6472" s="2">
        <v>43882.527245370366</v>
      </c>
      <c r="B6472" t="str">
        <f>HYPERLINK("https://twitter.com/agussug92921120","@agussug92921120")</f>
        <v>@agussug92921120</v>
      </c>
      <c r="C6472" t="s">
        <v>4676</v>
      </c>
      <c r="D6472">
        <v>0</v>
      </c>
      <c r="E6472">
        <v>0</v>
      </c>
      <c r="F6472">
        <v>327</v>
      </c>
    </row>
    <row r="6473" spans="1:6" ht="12.75">
      <c r="A6473" s="2">
        <v>43882.527106481481</v>
      </c>
      <c r="B6473" t="str">
        <f t="shared" ref="B6473:B6474" si="113">HYPERLINK("https://twitter.com/ryolandafit","@ryolandafit")</f>
        <v>@ryolandafit</v>
      </c>
      <c r="C6473" t="s">
        <v>4645</v>
      </c>
      <c r="D6473">
        <v>3</v>
      </c>
      <c r="E6473">
        <v>0</v>
      </c>
      <c r="F6473">
        <v>649</v>
      </c>
    </row>
    <row r="6474" spans="1:6" ht="12.75">
      <c r="A6474" s="2">
        <v>43882.526562500003</v>
      </c>
      <c r="B6474" t="str">
        <f t="shared" si="113"/>
        <v>@ryolandafit</v>
      </c>
      <c r="C6474" t="s">
        <v>4677</v>
      </c>
      <c r="D6474">
        <v>1</v>
      </c>
      <c r="E6474">
        <v>0</v>
      </c>
      <c r="F6474">
        <v>649</v>
      </c>
    </row>
    <row r="6475" spans="1:6" ht="12.75">
      <c r="A6475" s="2">
        <v>43882.52615740741</v>
      </c>
      <c r="B6475" t="str">
        <f>HYPERLINK("https://twitter.com/TeresaSkaggs5","@TeresaSkaggs5")</f>
        <v>@TeresaSkaggs5</v>
      </c>
      <c r="C6475" t="s">
        <v>4678</v>
      </c>
      <c r="D6475">
        <v>2</v>
      </c>
      <c r="E6475">
        <v>0</v>
      </c>
      <c r="F6475">
        <v>3950</v>
      </c>
    </row>
    <row r="6476" spans="1:6" ht="12.75">
      <c r="A6476" s="2">
        <v>43882.524652777778</v>
      </c>
      <c r="B6476" t="str">
        <f>HYPERLINK("https://twitter.com/ryolandafit","@ryolandafit")</f>
        <v>@ryolandafit</v>
      </c>
      <c r="C6476" t="s">
        <v>4679</v>
      </c>
      <c r="D6476">
        <v>4</v>
      </c>
      <c r="E6476">
        <v>0</v>
      </c>
      <c r="F6476">
        <v>649</v>
      </c>
    </row>
    <row r="6477" spans="1:6" ht="12.75">
      <c r="A6477" s="2">
        <v>43882.523888888885</v>
      </c>
      <c r="B6477" t="str">
        <f>HYPERLINK("https://twitter.com/jon1_14","@jon1_14")</f>
        <v>@jon1_14</v>
      </c>
      <c r="C6477" t="s">
        <v>4660</v>
      </c>
      <c r="D6477">
        <v>3</v>
      </c>
      <c r="E6477">
        <v>0</v>
      </c>
      <c r="F6477">
        <v>139</v>
      </c>
    </row>
    <row r="6478" spans="1:6" ht="12.75">
      <c r="A6478" s="2">
        <v>43882.522789351853</v>
      </c>
      <c r="B6478" t="str">
        <f>HYPERLINK("https://twitter.com/Paulus_willy","@Paulus_willy")</f>
        <v>@Paulus_willy</v>
      </c>
      <c r="C6478" t="s">
        <v>4252</v>
      </c>
      <c r="D6478">
        <v>18</v>
      </c>
      <c r="E6478">
        <v>0</v>
      </c>
      <c r="F6478">
        <v>1650</v>
      </c>
    </row>
    <row r="6479" spans="1:6" ht="12.75">
      <c r="A6479" s="2">
        <v>43882.521493055552</v>
      </c>
      <c r="B6479" t="str">
        <f>HYPERLINK("https://twitter.com/arianarosaline","@arianarosaline")</f>
        <v>@arianarosaline</v>
      </c>
      <c r="C6479" t="s">
        <v>4252</v>
      </c>
      <c r="D6479">
        <v>18</v>
      </c>
      <c r="E6479">
        <v>0</v>
      </c>
      <c r="F6479">
        <v>11238</v>
      </c>
    </row>
    <row r="6480" spans="1:6" ht="12.75">
      <c r="A6480" s="2">
        <v>43882.521331018521</v>
      </c>
      <c r="B6480" t="str">
        <f>HYPERLINK("https://twitter.com/ndaawinwin","@ndaawinwin")</f>
        <v>@ndaawinwin</v>
      </c>
      <c r="C6480" t="s">
        <v>4680</v>
      </c>
      <c r="D6480">
        <v>0</v>
      </c>
      <c r="E6480">
        <v>0</v>
      </c>
      <c r="F6480">
        <v>2</v>
      </c>
    </row>
    <row r="6481" spans="1:6" ht="12.75">
      <c r="A6481" s="2">
        <v>43882.520868055552</v>
      </c>
      <c r="B6481" t="str">
        <f>HYPERLINK("https://twitter.com/Candraasmara85","@Candraasmara85")</f>
        <v>@Candraasmara85</v>
      </c>
      <c r="C6481" t="s">
        <v>4252</v>
      </c>
      <c r="D6481">
        <v>18</v>
      </c>
      <c r="E6481">
        <v>0</v>
      </c>
      <c r="F6481">
        <v>10564</v>
      </c>
    </row>
    <row r="6482" spans="1:6" ht="12.75">
      <c r="A6482" s="2">
        <v>43882.520833333328</v>
      </c>
      <c r="B6482" t="str">
        <f>HYPERLINK("https://twitter.com/GesuriID","@GesuriID")</f>
        <v>@GesuriID</v>
      </c>
      <c r="C6482" t="s">
        <v>4681</v>
      </c>
      <c r="D6482">
        <v>0</v>
      </c>
      <c r="E6482">
        <v>0</v>
      </c>
      <c r="F6482">
        <v>197372</v>
      </c>
    </row>
    <row r="6483" spans="1:6" ht="12.75">
      <c r="A6483" s="2">
        <v>43882.519930555558</v>
      </c>
      <c r="B6483" t="str">
        <f>HYPERLINK("https://twitter.com/ryolandafit","@ryolandafit")</f>
        <v>@ryolandafit</v>
      </c>
      <c r="C6483" t="s">
        <v>4265</v>
      </c>
      <c r="D6483">
        <v>2</v>
      </c>
      <c r="E6483">
        <v>0</v>
      </c>
      <c r="F6483">
        <v>649</v>
      </c>
    </row>
    <row r="6484" spans="1:6" ht="12.75">
      <c r="A6484" s="2">
        <v>43882.519594907411</v>
      </c>
      <c r="B6484" t="str">
        <f>HYPERLINK("https://twitter.com/snsd_indo","@snsd_indo")</f>
        <v>@snsd_indo</v>
      </c>
      <c r="C6484" t="s">
        <v>4682</v>
      </c>
      <c r="D6484">
        <v>0</v>
      </c>
      <c r="E6484">
        <v>0</v>
      </c>
      <c r="F6484">
        <v>646</v>
      </c>
    </row>
    <row r="6485" spans="1:6" ht="12.75">
      <c r="A6485" s="2">
        <v>43882.519039351857</v>
      </c>
      <c r="B6485" t="str">
        <f>HYPERLINK("https://twitter.com/barryaje","@barryaje")</f>
        <v>@barryaje</v>
      </c>
      <c r="C6485" t="s">
        <v>4683</v>
      </c>
      <c r="D6485">
        <v>5</v>
      </c>
      <c r="E6485">
        <v>0</v>
      </c>
      <c r="F6485">
        <v>676</v>
      </c>
    </row>
    <row r="6486" spans="1:6" ht="12.75">
      <c r="A6486" s="2">
        <v>43882.518217592587</v>
      </c>
      <c r="B6486" t="str">
        <f>HYPERLINK("https://twitter.com/Metro_TV","@Metro_TV")</f>
        <v>@Metro_TV</v>
      </c>
      <c r="C6486" t="s">
        <v>4684</v>
      </c>
      <c r="D6486">
        <v>1</v>
      </c>
      <c r="E6486">
        <v>5</v>
      </c>
      <c r="F6486">
        <v>10511250</v>
      </c>
    </row>
    <row r="6487" spans="1:6" ht="12.75">
      <c r="A6487" s="2">
        <v>43882.517916666664</v>
      </c>
      <c r="B6487" t="str">
        <f>HYPERLINK("https://twitter.com/lindastruk","@lindastruk")</f>
        <v>@lindastruk</v>
      </c>
      <c r="C6487" t="s">
        <v>4685</v>
      </c>
      <c r="D6487">
        <v>0</v>
      </c>
      <c r="E6487">
        <v>0</v>
      </c>
      <c r="F6487">
        <v>101</v>
      </c>
    </row>
    <row r="6488" spans="1:6" ht="12.75">
      <c r="A6488" s="2">
        <v>43882.517245370371</v>
      </c>
      <c r="B6488" t="str">
        <f>HYPERLINK("https://twitter.com/hasnasyahida","@hasnasyahida")</f>
        <v>@hasnasyahida</v>
      </c>
      <c r="C6488" t="s">
        <v>4686</v>
      </c>
      <c r="D6488">
        <v>0</v>
      </c>
      <c r="E6488">
        <v>0</v>
      </c>
      <c r="F6488">
        <v>917</v>
      </c>
    </row>
    <row r="6489" spans="1:6" ht="12.75">
      <c r="A6489" s="2">
        <v>43882.515879629631</v>
      </c>
      <c r="B6489" t="str">
        <f>HYPERLINK("https://twitter.com/SamuelPHarahap","@SamuelPHarahap")</f>
        <v>@SamuelPHarahap</v>
      </c>
      <c r="C6489" t="s">
        <v>4687</v>
      </c>
      <c r="D6489">
        <v>0</v>
      </c>
      <c r="E6489">
        <v>0</v>
      </c>
      <c r="F6489">
        <v>82</v>
      </c>
    </row>
    <row r="6490" spans="1:6" ht="12.75">
      <c r="A6490" s="2">
        <v>43882.51457175926</v>
      </c>
      <c r="B6490" t="str">
        <f>HYPERLINK("https://twitter.com/HenkMizell","@HenkMizell")</f>
        <v>@HenkMizell</v>
      </c>
      <c r="C6490" t="s">
        <v>4688</v>
      </c>
      <c r="D6490">
        <v>0</v>
      </c>
      <c r="E6490">
        <v>0</v>
      </c>
      <c r="F6490">
        <v>19</v>
      </c>
    </row>
    <row r="6491" spans="1:6" ht="12.75">
      <c r="A6491" s="2">
        <v>43882.514293981483</v>
      </c>
      <c r="B6491" t="str">
        <f>HYPERLINK("https://twitter.com/Metro_TV","@Metro_TV")</f>
        <v>@Metro_TV</v>
      </c>
      <c r="C6491" t="s">
        <v>4689</v>
      </c>
      <c r="D6491">
        <v>3</v>
      </c>
      <c r="E6491">
        <v>2</v>
      </c>
      <c r="F6491">
        <v>10511250</v>
      </c>
    </row>
    <row r="6492" spans="1:6" ht="12.75">
      <c r="A6492" s="2">
        <v>43882.514016203699</v>
      </c>
      <c r="B6492" t="str">
        <f>HYPERLINK("https://twitter.com/keisiepo","@keisiepo")</f>
        <v>@keisiepo</v>
      </c>
      <c r="C6492" t="s">
        <v>513</v>
      </c>
      <c r="D6492">
        <v>23246</v>
      </c>
      <c r="E6492">
        <v>0</v>
      </c>
      <c r="F6492">
        <v>3514</v>
      </c>
    </row>
    <row r="6493" spans="1:6" ht="12.75">
      <c r="A6493" s="2">
        <v>43882.513865740737</v>
      </c>
      <c r="B6493" t="str">
        <f>HYPERLINK("https://twitter.com/HasifhaN","@HasifhaN")</f>
        <v>@HasifhaN</v>
      </c>
      <c r="C6493" t="s">
        <v>177</v>
      </c>
      <c r="D6493">
        <v>756</v>
      </c>
      <c r="E6493">
        <v>0</v>
      </c>
      <c r="F6493">
        <v>1</v>
      </c>
    </row>
    <row r="6494" spans="1:6" ht="12.75">
      <c r="A6494" s="2">
        <v>43882.513020833328</v>
      </c>
      <c r="B6494" t="str">
        <f>HYPERLINK("https://twitter.com/AjiNuegroho","@AjiNuegroho")</f>
        <v>@AjiNuegroho</v>
      </c>
      <c r="C6494" t="s">
        <v>4690</v>
      </c>
      <c r="D6494">
        <v>0</v>
      </c>
      <c r="E6494">
        <v>0</v>
      </c>
      <c r="F6494">
        <v>32</v>
      </c>
    </row>
    <row r="6495" spans="1:6" ht="12.75">
      <c r="A6495" s="2">
        <v>43882.512303240743</v>
      </c>
      <c r="B6495" t="str">
        <f>HYPERLINK("https://twitter.com/AntonyRiyanto","@AntonyRiyanto")</f>
        <v>@AntonyRiyanto</v>
      </c>
      <c r="C6495" t="s">
        <v>4691</v>
      </c>
      <c r="D6495">
        <v>0</v>
      </c>
      <c r="E6495">
        <v>0</v>
      </c>
      <c r="F6495">
        <v>415</v>
      </c>
    </row>
    <row r="6496" spans="1:6" ht="12.75">
      <c r="A6496" s="2">
        <v>43882.512222222227</v>
      </c>
      <c r="B6496" t="str">
        <f>HYPERLINK("https://twitter.com/Metro_TV","@Metro_TV")</f>
        <v>@Metro_TV</v>
      </c>
      <c r="C6496" t="s">
        <v>4692</v>
      </c>
      <c r="D6496">
        <v>3</v>
      </c>
      <c r="E6496">
        <v>1</v>
      </c>
      <c r="F6496">
        <v>10511250</v>
      </c>
    </row>
    <row r="6497" spans="1:6" ht="12.75">
      <c r="A6497" s="2">
        <v>43882.511041666672</v>
      </c>
      <c r="B6497" t="str">
        <f>HYPERLINK("https://twitter.com/bpbd_bolmong","@bpbd_bolmong")</f>
        <v>@bpbd_bolmong</v>
      </c>
      <c r="C6497" t="s">
        <v>4693</v>
      </c>
      <c r="D6497">
        <v>0</v>
      </c>
      <c r="E6497">
        <v>0</v>
      </c>
      <c r="F6497">
        <v>551</v>
      </c>
    </row>
    <row r="6498" spans="1:6" ht="12.75">
      <c r="A6498" s="2">
        <v>43882.51085648148</v>
      </c>
      <c r="B6498" t="str">
        <f>HYPERLINK("https://twitter.com/bensutasoma","@bensutasoma")</f>
        <v>@bensutasoma</v>
      </c>
      <c r="C6498" t="s">
        <v>4694</v>
      </c>
      <c r="D6498">
        <v>0</v>
      </c>
      <c r="E6498">
        <v>0</v>
      </c>
      <c r="F6498">
        <v>1</v>
      </c>
    </row>
    <row r="6499" spans="1:6" ht="12.75">
      <c r="A6499" s="2">
        <v>43882.510798611111</v>
      </c>
      <c r="B6499" t="str">
        <f>HYPERLINK("https://twitter.com/garisdepannkri","@garisdepannkri")</f>
        <v>@garisdepannkri</v>
      </c>
      <c r="C6499" t="s">
        <v>4694</v>
      </c>
      <c r="D6499">
        <v>0</v>
      </c>
      <c r="E6499">
        <v>0</v>
      </c>
      <c r="F6499">
        <v>7</v>
      </c>
    </row>
    <row r="6500" spans="1:6" ht="12.75">
      <c r="A6500" s="2">
        <v>43882.510277777779</v>
      </c>
      <c r="B6500" t="str">
        <f>HYPERLINK("https://twitter.com/LianaAnggun","@LianaAnggun")</f>
        <v>@LianaAnggun</v>
      </c>
      <c r="C6500" t="s">
        <v>177</v>
      </c>
      <c r="D6500">
        <v>756</v>
      </c>
      <c r="E6500">
        <v>0</v>
      </c>
      <c r="F6500">
        <v>556</v>
      </c>
    </row>
    <row r="6501" spans="1:6" ht="12.75">
      <c r="A6501" s="2">
        <v>43882.510104166664</v>
      </c>
      <c r="B6501" t="str">
        <f>HYPERLINK("https://twitter.com/serbetwarteq","@serbetwarteq")</f>
        <v>@serbetwarteq</v>
      </c>
      <c r="C6501" t="s">
        <v>177</v>
      </c>
      <c r="D6501">
        <v>756</v>
      </c>
      <c r="E6501">
        <v>0</v>
      </c>
      <c r="F6501">
        <v>434</v>
      </c>
    </row>
    <row r="6502" spans="1:6" ht="12.75">
      <c r="A6502" s="2">
        <v>43882.509999999995</v>
      </c>
      <c r="B6502" t="str">
        <f>HYPERLINK("https://twitter.com/tempodotco","@tempodotco")</f>
        <v>@tempodotco</v>
      </c>
      <c r="C6502" t="s">
        <v>4695</v>
      </c>
      <c r="D6502">
        <v>1</v>
      </c>
      <c r="E6502">
        <v>9</v>
      </c>
      <c r="F6502">
        <v>1707961</v>
      </c>
    </row>
    <row r="6503" spans="1:6" ht="12.75">
      <c r="A6503" s="2">
        <v>43882.509467592594</v>
      </c>
      <c r="B6503" t="str">
        <f>HYPERLINK("https://twitter.com/KelianBanjar_GK","@KelianBanjar_GK")</f>
        <v>@KelianBanjar_GK</v>
      </c>
      <c r="C6503" t="s">
        <v>4252</v>
      </c>
      <c r="D6503">
        <v>18</v>
      </c>
      <c r="E6503">
        <v>0</v>
      </c>
      <c r="F6503">
        <v>8646</v>
      </c>
    </row>
    <row r="6504" spans="1:6" ht="12.75">
      <c r="A6504" s="2">
        <v>43882.508981481486</v>
      </c>
      <c r="B6504" t="str">
        <f>HYPERLINK("https://twitter.com/indocafe_1","@indocafe_1")</f>
        <v>@indocafe_1</v>
      </c>
      <c r="C6504" t="s">
        <v>177</v>
      </c>
      <c r="D6504">
        <v>756</v>
      </c>
      <c r="E6504">
        <v>0</v>
      </c>
      <c r="F6504">
        <v>280</v>
      </c>
    </row>
    <row r="6505" spans="1:6" ht="12.75">
      <c r="A6505" s="2">
        <v>43882.508530092593</v>
      </c>
      <c r="B6505" t="str">
        <f>HYPERLINK("https://twitter.com/AstieNna","@AstieNna")</f>
        <v>@AstieNna</v>
      </c>
      <c r="C6505" t="s">
        <v>177</v>
      </c>
      <c r="D6505">
        <v>756</v>
      </c>
      <c r="E6505">
        <v>0</v>
      </c>
      <c r="F6505">
        <v>1406</v>
      </c>
    </row>
    <row r="6506" spans="1:6" ht="12.75">
      <c r="A6506" s="2">
        <v>43882.50818287037</v>
      </c>
      <c r="B6506" t="str">
        <f>HYPERLINK("https://twitter.com/SebastianBara4","@SebastianBara4")</f>
        <v>@SebastianBara4</v>
      </c>
      <c r="C6506" t="s">
        <v>4694</v>
      </c>
      <c r="D6506">
        <v>0</v>
      </c>
      <c r="E6506">
        <v>0</v>
      </c>
      <c r="F6506">
        <v>1</v>
      </c>
    </row>
    <row r="6507" spans="1:6" ht="12.75">
      <c r="A6507" s="2">
        <v>43882.507754629631</v>
      </c>
      <c r="B6507" t="str">
        <f>HYPERLINK("https://twitter.com/azzhftri","@azzhftri")</f>
        <v>@azzhftri</v>
      </c>
      <c r="C6507" t="s">
        <v>513</v>
      </c>
      <c r="D6507">
        <v>23246</v>
      </c>
      <c r="E6507">
        <v>0</v>
      </c>
      <c r="F6507">
        <v>12</v>
      </c>
    </row>
    <row r="6508" spans="1:6" ht="12.75">
      <c r="A6508" s="2">
        <v>43882.507384259261</v>
      </c>
      <c r="B6508" t="str">
        <f>HYPERLINK("https://twitter.com/Buluxz4","@Buluxz4")</f>
        <v>@Buluxz4</v>
      </c>
      <c r="C6508" t="s">
        <v>2930</v>
      </c>
      <c r="D6508">
        <v>149</v>
      </c>
      <c r="E6508">
        <v>0</v>
      </c>
      <c r="F6508">
        <v>14</v>
      </c>
    </row>
    <row r="6509" spans="1:6" ht="12.75">
      <c r="A6509" s="2">
        <v>43882.507326388892</v>
      </c>
      <c r="B6509" t="str">
        <f>HYPERLINK("https://twitter.com/rhinozz","@rhinozz")</f>
        <v>@rhinozz</v>
      </c>
      <c r="C6509" t="s">
        <v>177</v>
      </c>
      <c r="D6509">
        <v>756</v>
      </c>
      <c r="E6509">
        <v>0</v>
      </c>
      <c r="F6509">
        <v>154</v>
      </c>
    </row>
    <row r="6510" spans="1:6" ht="12.75">
      <c r="A6510" s="2">
        <v>43882.506747685184</v>
      </c>
      <c r="B6510" t="str">
        <f>HYPERLINK("https://twitter.com/Sainara7","@Sainara7")</f>
        <v>@Sainara7</v>
      </c>
      <c r="C6510" t="s">
        <v>4634</v>
      </c>
      <c r="D6510">
        <v>8</v>
      </c>
      <c r="E6510">
        <v>0</v>
      </c>
      <c r="F6510">
        <v>186</v>
      </c>
    </row>
    <row r="6511" spans="1:6" ht="12.75">
      <c r="A6511" s="2">
        <v>43882.505925925929</v>
      </c>
      <c r="B6511" t="str">
        <f>HYPERLINK("https://twitter.com/aidilmubarock","@aidilmubarock")</f>
        <v>@aidilmubarock</v>
      </c>
      <c r="C6511" t="s">
        <v>4696</v>
      </c>
      <c r="D6511">
        <v>0</v>
      </c>
      <c r="E6511">
        <v>0</v>
      </c>
      <c r="F6511">
        <v>19</v>
      </c>
    </row>
    <row r="6512" spans="1:6" ht="12.75">
      <c r="A6512" s="2">
        <v>43882.505659722221</v>
      </c>
      <c r="B6512" t="str">
        <f>HYPERLINK("https://twitter.com/KadrunHunter99","@KadrunHunter99")</f>
        <v>@KadrunHunter99</v>
      </c>
      <c r="C6512" t="s">
        <v>4252</v>
      </c>
      <c r="D6512">
        <v>18</v>
      </c>
      <c r="E6512">
        <v>0</v>
      </c>
      <c r="F6512">
        <v>4041</v>
      </c>
    </row>
    <row r="6513" spans="1:6" ht="12.75">
      <c r="A6513" s="2">
        <v>43882.505219907413</v>
      </c>
      <c r="B6513" t="str">
        <f>HYPERLINK("https://twitter.com/sjamsu_rahardja","@sjamsu_rahardja")</f>
        <v>@sjamsu_rahardja</v>
      </c>
      <c r="C6513" t="s">
        <v>4697</v>
      </c>
      <c r="D6513">
        <v>0</v>
      </c>
      <c r="E6513">
        <v>1</v>
      </c>
      <c r="F6513">
        <v>957</v>
      </c>
    </row>
    <row r="6514" spans="1:6" ht="12.75">
      <c r="A6514" s="2">
        <v>43882.504826388889</v>
      </c>
      <c r="B6514" t="str">
        <f>HYPERLINK("https://twitter.com/NaAlia13","@NaAlia13")</f>
        <v>@NaAlia13</v>
      </c>
      <c r="C6514" t="s">
        <v>4698</v>
      </c>
      <c r="D6514">
        <v>0</v>
      </c>
      <c r="E6514">
        <v>0</v>
      </c>
      <c r="F6514">
        <v>1193</v>
      </c>
    </row>
    <row r="6515" spans="1:6" ht="12.75">
      <c r="A6515" s="2">
        <v>43882.50371527778</v>
      </c>
      <c r="B6515" t="str">
        <f>HYPERLINK("https://twitter.com/CYudas","@CYudas")</f>
        <v>@CYudas</v>
      </c>
      <c r="C6515" t="s">
        <v>4020</v>
      </c>
      <c r="D6515">
        <v>34</v>
      </c>
      <c r="E6515">
        <v>0</v>
      </c>
      <c r="F6515">
        <v>34</v>
      </c>
    </row>
    <row r="6516" spans="1:6" ht="12.75">
      <c r="A6516" s="2">
        <v>43882.503460648149</v>
      </c>
      <c r="B6516" t="str">
        <f t="shared" ref="B6516:B6517" si="114">HYPERLINK("https://twitter.com/sagakom","@sagakom")</f>
        <v>@sagakom</v>
      </c>
      <c r="C6516" t="s">
        <v>2159</v>
      </c>
      <c r="D6516">
        <v>0</v>
      </c>
      <c r="E6516">
        <v>0</v>
      </c>
      <c r="F6516">
        <v>285</v>
      </c>
    </row>
    <row r="6517" spans="1:6" ht="12.75">
      <c r="A6517" s="2">
        <v>43882.503055555557</v>
      </c>
      <c r="B6517" t="str">
        <f t="shared" si="114"/>
        <v>@sagakom</v>
      </c>
      <c r="C6517" t="s">
        <v>4604</v>
      </c>
      <c r="D6517">
        <v>0</v>
      </c>
      <c r="E6517">
        <v>0</v>
      </c>
      <c r="F6517">
        <v>285</v>
      </c>
    </row>
    <row r="6518" spans="1:6" ht="12.75">
      <c r="A6518" s="2">
        <v>43882.501747685186</v>
      </c>
      <c r="B6518" t="str">
        <f>HYPERLINK("https://twitter.com/PrasetyoID_","@PrasetyoID_")</f>
        <v>@PrasetyoID_</v>
      </c>
      <c r="C6518" t="s">
        <v>4699</v>
      </c>
      <c r="D6518">
        <v>0</v>
      </c>
      <c r="E6518">
        <v>0</v>
      </c>
      <c r="F6518">
        <v>399</v>
      </c>
    </row>
    <row r="6519" spans="1:6" ht="12.75">
      <c r="A6519" s="2">
        <v>43882.500451388885</v>
      </c>
      <c r="B6519" t="str">
        <f>HYPERLINK("https://twitter.com/mulanbilqis","@mulanbilqis")</f>
        <v>@mulanbilqis</v>
      </c>
      <c r="C6519" t="s">
        <v>4252</v>
      </c>
      <c r="D6519">
        <v>8</v>
      </c>
      <c r="E6519">
        <v>0</v>
      </c>
      <c r="F6519">
        <v>13318</v>
      </c>
    </row>
    <row r="6520" spans="1:6" ht="12.75">
      <c r="A6520" s="2">
        <v>43882.499872685185</v>
      </c>
      <c r="B6520" t="str">
        <f>HYPERLINK("https://twitter.com/iwankgt3838","@iwankgt3838")</f>
        <v>@iwankgt3838</v>
      </c>
      <c r="C6520" t="s">
        <v>4634</v>
      </c>
      <c r="D6520">
        <v>7</v>
      </c>
      <c r="E6520">
        <v>0</v>
      </c>
      <c r="F6520">
        <v>75</v>
      </c>
    </row>
    <row r="6521" spans="1:6" ht="12.75">
      <c r="A6521" s="2">
        <v>43882.4996875</v>
      </c>
      <c r="B6521" t="str">
        <f>HYPERLINK("https://twitter.com/kokrosono_","@kokrosono_")</f>
        <v>@kokrosono_</v>
      </c>
      <c r="C6521" t="s">
        <v>4634</v>
      </c>
      <c r="D6521">
        <v>7</v>
      </c>
      <c r="E6521">
        <v>0</v>
      </c>
      <c r="F6521">
        <v>2916</v>
      </c>
    </row>
    <row r="6522" spans="1:6" ht="12.75">
      <c r="A6522" s="2">
        <v>43882.4996875</v>
      </c>
      <c r="B6522" t="str">
        <f>HYPERLINK("https://twitter.com/mudha_satriya","@mudha_satriya")</f>
        <v>@mudha_satriya</v>
      </c>
      <c r="C6522" t="s">
        <v>4634</v>
      </c>
      <c r="D6522">
        <v>7</v>
      </c>
      <c r="E6522">
        <v>0</v>
      </c>
      <c r="F6522">
        <v>1873</v>
      </c>
    </row>
    <row r="6523" spans="1:6" ht="12.75">
      <c r="A6523" s="2">
        <v>43882.499293981484</v>
      </c>
      <c r="B6523" t="str">
        <f>HYPERLINK("https://twitter.com/ri_kashiwagi","@ri_kashiwagi")</f>
        <v>@ri_kashiwagi</v>
      </c>
      <c r="C6523" t="s">
        <v>177</v>
      </c>
      <c r="D6523">
        <v>748</v>
      </c>
      <c r="E6523">
        <v>0</v>
      </c>
      <c r="F6523">
        <v>1250</v>
      </c>
    </row>
    <row r="6524" spans="1:6" ht="12.75">
      <c r="A6524" s="2">
        <v>43882.499178240745</v>
      </c>
      <c r="B6524" t="str">
        <f>HYPERLINK("https://twitter.com/Budiono_mlg","@Budiono_mlg")</f>
        <v>@Budiono_mlg</v>
      </c>
      <c r="C6524" t="s">
        <v>4700</v>
      </c>
      <c r="D6524">
        <v>0</v>
      </c>
      <c r="E6524">
        <v>0</v>
      </c>
      <c r="F6524">
        <v>24</v>
      </c>
    </row>
    <row r="6525" spans="1:6" ht="12.75">
      <c r="A6525" s="2">
        <v>43882.498726851853</v>
      </c>
      <c r="B6525" t="str">
        <f>HYPERLINK("https://twitter.com/LaingenLisa","@LaingenLisa")</f>
        <v>@LaingenLisa</v>
      </c>
      <c r="C6525" t="s">
        <v>4634</v>
      </c>
      <c r="D6525">
        <v>7</v>
      </c>
      <c r="E6525">
        <v>0</v>
      </c>
      <c r="F6525">
        <v>3174</v>
      </c>
    </row>
    <row r="6526" spans="1:6" ht="12.75">
      <c r="A6526" s="2">
        <v>43882.498298611114</v>
      </c>
      <c r="B6526" t="str">
        <f>HYPERLINK("https://twitter.com/suryo_136","@suryo_136")</f>
        <v>@suryo_136</v>
      </c>
      <c r="C6526" t="s">
        <v>4634</v>
      </c>
      <c r="D6526">
        <v>7</v>
      </c>
      <c r="E6526">
        <v>0</v>
      </c>
      <c r="F6526">
        <v>81</v>
      </c>
    </row>
    <row r="6527" spans="1:6" ht="12.75">
      <c r="A6527" s="2">
        <v>43882.498113425929</v>
      </c>
      <c r="B6527" t="str">
        <f>HYPERLINK("https://twitter.com/sumardjo5","@sumardjo5")</f>
        <v>@sumardjo5</v>
      </c>
      <c r="C6527" t="s">
        <v>3995</v>
      </c>
      <c r="D6527">
        <v>2</v>
      </c>
      <c r="E6527">
        <v>0</v>
      </c>
      <c r="F6527">
        <v>131</v>
      </c>
    </row>
    <row r="6528" spans="1:6" ht="12.75">
      <c r="A6528" s="2">
        <v>43882.497974537036</v>
      </c>
      <c r="B6528" t="str">
        <f>HYPERLINK("https://twitter.com/kemlonih","@kemlonih")</f>
        <v>@kemlonih</v>
      </c>
      <c r="C6528" t="s">
        <v>4020</v>
      </c>
      <c r="D6528">
        <v>31</v>
      </c>
      <c r="E6528">
        <v>0</v>
      </c>
      <c r="F6528">
        <v>5334</v>
      </c>
    </row>
    <row r="6529" spans="1:6" ht="12.75">
      <c r="A6529" s="2">
        <v>43882.497939814813</v>
      </c>
      <c r="B6529" t="str">
        <f>HYPERLINK("https://twitter.com/DiumahM","@DiumahM")</f>
        <v>@DiumahM</v>
      </c>
      <c r="C6529" t="s">
        <v>4252</v>
      </c>
      <c r="D6529">
        <v>8</v>
      </c>
      <c r="E6529">
        <v>0</v>
      </c>
      <c r="F6529">
        <v>50</v>
      </c>
    </row>
    <row r="6530" spans="1:6" ht="12.75">
      <c r="A6530" s="2">
        <v>43882.49763888889</v>
      </c>
      <c r="B6530" t="str">
        <f>HYPERLINK("https://twitter.com/ikhsanatthala","@ikhsanatthala")</f>
        <v>@ikhsanatthala</v>
      </c>
      <c r="C6530" t="s">
        <v>177</v>
      </c>
      <c r="D6530">
        <v>748</v>
      </c>
      <c r="E6530">
        <v>0</v>
      </c>
      <c r="F6530">
        <v>215</v>
      </c>
    </row>
    <row r="6531" spans="1:6" ht="12.75">
      <c r="A6531" s="2">
        <v>43882.497349537036</v>
      </c>
      <c r="B6531" t="str">
        <f>HYPERLINK("https://twitter.com/kiasleo","@kiasleo")</f>
        <v>@kiasleo</v>
      </c>
      <c r="C6531" t="s">
        <v>4701</v>
      </c>
      <c r="D6531">
        <v>1</v>
      </c>
      <c r="E6531">
        <v>0</v>
      </c>
      <c r="F6531">
        <v>627</v>
      </c>
    </row>
    <row r="6532" spans="1:6" ht="12.75">
      <c r="A6532" s="2">
        <v>43882.496932870374</v>
      </c>
      <c r="B6532" t="str">
        <f>HYPERLINK("https://twitter.com/VTerhangat","@VTerhangat")</f>
        <v>@VTerhangat</v>
      </c>
      <c r="C6532" t="s">
        <v>4702</v>
      </c>
      <c r="D6532">
        <v>0</v>
      </c>
      <c r="E6532">
        <v>0</v>
      </c>
      <c r="F6532">
        <v>18</v>
      </c>
    </row>
    <row r="6533" spans="1:6" ht="12.75">
      <c r="A6533" s="2">
        <v>43882.496481481481</v>
      </c>
      <c r="B6533" t="str">
        <f>HYPERLINK("https://twitter.com/f24nk1","@f24nk1")</f>
        <v>@f24nk1</v>
      </c>
      <c r="C6533" t="s">
        <v>4634</v>
      </c>
      <c r="D6533">
        <v>7</v>
      </c>
      <c r="E6533">
        <v>0</v>
      </c>
      <c r="F6533">
        <v>1168</v>
      </c>
    </row>
    <row r="6534" spans="1:6" ht="12.75">
      <c r="A6534" s="2">
        <v>43882.496134259258</v>
      </c>
      <c r="B6534" t="str">
        <f>HYPERLINK("https://twitter.com/PDI_Perjuangan","@PDI_Perjuangan")</f>
        <v>@PDI_Perjuangan</v>
      </c>
      <c r="C6534" t="s">
        <v>4703</v>
      </c>
      <c r="D6534">
        <v>7</v>
      </c>
      <c r="E6534">
        <v>7</v>
      </c>
      <c r="F6534">
        <v>219337</v>
      </c>
    </row>
    <row r="6535" spans="1:6" ht="12.75">
      <c r="A6535" s="2">
        <v>43882.495949074073</v>
      </c>
      <c r="B6535" t="str">
        <f>HYPERLINK("https://twitter.com/irhashfr","@irhashfr")</f>
        <v>@irhashfr</v>
      </c>
      <c r="C6535" t="s">
        <v>2692</v>
      </c>
      <c r="D6535">
        <v>2029</v>
      </c>
      <c r="E6535">
        <v>0</v>
      </c>
      <c r="F6535">
        <v>610</v>
      </c>
    </row>
    <row r="6536" spans="1:6" ht="12.75">
      <c r="A6536" s="2">
        <v>43882.494791666672</v>
      </c>
      <c r="B6536" t="str">
        <f>HYPERLINK("https://twitter.com/ChannelMilitary","@ChannelMilitary")</f>
        <v>@ChannelMilitary</v>
      </c>
      <c r="C6536" t="s">
        <v>4020</v>
      </c>
      <c r="D6536">
        <v>31</v>
      </c>
      <c r="E6536">
        <v>0</v>
      </c>
      <c r="F6536">
        <v>1368</v>
      </c>
    </row>
    <row r="6537" spans="1:6" ht="12.75">
      <c r="A6537" s="2">
        <v>43882.494641203702</v>
      </c>
      <c r="B6537" t="str">
        <f>HYPERLINK("https://twitter.com/V_Stone_Kardol","@V_Stone_Kardol")</f>
        <v>@V_Stone_Kardol</v>
      </c>
      <c r="C6537" t="s">
        <v>4252</v>
      </c>
      <c r="D6537">
        <v>8</v>
      </c>
      <c r="E6537">
        <v>0</v>
      </c>
      <c r="F6537">
        <v>7875</v>
      </c>
    </row>
    <row r="6538" spans="1:6" ht="12.75">
      <c r="A6538" s="2">
        <v>43882.494502314818</v>
      </c>
      <c r="B6538" t="str">
        <f>HYPERLINK("https://twitter.com/spicyseollan","@spicyseollan")</f>
        <v>@spicyseollan</v>
      </c>
      <c r="C6538" t="s">
        <v>177</v>
      </c>
      <c r="D6538">
        <v>748</v>
      </c>
      <c r="E6538">
        <v>0</v>
      </c>
      <c r="F6538">
        <v>14</v>
      </c>
    </row>
    <row r="6539" spans="1:6" ht="12.75">
      <c r="A6539" s="2">
        <v>43882.49418981481</v>
      </c>
      <c r="B6539" t="str">
        <f>HYPERLINK("https://twitter.com/DemplonMak","@DemplonMak")</f>
        <v>@DemplonMak</v>
      </c>
      <c r="C6539" t="s">
        <v>4252</v>
      </c>
      <c r="D6539">
        <v>8</v>
      </c>
      <c r="E6539">
        <v>0</v>
      </c>
      <c r="F6539">
        <v>2721</v>
      </c>
    </row>
    <row r="6540" spans="1:6" ht="12.75">
      <c r="A6540" s="2">
        <v>43882.491840277777</v>
      </c>
      <c r="B6540" t="str">
        <f>HYPERLINK("https://twitter.com/OlgaLy_DIA","@OlgaLy_DIA")</f>
        <v>@OlgaLy_DIA</v>
      </c>
      <c r="C6540" t="s">
        <v>4704</v>
      </c>
      <c r="D6540">
        <v>1</v>
      </c>
      <c r="E6540">
        <v>0</v>
      </c>
      <c r="F6540">
        <v>162704</v>
      </c>
    </row>
    <row r="6541" spans="1:6" ht="12.75">
      <c r="A6541" s="2">
        <v>43882.491273148145</v>
      </c>
      <c r="B6541" t="str">
        <f>HYPERLINK("https://twitter.com/AEkopurnomo","@AEkopurnomo")</f>
        <v>@AEkopurnomo</v>
      </c>
      <c r="C6541" t="s">
        <v>2962</v>
      </c>
      <c r="D6541">
        <v>4</v>
      </c>
      <c r="E6541">
        <v>0</v>
      </c>
      <c r="F6541">
        <v>231</v>
      </c>
    </row>
    <row r="6542" spans="1:6" ht="12.75">
      <c r="A6542" s="2">
        <v>43882.49082175926</v>
      </c>
      <c r="B6542" t="str">
        <f>HYPERLINK("https://twitter.com/Samkafi1","@Samkafi1")</f>
        <v>@Samkafi1</v>
      </c>
      <c r="C6542" t="s">
        <v>177</v>
      </c>
      <c r="D6542">
        <v>748</v>
      </c>
      <c r="E6542">
        <v>0</v>
      </c>
      <c r="F6542">
        <v>3944</v>
      </c>
    </row>
    <row r="6543" spans="1:6" ht="12.75">
      <c r="A6543" s="2">
        <v>43882.490648148145</v>
      </c>
      <c r="B6543" t="str">
        <f>HYPERLINK("https://twitter.com/hemaviton99","@hemaviton99")</f>
        <v>@hemaviton99</v>
      </c>
      <c r="C6543" t="s">
        <v>4705</v>
      </c>
      <c r="D6543">
        <v>1</v>
      </c>
      <c r="E6543">
        <v>0</v>
      </c>
      <c r="F6543">
        <v>4309</v>
      </c>
    </row>
    <row r="6544" spans="1:6" ht="12.75">
      <c r="A6544" s="2">
        <v>43882.490601851852</v>
      </c>
      <c r="B6544" t="str">
        <f>HYPERLINK("https://twitter.com/EkaWidy77591967","@EkaWidy77591967")</f>
        <v>@EkaWidy77591967</v>
      </c>
      <c r="C6544" t="s">
        <v>4706</v>
      </c>
      <c r="D6544">
        <v>0</v>
      </c>
      <c r="E6544">
        <v>0</v>
      </c>
      <c r="F6544">
        <v>242</v>
      </c>
    </row>
    <row r="6545" spans="1:6" ht="12.75">
      <c r="A6545" s="2">
        <v>43882.490266203706</v>
      </c>
      <c r="B6545" t="str">
        <f>HYPERLINK("https://twitter.com/MasfarGazali","@MasfarGazali")</f>
        <v>@MasfarGazali</v>
      </c>
      <c r="C6545" t="s">
        <v>4707</v>
      </c>
      <c r="D6545">
        <v>2</v>
      </c>
      <c r="E6545">
        <v>0</v>
      </c>
      <c r="F6545">
        <v>1960</v>
      </c>
    </row>
    <row r="6546" spans="1:6" ht="12.75">
      <c r="A6546" s="2">
        <v>43882.489814814813</v>
      </c>
      <c r="B6546" t="str">
        <f>HYPERLINK("https://twitter.com/CANDAdanBISNIS","@CANDAdanBISNIS")</f>
        <v>@CANDAdanBISNIS</v>
      </c>
      <c r="C6546" t="s">
        <v>4252</v>
      </c>
      <c r="D6546">
        <v>8</v>
      </c>
      <c r="E6546">
        <v>0</v>
      </c>
      <c r="F6546">
        <v>12274</v>
      </c>
    </row>
    <row r="6547" spans="1:6" ht="12.75">
      <c r="A6547" s="2">
        <v>43882.489594907413</v>
      </c>
      <c r="B6547" t="str">
        <f>HYPERLINK("https://twitter.com/indahpaiq","@indahpaiq")</f>
        <v>@indahpaiq</v>
      </c>
      <c r="C6547" t="s">
        <v>4708</v>
      </c>
      <c r="D6547">
        <v>1</v>
      </c>
      <c r="E6547">
        <v>0</v>
      </c>
      <c r="F6547">
        <v>14</v>
      </c>
    </row>
    <row r="6548" spans="1:6" ht="12.75">
      <c r="A6548" s="2">
        <v>43882.489270833335</v>
      </c>
      <c r="B6548" t="str">
        <f>HYPERLINK("https://twitter.com/WinarsihParis","@WinarsihParis")</f>
        <v>@WinarsihParis</v>
      </c>
      <c r="C6548" t="s">
        <v>4709</v>
      </c>
      <c r="D6548">
        <v>1</v>
      </c>
      <c r="E6548">
        <v>0</v>
      </c>
      <c r="F6548">
        <v>114</v>
      </c>
    </row>
    <row r="6549" spans="1:6" ht="12.75">
      <c r="A6549" s="2">
        <v>43882.487627314811</v>
      </c>
      <c r="B6549" t="str">
        <f>HYPERLINK("https://twitter.com/DonOsama2","@DonOsama2")</f>
        <v>@DonOsama2</v>
      </c>
      <c r="C6549" t="s">
        <v>4710</v>
      </c>
      <c r="D6549">
        <v>0</v>
      </c>
      <c r="E6549">
        <v>0</v>
      </c>
      <c r="F6549">
        <v>122</v>
      </c>
    </row>
    <row r="6550" spans="1:6" ht="12.75">
      <c r="A6550" s="2">
        <v>43882.487025462964</v>
      </c>
      <c r="B6550" t="str">
        <f>HYPERLINK("https://twitter.com/utuntauk","@utuntauk")</f>
        <v>@utuntauk</v>
      </c>
      <c r="C6550" t="s">
        <v>4711</v>
      </c>
      <c r="D6550">
        <v>1</v>
      </c>
      <c r="E6550">
        <v>0</v>
      </c>
      <c r="F6550">
        <v>22317</v>
      </c>
    </row>
    <row r="6551" spans="1:6" ht="12.75">
      <c r="A6551" s="2">
        <v>43882.486226851848</v>
      </c>
      <c r="B6551" t="str">
        <f>HYPERLINK("https://twitter.com/toptnt","@toptnt")</f>
        <v>@toptnt</v>
      </c>
      <c r="C6551" t="s">
        <v>177</v>
      </c>
      <c r="D6551">
        <v>748</v>
      </c>
      <c r="E6551">
        <v>0</v>
      </c>
      <c r="F6551">
        <v>703</v>
      </c>
    </row>
    <row r="6552" spans="1:6" ht="12.75">
      <c r="A6552" s="2">
        <v>43882.486111111109</v>
      </c>
      <c r="B6552" t="str">
        <f>HYPERLINK("https://twitter.com/Delta_FM","@Delta_FM")</f>
        <v>@Delta_FM</v>
      </c>
      <c r="C6552" t="s">
        <v>4712</v>
      </c>
      <c r="D6552">
        <v>0</v>
      </c>
      <c r="E6552">
        <v>0</v>
      </c>
      <c r="F6552">
        <v>267645</v>
      </c>
    </row>
    <row r="6553" spans="1:6" ht="12.75">
      <c r="A6553" s="2">
        <v>43882.485868055555</v>
      </c>
      <c r="B6553" t="str">
        <f>HYPERLINK("https://twitter.com/dodylejo","@dodylejo")</f>
        <v>@dodylejo</v>
      </c>
      <c r="C6553" t="s">
        <v>4713</v>
      </c>
      <c r="D6553">
        <v>0</v>
      </c>
      <c r="E6553">
        <v>0</v>
      </c>
      <c r="F6553">
        <v>3</v>
      </c>
    </row>
    <row r="6554" spans="1:6" ht="12.75">
      <c r="A6554" s="2">
        <v>43882.485567129625</v>
      </c>
      <c r="B6554" t="str">
        <f>HYPERLINK("https://twitter.com/padangkitacom","@padangkitacom")</f>
        <v>@padangkitacom</v>
      </c>
      <c r="C6554" t="s">
        <v>4714</v>
      </c>
      <c r="D6554">
        <v>0</v>
      </c>
      <c r="E6554">
        <v>0</v>
      </c>
      <c r="F6554">
        <v>18650</v>
      </c>
    </row>
    <row r="6555" spans="1:6" ht="12.75">
      <c r="A6555" s="2">
        <v>43882.48501157407</v>
      </c>
      <c r="B6555" t="str">
        <f>HYPERLINK("https://twitter.com/gaudenzy","@gaudenzy")</f>
        <v>@gaudenzy</v>
      </c>
      <c r="C6555" t="s">
        <v>2692</v>
      </c>
      <c r="D6555">
        <v>2029</v>
      </c>
      <c r="E6555">
        <v>0</v>
      </c>
      <c r="F6555">
        <v>198</v>
      </c>
    </row>
    <row r="6556" spans="1:6" ht="12.75">
      <c r="A6556" s="2">
        <v>43882.484976851847</v>
      </c>
      <c r="B6556" t="str">
        <f>HYPERLINK("https://twitter.com/senasurya53","@senasurya53")</f>
        <v>@senasurya53</v>
      </c>
      <c r="C6556" t="s">
        <v>4715</v>
      </c>
      <c r="D6556">
        <v>0</v>
      </c>
      <c r="E6556">
        <v>1</v>
      </c>
      <c r="F6556">
        <v>510</v>
      </c>
    </row>
    <row r="6557" spans="1:6" ht="12.75">
      <c r="A6557" s="2">
        <v>43882.484884259262</v>
      </c>
      <c r="B6557" t="str">
        <f>HYPERLINK("https://twitter.com/padangkitacom","@padangkitacom")</f>
        <v>@padangkitacom</v>
      </c>
      <c r="C6557" t="s">
        <v>4716</v>
      </c>
      <c r="D6557">
        <v>0</v>
      </c>
      <c r="E6557">
        <v>0</v>
      </c>
      <c r="F6557">
        <v>18650</v>
      </c>
    </row>
    <row r="6558" spans="1:6" ht="12.75">
      <c r="A6558" s="2">
        <v>43882.484722222223</v>
      </c>
      <c r="B6558" t="str">
        <f>HYPERLINK("https://twitter.com/Melkytaa","@Melkytaa")</f>
        <v>@Melkytaa</v>
      </c>
      <c r="C6558" t="s">
        <v>177</v>
      </c>
      <c r="D6558">
        <v>748</v>
      </c>
      <c r="E6558">
        <v>0</v>
      </c>
      <c r="F6558">
        <v>55</v>
      </c>
    </row>
    <row r="6559" spans="1:6" ht="12.75">
      <c r="A6559" s="2">
        <v>43882.484664351854</v>
      </c>
      <c r="B6559" t="str">
        <f>HYPERLINK("https://twitter.com/godwoodz","@godwoodz")</f>
        <v>@godwoodz</v>
      </c>
      <c r="C6559" t="s">
        <v>4717</v>
      </c>
      <c r="D6559">
        <v>0</v>
      </c>
      <c r="E6559">
        <v>0</v>
      </c>
      <c r="F6559">
        <v>151</v>
      </c>
    </row>
    <row r="6560" spans="1:6" ht="12.75">
      <c r="A6560" s="2">
        <v>43882.484560185185</v>
      </c>
      <c r="B6560" t="str">
        <f>HYPERLINK("https://twitter.com/AMIIINEM","@AMIIINEM")</f>
        <v>@AMIIINEM</v>
      </c>
      <c r="C6560" t="s">
        <v>4707</v>
      </c>
      <c r="D6560">
        <v>2</v>
      </c>
      <c r="E6560">
        <v>0</v>
      </c>
      <c r="F6560">
        <v>604</v>
      </c>
    </row>
    <row r="6561" spans="1:6" ht="12.75">
      <c r="A6561" s="2">
        <v>43882.484444444446</v>
      </c>
      <c r="B6561" t="str">
        <f>HYPERLINK("https://twitter.com/refli_suer","@refli_suer")</f>
        <v>@refli_suer</v>
      </c>
      <c r="C6561" t="s">
        <v>4718</v>
      </c>
      <c r="D6561">
        <v>0</v>
      </c>
      <c r="E6561">
        <v>0</v>
      </c>
      <c r="F6561">
        <v>1869</v>
      </c>
    </row>
    <row r="6562" spans="1:6" ht="12.75">
      <c r="A6562" s="2">
        <v>43882.483611111107</v>
      </c>
      <c r="B6562" t="str">
        <f>HYPERLINK("https://twitter.com/Hanifah933","@Hanifah933")</f>
        <v>@Hanifah933</v>
      </c>
      <c r="C6562" t="s">
        <v>4252</v>
      </c>
      <c r="D6562">
        <v>8</v>
      </c>
      <c r="E6562">
        <v>0</v>
      </c>
      <c r="F6562">
        <v>6979</v>
      </c>
    </row>
    <row r="6563" spans="1:6" ht="12.75">
      <c r="A6563" s="2">
        <v>43882.483449074076</v>
      </c>
      <c r="B6563" t="str">
        <f>HYPERLINK("https://twitter.com/iqbalt","@iqbalt")</f>
        <v>@iqbalt</v>
      </c>
      <c r="C6563" t="s">
        <v>2692</v>
      </c>
      <c r="D6563">
        <v>2029</v>
      </c>
      <c r="E6563">
        <v>0</v>
      </c>
      <c r="F6563">
        <v>1270</v>
      </c>
    </row>
    <row r="6564" spans="1:6" ht="12.75">
      <c r="A6564" s="2">
        <v>43882.482847222222</v>
      </c>
      <c r="B6564" t="str">
        <f>HYPERLINK("https://twitter.com/haro_arnold","@haro_arnold")</f>
        <v>@haro_arnold</v>
      </c>
      <c r="C6564" t="s">
        <v>4252</v>
      </c>
      <c r="D6564">
        <v>8</v>
      </c>
      <c r="E6564">
        <v>0</v>
      </c>
      <c r="F6564">
        <v>4561</v>
      </c>
    </row>
    <row r="6565" spans="1:6" ht="12.75">
      <c r="A6565" s="2">
        <v>43882.482604166667</v>
      </c>
      <c r="B6565" t="str">
        <f>HYPERLINK("https://twitter.com/dannykansil","@dannykansil")</f>
        <v>@dannykansil</v>
      </c>
      <c r="C6565" t="s">
        <v>4719</v>
      </c>
      <c r="D6565">
        <v>0</v>
      </c>
      <c r="E6565">
        <v>0</v>
      </c>
      <c r="F6565">
        <v>1089</v>
      </c>
    </row>
    <row r="6566" spans="1:6" ht="12.75">
      <c r="A6566" s="2">
        <v>43882.482546296298</v>
      </c>
      <c r="B6566" t="str">
        <f>HYPERLINK("https://twitter.com/salsabila0307","@salsabila0307")</f>
        <v>@salsabila0307</v>
      </c>
      <c r="C6566" t="s">
        <v>4720</v>
      </c>
      <c r="D6566">
        <v>0</v>
      </c>
      <c r="E6566">
        <v>0</v>
      </c>
      <c r="F6566">
        <v>4353</v>
      </c>
    </row>
    <row r="6567" spans="1:6" ht="12.75">
      <c r="A6567" s="2">
        <v>43882.48232638889</v>
      </c>
      <c r="B6567" t="str">
        <f>HYPERLINK("https://twitter.com/Haluan_","@Haluan_")</f>
        <v>@Haluan_</v>
      </c>
      <c r="C6567" t="s">
        <v>4721</v>
      </c>
      <c r="D6567">
        <v>0</v>
      </c>
      <c r="E6567">
        <v>0</v>
      </c>
      <c r="F6567">
        <v>1481</v>
      </c>
    </row>
    <row r="6568" spans="1:6" ht="12.75">
      <c r="A6568" s="2">
        <v>43882.48201388889</v>
      </c>
      <c r="B6568" t="str">
        <f>HYPERLINK("https://twitter.com/Tulang_Godang","@Tulang_Godang")</f>
        <v>@Tulang_Godang</v>
      </c>
      <c r="C6568" t="s">
        <v>4722</v>
      </c>
      <c r="D6568">
        <v>0</v>
      </c>
      <c r="E6568">
        <v>0</v>
      </c>
      <c r="F6568">
        <v>570</v>
      </c>
    </row>
    <row r="6569" spans="1:6" ht="12.75">
      <c r="A6569" s="2">
        <v>43882.481979166667</v>
      </c>
      <c r="B6569" t="str">
        <f>HYPERLINK("https://twitter.com/silviaafp","@silviaafp")</f>
        <v>@silviaafp</v>
      </c>
      <c r="C6569" t="s">
        <v>3826</v>
      </c>
      <c r="D6569">
        <v>2</v>
      </c>
      <c r="E6569">
        <v>0</v>
      </c>
      <c r="F6569">
        <v>306</v>
      </c>
    </row>
    <row r="6570" spans="1:6" ht="12.75">
      <c r="A6570" s="2">
        <v>43882.481400462959</v>
      </c>
      <c r="B6570" t="str">
        <f>HYPERLINK("https://twitter.com/tempodotco","@tempodotco")</f>
        <v>@tempodotco</v>
      </c>
      <c r="C6570" t="s">
        <v>4723</v>
      </c>
      <c r="D6570">
        <v>2</v>
      </c>
      <c r="E6570">
        <v>4</v>
      </c>
      <c r="F6570">
        <v>1707937</v>
      </c>
    </row>
    <row r="6571" spans="1:6" ht="12.75">
      <c r="A6571" s="2">
        <v>43882.480509259258</v>
      </c>
      <c r="B6571" t="str">
        <f>HYPERLINK("https://twitter.com/NaluraNelson","@NaluraNelson")</f>
        <v>@NaluraNelson</v>
      </c>
      <c r="C6571" t="s">
        <v>2141</v>
      </c>
      <c r="D6571">
        <v>103</v>
      </c>
      <c r="E6571">
        <v>0</v>
      </c>
      <c r="F6571">
        <v>3</v>
      </c>
    </row>
    <row r="6572" spans="1:6" ht="12.75">
      <c r="A6572" s="2">
        <v>43882.480370370366</v>
      </c>
      <c r="B6572" t="str">
        <f>HYPERLINK("https://twitter.com/arjuno_ireng01","@arjuno_ireng01")</f>
        <v>@arjuno_ireng01</v>
      </c>
      <c r="C6572" t="s">
        <v>4724</v>
      </c>
      <c r="D6572">
        <v>8</v>
      </c>
      <c r="E6572">
        <v>10</v>
      </c>
      <c r="F6572">
        <v>10373</v>
      </c>
    </row>
    <row r="6573" spans="1:6" ht="12.75">
      <c r="A6573" s="2">
        <v>43882.479976851857</v>
      </c>
      <c r="B6573" t="str">
        <f>HYPERLINK("https://twitter.com/EriSyawal","@EriSyawal")</f>
        <v>@EriSyawal</v>
      </c>
      <c r="C6573" t="s">
        <v>3302</v>
      </c>
      <c r="D6573">
        <v>25</v>
      </c>
      <c r="E6573">
        <v>0</v>
      </c>
      <c r="F6573">
        <v>15</v>
      </c>
    </row>
    <row r="6574" spans="1:6" ht="12.75">
      <c r="A6574" s="2">
        <v>43882.479062500002</v>
      </c>
      <c r="B6574" t="str">
        <f>HYPERLINK("https://twitter.com/N7H53N74","@N7H53N74")</f>
        <v>@N7H53N74</v>
      </c>
      <c r="C6574" t="s">
        <v>4725</v>
      </c>
      <c r="D6574">
        <v>0</v>
      </c>
      <c r="E6574">
        <v>1</v>
      </c>
      <c r="F6574">
        <v>1299</v>
      </c>
    </row>
    <row r="6575" spans="1:6" ht="12.75">
      <c r="A6575" s="2">
        <v>43882.478993055556</v>
      </c>
      <c r="B6575" t="str">
        <f>HYPERLINK("https://twitter.com/jitunews","@jitunews")</f>
        <v>@jitunews</v>
      </c>
      <c r="C6575" t="s">
        <v>4726</v>
      </c>
      <c r="D6575">
        <v>0</v>
      </c>
      <c r="E6575">
        <v>0</v>
      </c>
      <c r="F6575">
        <v>15279</v>
      </c>
    </row>
    <row r="6576" spans="1:6" ht="12.75">
      <c r="A6576" s="2">
        <v>43882.478981481487</v>
      </c>
      <c r="B6576" t="str">
        <f>HYPERLINK("https://twitter.com/Oppenheimer121","@Oppenheimer121")</f>
        <v>@Oppenheimer121</v>
      </c>
      <c r="C6576" t="s">
        <v>4727</v>
      </c>
      <c r="D6576">
        <v>0</v>
      </c>
      <c r="E6576">
        <v>0</v>
      </c>
      <c r="F6576">
        <v>0</v>
      </c>
    </row>
    <row r="6577" spans="1:6" ht="12.75">
      <c r="A6577" s="2">
        <v>43882.477708333332</v>
      </c>
      <c r="B6577" t="str">
        <f>HYPERLINK("https://twitter.com/murny7","@murny7")</f>
        <v>@murny7</v>
      </c>
      <c r="C6577" t="s">
        <v>177</v>
      </c>
      <c r="D6577">
        <v>748</v>
      </c>
      <c r="E6577">
        <v>0</v>
      </c>
      <c r="F6577">
        <v>2627</v>
      </c>
    </row>
    <row r="6578" spans="1:6" ht="12.75">
      <c r="A6578" s="2">
        <v>43882.477476851855</v>
      </c>
      <c r="B6578" t="str">
        <f>HYPERLINK("https://twitter.com/BadjaNuswantara","@BadjaNuswantara")</f>
        <v>@BadjaNuswantara</v>
      </c>
      <c r="C6578" t="s">
        <v>2962</v>
      </c>
      <c r="D6578">
        <v>4</v>
      </c>
      <c r="E6578">
        <v>0</v>
      </c>
      <c r="F6578">
        <v>42864</v>
      </c>
    </row>
    <row r="6579" spans="1:6" ht="12.75">
      <c r="A6579" s="2">
        <v>43882.4768287037</v>
      </c>
      <c r="B6579" t="str">
        <f>HYPERLINK("https://twitter.com/Niabarik","@Niabarik")</f>
        <v>@Niabarik</v>
      </c>
      <c r="C6579" t="s">
        <v>1407</v>
      </c>
      <c r="D6579">
        <v>9731</v>
      </c>
      <c r="E6579">
        <v>0</v>
      </c>
      <c r="F6579">
        <v>31</v>
      </c>
    </row>
    <row r="6580" spans="1:6" ht="12.75">
      <c r="A6580" s="2">
        <v>43882.476608796293</v>
      </c>
      <c r="B6580" t="str">
        <f>HYPERLINK("https://twitter.com/BKoloran","@BKoloran")</f>
        <v>@BKoloran</v>
      </c>
      <c r="C6580" t="s">
        <v>4728</v>
      </c>
      <c r="D6580">
        <v>0</v>
      </c>
      <c r="E6580">
        <v>0</v>
      </c>
      <c r="F6580">
        <v>0</v>
      </c>
    </row>
    <row r="6581" spans="1:6" ht="12.75">
      <c r="A6581" s="2">
        <v>43882.47619212963</v>
      </c>
      <c r="B6581" t="str">
        <f>HYPERLINK("https://twitter.com/Akbar28599","@Akbar28599")</f>
        <v>@Akbar28599</v>
      </c>
      <c r="C6581" t="s">
        <v>4020</v>
      </c>
      <c r="D6581">
        <v>31</v>
      </c>
      <c r="E6581">
        <v>0</v>
      </c>
      <c r="F6581">
        <v>958</v>
      </c>
    </row>
    <row r="6582" spans="1:6" ht="12.75">
      <c r="A6582" s="2">
        <v>43882.474826388891</v>
      </c>
      <c r="B6582" t="str">
        <f>HYPERLINK("https://twitter.com/orota9","@orota9")</f>
        <v>@orota9</v>
      </c>
      <c r="C6582" t="s">
        <v>4729</v>
      </c>
      <c r="D6582">
        <v>1</v>
      </c>
      <c r="E6582">
        <v>0</v>
      </c>
      <c r="F6582">
        <v>258</v>
      </c>
    </row>
    <row r="6583" spans="1:6" ht="12.75">
      <c r="A6583" s="2">
        <v>43882.474814814814</v>
      </c>
      <c r="B6583" t="str">
        <f>HYPERLINK("https://twitter.com/indrayansyah421","@indrayansyah421")</f>
        <v>@indrayansyah421</v>
      </c>
      <c r="C6583" t="s">
        <v>4730</v>
      </c>
      <c r="D6583">
        <v>37</v>
      </c>
      <c r="E6583">
        <v>0</v>
      </c>
      <c r="F6583">
        <v>22</v>
      </c>
    </row>
    <row r="6584" spans="1:6" ht="12.75">
      <c r="A6584" s="2">
        <v>43882.474155092597</v>
      </c>
      <c r="B6584" t="str">
        <f>HYPERLINK("https://twitter.com/joniagussuparta","@joniagussuparta")</f>
        <v>@joniagussuparta</v>
      </c>
      <c r="C6584" t="s">
        <v>3341</v>
      </c>
      <c r="D6584">
        <v>654</v>
      </c>
      <c r="E6584">
        <v>0</v>
      </c>
      <c r="F6584">
        <v>82</v>
      </c>
    </row>
    <row r="6585" spans="1:6" ht="12.75">
      <c r="A6585" s="2">
        <v>43882.473993055552</v>
      </c>
      <c r="B6585" t="str">
        <f>HYPERLINK("https://twitter.com/Haluan_","@Haluan_")</f>
        <v>@Haluan_</v>
      </c>
      <c r="C6585" t="s">
        <v>4731</v>
      </c>
      <c r="D6585">
        <v>0</v>
      </c>
      <c r="E6585">
        <v>0</v>
      </c>
      <c r="F6585">
        <v>1481</v>
      </c>
    </row>
    <row r="6586" spans="1:6" ht="12.75">
      <c r="A6586" s="2">
        <v>43882.473622685182</v>
      </c>
      <c r="B6586" t="str">
        <f>HYPERLINK("https://twitter.com/PriskyPribadi74","@PriskyPribadi74")</f>
        <v>@PriskyPribadi74</v>
      </c>
      <c r="C6586" t="s">
        <v>3826</v>
      </c>
      <c r="D6586">
        <v>2</v>
      </c>
      <c r="E6586">
        <v>0</v>
      </c>
      <c r="F6586">
        <v>18</v>
      </c>
    </row>
    <row r="6587" spans="1:6" ht="12.75">
      <c r="A6587" s="2">
        <v>43882.473125000004</v>
      </c>
      <c r="B6587" t="str">
        <f>HYPERLINK("https://twitter.com/YudiM32782559","@YudiM32782559")</f>
        <v>@YudiM32782559</v>
      </c>
      <c r="C6587" t="s">
        <v>4732</v>
      </c>
      <c r="D6587">
        <v>0</v>
      </c>
      <c r="E6587">
        <v>1</v>
      </c>
      <c r="F6587">
        <v>720</v>
      </c>
    </row>
    <row r="6588" spans="1:6" ht="12.75">
      <c r="A6588" s="2">
        <v>43882.46947916667</v>
      </c>
      <c r="B6588" t="str">
        <f>HYPERLINK("https://twitter.com/agama_nusantara","@agama_nusantara")</f>
        <v>@agama_nusantara</v>
      </c>
      <c r="C6588" t="s">
        <v>4733</v>
      </c>
      <c r="D6588">
        <v>2817</v>
      </c>
      <c r="E6588">
        <v>0</v>
      </c>
      <c r="F6588">
        <v>7369</v>
      </c>
    </row>
    <row r="6589" spans="1:6" ht="12.75">
      <c r="A6589" s="2">
        <v>43882.46938657407</v>
      </c>
      <c r="B6589" t="str">
        <f>HYPERLINK("https://twitter.com/republikaonline","@republikaonline")</f>
        <v>@republikaonline</v>
      </c>
      <c r="C6589" t="s">
        <v>4734</v>
      </c>
      <c r="D6589">
        <v>1</v>
      </c>
      <c r="E6589">
        <v>3</v>
      </c>
      <c r="F6589">
        <v>1211699</v>
      </c>
    </row>
    <row r="6590" spans="1:6" ht="12.75">
      <c r="A6590" s="2">
        <v>43882.468495370369</v>
      </c>
      <c r="B6590" t="str">
        <f>HYPERLINK("https://twitter.com/faridwinart","@faridwinart")</f>
        <v>@faridwinart</v>
      </c>
      <c r="C6590" t="s">
        <v>4735</v>
      </c>
      <c r="D6590">
        <v>0</v>
      </c>
      <c r="E6590">
        <v>1</v>
      </c>
      <c r="F6590">
        <v>121</v>
      </c>
    </row>
    <row r="6591" spans="1:6" ht="12.75">
      <c r="A6591" s="2">
        <v>43882.467777777776</v>
      </c>
      <c r="B6591" t="str">
        <f>HYPERLINK("https://twitter.com/perfectbliss712","@perfectbliss712")</f>
        <v>@perfectbliss712</v>
      </c>
      <c r="C6591" t="s">
        <v>1407</v>
      </c>
      <c r="D6591">
        <v>9731</v>
      </c>
      <c r="E6591">
        <v>0</v>
      </c>
      <c r="F6591">
        <v>60</v>
      </c>
    </row>
    <row r="6592" spans="1:6" ht="12.75">
      <c r="A6592" s="2">
        <v>43882.46707175926</v>
      </c>
      <c r="B6592" t="str">
        <f>HYPERLINK("https://twitter.com/CNNIDdaily","@CNNIDdaily")</f>
        <v>@CNNIDdaily</v>
      </c>
      <c r="C6592" t="s">
        <v>4736</v>
      </c>
      <c r="D6592">
        <v>2</v>
      </c>
      <c r="E6592">
        <v>1</v>
      </c>
      <c r="F6592">
        <v>117742</v>
      </c>
    </row>
    <row r="6593" spans="1:6" ht="12.75">
      <c r="A6593" s="2">
        <v>43882.465011574073</v>
      </c>
      <c r="B6593" t="str">
        <f>HYPERLINK("https://twitter.com/nnyzhuxin","@nnyzhuxin")</f>
        <v>@nnyzhuxin</v>
      </c>
      <c r="C6593" t="s">
        <v>4737</v>
      </c>
      <c r="D6593">
        <v>7</v>
      </c>
      <c r="E6593">
        <v>0</v>
      </c>
      <c r="F6593">
        <v>11761</v>
      </c>
    </row>
    <row r="6594" spans="1:6" ht="12.75">
      <c r="A6594" s="2">
        <v>43882.464282407411</v>
      </c>
      <c r="B6594" t="str">
        <f>HYPERLINK("https://twitter.com/moreshare","@moreshare")</f>
        <v>@moreshare</v>
      </c>
      <c r="C6594" t="s">
        <v>4738</v>
      </c>
      <c r="D6594">
        <v>0</v>
      </c>
      <c r="E6594">
        <v>0</v>
      </c>
      <c r="F6594">
        <v>3306</v>
      </c>
    </row>
    <row r="6595" spans="1:6" ht="12.75">
      <c r="A6595" s="2">
        <v>43882.464050925926</v>
      </c>
      <c r="B6595" t="str">
        <f>HYPERLINK("https://twitter.com/IrfanMaulana889","@IrfanMaulana889")</f>
        <v>@IrfanMaulana889</v>
      </c>
      <c r="C6595" t="s">
        <v>4739</v>
      </c>
      <c r="D6595">
        <v>0</v>
      </c>
      <c r="E6595">
        <v>0</v>
      </c>
      <c r="F6595">
        <v>2</v>
      </c>
    </row>
    <row r="6596" spans="1:6" ht="12.75">
      <c r="A6596" s="2">
        <v>43882.463449074072</v>
      </c>
      <c r="B6596" t="str">
        <f>HYPERLINK("https://twitter.com/Nusantara_TV","@Nusantara_TV")</f>
        <v>@Nusantara_TV</v>
      </c>
      <c r="C6596" t="s">
        <v>4740</v>
      </c>
      <c r="D6596">
        <v>0</v>
      </c>
      <c r="E6596">
        <v>0</v>
      </c>
      <c r="F6596">
        <v>493</v>
      </c>
    </row>
    <row r="6597" spans="1:6" ht="12.75">
      <c r="A6597" s="2">
        <v>43882.462743055556</v>
      </c>
      <c r="B6597" t="str">
        <f>HYPERLINK("https://twitter.com/Harry4121cr","@Harry4121cr")</f>
        <v>@Harry4121cr</v>
      </c>
      <c r="C6597" t="s">
        <v>4741</v>
      </c>
      <c r="D6597">
        <v>0</v>
      </c>
      <c r="E6597">
        <v>0</v>
      </c>
      <c r="F6597">
        <v>201</v>
      </c>
    </row>
    <row r="6598" spans="1:6" ht="12.75">
      <c r="A6598" s="2">
        <v>43882.462731481486</v>
      </c>
      <c r="B6598" t="str">
        <f>HYPERLINK("https://twitter.com/BadjaNuswantara","@BadjaNuswantara")</f>
        <v>@BadjaNuswantara</v>
      </c>
      <c r="C6598" t="s">
        <v>4742</v>
      </c>
      <c r="D6598">
        <v>0</v>
      </c>
      <c r="E6598">
        <v>2</v>
      </c>
      <c r="F6598">
        <v>42864</v>
      </c>
    </row>
    <row r="6599" spans="1:6" ht="12.75">
      <c r="A6599" s="2">
        <v>43882.462604166663</v>
      </c>
      <c r="B6599" t="str">
        <f>HYPERLINK("https://twitter.com/IntanNabil4","@IntanNabil4")</f>
        <v>@IntanNabil4</v>
      </c>
      <c r="C6599" t="s">
        <v>4743</v>
      </c>
      <c r="D6599">
        <v>0</v>
      </c>
      <c r="E6599">
        <v>0</v>
      </c>
      <c r="F6599">
        <v>142</v>
      </c>
    </row>
    <row r="6600" spans="1:6" ht="12.75">
      <c r="A6600" s="2">
        <v>43882.462581018517</v>
      </c>
      <c r="B6600" t="str">
        <f>HYPERLINK("https://twitter.com/alkurshfnov","@alkurshfnov")</f>
        <v>@alkurshfnov</v>
      </c>
      <c r="C6600" t="s">
        <v>4744</v>
      </c>
      <c r="D6600">
        <v>0</v>
      </c>
      <c r="E6600">
        <v>0</v>
      </c>
      <c r="F6600">
        <v>583</v>
      </c>
    </row>
    <row r="6601" spans="1:6" ht="12.75">
      <c r="A6601" s="2">
        <v>43882.462048611109</v>
      </c>
      <c r="B6601" t="str">
        <f>HYPERLINK("https://twitter.com/chavezalpalpa","@chavezalpalpa")</f>
        <v>@chavezalpalpa</v>
      </c>
      <c r="C6601" t="s">
        <v>4186</v>
      </c>
      <c r="D6601">
        <v>4</v>
      </c>
      <c r="E6601">
        <v>0</v>
      </c>
      <c r="F6601">
        <v>132</v>
      </c>
    </row>
    <row r="6602" spans="1:6" ht="12.75">
      <c r="A6602" s="2">
        <v>43882.461655092593</v>
      </c>
      <c r="B6602" t="str">
        <f>HYPERLINK("https://twitter.com/miswanto80","@miswanto80")</f>
        <v>@miswanto80</v>
      </c>
      <c r="C6602" t="s">
        <v>2962</v>
      </c>
      <c r="D6602">
        <v>4</v>
      </c>
      <c r="E6602">
        <v>0</v>
      </c>
      <c r="F6602">
        <v>2954</v>
      </c>
    </row>
    <row r="6603" spans="1:6" ht="12.75">
      <c r="A6603" s="2">
        <v>43882.461608796293</v>
      </c>
      <c r="B6603" t="str">
        <f>HYPERLINK("https://twitter.com/Cherul16","@Cherul16")</f>
        <v>@Cherul16</v>
      </c>
      <c r="C6603" t="s">
        <v>4745</v>
      </c>
      <c r="D6603">
        <v>857</v>
      </c>
      <c r="E6603">
        <v>0</v>
      </c>
      <c r="F6603">
        <v>1303</v>
      </c>
    </row>
    <row r="6604" spans="1:6" ht="12.75">
      <c r="A6604" s="2">
        <v>43882.46125</v>
      </c>
      <c r="B6604" t="str">
        <f>HYPERLINK("https://twitter.com/yogapraditow","@yogapraditow")</f>
        <v>@yogapraditow</v>
      </c>
      <c r="C6604" t="s">
        <v>4746</v>
      </c>
      <c r="D6604">
        <v>1</v>
      </c>
      <c r="E6604">
        <v>0</v>
      </c>
      <c r="F6604">
        <v>405</v>
      </c>
    </row>
    <row r="6605" spans="1:6" ht="12.75">
      <c r="A6605" s="2">
        <v>43882.461053240739</v>
      </c>
      <c r="B6605" t="str">
        <f>HYPERLINK("https://twitter.com/tirado_isis","@tirado_isis")</f>
        <v>@tirado_isis</v>
      </c>
      <c r="C6605" t="s">
        <v>4747</v>
      </c>
      <c r="D6605">
        <v>0</v>
      </c>
      <c r="E6605">
        <v>0</v>
      </c>
      <c r="F6605">
        <v>0</v>
      </c>
    </row>
    <row r="6606" spans="1:6" ht="12.75">
      <c r="A6606" s="2">
        <v>43882.460601851853</v>
      </c>
      <c r="B6606" t="str">
        <f>HYPERLINK("https://twitter.com/embah72","@embah72")</f>
        <v>@embah72</v>
      </c>
      <c r="C6606" t="s">
        <v>177</v>
      </c>
      <c r="D6606">
        <v>748</v>
      </c>
      <c r="E6606">
        <v>0</v>
      </c>
      <c r="F6606">
        <v>14091</v>
      </c>
    </row>
    <row r="6607" spans="1:6" ht="12.75">
      <c r="A6607" s="2">
        <v>43882.460428240738</v>
      </c>
      <c r="B6607" t="str">
        <f>HYPERLINK("https://twitter.com/antaranews","@antaranews")</f>
        <v>@antaranews</v>
      </c>
      <c r="C6607" t="s">
        <v>4748</v>
      </c>
      <c r="D6607">
        <v>1</v>
      </c>
      <c r="E6607">
        <v>0</v>
      </c>
      <c r="F6607">
        <v>1104289</v>
      </c>
    </row>
    <row r="6608" spans="1:6" ht="12.75">
      <c r="A6608" s="2">
        <v>43882.460266203707</v>
      </c>
      <c r="B6608" t="str">
        <f>HYPERLINK("https://twitter.com/harakatuna","@harakatuna")</f>
        <v>@harakatuna</v>
      </c>
      <c r="C6608" t="s">
        <v>4459</v>
      </c>
      <c r="D6608">
        <v>0</v>
      </c>
      <c r="E6608">
        <v>0</v>
      </c>
      <c r="F6608">
        <v>408</v>
      </c>
    </row>
    <row r="6609" spans="1:6" ht="12.75">
      <c r="A6609" s="2">
        <v>43882.460150462968</v>
      </c>
      <c r="B6609" t="str">
        <f>HYPERLINK("https://twitter.com/Ronggolawe02","@Ronggolawe02")</f>
        <v>@Ronggolawe02</v>
      </c>
      <c r="C6609" t="s">
        <v>2962</v>
      </c>
      <c r="D6609">
        <v>4</v>
      </c>
      <c r="E6609">
        <v>0</v>
      </c>
      <c r="F6609">
        <v>5239</v>
      </c>
    </row>
    <row r="6610" spans="1:6" ht="12.75">
      <c r="A6610" s="2">
        <v>43882.460046296299</v>
      </c>
      <c r="B6610" t="str">
        <f>HYPERLINK("https://twitter.com/coffeecream","@coffeecream")</f>
        <v>@coffeecream</v>
      </c>
      <c r="C6610" t="s">
        <v>3302</v>
      </c>
      <c r="D6610">
        <v>25</v>
      </c>
      <c r="E6610">
        <v>0</v>
      </c>
      <c r="F6610">
        <v>2433</v>
      </c>
    </row>
    <row r="6611" spans="1:6" ht="12.75">
      <c r="A6611" s="2">
        <v>43882.459409722222</v>
      </c>
      <c r="B6611" t="str">
        <f>HYPERLINK("https://twitter.com/RD_4WR1212","@RD_4WR1212")</f>
        <v>@RD_4WR1212</v>
      </c>
      <c r="C6611" t="s">
        <v>4749</v>
      </c>
      <c r="D6611">
        <v>0</v>
      </c>
      <c r="E6611">
        <v>0</v>
      </c>
      <c r="F6611">
        <v>9187</v>
      </c>
    </row>
    <row r="6612" spans="1:6" ht="12.75">
      <c r="A6612" s="2">
        <v>43882.459201388891</v>
      </c>
      <c r="B6612" t="str">
        <f>HYPERLINK("https://twitter.com/GedeWidiAdnyan3","@GedeWidiAdnyan3")</f>
        <v>@GedeWidiAdnyan3</v>
      </c>
      <c r="C6612" t="s">
        <v>177</v>
      </c>
      <c r="D6612">
        <v>740</v>
      </c>
      <c r="E6612">
        <v>0</v>
      </c>
      <c r="F6612">
        <v>72</v>
      </c>
    </row>
    <row r="6613" spans="1:6" ht="12.75">
      <c r="A6613" s="2">
        <v>43882.458773148144</v>
      </c>
      <c r="B6613" t="str">
        <f>HYPERLINK("https://twitter.com/HaluanKita","@HaluanKita")</f>
        <v>@HaluanKita</v>
      </c>
      <c r="C6613" t="s">
        <v>4750</v>
      </c>
      <c r="D6613">
        <v>0</v>
      </c>
      <c r="E6613">
        <v>0</v>
      </c>
      <c r="F6613">
        <v>1560</v>
      </c>
    </row>
    <row r="6614" spans="1:6" ht="12.75">
      <c r="A6614" s="2">
        <v>43882.45821759259</v>
      </c>
      <c r="B6614" t="str">
        <f>HYPERLINK("https://twitter.com/S_aulia26","@S_aulia26")</f>
        <v>@S_aulia26</v>
      </c>
      <c r="C6614" t="s">
        <v>4751</v>
      </c>
      <c r="D6614">
        <v>0</v>
      </c>
      <c r="E6614">
        <v>0</v>
      </c>
      <c r="F6614">
        <v>3945</v>
      </c>
    </row>
    <row r="6615" spans="1:6" ht="12.75">
      <c r="A6615" s="2">
        <v>43882.456712962958</v>
      </c>
      <c r="B6615" t="str">
        <f>HYPERLINK("https://twitter.com/airmagzcom","@airmagzcom")</f>
        <v>@airmagzcom</v>
      </c>
      <c r="C6615" t="s">
        <v>4752</v>
      </c>
      <c r="D6615">
        <v>0</v>
      </c>
      <c r="E6615">
        <v>0</v>
      </c>
      <c r="F6615">
        <v>129</v>
      </c>
    </row>
    <row r="6616" spans="1:6" ht="12.75">
      <c r="A6616" s="2">
        <v>43882.456516203703</v>
      </c>
      <c r="B6616" t="str">
        <f>HYPERLINK("https://twitter.com/IndonesiaRAW","@IndonesiaRAW")</f>
        <v>@IndonesiaRAW</v>
      </c>
      <c r="C6616" t="s">
        <v>4753</v>
      </c>
      <c r="D6616">
        <v>0</v>
      </c>
      <c r="E6616">
        <v>0</v>
      </c>
      <c r="F6616">
        <v>201792</v>
      </c>
    </row>
    <row r="6617" spans="1:6" ht="12.75">
      <c r="A6617" s="2">
        <v>43882.45616898148</v>
      </c>
      <c r="B6617" t="str">
        <f>HYPERLINK("https://twitter.com/effendy_seven","@effendy_seven")</f>
        <v>@effendy_seven</v>
      </c>
      <c r="C6617" t="s">
        <v>4754</v>
      </c>
      <c r="D6617">
        <v>3</v>
      </c>
      <c r="E6617">
        <v>0</v>
      </c>
      <c r="F6617">
        <v>3834</v>
      </c>
    </row>
    <row r="6618" spans="1:6" ht="12.75">
      <c r="A6618" s="2">
        <v>43882.456157407403</v>
      </c>
      <c r="B6618" t="str">
        <f>HYPERLINK("https://twitter.com/mhmdfaqih48","@mhmdfaqih48")</f>
        <v>@mhmdfaqih48</v>
      </c>
      <c r="C6618" t="s">
        <v>177</v>
      </c>
      <c r="D6618">
        <v>740</v>
      </c>
      <c r="E6618">
        <v>0</v>
      </c>
      <c r="F6618">
        <v>26</v>
      </c>
    </row>
    <row r="6619" spans="1:6" ht="12.75">
      <c r="A6619" s="2">
        <v>43882.456134259264</v>
      </c>
      <c r="B6619" t="str">
        <f>HYPERLINK("https://twitter.com/MRIWAN01296554","@MRIWAN01296554")</f>
        <v>@MRIWAN01296554</v>
      </c>
      <c r="C6619" t="s">
        <v>4020</v>
      </c>
      <c r="D6619">
        <v>28</v>
      </c>
      <c r="E6619">
        <v>0</v>
      </c>
      <c r="F6619">
        <v>418</v>
      </c>
    </row>
    <row r="6620" spans="1:6" ht="12.75">
      <c r="A6620" s="2">
        <v>43882.455833333333</v>
      </c>
      <c r="B6620" t="str">
        <f>HYPERLINK("https://twitter.com/dhendrad","@dhendrad")</f>
        <v>@dhendrad</v>
      </c>
      <c r="C6620" t="s">
        <v>4755</v>
      </c>
      <c r="D6620">
        <v>0</v>
      </c>
      <c r="E6620">
        <v>0</v>
      </c>
      <c r="F6620">
        <v>9</v>
      </c>
    </row>
    <row r="6621" spans="1:6" ht="12.75">
      <c r="A6621" s="2">
        <v>43882.455694444448</v>
      </c>
      <c r="B6621" t="str">
        <f>HYPERLINK("https://twitter.com/Muhajir44328224","@Muhajir44328224")</f>
        <v>@Muhajir44328224</v>
      </c>
      <c r="C6621" t="s">
        <v>177</v>
      </c>
      <c r="D6621">
        <v>740</v>
      </c>
      <c r="E6621">
        <v>0</v>
      </c>
      <c r="F6621">
        <v>8</v>
      </c>
    </row>
    <row r="6622" spans="1:6" ht="12.75">
      <c r="A6622" s="2">
        <v>43882.455416666664</v>
      </c>
      <c r="B6622" t="str">
        <f>HYPERLINK("https://twitter.com/urip_murup","@urip_murup")</f>
        <v>@urip_murup</v>
      </c>
      <c r="C6622" t="s">
        <v>3995</v>
      </c>
      <c r="D6622">
        <v>1</v>
      </c>
      <c r="E6622">
        <v>0</v>
      </c>
      <c r="F6622">
        <v>234</v>
      </c>
    </row>
    <row r="6623" spans="1:6" ht="12.75">
      <c r="A6623" s="2">
        <v>43882.455081018517</v>
      </c>
      <c r="B6623" t="str">
        <f>HYPERLINK("https://twitter.com/ENCIME","@ENCIME")</f>
        <v>@ENCIME</v>
      </c>
      <c r="C6623" t="s">
        <v>3483</v>
      </c>
      <c r="D6623">
        <v>30</v>
      </c>
      <c r="E6623">
        <v>0</v>
      </c>
      <c r="F6623">
        <v>150</v>
      </c>
    </row>
    <row r="6624" spans="1:6" ht="12.75">
      <c r="A6624" s="2">
        <v>43882.454895833333</v>
      </c>
      <c r="B6624" t="str">
        <f>HYPERLINK("https://twitter.com/noeruzzaman","@noeruzzaman")</f>
        <v>@noeruzzaman</v>
      </c>
      <c r="C6624" t="s">
        <v>4756</v>
      </c>
      <c r="D6624">
        <v>1</v>
      </c>
      <c r="E6624">
        <v>4</v>
      </c>
      <c r="F6624">
        <v>20637</v>
      </c>
    </row>
    <row r="6625" spans="1:6" ht="12.75">
      <c r="A6625" s="2">
        <v>43882.454618055555</v>
      </c>
      <c r="B6625" t="str">
        <f>HYPERLINK("https://twitter.com/Ryan43_official","@Ryan43_official")</f>
        <v>@Ryan43_official</v>
      </c>
      <c r="C6625" t="s">
        <v>4757</v>
      </c>
      <c r="D6625">
        <v>0</v>
      </c>
      <c r="E6625">
        <v>0</v>
      </c>
      <c r="F6625">
        <v>95</v>
      </c>
    </row>
    <row r="6626" spans="1:6" ht="12.75">
      <c r="A6626" s="2">
        <v>43882.454594907409</v>
      </c>
      <c r="B6626" t="str">
        <f>HYPERLINK("https://twitter.com/GATRA_News","@GATRA_News")</f>
        <v>@GATRA_News</v>
      </c>
      <c r="C6626" t="s">
        <v>4758</v>
      </c>
      <c r="D6626">
        <v>0</v>
      </c>
      <c r="E6626">
        <v>0</v>
      </c>
      <c r="F6626">
        <v>23141</v>
      </c>
    </row>
    <row r="6627" spans="1:6" ht="12.75">
      <c r="A6627" s="2">
        <v>43882.454375000001</v>
      </c>
      <c r="B6627" t="str">
        <f>HYPERLINK("https://twitter.com/Sastroklengsre1","@Sastroklengsre1")</f>
        <v>@Sastroklengsre1</v>
      </c>
      <c r="C6627" t="s">
        <v>4754</v>
      </c>
      <c r="D6627">
        <v>3</v>
      </c>
      <c r="E6627">
        <v>0</v>
      </c>
      <c r="F6627">
        <v>2343</v>
      </c>
    </row>
    <row r="6628" spans="1:6" ht="12.75">
      <c r="A6628" s="2">
        <v>43882.454351851848</v>
      </c>
      <c r="B6628" t="str">
        <f t="shared" ref="B6628:B6629" si="115">HYPERLINK("https://twitter.com/GATRA_News","@GATRA_News")</f>
        <v>@GATRA_News</v>
      </c>
      <c r="C6628" t="s">
        <v>4759</v>
      </c>
      <c r="D6628">
        <v>0</v>
      </c>
      <c r="E6628">
        <v>0</v>
      </c>
      <c r="F6628">
        <v>23141</v>
      </c>
    </row>
    <row r="6629" spans="1:6" ht="12.75">
      <c r="A6629" s="2">
        <v>43882.454305555555</v>
      </c>
      <c r="B6629" t="str">
        <f t="shared" si="115"/>
        <v>@GATRA_News</v>
      </c>
      <c r="C6629" t="s">
        <v>4760</v>
      </c>
      <c r="D6629">
        <v>0</v>
      </c>
      <c r="E6629">
        <v>0</v>
      </c>
      <c r="F6629">
        <v>23141</v>
      </c>
    </row>
    <row r="6630" spans="1:6" ht="12.75">
      <c r="A6630" s="2">
        <v>43882.453877314816</v>
      </c>
      <c r="B6630" t="str">
        <f>HYPERLINK("https://twitter.com/Fsetu","@Fsetu")</f>
        <v>@Fsetu</v>
      </c>
      <c r="C6630" t="s">
        <v>177</v>
      </c>
      <c r="D6630">
        <v>740</v>
      </c>
      <c r="E6630">
        <v>0</v>
      </c>
      <c r="F6630">
        <v>2756</v>
      </c>
    </row>
    <row r="6631" spans="1:6" ht="12.75">
      <c r="A6631" s="2">
        <v>43882.453599537039</v>
      </c>
      <c r="B6631" t="str">
        <f>HYPERLINK("https://twitter.com/GATRA_News","@GATRA_News")</f>
        <v>@GATRA_News</v>
      </c>
      <c r="C6631" t="s">
        <v>4761</v>
      </c>
      <c r="D6631">
        <v>0</v>
      </c>
      <c r="E6631">
        <v>0</v>
      </c>
      <c r="F6631">
        <v>23141</v>
      </c>
    </row>
    <row r="6632" spans="1:6" ht="12.75">
      <c r="A6632" s="2">
        <v>43882.453414351854</v>
      </c>
      <c r="B6632" t="str">
        <f>HYPERLINK("https://twitter.com/NurKhayat18","@NurKhayat18")</f>
        <v>@NurKhayat18</v>
      </c>
      <c r="C6632" t="s">
        <v>177</v>
      </c>
      <c r="D6632">
        <v>740</v>
      </c>
      <c r="E6632">
        <v>0</v>
      </c>
      <c r="F6632">
        <v>399</v>
      </c>
    </row>
    <row r="6633" spans="1:6" ht="12.75">
      <c r="A6633" s="2">
        <v>43882.453125</v>
      </c>
      <c r="B6633" t="str">
        <f>HYPERLINK("https://twitter.com/yogapraditow","@yogapraditow")</f>
        <v>@yogapraditow</v>
      </c>
      <c r="C6633" t="s">
        <v>177</v>
      </c>
      <c r="D6633">
        <v>740</v>
      </c>
      <c r="E6633">
        <v>0</v>
      </c>
      <c r="F6633">
        <v>405</v>
      </c>
    </row>
    <row r="6634" spans="1:6" ht="12.75">
      <c r="A6634" s="2">
        <v>43882.4528125</v>
      </c>
      <c r="B6634" t="str">
        <f t="shared" ref="B6634:B6635" si="116">HYPERLINK("https://twitter.com/GATRA_News","@GATRA_News")</f>
        <v>@GATRA_News</v>
      </c>
      <c r="C6634" t="s">
        <v>4762</v>
      </c>
      <c r="D6634">
        <v>0</v>
      </c>
      <c r="E6634">
        <v>0</v>
      </c>
      <c r="F6634">
        <v>23141</v>
      </c>
    </row>
    <row r="6635" spans="1:6" ht="12.75">
      <c r="A6635" s="2">
        <v>43882.452662037038</v>
      </c>
      <c r="B6635" t="str">
        <f t="shared" si="116"/>
        <v>@GATRA_News</v>
      </c>
      <c r="C6635" t="s">
        <v>4763</v>
      </c>
      <c r="D6635">
        <v>0</v>
      </c>
      <c r="E6635">
        <v>0</v>
      </c>
      <c r="F6635">
        <v>23141</v>
      </c>
    </row>
    <row r="6636" spans="1:6" ht="12.75">
      <c r="A6636" s="2">
        <v>43882.452291666668</v>
      </c>
      <c r="B6636" t="str">
        <f>HYPERLINK("https://twitter.com/GustiAgungPurn1","@GustiAgungPurn1")</f>
        <v>@GustiAgungPurn1</v>
      </c>
      <c r="C6636" t="s">
        <v>4764</v>
      </c>
      <c r="D6636">
        <v>0</v>
      </c>
      <c r="E6636">
        <v>0</v>
      </c>
      <c r="F6636">
        <v>8</v>
      </c>
    </row>
    <row r="6637" spans="1:6" ht="12.75">
      <c r="A6637" s="2">
        <v>43882.452280092592</v>
      </c>
      <c r="B6637" t="str">
        <f>HYPERLINK("https://twitter.com/caturdian29","@caturdian29")</f>
        <v>@caturdian29</v>
      </c>
      <c r="C6637" t="s">
        <v>177</v>
      </c>
      <c r="D6637">
        <v>740</v>
      </c>
      <c r="E6637">
        <v>0</v>
      </c>
      <c r="F6637">
        <v>58</v>
      </c>
    </row>
    <row r="6638" spans="1:6" ht="12.75">
      <c r="A6638" s="2">
        <v>43882.452141203699</v>
      </c>
      <c r="B6638" t="str">
        <f>HYPERLINK("https://twitter.com/GATRA_News","@GATRA_News")</f>
        <v>@GATRA_News</v>
      </c>
      <c r="C6638" t="s">
        <v>4765</v>
      </c>
      <c r="D6638">
        <v>0</v>
      </c>
      <c r="E6638">
        <v>0</v>
      </c>
      <c r="F6638">
        <v>23141</v>
      </c>
    </row>
    <row r="6639" spans="1:6" ht="12.75">
      <c r="A6639" s="2">
        <v>43882.45113425926</v>
      </c>
      <c r="B6639" t="str">
        <f>HYPERLINK("https://twitter.com/PetrusGiovannyA","@PetrusGiovannyA")</f>
        <v>@PetrusGiovannyA</v>
      </c>
      <c r="C6639" t="s">
        <v>4766</v>
      </c>
      <c r="D6639">
        <v>0</v>
      </c>
      <c r="E6639">
        <v>0</v>
      </c>
      <c r="F6639">
        <v>17</v>
      </c>
    </row>
    <row r="6640" spans="1:6" ht="12.75">
      <c r="A6640" s="2">
        <v>43882.450960648144</v>
      </c>
      <c r="B6640" t="str">
        <f>HYPERLINK("https://twitter.com/putrimadhita","@putrimadhita")</f>
        <v>@putrimadhita</v>
      </c>
      <c r="C6640" t="s">
        <v>4730</v>
      </c>
      <c r="D6640">
        <v>36</v>
      </c>
      <c r="E6640">
        <v>0</v>
      </c>
      <c r="F6640">
        <v>313</v>
      </c>
    </row>
    <row r="6641" spans="1:6" ht="12.75">
      <c r="A6641" s="2">
        <v>43882.450011574074</v>
      </c>
      <c r="B6641" t="str">
        <f>HYPERLINK("https://twitter.com/nu_dillah17","@nu_dillah17")</f>
        <v>@nu_dillah17</v>
      </c>
      <c r="C6641" t="s">
        <v>513</v>
      </c>
      <c r="D6641">
        <v>23245</v>
      </c>
      <c r="E6641">
        <v>0</v>
      </c>
      <c r="F6641">
        <v>29</v>
      </c>
    </row>
    <row r="6642" spans="1:6" ht="12.75">
      <c r="A6642" s="2">
        <v>43882.448020833333</v>
      </c>
      <c r="B6642" t="str">
        <f>HYPERLINK("https://twitter.com/WhiteYellows17","@WhiteYellows17")</f>
        <v>@WhiteYellows17</v>
      </c>
      <c r="C6642" t="s">
        <v>4767</v>
      </c>
      <c r="D6642">
        <v>0</v>
      </c>
      <c r="E6642">
        <v>0</v>
      </c>
      <c r="F6642">
        <v>271</v>
      </c>
    </row>
    <row r="6643" spans="1:6" ht="12.75">
      <c r="A6643" s="2">
        <v>43882.447442129633</v>
      </c>
      <c r="B6643" t="str">
        <f>HYPERLINK("https://twitter.com/AsepNur64913426","@AsepNur64913426")</f>
        <v>@AsepNur64913426</v>
      </c>
      <c r="C6643" t="s">
        <v>177</v>
      </c>
      <c r="D6643">
        <v>740</v>
      </c>
      <c r="E6643">
        <v>0</v>
      </c>
      <c r="F6643">
        <v>40</v>
      </c>
    </row>
    <row r="6644" spans="1:6" ht="12.75">
      <c r="A6644" s="2">
        <v>43882.447395833333</v>
      </c>
      <c r="B6644" t="str">
        <f>HYPERLINK("https://twitter.com/Jaaaak12","@Jaaaak12")</f>
        <v>@Jaaaak12</v>
      </c>
      <c r="C6644" t="s">
        <v>4768</v>
      </c>
      <c r="D6644">
        <v>0</v>
      </c>
      <c r="E6644">
        <v>0</v>
      </c>
      <c r="F6644">
        <v>230</v>
      </c>
    </row>
    <row r="6645" spans="1:6" ht="12.75">
      <c r="A6645" s="2">
        <v>43882.446412037039</v>
      </c>
      <c r="B6645" t="str">
        <f>HYPERLINK("https://twitter.com/Fandroid13","@Fandroid13")</f>
        <v>@Fandroid13</v>
      </c>
      <c r="C6645" t="s">
        <v>4769</v>
      </c>
      <c r="D6645">
        <v>8</v>
      </c>
      <c r="E6645">
        <v>0</v>
      </c>
      <c r="F6645">
        <v>1</v>
      </c>
    </row>
    <row r="6646" spans="1:6" ht="12.75">
      <c r="A6646" s="2">
        <v>43882.445810185185</v>
      </c>
      <c r="B6646" t="str">
        <f>HYPERLINK("https://twitter.com/Wulan_Meidiana","@Wulan_Meidiana")</f>
        <v>@Wulan_Meidiana</v>
      </c>
      <c r="C6646" t="s">
        <v>1407</v>
      </c>
      <c r="D6646">
        <v>9730</v>
      </c>
      <c r="E6646">
        <v>0</v>
      </c>
      <c r="F6646">
        <v>808</v>
      </c>
    </row>
    <row r="6647" spans="1:6" ht="12.75">
      <c r="A6647" s="2">
        <v>43882.445462962962</v>
      </c>
      <c r="B6647" t="str">
        <f>HYPERLINK("https://twitter.com/FrutuosoJasiel","@FrutuosoJasiel")</f>
        <v>@FrutuosoJasiel</v>
      </c>
      <c r="C6647" t="s">
        <v>4770</v>
      </c>
      <c r="D6647">
        <v>0</v>
      </c>
      <c r="E6647">
        <v>4</v>
      </c>
      <c r="F6647">
        <v>32</v>
      </c>
    </row>
    <row r="6648" spans="1:6" ht="12.75">
      <c r="A6648" s="2">
        <v>43882.444189814814</v>
      </c>
      <c r="B6648" t="str">
        <f>HYPERLINK("https://twitter.com/Nicholashandiii","@Nicholashandiii")</f>
        <v>@Nicholashandiii</v>
      </c>
      <c r="C6648" t="s">
        <v>4360</v>
      </c>
      <c r="D6648">
        <v>194</v>
      </c>
      <c r="E6648">
        <v>0</v>
      </c>
      <c r="F6648">
        <v>26</v>
      </c>
    </row>
    <row r="6649" spans="1:6" ht="12.75">
      <c r="A6649" s="2">
        <v>43882.444085648152</v>
      </c>
      <c r="B6649" t="str">
        <f>HYPERLINK("https://twitter.com/Helmi67711233","@Helmi67711233")</f>
        <v>@Helmi67711233</v>
      </c>
      <c r="C6649" t="s">
        <v>4771</v>
      </c>
      <c r="D6649">
        <v>0</v>
      </c>
      <c r="E6649">
        <v>0</v>
      </c>
      <c r="F6649">
        <v>271</v>
      </c>
    </row>
    <row r="6650" spans="1:6" ht="12.75">
      <c r="A6650" s="2">
        <v>43882.443912037037</v>
      </c>
      <c r="B6650" t="str">
        <f>HYPERLINK("https://twitter.com/maula_01","@maula_01")</f>
        <v>@maula_01</v>
      </c>
      <c r="C6650" t="s">
        <v>513</v>
      </c>
      <c r="D6650">
        <v>23245</v>
      </c>
      <c r="E6650">
        <v>0</v>
      </c>
      <c r="F6650">
        <v>599</v>
      </c>
    </row>
    <row r="6651" spans="1:6" ht="12.75">
      <c r="A6651" s="2">
        <v>43882.443564814814</v>
      </c>
      <c r="B6651" t="str">
        <f>HYPERLINK("https://twitter.com/erniS1909","@erniS1909")</f>
        <v>@erniS1909</v>
      </c>
      <c r="C6651" t="s">
        <v>4077</v>
      </c>
      <c r="D6651">
        <v>16</v>
      </c>
      <c r="E6651">
        <v>0</v>
      </c>
      <c r="F6651">
        <v>501</v>
      </c>
    </row>
    <row r="6652" spans="1:6" ht="12.75">
      <c r="A6652" s="2">
        <v>43882.442962962959</v>
      </c>
      <c r="B6652" t="str">
        <f>HYPERLINK("https://twitter.com/ah26021","@ah26021")</f>
        <v>@ah26021</v>
      </c>
      <c r="C6652" t="s">
        <v>4772</v>
      </c>
      <c r="D6652">
        <v>0</v>
      </c>
      <c r="E6652">
        <v>1</v>
      </c>
      <c r="F6652">
        <v>235</v>
      </c>
    </row>
    <row r="6653" spans="1:6" ht="12.75">
      <c r="A6653" s="2">
        <v>43882.442430555559</v>
      </c>
      <c r="B6653" t="str">
        <f>HYPERLINK("https://twitter.com/misonof","@misonof")</f>
        <v>@misonof</v>
      </c>
      <c r="C6653" t="s">
        <v>4773</v>
      </c>
      <c r="D6653">
        <v>0</v>
      </c>
      <c r="E6653">
        <v>0</v>
      </c>
      <c r="F6653">
        <v>44</v>
      </c>
    </row>
    <row r="6654" spans="1:6" ht="12.75">
      <c r="A6654" s="2">
        <v>43882.441770833335</v>
      </c>
      <c r="B6654" t="str">
        <f>HYPERLINK("https://twitter.com/ResinemKristin","@ResinemKristin")</f>
        <v>@ResinemKristin</v>
      </c>
      <c r="C6654" t="s">
        <v>177</v>
      </c>
      <c r="D6654">
        <v>740</v>
      </c>
      <c r="E6654">
        <v>0</v>
      </c>
      <c r="F6654">
        <v>157</v>
      </c>
    </row>
    <row r="6655" spans="1:6" ht="12.75">
      <c r="A6655" s="2">
        <v>43882.441747685181</v>
      </c>
      <c r="B6655" t="str">
        <f>HYPERLINK("https://twitter.com/NUGROS13","@NUGROS13")</f>
        <v>@NUGROS13</v>
      </c>
      <c r="C6655" t="s">
        <v>3302</v>
      </c>
      <c r="D6655">
        <v>23</v>
      </c>
      <c r="E6655">
        <v>0</v>
      </c>
      <c r="F6655">
        <v>824</v>
      </c>
    </row>
    <row r="6656" spans="1:6" ht="12.75">
      <c r="A6656" s="2">
        <v>43882.441076388888</v>
      </c>
      <c r="B6656" t="str">
        <f>HYPERLINK("https://twitter.com/info4marwan","@info4marwan")</f>
        <v>@info4marwan</v>
      </c>
      <c r="C6656" t="s">
        <v>4774</v>
      </c>
      <c r="D6656">
        <v>0</v>
      </c>
      <c r="E6656">
        <v>0</v>
      </c>
      <c r="F6656">
        <v>593</v>
      </c>
    </row>
    <row r="6657" spans="1:6" ht="12.75">
      <c r="A6657" s="2">
        <v>43882.440902777773</v>
      </c>
      <c r="B6657" t="str">
        <f>HYPERLINK("https://twitter.com/Lidabasah","@Lidabasah")</f>
        <v>@Lidabasah</v>
      </c>
      <c r="C6657" t="s">
        <v>4775</v>
      </c>
      <c r="D6657">
        <v>169</v>
      </c>
      <c r="E6657">
        <v>0</v>
      </c>
      <c r="F6657">
        <v>4361</v>
      </c>
    </row>
    <row r="6658" spans="1:6" ht="12.75">
      <c r="A6658" s="2">
        <v>43882.440902777773</v>
      </c>
      <c r="B6658" t="str">
        <f>HYPERLINK("https://twitter.com/cahyono407","@cahyono407")</f>
        <v>@cahyono407</v>
      </c>
      <c r="C6658" t="s">
        <v>4776</v>
      </c>
      <c r="D6658">
        <v>0</v>
      </c>
      <c r="E6658">
        <v>0</v>
      </c>
      <c r="F6658">
        <v>504</v>
      </c>
    </row>
    <row r="6659" spans="1:6" ht="12.75">
      <c r="A6659" s="2">
        <v>43882.440729166672</v>
      </c>
      <c r="B6659" t="str">
        <f>HYPERLINK("https://twitter.com/ISIS_Balik_NO","@ISIS_Balik_NO")</f>
        <v>@ISIS_Balik_NO</v>
      </c>
      <c r="C6659" t="s">
        <v>4777</v>
      </c>
      <c r="D6659">
        <v>0</v>
      </c>
      <c r="E6659">
        <v>0</v>
      </c>
      <c r="F6659">
        <v>6089</v>
      </c>
    </row>
    <row r="6660" spans="1:6" ht="12.75">
      <c r="A6660" s="2">
        <v>43882.440266203703</v>
      </c>
      <c r="B6660" t="str">
        <f>HYPERLINK("https://twitter.com/elshinta_smg","@elshinta_smg")</f>
        <v>@elshinta_smg</v>
      </c>
      <c r="C6660" t="s">
        <v>4778</v>
      </c>
      <c r="D6660">
        <v>0</v>
      </c>
      <c r="E6660">
        <v>0</v>
      </c>
      <c r="F6660">
        <v>3746</v>
      </c>
    </row>
    <row r="6661" spans="1:6" ht="12.75">
      <c r="A6661" s="2">
        <v>43882.440254629633</v>
      </c>
      <c r="B6661" t="str">
        <f>HYPERLINK("https://twitter.com/HPengobatan","@HPengobatan")</f>
        <v>@HPengobatan</v>
      </c>
      <c r="C6661" t="s">
        <v>177</v>
      </c>
      <c r="D6661">
        <v>740</v>
      </c>
      <c r="E6661">
        <v>0</v>
      </c>
      <c r="F6661">
        <v>1371</v>
      </c>
    </row>
    <row r="6662" spans="1:6" ht="12.75">
      <c r="A6662" s="2">
        <v>43882.440115740741</v>
      </c>
      <c r="B6662" t="str">
        <f>HYPERLINK("https://twitter.com/ISIS_Balik_NO","@ISIS_Balik_NO")</f>
        <v>@ISIS_Balik_NO</v>
      </c>
      <c r="C6662" t="s">
        <v>4779</v>
      </c>
      <c r="D6662">
        <v>0</v>
      </c>
      <c r="E6662">
        <v>1</v>
      </c>
      <c r="F6662">
        <v>6089</v>
      </c>
    </row>
    <row r="6663" spans="1:6" ht="12.75">
      <c r="A6663" s="2">
        <v>43882.439918981487</v>
      </c>
      <c r="B6663" t="str">
        <f>HYPERLINK("https://twitter.com/NannyAlexendry","@NannyAlexendry")</f>
        <v>@NannyAlexendry</v>
      </c>
      <c r="C6663" t="s">
        <v>4775</v>
      </c>
      <c r="D6663">
        <v>169</v>
      </c>
      <c r="E6663">
        <v>0</v>
      </c>
      <c r="F6663">
        <v>2916</v>
      </c>
    </row>
    <row r="6664" spans="1:6" ht="12.75">
      <c r="A6664" s="2">
        <v>43882.439837962964</v>
      </c>
      <c r="B6664" t="str">
        <f>HYPERLINK("https://twitter.com/Kabar_Tangsel","@Kabar_Tangsel")</f>
        <v>@Kabar_Tangsel</v>
      </c>
      <c r="C6664" t="s">
        <v>4780</v>
      </c>
      <c r="D6664">
        <v>0</v>
      </c>
      <c r="E6664">
        <v>1</v>
      </c>
      <c r="F6664">
        <v>14901</v>
      </c>
    </row>
    <row r="6665" spans="1:6" ht="12.75">
      <c r="A6665" s="2">
        <v>43882.439756944441</v>
      </c>
      <c r="B6665" t="str">
        <f>HYPERLINK("https://twitter.com/sally_rw","@sally_rw")</f>
        <v>@sally_rw</v>
      </c>
      <c r="C6665" t="s">
        <v>4781</v>
      </c>
      <c r="D6665">
        <v>0</v>
      </c>
      <c r="E6665">
        <v>0</v>
      </c>
      <c r="F6665">
        <v>829</v>
      </c>
    </row>
    <row r="6666" spans="1:6" ht="12.75">
      <c r="A6666" s="2">
        <v>43882.439733796295</v>
      </c>
      <c r="B6666" t="str">
        <f>HYPERLINK("https://twitter.com/indozonemedia","@indozonemedia")</f>
        <v>@indozonemedia</v>
      </c>
      <c r="C6666" t="s">
        <v>4782</v>
      </c>
      <c r="D6666">
        <v>0</v>
      </c>
      <c r="E6666">
        <v>0</v>
      </c>
      <c r="F6666">
        <v>1787929</v>
      </c>
    </row>
    <row r="6667" spans="1:6" ht="12.75">
      <c r="A6667" s="2">
        <v>43882.439641203702</v>
      </c>
      <c r="B6667" t="str">
        <f>HYPERLINK("https://twitter.com/ISIS_Balik_NO","@ISIS_Balik_NO")</f>
        <v>@ISIS_Balik_NO</v>
      </c>
      <c r="C6667" t="s">
        <v>4783</v>
      </c>
      <c r="D6667">
        <v>50</v>
      </c>
      <c r="E6667">
        <v>0</v>
      </c>
      <c r="F6667">
        <v>6089</v>
      </c>
    </row>
    <row r="6668" spans="1:6" ht="12.75">
      <c r="A6668" s="2">
        <v>43882.439363425925</v>
      </c>
      <c r="B6668" t="str">
        <f>HYPERLINK("https://twitter.com/sikoom","@sikoom")</f>
        <v>@sikoom</v>
      </c>
      <c r="C6668" t="s">
        <v>4784</v>
      </c>
      <c r="D6668">
        <v>0</v>
      </c>
      <c r="E6668">
        <v>0</v>
      </c>
      <c r="F6668">
        <v>163</v>
      </c>
    </row>
    <row r="6669" spans="1:6" ht="12.75">
      <c r="A6669" s="2">
        <v>43882.439282407402</v>
      </c>
      <c r="B6669" t="str">
        <f>HYPERLINK("https://twitter.com/Arjuna77168710","@Arjuna77168710")</f>
        <v>@Arjuna77168710</v>
      </c>
      <c r="C6669" t="s">
        <v>177</v>
      </c>
      <c r="D6669">
        <v>740</v>
      </c>
      <c r="E6669">
        <v>0</v>
      </c>
      <c r="F6669">
        <v>8</v>
      </c>
    </row>
    <row r="6670" spans="1:6" ht="12.75">
      <c r="A6670" s="2">
        <v>43882.438935185186</v>
      </c>
      <c r="B6670" t="str">
        <f>HYPERLINK("https://twitter.com/hkb_26april","@hkb_26april")</f>
        <v>@hkb_26april</v>
      </c>
      <c r="C6670" t="s">
        <v>4785</v>
      </c>
      <c r="D6670">
        <v>1</v>
      </c>
      <c r="E6670">
        <v>0</v>
      </c>
      <c r="F6670">
        <v>2311</v>
      </c>
    </row>
    <row r="6671" spans="1:6" ht="12.75">
      <c r="A6671" s="2">
        <v>43882.438564814816</v>
      </c>
      <c r="B6671" t="str">
        <f>HYPERLINK("https://twitter.com/kompascom","@kompascom")</f>
        <v>@kompascom</v>
      </c>
      <c r="C6671" t="s">
        <v>4786</v>
      </c>
      <c r="D6671">
        <v>0</v>
      </c>
      <c r="E6671">
        <v>3</v>
      </c>
      <c r="F6671">
        <v>7506194</v>
      </c>
    </row>
    <row r="6672" spans="1:6" ht="12.75">
      <c r="A6672" s="2">
        <v>43882.438530092593</v>
      </c>
      <c r="B6672" t="str">
        <f>HYPERLINK("https://twitter.com/RadioElshinta","@RadioElshinta")</f>
        <v>@RadioElshinta</v>
      </c>
      <c r="C6672" t="s">
        <v>4778</v>
      </c>
      <c r="D6672">
        <v>1</v>
      </c>
      <c r="E6672">
        <v>2</v>
      </c>
      <c r="F6672">
        <v>3634581</v>
      </c>
    </row>
    <row r="6673" spans="1:6" ht="12.75">
      <c r="A6673" s="2">
        <v>43882.437824074077</v>
      </c>
      <c r="B6673" t="str">
        <f>HYPERLINK("https://twitter.com/KEZIAAM0UR","@KEZIAAM0UR")</f>
        <v>@KEZIAAM0UR</v>
      </c>
      <c r="C6673" t="s">
        <v>4787</v>
      </c>
      <c r="D6673">
        <v>0</v>
      </c>
      <c r="E6673">
        <v>0</v>
      </c>
      <c r="F6673">
        <v>99</v>
      </c>
    </row>
    <row r="6674" spans="1:6" ht="12.75">
      <c r="A6674" s="2">
        <v>43882.437673611115</v>
      </c>
      <c r="B6674" t="str">
        <f>HYPERLINK("https://twitter.com/Ipinmuach","@Ipinmuach")</f>
        <v>@Ipinmuach</v>
      </c>
      <c r="C6674" t="s">
        <v>4788</v>
      </c>
      <c r="D6674">
        <v>4</v>
      </c>
      <c r="E6674">
        <v>0</v>
      </c>
      <c r="F6674">
        <v>21</v>
      </c>
    </row>
    <row r="6675" spans="1:6" ht="12.75">
      <c r="A6675" s="2">
        <v>43882.437627314815</v>
      </c>
      <c r="B6675" t="str">
        <f>HYPERLINK("https://twitter.com/BANIarbOfficial","@BANIarbOfficial")</f>
        <v>@BANIarbOfficial</v>
      </c>
      <c r="C6675" t="s">
        <v>4789</v>
      </c>
      <c r="D6675">
        <v>0</v>
      </c>
      <c r="E6675">
        <v>0</v>
      </c>
      <c r="F6675">
        <v>2496</v>
      </c>
    </row>
    <row r="6676" spans="1:6" ht="12.75">
      <c r="A6676" s="2">
        <v>43882.437546296293</v>
      </c>
      <c r="B6676" t="str">
        <f>HYPERLINK("https://twitter.com/okezonenews","@okezonenews")</f>
        <v>@okezonenews</v>
      </c>
      <c r="C6676" t="s">
        <v>4790</v>
      </c>
      <c r="D6676">
        <v>0</v>
      </c>
      <c r="E6676">
        <v>0</v>
      </c>
      <c r="F6676">
        <v>1743078</v>
      </c>
    </row>
    <row r="6677" spans="1:6" ht="12.75">
      <c r="A6677" s="2">
        <v>43882.43751157407</v>
      </c>
      <c r="B6677" t="str">
        <f>HYPERLINK("https://twitter.com/Tandaseru_id","@Tandaseru_id")</f>
        <v>@Tandaseru_id</v>
      </c>
      <c r="C6677" t="s">
        <v>4791</v>
      </c>
      <c r="D6677">
        <v>0</v>
      </c>
      <c r="E6677">
        <v>0</v>
      </c>
      <c r="F6677">
        <v>540</v>
      </c>
    </row>
    <row r="6678" spans="1:6" ht="12.75">
      <c r="A6678" s="2">
        <v>43882.4375</v>
      </c>
      <c r="B6678" t="str">
        <f>HYPERLINK("https://twitter.com/officialnova_id","@officialnova_id")</f>
        <v>@officialnova_id</v>
      </c>
      <c r="C6678" t="s">
        <v>4792</v>
      </c>
      <c r="D6678">
        <v>0</v>
      </c>
      <c r="E6678">
        <v>0</v>
      </c>
      <c r="F6678">
        <v>65470</v>
      </c>
    </row>
    <row r="6679" spans="1:6" ht="12.75">
      <c r="A6679" s="2">
        <v>43882.437453703707</v>
      </c>
      <c r="B6679" t="str">
        <f>HYPERLINK("https://twitter.com/LNdhol","@LNdhol")</f>
        <v>@LNdhol</v>
      </c>
      <c r="C6679" t="s">
        <v>4793</v>
      </c>
      <c r="D6679">
        <v>0</v>
      </c>
      <c r="E6679">
        <v>0</v>
      </c>
      <c r="F6679">
        <v>462</v>
      </c>
    </row>
    <row r="6680" spans="1:6" ht="12.75">
      <c r="A6680" s="2">
        <v>43882.437280092592</v>
      </c>
      <c r="B6680" t="str">
        <f>HYPERLINK("https://twitter.com/ISIS_Balik_NO","@ISIS_Balik_NO")</f>
        <v>@ISIS_Balik_NO</v>
      </c>
      <c r="C6680" t="s">
        <v>4794</v>
      </c>
      <c r="D6680">
        <v>0</v>
      </c>
      <c r="E6680">
        <v>0</v>
      </c>
      <c r="F6680">
        <v>6089</v>
      </c>
    </row>
    <row r="6681" spans="1:6" ht="12.75">
      <c r="A6681" s="2">
        <v>43882.437048611115</v>
      </c>
      <c r="B6681" t="str">
        <f>HYPERLINK("https://twitter.com/beatrice_health","@beatrice_health")</f>
        <v>@beatrice_health</v>
      </c>
      <c r="C6681" t="s">
        <v>4795</v>
      </c>
      <c r="D6681">
        <v>3</v>
      </c>
      <c r="E6681">
        <v>0</v>
      </c>
      <c r="F6681">
        <v>248</v>
      </c>
    </row>
    <row r="6682" spans="1:6" ht="12.75">
      <c r="A6682" s="2">
        <v>43882.436990740738</v>
      </c>
      <c r="B6682" t="str">
        <f>HYPERLINK("https://twitter.com/tetsu0724d","@tetsu0724d")</f>
        <v>@tetsu0724d</v>
      </c>
      <c r="C6682" t="s">
        <v>4795</v>
      </c>
      <c r="D6682">
        <v>3</v>
      </c>
      <c r="E6682">
        <v>0</v>
      </c>
      <c r="F6682">
        <v>0</v>
      </c>
    </row>
    <row r="6683" spans="1:6" ht="12.75">
      <c r="A6683" s="2">
        <v>43882.436423611114</v>
      </c>
      <c r="B6683" t="str">
        <f>HYPERLINK("https://twitter.com/vikyrp_","@vikyrp_")</f>
        <v>@vikyrp_</v>
      </c>
      <c r="C6683" t="s">
        <v>2183</v>
      </c>
      <c r="D6683">
        <v>330</v>
      </c>
      <c r="E6683">
        <v>0</v>
      </c>
      <c r="F6683">
        <v>73</v>
      </c>
    </row>
    <row r="6684" spans="1:6" ht="12.75">
      <c r="A6684" s="2">
        <v>43882.436006944445</v>
      </c>
      <c r="B6684" t="str">
        <f>HYPERLINK("https://twitter.com/PangudiRizki","@PangudiRizki")</f>
        <v>@PangudiRizki</v>
      </c>
      <c r="C6684" t="s">
        <v>3302</v>
      </c>
      <c r="D6684">
        <v>23</v>
      </c>
      <c r="E6684">
        <v>0</v>
      </c>
      <c r="F6684">
        <v>79</v>
      </c>
    </row>
    <row r="6685" spans="1:6" ht="12.75">
      <c r="A6685" s="2">
        <v>43882.434942129628</v>
      </c>
      <c r="B6685" t="str">
        <f>HYPERLINK("https://twitter.com/Hidup_Toleransi","@Hidup_Toleransi")</f>
        <v>@Hidup_Toleransi</v>
      </c>
      <c r="C6685" t="s">
        <v>4796</v>
      </c>
      <c r="D6685">
        <v>0</v>
      </c>
      <c r="E6685">
        <v>0</v>
      </c>
      <c r="F6685">
        <v>27</v>
      </c>
    </row>
    <row r="6686" spans="1:6" ht="12.75">
      <c r="A6686" s="2">
        <v>43882.43414351852</v>
      </c>
      <c r="B6686" t="str">
        <f>HYPERLINK("https://twitter.com/mond_golan","@mond_golan")</f>
        <v>@mond_golan</v>
      </c>
      <c r="C6686" t="s">
        <v>4077</v>
      </c>
      <c r="D6686">
        <v>16</v>
      </c>
      <c r="E6686">
        <v>0</v>
      </c>
      <c r="F6686">
        <v>61</v>
      </c>
    </row>
    <row r="6687" spans="1:6" ht="12.75">
      <c r="A6687" s="2">
        <v>43882.433449074073</v>
      </c>
      <c r="B6687" t="str">
        <f>HYPERLINK("https://twitter.com/ISIS_Balik_NO","@ISIS_Balik_NO")</f>
        <v>@ISIS_Balik_NO</v>
      </c>
      <c r="C6687" t="s">
        <v>4797</v>
      </c>
      <c r="D6687">
        <v>0</v>
      </c>
      <c r="E6687">
        <v>0</v>
      </c>
      <c r="F6687">
        <v>6089</v>
      </c>
    </row>
    <row r="6688" spans="1:6" ht="12.75">
      <c r="A6688" s="2">
        <v>43882.433368055557</v>
      </c>
      <c r="B6688" t="str">
        <f>HYPERLINK("https://twitter.com/ManuaheLian","@ManuaheLian")</f>
        <v>@ManuaheLian</v>
      </c>
      <c r="C6688" t="s">
        <v>4798</v>
      </c>
      <c r="D6688">
        <v>0</v>
      </c>
      <c r="E6688">
        <v>0</v>
      </c>
      <c r="F6688">
        <v>4</v>
      </c>
    </row>
    <row r="6689" spans="1:6" ht="12.75">
      <c r="A6689" s="2">
        <v>43882.432847222226</v>
      </c>
      <c r="B6689" t="str">
        <f>HYPERLINK("https://twitter.com/batamtoday","@batamtoday")</f>
        <v>@batamtoday</v>
      </c>
      <c r="C6689" t="s">
        <v>4799</v>
      </c>
      <c r="D6689">
        <v>0</v>
      </c>
      <c r="E6689">
        <v>0</v>
      </c>
      <c r="F6689">
        <v>27123</v>
      </c>
    </row>
    <row r="6690" spans="1:6" ht="12.75">
      <c r="A6690" s="2">
        <v>43882.432152777779</v>
      </c>
      <c r="B6690" t="str">
        <f>HYPERLINK("https://twitter.com/elshinta_smg","@elshinta_smg")</f>
        <v>@elshinta_smg</v>
      </c>
      <c r="C6690" t="s">
        <v>4661</v>
      </c>
      <c r="D6690">
        <v>0</v>
      </c>
      <c r="E6690">
        <v>0</v>
      </c>
      <c r="F6690">
        <v>3746</v>
      </c>
    </row>
    <row r="6691" spans="1:6" ht="12.75">
      <c r="A6691" s="2">
        <v>43882.431493055556</v>
      </c>
      <c r="B6691" t="str">
        <f>HYPERLINK("https://twitter.com/Samiwa12","@Samiwa12")</f>
        <v>@Samiwa12</v>
      </c>
      <c r="C6691" t="s">
        <v>4800</v>
      </c>
      <c r="D6691">
        <v>0</v>
      </c>
      <c r="E6691">
        <v>0</v>
      </c>
      <c r="F6691">
        <v>38</v>
      </c>
    </row>
    <row r="6692" spans="1:6" ht="12.75">
      <c r="A6692" s="2">
        <v>43882.431458333333</v>
      </c>
      <c r="B6692" t="str">
        <f>HYPERLINK("https://twitter.com/JakartaIs_Red","@JakartaIs_Red")</f>
        <v>@JakartaIs_Red</v>
      </c>
      <c r="C6692" t="s">
        <v>4801</v>
      </c>
      <c r="D6692">
        <v>0</v>
      </c>
      <c r="E6692">
        <v>4</v>
      </c>
      <c r="F6692">
        <v>3247</v>
      </c>
    </row>
    <row r="6693" spans="1:6" ht="12.75">
      <c r="A6693" s="2">
        <v>43882.430277777778</v>
      </c>
      <c r="B6693" t="str">
        <f t="shared" ref="B6693:B6694" si="117">HYPERLINK("https://twitter.com/ISIS_Balik_NO","@ISIS_Balik_NO")</f>
        <v>@ISIS_Balik_NO</v>
      </c>
      <c r="C6693" t="s">
        <v>4802</v>
      </c>
      <c r="D6693">
        <v>254</v>
      </c>
      <c r="E6693">
        <v>0</v>
      </c>
      <c r="F6693">
        <v>6089</v>
      </c>
    </row>
    <row r="6694" spans="1:6" ht="12.75">
      <c r="A6694" s="2">
        <v>43882.430219907408</v>
      </c>
      <c r="B6694" t="str">
        <f t="shared" si="117"/>
        <v>@ISIS_Balik_NO</v>
      </c>
      <c r="C6694" t="s">
        <v>4803</v>
      </c>
      <c r="D6694">
        <v>0</v>
      </c>
      <c r="E6694">
        <v>0</v>
      </c>
      <c r="F6694">
        <v>6089</v>
      </c>
    </row>
    <row r="6695" spans="1:6" ht="12.75">
      <c r="A6695" s="2">
        <v>43882.429756944446</v>
      </c>
      <c r="B6695" t="str">
        <f>HYPERLINK("https://twitter.com/sukuh","@sukuh")</f>
        <v>@sukuh</v>
      </c>
      <c r="C6695" t="s">
        <v>4804</v>
      </c>
      <c r="D6695">
        <v>0</v>
      </c>
      <c r="E6695">
        <v>0</v>
      </c>
      <c r="F6695">
        <v>27</v>
      </c>
    </row>
    <row r="6696" spans="1:6" ht="12.75">
      <c r="A6696" s="2">
        <v>43882.429710648154</v>
      </c>
      <c r="B6696" t="str">
        <f>HYPERLINK("https://twitter.com/hamburgerhands","@hamburgerhands")</f>
        <v>@hamburgerhands</v>
      </c>
      <c r="C6696" t="s">
        <v>3483</v>
      </c>
      <c r="D6696">
        <v>30</v>
      </c>
      <c r="E6696">
        <v>0</v>
      </c>
      <c r="F6696">
        <v>140</v>
      </c>
    </row>
    <row r="6697" spans="1:6" ht="12.75">
      <c r="A6697" s="2">
        <v>43882.428587962961</v>
      </c>
      <c r="B6697" t="str">
        <f>HYPERLINK("https://twitter.com/ISIS_Balik_NO","@ISIS_Balik_NO")</f>
        <v>@ISIS_Balik_NO</v>
      </c>
      <c r="C6697" t="s">
        <v>4805</v>
      </c>
      <c r="D6697">
        <v>0</v>
      </c>
      <c r="E6697">
        <v>0</v>
      </c>
      <c r="F6697">
        <v>6089</v>
      </c>
    </row>
    <row r="6698" spans="1:6" ht="12.75">
      <c r="A6698" s="2">
        <v>43882.428437499999</v>
      </c>
      <c r="B6698" t="str">
        <f>HYPERLINK("https://twitter.com/_Bakemono","@_Bakemono")</f>
        <v>@_Bakemono</v>
      </c>
      <c r="C6698" t="s">
        <v>177</v>
      </c>
      <c r="D6698">
        <v>740</v>
      </c>
      <c r="E6698">
        <v>0</v>
      </c>
      <c r="F6698">
        <v>820</v>
      </c>
    </row>
    <row r="6699" spans="1:6" ht="12.75">
      <c r="A6699" s="2">
        <v>43882.428437499999</v>
      </c>
      <c r="B6699" t="str">
        <f>HYPERLINK("https://twitter.com/ElshintaDotcom","@ElshintaDotcom")</f>
        <v>@ElshintaDotcom</v>
      </c>
      <c r="C6699" t="s">
        <v>4806</v>
      </c>
      <c r="D6699">
        <v>0</v>
      </c>
      <c r="E6699">
        <v>0</v>
      </c>
      <c r="F6699">
        <v>27886</v>
      </c>
    </row>
    <row r="6700" spans="1:6" ht="12.75">
      <c r="A6700" s="2">
        <v>43882.426840277782</v>
      </c>
      <c r="B6700" t="str">
        <f>HYPERLINK("https://twitter.com/Indopolitika","@Indopolitika")</f>
        <v>@Indopolitika</v>
      </c>
      <c r="C6700" t="s">
        <v>4807</v>
      </c>
      <c r="D6700">
        <v>0</v>
      </c>
      <c r="E6700">
        <v>0</v>
      </c>
      <c r="F6700">
        <v>10570</v>
      </c>
    </row>
    <row r="6701" spans="1:6" ht="12.75">
      <c r="A6701" s="2">
        <v>43882.426782407405</v>
      </c>
      <c r="B6701" t="str">
        <f>HYPERLINK("https://twitter.com/ISIS_Balik_NO","@ISIS_Balik_NO")</f>
        <v>@ISIS_Balik_NO</v>
      </c>
      <c r="C6701" t="s">
        <v>4808</v>
      </c>
      <c r="D6701">
        <v>0</v>
      </c>
      <c r="E6701">
        <v>0</v>
      </c>
      <c r="F6701">
        <v>6089</v>
      </c>
    </row>
    <row r="6702" spans="1:6" ht="12.75">
      <c r="A6702" s="2">
        <v>43882.426747685182</v>
      </c>
      <c r="B6702" t="str">
        <f>HYPERLINK("https://twitter.com/Indopolitika","@Indopolitika")</f>
        <v>@Indopolitika</v>
      </c>
      <c r="C6702" t="s">
        <v>4809</v>
      </c>
      <c r="D6702">
        <v>0</v>
      </c>
      <c r="E6702">
        <v>0</v>
      </c>
      <c r="F6702">
        <v>10570</v>
      </c>
    </row>
    <row r="6703" spans="1:6" ht="12.75">
      <c r="A6703" s="2">
        <v>43882.426446759258</v>
      </c>
      <c r="B6703" t="str">
        <f>HYPERLINK("https://twitter.com/SunardiGiman1","@SunardiGiman1")</f>
        <v>@SunardiGiman1</v>
      </c>
      <c r="C6703" t="s">
        <v>4020</v>
      </c>
      <c r="D6703">
        <v>28</v>
      </c>
      <c r="E6703">
        <v>0</v>
      </c>
      <c r="F6703">
        <v>1071</v>
      </c>
    </row>
    <row r="6704" spans="1:6" ht="12.75">
      <c r="A6704" s="2">
        <v>43882.426400462966</v>
      </c>
      <c r="B6704" t="str">
        <f>HYPERLINK("https://twitter.com/ISIS_Balik_NO","@ISIS_Balik_NO")</f>
        <v>@ISIS_Balik_NO</v>
      </c>
      <c r="C6704" t="s">
        <v>4810</v>
      </c>
      <c r="D6704">
        <v>543</v>
      </c>
      <c r="E6704">
        <v>0</v>
      </c>
      <c r="F6704">
        <v>6089</v>
      </c>
    </row>
    <row r="6705" spans="1:6" ht="12.75">
      <c r="A6705" s="2">
        <v>43882.425879629634</v>
      </c>
      <c r="B6705" t="str">
        <f>HYPERLINK("https://twitter.com/AdrielSoekarno","@AdrielSoekarno")</f>
        <v>@AdrielSoekarno</v>
      </c>
      <c r="C6705" t="s">
        <v>4811</v>
      </c>
      <c r="D6705">
        <v>0</v>
      </c>
      <c r="E6705">
        <v>0</v>
      </c>
      <c r="F6705">
        <v>1343</v>
      </c>
    </row>
    <row r="6706" spans="1:6" ht="12.75">
      <c r="A6706" s="2">
        <v>43882.425243055557</v>
      </c>
      <c r="B6706" t="str">
        <f>HYPERLINK("https://twitter.com/Ghazwah_AlFikr","@Ghazwah_AlFikr")</f>
        <v>@Ghazwah_AlFikr</v>
      </c>
      <c r="C6706" t="s">
        <v>4186</v>
      </c>
      <c r="D6706">
        <v>3</v>
      </c>
      <c r="E6706">
        <v>0</v>
      </c>
      <c r="F6706">
        <v>117</v>
      </c>
    </row>
    <row r="6707" spans="1:6" ht="12.75">
      <c r="A6707" s="2">
        <v>43882.424513888887</v>
      </c>
      <c r="B6707" t="str">
        <f>HYPERLINK("https://twitter.com/ariedhitta","@ariedhitta")</f>
        <v>@ariedhitta</v>
      </c>
      <c r="C6707" t="s">
        <v>2079</v>
      </c>
      <c r="D6707">
        <v>58</v>
      </c>
      <c r="E6707">
        <v>0</v>
      </c>
      <c r="F6707">
        <v>11</v>
      </c>
    </row>
    <row r="6708" spans="1:6" ht="12.75">
      <c r="A6708" s="2">
        <v>43882.424421296295</v>
      </c>
      <c r="B6708" t="str">
        <f>HYPERLINK("https://twitter.com/kjriosaka","@kjriosaka")</f>
        <v>@kjriosaka</v>
      </c>
      <c r="C6708" t="s">
        <v>3483</v>
      </c>
      <c r="D6708">
        <v>30</v>
      </c>
      <c r="E6708">
        <v>0</v>
      </c>
      <c r="F6708">
        <v>1536</v>
      </c>
    </row>
    <row r="6709" spans="1:6" ht="12.75">
      <c r="A6709" s="2">
        <v>43882.423668981486</v>
      </c>
      <c r="B6709" t="str">
        <f>HYPERLINK("https://twitter.com/forddyce92","@forddyce92")</f>
        <v>@forddyce92</v>
      </c>
      <c r="C6709" t="s">
        <v>4812</v>
      </c>
      <c r="D6709">
        <v>0</v>
      </c>
      <c r="E6709">
        <v>0</v>
      </c>
      <c r="F6709">
        <v>25</v>
      </c>
    </row>
    <row r="6710" spans="1:6" ht="12.75">
      <c r="A6710" s="2">
        <v>43882.423043981486</v>
      </c>
      <c r="B6710" t="str">
        <f>HYPERLINK("https://twitter.com/newsmerahputih","@newsmerahputih")</f>
        <v>@newsmerahputih</v>
      </c>
      <c r="C6710" t="s">
        <v>3330</v>
      </c>
      <c r="D6710">
        <v>0</v>
      </c>
      <c r="E6710">
        <v>0</v>
      </c>
      <c r="F6710">
        <v>8747</v>
      </c>
    </row>
    <row r="6711" spans="1:6" ht="12.75">
      <c r="A6711" s="2">
        <v>43882.417164351849</v>
      </c>
      <c r="B6711" t="str">
        <f>HYPERLINK("https://twitter.com/Nesta0010","@Nesta0010")</f>
        <v>@Nesta0010</v>
      </c>
      <c r="C6711" t="s">
        <v>3141</v>
      </c>
      <c r="D6711">
        <v>17</v>
      </c>
      <c r="E6711">
        <v>0</v>
      </c>
      <c r="F6711">
        <v>1858</v>
      </c>
    </row>
    <row r="6712" spans="1:6" ht="12.75">
      <c r="A6712" s="2">
        <v>43882.417118055557</v>
      </c>
      <c r="B6712" t="str">
        <f>HYPERLINK("https://twitter.com/GoldenSpirit789","@GoldenSpirit789")</f>
        <v>@GoldenSpirit789</v>
      </c>
      <c r="C6712" t="s">
        <v>4360</v>
      </c>
      <c r="D6712">
        <v>194</v>
      </c>
      <c r="E6712">
        <v>0</v>
      </c>
      <c r="F6712">
        <v>1157</v>
      </c>
    </row>
    <row r="6713" spans="1:6" ht="12.75">
      <c r="A6713" s="2">
        <v>43882.41673611111</v>
      </c>
      <c r="B6713" t="str">
        <f>HYPERLINK("https://twitter.com/MNCNewsroom","@MNCNewsroom")</f>
        <v>@MNCNewsroom</v>
      </c>
      <c r="C6713" t="s">
        <v>4813</v>
      </c>
      <c r="D6713">
        <v>0</v>
      </c>
      <c r="E6713">
        <v>0</v>
      </c>
      <c r="F6713">
        <v>17556</v>
      </c>
    </row>
    <row r="6714" spans="1:6" ht="12.75">
      <c r="A6714" s="2">
        <v>43882.416562500002</v>
      </c>
      <c r="B6714" t="str">
        <f>HYPERLINK("https://twitter.com/BudiRahadian5","@BudiRahadian5")</f>
        <v>@BudiRahadian5</v>
      </c>
      <c r="C6714" t="s">
        <v>4360</v>
      </c>
      <c r="D6714">
        <v>194</v>
      </c>
      <c r="E6714">
        <v>0</v>
      </c>
      <c r="F6714">
        <v>1268</v>
      </c>
    </row>
    <row r="6715" spans="1:6" ht="12.75">
      <c r="A6715" s="2">
        <v>43882.41611111111</v>
      </c>
      <c r="B6715" t="str">
        <f>HYPERLINK("https://twitter.com/kbribaghdadbaru","@kbribaghdadbaru")</f>
        <v>@kbribaghdadbaru</v>
      </c>
      <c r="C6715" t="s">
        <v>177</v>
      </c>
      <c r="D6715">
        <v>727</v>
      </c>
      <c r="E6715">
        <v>0</v>
      </c>
      <c r="F6715">
        <v>8</v>
      </c>
    </row>
    <row r="6716" spans="1:6" ht="12.75">
      <c r="A6716" s="2">
        <v>43882.415763888886</v>
      </c>
      <c r="B6716" t="str">
        <f>HYPERLINK("https://twitter.com/mymoon_nah","@mymoon_nah")</f>
        <v>@mymoon_nah</v>
      </c>
      <c r="C6716" t="s">
        <v>1407</v>
      </c>
      <c r="D6716">
        <v>9729</v>
      </c>
      <c r="E6716">
        <v>0</v>
      </c>
      <c r="F6716">
        <v>869</v>
      </c>
    </row>
    <row r="6717" spans="1:6" ht="12.75">
      <c r="A6717" s="2">
        <v>43882.41574074074</v>
      </c>
      <c r="B6717" t="str">
        <f>HYPERLINK("https://twitter.com/TitianiTaufik","@TitianiTaufik")</f>
        <v>@TitianiTaufik</v>
      </c>
      <c r="C6717" t="s">
        <v>177</v>
      </c>
      <c r="D6717">
        <v>727</v>
      </c>
      <c r="E6717">
        <v>0</v>
      </c>
      <c r="F6717">
        <v>395</v>
      </c>
    </row>
    <row r="6718" spans="1:6" ht="12.75">
      <c r="A6718" s="2">
        <v>43882.415497685186</v>
      </c>
      <c r="B6718" t="str">
        <f>HYPERLINK("https://twitter.com/cangtipkanya","@cangtipkanya")</f>
        <v>@cangtipkanya</v>
      </c>
      <c r="C6718" t="s">
        <v>4814</v>
      </c>
      <c r="D6718">
        <v>0</v>
      </c>
      <c r="E6718">
        <v>0</v>
      </c>
      <c r="F6718">
        <v>1637</v>
      </c>
    </row>
    <row r="6719" spans="1:6" ht="12.75">
      <c r="A6719" s="2">
        <v>43882.41541666667</v>
      </c>
      <c r="B6719" t="str">
        <f t="shared" ref="B6719:B6720" si="118">HYPERLINK("https://twitter.com/BerlandGroup","@BerlandGroup")</f>
        <v>@BerlandGroup</v>
      </c>
      <c r="C6719" t="s">
        <v>4815</v>
      </c>
      <c r="D6719">
        <v>25</v>
      </c>
      <c r="E6719">
        <v>0</v>
      </c>
      <c r="F6719">
        <v>792</v>
      </c>
    </row>
    <row r="6720" spans="1:6" ht="12.75">
      <c r="A6720" s="2">
        <v>43882.415312500001</v>
      </c>
      <c r="B6720" t="str">
        <f t="shared" si="118"/>
        <v>@BerlandGroup</v>
      </c>
      <c r="C6720" t="s">
        <v>4816</v>
      </c>
      <c r="D6720">
        <v>49</v>
      </c>
      <c r="E6720">
        <v>0</v>
      </c>
      <c r="F6720">
        <v>792</v>
      </c>
    </row>
    <row r="6721" spans="1:6" ht="12.75">
      <c r="A6721" s="2">
        <v>43882.415277777778</v>
      </c>
      <c r="B6721" t="str">
        <f>HYPERLINK("https://twitter.com/BonnieAjah","@BonnieAjah")</f>
        <v>@BonnieAjah</v>
      </c>
      <c r="C6721" t="s">
        <v>4360</v>
      </c>
      <c r="D6721">
        <v>194</v>
      </c>
      <c r="E6721">
        <v>0</v>
      </c>
      <c r="F6721">
        <v>4179</v>
      </c>
    </row>
    <row r="6722" spans="1:6" ht="12.75">
      <c r="A6722" s="2">
        <v>43882.415266203709</v>
      </c>
      <c r="B6722" t="str">
        <f>HYPERLINK("https://twitter.com/ayahsimpoel","@ayahsimpoel")</f>
        <v>@ayahsimpoel</v>
      </c>
      <c r="C6722" t="s">
        <v>4020</v>
      </c>
      <c r="D6722">
        <v>25</v>
      </c>
      <c r="E6722">
        <v>0</v>
      </c>
      <c r="F6722">
        <v>158</v>
      </c>
    </row>
    <row r="6723" spans="1:6" ht="12.75">
      <c r="A6723" s="2">
        <v>43882.414502314816</v>
      </c>
      <c r="B6723" t="str">
        <f t="shared" ref="B6723:B6725" si="119">HYPERLINK("https://twitter.com/BerlandGroup","@BerlandGroup")</f>
        <v>@BerlandGroup</v>
      </c>
      <c r="C6723" t="s">
        <v>4817</v>
      </c>
      <c r="D6723">
        <v>13</v>
      </c>
      <c r="E6723">
        <v>0</v>
      </c>
      <c r="F6723">
        <v>792</v>
      </c>
    </row>
    <row r="6724" spans="1:6" ht="12.75">
      <c r="A6724" s="2">
        <v>43882.414386574077</v>
      </c>
      <c r="B6724" t="str">
        <f t="shared" si="119"/>
        <v>@BerlandGroup</v>
      </c>
      <c r="C6724" t="s">
        <v>4818</v>
      </c>
      <c r="D6724">
        <v>12</v>
      </c>
      <c r="E6724">
        <v>0</v>
      </c>
      <c r="F6724">
        <v>792</v>
      </c>
    </row>
    <row r="6725" spans="1:6" ht="12.75">
      <c r="A6725" s="2">
        <v>43882.413865740746</v>
      </c>
      <c r="B6725" t="str">
        <f t="shared" si="119"/>
        <v>@BerlandGroup</v>
      </c>
      <c r="C6725" t="s">
        <v>3984</v>
      </c>
      <c r="D6725">
        <v>20</v>
      </c>
      <c r="E6725">
        <v>0</v>
      </c>
      <c r="F6725">
        <v>792</v>
      </c>
    </row>
    <row r="6726" spans="1:6" ht="12.75">
      <c r="A6726" s="2">
        <v>43882.413831018523</v>
      </c>
      <c r="B6726" t="str">
        <f>HYPERLINK("https://twitter.com/regina2898","@regina2898")</f>
        <v>@regina2898</v>
      </c>
      <c r="C6726" t="s">
        <v>177</v>
      </c>
      <c r="D6726">
        <v>727</v>
      </c>
      <c r="E6726">
        <v>0</v>
      </c>
      <c r="F6726">
        <v>303</v>
      </c>
    </row>
    <row r="6727" spans="1:6" ht="12.75">
      <c r="A6727" s="2">
        <v>43882.413715277777</v>
      </c>
      <c r="B6727" t="str">
        <f>HYPERLINK("https://twitter.com/Fm98Sonora","@Fm98Sonora")</f>
        <v>@Fm98Sonora</v>
      </c>
      <c r="C6727" t="s">
        <v>4819</v>
      </c>
      <c r="D6727">
        <v>4</v>
      </c>
      <c r="E6727">
        <v>0</v>
      </c>
      <c r="F6727">
        <v>19</v>
      </c>
    </row>
    <row r="6728" spans="1:6" ht="12.75">
      <c r="A6728" s="2">
        <v>43882.413541666669</v>
      </c>
      <c r="B6728" t="str">
        <f>HYPERLINK("https://twitter.com/fatra_wahyu","@fatra_wahyu")</f>
        <v>@fatra_wahyu</v>
      </c>
      <c r="C6728" t="s">
        <v>177</v>
      </c>
      <c r="D6728">
        <v>727</v>
      </c>
      <c r="E6728">
        <v>0</v>
      </c>
      <c r="F6728">
        <v>1</v>
      </c>
    </row>
    <row r="6729" spans="1:6" ht="12.75">
      <c r="A6729" s="2">
        <v>43882.412905092591</v>
      </c>
      <c r="B6729" t="str">
        <f>HYPERLINK("https://twitter.com/Manggit_garis","@Manggit_garis")</f>
        <v>@Manggit_garis</v>
      </c>
      <c r="C6729" t="s">
        <v>4820</v>
      </c>
      <c r="D6729">
        <v>2</v>
      </c>
      <c r="E6729">
        <v>0</v>
      </c>
      <c r="F6729">
        <v>436</v>
      </c>
    </row>
    <row r="6730" spans="1:6" ht="12.75">
      <c r="A6730" s="2">
        <v>43882.412511574075</v>
      </c>
      <c r="B6730" t="str">
        <f>HYPERLINK("https://twitter.com/AlexNodie","@AlexNodie")</f>
        <v>@AlexNodie</v>
      </c>
      <c r="C6730" t="s">
        <v>3302</v>
      </c>
      <c r="D6730">
        <v>21</v>
      </c>
      <c r="E6730">
        <v>0</v>
      </c>
      <c r="F6730">
        <v>105</v>
      </c>
    </row>
    <row r="6731" spans="1:6" ht="12.75">
      <c r="A6731" s="2">
        <v>43882.41207175926</v>
      </c>
      <c r="B6731" t="str">
        <f>HYPERLINK("https://twitter.com/ShyaReepah","@ShyaReepah")</f>
        <v>@ShyaReepah</v>
      </c>
      <c r="C6731" t="s">
        <v>4821</v>
      </c>
      <c r="D6731">
        <v>0</v>
      </c>
      <c r="E6731">
        <v>0</v>
      </c>
      <c r="F6731">
        <v>1025</v>
      </c>
    </row>
    <row r="6732" spans="1:6" ht="12.75">
      <c r="A6732" s="2">
        <v>43882.411168981482</v>
      </c>
      <c r="B6732" t="str">
        <f>HYPERLINK("https://twitter.com/Negev52031680","@Negev52031680")</f>
        <v>@Negev52031680</v>
      </c>
      <c r="C6732" t="s">
        <v>4822</v>
      </c>
      <c r="D6732">
        <v>0</v>
      </c>
      <c r="E6732">
        <v>0</v>
      </c>
      <c r="F6732">
        <v>21</v>
      </c>
    </row>
    <row r="6733" spans="1:6" ht="12.75">
      <c r="A6733" s="2">
        <v>43882.410081018519</v>
      </c>
      <c r="B6733" t="str">
        <f>HYPERLINK("https://twitter.com/springnunim","@springnunim")</f>
        <v>@springnunim</v>
      </c>
      <c r="C6733" t="s">
        <v>2692</v>
      </c>
      <c r="D6733">
        <v>2025</v>
      </c>
      <c r="E6733">
        <v>0</v>
      </c>
      <c r="F6733">
        <v>76</v>
      </c>
    </row>
    <row r="6734" spans="1:6" ht="12.75">
      <c r="A6734" s="2">
        <v>43882.409513888888</v>
      </c>
      <c r="B6734" t="str">
        <f>HYPERLINK("https://twitter.com/kekekapriana","@kekekapriana")</f>
        <v>@kekekapriana</v>
      </c>
      <c r="C6734" t="s">
        <v>4077</v>
      </c>
      <c r="D6734">
        <v>13</v>
      </c>
      <c r="E6734">
        <v>0</v>
      </c>
      <c r="F6734">
        <v>1591</v>
      </c>
    </row>
    <row r="6735" spans="1:6" ht="12.75">
      <c r="A6735" s="2">
        <v>43882.409456018519</v>
      </c>
      <c r="B6735" t="str">
        <f>HYPERLINK("https://twitter.com/kemuningboice","@kemuningboice")</f>
        <v>@kemuningboice</v>
      </c>
      <c r="C6735" t="s">
        <v>3977</v>
      </c>
      <c r="D6735">
        <v>18</v>
      </c>
      <c r="E6735">
        <v>0</v>
      </c>
      <c r="F6735">
        <v>39</v>
      </c>
    </row>
    <row r="6736" spans="1:6" ht="12.75">
      <c r="A6736" s="2">
        <v>43882.408587962964</v>
      </c>
      <c r="B6736" t="str">
        <f>HYPERLINK("https://twitter.com/Berita7dotid","@Berita7dotid")</f>
        <v>@Berita7dotid</v>
      </c>
      <c r="C6736" t="s">
        <v>4823</v>
      </c>
      <c r="D6736">
        <v>0</v>
      </c>
      <c r="E6736">
        <v>0</v>
      </c>
      <c r="F6736">
        <v>2555</v>
      </c>
    </row>
    <row r="6737" spans="1:6" ht="12.75">
      <c r="A6737" s="2">
        <v>43882.407372685186</v>
      </c>
      <c r="B6737" t="str">
        <f>HYPERLINK("https://twitter.com/arjuno_ireng01","@arjuno_ireng01")</f>
        <v>@arjuno_ireng01</v>
      </c>
      <c r="C6737" t="s">
        <v>4360</v>
      </c>
      <c r="D6737">
        <v>194</v>
      </c>
      <c r="E6737">
        <v>0</v>
      </c>
      <c r="F6737">
        <v>10365</v>
      </c>
    </row>
    <row r="6738" spans="1:6" ht="12.75">
      <c r="A6738" s="2">
        <v>43882.407152777778</v>
      </c>
      <c r="B6738" t="str">
        <f>HYPERLINK("https://twitter.com/AhmadSh52272475","@AhmadSh52272475")</f>
        <v>@AhmadSh52272475</v>
      </c>
      <c r="C6738" t="s">
        <v>4824</v>
      </c>
      <c r="D6738">
        <v>0</v>
      </c>
      <c r="E6738">
        <v>0</v>
      </c>
      <c r="F6738">
        <v>43</v>
      </c>
    </row>
    <row r="6739" spans="1:6" ht="12.75">
      <c r="A6739" s="2">
        <v>43882.406921296293</v>
      </c>
      <c r="B6739" t="str">
        <f>HYPERLINK("https://twitter.com/FajarSudesi","@FajarSudesi")</f>
        <v>@FajarSudesi</v>
      </c>
      <c r="C6739" t="s">
        <v>3756</v>
      </c>
      <c r="D6739">
        <v>6</v>
      </c>
      <c r="E6739">
        <v>0</v>
      </c>
      <c r="F6739">
        <v>1030</v>
      </c>
    </row>
    <row r="6740" spans="1:6" ht="12.75">
      <c r="A6740" s="2">
        <v>43882.406863425931</v>
      </c>
      <c r="B6740" t="str">
        <f>HYPERLINK("https://twitter.com/sulhandin","@sulhandin")</f>
        <v>@sulhandin</v>
      </c>
      <c r="C6740" t="s">
        <v>4825</v>
      </c>
      <c r="D6740">
        <v>0</v>
      </c>
      <c r="E6740">
        <v>0</v>
      </c>
      <c r="F6740">
        <v>337</v>
      </c>
    </row>
    <row r="6741" spans="1:6" ht="12.75">
      <c r="A6741" s="2">
        <v>43882.406851851847</v>
      </c>
      <c r="B6741" t="str">
        <f>HYPERLINK("https://twitter.com/maximvs09","@maximvs09")</f>
        <v>@maximvs09</v>
      </c>
      <c r="C6741" t="s">
        <v>4826</v>
      </c>
      <c r="D6741">
        <v>1</v>
      </c>
      <c r="E6741">
        <v>0</v>
      </c>
      <c r="F6741">
        <v>1931</v>
      </c>
    </row>
    <row r="6742" spans="1:6" ht="12.75">
      <c r="A6742" s="2">
        <v>43882.406597222223</v>
      </c>
      <c r="B6742" t="str">
        <f>HYPERLINK("https://twitter.com/elvinas17","@elvinas17")</f>
        <v>@elvinas17</v>
      </c>
      <c r="C6742" t="s">
        <v>4827</v>
      </c>
      <c r="D6742">
        <v>3</v>
      </c>
      <c r="E6742">
        <v>0</v>
      </c>
      <c r="F6742">
        <v>792</v>
      </c>
    </row>
    <row r="6743" spans="1:6" ht="12.75">
      <c r="A6743" s="2">
        <v>43882.406458333338</v>
      </c>
      <c r="B6743" t="str">
        <f>HYPERLINK("https://twitter.com/FerriNanto","@FerriNanto")</f>
        <v>@FerriNanto</v>
      </c>
      <c r="C6743" t="s">
        <v>4077</v>
      </c>
      <c r="D6743">
        <v>13</v>
      </c>
      <c r="E6743">
        <v>0</v>
      </c>
      <c r="F6743">
        <v>1160</v>
      </c>
    </row>
    <row r="6744" spans="1:6" ht="12.75">
      <c r="A6744" s="2">
        <v>43882.405833333338</v>
      </c>
      <c r="B6744" t="str">
        <f>HYPERLINK("https://twitter.com/naqsya77","@naqsya77")</f>
        <v>@naqsya77</v>
      </c>
      <c r="C6744" t="s">
        <v>177</v>
      </c>
      <c r="D6744">
        <v>727</v>
      </c>
      <c r="E6744">
        <v>0</v>
      </c>
      <c r="F6744">
        <v>4188</v>
      </c>
    </row>
    <row r="6745" spans="1:6" ht="12.75">
      <c r="A6745" s="2">
        <v>43882.40525462963</v>
      </c>
      <c r="B6745" t="str">
        <f>HYPERLINK("https://twitter.com/66fathur","@66fathur")</f>
        <v>@66fathur</v>
      </c>
      <c r="C6745" t="s">
        <v>4828</v>
      </c>
      <c r="D6745">
        <v>6</v>
      </c>
      <c r="E6745">
        <v>0</v>
      </c>
      <c r="F6745">
        <v>336</v>
      </c>
    </row>
    <row r="6746" spans="1:6" ht="12.75">
      <c r="A6746" s="2">
        <v>43882.405046296291</v>
      </c>
      <c r="B6746" t="str">
        <f>HYPERLINK("https://twitter.com/eka_poerwanti","@eka_poerwanti")</f>
        <v>@eka_poerwanti</v>
      </c>
      <c r="C6746" t="s">
        <v>4829</v>
      </c>
      <c r="D6746">
        <v>19</v>
      </c>
      <c r="E6746">
        <v>0</v>
      </c>
      <c r="F6746">
        <v>580</v>
      </c>
    </row>
    <row r="6747" spans="1:6" ht="12.75">
      <c r="A6747" s="2">
        <v>43882.40461805556</v>
      </c>
      <c r="B6747" t="str">
        <f>HYPERLINK("https://twitter.com/djoko1987s","@djoko1987s")</f>
        <v>@djoko1987s</v>
      </c>
      <c r="C6747" t="s">
        <v>4360</v>
      </c>
      <c r="D6747">
        <v>194</v>
      </c>
      <c r="E6747">
        <v>0</v>
      </c>
      <c r="F6747">
        <v>1903</v>
      </c>
    </row>
    <row r="6748" spans="1:6" ht="12.75">
      <c r="A6748" s="2">
        <v>43882.404108796298</v>
      </c>
      <c r="B6748" t="str">
        <f>HYPERLINK("https://twitter.com/sossisagaya","@sossisagaya")</f>
        <v>@sossisagaya</v>
      </c>
      <c r="C6748" t="s">
        <v>4077</v>
      </c>
      <c r="D6748">
        <v>13</v>
      </c>
      <c r="E6748">
        <v>0</v>
      </c>
      <c r="F6748">
        <v>4603</v>
      </c>
    </row>
    <row r="6749" spans="1:6" ht="12.75">
      <c r="A6749" s="2">
        <v>43882.403923611113</v>
      </c>
      <c r="B6749" t="str">
        <f>HYPERLINK("https://twitter.com/kucinkbengal","@kucinkbengal")</f>
        <v>@kucinkbengal</v>
      </c>
      <c r="C6749" t="s">
        <v>2444</v>
      </c>
      <c r="D6749">
        <v>4580</v>
      </c>
      <c r="E6749">
        <v>0</v>
      </c>
      <c r="F6749">
        <v>173</v>
      </c>
    </row>
    <row r="6750" spans="1:6" ht="12.75">
      <c r="A6750" s="2">
        <v>43882.403912037036</v>
      </c>
      <c r="B6750" t="str">
        <f>HYPERLINK("https://twitter.com/rainluva","@rainluva")</f>
        <v>@rainluva</v>
      </c>
      <c r="C6750" t="s">
        <v>1407</v>
      </c>
      <c r="D6750">
        <v>9729</v>
      </c>
      <c r="E6750">
        <v>0</v>
      </c>
      <c r="F6750">
        <v>247</v>
      </c>
    </row>
    <row r="6751" spans="1:6" ht="12.75">
      <c r="A6751" s="2">
        <v>43882.403611111113</v>
      </c>
      <c r="B6751" t="str">
        <f>HYPERLINK("https://twitter.com/BerlandGroup","@BerlandGroup")</f>
        <v>@BerlandGroup</v>
      </c>
      <c r="C6751" t="s">
        <v>4830</v>
      </c>
      <c r="D6751">
        <v>0</v>
      </c>
      <c r="E6751">
        <v>0</v>
      </c>
      <c r="F6751">
        <v>792</v>
      </c>
    </row>
    <row r="6752" spans="1:6" ht="12.75">
      <c r="A6752" s="2">
        <v>43882.403460648144</v>
      </c>
      <c r="B6752" t="str">
        <f>HYPERLINK("https://twitter.com/capehidup","@capehidup")</f>
        <v>@capehidup</v>
      </c>
      <c r="C6752" t="s">
        <v>2692</v>
      </c>
      <c r="D6752">
        <v>2025</v>
      </c>
      <c r="E6752">
        <v>0</v>
      </c>
      <c r="F6752">
        <v>73</v>
      </c>
    </row>
    <row r="6753" spans="1:6" ht="12.75">
      <c r="A6753" s="2">
        <v>43882.402175925927</v>
      </c>
      <c r="B6753" t="str">
        <f>HYPERLINK("https://twitter.com/Tandaseru_id","@Tandaseru_id")</f>
        <v>@Tandaseru_id</v>
      </c>
      <c r="C6753" t="s">
        <v>4831</v>
      </c>
      <c r="D6753">
        <v>0</v>
      </c>
      <c r="E6753">
        <v>0</v>
      </c>
      <c r="F6753">
        <v>539</v>
      </c>
    </row>
    <row r="6754" spans="1:6" ht="12.75">
      <c r="A6754" s="2">
        <v>43882.401388888888</v>
      </c>
      <c r="B6754" t="str">
        <f>HYPERLINK("https://twitter.com/JalanLuru5","@JalanLuru5")</f>
        <v>@JalanLuru5</v>
      </c>
      <c r="C6754" t="s">
        <v>4077</v>
      </c>
      <c r="D6754">
        <v>13</v>
      </c>
      <c r="E6754">
        <v>0</v>
      </c>
      <c r="F6754">
        <v>133</v>
      </c>
    </row>
    <row r="6755" spans="1:6" ht="12.75">
      <c r="A6755" s="2">
        <v>43882.401180555556</v>
      </c>
      <c r="B6755" t="str">
        <f>HYPERLINK("https://twitter.com/leksono_duto","@leksono_duto")</f>
        <v>@leksono_duto</v>
      </c>
      <c r="C6755" t="s">
        <v>4240</v>
      </c>
      <c r="D6755">
        <v>1</v>
      </c>
      <c r="E6755">
        <v>0</v>
      </c>
      <c r="F6755">
        <v>33</v>
      </c>
    </row>
    <row r="6756" spans="1:6" ht="12.75">
      <c r="A6756" s="2">
        <v>43882.400451388894</v>
      </c>
      <c r="B6756" t="str">
        <f>HYPERLINK("https://twitter.com/SydSalesman","@SydSalesman")</f>
        <v>@SydSalesman</v>
      </c>
      <c r="C6756" t="s">
        <v>4077</v>
      </c>
      <c r="D6756">
        <v>13</v>
      </c>
      <c r="E6756">
        <v>0</v>
      </c>
      <c r="F6756">
        <v>6233</v>
      </c>
    </row>
    <row r="6757" spans="1:6" ht="12.75">
      <c r="A6757" s="2">
        <v>43882.400393518517</v>
      </c>
      <c r="B6757" t="str">
        <f>HYPERLINK("https://twitter.com/vincent_ves","@vincent_ves")</f>
        <v>@vincent_ves</v>
      </c>
      <c r="C6757" t="s">
        <v>4832</v>
      </c>
      <c r="D6757">
        <v>0</v>
      </c>
      <c r="E6757">
        <v>0</v>
      </c>
      <c r="F6757">
        <v>4886</v>
      </c>
    </row>
    <row r="6758" spans="1:6" ht="12.75">
      <c r="A6758" s="2">
        <v>43882.399976851855</v>
      </c>
      <c r="B6758" t="str">
        <f>HYPERLINK("https://twitter.com/HanungWitjakso1","@HanungWitjakso1")</f>
        <v>@HanungWitjakso1</v>
      </c>
      <c r="C6758" t="s">
        <v>4827</v>
      </c>
      <c r="D6758">
        <v>3</v>
      </c>
      <c r="E6758">
        <v>0</v>
      </c>
      <c r="F6758">
        <v>25</v>
      </c>
    </row>
    <row r="6759" spans="1:6" ht="12.75">
      <c r="A6759" s="2">
        <v>43882.399930555555</v>
      </c>
      <c r="B6759" t="str">
        <f>HYPERLINK("https://twitter.com/AtikahZahidah_","@AtikahZahidah_")</f>
        <v>@AtikahZahidah_</v>
      </c>
      <c r="C6759" t="s">
        <v>4360</v>
      </c>
      <c r="D6759">
        <v>194</v>
      </c>
      <c r="E6759">
        <v>0</v>
      </c>
      <c r="F6759">
        <v>3255</v>
      </c>
    </row>
    <row r="6760" spans="1:6" ht="12.75">
      <c r="A6760" s="2">
        <v>43882.399456018524</v>
      </c>
      <c r="B6760" t="str">
        <f>HYPERLINK("https://twitter.com/natalsetio","@natalsetio")</f>
        <v>@natalsetio</v>
      </c>
      <c r="C6760" t="s">
        <v>4833</v>
      </c>
      <c r="D6760">
        <v>1</v>
      </c>
      <c r="E6760">
        <v>0</v>
      </c>
      <c r="F6760">
        <v>2120</v>
      </c>
    </row>
    <row r="6761" spans="1:6" ht="12.75">
      <c r="A6761" s="2">
        <v>43882.39943287037</v>
      </c>
      <c r="B6761" t="str">
        <f>HYPERLINK("https://twitter.com/Barra_j2p","@Barra_j2p")</f>
        <v>@Barra_j2p</v>
      </c>
      <c r="C6761" t="s">
        <v>177</v>
      </c>
      <c r="D6761">
        <v>727</v>
      </c>
      <c r="E6761">
        <v>0</v>
      </c>
      <c r="F6761">
        <v>2829</v>
      </c>
    </row>
    <row r="6762" spans="1:6" ht="12.75">
      <c r="A6762" s="2">
        <v>43882.398622685185</v>
      </c>
      <c r="B6762" t="str">
        <f>HYPERLINK("https://twitter.com/weddie_s","@weddie_s")</f>
        <v>@weddie_s</v>
      </c>
      <c r="C6762" t="s">
        <v>4827</v>
      </c>
      <c r="D6762">
        <v>3</v>
      </c>
      <c r="E6762">
        <v>0</v>
      </c>
      <c r="F6762">
        <v>2711</v>
      </c>
    </row>
    <row r="6763" spans="1:6" ht="12.75">
      <c r="A6763" s="2">
        <v>43882.398402777777</v>
      </c>
      <c r="B6763" t="str">
        <f>HYPERLINK("https://twitter.com/dodi_ahmad07","@dodi_ahmad07")</f>
        <v>@dodi_ahmad07</v>
      </c>
      <c r="C6763" t="s">
        <v>4834</v>
      </c>
      <c r="D6763">
        <v>3</v>
      </c>
      <c r="E6763">
        <v>0</v>
      </c>
      <c r="F6763">
        <v>619</v>
      </c>
    </row>
    <row r="6764" spans="1:6" ht="12.75">
      <c r="A6764" s="2">
        <v>43882.397986111115</v>
      </c>
      <c r="B6764" t="str">
        <f>HYPERLINK("https://twitter.com/CastilloJoshima","@CastilloJoshima")</f>
        <v>@CastilloJoshima</v>
      </c>
      <c r="C6764" t="s">
        <v>4835</v>
      </c>
      <c r="D6764">
        <v>2</v>
      </c>
      <c r="E6764">
        <v>0</v>
      </c>
      <c r="F6764">
        <v>5353</v>
      </c>
    </row>
    <row r="6765" spans="1:6" ht="12.75">
      <c r="A6765" s="2">
        <v>43882.397696759261</v>
      </c>
      <c r="B6765" t="str">
        <f>HYPERLINK("https://twitter.com/tribunnews","@tribunnews")</f>
        <v>@tribunnews</v>
      </c>
      <c r="C6765" t="s">
        <v>4836</v>
      </c>
      <c r="D6765">
        <v>0</v>
      </c>
      <c r="E6765">
        <v>2</v>
      </c>
      <c r="F6765">
        <v>877841</v>
      </c>
    </row>
    <row r="6766" spans="1:6" ht="12.75">
      <c r="A6766" s="2">
        <v>43882.39708333333</v>
      </c>
      <c r="B6766" t="str">
        <f>HYPERLINK("https://twitter.com/Ind4hPutr1","@Ind4hPutr1")</f>
        <v>@Ind4hPutr1</v>
      </c>
      <c r="C6766" t="s">
        <v>4837</v>
      </c>
      <c r="D6766">
        <v>0</v>
      </c>
      <c r="E6766">
        <v>1</v>
      </c>
      <c r="F6766">
        <v>50</v>
      </c>
    </row>
    <row r="6767" spans="1:6" ht="12.75">
      <c r="A6767" s="2">
        <v>43882.396412037036</v>
      </c>
      <c r="B6767" t="str">
        <f>HYPERLINK("https://twitter.com/idntimes","@idntimes")</f>
        <v>@idntimes</v>
      </c>
      <c r="C6767" t="s">
        <v>4838</v>
      </c>
      <c r="D6767">
        <v>0</v>
      </c>
      <c r="E6767">
        <v>0</v>
      </c>
      <c r="F6767">
        <v>393111</v>
      </c>
    </row>
    <row r="6768" spans="1:6" ht="12.75">
      <c r="A6768" s="2">
        <v>43882.396203703705</v>
      </c>
      <c r="B6768" t="str">
        <f>HYPERLINK("https://twitter.com/sipitung009","@sipitung009")</f>
        <v>@sipitung009</v>
      </c>
      <c r="C6768" t="s">
        <v>4839</v>
      </c>
      <c r="D6768">
        <v>0</v>
      </c>
      <c r="E6768">
        <v>0</v>
      </c>
      <c r="F6768">
        <v>40</v>
      </c>
    </row>
    <row r="6769" spans="1:6" ht="12.75">
      <c r="A6769" s="2">
        <v>43882.396018518513</v>
      </c>
      <c r="B6769" t="str">
        <f>HYPERLINK("https://twitter.com/Leel310","@Leel310")</f>
        <v>@Leel310</v>
      </c>
      <c r="C6769" t="s">
        <v>4840</v>
      </c>
      <c r="D6769">
        <v>0</v>
      </c>
      <c r="E6769">
        <v>0</v>
      </c>
      <c r="F6769">
        <v>1</v>
      </c>
    </row>
    <row r="6770" spans="1:6" ht="12.75">
      <c r="A6770" s="2">
        <v>43882.395902777775</v>
      </c>
      <c r="B6770" t="str">
        <f>HYPERLINK("https://twitter.com/bunk_zae","@bunk_zae")</f>
        <v>@bunk_zae</v>
      </c>
      <c r="C6770" t="s">
        <v>4841</v>
      </c>
      <c r="D6770">
        <v>2</v>
      </c>
      <c r="E6770">
        <v>0</v>
      </c>
      <c r="F6770">
        <v>474</v>
      </c>
    </row>
    <row r="6771" spans="1:6" ht="12.75">
      <c r="A6771" s="2">
        <v>43882.395798611113</v>
      </c>
      <c r="B6771" t="str">
        <f>HYPERLINK("https://twitter.com/DDRezhaa","@DDRezhaa")</f>
        <v>@DDRezhaa</v>
      </c>
      <c r="C6771" t="s">
        <v>4020</v>
      </c>
      <c r="D6771">
        <v>25</v>
      </c>
      <c r="E6771">
        <v>0</v>
      </c>
      <c r="F6771">
        <v>25815</v>
      </c>
    </row>
    <row r="6772" spans="1:6" ht="12.75">
      <c r="A6772" s="2">
        <v>43882.395532407405</v>
      </c>
      <c r="B6772" t="str">
        <f>HYPERLINK("https://twitter.com/Jojo_Entis","@Jojo_Entis")</f>
        <v>@Jojo_Entis</v>
      </c>
      <c r="C6772" t="s">
        <v>4077</v>
      </c>
      <c r="D6772">
        <v>13</v>
      </c>
      <c r="E6772">
        <v>0</v>
      </c>
      <c r="F6772">
        <v>126</v>
      </c>
    </row>
    <row r="6773" spans="1:6" ht="12.75">
      <c r="A6773" s="2">
        <v>43882.395532407405</v>
      </c>
      <c r="B6773" t="str">
        <f>HYPERLINK("https://twitter.com/donokip","@donokip")</f>
        <v>@donokip</v>
      </c>
      <c r="C6773" t="s">
        <v>4842</v>
      </c>
      <c r="D6773">
        <v>0</v>
      </c>
      <c r="E6773">
        <v>0</v>
      </c>
      <c r="F6773">
        <v>2792</v>
      </c>
    </row>
    <row r="6774" spans="1:6" ht="12.75">
      <c r="A6774" s="2">
        <v>43882.395416666666</v>
      </c>
      <c r="B6774" t="str">
        <f>HYPERLINK("https://twitter.com/idntimes","@idntimes")</f>
        <v>@idntimes</v>
      </c>
      <c r="C6774" t="s">
        <v>4843</v>
      </c>
      <c r="D6774">
        <v>2</v>
      </c>
      <c r="E6774">
        <v>0</v>
      </c>
      <c r="F6774">
        <v>393111</v>
      </c>
    </row>
    <row r="6775" spans="1:6" ht="12.75">
      <c r="A6775" s="2">
        <v>43882.395335648151</v>
      </c>
      <c r="B6775" t="str">
        <f>HYPERLINK("https://twitter.com/Thesarida","@Thesarida")</f>
        <v>@Thesarida</v>
      </c>
      <c r="C6775" t="s">
        <v>3302</v>
      </c>
      <c r="D6775">
        <v>21</v>
      </c>
      <c r="E6775">
        <v>0</v>
      </c>
      <c r="F6775">
        <v>251</v>
      </c>
    </row>
    <row r="6776" spans="1:6" ht="12.75">
      <c r="A6776" s="2">
        <v>43882.394907407404</v>
      </c>
      <c r="B6776" t="str">
        <f>HYPERLINK("https://twitter.com/BNPB_Indonesia","@BNPB_Indonesia")</f>
        <v>@BNPB_Indonesia</v>
      </c>
      <c r="C6776" t="s">
        <v>4844</v>
      </c>
      <c r="D6776">
        <v>0</v>
      </c>
      <c r="E6776">
        <v>1</v>
      </c>
      <c r="F6776">
        <v>226619</v>
      </c>
    </row>
    <row r="6777" spans="1:6" ht="12.75">
      <c r="A6777" s="2">
        <v>43882.394456018519</v>
      </c>
      <c r="B6777" t="str">
        <f>HYPERLINK("https://twitter.com/BenZah6","@BenZah6")</f>
        <v>@BenZah6</v>
      </c>
      <c r="C6777" t="s">
        <v>4020</v>
      </c>
      <c r="D6777">
        <v>25</v>
      </c>
      <c r="E6777">
        <v>0</v>
      </c>
      <c r="F6777">
        <v>58</v>
      </c>
    </row>
    <row r="6778" spans="1:6" ht="12.75">
      <c r="A6778" s="2">
        <v>43882.394363425927</v>
      </c>
      <c r="B6778" t="str">
        <f>HYPERLINK("https://twitter.com/UjangSpn","@UjangSpn")</f>
        <v>@UjangSpn</v>
      </c>
      <c r="C6778" t="s">
        <v>3302</v>
      </c>
      <c r="D6778">
        <v>21</v>
      </c>
      <c r="E6778">
        <v>0</v>
      </c>
      <c r="F6778">
        <v>522</v>
      </c>
    </row>
    <row r="6779" spans="1:6" ht="12.75">
      <c r="A6779" s="2">
        <v>43882.394363425927</v>
      </c>
      <c r="B6779" t="str">
        <f>HYPERLINK("https://twitter.com/Ftchrrozit","@Ftchrrozit")</f>
        <v>@Ftchrrozit</v>
      </c>
      <c r="C6779" t="s">
        <v>4077</v>
      </c>
      <c r="D6779">
        <v>13</v>
      </c>
      <c r="E6779">
        <v>0</v>
      </c>
      <c r="F6779">
        <v>455</v>
      </c>
    </row>
    <row r="6780" spans="1:6" ht="12.75">
      <c r="A6780" s="2">
        <v>43882.394236111111</v>
      </c>
      <c r="B6780" t="str">
        <f>HYPERLINK("https://twitter.com/MozadAis","@MozadAis")</f>
        <v>@MozadAis</v>
      </c>
      <c r="C6780" t="s">
        <v>4265</v>
      </c>
      <c r="D6780">
        <v>1</v>
      </c>
      <c r="E6780">
        <v>0</v>
      </c>
      <c r="F6780">
        <v>852</v>
      </c>
    </row>
    <row r="6781" spans="1:6" ht="12.75">
      <c r="A6781" s="2">
        <v>43882.394108796296</v>
      </c>
      <c r="B6781" t="str">
        <f>HYPERLINK("https://twitter.com/ronirustamadji","@ronirustamadji")</f>
        <v>@ronirustamadji</v>
      </c>
      <c r="C6781" t="s">
        <v>177</v>
      </c>
      <c r="D6781">
        <v>727</v>
      </c>
      <c r="E6781">
        <v>0</v>
      </c>
      <c r="F6781">
        <v>3213</v>
      </c>
    </row>
    <row r="6782" spans="1:6" ht="12.75">
      <c r="A6782" s="2">
        <v>43882.394085648149</v>
      </c>
      <c r="B6782" t="str">
        <f>HYPERLINK("https://twitter.com/AnwarSh44668965","@AnwarSh44668965")</f>
        <v>@AnwarSh44668965</v>
      </c>
      <c r="C6782" t="s">
        <v>177</v>
      </c>
      <c r="D6782">
        <v>727</v>
      </c>
      <c r="E6782">
        <v>0</v>
      </c>
      <c r="F6782">
        <v>47</v>
      </c>
    </row>
    <row r="6783" spans="1:6" ht="12.75">
      <c r="A6783" s="2">
        <v>43882.394027777773</v>
      </c>
      <c r="B6783" t="str">
        <f>HYPERLINK("https://twitter.com/UjangSpn","@UjangSpn")</f>
        <v>@UjangSpn</v>
      </c>
      <c r="C6783" t="s">
        <v>4020</v>
      </c>
      <c r="D6783">
        <v>25</v>
      </c>
      <c r="E6783">
        <v>0</v>
      </c>
      <c r="F6783">
        <v>522</v>
      </c>
    </row>
    <row r="6784" spans="1:6" ht="12.75">
      <c r="A6784" s="2">
        <v>43882.393761574072</v>
      </c>
      <c r="B6784" t="str">
        <f>HYPERLINK("https://twitter.com/ZheeOmega","@ZheeOmega")</f>
        <v>@ZheeOmega</v>
      </c>
      <c r="C6784" t="s">
        <v>4077</v>
      </c>
      <c r="D6784">
        <v>13</v>
      </c>
      <c r="E6784">
        <v>0</v>
      </c>
      <c r="F6784">
        <v>17756</v>
      </c>
    </row>
    <row r="6785" spans="1:6" ht="12.75">
      <c r="A6785" s="2">
        <v>43882.39362268518</v>
      </c>
      <c r="B6785" t="str">
        <f>HYPERLINK("https://twitter.com/s_mulyatie","@s_mulyatie")</f>
        <v>@s_mulyatie</v>
      </c>
      <c r="C6785" t="s">
        <v>4186</v>
      </c>
      <c r="D6785">
        <v>1</v>
      </c>
      <c r="E6785">
        <v>0</v>
      </c>
      <c r="F6785">
        <v>1659</v>
      </c>
    </row>
    <row r="6786" spans="1:6" ht="12.75">
      <c r="A6786" s="2">
        <v>43882.39335648148</v>
      </c>
      <c r="B6786" t="str">
        <f>HYPERLINK("https://twitter.com/03satrya","@03satrya")</f>
        <v>@03satrya</v>
      </c>
      <c r="C6786" t="s">
        <v>4020</v>
      </c>
      <c r="D6786">
        <v>25</v>
      </c>
      <c r="E6786">
        <v>0</v>
      </c>
      <c r="F6786">
        <v>70</v>
      </c>
    </row>
    <row r="6787" spans="1:6" ht="12.75">
      <c r="A6787" s="2">
        <v>43882.393067129626</v>
      </c>
      <c r="B6787" t="str">
        <f>HYPERLINK("https://twitter.com/Takviri","@Takviri")</f>
        <v>@Takviri</v>
      </c>
      <c r="C6787" t="s">
        <v>4077</v>
      </c>
      <c r="D6787">
        <v>13</v>
      </c>
      <c r="E6787">
        <v>0</v>
      </c>
      <c r="F6787">
        <v>59317</v>
      </c>
    </row>
    <row r="6788" spans="1:6" ht="12.75">
      <c r="A6788" s="2">
        <v>43882.393067129626</v>
      </c>
      <c r="B6788" t="str">
        <f>HYPERLINK("https://twitter.com/Malemalemale3","@Malemalemale3")</f>
        <v>@Malemalemale3</v>
      </c>
      <c r="C6788" t="s">
        <v>4845</v>
      </c>
      <c r="D6788">
        <v>19</v>
      </c>
      <c r="E6788">
        <v>0</v>
      </c>
      <c r="F6788">
        <v>23</v>
      </c>
    </row>
    <row r="6789" spans="1:6" ht="12.75">
      <c r="A6789" s="2">
        <v>43882.392789351856</v>
      </c>
      <c r="B6789" t="str">
        <f t="shared" ref="B6789:B6790" si="120">HYPERLINK("https://twitter.com/MatPakpahan","@MatPakpahan")</f>
        <v>@MatPakpahan</v>
      </c>
      <c r="C6789" t="s">
        <v>4846</v>
      </c>
      <c r="D6789">
        <v>0</v>
      </c>
      <c r="E6789">
        <v>0</v>
      </c>
      <c r="F6789">
        <v>1</v>
      </c>
    </row>
    <row r="6790" spans="1:6" ht="12.75">
      <c r="A6790" s="2">
        <v>43882.392442129625</v>
      </c>
      <c r="B6790" t="str">
        <f t="shared" si="120"/>
        <v>@MatPakpahan</v>
      </c>
      <c r="C6790" t="s">
        <v>4847</v>
      </c>
      <c r="D6790">
        <v>0</v>
      </c>
      <c r="E6790">
        <v>0</v>
      </c>
      <c r="F6790">
        <v>1</v>
      </c>
    </row>
    <row r="6791" spans="1:6" ht="12.75">
      <c r="A6791" s="2">
        <v>43882.392418981486</v>
      </c>
      <c r="B6791" t="str">
        <f>HYPERLINK("https://twitter.com/santidewi888","@santidewi888")</f>
        <v>@santidewi888</v>
      </c>
      <c r="C6791" t="s">
        <v>4848</v>
      </c>
      <c r="D6791">
        <v>0</v>
      </c>
      <c r="E6791">
        <v>0</v>
      </c>
      <c r="F6791">
        <v>724</v>
      </c>
    </row>
    <row r="6792" spans="1:6" ht="12.75">
      <c r="A6792" s="2">
        <v>43882.39225694444</v>
      </c>
      <c r="B6792" t="str">
        <f>HYPERLINK("https://twitter.com/Desty_NNN","@Desty_NNN")</f>
        <v>@Desty_NNN</v>
      </c>
      <c r="C6792" t="s">
        <v>177</v>
      </c>
      <c r="D6792">
        <v>727</v>
      </c>
      <c r="E6792">
        <v>0</v>
      </c>
      <c r="F6792">
        <v>1066</v>
      </c>
    </row>
    <row r="6793" spans="1:6" ht="12.75">
      <c r="A6793" s="2">
        <v>43882.392025462963</v>
      </c>
      <c r="B6793" t="str">
        <f>HYPERLINK("https://twitter.com/D4nde_lion","@D4nde_lion")</f>
        <v>@D4nde_lion</v>
      </c>
      <c r="C6793" t="s">
        <v>4849</v>
      </c>
      <c r="D6793">
        <v>5</v>
      </c>
      <c r="E6793">
        <v>0</v>
      </c>
      <c r="F6793">
        <v>130</v>
      </c>
    </row>
    <row r="6794" spans="1:6" ht="12.75">
      <c r="A6794" s="2">
        <v>43882.391909722224</v>
      </c>
      <c r="B6794" t="str">
        <f>HYPERLINK("https://twitter.com/CakMan70489610","@CakMan70489610")</f>
        <v>@CakMan70489610</v>
      </c>
      <c r="C6794" t="s">
        <v>4020</v>
      </c>
      <c r="D6794">
        <v>25</v>
      </c>
      <c r="E6794">
        <v>0</v>
      </c>
      <c r="F6794">
        <v>495</v>
      </c>
    </row>
    <row r="6795" spans="1:6" ht="12.75">
      <c r="A6795" s="2">
        <v>43882.391770833332</v>
      </c>
      <c r="B6795" t="str">
        <f>HYPERLINK("https://twitter.com/MatPakpahan","@MatPakpahan")</f>
        <v>@MatPakpahan</v>
      </c>
      <c r="C6795" t="s">
        <v>4850</v>
      </c>
      <c r="D6795">
        <v>0</v>
      </c>
      <c r="E6795">
        <v>0</v>
      </c>
      <c r="F6795">
        <v>1</v>
      </c>
    </row>
    <row r="6796" spans="1:6" ht="12.75">
      <c r="A6796" s="2">
        <v>43882.391643518524</v>
      </c>
      <c r="B6796" t="str">
        <f>HYPERLINK("https://twitter.com/Indosiar","@Indosiar")</f>
        <v>@Indosiar</v>
      </c>
      <c r="C6796" t="s">
        <v>4851</v>
      </c>
      <c r="D6796">
        <v>1</v>
      </c>
      <c r="E6796">
        <v>6</v>
      </c>
      <c r="F6796">
        <v>2003326</v>
      </c>
    </row>
    <row r="6797" spans="1:6" ht="12.75">
      <c r="A6797" s="2">
        <v>43882.391388888893</v>
      </c>
      <c r="B6797" t="str">
        <f>HYPERLINK("https://twitter.com/MatPakpahan","@MatPakpahan")</f>
        <v>@MatPakpahan</v>
      </c>
      <c r="C6797" t="s">
        <v>4852</v>
      </c>
      <c r="D6797">
        <v>0</v>
      </c>
      <c r="E6797">
        <v>0</v>
      </c>
      <c r="F6797">
        <v>1</v>
      </c>
    </row>
    <row r="6798" spans="1:6" ht="12.75">
      <c r="A6798" s="2">
        <v>43882.3908912037</v>
      </c>
      <c r="B6798" t="str">
        <f>HYPERLINK("https://twitter.com/YusufNusantara1","@YusufNusantara1")</f>
        <v>@YusufNusantara1</v>
      </c>
      <c r="C6798" t="s">
        <v>4077</v>
      </c>
      <c r="D6798">
        <v>13</v>
      </c>
      <c r="E6798">
        <v>0</v>
      </c>
      <c r="F6798">
        <v>717</v>
      </c>
    </row>
    <row r="6799" spans="1:6" ht="12.75">
      <c r="A6799" s="2">
        <v>43882.390833333338</v>
      </c>
      <c r="B6799" t="str">
        <f>HYPERLINK("https://twitter.com/geloraco","@geloraco")</f>
        <v>@geloraco</v>
      </c>
      <c r="C6799" t="s">
        <v>4331</v>
      </c>
      <c r="D6799">
        <v>0</v>
      </c>
      <c r="E6799">
        <v>1</v>
      </c>
      <c r="F6799">
        <v>101035</v>
      </c>
    </row>
    <row r="6800" spans="1:6" ht="12.75">
      <c r="A6800" s="2">
        <v>43882.390717592592</v>
      </c>
      <c r="B6800" t="str">
        <f>HYPERLINK("https://twitter.com/EndjahH","@EndjahH")</f>
        <v>@EndjahH</v>
      </c>
      <c r="C6800" t="s">
        <v>4853</v>
      </c>
      <c r="D6800">
        <v>0</v>
      </c>
      <c r="E6800">
        <v>1</v>
      </c>
      <c r="F6800">
        <v>11596</v>
      </c>
    </row>
    <row r="6801" spans="1:6" ht="12.75">
      <c r="A6801" s="2">
        <v>43882.390451388885</v>
      </c>
      <c r="B6801" t="str">
        <f>HYPERLINK("https://twitter.com/billy_destiny","@billy_destiny")</f>
        <v>@billy_destiny</v>
      </c>
      <c r="C6801" t="s">
        <v>4854</v>
      </c>
      <c r="D6801">
        <v>0</v>
      </c>
      <c r="E6801">
        <v>0</v>
      </c>
      <c r="F6801">
        <v>639</v>
      </c>
    </row>
    <row r="6802" spans="1:6" ht="12.75">
      <c r="A6802" s="2">
        <v>43882.390162037038</v>
      </c>
      <c r="B6802" t="str">
        <f>HYPERLINK("https://twitter.com/evndari","@evndari")</f>
        <v>@evndari</v>
      </c>
      <c r="C6802" t="s">
        <v>4855</v>
      </c>
      <c r="D6802">
        <v>13</v>
      </c>
      <c r="E6802">
        <v>20</v>
      </c>
      <c r="F6802">
        <v>97778</v>
      </c>
    </row>
    <row r="6803" spans="1:6" ht="12.75">
      <c r="A6803" s="2">
        <v>43882.390115740738</v>
      </c>
      <c r="B6803" t="str">
        <f>HYPERLINK("https://twitter.com/jesostro","@jesostro")</f>
        <v>@jesostro</v>
      </c>
      <c r="C6803" t="s">
        <v>4856</v>
      </c>
      <c r="D6803">
        <v>0</v>
      </c>
      <c r="E6803">
        <v>0</v>
      </c>
      <c r="F6803">
        <v>17</v>
      </c>
    </row>
    <row r="6804" spans="1:6" ht="12.75">
      <c r="A6804" s="2">
        <v>43882.388402777782</v>
      </c>
      <c r="B6804" t="str">
        <f>HYPERLINK("https://twitter.com/BNPB_Indonesia","@BNPB_Indonesia")</f>
        <v>@BNPB_Indonesia</v>
      </c>
      <c r="C6804" t="s">
        <v>4857</v>
      </c>
      <c r="D6804">
        <v>3</v>
      </c>
      <c r="E6804">
        <v>3</v>
      </c>
      <c r="F6804">
        <v>226619</v>
      </c>
    </row>
    <row r="6805" spans="1:6" ht="12.75">
      <c r="A6805" s="2">
        <v>43882.388252314813</v>
      </c>
      <c r="B6805" t="str">
        <f>HYPERLINK("https://twitter.com/AisSyariif","@AisSyariif")</f>
        <v>@AisSyariif</v>
      </c>
      <c r="C6805" t="s">
        <v>177</v>
      </c>
      <c r="D6805">
        <v>727</v>
      </c>
      <c r="E6805">
        <v>0</v>
      </c>
      <c r="F6805">
        <v>873</v>
      </c>
    </row>
    <row r="6806" spans="1:6" ht="12.75">
      <c r="A6806" s="2">
        <v>43882.388206018513</v>
      </c>
      <c r="B6806" t="str">
        <f>HYPERLINK("https://twitter.com/josgondes","@josgondes")</f>
        <v>@josgondes</v>
      </c>
      <c r="C6806" t="s">
        <v>4858</v>
      </c>
      <c r="D6806">
        <v>1</v>
      </c>
      <c r="E6806">
        <v>0</v>
      </c>
      <c r="F6806">
        <v>7</v>
      </c>
    </row>
    <row r="6807" spans="1:6" ht="12.75">
      <c r="A6807" s="2">
        <v>43882.38689814815</v>
      </c>
      <c r="B6807" t="str">
        <f>HYPERLINK("https://twitter.com/andrewalang69","@andrewalang69")</f>
        <v>@andrewalang69</v>
      </c>
      <c r="C6807" t="s">
        <v>4020</v>
      </c>
      <c r="D6807">
        <v>25</v>
      </c>
      <c r="E6807">
        <v>0</v>
      </c>
      <c r="F6807">
        <v>452</v>
      </c>
    </row>
    <row r="6808" spans="1:6" ht="12.75">
      <c r="A6808" s="2">
        <v>43882.386736111112</v>
      </c>
      <c r="B6808" t="str">
        <f>HYPERLINK("https://twitter.com/pupuik_sarunai","@pupuik_sarunai")</f>
        <v>@pupuik_sarunai</v>
      </c>
      <c r="C6808" t="s">
        <v>4859</v>
      </c>
      <c r="D6808">
        <v>0</v>
      </c>
      <c r="E6808">
        <v>1</v>
      </c>
      <c r="F6808">
        <v>482</v>
      </c>
    </row>
    <row r="6809" spans="1:6" ht="12.75">
      <c r="A6809" s="2">
        <v>43882.385567129633</v>
      </c>
      <c r="B6809" t="str">
        <f>HYPERLINK("https://twitter.com/okezonenews","@okezonenews")</f>
        <v>@okezonenews</v>
      </c>
      <c r="C6809" t="s">
        <v>4860</v>
      </c>
      <c r="D6809">
        <v>0</v>
      </c>
      <c r="E6809">
        <v>1</v>
      </c>
      <c r="F6809">
        <v>1743071</v>
      </c>
    </row>
    <row r="6810" spans="1:6" ht="12.75">
      <c r="A6810" s="2">
        <v>43882.384085648147</v>
      </c>
      <c r="B6810" t="str">
        <f>HYPERLINK("https://twitter.com/sabhatansabiz","@sabhatansabiz")</f>
        <v>@sabhatansabiz</v>
      </c>
      <c r="C6810" t="s">
        <v>4861</v>
      </c>
      <c r="D6810">
        <v>2</v>
      </c>
      <c r="E6810">
        <v>0</v>
      </c>
      <c r="F6810">
        <v>1584</v>
      </c>
    </row>
    <row r="6811" spans="1:6" ht="12.75">
      <c r="A6811" s="2">
        <v>43882.376423611116</v>
      </c>
      <c r="B6811" t="str">
        <f>HYPERLINK("https://twitter.com/radar_malang","@radar_malang")</f>
        <v>@radar_malang</v>
      </c>
      <c r="C6811" t="s">
        <v>4862</v>
      </c>
      <c r="D6811">
        <v>0</v>
      </c>
      <c r="E6811">
        <v>0</v>
      </c>
      <c r="F6811">
        <v>108605</v>
      </c>
    </row>
    <row r="6812" spans="1:6" ht="12.75">
      <c r="A6812" s="2">
        <v>43882.376203703709</v>
      </c>
      <c r="B6812" t="str">
        <f>HYPERLINK("https://twitter.com/ElshintaDotcom","@ElshintaDotcom")</f>
        <v>@ElshintaDotcom</v>
      </c>
      <c r="C6812" t="s">
        <v>4752</v>
      </c>
      <c r="D6812">
        <v>0</v>
      </c>
      <c r="E6812">
        <v>0</v>
      </c>
      <c r="F6812">
        <v>27888</v>
      </c>
    </row>
    <row r="6813" spans="1:6" ht="12.75">
      <c r="A6813" s="2">
        <v>43882.376122685186</v>
      </c>
      <c r="B6813" t="str">
        <f>HYPERLINK("https://twitter.com/sipadecengi","@sipadecengi")</f>
        <v>@sipadecengi</v>
      </c>
      <c r="C6813" t="s">
        <v>4863</v>
      </c>
      <c r="D6813">
        <v>0</v>
      </c>
      <c r="E6813">
        <v>0</v>
      </c>
      <c r="F6813">
        <v>0</v>
      </c>
    </row>
    <row r="6814" spans="1:6" ht="12.75">
      <c r="A6814" s="2">
        <v>43882.376087962963</v>
      </c>
      <c r="B6814" t="str">
        <f>HYPERLINK("https://twitter.com/e_zraa","@e_zraa")</f>
        <v>@e_zraa</v>
      </c>
      <c r="C6814" t="s">
        <v>4849</v>
      </c>
      <c r="D6814">
        <v>4</v>
      </c>
      <c r="E6814">
        <v>0</v>
      </c>
      <c r="F6814">
        <v>1083</v>
      </c>
    </row>
    <row r="6815" spans="1:6" ht="12.75">
      <c r="A6815" s="2">
        <v>43882.375497685185</v>
      </c>
      <c r="B6815" t="str">
        <f>HYPERLINK("https://twitter.com/2Auliaone","@2Auliaone")</f>
        <v>@2Auliaone</v>
      </c>
      <c r="C6815" t="s">
        <v>4020</v>
      </c>
      <c r="D6815">
        <v>14</v>
      </c>
      <c r="E6815">
        <v>0</v>
      </c>
      <c r="F6815">
        <v>1481</v>
      </c>
    </row>
    <row r="6816" spans="1:6" ht="12.75">
      <c r="A6816" s="2">
        <v>43882.375254629631</v>
      </c>
      <c r="B6816" t="str">
        <f>HYPERLINK("https://twitter.com/usmanprob","@usmanprob")</f>
        <v>@usmanprob</v>
      </c>
      <c r="C6816" t="s">
        <v>4020</v>
      </c>
      <c r="D6816">
        <v>14</v>
      </c>
      <c r="E6816">
        <v>0</v>
      </c>
      <c r="F6816">
        <v>338</v>
      </c>
    </row>
    <row r="6817" spans="1:6" ht="12.75">
      <c r="A6817" s="2">
        <v>43882.374594907407</v>
      </c>
      <c r="B6817" t="str">
        <f>HYPERLINK("https://twitter.com/ALanAlamanda_","@ALanAlamanda_")</f>
        <v>@ALanAlamanda_</v>
      </c>
      <c r="C6817" t="s">
        <v>1407</v>
      </c>
      <c r="D6817">
        <v>9723</v>
      </c>
      <c r="E6817">
        <v>0</v>
      </c>
      <c r="F6817">
        <v>342</v>
      </c>
    </row>
    <row r="6818" spans="1:6" ht="12.75">
      <c r="A6818" s="2">
        <v>43882.374027777776</v>
      </c>
      <c r="B6818" t="str">
        <f>HYPERLINK("https://twitter.com/Felixsinaga","@Felixsinaga")</f>
        <v>@Felixsinaga</v>
      </c>
      <c r="C6818" t="s">
        <v>4849</v>
      </c>
      <c r="D6818">
        <v>4</v>
      </c>
      <c r="E6818">
        <v>0</v>
      </c>
      <c r="F6818">
        <v>302</v>
      </c>
    </row>
    <row r="6819" spans="1:6" ht="12.75">
      <c r="A6819" s="2">
        <v>43882.373622685191</v>
      </c>
      <c r="B6819" t="str">
        <f>HYPERLINK("https://twitter.com/arkuyyy","@arkuyyy")</f>
        <v>@arkuyyy</v>
      </c>
      <c r="C6819" t="s">
        <v>4849</v>
      </c>
      <c r="D6819">
        <v>4</v>
      </c>
      <c r="E6819">
        <v>0</v>
      </c>
      <c r="F6819">
        <v>704</v>
      </c>
    </row>
    <row r="6820" spans="1:6" ht="12.75">
      <c r="A6820" s="2">
        <v>43882.373460648145</v>
      </c>
      <c r="B6820" t="str">
        <f>HYPERLINK("https://twitter.com/Febyval22","@Febyval22")</f>
        <v>@Febyval22</v>
      </c>
      <c r="C6820" t="s">
        <v>3302</v>
      </c>
      <c r="D6820">
        <v>14</v>
      </c>
      <c r="E6820">
        <v>0</v>
      </c>
      <c r="F6820">
        <v>288</v>
      </c>
    </row>
    <row r="6821" spans="1:6" ht="12.75">
      <c r="A6821" s="2">
        <v>43882.373356481483</v>
      </c>
      <c r="B6821" t="str">
        <f>HYPERLINK("https://twitter.com/WhalienFm","@WhalienFm")</f>
        <v>@WhalienFm</v>
      </c>
      <c r="C6821" t="s">
        <v>4864</v>
      </c>
      <c r="D6821">
        <v>0</v>
      </c>
      <c r="E6821">
        <v>0</v>
      </c>
      <c r="F6821">
        <v>10</v>
      </c>
    </row>
    <row r="6822" spans="1:6" ht="12.75">
      <c r="A6822" s="2">
        <v>43882.372361111113</v>
      </c>
      <c r="B6822" t="str">
        <f>HYPERLINK("https://twitter.com/umaleao","@umaleao")</f>
        <v>@umaleao</v>
      </c>
      <c r="C6822" t="s">
        <v>4849</v>
      </c>
      <c r="D6822">
        <v>4</v>
      </c>
      <c r="E6822">
        <v>0</v>
      </c>
      <c r="F6822">
        <v>26112</v>
      </c>
    </row>
    <row r="6823" spans="1:6" ht="12.75">
      <c r="A6823" s="2">
        <v>43882.372175925921</v>
      </c>
      <c r="B6823" t="str">
        <f>HYPERLINK("https://twitter.com/bangkitriambada","@bangkitriambada")</f>
        <v>@bangkitriambada</v>
      </c>
      <c r="C6823" t="s">
        <v>4865</v>
      </c>
      <c r="D6823">
        <v>1</v>
      </c>
      <c r="E6823">
        <v>0</v>
      </c>
      <c r="F6823">
        <v>198</v>
      </c>
    </row>
    <row r="6824" spans="1:6" ht="12.75">
      <c r="A6824" s="2">
        <v>43882.371770833328</v>
      </c>
      <c r="B6824" t="str">
        <f>HYPERLINK("https://twitter.com/cnbcindonesia","@cnbcindonesia")</f>
        <v>@cnbcindonesia</v>
      </c>
      <c r="C6824" t="s">
        <v>4866</v>
      </c>
      <c r="D6824">
        <v>1</v>
      </c>
      <c r="E6824">
        <v>1</v>
      </c>
      <c r="F6824">
        <v>30511</v>
      </c>
    </row>
    <row r="6825" spans="1:6" ht="12.75">
      <c r="A6825" s="2">
        <v>43882.371458333335</v>
      </c>
      <c r="B6825" t="str">
        <f>HYPERLINK("https://twitter.com/kemuning_raya","@kemuning_raya")</f>
        <v>@kemuning_raya</v>
      </c>
      <c r="C6825" t="s">
        <v>4867</v>
      </c>
      <c r="D6825">
        <v>4</v>
      </c>
      <c r="E6825">
        <v>1</v>
      </c>
      <c r="F6825">
        <v>320</v>
      </c>
    </row>
    <row r="6826" spans="1:6" ht="12.75">
      <c r="A6826" s="2">
        <v>43882.370833333334</v>
      </c>
      <c r="B6826" t="str">
        <f>HYPERLINK("https://twitter.com/Erick_Lubis","@Erick_Lubis")</f>
        <v>@Erick_Lubis</v>
      </c>
      <c r="C6826" t="s">
        <v>4868</v>
      </c>
      <c r="D6826">
        <v>9</v>
      </c>
      <c r="E6826">
        <v>0</v>
      </c>
      <c r="F6826">
        <v>96</v>
      </c>
    </row>
    <row r="6827" spans="1:6" ht="12.75">
      <c r="A6827" s="2">
        <v>43882.369247685187</v>
      </c>
      <c r="B6827" t="str">
        <f>HYPERLINK("https://twitter.com/NoegrohoEddie","@NoegrohoEddie")</f>
        <v>@NoegrohoEddie</v>
      </c>
      <c r="C6827" t="s">
        <v>3302</v>
      </c>
      <c r="D6827">
        <v>14</v>
      </c>
      <c r="E6827">
        <v>0</v>
      </c>
      <c r="F6827">
        <v>563</v>
      </c>
    </row>
    <row r="6828" spans="1:6" ht="12.75">
      <c r="A6828" s="2">
        <v>43882.368634259255</v>
      </c>
      <c r="B6828" t="str">
        <f>HYPERLINK("https://twitter.com/Masdjodi1","@Masdjodi1")</f>
        <v>@Masdjodi1</v>
      </c>
      <c r="C6828" t="s">
        <v>4020</v>
      </c>
      <c r="D6828">
        <v>14</v>
      </c>
      <c r="E6828">
        <v>0</v>
      </c>
      <c r="F6828">
        <v>687</v>
      </c>
    </row>
    <row r="6829" spans="1:6" ht="12.75">
      <c r="A6829" s="2">
        <v>43882.367395833338</v>
      </c>
      <c r="B6829" t="str">
        <f>HYPERLINK("https://twitter.com/Aldizero","@Aldizero")</f>
        <v>@Aldizero</v>
      </c>
      <c r="C6829" t="s">
        <v>1407</v>
      </c>
      <c r="D6829">
        <v>9723</v>
      </c>
      <c r="E6829">
        <v>0</v>
      </c>
      <c r="F6829">
        <v>653</v>
      </c>
    </row>
    <row r="6830" spans="1:6" ht="12.75">
      <c r="A6830" s="2">
        <v>43882.366365740745</v>
      </c>
      <c r="B6830" t="str">
        <f>HYPERLINK("https://twitter.com/smartfmjogja","@smartfmjogja")</f>
        <v>@smartfmjogja</v>
      </c>
      <c r="C6830" t="s">
        <v>4869</v>
      </c>
      <c r="D6830">
        <v>0</v>
      </c>
      <c r="E6830">
        <v>0</v>
      </c>
      <c r="F6830">
        <v>7280</v>
      </c>
    </row>
    <row r="6831" spans="1:6" ht="12.75">
      <c r="A6831" s="2">
        <v>43882.36613425926</v>
      </c>
      <c r="B6831" t="str">
        <f>HYPERLINK("https://twitter.com/agustrih13","@agustrih13")</f>
        <v>@agustrih13</v>
      </c>
      <c r="C6831" t="s">
        <v>4020</v>
      </c>
      <c r="D6831">
        <v>14</v>
      </c>
      <c r="E6831">
        <v>0</v>
      </c>
      <c r="F6831">
        <v>875</v>
      </c>
    </row>
    <row r="6832" spans="1:6" ht="12.75">
      <c r="A6832" s="2">
        <v>43882.366030092591</v>
      </c>
      <c r="B6832" t="str">
        <f>HYPERLINK("https://twitter.com/kompascom","@kompascom")</f>
        <v>@kompascom</v>
      </c>
      <c r="C6832" t="s">
        <v>4870</v>
      </c>
      <c r="D6832">
        <v>0</v>
      </c>
      <c r="E6832">
        <v>1</v>
      </c>
      <c r="F6832">
        <v>7505911</v>
      </c>
    </row>
    <row r="6833" spans="1:6" ht="12.75">
      <c r="A6833" s="2">
        <v>43882.365879629629</v>
      </c>
      <c r="B6833" t="str">
        <f>HYPERLINK("https://twitter.com/didienAZHAR","@didienAZHAR")</f>
        <v>@didienAZHAR</v>
      </c>
      <c r="C6833" t="s">
        <v>4020</v>
      </c>
      <c r="D6833">
        <v>14</v>
      </c>
      <c r="E6833">
        <v>0</v>
      </c>
      <c r="F6833">
        <v>22629</v>
      </c>
    </row>
    <row r="6834" spans="1:6" ht="12.75">
      <c r="A6834" s="2">
        <v>43882.365648148145</v>
      </c>
      <c r="B6834" t="str">
        <f>HYPERLINK("https://twitter.com/AminSiregar75","@AminSiregar75")</f>
        <v>@AminSiregar75</v>
      </c>
      <c r="C6834" t="s">
        <v>4871</v>
      </c>
      <c r="D6834">
        <v>4</v>
      </c>
      <c r="E6834">
        <v>0</v>
      </c>
      <c r="F6834">
        <v>2626</v>
      </c>
    </row>
    <row r="6835" spans="1:6" ht="12.75">
      <c r="A6835" s="2">
        <v>43882.365439814814</v>
      </c>
      <c r="B6835" t="str">
        <f>HYPERLINK("https://twitter.com/deviken","@deviken")</f>
        <v>@deviken</v>
      </c>
      <c r="C6835" t="s">
        <v>2692</v>
      </c>
      <c r="D6835">
        <v>2022</v>
      </c>
      <c r="E6835">
        <v>0</v>
      </c>
      <c r="F6835">
        <v>682</v>
      </c>
    </row>
    <row r="6836" spans="1:6" ht="12.75">
      <c r="A6836" s="2">
        <v>43882.365428240737</v>
      </c>
      <c r="B6836" t="str">
        <f>HYPERLINK("https://twitter.com/tianbuyung","@tianbuyung")</f>
        <v>@tianbuyung</v>
      </c>
      <c r="C6836" t="s">
        <v>4872</v>
      </c>
      <c r="D6836">
        <v>5</v>
      </c>
      <c r="E6836">
        <v>0</v>
      </c>
      <c r="F6836">
        <v>362</v>
      </c>
    </row>
    <row r="6837" spans="1:6" ht="12.75">
      <c r="A6837" s="2">
        <v>43882.364629629628</v>
      </c>
      <c r="B6837" t="str">
        <f>HYPERLINK("https://twitter.com/fhm_hkl","@fhm_hkl")</f>
        <v>@fhm_hkl</v>
      </c>
      <c r="C6837" t="s">
        <v>4873</v>
      </c>
      <c r="D6837">
        <v>1793</v>
      </c>
      <c r="E6837">
        <v>0</v>
      </c>
      <c r="F6837">
        <v>92</v>
      </c>
    </row>
    <row r="6838" spans="1:6" ht="12.75">
      <c r="A6838" s="2">
        <v>43882.364629629628</v>
      </c>
      <c r="B6838" t="str">
        <f>HYPERLINK("https://twitter.com/ztw868992","@ztw868992")</f>
        <v>@ztw868992</v>
      </c>
      <c r="C6838" t="s">
        <v>4874</v>
      </c>
      <c r="D6838">
        <v>3</v>
      </c>
      <c r="E6838">
        <v>0</v>
      </c>
      <c r="F6838">
        <v>3392</v>
      </c>
    </row>
    <row r="6839" spans="1:6" ht="12.75">
      <c r="A6839" s="2">
        <v>43882.36451388889</v>
      </c>
      <c r="B6839" t="str">
        <f>HYPERLINK("https://twitter.com/HerySu_SH","@HerySu_SH")</f>
        <v>@HerySu_SH</v>
      </c>
      <c r="C6839" t="s">
        <v>4875</v>
      </c>
      <c r="D6839">
        <v>0</v>
      </c>
      <c r="E6839">
        <v>0</v>
      </c>
      <c r="F6839">
        <v>0</v>
      </c>
    </row>
    <row r="6840" spans="1:6" ht="12.75">
      <c r="A6840" s="2">
        <v>43882.363900462966</v>
      </c>
      <c r="B6840" t="str">
        <f>HYPERLINK("https://twitter.com/_putihitam_","@_putihitam_")</f>
        <v>@_putihitam_</v>
      </c>
      <c r="C6840" t="s">
        <v>4876</v>
      </c>
      <c r="D6840">
        <v>0</v>
      </c>
      <c r="E6840">
        <v>0</v>
      </c>
      <c r="F6840">
        <v>1</v>
      </c>
    </row>
    <row r="6841" spans="1:6" ht="12.75">
      <c r="A6841" s="2">
        <v>43882.362986111111</v>
      </c>
      <c r="B6841" t="str">
        <f>HYPERLINK("https://twitter.com/ArdinalRais","@ArdinalRais")</f>
        <v>@ArdinalRais</v>
      </c>
      <c r="C6841" t="s">
        <v>4877</v>
      </c>
      <c r="D6841">
        <v>0</v>
      </c>
      <c r="E6841">
        <v>0</v>
      </c>
      <c r="F6841">
        <v>284</v>
      </c>
    </row>
    <row r="6842" spans="1:6" ht="12.75">
      <c r="A6842" s="2">
        <v>43882.362777777773</v>
      </c>
      <c r="B6842" t="str">
        <f>HYPERLINK("https://twitter.com/gdrmwn","@gdrmwn")</f>
        <v>@gdrmwn</v>
      </c>
      <c r="C6842" t="s">
        <v>4878</v>
      </c>
      <c r="D6842">
        <v>0</v>
      </c>
      <c r="E6842">
        <v>0</v>
      </c>
      <c r="F6842">
        <v>247</v>
      </c>
    </row>
    <row r="6843" spans="1:6" ht="12.75">
      <c r="A6843" s="2">
        <v>43882.362476851849</v>
      </c>
      <c r="B6843" t="str">
        <f>HYPERLINK("https://twitter.com/haganesta","@haganesta")</f>
        <v>@haganesta</v>
      </c>
      <c r="C6843" t="s">
        <v>177</v>
      </c>
      <c r="D6843">
        <v>713</v>
      </c>
      <c r="E6843">
        <v>0</v>
      </c>
      <c r="F6843">
        <v>886</v>
      </c>
    </row>
    <row r="6844" spans="1:6" ht="12.75">
      <c r="A6844" s="2">
        <v>43882.362395833334</v>
      </c>
      <c r="B6844" t="str">
        <f>HYPERLINK("https://twitter.com/dean_suga","@dean_suga")</f>
        <v>@dean_suga</v>
      </c>
      <c r="C6844" t="s">
        <v>4020</v>
      </c>
      <c r="D6844">
        <v>14</v>
      </c>
      <c r="E6844">
        <v>0</v>
      </c>
      <c r="F6844">
        <v>319</v>
      </c>
    </row>
    <row r="6845" spans="1:6" ht="12.75">
      <c r="A6845" s="2">
        <v>43882.361886574072</v>
      </c>
      <c r="B6845" t="str">
        <f>HYPERLINK("https://twitter.com/darmalikSe","@darmalikSe")</f>
        <v>@darmalikSe</v>
      </c>
      <c r="C6845" t="s">
        <v>2753</v>
      </c>
      <c r="D6845">
        <v>2</v>
      </c>
      <c r="E6845">
        <v>0</v>
      </c>
      <c r="F6845">
        <v>1071</v>
      </c>
    </row>
    <row r="6846" spans="1:6" ht="12.75">
      <c r="A6846" s="2">
        <v>43882.361493055556</v>
      </c>
      <c r="B6846" t="str">
        <f>HYPERLINK("https://twitter.com/Adindasinta5","@Adindasinta5")</f>
        <v>@Adindasinta5</v>
      </c>
      <c r="C6846" t="s">
        <v>177</v>
      </c>
      <c r="D6846">
        <v>713</v>
      </c>
      <c r="E6846">
        <v>0</v>
      </c>
      <c r="F6846">
        <v>564</v>
      </c>
    </row>
    <row r="6847" spans="1:6" ht="12.75">
      <c r="A6847" s="2">
        <v>43882.36146990741</v>
      </c>
      <c r="B6847" t="str">
        <f>HYPERLINK("https://twitter.com/JhonHtjl","@JhonHtjl")</f>
        <v>@JhonHtjl</v>
      </c>
      <c r="C6847" t="s">
        <v>4874</v>
      </c>
      <c r="D6847">
        <v>3</v>
      </c>
      <c r="E6847">
        <v>0</v>
      </c>
      <c r="F6847">
        <v>4252</v>
      </c>
    </row>
    <row r="6848" spans="1:6" ht="12.75">
      <c r="A6848" s="2">
        <v>43882.361157407402</v>
      </c>
      <c r="B6848" t="str">
        <f>HYPERLINK("https://twitter.com/RadioKesehatan","@RadioKesehatan")</f>
        <v>@RadioKesehatan</v>
      </c>
      <c r="C6848" t="s">
        <v>4879</v>
      </c>
      <c r="D6848">
        <v>0</v>
      </c>
      <c r="E6848">
        <v>0</v>
      </c>
      <c r="F6848">
        <v>1527</v>
      </c>
    </row>
    <row r="6849" spans="1:6" ht="12.75">
      <c r="A6849" s="2">
        <v>43882.360902777778</v>
      </c>
      <c r="B6849" t="str">
        <f>HYPERLINK("https://twitter.com/FiraNSF","@FiraNSF")</f>
        <v>@FiraNSF</v>
      </c>
      <c r="C6849" t="s">
        <v>4880</v>
      </c>
      <c r="D6849">
        <v>60</v>
      </c>
      <c r="E6849">
        <v>0</v>
      </c>
      <c r="F6849">
        <v>1307</v>
      </c>
    </row>
    <row r="6850" spans="1:6" ht="12.75">
      <c r="A6850" s="2">
        <v>43882.360879629632</v>
      </c>
      <c r="B6850" t="str">
        <f>HYPERLINK("https://twitter.com/hoLLpath","@hoLLpath")</f>
        <v>@hoLLpath</v>
      </c>
      <c r="C6850" t="s">
        <v>4881</v>
      </c>
      <c r="D6850">
        <v>0</v>
      </c>
      <c r="E6850">
        <v>0</v>
      </c>
      <c r="F6850">
        <v>815</v>
      </c>
    </row>
    <row r="6851" spans="1:6" ht="12.75">
      <c r="A6851" s="2">
        <v>43882.360162037032</v>
      </c>
      <c r="B6851" t="str">
        <f>HYPERLINK("https://twitter.com/sipitung009","@sipitung009")</f>
        <v>@sipitung009</v>
      </c>
      <c r="C6851" t="s">
        <v>4020</v>
      </c>
      <c r="D6851">
        <v>14</v>
      </c>
      <c r="E6851">
        <v>0</v>
      </c>
      <c r="F6851">
        <v>40</v>
      </c>
    </row>
    <row r="6852" spans="1:6" ht="12.75">
      <c r="A6852" s="2">
        <v>43882.359664351854</v>
      </c>
      <c r="B6852" t="str">
        <f>HYPERLINK("https://twitter.com/Adnanda27698160","@Adnanda27698160")</f>
        <v>@Adnanda27698160</v>
      </c>
      <c r="C6852" t="s">
        <v>4020</v>
      </c>
      <c r="D6852">
        <v>14</v>
      </c>
      <c r="E6852">
        <v>0</v>
      </c>
      <c r="F6852">
        <v>133</v>
      </c>
    </row>
    <row r="6853" spans="1:6" ht="12.75">
      <c r="A6853" s="2">
        <v>43882.359270833331</v>
      </c>
      <c r="B6853" t="str">
        <f>HYPERLINK("https://twitter.com/nonelo_","@nonelo_")</f>
        <v>@nonelo_</v>
      </c>
      <c r="C6853" t="s">
        <v>177</v>
      </c>
      <c r="D6853">
        <v>713</v>
      </c>
      <c r="E6853">
        <v>0</v>
      </c>
      <c r="F6853">
        <v>363</v>
      </c>
    </row>
    <row r="6854" spans="1:6" ht="12.75">
      <c r="A6854" s="2">
        <v>43882.359189814815</v>
      </c>
      <c r="B6854" t="str">
        <f>HYPERLINK("https://twitter.com/Ivone_RSZ","@Ivone_RSZ")</f>
        <v>@Ivone_RSZ</v>
      </c>
      <c r="C6854" t="s">
        <v>4882</v>
      </c>
      <c r="D6854">
        <v>3</v>
      </c>
      <c r="E6854">
        <v>0</v>
      </c>
      <c r="F6854">
        <v>16895</v>
      </c>
    </row>
    <row r="6855" spans="1:6" ht="12.75">
      <c r="A6855" s="2">
        <v>43882.359074074076</v>
      </c>
      <c r="B6855" t="str">
        <f>HYPERLINK("https://twitter.com/iBayem","@iBayem")</f>
        <v>@iBayem</v>
      </c>
      <c r="C6855" t="s">
        <v>4883</v>
      </c>
      <c r="D6855">
        <v>0</v>
      </c>
      <c r="E6855">
        <v>1</v>
      </c>
      <c r="F6855">
        <v>533</v>
      </c>
    </row>
    <row r="6856" spans="1:6" ht="12.75">
      <c r="A6856" s="2">
        <v>43882.359050925923</v>
      </c>
      <c r="B6856" t="str">
        <f>HYPERLINK("https://twitter.com/Je_Ly","@Je_Ly")</f>
        <v>@Je_Ly</v>
      </c>
      <c r="C6856" t="s">
        <v>4884</v>
      </c>
      <c r="D6856">
        <v>3</v>
      </c>
      <c r="E6856">
        <v>12</v>
      </c>
      <c r="F6856">
        <v>16834</v>
      </c>
    </row>
    <row r="6857" spans="1:6" ht="12.75">
      <c r="A6857" s="2">
        <v>43882.358807870369</v>
      </c>
      <c r="B6857" t="str">
        <f>HYPERLINK("https://twitter.com/nusa1233","@nusa1233")</f>
        <v>@nusa1233</v>
      </c>
      <c r="C6857" t="s">
        <v>4829</v>
      </c>
      <c r="D6857">
        <v>18</v>
      </c>
      <c r="E6857">
        <v>0</v>
      </c>
      <c r="F6857">
        <v>272</v>
      </c>
    </row>
    <row r="6858" spans="1:6" ht="12.75">
      <c r="A6858" s="2">
        <v>43882.358611111107</v>
      </c>
      <c r="B6858" t="str">
        <f>HYPERLINK("https://twitter.com/islan_muhammad","@islan_muhammad")</f>
        <v>@islan_muhammad</v>
      </c>
      <c r="C6858" t="s">
        <v>4020</v>
      </c>
      <c r="D6858">
        <v>14</v>
      </c>
      <c r="E6858">
        <v>0</v>
      </c>
      <c r="F6858">
        <v>35</v>
      </c>
    </row>
    <row r="6859" spans="1:6" ht="12.75">
      <c r="A6859" s="2">
        <v>43882.358587962968</v>
      </c>
      <c r="B6859" t="str">
        <f>HYPERLINK("https://twitter.com/AkuSihYes13","@AkuSihYes13")</f>
        <v>@AkuSihYes13</v>
      </c>
      <c r="C6859" t="s">
        <v>177</v>
      </c>
      <c r="D6859">
        <v>713</v>
      </c>
      <c r="E6859">
        <v>0</v>
      </c>
      <c r="F6859">
        <v>583</v>
      </c>
    </row>
    <row r="6860" spans="1:6" ht="12.75">
      <c r="A6860" s="2">
        <v>43882.357581018514</v>
      </c>
      <c r="B6860" t="str">
        <f>HYPERLINK("https://twitter.com/tijabar","@tijabar")</f>
        <v>@tijabar</v>
      </c>
      <c r="C6860" t="s">
        <v>4020</v>
      </c>
      <c r="D6860">
        <v>14</v>
      </c>
      <c r="E6860">
        <v>0</v>
      </c>
      <c r="F6860">
        <v>58252</v>
      </c>
    </row>
    <row r="6861" spans="1:6" ht="12.75">
      <c r="A6861" s="2">
        <v>43882.357569444444</v>
      </c>
      <c r="B6861" t="str">
        <f>HYPERLINK("https://twitter.com/RaaitW","@RaaitW")</f>
        <v>@RaaitW</v>
      </c>
      <c r="C6861" t="s">
        <v>177</v>
      </c>
      <c r="D6861">
        <v>713</v>
      </c>
      <c r="E6861">
        <v>0</v>
      </c>
      <c r="F6861">
        <v>19</v>
      </c>
    </row>
    <row r="6862" spans="1:6" ht="12.75">
      <c r="A6862" s="2">
        <v>43882.357534722221</v>
      </c>
      <c r="B6862" t="str">
        <f>HYPERLINK("https://twitter.com/suswaeni","@suswaeni")</f>
        <v>@suswaeni</v>
      </c>
      <c r="C6862" t="s">
        <v>4020</v>
      </c>
      <c r="D6862">
        <v>14</v>
      </c>
      <c r="E6862">
        <v>0</v>
      </c>
      <c r="F6862">
        <v>97</v>
      </c>
    </row>
    <row r="6863" spans="1:6" ht="12.75">
      <c r="A6863" s="2">
        <v>43882.357488425929</v>
      </c>
      <c r="B6863" t="str">
        <f>HYPERLINK("https://twitter.com/UlfaAmara","@UlfaAmara")</f>
        <v>@UlfaAmara</v>
      </c>
      <c r="C6863" t="s">
        <v>177</v>
      </c>
      <c r="D6863">
        <v>713</v>
      </c>
      <c r="E6863">
        <v>0</v>
      </c>
      <c r="F6863">
        <v>444</v>
      </c>
    </row>
    <row r="6864" spans="1:6" ht="12.75">
      <c r="A6864" s="2">
        <v>43882.357291666667</v>
      </c>
      <c r="B6864" t="str">
        <f>HYPERLINK("https://twitter.com/auliyakhumar","@auliyakhumar")</f>
        <v>@auliyakhumar</v>
      </c>
      <c r="C6864" t="s">
        <v>2088</v>
      </c>
      <c r="D6864">
        <v>16104</v>
      </c>
      <c r="E6864">
        <v>0</v>
      </c>
      <c r="F6864">
        <v>847</v>
      </c>
    </row>
    <row r="6865" spans="1:6" ht="12.75">
      <c r="A6865" s="2">
        <v>43882.357245370367</v>
      </c>
      <c r="B6865" t="str">
        <f>HYPERLINK("https://twitter.com/msaid_didu","@msaid_didu")</f>
        <v>@msaid_didu</v>
      </c>
      <c r="C6865" t="s">
        <v>4885</v>
      </c>
      <c r="D6865">
        <v>14</v>
      </c>
      <c r="E6865">
        <v>37</v>
      </c>
      <c r="F6865">
        <v>231189</v>
      </c>
    </row>
    <row r="6866" spans="1:6" ht="12.75">
      <c r="A6866" s="2">
        <v>43882.356770833328</v>
      </c>
      <c r="B6866" t="str">
        <f>HYPERLINK("https://twitter.com/redaksiLokadata","@redaksiLokadata")</f>
        <v>@redaksiLokadata</v>
      </c>
      <c r="C6866" t="s">
        <v>4886</v>
      </c>
      <c r="D6866">
        <v>0</v>
      </c>
      <c r="E6866">
        <v>0</v>
      </c>
      <c r="F6866">
        <v>9083</v>
      </c>
    </row>
    <row r="6867" spans="1:6" ht="12.75">
      <c r="A6867" s="2">
        <v>43882.354872685188</v>
      </c>
      <c r="B6867" t="str">
        <f>HYPERLINK("https://twitter.com/AnfieldAryyo","@AnfieldAryyo")</f>
        <v>@AnfieldAryyo</v>
      </c>
      <c r="C6867" t="s">
        <v>4887</v>
      </c>
      <c r="D6867">
        <v>0</v>
      </c>
      <c r="E6867">
        <v>0</v>
      </c>
      <c r="F6867">
        <v>2492</v>
      </c>
    </row>
    <row r="6868" spans="1:6" ht="12.75">
      <c r="A6868" s="2">
        <v>43882.354618055557</v>
      </c>
      <c r="B6868" t="str">
        <f>HYPERLINK("https://twitter.com/AnggelinaAnle","@AnggelinaAnle")</f>
        <v>@AnggelinaAnle</v>
      </c>
      <c r="C6868" t="s">
        <v>177</v>
      </c>
      <c r="D6868">
        <v>713</v>
      </c>
      <c r="E6868">
        <v>0</v>
      </c>
      <c r="F6868">
        <v>423</v>
      </c>
    </row>
    <row r="6869" spans="1:6" ht="12.75">
      <c r="A6869" s="2">
        <v>43882.354224537034</v>
      </c>
      <c r="B6869" t="str">
        <f>HYPERLINK("https://twitter.com/tempodotco","@tempodotco")</f>
        <v>@tempodotco</v>
      </c>
      <c r="C6869" t="s">
        <v>4888</v>
      </c>
      <c r="D6869">
        <v>0</v>
      </c>
      <c r="E6869">
        <v>3</v>
      </c>
      <c r="F6869">
        <v>1707833</v>
      </c>
    </row>
    <row r="6870" spans="1:6" ht="12.75">
      <c r="A6870" s="2">
        <v>43882.354189814811</v>
      </c>
      <c r="B6870" t="str">
        <f>HYPERLINK("https://twitter.com/CtrlSec","@CtrlSec")</f>
        <v>@CtrlSec</v>
      </c>
      <c r="C6870" t="s">
        <v>4377</v>
      </c>
      <c r="D6870">
        <v>0</v>
      </c>
      <c r="E6870">
        <v>0</v>
      </c>
      <c r="F6870">
        <v>25577</v>
      </c>
    </row>
    <row r="6871" spans="1:6" ht="12.75">
      <c r="A6871" s="2">
        <v>43882.354120370372</v>
      </c>
      <c r="B6871" t="str">
        <f>HYPERLINK("https://twitter.com/AdiknyaDybala","@AdiknyaDybala")</f>
        <v>@AdiknyaDybala</v>
      </c>
      <c r="C6871" t="s">
        <v>177</v>
      </c>
      <c r="D6871">
        <v>713</v>
      </c>
      <c r="E6871">
        <v>0</v>
      </c>
      <c r="F6871">
        <v>5</v>
      </c>
    </row>
    <row r="6872" spans="1:6" ht="12.75">
      <c r="A6872" s="2">
        <v>43882.353969907403</v>
      </c>
      <c r="B6872" t="str">
        <f>HYPERLINK("https://twitter.com/nik3_902000yaho","@nik3_902000yaho")</f>
        <v>@nik3_902000yaho</v>
      </c>
      <c r="C6872" t="s">
        <v>4329</v>
      </c>
      <c r="D6872">
        <v>39</v>
      </c>
      <c r="E6872">
        <v>0</v>
      </c>
      <c r="F6872">
        <v>30</v>
      </c>
    </row>
    <row r="6873" spans="1:6" ht="12.75">
      <c r="A6873" s="2">
        <v>43882.353865740741</v>
      </c>
      <c r="B6873" t="str">
        <f>HYPERLINK("https://twitter.com/dedy_inthehouse","@dedy_inthehouse")</f>
        <v>@dedy_inthehouse</v>
      </c>
      <c r="C6873" t="s">
        <v>4889</v>
      </c>
      <c r="D6873">
        <v>0</v>
      </c>
      <c r="E6873">
        <v>1</v>
      </c>
      <c r="F6873">
        <v>40</v>
      </c>
    </row>
    <row r="6874" spans="1:6" ht="12.75">
      <c r="A6874" s="2">
        <v>43882.353460648148</v>
      </c>
      <c r="B6874" t="str">
        <f>HYPERLINK("https://twitter.com/Isis_Dirr","@Isis_Dirr")</f>
        <v>@Isis_Dirr</v>
      </c>
      <c r="C6874" t="s">
        <v>4890</v>
      </c>
      <c r="D6874">
        <v>1</v>
      </c>
      <c r="E6874">
        <v>0</v>
      </c>
      <c r="F6874">
        <v>355</v>
      </c>
    </row>
    <row r="6875" spans="1:6" ht="12.75">
      <c r="A6875" s="2">
        <v>43882.352256944447</v>
      </c>
      <c r="B6875" t="str">
        <f>HYPERLINK("https://twitter.com/selvijn_ellias","@selvijn_ellias")</f>
        <v>@selvijn_ellias</v>
      </c>
      <c r="C6875" t="s">
        <v>4891</v>
      </c>
      <c r="D6875">
        <v>0</v>
      </c>
      <c r="E6875">
        <v>0</v>
      </c>
      <c r="F6875">
        <v>309</v>
      </c>
    </row>
    <row r="6876" spans="1:6" ht="12.75">
      <c r="A6876" s="2">
        <v>43882.351261574076</v>
      </c>
      <c r="B6876" t="str">
        <f>HYPERLINK("https://twitter.com/22Similikiti","@22Similikiti")</f>
        <v>@22Similikiti</v>
      </c>
      <c r="C6876" t="s">
        <v>4892</v>
      </c>
      <c r="D6876">
        <v>0</v>
      </c>
      <c r="E6876">
        <v>0</v>
      </c>
      <c r="F6876">
        <v>2220</v>
      </c>
    </row>
    <row r="6877" spans="1:6" ht="12.75">
      <c r="A6877" s="2">
        <v>43882.351238425923</v>
      </c>
      <c r="B6877" t="str">
        <f>HYPERLINK("https://twitter.com/1blackcoffee888","@1blackcoffee888")</f>
        <v>@1blackcoffee888</v>
      </c>
      <c r="C6877" t="s">
        <v>4683</v>
      </c>
      <c r="D6877">
        <v>4</v>
      </c>
      <c r="E6877">
        <v>0</v>
      </c>
      <c r="F6877">
        <v>6200</v>
      </c>
    </row>
    <row r="6878" spans="1:6" ht="12.75">
      <c r="A6878" s="2">
        <v>43882.350798611107</v>
      </c>
      <c r="B6878" t="str">
        <f>HYPERLINK("https://twitter.com/SumutposO","@SumutposO")</f>
        <v>@SumutposO</v>
      </c>
      <c r="C6878" t="s">
        <v>4893</v>
      </c>
      <c r="D6878">
        <v>0</v>
      </c>
      <c r="E6878">
        <v>0</v>
      </c>
      <c r="F6878">
        <v>53</v>
      </c>
    </row>
    <row r="6879" spans="1:6" ht="12.75">
      <c r="A6879" s="2">
        <v>43882.350277777776</v>
      </c>
      <c r="B6879" t="str">
        <f>HYPERLINK("https://twitter.com/ToufikImtikhan2","@ToufikImtikhan2")</f>
        <v>@ToufikImtikhan2</v>
      </c>
      <c r="C6879" t="s">
        <v>4894</v>
      </c>
      <c r="D6879">
        <v>0</v>
      </c>
      <c r="E6879">
        <v>0</v>
      </c>
      <c r="F6879">
        <v>172</v>
      </c>
    </row>
    <row r="6880" spans="1:6" ht="12.75">
      <c r="A6880" s="2">
        <v>43882.349270833336</v>
      </c>
      <c r="B6880" t="str">
        <f>HYPERLINK("https://twitter.com/MiraHanafi90","@MiraHanafi90")</f>
        <v>@MiraHanafi90</v>
      </c>
      <c r="C6880" t="s">
        <v>4895</v>
      </c>
      <c r="D6880">
        <v>0</v>
      </c>
      <c r="E6880">
        <v>1</v>
      </c>
      <c r="F6880">
        <v>429</v>
      </c>
    </row>
    <row r="6881" spans="1:6" ht="12.75">
      <c r="A6881" s="2">
        <v>43882.349027777775</v>
      </c>
      <c r="B6881" t="str">
        <f>HYPERLINK("https://twitter.com/Nantaariii","@Nantaariii")</f>
        <v>@Nantaariii</v>
      </c>
      <c r="C6881" t="s">
        <v>177</v>
      </c>
      <c r="D6881">
        <v>713</v>
      </c>
      <c r="E6881">
        <v>0</v>
      </c>
      <c r="F6881">
        <v>7750</v>
      </c>
    </row>
    <row r="6882" spans="1:6" ht="12.75">
      <c r="A6882" s="2">
        <v>43882.348634259259</v>
      </c>
      <c r="B6882" t="str">
        <f>HYPERLINK("https://twitter.com/Cahyoutomoistn","@Cahyoutomoistn")</f>
        <v>@Cahyoutomoistn</v>
      </c>
      <c r="C6882" t="s">
        <v>177</v>
      </c>
      <c r="D6882">
        <v>713</v>
      </c>
      <c r="E6882">
        <v>0</v>
      </c>
      <c r="F6882">
        <v>806</v>
      </c>
    </row>
    <row r="6883" spans="1:6" ht="12.75">
      <c r="A6883" s="2">
        <v>43882.348599537036</v>
      </c>
      <c r="B6883" t="str">
        <f>HYPERLINK("https://twitter.com/nicohenryp","@nicohenryp")</f>
        <v>@nicohenryp</v>
      </c>
      <c r="C6883" t="s">
        <v>4896</v>
      </c>
      <c r="D6883">
        <v>0</v>
      </c>
      <c r="E6883">
        <v>0</v>
      </c>
      <c r="F6883">
        <v>650</v>
      </c>
    </row>
    <row r="6884" spans="1:6" ht="12.75">
      <c r="A6884" s="2">
        <v>43882.347534722227</v>
      </c>
      <c r="B6884" t="str">
        <f>HYPERLINK("https://twitter.com/esterwow","@esterwow")</f>
        <v>@esterwow</v>
      </c>
      <c r="C6884" t="s">
        <v>177</v>
      </c>
      <c r="D6884">
        <v>713</v>
      </c>
      <c r="E6884">
        <v>0</v>
      </c>
      <c r="F6884">
        <v>779</v>
      </c>
    </row>
    <row r="6885" spans="1:6" ht="12.75">
      <c r="A6885" s="2">
        <v>43882.346435185187</v>
      </c>
      <c r="B6885" t="str">
        <f>HYPERLINK("https://twitter.com/sarah_tyas1","@sarah_tyas1")</f>
        <v>@sarah_tyas1</v>
      </c>
      <c r="C6885" t="s">
        <v>177</v>
      </c>
      <c r="D6885">
        <v>713</v>
      </c>
      <c r="E6885">
        <v>0</v>
      </c>
      <c r="F6885">
        <v>424</v>
      </c>
    </row>
    <row r="6886" spans="1:6" ht="12.75">
      <c r="A6886" s="2">
        <v>43882.346076388887</v>
      </c>
      <c r="B6886" t="str">
        <f>HYPERLINK("https://twitter.com/sighpheraway","@sighpheraway")</f>
        <v>@sighpheraway</v>
      </c>
      <c r="C6886" t="s">
        <v>1407</v>
      </c>
      <c r="D6886">
        <v>9723</v>
      </c>
      <c r="E6886">
        <v>0</v>
      </c>
      <c r="F6886">
        <v>180</v>
      </c>
    </row>
    <row r="6887" spans="1:6" ht="12.75">
      <c r="A6887" s="2">
        <v>43882.345821759256</v>
      </c>
      <c r="B6887" t="str">
        <f>HYPERLINK("https://twitter.com/yayah38050524","@yayah38050524")</f>
        <v>@yayah38050524</v>
      </c>
      <c r="C6887" t="s">
        <v>4897</v>
      </c>
      <c r="D6887">
        <v>0</v>
      </c>
      <c r="E6887">
        <v>0</v>
      </c>
      <c r="F6887">
        <v>9</v>
      </c>
    </row>
    <row r="6888" spans="1:6" ht="12.75">
      <c r="A6888" s="2">
        <v>43882.345405092594</v>
      </c>
      <c r="B6888" t="str">
        <f>HYPERLINK("https://twitter.com/selvijn_ellias","@selvijn_ellias")</f>
        <v>@selvijn_ellias</v>
      </c>
      <c r="C6888" t="s">
        <v>4898</v>
      </c>
      <c r="D6888">
        <v>0</v>
      </c>
      <c r="E6888">
        <v>0</v>
      </c>
      <c r="F6888">
        <v>309</v>
      </c>
    </row>
    <row r="6889" spans="1:6" ht="12.75">
      <c r="A6889" s="2">
        <v>43882.345138888893</v>
      </c>
      <c r="B6889" t="str">
        <f>HYPERLINK("https://twitter.com/kompascom","@kompascom")</f>
        <v>@kompascom</v>
      </c>
      <c r="C6889" t="s">
        <v>4899</v>
      </c>
      <c r="D6889">
        <v>0</v>
      </c>
      <c r="E6889">
        <v>9</v>
      </c>
      <c r="F6889">
        <v>7505911</v>
      </c>
    </row>
    <row r="6890" spans="1:6" ht="12.75">
      <c r="A6890" s="2">
        <v>43882.344629629632</v>
      </c>
      <c r="B6890" t="str">
        <f>HYPERLINK("https://twitter.com/Tian27236365","@Tian27236365")</f>
        <v>@Tian27236365</v>
      </c>
      <c r="C6890" t="s">
        <v>177</v>
      </c>
      <c r="D6890">
        <v>713</v>
      </c>
      <c r="E6890">
        <v>0</v>
      </c>
      <c r="F6890">
        <v>136</v>
      </c>
    </row>
    <row r="6891" spans="1:6" ht="12.75">
      <c r="A6891" s="2">
        <v>43882.344155092593</v>
      </c>
      <c r="B6891" t="str">
        <f>HYPERLINK("https://twitter.com/FauzanWahyuanto","@FauzanWahyuanto")</f>
        <v>@FauzanWahyuanto</v>
      </c>
      <c r="C6891" t="s">
        <v>177</v>
      </c>
      <c r="D6891">
        <v>713</v>
      </c>
      <c r="E6891">
        <v>0</v>
      </c>
      <c r="F6891">
        <v>285</v>
      </c>
    </row>
    <row r="6892" spans="1:6" ht="12.75">
      <c r="A6892" s="2">
        <v>43882.344131944439</v>
      </c>
      <c r="B6892" t="str">
        <f>HYPERLINK("https://twitter.com/xwildbboy","@xwildbboy")</f>
        <v>@xwildbboy</v>
      </c>
      <c r="C6892" t="s">
        <v>177</v>
      </c>
      <c r="D6892">
        <v>713</v>
      </c>
      <c r="E6892">
        <v>0</v>
      </c>
      <c r="F6892">
        <v>562</v>
      </c>
    </row>
    <row r="6893" spans="1:6" ht="12.75">
      <c r="A6893" s="2">
        <v>43882.344039351854</v>
      </c>
      <c r="B6893" t="str">
        <f>HYPERLINK("https://twitter.com/NisaKaiba","@NisaKaiba")</f>
        <v>@NisaKaiba</v>
      </c>
      <c r="C6893" t="s">
        <v>177</v>
      </c>
      <c r="D6893">
        <v>713</v>
      </c>
      <c r="E6893">
        <v>0</v>
      </c>
      <c r="F6893">
        <v>13</v>
      </c>
    </row>
    <row r="6894" spans="1:6" ht="12.75">
      <c r="A6894" s="2">
        <v>43882.343518518523</v>
      </c>
      <c r="B6894" t="str">
        <f>HYPERLINK("https://twitter.com/gnjayan","@gnjayan")</f>
        <v>@gnjayan</v>
      </c>
      <c r="C6894" t="s">
        <v>177</v>
      </c>
      <c r="D6894">
        <v>713</v>
      </c>
      <c r="E6894">
        <v>0</v>
      </c>
      <c r="F6894">
        <v>415</v>
      </c>
    </row>
    <row r="6895" spans="1:6" ht="12.75">
      <c r="A6895" s="2">
        <v>43882.342939814815</v>
      </c>
      <c r="B6895" t="str">
        <f>HYPERLINK("https://twitter.com/salsabila0307","@salsabila0307")</f>
        <v>@salsabila0307</v>
      </c>
      <c r="C6895" t="s">
        <v>4900</v>
      </c>
      <c r="D6895">
        <v>0</v>
      </c>
      <c r="E6895">
        <v>0</v>
      </c>
      <c r="F6895">
        <v>4354</v>
      </c>
    </row>
    <row r="6896" spans="1:6" ht="12.75">
      <c r="A6896" s="2">
        <v>43882.342731481476</v>
      </c>
      <c r="B6896" t="str">
        <f>HYPERLINK("https://twitter.com/Kabar24","@Kabar24")</f>
        <v>@Kabar24</v>
      </c>
      <c r="C6896" t="s">
        <v>4901</v>
      </c>
      <c r="D6896">
        <v>0</v>
      </c>
      <c r="E6896">
        <v>0</v>
      </c>
      <c r="F6896">
        <v>20089</v>
      </c>
    </row>
    <row r="6897" spans="1:6" ht="12.75">
      <c r="A6897" s="2">
        <v>43882.341446759259</v>
      </c>
      <c r="B6897" t="str">
        <f>HYPERLINK("https://twitter.com/erwitami","@erwitami")</f>
        <v>@erwitami</v>
      </c>
      <c r="C6897" t="s">
        <v>4902</v>
      </c>
      <c r="D6897">
        <v>1</v>
      </c>
      <c r="E6897">
        <v>0</v>
      </c>
      <c r="F6897">
        <v>1351</v>
      </c>
    </row>
    <row r="6898" spans="1:6" ht="12.75">
      <c r="A6898" s="2">
        <v>43882.341099537036</v>
      </c>
      <c r="B6898" t="str">
        <f>HYPERLINK("https://twitter.com/suryaxcerann","@suryaxcerann")</f>
        <v>@suryaxcerann</v>
      </c>
      <c r="C6898" t="s">
        <v>4903</v>
      </c>
      <c r="D6898">
        <v>0</v>
      </c>
      <c r="E6898">
        <v>0</v>
      </c>
      <c r="F6898">
        <v>120</v>
      </c>
    </row>
    <row r="6899" spans="1:6" ht="12.75">
      <c r="A6899" s="2">
        <v>43882.340995370367</v>
      </c>
      <c r="B6899" t="str">
        <f>HYPERLINK("https://twitter.com/Nindaaa9","@Nindaaa9")</f>
        <v>@Nindaaa9</v>
      </c>
      <c r="C6899" t="s">
        <v>177</v>
      </c>
      <c r="D6899">
        <v>713</v>
      </c>
      <c r="E6899">
        <v>0</v>
      </c>
      <c r="F6899">
        <v>375</v>
      </c>
    </row>
    <row r="6900" spans="1:6" ht="12.75">
      <c r="A6900" s="2">
        <v>43882.340821759259</v>
      </c>
      <c r="B6900" t="str">
        <f>HYPERLINK("https://twitter.com/antarajatimcom","@antarajatimcom")</f>
        <v>@antarajatimcom</v>
      </c>
      <c r="C6900" t="s">
        <v>4904</v>
      </c>
      <c r="D6900">
        <v>0</v>
      </c>
      <c r="E6900">
        <v>0</v>
      </c>
      <c r="F6900">
        <v>834</v>
      </c>
    </row>
    <row r="6901" spans="1:6" ht="12.75">
      <c r="A6901" s="2">
        <v>43882.340763888889</v>
      </c>
      <c r="B6901" t="str">
        <f>HYPERLINK("https://twitter.com/895jizfm","@895jizfm")</f>
        <v>@895jizfm</v>
      </c>
      <c r="C6901" t="s">
        <v>4905</v>
      </c>
      <c r="D6901">
        <v>1</v>
      </c>
      <c r="E6901">
        <v>0</v>
      </c>
      <c r="F6901">
        <v>25348</v>
      </c>
    </row>
    <row r="6902" spans="1:6" ht="12.75">
      <c r="A6902" s="2">
        <v>43882.340474537035</v>
      </c>
      <c r="B6902" t="str">
        <f>HYPERLINK("https://twitter.com/idlc_id","@idlc_id")</f>
        <v>@idlc_id</v>
      </c>
      <c r="C6902" t="s">
        <v>3756</v>
      </c>
      <c r="D6902">
        <v>5</v>
      </c>
      <c r="E6902">
        <v>0</v>
      </c>
      <c r="F6902">
        <v>2036</v>
      </c>
    </row>
    <row r="6903" spans="1:6" ht="12.75">
      <c r="A6903" s="2">
        <v>43882.340405092589</v>
      </c>
      <c r="B6903" t="str">
        <f>HYPERLINK("https://twitter.com/magicalofrara","@magicalofrara")</f>
        <v>@magicalofrara</v>
      </c>
      <c r="C6903" t="s">
        <v>4906</v>
      </c>
      <c r="D6903">
        <v>0</v>
      </c>
      <c r="E6903">
        <v>0</v>
      </c>
      <c r="F6903">
        <v>376</v>
      </c>
    </row>
    <row r="6904" spans="1:6" ht="12.75">
      <c r="A6904" s="2">
        <v>43882.340324074074</v>
      </c>
      <c r="B6904" t="str">
        <f>HYPERLINK("https://twitter.com/idlc_id","@idlc_id")</f>
        <v>@idlc_id</v>
      </c>
      <c r="C6904" t="s">
        <v>4907</v>
      </c>
      <c r="D6904">
        <v>0</v>
      </c>
      <c r="E6904">
        <v>0</v>
      </c>
      <c r="F6904">
        <v>2036</v>
      </c>
    </row>
    <row r="6905" spans="1:6" ht="12.75">
      <c r="A6905" s="2">
        <v>43882.339583333334</v>
      </c>
      <c r="B6905" t="str">
        <f>HYPERLINK("https://twitter.com/hiphopyulianto","@hiphopyulianto")</f>
        <v>@hiphopyulianto</v>
      </c>
      <c r="C6905" t="s">
        <v>177</v>
      </c>
      <c r="D6905">
        <v>713</v>
      </c>
      <c r="E6905">
        <v>0</v>
      </c>
      <c r="F6905">
        <v>305</v>
      </c>
    </row>
    <row r="6906" spans="1:6" ht="12.75">
      <c r="A6906" s="2">
        <v>43882.337164351848</v>
      </c>
      <c r="B6906" t="str">
        <f>HYPERLINK("https://twitter.com/RoroMenduttt","@RoroMenduttt")</f>
        <v>@RoroMenduttt</v>
      </c>
      <c r="C6906" t="s">
        <v>4908</v>
      </c>
      <c r="D6906">
        <v>0</v>
      </c>
      <c r="E6906">
        <v>2</v>
      </c>
      <c r="F6906">
        <v>4359</v>
      </c>
    </row>
    <row r="6907" spans="1:6" ht="12.75">
      <c r="A6907" s="2">
        <v>43882.335405092592</v>
      </c>
      <c r="B6907" t="str">
        <f>HYPERLINK("https://twitter.com/Alenzikp","@Alenzikp")</f>
        <v>@Alenzikp</v>
      </c>
      <c r="C6907" t="s">
        <v>4909</v>
      </c>
      <c r="D6907">
        <v>4</v>
      </c>
      <c r="E6907">
        <v>0</v>
      </c>
      <c r="F6907">
        <v>52</v>
      </c>
    </row>
    <row r="6908" spans="1:6" ht="12.75">
      <c r="A6908" s="2">
        <v>43882.334201388891</v>
      </c>
      <c r="B6908" t="str">
        <f>HYPERLINK("https://twitter.com/muhivanfaisal","@muhivanfaisal")</f>
        <v>@muhivanfaisal</v>
      </c>
      <c r="C6908" t="s">
        <v>177</v>
      </c>
      <c r="D6908">
        <v>694</v>
      </c>
      <c r="E6908">
        <v>0</v>
      </c>
      <c r="F6908">
        <v>1</v>
      </c>
    </row>
    <row r="6909" spans="1:6" ht="12.75">
      <c r="A6909" s="2">
        <v>43882.333877314813</v>
      </c>
      <c r="B6909" t="str">
        <f>HYPERLINK("https://twitter.com/kamsekhwie","@kamsekhwie")</f>
        <v>@kamsekhwie</v>
      </c>
      <c r="C6909" t="s">
        <v>4910</v>
      </c>
      <c r="D6909">
        <v>0</v>
      </c>
      <c r="E6909">
        <v>0</v>
      </c>
      <c r="F6909">
        <v>1282</v>
      </c>
    </row>
    <row r="6910" spans="1:6" ht="12.75">
      <c r="A6910" s="2">
        <v>43882.333611111113</v>
      </c>
      <c r="B6910" t="str">
        <f>HYPERLINK("https://twitter.com/LokadataID","@LokadataID")</f>
        <v>@LokadataID</v>
      </c>
      <c r="C6910" t="s">
        <v>4911</v>
      </c>
      <c r="D6910">
        <v>0</v>
      </c>
      <c r="E6910">
        <v>0</v>
      </c>
      <c r="F6910">
        <v>512777</v>
      </c>
    </row>
    <row r="6911" spans="1:6" ht="12.75">
      <c r="A6911" s="2">
        <v>43882.333437499998</v>
      </c>
      <c r="B6911" t="str">
        <f>HYPERLINK("https://twitter.com/vidzspCFC","@vidzspCFC")</f>
        <v>@vidzspCFC</v>
      </c>
      <c r="C6911" t="s">
        <v>4912</v>
      </c>
      <c r="D6911">
        <v>0</v>
      </c>
      <c r="E6911">
        <v>0</v>
      </c>
      <c r="F6911">
        <v>254</v>
      </c>
    </row>
    <row r="6912" spans="1:6" ht="12.75">
      <c r="A6912" s="2">
        <v>43882.333379629628</v>
      </c>
      <c r="B6912" t="str">
        <f>HYPERLINK("https://twitter.com/SayHeiYu","@SayHeiYu")</f>
        <v>@SayHeiYu</v>
      </c>
      <c r="C6912" t="s">
        <v>4913</v>
      </c>
      <c r="D6912">
        <v>0</v>
      </c>
      <c r="E6912">
        <v>0</v>
      </c>
      <c r="F6912">
        <v>120148</v>
      </c>
    </row>
    <row r="6913" spans="1:6" ht="12.75">
      <c r="A6913" s="2">
        <v>43882.333333333328</v>
      </c>
      <c r="B6913" t="str">
        <f>HYPERLINK("https://twitter.com/Hangudi_L","@Hangudi_L")</f>
        <v>@Hangudi_L</v>
      </c>
      <c r="C6913" t="s">
        <v>4683</v>
      </c>
      <c r="D6913">
        <v>3</v>
      </c>
      <c r="E6913">
        <v>0</v>
      </c>
      <c r="F6913">
        <v>1613</v>
      </c>
    </row>
    <row r="6914" spans="1:6" ht="12.75">
      <c r="A6914" s="2">
        <v>43882.332974537036</v>
      </c>
      <c r="B6914" t="str">
        <f>HYPERLINK("https://twitter.com/republikaonline","@republikaonline")</f>
        <v>@republikaonline</v>
      </c>
      <c r="C6914" t="s">
        <v>4914</v>
      </c>
      <c r="D6914">
        <v>0</v>
      </c>
      <c r="E6914">
        <v>1</v>
      </c>
      <c r="F6914">
        <v>1211660</v>
      </c>
    </row>
    <row r="6915" spans="1:6" ht="12.75">
      <c r="A6915" s="2">
        <v>43882.332592592589</v>
      </c>
      <c r="B6915" t="str">
        <f>HYPERLINK("https://twitter.com/faizalassegaf","@faizalassegaf")</f>
        <v>@faizalassegaf</v>
      </c>
      <c r="C6915" t="s">
        <v>4915</v>
      </c>
      <c r="D6915">
        <v>0</v>
      </c>
      <c r="E6915">
        <v>0</v>
      </c>
      <c r="F6915">
        <v>52644</v>
      </c>
    </row>
    <row r="6916" spans="1:6" ht="12.75">
      <c r="A6916" s="2">
        <v>43882.330879629633</v>
      </c>
      <c r="B6916" t="str">
        <f>HYPERLINK("https://twitter.com/_frnnd14","@_frnnd14")</f>
        <v>@_frnnd14</v>
      </c>
      <c r="C6916" t="s">
        <v>4916</v>
      </c>
      <c r="D6916">
        <v>0</v>
      </c>
      <c r="E6916">
        <v>0</v>
      </c>
      <c r="F6916">
        <v>71</v>
      </c>
    </row>
    <row r="6917" spans="1:6" ht="12.75">
      <c r="A6917" s="2">
        <v>43882.330162037033</v>
      </c>
      <c r="B6917" t="str">
        <f>HYPERLINK("https://twitter.com/visitortwt1","@visitortwt1")</f>
        <v>@visitortwt1</v>
      </c>
      <c r="C6917" t="s">
        <v>4917</v>
      </c>
      <c r="D6917">
        <v>1</v>
      </c>
      <c r="E6917">
        <v>0</v>
      </c>
      <c r="F6917">
        <v>359</v>
      </c>
    </row>
    <row r="6918" spans="1:6" ht="12.75">
      <c r="A6918" s="2">
        <v>43882.330092592594</v>
      </c>
      <c r="B6918" t="str">
        <f>HYPERLINK("https://twitter.com/MasumUnwan","@MasumUnwan")</f>
        <v>@MasumUnwan</v>
      </c>
      <c r="C6918" t="s">
        <v>4918</v>
      </c>
      <c r="D6918">
        <v>0</v>
      </c>
      <c r="E6918">
        <v>1</v>
      </c>
      <c r="F6918">
        <v>2369</v>
      </c>
    </row>
    <row r="6919" spans="1:6" ht="12.75">
      <c r="A6919" s="2">
        <v>43882.32912037037</v>
      </c>
      <c r="B6919" t="str">
        <f>HYPERLINK("https://twitter.com/endro","@endro")</f>
        <v>@endro</v>
      </c>
      <c r="C6919" t="s">
        <v>4615</v>
      </c>
      <c r="D6919">
        <v>2</v>
      </c>
      <c r="E6919">
        <v>0</v>
      </c>
      <c r="F6919">
        <v>944</v>
      </c>
    </row>
    <row r="6920" spans="1:6" ht="12.75">
      <c r="A6920" s="2">
        <v>43882.328333333338</v>
      </c>
      <c r="B6920" t="str">
        <f>HYPERLINK("https://twitter.com/salsabila0307","@salsabila0307")</f>
        <v>@salsabila0307</v>
      </c>
      <c r="C6920" t="s">
        <v>4919</v>
      </c>
      <c r="D6920">
        <v>1</v>
      </c>
      <c r="E6920">
        <v>2</v>
      </c>
      <c r="F6920">
        <v>4353</v>
      </c>
    </row>
    <row r="6921" spans="1:6" ht="12.75">
      <c r="A6921" s="2">
        <v>43882.328078703707</v>
      </c>
      <c r="B6921" t="str">
        <f>HYPERLINK("https://twitter.com/SoebektiSoehar5","@SoebektiSoehar5")</f>
        <v>@SoebektiSoehar5</v>
      </c>
      <c r="C6921" t="s">
        <v>4920</v>
      </c>
      <c r="D6921">
        <v>0</v>
      </c>
      <c r="E6921">
        <v>1</v>
      </c>
      <c r="F6921">
        <v>8</v>
      </c>
    </row>
    <row r="6922" spans="1:6" ht="12.75">
      <c r="A6922" s="2">
        <v>43882.327731481477</v>
      </c>
      <c r="B6922" t="str">
        <f>HYPERLINK("https://twitter.com/MasiAdaMuniir","@MasiAdaMuniir")</f>
        <v>@MasiAdaMuniir</v>
      </c>
      <c r="C6922" t="s">
        <v>4921</v>
      </c>
      <c r="D6922">
        <v>0</v>
      </c>
      <c r="E6922">
        <v>0</v>
      </c>
      <c r="F6922">
        <v>99</v>
      </c>
    </row>
    <row r="6923" spans="1:6" ht="12.75">
      <c r="A6923" s="2">
        <v>43882.327314814815</v>
      </c>
      <c r="B6923" t="str">
        <f>HYPERLINK("https://twitter.com/_tamsch","@_tamsch")</f>
        <v>@_tamsch</v>
      </c>
      <c r="C6923" t="s">
        <v>2692</v>
      </c>
      <c r="D6923">
        <v>2020</v>
      </c>
      <c r="E6923">
        <v>0</v>
      </c>
      <c r="F6923">
        <v>341</v>
      </c>
    </row>
    <row r="6924" spans="1:6" ht="12.75">
      <c r="A6924" s="2">
        <v>43882.325960648144</v>
      </c>
      <c r="B6924" t="str">
        <f>HYPERLINK("https://twitter.com/X_SamURay63","@X_SamURay63")</f>
        <v>@X_SamURay63</v>
      </c>
      <c r="C6924" t="s">
        <v>4922</v>
      </c>
      <c r="D6924">
        <v>0</v>
      </c>
      <c r="E6924">
        <v>0</v>
      </c>
      <c r="F6924">
        <v>3927</v>
      </c>
    </row>
    <row r="6925" spans="1:6" ht="12.75">
      <c r="A6925" s="2">
        <v>43882.324837962966</v>
      </c>
      <c r="B6925" t="str">
        <f>HYPERLINK("https://twitter.com/beatrice_health","@beatrice_health")</f>
        <v>@beatrice_health</v>
      </c>
      <c r="C6925" t="s">
        <v>2930</v>
      </c>
      <c r="D6925">
        <v>148</v>
      </c>
      <c r="E6925">
        <v>0</v>
      </c>
      <c r="F6925">
        <v>250</v>
      </c>
    </row>
    <row r="6926" spans="1:6" ht="12.75">
      <c r="A6926" s="2">
        <v>43882.32476851852</v>
      </c>
      <c r="B6926" t="str">
        <f>HYPERLINK("https://twitter.com/praja_pyan","@praja_pyan")</f>
        <v>@praja_pyan</v>
      </c>
      <c r="C6926" t="s">
        <v>2930</v>
      </c>
      <c r="D6926">
        <v>148</v>
      </c>
      <c r="E6926">
        <v>0</v>
      </c>
      <c r="F6926">
        <v>66</v>
      </c>
    </row>
    <row r="6927" spans="1:6" ht="12.75">
      <c r="A6927" s="2">
        <v>43882.324745370366</v>
      </c>
      <c r="B6927" t="str">
        <f>HYPERLINK("https://twitter.com/HAMBAAL31689329","@HAMBAAL31689329")</f>
        <v>@HAMBAAL31689329</v>
      </c>
      <c r="C6927" t="s">
        <v>4841</v>
      </c>
      <c r="D6927">
        <v>1</v>
      </c>
      <c r="E6927">
        <v>0</v>
      </c>
      <c r="F6927">
        <v>272</v>
      </c>
    </row>
    <row r="6928" spans="1:6" ht="12.75">
      <c r="A6928" s="2">
        <v>43882.323958333334</v>
      </c>
      <c r="B6928" t="str">
        <f>HYPERLINK("https://twitter.com/N451B_1987","@N451B_1987")</f>
        <v>@N451B_1987</v>
      </c>
      <c r="C6928" t="s">
        <v>4360</v>
      </c>
      <c r="D6928">
        <v>188</v>
      </c>
      <c r="E6928">
        <v>0</v>
      </c>
      <c r="F6928">
        <v>2</v>
      </c>
    </row>
    <row r="6929" spans="1:6" ht="12.75">
      <c r="A6929" s="2">
        <v>43882.323194444441</v>
      </c>
      <c r="B6929" t="str">
        <f>HYPERLINK("https://twitter.com/2_onta","@2_onta")</f>
        <v>@2_onta</v>
      </c>
      <c r="C6929" t="s">
        <v>4923</v>
      </c>
      <c r="D6929">
        <v>0</v>
      </c>
      <c r="E6929">
        <v>0</v>
      </c>
      <c r="F6929">
        <v>35</v>
      </c>
    </row>
    <row r="6930" spans="1:6" ht="12.75">
      <c r="A6930" s="2">
        <v>43882.322418981479</v>
      </c>
      <c r="B6930" t="str">
        <f>HYPERLINK("https://twitter.com/binarf_","@binarf_")</f>
        <v>@binarf_</v>
      </c>
      <c r="C6930" t="s">
        <v>4924</v>
      </c>
      <c r="D6930">
        <v>1</v>
      </c>
      <c r="E6930">
        <v>0</v>
      </c>
      <c r="F6930">
        <v>83</v>
      </c>
    </row>
    <row r="6931" spans="1:6" ht="12.75">
      <c r="A6931" s="2">
        <v>43882.321851851855</v>
      </c>
      <c r="B6931" t="str">
        <f>HYPERLINK("https://twitter.com/AlwaysFaza","@AlwaysFaza")</f>
        <v>@AlwaysFaza</v>
      </c>
      <c r="C6931" t="s">
        <v>4925</v>
      </c>
      <c r="D6931">
        <v>1</v>
      </c>
      <c r="E6931">
        <v>0</v>
      </c>
      <c r="F6931">
        <v>259</v>
      </c>
    </row>
    <row r="6932" spans="1:6" ht="12.75">
      <c r="A6932" s="2">
        <v>43882.321701388893</v>
      </c>
      <c r="B6932" t="str">
        <f>HYPERLINK("https://twitter.com/ephraym8","@ephraym8")</f>
        <v>@ephraym8</v>
      </c>
      <c r="C6932" t="s">
        <v>4818</v>
      </c>
      <c r="D6932">
        <v>10</v>
      </c>
      <c r="E6932">
        <v>0</v>
      </c>
      <c r="F6932">
        <v>1145</v>
      </c>
    </row>
    <row r="6933" spans="1:6" ht="12.75">
      <c r="A6933" s="2">
        <v>43882.32167824074</v>
      </c>
      <c r="B6933" t="str">
        <f>HYPERLINK("https://twitter.com/AlwaysFaza","@AlwaysFaza")</f>
        <v>@AlwaysFaza</v>
      </c>
      <c r="C6933" t="s">
        <v>4615</v>
      </c>
      <c r="D6933">
        <v>2</v>
      </c>
      <c r="E6933">
        <v>0</v>
      </c>
      <c r="F6933">
        <v>259</v>
      </c>
    </row>
    <row r="6934" spans="1:6" ht="12.75">
      <c r="A6934" s="2">
        <v>43882.321296296301</v>
      </c>
      <c r="B6934" t="str">
        <f>HYPERLINK("https://twitter.com/SoebektiSoehar5","@SoebektiSoehar5")</f>
        <v>@SoebektiSoehar5</v>
      </c>
      <c r="C6934" t="s">
        <v>4926</v>
      </c>
      <c r="D6934">
        <v>200</v>
      </c>
      <c r="E6934">
        <v>0</v>
      </c>
      <c r="F6934">
        <v>8</v>
      </c>
    </row>
    <row r="6935" spans="1:6" ht="12.75">
      <c r="A6935" s="2">
        <v>43882.320150462961</v>
      </c>
      <c r="B6935" t="str">
        <f>HYPERLINK("https://twitter.com/itsfeby","@itsfeby")</f>
        <v>@itsfeby</v>
      </c>
      <c r="C6935" t="s">
        <v>2692</v>
      </c>
      <c r="D6935">
        <v>2020</v>
      </c>
      <c r="E6935">
        <v>0</v>
      </c>
      <c r="F6935">
        <v>1399</v>
      </c>
    </row>
    <row r="6936" spans="1:6" ht="12.75">
      <c r="A6936" s="2">
        <v>43882.320115740746</v>
      </c>
      <c r="B6936" t="str">
        <f>HYPERLINK("https://twitter.com/RadioKesehatan","@RadioKesehatan")</f>
        <v>@RadioKesehatan</v>
      </c>
      <c r="C6936" t="s">
        <v>4927</v>
      </c>
      <c r="D6936">
        <v>1</v>
      </c>
      <c r="E6936">
        <v>0</v>
      </c>
      <c r="F6936">
        <v>1527</v>
      </c>
    </row>
    <row r="6937" spans="1:6" ht="12.75">
      <c r="A6937" s="2">
        <v>43882.32</v>
      </c>
      <c r="B6937" t="str">
        <f>HYPERLINK("https://twitter.com/AriePutraWijay1","@AriePutraWijay1")</f>
        <v>@AriePutraWijay1</v>
      </c>
      <c r="C6937" t="s">
        <v>4329</v>
      </c>
      <c r="D6937">
        <v>38</v>
      </c>
      <c r="E6937">
        <v>0</v>
      </c>
      <c r="F6937">
        <v>143</v>
      </c>
    </row>
    <row r="6938" spans="1:6" ht="12.75">
      <c r="A6938" s="2">
        <v>43882.319884259261</v>
      </c>
      <c r="B6938" t="str">
        <f>HYPERLINK("https://twitter.com/ephraym8","@ephraym8")</f>
        <v>@ephraym8</v>
      </c>
      <c r="C6938" t="s">
        <v>3984</v>
      </c>
      <c r="D6938">
        <v>17</v>
      </c>
      <c r="E6938">
        <v>0</v>
      </c>
      <c r="F6938">
        <v>1145</v>
      </c>
    </row>
    <row r="6939" spans="1:6" ht="12.75">
      <c r="A6939" s="2">
        <v>43882.319733796292</v>
      </c>
      <c r="B6939" t="str">
        <f>HYPERLINK("https://twitter.com/KemenkesRI","@KemenkesRI")</f>
        <v>@KemenkesRI</v>
      </c>
      <c r="C6939" t="s">
        <v>4928</v>
      </c>
      <c r="D6939">
        <v>2</v>
      </c>
      <c r="E6939">
        <v>1</v>
      </c>
      <c r="F6939">
        <v>246786</v>
      </c>
    </row>
    <row r="6940" spans="1:6" ht="12.75">
      <c r="A6940" s="2">
        <v>43882.318240740744</v>
      </c>
      <c r="B6940" t="str">
        <f>HYPERLINK("https://twitter.com/MdAlomg14208406","@MdAlomg14208406")</f>
        <v>@MdAlomg14208406</v>
      </c>
      <c r="C6940" t="s">
        <v>4929</v>
      </c>
      <c r="D6940">
        <v>8</v>
      </c>
      <c r="E6940">
        <v>0</v>
      </c>
      <c r="F6940">
        <v>4</v>
      </c>
    </row>
    <row r="6941" spans="1:6" ht="12.75">
      <c r="A6941" s="2">
        <v>43882.317523148144</v>
      </c>
      <c r="B6941" t="str">
        <f>HYPERLINK("https://twitter.com/marsada_reza","@marsada_reza")</f>
        <v>@marsada_reza</v>
      </c>
      <c r="C6941" t="s">
        <v>513</v>
      </c>
      <c r="D6941">
        <v>23242</v>
      </c>
      <c r="E6941">
        <v>0</v>
      </c>
      <c r="F6941">
        <v>10</v>
      </c>
    </row>
    <row r="6942" spans="1:6" ht="12.75">
      <c r="A6942" s="2">
        <v>43882.317361111112</v>
      </c>
      <c r="B6942" t="str">
        <f>HYPERLINK("https://twitter.com/LifronP","@LifronP")</f>
        <v>@LifronP</v>
      </c>
      <c r="C6942" t="s">
        <v>177</v>
      </c>
      <c r="D6942">
        <v>694</v>
      </c>
      <c r="E6942">
        <v>0</v>
      </c>
      <c r="F6942">
        <v>87</v>
      </c>
    </row>
    <row r="6943" spans="1:6" ht="12.75">
      <c r="A6943" s="2">
        <v>43882.31649305555</v>
      </c>
      <c r="B6943" t="str">
        <f>HYPERLINK("https://twitter.com/Adell1ne","@Adell1ne")</f>
        <v>@Adell1ne</v>
      </c>
      <c r="C6943" t="s">
        <v>3302</v>
      </c>
      <c r="D6943">
        <v>12</v>
      </c>
      <c r="E6943">
        <v>0</v>
      </c>
      <c r="F6943">
        <v>3302</v>
      </c>
    </row>
    <row r="6944" spans="1:6" ht="12.75">
      <c r="A6944" s="2">
        <v>43882.316145833334</v>
      </c>
      <c r="B6944" t="str">
        <f>HYPERLINK("https://twitter.com/bienstak","@bienstak")</f>
        <v>@bienstak</v>
      </c>
      <c r="C6944" t="s">
        <v>4930</v>
      </c>
      <c r="D6944">
        <v>0</v>
      </c>
      <c r="E6944">
        <v>0</v>
      </c>
      <c r="F6944">
        <v>245</v>
      </c>
    </row>
    <row r="6945" spans="1:6" ht="12.75">
      <c r="A6945" s="2">
        <v>43882.315601851849</v>
      </c>
      <c r="B6945" t="str">
        <f>HYPERLINK("https://twitter.com/fkakbar_i","@fkakbar_i")</f>
        <v>@fkakbar_i</v>
      </c>
      <c r="C6945" t="s">
        <v>2692</v>
      </c>
      <c r="D6945">
        <v>2020</v>
      </c>
      <c r="E6945">
        <v>0</v>
      </c>
      <c r="F6945">
        <v>57</v>
      </c>
    </row>
    <row r="6946" spans="1:6" ht="12.75">
      <c r="A6946" s="2">
        <v>43882.315358796295</v>
      </c>
      <c r="B6946" t="str">
        <f>HYPERLINK("https://twitter.com/Jazuli_AM","@Jazuli_AM")</f>
        <v>@Jazuli_AM</v>
      </c>
      <c r="C6946" t="s">
        <v>4872</v>
      </c>
      <c r="D6946">
        <v>3</v>
      </c>
      <c r="E6946">
        <v>0</v>
      </c>
      <c r="F6946">
        <v>1045</v>
      </c>
    </row>
    <row r="6947" spans="1:6" ht="12.75">
      <c r="A6947" s="2">
        <v>43882.314849537041</v>
      </c>
      <c r="B6947" t="str">
        <f>HYPERLINK("https://twitter.com/Isis_Dirr","@Isis_Dirr")</f>
        <v>@Isis_Dirr</v>
      </c>
      <c r="C6947" t="s">
        <v>4931</v>
      </c>
      <c r="D6947">
        <v>0</v>
      </c>
      <c r="E6947">
        <v>0</v>
      </c>
      <c r="F6947">
        <v>355</v>
      </c>
    </row>
    <row r="6948" spans="1:6" ht="12.75">
      <c r="A6948" s="2">
        <v>43882.314409722225</v>
      </c>
      <c r="B6948" t="str">
        <f>HYPERLINK("https://twitter.com/IcaEndah","@IcaEndah")</f>
        <v>@IcaEndah</v>
      </c>
      <c r="C6948" t="s">
        <v>4932</v>
      </c>
      <c r="D6948">
        <v>0</v>
      </c>
      <c r="E6948">
        <v>0</v>
      </c>
      <c r="F6948">
        <v>433</v>
      </c>
    </row>
    <row r="6949" spans="1:6" ht="12.75">
      <c r="A6949" s="2">
        <v>43882.313738425924</v>
      </c>
      <c r="B6949" t="str">
        <f>HYPERLINK("https://twitter.com/PerkasaHabsyah","@PerkasaHabsyah")</f>
        <v>@PerkasaHabsyah</v>
      </c>
      <c r="C6949" t="s">
        <v>4933</v>
      </c>
      <c r="D6949">
        <v>0</v>
      </c>
      <c r="E6949">
        <v>0</v>
      </c>
      <c r="F6949">
        <v>1130</v>
      </c>
    </row>
    <row r="6950" spans="1:6" ht="12.75">
      <c r="A6950" s="2">
        <v>43882.313437500001</v>
      </c>
      <c r="B6950" t="str">
        <f>HYPERLINK("https://twitter.com/MaskuMasku1","@MaskuMasku1")</f>
        <v>@MaskuMasku1</v>
      </c>
      <c r="C6950" t="s">
        <v>3302</v>
      </c>
      <c r="D6950">
        <v>12</v>
      </c>
      <c r="E6950">
        <v>0</v>
      </c>
      <c r="F6950">
        <v>3574</v>
      </c>
    </row>
    <row r="6951" spans="1:6" ht="12.75">
      <c r="A6951" s="2">
        <v>43882.313067129631</v>
      </c>
      <c r="B6951" t="str">
        <f>HYPERLINK("https://twitter.com/damario04","@damario04")</f>
        <v>@damario04</v>
      </c>
      <c r="C6951" t="s">
        <v>391</v>
      </c>
      <c r="D6951">
        <v>0</v>
      </c>
      <c r="E6951">
        <v>0</v>
      </c>
      <c r="F6951">
        <v>404</v>
      </c>
    </row>
    <row r="6952" spans="1:6" ht="12.75">
      <c r="A6952" s="2">
        <v>43882.312627314815</v>
      </c>
      <c r="B6952" t="str">
        <f>HYPERLINK("https://twitter.com/975PLAYFM","@975PLAYFM")</f>
        <v>@975PLAYFM</v>
      </c>
      <c r="C6952" t="s">
        <v>4934</v>
      </c>
      <c r="D6952">
        <v>0</v>
      </c>
      <c r="E6952">
        <v>0</v>
      </c>
      <c r="F6952">
        <v>3559</v>
      </c>
    </row>
    <row r="6953" spans="1:6" ht="12.75">
      <c r="A6953" s="2">
        <v>43882.312534722223</v>
      </c>
      <c r="B6953" t="str">
        <f t="shared" ref="B6953:B6955" si="121">HYPERLINK("https://twitter.com/gunoto7","@gunoto7")</f>
        <v>@gunoto7</v>
      </c>
      <c r="C6953" t="s">
        <v>4935</v>
      </c>
      <c r="D6953">
        <v>1</v>
      </c>
      <c r="E6953">
        <v>0</v>
      </c>
      <c r="F6953">
        <v>2780</v>
      </c>
    </row>
    <row r="6954" spans="1:6" ht="12.75">
      <c r="A6954" s="2">
        <v>43882.312407407408</v>
      </c>
      <c r="B6954" t="str">
        <f t="shared" si="121"/>
        <v>@gunoto7</v>
      </c>
      <c r="C6954" t="s">
        <v>4936</v>
      </c>
      <c r="D6954">
        <v>2</v>
      </c>
      <c r="E6954">
        <v>0</v>
      </c>
      <c r="F6954">
        <v>2780</v>
      </c>
    </row>
    <row r="6955" spans="1:6" ht="12.75">
      <c r="A6955" s="2">
        <v>43882.312164351853</v>
      </c>
      <c r="B6955" t="str">
        <f t="shared" si="121"/>
        <v>@gunoto7</v>
      </c>
      <c r="C6955" t="s">
        <v>4937</v>
      </c>
      <c r="D6955">
        <v>2</v>
      </c>
      <c r="E6955">
        <v>0</v>
      </c>
      <c r="F6955">
        <v>2780</v>
      </c>
    </row>
    <row r="6956" spans="1:6" ht="12.75">
      <c r="A6956" s="2">
        <v>43882.311886574069</v>
      </c>
      <c r="B6956" t="str">
        <f>HYPERLINK("https://twitter.com/beatrice_health","@beatrice_health")</f>
        <v>@beatrice_health</v>
      </c>
      <c r="C6956" t="s">
        <v>4938</v>
      </c>
      <c r="D6956">
        <v>1</v>
      </c>
      <c r="E6956">
        <v>0</v>
      </c>
      <c r="F6956">
        <v>250</v>
      </c>
    </row>
    <row r="6957" spans="1:6" ht="12.75">
      <c r="A6957" s="2">
        <v>43882.311805555553</v>
      </c>
      <c r="B6957" t="str">
        <f>HYPERLINK("https://twitter.com/DanungArifin","@DanungArifin")</f>
        <v>@DanungArifin</v>
      </c>
      <c r="C6957" t="s">
        <v>4939</v>
      </c>
      <c r="D6957">
        <v>1</v>
      </c>
      <c r="E6957">
        <v>0</v>
      </c>
      <c r="F6957">
        <v>388</v>
      </c>
    </row>
    <row r="6958" spans="1:6" ht="12.75">
      <c r="A6958" s="2">
        <v>43882.31149305556</v>
      </c>
      <c r="B6958" t="str">
        <f t="shared" ref="B6958:B6959" si="122">HYPERLINK("https://twitter.com/gunoto7","@gunoto7")</f>
        <v>@gunoto7</v>
      </c>
      <c r="C6958" t="s">
        <v>4940</v>
      </c>
      <c r="D6958">
        <v>2</v>
      </c>
      <c r="E6958">
        <v>0</v>
      </c>
      <c r="F6958">
        <v>2780</v>
      </c>
    </row>
    <row r="6959" spans="1:6" ht="12.75">
      <c r="A6959" s="2">
        <v>43882.311273148152</v>
      </c>
      <c r="B6959" t="str">
        <f t="shared" si="122"/>
        <v>@gunoto7</v>
      </c>
      <c r="C6959" t="s">
        <v>4882</v>
      </c>
      <c r="D6959">
        <v>2</v>
      </c>
      <c r="E6959">
        <v>0</v>
      </c>
      <c r="F6959">
        <v>2780</v>
      </c>
    </row>
    <row r="6960" spans="1:6" ht="12.75">
      <c r="A6960" s="2">
        <v>43882.31113425926</v>
      </c>
      <c r="B6960" t="str">
        <f>HYPERLINK("https://twitter.com/yogapraditow","@yogapraditow")</f>
        <v>@yogapraditow</v>
      </c>
      <c r="C6960" t="s">
        <v>4941</v>
      </c>
      <c r="D6960">
        <v>1</v>
      </c>
      <c r="E6960">
        <v>0</v>
      </c>
      <c r="F6960">
        <v>404</v>
      </c>
    </row>
    <row r="6961" spans="1:6" ht="12.75">
      <c r="A6961" s="2">
        <v>43882.310937499999</v>
      </c>
      <c r="B6961" t="str">
        <f>HYPERLINK("https://twitter.com/Gunadi84380182","@Gunadi84380182")</f>
        <v>@Gunadi84380182</v>
      </c>
      <c r="C6961" t="s">
        <v>4868</v>
      </c>
      <c r="D6961">
        <v>8</v>
      </c>
      <c r="E6961">
        <v>0</v>
      </c>
      <c r="F6961">
        <v>72</v>
      </c>
    </row>
    <row r="6962" spans="1:6" ht="12.75">
      <c r="A6962" s="2">
        <v>43882.310624999998</v>
      </c>
      <c r="B6962" t="str">
        <f>HYPERLINK("https://twitter.com/YaTaqwa83","@YaTaqwa83")</f>
        <v>@YaTaqwa83</v>
      </c>
      <c r="C6962" t="s">
        <v>3302</v>
      </c>
      <c r="D6962">
        <v>12</v>
      </c>
      <c r="E6962">
        <v>0</v>
      </c>
      <c r="F6962">
        <v>712</v>
      </c>
    </row>
    <row r="6963" spans="1:6" ht="12.75">
      <c r="A6963" s="2">
        <v>43882.31049768519</v>
      </c>
      <c r="B6963" t="str">
        <f>HYPERLINK("https://twitter.com/maygeumy","@maygeumy")</f>
        <v>@maygeumy</v>
      </c>
      <c r="C6963" t="s">
        <v>4942</v>
      </c>
      <c r="D6963">
        <v>1</v>
      </c>
      <c r="E6963">
        <v>1</v>
      </c>
      <c r="F6963">
        <v>68</v>
      </c>
    </row>
    <row r="6964" spans="1:6" ht="12.75">
      <c r="A6964" s="2">
        <v>43882.310115740736</v>
      </c>
      <c r="B6964" t="str">
        <f>HYPERLINK("https://twitter.com/xaxoxixeca","@xaxoxixeca")</f>
        <v>@xaxoxixeca</v>
      </c>
      <c r="C6964" t="s">
        <v>4943</v>
      </c>
      <c r="D6964">
        <v>0</v>
      </c>
      <c r="E6964">
        <v>0</v>
      </c>
      <c r="F6964">
        <v>238</v>
      </c>
    </row>
    <row r="6965" spans="1:6" ht="12.75">
      <c r="A6965" s="2">
        <v>43882.309293981481</v>
      </c>
      <c r="B6965" t="str">
        <f>HYPERLINK("https://twitter.com/kangnday","@kangnday")</f>
        <v>@kangnday</v>
      </c>
      <c r="C6965" t="s">
        <v>177</v>
      </c>
      <c r="D6965">
        <v>694</v>
      </c>
      <c r="E6965">
        <v>0</v>
      </c>
      <c r="F6965">
        <v>80</v>
      </c>
    </row>
    <row r="6966" spans="1:6" ht="12.75">
      <c r="A6966" s="2">
        <v>43882.308761574073</v>
      </c>
      <c r="B6966" t="str">
        <f>HYPERLINK("https://twitter.com/kuroo2","@kuroo2")</f>
        <v>@kuroo2</v>
      </c>
      <c r="C6966" t="s">
        <v>3302</v>
      </c>
      <c r="D6966">
        <v>12</v>
      </c>
      <c r="E6966">
        <v>0</v>
      </c>
      <c r="F6966">
        <v>137</v>
      </c>
    </row>
    <row r="6967" spans="1:6" ht="12.75">
      <c r="A6967" s="2">
        <v>43882.308449074073</v>
      </c>
      <c r="B6967" t="str">
        <f t="shared" ref="B6967:B6968" si="123">HYPERLINK("https://twitter.com/zlametabidin","@zlametabidin")</f>
        <v>@zlametabidin</v>
      </c>
      <c r="C6967" t="s">
        <v>4944</v>
      </c>
      <c r="D6967">
        <v>0</v>
      </c>
      <c r="E6967">
        <v>0</v>
      </c>
      <c r="F6967">
        <v>1789</v>
      </c>
    </row>
    <row r="6968" spans="1:6" ht="12.75">
      <c r="A6968" s="2">
        <v>43882.30777777778</v>
      </c>
      <c r="B6968" t="str">
        <f t="shared" si="123"/>
        <v>@zlametabidin</v>
      </c>
      <c r="C6968" t="s">
        <v>4835</v>
      </c>
      <c r="D6968">
        <v>1</v>
      </c>
      <c r="E6968">
        <v>0</v>
      </c>
      <c r="F6968">
        <v>1789</v>
      </c>
    </row>
    <row r="6969" spans="1:6" ht="12.75">
      <c r="A6969" s="2">
        <v>43882.307083333333</v>
      </c>
      <c r="B6969" t="str">
        <f>HYPERLINK("https://twitter.com/aukankapaul","@aukankapaul")</f>
        <v>@aukankapaul</v>
      </c>
      <c r="C6969" t="s">
        <v>4945</v>
      </c>
      <c r="D6969">
        <v>2</v>
      </c>
      <c r="E6969">
        <v>0</v>
      </c>
      <c r="F6969">
        <v>178</v>
      </c>
    </row>
    <row r="6970" spans="1:6" ht="12.75">
      <c r="A6970" s="2">
        <v>43882.306759259256</v>
      </c>
      <c r="B6970" t="str">
        <f>HYPERLINK("https://twitter.com/max_shia","@max_shia")</f>
        <v>@max_shia</v>
      </c>
      <c r="C6970" t="s">
        <v>4946</v>
      </c>
      <c r="D6970">
        <v>0</v>
      </c>
      <c r="E6970">
        <v>1</v>
      </c>
      <c r="F6970">
        <v>164</v>
      </c>
    </row>
    <row r="6971" spans="1:6" ht="12.75">
      <c r="A6971" s="2">
        <v>43882.306550925925</v>
      </c>
      <c r="B6971" t="str">
        <f>HYPERLINK("https://twitter.com/hapeproperti","@hapeproperti")</f>
        <v>@hapeproperti</v>
      </c>
      <c r="C6971" t="s">
        <v>4329</v>
      </c>
      <c r="D6971">
        <v>38</v>
      </c>
      <c r="E6971">
        <v>0</v>
      </c>
      <c r="F6971">
        <v>1599</v>
      </c>
    </row>
    <row r="6972" spans="1:6" ht="12.75">
      <c r="A6972" s="2">
        <v>43882.306076388893</v>
      </c>
      <c r="B6972" t="str">
        <f>HYPERLINK("https://twitter.com/MaskuMasku1","@MaskuMasku1")</f>
        <v>@MaskuMasku1</v>
      </c>
      <c r="C6972" t="s">
        <v>3311</v>
      </c>
      <c r="D6972">
        <v>2</v>
      </c>
      <c r="E6972">
        <v>0</v>
      </c>
      <c r="F6972">
        <v>3574</v>
      </c>
    </row>
    <row r="6973" spans="1:6" ht="12.75">
      <c r="A6973" s="2">
        <v>43882.305115740739</v>
      </c>
      <c r="B6973" t="str">
        <f>HYPERLINK("https://twitter.com/firmanadhi3","@firmanadhi3")</f>
        <v>@firmanadhi3</v>
      </c>
      <c r="C6973" t="s">
        <v>4872</v>
      </c>
      <c r="D6973">
        <v>3</v>
      </c>
      <c r="E6973">
        <v>0</v>
      </c>
      <c r="F6973">
        <v>320</v>
      </c>
    </row>
    <row r="6974" spans="1:6" ht="12.75">
      <c r="A6974" s="2">
        <v>43882.304270833338</v>
      </c>
      <c r="B6974" t="str">
        <f>HYPERLINK("https://twitter.com/ArnoldImamat","@ArnoldImamat")</f>
        <v>@ArnoldImamat</v>
      </c>
      <c r="C6974" t="s">
        <v>4872</v>
      </c>
      <c r="D6974">
        <v>3</v>
      </c>
      <c r="E6974">
        <v>0</v>
      </c>
      <c r="F6974">
        <v>71</v>
      </c>
    </row>
    <row r="6975" spans="1:6" ht="12.75">
      <c r="A6975" s="2">
        <v>43882.304074074069</v>
      </c>
      <c r="B6975" t="str">
        <f>HYPERLINK("https://twitter.com/wasathiyyah","@wasathiyyah")</f>
        <v>@wasathiyyah</v>
      </c>
      <c r="C6975" t="s">
        <v>4947</v>
      </c>
      <c r="D6975">
        <v>0</v>
      </c>
      <c r="E6975">
        <v>0</v>
      </c>
      <c r="F6975">
        <v>131</v>
      </c>
    </row>
    <row r="6976" spans="1:6" ht="12.75">
      <c r="A6976" s="2">
        <v>43882.303460648152</v>
      </c>
      <c r="B6976" t="str">
        <f>HYPERLINK("https://twitter.com/SuluhSumatera","@SuluhSumatera")</f>
        <v>@SuluhSumatera</v>
      </c>
      <c r="C6976" t="s">
        <v>4948</v>
      </c>
      <c r="D6976">
        <v>0</v>
      </c>
      <c r="E6976">
        <v>0</v>
      </c>
      <c r="F6976">
        <v>540</v>
      </c>
    </row>
    <row r="6977" spans="1:6" ht="12.75">
      <c r="A6977" s="2">
        <v>43882.303402777776</v>
      </c>
      <c r="B6977" t="str">
        <f>HYPERLINK("https://twitter.com/ernaaabcd","@ernaaabcd")</f>
        <v>@ernaaabcd</v>
      </c>
      <c r="C6977" t="s">
        <v>177</v>
      </c>
      <c r="D6977">
        <v>694</v>
      </c>
      <c r="E6977">
        <v>0</v>
      </c>
      <c r="F6977">
        <v>6928</v>
      </c>
    </row>
    <row r="6978" spans="1:6" ht="12.75">
      <c r="A6978" s="2">
        <v>43882.302951388891</v>
      </c>
      <c r="B6978" t="str">
        <f>HYPERLINK("https://twitter.com/c4tur10","@c4tur10")</f>
        <v>@c4tur10</v>
      </c>
      <c r="C6978" t="s">
        <v>177</v>
      </c>
      <c r="D6978">
        <v>694</v>
      </c>
      <c r="E6978">
        <v>0</v>
      </c>
      <c r="F6978">
        <v>192</v>
      </c>
    </row>
    <row r="6979" spans="1:6" ht="12.75">
      <c r="A6979" s="2">
        <v>43882.302557870367</v>
      </c>
      <c r="B6979" t="str">
        <f>HYPERLINK("https://twitter.com/Ipinmuach","@Ipinmuach")</f>
        <v>@Ipinmuach</v>
      </c>
      <c r="C6979" t="s">
        <v>177</v>
      </c>
      <c r="D6979">
        <v>694</v>
      </c>
      <c r="E6979">
        <v>0</v>
      </c>
      <c r="F6979">
        <v>21</v>
      </c>
    </row>
    <row r="6980" spans="1:6" ht="12.75">
      <c r="A6980" s="2">
        <v>43882.302118055552</v>
      </c>
      <c r="B6980" t="str">
        <f>HYPERLINK("https://twitter.com/kompascom","@kompascom")</f>
        <v>@kompascom</v>
      </c>
      <c r="C6980" t="s">
        <v>4949</v>
      </c>
      <c r="D6980">
        <v>3</v>
      </c>
      <c r="E6980">
        <v>4</v>
      </c>
      <c r="F6980">
        <v>7505835</v>
      </c>
    </row>
    <row r="6981" spans="1:6" ht="12.75">
      <c r="A6981" s="2">
        <v>43882.302037037036</v>
      </c>
      <c r="B6981" t="str">
        <f>HYPERLINK("https://twitter.com/aanggi249","@aanggi249")</f>
        <v>@aanggi249</v>
      </c>
      <c r="C6981" t="s">
        <v>1407</v>
      </c>
      <c r="D6981">
        <v>9719</v>
      </c>
      <c r="E6981">
        <v>0</v>
      </c>
      <c r="F6981">
        <v>36</v>
      </c>
    </row>
    <row r="6982" spans="1:6" ht="12.75">
      <c r="A6982" s="2">
        <v>43882.302037037036</v>
      </c>
      <c r="B6982" t="str">
        <f>HYPERLINK("https://twitter.com/mediaindonesia","@mediaindonesia")</f>
        <v>@mediaindonesia</v>
      </c>
      <c r="C6982" t="s">
        <v>4950</v>
      </c>
      <c r="D6982">
        <v>1</v>
      </c>
      <c r="E6982">
        <v>0</v>
      </c>
      <c r="F6982">
        <v>1417608</v>
      </c>
    </row>
    <row r="6983" spans="1:6" ht="12.75">
      <c r="A6983" s="2">
        <v>43882.301724537036</v>
      </c>
      <c r="B6983" t="str">
        <f>HYPERLINK("https://twitter.com/SonoraFM92","@SonoraFM92")</f>
        <v>@SonoraFM92</v>
      </c>
      <c r="C6983" t="s">
        <v>4951</v>
      </c>
      <c r="D6983">
        <v>0</v>
      </c>
      <c r="E6983">
        <v>0</v>
      </c>
      <c r="F6983">
        <v>292795</v>
      </c>
    </row>
    <row r="6984" spans="1:6" ht="12.75">
      <c r="A6984" s="2">
        <v>43882.301018518519</v>
      </c>
      <c r="B6984" t="str">
        <f>HYPERLINK("https://twitter.com/airanuri","@airanuri")</f>
        <v>@airanuri</v>
      </c>
      <c r="C6984" t="s">
        <v>2692</v>
      </c>
      <c r="D6984">
        <v>2020</v>
      </c>
      <c r="E6984">
        <v>0</v>
      </c>
      <c r="F6984">
        <v>450</v>
      </c>
    </row>
    <row r="6985" spans="1:6" ht="12.75">
      <c r="A6985" s="2">
        <v>43882.30096064815</v>
      </c>
      <c r="B6985" t="str">
        <f>HYPERLINK("https://twitter.com/Koes_P","@Koes_P")</f>
        <v>@Koes_P</v>
      </c>
      <c r="C6985" t="s">
        <v>4909</v>
      </c>
      <c r="D6985">
        <v>3</v>
      </c>
      <c r="E6985">
        <v>0</v>
      </c>
      <c r="F6985">
        <v>5395</v>
      </c>
    </row>
    <row r="6986" spans="1:6" ht="12.75">
      <c r="A6986" s="2">
        <v>43882.300879629634</v>
      </c>
      <c r="B6986" t="str">
        <f>HYPERLINK("https://twitter.com/erisantuy","@erisantuy")</f>
        <v>@erisantuy</v>
      </c>
      <c r="C6986" t="s">
        <v>4952</v>
      </c>
      <c r="D6986">
        <v>0</v>
      </c>
      <c r="E6986">
        <v>0</v>
      </c>
      <c r="F6986">
        <v>337</v>
      </c>
    </row>
    <row r="6987" spans="1:6" ht="12.75">
      <c r="A6987" s="2">
        <v>43882.30023148148</v>
      </c>
      <c r="B6987" t="str">
        <f t="shared" ref="B6987:B6990" si="124">HYPERLINK("https://twitter.com/sunarko_suwito","@sunarko_suwito")</f>
        <v>@sunarko_suwito</v>
      </c>
      <c r="C6987" t="s">
        <v>4953</v>
      </c>
      <c r="D6987">
        <v>1</v>
      </c>
      <c r="E6987">
        <v>0</v>
      </c>
      <c r="F6987">
        <v>9</v>
      </c>
    </row>
    <row r="6988" spans="1:6" ht="12.75">
      <c r="A6988" s="2">
        <v>43882.300208333334</v>
      </c>
      <c r="B6988" t="str">
        <f t="shared" si="124"/>
        <v>@sunarko_suwito</v>
      </c>
      <c r="C6988" t="s">
        <v>4954</v>
      </c>
      <c r="D6988">
        <v>1</v>
      </c>
      <c r="E6988">
        <v>0</v>
      </c>
      <c r="F6988">
        <v>9</v>
      </c>
    </row>
    <row r="6989" spans="1:6" ht="12.75">
      <c r="A6989" s="2">
        <v>43882.300115740742</v>
      </c>
      <c r="B6989" t="str">
        <f t="shared" si="124"/>
        <v>@sunarko_suwito</v>
      </c>
      <c r="C6989" t="s">
        <v>4955</v>
      </c>
      <c r="D6989">
        <v>1</v>
      </c>
      <c r="E6989">
        <v>0</v>
      </c>
      <c r="F6989">
        <v>9</v>
      </c>
    </row>
    <row r="6990" spans="1:6" ht="12.75">
      <c r="A6990" s="2">
        <v>43882.299432870372</v>
      </c>
      <c r="B6990" t="str">
        <f t="shared" si="124"/>
        <v>@sunarko_suwito</v>
      </c>
      <c r="C6990" t="s">
        <v>4956</v>
      </c>
      <c r="D6990">
        <v>1</v>
      </c>
      <c r="E6990">
        <v>0</v>
      </c>
      <c r="F6990">
        <v>9</v>
      </c>
    </row>
    <row r="6991" spans="1:6" ht="12.75">
      <c r="A6991" s="2">
        <v>43882.298414351855</v>
      </c>
      <c r="B6991" t="str">
        <f>HYPERLINK("https://twitter.com/BatamPos","@BatamPos")</f>
        <v>@BatamPos</v>
      </c>
      <c r="C6991" t="s">
        <v>4957</v>
      </c>
      <c r="D6991">
        <v>0</v>
      </c>
      <c r="E6991">
        <v>0</v>
      </c>
      <c r="F6991">
        <v>67386</v>
      </c>
    </row>
    <row r="6992" spans="1:6" ht="12.75">
      <c r="A6992" s="2">
        <v>43882.298090277778</v>
      </c>
      <c r="B6992" t="str">
        <f>HYPERLINK("https://twitter.com/masaprikhalis_k","@masaprikhalis_k")</f>
        <v>@masaprikhalis_k</v>
      </c>
      <c r="C6992" t="s">
        <v>4958</v>
      </c>
      <c r="D6992">
        <v>0</v>
      </c>
      <c r="E6992">
        <v>0</v>
      </c>
      <c r="F6992">
        <v>0</v>
      </c>
    </row>
    <row r="6993" spans="1:6" ht="12.75">
      <c r="A6993" s="2">
        <v>43882.297777777778</v>
      </c>
      <c r="B6993" t="str">
        <f>HYPERLINK("https://twitter.com/nabilahshahab_","@nabilahshahab_")</f>
        <v>@nabilahshahab_</v>
      </c>
      <c r="C6993" t="s">
        <v>1407</v>
      </c>
      <c r="D6993">
        <v>9719</v>
      </c>
      <c r="E6993">
        <v>0</v>
      </c>
      <c r="F6993">
        <v>126</v>
      </c>
    </row>
    <row r="6994" spans="1:6" ht="12.75">
      <c r="A6994" s="2">
        <v>43882.297453703708</v>
      </c>
      <c r="B6994" t="str">
        <f>HYPERLINK("https://twitter.com/jinjuwr2","@jinjuwr2")</f>
        <v>@jinjuwr2</v>
      </c>
      <c r="C6994" t="s">
        <v>4959</v>
      </c>
      <c r="D6994">
        <v>0</v>
      </c>
      <c r="E6994">
        <v>0</v>
      </c>
      <c r="F6994">
        <v>816</v>
      </c>
    </row>
    <row r="6995" spans="1:6" ht="12.75">
      <c r="A6995" s="2">
        <v>43882.296655092592</v>
      </c>
      <c r="B6995" t="str">
        <f>HYPERLINK("https://twitter.com/light_u0601","@light_u0601")</f>
        <v>@light_u0601</v>
      </c>
      <c r="C6995" t="s">
        <v>177</v>
      </c>
      <c r="D6995">
        <v>694</v>
      </c>
      <c r="E6995">
        <v>0</v>
      </c>
      <c r="F6995">
        <v>353</v>
      </c>
    </row>
    <row r="6996" spans="1:6" ht="12.75">
      <c r="A6996" s="2">
        <v>43882.2965625</v>
      </c>
      <c r="B6996" t="str">
        <f t="shared" ref="B6996:B7001" si="125">HYPERLINK("https://twitter.com/tjhinfar21","@tjhinfar21")</f>
        <v>@tjhinfar21</v>
      </c>
      <c r="C6996" t="s">
        <v>4882</v>
      </c>
      <c r="D6996">
        <v>2</v>
      </c>
      <c r="E6996">
        <v>0</v>
      </c>
      <c r="F6996">
        <v>15275</v>
      </c>
    </row>
    <row r="6997" spans="1:6" ht="12.75">
      <c r="A6997" s="2">
        <v>43882.2965162037</v>
      </c>
      <c r="B6997" t="str">
        <f t="shared" si="125"/>
        <v>@tjhinfar21</v>
      </c>
      <c r="C6997" t="s">
        <v>4940</v>
      </c>
      <c r="D6997">
        <v>2</v>
      </c>
      <c r="E6997">
        <v>0</v>
      </c>
      <c r="F6997">
        <v>15275</v>
      </c>
    </row>
    <row r="6998" spans="1:6" ht="12.75">
      <c r="A6998" s="2">
        <v>43882.296458333338</v>
      </c>
      <c r="B6998" t="str">
        <f t="shared" si="125"/>
        <v>@tjhinfar21</v>
      </c>
      <c r="C6998" t="s">
        <v>4960</v>
      </c>
      <c r="D6998">
        <v>1</v>
      </c>
      <c r="E6998">
        <v>0</v>
      </c>
      <c r="F6998">
        <v>15275</v>
      </c>
    </row>
    <row r="6999" spans="1:6" ht="12.75">
      <c r="A6999" s="2">
        <v>43882.296412037038</v>
      </c>
      <c r="B6999" t="str">
        <f t="shared" si="125"/>
        <v>@tjhinfar21</v>
      </c>
      <c r="C6999" t="s">
        <v>4937</v>
      </c>
      <c r="D6999">
        <v>2</v>
      </c>
      <c r="E6999">
        <v>0</v>
      </c>
      <c r="F6999">
        <v>15275</v>
      </c>
    </row>
    <row r="7000" spans="1:6" ht="12.75">
      <c r="A7000" s="2">
        <v>43882.296342592592</v>
      </c>
      <c r="B7000" t="str">
        <f t="shared" si="125"/>
        <v>@tjhinfar21</v>
      </c>
      <c r="C7000" t="s">
        <v>4936</v>
      </c>
      <c r="D7000">
        <v>2</v>
      </c>
      <c r="E7000">
        <v>0</v>
      </c>
      <c r="F7000">
        <v>15275</v>
      </c>
    </row>
    <row r="7001" spans="1:6" ht="12.75">
      <c r="A7001" s="2">
        <v>43882.296307870369</v>
      </c>
      <c r="B7001" t="str">
        <f t="shared" si="125"/>
        <v>@tjhinfar21</v>
      </c>
      <c r="C7001" t="s">
        <v>4935</v>
      </c>
      <c r="D7001">
        <v>1</v>
      </c>
      <c r="E7001">
        <v>0</v>
      </c>
      <c r="F7001">
        <v>15275</v>
      </c>
    </row>
    <row r="7002" spans="1:6" ht="12.75">
      <c r="A7002" s="2">
        <v>43882.296076388884</v>
      </c>
      <c r="B7002" t="str">
        <f>HYPERLINK("https://twitter.com/GPLantipompong","@GPLantipompong")</f>
        <v>@GPLantipompong</v>
      </c>
      <c r="C7002" t="s">
        <v>4961</v>
      </c>
      <c r="D7002">
        <v>0</v>
      </c>
      <c r="E7002">
        <v>0</v>
      </c>
      <c r="F7002">
        <v>0</v>
      </c>
    </row>
    <row r="7003" spans="1:6" ht="12.75">
      <c r="A7003" s="2">
        <v>43882.295833333337</v>
      </c>
      <c r="B7003" t="str">
        <f>HYPERLINK("https://twitter.com/SonoraFM92","@SonoraFM92")</f>
        <v>@SonoraFM92</v>
      </c>
      <c r="C7003" t="s">
        <v>4962</v>
      </c>
      <c r="D7003">
        <v>0</v>
      </c>
      <c r="E7003">
        <v>0</v>
      </c>
      <c r="F7003">
        <v>292795</v>
      </c>
    </row>
    <row r="7004" spans="1:6" ht="12.75">
      <c r="A7004" s="2">
        <v>43882.295717592591</v>
      </c>
      <c r="B7004" t="str">
        <f>HYPERLINK("https://twitter.com/damario04","@damario04")</f>
        <v>@damario04</v>
      </c>
      <c r="C7004" t="s">
        <v>4007</v>
      </c>
      <c r="D7004">
        <v>0</v>
      </c>
      <c r="E7004">
        <v>0</v>
      </c>
      <c r="F7004">
        <v>404</v>
      </c>
    </row>
    <row r="7005" spans="1:6" ht="12.75">
      <c r="A7005" s="2">
        <v>43882.295312499999</v>
      </c>
      <c r="B7005" t="str">
        <f>HYPERLINK("https://twitter.com/brsidharta","@brsidharta")</f>
        <v>@brsidharta</v>
      </c>
      <c r="C7005" t="s">
        <v>2141</v>
      </c>
      <c r="D7005">
        <v>101</v>
      </c>
      <c r="E7005">
        <v>0</v>
      </c>
      <c r="F7005">
        <v>359</v>
      </c>
    </row>
    <row r="7006" spans="1:6" ht="12.75">
      <c r="A7006" s="2">
        <v>43882.294710648144</v>
      </c>
      <c r="B7006" t="str">
        <f>HYPERLINK("https://twitter.com/ja_zang","@ja_zang")</f>
        <v>@ja_zang</v>
      </c>
      <c r="C7006" t="s">
        <v>4963</v>
      </c>
      <c r="D7006">
        <v>0</v>
      </c>
      <c r="E7006">
        <v>0</v>
      </c>
      <c r="F7006">
        <v>26</v>
      </c>
    </row>
    <row r="7007" spans="1:6" ht="12.75">
      <c r="A7007" s="2">
        <v>43882.293668981481</v>
      </c>
      <c r="B7007" t="str">
        <f>HYPERLINK("https://twitter.com/Honeyda14","@Honeyda14")</f>
        <v>@Honeyda14</v>
      </c>
      <c r="C7007" t="s">
        <v>3302</v>
      </c>
      <c r="D7007">
        <v>12</v>
      </c>
      <c r="E7007">
        <v>0</v>
      </c>
      <c r="F7007">
        <v>108</v>
      </c>
    </row>
    <row r="7008" spans="1:6" ht="12.75">
      <c r="A7008" s="2">
        <v>43882.293182870373</v>
      </c>
      <c r="B7008" t="str">
        <f>HYPERLINK("https://twitter.com/adhitstubz","@adhitstubz")</f>
        <v>@adhitstubz</v>
      </c>
      <c r="C7008" t="s">
        <v>177</v>
      </c>
      <c r="D7008">
        <v>685</v>
      </c>
      <c r="E7008">
        <v>0</v>
      </c>
      <c r="F7008">
        <v>405</v>
      </c>
    </row>
    <row r="7009" spans="1:6" ht="12.75">
      <c r="A7009" s="2">
        <v>43882.293020833335</v>
      </c>
      <c r="B7009" t="str">
        <f>HYPERLINK("https://twitter.com/NurdinAhmadi","@NurdinAhmadi")</f>
        <v>@NurdinAhmadi</v>
      </c>
      <c r="C7009" t="s">
        <v>491</v>
      </c>
      <c r="D7009">
        <v>4734</v>
      </c>
      <c r="E7009">
        <v>0</v>
      </c>
      <c r="F7009">
        <v>197</v>
      </c>
    </row>
    <row r="7010" spans="1:6" ht="12.75">
      <c r="A7010" s="2">
        <v>43882.292129629626</v>
      </c>
      <c r="B7010" t="str">
        <f>HYPERLINK("https://twitter.com/Dialx_ra","@Dialx_ra")</f>
        <v>@Dialx_ra</v>
      </c>
      <c r="C7010" t="s">
        <v>4909</v>
      </c>
      <c r="D7010">
        <v>2</v>
      </c>
      <c r="E7010">
        <v>0</v>
      </c>
      <c r="F7010">
        <v>17</v>
      </c>
    </row>
    <row r="7011" spans="1:6" ht="12.75">
      <c r="A7011" s="2">
        <v>43882.291493055556</v>
      </c>
      <c r="B7011" t="str">
        <f>HYPERLINK("https://twitter.com/frommeeee","@frommeeee")</f>
        <v>@frommeeee</v>
      </c>
      <c r="C7011" t="s">
        <v>177</v>
      </c>
      <c r="D7011">
        <v>685</v>
      </c>
      <c r="E7011">
        <v>0</v>
      </c>
      <c r="F7011">
        <v>268</v>
      </c>
    </row>
    <row r="7012" spans="1:6" ht="12.75">
      <c r="A7012" s="2">
        <v>43882.290543981479</v>
      </c>
      <c r="B7012" t="str">
        <f>HYPERLINK("https://twitter.com/Oktariyan6","@Oktariyan6")</f>
        <v>@Oktariyan6</v>
      </c>
      <c r="C7012" t="s">
        <v>177</v>
      </c>
      <c r="D7012">
        <v>685</v>
      </c>
      <c r="E7012">
        <v>0</v>
      </c>
      <c r="F7012">
        <v>111</v>
      </c>
    </row>
    <row r="7013" spans="1:6" ht="12.75">
      <c r="A7013" s="2">
        <v>43882.290497685186</v>
      </c>
      <c r="B7013" t="str">
        <f>HYPERLINK("https://twitter.com/ElshintaTegal_","@ElshintaTegal_")</f>
        <v>@ElshintaTegal_</v>
      </c>
      <c r="C7013" t="s">
        <v>4964</v>
      </c>
      <c r="D7013">
        <v>0</v>
      </c>
      <c r="E7013">
        <v>0</v>
      </c>
      <c r="F7013">
        <v>33</v>
      </c>
    </row>
    <row r="7014" spans="1:6" ht="12.75">
      <c r="A7014" s="2">
        <v>43882.290300925924</v>
      </c>
      <c r="B7014" t="str">
        <f>HYPERLINK("https://twitter.com/plusgap","@plusgap")</f>
        <v>@plusgap</v>
      </c>
      <c r="C7014" t="s">
        <v>4965</v>
      </c>
      <c r="D7014">
        <v>2</v>
      </c>
      <c r="E7014">
        <v>0</v>
      </c>
      <c r="F7014">
        <v>240</v>
      </c>
    </row>
    <row r="7015" spans="1:6" ht="12.75">
      <c r="A7015" s="2">
        <v>43882.289953703701</v>
      </c>
      <c r="B7015" t="str">
        <f>HYPERLINK("https://twitter.com/Samuja9","@Samuja9")</f>
        <v>@Samuja9</v>
      </c>
      <c r="C7015" t="s">
        <v>177</v>
      </c>
      <c r="D7015">
        <v>685</v>
      </c>
      <c r="E7015">
        <v>0</v>
      </c>
      <c r="F7015">
        <v>1120</v>
      </c>
    </row>
    <row r="7016" spans="1:6" ht="12.75">
      <c r="A7016" s="2">
        <v>43882.289837962962</v>
      </c>
      <c r="B7016" t="str">
        <f>HYPERLINK("https://twitter.com/Nesta0010","@Nesta0010")</f>
        <v>@Nesta0010</v>
      </c>
      <c r="C7016" t="s">
        <v>177</v>
      </c>
      <c r="D7016">
        <v>685</v>
      </c>
      <c r="E7016">
        <v>0</v>
      </c>
      <c r="F7016">
        <v>1856</v>
      </c>
    </row>
    <row r="7017" spans="1:6" ht="12.75">
      <c r="A7017" s="2">
        <v>43882.289687500001</v>
      </c>
      <c r="B7017" t="str">
        <f>HYPERLINK("https://twitter.com/pr0f1tr0n1","@pr0f1tr0n1")</f>
        <v>@pr0f1tr0n1</v>
      </c>
      <c r="C7017" t="s">
        <v>3302</v>
      </c>
      <c r="D7017">
        <v>7</v>
      </c>
      <c r="E7017">
        <v>0</v>
      </c>
      <c r="F7017">
        <v>162</v>
      </c>
    </row>
    <row r="7018" spans="1:6" ht="12.75">
      <c r="A7018" s="2">
        <v>43882.289456018523</v>
      </c>
      <c r="B7018" t="str">
        <f>HYPERLINK("https://twitter.com/beelzenb","@beelzenb")</f>
        <v>@beelzenb</v>
      </c>
      <c r="C7018" t="s">
        <v>4966</v>
      </c>
      <c r="D7018">
        <v>1</v>
      </c>
      <c r="E7018">
        <v>0</v>
      </c>
      <c r="F7018">
        <v>252</v>
      </c>
    </row>
    <row r="7019" spans="1:6" ht="12.75">
      <c r="A7019" s="2">
        <v>43882.289386574077</v>
      </c>
      <c r="B7019" t="str">
        <f>HYPERLINK("https://twitter.com/KJRIMelbourne","@KJRIMelbourne")</f>
        <v>@KJRIMelbourne</v>
      </c>
      <c r="C7019" t="s">
        <v>4967</v>
      </c>
      <c r="D7019">
        <v>0</v>
      </c>
      <c r="E7019">
        <v>0</v>
      </c>
      <c r="F7019">
        <v>4213</v>
      </c>
    </row>
    <row r="7020" spans="1:6" ht="12.75">
      <c r="A7020" s="2">
        <v>43882.288530092592</v>
      </c>
      <c r="B7020" t="str">
        <f>HYPERLINK("https://twitter.com/dwytono","@dwytono")</f>
        <v>@dwytono</v>
      </c>
      <c r="C7020" t="s">
        <v>4968</v>
      </c>
      <c r="D7020">
        <v>6</v>
      </c>
      <c r="E7020">
        <v>0</v>
      </c>
      <c r="F7020">
        <v>1870</v>
      </c>
    </row>
    <row r="7021" spans="1:6" ht="12.75">
      <c r="A7021" s="2">
        <v>43882.287951388891</v>
      </c>
      <c r="B7021" t="str">
        <f>HYPERLINK("https://twitter.com/nadinarrr","@nadinarrr")</f>
        <v>@nadinarrr</v>
      </c>
      <c r="C7021" t="s">
        <v>1407</v>
      </c>
      <c r="D7021">
        <v>9717</v>
      </c>
      <c r="E7021">
        <v>0</v>
      </c>
      <c r="F7021">
        <v>520</v>
      </c>
    </row>
    <row r="7022" spans="1:6" ht="12.75">
      <c r="A7022" s="2">
        <v>43882.287222222221</v>
      </c>
      <c r="B7022" t="str">
        <f>HYPERLINK("https://twitter.com/SriNeng70160486","@SriNeng70160486")</f>
        <v>@SriNeng70160486</v>
      </c>
      <c r="C7022" t="s">
        <v>4969</v>
      </c>
      <c r="D7022">
        <v>1</v>
      </c>
      <c r="E7022">
        <v>0</v>
      </c>
      <c r="F7022">
        <v>546</v>
      </c>
    </row>
    <row r="7023" spans="1:6" ht="12.75">
      <c r="A7023" s="2">
        <v>43882.285810185189</v>
      </c>
      <c r="B7023" t="str">
        <f t="shared" ref="B7023:B7024" si="126">HYPERLINK("https://twitter.com/RadioElshinta","@RadioElshinta")</f>
        <v>@RadioElshinta</v>
      </c>
      <c r="C7023" t="s">
        <v>4970</v>
      </c>
      <c r="D7023">
        <v>0</v>
      </c>
      <c r="E7023">
        <v>0</v>
      </c>
      <c r="F7023">
        <v>3634008</v>
      </c>
    </row>
    <row r="7024" spans="1:6" ht="12.75">
      <c r="A7024" s="2">
        <v>43882.285486111112</v>
      </c>
      <c r="B7024" t="str">
        <f t="shared" si="126"/>
        <v>@RadioElshinta</v>
      </c>
      <c r="C7024" t="s">
        <v>4971</v>
      </c>
      <c r="D7024">
        <v>0</v>
      </c>
      <c r="E7024">
        <v>1</v>
      </c>
      <c r="F7024">
        <v>3634008</v>
      </c>
    </row>
    <row r="7025" spans="1:6" ht="12.75">
      <c r="A7025" s="2">
        <v>43882.285092592589</v>
      </c>
      <c r="B7025" t="str">
        <f>HYPERLINK("https://twitter.com/sonorafmjogja","@sonorafmjogja")</f>
        <v>@sonorafmjogja</v>
      </c>
      <c r="C7025" t="s">
        <v>4972</v>
      </c>
      <c r="D7025">
        <v>0</v>
      </c>
      <c r="E7025">
        <v>0</v>
      </c>
      <c r="F7025">
        <v>8040</v>
      </c>
    </row>
    <row r="7026" spans="1:6" ht="12.75">
      <c r="A7026" s="2">
        <v>43882.284756944442</v>
      </c>
      <c r="B7026" t="str">
        <f>HYPERLINK("https://twitter.com/KurniaChen","@KurniaChen")</f>
        <v>@KurniaChen</v>
      </c>
      <c r="C7026" t="s">
        <v>3302</v>
      </c>
      <c r="D7026">
        <v>7</v>
      </c>
      <c r="E7026">
        <v>0</v>
      </c>
      <c r="F7026">
        <v>690</v>
      </c>
    </row>
    <row r="7027" spans="1:6" ht="12.75">
      <c r="A7027" s="2">
        <v>43882.282789351855</v>
      </c>
      <c r="B7027" t="str">
        <f>HYPERLINK("https://twitter.com/oliex1979","@oliex1979")</f>
        <v>@oliex1979</v>
      </c>
      <c r="C7027" t="s">
        <v>177</v>
      </c>
      <c r="D7027">
        <v>685</v>
      </c>
      <c r="E7027">
        <v>0</v>
      </c>
      <c r="F7027">
        <v>43</v>
      </c>
    </row>
    <row r="7028" spans="1:6" ht="12.75">
      <c r="A7028" s="2">
        <v>43882.281944444447</v>
      </c>
      <c r="B7028" t="str">
        <f>HYPERLINK("https://twitter.com/SonoraFM92","@SonoraFM92")</f>
        <v>@SonoraFM92</v>
      </c>
      <c r="C7028" t="s">
        <v>4973</v>
      </c>
      <c r="D7028">
        <v>0</v>
      </c>
      <c r="E7028">
        <v>0</v>
      </c>
      <c r="F7028">
        <v>292794</v>
      </c>
    </row>
    <row r="7029" spans="1:6" ht="12.75">
      <c r="A7029" s="2">
        <v>43882.280277777776</v>
      </c>
      <c r="B7029" t="str">
        <f>HYPERLINK("https://twitter.com/saifullahselian","@saifullahselian")</f>
        <v>@saifullahselian</v>
      </c>
      <c r="C7029" t="s">
        <v>3302</v>
      </c>
      <c r="D7029">
        <v>7</v>
      </c>
      <c r="E7029">
        <v>0</v>
      </c>
      <c r="F7029">
        <v>180</v>
      </c>
    </row>
    <row r="7030" spans="1:6" ht="12.75">
      <c r="A7030" s="2">
        <v>43882.280127314814</v>
      </c>
      <c r="B7030" t="str">
        <f>HYPERLINK("https://twitter.com/voaislam","@voaislam")</f>
        <v>@voaislam</v>
      </c>
      <c r="C7030" t="s">
        <v>4974</v>
      </c>
      <c r="D7030">
        <v>0</v>
      </c>
      <c r="E7030">
        <v>0</v>
      </c>
      <c r="F7030">
        <v>87861</v>
      </c>
    </row>
    <row r="7031" spans="1:6" ht="12.75">
      <c r="A7031" s="2">
        <v>43882.27989583333</v>
      </c>
      <c r="B7031" t="str">
        <f>HYPERLINK("https://twitter.com/Pang22Saudi","@Pang22Saudi")</f>
        <v>@Pang22Saudi</v>
      </c>
      <c r="C7031" t="s">
        <v>2753</v>
      </c>
      <c r="D7031">
        <v>1</v>
      </c>
      <c r="E7031">
        <v>0</v>
      </c>
      <c r="F7031">
        <v>1029</v>
      </c>
    </row>
    <row r="7032" spans="1:6" ht="12.75">
      <c r="A7032" s="2">
        <v>43882.278842592597</v>
      </c>
      <c r="B7032" t="str">
        <f t="shared" ref="B7032:B7033" si="127">HYPERLINK("https://twitter.com/TolakBigotRI","@TolakBigotRI")</f>
        <v>@TolakBigotRI</v>
      </c>
      <c r="C7032" t="s">
        <v>4818</v>
      </c>
      <c r="D7032">
        <v>9</v>
      </c>
      <c r="E7032">
        <v>0</v>
      </c>
      <c r="F7032">
        <v>25658</v>
      </c>
    </row>
    <row r="7033" spans="1:6" ht="12.75">
      <c r="A7033" s="2">
        <v>43882.278761574074</v>
      </c>
      <c r="B7033" t="str">
        <f t="shared" si="127"/>
        <v>@TolakBigotRI</v>
      </c>
      <c r="C7033" t="s">
        <v>4817</v>
      </c>
      <c r="D7033">
        <v>11</v>
      </c>
      <c r="E7033">
        <v>0</v>
      </c>
      <c r="F7033">
        <v>25658</v>
      </c>
    </row>
    <row r="7034" spans="1:6" ht="12.75">
      <c r="A7034" s="2">
        <v>43882.278587962966</v>
      </c>
      <c r="B7034" t="str">
        <f>HYPERLINK("https://twitter.com/MACPHISTOISME","@MACPHISTOISME")</f>
        <v>@MACPHISTOISME</v>
      </c>
      <c r="C7034" t="s">
        <v>3302</v>
      </c>
      <c r="D7034">
        <v>7</v>
      </c>
      <c r="E7034">
        <v>0</v>
      </c>
      <c r="F7034">
        <v>285</v>
      </c>
    </row>
    <row r="7035" spans="1:6" ht="12.75">
      <c r="A7035" s="2">
        <v>43882.277719907404</v>
      </c>
      <c r="B7035" t="str">
        <f>HYPERLINK("https://twitter.com/AryaWBPinatih47","@AryaWBPinatih47")</f>
        <v>@AryaWBPinatih47</v>
      </c>
      <c r="C7035" t="s">
        <v>4968</v>
      </c>
      <c r="D7035">
        <v>6</v>
      </c>
      <c r="E7035">
        <v>0</v>
      </c>
      <c r="F7035">
        <v>2331</v>
      </c>
    </row>
    <row r="7036" spans="1:6" ht="12.75">
      <c r="A7036" s="2">
        <v>43882.277696759258</v>
      </c>
      <c r="B7036" t="str">
        <f>HYPERLINK("https://twitter.com/pranarhadi","@pranarhadi")</f>
        <v>@pranarhadi</v>
      </c>
      <c r="C7036" t="s">
        <v>4975</v>
      </c>
      <c r="D7036">
        <v>207</v>
      </c>
      <c r="E7036">
        <v>0</v>
      </c>
      <c r="F7036">
        <v>10</v>
      </c>
    </row>
    <row r="7037" spans="1:6" ht="12.75">
      <c r="A7037" s="2">
        <v>43882.276608796295</v>
      </c>
      <c r="B7037" t="str">
        <f>HYPERLINK("https://twitter.com/DevinRmd","@DevinRmd")</f>
        <v>@DevinRmd</v>
      </c>
      <c r="C7037" t="s">
        <v>3302</v>
      </c>
      <c r="D7037">
        <v>7</v>
      </c>
      <c r="E7037">
        <v>0</v>
      </c>
      <c r="F7037">
        <v>902</v>
      </c>
    </row>
    <row r="7038" spans="1:6" ht="12.75">
      <c r="A7038" s="2">
        <v>43882.276238425926</v>
      </c>
      <c r="B7038" t="str">
        <f>HYPERLINK("https://twitter.com/redywanjames","@redywanjames")</f>
        <v>@redywanjames</v>
      </c>
      <c r="C7038" t="s">
        <v>4329</v>
      </c>
      <c r="D7038">
        <v>36</v>
      </c>
      <c r="E7038">
        <v>0</v>
      </c>
      <c r="F7038">
        <v>744</v>
      </c>
    </row>
    <row r="7039" spans="1:6" ht="12.75">
      <c r="A7039" s="2">
        <v>43882.276180555556</v>
      </c>
      <c r="B7039" t="str">
        <f>HYPERLINK("https://twitter.com/JossLuc","@JossLuc")</f>
        <v>@JossLuc</v>
      </c>
      <c r="C7039" t="s">
        <v>177</v>
      </c>
      <c r="D7039">
        <v>685</v>
      </c>
      <c r="E7039">
        <v>0</v>
      </c>
      <c r="F7039">
        <v>131</v>
      </c>
    </row>
    <row r="7040" spans="1:6" ht="12.75">
      <c r="A7040" s="2">
        <v>43882.275891203702</v>
      </c>
      <c r="B7040" t="str">
        <f>HYPERLINK("https://twitter.com/IParepare","@IParepare")</f>
        <v>@IParepare</v>
      </c>
      <c r="C7040" t="s">
        <v>4976</v>
      </c>
      <c r="D7040">
        <v>0</v>
      </c>
      <c r="E7040">
        <v>0</v>
      </c>
      <c r="F7040">
        <v>142</v>
      </c>
    </row>
    <row r="7041" spans="1:6" ht="12.75">
      <c r="A7041" s="2">
        <v>43882.275648148148</v>
      </c>
      <c r="B7041" t="str">
        <f t="shared" ref="B7041:B7042" si="128">HYPERLINK("https://twitter.com/dearsunshine17","@dearsunshine17")</f>
        <v>@dearsunshine17</v>
      </c>
      <c r="C7041" t="s">
        <v>2183</v>
      </c>
      <c r="D7041">
        <v>329</v>
      </c>
      <c r="E7041">
        <v>0</v>
      </c>
      <c r="F7041">
        <v>1487</v>
      </c>
    </row>
    <row r="7042" spans="1:6" ht="12.75">
      <c r="A7042" s="2">
        <v>43882.275509259256</v>
      </c>
      <c r="B7042" t="str">
        <f t="shared" si="128"/>
        <v>@dearsunshine17</v>
      </c>
      <c r="C7042" t="s">
        <v>2467</v>
      </c>
      <c r="D7042">
        <v>899</v>
      </c>
      <c r="E7042">
        <v>0</v>
      </c>
      <c r="F7042">
        <v>1487</v>
      </c>
    </row>
    <row r="7043" spans="1:6" ht="12.75">
      <c r="A7043" s="2">
        <v>43882.275462962964</v>
      </c>
      <c r="B7043" t="str">
        <f>HYPERLINK("https://twitter.com/MbarepJeng","@MbarepJeng")</f>
        <v>@MbarepJeng</v>
      </c>
      <c r="C7043" t="s">
        <v>177</v>
      </c>
      <c r="D7043">
        <v>685</v>
      </c>
      <c r="E7043">
        <v>0</v>
      </c>
      <c r="F7043">
        <v>71</v>
      </c>
    </row>
    <row r="7044" spans="1:6" ht="12.75">
      <c r="A7044" s="2">
        <v>43882.275196759263</v>
      </c>
      <c r="B7044" t="str">
        <f>HYPERLINK("https://twitter.com/Ivan94649769","@Ivan94649769")</f>
        <v>@Ivan94649769</v>
      </c>
      <c r="C7044" t="s">
        <v>4977</v>
      </c>
      <c r="D7044">
        <v>0</v>
      </c>
      <c r="E7044">
        <v>0</v>
      </c>
      <c r="F7044">
        <v>9</v>
      </c>
    </row>
    <row r="7045" spans="1:6" ht="12.75">
      <c r="A7045" s="2">
        <v>43882.275173611109</v>
      </c>
      <c r="B7045" t="str">
        <f>HYPERLINK("https://twitter.com/portalSURYA","@portalSURYA")</f>
        <v>@portalSURYA</v>
      </c>
      <c r="C7045" t="s">
        <v>4978</v>
      </c>
      <c r="D7045">
        <v>0</v>
      </c>
      <c r="E7045">
        <v>0</v>
      </c>
      <c r="F7045">
        <v>16171</v>
      </c>
    </row>
    <row r="7046" spans="1:6" ht="12.75">
      <c r="A7046" s="2">
        <v>43882.274872685186</v>
      </c>
      <c r="B7046" t="str">
        <f>HYPERLINK("https://twitter.com/bukanghoin","@bukanghoin")</f>
        <v>@bukanghoin</v>
      </c>
      <c r="C7046" t="s">
        <v>2692</v>
      </c>
      <c r="D7046">
        <v>2016</v>
      </c>
      <c r="E7046">
        <v>0</v>
      </c>
      <c r="F7046">
        <v>739</v>
      </c>
    </row>
    <row r="7047" spans="1:6" ht="12.75">
      <c r="A7047" s="2">
        <v>43882.274872685186</v>
      </c>
      <c r="B7047" t="str">
        <f>HYPERLINK("https://twitter.com/dearsunshine17","@dearsunshine17")</f>
        <v>@dearsunshine17</v>
      </c>
      <c r="C7047" t="s">
        <v>1407</v>
      </c>
      <c r="D7047">
        <v>9717</v>
      </c>
      <c r="E7047">
        <v>0</v>
      </c>
      <c r="F7047">
        <v>1487</v>
      </c>
    </row>
    <row r="7048" spans="1:6" ht="12.75">
      <c r="A7048" s="2">
        <v>43882.274849537032</v>
      </c>
      <c r="B7048" t="str">
        <f>HYPERLINK("https://twitter.com/sinthaintan94","@sinthaintan94")</f>
        <v>@sinthaintan94</v>
      </c>
      <c r="C7048" t="s">
        <v>3302</v>
      </c>
      <c r="D7048">
        <v>7</v>
      </c>
      <c r="E7048">
        <v>0</v>
      </c>
      <c r="F7048">
        <v>263</v>
      </c>
    </row>
    <row r="7049" spans="1:6" ht="12.75">
      <c r="A7049" s="2">
        <v>43882.274513888886</v>
      </c>
      <c r="B7049" t="str">
        <f>HYPERLINK("https://twitter.com/Isis_Turl","@Isis_Turl")</f>
        <v>@Isis_Turl</v>
      </c>
      <c r="C7049" t="s">
        <v>4979</v>
      </c>
      <c r="D7049">
        <v>0</v>
      </c>
      <c r="E7049">
        <v>0</v>
      </c>
      <c r="F7049">
        <v>518</v>
      </c>
    </row>
    <row r="7050" spans="1:6" ht="12.75">
      <c r="A7050" s="2">
        <v>43882.273993055554</v>
      </c>
      <c r="B7050" t="str">
        <f t="shared" ref="B7050:B7052" si="129">HYPERLINK("https://twitter.com/redywanjames","@redywanjames")</f>
        <v>@redywanjames</v>
      </c>
      <c r="C7050" t="s">
        <v>4817</v>
      </c>
      <c r="D7050">
        <v>11</v>
      </c>
      <c r="E7050">
        <v>0</v>
      </c>
      <c r="F7050">
        <v>744</v>
      </c>
    </row>
    <row r="7051" spans="1:6" ht="12.75">
      <c r="A7051" s="2">
        <v>43882.273958333331</v>
      </c>
      <c r="B7051" t="str">
        <f t="shared" si="129"/>
        <v>@redywanjames</v>
      </c>
      <c r="C7051" t="s">
        <v>4818</v>
      </c>
      <c r="D7051">
        <v>9</v>
      </c>
      <c r="E7051">
        <v>0</v>
      </c>
      <c r="F7051">
        <v>744</v>
      </c>
    </row>
    <row r="7052" spans="1:6" ht="12.75">
      <c r="A7052" s="2">
        <v>43882.2737037037</v>
      </c>
      <c r="B7052" t="str">
        <f t="shared" si="129"/>
        <v>@redywanjames</v>
      </c>
      <c r="C7052" t="s">
        <v>3984</v>
      </c>
      <c r="D7052">
        <v>16</v>
      </c>
      <c r="E7052">
        <v>0</v>
      </c>
      <c r="F7052">
        <v>744</v>
      </c>
    </row>
    <row r="7053" spans="1:6" ht="12.75">
      <c r="A7053" s="2">
        <v>43882.273541666669</v>
      </c>
      <c r="B7053" t="str">
        <f>HYPERLINK("https://twitter.com/kuaajajaalajuja","@kuaajajaalajuja")</f>
        <v>@kuaajajaalajuja</v>
      </c>
      <c r="C7053" t="s">
        <v>3302</v>
      </c>
      <c r="D7053">
        <v>7</v>
      </c>
      <c r="E7053">
        <v>0</v>
      </c>
      <c r="F7053">
        <v>258</v>
      </c>
    </row>
    <row r="7054" spans="1:6" ht="12.75">
      <c r="A7054" s="2">
        <v>43882.272812499999</v>
      </c>
      <c r="B7054" t="str">
        <f t="shared" ref="B7054:B7056" si="130">HYPERLINK("https://twitter.com/Adrian_HeriF","@Adrian_HeriF")</f>
        <v>@Adrian_HeriF</v>
      </c>
      <c r="C7054" t="s">
        <v>4980</v>
      </c>
      <c r="D7054">
        <v>0</v>
      </c>
      <c r="E7054">
        <v>0</v>
      </c>
      <c r="F7054">
        <v>78</v>
      </c>
    </row>
    <row r="7055" spans="1:6" ht="12.75">
      <c r="A7055" s="2">
        <v>43882.272812499999</v>
      </c>
      <c r="B7055" t="str">
        <f t="shared" si="130"/>
        <v>@Adrian_HeriF</v>
      </c>
      <c r="C7055" t="s">
        <v>4981</v>
      </c>
      <c r="D7055">
        <v>0</v>
      </c>
      <c r="E7055">
        <v>0</v>
      </c>
      <c r="F7055">
        <v>78</v>
      </c>
    </row>
    <row r="7056" spans="1:6" ht="12.75">
      <c r="A7056" s="2">
        <v>43882.272812499999</v>
      </c>
      <c r="B7056" t="str">
        <f t="shared" si="130"/>
        <v>@Adrian_HeriF</v>
      </c>
      <c r="C7056" t="s">
        <v>4982</v>
      </c>
      <c r="D7056">
        <v>0</v>
      </c>
      <c r="E7056">
        <v>0</v>
      </c>
      <c r="F7056">
        <v>78</v>
      </c>
    </row>
    <row r="7057" spans="1:6" ht="12.75">
      <c r="A7057" s="2">
        <v>43882.272546296299</v>
      </c>
      <c r="B7057" t="str">
        <f>HYPERLINK("https://twitter.com/ani_nyebar","@ani_nyebar")</f>
        <v>@ani_nyebar</v>
      </c>
      <c r="C7057" t="s">
        <v>4983</v>
      </c>
      <c r="D7057">
        <v>0</v>
      </c>
      <c r="E7057">
        <v>0</v>
      </c>
      <c r="F7057">
        <v>93</v>
      </c>
    </row>
    <row r="7058" spans="1:6" ht="12.75">
      <c r="A7058" s="2">
        <v>43882.271956018521</v>
      </c>
      <c r="B7058" t="str">
        <f>HYPERLINK("https://twitter.com/Santoso26166908","@Santoso26166908")</f>
        <v>@Santoso26166908</v>
      </c>
      <c r="C7058" t="s">
        <v>4984</v>
      </c>
      <c r="D7058">
        <v>1</v>
      </c>
      <c r="E7058">
        <v>0</v>
      </c>
      <c r="F7058">
        <v>465</v>
      </c>
    </row>
    <row r="7059" spans="1:6" ht="12.75">
      <c r="A7059" s="2">
        <v>43882.271689814814</v>
      </c>
      <c r="B7059" t="str">
        <f>HYPERLINK("https://twitter.com/Nitizen_Zen","@Nitizen_Zen")</f>
        <v>@Nitizen_Zen</v>
      </c>
      <c r="C7059" t="s">
        <v>4683</v>
      </c>
      <c r="D7059">
        <v>2</v>
      </c>
      <c r="E7059">
        <v>0</v>
      </c>
      <c r="F7059">
        <v>458</v>
      </c>
    </row>
    <row r="7060" spans="1:6" ht="12.75">
      <c r="A7060" s="2">
        <v>43882.269861111112</v>
      </c>
      <c r="B7060" t="str">
        <f>HYPERLINK("https://twitter.com/Adrian_HeriF","@Adrian_HeriF")</f>
        <v>@Adrian_HeriF</v>
      </c>
      <c r="C7060" t="s">
        <v>4985</v>
      </c>
      <c r="D7060">
        <v>0</v>
      </c>
      <c r="E7060">
        <v>0</v>
      </c>
      <c r="F7060">
        <v>78</v>
      </c>
    </row>
    <row r="7061" spans="1:6" ht="12.75">
      <c r="A7061" s="2">
        <v>43882.269513888888</v>
      </c>
      <c r="B7061" t="str">
        <f>HYPERLINK("https://twitter.com/Iiiianpf","@Iiiianpf")</f>
        <v>@Iiiianpf</v>
      </c>
      <c r="C7061" t="s">
        <v>1407</v>
      </c>
      <c r="D7061">
        <v>9717</v>
      </c>
      <c r="E7061">
        <v>0</v>
      </c>
      <c r="F7061">
        <v>493</v>
      </c>
    </row>
    <row r="7062" spans="1:6" ht="12.75">
      <c r="A7062" s="2">
        <v>43882.267847222218</v>
      </c>
      <c r="B7062" t="str">
        <f>HYPERLINK("https://twitter.com/hasmi_bakhtiar","@hasmi_bakhtiar")</f>
        <v>@hasmi_bakhtiar</v>
      </c>
      <c r="C7062" t="s">
        <v>4986</v>
      </c>
      <c r="D7062">
        <v>7</v>
      </c>
      <c r="E7062">
        <v>10</v>
      </c>
      <c r="F7062">
        <v>25871</v>
      </c>
    </row>
    <row r="7063" spans="1:6" ht="12.75">
      <c r="A7063" s="2">
        <v>43882.267696759256</v>
      </c>
      <c r="B7063" t="str">
        <f>HYPERLINK("https://twitter.com/isis_artusi","@isis_artusi")</f>
        <v>@isis_artusi</v>
      </c>
      <c r="C7063" t="s">
        <v>4987</v>
      </c>
      <c r="D7063">
        <v>0</v>
      </c>
      <c r="E7063">
        <v>1</v>
      </c>
      <c r="F7063">
        <v>912</v>
      </c>
    </row>
    <row r="7064" spans="1:6" ht="12.75">
      <c r="A7064" s="2">
        <v>43882.265590277777</v>
      </c>
      <c r="B7064" t="str">
        <f>HYPERLINK("https://twitter.com/GozaliEdwin","@GozaliEdwin")</f>
        <v>@GozaliEdwin</v>
      </c>
      <c r="C7064" t="s">
        <v>4968</v>
      </c>
      <c r="D7064">
        <v>6</v>
      </c>
      <c r="E7064">
        <v>0</v>
      </c>
      <c r="F7064">
        <v>69</v>
      </c>
    </row>
    <row r="7065" spans="1:6" ht="12.75">
      <c r="A7065" s="2">
        <v>43882.2653125</v>
      </c>
      <c r="B7065" t="str">
        <f>HYPERLINK("https://twitter.com/kompascom","@kompascom")</f>
        <v>@kompascom</v>
      </c>
      <c r="C7065" t="s">
        <v>4988</v>
      </c>
      <c r="D7065">
        <v>6</v>
      </c>
      <c r="E7065">
        <v>11</v>
      </c>
      <c r="F7065">
        <v>7505789</v>
      </c>
    </row>
    <row r="7066" spans="1:6" ht="12.75">
      <c r="A7066" s="2">
        <v>43882.26525462963</v>
      </c>
      <c r="B7066" t="str">
        <f>HYPERLINK("https://twitter.com/MAlexandriet","@MAlexandriet")</f>
        <v>@MAlexandriet</v>
      </c>
      <c r="C7066" t="s">
        <v>177</v>
      </c>
      <c r="D7066">
        <v>685</v>
      </c>
      <c r="E7066">
        <v>0</v>
      </c>
      <c r="F7066">
        <v>195</v>
      </c>
    </row>
    <row r="7067" spans="1:6" ht="12.75">
      <c r="A7067" s="2">
        <v>43882.26427083333</v>
      </c>
      <c r="B7067" t="str">
        <f>HYPERLINK("https://twitter.com/_RahmatSetyawan","@_RahmatSetyawan")</f>
        <v>@_RahmatSetyawan</v>
      </c>
      <c r="C7067" t="s">
        <v>4989</v>
      </c>
      <c r="D7067">
        <v>0</v>
      </c>
      <c r="E7067">
        <v>0</v>
      </c>
      <c r="F7067">
        <v>423</v>
      </c>
    </row>
    <row r="7068" spans="1:6" ht="12.75">
      <c r="A7068" s="2">
        <v>43882.264247685191</v>
      </c>
      <c r="B7068" t="str">
        <f>HYPERLINK("https://twitter.com/jesika_vani","@jesika_vani")</f>
        <v>@jesika_vani</v>
      </c>
      <c r="C7068" t="s">
        <v>4990</v>
      </c>
      <c r="D7068">
        <v>0</v>
      </c>
      <c r="E7068">
        <v>0</v>
      </c>
      <c r="F7068">
        <v>20</v>
      </c>
    </row>
    <row r="7069" spans="1:6" ht="12.75">
      <c r="A7069" s="2">
        <v>43882.262453703705</v>
      </c>
      <c r="B7069" t="str">
        <f>HYPERLINK("https://twitter.com/b15uk","@b15uk")</f>
        <v>@b15uk</v>
      </c>
      <c r="C7069" t="s">
        <v>177</v>
      </c>
      <c r="D7069">
        <v>685</v>
      </c>
      <c r="E7069">
        <v>0</v>
      </c>
      <c r="F7069">
        <v>109</v>
      </c>
    </row>
    <row r="7070" spans="1:6" ht="12.75">
      <c r="A7070" s="2">
        <v>43882.262199074074</v>
      </c>
      <c r="B7070" t="str">
        <f>HYPERLINK("https://twitter.com/N_1010_C","@N_1010_C")</f>
        <v>@N_1010_C</v>
      </c>
      <c r="C7070" t="s">
        <v>4991</v>
      </c>
      <c r="D7070">
        <v>0</v>
      </c>
      <c r="E7070">
        <v>0</v>
      </c>
      <c r="F7070">
        <v>1104</v>
      </c>
    </row>
    <row r="7071" spans="1:6" ht="12.75">
      <c r="A7071" s="2">
        <v>43882.261770833335</v>
      </c>
      <c r="B7071" t="str">
        <f>HYPERLINK("https://twitter.com/EdySudrajat77","@EdySudrajat77")</f>
        <v>@EdySudrajat77</v>
      </c>
      <c r="C7071" t="s">
        <v>177</v>
      </c>
      <c r="D7071">
        <v>685</v>
      </c>
      <c r="E7071">
        <v>0</v>
      </c>
      <c r="F7071">
        <v>1358</v>
      </c>
    </row>
    <row r="7072" spans="1:6" ht="12.75">
      <c r="A7072" s="2">
        <v>43882.26116898148</v>
      </c>
      <c r="B7072" t="str">
        <f>HYPERLINK("https://twitter.com/yudhapati88","@yudhapati88")</f>
        <v>@yudhapati88</v>
      </c>
      <c r="C7072" t="s">
        <v>4992</v>
      </c>
      <c r="D7072">
        <v>2</v>
      </c>
      <c r="E7072">
        <v>2</v>
      </c>
      <c r="F7072">
        <v>3411</v>
      </c>
    </row>
    <row r="7073" spans="1:6" ht="12.75">
      <c r="A7073" s="2">
        <v>43882.260729166665</v>
      </c>
      <c r="B7073" t="str">
        <f>HYPERLINK("https://twitter.com/sammimawon17","@sammimawon17")</f>
        <v>@sammimawon17</v>
      </c>
      <c r="C7073" t="s">
        <v>4993</v>
      </c>
      <c r="D7073">
        <v>0</v>
      </c>
      <c r="E7073">
        <v>0</v>
      </c>
      <c r="F7073">
        <v>1</v>
      </c>
    </row>
    <row r="7074" spans="1:6" ht="12.75">
      <c r="A7074" s="2">
        <v>43882.260243055556</v>
      </c>
      <c r="B7074" t="str">
        <f>HYPERLINK("https://twitter.com/arcarohan","@arcarohan")</f>
        <v>@arcarohan</v>
      </c>
      <c r="C7074" t="s">
        <v>4994</v>
      </c>
      <c r="D7074">
        <v>35</v>
      </c>
      <c r="E7074">
        <v>0</v>
      </c>
      <c r="F7074">
        <v>366</v>
      </c>
    </row>
    <row r="7075" spans="1:6" ht="12.75">
      <c r="A7075" s="2">
        <v>43882.25980324074</v>
      </c>
      <c r="B7075" t="str">
        <f>HYPERLINK("https://twitter.com/aw3126","@aw3126")</f>
        <v>@aw3126</v>
      </c>
      <c r="C7075" t="s">
        <v>4995</v>
      </c>
      <c r="D7075">
        <v>0</v>
      </c>
      <c r="E7075">
        <v>0</v>
      </c>
      <c r="F7075">
        <v>736</v>
      </c>
    </row>
    <row r="7076" spans="1:6" ht="12.75">
      <c r="A7076" s="2">
        <v>43882.259305555555</v>
      </c>
      <c r="B7076" t="str">
        <f>HYPERLINK("https://twitter.com/FreeThinkerGL","@FreeThinkerGL")</f>
        <v>@FreeThinkerGL</v>
      </c>
      <c r="C7076" t="s">
        <v>4996</v>
      </c>
      <c r="D7076">
        <v>0</v>
      </c>
      <c r="E7076">
        <v>0</v>
      </c>
      <c r="F7076">
        <v>2207</v>
      </c>
    </row>
    <row r="7077" spans="1:6" ht="12.75">
      <c r="A7077" s="2">
        <v>43882.259270833332</v>
      </c>
      <c r="B7077" t="str">
        <f>HYPERLINK("https://twitter.com/hazpohan","@hazpohan")</f>
        <v>@hazpohan</v>
      </c>
      <c r="C7077" t="s">
        <v>4997</v>
      </c>
      <c r="D7077">
        <v>1</v>
      </c>
      <c r="E7077">
        <v>3</v>
      </c>
      <c r="F7077">
        <v>13843</v>
      </c>
    </row>
    <row r="7078" spans="1:6" ht="12.75">
      <c r="A7078" s="2">
        <v>43882.256099537037</v>
      </c>
      <c r="B7078" t="str">
        <f>HYPERLINK("https://twitter.com/beten5","@beten5")</f>
        <v>@beten5</v>
      </c>
      <c r="C7078" t="s">
        <v>177</v>
      </c>
      <c r="D7078">
        <v>685</v>
      </c>
      <c r="E7078">
        <v>0</v>
      </c>
      <c r="F7078">
        <v>6</v>
      </c>
    </row>
    <row r="7079" spans="1:6" ht="12.75">
      <c r="A7079" s="2">
        <v>43882.256053240737</v>
      </c>
      <c r="B7079" t="str">
        <f>HYPERLINK("https://twitter.com/gunoto7","@gunoto7")</f>
        <v>@gunoto7</v>
      </c>
      <c r="C7079" t="s">
        <v>4329</v>
      </c>
      <c r="D7079">
        <v>36</v>
      </c>
      <c r="E7079">
        <v>0</v>
      </c>
      <c r="F7079">
        <v>2777</v>
      </c>
    </row>
    <row r="7080" spans="1:6" ht="12.75">
      <c r="A7080" s="2">
        <v>43882.255983796298</v>
      </c>
      <c r="B7080" t="str">
        <f>HYPERLINK("https://twitter.com/_CHlS_","@_CHlS_")</f>
        <v>@_CHlS_</v>
      </c>
      <c r="C7080" t="s">
        <v>4829</v>
      </c>
      <c r="D7080">
        <v>16</v>
      </c>
      <c r="E7080">
        <v>0</v>
      </c>
      <c r="F7080">
        <v>2749</v>
      </c>
    </row>
    <row r="7081" spans="1:6" ht="12.75">
      <c r="A7081" s="2">
        <v>43882.255752314813</v>
      </c>
      <c r="B7081" t="str">
        <f>HYPERLINK("https://twitter.com/Syindhu","@Syindhu")</f>
        <v>@Syindhu</v>
      </c>
      <c r="C7081" t="s">
        <v>4998</v>
      </c>
      <c r="D7081">
        <v>0</v>
      </c>
      <c r="E7081">
        <v>0</v>
      </c>
      <c r="F7081">
        <v>196</v>
      </c>
    </row>
    <row r="7082" spans="1:6" ht="12.75">
      <c r="A7082" s="2">
        <v>43882.253599537042</v>
      </c>
      <c r="B7082" t="str">
        <f>HYPERLINK("https://twitter.com/UripCak","@UripCak")</f>
        <v>@UripCak</v>
      </c>
      <c r="C7082" t="s">
        <v>4329</v>
      </c>
      <c r="D7082">
        <v>36</v>
      </c>
      <c r="E7082">
        <v>0</v>
      </c>
      <c r="F7082">
        <v>1375</v>
      </c>
    </row>
    <row r="7083" spans="1:6" ht="12.75">
      <c r="A7083" s="2">
        <v>43882.253472222219</v>
      </c>
      <c r="B7083" t="str">
        <f>HYPERLINK("https://twitter.com/AnadoluAgencyID","@AnadoluAgencyID")</f>
        <v>@AnadoluAgencyID</v>
      </c>
      <c r="C7083" t="s">
        <v>4999</v>
      </c>
      <c r="D7083">
        <v>0</v>
      </c>
      <c r="E7083">
        <v>0</v>
      </c>
      <c r="F7083">
        <v>1151</v>
      </c>
    </row>
    <row r="7084" spans="1:6" ht="12.75">
      <c r="A7084" s="2">
        <v>43882.252314814818</v>
      </c>
      <c r="B7084" t="str">
        <f>HYPERLINK("https://twitter.com/Isis_Granger_","@Isis_Granger_")</f>
        <v>@Isis_Granger_</v>
      </c>
      <c r="C7084" t="s">
        <v>5000</v>
      </c>
      <c r="D7084">
        <v>1</v>
      </c>
      <c r="E7084">
        <v>0</v>
      </c>
      <c r="F7084">
        <v>420</v>
      </c>
    </row>
    <row r="7085" spans="1:6" ht="12.75">
      <c r="A7085" s="2">
        <v>43882.252291666664</v>
      </c>
      <c r="B7085" t="str">
        <f>HYPERLINK("https://twitter.com/audycuit","@audycuit")</f>
        <v>@audycuit</v>
      </c>
      <c r="C7085" t="s">
        <v>4329</v>
      </c>
      <c r="D7085">
        <v>36</v>
      </c>
      <c r="E7085">
        <v>0</v>
      </c>
      <c r="F7085">
        <v>2549</v>
      </c>
    </row>
    <row r="7086" spans="1:6" ht="12.75">
      <c r="A7086" s="2">
        <v>43882.252280092594</v>
      </c>
      <c r="B7086" t="str">
        <f>HYPERLINK("https://twitter.com/LuciusGalih","@LuciusGalih")</f>
        <v>@LuciusGalih</v>
      </c>
      <c r="C7086" t="s">
        <v>177</v>
      </c>
      <c r="D7086">
        <v>685</v>
      </c>
      <c r="E7086">
        <v>0</v>
      </c>
      <c r="F7086">
        <v>344</v>
      </c>
    </row>
    <row r="7087" spans="1:6" ht="12.75">
      <c r="A7087" s="2">
        <v>43882.252245370371</v>
      </c>
      <c r="B7087" t="str">
        <f t="shared" ref="B7087:B7089" si="131">HYPERLINK("https://twitter.com/Isis_Granger_","@Isis_Granger_")</f>
        <v>@Isis_Granger_</v>
      </c>
      <c r="C7087" t="s">
        <v>5001</v>
      </c>
      <c r="D7087">
        <v>1</v>
      </c>
      <c r="E7087">
        <v>0</v>
      </c>
      <c r="F7087">
        <v>420</v>
      </c>
    </row>
    <row r="7088" spans="1:6" ht="12.75">
      <c r="A7088" s="2">
        <v>43882.251782407402</v>
      </c>
      <c r="B7088" t="str">
        <f t="shared" si="131"/>
        <v>@Isis_Granger_</v>
      </c>
      <c r="C7088" t="s">
        <v>5002</v>
      </c>
      <c r="D7088">
        <v>1</v>
      </c>
      <c r="E7088">
        <v>0</v>
      </c>
      <c r="F7088">
        <v>420</v>
      </c>
    </row>
    <row r="7089" spans="1:6" ht="12.75">
      <c r="A7089" s="2">
        <v>43882.251712962963</v>
      </c>
      <c r="B7089" t="str">
        <f t="shared" si="131"/>
        <v>@Isis_Granger_</v>
      </c>
      <c r="C7089" t="s">
        <v>5003</v>
      </c>
      <c r="D7089">
        <v>1</v>
      </c>
      <c r="E7089">
        <v>0</v>
      </c>
      <c r="F7089">
        <v>420</v>
      </c>
    </row>
    <row r="7090" spans="1:6" ht="12.75">
      <c r="A7090" s="2">
        <v>43882.251435185186</v>
      </c>
      <c r="B7090" t="str">
        <f>HYPERLINK("https://twitter.com/BillTemporo","@BillTemporo")</f>
        <v>@BillTemporo</v>
      </c>
      <c r="C7090" t="s">
        <v>832</v>
      </c>
      <c r="D7090">
        <v>0</v>
      </c>
      <c r="E7090">
        <v>0</v>
      </c>
      <c r="F7090">
        <v>11</v>
      </c>
    </row>
    <row r="7091" spans="1:6" ht="12.75">
      <c r="A7091" s="2">
        <v>43882.251319444447</v>
      </c>
      <c r="B7091" t="str">
        <f>HYPERLINK("https://twitter.com/DePlankthoon","@DePlankthoon")</f>
        <v>@DePlankthoon</v>
      </c>
      <c r="C7091" t="s">
        <v>4329</v>
      </c>
      <c r="D7091">
        <v>32</v>
      </c>
      <c r="E7091">
        <v>0</v>
      </c>
      <c r="F7091">
        <v>1495</v>
      </c>
    </row>
    <row r="7092" spans="1:6" ht="12.75">
      <c r="A7092" s="2">
        <v>43882.251134259262</v>
      </c>
      <c r="B7092" t="str">
        <f>HYPERLINK("https://twitter.com/sumsel_update","@sumsel_update")</f>
        <v>@sumsel_update</v>
      </c>
      <c r="C7092" t="s">
        <v>4712</v>
      </c>
      <c r="D7092">
        <v>0</v>
      </c>
      <c r="E7092">
        <v>0</v>
      </c>
      <c r="F7092">
        <v>1004</v>
      </c>
    </row>
    <row r="7093" spans="1:6" ht="12.75">
      <c r="A7093" s="2">
        <v>43882.250879629632</v>
      </c>
      <c r="B7093" t="str">
        <f>HYPERLINK("https://twitter.com/Isis_Granger_","@Isis_Granger_")</f>
        <v>@Isis_Granger_</v>
      </c>
      <c r="C7093" t="s">
        <v>5004</v>
      </c>
      <c r="D7093">
        <v>1</v>
      </c>
      <c r="E7093">
        <v>0</v>
      </c>
      <c r="F7093">
        <v>420</v>
      </c>
    </row>
    <row r="7094" spans="1:6" ht="12.75">
      <c r="A7094" s="2">
        <v>43882.25</v>
      </c>
      <c r="B7094" t="str">
        <f>HYPERLINK("https://twitter.com/Lintas_MNCTV","@Lintas_MNCTV")</f>
        <v>@Lintas_MNCTV</v>
      </c>
      <c r="C7094" t="s">
        <v>5005</v>
      </c>
      <c r="D7094">
        <v>0</v>
      </c>
      <c r="E7094">
        <v>0</v>
      </c>
      <c r="F7094">
        <v>35899</v>
      </c>
    </row>
    <row r="7095" spans="1:6" ht="12.75">
      <c r="A7095" s="2">
        <v>43882.249062499999</v>
      </c>
      <c r="B7095" t="str">
        <f>HYPERLINK("https://twitter.com/Lalumawe","@Lalumawe")</f>
        <v>@Lalumawe</v>
      </c>
      <c r="C7095" t="s">
        <v>177</v>
      </c>
      <c r="D7095">
        <v>671</v>
      </c>
      <c r="E7095">
        <v>0</v>
      </c>
      <c r="F7095">
        <v>254</v>
      </c>
    </row>
    <row r="7096" spans="1:6" ht="12.75">
      <c r="A7096" s="2">
        <v>43882.24864583333</v>
      </c>
      <c r="B7096" t="str">
        <f>HYPERLINK("https://twitter.com/budisiswa01","@budisiswa01")</f>
        <v>@budisiswa01</v>
      </c>
      <c r="C7096" t="s">
        <v>177</v>
      </c>
      <c r="D7096">
        <v>671</v>
      </c>
      <c r="E7096">
        <v>0</v>
      </c>
      <c r="F7096">
        <v>1029</v>
      </c>
    </row>
    <row r="7097" spans="1:6" ht="12.75">
      <c r="A7097" s="2">
        <v>43882.248414351852</v>
      </c>
      <c r="B7097" t="str">
        <f>HYPERLINK("https://twitter.com/WahabisLokal","@WahabisLokal")</f>
        <v>@WahabisLokal</v>
      </c>
      <c r="C7097" t="s">
        <v>4329</v>
      </c>
      <c r="D7097">
        <v>32</v>
      </c>
      <c r="E7097">
        <v>0</v>
      </c>
      <c r="F7097">
        <v>19841</v>
      </c>
    </row>
    <row r="7098" spans="1:6" ht="12.75">
      <c r="A7098" s="2">
        <v>43882.245416666672</v>
      </c>
      <c r="B7098" t="str">
        <f t="shared" ref="B7098:B7099" si="132">HYPERLINK("https://twitter.com/cholilhasan0710","@cholilhasan0710")</f>
        <v>@cholilhasan0710</v>
      </c>
      <c r="C7098" t="s">
        <v>5006</v>
      </c>
      <c r="D7098">
        <v>0</v>
      </c>
      <c r="E7098">
        <v>0</v>
      </c>
      <c r="F7098">
        <v>54</v>
      </c>
    </row>
    <row r="7099" spans="1:6" ht="12.75">
      <c r="A7099" s="2">
        <v>43882.245405092588</v>
      </c>
      <c r="B7099" t="str">
        <f t="shared" si="132"/>
        <v>@cholilhasan0710</v>
      </c>
      <c r="C7099" t="s">
        <v>5007</v>
      </c>
      <c r="D7099">
        <v>0</v>
      </c>
      <c r="E7099">
        <v>0</v>
      </c>
      <c r="F7099">
        <v>54</v>
      </c>
    </row>
    <row r="7100" spans="1:6" ht="12.75">
      <c r="A7100" s="2">
        <v>43882.245057870372</v>
      </c>
      <c r="B7100" t="str">
        <f>HYPERLINK("https://twitter.com/viviyaaah","@viviyaaah")</f>
        <v>@viviyaaah</v>
      </c>
      <c r="C7100" t="s">
        <v>2692</v>
      </c>
      <c r="D7100">
        <v>2012</v>
      </c>
      <c r="E7100">
        <v>0</v>
      </c>
      <c r="F7100">
        <v>509</v>
      </c>
    </row>
    <row r="7101" spans="1:6" ht="12.75">
      <c r="A7101" s="2">
        <v>43882.244537037041</v>
      </c>
      <c r="B7101" t="str">
        <f>HYPERLINK("https://twitter.com/rchmdv","@rchmdv")</f>
        <v>@rchmdv</v>
      </c>
      <c r="C7101" t="s">
        <v>5008</v>
      </c>
      <c r="D7101">
        <v>0</v>
      </c>
      <c r="E7101">
        <v>0</v>
      </c>
      <c r="F7101">
        <v>87</v>
      </c>
    </row>
    <row r="7102" spans="1:6" ht="12.75">
      <c r="A7102" s="2">
        <v>43882.243333333332</v>
      </c>
      <c r="B7102" t="str">
        <f>HYPERLINK("https://twitter.com/Nd43497196","@Nd43497196")</f>
        <v>@Nd43497196</v>
      </c>
      <c r="C7102" t="s">
        <v>5009</v>
      </c>
      <c r="D7102">
        <v>1</v>
      </c>
      <c r="E7102">
        <v>0</v>
      </c>
      <c r="F7102">
        <v>2</v>
      </c>
    </row>
    <row r="7103" spans="1:6" ht="12.75">
      <c r="A7103" s="2">
        <v>43882.243263888886</v>
      </c>
      <c r="B7103" t="str">
        <f>HYPERLINK("https://twitter.com/cholilhasan0710","@cholilhasan0710")</f>
        <v>@cholilhasan0710</v>
      </c>
      <c r="C7103" t="s">
        <v>5010</v>
      </c>
      <c r="D7103">
        <v>0</v>
      </c>
      <c r="E7103">
        <v>0</v>
      </c>
      <c r="F7103">
        <v>54</v>
      </c>
    </row>
    <row r="7104" spans="1:6" ht="12.75">
      <c r="A7104" s="2">
        <v>43882.242604166662</v>
      </c>
      <c r="B7104" t="str">
        <f>HYPERLINK("https://twitter.com/_therma_","@_therma_")</f>
        <v>@_therma_</v>
      </c>
      <c r="C7104" t="s">
        <v>4829</v>
      </c>
      <c r="D7104">
        <v>15</v>
      </c>
      <c r="E7104">
        <v>0</v>
      </c>
      <c r="F7104">
        <v>4470</v>
      </c>
    </row>
    <row r="7105" spans="1:6" ht="12.75">
      <c r="A7105" s="2">
        <v>43882.242048611108</v>
      </c>
      <c r="B7105" t="str">
        <f>HYPERLINK("https://twitter.com/FaktaNew5","@FaktaNew5")</f>
        <v>@FaktaNew5</v>
      </c>
      <c r="C7105" t="s">
        <v>5011</v>
      </c>
      <c r="D7105">
        <v>0</v>
      </c>
      <c r="E7105">
        <v>0</v>
      </c>
      <c r="F7105">
        <v>175</v>
      </c>
    </row>
    <row r="7106" spans="1:6" ht="12.75">
      <c r="A7106" s="2">
        <v>43882.240590277783</v>
      </c>
      <c r="B7106" t="str">
        <f>HYPERLINK("https://twitter.com/Pusparosa","@Pusparosa")</f>
        <v>@Pusparosa</v>
      </c>
      <c r="C7106" t="s">
        <v>1407</v>
      </c>
      <c r="D7106">
        <v>9711</v>
      </c>
      <c r="E7106">
        <v>0</v>
      </c>
      <c r="F7106">
        <v>98</v>
      </c>
    </row>
    <row r="7107" spans="1:6" ht="12.75">
      <c r="A7107" s="2">
        <v>43882.239398148144</v>
      </c>
      <c r="B7107" t="str">
        <f>HYPERLINK("https://twitter.com/wandaaokt","@wandaaokt")</f>
        <v>@wandaaokt</v>
      </c>
      <c r="C7107" t="s">
        <v>1407</v>
      </c>
      <c r="D7107">
        <v>9711</v>
      </c>
      <c r="E7107">
        <v>0</v>
      </c>
      <c r="F7107">
        <v>1273</v>
      </c>
    </row>
    <row r="7108" spans="1:6" ht="12.75">
      <c r="A7108" s="2">
        <v>43882.236863425926</v>
      </c>
      <c r="B7108" t="str">
        <f>HYPERLINK("https://twitter.com/wrgckgi_","@wrgckgi_")</f>
        <v>@wrgckgi_</v>
      </c>
      <c r="C7108" t="s">
        <v>5012</v>
      </c>
      <c r="D7108">
        <v>0</v>
      </c>
      <c r="E7108">
        <v>0</v>
      </c>
      <c r="F7108">
        <v>14</v>
      </c>
    </row>
    <row r="7109" spans="1:6" ht="12.75">
      <c r="A7109" s="2">
        <v>43882.234699074077</v>
      </c>
      <c r="B7109" t="str">
        <f>HYPERLINK("https://twitter.com/jibrilmf1","@jibrilmf1")</f>
        <v>@jibrilmf1</v>
      </c>
      <c r="C7109" t="s">
        <v>5013</v>
      </c>
      <c r="D7109">
        <v>0</v>
      </c>
      <c r="E7109">
        <v>0</v>
      </c>
      <c r="F7109">
        <v>107</v>
      </c>
    </row>
    <row r="7110" spans="1:6" ht="12.75">
      <c r="A7110" s="2">
        <v>43882.234305555554</v>
      </c>
      <c r="B7110" t="str">
        <f>HYPERLINK("https://twitter.com/jonripandiangan","@jonripandiangan")</f>
        <v>@jonripandiangan</v>
      </c>
      <c r="C7110" t="s">
        <v>177</v>
      </c>
      <c r="D7110">
        <v>671</v>
      </c>
      <c r="E7110">
        <v>0</v>
      </c>
      <c r="F7110">
        <v>115</v>
      </c>
    </row>
    <row r="7111" spans="1:6" ht="12.75">
      <c r="A7111" s="2">
        <v>43882.232847222222</v>
      </c>
      <c r="B7111" t="str">
        <f>HYPERLINK("https://twitter.com/goblokconk","@goblokconk")</f>
        <v>@goblokconk</v>
      </c>
      <c r="C7111" t="s">
        <v>1407</v>
      </c>
      <c r="D7111">
        <v>9711</v>
      </c>
      <c r="E7111">
        <v>0</v>
      </c>
      <c r="F7111">
        <v>70</v>
      </c>
    </row>
    <row r="7112" spans="1:6" ht="12.75">
      <c r="A7112" s="2">
        <v>43882.232430555552</v>
      </c>
      <c r="B7112" t="str">
        <f>HYPERLINK("https://twitter.com/fachri_kh","@fachri_kh")</f>
        <v>@fachri_kh</v>
      </c>
      <c r="C7112" t="s">
        <v>4829</v>
      </c>
      <c r="D7112">
        <v>15</v>
      </c>
      <c r="E7112">
        <v>0</v>
      </c>
      <c r="F7112">
        <v>4080</v>
      </c>
    </row>
    <row r="7113" spans="1:6" ht="12.75">
      <c r="A7113" s="2">
        <v>43882.230497685188</v>
      </c>
      <c r="B7113" t="str">
        <f>HYPERLINK("https://twitter.com/BillTemporo","@BillTemporo")</f>
        <v>@BillTemporo</v>
      </c>
      <c r="C7113" t="s">
        <v>2092</v>
      </c>
      <c r="D7113">
        <v>0</v>
      </c>
      <c r="E7113">
        <v>0</v>
      </c>
      <c r="F7113">
        <v>11</v>
      </c>
    </row>
    <row r="7114" spans="1:6" ht="12.75">
      <c r="A7114" s="2">
        <v>43882.23038194445</v>
      </c>
      <c r="B7114" t="str">
        <f>HYPERLINK("https://twitter.com/SiapaSari","@SiapaSari")</f>
        <v>@SiapaSari</v>
      </c>
      <c r="C7114" t="s">
        <v>1407</v>
      </c>
      <c r="D7114">
        <v>9711</v>
      </c>
      <c r="E7114">
        <v>0</v>
      </c>
      <c r="F7114">
        <v>268</v>
      </c>
    </row>
    <row r="7115" spans="1:6" ht="12.75">
      <c r="A7115" s="2">
        <v>43882.229166666672</v>
      </c>
      <c r="B7115" t="str">
        <f>HYPERLINK("https://twitter.com/MeTubeID","@MeTubeID")</f>
        <v>@MeTubeID</v>
      </c>
      <c r="C7115" t="s">
        <v>5014</v>
      </c>
      <c r="D7115">
        <v>0</v>
      </c>
      <c r="E7115">
        <v>0</v>
      </c>
      <c r="F7115">
        <v>6300</v>
      </c>
    </row>
    <row r="7116" spans="1:6" ht="12.75">
      <c r="A7116" s="2">
        <v>43882.22892361111</v>
      </c>
      <c r="B7116" t="str">
        <f>HYPERLINK("https://twitter.com/ToufikImtikhan2","@ToufikImtikhan2")</f>
        <v>@ToufikImtikhan2</v>
      </c>
      <c r="C7116" t="s">
        <v>5015</v>
      </c>
      <c r="D7116">
        <v>0</v>
      </c>
      <c r="E7116">
        <v>0</v>
      </c>
      <c r="F7116">
        <v>172</v>
      </c>
    </row>
    <row r="7117" spans="1:6" ht="12.75">
      <c r="A7117" s="2">
        <v>43882.227789351848</v>
      </c>
      <c r="B7117" t="str">
        <f>HYPERLINK("https://twitter.com/ISIS_Balik_NO","@ISIS_Balik_NO")</f>
        <v>@ISIS_Balik_NO</v>
      </c>
      <c r="C7117" t="s">
        <v>5016</v>
      </c>
      <c r="D7117">
        <v>0</v>
      </c>
      <c r="E7117">
        <v>1</v>
      </c>
      <c r="F7117">
        <v>6089</v>
      </c>
    </row>
    <row r="7118" spans="1:6" ht="12.75">
      <c r="A7118" s="2">
        <v>43882.226724537039</v>
      </c>
      <c r="B7118" t="str">
        <f>HYPERLINK("https://twitter.com/CS_Ramdhani","@CS_Ramdhani")</f>
        <v>@CS_Ramdhani</v>
      </c>
      <c r="C7118" t="s">
        <v>4329</v>
      </c>
      <c r="D7118">
        <v>32</v>
      </c>
      <c r="E7118">
        <v>0</v>
      </c>
      <c r="F7118">
        <v>365</v>
      </c>
    </row>
    <row r="7119" spans="1:6" ht="12.75">
      <c r="A7119" s="2">
        <v>43882.2262962963</v>
      </c>
      <c r="B7119" t="str">
        <f>HYPERLINK("https://twitter.com/koecing_pasar","@koecing_pasar")</f>
        <v>@koecing_pasar</v>
      </c>
      <c r="C7119" t="s">
        <v>177</v>
      </c>
      <c r="D7119">
        <v>671</v>
      </c>
      <c r="E7119">
        <v>0</v>
      </c>
      <c r="F7119">
        <v>1240</v>
      </c>
    </row>
    <row r="7120" spans="1:6" ht="12.75">
      <c r="A7120" s="2">
        <v>43882.226099537038</v>
      </c>
      <c r="B7120" t="str">
        <f>HYPERLINK("https://twitter.com/indrianaa121","@indrianaa121")</f>
        <v>@indrianaa121</v>
      </c>
      <c r="C7120" t="s">
        <v>5017</v>
      </c>
      <c r="D7120">
        <v>1</v>
      </c>
      <c r="E7120">
        <v>0</v>
      </c>
      <c r="F7120">
        <v>256</v>
      </c>
    </row>
    <row r="7121" spans="1:6" ht="12.75">
      <c r="A7121" s="2">
        <v>43882.226018518515</v>
      </c>
      <c r="B7121" t="str">
        <f>HYPERLINK("https://twitter.com/kasman_vandi","@kasman_vandi")</f>
        <v>@kasman_vandi</v>
      </c>
      <c r="C7121" t="s">
        <v>5018</v>
      </c>
      <c r="D7121">
        <v>0</v>
      </c>
      <c r="E7121">
        <v>1</v>
      </c>
      <c r="F7121">
        <v>904</v>
      </c>
    </row>
    <row r="7122" spans="1:6" ht="12.75">
      <c r="A7122" s="2">
        <v>43882.225949074069</v>
      </c>
      <c r="B7122" t="str">
        <f>HYPERLINK("https://twitter.com/erdobani","@erdobani")</f>
        <v>@erdobani</v>
      </c>
      <c r="C7122" t="s">
        <v>4633</v>
      </c>
      <c r="D7122">
        <v>0</v>
      </c>
      <c r="E7122">
        <v>0</v>
      </c>
      <c r="F7122">
        <v>105</v>
      </c>
    </row>
    <row r="7123" spans="1:6" ht="12.75">
      <c r="A7123" s="2">
        <v>43882.22583333333</v>
      </c>
      <c r="B7123" t="str">
        <f>HYPERLINK("https://twitter.com/andreprawiro_","@andreprawiro_")</f>
        <v>@andreprawiro_</v>
      </c>
      <c r="C7123" t="s">
        <v>5019</v>
      </c>
      <c r="D7123">
        <v>1</v>
      </c>
      <c r="E7123">
        <v>0</v>
      </c>
      <c r="F7123">
        <v>27</v>
      </c>
    </row>
    <row r="7124" spans="1:6" ht="12.75">
      <c r="A7124" s="2">
        <v>43882.225439814814</v>
      </c>
      <c r="B7124" t="str">
        <f>HYPERLINK("https://twitter.com/kodokpangeran5","@kodokpangeran5")</f>
        <v>@kodokpangeran5</v>
      </c>
      <c r="C7124" t="s">
        <v>5020</v>
      </c>
      <c r="D7124">
        <v>0</v>
      </c>
      <c r="E7124">
        <v>1</v>
      </c>
      <c r="F7124">
        <v>97</v>
      </c>
    </row>
    <row r="7125" spans="1:6" ht="12.75">
      <c r="A7125" s="2">
        <v>43882.225081018521</v>
      </c>
      <c r="B7125" t="str">
        <f>HYPERLINK("https://twitter.com/andreprawiro_","@andreprawiro_")</f>
        <v>@andreprawiro_</v>
      </c>
      <c r="C7125" t="s">
        <v>5021</v>
      </c>
      <c r="D7125">
        <v>1</v>
      </c>
      <c r="E7125">
        <v>0</v>
      </c>
      <c r="F7125">
        <v>27</v>
      </c>
    </row>
    <row r="7126" spans="1:6" ht="12.75">
      <c r="A7126" s="2">
        <v>43882.224421296298</v>
      </c>
      <c r="B7126" t="str">
        <f>HYPERLINK("https://twitter.com/antobalboa1","@antobalboa1")</f>
        <v>@antobalboa1</v>
      </c>
      <c r="C7126" t="s">
        <v>5020</v>
      </c>
      <c r="D7126">
        <v>0</v>
      </c>
      <c r="E7126">
        <v>0</v>
      </c>
      <c r="F7126">
        <v>9</v>
      </c>
    </row>
    <row r="7127" spans="1:6" ht="12.75">
      <c r="A7127" s="2">
        <v>43882.224039351851</v>
      </c>
      <c r="B7127" t="str">
        <f>HYPERLINK("https://twitter.com/bacotbaru","@bacotbaru")</f>
        <v>@bacotbaru</v>
      </c>
      <c r="C7127" t="s">
        <v>1407</v>
      </c>
      <c r="D7127">
        <v>9711</v>
      </c>
      <c r="E7127">
        <v>0</v>
      </c>
      <c r="F7127">
        <v>5</v>
      </c>
    </row>
    <row r="7128" spans="1:6" ht="12.75">
      <c r="A7128" s="2">
        <v>43882.221539351856</v>
      </c>
      <c r="B7128" t="str">
        <f>HYPERLINK("https://twitter.com/kodokpangeran5","@kodokpangeran5")</f>
        <v>@kodokpangeran5</v>
      </c>
      <c r="C7128" t="s">
        <v>5022</v>
      </c>
      <c r="D7128">
        <v>1</v>
      </c>
      <c r="E7128">
        <v>0</v>
      </c>
      <c r="F7128">
        <v>97</v>
      </c>
    </row>
    <row r="7129" spans="1:6" ht="12.75">
      <c r="A7129" s="2">
        <v>43882.221203703702</v>
      </c>
      <c r="B7129" t="str">
        <f>HYPERLINK("https://twitter.com/raneeaidha","@raneeaidha")</f>
        <v>@raneeaidha</v>
      </c>
      <c r="C7129" t="s">
        <v>2692</v>
      </c>
      <c r="D7129">
        <v>2012</v>
      </c>
      <c r="E7129">
        <v>0</v>
      </c>
      <c r="F7129">
        <v>1395</v>
      </c>
    </row>
    <row r="7130" spans="1:6" ht="12.75">
      <c r="A7130" s="2">
        <v>43882.22074074074</v>
      </c>
      <c r="B7130" t="str">
        <f>HYPERLINK("https://twitter.com/valentinoroti4","@valentinoroti4")</f>
        <v>@valentinoroti4</v>
      </c>
      <c r="C7130" t="s">
        <v>5023</v>
      </c>
      <c r="D7130">
        <v>0</v>
      </c>
      <c r="E7130">
        <v>0</v>
      </c>
      <c r="F7130">
        <v>7</v>
      </c>
    </row>
    <row r="7131" spans="1:6" ht="12.75">
      <c r="A7131" s="2">
        <v>43882.220208333332</v>
      </c>
      <c r="B7131" t="str">
        <f>HYPERLINK("https://twitter.com/LamanKita_","@LamanKita_")</f>
        <v>@LamanKita_</v>
      </c>
      <c r="C7131" t="s">
        <v>5024</v>
      </c>
      <c r="D7131">
        <v>1</v>
      </c>
      <c r="E7131">
        <v>1</v>
      </c>
      <c r="F7131">
        <v>138577</v>
      </c>
    </row>
    <row r="7132" spans="1:6" ht="12.75">
      <c r="A7132" s="2">
        <v>43882.219687500001</v>
      </c>
      <c r="B7132" t="str">
        <f>HYPERLINK("https://twitter.com/maryatiyati02","@maryatiyati02")</f>
        <v>@maryatiyati02</v>
      </c>
      <c r="C7132" t="s">
        <v>5020</v>
      </c>
      <c r="D7132">
        <v>0</v>
      </c>
      <c r="E7132">
        <v>1</v>
      </c>
      <c r="F7132">
        <v>29</v>
      </c>
    </row>
    <row r="7133" spans="1:6" ht="12.75">
      <c r="A7133" s="2">
        <v>43882.219409722224</v>
      </c>
      <c r="B7133" t="str">
        <f>HYPERLINK("https://twitter.com/erdobani","@erdobani")</f>
        <v>@erdobani</v>
      </c>
      <c r="C7133" t="s">
        <v>5023</v>
      </c>
      <c r="D7133">
        <v>0</v>
      </c>
      <c r="E7133">
        <v>1</v>
      </c>
      <c r="F7133">
        <v>105</v>
      </c>
    </row>
    <row r="7134" spans="1:6" ht="12.75">
      <c r="A7134" s="2">
        <v>43882.218622685185</v>
      </c>
      <c r="B7134" t="str">
        <f>HYPERLINK("https://twitter.com/minhyunsc","@minhyunsc")</f>
        <v>@minhyunsc</v>
      </c>
      <c r="C7134" t="s">
        <v>5022</v>
      </c>
      <c r="D7134">
        <v>1</v>
      </c>
      <c r="E7134">
        <v>0</v>
      </c>
      <c r="F7134">
        <v>7526</v>
      </c>
    </row>
    <row r="7135" spans="1:6" ht="12.75">
      <c r="A7135" s="2">
        <v>43882.216782407406</v>
      </c>
      <c r="B7135" t="str">
        <f>HYPERLINK("https://twitter.com/RomaSormin","@RomaSormin")</f>
        <v>@RomaSormin</v>
      </c>
      <c r="C7135" t="s">
        <v>177</v>
      </c>
      <c r="D7135">
        <v>671</v>
      </c>
      <c r="E7135">
        <v>0</v>
      </c>
      <c r="F7135">
        <v>6</v>
      </c>
    </row>
    <row r="7136" spans="1:6" ht="12.75">
      <c r="A7136" s="2">
        <v>43882.215231481481</v>
      </c>
      <c r="B7136" t="str">
        <f>HYPERLINK("https://twitter.com/emannisti_15","@emannisti_15")</f>
        <v>@emannisti_15</v>
      </c>
      <c r="C7136" t="s">
        <v>177</v>
      </c>
      <c r="D7136">
        <v>671</v>
      </c>
      <c r="E7136">
        <v>0</v>
      </c>
      <c r="F7136">
        <v>379</v>
      </c>
    </row>
    <row r="7137" spans="1:6" ht="12.75">
      <c r="A7137" s="2">
        <v>43882.212708333333</v>
      </c>
      <c r="B7137" t="str">
        <f>HYPERLINK("https://twitter.com/J_Aryoko","@J_Aryoko")</f>
        <v>@J_Aryoko</v>
      </c>
      <c r="C7137" t="s">
        <v>5025</v>
      </c>
      <c r="D7137">
        <v>1</v>
      </c>
      <c r="E7137">
        <v>0</v>
      </c>
      <c r="F7137">
        <v>1405</v>
      </c>
    </row>
    <row r="7138" spans="1:6" ht="12.75">
      <c r="A7138" s="2">
        <v>43882.212407407409</v>
      </c>
      <c r="B7138" t="str">
        <f>HYPERLINK("https://twitter.com/pacarkimkaaai","@pacarkimkaaai")</f>
        <v>@pacarkimkaaai</v>
      </c>
      <c r="C7138" t="s">
        <v>1407</v>
      </c>
      <c r="D7138">
        <v>9711</v>
      </c>
      <c r="E7138">
        <v>0</v>
      </c>
      <c r="F7138">
        <v>41</v>
      </c>
    </row>
    <row r="7139" spans="1:6" ht="12.75">
      <c r="A7139" s="2">
        <v>43882.211678240739</v>
      </c>
      <c r="B7139" t="str">
        <f>HYPERLINK("https://twitter.com/hyunjaxe","@hyunjaxe")</f>
        <v>@hyunjaxe</v>
      </c>
      <c r="C7139" t="s">
        <v>177</v>
      </c>
      <c r="D7139">
        <v>671</v>
      </c>
      <c r="E7139">
        <v>0</v>
      </c>
      <c r="F7139">
        <v>1537</v>
      </c>
    </row>
    <row r="7140" spans="1:6" ht="12.75">
      <c r="A7140" s="2">
        <v>43882.210856481484</v>
      </c>
      <c r="B7140" t="str">
        <f>HYPERLINK("https://twitter.com/zlaaa6","@zlaaa6")</f>
        <v>@zlaaa6</v>
      </c>
      <c r="C7140" t="s">
        <v>1407</v>
      </c>
      <c r="D7140">
        <v>9711</v>
      </c>
      <c r="E7140">
        <v>0</v>
      </c>
      <c r="F7140">
        <v>37</v>
      </c>
    </row>
    <row r="7141" spans="1:6" ht="12.75">
      <c r="A7141" s="2">
        <v>43882.209710648152</v>
      </c>
      <c r="B7141" t="str">
        <f>HYPERLINK("https://twitter.com/BillTemporo","@BillTemporo")</f>
        <v>@BillTemporo</v>
      </c>
      <c r="C7141" t="s">
        <v>889</v>
      </c>
      <c r="D7141">
        <v>0</v>
      </c>
      <c r="E7141">
        <v>0</v>
      </c>
      <c r="F7141">
        <v>11</v>
      </c>
    </row>
    <row r="7142" spans="1:6" ht="12.75">
      <c r="A7142" s="2">
        <v>43882.205162037033</v>
      </c>
      <c r="B7142" t="str">
        <f>HYPERLINK("https://twitter.com/Adrian_98171077","@Adrian_98171077")</f>
        <v>@Adrian_98171077</v>
      </c>
      <c r="C7142" t="s">
        <v>177</v>
      </c>
      <c r="D7142">
        <v>664</v>
      </c>
      <c r="E7142">
        <v>0</v>
      </c>
      <c r="F7142">
        <v>236</v>
      </c>
    </row>
    <row r="7143" spans="1:6" ht="12.75">
      <c r="A7143" s="2">
        <v>43882.204548611116</v>
      </c>
      <c r="B7143" t="str">
        <f t="shared" ref="B7143:B7146" si="133">HYPERLINK("https://twitter.com/dewi_darmawati","@dewi_darmawati")</f>
        <v>@dewi_darmawati</v>
      </c>
      <c r="C7143" t="s">
        <v>3977</v>
      </c>
      <c r="D7143">
        <v>17</v>
      </c>
      <c r="E7143">
        <v>0</v>
      </c>
      <c r="F7143">
        <v>4198</v>
      </c>
    </row>
    <row r="7144" spans="1:6" ht="12.75">
      <c r="A7144" s="2">
        <v>43882.203958333332</v>
      </c>
      <c r="B7144" t="str">
        <f t="shared" si="133"/>
        <v>@dewi_darmawati</v>
      </c>
      <c r="C7144" t="s">
        <v>4817</v>
      </c>
      <c r="D7144">
        <v>9</v>
      </c>
      <c r="E7144">
        <v>0</v>
      </c>
      <c r="F7144">
        <v>4198</v>
      </c>
    </row>
    <row r="7145" spans="1:6" ht="12.75">
      <c r="A7145" s="2">
        <v>43882.203912037032</v>
      </c>
      <c r="B7145" t="str">
        <f t="shared" si="133"/>
        <v>@dewi_darmawati</v>
      </c>
      <c r="C7145" t="s">
        <v>4818</v>
      </c>
      <c r="D7145">
        <v>7</v>
      </c>
      <c r="E7145">
        <v>0</v>
      </c>
      <c r="F7145">
        <v>4198</v>
      </c>
    </row>
    <row r="7146" spans="1:6" ht="12.75">
      <c r="A7146" s="2">
        <v>43882.203587962962</v>
      </c>
      <c r="B7146" t="str">
        <f t="shared" si="133"/>
        <v>@dewi_darmawati</v>
      </c>
      <c r="C7146" t="s">
        <v>3984</v>
      </c>
      <c r="D7146">
        <v>15</v>
      </c>
      <c r="E7146">
        <v>0</v>
      </c>
      <c r="F7146">
        <v>4198</v>
      </c>
    </row>
    <row r="7147" spans="1:6" ht="12.75">
      <c r="A7147" s="2">
        <v>43882.203275462962</v>
      </c>
      <c r="B7147" t="str">
        <f>HYPERLINK("https://twitter.com/RamdhaniMulia","@RamdhaniMulia")</f>
        <v>@RamdhaniMulia</v>
      </c>
      <c r="C7147" t="s">
        <v>5026</v>
      </c>
      <c r="D7147">
        <v>0</v>
      </c>
      <c r="E7147">
        <v>0</v>
      </c>
      <c r="F7147">
        <v>6</v>
      </c>
    </row>
    <row r="7148" spans="1:6" ht="12.75">
      <c r="A7148" s="2">
        <v>43882.201782407406</v>
      </c>
      <c r="B7148" t="str">
        <f>HYPERLINK("https://twitter.com/FahdSugiono2","@FahdSugiono2")</f>
        <v>@FahdSugiono2</v>
      </c>
      <c r="C7148" t="s">
        <v>177</v>
      </c>
      <c r="D7148">
        <v>664</v>
      </c>
      <c r="E7148">
        <v>0</v>
      </c>
      <c r="F7148">
        <v>8</v>
      </c>
    </row>
    <row r="7149" spans="1:6" ht="12.75">
      <c r="A7149" s="2">
        <v>43882.20008101852</v>
      </c>
      <c r="B7149" t="str">
        <f>HYPERLINK("https://twitter.com/AhdiyatiQiqi","@AhdiyatiQiqi")</f>
        <v>@AhdiyatiQiqi</v>
      </c>
      <c r="C7149" t="s">
        <v>177</v>
      </c>
      <c r="D7149">
        <v>664</v>
      </c>
      <c r="E7149">
        <v>0</v>
      </c>
      <c r="F7149">
        <v>0</v>
      </c>
    </row>
    <row r="7150" spans="1:6" ht="12.75">
      <c r="A7150" s="2">
        <v>43882.198599537034</v>
      </c>
      <c r="B7150" t="str">
        <f>HYPERLINK("https://twitter.com/katatodaycom","@katatodaycom")</f>
        <v>@katatodaycom</v>
      </c>
      <c r="C7150" t="s">
        <v>5027</v>
      </c>
      <c r="D7150">
        <v>0</v>
      </c>
      <c r="E7150">
        <v>0</v>
      </c>
      <c r="F7150">
        <v>1005</v>
      </c>
    </row>
    <row r="7151" spans="1:6" ht="12.75">
      <c r="A7151" s="2">
        <v>43882.198067129633</v>
      </c>
      <c r="B7151" t="str">
        <f>HYPERLINK("https://twitter.com/idntimes","@idntimes")</f>
        <v>@idntimes</v>
      </c>
      <c r="C7151" t="s">
        <v>4158</v>
      </c>
      <c r="D7151">
        <v>0</v>
      </c>
      <c r="E7151">
        <v>0</v>
      </c>
      <c r="F7151">
        <v>393097</v>
      </c>
    </row>
    <row r="7152" spans="1:6" ht="12.75">
      <c r="A7152" s="2">
        <v>43882.194467592592</v>
      </c>
      <c r="B7152" t="str">
        <f>HYPERLINK("https://twitter.com/republikaonline","@republikaonline")</f>
        <v>@republikaonline</v>
      </c>
      <c r="C7152" t="s">
        <v>5028</v>
      </c>
      <c r="D7152">
        <v>0</v>
      </c>
      <c r="E7152">
        <v>1</v>
      </c>
      <c r="F7152">
        <v>1211640</v>
      </c>
    </row>
    <row r="7153" spans="1:6" ht="12.75">
      <c r="A7153" s="2">
        <v>43882.189930555556</v>
      </c>
      <c r="B7153" t="str">
        <f>HYPERLINK("https://twitter.com/SjDaniel16","@SjDaniel16")</f>
        <v>@SjDaniel16</v>
      </c>
      <c r="C7153" t="s">
        <v>5029</v>
      </c>
      <c r="D7153">
        <v>539</v>
      </c>
      <c r="E7153">
        <v>0</v>
      </c>
      <c r="F7153">
        <v>1</v>
      </c>
    </row>
    <row r="7154" spans="1:6" ht="12.75">
      <c r="A7154" s="2">
        <v>43882.185173611113</v>
      </c>
      <c r="B7154" t="str">
        <f>HYPERLINK("https://twitter.com/postpersada001","@postpersada001")</f>
        <v>@postpersada001</v>
      </c>
      <c r="C7154" t="s">
        <v>5030</v>
      </c>
      <c r="D7154">
        <v>0</v>
      </c>
      <c r="E7154">
        <v>0</v>
      </c>
      <c r="F7154">
        <v>0</v>
      </c>
    </row>
    <row r="7155" spans="1:6" ht="12.75">
      <c r="A7155" s="2">
        <v>43882.182986111111</v>
      </c>
      <c r="B7155" t="str">
        <f>HYPERLINK("https://twitter.com/WindayatiLusi","@WindayatiLusi")</f>
        <v>@WindayatiLusi</v>
      </c>
      <c r="C7155" t="s">
        <v>5031</v>
      </c>
      <c r="D7155">
        <v>0</v>
      </c>
      <c r="E7155">
        <v>0</v>
      </c>
      <c r="F7155">
        <v>91</v>
      </c>
    </row>
    <row r="7156" spans="1:6" ht="12.75">
      <c r="A7156" s="2">
        <v>43882.181851851856</v>
      </c>
      <c r="B7156" t="str">
        <f>HYPERLINK("https://twitter.com/PelancongTua","@PelancongTua")</f>
        <v>@PelancongTua</v>
      </c>
      <c r="C7156" t="s">
        <v>5032</v>
      </c>
      <c r="D7156">
        <v>0</v>
      </c>
      <c r="E7156">
        <v>0</v>
      </c>
      <c r="F7156">
        <v>11</v>
      </c>
    </row>
    <row r="7157" spans="1:6" ht="12.75">
      <c r="A7157" s="2">
        <v>43882.178969907407</v>
      </c>
      <c r="B7157" t="str">
        <f>HYPERLINK("https://twitter.com/hariankompas","@hariankompas")</f>
        <v>@hariankompas</v>
      </c>
      <c r="C7157" t="s">
        <v>5033</v>
      </c>
      <c r="D7157">
        <v>0</v>
      </c>
      <c r="E7157">
        <v>0</v>
      </c>
      <c r="F7157">
        <v>786694</v>
      </c>
    </row>
    <row r="7158" spans="1:6" ht="12.75">
      <c r="A7158" s="2">
        <v>43882.178344907406</v>
      </c>
      <c r="B7158" t="str">
        <f>HYPERLINK("https://twitter.com/Ferr_di_an","@Ferr_di_an")</f>
        <v>@Ferr_di_an</v>
      </c>
      <c r="C7158" t="s">
        <v>5034</v>
      </c>
      <c r="D7158">
        <v>0</v>
      </c>
      <c r="E7158">
        <v>0</v>
      </c>
      <c r="F7158">
        <v>381</v>
      </c>
    </row>
    <row r="7159" spans="1:6" ht="12.75">
      <c r="A7159" s="2">
        <v>43882.17763888889</v>
      </c>
      <c r="B7159" t="str">
        <f>HYPERLINK("https://twitter.com/Isis_Izzy","@Isis_Izzy")</f>
        <v>@Isis_Izzy</v>
      </c>
      <c r="C7159" t="s">
        <v>5035</v>
      </c>
      <c r="D7159">
        <v>10150</v>
      </c>
      <c r="E7159">
        <v>0</v>
      </c>
      <c r="F7159">
        <v>1543</v>
      </c>
    </row>
    <row r="7160" spans="1:6" ht="12.75">
      <c r="A7160" s="2">
        <v>43882.176319444443</v>
      </c>
      <c r="B7160" t="str">
        <f>HYPERLINK("https://twitter.com/dr_Husnu","@dr_Husnu")</f>
        <v>@dr_Husnu</v>
      </c>
      <c r="C7160" t="s">
        <v>2141</v>
      </c>
      <c r="D7160">
        <v>99</v>
      </c>
      <c r="E7160">
        <v>0</v>
      </c>
      <c r="F7160">
        <v>437</v>
      </c>
    </row>
    <row r="7161" spans="1:6" ht="12.75">
      <c r="A7161" s="2">
        <v>43882.175833333335</v>
      </c>
      <c r="B7161" t="str">
        <f>HYPERLINK("https://twitter.com/mudha_satriya","@mudha_satriya")</f>
        <v>@mudha_satriya</v>
      </c>
      <c r="C7161" t="s">
        <v>4679</v>
      </c>
      <c r="D7161">
        <v>3</v>
      </c>
      <c r="E7161">
        <v>0</v>
      </c>
      <c r="F7161">
        <v>1873</v>
      </c>
    </row>
    <row r="7162" spans="1:6" ht="12.75">
      <c r="A7162" s="2">
        <v>43882.174930555557</v>
      </c>
      <c r="B7162" t="str">
        <f>HYPERLINK("https://twitter.com/EUPH0RIARIES","@EUPH0RIARIES")</f>
        <v>@EUPH0RIARIES</v>
      </c>
      <c r="C7162" t="s">
        <v>5036</v>
      </c>
      <c r="D7162">
        <v>0</v>
      </c>
      <c r="E7162">
        <v>0</v>
      </c>
      <c r="F7162">
        <v>215</v>
      </c>
    </row>
    <row r="7163" spans="1:6" ht="12.75">
      <c r="A7163" s="2">
        <v>43882.17288194444</v>
      </c>
      <c r="B7163" t="str">
        <f>HYPERLINK("https://twitter.com/kopikirpikir","@kopikirpikir")</f>
        <v>@kopikirpikir</v>
      </c>
      <c r="C7163" t="s">
        <v>2692</v>
      </c>
      <c r="D7163">
        <v>2010</v>
      </c>
      <c r="E7163">
        <v>0</v>
      </c>
      <c r="F7163">
        <v>1932</v>
      </c>
    </row>
    <row r="7164" spans="1:6" ht="12.75">
      <c r="A7164" s="2">
        <v>43882.171701388885</v>
      </c>
      <c r="B7164" t="str">
        <f>HYPERLINK("https://twitter.com/AdeliaNahra","@AdeliaNahra")</f>
        <v>@AdeliaNahra</v>
      </c>
      <c r="C7164" t="s">
        <v>5037</v>
      </c>
      <c r="D7164">
        <v>0</v>
      </c>
      <c r="E7164">
        <v>0</v>
      </c>
      <c r="F7164">
        <v>0</v>
      </c>
    </row>
    <row r="7165" spans="1:6" ht="12.75">
      <c r="A7165" s="2">
        <v>43882.1715625</v>
      </c>
      <c r="B7165" t="str">
        <f>HYPERLINK("https://twitter.com/trijayanti23","@trijayanti23")</f>
        <v>@trijayanti23</v>
      </c>
      <c r="C7165" t="s">
        <v>3483</v>
      </c>
      <c r="D7165">
        <v>26</v>
      </c>
      <c r="E7165">
        <v>0</v>
      </c>
      <c r="F7165">
        <v>297</v>
      </c>
    </row>
    <row r="7166" spans="1:6" ht="12.75">
      <c r="A7166" s="2">
        <v>43882.171377314815</v>
      </c>
      <c r="B7166" t="str">
        <f>HYPERLINK("https://twitter.com/WaspadaSatria","@WaspadaSatria")</f>
        <v>@WaspadaSatria</v>
      </c>
      <c r="C7166" t="s">
        <v>5038</v>
      </c>
      <c r="D7166">
        <v>0</v>
      </c>
      <c r="E7166">
        <v>0</v>
      </c>
      <c r="F7166">
        <v>1</v>
      </c>
    </row>
    <row r="7167" spans="1:6" ht="12.75">
      <c r="A7167" s="2">
        <v>43882.168749999997</v>
      </c>
      <c r="B7167" t="str">
        <f>HYPERLINK("https://twitter.com/beatrice_health","@beatrice_health")</f>
        <v>@beatrice_health</v>
      </c>
      <c r="C7167" t="s">
        <v>5039</v>
      </c>
      <c r="D7167">
        <v>8</v>
      </c>
      <c r="E7167">
        <v>0</v>
      </c>
      <c r="F7167">
        <v>245</v>
      </c>
    </row>
    <row r="7168" spans="1:6" ht="12.75">
      <c r="A7168" s="2">
        <v>43882.168657407412</v>
      </c>
      <c r="B7168" t="str">
        <f>HYPERLINK("https://twitter.com/carlita20002000","@carlita20002000")</f>
        <v>@carlita20002000</v>
      </c>
      <c r="C7168" t="s">
        <v>5039</v>
      </c>
      <c r="D7168">
        <v>8</v>
      </c>
      <c r="E7168">
        <v>0</v>
      </c>
      <c r="F7168">
        <v>831</v>
      </c>
    </row>
    <row r="7169" spans="1:6" ht="12.75">
      <c r="A7169" s="2">
        <v>43882.165127314816</v>
      </c>
      <c r="B7169" t="str">
        <f>HYPERLINK("https://twitter.com/Yoyons9","@Yoyons9")</f>
        <v>@Yoyons9</v>
      </c>
      <c r="C7169" t="s">
        <v>177</v>
      </c>
      <c r="D7169">
        <v>659</v>
      </c>
      <c r="E7169">
        <v>0</v>
      </c>
      <c r="F7169">
        <v>26</v>
      </c>
    </row>
    <row r="7170" spans="1:6" ht="12.75">
      <c r="A7170" s="2">
        <v>43882.162291666667</v>
      </c>
      <c r="B7170" t="str">
        <f>HYPERLINK("https://twitter.com/abdulla41734805","@abdulla41734805")</f>
        <v>@abdulla41734805</v>
      </c>
      <c r="C7170" t="s">
        <v>5040</v>
      </c>
      <c r="D7170">
        <v>0</v>
      </c>
      <c r="E7170">
        <v>0</v>
      </c>
      <c r="F7170">
        <v>19</v>
      </c>
    </row>
    <row r="7171" spans="1:6" ht="12.75">
      <c r="A7171" s="2">
        <v>43882.158518518518</v>
      </c>
      <c r="B7171" t="str">
        <f>HYPERLINK("https://twitter.com/Rosirhm_","@Rosirhm_")</f>
        <v>@Rosirhm_</v>
      </c>
      <c r="C7171" t="s">
        <v>1407</v>
      </c>
      <c r="D7171">
        <v>9707</v>
      </c>
      <c r="E7171">
        <v>0</v>
      </c>
      <c r="F7171">
        <v>579</v>
      </c>
    </row>
    <row r="7172" spans="1:6" ht="12.75">
      <c r="A7172" s="2">
        <v>43882.154942129629</v>
      </c>
      <c r="B7172" t="str">
        <f>HYPERLINK("https://twitter.com/MVVZ3","@MVVZ3")</f>
        <v>@MVVZ3</v>
      </c>
      <c r="C7172" t="s">
        <v>5041</v>
      </c>
      <c r="D7172">
        <v>3</v>
      </c>
      <c r="E7172">
        <v>0</v>
      </c>
      <c r="F7172">
        <v>1048</v>
      </c>
    </row>
    <row r="7173" spans="1:6" ht="12.75">
      <c r="A7173" s="2">
        <v>43882.145601851851</v>
      </c>
      <c r="B7173" t="str">
        <f>HYPERLINK("https://twitter.com/kjrifrankfurt","@kjrifrankfurt")</f>
        <v>@kjrifrankfurt</v>
      </c>
      <c r="C7173" t="s">
        <v>5042</v>
      </c>
      <c r="D7173">
        <v>0</v>
      </c>
      <c r="E7173">
        <v>0</v>
      </c>
      <c r="F7173">
        <v>287</v>
      </c>
    </row>
    <row r="7174" spans="1:6" ht="12.75">
      <c r="A7174" s="2">
        <v>43882.145289351851</v>
      </c>
      <c r="B7174" t="str">
        <f>HYPERLINK("https://twitter.com/Amirmasoom131","@Amirmasoom131")</f>
        <v>@Amirmasoom131</v>
      </c>
      <c r="C7174" t="s">
        <v>5043</v>
      </c>
      <c r="D7174">
        <v>0</v>
      </c>
      <c r="E7174">
        <v>0</v>
      </c>
      <c r="F7174">
        <v>433</v>
      </c>
    </row>
    <row r="7175" spans="1:6" ht="12.75">
      <c r="A7175" s="2">
        <v>43882.143171296295</v>
      </c>
      <c r="B7175" t="str">
        <f>HYPERLINK("https://twitter.com/Andree_Anggono","@Andree_Anggono")</f>
        <v>@Andree_Anggono</v>
      </c>
      <c r="C7175" t="s">
        <v>5044</v>
      </c>
      <c r="D7175">
        <v>214</v>
      </c>
      <c r="E7175">
        <v>0</v>
      </c>
      <c r="F7175">
        <v>104</v>
      </c>
    </row>
    <row r="7176" spans="1:6" ht="12.75">
      <c r="A7176" s="2">
        <v>43882.141747685186</v>
      </c>
      <c r="B7176" t="str">
        <f>HYPERLINK("https://twitter.com/D_Nolowala","@D_Nolowala")</f>
        <v>@D_Nolowala</v>
      </c>
      <c r="C7176" t="s">
        <v>513</v>
      </c>
      <c r="D7176">
        <v>23240</v>
      </c>
      <c r="E7176">
        <v>0</v>
      </c>
      <c r="F7176">
        <v>10</v>
      </c>
    </row>
    <row r="7177" spans="1:6" ht="12.75">
      <c r="A7177" s="2">
        <v>43882.141342592593</v>
      </c>
      <c r="B7177" t="str">
        <f>HYPERLINK("https://twitter.com/pudjaMangLo","@pudjaMangLo")</f>
        <v>@pudjaMangLo</v>
      </c>
      <c r="C7177" t="s">
        <v>177</v>
      </c>
      <c r="D7177">
        <v>659</v>
      </c>
      <c r="E7177">
        <v>0</v>
      </c>
      <c r="F7177">
        <v>332</v>
      </c>
    </row>
    <row r="7178" spans="1:6" ht="12.75">
      <c r="A7178" s="2">
        <v>43882.141168981485</v>
      </c>
      <c r="B7178" t="str">
        <f>HYPERLINK("https://twitter.com/INAinBucharest","@INAinBucharest")</f>
        <v>@INAinBucharest</v>
      </c>
      <c r="C7178" t="s">
        <v>5045</v>
      </c>
      <c r="D7178">
        <v>0</v>
      </c>
      <c r="E7178">
        <v>0</v>
      </c>
      <c r="F7178">
        <v>1660</v>
      </c>
    </row>
    <row r="7179" spans="1:6" ht="12.75">
      <c r="A7179" s="2">
        <v>43882.137106481481</v>
      </c>
      <c r="B7179" t="str">
        <f>HYPERLINK("https://twitter.com/DJXdiE1","@DJXdiE1")</f>
        <v>@DJXdiE1</v>
      </c>
      <c r="C7179" t="s">
        <v>5046</v>
      </c>
      <c r="D7179">
        <v>0</v>
      </c>
      <c r="E7179">
        <v>0</v>
      </c>
      <c r="F7179">
        <v>121</v>
      </c>
    </row>
    <row r="7180" spans="1:6" ht="12.75">
      <c r="A7180" s="2">
        <v>43882.137002314819</v>
      </c>
      <c r="B7180" t="str">
        <f>HYPERLINK("https://twitter.com/AntonTs2","@AntonTs2")</f>
        <v>@AntonTs2</v>
      </c>
      <c r="C7180" t="s">
        <v>177</v>
      </c>
      <c r="D7180">
        <v>659</v>
      </c>
      <c r="E7180">
        <v>0</v>
      </c>
      <c r="F7180">
        <v>148</v>
      </c>
    </row>
    <row r="7181" spans="1:6" ht="12.75">
      <c r="A7181" s="2">
        <v>43882.133032407408</v>
      </c>
      <c r="B7181" t="str">
        <f>HYPERLINK("https://twitter.com/DwiEndles18","@DwiEndles18")</f>
        <v>@DwiEndles18</v>
      </c>
      <c r="C7181" t="s">
        <v>177</v>
      </c>
      <c r="D7181">
        <v>659</v>
      </c>
      <c r="E7181">
        <v>0</v>
      </c>
      <c r="F7181">
        <v>2</v>
      </c>
    </row>
    <row r="7182" spans="1:6" ht="12.75">
      <c r="A7182" s="2">
        <v>43882.130243055552</v>
      </c>
      <c r="B7182" t="str">
        <f>HYPERLINK("https://twitter.com/imelbox","@imelbox")</f>
        <v>@imelbox</v>
      </c>
      <c r="C7182" t="s">
        <v>5047</v>
      </c>
      <c r="D7182">
        <v>0</v>
      </c>
      <c r="E7182">
        <v>0</v>
      </c>
      <c r="F7182">
        <v>164</v>
      </c>
    </row>
    <row r="7183" spans="1:6" ht="12.75">
      <c r="A7183" s="2">
        <v>43882.12501157407</v>
      </c>
      <c r="B7183" t="str">
        <f>HYPERLINK("https://twitter.com/Lintas_MNCTV","@Lintas_MNCTV")</f>
        <v>@Lintas_MNCTV</v>
      </c>
      <c r="C7183" t="s">
        <v>5048</v>
      </c>
      <c r="D7183">
        <v>0</v>
      </c>
      <c r="E7183">
        <v>0</v>
      </c>
      <c r="F7183">
        <v>35900</v>
      </c>
    </row>
    <row r="7184" spans="1:6" ht="12.75">
      <c r="A7184" s="2">
        <v>43882.125</v>
      </c>
      <c r="B7184" t="str">
        <f>HYPERLINK("https://twitter.com/SeputariNews","@SeputariNews")</f>
        <v>@SeputariNews</v>
      </c>
      <c r="C7184" t="s">
        <v>5049</v>
      </c>
      <c r="D7184">
        <v>0</v>
      </c>
      <c r="E7184">
        <v>0</v>
      </c>
      <c r="F7184">
        <v>438668</v>
      </c>
    </row>
    <row r="7185" spans="1:6" ht="12.75">
      <c r="A7185" s="2">
        <v>43882.124201388884</v>
      </c>
      <c r="B7185" t="str">
        <f>HYPERLINK("https://twitter.com/aleshanoura","@aleshanoura")</f>
        <v>@aleshanoura</v>
      </c>
      <c r="C7185" t="s">
        <v>5050</v>
      </c>
      <c r="D7185">
        <v>3</v>
      </c>
      <c r="E7185">
        <v>0</v>
      </c>
      <c r="F7185">
        <v>225</v>
      </c>
    </row>
    <row r="7186" spans="1:6" ht="12.75">
      <c r="A7186" s="2">
        <v>43882.122685185182</v>
      </c>
      <c r="B7186" t="str">
        <f>HYPERLINK("https://twitter.com/DinaDwiastuti8","@DinaDwiastuti8")</f>
        <v>@DinaDwiastuti8</v>
      </c>
      <c r="C7186" t="s">
        <v>177</v>
      </c>
      <c r="D7186">
        <v>655</v>
      </c>
      <c r="E7186">
        <v>0</v>
      </c>
      <c r="F7186">
        <v>3</v>
      </c>
    </row>
    <row r="7187" spans="1:6" ht="12.75">
      <c r="A7187" s="2">
        <v>43882.119675925926</v>
      </c>
      <c r="B7187" t="str">
        <f>HYPERLINK("https://twitter.com/SGMkVIII","@SGMkVIII")</f>
        <v>@SGMkVIII</v>
      </c>
      <c r="C7187" t="s">
        <v>5051</v>
      </c>
      <c r="D7187">
        <v>0</v>
      </c>
      <c r="E7187">
        <v>0</v>
      </c>
      <c r="F7187">
        <v>569</v>
      </c>
    </row>
    <row r="7188" spans="1:6" ht="12.75">
      <c r="A7188" s="2">
        <v>43882.119467592594</v>
      </c>
      <c r="B7188" t="str">
        <f>HYPERLINK("https://twitter.com/BassasLopez","@BassasLopez")</f>
        <v>@BassasLopez</v>
      </c>
      <c r="C7188" t="s">
        <v>5052</v>
      </c>
      <c r="D7188">
        <v>5</v>
      </c>
      <c r="E7188">
        <v>0</v>
      </c>
      <c r="F7188">
        <v>845</v>
      </c>
    </row>
    <row r="7189" spans="1:6" ht="12.75">
      <c r="A7189" s="2">
        <v>43882.119074074071</v>
      </c>
      <c r="B7189" t="str">
        <f t="shared" ref="B7189:B7190" si="134">HYPERLINK("https://twitter.com/bintang_kelana","@bintang_kelana")</f>
        <v>@bintang_kelana</v>
      </c>
      <c r="C7189" t="s">
        <v>177</v>
      </c>
      <c r="D7189">
        <v>655</v>
      </c>
      <c r="E7189">
        <v>0</v>
      </c>
      <c r="F7189">
        <v>144</v>
      </c>
    </row>
    <row r="7190" spans="1:6" ht="12.75">
      <c r="A7190" s="2">
        <v>43882.11855324074</v>
      </c>
      <c r="B7190" t="str">
        <f t="shared" si="134"/>
        <v>@bintang_kelana</v>
      </c>
      <c r="C7190" t="s">
        <v>175</v>
      </c>
      <c r="D7190">
        <v>5406</v>
      </c>
      <c r="E7190">
        <v>0</v>
      </c>
      <c r="F7190">
        <v>144</v>
      </c>
    </row>
    <row r="7191" spans="1:6" ht="12.75">
      <c r="A7191" s="2">
        <v>43882.117326388892</v>
      </c>
      <c r="B7191" t="str">
        <f>HYPERLINK("https://twitter.com/Ferry13602224","@Ferry13602224")</f>
        <v>@Ferry13602224</v>
      </c>
      <c r="C7191" t="s">
        <v>4769</v>
      </c>
      <c r="D7191">
        <v>7</v>
      </c>
      <c r="E7191">
        <v>0</v>
      </c>
      <c r="F7191">
        <v>385</v>
      </c>
    </row>
    <row r="7192" spans="1:6" ht="12.75">
      <c r="A7192" s="2">
        <v>43882.117245370369</v>
      </c>
      <c r="B7192" t="str">
        <f>HYPERLINK("https://twitter.com/mahmudfauzinas1","@mahmudfauzinas1")</f>
        <v>@mahmudfauzinas1</v>
      </c>
      <c r="C7192" t="s">
        <v>177</v>
      </c>
      <c r="D7192">
        <v>655</v>
      </c>
      <c r="E7192">
        <v>0</v>
      </c>
      <c r="F7192">
        <v>106</v>
      </c>
    </row>
    <row r="7193" spans="1:6" ht="12.75">
      <c r="A7193" s="2">
        <v>43882.11719907407</v>
      </c>
      <c r="B7193" t="str">
        <f>HYPERLINK("https://twitter.com/Ferry13602224","@Ferry13602224")</f>
        <v>@Ferry13602224</v>
      </c>
      <c r="C7193" t="s">
        <v>177</v>
      </c>
      <c r="D7193">
        <v>655</v>
      </c>
      <c r="E7193">
        <v>0</v>
      </c>
      <c r="F7193">
        <v>385</v>
      </c>
    </row>
    <row r="7194" spans="1:6" ht="12.75">
      <c r="A7194" s="2">
        <v>43882.115752314814</v>
      </c>
      <c r="B7194" t="str">
        <f>HYPERLINK("https://twitter.com/beatrice_health","@beatrice_health")</f>
        <v>@beatrice_health</v>
      </c>
      <c r="C7194" t="s">
        <v>2085</v>
      </c>
      <c r="D7194">
        <v>23</v>
      </c>
      <c r="E7194">
        <v>0</v>
      </c>
      <c r="F7194">
        <v>244</v>
      </c>
    </row>
    <row r="7195" spans="1:6" ht="12.75">
      <c r="A7195" s="2">
        <v>43882.115624999999</v>
      </c>
      <c r="B7195" t="str">
        <f>HYPERLINK("https://twitter.com/rosemoo23608325","@rosemoo23608325")</f>
        <v>@rosemoo23608325</v>
      </c>
      <c r="C7195" t="s">
        <v>2085</v>
      </c>
      <c r="D7195">
        <v>23</v>
      </c>
      <c r="E7195">
        <v>0</v>
      </c>
      <c r="F7195">
        <v>5</v>
      </c>
    </row>
    <row r="7196" spans="1:6" ht="12.75">
      <c r="A7196" s="2">
        <v>43882.114340277782</v>
      </c>
      <c r="B7196" t="str">
        <f>HYPERLINK("https://twitter.com/harset2013","@harset2013")</f>
        <v>@harset2013</v>
      </c>
      <c r="C7196" t="s">
        <v>177</v>
      </c>
      <c r="D7196">
        <v>655</v>
      </c>
      <c r="E7196">
        <v>0</v>
      </c>
      <c r="F7196">
        <v>859</v>
      </c>
    </row>
    <row r="7197" spans="1:6" ht="12.75">
      <c r="A7197" s="2">
        <v>43882.113125000003</v>
      </c>
      <c r="B7197" t="str">
        <f>HYPERLINK("https://twitter.com/StandBehindJKW","@StandBehindJKW")</f>
        <v>@StandBehindJKW</v>
      </c>
      <c r="C7197" t="s">
        <v>177</v>
      </c>
      <c r="D7197">
        <v>655</v>
      </c>
      <c r="E7197">
        <v>0</v>
      </c>
      <c r="F7197">
        <v>3073</v>
      </c>
    </row>
    <row r="7198" spans="1:6" ht="12.75">
      <c r="A7198" s="2">
        <v>43882.112037037034</v>
      </c>
      <c r="B7198" t="str">
        <f>HYPERLINK("https://twitter.com/FireBirdFeniks","@FireBirdFeniks")</f>
        <v>@FireBirdFeniks</v>
      </c>
      <c r="C7198" t="s">
        <v>177</v>
      </c>
      <c r="D7198">
        <v>655</v>
      </c>
      <c r="E7198">
        <v>0</v>
      </c>
      <c r="F7198">
        <v>1765</v>
      </c>
    </row>
    <row r="7199" spans="1:6" ht="12.75">
      <c r="A7199" s="2">
        <v>43882.111655092594</v>
      </c>
      <c r="B7199" t="str">
        <f>HYPERLINK("https://twitter.com/Ari83302397","@Ari83302397")</f>
        <v>@Ari83302397</v>
      </c>
      <c r="C7199" t="s">
        <v>3141</v>
      </c>
      <c r="D7199">
        <v>16</v>
      </c>
      <c r="E7199">
        <v>0</v>
      </c>
      <c r="F7199">
        <v>0</v>
      </c>
    </row>
    <row r="7200" spans="1:6" ht="12.75">
      <c r="A7200" s="2">
        <v>43882.110787037032</v>
      </c>
      <c r="B7200" t="str">
        <f>HYPERLINK("https://twitter.com/billiramadhan3","@billiramadhan3")</f>
        <v>@billiramadhan3</v>
      </c>
      <c r="C7200" t="s">
        <v>177</v>
      </c>
      <c r="D7200">
        <v>655</v>
      </c>
      <c r="E7200">
        <v>0</v>
      </c>
      <c r="F7200">
        <v>33</v>
      </c>
    </row>
    <row r="7201" spans="1:6" ht="12.75">
      <c r="A7201" s="2">
        <v>43882.110706018517</v>
      </c>
      <c r="B7201" t="str">
        <f>HYPERLINK("https://twitter.com/muthiafy","@muthiafy")</f>
        <v>@muthiafy</v>
      </c>
      <c r="C7201" t="s">
        <v>5053</v>
      </c>
      <c r="D7201">
        <v>0</v>
      </c>
      <c r="E7201">
        <v>0</v>
      </c>
      <c r="F7201">
        <v>9647</v>
      </c>
    </row>
    <row r="7202" spans="1:6" ht="12.75">
      <c r="A7202" s="2">
        <v>43882.110543981486</v>
      </c>
      <c r="B7202" t="str">
        <f>HYPERLINK("https://twitter.com/Arif_Bijksn","@Arif_Bijksn")</f>
        <v>@Arif_Bijksn</v>
      </c>
      <c r="C7202" t="s">
        <v>177</v>
      </c>
      <c r="D7202">
        <v>655</v>
      </c>
      <c r="E7202">
        <v>0</v>
      </c>
      <c r="F7202">
        <v>1527</v>
      </c>
    </row>
    <row r="7203" spans="1:6" ht="12.75">
      <c r="A7203" s="2">
        <v>43882.10155092593</v>
      </c>
      <c r="B7203" t="str">
        <f>HYPERLINK("https://twitter.com/jevousavez","@jevousavez")</f>
        <v>@jevousavez</v>
      </c>
      <c r="C7203" t="s">
        <v>1407</v>
      </c>
      <c r="D7203">
        <v>9703</v>
      </c>
      <c r="E7203">
        <v>0</v>
      </c>
      <c r="F7203">
        <v>51</v>
      </c>
    </row>
    <row r="7204" spans="1:6" ht="12.75">
      <c r="A7204" s="2">
        <v>43882.101481481484</v>
      </c>
      <c r="B7204" t="str">
        <f>HYPERLINK("https://twitter.com/IvanRT05","@IvanRT05")</f>
        <v>@IvanRT05</v>
      </c>
      <c r="C7204" t="s">
        <v>5054</v>
      </c>
      <c r="D7204">
        <v>0</v>
      </c>
      <c r="E7204">
        <v>0</v>
      </c>
      <c r="F7204">
        <v>650</v>
      </c>
    </row>
    <row r="7205" spans="1:6" ht="12.75">
      <c r="A7205" s="2">
        <v>43882.101064814815</v>
      </c>
      <c r="B7205" t="str">
        <f>HYPERLINK("https://twitter.com/Ryan43_official","@Ryan43_official")</f>
        <v>@Ryan43_official</v>
      </c>
      <c r="C7205" t="s">
        <v>5055</v>
      </c>
      <c r="D7205">
        <v>0</v>
      </c>
      <c r="E7205">
        <v>0</v>
      </c>
      <c r="F7205">
        <v>95</v>
      </c>
    </row>
    <row r="7206" spans="1:6" ht="12.75">
      <c r="A7206" s="2">
        <v>43882.099780092598</v>
      </c>
      <c r="B7206" t="str">
        <f>HYPERLINK("https://twitter.com/herubadala","@herubadala")</f>
        <v>@herubadala</v>
      </c>
      <c r="C7206" t="s">
        <v>177</v>
      </c>
      <c r="D7206">
        <v>655</v>
      </c>
      <c r="E7206">
        <v>0</v>
      </c>
      <c r="F7206">
        <v>481</v>
      </c>
    </row>
    <row r="7207" spans="1:6" ht="12.75">
      <c r="A7207" s="2">
        <v>43882.099375000005</v>
      </c>
      <c r="B7207" t="str">
        <f>HYPERLINK("https://twitter.com/teztooz","@teztooz")</f>
        <v>@teztooz</v>
      </c>
      <c r="C7207" t="s">
        <v>5056</v>
      </c>
      <c r="D7207">
        <v>0</v>
      </c>
      <c r="E7207">
        <v>0</v>
      </c>
      <c r="F7207">
        <v>23</v>
      </c>
    </row>
    <row r="7208" spans="1:6" ht="12.75">
      <c r="A7208" s="2">
        <v>43882.098078703704</v>
      </c>
      <c r="B7208" t="str">
        <f>HYPERLINK("https://twitter.com/Smile19823269","@Smile19823269")</f>
        <v>@Smile19823269</v>
      </c>
      <c r="C7208" t="s">
        <v>5057</v>
      </c>
      <c r="D7208">
        <v>0</v>
      </c>
      <c r="E7208">
        <v>0</v>
      </c>
      <c r="F7208">
        <v>102</v>
      </c>
    </row>
    <row r="7209" spans="1:6" ht="12.75">
      <c r="A7209" s="2">
        <v>43882.096944444449</v>
      </c>
      <c r="B7209" t="str">
        <f>HYPERLINK("https://twitter.com/isis_dorameira","@isis_dorameira")</f>
        <v>@isis_dorameira</v>
      </c>
      <c r="C7209" t="s">
        <v>5058</v>
      </c>
      <c r="D7209">
        <v>56</v>
      </c>
      <c r="E7209">
        <v>0</v>
      </c>
      <c r="F7209">
        <v>372</v>
      </c>
    </row>
    <row r="7210" spans="1:6" ht="12.75">
      <c r="A7210" s="2">
        <v>43882.094247685185</v>
      </c>
      <c r="B7210" t="str">
        <f>HYPERLINK("https://twitter.com/permbambungan","@permbambungan")</f>
        <v>@permbambungan</v>
      </c>
      <c r="C7210" t="s">
        <v>5059</v>
      </c>
      <c r="D7210">
        <v>0</v>
      </c>
      <c r="E7210">
        <v>0</v>
      </c>
      <c r="F7210">
        <v>100</v>
      </c>
    </row>
    <row r="7211" spans="1:6" ht="12.75">
      <c r="A7211" s="2">
        <v>43882.091550925921</v>
      </c>
      <c r="B7211" t="str">
        <f>HYPERLINK("https://twitter.com/deepdeppp","@deepdeppp")</f>
        <v>@deepdeppp</v>
      </c>
      <c r="C7211" t="s">
        <v>5060</v>
      </c>
      <c r="D7211">
        <v>1</v>
      </c>
      <c r="E7211">
        <v>3</v>
      </c>
      <c r="F7211">
        <v>22</v>
      </c>
    </row>
    <row r="7212" spans="1:6" ht="12.75">
      <c r="A7212" s="2">
        <v>43882.091342592597</v>
      </c>
      <c r="B7212" t="str">
        <f>HYPERLINK("https://twitter.com/sundaruu","@sundaruu")</f>
        <v>@sundaruu</v>
      </c>
      <c r="C7212" t="s">
        <v>5061</v>
      </c>
      <c r="D7212">
        <v>0</v>
      </c>
      <c r="E7212">
        <v>0</v>
      </c>
      <c r="F7212">
        <v>96</v>
      </c>
    </row>
    <row r="7213" spans="1:6" ht="12.75">
      <c r="A7213" s="2">
        <v>43882.089791666665</v>
      </c>
      <c r="B7213" t="str">
        <f>HYPERLINK("https://twitter.com/emang_dasar","@emang_dasar")</f>
        <v>@emang_dasar</v>
      </c>
      <c r="C7213" t="s">
        <v>5062</v>
      </c>
      <c r="D7213">
        <v>0</v>
      </c>
      <c r="E7213">
        <v>0</v>
      </c>
      <c r="F7213">
        <v>194</v>
      </c>
    </row>
    <row r="7214" spans="1:6" ht="12.75">
      <c r="A7214" s="2">
        <v>43882.088460648149</v>
      </c>
      <c r="B7214" t="str">
        <f>HYPERLINK("https://twitter.com/koerniawanangga","@koerniawanangga")</f>
        <v>@koerniawanangga</v>
      </c>
      <c r="C7214" t="s">
        <v>177</v>
      </c>
      <c r="D7214">
        <v>655</v>
      </c>
      <c r="E7214">
        <v>0</v>
      </c>
      <c r="F7214">
        <v>160</v>
      </c>
    </row>
    <row r="7215" spans="1:6" ht="12.75">
      <c r="A7215" s="2">
        <v>43882.087650462963</v>
      </c>
      <c r="B7215" t="str">
        <f>HYPERLINK("https://twitter.com/BerlandGroup","@BerlandGroup")</f>
        <v>@BerlandGroup</v>
      </c>
      <c r="C7215" t="s">
        <v>5063</v>
      </c>
      <c r="D7215">
        <v>0</v>
      </c>
      <c r="E7215">
        <v>0</v>
      </c>
      <c r="F7215">
        <v>791</v>
      </c>
    </row>
    <row r="7216" spans="1:6" ht="12.75">
      <c r="A7216" s="2">
        <v>43882.085092592592</v>
      </c>
      <c r="B7216" t="str">
        <f>HYPERLINK("https://twitter.com/Syamsud41732201","@Syamsud41732201")</f>
        <v>@Syamsud41732201</v>
      </c>
      <c r="C7216" t="s">
        <v>177</v>
      </c>
      <c r="D7216">
        <v>655</v>
      </c>
      <c r="E7216">
        <v>0</v>
      </c>
      <c r="F7216">
        <v>733</v>
      </c>
    </row>
    <row r="7217" spans="1:6" ht="12.75">
      <c r="A7217" s="2">
        <v>43882.082627314812</v>
      </c>
      <c r="B7217" t="str">
        <f>HYPERLINK("https://twitter.com/sundaruu","@sundaruu")</f>
        <v>@sundaruu</v>
      </c>
      <c r="C7217" t="s">
        <v>177</v>
      </c>
      <c r="D7217">
        <v>639</v>
      </c>
      <c r="E7217">
        <v>0</v>
      </c>
      <c r="F7217">
        <v>96</v>
      </c>
    </row>
    <row r="7218" spans="1:6" ht="12.75">
      <c r="A7218" s="2">
        <v>43882.082488425927</v>
      </c>
      <c r="B7218" t="str">
        <f>HYPERLINK("https://twitter.com/acepwijaya","@acepwijaya")</f>
        <v>@acepwijaya</v>
      </c>
      <c r="C7218" t="s">
        <v>177</v>
      </c>
      <c r="D7218">
        <v>639</v>
      </c>
      <c r="E7218">
        <v>0</v>
      </c>
      <c r="F7218">
        <v>73</v>
      </c>
    </row>
    <row r="7219" spans="1:6" ht="12.75">
      <c r="A7219" s="2">
        <v>43882.08194444445</v>
      </c>
      <c r="B7219" t="str">
        <f>HYPERLINK("https://twitter.com/RajatAgunkz","@RajatAgunkz")</f>
        <v>@RajatAgunkz</v>
      </c>
      <c r="C7219" t="s">
        <v>513</v>
      </c>
      <c r="D7219">
        <v>23240</v>
      </c>
      <c r="E7219">
        <v>0</v>
      </c>
      <c r="F7219">
        <v>36</v>
      </c>
    </row>
    <row r="7220" spans="1:6" ht="12.75">
      <c r="A7220" s="2">
        <v>43882.081377314811</v>
      </c>
      <c r="B7220" t="str">
        <f>HYPERLINK("https://twitter.com/AniesSubianto","@AniesSubianto")</f>
        <v>@AniesSubianto</v>
      </c>
      <c r="C7220" t="s">
        <v>4623</v>
      </c>
      <c r="D7220">
        <v>5</v>
      </c>
      <c r="E7220">
        <v>0</v>
      </c>
      <c r="F7220">
        <v>266</v>
      </c>
    </row>
    <row r="7221" spans="1:6" ht="12.75">
      <c r="A7221" s="2">
        <v>43882.081261574072</v>
      </c>
      <c r="B7221" t="str">
        <f>HYPERLINK("https://twitter.com/Skrinews7","@Skrinews7")</f>
        <v>@Skrinews7</v>
      </c>
      <c r="C7221" t="s">
        <v>177</v>
      </c>
      <c r="D7221">
        <v>639</v>
      </c>
      <c r="E7221">
        <v>0</v>
      </c>
      <c r="F7221">
        <v>65</v>
      </c>
    </row>
    <row r="7222" spans="1:6" ht="12.75">
      <c r="A7222" s="2">
        <v>43882.081030092595</v>
      </c>
      <c r="B7222" t="str">
        <f>HYPERLINK("https://twitter.com/diditdadut","@diditdadut")</f>
        <v>@diditdadut</v>
      </c>
      <c r="C7222" t="s">
        <v>4679</v>
      </c>
      <c r="D7222">
        <v>1</v>
      </c>
      <c r="E7222">
        <v>0</v>
      </c>
      <c r="F7222">
        <v>479</v>
      </c>
    </row>
    <row r="7223" spans="1:6" ht="12.75">
      <c r="A7223" s="2">
        <v>43882.080543981487</v>
      </c>
      <c r="B7223" t="str">
        <f>HYPERLINK("https://twitter.com/trubusid","@trubusid")</f>
        <v>@trubusid</v>
      </c>
      <c r="C7223" t="s">
        <v>5064</v>
      </c>
      <c r="D7223">
        <v>0</v>
      </c>
      <c r="E7223">
        <v>0</v>
      </c>
      <c r="F7223">
        <v>1023</v>
      </c>
    </row>
    <row r="7224" spans="1:6" ht="12.75">
      <c r="A7224" s="2">
        <v>43882.079513888893</v>
      </c>
      <c r="B7224" t="str">
        <f>HYPERLINK("https://twitter.com/Tian_Frantiano","@Tian_Frantiano")</f>
        <v>@Tian_Frantiano</v>
      </c>
      <c r="C7224" t="s">
        <v>177</v>
      </c>
      <c r="D7224">
        <v>639</v>
      </c>
      <c r="E7224">
        <v>0</v>
      </c>
      <c r="F7224">
        <v>404</v>
      </c>
    </row>
    <row r="7225" spans="1:6" ht="12.75">
      <c r="A7225" s="2">
        <v>43882.073877314819</v>
      </c>
      <c r="B7225" t="str">
        <f>HYPERLINK("https://twitter.com/sofia_sudarma","@sofia_sudarma")</f>
        <v>@sofia_sudarma</v>
      </c>
      <c r="C7225" t="s">
        <v>4094</v>
      </c>
      <c r="D7225">
        <v>1</v>
      </c>
      <c r="E7225">
        <v>0</v>
      </c>
      <c r="F7225">
        <v>853</v>
      </c>
    </row>
    <row r="7226" spans="1:6" ht="12.75">
      <c r="A7226" s="2">
        <v>43882.073784722219</v>
      </c>
      <c r="B7226" t="str">
        <f>HYPERLINK("https://twitter.com/rennenuby","@rennenuby")</f>
        <v>@rennenuby</v>
      </c>
      <c r="C7226" t="s">
        <v>177</v>
      </c>
      <c r="D7226">
        <v>639</v>
      </c>
      <c r="E7226">
        <v>0</v>
      </c>
      <c r="F7226">
        <v>274</v>
      </c>
    </row>
    <row r="7227" spans="1:6" ht="12.75">
      <c r="A7227" s="2">
        <v>43882.07304398148</v>
      </c>
      <c r="B7227" t="str">
        <f>HYPERLINK("https://twitter.com/3mtr1","@3mtr1")</f>
        <v>@3mtr1</v>
      </c>
      <c r="C7227" t="s">
        <v>5065</v>
      </c>
      <c r="D7227">
        <v>9</v>
      </c>
      <c r="E7227">
        <v>0</v>
      </c>
      <c r="F7227">
        <v>2056</v>
      </c>
    </row>
    <row r="7228" spans="1:6" ht="12.75">
      <c r="A7228" s="2">
        <v>43882.069699074069</v>
      </c>
      <c r="B7228" t="str">
        <f>HYPERLINK("https://twitter.com/auliarahmanl","@auliarahmanl")</f>
        <v>@auliarahmanl</v>
      </c>
      <c r="C7228" t="s">
        <v>5066</v>
      </c>
      <c r="D7228">
        <v>0</v>
      </c>
      <c r="E7228">
        <v>0</v>
      </c>
      <c r="F7228">
        <v>8713</v>
      </c>
    </row>
    <row r="7229" spans="1:6" ht="12.75">
      <c r="A7229" s="2">
        <v>43882.068333333329</v>
      </c>
      <c r="B7229" t="str">
        <f>HYPERLINK("https://twitter.com/jwhsibarani","@jwhsibarani")</f>
        <v>@jwhsibarani</v>
      </c>
      <c r="C7229" t="s">
        <v>177</v>
      </c>
      <c r="D7229">
        <v>639</v>
      </c>
      <c r="E7229">
        <v>0</v>
      </c>
      <c r="F7229">
        <v>64</v>
      </c>
    </row>
    <row r="7230" spans="1:6" ht="12.75">
      <c r="A7230" s="2">
        <v>43882.067800925928</v>
      </c>
      <c r="B7230" t="str">
        <f>HYPERLINK("https://twitter.com/iamvshukla","@iamvshukla")</f>
        <v>@iamvshukla</v>
      </c>
      <c r="C7230" t="s">
        <v>5067</v>
      </c>
      <c r="D7230">
        <v>0</v>
      </c>
      <c r="E7230">
        <v>1</v>
      </c>
      <c r="F7230">
        <v>134</v>
      </c>
    </row>
    <row r="7231" spans="1:6" ht="12.75">
      <c r="A7231" s="2">
        <v>43882.063796296294</v>
      </c>
      <c r="B7231" t="str">
        <f>HYPERLINK("https://twitter.com/ledisyg","@ledisyg")</f>
        <v>@ledisyg</v>
      </c>
      <c r="C7231" t="s">
        <v>5068</v>
      </c>
      <c r="D7231">
        <v>2</v>
      </c>
      <c r="E7231">
        <v>0</v>
      </c>
      <c r="F7231">
        <v>556</v>
      </c>
    </row>
    <row r="7232" spans="1:6" ht="12.75">
      <c r="A7232" s="2">
        <v>43882.063437500001</v>
      </c>
      <c r="B7232" t="str">
        <f>HYPERLINK("https://twitter.com/Ghaitsalsa","@Ghaitsalsa")</f>
        <v>@Ghaitsalsa</v>
      </c>
      <c r="C7232" t="s">
        <v>2692</v>
      </c>
      <c r="D7232">
        <v>2008</v>
      </c>
      <c r="E7232">
        <v>0</v>
      </c>
      <c r="F7232">
        <v>373</v>
      </c>
    </row>
    <row r="7233" spans="1:6" ht="12.75">
      <c r="A7233" s="2">
        <v>43882.062430555554</v>
      </c>
      <c r="B7233" t="str">
        <f>HYPERLINK("https://twitter.com/deliaayunii","@deliaayunii")</f>
        <v>@deliaayunii</v>
      </c>
      <c r="C7233" t="s">
        <v>3525</v>
      </c>
      <c r="D7233">
        <v>11</v>
      </c>
      <c r="E7233">
        <v>0</v>
      </c>
      <c r="F7233">
        <v>7</v>
      </c>
    </row>
    <row r="7234" spans="1:6" ht="12.75">
      <c r="A7234" s="2">
        <v>43882.061215277776</v>
      </c>
      <c r="B7234" t="str">
        <f>HYPERLINK("https://twitter.com/will8zhang","@will8zhang")</f>
        <v>@will8zhang</v>
      </c>
      <c r="C7234" t="s">
        <v>5068</v>
      </c>
      <c r="D7234">
        <v>2</v>
      </c>
      <c r="E7234">
        <v>0</v>
      </c>
      <c r="F7234">
        <v>398</v>
      </c>
    </row>
    <row r="7235" spans="1:6" ht="12.75">
      <c r="A7235" s="2">
        <v>43882.060081018513</v>
      </c>
      <c r="B7235" t="str">
        <f>HYPERLINK("https://twitter.com/masmugialba","@masmugialba")</f>
        <v>@masmugialba</v>
      </c>
      <c r="C7235" t="s">
        <v>4491</v>
      </c>
      <c r="D7235">
        <v>2</v>
      </c>
      <c r="E7235">
        <v>0</v>
      </c>
      <c r="F7235">
        <v>1022</v>
      </c>
    </row>
    <row r="7236" spans="1:6" ht="12.75">
      <c r="A7236" s="2">
        <v>43882.059861111113</v>
      </c>
      <c r="B7236" t="str">
        <f>HYPERLINK("https://twitter.com/luluthf_","@luluthf_")</f>
        <v>@luluthf_</v>
      </c>
      <c r="C7236" t="s">
        <v>2444</v>
      </c>
      <c r="D7236">
        <v>4581</v>
      </c>
      <c r="E7236">
        <v>0</v>
      </c>
      <c r="F7236">
        <v>61</v>
      </c>
    </row>
    <row r="7237" spans="1:6" ht="12.75">
      <c r="A7237" s="2">
        <v>43882.059560185182</v>
      </c>
      <c r="B7237" t="str">
        <f>HYPERLINK("https://twitter.com/wisanggeni_084","@wisanggeni_084")</f>
        <v>@wisanggeni_084</v>
      </c>
      <c r="C7237" t="s">
        <v>4491</v>
      </c>
      <c r="D7237">
        <v>2</v>
      </c>
      <c r="E7237">
        <v>0</v>
      </c>
      <c r="F7237">
        <v>16304</v>
      </c>
    </row>
    <row r="7238" spans="1:6" ht="12.75">
      <c r="A7238" s="2">
        <v>43882.059398148151</v>
      </c>
      <c r="B7238" t="str">
        <f>HYPERLINK("https://twitter.com/liputan6dotcom","@liputan6dotcom")</f>
        <v>@liputan6dotcom</v>
      </c>
      <c r="C7238" t="s">
        <v>5069</v>
      </c>
      <c r="D7238">
        <v>2</v>
      </c>
      <c r="E7238">
        <v>4</v>
      </c>
      <c r="F7238">
        <v>3627144</v>
      </c>
    </row>
    <row r="7239" spans="1:6" ht="12.75">
      <c r="A7239" s="2">
        <v>43882.058564814812</v>
      </c>
      <c r="B7239" t="str">
        <f>HYPERLINK("https://twitter.com/adehilman_07","@adehilman_07")</f>
        <v>@adehilman_07</v>
      </c>
      <c r="C7239" t="s">
        <v>177</v>
      </c>
      <c r="D7239">
        <v>639</v>
      </c>
      <c r="E7239">
        <v>0</v>
      </c>
      <c r="F7239">
        <v>64</v>
      </c>
    </row>
    <row r="7240" spans="1:6" ht="12.75">
      <c r="A7240" s="2">
        <v>43882.056296296301</v>
      </c>
      <c r="B7240" t="str">
        <f>HYPERLINK("https://twitter.com/muktiadi1","@muktiadi1")</f>
        <v>@muktiadi1</v>
      </c>
      <c r="C7240" t="s">
        <v>5070</v>
      </c>
      <c r="D7240">
        <v>2</v>
      </c>
      <c r="E7240">
        <v>1</v>
      </c>
      <c r="F7240">
        <v>1248</v>
      </c>
    </row>
    <row r="7241" spans="1:6" ht="12.75">
      <c r="A7241" s="2">
        <v>43882.056261574078</v>
      </c>
      <c r="B7241" t="str">
        <f>HYPERLINK("https://twitter.com/ISIS_Balik_NO","@ISIS_Balik_NO")</f>
        <v>@ISIS_Balik_NO</v>
      </c>
      <c r="C7241" t="s">
        <v>5071</v>
      </c>
      <c r="D7241">
        <v>9</v>
      </c>
      <c r="E7241">
        <v>0</v>
      </c>
      <c r="F7241">
        <v>6086</v>
      </c>
    </row>
    <row r="7242" spans="1:6" ht="12.75">
      <c r="A7242" s="2">
        <v>43882.053738425922</v>
      </c>
      <c r="B7242" t="str">
        <f>HYPERLINK("https://twitter.com/aliachmadlathif","@aliachmadlathif")</f>
        <v>@aliachmadlathif</v>
      </c>
      <c r="C7242" t="s">
        <v>177</v>
      </c>
      <c r="D7242">
        <v>639</v>
      </c>
      <c r="E7242">
        <v>0</v>
      </c>
      <c r="F7242">
        <v>375</v>
      </c>
    </row>
    <row r="7243" spans="1:6" ht="12.75">
      <c r="A7243" s="2">
        <v>43882.053506944445</v>
      </c>
      <c r="B7243" t="str">
        <f>HYPERLINK("https://twitter.com/apasektaran","@apasektaran")</f>
        <v>@apasektaran</v>
      </c>
      <c r="C7243" t="s">
        <v>5072</v>
      </c>
      <c r="D7243">
        <v>7</v>
      </c>
      <c r="E7243">
        <v>0</v>
      </c>
      <c r="F7243">
        <v>0</v>
      </c>
    </row>
    <row r="7244" spans="1:6" ht="12.75">
      <c r="A7244" s="2">
        <v>43882.050625000003</v>
      </c>
      <c r="B7244" t="str">
        <f>HYPERLINK("https://twitter.com/nenenganii","@nenenganii")</f>
        <v>@nenenganii</v>
      </c>
      <c r="C7244" t="s">
        <v>3525</v>
      </c>
      <c r="D7244">
        <v>11</v>
      </c>
      <c r="E7244">
        <v>0</v>
      </c>
      <c r="F7244">
        <v>4</v>
      </c>
    </row>
    <row r="7245" spans="1:6" ht="12.75">
      <c r="A7245" s="2">
        <v>43882.050127314811</v>
      </c>
      <c r="B7245" t="str">
        <f>HYPERLINK("https://twitter.com/saesarakbr","@saesarakbr")</f>
        <v>@saesarakbr</v>
      </c>
      <c r="C7245" t="s">
        <v>5073</v>
      </c>
      <c r="D7245">
        <v>0</v>
      </c>
      <c r="E7245">
        <v>1</v>
      </c>
      <c r="F7245">
        <v>62</v>
      </c>
    </row>
    <row r="7246" spans="1:6" ht="12.75">
      <c r="A7246" s="2">
        <v>43882.04991898148</v>
      </c>
      <c r="B7246" t="str">
        <f>HYPERLINK("https://twitter.com/salehdaulay","@salehdaulay")</f>
        <v>@salehdaulay</v>
      </c>
      <c r="C7246" t="s">
        <v>5074</v>
      </c>
      <c r="D7246">
        <v>0</v>
      </c>
      <c r="E7246">
        <v>1</v>
      </c>
      <c r="F7246">
        <v>4015</v>
      </c>
    </row>
    <row r="7247" spans="1:6" ht="12.75">
      <c r="A7247" s="2">
        <v>43882.049664351856</v>
      </c>
      <c r="B7247" t="str">
        <f>HYPERLINK("https://twitter.com/cit6uX7hUvZ7wCn","@cit6uX7hUvZ7wCn")</f>
        <v>@cit6uX7hUvZ7wCn</v>
      </c>
      <c r="C7247" t="s">
        <v>5075</v>
      </c>
      <c r="D7247">
        <v>0</v>
      </c>
      <c r="E7247">
        <v>0</v>
      </c>
      <c r="F7247">
        <v>1</v>
      </c>
    </row>
    <row r="7248" spans="1:6" ht="12.75">
      <c r="A7248" s="2">
        <v>43882.049386574072</v>
      </c>
      <c r="B7248" t="str">
        <f>HYPERLINK("https://twitter.com/humanisagamis","@humanisagamis")</f>
        <v>@humanisagamis</v>
      </c>
      <c r="C7248" t="s">
        <v>2141</v>
      </c>
      <c r="D7248">
        <v>98</v>
      </c>
      <c r="E7248">
        <v>0</v>
      </c>
      <c r="F7248">
        <v>3</v>
      </c>
    </row>
    <row r="7249" spans="1:6" ht="12.75">
      <c r="A7249" s="2">
        <v>43882.048298611116</v>
      </c>
      <c r="B7249" t="str">
        <f>HYPERLINK("https://twitter.com/KompasTV","@KompasTV")</f>
        <v>@KompasTV</v>
      </c>
      <c r="C7249" t="s">
        <v>5076</v>
      </c>
      <c r="D7249">
        <v>1</v>
      </c>
      <c r="E7249">
        <v>7</v>
      </c>
      <c r="F7249">
        <v>2945141</v>
      </c>
    </row>
    <row r="7250" spans="1:6" ht="12.75">
      <c r="A7250" s="2">
        <v>43882.046111111107</v>
      </c>
      <c r="B7250" t="str">
        <f>HYPERLINK("https://twitter.com/SidoarjoRaya","@SidoarjoRaya")</f>
        <v>@SidoarjoRaya</v>
      </c>
      <c r="C7250" t="s">
        <v>5077</v>
      </c>
      <c r="D7250">
        <v>0</v>
      </c>
      <c r="E7250">
        <v>0</v>
      </c>
      <c r="F7250">
        <v>1540</v>
      </c>
    </row>
    <row r="7251" spans="1:6" ht="12.75">
      <c r="A7251" s="2">
        <v>43882.045983796299</v>
      </c>
      <c r="B7251" t="str">
        <f>HYPERLINK("https://twitter.com/WeyV_official","@WeyV_official")</f>
        <v>@WeyV_official</v>
      </c>
      <c r="C7251" t="s">
        <v>1407</v>
      </c>
      <c r="D7251">
        <v>9702</v>
      </c>
      <c r="E7251">
        <v>0</v>
      </c>
      <c r="F7251">
        <v>264</v>
      </c>
    </row>
    <row r="7252" spans="1:6" ht="12.75">
      <c r="A7252" s="2">
        <v>43882.045601851853</v>
      </c>
      <c r="B7252" t="str">
        <f>HYPERLINK("https://twitter.com/RMBFarid","@RMBFarid")</f>
        <v>@RMBFarid</v>
      </c>
      <c r="C7252" t="s">
        <v>5078</v>
      </c>
      <c r="D7252">
        <v>0</v>
      </c>
      <c r="E7252">
        <v>0</v>
      </c>
      <c r="F7252">
        <v>184</v>
      </c>
    </row>
    <row r="7253" spans="1:6" ht="12.75">
      <c r="A7253" s="2">
        <v>43882.043402777781</v>
      </c>
      <c r="B7253" t="str">
        <f>HYPERLINK("https://twitter.com/okaprayuda","@okaprayuda")</f>
        <v>@okaprayuda</v>
      </c>
      <c r="C7253" t="s">
        <v>5079</v>
      </c>
      <c r="D7253">
        <v>0</v>
      </c>
      <c r="E7253">
        <v>0</v>
      </c>
      <c r="F7253">
        <v>242</v>
      </c>
    </row>
    <row r="7254" spans="1:6" ht="12.75">
      <c r="A7254" s="2">
        <v>43882.042928240742</v>
      </c>
      <c r="B7254" t="str">
        <f>HYPERLINK("https://twitter.com/AnnissaG","@AnnissaG")</f>
        <v>@AnnissaG</v>
      </c>
      <c r="C7254" t="s">
        <v>2692</v>
      </c>
      <c r="D7254">
        <v>2006</v>
      </c>
      <c r="E7254">
        <v>0</v>
      </c>
      <c r="F7254">
        <v>838</v>
      </c>
    </row>
    <row r="7255" spans="1:6" ht="12.75">
      <c r="A7255" s="2">
        <v>43882.042928240742</v>
      </c>
      <c r="B7255" t="str">
        <f>HYPERLINK("https://twitter.com/fahmaul_","@fahmaul_")</f>
        <v>@fahmaul_</v>
      </c>
      <c r="C7255" t="s">
        <v>5080</v>
      </c>
      <c r="D7255">
        <v>0</v>
      </c>
      <c r="E7255">
        <v>0</v>
      </c>
      <c r="F7255">
        <v>194</v>
      </c>
    </row>
    <row r="7256" spans="1:6" ht="12.75">
      <c r="A7256" s="2">
        <v>43882.042743055557</v>
      </c>
      <c r="B7256" t="str">
        <f>HYPERLINK("https://twitter.com/bakuLideran","@bakuLideran")</f>
        <v>@bakuLideran</v>
      </c>
      <c r="C7256" t="s">
        <v>3984</v>
      </c>
      <c r="D7256">
        <v>14</v>
      </c>
      <c r="E7256">
        <v>0</v>
      </c>
      <c r="F7256">
        <v>1738</v>
      </c>
    </row>
    <row r="7257" spans="1:6" ht="12.75">
      <c r="A7257" s="2">
        <v>43882.042662037042</v>
      </c>
      <c r="B7257" t="str">
        <f>HYPERLINK("https://twitter.com/umaaziis","@umaaziis")</f>
        <v>@umaaziis</v>
      </c>
      <c r="C7257" t="s">
        <v>2141</v>
      </c>
      <c r="D7257">
        <v>97</v>
      </c>
      <c r="E7257">
        <v>0</v>
      </c>
      <c r="F7257">
        <v>616</v>
      </c>
    </row>
    <row r="7258" spans="1:6" ht="12.75">
      <c r="A7258" s="2">
        <v>43882.041041666671</v>
      </c>
      <c r="B7258" t="str">
        <f>HYPERLINK("https://twitter.com/fahmaul_","@fahmaul_")</f>
        <v>@fahmaul_</v>
      </c>
      <c r="C7258" t="s">
        <v>5081</v>
      </c>
      <c r="D7258">
        <v>0</v>
      </c>
      <c r="E7258">
        <v>0</v>
      </c>
      <c r="F7258">
        <v>194</v>
      </c>
    </row>
    <row r="7259" spans="1:6" ht="12.75">
      <c r="A7259" s="2">
        <v>43882.038912037038</v>
      </c>
      <c r="B7259" t="str">
        <f>HYPERLINK("https://twitter.com/kepriinfo","@kepriinfo")</f>
        <v>@kepriinfo</v>
      </c>
      <c r="C7259" t="s">
        <v>5082</v>
      </c>
      <c r="D7259">
        <v>0</v>
      </c>
      <c r="E7259">
        <v>0</v>
      </c>
      <c r="F7259">
        <v>18734</v>
      </c>
    </row>
    <row r="7260" spans="1:6" ht="12.75">
      <c r="A7260" s="2">
        <v>43882.038414351853</v>
      </c>
      <c r="B7260" t="str">
        <f>HYPERLINK("https://twitter.com/SurabayaKita","@SurabayaKita")</f>
        <v>@SurabayaKita</v>
      </c>
      <c r="C7260" t="s">
        <v>5077</v>
      </c>
      <c r="D7260">
        <v>0</v>
      </c>
      <c r="E7260">
        <v>0</v>
      </c>
      <c r="F7260">
        <v>3398</v>
      </c>
    </row>
    <row r="7261" spans="1:6" ht="12.75">
      <c r="A7261" s="2">
        <v>43882.038356481484</v>
      </c>
      <c r="B7261" t="str">
        <f>HYPERLINK("https://twitter.com/fahmaul_","@fahmaul_")</f>
        <v>@fahmaul_</v>
      </c>
      <c r="C7261" t="s">
        <v>5083</v>
      </c>
      <c r="D7261">
        <v>0</v>
      </c>
      <c r="E7261">
        <v>0</v>
      </c>
      <c r="F7261">
        <v>194</v>
      </c>
    </row>
    <row r="7262" spans="1:6" ht="12.75">
      <c r="A7262" s="2">
        <v>43882.037997685184</v>
      </c>
      <c r="B7262" t="str">
        <f>HYPERLINK("https://twitter.com/me_zhu__Yusra","@me_zhu__Yusra")</f>
        <v>@me_zhu__Yusra</v>
      </c>
      <c r="C7262" t="s">
        <v>3984</v>
      </c>
      <c r="D7262">
        <v>14</v>
      </c>
      <c r="E7262">
        <v>0</v>
      </c>
      <c r="F7262">
        <v>3107</v>
      </c>
    </row>
    <row r="7263" spans="1:6" ht="12.75">
      <c r="A7263" s="2">
        <v>43882.033206018517</v>
      </c>
      <c r="B7263" t="str">
        <f>HYPERLINK("https://twitter.com/freddyarjuna","@freddyarjuna")</f>
        <v>@freddyarjuna</v>
      </c>
      <c r="C7263" t="s">
        <v>5084</v>
      </c>
      <c r="D7263">
        <v>0</v>
      </c>
      <c r="E7263">
        <v>0</v>
      </c>
      <c r="F7263">
        <v>1144</v>
      </c>
    </row>
    <row r="7264" spans="1:6" ht="12.75">
      <c r="A7264" s="2">
        <v>43882.030393518522</v>
      </c>
      <c r="B7264" t="str">
        <f>HYPERLINK("https://twitter.com/azwir_bob","@azwir_bob")</f>
        <v>@azwir_bob</v>
      </c>
      <c r="C7264" t="s">
        <v>177</v>
      </c>
      <c r="D7264">
        <v>630</v>
      </c>
      <c r="E7264">
        <v>0</v>
      </c>
      <c r="F7264">
        <v>3287</v>
      </c>
    </row>
    <row r="7265" spans="1:6" ht="12.75">
      <c r="A7265" s="2">
        <v>43882.026226851856</v>
      </c>
      <c r="B7265" t="str">
        <f>HYPERLINK("https://twitter.com/LatiefA00785215","@LatiefA00785215")</f>
        <v>@LatiefA00785215</v>
      </c>
      <c r="C7265" t="s">
        <v>177</v>
      </c>
      <c r="D7265">
        <v>630</v>
      </c>
      <c r="E7265">
        <v>0</v>
      </c>
      <c r="F7265">
        <v>2</v>
      </c>
    </row>
    <row r="7266" spans="1:6" ht="12.75">
      <c r="A7266" s="2">
        <v>43882.025717592594</v>
      </c>
      <c r="B7266" t="str">
        <f>HYPERLINK("https://twitter.com/Santo52756011","@Santo52756011")</f>
        <v>@Santo52756011</v>
      </c>
      <c r="C7266" t="s">
        <v>3141</v>
      </c>
      <c r="D7266">
        <v>15</v>
      </c>
      <c r="E7266">
        <v>0</v>
      </c>
      <c r="F7266">
        <v>5</v>
      </c>
    </row>
    <row r="7267" spans="1:6" ht="12.75">
      <c r="A7267" s="2">
        <v>43882.024212962962</v>
      </c>
      <c r="B7267" t="str">
        <f>HYPERLINK("https://twitter.com/achmadlartri","@achmadlartri")</f>
        <v>@achmadlartri</v>
      </c>
      <c r="C7267" t="s">
        <v>177</v>
      </c>
      <c r="D7267">
        <v>630</v>
      </c>
      <c r="E7267">
        <v>0</v>
      </c>
      <c r="F7267">
        <v>469</v>
      </c>
    </row>
    <row r="7268" spans="1:6" ht="12.75">
      <c r="A7268" s="2">
        <v>43882.023009259261</v>
      </c>
      <c r="B7268" t="str">
        <f>HYPERLINK("https://twitter.com/AldinoRosy","@AldinoRosy")</f>
        <v>@AldinoRosy</v>
      </c>
      <c r="C7268" t="s">
        <v>177</v>
      </c>
      <c r="D7268">
        <v>630</v>
      </c>
      <c r="E7268">
        <v>0</v>
      </c>
      <c r="F7268">
        <v>2</v>
      </c>
    </row>
    <row r="7269" spans="1:6" ht="12.75">
      <c r="A7269" s="2">
        <v>43882.022245370375</v>
      </c>
      <c r="B7269" t="str">
        <f>HYPERLINK("https://twitter.com/Lintas_kepri","@Lintas_kepri")</f>
        <v>@Lintas_kepri</v>
      </c>
      <c r="C7269" t="s">
        <v>5085</v>
      </c>
      <c r="D7269">
        <v>0</v>
      </c>
      <c r="E7269">
        <v>0</v>
      </c>
      <c r="F7269">
        <v>525</v>
      </c>
    </row>
    <row r="7270" spans="1:6" ht="12.75">
      <c r="A7270" s="2">
        <v>43882.021736111114</v>
      </c>
      <c r="B7270" t="str">
        <f>HYPERLINK("https://twitter.com/JatimKita","@JatimKita")</f>
        <v>@JatimKita</v>
      </c>
      <c r="C7270" t="s">
        <v>5077</v>
      </c>
      <c r="D7270">
        <v>0</v>
      </c>
      <c r="E7270">
        <v>0</v>
      </c>
      <c r="F7270">
        <v>1385</v>
      </c>
    </row>
    <row r="7271" spans="1:6" ht="12.75">
      <c r="A7271" s="2">
        <v>43882.021030092597</v>
      </c>
      <c r="B7271" t="str">
        <f>HYPERLINK("https://twitter.com/rosemoo23608325","@rosemoo23608325")</f>
        <v>@rosemoo23608325</v>
      </c>
      <c r="C7271" t="s">
        <v>4929</v>
      </c>
      <c r="D7271">
        <v>7</v>
      </c>
      <c r="E7271">
        <v>0</v>
      </c>
      <c r="F7271">
        <v>4</v>
      </c>
    </row>
    <row r="7272" spans="1:6" ht="12.75">
      <c r="A7272" s="2">
        <v>43882.020358796297</v>
      </c>
      <c r="B7272" t="str">
        <f>HYPERLINK("https://twitter.com/alfa1174","@alfa1174")</f>
        <v>@alfa1174</v>
      </c>
      <c r="C7272" t="s">
        <v>5086</v>
      </c>
      <c r="D7272">
        <v>12</v>
      </c>
      <c r="E7272">
        <v>0</v>
      </c>
      <c r="F7272">
        <v>2392</v>
      </c>
    </row>
    <row r="7273" spans="1:6" ht="12.75">
      <c r="A7273" s="2">
        <v>43882.01862268518</v>
      </c>
      <c r="B7273" t="str">
        <f>HYPERLINK("https://twitter.com/nnna25","@nnna25")</f>
        <v>@nnna25</v>
      </c>
      <c r="C7273" t="s">
        <v>177</v>
      </c>
      <c r="D7273">
        <v>630</v>
      </c>
      <c r="E7273">
        <v>0</v>
      </c>
      <c r="F7273">
        <v>94</v>
      </c>
    </row>
    <row r="7274" spans="1:6" ht="12.75">
      <c r="A7274" s="2">
        <v>43882.018136574072</v>
      </c>
      <c r="B7274" t="str">
        <f>HYPERLINK("https://twitter.com/VivaINDONESIA","@VivaINDONESIA")</f>
        <v>@VivaINDONESIA</v>
      </c>
      <c r="C7274" t="s">
        <v>5077</v>
      </c>
      <c r="D7274">
        <v>0</v>
      </c>
      <c r="E7274">
        <v>0</v>
      </c>
      <c r="F7274">
        <v>1005</v>
      </c>
    </row>
    <row r="7275" spans="1:6" ht="12.75">
      <c r="A7275" s="2">
        <v>43882.018090277779</v>
      </c>
      <c r="B7275" t="str">
        <f>HYPERLINK("https://twitter.com/BerhatiNyaman_","@BerhatiNyaman_")</f>
        <v>@BerhatiNyaman_</v>
      </c>
      <c r="C7275" t="s">
        <v>5087</v>
      </c>
      <c r="D7275">
        <v>0</v>
      </c>
      <c r="E7275">
        <v>0</v>
      </c>
      <c r="F7275">
        <v>1922</v>
      </c>
    </row>
    <row r="7276" spans="1:6" ht="12.75">
      <c r="A7276" s="2">
        <v>43882.018055555556</v>
      </c>
      <c r="B7276" t="str">
        <f>HYPERLINK("https://twitter.com/permadiaktivis","@permadiaktivis")</f>
        <v>@permadiaktivis</v>
      </c>
      <c r="C7276" t="s">
        <v>5088</v>
      </c>
      <c r="D7276">
        <v>0</v>
      </c>
      <c r="E7276">
        <v>0</v>
      </c>
      <c r="F7276">
        <v>118470</v>
      </c>
    </row>
    <row r="7277" spans="1:6" ht="12.75">
      <c r="A7277" s="2">
        <v>43882.017210648148</v>
      </c>
      <c r="B7277" t="str">
        <f>HYPERLINK("https://twitter.com/_alvianmaulana_","@_alvianmaulana_")</f>
        <v>@_alvianmaulana_</v>
      </c>
      <c r="C7277" t="s">
        <v>5089</v>
      </c>
      <c r="D7277">
        <v>6</v>
      </c>
      <c r="E7277">
        <v>0</v>
      </c>
      <c r="F7277">
        <v>221</v>
      </c>
    </row>
    <row r="7278" spans="1:6" ht="12.75">
      <c r="A7278" s="2">
        <v>43882.015173611115</v>
      </c>
      <c r="B7278" t="str">
        <f>HYPERLINK("https://twitter.com/protapb06442299","@protapb06442299")</f>
        <v>@protapb06442299</v>
      </c>
      <c r="C7278" t="s">
        <v>5090</v>
      </c>
      <c r="D7278">
        <v>6</v>
      </c>
      <c r="E7278">
        <v>0</v>
      </c>
      <c r="F7278">
        <v>2</v>
      </c>
    </row>
    <row r="7279" spans="1:6" ht="12.75">
      <c r="A7279" s="2">
        <v>43882.012916666667</v>
      </c>
      <c r="B7279" t="str">
        <f>HYPERLINK("https://twitter.com/DeniRadja3","@DeniRadja3")</f>
        <v>@DeniRadja3</v>
      </c>
      <c r="C7279" t="s">
        <v>177</v>
      </c>
      <c r="D7279">
        <v>630</v>
      </c>
      <c r="E7279">
        <v>0</v>
      </c>
      <c r="F7279">
        <v>10</v>
      </c>
    </row>
    <row r="7280" spans="1:6" ht="12.75">
      <c r="A7280" s="2">
        <v>43882.009756944448</v>
      </c>
      <c r="B7280" t="str">
        <f>HYPERLINK("https://twitter.com/kicepkicep","@kicepkicep")</f>
        <v>@kicepkicep</v>
      </c>
      <c r="C7280" t="s">
        <v>4829</v>
      </c>
      <c r="D7280">
        <v>13</v>
      </c>
      <c r="E7280">
        <v>0</v>
      </c>
      <c r="F7280">
        <v>1222</v>
      </c>
    </row>
    <row r="7281" spans="1:6" ht="12.75">
      <c r="A7281" s="2">
        <v>43882.009548611109</v>
      </c>
      <c r="B7281" t="str">
        <f>HYPERLINK("https://twitter.com/ISIS_Balik_NO","@ISIS_Balik_NO")</f>
        <v>@ISIS_Balik_NO</v>
      </c>
      <c r="C7281" t="s">
        <v>5091</v>
      </c>
      <c r="D7281">
        <v>0</v>
      </c>
      <c r="E7281">
        <v>0</v>
      </c>
      <c r="F7281">
        <v>6085</v>
      </c>
    </row>
    <row r="7282" spans="1:6" ht="12.75">
      <c r="A7282" s="2">
        <v>43882.008900462963</v>
      </c>
      <c r="B7282" t="str">
        <f>HYPERLINK("https://twitter.com/KharmAmastersA1","@KharmAmastersA1")</f>
        <v>@KharmAmastersA1</v>
      </c>
      <c r="C7282" t="s">
        <v>5092</v>
      </c>
      <c r="D7282">
        <v>1</v>
      </c>
      <c r="E7282">
        <v>0</v>
      </c>
      <c r="F7282">
        <v>3396</v>
      </c>
    </row>
    <row r="7283" spans="1:6" ht="12.75">
      <c r="A7283" s="2">
        <v>43882.008692129632</v>
      </c>
      <c r="B7283" t="str">
        <f>HYPERLINK("https://twitter.com/LyraaBerrliaana","@LyraaBerrliaana")</f>
        <v>@LyraaBerrliaana</v>
      </c>
      <c r="C7283" t="s">
        <v>1407</v>
      </c>
      <c r="D7283">
        <v>9702</v>
      </c>
      <c r="E7283">
        <v>0</v>
      </c>
      <c r="F7283">
        <v>128</v>
      </c>
    </row>
    <row r="7284" spans="1:6" ht="12.75">
      <c r="A7284" s="2">
        <v>43882.00780092593</v>
      </c>
      <c r="B7284" t="str">
        <f>HYPERLINK("https://twitter.com/ISIS_Balik_NO","@ISIS_Balik_NO")</f>
        <v>@ISIS_Balik_NO</v>
      </c>
      <c r="C7284" t="s">
        <v>5093</v>
      </c>
      <c r="D7284">
        <v>0</v>
      </c>
      <c r="E7284">
        <v>1</v>
      </c>
      <c r="F7284">
        <v>6085</v>
      </c>
    </row>
    <row r="7285" spans="1:6" ht="12.75">
      <c r="A7285" s="2">
        <v>43882.0075462963</v>
      </c>
      <c r="B7285" t="str">
        <f>HYPERLINK("https://twitter.com/YMagashi","@YMagashi")</f>
        <v>@YMagashi</v>
      </c>
      <c r="C7285" t="s">
        <v>5094</v>
      </c>
      <c r="D7285">
        <v>0</v>
      </c>
      <c r="E7285">
        <v>0</v>
      </c>
      <c r="F7285">
        <v>1460</v>
      </c>
    </row>
    <row r="7286" spans="1:6" ht="12.75">
      <c r="A7286" s="2">
        <v>43882.006030092598</v>
      </c>
      <c r="B7286" t="str">
        <f>HYPERLINK("https://twitter.com/ISIS_Balik_NO","@ISIS_Balik_NO")</f>
        <v>@ISIS_Balik_NO</v>
      </c>
      <c r="C7286" t="s">
        <v>5095</v>
      </c>
      <c r="D7286">
        <v>0</v>
      </c>
      <c r="E7286">
        <v>0</v>
      </c>
      <c r="F7286">
        <v>6085</v>
      </c>
    </row>
    <row r="7287" spans="1:6" ht="12.75">
      <c r="A7287" s="2">
        <v>43882.005254629628</v>
      </c>
      <c r="B7287" t="str">
        <f>HYPERLINK("https://twitter.com/aryokendhil1","@aryokendhil1")</f>
        <v>@aryokendhil1</v>
      </c>
      <c r="C7287" t="s">
        <v>4360</v>
      </c>
      <c r="D7287">
        <v>187</v>
      </c>
      <c r="E7287">
        <v>0</v>
      </c>
      <c r="F7287">
        <v>189</v>
      </c>
    </row>
    <row r="7288" spans="1:6" ht="12.75">
      <c r="A7288" s="2">
        <v>43882.00509259259</v>
      </c>
      <c r="B7288" t="str">
        <f>HYPERLINK("https://twitter.com/sarimeylinda","@sarimeylinda")</f>
        <v>@sarimeylinda</v>
      </c>
      <c r="C7288" t="s">
        <v>177</v>
      </c>
      <c r="D7288">
        <v>630</v>
      </c>
      <c r="E7288">
        <v>0</v>
      </c>
      <c r="F7288">
        <v>205</v>
      </c>
    </row>
    <row r="7289" spans="1:6" ht="12.75">
      <c r="A7289" s="2">
        <v>43882.005011574074</v>
      </c>
      <c r="B7289" t="str">
        <f>HYPERLINK("https://twitter.com/dhifadiba","@dhifadiba")</f>
        <v>@dhifadiba</v>
      </c>
      <c r="C7289" t="s">
        <v>2373</v>
      </c>
      <c r="D7289">
        <v>284</v>
      </c>
      <c r="E7289">
        <v>0</v>
      </c>
      <c r="F7289">
        <v>222</v>
      </c>
    </row>
    <row r="7290" spans="1:6" ht="12.75">
      <c r="A7290" s="2">
        <v>43882.003310185188</v>
      </c>
      <c r="B7290" t="str">
        <f>HYPERLINK("https://twitter.com/ase_milan","@ase_milan")</f>
        <v>@ase_milan</v>
      </c>
      <c r="C7290" t="s">
        <v>1407</v>
      </c>
      <c r="D7290">
        <v>9702</v>
      </c>
      <c r="E7290">
        <v>0</v>
      </c>
      <c r="F7290">
        <v>227</v>
      </c>
    </row>
    <row r="7291" spans="1:6" ht="12.75">
      <c r="A7291" s="2">
        <v>43882.002013888894</v>
      </c>
      <c r="B7291" t="str">
        <f>HYPERLINK("https://twitter.com/sagakom","@sagakom")</f>
        <v>@sagakom</v>
      </c>
      <c r="C7291" t="s">
        <v>4752</v>
      </c>
      <c r="D7291">
        <v>0</v>
      </c>
      <c r="E7291">
        <v>0</v>
      </c>
      <c r="F7291">
        <v>285</v>
      </c>
    </row>
    <row r="7292" spans="1:6" ht="12.75">
      <c r="A7292" s="2">
        <v>43882.001770833333</v>
      </c>
      <c r="B7292" t="str">
        <f>HYPERLINK("https://twitter.com/affable_renegad","@affable_renegad")</f>
        <v>@affable_renegad</v>
      </c>
      <c r="C7292" t="s">
        <v>5096</v>
      </c>
      <c r="D7292">
        <v>0</v>
      </c>
      <c r="E7292">
        <v>0</v>
      </c>
      <c r="F7292">
        <v>1</v>
      </c>
    </row>
    <row r="7293" spans="1:6" ht="12.75">
      <c r="A7293" s="2">
        <v>43882.001134259262</v>
      </c>
      <c r="B7293" t="str">
        <f>HYPERLINK("https://twitter.com/ismirza74","@ismirza74")</f>
        <v>@ismirza74</v>
      </c>
      <c r="C7293" t="s">
        <v>177</v>
      </c>
      <c r="D7293">
        <v>617</v>
      </c>
      <c r="E7293">
        <v>0</v>
      </c>
      <c r="F7293">
        <v>524</v>
      </c>
    </row>
    <row r="7294" spans="1:6" ht="12.75">
      <c r="A7294" s="2">
        <v>43882.000405092593</v>
      </c>
      <c r="B7294" t="str">
        <f>HYPERLINK("https://twitter.com/bibanabila_","@bibanabila_")</f>
        <v>@bibanabila_</v>
      </c>
      <c r="C7294" t="s">
        <v>3483</v>
      </c>
      <c r="D7294">
        <v>25</v>
      </c>
      <c r="E7294">
        <v>0</v>
      </c>
      <c r="F7294">
        <v>75</v>
      </c>
    </row>
    <row r="7295" spans="1:6" ht="12.75">
      <c r="A7295" s="2">
        <v>43882.0003587963</v>
      </c>
      <c r="B7295" t="str">
        <f>HYPERLINK("https://twitter.com/fexxyana","@fexxyana")</f>
        <v>@fexxyana</v>
      </c>
      <c r="C7295" t="s">
        <v>2126</v>
      </c>
      <c r="D7295">
        <v>2814</v>
      </c>
      <c r="E7295">
        <v>0</v>
      </c>
      <c r="F7295">
        <v>32</v>
      </c>
    </row>
    <row r="7296" spans="1:6" ht="12.75">
      <c r="A7296" s="2">
        <v>43882.000057870369</v>
      </c>
      <c r="B7296" t="str">
        <f>HYPERLINK("https://twitter.com/alineadotid","@alineadotid")</f>
        <v>@alineadotid</v>
      </c>
      <c r="C7296" t="s">
        <v>5097</v>
      </c>
      <c r="D7296">
        <v>0</v>
      </c>
      <c r="E7296">
        <v>0</v>
      </c>
      <c r="F7296">
        <v>611923</v>
      </c>
    </row>
    <row r="7297" spans="1:6" ht="12.75">
      <c r="A7297" s="2">
        <v>43881.999826388885</v>
      </c>
      <c r="B7297" t="str">
        <f>HYPERLINK("https://twitter.com/kavitadivya1","@kavitadivya1")</f>
        <v>@kavitadivya1</v>
      </c>
      <c r="C7297" t="s">
        <v>177</v>
      </c>
      <c r="D7297">
        <v>617</v>
      </c>
      <c r="E7297">
        <v>0</v>
      </c>
      <c r="F7297">
        <v>2</v>
      </c>
    </row>
    <row r="7298" spans="1:6" ht="12.75">
      <c r="A7298" s="2">
        <v>43881.999618055561</v>
      </c>
      <c r="B7298" t="str">
        <f>HYPERLINK("https://twitter.com/MartinLS2","@MartinLS2")</f>
        <v>@MartinLS2</v>
      </c>
      <c r="C7298" t="s">
        <v>5098</v>
      </c>
      <c r="D7298">
        <v>0</v>
      </c>
      <c r="E7298">
        <v>0</v>
      </c>
      <c r="F7298">
        <v>2244</v>
      </c>
    </row>
    <row r="7299" spans="1:6" ht="12.75">
      <c r="A7299" s="2">
        <v>43881.999583333338</v>
      </c>
      <c r="B7299" t="str">
        <f>HYPERLINK("https://twitter.com/jjsengui","@jjsengui")</f>
        <v>@jjsengui</v>
      </c>
      <c r="C7299" t="s">
        <v>4834</v>
      </c>
      <c r="D7299">
        <v>2</v>
      </c>
      <c r="E7299">
        <v>0</v>
      </c>
      <c r="F7299">
        <v>841</v>
      </c>
    </row>
    <row r="7300" spans="1:6" ht="12.75">
      <c r="A7300" s="2">
        <v>43881.999143518522</v>
      </c>
      <c r="B7300" t="str">
        <f>HYPERLINK("https://twitter.com/AJaydee1210","@AJaydee1210")</f>
        <v>@AJaydee1210</v>
      </c>
      <c r="C7300" t="s">
        <v>5099</v>
      </c>
      <c r="D7300">
        <v>0</v>
      </c>
      <c r="E7300">
        <v>0</v>
      </c>
      <c r="F7300">
        <v>312</v>
      </c>
    </row>
    <row r="7301" spans="1:6" ht="12.75">
      <c r="A7301" s="2">
        <v>43881.998379629629</v>
      </c>
      <c r="B7301" t="str">
        <f>HYPERLINK("https://twitter.com/fexxyana","@fexxyana")</f>
        <v>@fexxyana</v>
      </c>
      <c r="C7301" t="s">
        <v>513</v>
      </c>
      <c r="D7301">
        <v>23240</v>
      </c>
      <c r="E7301">
        <v>0</v>
      </c>
      <c r="F7301">
        <v>32</v>
      </c>
    </row>
    <row r="7302" spans="1:6" ht="12.75">
      <c r="A7302" s="2">
        <v>43881.998148148152</v>
      </c>
      <c r="B7302" t="str">
        <f>HYPERLINK("https://twitter.com/superradioid","@superradioid")</f>
        <v>@superradioid</v>
      </c>
      <c r="C7302" t="s">
        <v>5100</v>
      </c>
      <c r="D7302">
        <v>0</v>
      </c>
      <c r="E7302">
        <v>0</v>
      </c>
      <c r="F7302">
        <v>63</v>
      </c>
    </row>
    <row r="7303" spans="1:6" ht="12.75">
      <c r="A7303" s="2">
        <v>43881.996550925927</v>
      </c>
      <c r="B7303" t="str">
        <f>HYPERLINK("https://twitter.com/salsabila0307","@salsabila0307")</f>
        <v>@salsabila0307</v>
      </c>
      <c r="C7303" t="s">
        <v>5101</v>
      </c>
      <c r="D7303">
        <v>0</v>
      </c>
      <c r="E7303">
        <v>0</v>
      </c>
      <c r="F7303">
        <v>4351</v>
      </c>
    </row>
    <row r="7304" spans="1:6" ht="12.75">
      <c r="A7304" s="2">
        <v>43881.996342592596</v>
      </c>
      <c r="B7304" t="str">
        <f>HYPERLINK("https://twitter.com/BainUday","@BainUday")</f>
        <v>@BainUday</v>
      </c>
      <c r="C7304" t="s">
        <v>5090</v>
      </c>
      <c r="D7304">
        <v>5</v>
      </c>
      <c r="E7304">
        <v>0</v>
      </c>
      <c r="F7304">
        <v>2</v>
      </c>
    </row>
    <row r="7305" spans="1:6" ht="12.75">
      <c r="A7305" s="2">
        <v>43881.995694444442</v>
      </c>
      <c r="B7305" t="str">
        <f>HYPERLINK("https://twitter.com/ooopaaal","@ooopaaal")</f>
        <v>@ooopaaal</v>
      </c>
      <c r="C7305" t="s">
        <v>2692</v>
      </c>
      <c r="D7305">
        <v>2006</v>
      </c>
      <c r="E7305">
        <v>0</v>
      </c>
      <c r="F7305">
        <v>1284</v>
      </c>
    </row>
    <row r="7306" spans="1:6" ht="12.75">
      <c r="A7306" s="2">
        <v>43881.99490740741</v>
      </c>
      <c r="B7306" t="str">
        <f>HYPERLINK("https://twitter.com/MentegaMeses","@MentegaMeses")</f>
        <v>@MentegaMeses</v>
      </c>
      <c r="C7306" t="s">
        <v>5102</v>
      </c>
      <c r="D7306">
        <v>0</v>
      </c>
      <c r="E7306">
        <v>0</v>
      </c>
      <c r="F7306">
        <v>185</v>
      </c>
    </row>
    <row r="7307" spans="1:6" ht="12.75">
      <c r="A7307" s="2">
        <v>43881.994166666671</v>
      </c>
      <c r="B7307" t="str">
        <f>HYPERLINK("https://twitter.com/KoyukiUzumaki","@KoyukiUzumaki")</f>
        <v>@KoyukiUzumaki</v>
      </c>
      <c r="C7307" t="s">
        <v>2692</v>
      </c>
      <c r="D7307">
        <v>2006</v>
      </c>
      <c r="E7307">
        <v>0</v>
      </c>
      <c r="F7307">
        <v>306</v>
      </c>
    </row>
    <row r="7308" spans="1:6" ht="12.75">
      <c r="A7308" s="2">
        <v>43881.990972222222</v>
      </c>
      <c r="B7308" t="str">
        <f>HYPERLINK("https://twitter.com/dedysetiadi1231","@dedysetiadi1231")</f>
        <v>@dedysetiadi1231</v>
      </c>
      <c r="C7308" t="s">
        <v>177</v>
      </c>
      <c r="D7308">
        <v>617</v>
      </c>
      <c r="E7308">
        <v>0</v>
      </c>
      <c r="F7308">
        <v>95</v>
      </c>
    </row>
    <row r="7309" spans="1:6" ht="12.75">
      <c r="A7309" s="2">
        <v>43881.990150462967</v>
      </c>
      <c r="B7309" t="str">
        <f>HYPERLINK("https://twitter.com/marcelodematos","@marcelodematos")</f>
        <v>@marcelodematos</v>
      </c>
      <c r="C7309" t="s">
        <v>5103</v>
      </c>
      <c r="D7309">
        <v>0</v>
      </c>
      <c r="E7309">
        <v>1</v>
      </c>
      <c r="F7309">
        <v>493</v>
      </c>
    </row>
    <row r="7310" spans="1:6" ht="12.75">
      <c r="A7310" s="2">
        <v>43881.989710648151</v>
      </c>
      <c r="B7310" t="str">
        <f>HYPERLINK("https://twitter.com/d_denta","@d_denta")</f>
        <v>@d_denta</v>
      </c>
      <c r="C7310" t="s">
        <v>177</v>
      </c>
      <c r="D7310">
        <v>617</v>
      </c>
      <c r="E7310">
        <v>0</v>
      </c>
      <c r="F7310">
        <v>380</v>
      </c>
    </row>
    <row r="7311" spans="1:6" ht="12.75">
      <c r="A7311" s="2">
        <v>43881.989548611113</v>
      </c>
      <c r="B7311" t="str">
        <f>HYPERLINK("https://twitter.com/ks_PDIP_Projo","@ks_PDIP_Projo")</f>
        <v>@ks_PDIP_Projo</v>
      </c>
      <c r="C7311" t="s">
        <v>177</v>
      </c>
      <c r="D7311">
        <v>617</v>
      </c>
      <c r="E7311">
        <v>0</v>
      </c>
      <c r="F7311">
        <v>5056</v>
      </c>
    </row>
    <row r="7312" spans="1:6" ht="12.75">
      <c r="A7312" s="2">
        <v>43881.988506944443</v>
      </c>
      <c r="B7312" t="str">
        <f>HYPERLINK("https://twitter.com/kroslav","@kroslav")</f>
        <v>@kroslav</v>
      </c>
      <c r="C7312" t="s">
        <v>5104</v>
      </c>
      <c r="D7312">
        <v>0</v>
      </c>
      <c r="E7312">
        <v>0</v>
      </c>
      <c r="F7312">
        <v>1375</v>
      </c>
    </row>
    <row r="7313" spans="1:6" ht="12.75">
      <c r="A7313" s="2">
        <v>43881.986168981486</v>
      </c>
      <c r="B7313" t="str">
        <f>HYPERLINK("https://twitter.com/tsagus5","@tsagus5")</f>
        <v>@tsagus5</v>
      </c>
      <c r="C7313" t="s">
        <v>5105</v>
      </c>
      <c r="D7313">
        <v>0</v>
      </c>
      <c r="E7313">
        <v>1</v>
      </c>
      <c r="F7313">
        <v>1236</v>
      </c>
    </row>
    <row r="7314" spans="1:6" ht="12.75">
      <c r="A7314" s="2">
        <v>43881.985937500001</v>
      </c>
      <c r="B7314" t="str">
        <f>HYPERLINK("https://twitter.com/faridwinart","@faridwinart")</f>
        <v>@faridwinart</v>
      </c>
      <c r="C7314" t="s">
        <v>5106</v>
      </c>
      <c r="D7314">
        <v>0</v>
      </c>
      <c r="E7314">
        <v>0</v>
      </c>
      <c r="F7314">
        <v>120</v>
      </c>
    </row>
    <row r="7315" spans="1:6" ht="12.75">
      <c r="A7315" s="2">
        <v>43881.984872685185</v>
      </c>
      <c r="B7315" t="str">
        <f>HYPERLINK("https://twitter.com/frans08526173","@frans08526173")</f>
        <v>@frans08526173</v>
      </c>
      <c r="C7315" t="s">
        <v>177</v>
      </c>
      <c r="D7315">
        <v>617</v>
      </c>
      <c r="E7315">
        <v>0</v>
      </c>
      <c r="F7315">
        <v>25</v>
      </c>
    </row>
    <row r="7316" spans="1:6" ht="12.75">
      <c r="A7316" s="2">
        <v>43881.984849537039</v>
      </c>
      <c r="B7316" t="str">
        <f>HYPERLINK("https://twitter.com/p_yadee","@p_yadee")</f>
        <v>@p_yadee</v>
      </c>
      <c r="C7316" t="s">
        <v>5107</v>
      </c>
      <c r="D7316">
        <v>0</v>
      </c>
      <c r="E7316">
        <v>0</v>
      </c>
      <c r="F7316">
        <v>5</v>
      </c>
    </row>
    <row r="7317" spans="1:6" ht="12.75">
      <c r="A7317" s="2">
        <v>43881.983900462961</v>
      </c>
      <c r="B7317" t="str">
        <f>HYPERLINK("https://twitter.com/ISIS_Balik_NO","@ISIS_Balik_NO")</f>
        <v>@ISIS_Balik_NO</v>
      </c>
      <c r="C7317" t="s">
        <v>5108</v>
      </c>
      <c r="D7317">
        <v>0</v>
      </c>
      <c r="E7317">
        <v>1</v>
      </c>
      <c r="F7317">
        <v>6085</v>
      </c>
    </row>
    <row r="7318" spans="1:6" ht="12.75">
      <c r="A7318" s="2">
        <v>43881.983333333337</v>
      </c>
      <c r="B7318" t="str">
        <f>HYPERLINK("https://twitter.com/YusufNusantara1","@YusufNusantara1")</f>
        <v>@YusufNusantara1</v>
      </c>
      <c r="C7318" t="s">
        <v>4834</v>
      </c>
      <c r="D7318">
        <v>2</v>
      </c>
      <c r="E7318">
        <v>0</v>
      </c>
      <c r="F7318">
        <v>713</v>
      </c>
    </row>
    <row r="7319" spans="1:6" ht="12.75">
      <c r="A7319" s="2">
        <v>43881.98302083333</v>
      </c>
      <c r="B7319" t="str">
        <f>HYPERLINK("https://twitter.com/tentoeighty","@tentoeighty")</f>
        <v>@tentoeighty</v>
      </c>
      <c r="C7319" t="s">
        <v>5109</v>
      </c>
      <c r="D7319">
        <v>0</v>
      </c>
      <c r="E7319">
        <v>0</v>
      </c>
      <c r="F7319">
        <v>174</v>
      </c>
    </row>
    <row r="7320" spans="1:6" ht="12.75">
      <c r="A7320" s="2">
        <v>43881.982905092591</v>
      </c>
      <c r="B7320" t="str">
        <f>HYPERLINK("https://twitter.com/ISIS_Balik_NO","@ISIS_Balik_NO")</f>
        <v>@ISIS_Balik_NO</v>
      </c>
      <c r="C7320" t="s">
        <v>5110</v>
      </c>
      <c r="D7320">
        <v>0</v>
      </c>
      <c r="E7320">
        <v>0</v>
      </c>
      <c r="F7320">
        <v>6085</v>
      </c>
    </row>
    <row r="7321" spans="1:6" ht="12.75">
      <c r="A7321" s="2">
        <v>43881.982442129629</v>
      </c>
      <c r="B7321" t="str">
        <f>HYPERLINK("https://twitter.com/hizkiachrisan","@hizkiachrisan")</f>
        <v>@hizkiachrisan</v>
      </c>
      <c r="C7321" t="s">
        <v>177</v>
      </c>
      <c r="D7321">
        <v>617</v>
      </c>
      <c r="E7321">
        <v>0</v>
      </c>
      <c r="F7321">
        <v>450</v>
      </c>
    </row>
    <row r="7322" spans="1:6" ht="12.75">
      <c r="A7322" s="2">
        <v>43881.982314814813</v>
      </c>
      <c r="B7322" t="str">
        <f>HYPERLINK("https://twitter.com/thecuripan","@thecuripan")</f>
        <v>@thecuripan</v>
      </c>
      <c r="C7322" t="s">
        <v>513</v>
      </c>
      <c r="D7322">
        <v>23240</v>
      </c>
      <c r="E7322">
        <v>0</v>
      </c>
      <c r="F7322">
        <v>69</v>
      </c>
    </row>
    <row r="7323" spans="1:6" ht="12.75">
      <c r="A7323" s="2">
        <v>43881.979444444441</v>
      </c>
      <c r="B7323" t="str">
        <f>HYPERLINK("https://twitter.com/kbri_tehran","@kbri_tehran")</f>
        <v>@kbri_tehran</v>
      </c>
      <c r="C7323" t="s">
        <v>5111</v>
      </c>
      <c r="D7323">
        <v>0</v>
      </c>
      <c r="E7323">
        <v>1</v>
      </c>
      <c r="F7323">
        <v>1371</v>
      </c>
    </row>
    <row r="7324" spans="1:6" ht="12.75">
      <c r="A7324" s="2">
        <v>43881.978935185187</v>
      </c>
      <c r="B7324" t="str">
        <f>HYPERLINK("https://twitter.com/Selpunca","@Selpunca")</f>
        <v>@Selpunca</v>
      </c>
      <c r="C7324" t="s">
        <v>5112</v>
      </c>
      <c r="D7324">
        <v>0</v>
      </c>
      <c r="E7324">
        <v>0</v>
      </c>
      <c r="F7324">
        <v>315</v>
      </c>
    </row>
    <row r="7325" spans="1:6" ht="12.75">
      <c r="A7325" s="2">
        <v>43881.978518518517</v>
      </c>
      <c r="B7325" t="str">
        <f>HYPERLINK("https://twitter.com/rocketmayhem_","@rocketmayhem_")</f>
        <v>@rocketmayhem_</v>
      </c>
      <c r="C7325" t="s">
        <v>5113</v>
      </c>
      <c r="D7325">
        <v>0</v>
      </c>
      <c r="E7325">
        <v>0</v>
      </c>
      <c r="F7325">
        <v>1087</v>
      </c>
    </row>
    <row r="7326" spans="1:6" ht="12.75">
      <c r="A7326" s="2">
        <v>43881.978020833332</v>
      </c>
      <c r="B7326" t="str">
        <f>HYPERLINK("https://twitter.com/banglintas","@banglintas")</f>
        <v>@banglintas</v>
      </c>
      <c r="C7326" t="s">
        <v>4752</v>
      </c>
      <c r="D7326">
        <v>0</v>
      </c>
      <c r="E7326">
        <v>0</v>
      </c>
      <c r="F7326">
        <v>54</v>
      </c>
    </row>
    <row r="7327" spans="1:6" ht="12.75">
      <c r="A7327" s="2">
        <v>43881.977222222224</v>
      </c>
      <c r="B7327" t="str">
        <f>HYPERLINK("https://twitter.com/endoe21","@endoe21")</f>
        <v>@endoe21</v>
      </c>
      <c r="C7327" t="s">
        <v>5114</v>
      </c>
      <c r="D7327">
        <v>1</v>
      </c>
      <c r="E7327">
        <v>0</v>
      </c>
      <c r="F7327">
        <v>2022</v>
      </c>
    </row>
    <row r="7328" spans="1:6" ht="12.75">
      <c r="A7328" s="2">
        <v>43881.9768287037</v>
      </c>
      <c r="B7328" t="str">
        <f>HYPERLINK("https://twitter.com/mira_haningsaa","@mira_haningsaa")</f>
        <v>@mira_haningsaa</v>
      </c>
      <c r="C7328" t="s">
        <v>177</v>
      </c>
      <c r="D7328">
        <v>617</v>
      </c>
      <c r="E7328">
        <v>0</v>
      </c>
      <c r="F7328">
        <v>77</v>
      </c>
    </row>
    <row r="7329" spans="1:6" ht="12.75">
      <c r="A7329" s="2">
        <v>43881.9768287037</v>
      </c>
      <c r="B7329" t="str">
        <f>HYPERLINK("https://twitter.com/faridwinart","@faridwinart")</f>
        <v>@faridwinart</v>
      </c>
      <c r="C7329" t="s">
        <v>5115</v>
      </c>
      <c r="D7329">
        <v>0</v>
      </c>
      <c r="E7329">
        <v>0</v>
      </c>
      <c r="F7329">
        <v>120</v>
      </c>
    </row>
    <row r="7330" spans="1:6" ht="12.75">
      <c r="A7330" s="2">
        <v>43881.976597222223</v>
      </c>
      <c r="B7330" t="str">
        <f>HYPERLINK("https://twitter.com/anamkoplak","@anamkoplak")</f>
        <v>@anamkoplak</v>
      </c>
      <c r="C7330" t="s">
        <v>5116</v>
      </c>
      <c r="D7330">
        <v>0</v>
      </c>
      <c r="E7330">
        <v>3</v>
      </c>
      <c r="F7330">
        <v>278</v>
      </c>
    </row>
    <row r="7331" spans="1:6" ht="12.75">
      <c r="A7331" s="2">
        <v>43881.976226851853</v>
      </c>
      <c r="B7331" t="str">
        <f>HYPERLINK("https://twitter.com/Jono_Fortunate","@Jono_Fortunate")</f>
        <v>@Jono_Fortunate</v>
      </c>
      <c r="C7331" t="s">
        <v>5117</v>
      </c>
      <c r="D7331">
        <v>0</v>
      </c>
      <c r="E7331">
        <v>1</v>
      </c>
      <c r="F7331">
        <v>549</v>
      </c>
    </row>
    <row r="7332" spans="1:6" ht="12.75">
      <c r="A7332" s="2">
        <v>43881.975381944445</v>
      </c>
      <c r="B7332" t="str">
        <f>HYPERLINK("https://twitter.com/yudhist4","@yudhist4")</f>
        <v>@yudhist4</v>
      </c>
      <c r="C7332" t="s">
        <v>177</v>
      </c>
      <c r="D7332">
        <v>617</v>
      </c>
      <c r="E7332">
        <v>0</v>
      </c>
      <c r="F7332">
        <v>245</v>
      </c>
    </row>
    <row r="7333" spans="1:6" ht="12.75">
      <c r="A7333" s="2">
        <v>43881.975277777776</v>
      </c>
      <c r="B7333" t="str">
        <f>HYPERLINK("https://twitter.com/ISIS_Balik_NO","@ISIS_Balik_NO")</f>
        <v>@ISIS_Balik_NO</v>
      </c>
      <c r="C7333" t="s">
        <v>5118</v>
      </c>
      <c r="D7333">
        <v>1</v>
      </c>
      <c r="E7333">
        <v>2</v>
      </c>
      <c r="F7333">
        <v>6085</v>
      </c>
    </row>
    <row r="7334" spans="1:6" ht="12.75">
      <c r="A7334" s="2">
        <v>43881.97493055556</v>
      </c>
      <c r="B7334" t="str">
        <f>HYPERLINK("https://twitter.com/mbawitaa","@mbawitaa")</f>
        <v>@mbawitaa</v>
      </c>
      <c r="C7334" t="s">
        <v>2692</v>
      </c>
      <c r="D7334">
        <v>2006</v>
      </c>
      <c r="E7334">
        <v>0</v>
      </c>
      <c r="F7334">
        <v>742</v>
      </c>
    </row>
    <row r="7335" spans="1:6" ht="12.75">
      <c r="A7335" s="2">
        <v>43881.973854166667</v>
      </c>
      <c r="B7335" t="str">
        <f>HYPERLINK("https://twitter.com/billysmbring366","@billysmbring366")</f>
        <v>@billysmbring366</v>
      </c>
      <c r="C7335" t="s">
        <v>177</v>
      </c>
      <c r="D7335">
        <v>617</v>
      </c>
      <c r="E7335">
        <v>0</v>
      </c>
      <c r="F7335">
        <v>148</v>
      </c>
    </row>
    <row r="7336" spans="1:6" ht="12.75">
      <c r="A7336" s="2">
        <v>43881.973645833335</v>
      </c>
      <c r="B7336" t="str">
        <f>HYPERLINK("https://twitter.com/matkoplak77","@matkoplak77")</f>
        <v>@matkoplak77</v>
      </c>
      <c r="C7336" t="s">
        <v>5119</v>
      </c>
      <c r="D7336">
        <v>0</v>
      </c>
      <c r="E7336">
        <v>1</v>
      </c>
      <c r="F7336">
        <v>27</v>
      </c>
    </row>
    <row r="7337" spans="1:6" ht="12.75">
      <c r="A7337" s="2">
        <v>43881.973240740743</v>
      </c>
      <c r="B7337" t="str">
        <f>HYPERLINK("https://twitter.com/Nuraji19am","@Nuraji19am")</f>
        <v>@Nuraji19am</v>
      </c>
      <c r="C7337" t="s">
        <v>177</v>
      </c>
      <c r="D7337">
        <v>617</v>
      </c>
      <c r="E7337">
        <v>0</v>
      </c>
      <c r="F7337">
        <v>264</v>
      </c>
    </row>
    <row r="7338" spans="1:6" ht="12.75">
      <c r="A7338" s="2">
        <v>43881.972719907411</v>
      </c>
      <c r="B7338" t="str">
        <f>HYPERLINK("https://twitter.com/FYozze","@FYozze")</f>
        <v>@FYozze</v>
      </c>
      <c r="C7338" t="s">
        <v>177</v>
      </c>
      <c r="D7338">
        <v>617</v>
      </c>
      <c r="E7338">
        <v>0</v>
      </c>
      <c r="F7338">
        <v>1484</v>
      </c>
    </row>
    <row r="7339" spans="1:6" ht="12.75">
      <c r="A7339" s="2">
        <v>43881.971967592588</v>
      </c>
      <c r="B7339" t="str">
        <f>HYPERLINK("https://twitter.com/Rismacanss","@Rismacanss")</f>
        <v>@Rismacanss</v>
      </c>
      <c r="C7339" t="s">
        <v>177</v>
      </c>
      <c r="D7339">
        <v>617</v>
      </c>
      <c r="E7339">
        <v>0</v>
      </c>
      <c r="F7339">
        <v>1</v>
      </c>
    </row>
    <row r="7340" spans="1:6" ht="12.75">
      <c r="A7340" s="2">
        <v>43881.971736111111</v>
      </c>
      <c r="B7340" t="str">
        <f>HYPERLINK("https://twitter.com/Personal__tweet","@Personal__tweet")</f>
        <v>@Personal__tweet</v>
      </c>
      <c r="C7340" t="s">
        <v>5120</v>
      </c>
      <c r="D7340">
        <v>0</v>
      </c>
      <c r="E7340">
        <v>0</v>
      </c>
      <c r="F7340">
        <v>288</v>
      </c>
    </row>
    <row r="7341" spans="1:6" ht="12.75">
      <c r="A7341" s="2">
        <v>43881.970983796295</v>
      </c>
      <c r="B7341" t="str">
        <f>HYPERLINK("https://twitter.com/mydchicas","@mydchicas")</f>
        <v>@mydchicas</v>
      </c>
      <c r="C7341" t="s">
        <v>5121</v>
      </c>
      <c r="D7341">
        <v>0</v>
      </c>
      <c r="E7341">
        <v>1</v>
      </c>
      <c r="F7341">
        <v>86</v>
      </c>
    </row>
    <row r="7342" spans="1:6" ht="12.75">
      <c r="A7342" s="2">
        <v>43881.970648148148</v>
      </c>
      <c r="B7342" t="str">
        <f>HYPERLINK("https://twitter.com/shyflier","@shyflier")</f>
        <v>@shyflier</v>
      </c>
      <c r="C7342" t="s">
        <v>5122</v>
      </c>
      <c r="D7342">
        <v>2</v>
      </c>
      <c r="E7342">
        <v>0</v>
      </c>
      <c r="F7342">
        <v>19</v>
      </c>
    </row>
    <row r="7343" spans="1:6" ht="12.75">
      <c r="A7343" s="2">
        <v>43881.96876157407</v>
      </c>
      <c r="B7343" t="str">
        <f>HYPERLINK("https://twitter.com/khairunnisazuhd","@khairunnisazuhd")</f>
        <v>@khairunnisazuhd</v>
      </c>
      <c r="C7343" t="s">
        <v>177</v>
      </c>
      <c r="D7343">
        <v>617</v>
      </c>
      <c r="E7343">
        <v>0</v>
      </c>
      <c r="F7343">
        <v>151</v>
      </c>
    </row>
    <row r="7344" spans="1:6" ht="12.75">
      <c r="A7344" s="2">
        <v>43881.967731481476</v>
      </c>
      <c r="B7344" t="str">
        <f>HYPERLINK("https://twitter.com/waniey_zunazri","@waniey_zunazri")</f>
        <v>@waniey_zunazri</v>
      </c>
      <c r="C7344" t="s">
        <v>5123</v>
      </c>
      <c r="D7344">
        <v>0</v>
      </c>
      <c r="E7344">
        <v>0</v>
      </c>
      <c r="F7344">
        <v>115</v>
      </c>
    </row>
    <row r="7345" spans="1:6" ht="12.75">
      <c r="A7345" s="2">
        <v>43881.967372685191</v>
      </c>
      <c r="B7345" t="str">
        <f>HYPERLINK("https://twitter.com/singgihk8","@singgihk8")</f>
        <v>@singgihk8</v>
      </c>
      <c r="C7345" t="s">
        <v>177</v>
      </c>
      <c r="D7345">
        <v>617</v>
      </c>
      <c r="E7345">
        <v>0</v>
      </c>
      <c r="F7345">
        <v>1478</v>
      </c>
    </row>
    <row r="7346" spans="1:6" ht="12.75">
      <c r="A7346" s="2">
        <v>43881.967291666668</v>
      </c>
      <c r="B7346" t="str">
        <f>HYPERLINK("https://twitter.com/salsabila0307","@salsabila0307")</f>
        <v>@salsabila0307</v>
      </c>
      <c r="C7346" t="s">
        <v>5124</v>
      </c>
      <c r="D7346">
        <v>0</v>
      </c>
      <c r="E7346">
        <v>1</v>
      </c>
      <c r="F7346">
        <v>4351</v>
      </c>
    </row>
    <row r="7347" spans="1:6" ht="12.75">
      <c r="A7347" s="2">
        <v>43881.967141203699</v>
      </c>
      <c r="B7347" t="str">
        <f>HYPERLINK("https://twitter.com/ISIS_Balik_NO","@ISIS_Balik_NO")</f>
        <v>@ISIS_Balik_NO</v>
      </c>
      <c r="C7347" t="s">
        <v>5125</v>
      </c>
      <c r="D7347">
        <v>0</v>
      </c>
      <c r="E7347">
        <v>2</v>
      </c>
      <c r="F7347">
        <v>6085</v>
      </c>
    </row>
    <row r="7348" spans="1:6" ht="12.75">
      <c r="A7348" s="2">
        <v>43881.966979166667</v>
      </c>
      <c r="B7348" t="str">
        <f>HYPERLINK("https://twitter.com/2_onta","@2_onta")</f>
        <v>@2_onta</v>
      </c>
      <c r="C7348" t="s">
        <v>5126</v>
      </c>
      <c r="D7348">
        <v>0</v>
      </c>
      <c r="E7348">
        <v>0</v>
      </c>
      <c r="F7348">
        <v>35</v>
      </c>
    </row>
    <row r="7349" spans="1:6" ht="12.75">
      <c r="A7349" s="2">
        <v>43881.966574074075</v>
      </c>
      <c r="B7349" t="str">
        <f>HYPERLINK("https://twitter.com/ISIS_Balik_NO","@ISIS_Balik_NO")</f>
        <v>@ISIS_Balik_NO</v>
      </c>
      <c r="C7349" t="s">
        <v>5127</v>
      </c>
      <c r="D7349">
        <v>0</v>
      </c>
      <c r="E7349">
        <v>2</v>
      </c>
      <c r="F7349">
        <v>6085</v>
      </c>
    </row>
    <row r="7350" spans="1:6" ht="12.75">
      <c r="A7350" s="2">
        <v>43881.965798611112</v>
      </c>
      <c r="B7350" t="str">
        <f>HYPERLINK("https://twitter.com/diarybangsawan","@diarybangsawan")</f>
        <v>@diarybangsawan</v>
      </c>
      <c r="C7350" t="s">
        <v>2467</v>
      </c>
      <c r="D7350">
        <v>897</v>
      </c>
      <c r="E7350">
        <v>0</v>
      </c>
      <c r="F7350">
        <v>215</v>
      </c>
    </row>
    <row r="7351" spans="1:6" ht="12.75">
      <c r="A7351" s="2">
        <v>43881.965601851851</v>
      </c>
      <c r="B7351" t="str">
        <f>HYPERLINK("https://twitter.com/maulanamj","@maulanamj")</f>
        <v>@maulanamj</v>
      </c>
      <c r="C7351" t="s">
        <v>1407</v>
      </c>
      <c r="D7351">
        <v>9699</v>
      </c>
      <c r="E7351">
        <v>0</v>
      </c>
      <c r="F7351">
        <v>400</v>
      </c>
    </row>
    <row r="7352" spans="1:6" ht="12.75">
      <c r="A7352" s="2">
        <v>43881.965428240743</v>
      </c>
      <c r="B7352" t="str">
        <f>HYPERLINK("https://twitter.com/faridwinart","@faridwinart")</f>
        <v>@faridwinart</v>
      </c>
      <c r="C7352" t="s">
        <v>5128</v>
      </c>
      <c r="D7352">
        <v>0</v>
      </c>
      <c r="E7352">
        <v>0</v>
      </c>
      <c r="F7352">
        <v>120</v>
      </c>
    </row>
    <row r="7353" spans="1:6" ht="12.75">
      <c r="A7353" s="2">
        <v>43881.965358796297</v>
      </c>
      <c r="B7353" t="str">
        <f>HYPERLINK("https://twitter.com/DreamersRadioID","@DreamersRadioID")</f>
        <v>@DreamersRadioID</v>
      </c>
      <c r="C7353" t="s">
        <v>4913</v>
      </c>
      <c r="D7353">
        <v>0</v>
      </c>
      <c r="E7353">
        <v>1</v>
      </c>
      <c r="F7353">
        <v>75536</v>
      </c>
    </row>
    <row r="7354" spans="1:6" ht="12.75">
      <c r="A7354" s="2">
        <v>43881.963842592595</v>
      </c>
      <c r="B7354" t="str">
        <f>HYPERLINK("https://twitter.com/ISIS_Balik_NO","@ISIS_Balik_NO")</f>
        <v>@ISIS_Balik_NO</v>
      </c>
      <c r="C7354" t="s">
        <v>5129</v>
      </c>
      <c r="D7354">
        <v>2752</v>
      </c>
      <c r="E7354">
        <v>0</v>
      </c>
      <c r="F7354">
        <v>6085</v>
      </c>
    </row>
    <row r="7355" spans="1:6" ht="12.75">
      <c r="A7355" s="2">
        <v>43881.963449074072</v>
      </c>
      <c r="B7355" t="str">
        <f>HYPERLINK("https://twitter.com/S_aulia26","@S_aulia26")</f>
        <v>@S_aulia26</v>
      </c>
      <c r="C7355" t="s">
        <v>5130</v>
      </c>
      <c r="D7355">
        <v>0</v>
      </c>
      <c r="E7355">
        <v>1</v>
      </c>
      <c r="F7355">
        <v>3866</v>
      </c>
    </row>
    <row r="7356" spans="1:6" ht="12.75">
      <c r="A7356" s="2">
        <v>43881.963321759264</v>
      </c>
      <c r="B7356" t="str">
        <f>HYPERLINK("https://twitter.com/burungpipit74","@burungpipit74")</f>
        <v>@burungpipit74</v>
      </c>
      <c r="C7356" t="s">
        <v>177</v>
      </c>
      <c r="D7356">
        <v>617</v>
      </c>
      <c r="E7356">
        <v>0</v>
      </c>
      <c r="F7356">
        <v>3347</v>
      </c>
    </row>
    <row r="7357" spans="1:6" ht="12.75">
      <c r="A7357" s="2">
        <v>43881.96329861111</v>
      </c>
      <c r="B7357" t="str">
        <f>HYPERLINK("https://twitter.com/dyahdrmwn","@dyahdrmwn")</f>
        <v>@dyahdrmwn</v>
      </c>
      <c r="C7357" t="s">
        <v>2692</v>
      </c>
      <c r="D7357">
        <v>2006</v>
      </c>
      <c r="E7357">
        <v>0</v>
      </c>
      <c r="F7357">
        <v>696</v>
      </c>
    </row>
    <row r="7358" spans="1:6" ht="12.75">
      <c r="A7358" s="2">
        <v>43881.96266203704</v>
      </c>
      <c r="B7358" t="str">
        <f>HYPERLINK("https://twitter.com/ISIS_Balik_NO","@ISIS_Balik_NO")</f>
        <v>@ISIS_Balik_NO</v>
      </c>
      <c r="C7358" t="s">
        <v>5131</v>
      </c>
      <c r="D7358">
        <v>1</v>
      </c>
      <c r="E7358">
        <v>1</v>
      </c>
      <c r="F7358">
        <v>6085</v>
      </c>
    </row>
    <row r="7359" spans="1:6" ht="12.75">
      <c r="A7359" s="2">
        <v>43881.962627314817</v>
      </c>
      <c r="B7359" t="str">
        <f>HYPERLINK("https://twitter.com/2019Sehatselalu","@2019Sehatselalu")</f>
        <v>@2019Sehatselalu</v>
      </c>
      <c r="C7359" t="s">
        <v>4819</v>
      </c>
      <c r="D7359">
        <v>3</v>
      </c>
      <c r="E7359">
        <v>0</v>
      </c>
      <c r="F7359">
        <v>17</v>
      </c>
    </row>
    <row r="7360" spans="1:6" ht="12.75">
      <c r="A7360" s="2">
        <v>43881.962500000001</v>
      </c>
      <c r="B7360" t="str">
        <f>HYPERLINK("https://twitter.com/ryolandafit","@ryolandafit")</f>
        <v>@ryolandafit</v>
      </c>
      <c r="C7360" t="s">
        <v>5132</v>
      </c>
      <c r="D7360">
        <v>3</v>
      </c>
      <c r="E7360">
        <v>0</v>
      </c>
      <c r="F7360">
        <v>650</v>
      </c>
    </row>
    <row r="7361" spans="1:6" ht="12.75">
      <c r="A7361" s="2">
        <v>43881.962083333332</v>
      </c>
      <c r="B7361" t="str">
        <f>HYPERLINK("https://twitter.com/aples0037","@aples0037")</f>
        <v>@aples0037</v>
      </c>
      <c r="C7361" t="s">
        <v>4829</v>
      </c>
      <c r="D7361">
        <v>12</v>
      </c>
      <c r="E7361">
        <v>0</v>
      </c>
      <c r="F7361">
        <v>1502</v>
      </c>
    </row>
    <row r="7362" spans="1:6" ht="12.75">
      <c r="A7362" s="2">
        <v>43881.96199074074</v>
      </c>
      <c r="B7362" t="str">
        <f>HYPERLINK("https://twitter.com/faridwinart","@faridwinart")</f>
        <v>@faridwinart</v>
      </c>
      <c r="C7362" t="s">
        <v>5133</v>
      </c>
      <c r="D7362">
        <v>0</v>
      </c>
      <c r="E7362">
        <v>0</v>
      </c>
      <c r="F7362">
        <v>120</v>
      </c>
    </row>
    <row r="7363" spans="1:6" ht="12.75">
      <c r="A7363" s="2">
        <v>43881.961435185185</v>
      </c>
      <c r="B7363" t="str">
        <f>HYPERLINK("https://twitter.com/bangnadjam","@bangnadjam")</f>
        <v>@bangnadjam</v>
      </c>
      <c r="C7363" t="s">
        <v>5134</v>
      </c>
      <c r="D7363">
        <v>0</v>
      </c>
      <c r="E7363">
        <v>0</v>
      </c>
      <c r="F7363">
        <v>3433</v>
      </c>
    </row>
    <row r="7364" spans="1:6" ht="12.75">
      <c r="A7364" s="2">
        <v>43881.961087962962</v>
      </c>
      <c r="B7364" t="str">
        <f>HYPERLINK("https://twitter.com/faridwinart","@faridwinart")</f>
        <v>@faridwinart</v>
      </c>
      <c r="C7364" t="s">
        <v>5135</v>
      </c>
      <c r="D7364">
        <v>0</v>
      </c>
      <c r="E7364">
        <v>0</v>
      </c>
      <c r="F7364">
        <v>120</v>
      </c>
    </row>
    <row r="7365" spans="1:6" ht="12.75">
      <c r="A7365" s="2">
        <v>43881.960960648154</v>
      </c>
      <c r="B7365" t="str">
        <f>HYPERLINK("https://twitter.com/matasayu_","@matasayu_")</f>
        <v>@matasayu_</v>
      </c>
      <c r="C7365" t="s">
        <v>4819</v>
      </c>
      <c r="D7365">
        <v>1</v>
      </c>
      <c r="E7365">
        <v>0</v>
      </c>
      <c r="F7365">
        <v>110</v>
      </c>
    </row>
    <row r="7366" spans="1:6" ht="12.75">
      <c r="A7366" s="2">
        <v>43881.960543981477</v>
      </c>
      <c r="B7366" t="str">
        <f>HYPERLINK("https://twitter.com/Ryashi4","@Ryashi4")</f>
        <v>@Ryashi4</v>
      </c>
      <c r="C7366" t="s">
        <v>5136</v>
      </c>
      <c r="D7366">
        <v>0</v>
      </c>
      <c r="E7366">
        <v>0</v>
      </c>
      <c r="F7366">
        <v>8</v>
      </c>
    </row>
    <row r="7367" spans="1:6" ht="12.75">
      <c r="A7367" s="2">
        <v>43881.960393518515</v>
      </c>
      <c r="B7367" t="str">
        <f>HYPERLINK("https://twitter.com/BeritaMillenial","@BeritaMillenial")</f>
        <v>@BeritaMillenial</v>
      </c>
      <c r="C7367" t="s">
        <v>5137</v>
      </c>
      <c r="D7367">
        <v>0</v>
      </c>
      <c r="E7367">
        <v>0</v>
      </c>
      <c r="F7367">
        <v>33</v>
      </c>
    </row>
    <row r="7368" spans="1:6" ht="12.75">
      <c r="A7368" s="2">
        <v>43881.959768518514</v>
      </c>
      <c r="B7368" t="str">
        <f>HYPERLINK("https://twitter.com/PDI_Perjuangan","@PDI_Perjuangan")</f>
        <v>@PDI_Perjuangan</v>
      </c>
      <c r="C7368" t="s">
        <v>5138</v>
      </c>
      <c r="D7368">
        <v>0</v>
      </c>
      <c r="E7368">
        <v>1</v>
      </c>
      <c r="F7368">
        <v>219282</v>
      </c>
    </row>
    <row r="7369" spans="1:6" ht="12.75">
      <c r="A7369" s="2">
        <v>43881.95958333333</v>
      </c>
      <c r="B7369" t="str">
        <f>HYPERLINK("https://twitter.com/genostlly","@genostlly")</f>
        <v>@genostlly</v>
      </c>
      <c r="C7369" t="s">
        <v>177</v>
      </c>
      <c r="D7369">
        <v>600</v>
      </c>
      <c r="E7369">
        <v>0</v>
      </c>
      <c r="F7369">
        <v>703</v>
      </c>
    </row>
    <row r="7370" spans="1:6" ht="12.75">
      <c r="A7370" s="2">
        <v>43881.959166666667</v>
      </c>
      <c r="B7370" t="str">
        <f>HYPERLINK("https://twitter.com/EsJorong","@EsJorong")</f>
        <v>@EsJorong</v>
      </c>
      <c r="C7370" t="s">
        <v>5139</v>
      </c>
      <c r="D7370">
        <v>33</v>
      </c>
      <c r="E7370">
        <v>0</v>
      </c>
      <c r="F7370">
        <v>195</v>
      </c>
    </row>
    <row r="7371" spans="1:6" ht="12.75">
      <c r="A7371" s="2">
        <v>43881.959074074075</v>
      </c>
      <c r="B7371" t="str">
        <f>HYPERLINK("https://twitter.com/KompasTV","@KompasTV")</f>
        <v>@KompasTV</v>
      </c>
      <c r="C7371" t="s">
        <v>5140</v>
      </c>
      <c r="D7371">
        <v>1</v>
      </c>
      <c r="E7371">
        <v>2</v>
      </c>
      <c r="F7371">
        <v>2945061</v>
      </c>
    </row>
    <row r="7372" spans="1:6" ht="12.75">
      <c r="A7372" s="2">
        <v>43881.958900462967</v>
      </c>
      <c r="B7372" t="str">
        <f>HYPERLINK("https://twitter.com/UrubingDilah","@UrubingDilah")</f>
        <v>@UrubingDilah</v>
      </c>
      <c r="C7372" t="s">
        <v>177</v>
      </c>
      <c r="D7372">
        <v>600</v>
      </c>
      <c r="E7372">
        <v>0</v>
      </c>
      <c r="F7372">
        <v>1351</v>
      </c>
    </row>
    <row r="7373" spans="1:6" ht="12.75">
      <c r="A7373" s="2">
        <v>43881.95884259259</v>
      </c>
      <c r="B7373" t="str">
        <f>HYPERLINK("https://twitter.com/Den_Bagus36","@Den_Bagus36")</f>
        <v>@Den_Bagus36</v>
      </c>
      <c r="C7373" t="s">
        <v>5141</v>
      </c>
      <c r="D7373">
        <v>0</v>
      </c>
      <c r="E7373">
        <v>0</v>
      </c>
      <c r="F7373">
        <v>1399</v>
      </c>
    </row>
    <row r="7374" spans="1:6" ht="12.75">
      <c r="A7374" s="2">
        <v>43881.958171296297</v>
      </c>
      <c r="B7374" t="str">
        <f>HYPERLINK("https://twitter.com/Laurar_Rod22","@Laurar_Rod22")</f>
        <v>@Laurar_Rod22</v>
      </c>
      <c r="C7374" t="s">
        <v>5142</v>
      </c>
      <c r="D7374">
        <v>0</v>
      </c>
      <c r="E7374">
        <v>0</v>
      </c>
      <c r="F7374">
        <v>606</v>
      </c>
    </row>
    <row r="7375" spans="1:6" ht="12.75">
      <c r="A7375" s="2">
        <v>43881.957500000004</v>
      </c>
      <c r="B7375" t="str">
        <f>HYPERLINK("https://twitter.com/eztegalih","@eztegalih")</f>
        <v>@eztegalih</v>
      </c>
      <c r="C7375" t="s">
        <v>5089</v>
      </c>
      <c r="D7375">
        <v>5</v>
      </c>
      <c r="E7375">
        <v>0</v>
      </c>
      <c r="F7375">
        <v>319</v>
      </c>
    </row>
    <row r="7376" spans="1:6" ht="12.75">
      <c r="A7376" s="2">
        <v>43881.957326388889</v>
      </c>
      <c r="B7376" t="str">
        <f>HYPERLINK("https://twitter.com/bayupedia","@bayupedia")</f>
        <v>@bayupedia</v>
      </c>
      <c r="C7376" t="s">
        <v>5143</v>
      </c>
      <c r="D7376">
        <v>0</v>
      </c>
      <c r="E7376">
        <v>0</v>
      </c>
      <c r="F7376">
        <v>164</v>
      </c>
    </row>
    <row r="7377" spans="1:6" ht="12.75">
      <c r="A7377" s="2">
        <v>43881.956956018519</v>
      </c>
      <c r="B7377" t="str">
        <f>HYPERLINK("https://twitter.com/SriDaryati16","@SriDaryati16")</f>
        <v>@SriDaryati16</v>
      </c>
      <c r="C7377" t="s">
        <v>5144</v>
      </c>
      <c r="D7377">
        <v>0</v>
      </c>
      <c r="E7377">
        <v>0</v>
      </c>
      <c r="F7377">
        <v>25</v>
      </c>
    </row>
    <row r="7378" spans="1:6" ht="12.75">
      <c r="A7378" s="2">
        <v>43881.956828703704</v>
      </c>
      <c r="B7378" t="str">
        <f>HYPERLINK("https://twitter.com/lukmnhkimbty","@lukmnhkimbty")</f>
        <v>@lukmnhkimbty</v>
      </c>
      <c r="C7378" t="s">
        <v>3483</v>
      </c>
      <c r="D7378">
        <v>23</v>
      </c>
      <c r="E7378">
        <v>0</v>
      </c>
      <c r="F7378">
        <v>178</v>
      </c>
    </row>
    <row r="7379" spans="1:6" ht="12.75">
      <c r="A7379" s="2">
        <v>43881.956469907411</v>
      </c>
      <c r="B7379" t="str">
        <f>HYPERLINK("https://twitter.com/ammar_faeyza","@ammar_faeyza")</f>
        <v>@ammar_faeyza</v>
      </c>
      <c r="C7379" t="s">
        <v>177</v>
      </c>
      <c r="D7379">
        <v>600</v>
      </c>
      <c r="E7379">
        <v>0</v>
      </c>
      <c r="F7379">
        <v>4718</v>
      </c>
    </row>
    <row r="7380" spans="1:6" ht="12.75">
      <c r="A7380" s="2">
        <v>43881.956458333334</v>
      </c>
      <c r="B7380" t="str">
        <f>HYPERLINK("https://twitter.com/ApriliaHannyPr1","@ApriliaHannyPr1")</f>
        <v>@ApriliaHannyPr1</v>
      </c>
      <c r="C7380" t="s">
        <v>5145</v>
      </c>
      <c r="D7380">
        <v>0</v>
      </c>
      <c r="E7380">
        <v>0</v>
      </c>
      <c r="F7380">
        <v>37</v>
      </c>
    </row>
    <row r="7381" spans="1:6" ht="12.75">
      <c r="A7381" s="2">
        <v>43881.956412037034</v>
      </c>
      <c r="B7381" t="str">
        <f>HYPERLINK("https://twitter.com/jaibhar20458182","@jaibhar20458182")</f>
        <v>@jaibhar20458182</v>
      </c>
      <c r="C7381" t="s">
        <v>5146</v>
      </c>
      <c r="D7381">
        <v>0</v>
      </c>
      <c r="E7381">
        <v>0</v>
      </c>
      <c r="F7381">
        <v>27</v>
      </c>
    </row>
    <row r="7382" spans="1:6" ht="12.75">
      <c r="A7382" s="2">
        <v>43881.95590277778</v>
      </c>
      <c r="B7382" t="str">
        <f>HYPERLINK("https://twitter.com/babianggoraa","@babianggoraa")</f>
        <v>@babianggoraa</v>
      </c>
      <c r="C7382" t="s">
        <v>5147</v>
      </c>
      <c r="D7382">
        <v>0</v>
      </c>
      <c r="E7382">
        <v>0</v>
      </c>
      <c r="F7382">
        <v>1624</v>
      </c>
    </row>
    <row r="7383" spans="1:6" ht="12.75">
      <c r="A7383" s="2">
        <v>43881.954872685186</v>
      </c>
      <c r="B7383" t="str">
        <f>HYPERLINK("https://twitter.com/azrul_bagendut","@azrul_bagendut")</f>
        <v>@azrul_bagendut</v>
      </c>
      <c r="C7383" t="s">
        <v>5148</v>
      </c>
      <c r="D7383">
        <v>0</v>
      </c>
      <c r="E7383">
        <v>0</v>
      </c>
      <c r="F7383">
        <v>70</v>
      </c>
    </row>
    <row r="7384" spans="1:6" ht="12.75">
      <c r="A7384" s="2">
        <v>43881.954594907409</v>
      </c>
      <c r="B7384" t="str">
        <f>HYPERLINK("https://twitter.com/lekopr","@lekopr")</f>
        <v>@lekopr</v>
      </c>
      <c r="C7384" t="s">
        <v>177</v>
      </c>
      <c r="D7384">
        <v>600</v>
      </c>
      <c r="E7384">
        <v>0</v>
      </c>
      <c r="F7384">
        <v>3079</v>
      </c>
    </row>
    <row r="7385" spans="1:6" ht="12.75">
      <c r="A7385" s="2">
        <v>43881.953773148147</v>
      </c>
      <c r="B7385" t="str">
        <f>HYPERLINK("https://twitter.com/Sky_marryland","@Sky_marryland")</f>
        <v>@Sky_marryland</v>
      </c>
      <c r="C7385" t="s">
        <v>177</v>
      </c>
      <c r="D7385">
        <v>600</v>
      </c>
      <c r="E7385">
        <v>0</v>
      </c>
      <c r="F7385">
        <v>569</v>
      </c>
    </row>
    <row r="7386" spans="1:6" ht="12.75">
      <c r="A7386" s="2">
        <v>43881.953310185185</v>
      </c>
      <c r="B7386" t="str">
        <f>HYPERLINK("https://twitter.com/salsabilabunga5","@salsabilabunga5")</f>
        <v>@salsabilabunga5</v>
      </c>
      <c r="C7386" t="s">
        <v>177</v>
      </c>
      <c r="D7386">
        <v>600</v>
      </c>
      <c r="E7386">
        <v>0</v>
      </c>
      <c r="F7386">
        <v>1323</v>
      </c>
    </row>
    <row r="7387" spans="1:6" ht="12.75">
      <c r="A7387" s="2">
        <v>43881.952986111108</v>
      </c>
      <c r="B7387" t="str">
        <f>HYPERLINK("https://twitter.com/jrsyad","@jrsyad")</f>
        <v>@jrsyad</v>
      </c>
      <c r="C7387" t="s">
        <v>5149</v>
      </c>
      <c r="D7387">
        <v>0</v>
      </c>
      <c r="E7387">
        <v>0</v>
      </c>
      <c r="F7387">
        <v>418</v>
      </c>
    </row>
    <row r="7388" spans="1:6" ht="12.75">
      <c r="A7388" s="2">
        <v>43881.952743055561</v>
      </c>
      <c r="B7388" t="str">
        <f>HYPERLINK("https://twitter.com/zurinazora","@zurinazora")</f>
        <v>@zurinazora</v>
      </c>
      <c r="C7388" t="s">
        <v>3483</v>
      </c>
      <c r="D7388">
        <v>23</v>
      </c>
      <c r="E7388">
        <v>0</v>
      </c>
      <c r="F7388">
        <v>336</v>
      </c>
    </row>
    <row r="7389" spans="1:6" ht="12.75">
      <c r="A7389" s="2">
        <v>43881.951967592591</v>
      </c>
      <c r="B7389" t="str">
        <f>HYPERLINK("https://twitter.com/syauqiahmad94","@syauqiahmad94")</f>
        <v>@syauqiahmad94</v>
      </c>
      <c r="C7389" t="s">
        <v>2692</v>
      </c>
      <c r="D7389">
        <v>2002</v>
      </c>
      <c r="E7389">
        <v>0</v>
      </c>
      <c r="F7389">
        <v>281</v>
      </c>
    </row>
    <row r="7390" spans="1:6" ht="12.75">
      <c r="A7390" s="2">
        <v>43881.951597222222</v>
      </c>
      <c r="B7390" t="str">
        <f>HYPERLINK("https://twitter.com/HelmiRamdani14","@HelmiRamdani14")</f>
        <v>@HelmiRamdani14</v>
      </c>
      <c r="C7390" t="s">
        <v>5150</v>
      </c>
      <c r="D7390">
        <v>0</v>
      </c>
      <c r="E7390">
        <v>0</v>
      </c>
      <c r="F7390">
        <v>39</v>
      </c>
    </row>
    <row r="7391" spans="1:6" ht="12.75">
      <c r="A7391" s="2">
        <v>43881.950173611112</v>
      </c>
      <c r="B7391" t="str">
        <f>HYPERLINK("https://twitter.com/dytoxs_eddy","@dytoxs_eddy")</f>
        <v>@dytoxs_eddy</v>
      </c>
      <c r="C7391" t="s">
        <v>177</v>
      </c>
      <c r="D7391">
        <v>600</v>
      </c>
      <c r="E7391">
        <v>0</v>
      </c>
      <c r="F7391">
        <v>2325</v>
      </c>
    </row>
    <row r="7392" spans="1:6" ht="12.75">
      <c r="A7392" s="2">
        <v>43881.948680555557</v>
      </c>
      <c r="B7392" t="str">
        <f>HYPERLINK("https://twitter.com/jalanpulangg","@jalanpulangg")</f>
        <v>@jalanpulangg</v>
      </c>
      <c r="C7392" t="s">
        <v>5151</v>
      </c>
      <c r="D7392">
        <v>0</v>
      </c>
      <c r="E7392">
        <v>0</v>
      </c>
      <c r="F7392">
        <v>127</v>
      </c>
    </row>
    <row r="7393" spans="1:6" ht="12.75">
      <c r="A7393" s="2">
        <v>43881.948124999995</v>
      </c>
      <c r="B7393" t="str">
        <f>HYPERLINK("https://twitter.com/haluanghabang","@haluanghabang")</f>
        <v>@haluanghabang</v>
      </c>
      <c r="C7393" t="s">
        <v>5152</v>
      </c>
      <c r="D7393">
        <v>0</v>
      </c>
      <c r="E7393">
        <v>1</v>
      </c>
      <c r="F7393">
        <v>983</v>
      </c>
    </row>
    <row r="7394" spans="1:6" ht="12.75">
      <c r="A7394" s="2">
        <v>43881.947349537033</v>
      </c>
      <c r="B7394" t="str">
        <f>HYPERLINK("https://twitter.com/Rocchhy","@Rocchhy")</f>
        <v>@Rocchhy</v>
      </c>
      <c r="C7394" t="s">
        <v>5153</v>
      </c>
      <c r="D7394">
        <v>0</v>
      </c>
      <c r="E7394">
        <v>0</v>
      </c>
      <c r="F7394">
        <v>122</v>
      </c>
    </row>
    <row r="7395" spans="1:6" ht="12.75">
      <c r="A7395" s="2">
        <v>43881.947129629625</v>
      </c>
      <c r="B7395" t="str">
        <f>HYPERLINK("https://twitter.com/JohanHaryanto6","@JohanHaryanto6")</f>
        <v>@JohanHaryanto6</v>
      </c>
      <c r="C7395" t="s">
        <v>5154</v>
      </c>
      <c r="D7395">
        <v>0</v>
      </c>
      <c r="E7395">
        <v>0</v>
      </c>
      <c r="F7395">
        <v>4</v>
      </c>
    </row>
    <row r="7396" spans="1:6" ht="12.75">
      <c r="A7396" s="2">
        <v>43881.946898148148</v>
      </c>
      <c r="B7396" t="str">
        <f t="shared" ref="B7396:B7397" si="135">HYPERLINK("https://twitter.com/sinyovandlahom","@sinyovandlahom")</f>
        <v>@sinyovandlahom</v>
      </c>
      <c r="C7396" t="s">
        <v>4817</v>
      </c>
      <c r="D7396">
        <v>7</v>
      </c>
      <c r="E7396">
        <v>0</v>
      </c>
      <c r="F7396">
        <v>1313</v>
      </c>
    </row>
    <row r="7397" spans="1:6" ht="12.75">
      <c r="A7397" s="2">
        <v>43881.946724537032</v>
      </c>
      <c r="B7397" t="str">
        <f t="shared" si="135"/>
        <v>@sinyovandlahom</v>
      </c>
      <c r="C7397" t="s">
        <v>4818</v>
      </c>
      <c r="D7397">
        <v>6</v>
      </c>
      <c r="E7397">
        <v>0</v>
      </c>
      <c r="F7397">
        <v>1313</v>
      </c>
    </row>
    <row r="7398" spans="1:6" ht="12.75">
      <c r="A7398" s="2">
        <v>43881.946435185186</v>
      </c>
      <c r="B7398" t="str">
        <f>HYPERLINK("https://twitter.com/eZLeM21021U","@eZLeM21021U")</f>
        <v>@eZLeM21021U</v>
      </c>
      <c r="C7398" t="s">
        <v>5155</v>
      </c>
      <c r="D7398">
        <v>0</v>
      </c>
      <c r="E7398">
        <v>1</v>
      </c>
      <c r="F7398">
        <v>3407</v>
      </c>
    </row>
    <row r="7399" spans="1:6" ht="12.75">
      <c r="A7399" s="2">
        <v>43881.946400462963</v>
      </c>
      <c r="B7399" t="str">
        <f>HYPERLINK("https://twitter.com/dwytono","@dwytono")</f>
        <v>@dwytono</v>
      </c>
      <c r="C7399" t="s">
        <v>177</v>
      </c>
      <c r="D7399">
        <v>600</v>
      </c>
      <c r="E7399">
        <v>0</v>
      </c>
      <c r="F7399">
        <v>1869</v>
      </c>
    </row>
    <row r="7400" spans="1:6" ht="12.75">
      <c r="A7400" s="2">
        <v>43881.946261574078</v>
      </c>
      <c r="B7400" t="str">
        <f>HYPERLINK("https://twitter.com/Dani_65477","@Dani_65477")</f>
        <v>@Dani_65477</v>
      </c>
      <c r="C7400" t="s">
        <v>177</v>
      </c>
      <c r="D7400">
        <v>600</v>
      </c>
      <c r="E7400">
        <v>0</v>
      </c>
      <c r="F7400">
        <v>87</v>
      </c>
    </row>
    <row r="7401" spans="1:6" ht="12.75">
      <c r="A7401" s="2">
        <v>43881.945798611108</v>
      </c>
      <c r="B7401" t="str">
        <f>HYPERLINK("https://twitter.com/jungsquirrel","@jungsquirrel")</f>
        <v>@jungsquirrel</v>
      </c>
      <c r="C7401" t="s">
        <v>5156</v>
      </c>
      <c r="D7401">
        <v>0</v>
      </c>
      <c r="E7401">
        <v>0</v>
      </c>
      <c r="F7401">
        <v>48</v>
      </c>
    </row>
    <row r="7402" spans="1:6" ht="12.75">
      <c r="A7402" s="2">
        <v>43881.945185185185</v>
      </c>
      <c r="B7402" t="str">
        <f>HYPERLINK("https://twitter.com/amigoszy","@amigoszy")</f>
        <v>@amigoszy</v>
      </c>
      <c r="C7402" t="s">
        <v>513</v>
      </c>
      <c r="D7402">
        <v>23238</v>
      </c>
      <c r="E7402">
        <v>0</v>
      </c>
      <c r="F7402">
        <v>10</v>
      </c>
    </row>
    <row r="7403" spans="1:6" ht="12.75">
      <c r="A7403" s="2">
        <v>43881.944537037038</v>
      </c>
      <c r="B7403" t="str">
        <f>HYPERLINK("https://twitter.com/MarlavMarco","@MarlavMarco")</f>
        <v>@MarlavMarco</v>
      </c>
      <c r="C7403" t="s">
        <v>177</v>
      </c>
      <c r="D7403">
        <v>600</v>
      </c>
      <c r="E7403">
        <v>0</v>
      </c>
      <c r="F7403">
        <v>89</v>
      </c>
    </row>
    <row r="7404" spans="1:6" ht="12.75">
      <c r="A7404" s="2">
        <v>43881.943738425922</v>
      </c>
      <c r="B7404" t="str">
        <f>HYPERLINK("https://twitter.com/faridwinart","@faridwinart")</f>
        <v>@faridwinart</v>
      </c>
      <c r="C7404" t="s">
        <v>5157</v>
      </c>
      <c r="D7404">
        <v>0</v>
      </c>
      <c r="E7404">
        <v>0</v>
      </c>
      <c r="F7404">
        <v>120</v>
      </c>
    </row>
    <row r="7405" spans="1:6" ht="12.75">
      <c r="A7405" s="2">
        <v>43881.943402777775</v>
      </c>
      <c r="B7405" t="str">
        <f>HYPERLINK("https://twitter.com/peachqxy","@peachqxy")</f>
        <v>@peachqxy</v>
      </c>
      <c r="C7405" t="s">
        <v>5158</v>
      </c>
      <c r="D7405">
        <v>0</v>
      </c>
      <c r="E7405">
        <v>0</v>
      </c>
      <c r="F7405">
        <v>2534</v>
      </c>
    </row>
    <row r="7406" spans="1:6" ht="12.75">
      <c r="A7406" s="2">
        <v>43881.94332175926</v>
      </c>
      <c r="B7406" t="str">
        <f>HYPERLINK("https://twitter.com/NuzulHidayat27","@NuzulHidayat27")</f>
        <v>@NuzulHidayat27</v>
      </c>
      <c r="C7406" t="s">
        <v>177</v>
      </c>
      <c r="D7406">
        <v>600</v>
      </c>
      <c r="E7406">
        <v>0</v>
      </c>
      <c r="F7406">
        <v>579</v>
      </c>
    </row>
    <row r="7407" spans="1:6" ht="12.75">
      <c r="A7407" s="2">
        <v>43881.943113425921</v>
      </c>
      <c r="B7407" t="str">
        <f>HYPERLINK("https://twitter.com/senengdipeluk","@senengdipeluk")</f>
        <v>@senengdipeluk</v>
      </c>
      <c r="C7407" t="s">
        <v>3483</v>
      </c>
      <c r="D7407">
        <v>23</v>
      </c>
      <c r="E7407">
        <v>0</v>
      </c>
      <c r="F7407">
        <v>1625</v>
      </c>
    </row>
    <row r="7408" spans="1:6" ht="12.75">
      <c r="A7408" s="2">
        <v>43881.943113425921</v>
      </c>
      <c r="B7408" t="str">
        <f>HYPERLINK("https://twitter.com/awin25704585","@awin25704585")</f>
        <v>@awin25704585</v>
      </c>
      <c r="C7408" t="s">
        <v>5159</v>
      </c>
      <c r="D7408">
        <v>0</v>
      </c>
      <c r="E7408">
        <v>0</v>
      </c>
      <c r="F7408">
        <v>0</v>
      </c>
    </row>
    <row r="7409" spans="1:6" ht="12.75">
      <c r="A7409" s="2">
        <v>43881.94231481482</v>
      </c>
      <c r="B7409" t="str">
        <f>HYPERLINK("https://twitter.com/RezhaKep","@RezhaKep")</f>
        <v>@RezhaKep</v>
      </c>
      <c r="C7409" t="s">
        <v>1407</v>
      </c>
      <c r="D7409">
        <v>9697</v>
      </c>
      <c r="E7409">
        <v>0</v>
      </c>
      <c r="F7409">
        <v>261</v>
      </c>
    </row>
    <row r="7410" spans="1:6" ht="12.75">
      <c r="A7410" s="2">
        <v>43881.941967592589</v>
      </c>
      <c r="B7410" t="str">
        <f>HYPERLINK("https://twitter.com/hi_dorum","@hi_dorum")</f>
        <v>@hi_dorum</v>
      </c>
      <c r="C7410" t="s">
        <v>177</v>
      </c>
      <c r="D7410">
        <v>600</v>
      </c>
      <c r="E7410">
        <v>0</v>
      </c>
      <c r="F7410">
        <v>655</v>
      </c>
    </row>
    <row r="7411" spans="1:6" ht="12.75">
      <c r="A7411" s="2">
        <v>43881.941724537042</v>
      </c>
      <c r="B7411" t="str">
        <f>HYPERLINK("https://twitter.com/santos62658028","@santos62658028")</f>
        <v>@santos62658028</v>
      </c>
      <c r="C7411" t="s">
        <v>3977</v>
      </c>
      <c r="D7411">
        <v>16</v>
      </c>
      <c r="E7411">
        <v>0</v>
      </c>
      <c r="F7411">
        <v>1471</v>
      </c>
    </row>
    <row r="7412" spans="1:6" ht="12.75">
      <c r="A7412" s="2">
        <v>43881.941076388888</v>
      </c>
      <c r="B7412" t="str">
        <f>HYPERLINK("https://twitter.com/yadiac71","@yadiac71")</f>
        <v>@yadiac71</v>
      </c>
      <c r="C7412" t="s">
        <v>5160</v>
      </c>
      <c r="D7412">
        <v>0</v>
      </c>
      <c r="E7412">
        <v>0</v>
      </c>
      <c r="F7412">
        <v>252</v>
      </c>
    </row>
    <row r="7413" spans="1:6" ht="12.75">
      <c r="A7413" s="2">
        <v>43881.941006944442</v>
      </c>
      <c r="B7413" t="str">
        <f>HYPERLINK("https://twitter.com/KontanNews","@KontanNews")</f>
        <v>@KontanNews</v>
      </c>
      <c r="C7413" t="s">
        <v>5161</v>
      </c>
      <c r="D7413">
        <v>1</v>
      </c>
      <c r="E7413">
        <v>1</v>
      </c>
      <c r="F7413">
        <v>316850</v>
      </c>
    </row>
    <row r="7414" spans="1:6" ht="12.75">
      <c r="A7414" s="2">
        <v>43881.940520833334</v>
      </c>
      <c r="B7414" t="str">
        <f>HYPERLINK("https://twitter.com/Astrypratiwi8","@Astrypratiwi8")</f>
        <v>@Astrypratiwi8</v>
      </c>
      <c r="C7414" t="s">
        <v>177</v>
      </c>
      <c r="D7414">
        <v>600</v>
      </c>
      <c r="E7414">
        <v>0</v>
      </c>
      <c r="F7414">
        <v>2</v>
      </c>
    </row>
    <row r="7415" spans="1:6" ht="12.75">
      <c r="A7415" s="2">
        <v>43881.939467592594</v>
      </c>
      <c r="B7415" t="str">
        <f>HYPERLINK("https://twitter.com/HenkMizell","@HenkMizell")</f>
        <v>@HenkMizell</v>
      </c>
      <c r="C7415" t="s">
        <v>5162</v>
      </c>
      <c r="D7415">
        <v>0</v>
      </c>
      <c r="E7415">
        <v>0</v>
      </c>
      <c r="F7415">
        <v>20</v>
      </c>
    </row>
    <row r="7416" spans="1:6" ht="12.75">
      <c r="A7416" s="2">
        <v>43881.939201388886</v>
      </c>
      <c r="B7416" t="str">
        <f>HYPERLINK("https://twitter.com/EMeilitasari","@EMeilitasari")</f>
        <v>@EMeilitasari</v>
      </c>
      <c r="C7416" t="s">
        <v>513</v>
      </c>
      <c r="D7416">
        <v>23238</v>
      </c>
      <c r="E7416">
        <v>0</v>
      </c>
      <c r="F7416">
        <v>122</v>
      </c>
    </row>
    <row r="7417" spans="1:6" ht="12.75">
      <c r="A7417" s="2">
        <v>43881.938969907409</v>
      </c>
      <c r="B7417" t="str">
        <f>HYPERLINK("https://twitter.com/tar_wiwi","@tar_wiwi")</f>
        <v>@tar_wiwi</v>
      </c>
      <c r="C7417" t="s">
        <v>177</v>
      </c>
      <c r="D7417">
        <v>600</v>
      </c>
      <c r="E7417">
        <v>0</v>
      </c>
      <c r="F7417">
        <v>1591</v>
      </c>
    </row>
    <row r="7418" spans="1:6" ht="12.75">
      <c r="A7418" s="2">
        <v>43881.937962962962</v>
      </c>
      <c r="B7418" t="str">
        <f>HYPERLINK("https://twitter.com/LokadataID","@LokadataID")</f>
        <v>@LokadataID</v>
      </c>
      <c r="C7418" t="s">
        <v>5163</v>
      </c>
      <c r="D7418">
        <v>0</v>
      </c>
      <c r="E7418">
        <v>1</v>
      </c>
      <c r="F7418">
        <v>512780</v>
      </c>
    </row>
    <row r="7419" spans="1:6" ht="12.75">
      <c r="A7419" s="2">
        <v>43881.937627314815</v>
      </c>
      <c r="B7419" t="str">
        <f>HYPERLINK("https://twitter.com/Fm98Sonora","@Fm98Sonora")</f>
        <v>@Fm98Sonora</v>
      </c>
      <c r="C7419" t="s">
        <v>5132</v>
      </c>
      <c r="D7419">
        <v>2</v>
      </c>
      <c r="E7419">
        <v>0</v>
      </c>
      <c r="F7419">
        <v>19</v>
      </c>
    </row>
    <row r="7420" spans="1:6" ht="12.75">
      <c r="A7420" s="2">
        <v>43881.93712962963</v>
      </c>
      <c r="B7420" t="str">
        <f>HYPERLINK("https://twitter.com/2019Sehatselalu","@2019Sehatselalu")</f>
        <v>@2019Sehatselalu</v>
      </c>
      <c r="C7420" t="s">
        <v>5132</v>
      </c>
      <c r="D7420">
        <v>2</v>
      </c>
      <c r="E7420">
        <v>0</v>
      </c>
      <c r="F7420">
        <v>17</v>
      </c>
    </row>
    <row r="7421" spans="1:6" ht="12.75">
      <c r="A7421" s="2">
        <v>43881.93712962963</v>
      </c>
      <c r="B7421" t="str">
        <f t="shared" ref="B7421:B7424" si="136">HYPERLINK("https://twitter.com/MelayuSejahtera","@MelayuSejahtera")</f>
        <v>@MelayuSejahtera</v>
      </c>
      <c r="C7421" t="s">
        <v>5164</v>
      </c>
      <c r="D7421">
        <v>17</v>
      </c>
      <c r="E7421">
        <v>0</v>
      </c>
      <c r="F7421">
        <v>2083</v>
      </c>
    </row>
    <row r="7422" spans="1:6" ht="12.75">
      <c r="A7422" s="2">
        <v>43881.936909722222</v>
      </c>
      <c r="B7422" t="str">
        <f t="shared" si="136"/>
        <v>@MelayuSejahtera</v>
      </c>
      <c r="C7422" t="s">
        <v>5165</v>
      </c>
      <c r="D7422">
        <v>5</v>
      </c>
      <c r="E7422">
        <v>0</v>
      </c>
      <c r="F7422">
        <v>2083</v>
      </c>
    </row>
    <row r="7423" spans="1:6" ht="12.75">
      <c r="A7423" s="2">
        <v>43881.936643518522</v>
      </c>
      <c r="B7423" t="str">
        <f t="shared" si="136"/>
        <v>@MelayuSejahtera</v>
      </c>
      <c r="C7423" t="s">
        <v>5166</v>
      </c>
      <c r="D7423">
        <v>8</v>
      </c>
      <c r="E7423">
        <v>0</v>
      </c>
      <c r="F7423">
        <v>2083</v>
      </c>
    </row>
    <row r="7424" spans="1:6" ht="12.75">
      <c r="A7424" s="2">
        <v>43881.936469907407</v>
      </c>
      <c r="B7424" t="str">
        <f t="shared" si="136"/>
        <v>@MelayuSejahtera</v>
      </c>
      <c r="C7424" t="s">
        <v>5167</v>
      </c>
      <c r="D7424">
        <v>7</v>
      </c>
      <c r="E7424">
        <v>0</v>
      </c>
      <c r="F7424">
        <v>2083</v>
      </c>
    </row>
    <row r="7425" spans="1:6" ht="12.75">
      <c r="A7425" s="2">
        <v>43881.935972222222</v>
      </c>
      <c r="B7425" t="str">
        <f>HYPERLINK("https://twitter.com/romelfriyt","@romelfriyt")</f>
        <v>@romelfriyt</v>
      </c>
      <c r="C7425" t="s">
        <v>177</v>
      </c>
      <c r="D7425">
        <v>600</v>
      </c>
      <c r="E7425">
        <v>0</v>
      </c>
      <c r="F7425">
        <v>57</v>
      </c>
    </row>
    <row r="7426" spans="1:6" ht="12.75">
      <c r="A7426" s="2">
        <v>43881.935624999998</v>
      </c>
      <c r="B7426" t="str">
        <f>HYPERLINK("https://twitter.com/Gudang_Survivor","@Gudang_Survivor")</f>
        <v>@Gudang_Survivor</v>
      </c>
      <c r="C7426" t="s">
        <v>2141</v>
      </c>
      <c r="D7426">
        <v>96</v>
      </c>
      <c r="E7426">
        <v>0</v>
      </c>
      <c r="F7426">
        <v>235</v>
      </c>
    </row>
    <row r="7427" spans="1:6" ht="12.75">
      <c r="A7427" s="2">
        <v>43881.935555555552</v>
      </c>
      <c r="B7427" t="str">
        <f>HYPERLINK("https://twitter.com/syubsyu","@syubsyu")</f>
        <v>@syubsyu</v>
      </c>
      <c r="C7427" t="s">
        <v>5168</v>
      </c>
      <c r="D7427">
        <v>1694</v>
      </c>
      <c r="E7427">
        <v>0</v>
      </c>
      <c r="F7427">
        <v>1885</v>
      </c>
    </row>
    <row r="7428" spans="1:6" ht="12.75">
      <c r="A7428" s="2">
        <v>43881.934988425928</v>
      </c>
      <c r="B7428" t="str">
        <f>HYPERLINK("https://twitter.com/irnanafisah","@irnanafisah")</f>
        <v>@irnanafisah</v>
      </c>
      <c r="C7428" t="s">
        <v>1407</v>
      </c>
      <c r="D7428">
        <v>9697</v>
      </c>
      <c r="E7428">
        <v>0</v>
      </c>
      <c r="F7428">
        <v>767</v>
      </c>
    </row>
    <row r="7429" spans="1:6" ht="12.75">
      <c r="A7429" s="2">
        <v>43881.934953703705</v>
      </c>
      <c r="B7429" t="str">
        <f>HYPERLINK("https://twitter.com/CucuSanti02","@CucuSanti02")</f>
        <v>@CucuSanti02</v>
      </c>
      <c r="C7429" t="s">
        <v>4788</v>
      </c>
      <c r="D7429">
        <v>3</v>
      </c>
      <c r="E7429">
        <v>0</v>
      </c>
      <c r="F7429">
        <v>150</v>
      </c>
    </row>
    <row r="7430" spans="1:6" ht="12.75">
      <c r="A7430" s="2">
        <v>43881.934953703705</v>
      </c>
      <c r="B7430" t="str">
        <f>HYPERLINK("https://twitter.com/ryolandafit","@ryolandafit")</f>
        <v>@ryolandafit</v>
      </c>
      <c r="C7430" t="s">
        <v>4788</v>
      </c>
      <c r="D7430">
        <v>3</v>
      </c>
      <c r="E7430">
        <v>0</v>
      </c>
      <c r="F7430">
        <v>650</v>
      </c>
    </row>
    <row r="7431" spans="1:6" ht="12.75">
      <c r="A7431" s="2">
        <v>43881.934861111113</v>
      </c>
      <c r="B7431" t="str">
        <f>HYPERLINK("https://twitter.com/irnanafisah","@irnanafisah")</f>
        <v>@irnanafisah</v>
      </c>
      <c r="C7431" t="s">
        <v>2692</v>
      </c>
      <c r="D7431">
        <v>2002</v>
      </c>
      <c r="E7431">
        <v>0</v>
      </c>
      <c r="F7431">
        <v>767</v>
      </c>
    </row>
    <row r="7432" spans="1:6" ht="12.75">
      <c r="A7432" s="2">
        <v>43881.934849537036</v>
      </c>
      <c r="B7432" t="str">
        <f>HYPERLINK("https://twitter.com/putrisryningsih","@putrisryningsih")</f>
        <v>@putrisryningsih</v>
      </c>
      <c r="C7432" t="s">
        <v>1407</v>
      </c>
      <c r="D7432">
        <v>9697</v>
      </c>
      <c r="E7432">
        <v>0</v>
      </c>
      <c r="F7432">
        <v>353</v>
      </c>
    </row>
    <row r="7433" spans="1:6" ht="12.75">
      <c r="A7433" s="2">
        <v>43881.934803240743</v>
      </c>
      <c r="B7433" t="str">
        <f>HYPERLINK("https://twitter.com/novirainda","@novirainda")</f>
        <v>@novirainda</v>
      </c>
      <c r="C7433" t="s">
        <v>513</v>
      </c>
      <c r="D7433">
        <v>23238</v>
      </c>
      <c r="E7433">
        <v>0</v>
      </c>
      <c r="F7433">
        <v>181</v>
      </c>
    </row>
    <row r="7434" spans="1:6" ht="12.75">
      <c r="A7434" s="2">
        <v>43881.93476851852</v>
      </c>
      <c r="B7434" t="str">
        <f>HYPERLINK("https://twitter.com/protapb06442299","@protapb06442299")</f>
        <v>@protapb06442299</v>
      </c>
      <c r="C7434" t="s">
        <v>4929</v>
      </c>
      <c r="D7434">
        <v>6</v>
      </c>
      <c r="E7434">
        <v>0</v>
      </c>
      <c r="F7434">
        <v>2</v>
      </c>
    </row>
    <row r="7435" spans="1:6" ht="12.75">
      <c r="A7435" s="2">
        <v>43881.934548611112</v>
      </c>
      <c r="B7435" t="str">
        <f>HYPERLINK("https://twitter.com/P_Eneste","@P_Eneste")</f>
        <v>@P_Eneste</v>
      </c>
      <c r="C7435" t="s">
        <v>5169</v>
      </c>
      <c r="D7435">
        <v>0</v>
      </c>
      <c r="E7435">
        <v>1</v>
      </c>
      <c r="F7435">
        <v>1376</v>
      </c>
    </row>
    <row r="7436" spans="1:6" ht="12.75">
      <c r="A7436" s="2">
        <v>43881.93450231482</v>
      </c>
      <c r="B7436" t="str">
        <f>HYPERLINK("https://twitter.com/Nidya_Marisa","@Nidya_Marisa")</f>
        <v>@Nidya_Marisa</v>
      </c>
      <c r="C7436" t="s">
        <v>1407</v>
      </c>
      <c r="D7436">
        <v>9697</v>
      </c>
      <c r="E7436">
        <v>0</v>
      </c>
      <c r="F7436">
        <v>367</v>
      </c>
    </row>
    <row r="7437" spans="1:6" ht="12.75">
      <c r="A7437" s="2">
        <v>43881.934062500004</v>
      </c>
      <c r="B7437" t="str">
        <f>HYPERLINK("https://twitter.com/abdulloh2015","@abdulloh2015")</f>
        <v>@abdulloh2015</v>
      </c>
      <c r="C7437" t="s">
        <v>2123</v>
      </c>
      <c r="D7437">
        <v>0</v>
      </c>
      <c r="E7437">
        <v>0</v>
      </c>
      <c r="F7437">
        <v>61</v>
      </c>
    </row>
    <row r="7438" spans="1:6" ht="12.75">
      <c r="A7438" s="2">
        <v>43881.934016203704</v>
      </c>
      <c r="B7438" t="str">
        <f>HYPERLINK("https://twitter.com/FiliantiBare","@FiliantiBare")</f>
        <v>@FiliantiBare</v>
      </c>
      <c r="C7438" t="s">
        <v>177</v>
      </c>
      <c r="D7438">
        <v>600</v>
      </c>
      <c r="E7438">
        <v>0</v>
      </c>
      <c r="F7438">
        <v>113</v>
      </c>
    </row>
    <row r="7439" spans="1:6" ht="12.75">
      <c r="A7439" s="2">
        <v>43881.933842592596</v>
      </c>
      <c r="B7439" t="str">
        <f>HYPERLINK("https://twitter.com/Fm98Sonora","@Fm98Sonora")</f>
        <v>@Fm98Sonora</v>
      </c>
      <c r="C7439" t="s">
        <v>177</v>
      </c>
      <c r="D7439">
        <v>600</v>
      </c>
      <c r="E7439">
        <v>0</v>
      </c>
      <c r="F7439">
        <v>19</v>
      </c>
    </row>
    <row r="7440" spans="1:6" ht="12.75">
      <c r="A7440" s="2">
        <v>43881.933703703704</v>
      </c>
      <c r="B7440" t="str">
        <f>HYPERLINK("https://twitter.com/FaktaNew5","@FaktaNew5")</f>
        <v>@FaktaNew5</v>
      </c>
      <c r="C7440" t="s">
        <v>5170</v>
      </c>
      <c r="D7440">
        <v>0</v>
      </c>
      <c r="E7440">
        <v>0</v>
      </c>
      <c r="F7440">
        <v>174</v>
      </c>
    </row>
    <row r="7441" spans="1:6" ht="12.75">
      <c r="A7441" s="2">
        <v>43881.933368055557</v>
      </c>
      <c r="B7441" t="str">
        <f>HYPERLINK("https://twitter.com/KompasTV","@KompasTV")</f>
        <v>@KompasTV</v>
      </c>
      <c r="C7441" t="s">
        <v>5171</v>
      </c>
      <c r="D7441">
        <v>2</v>
      </c>
      <c r="E7441">
        <v>1</v>
      </c>
      <c r="F7441">
        <v>2945061</v>
      </c>
    </row>
    <row r="7442" spans="1:6" ht="12.75">
      <c r="A7442" s="2">
        <v>43881.933240740742</v>
      </c>
      <c r="B7442" t="str">
        <f>HYPERLINK("https://twitter.com/altfuego","@altfuego")</f>
        <v>@altfuego</v>
      </c>
      <c r="C7442" t="s">
        <v>5172</v>
      </c>
      <c r="D7442">
        <v>0</v>
      </c>
      <c r="E7442">
        <v>0</v>
      </c>
      <c r="F7442">
        <v>32</v>
      </c>
    </row>
    <row r="7443" spans="1:6" ht="12.75">
      <c r="A7443" s="2">
        <v>43881.932291666672</v>
      </c>
      <c r="B7443" t="str">
        <f>HYPERLINK("https://twitter.com/Detektif_Ngibul","@Detektif_Ngibul")</f>
        <v>@Detektif_Ngibul</v>
      </c>
      <c r="C7443" t="s">
        <v>5173</v>
      </c>
      <c r="D7443">
        <v>1</v>
      </c>
      <c r="E7443">
        <v>0</v>
      </c>
      <c r="F7443">
        <v>1564</v>
      </c>
    </row>
    <row r="7444" spans="1:6" ht="12.75">
      <c r="A7444" s="2">
        <v>43881.931979166664</v>
      </c>
      <c r="B7444" t="str">
        <f>HYPERLINK("https://twitter.com/lifeofbashox","@lifeofbashox")</f>
        <v>@lifeofbashox</v>
      </c>
      <c r="C7444" t="s">
        <v>5174</v>
      </c>
      <c r="D7444">
        <v>0</v>
      </c>
      <c r="E7444">
        <v>0</v>
      </c>
      <c r="F7444">
        <v>6137</v>
      </c>
    </row>
    <row r="7445" spans="1:6" ht="12.75">
      <c r="A7445" s="2">
        <v>43881.931921296295</v>
      </c>
      <c r="B7445" t="str">
        <f>HYPERLINK("https://twitter.com/seterofom","@seterofom")</f>
        <v>@seterofom</v>
      </c>
      <c r="C7445" t="s">
        <v>3141</v>
      </c>
      <c r="D7445">
        <v>6</v>
      </c>
      <c r="E7445">
        <v>0</v>
      </c>
      <c r="F7445">
        <v>118</v>
      </c>
    </row>
    <row r="7446" spans="1:6" ht="12.75">
      <c r="A7446" s="2">
        <v>43881.931631944448</v>
      </c>
      <c r="B7446" t="str">
        <f>HYPERLINK("https://twitter.com/yeeunohyeeun","@yeeunohyeeun")</f>
        <v>@yeeunohyeeun</v>
      </c>
      <c r="C7446" t="s">
        <v>177</v>
      </c>
      <c r="D7446">
        <v>600</v>
      </c>
      <c r="E7446">
        <v>0</v>
      </c>
      <c r="F7446">
        <v>629</v>
      </c>
    </row>
    <row r="7447" spans="1:6" ht="12.75">
      <c r="A7447" s="2">
        <v>43881.931539351848</v>
      </c>
      <c r="B7447" t="str">
        <f>HYPERLINK("https://twitter.com/moccalxttee","@moccalxttee")</f>
        <v>@moccalxttee</v>
      </c>
      <c r="C7447" t="s">
        <v>5175</v>
      </c>
      <c r="D7447">
        <v>0</v>
      </c>
      <c r="E7447">
        <v>0</v>
      </c>
      <c r="F7447">
        <v>120</v>
      </c>
    </row>
    <row r="7448" spans="1:6" ht="12.75">
      <c r="A7448" s="2">
        <v>43881.931446759263</v>
      </c>
      <c r="B7448" t="str">
        <f>HYPERLINK("https://twitter.com/Warodah2","@Warodah2")</f>
        <v>@Warodah2</v>
      </c>
      <c r="C7448" t="s">
        <v>177</v>
      </c>
      <c r="D7448">
        <v>600</v>
      </c>
      <c r="E7448">
        <v>0</v>
      </c>
      <c r="F7448">
        <v>5</v>
      </c>
    </row>
    <row r="7449" spans="1:6" ht="12.75">
      <c r="A7449" s="2">
        <v>43881.931435185186</v>
      </c>
      <c r="B7449" t="str">
        <f>HYPERLINK("https://twitter.com/Anak_Kodokkkk","@Anak_Kodokkkk")</f>
        <v>@Anak_Kodokkkk</v>
      </c>
      <c r="C7449" t="s">
        <v>177</v>
      </c>
      <c r="D7449">
        <v>600</v>
      </c>
      <c r="E7449">
        <v>0</v>
      </c>
      <c r="F7449">
        <v>22</v>
      </c>
    </row>
    <row r="7450" spans="1:6" ht="12.75">
      <c r="A7450" s="2">
        <v>43881.930729166663</v>
      </c>
      <c r="B7450" t="str">
        <f>HYPERLINK("https://twitter.com/12tigaempat","@12tigaempat")</f>
        <v>@12tigaempat</v>
      </c>
      <c r="C7450" t="s">
        <v>5176</v>
      </c>
      <c r="D7450">
        <v>0</v>
      </c>
      <c r="E7450">
        <v>0</v>
      </c>
      <c r="F7450">
        <v>19</v>
      </c>
    </row>
    <row r="7451" spans="1:6" ht="12.75">
      <c r="A7451" s="2">
        <v>43881.930393518516</v>
      </c>
      <c r="B7451" t="str">
        <f>HYPERLINK("https://twitter.com/dwioktariyadi","@dwioktariyadi")</f>
        <v>@dwioktariyadi</v>
      </c>
      <c r="C7451" t="s">
        <v>3977</v>
      </c>
      <c r="D7451">
        <v>16</v>
      </c>
      <c r="E7451">
        <v>0</v>
      </c>
      <c r="F7451">
        <v>689</v>
      </c>
    </row>
    <row r="7452" spans="1:6" ht="12.75">
      <c r="A7452" s="2">
        <v>43881.929942129631</v>
      </c>
      <c r="B7452" t="str">
        <f>HYPERLINK("https://twitter.com/biimantul","@biimantul")</f>
        <v>@biimantul</v>
      </c>
      <c r="C7452" t="s">
        <v>3483</v>
      </c>
      <c r="D7452">
        <v>23</v>
      </c>
      <c r="E7452">
        <v>0</v>
      </c>
      <c r="F7452">
        <v>422</v>
      </c>
    </row>
    <row r="7453" spans="1:6" ht="12.75">
      <c r="A7453" s="2">
        <v>43881.929884259254</v>
      </c>
      <c r="B7453" t="str">
        <f>HYPERLINK("https://twitter.com/Bambang9310","@Bambang9310")</f>
        <v>@Bambang9310</v>
      </c>
      <c r="C7453" t="s">
        <v>177</v>
      </c>
      <c r="D7453">
        <v>600</v>
      </c>
      <c r="E7453">
        <v>0</v>
      </c>
      <c r="F7453">
        <v>9</v>
      </c>
    </row>
    <row r="7454" spans="1:6" ht="12.75">
      <c r="A7454" s="2">
        <v>43881.929409722223</v>
      </c>
      <c r="B7454" t="str">
        <f>HYPERLINK("https://twitter.com/vibeom","@vibeom")</f>
        <v>@vibeom</v>
      </c>
      <c r="C7454" t="s">
        <v>5177</v>
      </c>
      <c r="D7454">
        <v>4</v>
      </c>
      <c r="E7454">
        <v>0</v>
      </c>
      <c r="F7454">
        <v>787</v>
      </c>
    </row>
    <row r="7455" spans="1:6" ht="12.75">
      <c r="A7455" s="2">
        <v>43881.929398148146</v>
      </c>
      <c r="B7455" t="str">
        <f>HYPERLINK("https://twitter.com/antarajatimcom","@antarajatimcom")</f>
        <v>@antarajatimcom</v>
      </c>
      <c r="C7455" t="s">
        <v>5178</v>
      </c>
      <c r="D7455">
        <v>1</v>
      </c>
      <c r="E7455">
        <v>1</v>
      </c>
      <c r="F7455">
        <v>834</v>
      </c>
    </row>
    <row r="7456" spans="1:6" ht="12.75">
      <c r="A7456" s="2">
        <v>43881.928124999999</v>
      </c>
      <c r="B7456" t="str">
        <f>HYPERLINK("https://twitter.com/andi_lalaa","@andi_lalaa")</f>
        <v>@andi_lalaa</v>
      </c>
      <c r="C7456" t="s">
        <v>4994</v>
      </c>
      <c r="D7456">
        <v>33</v>
      </c>
      <c r="E7456">
        <v>0</v>
      </c>
      <c r="F7456">
        <v>883</v>
      </c>
    </row>
    <row r="7457" spans="1:6" ht="12.75">
      <c r="A7457" s="2">
        <v>43881.927650462967</v>
      </c>
      <c r="B7457" t="str">
        <f>HYPERLINK("https://twitter.com/arasdafk","@arasdafk")</f>
        <v>@arasdafk</v>
      </c>
      <c r="C7457" t="s">
        <v>3483</v>
      </c>
      <c r="D7457">
        <v>23</v>
      </c>
      <c r="E7457">
        <v>0</v>
      </c>
      <c r="F7457">
        <v>663</v>
      </c>
    </row>
    <row r="7458" spans="1:6" ht="12.75">
      <c r="A7458" s="2">
        <v>43881.927268518513</v>
      </c>
      <c r="B7458" t="str">
        <f>HYPERLINK("https://twitter.com/Hiraniyas","@Hiraniyas")</f>
        <v>@Hiraniyas</v>
      </c>
      <c r="C7458" t="s">
        <v>177</v>
      </c>
      <c r="D7458">
        <v>600</v>
      </c>
      <c r="E7458">
        <v>0</v>
      </c>
      <c r="F7458">
        <v>862</v>
      </c>
    </row>
    <row r="7459" spans="1:6" ht="12.75">
      <c r="A7459" s="2">
        <v>43881.927233796298</v>
      </c>
      <c r="B7459" t="str">
        <f>HYPERLINK("https://twitter.com/inilahdotcom","@inilahdotcom")</f>
        <v>@inilahdotcom</v>
      </c>
      <c r="C7459" t="s">
        <v>5179</v>
      </c>
      <c r="D7459">
        <v>0</v>
      </c>
      <c r="E7459">
        <v>0</v>
      </c>
      <c r="F7459">
        <v>367305</v>
      </c>
    </row>
    <row r="7460" spans="1:6" ht="12.75">
      <c r="A7460" s="2">
        <v>43881.927175925928</v>
      </c>
      <c r="B7460" t="str">
        <f>HYPERLINK("https://twitter.com/saidmuhidin16","@saidmuhidin16")</f>
        <v>@saidmuhidin16</v>
      </c>
      <c r="C7460" t="s">
        <v>4623</v>
      </c>
      <c r="D7460">
        <v>4</v>
      </c>
      <c r="E7460">
        <v>0</v>
      </c>
      <c r="F7460">
        <v>4</v>
      </c>
    </row>
    <row r="7461" spans="1:6" ht="12.75">
      <c r="A7461" s="2">
        <v>43881.918078703704</v>
      </c>
      <c r="B7461" t="str">
        <f>HYPERLINK("https://twitter.com/ISIS_Balik_NO","@ISIS_Balik_NO")</f>
        <v>@ISIS_Balik_NO</v>
      </c>
      <c r="C7461" t="s">
        <v>5180</v>
      </c>
      <c r="D7461">
        <v>0</v>
      </c>
      <c r="E7461">
        <v>0</v>
      </c>
      <c r="F7461">
        <v>6085</v>
      </c>
    </row>
    <row r="7462" spans="1:6" ht="12.75">
      <c r="A7462" s="2">
        <v>43881.918020833335</v>
      </c>
      <c r="B7462" t="str">
        <f>HYPERLINK("https://twitter.com/IchaMelisa15","@IchaMelisa15")</f>
        <v>@IchaMelisa15</v>
      </c>
      <c r="C7462" t="s">
        <v>1407</v>
      </c>
      <c r="D7462">
        <v>9688</v>
      </c>
      <c r="E7462">
        <v>0</v>
      </c>
      <c r="F7462">
        <v>941</v>
      </c>
    </row>
    <row r="7463" spans="1:6" ht="12.75">
      <c r="A7463" s="2">
        <v>43881.917615740742</v>
      </c>
      <c r="B7463" t="str">
        <f>HYPERLINK("https://twitter.com/iNewsID","@iNewsID")</f>
        <v>@iNewsID</v>
      </c>
      <c r="C7463" t="s">
        <v>5181</v>
      </c>
      <c r="D7463">
        <v>0</v>
      </c>
      <c r="E7463">
        <v>0</v>
      </c>
      <c r="F7463">
        <v>1283</v>
      </c>
    </row>
    <row r="7464" spans="1:6" ht="12.75">
      <c r="A7464" s="2">
        <v>43881.917465277773</v>
      </c>
      <c r="B7464" t="str">
        <f>HYPERLINK("https://twitter.com/shiro35_","@shiro35_")</f>
        <v>@shiro35_</v>
      </c>
      <c r="C7464" t="s">
        <v>3483</v>
      </c>
      <c r="D7464">
        <v>8</v>
      </c>
      <c r="E7464">
        <v>0</v>
      </c>
      <c r="F7464">
        <v>356</v>
      </c>
    </row>
    <row r="7465" spans="1:6" ht="12.75">
      <c r="A7465" s="2">
        <v>43881.917430555557</v>
      </c>
      <c r="B7465" t="str">
        <f>HYPERLINK("https://twitter.com/BlackDe15181003","@BlackDe15181003")</f>
        <v>@BlackDe15181003</v>
      </c>
      <c r="C7465" t="s">
        <v>5182</v>
      </c>
      <c r="D7465">
        <v>0</v>
      </c>
      <c r="E7465">
        <v>0</v>
      </c>
      <c r="F7465">
        <v>1713</v>
      </c>
    </row>
    <row r="7466" spans="1:6" ht="12.75">
      <c r="A7466" s="2">
        <v>43881.917384259257</v>
      </c>
      <c r="B7466" t="str">
        <f>HYPERLINK("https://twitter.com/ISIS_Balik_NO","@ISIS_Balik_NO")</f>
        <v>@ISIS_Balik_NO</v>
      </c>
      <c r="C7466" t="s">
        <v>5183</v>
      </c>
      <c r="D7466">
        <v>0</v>
      </c>
      <c r="E7466">
        <v>0</v>
      </c>
      <c r="F7466">
        <v>6085</v>
      </c>
    </row>
    <row r="7467" spans="1:6" ht="12.75">
      <c r="A7467" s="2">
        <v>43881.917337962965</v>
      </c>
      <c r="B7467" t="str">
        <f>HYPERLINK("https://twitter.com/amri_048","@amri_048")</f>
        <v>@amri_048</v>
      </c>
      <c r="C7467" t="s">
        <v>3483</v>
      </c>
      <c r="D7467">
        <v>8</v>
      </c>
      <c r="E7467">
        <v>0</v>
      </c>
      <c r="F7467">
        <v>556</v>
      </c>
    </row>
    <row r="7468" spans="1:6" ht="12.75">
      <c r="A7468" s="2">
        <v>43881.917245370365</v>
      </c>
      <c r="B7468" t="str">
        <f>HYPERLINK("https://twitter.com/Taemsyndrome","@Taemsyndrome")</f>
        <v>@Taemsyndrome</v>
      </c>
      <c r="C7468" t="s">
        <v>3483</v>
      </c>
      <c r="D7468">
        <v>8</v>
      </c>
      <c r="E7468">
        <v>0</v>
      </c>
      <c r="F7468">
        <v>458</v>
      </c>
    </row>
    <row r="7469" spans="1:6" ht="12.75">
      <c r="A7469" s="2">
        <v>43881.916944444441</v>
      </c>
      <c r="B7469" t="str">
        <f>HYPERLINK("https://twitter.com/Muhamma97528933","@Muhamma97528933")</f>
        <v>@Muhamma97528933</v>
      </c>
      <c r="C7469" t="s">
        <v>3483</v>
      </c>
      <c r="D7469">
        <v>8</v>
      </c>
      <c r="E7469">
        <v>0</v>
      </c>
      <c r="F7469">
        <v>1</v>
      </c>
    </row>
    <row r="7470" spans="1:6" ht="12.75">
      <c r="A7470" s="2">
        <v>43881.91684027778</v>
      </c>
      <c r="B7470" t="str">
        <f>HYPERLINK("https://twitter.com/2_onta","@2_onta")</f>
        <v>@2_onta</v>
      </c>
      <c r="C7470" t="s">
        <v>5184</v>
      </c>
      <c r="D7470">
        <v>0</v>
      </c>
      <c r="E7470">
        <v>0</v>
      </c>
      <c r="F7470">
        <v>35</v>
      </c>
    </row>
    <row r="7471" spans="1:6" ht="12.75">
      <c r="A7471" s="2">
        <v>43881.916712962964</v>
      </c>
      <c r="B7471" t="str">
        <f>HYPERLINK("https://twitter.com/kampret_hunter","@kampret_hunter")</f>
        <v>@kampret_hunter</v>
      </c>
      <c r="C7471" t="s">
        <v>5185</v>
      </c>
      <c r="D7471">
        <v>0</v>
      </c>
      <c r="E7471">
        <v>1</v>
      </c>
      <c r="F7471">
        <v>71</v>
      </c>
    </row>
    <row r="7472" spans="1:6" ht="12.75">
      <c r="A7472" s="2">
        <v>43881.916678240741</v>
      </c>
      <c r="B7472" t="str">
        <f>HYPERLINK("https://twitter.com/ylchaniago","@ylchaniago")</f>
        <v>@ylchaniago</v>
      </c>
      <c r="C7472" t="s">
        <v>3483</v>
      </c>
      <c r="D7472">
        <v>8</v>
      </c>
      <c r="E7472">
        <v>0</v>
      </c>
      <c r="F7472">
        <v>5417</v>
      </c>
    </row>
    <row r="7473" spans="1:6" ht="12.75">
      <c r="A7473" s="2">
        <v>43881.916643518518</v>
      </c>
      <c r="B7473" t="str">
        <f>HYPERLINK("https://twitter.com/watasinoor","@watasinoor")</f>
        <v>@watasinoor</v>
      </c>
      <c r="C7473" t="s">
        <v>3483</v>
      </c>
      <c r="D7473">
        <v>8</v>
      </c>
      <c r="E7473">
        <v>0</v>
      </c>
      <c r="F7473">
        <v>767</v>
      </c>
    </row>
    <row r="7474" spans="1:6" ht="12.75">
      <c r="A7474" s="2">
        <v>43881.916435185187</v>
      </c>
      <c r="B7474" t="str">
        <f>HYPERLINK("https://twitter.com/ganjarfree","@ganjarfree")</f>
        <v>@ganjarfree</v>
      </c>
      <c r="C7474" t="s">
        <v>177</v>
      </c>
      <c r="D7474">
        <v>570</v>
      </c>
      <c r="E7474">
        <v>0</v>
      </c>
      <c r="F7474">
        <v>982</v>
      </c>
    </row>
    <row r="7475" spans="1:6" ht="12.75">
      <c r="A7475" s="2">
        <v>43881.916354166664</v>
      </c>
      <c r="B7475" t="str">
        <f>HYPERLINK("https://twitter.com/liranti","@liranti")</f>
        <v>@liranti</v>
      </c>
      <c r="C7475" t="s">
        <v>3483</v>
      </c>
      <c r="D7475">
        <v>8</v>
      </c>
      <c r="E7475">
        <v>0</v>
      </c>
      <c r="F7475">
        <v>520</v>
      </c>
    </row>
    <row r="7476" spans="1:6" ht="12.75">
      <c r="A7476" s="2">
        <v>43881.916307870371</v>
      </c>
      <c r="B7476" t="str">
        <f>HYPERLINK("https://twitter.com/riopLuR","@riopLuR")</f>
        <v>@riopLuR</v>
      </c>
      <c r="C7476" t="s">
        <v>5186</v>
      </c>
      <c r="D7476">
        <v>3</v>
      </c>
      <c r="E7476">
        <v>0</v>
      </c>
      <c r="F7476">
        <v>604</v>
      </c>
    </row>
    <row r="7477" spans="1:6" ht="12.75">
      <c r="A7477" s="2">
        <v>43881.916284722218</v>
      </c>
      <c r="B7477" t="str">
        <f>HYPERLINK("https://twitter.com/ISIS_Balik_NO","@ISIS_Balik_NO")</f>
        <v>@ISIS_Balik_NO</v>
      </c>
      <c r="C7477" t="s">
        <v>5187</v>
      </c>
      <c r="D7477">
        <v>4</v>
      </c>
      <c r="E7477">
        <v>0</v>
      </c>
      <c r="F7477">
        <v>6085</v>
      </c>
    </row>
    <row r="7478" spans="1:6" ht="12.75">
      <c r="A7478" s="2">
        <v>43881.916076388894</v>
      </c>
      <c r="B7478" t="str">
        <f>HYPERLINK("https://twitter.com/KBRITokyo","@KBRITokyo")</f>
        <v>@KBRITokyo</v>
      </c>
      <c r="C7478" t="s">
        <v>5188</v>
      </c>
      <c r="D7478">
        <v>8</v>
      </c>
      <c r="E7478">
        <v>5</v>
      </c>
      <c r="F7478">
        <v>18674</v>
      </c>
    </row>
    <row r="7479" spans="1:6" ht="12.75">
      <c r="A7479" s="2">
        <v>43881.915960648148</v>
      </c>
      <c r="B7479" t="str">
        <f>HYPERLINK("https://twitter.com/ISIS_Balik_NO","@ISIS_Balik_NO")</f>
        <v>@ISIS_Balik_NO</v>
      </c>
      <c r="C7479" t="s">
        <v>5189</v>
      </c>
      <c r="D7479">
        <v>73</v>
      </c>
      <c r="E7479">
        <v>0</v>
      </c>
      <c r="F7479">
        <v>6085</v>
      </c>
    </row>
    <row r="7480" spans="1:6" ht="12.75">
      <c r="A7480" s="2">
        <v>43881.915752314817</v>
      </c>
      <c r="B7480" t="str">
        <f>HYPERLINK("https://twitter.com/PEDOMAN_id","@PEDOMAN_id")</f>
        <v>@PEDOMAN_id</v>
      </c>
      <c r="C7480" t="s">
        <v>5190</v>
      </c>
      <c r="D7480">
        <v>0</v>
      </c>
      <c r="E7480">
        <v>0</v>
      </c>
      <c r="F7480">
        <v>60371</v>
      </c>
    </row>
    <row r="7481" spans="1:6" ht="12.75">
      <c r="A7481" s="2">
        <v>43881.915486111116</v>
      </c>
      <c r="B7481" t="str">
        <f>HYPERLINK("https://twitter.com/AntaraMudita","@AntaraMudita")</f>
        <v>@AntaraMudita</v>
      </c>
      <c r="C7481" t="s">
        <v>5191</v>
      </c>
      <c r="D7481">
        <v>0</v>
      </c>
      <c r="E7481">
        <v>0</v>
      </c>
      <c r="F7481">
        <v>18</v>
      </c>
    </row>
    <row r="7482" spans="1:6" ht="12.75">
      <c r="A7482" s="2">
        <v>43881.915393518517</v>
      </c>
      <c r="B7482" t="str">
        <f>HYPERLINK("https://twitter.com/kasehsaulmouk","@kasehsaulmouk")</f>
        <v>@kasehsaulmouk</v>
      </c>
      <c r="C7482" t="s">
        <v>5192</v>
      </c>
      <c r="D7482">
        <v>34</v>
      </c>
      <c r="E7482">
        <v>0</v>
      </c>
      <c r="F7482">
        <v>3599</v>
      </c>
    </row>
    <row r="7483" spans="1:6" ht="12.75">
      <c r="A7483" s="2">
        <v>43881.915127314816</v>
      </c>
      <c r="B7483" t="str">
        <f>HYPERLINK("https://twitter.com/Balistta","@Balistta")</f>
        <v>@Balistta</v>
      </c>
      <c r="C7483" t="s">
        <v>5193</v>
      </c>
      <c r="D7483">
        <v>0</v>
      </c>
      <c r="E7483">
        <v>0</v>
      </c>
      <c r="F7483">
        <v>252</v>
      </c>
    </row>
    <row r="7484" spans="1:6" ht="12.75">
      <c r="A7484" s="2">
        <v>43881.915046296301</v>
      </c>
      <c r="B7484" t="str">
        <f>HYPERLINK("https://twitter.com/gowestmor","@gowestmor")</f>
        <v>@gowestmor</v>
      </c>
      <c r="C7484" t="s">
        <v>2141</v>
      </c>
      <c r="D7484">
        <v>94</v>
      </c>
      <c r="E7484">
        <v>0</v>
      </c>
      <c r="F7484">
        <v>1580</v>
      </c>
    </row>
    <row r="7485" spans="1:6" ht="12.75">
      <c r="A7485" s="2">
        <v>43881.915011574078</v>
      </c>
      <c r="B7485" t="str">
        <f>HYPERLINK("https://twitter.com/jjsengui","@jjsengui")</f>
        <v>@jjsengui</v>
      </c>
      <c r="C7485" t="s">
        <v>5194</v>
      </c>
      <c r="D7485">
        <v>3</v>
      </c>
      <c r="E7485">
        <v>0</v>
      </c>
      <c r="F7485">
        <v>838</v>
      </c>
    </row>
    <row r="7486" spans="1:6" ht="12.75">
      <c r="A7486" s="2">
        <v>43881.914814814816</v>
      </c>
      <c r="B7486" t="str">
        <f>HYPERLINK("https://twitter.com/Novita943","@Novita943")</f>
        <v>@Novita943</v>
      </c>
      <c r="C7486" t="s">
        <v>2141</v>
      </c>
      <c r="D7486">
        <v>94</v>
      </c>
      <c r="E7486">
        <v>0</v>
      </c>
      <c r="F7486">
        <v>44</v>
      </c>
    </row>
    <row r="7487" spans="1:6" ht="12.75">
      <c r="A7487" s="2">
        <v>43881.914629629631</v>
      </c>
      <c r="B7487" t="str">
        <f>HYPERLINK("https://twitter.com/BenMamat1","@BenMamat1")</f>
        <v>@BenMamat1</v>
      </c>
      <c r="C7487" t="s">
        <v>177</v>
      </c>
      <c r="D7487">
        <v>570</v>
      </c>
      <c r="E7487">
        <v>0</v>
      </c>
      <c r="F7487">
        <v>7</v>
      </c>
    </row>
    <row r="7488" spans="1:6" ht="12.75">
      <c r="A7488" s="2">
        <v>43881.914606481485</v>
      </c>
      <c r="B7488" t="str">
        <f>HYPERLINK("https://twitter.com/Randi___","@Randi___")</f>
        <v>@Randi___</v>
      </c>
      <c r="C7488" t="s">
        <v>5195</v>
      </c>
      <c r="D7488">
        <v>2</v>
      </c>
      <c r="E7488">
        <v>0</v>
      </c>
      <c r="F7488">
        <v>163</v>
      </c>
    </row>
    <row r="7489" spans="1:6" ht="12.75">
      <c r="A7489" s="2">
        <v>43881.914016203707</v>
      </c>
      <c r="B7489" t="str">
        <f>HYPERLINK("https://twitter.com/demokrasicoid","@demokrasicoid")</f>
        <v>@demokrasicoid</v>
      </c>
      <c r="C7489" t="s">
        <v>5196</v>
      </c>
      <c r="D7489">
        <v>0</v>
      </c>
      <c r="E7489">
        <v>0</v>
      </c>
      <c r="F7489">
        <v>22389</v>
      </c>
    </row>
    <row r="7490" spans="1:6" ht="12.75">
      <c r="A7490" s="2">
        <v>43881.913958333331</v>
      </c>
      <c r="B7490" t="str">
        <f>HYPERLINK("https://twitter.com/wienrissi","@wienrissi")</f>
        <v>@wienrissi</v>
      </c>
      <c r="C7490" t="s">
        <v>5197</v>
      </c>
      <c r="D7490">
        <v>0</v>
      </c>
      <c r="E7490">
        <v>0</v>
      </c>
      <c r="F7490">
        <v>169</v>
      </c>
    </row>
    <row r="7491" spans="1:6" ht="12.75">
      <c r="A7491" s="2">
        <v>43881.9137962963</v>
      </c>
      <c r="B7491" t="str">
        <f>HYPERLINK("https://twitter.com/Tasso60097800","@Tasso60097800")</f>
        <v>@Tasso60097800</v>
      </c>
      <c r="C7491" t="s">
        <v>5052</v>
      </c>
      <c r="D7491">
        <v>4</v>
      </c>
      <c r="E7491">
        <v>0</v>
      </c>
      <c r="F7491">
        <v>2822</v>
      </c>
    </row>
    <row r="7492" spans="1:6" ht="12.75">
      <c r="A7492" s="2">
        <v>43881.913738425923</v>
      </c>
      <c r="B7492" t="str">
        <f>HYPERLINK("https://twitter.com/RifandiGinting","@RifandiGinting")</f>
        <v>@RifandiGinting</v>
      </c>
      <c r="C7492" t="s">
        <v>5198</v>
      </c>
      <c r="D7492">
        <v>0</v>
      </c>
      <c r="E7492">
        <v>2</v>
      </c>
      <c r="F7492">
        <v>410</v>
      </c>
    </row>
    <row r="7493" spans="1:6" ht="12.75">
      <c r="A7493" s="2">
        <v>43881.913402777776</v>
      </c>
      <c r="B7493" t="str">
        <f>HYPERLINK("https://twitter.com/WahhabiCC","@WahhabiCC")</f>
        <v>@WahhabiCC</v>
      </c>
      <c r="C7493" t="s">
        <v>5199</v>
      </c>
      <c r="D7493">
        <v>0</v>
      </c>
      <c r="E7493">
        <v>0</v>
      </c>
      <c r="F7493">
        <v>17381</v>
      </c>
    </row>
    <row r="7494" spans="1:6" ht="12.75">
      <c r="A7494" s="2">
        <v>43881.91306712963</v>
      </c>
      <c r="B7494" t="str">
        <f>HYPERLINK("https://twitter.com/2_onta","@2_onta")</f>
        <v>@2_onta</v>
      </c>
      <c r="C7494" t="s">
        <v>5200</v>
      </c>
      <c r="D7494">
        <v>0</v>
      </c>
      <c r="E7494">
        <v>0</v>
      </c>
      <c r="F7494">
        <v>35</v>
      </c>
    </row>
    <row r="7495" spans="1:6" ht="12.75">
      <c r="A7495" s="2">
        <v>43881.912199074075</v>
      </c>
      <c r="B7495" t="str">
        <f>HYPERLINK("https://twitter.com/gembira683101","@gembira683101")</f>
        <v>@gembira683101</v>
      </c>
      <c r="C7495" t="s">
        <v>4360</v>
      </c>
      <c r="D7495">
        <v>183</v>
      </c>
      <c r="E7495">
        <v>0</v>
      </c>
      <c r="F7495">
        <v>207</v>
      </c>
    </row>
    <row r="7496" spans="1:6" ht="12.75">
      <c r="A7496" s="2">
        <v>43881.912141203706</v>
      </c>
      <c r="B7496" t="str">
        <f>HYPERLINK("https://twitter.com/abdul_charim","@abdul_charim")</f>
        <v>@abdul_charim</v>
      </c>
      <c r="C7496" t="s">
        <v>5201</v>
      </c>
      <c r="D7496">
        <v>2</v>
      </c>
      <c r="E7496">
        <v>0</v>
      </c>
      <c r="F7496">
        <v>351</v>
      </c>
    </row>
    <row r="7497" spans="1:6" ht="12.75">
      <c r="A7497" s="2">
        <v>43881.911956018521</v>
      </c>
      <c r="B7497" t="str">
        <f>HYPERLINK("https://twitter.com/beatrice_health","@beatrice_health")</f>
        <v>@beatrice_health</v>
      </c>
      <c r="C7497" t="s">
        <v>4829</v>
      </c>
      <c r="D7497">
        <v>11</v>
      </c>
      <c r="E7497">
        <v>0</v>
      </c>
      <c r="F7497">
        <v>232</v>
      </c>
    </row>
    <row r="7498" spans="1:6" ht="12.75">
      <c r="A7498" s="2">
        <v>43881.911898148144</v>
      </c>
      <c r="B7498" t="str">
        <f>HYPERLINK("https://twitter.com/zuriswanfajri","@zuriswanfajri")</f>
        <v>@zuriswanfajri</v>
      </c>
      <c r="C7498" t="s">
        <v>4829</v>
      </c>
      <c r="D7498">
        <v>11</v>
      </c>
      <c r="E7498">
        <v>0</v>
      </c>
      <c r="F7498">
        <v>4413</v>
      </c>
    </row>
    <row r="7499" spans="1:6" ht="12.75">
      <c r="A7499" s="2">
        <v>43881.911886574075</v>
      </c>
      <c r="B7499" t="str">
        <f>HYPERLINK("https://twitter.com/afriyansyahdu","@afriyansyahdu")</f>
        <v>@afriyansyahdu</v>
      </c>
      <c r="C7499" t="s">
        <v>2141</v>
      </c>
      <c r="D7499">
        <v>94</v>
      </c>
      <c r="E7499">
        <v>0</v>
      </c>
      <c r="F7499">
        <v>396</v>
      </c>
    </row>
    <row r="7500" spans="1:6" ht="12.75">
      <c r="A7500" s="2">
        <v>43881.911817129629</v>
      </c>
      <c r="B7500" t="str">
        <f>HYPERLINK("https://twitter.com/Imam_piul","@Imam_piul")</f>
        <v>@Imam_piul</v>
      </c>
      <c r="C7500" t="s">
        <v>5202</v>
      </c>
      <c r="D7500">
        <v>0</v>
      </c>
      <c r="E7500">
        <v>0</v>
      </c>
      <c r="F7500">
        <v>501</v>
      </c>
    </row>
    <row r="7501" spans="1:6" ht="12.75">
      <c r="A7501" s="2">
        <v>43881.911469907413</v>
      </c>
      <c r="B7501" t="str">
        <f>HYPERLINK("https://twitter.com/nung9700","@nung9700")</f>
        <v>@nung9700</v>
      </c>
      <c r="C7501" t="s">
        <v>177</v>
      </c>
      <c r="D7501">
        <v>570</v>
      </c>
      <c r="E7501">
        <v>0</v>
      </c>
      <c r="F7501">
        <v>1</v>
      </c>
    </row>
    <row r="7502" spans="1:6" ht="12.75">
      <c r="A7502" s="2">
        <v>43881.911435185189</v>
      </c>
      <c r="B7502" t="str">
        <f>HYPERLINK("https://twitter.com/suryanatoet","@suryanatoet")</f>
        <v>@suryanatoet</v>
      </c>
      <c r="C7502" t="s">
        <v>2141</v>
      </c>
      <c r="D7502">
        <v>94</v>
      </c>
      <c r="E7502">
        <v>0</v>
      </c>
      <c r="F7502">
        <v>157</v>
      </c>
    </row>
    <row r="7503" spans="1:6" ht="12.75">
      <c r="A7503" s="2">
        <v>43881.911226851851</v>
      </c>
      <c r="B7503" t="str">
        <f>HYPERLINK("https://twitter.com/suara1hati","@suara1hati")</f>
        <v>@suara1hati</v>
      </c>
      <c r="C7503" t="s">
        <v>5203</v>
      </c>
      <c r="D7503">
        <v>92</v>
      </c>
      <c r="E7503">
        <v>0</v>
      </c>
      <c r="F7503">
        <v>1413</v>
      </c>
    </row>
    <row r="7504" spans="1:6" ht="12.75">
      <c r="A7504" s="2">
        <v>43881.911192129628</v>
      </c>
      <c r="B7504" t="str">
        <f>HYPERLINK("https://twitter.com/usirro","@usirro")</f>
        <v>@usirro</v>
      </c>
      <c r="C7504" t="s">
        <v>5204</v>
      </c>
      <c r="D7504">
        <v>2360</v>
      </c>
      <c r="E7504">
        <v>0</v>
      </c>
      <c r="F7504">
        <v>1053</v>
      </c>
    </row>
    <row r="7505" spans="1:6" ht="12.75">
      <c r="A7505" s="2">
        <v>43881.910960648151</v>
      </c>
      <c r="B7505" t="str">
        <f>HYPERLINK("https://twitter.com/AdrianR3Y","@AdrianR3Y")</f>
        <v>@AdrianR3Y</v>
      </c>
      <c r="C7505" t="s">
        <v>177</v>
      </c>
      <c r="D7505">
        <v>570</v>
      </c>
      <c r="E7505">
        <v>0</v>
      </c>
      <c r="F7505">
        <v>2170</v>
      </c>
    </row>
    <row r="7506" spans="1:6" ht="12.75">
      <c r="A7506" s="2">
        <v>43881.910879629635</v>
      </c>
      <c r="B7506" t="str">
        <f>HYPERLINK("https://twitter.com/LukmanHarijanto","@LukmanHarijanto")</f>
        <v>@LukmanHarijanto</v>
      </c>
      <c r="C7506" t="s">
        <v>5205</v>
      </c>
      <c r="D7506">
        <v>0</v>
      </c>
      <c r="E7506">
        <v>1</v>
      </c>
      <c r="F7506">
        <v>660</v>
      </c>
    </row>
    <row r="7507" spans="1:6" ht="12.75">
      <c r="A7507" s="2">
        <v>43881.910798611112</v>
      </c>
      <c r="B7507" t="str">
        <f>HYPERLINK("https://twitter.com/Baktiflq","@Baktiflq")</f>
        <v>@Baktiflq</v>
      </c>
      <c r="C7507" t="s">
        <v>177</v>
      </c>
      <c r="D7507">
        <v>570</v>
      </c>
      <c r="E7507">
        <v>0</v>
      </c>
      <c r="F7507">
        <v>60</v>
      </c>
    </row>
    <row r="7508" spans="1:6" ht="12.75">
      <c r="A7508" s="2">
        <v>43881.910740740743</v>
      </c>
      <c r="B7508" t="str">
        <f>HYPERLINK("https://twitter.com/auliazmld","@auliazmld")</f>
        <v>@auliazmld</v>
      </c>
      <c r="C7508" t="s">
        <v>177</v>
      </c>
      <c r="D7508">
        <v>570</v>
      </c>
      <c r="E7508">
        <v>0</v>
      </c>
      <c r="F7508">
        <v>41</v>
      </c>
    </row>
    <row r="7509" spans="1:6" ht="12.75">
      <c r="A7509" s="2">
        <v>43881.910648148143</v>
      </c>
      <c r="B7509" t="str">
        <f>HYPERLINK("https://twitter.com/pemudamijah12","@pemudamijah12")</f>
        <v>@pemudamijah12</v>
      </c>
      <c r="C7509" t="s">
        <v>2141</v>
      </c>
      <c r="D7509">
        <v>94</v>
      </c>
      <c r="E7509">
        <v>0</v>
      </c>
      <c r="F7509">
        <v>519</v>
      </c>
    </row>
    <row r="7510" spans="1:6" ht="12.75">
      <c r="A7510" s="2">
        <v>43881.910474537042</v>
      </c>
      <c r="B7510" t="str">
        <f>HYPERLINK("https://twitter.com/UNajib4","@UNajib4")</f>
        <v>@UNajib4</v>
      </c>
      <c r="C7510" t="s">
        <v>5206</v>
      </c>
      <c r="D7510">
        <v>0</v>
      </c>
      <c r="E7510">
        <v>0</v>
      </c>
      <c r="F7510">
        <v>1</v>
      </c>
    </row>
    <row r="7511" spans="1:6" ht="12.75">
      <c r="A7511" s="2">
        <v>43881.910439814819</v>
      </c>
      <c r="B7511" t="str">
        <f>HYPERLINK("https://twitter.com/SurabayaHolic","@SurabayaHolic")</f>
        <v>@SurabayaHolic</v>
      </c>
      <c r="C7511" t="s">
        <v>5207</v>
      </c>
      <c r="D7511">
        <v>0</v>
      </c>
      <c r="E7511">
        <v>0</v>
      </c>
      <c r="F7511">
        <v>2441</v>
      </c>
    </row>
    <row r="7512" spans="1:6" ht="12.75">
      <c r="A7512" s="2">
        <v>43881.910011574073</v>
      </c>
      <c r="B7512" t="str">
        <f>HYPERLINK("https://twitter.com/Velin52821243","@Velin52821243")</f>
        <v>@Velin52821243</v>
      </c>
      <c r="C7512" t="s">
        <v>5208</v>
      </c>
      <c r="D7512">
        <v>0</v>
      </c>
      <c r="E7512">
        <v>0</v>
      </c>
      <c r="F7512">
        <v>116</v>
      </c>
    </row>
    <row r="7513" spans="1:6" ht="12.75">
      <c r="A7513" s="2">
        <v>43881.90929398148</v>
      </c>
      <c r="B7513" t="str">
        <f>HYPERLINK("https://twitter.com/ArbaSuci","@ArbaSuci")</f>
        <v>@ArbaSuci</v>
      </c>
      <c r="C7513" t="s">
        <v>513</v>
      </c>
      <c r="D7513">
        <v>23234</v>
      </c>
      <c r="E7513">
        <v>0</v>
      </c>
      <c r="F7513">
        <v>4</v>
      </c>
    </row>
    <row r="7514" spans="1:6" ht="12.75">
      <c r="A7514" s="2">
        <v>43881.909050925926</v>
      </c>
      <c r="B7514" t="str">
        <f>HYPERLINK("https://twitter.com/2_onta","@2_onta")</f>
        <v>@2_onta</v>
      </c>
      <c r="C7514" t="s">
        <v>5209</v>
      </c>
      <c r="D7514">
        <v>0</v>
      </c>
      <c r="E7514">
        <v>1</v>
      </c>
      <c r="F7514">
        <v>35</v>
      </c>
    </row>
    <row r="7515" spans="1:6" ht="12.75">
      <c r="A7515" s="2">
        <v>43881.909004629633</v>
      </c>
      <c r="B7515" t="str">
        <f>HYPERLINK("https://twitter.com/sikecilmarmut","@sikecilmarmut")</f>
        <v>@sikecilmarmut</v>
      </c>
      <c r="C7515" t="s">
        <v>5210</v>
      </c>
      <c r="D7515">
        <v>3</v>
      </c>
      <c r="E7515">
        <v>0</v>
      </c>
      <c r="F7515">
        <v>2231</v>
      </c>
    </row>
    <row r="7516" spans="1:6" ht="12.75">
      <c r="A7516" s="2">
        <v>43881.908460648148</v>
      </c>
      <c r="B7516" t="str">
        <f>HYPERLINK("https://twitter.com/ISIS_Balik_NO","@ISIS_Balik_NO")</f>
        <v>@ISIS_Balik_NO</v>
      </c>
      <c r="C7516" t="s">
        <v>5211</v>
      </c>
      <c r="D7516">
        <v>3</v>
      </c>
      <c r="E7516">
        <v>0</v>
      </c>
      <c r="F7516">
        <v>6085</v>
      </c>
    </row>
    <row r="7517" spans="1:6" ht="12.75">
      <c r="A7517" s="2">
        <v>43881.908437499995</v>
      </c>
      <c r="B7517" t="str">
        <f>HYPERLINK("https://twitter.com/azfar_28","@azfar_28")</f>
        <v>@azfar_28</v>
      </c>
      <c r="C7517" t="s">
        <v>4788</v>
      </c>
      <c r="D7517">
        <v>1</v>
      </c>
      <c r="E7517">
        <v>0</v>
      </c>
      <c r="F7517">
        <v>420</v>
      </c>
    </row>
    <row r="7518" spans="1:6" ht="12.75">
      <c r="A7518" s="2">
        <v>43881.908425925925</v>
      </c>
      <c r="B7518" t="str">
        <f t="shared" ref="B7518:B7519" si="137">HYPERLINK("https://twitter.com/Rudiambarita7","@Rudiambarita7")</f>
        <v>@Rudiambarita7</v>
      </c>
      <c r="C7518" t="s">
        <v>4817</v>
      </c>
      <c r="D7518">
        <v>6</v>
      </c>
      <c r="E7518">
        <v>0</v>
      </c>
      <c r="F7518">
        <v>2087</v>
      </c>
    </row>
    <row r="7519" spans="1:6" ht="12.75">
      <c r="A7519" s="2">
        <v>43881.907986111109</v>
      </c>
      <c r="B7519" t="str">
        <f t="shared" si="137"/>
        <v>@Rudiambarita7</v>
      </c>
      <c r="C7519" t="s">
        <v>4818</v>
      </c>
      <c r="D7519">
        <v>5</v>
      </c>
      <c r="E7519">
        <v>0</v>
      </c>
      <c r="F7519">
        <v>2087</v>
      </c>
    </row>
    <row r="7520" spans="1:6" ht="12.75">
      <c r="A7520" s="2">
        <v>43881.907870370371</v>
      </c>
      <c r="B7520" t="str">
        <f>HYPERLINK("https://twitter.com/inkaprtws","@inkaprtws")</f>
        <v>@inkaprtws</v>
      </c>
      <c r="C7520" t="s">
        <v>5089</v>
      </c>
      <c r="D7520">
        <v>4</v>
      </c>
      <c r="E7520">
        <v>0</v>
      </c>
      <c r="F7520">
        <v>138</v>
      </c>
    </row>
    <row r="7521" spans="1:6" ht="12.75">
      <c r="A7521" s="2">
        <v>43881.90724537037</v>
      </c>
      <c r="B7521" t="str">
        <f>HYPERLINK("https://twitter.com/Charuvrat1","@Charuvrat1")</f>
        <v>@Charuvrat1</v>
      </c>
      <c r="C7521" t="s">
        <v>5212</v>
      </c>
      <c r="D7521">
        <v>0</v>
      </c>
      <c r="E7521">
        <v>0</v>
      </c>
      <c r="F7521">
        <v>4</v>
      </c>
    </row>
    <row r="7522" spans="1:6" ht="12.75">
      <c r="A7522" s="2">
        <v>43881.90724537037</v>
      </c>
      <c r="B7522" t="str">
        <f>HYPERLINK("https://twitter.com/nugrohhoy","@nugrohhoy")</f>
        <v>@nugrohhoy</v>
      </c>
      <c r="C7522" t="s">
        <v>5089</v>
      </c>
      <c r="D7522">
        <v>4</v>
      </c>
      <c r="E7522">
        <v>0</v>
      </c>
      <c r="F7522">
        <v>273</v>
      </c>
    </row>
    <row r="7523" spans="1:6" ht="12.75">
      <c r="A7523" s="2">
        <v>43881.907164351855</v>
      </c>
      <c r="B7523" t="str">
        <f>HYPERLINK("https://twitter.com/Rudiambarita7","@Rudiambarita7")</f>
        <v>@Rudiambarita7</v>
      </c>
      <c r="C7523" t="s">
        <v>3984</v>
      </c>
      <c r="D7523">
        <v>11</v>
      </c>
      <c r="E7523">
        <v>0</v>
      </c>
      <c r="F7523">
        <v>2087</v>
      </c>
    </row>
    <row r="7524" spans="1:6" ht="12.75">
      <c r="A7524" s="2">
        <v>43881.90693287037</v>
      </c>
      <c r="B7524" t="str">
        <f>HYPERLINK("https://twitter.com/ngantukdede","@ngantukdede")</f>
        <v>@ngantukdede</v>
      </c>
      <c r="C7524" t="s">
        <v>1407</v>
      </c>
      <c r="D7524">
        <v>9688</v>
      </c>
      <c r="E7524">
        <v>0</v>
      </c>
      <c r="F7524">
        <v>184</v>
      </c>
    </row>
    <row r="7525" spans="1:6" ht="12.75">
      <c r="A7525" s="2">
        <v>43881.90693287037</v>
      </c>
      <c r="B7525" t="str">
        <f>HYPERLINK("https://twitter.com/ISIS_Balik_NO","@ISIS_Balik_NO")</f>
        <v>@ISIS_Balik_NO</v>
      </c>
      <c r="C7525" t="s">
        <v>5213</v>
      </c>
      <c r="D7525">
        <v>451</v>
      </c>
      <c r="E7525">
        <v>0</v>
      </c>
      <c r="F7525">
        <v>6085</v>
      </c>
    </row>
    <row r="7526" spans="1:6" ht="12.75">
      <c r="A7526" s="2">
        <v>43881.906817129631</v>
      </c>
      <c r="B7526" t="str">
        <f>HYPERLINK("https://twitter.com/kec_bekasiutara","@kec_bekasiutara")</f>
        <v>@kec_bekasiutara</v>
      </c>
      <c r="C7526" t="s">
        <v>177</v>
      </c>
      <c r="D7526">
        <v>570</v>
      </c>
      <c r="E7526">
        <v>0</v>
      </c>
      <c r="F7526">
        <v>2288</v>
      </c>
    </row>
    <row r="7527" spans="1:6" ht="12.75">
      <c r="A7527" s="2">
        <v>43881.906770833331</v>
      </c>
      <c r="B7527" t="str">
        <f>HYPERLINK("https://twitter.com/ElangLuck","@ElangLuck")</f>
        <v>@ElangLuck</v>
      </c>
      <c r="C7527" t="s">
        <v>177</v>
      </c>
      <c r="D7527">
        <v>570</v>
      </c>
      <c r="E7527">
        <v>0</v>
      </c>
      <c r="F7527">
        <v>2832</v>
      </c>
    </row>
    <row r="7528" spans="1:6" ht="12.75">
      <c r="A7528" s="2">
        <v>43881.906342592592</v>
      </c>
      <c r="B7528" t="str">
        <f>HYPERLINK("https://twitter.com/lihatkepri","@lihatkepri")</f>
        <v>@lihatkepri</v>
      </c>
      <c r="C7528" t="s">
        <v>5214</v>
      </c>
      <c r="D7528">
        <v>0</v>
      </c>
      <c r="E7528">
        <v>0</v>
      </c>
      <c r="F7528">
        <v>227</v>
      </c>
    </row>
    <row r="7529" spans="1:6" ht="12.75">
      <c r="A7529" s="2">
        <v>43881.906192129631</v>
      </c>
      <c r="B7529" t="str">
        <f>HYPERLINK("https://twitter.com/ISIS_Balik_NO","@ISIS_Balik_NO")</f>
        <v>@ISIS_Balik_NO</v>
      </c>
      <c r="C7529" t="s">
        <v>5215</v>
      </c>
      <c r="D7529">
        <v>115</v>
      </c>
      <c r="E7529">
        <v>0</v>
      </c>
      <c r="F7529">
        <v>6085</v>
      </c>
    </row>
    <row r="7530" spans="1:6" ht="12.75">
      <c r="A7530" s="2">
        <v>43881.905474537038</v>
      </c>
      <c r="B7530" t="str">
        <f>HYPERLINK("https://twitter.com/ags_irwansyah","@ags_irwansyah")</f>
        <v>@ags_irwansyah</v>
      </c>
      <c r="C7530" t="s">
        <v>5216</v>
      </c>
      <c r="D7530">
        <v>0</v>
      </c>
      <c r="E7530">
        <v>0</v>
      </c>
      <c r="F7530">
        <v>1192</v>
      </c>
    </row>
    <row r="7531" spans="1:6" ht="12.75">
      <c r="A7531" s="2">
        <v>43881.905393518522</v>
      </c>
      <c r="B7531" t="str">
        <f>HYPERLINK("https://twitter.com/ikputris","@ikputris")</f>
        <v>@ikputris</v>
      </c>
      <c r="C7531" t="s">
        <v>177</v>
      </c>
      <c r="D7531">
        <v>570</v>
      </c>
      <c r="E7531">
        <v>0</v>
      </c>
      <c r="F7531">
        <v>1048</v>
      </c>
    </row>
    <row r="7532" spans="1:6" ht="12.75">
      <c r="A7532" s="2">
        <v>43881.905358796299</v>
      </c>
      <c r="B7532" t="str">
        <f>HYPERLINK("https://twitter.com/subaystepanus46","@subaystepanus46")</f>
        <v>@subaystepanus46</v>
      </c>
      <c r="C7532" t="s">
        <v>177</v>
      </c>
      <c r="D7532">
        <v>570</v>
      </c>
      <c r="E7532">
        <v>0</v>
      </c>
      <c r="F7532">
        <v>382</v>
      </c>
    </row>
    <row r="7533" spans="1:6" ht="12.75">
      <c r="A7533" s="2">
        <v>43881.90524305556</v>
      </c>
      <c r="B7533" t="str">
        <f>HYPERLINK("https://twitter.com/veryluckylady88","@veryluckylady88")</f>
        <v>@veryluckylady88</v>
      </c>
      <c r="C7533" t="s">
        <v>2692</v>
      </c>
      <c r="D7533">
        <v>1999</v>
      </c>
      <c r="E7533">
        <v>0</v>
      </c>
      <c r="F7533">
        <v>10136</v>
      </c>
    </row>
    <row r="7534" spans="1:6" ht="12.75">
      <c r="A7534" s="2">
        <v>43881.90488425926</v>
      </c>
      <c r="B7534" t="str">
        <f>HYPERLINK("https://twitter.com/pinkeumagic","@pinkeumagic")</f>
        <v>@pinkeumagic</v>
      </c>
      <c r="C7534" t="s">
        <v>177</v>
      </c>
      <c r="D7534">
        <v>570</v>
      </c>
      <c r="E7534">
        <v>0</v>
      </c>
      <c r="F7534">
        <v>1375</v>
      </c>
    </row>
    <row r="7535" spans="1:6" ht="12.75">
      <c r="A7535" s="2">
        <v>43881.904826388884</v>
      </c>
      <c r="B7535" t="str">
        <f>HYPERLINK("https://twitter.com/saktindra85","@saktindra85")</f>
        <v>@saktindra85</v>
      </c>
      <c r="C7535" t="s">
        <v>177</v>
      </c>
      <c r="D7535">
        <v>570</v>
      </c>
      <c r="E7535">
        <v>0</v>
      </c>
      <c r="F7535">
        <v>450</v>
      </c>
    </row>
    <row r="7536" spans="1:6" ht="12.75">
      <c r="A7536" s="2">
        <v>43881.904409722221</v>
      </c>
      <c r="B7536" t="str">
        <f>HYPERLINK("https://twitter.com/AlyaMeilinda2","@AlyaMeilinda2")</f>
        <v>@AlyaMeilinda2</v>
      </c>
      <c r="C7536" t="s">
        <v>5150</v>
      </c>
      <c r="D7536">
        <v>0</v>
      </c>
      <c r="E7536">
        <v>0</v>
      </c>
      <c r="F7536">
        <v>38</v>
      </c>
    </row>
    <row r="7537" spans="1:6" ht="12.75">
      <c r="A7537" s="2">
        <v>43881.904317129629</v>
      </c>
      <c r="B7537" t="str">
        <f>HYPERLINK("https://twitter.com/i_Pras","@i_Pras")</f>
        <v>@i_Pras</v>
      </c>
      <c r="C7537" t="s">
        <v>5217</v>
      </c>
      <c r="D7537">
        <v>6</v>
      </c>
      <c r="E7537">
        <v>0</v>
      </c>
      <c r="F7537">
        <v>1050</v>
      </c>
    </row>
    <row r="7538" spans="1:6" ht="12.75">
      <c r="A7538" s="2">
        <v>43881.904178240744</v>
      </c>
      <c r="B7538" t="str">
        <f>HYPERLINK("https://twitter.com/Aadesh25823701","@Aadesh25823701")</f>
        <v>@Aadesh25823701</v>
      </c>
      <c r="C7538" t="s">
        <v>5212</v>
      </c>
      <c r="D7538">
        <v>0</v>
      </c>
      <c r="E7538">
        <v>0</v>
      </c>
      <c r="F7538">
        <v>1</v>
      </c>
    </row>
    <row r="7539" spans="1:6" ht="12.75">
      <c r="A7539" s="2">
        <v>43881.904039351852</v>
      </c>
      <c r="B7539" t="str">
        <f>HYPERLINK("https://twitter.com/mefunnie","@mefunnie")</f>
        <v>@mefunnie</v>
      </c>
      <c r="C7539" t="s">
        <v>2141</v>
      </c>
      <c r="D7539">
        <v>94</v>
      </c>
      <c r="E7539">
        <v>0</v>
      </c>
      <c r="F7539">
        <v>736</v>
      </c>
    </row>
    <row r="7540" spans="1:6" ht="12.75">
      <c r="A7540" s="2">
        <v>43881.903946759259</v>
      </c>
      <c r="B7540" t="str">
        <f>HYPERLINK("https://twitter.com/progjo","@progjo")</f>
        <v>@progjo</v>
      </c>
      <c r="C7540" t="s">
        <v>177</v>
      </c>
      <c r="D7540">
        <v>570</v>
      </c>
      <c r="E7540">
        <v>0</v>
      </c>
      <c r="F7540">
        <v>4180</v>
      </c>
    </row>
    <row r="7541" spans="1:6" ht="12.75">
      <c r="A7541" s="2">
        <v>43881.903877314813</v>
      </c>
      <c r="B7541" t="str">
        <f>HYPERLINK("https://twitter.com/Siwonbertha407","@Siwonbertha407")</f>
        <v>@Siwonbertha407</v>
      </c>
      <c r="C7541" t="s">
        <v>177</v>
      </c>
      <c r="D7541">
        <v>570</v>
      </c>
      <c r="E7541">
        <v>0</v>
      </c>
      <c r="F7541">
        <v>149</v>
      </c>
    </row>
    <row r="7542" spans="1:6" ht="12.75">
      <c r="A7542" s="2">
        <v>43881.903773148151</v>
      </c>
      <c r="B7542" t="str">
        <f>HYPERLINK("https://twitter.com/uintan","@uintan")</f>
        <v>@uintan</v>
      </c>
      <c r="C7542" t="s">
        <v>3756</v>
      </c>
      <c r="D7542">
        <v>4</v>
      </c>
      <c r="E7542">
        <v>0</v>
      </c>
      <c r="F7542">
        <v>132</v>
      </c>
    </row>
    <row r="7543" spans="1:6" ht="12.75">
      <c r="A7543" s="2">
        <v>43881.903726851851</v>
      </c>
      <c r="B7543" t="str">
        <f>HYPERLINK("https://twitter.com/Ingo_Ingo86","@Ingo_Ingo86")</f>
        <v>@Ingo_Ingo86</v>
      </c>
      <c r="C7543" t="s">
        <v>177</v>
      </c>
      <c r="D7543">
        <v>570</v>
      </c>
      <c r="E7543">
        <v>0</v>
      </c>
      <c r="F7543">
        <v>427</v>
      </c>
    </row>
    <row r="7544" spans="1:6" ht="12.75">
      <c r="A7544" s="2">
        <v>43881.903657407413</v>
      </c>
      <c r="B7544" t="str">
        <f>HYPERLINK("https://twitter.com/Erwin_Sahari","@Erwin_Sahari")</f>
        <v>@Erwin_Sahari</v>
      </c>
      <c r="C7544" t="s">
        <v>5218</v>
      </c>
      <c r="D7544">
        <v>1</v>
      </c>
      <c r="E7544">
        <v>0</v>
      </c>
      <c r="F7544">
        <v>245</v>
      </c>
    </row>
    <row r="7545" spans="1:6" ht="12.75">
      <c r="A7545" s="2">
        <v>43881.903067129635</v>
      </c>
      <c r="B7545" t="str">
        <f>HYPERLINK("https://twitter.com/kaskus","@kaskus")</f>
        <v>@kaskus</v>
      </c>
      <c r="C7545" t="s">
        <v>5219</v>
      </c>
      <c r="D7545">
        <v>4</v>
      </c>
      <c r="E7545">
        <v>6</v>
      </c>
      <c r="F7545">
        <v>2614571</v>
      </c>
    </row>
    <row r="7546" spans="1:6" ht="12.75">
      <c r="A7546" s="2">
        <v>43881.902337962965</v>
      </c>
      <c r="B7546" t="str">
        <f>HYPERLINK("https://twitter.com/J_Aryoko","@J_Aryoko")</f>
        <v>@J_Aryoko</v>
      </c>
      <c r="C7546" t="s">
        <v>5220</v>
      </c>
      <c r="D7546">
        <v>0</v>
      </c>
      <c r="E7546">
        <v>1</v>
      </c>
      <c r="F7546">
        <v>1404</v>
      </c>
    </row>
    <row r="7547" spans="1:6" ht="12.75">
      <c r="A7547" s="2">
        <v>43881.90221064815</v>
      </c>
      <c r="B7547" t="str">
        <f>HYPERLINK("https://twitter.com/Metro_TV","@Metro_TV")</f>
        <v>@Metro_TV</v>
      </c>
      <c r="C7547" t="s">
        <v>5221</v>
      </c>
      <c r="D7547">
        <v>1</v>
      </c>
      <c r="E7547">
        <v>2</v>
      </c>
      <c r="F7547">
        <v>10511093</v>
      </c>
    </row>
    <row r="7548" spans="1:6" ht="12.75">
      <c r="A7548" s="2">
        <v>43881.902002314819</v>
      </c>
      <c r="B7548" t="str">
        <f>HYPERLINK("https://twitter.com/Chatrooling","@Chatrooling")</f>
        <v>@Chatrooling</v>
      </c>
      <c r="C7548" t="s">
        <v>5222</v>
      </c>
      <c r="D7548">
        <v>0</v>
      </c>
      <c r="E7548">
        <v>0</v>
      </c>
      <c r="F7548">
        <v>17</v>
      </c>
    </row>
    <row r="7549" spans="1:6" ht="12.75">
      <c r="A7549" s="2">
        <v>43881.901956018519</v>
      </c>
      <c r="B7549" t="str">
        <f>HYPERLINK("https://twitter.com/lembaranbaroe","@lembaranbaroe")</f>
        <v>@lembaranbaroe</v>
      </c>
      <c r="C7549" t="s">
        <v>5212</v>
      </c>
      <c r="D7549">
        <v>0</v>
      </c>
      <c r="E7549">
        <v>0</v>
      </c>
      <c r="F7549">
        <v>3723</v>
      </c>
    </row>
    <row r="7550" spans="1:6" ht="12.75">
      <c r="A7550" s="2">
        <v>43881.901932870373</v>
      </c>
      <c r="B7550" t="str">
        <f>HYPERLINK("https://twitter.com/printempsbr","@printempsbr")</f>
        <v>@printempsbr</v>
      </c>
      <c r="C7550" t="s">
        <v>177</v>
      </c>
      <c r="D7550">
        <v>570</v>
      </c>
      <c r="E7550">
        <v>0</v>
      </c>
      <c r="F7550">
        <v>401</v>
      </c>
    </row>
    <row r="7551" spans="1:6" ht="12.75">
      <c r="A7551" s="2">
        <v>43881.901724537034</v>
      </c>
      <c r="B7551" t="str">
        <f>HYPERLINK("https://twitter.com/RyoutaSakamoto9","@RyoutaSakamoto9")</f>
        <v>@RyoutaSakamoto9</v>
      </c>
      <c r="C7551" t="s">
        <v>5223</v>
      </c>
      <c r="D7551">
        <v>0</v>
      </c>
      <c r="E7551">
        <v>0</v>
      </c>
      <c r="F7551">
        <v>77</v>
      </c>
    </row>
    <row r="7552" spans="1:6" ht="12.75">
      <c r="A7552" s="2">
        <v>43881.901354166665</v>
      </c>
      <c r="B7552" t="str">
        <f>HYPERLINK("https://twitter.com/putripusspa","@putripusspa")</f>
        <v>@putripusspa</v>
      </c>
      <c r="C7552" t="s">
        <v>177</v>
      </c>
      <c r="D7552">
        <v>570</v>
      </c>
      <c r="E7552">
        <v>0</v>
      </c>
      <c r="F7552">
        <v>593</v>
      </c>
    </row>
    <row r="7553" spans="1:6" ht="12.75">
      <c r="A7553" s="2">
        <v>43881.901226851856</v>
      </c>
      <c r="B7553" t="str">
        <f>HYPERLINK("https://twitter.com/littlel8ght","@littlel8ght")</f>
        <v>@littlel8ght</v>
      </c>
      <c r="C7553" t="s">
        <v>2692</v>
      </c>
      <c r="D7553">
        <v>1999</v>
      </c>
      <c r="E7553">
        <v>0</v>
      </c>
      <c r="F7553">
        <v>423</v>
      </c>
    </row>
    <row r="7554" spans="1:6" ht="12.75">
      <c r="A7554" s="2">
        <v>43881.90115740741</v>
      </c>
      <c r="B7554" t="str">
        <f>HYPERLINK("https://twitter.com/tiara_fort","@tiara_fort")</f>
        <v>@tiara_fort</v>
      </c>
      <c r="C7554" t="s">
        <v>5224</v>
      </c>
      <c r="D7554">
        <v>0</v>
      </c>
      <c r="E7554">
        <v>0</v>
      </c>
      <c r="F7554">
        <v>421</v>
      </c>
    </row>
    <row r="7555" spans="1:6" ht="12.75">
      <c r="A7555" s="2">
        <v>43881.901076388887</v>
      </c>
      <c r="B7555" t="str">
        <f>HYPERLINK("https://twitter.com/msdhoni647","@msdhoni647")</f>
        <v>@msdhoni647</v>
      </c>
      <c r="C7555" t="s">
        <v>5225</v>
      </c>
      <c r="D7555">
        <v>0</v>
      </c>
      <c r="E7555">
        <v>0</v>
      </c>
      <c r="F7555">
        <v>2</v>
      </c>
    </row>
    <row r="7556" spans="1:6" ht="12.75">
      <c r="A7556" s="2">
        <v>43881.900775462964</v>
      </c>
      <c r="B7556" t="str">
        <f>HYPERLINK("https://twitter.com/justbadrun07","@justbadrun07")</f>
        <v>@justbadrun07</v>
      </c>
      <c r="C7556" t="s">
        <v>177</v>
      </c>
      <c r="D7556">
        <v>570</v>
      </c>
      <c r="E7556">
        <v>0</v>
      </c>
      <c r="F7556">
        <v>365</v>
      </c>
    </row>
    <row r="7557" spans="1:6" ht="12.75">
      <c r="A7557" s="2">
        <v>43881.900717592594</v>
      </c>
      <c r="B7557" t="str">
        <f>HYPERLINK("https://twitter.com/LChutiex","@LChutiex")</f>
        <v>@LChutiex</v>
      </c>
      <c r="C7557" t="s">
        <v>177</v>
      </c>
      <c r="D7557">
        <v>570</v>
      </c>
      <c r="E7557">
        <v>0</v>
      </c>
      <c r="F7557">
        <v>1433</v>
      </c>
    </row>
    <row r="7558" spans="1:6" ht="12.75">
      <c r="A7558" s="2">
        <v>43881.900590277779</v>
      </c>
      <c r="B7558" t="str">
        <f>HYPERLINK("https://twitter.com/Dianadjiemunaji","@Dianadjiemunaji")</f>
        <v>@Dianadjiemunaji</v>
      </c>
      <c r="C7558" t="s">
        <v>5226</v>
      </c>
      <c r="D7558">
        <v>0</v>
      </c>
      <c r="E7558">
        <v>1</v>
      </c>
      <c r="F7558">
        <v>1540</v>
      </c>
    </row>
    <row r="7559" spans="1:6" ht="12.75">
      <c r="A7559" s="2">
        <v>43881.900462962964</v>
      </c>
      <c r="B7559" t="str">
        <f>HYPERLINK("https://twitter.com/lena_vilian","@lena_vilian")</f>
        <v>@lena_vilian</v>
      </c>
      <c r="C7559" t="s">
        <v>5227</v>
      </c>
      <c r="D7559">
        <v>0</v>
      </c>
      <c r="E7559">
        <v>1</v>
      </c>
      <c r="F7559">
        <v>153</v>
      </c>
    </row>
    <row r="7560" spans="1:6" ht="12.75">
      <c r="A7560" s="2">
        <v>43881.899722222224</v>
      </c>
      <c r="B7560" t="str">
        <f>HYPERLINK("https://twitter.com/bagaspatifor","@bagaspatifor")</f>
        <v>@bagaspatifor</v>
      </c>
      <c r="C7560" t="s">
        <v>5212</v>
      </c>
      <c r="D7560">
        <v>0</v>
      </c>
      <c r="E7560">
        <v>0</v>
      </c>
      <c r="F7560">
        <v>3</v>
      </c>
    </row>
    <row r="7561" spans="1:6" ht="12.75">
      <c r="A7561" s="2">
        <v>43881.876550925925</v>
      </c>
      <c r="B7561" t="str">
        <f>HYPERLINK("https://twitter.com/radartvlampung","@radartvlampung")</f>
        <v>@radartvlampung</v>
      </c>
      <c r="C7561" t="s">
        <v>5228</v>
      </c>
      <c r="D7561">
        <v>0</v>
      </c>
      <c r="E7561">
        <v>0</v>
      </c>
      <c r="F7561">
        <v>4717</v>
      </c>
    </row>
    <row r="7562" spans="1:6" ht="12.75">
      <c r="A7562" s="2">
        <v>43881.875439814816</v>
      </c>
      <c r="B7562" t="str">
        <f>HYPERLINK("https://twitter.com/dazzeley","@dazzeley")</f>
        <v>@dazzeley</v>
      </c>
      <c r="C7562" t="s">
        <v>2692</v>
      </c>
      <c r="D7562">
        <v>1996</v>
      </c>
      <c r="E7562">
        <v>0</v>
      </c>
      <c r="F7562">
        <v>1597</v>
      </c>
    </row>
    <row r="7563" spans="1:6" ht="12.75">
      <c r="A7563" s="2">
        <v>43881.875046296293</v>
      </c>
      <c r="B7563" t="str">
        <f>HYPERLINK("https://twitter.com/ajamanggilnya","@ajamanggilnya")</f>
        <v>@ajamanggilnya</v>
      </c>
      <c r="C7563" t="s">
        <v>177</v>
      </c>
      <c r="D7563">
        <v>520</v>
      </c>
      <c r="E7563">
        <v>0</v>
      </c>
      <c r="F7563">
        <v>41</v>
      </c>
    </row>
    <row r="7564" spans="1:6" ht="12.75">
      <c r="A7564" s="2">
        <v>43881.873935185184</v>
      </c>
      <c r="B7564" t="str">
        <f>HYPERLINK("https://twitter.com/Muhammad_Ridlo","@Muhammad_Ridlo")</f>
        <v>@Muhammad_Ridlo</v>
      </c>
      <c r="C7564" t="s">
        <v>2692</v>
      </c>
      <c r="D7564">
        <v>1996</v>
      </c>
      <c r="E7564">
        <v>0</v>
      </c>
      <c r="F7564">
        <v>554</v>
      </c>
    </row>
    <row r="7565" spans="1:6" ht="12.75">
      <c r="A7565" s="2">
        <v>43881.873831018514</v>
      </c>
      <c r="B7565" t="str">
        <f>HYPERLINK("https://twitter.com/jeseuuuu","@jeseuuuu")</f>
        <v>@jeseuuuu</v>
      </c>
      <c r="C7565" t="s">
        <v>2692</v>
      </c>
      <c r="D7565">
        <v>1996</v>
      </c>
      <c r="E7565">
        <v>0</v>
      </c>
      <c r="F7565">
        <v>4233</v>
      </c>
    </row>
    <row r="7566" spans="1:6" ht="12.75">
      <c r="A7566" s="2">
        <v>43881.873749999999</v>
      </c>
      <c r="B7566" t="str">
        <f>HYPERLINK("https://twitter.com/awanskunk","@awanskunk")</f>
        <v>@awanskunk</v>
      </c>
      <c r="C7566" t="s">
        <v>177</v>
      </c>
      <c r="D7566">
        <v>520</v>
      </c>
      <c r="E7566">
        <v>0</v>
      </c>
      <c r="F7566">
        <v>632</v>
      </c>
    </row>
    <row r="7567" spans="1:6" ht="12.75">
      <c r="A7567" s="2">
        <v>43881.873749999999</v>
      </c>
      <c r="B7567" t="str">
        <f>HYPERLINK("https://twitter.com/indrianiindah3","@indrianiindah3")</f>
        <v>@indrianiindah3</v>
      </c>
      <c r="C7567" t="s">
        <v>1407</v>
      </c>
      <c r="D7567">
        <v>9684</v>
      </c>
      <c r="E7567">
        <v>0</v>
      </c>
      <c r="F7567">
        <v>22</v>
      </c>
    </row>
    <row r="7568" spans="1:6" ht="12.75">
      <c r="A7568" s="2">
        <v>43881.87327546296</v>
      </c>
      <c r="B7568" t="str">
        <f>HYPERLINK("https://twitter.com/dwi_anggia","@dwi_anggia")</f>
        <v>@dwi_anggia</v>
      </c>
      <c r="C7568" t="s">
        <v>5229</v>
      </c>
      <c r="D7568">
        <v>0</v>
      </c>
      <c r="E7568">
        <v>2</v>
      </c>
      <c r="F7568">
        <v>47504</v>
      </c>
    </row>
    <row r="7569" spans="1:6" ht="12.75">
      <c r="A7569" s="2">
        <v>43881.87299768519</v>
      </c>
      <c r="B7569" t="str">
        <f>HYPERLINK("https://twitter.com/sopian333351","@sopian333351")</f>
        <v>@sopian333351</v>
      </c>
      <c r="C7569" t="s">
        <v>3984</v>
      </c>
      <c r="D7569">
        <v>9</v>
      </c>
      <c r="E7569">
        <v>0</v>
      </c>
      <c r="F7569">
        <v>1140</v>
      </c>
    </row>
    <row r="7570" spans="1:6" ht="12.75">
      <c r="A7570" s="2">
        <v>43881.872835648144</v>
      </c>
      <c r="B7570" t="str">
        <f>HYPERLINK("https://twitter.com/Gennome2","@Gennome2")</f>
        <v>@Gennome2</v>
      </c>
      <c r="C7570" t="s">
        <v>177</v>
      </c>
      <c r="D7570">
        <v>520</v>
      </c>
      <c r="E7570">
        <v>0</v>
      </c>
      <c r="F7570">
        <v>1674</v>
      </c>
    </row>
    <row r="7571" spans="1:6" ht="12.75">
      <c r="A7571" s="2">
        <v>43881.872256944444</v>
      </c>
      <c r="B7571" t="str">
        <f>HYPERLINK("https://twitter.com/antarajatimcom","@antarajatimcom")</f>
        <v>@antarajatimcom</v>
      </c>
      <c r="C7571" t="s">
        <v>5230</v>
      </c>
      <c r="D7571">
        <v>0</v>
      </c>
      <c r="E7571">
        <v>0</v>
      </c>
      <c r="F7571">
        <v>834</v>
      </c>
    </row>
    <row r="7572" spans="1:6" ht="12.75">
      <c r="A7572" s="2">
        <v>43881.871793981481</v>
      </c>
      <c r="B7572" t="str">
        <f>HYPERLINK("https://twitter.com/masmaul_","@masmaul_")</f>
        <v>@masmaul_</v>
      </c>
      <c r="C7572" t="s">
        <v>5231</v>
      </c>
      <c r="D7572">
        <v>0</v>
      </c>
      <c r="E7572">
        <v>0</v>
      </c>
      <c r="F7572">
        <v>141</v>
      </c>
    </row>
    <row r="7573" spans="1:6" ht="12.75">
      <c r="A7573" s="2">
        <v>43881.871539351851</v>
      </c>
      <c r="B7573" t="str">
        <f>HYPERLINK("https://twitter.com/UsedCondom_0","@UsedCondom_0")</f>
        <v>@UsedCondom_0</v>
      </c>
      <c r="C7573" t="s">
        <v>177</v>
      </c>
      <c r="D7573">
        <v>520</v>
      </c>
      <c r="E7573">
        <v>0</v>
      </c>
      <c r="F7573">
        <v>6</v>
      </c>
    </row>
    <row r="7574" spans="1:6" ht="12.75">
      <c r="A7574" s="2">
        <v>43881.871041666665</v>
      </c>
      <c r="B7574" t="str">
        <f>HYPERLINK("https://twitter.com/DavinRulli","@DavinRulli")</f>
        <v>@DavinRulli</v>
      </c>
      <c r="C7574" t="s">
        <v>2141</v>
      </c>
      <c r="D7574">
        <v>87</v>
      </c>
      <c r="E7574">
        <v>0</v>
      </c>
      <c r="F7574">
        <v>200</v>
      </c>
    </row>
    <row r="7575" spans="1:6" ht="12.75">
      <c r="A7575" s="2">
        <v>43881.870358796295</v>
      </c>
      <c r="B7575" t="str">
        <f>HYPERLINK("https://twitter.com/77bayoe","@77bayoe")</f>
        <v>@77bayoe</v>
      </c>
      <c r="C7575" t="s">
        <v>4769</v>
      </c>
      <c r="D7575">
        <v>6</v>
      </c>
      <c r="E7575">
        <v>0</v>
      </c>
      <c r="F7575">
        <v>2185</v>
      </c>
    </row>
    <row r="7576" spans="1:6" ht="12.75">
      <c r="A7576" s="2">
        <v>43881.869849537034</v>
      </c>
      <c r="B7576" t="str">
        <f>HYPERLINK("https://twitter.com/widyaddicted","@widyaddicted")</f>
        <v>@widyaddicted</v>
      </c>
      <c r="C7576" t="s">
        <v>1407</v>
      </c>
      <c r="D7576">
        <v>9684</v>
      </c>
      <c r="E7576">
        <v>0</v>
      </c>
      <c r="F7576">
        <v>938</v>
      </c>
    </row>
    <row r="7577" spans="1:6" ht="12.75">
      <c r="A7577" s="2">
        <v>43881.869791666672</v>
      </c>
      <c r="B7577" t="str">
        <f>HYPERLINK("https://twitter.com/77bayoe","@77bayoe")</f>
        <v>@77bayoe</v>
      </c>
      <c r="C7577" t="s">
        <v>177</v>
      </c>
      <c r="D7577">
        <v>520</v>
      </c>
      <c r="E7577">
        <v>0</v>
      </c>
      <c r="F7577">
        <v>2185</v>
      </c>
    </row>
    <row r="7578" spans="1:6" ht="12.75">
      <c r="A7578" s="2">
        <v>43881.869629629626</v>
      </c>
      <c r="B7578" t="str">
        <f>HYPERLINK("https://twitter.com/elinumtechnolog","@elinumtechnolog")</f>
        <v>@elinumtechnolog</v>
      </c>
      <c r="C7578" t="s">
        <v>5039</v>
      </c>
      <c r="D7578">
        <v>5</v>
      </c>
      <c r="E7578">
        <v>0</v>
      </c>
      <c r="F7578">
        <v>0</v>
      </c>
    </row>
    <row r="7579" spans="1:6" ht="12.75">
      <c r="A7579" s="2">
        <v>43881.869618055556</v>
      </c>
      <c r="B7579" t="str">
        <f>HYPERLINK("https://twitter.com/zaman_NRZ","@zaman_NRZ")</f>
        <v>@zaman_NRZ</v>
      </c>
      <c r="C7579" t="s">
        <v>177</v>
      </c>
      <c r="D7579">
        <v>520</v>
      </c>
      <c r="E7579">
        <v>0</v>
      </c>
      <c r="F7579">
        <v>0</v>
      </c>
    </row>
    <row r="7580" spans="1:6" ht="12.75">
      <c r="A7580" s="2">
        <v>43881.869571759264</v>
      </c>
      <c r="B7580" t="str">
        <f>HYPERLINK("https://twitter.com/Ichad25504639","@Ichad25504639")</f>
        <v>@Ichad25504639</v>
      </c>
      <c r="C7580" t="s">
        <v>3141</v>
      </c>
      <c r="D7580">
        <v>13</v>
      </c>
      <c r="E7580">
        <v>0</v>
      </c>
      <c r="F7580">
        <v>0</v>
      </c>
    </row>
    <row r="7581" spans="1:6" ht="12.75">
      <c r="A7581" s="2">
        <v>43881.869525462964</v>
      </c>
      <c r="B7581" t="str">
        <f>HYPERLINK("https://twitter.com/nita_tma","@nita_tma")</f>
        <v>@nita_tma</v>
      </c>
      <c r="C7581" t="s">
        <v>177</v>
      </c>
      <c r="D7581">
        <v>520</v>
      </c>
      <c r="E7581">
        <v>0</v>
      </c>
      <c r="F7581">
        <v>181</v>
      </c>
    </row>
    <row r="7582" spans="1:6" ht="12.75">
      <c r="A7582" s="2">
        <v>43881.869409722218</v>
      </c>
      <c r="B7582" t="str">
        <f t="shared" ref="B7582:B7583" si="138">HYPERLINK("https://twitter.com/BadjaNuswantara","@BadjaNuswantara")</f>
        <v>@BadjaNuswantara</v>
      </c>
      <c r="C7582" t="s">
        <v>4817</v>
      </c>
      <c r="D7582">
        <v>3</v>
      </c>
      <c r="E7582">
        <v>0</v>
      </c>
      <c r="F7582">
        <v>42808</v>
      </c>
    </row>
    <row r="7583" spans="1:6" ht="12.75">
      <c r="A7583" s="2">
        <v>43881.869340277779</v>
      </c>
      <c r="B7583" t="str">
        <f t="shared" si="138"/>
        <v>@BadjaNuswantara</v>
      </c>
      <c r="C7583" t="s">
        <v>4818</v>
      </c>
      <c r="D7583">
        <v>3</v>
      </c>
      <c r="E7583">
        <v>0</v>
      </c>
      <c r="F7583">
        <v>42808</v>
      </c>
    </row>
    <row r="7584" spans="1:6" ht="12.75">
      <c r="A7584" s="2">
        <v>43881.869293981479</v>
      </c>
      <c r="B7584" t="str">
        <f>HYPERLINK("https://twitter.com/OzdySays","@OzdySays")</f>
        <v>@OzdySays</v>
      </c>
      <c r="C7584" t="s">
        <v>5232</v>
      </c>
      <c r="D7584">
        <v>0</v>
      </c>
      <c r="E7584">
        <v>0</v>
      </c>
      <c r="F7584">
        <v>74</v>
      </c>
    </row>
    <row r="7585" spans="1:6" ht="12.75">
      <c r="A7585" s="2">
        <v>43881.869201388894</v>
      </c>
      <c r="B7585" t="str">
        <f>HYPERLINK("https://twitter.com/HUMAN_RES3","@HUMAN_RES3")</f>
        <v>@HUMAN_RES3</v>
      </c>
      <c r="C7585" t="s">
        <v>3141</v>
      </c>
      <c r="D7585">
        <v>3</v>
      </c>
      <c r="E7585">
        <v>0</v>
      </c>
      <c r="F7585">
        <v>84</v>
      </c>
    </row>
    <row r="7586" spans="1:6" ht="12.75">
      <c r="A7586" s="2">
        <v>43881.868229166663</v>
      </c>
      <c r="B7586" t="str">
        <f>HYPERLINK("https://twitter.com/budiarto2303","@budiarto2303")</f>
        <v>@budiarto2303</v>
      </c>
      <c r="C7586" t="s">
        <v>5217</v>
      </c>
      <c r="D7586">
        <v>5</v>
      </c>
      <c r="E7586">
        <v>0</v>
      </c>
      <c r="F7586">
        <v>679</v>
      </c>
    </row>
    <row r="7587" spans="1:6" ht="12.75">
      <c r="A7587" s="2">
        <v>43881.867638888885</v>
      </c>
      <c r="B7587" t="str">
        <f>HYPERLINK("https://twitter.com/J4lakBali","@J4lakBali")</f>
        <v>@J4lakBali</v>
      </c>
      <c r="C7587" t="s">
        <v>177</v>
      </c>
      <c r="D7587">
        <v>520</v>
      </c>
      <c r="E7587">
        <v>0</v>
      </c>
      <c r="F7587">
        <v>2869</v>
      </c>
    </row>
    <row r="7588" spans="1:6" ht="12.75">
      <c r="A7588" s="2">
        <v>43881.867465277777</v>
      </c>
      <c r="B7588" t="str">
        <f t="shared" ref="B7588:B7589" si="139">HYPERLINK("https://twitter.com/WahhabiCC","@WahhabiCC")</f>
        <v>@WahhabiCC</v>
      </c>
      <c r="C7588" t="s">
        <v>4817</v>
      </c>
      <c r="D7588">
        <v>3</v>
      </c>
      <c r="E7588">
        <v>0</v>
      </c>
      <c r="F7588">
        <v>17380</v>
      </c>
    </row>
    <row r="7589" spans="1:6" ht="12.75">
      <c r="A7589" s="2">
        <v>43881.867407407408</v>
      </c>
      <c r="B7589" t="str">
        <f t="shared" si="139"/>
        <v>@WahhabiCC</v>
      </c>
      <c r="C7589" t="s">
        <v>4818</v>
      </c>
      <c r="D7589">
        <v>3</v>
      </c>
      <c r="E7589">
        <v>0</v>
      </c>
      <c r="F7589">
        <v>17380</v>
      </c>
    </row>
    <row r="7590" spans="1:6" ht="12.75">
      <c r="A7590" s="2">
        <v>43881.865949074076</v>
      </c>
      <c r="B7590" t="str">
        <f>HYPERLINK("https://twitter.com/bogabogas","@bogabogas")</f>
        <v>@bogabogas</v>
      </c>
      <c r="C7590" t="s">
        <v>5233</v>
      </c>
      <c r="D7590">
        <v>0</v>
      </c>
      <c r="E7590">
        <v>0</v>
      </c>
      <c r="F7590">
        <v>60</v>
      </c>
    </row>
    <row r="7591" spans="1:6" ht="12.75">
      <c r="A7591" s="2">
        <v>43881.865798611107</v>
      </c>
      <c r="B7591" t="str">
        <f>HYPERLINK("https://twitter.com/Indro76491247","@Indro76491247")</f>
        <v>@Indro76491247</v>
      </c>
      <c r="C7591" t="s">
        <v>4374</v>
      </c>
      <c r="D7591">
        <v>2</v>
      </c>
      <c r="E7591">
        <v>0</v>
      </c>
      <c r="F7591">
        <v>77</v>
      </c>
    </row>
    <row r="7592" spans="1:6" ht="12.75">
      <c r="A7592" s="2">
        <v>43881.865567129629</v>
      </c>
      <c r="B7592" t="str">
        <f>HYPERLINK("https://twitter.com/JaparisC","@JaparisC")</f>
        <v>@JaparisC</v>
      </c>
      <c r="C7592" t="s">
        <v>177</v>
      </c>
      <c r="D7592">
        <v>520</v>
      </c>
      <c r="E7592">
        <v>0</v>
      </c>
      <c r="F7592">
        <v>243</v>
      </c>
    </row>
    <row r="7593" spans="1:6" ht="12.75">
      <c r="A7593" s="2">
        <v>43881.864861111113</v>
      </c>
      <c r="B7593" t="str">
        <f>HYPERLINK("https://twitter.com/Indro76491247","@Indro76491247")</f>
        <v>@Indro76491247</v>
      </c>
      <c r="C7593" t="s">
        <v>5234</v>
      </c>
      <c r="D7593">
        <v>3</v>
      </c>
      <c r="E7593">
        <v>0</v>
      </c>
      <c r="F7593">
        <v>77</v>
      </c>
    </row>
    <row r="7594" spans="1:6" ht="12.75">
      <c r="A7594" s="2">
        <v>43881.864849537036</v>
      </c>
      <c r="B7594" t="str">
        <f>HYPERLINK("https://twitter.com/Reidi_Azteca","@Reidi_Azteca")</f>
        <v>@Reidi_Azteca</v>
      </c>
      <c r="C7594" t="s">
        <v>2141</v>
      </c>
      <c r="D7594">
        <v>87</v>
      </c>
      <c r="E7594">
        <v>0</v>
      </c>
      <c r="F7594">
        <v>173</v>
      </c>
    </row>
    <row r="7595" spans="1:6" ht="12.75">
      <c r="A7595" s="2">
        <v>43881.864502314813</v>
      </c>
      <c r="B7595" t="str">
        <f>HYPERLINK("https://twitter.com/Nur_achmads","@Nur_achmads")</f>
        <v>@Nur_achmads</v>
      </c>
      <c r="C7595" t="s">
        <v>177</v>
      </c>
      <c r="D7595">
        <v>520</v>
      </c>
      <c r="E7595">
        <v>0</v>
      </c>
      <c r="F7595">
        <v>434</v>
      </c>
    </row>
    <row r="7596" spans="1:6" ht="12.75">
      <c r="A7596" s="2">
        <v>43881.86445601852</v>
      </c>
      <c r="B7596" t="str">
        <f>HYPERLINK("https://twitter.com/ryolandafit","@ryolandafit")</f>
        <v>@ryolandafit</v>
      </c>
      <c r="C7596" t="s">
        <v>3141</v>
      </c>
      <c r="D7596">
        <v>3</v>
      </c>
      <c r="E7596">
        <v>0</v>
      </c>
      <c r="F7596">
        <v>650</v>
      </c>
    </row>
    <row r="7597" spans="1:6" ht="12.75">
      <c r="A7597" s="2">
        <v>43881.864328703705</v>
      </c>
      <c r="B7597" t="str">
        <f>HYPERLINK("https://twitter.com/FebrinaArtha","@FebrinaArtha")</f>
        <v>@FebrinaArtha</v>
      </c>
      <c r="C7597" t="s">
        <v>4769</v>
      </c>
      <c r="D7597">
        <v>6</v>
      </c>
      <c r="E7597">
        <v>0</v>
      </c>
      <c r="F7597">
        <v>765</v>
      </c>
    </row>
    <row r="7598" spans="1:6" ht="12.75">
      <c r="A7598" s="2">
        <v>43881.864259259259</v>
      </c>
      <c r="B7598" t="str">
        <f>HYPERLINK("https://twitter.com/AndiSumantri","@AndiSumantri")</f>
        <v>@AndiSumantri</v>
      </c>
      <c r="C7598" t="s">
        <v>5139</v>
      </c>
      <c r="D7598">
        <v>31</v>
      </c>
      <c r="E7598">
        <v>0</v>
      </c>
      <c r="F7598">
        <v>1392</v>
      </c>
    </row>
    <row r="7599" spans="1:6" ht="12.75">
      <c r="A7599" s="2">
        <v>43881.863865740743</v>
      </c>
      <c r="B7599" t="str">
        <f>HYPERLINK("https://twitter.com/ayuria_a","@ayuria_a")</f>
        <v>@ayuria_a</v>
      </c>
      <c r="C7599" t="s">
        <v>5235</v>
      </c>
      <c r="D7599">
        <v>0</v>
      </c>
      <c r="E7599">
        <v>0</v>
      </c>
      <c r="F7599">
        <v>146</v>
      </c>
    </row>
    <row r="7600" spans="1:6" ht="12.75">
      <c r="A7600" s="2">
        <v>43881.863784722227</v>
      </c>
      <c r="B7600" t="str">
        <f>HYPERLINK("https://twitter.com/AhlulQohwah","@AhlulQohwah")</f>
        <v>@AhlulQohwah</v>
      </c>
      <c r="C7600" t="s">
        <v>4818</v>
      </c>
      <c r="D7600">
        <v>3</v>
      </c>
      <c r="E7600">
        <v>0</v>
      </c>
      <c r="F7600">
        <v>10190</v>
      </c>
    </row>
    <row r="7601" spans="1:6" ht="12.75">
      <c r="A7601" s="2">
        <v>43881.863738425927</v>
      </c>
      <c r="B7601" t="str">
        <f>HYPERLINK("https://twitter.com/SaatTobat","@SaatTobat")</f>
        <v>@SaatTobat</v>
      </c>
      <c r="C7601" t="s">
        <v>4817</v>
      </c>
      <c r="D7601">
        <v>3</v>
      </c>
      <c r="E7601">
        <v>0</v>
      </c>
      <c r="F7601">
        <v>923</v>
      </c>
    </row>
    <row r="7602" spans="1:6" ht="12.75">
      <c r="A7602" s="2">
        <v>43881.86310185185</v>
      </c>
      <c r="B7602" t="str">
        <f>HYPERLINK("https://twitter.com/CahayaBaktiGraf","@CahayaBaktiGraf")</f>
        <v>@CahayaBaktiGraf</v>
      </c>
      <c r="C7602" t="s">
        <v>5236</v>
      </c>
      <c r="D7602">
        <v>0</v>
      </c>
      <c r="E7602">
        <v>0</v>
      </c>
      <c r="F7602">
        <v>964</v>
      </c>
    </row>
    <row r="7603" spans="1:6" ht="12.75">
      <c r="A7603" s="2">
        <v>43881.86309027778</v>
      </c>
      <c r="B7603" t="str">
        <f>HYPERLINK("https://twitter.com/SlametMuslim","@SlametMuslim")</f>
        <v>@SlametMuslim</v>
      </c>
      <c r="C7603" t="s">
        <v>5237</v>
      </c>
      <c r="D7603">
        <v>3</v>
      </c>
      <c r="E7603">
        <v>4</v>
      </c>
      <c r="F7603">
        <v>7463</v>
      </c>
    </row>
    <row r="7604" spans="1:6" ht="12.75">
      <c r="A7604" s="2">
        <v>43881.862835648149</v>
      </c>
      <c r="B7604" t="str">
        <f>HYPERLINK("https://twitter.com/jodybayusonjaya","@jodybayusonjaya")</f>
        <v>@jodybayusonjaya</v>
      </c>
      <c r="C7604" t="s">
        <v>2141</v>
      </c>
      <c r="D7604">
        <v>87</v>
      </c>
      <c r="E7604">
        <v>0</v>
      </c>
      <c r="F7604">
        <v>230</v>
      </c>
    </row>
    <row r="7605" spans="1:6" ht="12.75">
      <c r="A7605" s="2">
        <v>43881.862164351856</v>
      </c>
      <c r="B7605" t="str">
        <f>HYPERLINK("https://twitter.com/testerstarbucks","@testerstarbucks")</f>
        <v>@testerstarbucks</v>
      </c>
      <c r="C7605" t="s">
        <v>177</v>
      </c>
      <c r="D7605">
        <v>520</v>
      </c>
      <c r="E7605">
        <v>0</v>
      </c>
      <c r="F7605">
        <v>1253</v>
      </c>
    </row>
    <row r="7606" spans="1:6" ht="12.75">
      <c r="A7606" s="2">
        <v>43881.862037037034</v>
      </c>
      <c r="B7606" t="str">
        <f>HYPERLINK("https://twitter.com/HPeridia","@HPeridia")</f>
        <v>@HPeridia</v>
      </c>
      <c r="C7606" t="s">
        <v>177</v>
      </c>
      <c r="D7606">
        <v>520</v>
      </c>
      <c r="E7606">
        <v>0</v>
      </c>
      <c r="F7606">
        <v>663</v>
      </c>
    </row>
    <row r="7607" spans="1:6" ht="12.75">
      <c r="A7607" s="2">
        <v>43881.861550925925</v>
      </c>
      <c r="B7607" t="str">
        <f>HYPERLINK("https://twitter.com/Riyapuspita6","@Riyapuspita6")</f>
        <v>@Riyapuspita6</v>
      </c>
      <c r="C7607" t="s">
        <v>5238</v>
      </c>
      <c r="D7607">
        <v>20</v>
      </c>
      <c r="E7607">
        <v>0</v>
      </c>
      <c r="F7607">
        <v>2</v>
      </c>
    </row>
    <row r="7608" spans="1:6" ht="12.75">
      <c r="A7608" s="2">
        <v>43881.86146990741</v>
      </c>
      <c r="B7608" t="str">
        <f>HYPERLINK("https://twitter.com/SlametMuslim","@SlametMuslim")</f>
        <v>@SlametMuslim</v>
      </c>
      <c r="C7608" t="s">
        <v>5239</v>
      </c>
      <c r="D7608">
        <v>3</v>
      </c>
      <c r="E7608">
        <v>3</v>
      </c>
      <c r="F7608">
        <v>7463</v>
      </c>
    </row>
    <row r="7609" spans="1:6" ht="12.75">
      <c r="A7609" s="2">
        <v>43881.861446759256</v>
      </c>
      <c r="B7609" t="str">
        <f>HYPERLINK("https://twitter.com/yunbbynn","@yunbbynn")</f>
        <v>@yunbbynn</v>
      </c>
      <c r="C7609" t="s">
        <v>5240</v>
      </c>
      <c r="D7609">
        <v>0</v>
      </c>
      <c r="E7609">
        <v>0</v>
      </c>
      <c r="F7609">
        <v>483</v>
      </c>
    </row>
    <row r="7610" spans="1:6" ht="12.75">
      <c r="A7610" s="2">
        <v>43881.86136574074</v>
      </c>
      <c r="B7610" t="str">
        <f>HYPERLINK("https://twitter.com/Santisimatupang","@Santisimatupang")</f>
        <v>@Santisimatupang</v>
      </c>
      <c r="C7610" t="s">
        <v>2509</v>
      </c>
      <c r="D7610">
        <v>143</v>
      </c>
      <c r="E7610">
        <v>0</v>
      </c>
      <c r="F7610">
        <v>429</v>
      </c>
    </row>
    <row r="7611" spans="1:6" ht="12.75">
      <c r="A7611" s="2">
        <v>43881.861261574071</v>
      </c>
      <c r="B7611" t="str">
        <f>HYPERLINK("https://twitter.com/beatrice_health","@beatrice_health")</f>
        <v>@beatrice_health</v>
      </c>
      <c r="C7611" t="s">
        <v>2183</v>
      </c>
      <c r="D7611">
        <v>327</v>
      </c>
      <c r="E7611">
        <v>0</v>
      </c>
      <c r="F7611">
        <v>229</v>
      </c>
    </row>
    <row r="7612" spans="1:6" ht="12.75">
      <c r="A7612" s="2">
        <v>43881.861238425925</v>
      </c>
      <c r="B7612" t="str">
        <f t="shared" ref="B7612:B7613" si="140">HYPERLINK("https://twitter.com/Santisimatupang","@Santisimatupang")</f>
        <v>@Santisimatupang</v>
      </c>
      <c r="C7612" t="s">
        <v>2183</v>
      </c>
      <c r="D7612">
        <v>327</v>
      </c>
      <c r="E7612">
        <v>0</v>
      </c>
      <c r="F7612">
        <v>429</v>
      </c>
    </row>
    <row r="7613" spans="1:6" ht="12.75">
      <c r="A7613" s="2">
        <v>43881.861192129625</v>
      </c>
      <c r="B7613" t="str">
        <f t="shared" si="140"/>
        <v>@Santisimatupang</v>
      </c>
      <c r="C7613" t="s">
        <v>2467</v>
      </c>
      <c r="D7613">
        <v>894</v>
      </c>
      <c r="E7613">
        <v>0</v>
      </c>
      <c r="F7613">
        <v>429</v>
      </c>
    </row>
    <row r="7614" spans="1:6" ht="12.75">
      <c r="A7614" s="2">
        <v>43881.860937500001</v>
      </c>
      <c r="B7614" t="str">
        <f>HYPERLINK("https://twitter.com/emangkucing","@emangkucing")</f>
        <v>@emangkucing</v>
      </c>
      <c r="C7614" t="s">
        <v>177</v>
      </c>
      <c r="D7614">
        <v>520</v>
      </c>
      <c r="E7614">
        <v>0</v>
      </c>
      <c r="F7614">
        <v>689</v>
      </c>
    </row>
    <row r="7615" spans="1:6" ht="12.75">
      <c r="A7615" s="2">
        <v>43881.860925925925</v>
      </c>
      <c r="B7615" t="str">
        <f>HYPERLINK("https://twitter.com/Santisimatupang","@Santisimatupang")</f>
        <v>@Santisimatupang</v>
      </c>
      <c r="C7615" t="s">
        <v>1407</v>
      </c>
      <c r="D7615">
        <v>9684</v>
      </c>
      <c r="E7615">
        <v>0</v>
      </c>
      <c r="F7615">
        <v>429</v>
      </c>
    </row>
    <row r="7616" spans="1:6" ht="12.75">
      <c r="A7616" s="2">
        <v>43881.860752314809</v>
      </c>
      <c r="B7616" t="str">
        <f>HYPERLINK("https://twitter.com/renegad19207887","@renegad19207887")</f>
        <v>@renegad19207887</v>
      </c>
      <c r="C7616" t="s">
        <v>5241</v>
      </c>
      <c r="D7616">
        <v>0</v>
      </c>
      <c r="E7616">
        <v>0</v>
      </c>
      <c r="F7616">
        <v>1267</v>
      </c>
    </row>
    <row r="7617" spans="1:6" ht="12.75">
      <c r="A7617" s="2">
        <v>43881.860682870371</v>
      </c>
      <c r="B7617" t="str">
        <f>HYPERLINK("https://twitter.com/blackxugaar","@blackxugaar")</f>
        <v>@blackxugaar</v>
      </c>
      <c r="C7617" t="s">
        <v>177</v>
      </c>
      <c r="D7617">
        <v>520</v>
      </c>
      <c r="E7617">
        <v>0</v>
      </c>
      <c r="F7617">
        <v>544</v>
      </c>
    </row>
    <row r="7618" spans="1:6" ht="12.75">
      <c r="A7618" s="2">
        <v>43881.860590277778</v>
      </c>
      <c r="B7618" t="str">
        <f>HYPERLINK("https://twitter.com/__r036","@__r036")</f>
        <v>@__r036</v>
      </c>
      <c r="C7618" t="s">
        <v>177</v>
      </c>
      <c r="D7618">
        <v>520</v>
      </c>
      <c r="E7618">
        <v>0</v>
      </c>
      <c r="F7618">
        <v>2584</v>
      </c>
    </row>
    <row r="7619" spans="1:6" ht="12.75">
      <c r="A7619" s="2">
        <v>43881.860486111109</v>
      </c>
      <c r="B7619" t="str">
        <f>HYPERLINK("https://twitter.com/Velin52821243","@Velin52821243")</f>
        <v>@Velin52821243</v>
      </c>
      <c r="C7619" t="s">
        <v>5242</v>
      </c>
      <c r="D7619">
        <v>0</v>
      </c>
      <c r="E7619">
        <v>0</v>
      </c>
      <c r="F7619">
        <v>116</v>
      </c>
    </row>
    <row r="7620" spans="1:6" ht="12.75">
      <c r="A7620" s="2">
        <v>43881.860439814816</v>
      </c>
      <c r="B7620" t="str">
        <f>HYPERLINK("https://twitter.com/WahhabiCC","@WahhabiCC")</f>
        <v>@WahhabiCC</v>
      </c>
      <c r="C7620" t="s">
        <v>3984</v>
      </c>
      <c r="D7620">
        <v>9</v>
      </c>
      <c r="E7620">
        <v>0</v>
      </c>
      <c r="F7620">
        <v>17380</v>
      </c>
    </row>
    <row r="7621" spans="1:6" ht="12.75">
      <c r="A7621" s="2">
        <v>43881.860138888893</v>
      </c>
      <c r="B7621" t="str">
        <f>HYPERLINK("https://twitter.com/intanalyze","@intanalyze")</f>
        <v>@intanalyze</v>
      </c>
      <c r="C7621" t="s">
        <v>5243</v>
      </c>
      <c r="D7621">
        <v>0</v>
      </c>
      <c r="E7621">
        <v>0</v>
      </c>
      <c r="F7621">
        <v>1838</v>
      </c>
    </row>
    <row r="7622" spans="1:6" ht="12.75">
      <c r="A7622" s="2">
        <v>43881.859456018516</v>
      </c>
      <c r="B7622" t="str">
        <f>HYPERLINK("https://twitter.com/niwablezinky","@niwablezinky")</f>
        <v>@niwablezinky</v>
      </c>
      <c r="C7622" t="s">
        <v>4360</v>
      </c>
      <c r="D7622">
        <v>179</v>
      </c>
      <c r="E7622">
        <v>0</v>
      </c>
      <c r="F7622">
        <v>993</v>
      </c>
    </row>
    <row r="7623" spans="1:6" ht="12.75">
      <c r="A7623" s="2">
        <v>43881.859340277777</v>
      </c>
      <c r="B7623" t="str">
        <f>HYPERLINK("https://twitter.com/4rdn4n","@4rdn4n")</f>
        <v>@4rdn4n</v>
      </c>
      <c r="C7623" t="s">
        <v>177</v>
      </c>
      <c r="D7623">
        <v>520</v>
      </c>
      <c r="E7623">
        <v>0</v>
      </c>
      <c r="F7623">
        <v>549</v>
      </c>
    </row>
    <row r="7624" spans="1:6" ht="12.75">
      <c r="A7624" s="2">
        <v>43881.859143518523</v>
      </c>
      <c r="B7624" t="str">
        <f>HYPERLINK("https://twitter.com/totemasang","@totemasang")</f>
        <v>@totemasang</v>
      </c>
      <c r="C7624" t="s">
        <v>4868</v>
      </c>
      <c r="D7624">
        <v>7</v>
      </c>
      <c r="E7624">
        <v>0</v>
      </c>
      <c r="F7624">
        <v>24</v>
      </c>
    </row>
    <row r="7625" spans="1:6" ht="12.75">
      <c r="A7625" s="2">
        <v>43881.859143518523</v>
      </c>
      <c r="B7625" t="str">
        <f>HYPERLINK("https://twitter.com/anggrahadid","@anggrahadid")</f>
        <v>@anggrahadid</v>
      </c>
      <c r="C7625" t="s">
        <v>3984</v>
      </c>
      <c r="D7625">
        <v>9</v>
      </c>
      <c r="E7625">
        <v>0</v>
      </c>
      <c r="F7625">
        <v>356</v>
      </c>
    </row>
    <row r="7626" spans="1:6" ht="12.75">
      <c r="A7626" s="2">
        <v>43881.858425925922</v>
      </c>
      <c r="B7626" t="str">
        <f>HYPERLINK("https://twitter.com/Idruslatif_bone","@Idruslatif_bone")</f>
        <v>@Idruslatif_bone</v>
      </c>
      <c r="C7626" t="s">
        <v>177</v>
      </c>
      <c r="D7626">
        <v>520</v>
      </c>
      <c r="E7626">
        <v>0</v>
      </c>
      <c r="F7626">
        <v>249</v>
      </c>
    </row>
    <row r="7627" spans="1:6" ht="12.75">
      <c r="A7627" s="2">
        <v>43881.858333333337</v>
      </c>
      <c r="B7627" t="str">
        <f>HYPERLINK("https://twitter.com/dolet_77","@dolet_77")</f>
        <v>@dolet_77</v>
      </c>
      <c r="C7627" t="s">
        <v>5244</v>
      </c>
      <c r="D7627">
        <v>76</v>
      </c>
      <c r="E7627">
        <v>0</v>
      </c>
      <c r="F7627">
        <v>3</v>
      </c>
    </row>
    <row r="7628" spans="1:6" ht="12.75">
      <c r="A7628" s="2">
        <v>43881.85774305556</v>
      </c>
      <c r="B7628" t="str">
        <f>HYPERLINK("https://twitter.com/tvOneNews","@tvOneNews")</f>
        <v>@tvOneNews</v>
      </c>
      <c r="C7628" t="s">
        <v>5245</v>
      </c>
      <c r="D7628">
        <v>3</v>
      </c>
      <c r="E7628">
        <v>9</v>
      </c>
      <c r="F7628">
        <v>8717904</v>
      </c>
    </row>
    <row r="7629" spans="1:6" ht="12.75">
      <c r="A7629" s="2">
        <v>43881.857708333337</v>
      </c>
      <c r="B7629" t="str">
        <f>HYPERLINK("https://twitter.com/elinumtechnolog","@elinumtechnolog")</f>
        <v>@elinumtechnolog</v>
      </c>
      <c r="C7629" t="s">
        <v>5090</v>
      </c>
      <c r="D7629">
        <v>4</v>
      </c>
      <c r="E7629">
        <v>0</v>
      </c>
      <c r="F7629">
        <v>0</v>
      </c>
    </row>
    <row r="7630" spans="1:6" ht="12.75">
      <c r="A7630" s="2">
        <v>43881.85701388889</v>
      </c>
      <c r="B7630" t="str">
        <f>HYPERLINK("https://twitter.com/Dadik53865539","@Dadik53865539")</f>
        <v>@Dadik53865539</v>
      </c>
      <c r="C7630" t="s">
        <v>4994</v>
      </c>
      <c r="D7630">
        <v>30</v>
      </c>
      <c r="E7630">
        <v>0</v>
      </c>
      <c r="F7630">
        <v>26</v>
      </c>
    </row>
    <row r="7631" spans="1:6" ht="12.75">
      <c r="A7631" s="2">
        <v>43881.856921296298</v>
      </c>
      <c r="B7631" t="str">
        <f>HYPERLINK("https://twitter.com/elinumtechnolog","@elinumtechnolog")</f>
        <v>@elinumtechnolog</v>
      </c>
      <c r="C7631" t="s">
        <v>2085</v>
      </c>
      <c r="D7631">
        <v>18</v>
      </c>
      <c r="E7631">
        <v>0</v>
      </c>
      <c r="F7631">
        <v>0</v>
      </c>
    </row>
    <row r="7632" spans="1:6" ht="12.75">
      <c r="A7632" s="2">
        <v>43881.856342592597</v>
      </c>
      <c r="B7632" t="str">
        <f>HYPERLINK("https://twitter.com/wni_jmsri","@wni_jmsri")</f>
        <v>@wni_jmsri</v>
      </c>
      <c r="C7632" t="s">
        <v>5246</v>
      </c>
      <c r="D7632">
        <v>720</v>
      </c>
      <c r="E7632">
        <v>0</v>
      </c>
      <c r="F7632">
        <v>195</v>
      </c>
    </row>
    <row r="7633" spans="1:6" ht="12.75">
      <c r="A7633" s="2">
        <v>43881.856261574074</v>
      </c>
      <c r="B7633" t="str">
        <f t="shared" ref="B7633:B7634" si="141">HYPERLINK("https://twitter.com/Nouna_jessica94","@Nouna_jessica94")</f>
        <v>@Nouna_jessica94</v>
      </c>
      <c r="C7633" t="s">
        <v>5247</v>
      </c>
      <c r="D7633">
        <v>0</v>
      </c>
      <c r="E7633">
        <v>3</v>
      </c>
      <c r="F7633">
        <v>13479</v>
      </c>
    </row>
    <row r="7634" spans="1:6" ht="12.75">
      <c r="A7634" s="2">
        <v>43881.85560185185</v>
      </c>
      <c r="B7634" t="str">
        <f t="shared" si="141"/>
        <v>@Nouna_jessica94</v>
      </c>
      <c r="C7634" t="s">
        <v>5248</v>
      </c>
      <c r="D7634">
        <v>0</v>
      </c>
      <c r="E7634">
        <v>1</v>
      </c>
      <c r="F7634">
        <v>13479</v>
      </c>
    </row>
    <row r="7635" spans="1:6" ht="12.75">
      <c r="A7635" s="2">
        <v>43881.855011574073</v>
      </c>
      <c r="B7635" t="str">
        <f>HYPERLINK("https://twitter.com/ulfahdzkyyh","@ulfahdzkyyh")</f>
        <v>@ulfahdzkyyh</v>
      </c>
      <c r="C7635" t="s">
        <v>2692</v>
      </c>
      <c r="D7635">
        <v>1996</v>
      </c>
      <c r="E7635">
        <v>0</v>
      </c>
      <c r="F7635">
        <v>635</v>
      </c>
    </row>
    <row r="7636" spans="1:6" ht="12.75">
      <c r="A7636" s="2">
        <v>43881.85456018518</v>
      </c>
      <c r="B7636" t="str">
        <f>HYPERLINK("https://twitter.com/TolakBigotRI","@TolakBigotRI")</f>
        <v>@TolakBigotRI</v>
      </c>
      <c r="C7636" t="s">
        <v>3984</v>
      </c>
      <c r="D7636">
        <v>9</v>
      </c>
      <c r="E7636">
        <v>0</v>
      </c>
      <c r="F7636">
        <v>25642</v>
      </c>
    </row>
    <row r="7637" spans="1:6" ht="12.75">
      <c r="A7637" s="2">
        <v>43881.854386574079</v>
      </c>
      <c r="B7637" t="str">
        <f>HYPERLINK("https://twitter.com/Michael79820241","@Michael79820241")</f>
        <v>@Michael79820241</v>
      </c>
      <c r="C7637" t="s">
        <v>3984</v>
      </c>
      <c r="D7637">
        <v>9</v>
      </c>
      <c r="E7637">
        <v>0</v>
      </c>
      <c r="F7637">
        <v>102</v>
      </c>
    </row>
    <row r="7638" spans="1:6" ht="12.75">
      <c r="A7638" s="2">
        <v>43881.854027777779</v>
      </c>
      <c r="B7638" t="str">
        <f>HYPERLINK("https://twitter.com/Nouna_jessica94","@Nouna_jessica94")</f>
        <v>@Nouna_jessica94</v>
      </c>
      <c r="C7638" t="s">
        <v>5249</v>
      </c>
      <c r="D7638">
        <v>0</v>
      </c>
      <c r="E7638">
        <v>2</v>
      </c>
      <c r="F7638">
        <v>13479</v>
      </c>
    </row>
    <row r="7639" spans="1:6" ht="12.75">
      <c r="A7639" s="2">
        <v>43881.85324074074</v>
      </c>
      <c r="B7639" t="str">
        <f>HYPERLINK("https://twitter.com/Gus_Mail","@Gus_Mail")</f>
        <v>@Gus_Mail</v>
      </c>
      <c r="C7639" t="s">
        <v>5250</v>
      </c>
      <c r="D7639">
        <v>0</v>
      </c>
      <c r="E7639">
        <v>0</v>
      </c>
      <c r="F7639">
        <v>99</v>
      </c>
    </row>
    <row r="7640" spans="1:6" ht="12.75">
      <c r="A7640" s="2">
        <v>43881.853217592594</v>
      </c>
      <c r="B7640" t="str">
        <f>HYPERLINK("https://twitter.com/BudiatnoGomarus","@BudiatnoGomarus")</f>
        <v>@BudiatnoGomarus</v>
      </c>
      <c r="C7640" t="s">
        <v>5251</v>
      </c>
      <c r="D7640">
        <v>0</v>
      </c>
      <c r="E7640">
        <v>1</v>
      </c>
      <c r="F7640">
        <v>3591</v>
      </c>
    </row>
    <row r="7641" spans="1:6" ht="12.75">
      <c r="A7641" s="2">
        <v>43881.853101851855</v>
      </c>
      <c r="B7641" t="str">
        <f>HYPERLINK("https://twitter.com/Afzon_Dakka","@Afzon_Dakka")</f>
        <v>@Afzon_Dakka</v>
      </c>
      <c r="C7641" t="s">
        <v>3984</v>
      </c>
      <c r="D7641">
        <v>9</v>
      </c>
      <c r="E7641">
        <v>0</v>
      </c>
      <c r="F7641">
        <v>1396</v>
      </c>
    </row>
    <row r="7642" spans="1:6" ht="12.75">
      <c r="A7642" s="2">
        <v>43881.852858796294</v>
      </c>
      <c r="B7642" t="str">
        <f>HYPERLINK("https://twitter.com/Winsontrotz1","@Winsontrotz1")</f>
        <v>@Winsontrotz1</v>
      </c>
      <c r="C7642" t="s">
        <v>177</v>
      </c>
      <c r="D7642">
        <v>520</v>
      </c>
      <c r="E7642">
        <v>0</v>
      </c>
      <c r="F7642">
        <v>2630</v>
      </c>
    </row>
    <row r="7643" spans="1:6" ht="12.75">
      <c r="A7643" s="2">
        <v>43881.852118055554</v>
      </c>
      <c r="B7643" t="str">
        <f>HYPERLINK("https://twitter.com/thaufanmalaka","@thaufanmalaka")</f>
        <v>@thaufanmalaka</v>
      </c>
      <c r="C7643" t="s">
        <v>177</v>
      </c>
      <c r="D7643">
        <v>520</v>
      </c>
      <c r="E7643">
        <v>0</v>
      </c>
      <c r="F7643">
        <v>795</v>
      </c>
    </row>
    <row r="7644" spans="1:6" ht="12.75">
      <c r="A7644" s="2">
        <v>43881.850682870368</v>
      </c>
      <c r="B7644" t="str">
        <f>HYPERLINK("https://twitter.com/MeeMeeMya","@MeeMeeMya")</f>
        <v>@MeeMeeMya</v>
      </c>
      <c r="C7644" t="s">
        <v>5252</v>
      </c>
      <c r="D7644">
        <v>5</v>
      </c>
      <c r="E7644">
        <v>0</v>
      </c>
      <c r="F7644">
        <v>211</v>
      </c>
    </row>
    <row r="7645" spans="1:6" ht="12.75">
      <c r="A7645" s="2">
        <v>43881.850347222222</v>
      </c>
      <c r="B7645" t="str">
        <f>HYPERLINK("https://twitter.com/mindar69","@mindar69")</f>
        <v>@mindar69</v>
      </c>
      <c r="C7645" t="s">
        <v>177</v>
      </c>
      <c r="D7645">
        <v>520</v>
      </c>
      <c r="E7645">
        <v>0</v>
      </c>
      <c r="F7645">
        <v>1108</v>
      </c>
    </row>
    <row r="7646" spans="1:6" ht="12.75">
      <c r="A7646" s="2">
        <v>43881.850300925929</v>
      </c>
      <c r="B7646" t="str">
        <f>HYPERLINK("https://twitter.com/KevinJ46346146","@KevinJ46346146")</f>
        <v>@KevinJ46346146</v>
      </c>
      <c r="C7646" t="s">
        <v>5253</v>
      </c>
      <c r="D7646">
        <v>0</v>
      </c>
      <c r="E7646">
        <v>0</v>
      </c>
      <c r="F7646">
        <v>6</v>
      </c>
    </row>
    <row r="7647" spans="1:6" ht="12.75">
      <c r="A7647" s="2">
        <v>43881.849803240737</v>
      </c>
      <c r="B7647" t="str">
        <f>HYPERLINK("https://twitter.com/DAP_OFFICIAL92","@DAP_OFFICIAL92")</f>
        <v>@DAP_OFFICIAL92</v>
      </c>
      <c r="C7647" t="s">
        <v>177</v>
      </c>
      <c r="D7647">
        <v>520</v>
      </c>
      <c r="E7647">
        <v>0</v>
      </c>
      <c r="F7647">
        <v>3</v>
      </c>
    </row>
    <row r="7648" spans="1:6" ht="12.75">
      <c r="A7648" s="2">
        <v>43881.849305555559</v>
      </c>
      <c r="B7648" t="str">
        <f>HYPERLINK("https://twitter.com/SlametR72312235","@SlametR72312235")</f>
        <v>@SlametR72312235</v>
      </c>
      <c r="C7648" t="s">
        <v>4329</v>
      </c>
      <c r="D7648">
        <v>27</v>
      </c>
      <c r="E7648">
        <v>0</v>
      </c>
      <c r="F7648">
        <v>106</v>
      </c>
    </row>
    <row r="7649" spans="1:6" ht="12.75">
      <c r="A7649" s="2">
        <v>43881.849120370374</v>
      </c>
      <c r="B7649" t="str">
        <f>HYPERLINK("https://twitter.com/sinyovandlahom","@sinyovandlahom")</f>
        <v>@sinyovandlahom</v>
      </c>
      <c r="C7649" t="s">
        <v>3984</v>
      </c>
      <c r="D7649">
        <v>9</v>
      </c>
      <c r="E7649">
        <v>0</v>
      </c>
      <c r="F7649">
        <v>1313</v>
      </c>
    </row>
    <row r="7650" spans="1:6" ht="12.75">
      <c r="A7650" s="2">
        <v>43881.849004629628</v>
      </c>
      <c r="B7650" t="str">
        <f>HYPERLINK("https://twitter.com/Adjie02284682","@Adjie02284682")</f>
        <v>@Adjie02284682</v>
      </c>
      <c r="C7650" t="s">
        <v>5254</v>
      </c>
      <c r="D7650">
        <v>0</v>
      </c>
      <c r="E7650">
        <v>0</v>
      </c>
      <c r="F7650">
        <v>658</v>
      </c>
    </row>
    <row r="7651" spans="1:6" ht="12.75">
      <c r="A7651" s="2">
        <v>43881.848923611113</v>
      </c>
      <c r="B7651" t="str">
        <f>HYPERLINK("https://twitter.com/chairulachir","@chairulachir")</f>
        <v>@chairulachir</v>
      </c>
      <c r="C7651" t="s">
        <v>3984</v>
      </c>
      <c r="D7651">
        <v>9</v>
      </c>
      <c r="E7651">
        <v>0</v>
      </c>
      <c r="F7651">
        <v>2555</v>
      </c>
    </row>
    <row r="7652" spans="1:6" ht="12.75">
      <c r="A7652" s="2">
        <v>43881.848460648151</v>
      </c>
      <c r="B7652" t="str">
        <f>HYPERLINK("https://twitter.com/Nouna_jessica94","@Nouna_jessica94")</f>
        <v>@Nouna_jessica94</v>
      </c>
      <c r="C7652" t="s">
        <v>5255</v>
      </c>
      <c r="D7652">
        <v>0</v>
      </c>
      <c r="E7652">
        <v>1</v>
      </c>
      <c r="F7652">
        <v>13479</v>
      </c>
    </row>
    <row r="7653" spans="1:6" ht="12.75">
      <c r="A7653" s="2">
        <v>43881.847870370373</v>
      </c>
      <c r="B7653" t="str">
        <f>HYPERLINK("https://twitter.com/VesuMal","@VesuMal")</f>
        <v>@VesuMal</v>
      </c>
      <c r="C7653" t="s">
        <v>5256</v>
      </c>
      <c r="D7653">
        <v>0</v>
      </c>
      <c r="E7653">
        <v>0</v>
      </c>
      <c r="F7653">
        <v>136</v>
      </c>
    </row>
    <row r="7654" spans="1:6" ht="12.75">
      <c r="A7654" s="2">
        <v>43881.847395833334</v>
      </c>
      <c r="B7654" t="str">
        <f>HYPERLINK("https://twitter.com/Nouna_jessica94","@Nouna_jessica94")</f>
        <v>@Nouna_jessica94</v>
      </c>
      <c r="C7654" t="s">
        <v>5257</v>
      </c>
      <c r="D7654">
        <v>0</v>
      </c>
      <c r="E7654">
        <v>1</v>
      </c>
      <c r="F7654">
        <v>13479</v>
      </c>
    </row>
    <row r="7655" spans="1:6" ht="12.75">
      <c r="A7655" s="2">
        <v>43881.846909722226</v>
      </c>
      <c r="B7655" t="str">
        <f>HYPERLINK("https://twitter.com/pilotignews","@pilotignews")</f>
        <v>@pilotignews</v>
      </c>
      <c r="C7655" t="s">
        <v>5258</v>
      </c>
      <c r="D7655">
        <v>0</v>
      </c>
      <c r="E7655">
        <v>0</v>
      </c>
      <c r="F7655">
        <v>26</v>
      </c>
    </row>
    <row r="7656" spans="1:6" ht="12.75">
      <c r="A7656" s="2">
        <v>43881.846898148149</v>
      </c>
      <c r="B7656" t="str">
        <f>HYPERLINK("https://twitter.com/j_paijoe","@j_paijoe")</f>
        <v>@j_paijoe</v>
      </c>
      <c r="C7656" t="s">
        <v>5259</v>
      </c>
      <c r="D7656">
        <v>0</v>
      </c>
      <c r="E7656">
        <v>0</v>
      </c>
      <c r="F7656">
        <v>7</v>
      </c>
    </row>
    <row r="7657" spans="1:6" ht="12.75">
      <c r="A7657" s="2">
        <v>43881.846250000002</v>
      </c>
      <c r="B7657" t="str">
        <f>HYPERLINK("https://twitter.com/Nouna_jessica94","@Nouna_jessica94")</f>
        <v>@Nouna_jessica94</v>
      </c>
      <c r="C7657" t="s">
        <v>5260</v>
      </c>
      <c r="D7657">
        <v>0</v>
      </c>
      <c r="E7657">
        <v>0</v>
      </c>
      <c r="F7657">
        <v>13479</v>
      </c>
    </row>
    <row r="7658" spans="1:6" ht="12.75">
      <c r="A7658" s="2">
        <v>43881.846018518518</v>
      </c>
      <c r="B7658" t="str">
        <f>HYPERLINK("https://twitter.com/BadjaNuswantara","@BadjaNuswantara")</f>
        <v>@BadjaNuswantara</v>
      </c>
      <c r="C7658" t="s">
        <v>3984</v>
      </c>
      <c r="D7658">
        <v>9</v>
      </c>
      <c r="E7658">
        <v>0</v>
      </c>
      <c r="F7658">
        <v>42808</v>
      </c>
    </row>
    <row r="7659" spans="1:6" ht="12.75">
      <c r="A7659" s="2">
        <v>43881.845868055556</v>
      </c>
      <c r="B7659" t="str">
        <f>HYPERLINK("https://twitter.com/suaradotcom","@suaradotcom")</f>
        <v>@suaradotcom</v>
      </c>
      <c r="C7659" t="s">
        <v>5261</v>
      </c>
      <c r="D7659">
        <v>0</v>
      </c>
      <c r="E7659">
        <v>0</v>
      </c>
      <c r="F7659">
        <v>24193</v>
      </c>
    </row>
    <row r="7660" spans="1:6" ht="12.75">
      <c r="A7660" s="2">
        <v>43881.845833333333</v>
      </c>
      <c r="B7660" t="str">
        <f>HYPERLINK("https://twitter.com/MetroTVToday","@MetroTVToday")</f>
        <v>@MetroTVToday</v>
      </c>
      <c r="C7660" t="s">
        <v>5262</v>
      </c>
      <c r="D7660">
        <v>0</v>
      </c>
      <c r="E7660">
        <v>0</v>
      </c>
      <c r="F7660">
        <v>97652</v>
      </c>
    </row>
    <row r="7661" spans="1:6" ht="12.75">
      <c r="A7661" s="2">
        <v>43881.834895833337</v>
      </c>
      <c r="B7661" t="str">
        <f>HYPERLINK("https://twitter.com/el_ghoffar","@el_ghoffar")</f>
        <v>@el_ghoffar</v>
      </c>
      <c r="C7661" t="s">
        <v>177</v>
      </c>
      <c r="D7661">
        <v>485</v>
      </c>
      <c r="E7661">
        <v>0</v>
      </c>
      <c r="F7661">
        <v>312</v>
      </c>
    </row>
    <row r="7662" spans="1:6" ht="12.75">
      <c r="A7662" s="2">
        <v>43881.834687499999</v>
      </c>
      <c r="B7662" t="str">
        <f>HYPERLINK("https://twitter.com/beatrice_health","@beatrice_health")</f>
        <v>@beatrice_health</v>
      </c>
      <c r="C7662" t="s">
        <v>5263</v>
      </c>
      <c r="D7662">
        <v>2</v>
      </c>
      <c r="E7662">
        <v>0</v>
      </c>
      <c r="F7662">
        <v>226</v>
      </c>
    </row>
    <row r="7663" spans="1:6" ht="12.75">
      <c r="A7663" s="2">
        <v>43881.834537037037</v>
      </c>
      <c r="B7663" t="str">
        <f>HYPERLINK("https://twitter.com/amandagempita","@amandagempita")</f>
        <v>@amandagempita</v>
      </c>
      <c r="C7663" t="s">
        <v>5263</v>
      </c>
      <c r="D7663">
        <v>2</v>
      </c>
      <c r="E7663">
        <v>0</v>
      </c>
      <c r="F7663">
        <v>6450</v>
      </c>
    </row>
    <row r="7664" spans="1:6" ht="12.75">
      <c r="A7664" s="2">
        <v>43881.834363425922</v>
      </c>
      <c r="B7664" t="str">
        <f>HYPERLINK("https://twitter.com/AndiSumantri","@AndiSumantri")</f>
        <v>@AndiSumantri</v>
      </c>
      <c r="C7664" t="s">
        <v>177</v>
      </c>
      <c r="D7664">
        <v>485</v>
      </c>
      <c r="E7664">
        <v>0</v>
      </c>
      <c r="F7664">
        <v>1391</v>
      </c>
    </row>
    <row r="7665" spans="1:6" ht="12.75">
      <c r="A7665" s="2">
        <v>43881.833437499998</v>
      </c>
      <c r="B7665" t="str">
        <f>HYPERLINK("https://twitter.com/MarianaIkky","@MarianaIkky")</f>
        <v>@MarianaIkky</v>
      </c>
      <c r="C7665" t="s">
        <v>4868</v>
      </c>
      <c r="D7665">
        <v>6</v>
      </c>
      <c r="E7665">
        <v>0</v>
      </c>
      <c r="F7665">
        <v>85</v>
      </c>
    </row>
    <row r="7666" spans="1:6" ht="12.75">
      <c r="A7666" s="2">
        <v>43881.833391203705</v>
      </c>
      <c r="B7666" t="str">
        <f>HYPERLINK("https://twitter.com/rantivi","@rantivi")</f>
        <v>@rantivi</v>
      </c>
      <c r="C7666" t="s">
        <v>5264</v>
      </c>
      <c r="D7666">
        <v>0</v>
      </c>
      <c r="E7666">
        <v>0</v>
      </c>
      <c r="F7666">
        <v>22</v>
      </c>
    </row>
    <row r="7667" spans="1:6" ht="12.75">
      <c r="A7667" s="2">
        <v>43881.833113425921</v>
      </c>
      <c r="B7667" t="str">
        <f>HYPERLINK("https://twitter.com/ekaekanoo","@ekaekanoo")</f>
        <v>@ekaekanoo</v>
      </c>
      <c r="C7667" t="s">
        <v>177</v>
      </c>
      <c r="D7667">
        <v>485</v>
      </c>
      <c r="E7667">
        <v>0</v>
      </c>
      <c r="F7667">
        <v>1504</v>
      </c>
    </row>
    <row r="7668" spans="1:6" ht="12.75">
      <c r="A7668" s="2">
        <v>43881.833055555559</v>
      </c>
      <c r="B7668" t="str">
        <f>HYPERLINK("https://twitter.com/emilliafeni","@emilliafeni")</f>
        <v>@emilliafeni</v>
      </c>
      <c r="C7668" t="s">
        <v>177</v>
      </c>
      <c r="D7668">
        <v>485</v>
      </c>
      <c r="E7668">
        <v>0</v>
      </c>
      <c r="F7668">
        <v>12</v>
      </c>
    </row>
    <row r="7669" spans="1:6" ht="12.75">
      <c r="A7669" s="2">
        <v>43881.832870370374</v>
      </c>
      <c r="B7669" t="str">
        <f>HYPERLINK("https://twitter.com/Prologika1","@Prologika1")</f>
        <v>@Prologika1</v>
      </c>
      <c r="C7669" t="s">
        <v>177</v>
      </c>
      <c r="D7669">
        <v>485</v>
      </c>
      <c r="E7669">
        <v>0</v>
      </c>
      <c r="F7669">
        <v>1025</v>
      </c>
    </row>
    <row r="7670" spans="1:6" ht="12.75">
      <c r="A7670" s="2">
        <v>43881.83284722222</v>
      </c>
      <c r="B7670" t="str">
        <f>HYPERLINK("https://twitter.com/life_is_exoxo","@life_is_exoxo")</f>
        <v>@life_is_exoxo</v>
      </c>
      <c r="C7670" t="s">
        <v>5265</v>
      </c>
      <c r="D7670">
        <v>0</v>
      </c>
      <c r="E7670">
        <v>0</v>
      </c>
      <c r="F7670">
        <v>41</v>
      </c>
    </row>
    <row r="7671" spans="1:6" ht="12.75">
      <c r="A7671" s="2">
        <v>43881.832824074074</v>
      </c>
      <c r="B7671" t="str">
        <f>HYPERLINK("https://twitter.com/Michael79820241","@Michael79820241")</f>
        <v>@Michael79820241</v>
      </c>
      <c r="C7671" t="s">
        <v>177</v>
      </c>
      <c r="D7671">
        <v>485</v>
      </c>
      <c r="E7671">
        <v>0</v>
      </c>
      <c r="F7671">
        <v>102</v>
      </c>
    </row>
    <row r="7672" spans="1:6" ht="12.75">
      <c r="A7672" s="2">
        <v>43881.832592592589</v>
      </c>
      <c r="B7672" t="str">
        <f>HYPERLINK("https://twitter.com/kkyungielf4723","@kkyungielf4723")</f>
        <v>@kkyungielf4723</v>
      </c>
      <c r="C7672" t="s">
        <v>1407</v>
      </c>
      <c r="D7672">
        <v>9676</v>
      </c>
      <c r="E7672">
        <v>0</v>
      </c>
      <c r="F7672">
        <v>131</v>
      </c>
    </row>
    <row r="7673" spans="1:6" ht="12.75">
      <c r="A7673" s="2">
        <v>43881.832592592589</v>
      </c>
      <c r="B7673" t="str">
        <f>HYPERLINK("https://twitter.com/ONTA47935931","@ONTA47935931")</f>
        <v>@ONTA47935931</v>
      </c>
      <c r="C7673" t="s">
        <v>5266</v>
      </c>
      <c r="D7673">
        <v>0</v>
      </c>
      <c r="E7673">
        <v>0</v>
      </c>
      <c r="F7673">
        <v>5</v>
      </c>
    </row>
    <row r="7674" spans="1:6" ht="12.75">
      <c r="A7674" s="2">
        <v>43881.83258101852</v>
      </c>
      <c r="B7674" t="str">
        <f>HYPERLINK("https://twitter.com/AnggitaManohara","@AnggitaManohara")</f>
        <v>@AnggitaManohara</v>
      </c>
      <c r="C7674" t="s">
        <v>177</v>
      </c>
      <c r="D7674">
        <v>485</v>
      </c>
      <c r="E7674">
        <v>0</v>
      </c>
      <c r="F7674">
        <v>2299</v>
      </c>
    </row>
    <row r="7675" spans="1:6" ht="12.75">
      <c r="A7675" s="2">
        <v>43881.832361111112</v>
      </c>
      <c r="B7675" t="str">
        <f>HYPERLINK("https://twitter.com/HendraLaurensi_","@HendraLaurensi_")</f>
        <v>@HendraLaurensi_</v>
      </c>
      <c r="C7675" t="s">
        <v>177</v>
      </c>
      <c r="D7675">
        <v>485</v>
      </c>
      <c r="E7675">
        <v>0</v>
      </c>
      <c r="F7675">
        <v>2373</v>
      </c>
    </row>
    <row r="7676" spans="1:6" ht="12.75">
      <c r="A7676" s="2">
        <v>43881.832268518519</v>
      </c>
      <c r="B7676" t="str">
        <f>HYPERLINK("https://twitter.com/aperire__","@aperire__")</f>
        <v>@aperire__</v>
      </c>
      <c r="C7676" t="s">
        <v>177</v>
      </c>
      <c r="D7676">
        <v>485</v>
      </c>
      <c r="E7676">
        <v>0</v>
      </c>
      <c r="F7676">
        <v>398</v>
      </c>
    </row>
    <row r="7677" spans="1:6" ht="12.75">
      <c r="A7677" s="2">
        <v>43881.832175925927</v>
      </c>
      <c r="B7677" t="str">
        <f>HYPERLINK("https://twitter.com/bambang_hesti","@bambang_hesti")</f>
        <v>@bambang_hesti</v>
      </c>
      <c r="C7677" t="s">
        <v>5267</v>
      </c>
      <c r="D7677">
        <v>0</v>
      </c>
      <c r="E7677">
        <v>0</v>
      </c>
      <c r="F7677">
        <v>15</v>
      </c>
    </row>
    <row r="7678" spans="1:6" ht="12.75">
      <c r="A7678" s="2">
        <v>43881.832037037035</v>
      </c>
      <c r="B7678" t="str">
        <f>HYPERLINK("https://twitter.com/cagubnyinyir2","@cagubnyinyir2")</f>
        <v>@cagubnyinyir2</v>
      </c>
      <c r="C7678" t="s">
        <v>5268</v>
      </c>
      <c r="D7678">
        <v>2</v>
      </c>
      <c r="E7678">
        <v>1</v>
      </c>
      <c r="F7678">
        <v>4309</v>
      </c>
    </row>
    <row r="7679" spans="1:6" ht="12.75">
      <c r="A7679" s="2">
        <v>43881.831863425927</v>
      </c>
      <c r="B7679" t="str">
        <f>HYPERLINK("https://twitter.com/nafiisaro","@nafiisaro")</f>
        <v>@nafiisaro</v>
      </c>
      <c r="C7679" t="s">
        <v>1407</v>
      </c>
      <c r="D7679">
        <v>9676</v>
      </c>
      <c r="E7679">
        <v>0</v>
      </c>
      <c r="F7679">
        <v>219</v>
      </c>
    </row>
    <row r="7680" spans="1:6" ht="12.75">
      <c r="A7680" s="2">
        <v>43881.831701388888</v>
      </c>
      <c r="B7680" t="str">
        <f t="shared" ref="B7680:B7682" si="142">HYPERLINK("https://twitter.com/BieberAlenta","@BieberAlenta")</f>
        <v>@BieberAlenta</v>
      </c>
      <c r="C7680" t="s">
        <v>2183</v>
      </c>
      <c r="D7680">
        <v>325</v>
      </c>
      <c r="E7680">
        <v>0</v>
      </c>
      <c r="F7680">
        <v>3079</v>
      </c>
    </row>
    <row r="7681" spans="1:6" ht="12.75">
      <c r="A7681" s="2">
        <v>43881.831620370373</v>
      </c>
      <c r="B7681" t="str">
        <f t="shared" si="142"/>
        <v>@BieberAlenta</v>
      </c>
      <c r="C7681" t="s">
        <v>1407</v>
      </c>
      <c r="D7681">
        <v>9676</v>
      </c>
      <c r="E7681">
        <v>0</v>
      </c>
      <c r="F7681">
        <v>3079</v>
      </c>
    </row>
    <row r="7682" spans="1:6" ht="12.75">
      <c r="A7682" s="2">
        <v>43881.831608796296</v>
      </c>
      <c r="B7682" t="str">
        <f t="shared" si="142"/>
        <v>@BieberAlenta</v>
      </c>
      <c r="C7682" t="s">
        <v>2467</v>
      </c>
      <c r="D7682">
        <v>893</v>
      </c>
      <c r="E7682">
        <v>0</v>
      </c>
      <c r="F7682">
        <v>3079</v>
      </c>
    </row>
    <row r="7683" spans="1:6" ht="12.75">
      <c r="A7683" s="2">
        <v>43881.831574074073</v>
      </c>
      <c r="B7683" t="str">
        <f>HYPERLINK("https://twitter.com/capricornbearr","@capricornbearr")</f>
        <v>@capricornbearr</v>
      </c>
      <c r="C7683" t="s">
        <v>5269</v>
      </c>
      <c r="D7683">
        <v>0</v>
      </c>
      <c r="E7683">
        <v>0</v>
      </c>
      <c r="F7683">
        <v>206</v>
      </c>
    </row>
    <row r="7684" spans="1:6" ht="12.75">
      <c r="A7684" s="2">
        <v>43881.831504629634</v>
      </c>
      <c r="B7684" t="str">
        <f>HYPERLINK("https://twitter.com/Rachmahnah","@Rachmahnah")</f>
        <v>@Rachmahnah</v>
      </c>
      <c r="C7684" t="s">
        <v>2141</v>
      </c>
      <c r="D7684">
        <v>81</v>
      </c>
      <c r="E7684">
        <v>0</v>
      </c>
      <c r="F7684">
        <v>382</v>
      </c>
    </row>
    <row r="7685" spans="1:6" ht="12.75">
      <c r="A7685" s="2">
        <v>43881.831458333334</v>
      </c>
      <c r="B7685" t="str">
        <f>HYPERLINK("https://twitter.com/bjhieo","@bjhieo")</f>
        <v>@bjhieo</v>
      </c>
      <c r="C7685" t="s">
        <v>1407</v>
      </c>
      <c r="D7685">
        <v>9676</v>
      </c>
      <c r="E7685">
        <v>0</v>
      </c>
      <c r="F7685">
        <v>199</v>
      </c>
    </row>
    <row r="7686" spans="1:6" ht="12.75">
      <c r="A7686" s="2">
        <v>43881.831365740742</v>
      </c>
      <c r="B7686" t="str">
        <f>HYPERLINK("https://twitter.com/ed_parmadi","@ed_parmadi")</f>
        <v>@ed_parmadi</v>
      </c>
      <c r="C7686" t="s">
        <v>177</v>
      </c>
      <c r="D7686">
        <v>485</v>
      </c>
      <c r="E7686">
        <v>0</v>
      </c>
      <c r="F7686">
        <v>69</v>
      </c>
    </row>
    <row r="7687" spans="1:6" ht="12.75">
      <c r="A7687" s="2">
        <v>43881.830497685187</v>
      </c>
      <c r="B7687" t="str">
        <f>HYPERLINK("https://twitter.com/zer0cl0xk","@zer0cl0xk")</f>
        <v>@zer0cl0xk</v>
      </c>
      <c r="C7687" t="s">
        <v>5270</v>
      </c>
      <c r="D7687">
        <v>0</v>
      </c>
      <c r="E7687">
        <v>0</v>
      </c>
      <c r="F7687">
        <v>633</v>
      </c>
    </row>
    <row r="7688" spans="1:6" ht="12.75">
      <c r="A7688" s="2">
        <v>43881.830300925925</v>
      </c>
      <c r="B7688" t="str">
        <f>HYPERLINK("https://twitter.com/srrst_","@srrst_")</f>
        <v>@srrst_</v>
      </c>
      <c r="C7688" t="s">
        <v>177</v>
      </c>
      <c r="D7688">
        <v>485</v>
      </c>
      <c r="E7688">
        <v>0</v>
      </c>
      <c r="F7688">
        <v>12</v>
      </c>
    </row>
    <row r="7689" spans="1:6" ht="12.75">
      <c r="A7689" s="2">
        <v>43881.829988425925</v>
      </c>
      <c r="B7689" t="str">
        <f>HYPERLINK("https://twitter.com/IDmv04","@IDmv04")</f>
        <v>@IDmv04</v>
      </c>
      <c r="C7689" t="s">
        <v>4975</v>
      </c>
      <c r="D7689">
        <v>206</v>
      </c>
      <c r="E7689">
        <v>0</v>
      </c>
      <c r="F7689">
        <v>19</v>
      </c>
    </row>
    <row r="7690" spans="1:6" ht="12.75">
      <c r="A7690" s="2">
        <v>43881.829895833333</v>
      </c>
      <c r="B7690" t="str">
        <f>HYPERLINK("https://twitter.com/koko_may","@koko_may")</f>
        <v>@koko_may</v>
      </c>
      <c r="C7690" t="s">
        <v>3141</v>
      </c>
      <c r="D7690">
        <v>12</v>
      </c>
      <c r="E7690">
        <v>0</v>
      </c>
      <c r="F7690">
        <v>14</v>
      </c>
    </row>
    <row r="7691" spans="1:6" ht="12.75">
      <c r="A7691" s="2">
        <v>43881.829710648148</v>
      </c>
      <c r="B7691" t="str">
        <f>HYPERLINK("https://twitter.com/Yaharusakuu","@Yaharusakuu")</f>
        <v>@Yaharusakuu</v>
      </c>
      <c r="C7691" t="s">
        <v>5271</v>
      </c>
      <c r="D7691">
        <v>0</v>
      </c>
      <c r="E7691">
        <v>0</v>
      </c>
      <c r="F7691">
        <v>161</v>
      </c>
    </row>
    <row r="7692" spans="1:6" ht="12.75">
      <c r="A7692" s="2">
        <v>43881.829710648148</v>
      </c>
      <c r="B7692" t="str">
        <f>HYPERLINK("https://twitter.com/amandagempita","@amandagempita")</f>
        <v>@amandagempita</v>
      </c>
      <c r="C7692" t="s">
        <v>5217</v>
      </c>
      <c r="D7692">
        <v>4</v>
      </c>
      <c r="E7692">
        <v>0</v>
      </c>
      <c r="F7692">
        <v>6450</v>
      </c>
    </row>
    <row r="7693" spans="1:6" ht="12.75">
      <c r="A7693" s="2">
        <v>43881.829537037032</v>
      </c>
      <c r="B7693" t="str">
        <f>HYPERLINK("https://twitter.com/bopanirfan","@bopanirfan")</f>
        <v>@bopanirfan</v>
      </c>
      <c r="C7693" t="s">
        <v>177</v>
      </c>
      <c r="D7693">
        <v>485</v>
      </c>
      <c r="E7693">
        <v>0</v>
      </c>
      <c r="F7693">
        <v>206</v>
      </c>
    </row>
    <row r="7694" spans="1:6" ht="12.75">
      <c r="A7694" s="2">
        <v>43881.829409722224</v>
      </c>
      <c r="B7694" t="str">
        <f>HYPERLINK("https://twitter.com/kalokamusypa","@kalokamusypa")</f>
        <v>@kalokamusypa</v>
      </c>
      <c r="C7694" t="s">
        <v>5272</v>
      </c>
      <c r="D7694">
        <v>0</v>
      </c>
      <c r="E7694">
        <v>1</v>
      </c>
      <c r="F7694">
        <v>142</v>
      </c>
    </row>
    <row r="7695" spans="1:6" ht="12.75">
      <c r="A7695" s="2">
        <v>43881.829236111109</v>
      </c>
      <c r="B7695" t="str">
        <f>HYPERLINK("https://twitter.com/oneaperture","@oneaperture")</f>
        <v>@oneaperture</v>
      </c>
      <c r="C7695" t="s">
        <v>5273</v>
      </c>
      <c r="D7695">
        <v>2</v>
      </c>
      <c r="E7695">
        <v>0</v>
      </c>
      <c r="F7695">
        <v>1787</v>
      </c>
    </row>
    <row r="7696" spans="1:6" ht="12.75">
      <c r="A7696" s="2">
        <v>43881.828888888893</v>
      </c>
      <c r="B7696" t="str">
        <f>HYPERLINK("https://twitter.com/beatrice_health","@beatrice_health")</f>
        <v>@beatrice_health</v>
      </c>
      <c r="C7696" t="s">
        <v>5273</v>
      </c>
      <c r="D7696">
        <v>2</v>
      </c>
      <c r="E7696">
        <v>0</v>
      </c>
      <c r="F7696">
        <v>226</v>
      </c>
    </row>
    <row r="7697" spans="1:6" ht="12.75">
      <c r="A7697" s="2">
        <v>43881.828877314816</v>
      </c>
      <c r="B7697" t="str">
        <f>HYPERLINK("https://twitter.com/zer0cl0xk","@zer0cl0xk")</f>
        <v>@zer0cl0xk</v>
      </c>
      <c r="C7697" t="s">
        <v>5274</v>
      </c>
      <c r="D7697">
        <v>0</v>
      </c>
      <c r="E7697">
        <v>2</v>
      </c>
      <c r="F7697">
        <v>633</v>
      </c>
    </row>
    <row r="7698" spans="1:6" ht="12.75">
      <c r="A7698" s="2">
        <v>43881.82885416667</v>
      </c>
      <c r="B7698" t="str">
        <f>HYPERLINK("https://twitter.com/tr4velcompass","@tr4velcompass")</f>
        <v>@tr4velcompass</v>
      </c>
      <c r="C7698" t="s">
        <v>5275</v>
      </c>
      <c r="D7698">
        <v>2</v>
      </c>
      <c r="E7698">
        <v>3</v>
      </c>
      <c r="F7698">
        <v>563</v>
      </c>
    </row>
    <row r="7699" spans="1:6" ht="12.75">
      <c r="A7699" s="2">
        <v>43881.828715277778</v>
      </c>
      <c r="B7699" t="str">
        <f>HYPERLINK("https://twitter.com/azeliiin","@azeliiin")</f>
        <v>@azeliiin</v>
      </c>
      <c r="C7699" t="s">
        <v>5276</v>
      </c>
      <c r="D7699">
        <v>0</v>
      </c>
      <c r="E7699">
        <v>7</v>
      </c>
      <c r="F7699">
        <v>516</v>
      </c>
    </row>
    <row r="7700" spans="1:6" ht="12.75">
      <c r="A7700" s="2">
        <v>43881.828321759254</v>
      </c>
      <c r="B7700" t="str">
        <f>HYPERLINK("https://twitter.com/nsawnn","@nsawnn")</f>
        <v>@nsawnn</v>
      </c>
      <c r="C7700" t="s">
        <v>5277</v>
      </c>
      <c r="D7700">
        <v>0</v>
      </c>
      <c r="E7700">
        <v>1</v>
      </c>
      <c r="F7700">
        <v>7</v>
      </c>
    </row>
    <row r="7701" spans="1:6" ht="12.75">
      <c r="A7701" s="2">
        <v>43881.828275462962</v>
      </c>
      <c r="B7701" t="str">
        <f>HYPERLINK("https://twitter.com/GemostP","@GemostP")</f>
        <v>@GemostP</v>
      </c>
      <c r="C7701" t="s">
        <v>5278</v>
      </c>
      <c r="D7701">
        <v>0</v>
      </c>
      <c r="E7701">
        <v>1</v>
      </c>
      <c r="F7701">
        <v>91</v>
      </c>
    </row>
    <row r="7702" spans="1:6" ht="12.75">
      <c r="A7702" s="2">
        <v>43881.827881944446</v>
      </c>
      <c r="B7702" t="str">
        <f>HYPERLINK("https://twitter.com/mfnid","@mfnid")</f>
        <v>@mfnid</v>
      </c>
      <c r="C7702" t="s">
        <v>4623</v>
      </c>
      <c r="D7702">
        <v>3</v>
      </c>
      <c r="E7702">
        <v>0</v>
      </c>
      <c r="F7702">
        <v>935</v>
      </c>
    </row>
    <row r="7703" spans="1:6" ht="12.75">
      <c r="A7703" s="2">
        <v>43881.827800925923</v>
      </c>
      <c r="B7703" t="str">
        <f>HYPERLINK("https://twitter.com/kareshiet","@kareshiet")</f>
        <v>@kareshiet</v>
      </c>
      <c r="C7703" t="s">
        <v>5279</v>
      </c>
      <c r="D7703">
        <v>0</v>
      </c>
      <c r="E7703">
        <v>28</v>
      </c>
      <c r="F7703">
        <v>151</v>
      </c>
    </row>
    <row r="7704" spans="1:6" ht="12.75">
      <c r="A7704" s="2">
        <v>43881.827523148153</v>
      </c>
      <c r="B7704" t="str">
        <f>HYPERLINK("https://twitter.com/Arifudi51901521","@Arifudi51901521")</f>
        <v>@Arifudi51901521</v>
      </c>
      <c r="C7704" t="s">
        <v>177</v>
      </c>
      <c r="D7704">
        <v>485</v>
      </c>
      <c r="E7704">
        <v>0</v>
      </c>
      <c r="F7704">
        <v>0</v>
      </c>
    </row>
    <row r="7705" spans="1:6" ht="12.75">
      <c r="A7705" s="2">
        <v>43881.827106481476</v>
      </c>
      <c r="B7705" t="str">
        <f>HYPERLINK("https://twitter.com/raynalvins","@raynalvins")</f>
        <v>@raynalvins</v>
      </c>
      <c r="C7705" t="s">
        <v>177</v>
      </c>
      <c r="D7705">
        <v>485</v>
      </c>
      <c r="E7705">
        <v>0</v>
      </c>
      <c r="F7705">
        <v>229</v>
      </c>
    </row>
    <row r="7706" spans="1:6" ht="12.75">
      <c r="A7706" s="2">
        <v>43881.827025462961</v>
      </c>
      <c r="B7706" t="str">
        <f>HYPERLINK("https://twitter.com/prokzip","@prokzip")</f>
        <v>@prokzip</v>
      </c>
      <c r="C7706" t="s">
        <v>5280</v>
      </c>
      <c r="D7706">
        <v>0</v>
      </c>
      <c r="E7706">
        <v>0</v>
      </c>
      <c r="F7706">
        <v>66</v>
      </c>
    </row>
    <row r="7707" spans="1:6" ht="12.75">
      <c r="A7707" s="2">
        <v>43881.826689814814</v>
      </c>
      <c r="B7707" t="str">
        <f>HYPERLINK("https://twitter.com/windardnt","@windardnt")</f>
        <v>@windardnt</v>
      </c>
      <c r="C7707" t="s">
        <v>2692</v>
      </c>
      <c r="D7707">
        <v>1989</v>
      </c>
      <c r="E7707">
        <v>0</v>
      </c>
      <c r="F7707">
        <v>322</v>
      </c>
    </row>
    <row r="7708" spans="1:6" ht="12.75">
      <c r="A7708" s="2">
        <v>43881.826388888891</v>
      </c>
      <c r="B7708" t="str">
        <f>HYPERLINK("https://twitter.com/rizkyjournal","@rizkyjournal")</f>
        <v>@rizkyjournal</v>
      </c>
      <c r="C7708" t="s">
        <v>2141</v>
      </c>
      <c r="D7708">
        <v>81</v>
      </c>
      <c r="E7708">
        <v>0</v>
      </c>
      <c r="F7708">
        <v>963</v>
      </c>
    </row>
    <row r="7709" spans="1:6" ht="12.75">
      <c r="A7709" s="2">
        <v>43881.825937500005</v>
      </c>
      <c r="B7709" t="str">
        <f>HYPERLINK("https://twitter.com/Ichaaa_MRz","@Ichaaa_MRz")</f>
        <v>@Ichaaa_MRz</v>
      </c>
      <c r="C7709" t="s">
        <v>1407</v>
      </c>
      <c r="D7709">
        <v>9676</v>
      </c>
      <c r="E7709">
        <v>0</v>
      </c>
      <c r="F7709">
        <v>191</v>
      </c>
    </row>
    <row r="7710" spans="1:6" ht="12.75">
      <c r="A7710" s="2">
        <v>43881.82576388889</v>
      </c>
      <c r="B7710" t="str">
        <f>HYPERLINK("https://twitter.com/Welly43627856","@Welly43627856")</f>
        <v>@Welly43627856</v>
      </c>
      <c r="C7710" t="s">
        <v>177</v>
      </c>
      <c r="D7710">
        <v>485</v>
      </c>
      <c r="E7710">
        <v>0</v>
      </c>
      <c r="F7710">
        <v>1</v>
      </c>
    </row>
    <row r="7711" spans="1:6" ht="12.75">
      <c r="A7711" s="2">
        <v>43881.825671296298</v>
      </c>
      <c r="B7711" t="str">
        <f>HYPERLINK("https://twitter.com/AdeAndrianaa","@AdeAndrianaa")</f>
        <v>@AdeAndrianaa</v>
      </c>
      <c r="C7711" t="s">
        <v>513</v>
      </c>
      <c r="D7711">
        <v>23235</v>
      </c>
      <c r="E7711">
        <v>0</v>
      </c>
      <c r="F7711">
        <v>353</v>
      </c>
    </row>
    <row r="7712" spans="1:6" ht="12.75">
      <c r="A7712" s="2">
        <v>43881.825023148151</v>
      </c>
      <c r="B7712" t="str">
        <f>HYPERLINK("https://twitter.com/haro_arnold","@haro_arnold")</f>
        <v>@haro_arnold</v>
      </c>
      <c r="C7712" t="s">
        <v>177</v>
      </c>
      <c r="D7712">
        <v>485</v>
      </c>
      <c r="E7712">
        <v>0</v>
      </c>
      <c r="F7712">
        <v>4562</v>
      </c>
    </row>
    <row r="7713" spans="1:6" ht="12.75">
      <c r="A7713" s="2">
        <v>43881.824930555551</v>
      </c>
      <c r="B7713" t="str">
        <f>HYPERLINK("https://twitter.com/Bhuz11","@Bhuz11")</f>
        <v>@Bhuz11</v>
      </c>
      <c r="C7713" t="s">
        <v>4975</v>
      </c>
      <c r="D7713">
        <v>206</v>
      </c>
      <c r="E7713">
        <v>0</v>
      </c>
      <c r="F7713">
        <v>167</v>
      </c>
    </row>
    <row r="7714" spans="1:6" ht="12.75">
      <c r="A7714" s="2">
        <v>43881.824861111112</v>
      </c>
      <c r="B7714" t="str">
        <f>HYPERLINK("https://twitter.com/XD72730519","@XD72730519")</f>
        <v>@XD72730519</v>
      </c>
      <c r="C7714" t="s">
        <v>177</v>
      </c>
      <c r="D7714">
        <v>485</v>
      </c>
      <c r="E7714">
        <v>0</v>
      </c>
      <c r="F7714">
        <v>2</v>
      </c>
    </row>
    <row r="7715" spans="1:6" ht="12.75">
      <c r="A7715" s="2">
        <v>43881.824803240743</v>
      </c>
      <c r="B7715" t="str">
        <f>HYPERLINK("https://twitter.com/dzulkarnains","@dzulkarnains")</f>
        <v>@dzulkarnains</v>
      </c>
      <c r="C7715" t="s">
        <v>177</v>
      </c>
      <c r="D7715">
        <v>485</v>
      </c>
      <c r="E7715">
        <v>0</v>
      </c>
      <c r="F7715">
        <v>875</v>
      </c>
    </row>
    <row r="7716" spans="1:6" ht="12.75">
      <c r="A7716" s="2">
        <v>43881.824733796297</v>
      </c>
      <c r="B7716" t="str">
        <f>HYPERLINK("https://twitter.com/windardnt","@windardnt")</f>
        <v>@windardnt</v>
      </c>
      <c r="C7716" t="s">
        <v>1407</v>
      </c>
      <c r="D7716">
        <v>9676</v>
      </c>
      <c r="E7716">
        <v>0</v>
      </c>
      <c r="F7716">
        <v>322</v>
      </c>
    </row>
    <row r="7717" spans="1:6" ht="12.75">
      <c r="A7717" s="2">
        <v>43881.824236111112</v>
      </c>
      <c r="B7717" t="str">
        <f>HYPERLINK("https://twitter.com/LlghtbuIb","@LlghtbuIb")</f>
        <v>@LlghtbuIb</v>
      </c>
      <c r="C7717" t="s">
        <v>2692</v>
      </c>
      <c r="D7717">
        <v>1989</v>
      </c>
      <c r="E7717">
        <v>0</v>
      </c>
      <c r="F7717">
        <v>76</v>
      </c>
    </row>
    <row r="7718" spans="1:6" ht="12.75">
      <c r="A7718" s="2">
        <v>43881.823599537034</v>
      </c>
      <c r="B7718" t="str">
        <f>HYPERLINK("https://twitter.com/ragil_sby","@ragil_sby")</f>
        <v>@ragil_sby</v>
      </c>
      <c r="C7718" t="s">
        <v>2141</v>
      </c>
      <c r="D7718">
        <v>81</v>
      </c>
      <c r="E7718">
        <v>0</v>
      </c>
      <c r="F7718">
        <v>111</v>
      </c>
    </row>
    <row r="7719" spans="1:6" ht="12.75">
      <c r="A7719" s="2">
        <v>43881.823148148149</v>
      </c>
      <c r="B7719" t="str">
        <f>HYPERLINK("https://twitter.com/LC01L","@LC01L")</f>
        <v>@LC01L</v>
      </c>
      <c r="C7719" t="s">
        <v>4868</v>
      </c>
      <c r="D7719">
        <v>6</v>
      </c>
      <c r="E7719">
        <v>0</v>
      </c>
      <c r="F7719">
        <v>229</v>
      </c>
    </row>
    <row r="7720" spans="1:6" ht="12.75">
      <c r="A7720" s="2">
        <v>43881.822708333333</v>
      </c>
      <c r="B7720" t="str">
        <f>HYPERLINK("https://twitter.com/FarhanF83325726","@FarhanF83325726")</f>
        <v>@FarhanF83325726</v>
      </c>
      <c r="C7720" t="s">
        <v>5281</v>
      </c>
      <c r="D7720">
        <v>2</v>
      </c>
      <c r="E7720">
        <v>0</v>
      </c>
      <c r="F7720">
        <v>10</v>
      </c>
    </row>
    <row r="7721" spans="1:6" ht="12.75">
      <c r="A7721" s="2">
        <v>43881.822488425925</v>
      </c>
      <c r="B7721" t="str">
        <f>HYPERLINK("https://twitter.com/Raymond07753415","@Raymond07753415")</f>
        <v>@Raymond07753415</v>
      </c>
      <c r="C7721" t="s">
        <v>2141</v>
      </c>
      <c r="D7721">
        <v>81</v>
      </c>
      <c r="E7721">
        <v>0</v>
      </c>
      <c r="F7721">
        <v>3</v>
      </c>
    </row>
    <row r="7722" spans="1:6" ht="12.75">
      <c r="A7722" s="2">
        <v>43881.822488425925</v>
      </c>
      <c r="B7722" t="str">
        <f>HYPERLINK("https://twitter.com/afifabdulloh","@afifabdulloh")</f>
        <v>@afifabdulloh</v>
      </c>
      <c r="C7722" t="s">
        <v>177</v>
      </c>
      <c r="D7722">
        <v>485</v>
      </c>
      <c r="E7722">
        <v>0</v>
      </c>
      <c r="F7722">
        <v>192</v>
      </c>
    </row>
    <row r="7723" spans="1:6" ht="12.75">
      <c r="A7723" s="2">
        <v>43881.822476851856</v>
      </c>
      <c r="B7723" t="str">
        <f>HYPERLINK("https://twitter.com/angelmaximilan","@angelmaximilan")</f>
        <v>@angelmaximilan</v>
      </c>
      <c r="C7723" t="s">
        <v>4868</v>
      </c>
      <c r="D7723">
        <v>6</v>
      </c>
      <c r="E7723">
        <v>0</v>
      </c>
      <c r="F7723">
        <v>6259</v>
      </c>
    </row>
    <row r="7724" spans="1:6" ht="12.75">
      <c r="A7724" s="2">
        <v>43881.822256944448</v>
      </c>
      <c r="B7724" t="str">
        <f>HYPERLINK("https://twitter.com/younchoseung","@younchoseung")</f>
        <v>@younchoseung</v>
      </c>
      <c r="C7724" t="s">
        <v>1407</v>
      </c>
      <c r="D7724">
        <v>9676</v>
      </c>
      <c r="E7724">
        <v>0</v>
      </c>
      <c r="F7724">
        <v>1047</v>
      </c>
    </row>
    <row r="7725" spans="1:6" ht="12.75">
      <c r="A7725" s="2">
        <v>43881.822187500002</v>
      </c>
      <c r="B7725" t="str">
        <f>HYPERLINK("https://twitter.com/kipyiksamgong","@kipyiksamgong")</f>
        <v>@kipyiksamgong</v>
      </c>
      <c r="C7725" t="s">
        <v>4360</v>
      </c>
      <c r="D7725">
        <v>176</v>
      </c>
      <c r="E7725">
        <v>0</v>
      </c>
      <c r="F7725">
        <v>1504</v>
      </c>
    </row>
    <row r="7726" spans="1:6" ht="12.75">
      <c r="A7726" s="2">
        <v>43881.822048611109</v>
      </c>
      <c r="B7726" t="str">
        <f>HYPERLINK("https://twitter.com/angelmaximilan","@angelmaximilan")</f>
        <v>@angelmaximilan</v>
      </c>
      <c r="C7726" t="s">
        <v>5217</v>
      </c>
      <c r="D7726">
        <v>4</v>
      </c>
      <c r="E7726">
        <v>0</v>
      </c>
      <c r="F7726">
        <v>6259</v>
      </c>
    </row>
    <row r="7727" spans="1:6" ht="12.75">
      <c r="A7727" s="2">
        <v>43881.82166666667</v>
      </c>
      <c r="B7727" t="str">
        <f>HYPERLINK("https://twitter.com/urnextboyf","@urnextboyf")</f>
        <v>@urnextboyf</v>
      </c>
      <c r="C7727" t="s">
        <v>5282</v>
      </c>
      <c r="D7727">
        <v>0</v>
      </c>
      <c r="E7727">
        <v>0</v>
      </c>
      <c r="F7727">
        <v>1122</v>
      </c>
    </row>
    <row r="7728" spans="1:6" ht="12.75">
      <c r="A7728" s="2">
        <v>43881.820879629631</v>
      </c>
      <c r="B7728" t="str">
        <f>HYPERLINK("https://twitter.com/veraagustian_","@veraagustian_")</f>
        <v>@veraagustian_</v>
      </c>
      <c r="C7728" t="s">
        <v>4868</v>
      </c>
      <c r="D7728">
        <v>6</v>
      </c>
      <c r="E7728">
        <v>0</v>
      </c>
      <c r="F7728">
        <v>2951</v>
      </c>
    </row>
    <row r="7729" spans="1:6" ht="12.75">
      <c r="A7729" s="2">
        <v>43881.820729166662</v>
      </c>
      <c r="B7729" t="str">
        <f>HYPERLINK("https://twitter.com/acarakotabatu","@acarakotabatu")</f>
        <v>@acarakotabatu</v>
      </c>
      <c r="C7729" t="s">
        <v>177</v>
      </c>
      <c r="D7729">
        <v>485</v>
      </c>
      <c r="E7729">
        <v>0</v>
      </c>
      <c r="F7729">
        <v>30</v>
      </c>
    </row>
    <row r="7730" spans="1:6" ht="12.75">
      <c r="A7730" s="2">
        <v>43881.820208333331</v>
      </c>
      <c r="B7730" t="str">
        <f>HYPERLINK("https://twitter.com/UNS752","@UNS752")</f>
        <v>@UNS752</v>
      </c>
      <c r="C7730" t="s">
        <v>4994</v>
      </c>
      <c r="D7730">
        <v>27</v>
      </c>
      <c r="E7730">
        <v>0</v>
      </c>
      <c r="F7730">
        <v>1104</v>
      </c>
    </row>
    <row r="7731" spans="1:6" ht="12.75">
      <c r="A7731" s="2">
        <v>43881.820115740746</v>
      </c>
      <c r="B7731" t="str">
        <f>HYPERLINK("https://twitter.com/ishaksp123","@ishaksp123")</f>
        <v>@ishaksp123</v>
      </c>
      <c r="C7731" t="s">
        <v>177</v>
      </c>
      <c r="D7731">
        <v>485</v>
      </c>
      <c r="E7731">
        <v>0</v>
      </c>
      <c r="F7731">
        <v>4409</v>
      </c>
    </row>
    <row r="7732" spans="1:6" ht="12.75">
      <c r="A7732" s="2">
        <v>43881.820092592592</v>
      </c>
      <c r="B7732" t="str">
        <f>HYPERLINK("https://twitter.com/aswagmda","@aswagmda")</f>
        <v>@aswagmda</v>
      </c>
      <c r="C7732" t="s">
        <v>177</v>
      </c>
      <c r="D7732">
        <v>485</v>
      </c>
      <c r="E7732">
        <v>0</v>
      </c>
      <c r="F7732">
        <v>192</v>
      </c>
    </row>
    <row r="7733" spans="1:6" ht="12.75">
      <c r="A7733" s="2">
        <v>43881.819548611107</v>
      </c>
      <c r="B7733" t="str">
        <f>HYPERLINK("https://twitter.com/idlc_id","@idlc_id")</f>
        <v>@idlc_id</v>
      </c>
      <c r="C7733" t="s">
        <v>5283</v>
      </c>
      <c r="D7733">
        <v>0</v>
      </c>
      <c r="E7733">
        <v>0</v>
      </c>
      <c r="F7733">
        <v>2033</v>
      </c>
    </row>
    <row r="7734" spans="1:6" ht="12.75">
      <c r="A7734" s="2">
        <v>43881.819328703699</v>
      </c>
      <c r="B7734" t="str">
        <f>HYPERLINK("https://twitter.com/arinjls","@arinjls")</f>
        <v>@arinjls</v>
      </c>
      <c r="C7734" t="s">
        <v>2141</v>
      </c>
      <c r="D7734">
        <v>81</v>
      </c>
      <c r="E7734">
        <v>0</v>
      </c>
      <c r="F7734">
        <v>46</v>
      </c>
    </row>
    <row r="7735" spans="1:6" ht="12.75">
      <c r="A7735" s="2">
        <v>43881.819143518514</v>
      </c>
      <c r="B7735" t="str">
        <f>HYPERLINK("https://twitter.com/zahiidm","@zahiidm")</f>
        <v>@zahiidm</v>
      </c>
      <c r="C7735" t="s">
        <v>2141</v>
      </c>
      <c r="D7735">
        <v>81</v>
      </c>
      <c r="E7735">
        <v>0</v>
      </c>
      <c r="F7735">
        <v>3192</v>
      </c>
    </row>
    <row r="7736" spans="1:6" ht="12.75">
      <c r="A7736" s="2">
        <v>43881.819004629629</v>
      </c>
      <c r="B7736" t="str">
        <f>HYPERLINK("https://twitter.com/Indomicoto","@Indomicoto")</f>
        <v>@Indomicoto</v>
      </c>
      <c r="C7736" t="s">
        <v>177</v>
      </c>
      <c r="D7736">
        <v>485</v>
      </c>
      <c r="E7736">
        <v>0</v>
      </c>
      <c r="F7736">
        <v>18</v>
      </c>
    </row>
    <row r="7737" spans="1:6" ht="12.75">
      <c r="A7737" s="2">
        <v>43881.818831018521</v>
      </c>
      <c r="B7737" t="str">
        <f>HYPERLINK("https://twitter.com/tuwik71","@tuwik71")</f>
        <v>@tuwik71</v>
      </c>
      <c r="C7737" t="s">
        <v>4868</v>
      </c>
      <c r="D7737">
        <v>6</v>
      </c>
      <c r="E7737">
        <v>0</v>
      </c>
      <c r="F7737">
        <v>4705</v>
      </c>
    </row>
    <row r="7738" spans="1:6" ht="12.75">
      <c r="A7738" s="2">
        <v>43881.818530092598</v>
      </c>
      <c r="B7738" t="str">
        <f>HYPERLINK("https://twitter.com/becak125cc","@becak125cc")</f>
        <v>@becak125cc</v>
      </c>
      <c r="C7738" t="s">
        <v>5139</v>
      </c>
      <c r="D7738">
        <v>30</v>
      </c>
      <c r="E7738">
        <v>0</v>
      </c>
      <c r="F7738">
        <v>500</v>
      </c>
    </row>
    <row r="7739" spans="1:6" ht="12.75">
      <c r="A7739" s="2">
        <v>43881.818449074075</v>
      </c>
      <c r="B7739" t="str">
        <f>HYPERLINK("https://twitter.com/liautm_","@liautm_")</f>
        <v>@liautm_</v>
      </c>
      <c r="C7739" t="s">
        <v>2692</v>
      </c>
      <c r="D7739">
        <v>1989</v>
      </c>
      <c r="E7739">
        <v>0</v>
      </c>
      <c r="F7739">
        <v>588</v>
      </c>
    </row>
    <row r="7740" spans="1:6" ht="12.75">
      <c r="A7740" s="2">
        <v>43881.81753472222</v>
      </c>
      <c r="B7740" t="str">
        <f>HYPERLINK("https://twitter.com/JusDURIANs","@JusDURIANs")</f>
        <v>@JusDURIANs</v>
      </c>
      <c r="C7740" t="s">
        <v>5284</v>
      </c>
      <c r="D7740">
        <v>0</v>
      </c>
      <c r="E7740">
        <v>0</v>
      </c>
      <c r="F7740">
        <v>46</v>
      </c>
    </row>
    <row r="7741" spans="1:6" ht="12.75">
      <c r="A7741" s="2">
        <v>43881.817060185189</v>
      </c>
      <c r="B7741" t="str">
        <f>HYPERLINK("https://twitter.com/beranikayaraya","@beranikayaraya")</f>
        <v>@beranikayaraya</v>
      </c>
      <c r="C7741" t="s">
        <v>177</v>
      </c>
      <c r="D7741">
        <v>485</v>
      </c>
      <c r="E7741">
        <v>0</v>
      </c>
      <c r="F7741">
        <v>1524</v>
      </c>
    </row>
    <row r="7742" spans="1:6" ht="12.75">
      <c r="A7742" s="2">
        <v>43881.816805555558</v>
      </c>
      <c r="B7742" t="str">
        <f>HYPERLINK("https://twitter.com/mhmmdwlnr","@mhmmdwlnr")</f>
        <v>@mhmmdwlnr</v>
      </c>
      <c r="C7742" t="s">
        <v>2141</v>
      </c>
      <c r="D7742">
        <v>81</v>
      </c>
      <c r="E7742">
        <v>0</v>
      </c>
      <c r="F7742">
        <v>181</v>
      </c>
    </row>
    <row r="7743" spans="1:6" ht="12.75">
      <c r="A7743" s="2">
        <v>43881.816342592589</v>
      </c>
      <c r="B7743" t="str">
        <f>HYPERLINK("https://twitter.com/syhrl0998","@syhrl0998")</f>
        <v>@syhrl0998</v>
      </c>
      <c r="C7743" t="s">
        <v>177</v>
      </c>
      <c r="D7743">
        <v>485</v>
      </c>
      <c r="E7743">
        <v>0</v>
      </c>
      <c r="F7743">
        <v>3</v>
      </c>
    </row>
    <row r="7744" spans="1:6" ht="12.75">
      <c r="A7744" s="2">
        <v>43881.816331018519</v>
      </c>
      <c r="B7744" t="str">
        <f>HYPERLINK("https://twitter.com/frikarashi","@frikarashi")</f>
        <v>@frikarashi</v>
      </c>
      <c r="C7744" t="s">
        <v>5285</v>
      </c>
      <c r="D7744">
        <v>2</v>
      </c>
      <c r="E7744">
        <v>0</v>
      </c>
      <c r="F7744">
        <v>218</v>
      </c>
    </row>
    <row r="7745" spans="1:6" ht="12.75">
      <c r="A7745" s="2">
        <v>43881.81621527778</v>
      </c>
      <c r="B7745" t="str">
        <f>HYPERLINK("https://twitter.com/KorGwen","@KorGwen")</f>
        <v>@KorGwen</v>
      </c>
      <c r="C7745" t="s">
        <v>177</v>
      </c>
      <c r="D7745">
        <v>485</v>
      </c>
      <c r="E7745">
        <v>0</v>
      </c>
      <c r="F7745">
        <v>194</v>
      </c>
    </row>
    <row r="7746" spans="1:6" ht="12.75">
      <c r="A7746" s="2">
        <v>43881.816134259258</v>
      </c>
      <c r="B7746" t="str">
        <f>HYPERLINK("https://twitter.com/AlberaD5","@AlberaD5")</f>
        <v>@AlberaD5</v>
      </c>
      <c r="C7746" t="s">
        <v>4868</v>
      </c>
      <c r="D7746">
        <v>6</v>
      </c>
      <c r="E7746">
        <v>0</v>
      </c>
      <c r="F7746">
        <v>1658</v>
      </c>
    </row>
    <row r="7747" spans="1:6" ht="12.75">
      <c r="A7747" s="2">
        <v>43881.816041666665</v>
      </c>
      <c r="B7747" t="str">
        <f>HYPERLINK("https://twitter.com/lizazaend_12","@lizazaend_12")</f>
        <v>@lizazaend_12</v>
      </c>
      <c r="C7747" t="s">
        <v>5086</v>
      </c>
      <c r="D7747">
        <v>10</v>
      </c>
      <c r="E7747">
        <v>0</v>
      </c>
      <c r="F7747">
        <v>22</v>
      </c>
    </row>
    <row r="7748" spans="1:6" ht="12.75">
      <c r="A7748" s="2">
        <v>43881.815740740742</v>
      </c>
      <c r="B7748" t="str">
        <f>HYPERLINK("https://twitter.com/itsninisss","@itsninisss")</f>
        <v>@itsninisss</v>
      </c>
      <c r="C7748" t="s">
        <v>177</v>
      </c>
      <c r="D7748">
        <v>485</v>
      </c>
      <c r="E7748">
        <v>0</v>
      </c>
      <c r="F7748">
        <v>81</v>
      </c>
    </row>
    <row r="7749" spans="1:6" ht="12.75">
      <c r="A7749" s="2">
        <v>43881.81559027778</v>
      </c>
      <c r="B7749" t="str">
        <f>HYPERLINK("https://twitter.com/Tri______3","@Tri______3")</f>
        <v>@Tri______3</v>
      </c>
      <c r="C7749" t="s">
        <v>513</v>
      </c>
      <c r="D7749">
        <v>23235</v>
      </c>
      <c r="E7749">
        <v>0</v>
      </c>
      <c r="F7749">
        <v>10</v>
      </c>
    </row>
    <row r="7750" spans="1:6" ht="12.75">
      <c r="A7750" s="2">
        <v>43881.814988425926</v>
      </c>
      <c r="B7750" t="str">
        <f>HYPERLINK("https://twitter.com/davidridwanbetz","@davidridwanbetz")</f>
        <v>@davidridwanbetz</v>
      </c>
      <c r="C7750" t="s">
        <v>5286</v>
      </c>
      <c r="D7750">
        <v>0</v>
      </c>
      <c r="E7750">
        <v>0</v>
      </c>
      <c r="F7750">
        <v>12571</v>
      </c>
    </row>
    <row r="7751" spans="1:6" ht="12.75">
      <c r="A7751" s="2">
        <v>43881.814525462964</v>
      </c>
      <c r="B7751" t="str">
        <f>HYPERLINK("https://twitter.com/Nandagustiann","@Nandagustiann")</f>
        <v>@Nandagustiann</v>
      </c>
      <c r="C7751" t="s">
        <v>5217</v>
      </c>
      <c r="D7751">
        <v>4</v>
      </c>
      <c r="E7751">
        <v>0</v>
      </c>
      <c r="F7751">
        <v>82</v>
      </c>
    </row>
    <row r="7752" spans="1:6" ht="12.75">
      <c r="A7752" s="2">
        <v>43881.81449074074</v>
      </c>
      <c r="B7752" t="str">
        <f>HYPERLINK("https://twitter.com/HenkMizell","@HenkMizell")</f>
        <v>@HenkMizell</v>
      </c>
      <c r="C7752" t="s">
        <v>5287</v>
      </c>
      <c r="D7752">
        <v>0</v>
      </c>
      <c r="E7752">
        <v>0</v>
      </c>
      <c r="F7752">
        <v>20</v>
      </c>
    </row>
    <row r="7753" spans="1:6" ht="12.75">
      <c r="A7753" s="2">
        <v>43881.814432870371</v>
      </c>
      <c r="B7753" t="str">
        <f>HYPERLINK("https://twitter.com/slmrts","@slmrts")</f>
        <v>@slmrts</v>
      </c>
      <c r="C7753" t="s">
        <v>2126</v>
      </c>
      <c r="D7753">
        <v>2813</v>
      </c>
      <c r="E7753">
        <v>0</v>
      </c>
      <c r="F7753">
        <v>149</v>
      </c>
    </row>
    <row r="7754" spans="1:6" ht="12.75">
      <c r="A7754" s="2">
        <v>43881.814386574071</v>
      </c>
      <c r="B7754" t="str">
        <f>HYPERLINK("https://twitter.com/Jinrin18","@Jinrin18")</f>
        <v>@Jinrin18</v>
      </c>
      <c r="C7754" t="s">
        <v>177</v>
      </c>
      <c r="D7754">
        <v>485</v>
      </c>
      <c r="E7754">
        <v>0</v>
      </c>
      <c r="F7754">
        <v>32</v>
      </c>
    </row>
    <row r="7755" spans="1:6" ht="12.75">
      <c r="A7755" s="2">
        <v>43881.814143518517</v>
      </c>
      <c r="B7755" t="str">
        <f>HYPERLINK("https://twitter.com/salehdaulay","@salehdaulay")</f>
        <v>@salehdaulay</v>
      </c>
      <c r="C7755" t="s">
        <v>5288</v>
      </c>
      <c r="D7755">
        <v>0</v>
      </c>
      <c r="E7755">
        <v>0</v>
      </c>
      <c r="F7755">
        <v>4015</v>
      </c>
    </row>
    <row r="7756" spans="1:6" ht="12.75">
      <c r="A7756" s="2">
        <v>43881.813773148147</v>
      </c>
      <c r="B7756" t="str">
        <f>HYPERLINK("https://twitter.com/sirajapadoha","@sirajapadoha")</f>
        <v>@sirajapadoha</v>
      </c>
      <c r="C7756" t="s">
        <v>5289</v>
      </c>
      <c r="D7756">
        <v>6</v>
      </c>
      <c r="E7756">
        <v>4</v>
      </c>
      <c r="F7756">
        <v>2436</v>
      </c>
    </row>
    <row r="7757" spans="1:6" ht="12.75">
      <c r="A7757" s="2">
        <v>43881.813715277778</v>
      </c>
      <c r="B7757" t="str">
        <f>HYPERLINK("https://twitter.com/isis_verissimo","@isis_verissimo")</f>
        <v>@isis_verissimo</v>
      </c>
      <c r="C7757" t="s">
        <v>5290</v>
      </c>
      <c r="D7757">
        <v>0</v>
      </c>
      <c r="E7757">
        <v>1</v>
      </c>
      <c r="F7757">
        <v>165</v>
      </c>
    </row>
    <row r="7758" spans="1:6" ht="12.75">
      <c r="A7758" s="2">
        <v>43881.813125000001</v>
      </c>
      <c r="B7758" t="str">
        <f>HYPERLINK("https://twitter.com/anto244342","@anto244342")</f>
        <v>@anto244342</v>
      </c>
      <c r="C7758" t="s">
        <v>4994</v>
      </c>
      <c r="D7758">
        <v>27</v>
      </c>
      <c r="E7758">
        <v>0</v>
      </c>
      <c r="F7758">
        <v>355</v>
      </c>
    </row>
    <row r="7759" spans="1:6" ht="12.75">
      <c r="A7759" s="2">
        <v>43881.812905092593</v>
      </c>
      <c r="B7759" t="str">
        <f>HYPERLINK("https://twitter.com/kum4n__","@kum4n__")</f>
        <v>@kum4n__</v>
      </c>
      <c r="C7759" t="s">
        <v>5291</v>
      </c>
      <c r="D7759">
        <v>0</v>
      </c>
      <c r="E7759">
        <v>0</v>
      </c>
      <c r="F7759">
        <v>2835</v>
      </c>
    </row>
    <row r="7760" spans="1:6" ht="12.75">
      <c r="A7760" s="2">
        <v>43881.8121412037</v>
      </c>
      <c r="B7760" t="str">
        <f>HYPERLINK("https://twitter.com/Salim_Semm","@Salim_Semm")</f>
        <v>@Salim_Semm</v>
      </c>
      <c r="C7760" t="s">
        <v>5201</v>
      </c>
      <c r="D7760">
        <v>1</v>
      </c>
      <c r="E7760">
        <v>0</v>
      </c>
      <c r="F7760">
        <v>2113</v>
      </c>
    </row>
    <row r="7761" spans="1:6" ht="12.75">
      <c r="A7761" s="2">
        <v>43881.793078703704</v>
      </c>
      <c r="B7761" t="str">
        <f>HYPERLINK("https://twitter.com/RembongSudakir","@RembongSudakir")</f>
        <v>@RembongSudakir</v>
      </c>
      <c r="C7761" t="s">
        <v>2141</v>
      </c>
      <c r="D7761">
        <v>65</v>
      </c>
      <c r="E7761">
        <v>0</v>
      </c>
      <c r="F7761">
        <v>24</v>
      </c>
    </row>
    <row r="7762" spans="1:6" ht="12.75">
      <c r="A7762" s="2">
        <v>43881.793020833335</v>
      </c>
      <c r="B7762" t="str">
        <f>HYPERLINK("https://twitter.com/zelnazel","@zelnazel")</f>
        <v>@zelnazel</v>
      </c>
      <c r="C7762" t="s">
        <v>177</v>
      </c>
      <c r="D7762">
        <v>427</v>
      </c>
      <c r="E7762">
        <v>0</v>
      </c>
      <c r="F7762">
        <v>1217</v>
      </c>
    </row>
    <row r="7763" spans="1:6" ht="12.75">
      <c r="A7763" s="2">
        <v>43881.792951388888</v>
      </c>
      <c r="B7763" t="str">
        <f>HYPERLINK("https://twitter.com/Dampm__","@Dampm__")</f>
        <v>@Dampm__</v>
      </c>
      <c r="C7763" t="s">
        <v>177</v>
      </c>
      <c r="D7763">
        <v>427</v>
      </c>
      <c r="E7763">
        <v>0</v>
      </c>
      <c r="F7763">
        <v>21</v>
      </c>
    </row>
    <row r="7764" spans="1:6" ht="12.75">
      <c r="A7764" s="2">
        <v>43881.792511574073</v>
      </c>
      <c r="B7764" t="str">
        <f>HYPERLINK("https://twitter.com/YYahsyalloh","@YYahsyalloh")</f>
        <v>@YYahsyalloh</v>
      </c>
      <c r="C7764" t="s">
        <v>5292</v>
      </c>
      <c r="D7764">
        <v>0</v>
      </c>
      <c r="E7764">
        <v>0</v>
      </c>
      <c r="F7764">
        <v>1284</v>
      </c>
    </row>
    <row r="7765" spans="1:6" ht="12.75">
      <c r="A7765" s="2">
        <v>43881.791886574079</v>
      </c>
      <c r="B7765" t="str">
        <f>HYPERLINK("https://twitter.com/yosgabe4","@yosgabe4")</f>
        <v>@yosgabe4</v>
      </c>
      <c r="C7765" t="s">
        <v>5293</v>
      </c>
      <c r="D7765">
        <v>0</v>
      </c>
      <c r="E7765">
        <v>0</v>
      </c>
      <c r="F7765">
        <v>1423</v>
      </c>
    </row>
    <row r="7766" spans="1:6" ht="12.75">
      <c r="A7766" s="2">
        <v>43881.791712962964</v>
      </c>
      <c r="B7766" t="str">
        <f>HYPERLINK("https://twitter.com/SayHeiYu","@SayHeiYu")</f>
        <v>@SayHeiYu</v>
      </c>
      <c r="C7766" t="s">
        <v>4913</v>
      </c>
      <c r="D7766">
        <v>0</v>
      </c>
      <c r="E7766">
        <v>0</v>
      </c>
      <c r="F7766">
        <v>120156</v>
      </c>
    </row>
    <row r="7767" spans="1:6" ht="12.75">
      <c r="A7767" s="2">
        <v>43881.791666666672</v>
      </c>
      <c r="B7767" t="str">
        <f>HYPERLINK("https://twitter.com/SeputariNews","@SeputariNews")</f>
        <v>@SeputariNews</v>
      </c>
      <c r="C7767" t="s">
        <v>5294</v>
      </c>
      <c r="D7767">
        <v>0</v>
      </c>
      <c r="E7767">
        <v>0</v>
      </c>
      <c r="F7767">
        <v>438663</v>
      </c>
    </row>
    <row r="7768" spans="1:6" ht="12.75">
      <c r="A7768" s="2">
        <v>43881.791458333333</v>
      </c>
      <c r="B7768" t="str">
        <f>HYPERLINK("https://twitter.com/bkuntjoro","@bkuntjoro")</f>
        <v>@bkuntjoro</v>
      </c>
      <c r="C7768" t="s">
        <v>4360</v>
      </c>
      <c r="D7768">
        <v>172</v>
      </c>
      <c r="E7768">
        <v>0</v>
      </c>
      <c r="F7768">
        <v>487</v>
      </c>
    </row>
    <row r="7769" spans="1:6" ht="12.75">
      <c r="A7769" s="2">
        <v>43881.791388888887</v>
      </c>
      <c r="B7769" t="str">
        <f>HYPERLINK("https://twitter.com/buana_himbar","@buana_himbar")</f>
        <v>@buana_himbar</v>
      </c>
      <c r="C7769" t="s">
        <v>2141</v>
      </c>
      <c r="D7769">
        <v>65</v>
      </c>
      <c r="E7769">
        <v>0</v>
      </c>
      <c r="F7769">
        <v>104</v>
      </c>
    </row>
    <row r="7770" spans="1:6" ht="12.75">
      <c r="A7770" s="2">
        <v>43881.791296296295</v>
      </c>
      <c r="B7770" t="str">
        <f>HYPERLINK("https://twitter.com/Geminiigirl_","@Geminiigirl_")</f>
        <v>@Geminiigirl_</v>
      </c>
      <c r="C7770" t="s">
        <v>177</v>
      </c>
      <c r="D7770">
        <v>427</v>
      </c>
      <c r="E7770">
        <v>0</v>
      </c>
      <c r="F7770">
        <v>1</v>
      </c>
    </row>
    <row r="7771" spans="1:6" ht="12.75">
      <c r="A7771" s="2">
        <v>43881.79074074074</v>
      </c>
      <c r="B7771" t="str">
        <f>HYPERLINK("https://twitter.com/dhe_enoily","@dhe_enoily")</f>
        <v>@dhe_enoily</v>
      </c>
      <c r="C7771" t="s">
        <v>177</v>
      </c>
      <c r="D7771">
        <v>427</v>
      </c>
      <c r="E7771">
        <v>0</v>
      </c>
      <c r="F7771">
        <v>2646</v>
      </c>
    </row>
    <row r="7772" spans="1:6" ht="12.75">
      <c r="A7772" s="2">
        <v>43881.790682870371</v>
      </c>
      <c r="B7772" t="str">
        <f>HYPERLINK("https://twitter.com/Hana_min02","@Hana_min02")</f>
        <v>@Hana_min02</v>
      </c>
      <c r="C7772" t="s">
        <v>177</v>
      </c>
      <c r="D7772">
        <v>427</v>
      </c>
      <c r="E7772">
        <v>0</v>
      </c>
      <c r="F7772">
        <v>18</v>
      </c>
    </row>
    <row r="7773" spans="1:6" ht="12.75">
      <c r="A7773" s="2">
        <v>43881.790648148148</v>
      </c>
      <c r="B7773" t="str">
        <f>HYPERLINK("https://twitter.com/kompascom","@kompascom")</f>
        <v>@kompascom</v>
      </c>
      <c r="C7773" t="s">
        <v>5295</v>
      </c>
      <c r="D7773">
        <v>0</v>
      </c>
      <c r="E7773">
        <v>0</v>
      </c>
      <c r="F7773">
        <v>7505342</v>
      </c>
    </row>
    <row r="7774" spans="1:6" ht="12.75">
      <c r="A7774" s="2">
        <v>43881.790590277778</v>
      </c>
      <c r="B7774" t="str">
        <f>HYPERLINK("https://twitter.com/munierlicious","@munierlicious")</f>
        <v>@munierlicious</v>
      </c>
      <c r="C7774" t="s">
        <v>177</v>
      </c>
      <c r="D7774">
        <v>427</v>
      </c>
      <c r="E7774">
        <v>0</v>
      </c>
      <c r="F7774">
        <v>1875</v>
      </c>
    </row>
    <row r="7775" spans="1:6" ht="12.75">
      <c r="A7775" s="2">
        <v>43881.790381944447</v>
      </c>
      <c r="B7775" t="str">
        <f>HYPERLINK("https://twitter.com/paskaliagrc","@paskaliagrc")</f>
        <v>@paskaliagrc</v>
      </c>
      <c r="C7775" t="s">
        <v>5296</v>
      </c>
      <c r="D7775">
        <v>0</v>
      </c>
      <c r="E7775">
        <v>0</v>
      </c>
      <c r="F7775">
        <v>25</v>
      </c>
    </row>
    <row r="7776" spans="1:6" ht="12.75">
      <c r="A7776" s="2">
        <v>43881.790324074071</v>
      </c>
      <c r="B7776" t="str">
        <f>HYPERLINK("https://twitter.com/ndrerahadian","@ndrerahadian")</f>
        <v>@ndrerahadian</v>
      </c>
      <c r="C7776" t="s">
        <v>5297</v>
      </c>
      <c r="D7776">
        <v>0</v>
      </c>
      <c r="E7776">
        <v>0</v>
      </c>
      <c r="F7776">
        <v>624</v>
      </c>
    </row>
    <row r="7777" spans="1:6" ht="12.75">
      <c r="A7777" s="2">
        <v>43881.790023148147</v>
      </c>
      <c r="B7777" t="str">
        <f>HYPERLINK("https://twitter.com/wni_jmsri","@wni_jmsri")</f>
        <v>@wni_jmsri</v>
      </c>
      <c r="C7777" t="s">
        <v>5298</v>
      </c>
      <c r="D7777">
        <v>16190</v>
      </c>
      <c r="E7777">
        <v>0</v>
      </c>
      <c r="F7777">
        <v>195</v>
      </c>
    </row>
    <row r="7778" spans="1:6" ht="12.75">
      <c r="A7778" s="2">
        <v>43881.789861111116</v>
      </c>
      <c r="B7778" t="str">
        <f>HYPERLINK("https://twitter.com/asepapit","@asepapit")</f>
        <v>@asepapit</v>
      </c>
      <c r="C7778" t="s">
        <v>5299</v>
      </c>
      <c r="D7778">
        <v>3</v>
      </c>
      <c r="E7778">
        <v>0</v>
      </c>
      <c r="F7778">
        <v>5832</v>
      </c>
    </row>
    <row r="7779" spans="1:6" ht="12.75">
      <c r="A7779" s="2">
        <v>43881.789687500001</v>
      </c>
      <c r="B7779" t="str">
        <f>HYPERLINK("https://twitter.com/Deva29408196","@Deva29408196")</f>
        <v>@Deva29408196</v>
      </c>
      <c r="C7779" t="s">
        <v>5300</v>
      </c>
      <c r="D7779">
        <v>0</v>
      </c>
      <c r="E7779">
        <v>0</v>
      </c>
      <c r="F7779">
        <v>3</v>
      </c>
    </row>
    <row r="7780" spans="1:6" ht="12.75">
      <c r="A7780" s="2">
        <v>43881.788877314815</v>
      </c>
      <c r="B7780" t="str">
        <f>HYPERLINK("https://twitter.com/shalfiraaahere","@shalfiraaahere")</f>
        <v>@shalfiraaahere</v>
      </c>
      <c r="C7780" t="s">
        <v>177</v>
      </c>
      <c r="D7780">
        <v>427</v>
      </c>
      <c r="E7780">
        <v>0</v>
      </c>
      <c r="F7780">
        <v>4</v>
      </c>
    </row>
    <row r="7781" spans="1:6" ht="12.75">
      <c r="A7781" s="2">
        <v>43881.788726851853</v>
      </c>
      <c r="B7781" t="str">
        <f>HYPERLINK("https://twitter.com/ivanchristi3","@ivanchristi3")</f>
        <v>@ivanchristi3</v>
      </c>
      <c r="C7781" t="s">
        <v>177</v>
      </c>
      <c r="D7781">
        <v>427</v>
      </c>
      <c r="E7781">
        <v>0</v>
      </c>
      <c r="F7781">
        <v>1761</v>
      </c>
    </row>
    <row r="7782" spans="1:6" ht="12.75">
      <c r="A7782" s="2">
        <v>43881.788078703699</v>
      </c>
      <c r="B7782" t="str">
        <f>HYPERLINK("https://twitter.com/hseungwoop","@hseungwoop")</f>
        <v>@hseungwoop</v>
      </c>
      <c r="C7782" t="s">
        <v>5301</v>
      </c>
      <c r="D7782">
        <v>0</v>
      </c>
      <c r="E7782">
        <v>0</v>
      </c>
      <c r="F7782">
        <v>541</v>
      </c>
    </row>
    <row r="7783" spans="1:6" ht="12.75">
      <c r="A7783" s="2">
        <v>43881.787928240738</v>
      </c>
      <c r="B7783" t="str">
        <f>HYPERLINK("https://twitter.com/WiwidCorry","@WiwidCorry")</f>
        <v>@WiwidCorry</v>
      </c>
      <c r="C7783" t="s">
        <v>177</v>
      </c>
      <c r="D7783">
        <v>427</v>
      </c>
      <c r="E7783">
        <v>0</v>
      </c>
      <c r="F7783">
        <v>0</v>
      </c>
    </row>
    <row r="7784" spans="1:6" ht="12.75">
      <c r="A7784" s="2">
        <v>43881.787754629629</v>
      </c>
      <c r="B7784" t="str">
        <f>HYPERLINK("https://twitter.com/NkoeSaja","@NkoeSaja")</f>
        <v>@NkoeSaja</v>
      </c>
      <c r="C7784" t="s">
        <v>5302</v>
      </c>
      <c r="D7784">
        <v>8</v>
      </c>
      <c r="E7784">
        <v>0</v>
      </c>
      <c r="F7784">
        <v>860</v>
      </c>
    </row>
    <row r="7785" spans="1:6" ht="12.75">
      <c r="A7785" s="2">
        <v>43881.787581018521</v>
      </c>
      <c r="B7785" t="str">
        <f>HYPERLINK("https://twitter.com/ndrerahadian","@ndrerahadian")</f>
        <v>@ndrerahadian</v>
      </c>
      <c r="C7785" t="s">
        <v>5303</v>
      </c>
      <c r="D7785">
        <v>0</v>
      </c>
      <c r="E7785">
        <v>0</v>
      </c>
      <c r="F7785">
        <v>624</v>
      </c>
    </row>
    <row r="7786" spans="1:6" ht="12.75">
      <c r="A7786" s="2">
        <v>43881.787245370375</v>
      </c>
      <c r="B7786" t="str">
        <f>HYPERLINK("https://twitter.com/kusaniyadi","@kusaniyadi")</f>
        <v>@kusaniyadi</v>
      </c>
      <c r="C7786" t="s">
        <v>177</v>
      </c>
      <c r="D7786">
        <v>427</v>
      </c>
      <c r="E7786">
        <v>0</v>
      </c>
      <c r="F7786">
        <v>1576</v>
      </c>
    </row>
    <row r="7787" spans="1:6" ht="12.75">
      <c r="A7787" s="2">
        <v>43881.787210648152</v>
      </c>
      <c r="B7787" t="str">
        <f>HYPERLINK("https://twitter.com/ripot58","@ripot58")</f>
        <v>@ripot58</v>
      </c>
      <c r="C7787" t="s">
        <v>177</v>
      </c>
      <c r="D7787">
        <v>427</v>
      </c>
      <c r="E7787">
        <v>0</v>
      </c>
      <c r="F7787">
        <v>9800</v>
      </c>
    </row>
    <row r="7788" spans="1:6" ht="12.75">
      <c r="A7788" s="2">
        <v>43881.787187499998</v>
      </c>
      <c r="B7788" t="str">
        <f>HYPERLINK("https://twitter.com/arcticmidget","@arcticmidget")</f>
        <v>@arcticmidget</v>
      </c>
      <c r="C7788" t="s">
        <v>177</v>
      </c>
      <c r="D7788">
        <v>427</v>
      </c>
      <c r="E7788">
        <v>0</v>
      </c>
      <c r="F7788">
        <v>280</v>
      </c>
    </row>
    <row r="7789" spans="1:6" ht="12.75">
      <c r="A7789" s="2">
        <v>43881.786770833336</v>
      </c>
      <c r="B7789" t="str">
        <f>HYPERLINK("https://twitter.com/AdiTamTam1","@AdiTamTam1")</f>
        <v>@AdiTamTam1</v>
      </c>
      <c r="C7789" t="s">
        <v>177</v>
      </c>
      <c r="D7789">
        <v>427</v>
      </c>
      <c r="E7789">
        <v>0</v>
      </c>
      <c r="F7789">
        <v>46</v>
      </c>
    </row>
    <row r="7790" spans="1:6" ht="12.75">
      <c r="A7790" s="2">
        <v>43881.786666666667</v>
      </c>
      <c r="B7790" t="str">
        <f>HYPERLINK("https://twitter.com/misterioo6","@misterioo6")</f>
        <v>@misterioo6</v>
      </c>
      <c r="C7790" t="s">
        <v>2141</v>
      </c>
      <c r="D7790">
        <v>65</v>
      </c>
      <c r="E7790">
        <v>0</v>
      </c>
      <c r="F7790">
        <v>0</v>
      </c>
    </row>
    <row r="7791" spans="1:6" ht="12.75">
      <c r="A7791" s="2">
        <v>43881.78606481482</v>
      </c>
      <c r="B7791" t="str">
        <f>HYPERLINK("https://twitter.com/Zuniariar","@Zuniariar")</f>
        <v>@Zuniariar</v>
      </c>
      <c r="C7791" t="s">
        <v>2692</v>
      </c>
      <c r="D7791">
        <v>1983</v>
      </c>
      <c r="E7791">
        <v>0</v>
      </c>
      <c r="F7791">
        <v>330</v>
      </c>
    </row>
    <row r="7792" spans="1:6" ht="12.75">
      <c r="A7792" s="2">
        <v>43881.785891203705</v>
      </c>
      <c r="B7792" t="str">
        <f>HYPERLINK("https://twitter.com/eddies_song","@eddies_song")</f>
        <v>@eddies_song</v>
      </c>
      <c r="C7792" t="s">
        <v>4868</v>
      </c>
      <c r="D7792">
        <v>1</v>
      </c>
      <c r="E7792">
        <v>0</v>
      </c>
      <c r="F7792">
        <v>1259</v>
      </c>
    </row>
    <row r="7793" spans="1:6" ht="12.75">
      <c r="A7793" s="2">
        <v>43881.785891203705</v>
      </c>
      <c r="B7793" t="str">
        <f>HYPERLINK("https://twitter.com/Zahro84017594","@Zahro84017594")</f>
        <v>@Zahro84017594</v>
      </c>
      <c r="C7793" t="s">
        <v>2141</v>
      </c>
      <c r="D7793">
        <v>65</v>
      </c>
      <c r="E7793">
        <v>0</v>
      </c>
      <c r="F7793">
        <v>221</v>
      </c>
    </row>
    <row r="7794" spans="1:6" ht="12.75">
      <c r="A7794" s="2">
        <v>43881.78570601852</v>
      </c>
      <c r="B7794" t="str">
        <f>HYPERLINK("https://twitter.com/DwiMikrobiologi","@DwiMikrobiologi")</f>
        <v>@DwiMikrobiologi</v>
      </c>
      <c r="C7794" t="s">
        <v>2692</v>
      </c>
      <c r="D7794">
        <v>1983</v>
      </c>
      <c r="E7794">
        <v>0</v>
      </c>
      <c r="F7794">
        <v>212</v>
      </c>
    </row>
    <row r="7795" spans="1:6" ht="12.75">
      <c r="A7795" s="2">
        <v>43881.785648148143</v>
      </c>
      <c r="B7795" t="str">
        <f>HYPERLINK("https://twitter.com/sirajapadoha","@sirajapadoha")</f>
        <v>@sirajapadoha</v>
      </c>
      <c r="C7795" t="s">
        <v>5289</v>
      </c>
      <c r="D7795">
        <v>1</v>
      </c>
      <c r="E7795">
        <v>0</v>
      </c>
      <c r="F7795">
        <v>2439</v>
      </c>
    </row>
    <row r="7796" spans="1:6" ht="12.75">
      <c r="A7796" s="2">
        <v>43881.785416666666</v>
      </c>
      <c r="B7796" t="str">
        <f>HYPERLINK("https://twitter.com/Grac3_AdeodaTa","@Grac3_AdeodaTa")</f>
        <v>@Grac3_AdeodaTa</v>
      </c>
      <c r="C7796" t="s">
        <v>177</v>
      </c>
      <c r="D7796">
        <v>427</v>
      </c>
      <c r="E7796">
        <v>0</v>
      </c>
      <c r="F7796">
        <v>463</v>
      </c>
    </row>
    <row r="7797" spans="1:6" ht="12.75">
      <c r="A7797" s="2">
        <v>43881.785266203704</v>
      </c>
      <c r="B7797" t="str">
        <f>HYPERLINK("https://twitter.com/Firmanbudianap2","@Firmanbudianap2")</f>
        <v>@Firmanbudianap2</v>
      </c>
      <c r="C7797" t="s">
        <v>5304</v>
      </c>
      <c r="D7797">
        <v>1</v>
      </c>
      <c r="E7797">
        <v>0</v>
      </c>
      <c r="F7797">
        <v>154</v>
      </c>
    </row>
    <row r="7798" spans="1:6" ht="12.75">
      <c r="A7798" s="2">
        <v>43881.784849537042</v>
      </c>
      <c r="B7798" t="str">
        <f>HYPERLINK("https://twitter.com/forddyce92","@forddyce92")</f>
        <v>@forddyce92</v>
      </c>
      <c r="C7798" t="s">
        <v>5305</v>
      </c>
      <c r="D7798">
        <v>0</v>
      </c>
      <c r="E7798">
        <v>0</v>
      </c>
      <c r="F7798">
        <v>25</v>
      </c>
    </row>
    <row r="7799" spans="1:6" ht="12.75">
      <c r="A7799" s="2">
        <v>43881.784756944442</v>
      </c>
      <c r="B7799" t="str">
        <f>HYPERLINK("https://twitter.com/faridhafiyanto","@faridhafiyanto")</f>
        <v>@faridhafiyanto</v>
      </c>
      <c r="C7799" t="s">
        <v>177</v>
      </c>
      <c r="D7799">
        <v>427</v>
      </c>
      <c r="E7799">
        <v>0</v>
      </c>
      <c r="F7799">
        <v>107</v>
      </c>
    </row>
    <row r="7800" spans="1:6" ht="12.75">
      <c r="A7800" s="2">
        <v>43881.784722222219</v>
      </c>
      <c r="B7800" t="str">
        <f>HYPERLINK("https://twitter.com/the_geotimes","@the_geotimes")</f>
        <v>@the_geotimes</v>
      </c>
      <c r="C7800" t="s">
        <v>5122</v>
      </c>
      <c r="D7800">
        <v>1</v>
      </c>
      <c r="E7800">
        <v>0</v>
      </c>
      <c r="F7800">
        <v>49543</v>
      </c>
    </row>
    <row r="7801" spans="1:6" ht="12.75">
      <c r="A7801" s="2">
        <v>43881.784629629634</v>
      </c>
      <c r="B7801" t="str">
        <f>HYPERLINK("https://twitter.com/kembarsuputra14","@kembarsuputra14")</f>
        <v>@kembarsuputra14</v>
      </c>
      <c r="C7801" t="s">
        <v>177</v>
      </c>
      <c r="D7801">
        <v>427</v>
      </c>
      <c r="E7801">
        <v>0</v>
      </c>
      <c r="F7801">
        <v>183</v>
      </c>
    </row>
    <row r="7802" spans="1:6" ht="12.75">
      <c r="A7802" s="2">
        <v>43881.784120370372</v>
      </c>
      <c r="B7802" t="str">
        <f>HYPERLINK("https://twitter.com/yugof41th","@yugof41th")</f>
        <v>@yugof41th</v>
      </c>
      <c r="C7802" t="s">
        <v>177</v>
      </c>
      <c r="D7802">
        <v>427</v>
      </c>
      <c r="E7802">
        <v>0</v>
      </c>
      <c r="F7802">
        <v>526</v>
      </c>
    </row>
    <row r="7803" spans="1:6" ht="12.75">
      <c r="A7803" s="2">
        <v>43881.783935185187</v>
      </c>
      <c r="B7803" t="str">
        <f>HYPERLINK("https://twitter.com/ysitsmine","@ysitsmine")</f>
        <v>@ysitsmine</v>
      </c>
      <c r="C7803" t="s">
        <v>1407</v>
      </c>
      <c r="D7803">
        <v>9663</v>
      </c>
      <c r="E7803">
        <v>0</v>
      </c>
      <c r="F7803">
        <v>417</v>
      </c>
    </row>
    <row r="7804" spans="1:6" ht="12.75">
      <c r="A7804" s="2">
        <v>43881.782962962963</v>
      </c>
      <c r="B7804" t="str">
        <f>HYPERLINK("https://twitter.com/ChrizAditya","@ChrizAditya")</f>
        <v>@ChrizAditya</v>
      </c>
      <c r="C7804" t="s">
        <v>2141</v>
      </c>
      <c r="D7804">
        <v>65</v>
      </c>
      <c r="E7804">
        <v>0</v>
      </c>
      <c r="F7804">
        <v>164</v>
      </c>
    </row>
    <row r="7805" spans="1:6" ht="12.75">
      <c r="A7805" s="2">
        <v>43881.782662037032</v>
      </c>
      <c r="B7805" t="str">
        <f>HYPERLINK("https://twitter.com/RizalFadel_","@RizalFadel_")</f>
        <v>@RizalFadel_</v>
      </c>
      <c r="C7805" t="s">
        <v>1407</v>
      </c>
      <c r="D7805">
        <v>9663</v>
      </c>
      <c r="E7805">
        <v>0</v>
      </c>
      <c r="F7805">
        <v>351</v>
      </c>
    </row>
    <row r="7806" spans="1:6" ht="12.75">
      <c r="A7806" s="2">
        <v>43881.782337962963</v>
      </c>
      <c r="B7806" t="str">
        <f>HYPERLINK("https://twitter.com/Wawan36409538","@Wawan36409538")</f>
        <v>@Wawan36409538</v>
      </c>
      <c r="C7806" t="s">
        <v>4360</v>
      </c>
      <c r="D7806">
        <v>172</v>
      </c>
      <c r="E7806">
        <v>0</v>
      </c>
      <c r="F7806">
        <v>9</v>
      </c>
    </row>
    <row r="7807" spans="1:6" ht="12.75">
      <c r="A7807" s="2">
        <v>43881.782164351855</v>
      </c>
      <c r="B7807" t="str">
        <f>HYPERLINK("https://twitter.com/cipley","@cipley")</f>
        <v>@cipley</v>
      </c>
      <c r="C7807" t="s">
        <v>2141</v>
      </c>
      <c r="D7807">
        <v>65</v>
      </c>
      <c r="E7807">
        <v>0</v>
      </c>
      <c r="F7807">
        <v>481</v>
      </c>
    </row>
    <row r="7808" spans="1:6" ht="12.75">
      <c r="A7808" s="2">
        <v>43881.782106481478</v>
      </c>
      <c r="B7808" t="str">
        <f>HYPERLINK("https://twitter.com/FarelmaxL","@FarelmaxL")</f>
        <v>@FarelmaxL</v>
      </c>
      <c r="C7808" t="s">
        <v>5139</v>
      </c>
      <c r="D7808">
        <v>29</v>
      </c>
      <c r="E7808">
        <v>0</v>
      </c>
      <c r="F7808">
        <v>1317</v>
      </c>
    </row>
    <row r="7809" spans="1:6" ht="12.75">
      <c r="A7809" s="2">
        <v>43881.781805555554</v>
      </c>
      <c r="B7809" t="str">
        <f>HYPERLINK("https://twitter.com/UjKomar","@UjKomar")</f>
        <v>@UjKomar</v>
      </c>
      <c r="C7809" t="s">
        <v>177</v>
      </c>
      <c r="D7809">
        <v>427</v>
      </c>
      <c r="E7809">
        <v>0</v>
      </c>
      <c r="F7809">
        <v>1167</v>
      </c>
    </row>
    <row r="7810" spans="1:6" ht="12.75">
      <c r="A7810" s="2">
        <v>43881.781412037039</v>
      </c>
      <c r="B7810" t="str">
        <f>HYPERLINK("https://twitter.com/soniakhotmi","@soniakhotmi")</f>
        <v>@soniakhotmi</v>
      </c>
      <c r="C7810" t="s">
        <v>5306</v>
      </c>
      <c r="D7810">
        <v>1</v>
      </c>
      <c r="E7810">
        <v>0</v>
      </c>
      <c r="F7810">
        <v>303</v>
      </c>
    </row>
    <row r="7811" spans="1:6" ht="12.75">
      <c r="A7811" s="2">
        <v>43881.780682870369</v>
      </c>
      <c r="B7811" t="str">
        <f>HYPERLINK("https://twitter.com/mediaindonesia","@mediaindonesia")</f>
        <v>@mediaindonesia</v>
      </c>
      <c r="C7811" t="s">
        <v>5307</v>
      </c>
      <c r="D7811">
        <v>1</v>
      </c>
      <c r="E7811">
        <v>2</v>
      </c>
      <c r="F7811">
        <v>1417503</v>
      </c>
    </row>
    <row r="7812" spans="1:6" ht="12.75">
      <c r="A7812" s="2">
        <v>43881.780636574069</v>
      </c>
      <c r="B7812" t="str">
        <f>HYPERLINK("https://twitter.com/RMudafi","@RMudafi")</f>
        <v>@RMudafi</v>
      </c>
      <c r="C7812" t="s">
        <v>5308</v>
      </c>
      <c r="D7812">
        <v>0</v>
      </c>
      <c r="E7812">
        <v>0</v>
      </c>
      <c r="F7812">
        <v>0</v>
      </c>
    </row>
    <row r="7813" spans="1:6" ht="12.75">
      <c r="A7813" s="2">
        <v>43881.780277777776</v>
      </c>
      <c r="B7813" t="str">
        <f>HYPERLINK("https://twitter.com/Iamnoth24357134","@Iamnoth24357134")</f>
        <v>@Iamnoth24357134</v>
      </c>
      <c r="C7813" t="s">
        <v>177</v>
      </c>
      <c r="D7813">
        <v>427</v>
      </c>
      <c r="E7813">
        <v>0</v>
      </c>
      <c r="F7813">
        <v>465</v>
      </c>
    </row>
    <row r="7814" spans="1:6" ht="12.75">
      <c r="A7814" s="2">
        <v>43881.780173611114</v>
      </c>
      <c r="B7814" t="str">
        <f>HYPERLINK("https://twitter.com/Masmasbiasaa","@Masmasbiasaa")</f>
        <v>@Masmasbiasaa</v>
      </c>
      <c r="C7814" t="s">
        <v>5309</v>
      </c>
      <c r="D7814">
        <v>0</v>
      </c>
      <c r="E7814">
        <v>0</v>
      </c>
      <c r="F7814">
        <v>10713</v>
      </c>
    </row>
    <row r="7815" spans="1:6" ht="12.75">
      <c r="A7815" s="2">
        <v>43881.77961805556</v>
      </c>
      <c r="B7815" t="str">
        <f>HYPERLINK("https://twitter.com/aidanafisah_","@aidanafisah_")</f>
        <v>@aidanafisah_</v>
      </c>
      <c r="C7815" t="s">
        <v>2692</v>
      </c>
      <c r="D7815">
        <v>1983</v>
      </c>
      <c r="E7815">
        <v>0</v>
      </c>
      <c r="F7815">
        <v>414</v>
      </c>
    </row>
    <row r="7816" spans="1:6" ht="12.75">
      <c r="A7816" s="2">
        <v>43881.779421296298</v>
      </c>
      <c r="B7816" t="str">
        <f>HYPERLINK("https://twitter.com/ArtiHar","@ArtiHar")</f>
        <v>@ArtiHar</v>
      </c>
      <c r="C7816" t="s">
        <v>177</v>
      </c>
      <c r="D7816">
        <v>427</v>
      </c>
      <c r="E7816">
        <v>0</v>
      </c>
      <c r="F7816">
        <v>605</v>
      </c>
    </row>
    <row r="7817" spans="1:6" ht="12.75">
      <c r="A7817" s="2">
        <v>43881.778738425928</v>
      </c>
      <c r="B7817" t="str">
        <f>HYPERLINK("https://twitter.com/FRPrayogo","@FRPrayogo")</f>
        <v>@FRPrayogo</v>
      </c>
      <c r="C7817" t="s">
        <v>177</v>
      </c>
      <c r="D7817">
        <v>427</v>
      </c>
      <c r="E7817">
        <v>0</v>
      </c>
      <c r="F7817">
        <v>145</v>
      </c>
    </row>
    <row r="7818" spans="1:6" ht="12.75">
      <c r="A7818" s="2">
        <v>43881.778622685189</v>
      </c>
      <c r="B7818" t="str">
        <f>HYPERLINK("https://twitter.com/roysahadoen","@roysahadoen")</f>
        <v>@roysahadoen</v>
      </c>
      <c r="C7818" t="s">
        <v>177</v>
      </c>
      <c r="D7818">
        <v>427</v>
      </c>
      <c r="E7818">
        <v>0</v>
      </c>
      <c r="F7818">
        <v>352</v>
      </c>
    </row>
    <row r="7819" spans="1:6" ht="12.75">
      <c r="A7819" s="2">
        <v>43881.778344907405</v>
      </c>
      <c r="B7819" t="str">
        <f>HYPERLINK("https://twitter.com/justisiacom","@justisiacom")</f>
        <v>@justisiacom</v>
      </c>
      <c r="C7819" t="s">
        <v>5310</v>
      </c>
      <c r="D7819">
        <v>1</v>
      </c>
      <c r="E7819">
        <v>0</v>
      </c>
      <c r="F7819">
        <v>986</v>
      </c>
    </row>
    <row r="7820" spans="1:6" ht="12.75">
      <c r="A7820" s="2">
        <v>43881.778321759259</v>
      </c>
      <c r="B7820" t="str">
        <f>HYPERLINK("https://twitter.com/bpriady","@bpriady")</f>
        <v>@bpriady</v>
      </c>
      <c r="C7820" t="s">
        <v>2141</v>
      </c>
      <c r="D7820">
        <v>65</v>
      </c>
      <c r="E7820">
        <v>0</v>
      </c>
      <c r="F7820">
        <v>595</v>
      </c>
    </row>
    <row r="7821" spans="1:6" ht="12.75">
      <c r="A7821" s="2">
        <v>43881.778009259258</v>
      </c>
      <c r="B7821" t="str">
        <f>HYPERLINK("https://twitter.com/KFans97","@KFans97")</f>
        <v>@KFans97</v>
      </c>
      <c r="C7821" t="s">
        <v>177</v>
      </c>
      <c r="D7821">
        <v>427</v>
      </c>
      <c r="E7821">
        <v>0</v>
      </c>
      <c r="F7821">
        <v>66</v>
      </c>
    </row>
    <row r="7822" spans="1:6" ht="12.75">
      <c r="A7822" s="2">
        <v>43881.777974537035</v>
      </c>
      <c r="B7822" t="str">
        <f>HYPERLINK("https://twitter.com/wisangg48776020","@wisangg48776020")</f>
        <v>@wisangg48776020</v>
      </c>
      <c r="C7822" t="s">
        <v>4360</v>
      </c>
      <c r="D7822">
        <v>172</v>
      </c>
      <c r="E7822">
        <v>0</v>
      </c>
      <c r="F7822">
        <v>22</v>
      </c>
    </row>
    <row r="7823" spans="1:6" ht="12.75">
      <c r="A7823" s="2">
        <v>43881.777905092589</v>
      </c>
      <c r="B7823" t="str">
        <f>HYPERLINK("https://twitter.com/FransAlosius","@FransAlosius")</f>
        <v>@FransAlosius</v>
      </c>
      <c r="C7823" t="s">
        <v>5311</v>
      </c>
      <c r="D7823">
        <v>0</v>
      </c>
      <c r="E7823">
        <v>3</v>
      </c>
      <c r="F7823">
        <v>1835</v>
      </c>
    </row>
    <row r="7824" spans="1:6" ht="12.75">
      <c r="A7824" s="2">
        <v>43881.777592592596</v>
      </c>
      <c r="B7824" t="str">
        <f>HYPERLINK("https://twitter.com/na_sth","@na_sth")</f>
        <v>@na_sth</v>
      </c>
      <c r="C7824" t="s">
        <v>2141</v>
      </c>
      <c r="D7824">
        <v>65</v>
      </c>
      <c r="E7824">
        <v>0</v>
      </c>
      <c r="F7824">
        <v>577</v>
      </c>
    </row>
    <row r="7825" spans="1:6" ht="12.75">
      <c r="A7825" s="2">
        <v>43881.777546296296</v>
      </c>
      <c r="B7825" t="str">
        <f>HYPERLINK("https://twitter.com/nikko_813","@nikko_813")</f>
        <v>@nikko_813</v>
      </c>
      <c r="C7825" t="s">
        <v>5312</v>
      </c>
      <c r="D7825">
        <v>0</v>
      </c>
      <c r="E7825">
        <v>0</v>
      </c>
      <c r="F7825">
        <v>15</v>
      </c>
    </row>
    <row r="7826" spans="1:6" ht="12.75">
      <c r="A7826" s="2">
        <v>43881.77752314815</v>
      </c>
      <c r="B7826" t="str">
        <f>HYPERLINK("https://twitter.com/BlackYudhistira","@BlackYudhistira")</f>
        <v>@BlackYudhistira</v>
      </c>
      <c r="C7826" t="s">
        <v>5313</v>
      </c>
      <c r="D7826">
        <v>0</v>
      </c>
      <c r="E7826">
        <v>0</v>
      </c>
      <c r="F7826">
        <v>1332</v>
      </c>
    </row>
    <row r="7827" spans="1:6" ht="12.75">
      <c r="A7827" s="2">
        <v>43881.776921296296</v>
      </c>
      <c r="B7827" t="str">
        <f>HYPERLINK("https://twitter.com/vadyamalia","@vadyamalia")</f>
        <v>@vadyamalia</v>
      </c>
      <c r="C7827" t="s">
        <v>1407</v>
      </c>
      <c r="D7827">
        <v>9663</v>
      </c>
      <c r="E7827">
        <v>0</v>
      </c>
      <c r="F7827">
        <v>195</v>
      </c>
    </row>
    <row r="7828" spans="1:6" ht="12.75">
      <c r="A7828" s="2">
        <v>43881.776724537034</v>
      </c>
      <c r="B7828" t="str">
        <f>HYPERLINK("https://twitter.com/AnaCris92709587","@AnaCris92709587")</f>
        <v>@AnaCris92709587</v>
      </c>
      <c r="C7828" t="s">
        <v>2141</v>
      </c>
      <c r="D7828">
        <v>65</v>
      </c>
      <c r="E7828">
        <v>0</v>
      </c>
      <c r="F7828">
        <v>0</v>
      </c>
    </row>
    <row r="7829" spans="1:6" ht="12.75">
      <c r="A7829" s="2">
        <v>43881.776284722218</v>
      </c>
      <c r="B7829" t="str">
        <f>HYPERLINK("https://twitter.com/acid_abidin","@acid_abidin")</f>
        <v>@acid_abidin</v>
      </c>
      <c r="C7829" t="s">
        <v>3141</v>
      </c>
      <c r="D7829">
        <v>2</v>
      </c>
      <c r="E7829">
        <v>0</v>
      </c>
      <c r="F7829">
        <v>2847</v>
      </c>
    </row>
    <row r="7830" spans="1:6" ht="12.75">
      <c r="A7830" s="2">
        <v>43881.775937500002</v>
      </c>
      <c r="B7830" t="str">
        <f>HYPERLINK("https://twitter.com/mramadhamn","@mramadhamn")</f>
        <v>@mramadhamn</v>
      </c>
      <c r="C7830" t="s">
        <v>5314</v>
      </c>
      <c r="D7830">
        <v>0</v>
      </c>
      <c r="E7830">
        <v>0</v>
      </c>
      <c r="F7830">
        <v>368</v>
      </c>
    </row>
    <row r="7831" spans="1:6" ht="12.75">
      <c r="A7831" s="2">
        <v>43881.775787037041</v>
      </c>
      <c r="B7831" t="str">
        <f>HYPERLINK("https://twitter.com/wiptint","@wiptint")</f>
        <v>@wiptint</v>
      </c>
      <c r="C7831" t="s">
        <v>177</v>
      </c>
      <c r="D7831">
        <v>427</v>
      </c>
      <c r="E7831">
        <v>0</v>
      </c>
      <c r="F7831">
        <v>2696</v>
      </c>
    </row>
    <row r="7832" spans="1:6" ht="12.75">
      <c r="A7832" s="2">
        <v>43881.775335648148</v>
      </c>
      <c r="B7832" t="str">
        <f>HYPERLINK("https://twitter.com/adityafachry98","@adityafachry98")</f>
        <v>@adityafachry98</v>
      </c>
      <c r="C7832" t="s">
        <v>2141</v>
      </c>
      <c r="D7832">
        <v>65</v>
      </c>
      <c r="E7832">
        <v>0</v>
      </c>
      <c r="F7832">
        <v>216</v>
      </c>
    </row>
    <row r="7833" spans="1:6" ht="12.75">
      <c r="A7833" s="2">
        <v>43881.775231481486</v>
      </c>
      <c r="B7833" t="str">
        <f>HYPERLINK("https://twitter.com/bangeddooo","@bangeddooo")</f>
        <v>@bangeddooo</v>
      </c>
      <c r="C7833" t="s">
        <v>1407</v>
      </c>
      <c r="D7833">
        <v>9663</v>
      </c>
      <c r="E7833">
        <v>0</v>
      </c>
      <c r="F7833">
        <v>1018</v>
      </c>
    </row>
    <row r="7834" spans="1:6" ht="12.75">
      <c r="A7834" s="2">
        <v>43881.77516203704</v>
      </c>
      <c r="B7834" t="str">
        <f>HYPERLINK("https://twitter.com/temponewsroom","@temponewsroom")</f>
        <v>@temponewsroom</v>
      </c>
      <c r="C7834" t="s">
        <v>5315</v>
      </c>
      <c r="D7834">
        <v>0</v>
      </c>
      <c r="E7834">
        <v>1</v>
      </c>
      <c r="F7834">
        <v>740875</v>
      </c>
    </row>
    <row r="7835" spans="1:6" ht="12.75">
      <c r="A7835" s="2">
        <v>43881.775081018517</v>
      </c>
      <c r="B7835" t="str">
        <f>HYPERLINK("https://twitter.com/tempodotco","@tempodotco")</f>
        <v>@tempodotco</v>
      </c>
      <c r="C7835" t="s">
        <v>5315</v>
      </c>
      <c r="D7835">
        <v>1</v>
      </c>
      <c r="E7835">
        <v>2</v>
      </c>
      <c r="F7835">
        <v>1707319</v>
      </c>
    </row>
    <row r="7836" spans="1:6" ht="12.75">
      <c r="A7836" s="2">
        <v>43881.774930555555</v>
      </c>
      <c r="B7836" t="str">
        <f>HYPERLINK("https://twitter.com/ummychasan","@ummychasan")</f>
        <v>@ummychasan</v>
      </c>
      <c r="C7836" t="s">
        <v>177</v>
      </c>
      <c r="D7836">
        <v>427</v>
      </c>
      <c r="E7836">
        <v>0</v>
      </c>
      <c r="F7836">
        <v>4551</v>
      </c>
    </row>
    <row r="7837" spans="1:6" ht="12.75">
      <c r="A7837" s="2">
        <v>43881.774930555555</v>
      </c>
      <c r="B7837" t="str">
        <f>HYPERLINK("https://twitter.com/nisapuspita","@nisapuspita")</f>
        <v>@nisapuspita</v>
      </c>
      <c r="C7837" t="s">
        <v>1407</v>
      </c>
      <c r="D7837">
        <v>9663</v>
      </c>
      <c r="E7837">
        <v>0</v>
      </c>
      <c r="F7837">
        <v>1038</v>
      </c>
    </row>
    <row r="7838" spans="1:6" ht="12.75">
      <c r="A7838" s="2">
        <v>43881.774733796294</v>
      </c>
      <c r="B7838" t="str">
        <f>HYPERLINK("https://twitter.com/Teropongtimeind","@Teropongtimeind")</f>
        <v>@Teropongtimeind</v>
      </c>
      <c r="C7838" t="s">
        <v>5316</v>
      </c>
      <c r="D7838">
        <v>0</v>
      </c>
      <c r="E7838">
        <v>0</v>
      </c>
      <c r="F7838">
        <v>45</v>
      </c>
    </row>
    <row r="7839" spans="1:6" ht="12.75">
      <c r="A7839" s="2">
        <v>43881.774548611109</v>
      </c>
      <c r="B7839" t="str">
        <f>HYPERLINK("https://twitter.com/putrivitanadia","@putrivitanadia")</f>
        <v>@putrivitanadia</v>
      </c>
      <c r="C7839" t="s">
        <v>177</v>
      </c>
      <c r="D7839">
        <v>427</v>
      </c>
      <c r="E7839">
        <v>0</v>
      </c>
      <c r="F7839">
        <v>1047</v>
      </c>
    </row>
    <row r="7840" spans="1:6" ht="12.75">
      <c r="A7840" s="2">
        <v>43881.774351851855</v>
      </c>
      <c r="B7840" t="str">
        <f>HYPERLINK("https://twitter.com/tvOneNews","@tvOneNews")</f>
        <v>@tvOneNews</v>
      </c>
      <c r="C7840" t="s">
        <v>5245</v>
      </c>
      <c r="D7840">
        <v>2</v>
      </c>
      <c r="E7840">
        <v>6</v>
      </c>
      <c r="F7840">
        <v>8717847</v>
      </c>
    </row>
    <row r="7841" spans="1:6" ht="12.75">
      <c r="A7841" s="2">
        <v>43881.774351851855</v>
      </c>
      <c r="B7841" t="str">
        <f>HYPERLINK("https://twitter.com/iggocard","@iggocard")</f>
        <v>@iggocard</v>
      </c>
      <c r="C7841" t="s">
        <v>5317</v>
      </c>
      <c r="D7841">
        <v>0</v>
      </c>
      <c r="E7841">
        <v>0</v>
      </c>
      <c r="F7841">
        <v>20</v>
      </c>
    </row>
    <row r="7842" spans="1:6" ht="12.75">
      <c r="A7842" s="2">
        <v>43881.774328703701</v>
      </c>
      <c r="B7842" t="str">
        <f>HYPERLINK("https://twitter.com/SimonYa00021159","@SimonYa00021159")</f>
        <v>@SimonYa00021159</v>
      </c>
      <c r="C7842" t="s">
        <v>2141</v>
      </c>
      <c r="D7842">
        <v>65</v>
      </c>
      <c r="E7842">
        <v>0</v>
      </c>
      <c r="F7842">
        <v>15</v>
      </c>
    </row>
    <row r="7843" spans="1:6" ht="12.75">
      <c r="A7843" s="2">
        <v>43881.774189814816</v>
      </c>
      <c r="B7843" t="str">
        <f>HYPERLINK("https://twitter.com/SumaUI","@SumaUI")</f>
        <v>@SumaUI</v>
      </c>
      <c r="C7843" t="s">
        <v>5318</v>
      </c>
      <c r="D7843">
        <v>0</v>
      </c>
      <c r="E7843">
        <v>1</v>
      </c>
      <c r="F7843">
        <v>10759</v>
      </c>
    </row>
    <row r="7844" spans="1:6" ht="12.75">
      <c r="A7844" s="2">
        <v>43881.773969907408</v>
      </c>
      <c r="B7844" t="str">
        <f>HYPERLINK("https://twitter.com/Much_Taufiqilla","@Much_Taufiqilla")</f>
        <v>@Much_Taufiqilla</v>
      </c>
      <c r="C7844" t="s">
        <v>5319</v>
      </c>
      <c r="D7844">
        <v>0</v>
      </c>
      <c r="E7844">
        <v>0</v>
      </c>
      <c r="F7844">
        <v>350</v>
      </c>
    </row>
    <row r="7845" spans="1:6" ht="12.75">
      <c r="A7845" s="2">
        <v>43881.773472222223</v>
      </c>
      <c r="B7845" t="str">
        <f>HYPERLINK("https://twitter.com/Arman78062982","@Arman78062982")</f>
        <v>@Arman78062982</v>
      </c>
      <c r="C7845" t="s">
        <v>177</v>
      </c>
      <c r="D7845">
        <v>427</v>
      </c>
      <c r="E7845">
        <v>0</v>
      </c>
      <c r="F7845">
        <v>8</v>
      </c>
    </row>
    <row r="7846" spans="1:6" ht="12.75">
      <c r="A7846" s="2">
        <v>43881.773159722223</v>
      </c>
      <c r="B7846" t="str">
        <f>HYPERLINK("https://twitter.com/ra_erly","@ra_erly")</f>
        <v>@ra_erly</v>
      </c>
      <c r="C7846" t="s">
        <v>177</v>
      </c>
      <c r="D7846">
        <v>427</v>
      </c>
      <c r="E7846">
        <v>0</v>
      </c>
      <c r="F7846">
        <v>8</v>
      </c>
    </row>
    <row r="7847" spans="1:6" ht="12.75">
      <c r="A7847" s="2">
        <v>43881.771736111114</v>
      </c>
      <c r="B7847" t="str">
        <f>HYPERLINK("https://twitter.com/dzakirai","@dzakirai")</f>
        <v>@dzakirai</v>
      </c>
      <c r="C7847" t="s">
        <v>5320</v>
      </c>
      <c r="D7847">
        <v>1</v>
      </c>
      <c r="E7847">
        <v>0</v>
      </c>
      <c r="F7847">
        <v>688</v>
      </c>
    </row>
    <row r="7848" spans="1:6" ht="12.75">
      <c r="A7848" s="2">
        <v>43881.771574074075</v>
      </c>
      <c r="B7848" t="str">
        <f>HYPERLINK("https://twitter.com/kezia_ciel","@kezia_ciel")</f>
        <v>@kezia_ciel</v>
      </c>
      <c r="C7848" t="s">
        <v>5168</v>
      </c>
      <c r="D7848">
        <v>1693</v>
      </c>
      <c r="E7848">
        <v>0</v>
      </c>
      <c r="F7848">
        <v>122</v>
      </c>
    </row>
    <row r="7849" spans="1:6" ht="12.75">
      <c r="A7849" s="2">
        <v>43881.771516203706</v>
      </c>
      <c r="B7849" t="str">
        <f>HYPERLINK("https://twitter.com/Anjaswisesa_K","@Anjaswisesa_K")</f>
        <v>@Anjaswisesa_K</v>
      </c>
      <c r="C7849" t="s">
        <v>2141</v>
      </c>
      <c r="D7849">
        <v>65</v>
      </c>
      <c r="E7849">
        <v>0</v>
      </c>
      <c r="F7849">
        <v>1173</v>
      </c>
    </row>
    <row r="7850" spans="1:6" ht="12.75">
      <c r="A7850" s="2">
        <v>43881.77143518519</v>
      </c>
      <c r="B7850" t="str">
        <f>HYPERLINK("https://twitter.com/Back2Ba00596200","@Back2Ba00596200")</f>
        <v>@Back2Ba00596200</v>
      </c>
      <c r="C7850" t="s">
        <v>177</v>
      </c>
      <c r="D7850">
        <v>427</v>
      </c>
      <c r="E7850">
        <v>0</v>
      </c>
      <c r="F7850">
        <v>3</v>
      </c>
    </row>
    <row r="7851" spans="1:6" ht="12.75">
      <c r="A7851" s="2">
        <v>43881.771296296298</v>
      </c>
      <c r="B7851" t="str">
        <f>HYPERLINK("https://twitter.com/republikaonline","@republikaonline")</f>
        <v>@republikaonline</v>
      </c>
      <c r="C7851" t="s">
        <v>5321</v>
      </c>
      <c r="D7851">
        <v>1</v>
      </c>
      <c r="E7851">
        <v>2</v>
      </c>
      <c r="F7851">
        <v>1211570</v>
      </c>
    </row>
    <row r="7852" spans="1:6" ht="12.75">
      <c r="A7852" s="2">
        <v>43881.771296296298</v>
      </c>
      <c r="B7852" t="str">
        <f>HYPERLINK("https://twitter.com/sunivershine","@sunivershine")</f>
        <v>@sunivershine</v>
      </c>
      <c r="C7852" t="s">
        <v>1407</v>
      </c>
      <c r="D7852">
        <v>9663</v>
      </c>
      <c r="E7852">
        <v>0</v>
      </c>
      <c r="F7852">
        <v>848</v>
      </c>
    </row>
    <row r="7853" spans="1:6" ht="12.75">
      <c r="A7853" s="2">
        <v>43881.771284722221</v>
      </c>
      <c r="B7853" t="str">
        <f>HYPERLINK("https://twitter.com/yesiyusdianaa","@yesiyusdianaa")</f>
        <v>@yesiyusdianaa</v>
      </c>
      <c r="C7853" t="s">
        <v>177</v>
      </c>
      <c r="D7853">
        <v>427</v>
      </c>
      <c r="E7853">
        <v>0</v>
      </c>
      <c r="F7853">
        <v>324</v>
      </c>
    </row>
    <row r="7854" spans="1:6" ht="12.75">
      <c r="A7854" s="2">
        <v>43881.771203703705</v>
      </c>
      <c r="B7854" t="str">
        <f>HYPERLINK("https://twitter.com/Chiloyu","@Chiloyu")</f>
        <v>@Chiloyu</v>
      </c>
      <c r="C7854" t="s">
        <v>1407</v>
      </c>
      <c r="D7854">
        <v>9663</v>
      </c>
      <c r="E7854">
        <v>0</v>
      </c>
      <c r="F7854">
        <v>214</v>
      </c>
    </row>
    <row r="7855" spans="1:6" ht="12.75">
      <c r="A7855" s="2">
        <v>43881.771180555559</v>
      </c>
      <c r="B7855" t="str">
        <f>HYPERLINK("https://twitter.com/Nabillanajmii","@Nabillanajmii")</f>
        <v>@Nabillanajmii</v>
      </c>
      <c r="C7855" t="s">
        <v>177</v>
      </c>
      <c r="D7855">
        <v>427</v>
      </c>
      <c r="E7855">
        <v>0</v>
      </c>
      <c r="F7855">
        <v>864</v>
      </c>
    </row>
    <row r="7856" spans="1:6" ht="12.75">
      <c r="A7856" s="2">
        <v>43881.771157407406</v>
      </c>
      <c r="B7856" t="str">
        <f>HYPERLINK("https://twitter.com/JL_Apatheia","@JL_Apatheia")</f>
        <v>@JL_Apatheia</v>
      </c>
      <c r="C7856" t="s">
        <v>2141</v>
      </c>
      <c r="D7856">
        <v>65</v>
      </c>
      <c r="E7856">
        <v>0</v>
      </c>
      <c r="F7856">
        <v>2386</v>
      </c>
    </row>
    <row r="7857" spans="1:6" ht="12.75">
      <c r="A7857" s="2">
        <v>43881.771087962959</v>
      </c>
      <c r="B7857" t="str">
        <f>HYPERLINK("https://twitter.com/AriMamnk","@AriMamnk")</f>
        <v>@AriMamnk</v>
      </c>
      <c r="C7857" t="s">
        <v>5322</v>
      </c>
      <c r="D7857">
        <v>0</v>
      </c>
      <c r="E7857">
        <v>0</v>
      </c>
      <c r="F7857">
        <v>1</v>
      </c>
    </row>
    <row r="7858" spans="1:6" ht="12.75">
      <c r="A7858" s="2">
        <v>43881.771018518513</v>
      </c>
      <c r="B7858" t="str">
        <f>HYPERLINK("https://twitter.com/ywslah","@ywslah")</f>
        <v>@ywslah</v>
      </c>
      <c r="C7858" t="s">
        <v>5323</v>
      </c>
      <c r="D7858">
        <v>17</v>
      </c>
      <c r="E7858">
        <v>0</v>
      </c>
      <c r="F7858">
        <v>1744</v>
      </c>
    </row>
    <row r="7859" spans="1:6" ht="12.75">
      <c r="A7859" s="2">
        <v>43881.770937499998</v>
      </c>
      <c r="B7859" t="str">
        <f>HYPERLINK("https://twitter.com/KolonelTarzan","@KolonelTarzan")</f>
        <v>@KolonelTarzan</v>
      </c>
      <c r="C7859" t="s">
        <v>5324</v>
      </c>
      <c r="D7859">
        <v>0</v>
      </c>
      <c r="E7859">
        <v>0</v>
      </c>
      <c r="F7859">
        <v>606</v>
      </c>
    </row>
    <row r="7860" spans="1:6" ht="12.75">
      <c r="A7860" s="2">
        <v>43881.770902777775</v>
      </c>
      <c r="B7860" t="str">
        <f>HYPERLINK("https://twitter.com/Anglcaa","@Anglcaa")</f>
        <v>@Anglcaa</v>
      </c>
      <c r="C7860" t="s">
        <v>1407</v>
      </c>
      <c r="D7860">
        <v>9663</v>
      </c>
      <c r="E7860">
        <v>0</v>
      </c>
      <c r="F7860">
        <v>1233</v>
      </c>
    </row>
    <row r="7861" spans="1:6" ht="12.75">
      <c r="A7861" s="2">
        <v>43881.75135416667</v>
      </c>
      <c r="B7861" t="str">
        <f>HYPERLINK("https://twitter.com/azzahra_lsr","@azzahra_lsr")</f>
        <v>@azzahra_lsr</v>
      </c>
      <c r="C7861" t="s">
        <v>177</v>
      </c>
      <c r="D7861">
        <v>359</v>
      </c>
      <c r="E7861">
        <v>0</v>
      </c>
      <c r="F7861">
        <v>120</v>
      </c>
    </row>
    <row r="7862" spans="1:6" ht="12.75">
      <c r="A7862" s="2">
        <v>43881.750949074078</v>
      </c>
      <c r="B7862" t="str">
        <f>HYPERLINK("https://twitter.com/DoniSatriawan8","@DoniSatriawan8")</f>
        <v>@DoniSatriawan8</v>
      </c>
      <c r="C7862" t="s">
        <v>177</v>
      </c>
      <c r="D7862">
        <v>359</v>
      </c>
      <c r="E7862">
        <v>0</v>
      </c>
      <c r="F7862">
        <v>56</v>
      </c>
    </row>
    <row r="7863" spans="1:6" ht="12.75">
      <c r="A7863" s="2">
        <v>43881.750833333332</v>
      </c>
      <c r="B7863" t="str">
        <f>HYPERLINK("https://twitter.com/aniadbgt","@aniadbgt")</f>
        <v>@aniadbgt</v>
      </c>
      <c r="C7863" t="s">
        <v>177</v>
      </c>
      <c r="D7863">
        <v>359</v>
      </c>
      <c r="E7863">
        <v>0</v>
      </c>
      <c r="F7863">
        <v>156</v>
      </c>
    </row>
    <row r="7864" spans="1:6" ht="12.75">
      <c r="A7864" s="2">
        <v>43881.750740740739</v>
      </c>
      <c r="B7864" t="str">
        <f>HYPERLINK("https://twitter.com/IrdamAkbar","@IrdamAkbar")</f>
        <v>@IrdamAkbar</v>
      </c>
      <c r="C7864" t="s">
        <v>513</v>
      </c>
      <c r="D7864">
        <v>23233</v>
      </c>
      <c r="E7864">
        <v>0</v>
      </c>
      <c r="F7864">
        <v>5</v>
      </c>
    </row>
    <row r="7865" spans="1:6" ht="12.75">
      <c r="A7865" s="2">
        <v>43881.750578703708</v>
      </c>
      <c r="B7865" t="str">
        <f>HYPERLINK("https://twitter.com/BatamPos","@BatamPos")</f>
        <v>@BatamPos</v>
      </c>
      <c r="C7865" t="s">
        <v>5325</v>
      </c>
      <c r="D7865">
        <v>0</v>
      </c>
      <c r="E7865">
        <v>0</v>
      </c>
      <c r="F7865">
        <v>67384</v>
      </c>
    </row>
    <row r="7866" spans="1:6" ht="12.75">
      <c r="A7866" s="2">
        <v>43881.750520833331</v>
      </c>
      <c r="B7866" t="str">
        <f>HYPERLINK("https://twitter.com/Lingga_WG","@Lingga_WG")</f>
        <v>@Lingga_WG</v>
      </c>
      <c r="C7866" t="s">
        <v>2141</v>
      </c>
      <c r="D7866">
        <v>44</v>
      </c>
      <c r="E7866">
        <v>0</v>
      </c>
      <c r="F7866">
        <v>546</v>
      </c>
    </row>
    <row r="7867" spans="1:6" ht="12.75">
      <c r="A7867" s="2">
        <v>43881.750462962962</v>
      </c>
      <c r="B7867" t="str">
        <f>HYPERLINK("https://twitter.com/AdindaNaura7","@AdindaNaura7")</f>
        <v>@AdindaNaura7</v>
      </c>
      <c r="C7867" t="s">
        <v>5326</v>
      </c>
      <c r="D7867">
        <v>2</v>
      </c>
      <c r="E7867">
        <v>0</v>
      </c>
      <c r="F7867">
        <v>6</v>
      </c>
    </row>
    <row r="7868" spans="1:6" ht="12.75">
      <c r="A7868" s="2">
        <v>43881.750104166669</v>
      </c>
      <c r="B7868" t="str">
        <f>HYPERLINK("https://twitter.com/DodykAS_P3MDPrb","@DodykAS_P3MDPrb")</f>
        <v>@DodykAS_P3MDPrb</v>
      </c>
      <c r="C7868" t="s">
        <v>177</v>
      </c>
      <c r="D7868">
        <v>359</v>
      </c>
      <c r="E7868">
        <v>0</v>
      </c>
      <c r="F7868">
        <v>1098</v>
      </c>
    </row>
    <row r="7869" spans="1:6" ht="12.75">
      <c r="A7869" s="2">
        <v>43881.750092592592</v>
      </c>
      <c r="B7869" t="str">
        <f>HYPERLINK("https://twitter.com/AderadianDian","@AderadianDian")</f>
        <v>@AderadianDian</v>
      </c>
      <c r="C7869" t="s">
        <v>5327</v>
      </c>
      <c r="D7869">
        <v>0</v>
      </c>
      <c r="E7869">
        <v>0</v>
      </c>
      <c r="F7869">
        <v>46</v>
      </c>
    </row>
    <row r="7870" spans="1:6" ht="12.75">
      <c r="A7870" s="2">
        <v>43881.749907407408</v>
      </c>
      <c r="B7870" t="str">
        <f>HYPERLINK("https://twitter.com/angelinaqueen09","@angelinaqueen09")</f>
        <v>@angelinaqueen09</v>
      </c>
      <c r="C7870" t="s">
        <v>177</v>
      </c>
      <c r="D7870">
        <v>359</v>
      </c>
      <c r="E7870">
        <v>0</v>
      </c>
      <c r="F7870">
        <v>1454</v>
      </c>
    </row>
    <row r="7871" spans="1:6" ht="12.75">
      <c r="A7871" s="2">
        <v>43881.749710648146</v>
      </c>
      <c r="B7871" t="str">
        <f t="shared" ref="B7871:B7872" si="143">HYPERLINK("https://twitter.com/OmarTara_2","@OmarTara_2")</f>
        <v>@OmarTara_2</v>
      </c>
      <c r="C7871" t="s">
        <v>3141</v>
      </c>
      <c r="D7871">
        <v>3</v>
      </c>
      <c r="E7871">
        <v>0</v>
      </c>
      <c r="F7871">
        <v>242</v>
      </c>
    </row>
    <row r="7872" spans="1:6" ht="12.75">
      <c r="A7872" s="2">
        <v>43881.7496875</v>
      </c>
      <c r="B7872" t="str">
        <f t="shared" si="143"/>
        <v>@OmarTara_2</v>
      </c>
      <c r="C7872" t="s">
        <v>4994</v>
      </c>
      <c r="D7872">
        <v>23</v>
      </c>
      <c r="E7872">
        <v>0</v>
      </c>
      <c r="F7872">
        <v>242</v>
      </c>
    </row>
    <row r="7873" spans="1:6" ht="12.75">
      <c r="A7873" s="2">
        <v>43881.749467592592</v>
      </c>
      <c r="B7873" t="str">
        <f>HYPERLINK("https://twitter.com/LukasFriso","@LukasFriso")</f>
        <v>@LukasFriso</v>
      </c>
      <c r="C7873" t="s">
        <v>177</v>
      </c>
      <c r="D7873">
        <v>359</v>
      </c>
      <c r="E7873">
        <v>0</v>
      </c>
      <c r="F7873">
        <v>53</v>
      </c>
    </row>
    <row r="7874" spans="1:6" ht="12.75">
      <c r="A7874" s="2">
        <v>43881.749201388884</v>
      </c>
      <c r="B7874" t="str">
        <f>HYPERLINK("https://twitter.com/deNurtanio","@deNurtanio")</f>
        <v>@deNurtanio</v>
      </c>
      <c r="C7874" t="s">
        <v>3141</v>
      </c>
      <c r="D7874">
        <v>11</v>
      </c>
      <c r="E7874">
        <v>0</v>
      </c>
      <c r="F7874">
        <v>462</v>
      </c>
    </row>
    <row r="7875" spans="1:6" ht="12.75">
      <c r="A7875" s="2">
        <v>43881.748668981483</v>
      </c>
      <c r="B7875" t="str">
        <f>HYPERLINK("https://twitter.com/valentinoroti4","@valentinoroti4")</f>
        <v>@valentinoroti4</v>
      </c>
      <c r="C7875" t="s">
        <v>5328</v>
      </c>
      <c r="D7875">
        <v>0</v>
      </c>
      <c r="E7875">
        <v>0</v>
      </c>
      <c r="F7875">
        <v>7</v>
      </c>
    </row>
    <row r="7876" spans="1:6" ht="12.75">
      <c r="A7876" s="2">
        <v>43881.748518518521</v>
      </c>
      <c r="B7876" t="str">
        <f>HYPERLINK("https://twitter.com/sudjatmiko_seto","@sudjatmiko_seto")</f>
        <v>@sudjatmiko_seto</v>
      </c>
      <c r="C7876" t="s">
        <v>5329</v>
      </c>
      <c r="D7876">
        <v>11</v>
      </c>
      <c r="E7876">
        <v>0</v>
      </c>
      <c r="F7876">
        <v>779</v>
      </c>
    </row>
    <row r="7877" spans="1:6" ht="12.75">
      <c r="A7877" s="2">
        <v>43881.748310185183</v>
      </c>
      <c r="B7877" t="str">
        <f>HYPERLINK("https://twitter.com/KurniawanRicho","@KurniawanRicho")</f>
        <v>@KurniawanRicho</v>
      </c>
      <c r="C7877" t="s">
        <v>177</v>
      </c>
      <c r="D7877">
        <v>359</v>
      </c>
      <c r="E7877">
        <v>0</v>
      </c>
      <c r="F7877">
        <v>578</v>
      </c>
    </row>
    <row r="7878" spans="1:6" ht="12.75">
      <c r="A7878" s="2">
        <v>43881.748194444444</v>
      </c>
      <c r="B7878" t="str">
        <f>HYPERLINK("https://twitter.com/1403Disty","@1403Disty")</f>
        <v>@1403Disty</v>
      </c>
      <c r="C7878" t="s">
        <v>177</v>
      </c>
      <c r="D7878">
        <v>359</v>
      </c>
      <c r="E7878">
        <v>0</v>
      </c>
      <c r="F7878">
        <v>2</v>
      </c>
    </row>
    <row r="7879" spans="1:6" ht="12.75">
      <c r="A7879" s="2">
        <v>43881.74799768519</v>
      </c>
      <c r="B7879" t="str">
        <f>HYPERLINK("https://twitter.com/alctv_id","@alctv_id")</f>
        <v>@alctv_id</v>
      </c>
      <c r="C7879" t="s">
        <v>177</v>
      </c>
      <c r="D7879">
        <v>359</v>
      </c>
      <c r="E7879">
        <v>0</v>
      </c>
      <c r="F7879">
        <v>7</v>
      </c>
    </row>
    <row r="7880" spans="1:6" ht="12.75">
      <c r="A7880" s="2">
        <v>43881.747939814813</v>
      </c>
      <c r="B7880" t="str">
        <f>HYPERLINK("https://twitter.com/plusgap","@plusgap")</f>
        <v>@plusgap</v>
      </c>
      <c r="C7880" t="s">
        <v>5330</v>
      </c>
      <c r="D7880">
        <v>2</v>
      </c>
      <c r="E7880">
        <v>0</v>
      </c>
      <c r="F7880">
        <v>240</v>
      </c>
    </row>
    <row r="7881" spans="1:6" ht="12.75">
      <c r="A7881" s="2">
        <v>43881.747835648144</v>
      </c>
      <c r="B7881" t="str">
        <f>HYPERLINK("https://twitter.com/karinakarinyu","@karinakarinyu")</f>
        <v>@karinakarinyu</v>
      </c>
      <c r="C7881" t="s">
        <v>5327</v>
      </c>
      <c r="D7881">
        <v>0</v>
      </c>
      <c r="E7881">
        <v>0</v>
      </c>
      <c r="F7881">
        <v>25</v>
      </c>
    </row>
    <row r="7882" spans="1:6" ht="12.75">
      <c r="A7882" s="2">
        <v>43881.747233796297</v>
      </c>
      <c r="B7882" t="str">
        <f>HYPERLINK("https://twitter.com/bumburampai","@bumburampai")</f>
        <v>@bumburampai</v>
      </c>
      <c r="C7882" t="s">
        <v>2141</v>
      </c>
      <c r="D7882">
        <v>44</v>
      </c>
      <c r="E7882">
        <v>0</v>
      </c>
      <c r="F7882">
        <v>21</v>
      </c>
    </row>
    <row r="7883" spans="1:6" ht="12.75">
      <c r="A7883" s="2">
        <v>43881.747210648144</v>
      </c>
      <c r="B7883" t="str">
        <f>HYPERLINK("https://twitter.com/dody_kristian","@dody_kristian")</f>
        <v>@dody_kristian</v>
      </c>
      <c r="C7883" t="s">
        <v>177</v>
      </c>
      <c r="D7883">
        <v>359</v>
      </c>
      <c r="E7883">
        <v>0</v>
      </c>
      <c r="F7883">
        <v>126</v>
      </c>
    </row>
    <row r="7884" spans="1:6" ht="12.75">
      <c r="A7884" s="2">
        <v>43881.746874999997</v>
      </c>
      <c r="B7884" t="str">
        <f>HYPERLINK("https://twitter.com/prop0fol","@prop0fol")</f>
        <v>@prop0fol</v>
      </c>
      <c r="C7884" t="s">
        <v>2467</v>
      </c>
      <c r="D7884">
        <v>889</v>
      </c>
      <c r="E7884">
        <v>0</v>
      </c>
      <c r="F7884">
        <v>922</v>
      </c>
    </row>
    <row r="7885" spans="1:6" ht="12.75">
      <c r="A7885" s="2">
        <v>43881.746712962966</v>
      </c>
      <c r="B7885" t="str">
        <f>HYPERLINK("https://twitter.com/muk_ridwan","@muk_ridwan")</f>
        <v>@muk_ridwan</v>
      </c>
      <c r="C7885" t="s">
        <v>5331</v>
      </c>
      <c r="D7885">
        <v>0</v>
      </c>
      <c r="E7885">
        <v>1</v>
      </c>
      <c r="F7885">
        <v>2289</v>
      </c>
    </row>
    <row r="7886" spans="1:6" ht="12.75">
      <c r="A7886" s="2">
        <v>43881.746655092589</v>
      </c>
      <c r="B7886" t="str">
        <f>HYPERLINK("https://twitter.com/RioLTobing1","@RioLTobing1")</f>
        <v>@RioLTobing1</v>
      </c>
      <c r="C7886" t="s">
        <v>5332</v>
      </c>
      <c r="D7886">
        <v>0</v>
      </c>
      <c r="E7886">
        <v>0</v>
      </c>
      <c r="F7886">
        <v>9</v>
      </c>
    </row>
    <row r="7887" spans="1:6" ht="12.75">
      <c r="A7887" s="2">
        <v>43881.746458333335</v>
      </c>
      <c r="B7887" t="str">
        <f>HYPERLINK("https://twitter.com/gamabrata","@gamabrata")</f>
        <v>@gamabrata</v>
      </c>
      <c r="C7887" t="s">
        <v>5333</v>
      </c>
      <c r="D7887">
        <v>0</v>
      </c>
      <c r="E7887">
        <v>0</v>
      </c>
      <c r="F7887">
        <v>126</v>
      </c>
    </row>
    <row r="7888" spans="1:6" ht="12.75">
      <c r="A7888" s="2">
        <v>43881.745428240742</v>
      </c>
      <c r="B7888" t="str">
        <f>HYPERLINK("https://twitter.com/diannovie","@diannovie")</f>
        <v>@diannovie</v>
      </c>
      <c r="C7888" t="s">
        <v>5334</v>
      </c>
      <c r="D7888">
        <v>2</v>
      </c>
      <c r="E7888">
        <v>0</v>
      </c>
      <c r="F7888">
        <v>5521</v>
      </c>
    </row>
    <row r="7889" spans="1:6" ht="12.75">
      <c r="A7889" s="2">
        <v>43881.745312500003</v>
      </c>
      <c r="B7889" t="str">
        <f>HYPERLINK("https://twitter.com/herlambang_tan","@herlambang_tan")</f>
        <v>@herlambang_tan</v>
      </c>
      <c r="C7889" t="s">
        <v>5334</v>
      </c>
      <c r="D7889">
        <v>2</v>
      </c>
      <c r="E7889">
        <v>0</v>
      </c>
      <c r="F7889">
        <v>2364</v>
      </c>
    </row>
    <row r="7890" spans="1:6" ht="12.75">
      <c r="A7890" s="2">
        <v>43881.745289351849</v>
      </c>
      <c r="B7890" t="str">
        <f>HYPERLINK("https://twitter.com/ChristWamea","@ChristWamea")</f>
        <v>@ChristWamea</v>
      </c>
      <c r="C7890" t="s">
        <v>177</v>
      </c>
      <c r="D7890">
        <v>359</v>
      </c>
      <c r="E7890">
        <v>0</v>
      </c>
      <c r="F7890">
        <v>28182</v>
      </c>
    </row>
    <row r="7891" spans="1:6" ht="12.75">
      <c r="A7891" s="2">
        <v>43881.745138888888</v>
      </c>
      <c r="B7891" t="str">
        <f>HYPERLINK("https://twitter.com/bwodoamat","@bwodoamat")</f>
        <v>@bwodoamat</v>
      </c>
      <c r="C7891" t="s">
        <v>177</v>
      </c>
      <c r="D7891">
        <v>359</v>
      </c>
      <c r="E7891">
        <v>0</v>
      </c>
      <c r="F7891">
        <v>802</v>
      </c>
    </row>
    <row r="7892" spans="1:6" ht="12.75">
      <c r="A7892" s="2">
        <v>43881.743784722217</v>
      </c>
      <c r="B7892" t="str">
        <f>HYPERLINK("https://twitter.com/iwansal06725139","@iwansal06725139")</f>
        <v>@iwansal06725139</v>
      </c>
      <c r="C7892" t="s">
        <v>5335</v>
      </c>
      <c r="D7892">
        <v>1</v>
      </c>
      <c r="E7892">
        <v>0</v>
      </c>
      <c r="F7892">
        <v>178</v>
      </c>
    </row>
    <row r="7893" spans="1:6" ht="12.75">
      <c r="A7893" s="2">
        <v>43881.743530092594</v>
      </c>
      <c r="B7893" t="str">
        <f>HYPERLINK("https://twitter.com/republikaonline","@republikaonline")</f>
        <v>@republikaonline</v>
      </c>
      <c r="C7893" t="s">
        <v>5336</v>
      </c>
      <c r="D7893">
        <v>0</v>
      </c>
      <c r="E7893">
        <v>1</v>
      </c>
      <c r="F7893">
        <v>1211563</v>
      </c>
    </row>
    <row r="7894" spans="1:6" ht="12.75">
      <c r="A7894" s="2">
        <v>43881.743125000001</v>
      </c>
      <c r="B7894" t="str">
        <f>HYPERLINK("https://twitter.com/AffJunaedi","@AffJunaedi")</f>
        <v>@AffJunaedi</v>
      </c>
      <c r="C7894" t="s">
        <v>177</v>
      </c>
      <c r="D7894">
        <v>359</v>
      </c>
      <c r="E7894">
        <v>0</v>
      </c>
      <c r="F7894">
        <v>313</v>
      </c>
    </row>
    <row r="7895" spans="1:6" ht="12.75">
      <c r="A7895" s="2">
        <v>43881.743055555555</v>
      </c>
      <c r="B7895" t="str">
        <f>HYPERLINK("https://twitter.com/Andreyas07","@Andreyas07")</f>
        <v>@Andreyas07</v>
      </c>
      <c r="C7895" t="s">
        <v>177</v>
      </c>
      <c r="D7895">
        <v>359</v>
      </c>
      <c r="E7895">
        <v>0</v>
      </c>
      <c r="F7895">
        <v>420</v>
      </c>
    </row>
    <row r="7896" spans="1:6" ht="12.75">
      <c r="A7896" s="2">
        <v>43881.742719907408</v>
      </c>
      <c r="B7896" t="str">
        <f>HYPERLINK("https://twitter.com/muk_ridwan","@muk_ridwan")</f>
        <v>@muk_ridwan</v>
      </c>
      <c r="C7896" t="s">
        <v>5337</v>
      </c>
      <c r="D7896">
        <v>2</v>
      </c>
      <c r="E7896">
        <v>3</v>
      </c>
      <c r="F7896">
        <v>2289</v>
      </c>
    </row>
    <row r="7897" spans="1:6" ht="12.75">
      <c r="A7897" s="2">
        <v>43881.742581018523</v>
      </c>
      <c r="B7897" t="str">
        <f>HYPERLINK("https://twitter.com/Ai_Alwii_","@Ai_Alwii_")</f>
        <v>@Ai_Alwii_</v>
      </c>
      <c r="C7897" t="s">
        <v>5338</v>
      </c>
      <c r="D7897">
        <v>1</v>
      </c>
      <c r="E7897">
        <v>1</v>
      </c>
      <c r="F7897">
        <v>815</v>
      </c>
    </row>
    <row r="7898" spans="1:6" ht="12.75">
      <c r="A7898" s="2">
        <v>43881.742349537039</v>
      </c>
      <c r="B7898" t="str">
        <f>HYPERLINK("https://twitter.com/salsabila0307","@salsabila0307")</f>
        <v>@salsabila0307</v>
      </c>
      <c r="C7898" t="s">
        <v>5339</v>
      </c>
      <c r="D7898">
        <v>0</v>
      </c>
      <c r="E7898">
        <v>0</v>
      </c>
      <c r="F7898">
        <v>4352</v>
      </c>
    </row>
    <row r="7899" spans="1:6" ht="12.75">
      <c r="A7899" s="2">
        <v>43881.742337962962</v>
      </c>
      <c r="B7899" t="str">
        <f>HYPERLINK("https://twitter.com/jiannext","@jiannext")</f>
        <v>@jiannext</v>
      </c>
      <c r="C7899" t="s">
        <v>177</v>
      </c>
      <c r="D7899">
        <v>359</v>
      </c>
      <c r="E7899">
        <v>0</v>
      </c>
      <c r="F7899">
        <v>43</v>
      </c>
    </row>
    <row r="7900" spans="1:6" ht="12.75">
      <c r="A7900" s="2">
        <v>43881.74217592593</v>
      </c>
      <c r="B7900" t="str">
        <f>HYPERLINK("https://twitter.com/diahtina15","@diahtina15")</f>
        <v>@diahtina15</v>
      </c>
      <c r="C7900" t="s">
        <v>177</v>
      </c>
      <c r="D7900">
        <v>359</v>
      </c>
      <c r="E7900">
        <v>0</v>
      </c>
      <c r="F7900">
        <v>341</v>
      </c>
    </row>
    <row r="7901" spans="1:6" ht="12.75">
      <c r="A7901" s="2">
        <v>43881.741574074069</v>
      </c>
      <c r="B7901" t="str">
        <f>HYPERLINK("https://twitter.com/salsabila0307","@salsabila0307")</f>
        <v>@salsabila0307</v>
      </c>
      <c r="C7901" t="s">
        <v>5340</v>
      </c>
      <c r="D7901">
        <v>0</v>
      </c>
      <c r="E7901">
        <v>0</v>
      </c>
      <c r="F7901">
        <v>4352</v>
      </c>
    </row>
    <row r="7902" spans="1:6" ht="12.75">
      <c r="A7902" s="2">
        <v>43881.740995370375</v>
      </c>
      <c r="B7902" t="str">
        <f>HYPERLINK("https://twitter.com/saksi_ahli","@saksi_ahli")</f>
        <v>@saksi_ahli</v>
      </c>
      <c r="C7902" t="s">
        <v>5341</v>
      </c>
      <c r="D7902">
        <v>2</v>
      </c>
      <c r="E7902">
        <v>0</v>
      </c>
      <c r="F7902">
        <v>36</v>
      </c>
    </row>
    <row r="7903" spans="1:6" ht="12.75">
      <c r="A7903" s="2">
        <v>43881.740636574075</v>
      </c>
      <c r="B7903" t="str">
        <f>HYPERLINK("https://twitter.com/ibccrsh","@ibccrsh")</f>
        <v>@ibccrsh</v>
      </c>
      <c r="C7903" t="s">
        <v>513</v>
      </c>
      <c r="D7903">
        <v>23233</v>
      </c>
      <c r="E7903">
        <v>0</v>
      </c>
      <c r="F7903">
        <v>1331</v>
      </c>
    </row>
    <row r="7904" spans="1:6" ht="12.75">
      <c r="A7904" s="2">
        <v>43881.740162037036</v>
      </c>
      <c r="B7904" t="str">
        <f>HYPERLINK("https://twitter.com/AlifiaRhomadoni","@AlifiaRhomadoni")</f>
        <v>@AlifiaRhomadoni</v>
      </c>
      <c r="C7904" t="s">
        <v>177</v>
      </c>
      <c r="D7904">
        <v>359</v>
      </c>
      <c r="E7904">
        <v>0</v>
      </c>
      <c r="F7904">
        <v>3</v>
      </c>
    </row>
    <row r="7905" spans="1:6" ht="12.75">
      <c r="A7905" s="2">
        <v>43881.739953703705</v>
      </c>
      <c r="B7905" t="str">
        <f>HYPERLINK("https://twitter.com/kitsiangfreddy","@kitsiangfreddy")</f>
        <v>@kitsiangfreddy</v>
      </c>
      <c r="C7905" t="s">
        <v>177</v>
      </c>
      <c r="D7905">
        <v>359</v>
      </c>
      <c r="E7905">
        <v>0</v>
      </c>
      <c r="F7905">
        <v>1590</v>
      </c>
    </row>
    <row r="7906" spans="1:6" ht="12.75">
      <c r="A7906" s="2">
        <v>43881.739849537036</v>
      </c>
      <c r="B7906" t="str">
        <f>HYPERLINK("https://twitter.com/AndiAriadi10","@AndiAriadi10")</f>
        <v>@AndiAriadi10</v>
      </c>
      <c r="C7906" t="s">
        <v>177</v>
      </c>
      <c r="D7906">
        <v>359</v>
      </c>
      <c r="E7906">
        <v>0</v>
      </c>
      <c r="F7906">
        <v>15</v>
      </c>
    </row>
    <row r="7907" spans="1:6" ht="12.75">
      <c r="A7907" s="2">
        <v>43881.739641203705</v>
      </c>
      <c r="B7907" t="str">
        <f>HYPERLINK("https://twitter.com/johnthamrun","@johnthamrun")</f>
        <v>@johnthamrun</v>
      </c>
      <c r="C7907" t="s">
        <v>5342</v>
      </c>
      <c r="D7907">
        <v>0</v>
      </c>
      <c r="E7907">
        <v>0</v>
      </c>
      <c r="F7907">
        <v>247</v>
      </c>
    </row>
    <row r="7908" spans="1:6" ht="12.75">
      <c r="A7908" s="2">
        <v>43881.739606481482</v>
      </c>
      <c r="B7908" t="str">
        <f>HYPERLINK("https://twitter.com/g0bell_78","@g0bell_78")</f>
        <v>@g0bell_78</v>
      </c>
      <c r="C7908" t="s">
        <v>4360</v>
      </c>
      <c r="D7908">
        <v>167</v>
      </c>
      <c r="E7908">
        <v>0</v>
      </c>
      <c r="F7908">
        <v>2828</v>
      </c>
    </row>
    <row r="7909" spans="1:6" ht="12.75">
      <c r="A7909" s="2">
        <v>43881.739317129628</v>
      </c>
      <c r="B7909" t="str">
        <f>HYPERLINK("https://twitter.com/jayaadri4","@jayaadri4")</f>
        <v>@jayaadri4</v>
      </c>
      <c r="C7909" t="s">
        <v>5343</v>
      </c>
      <c r="D7909">
        <v>0</v>
      </c>
      <c r="E7909">
        <v>0</v>
      </c>
      <c r="F7909">
        <v>9</v>
      </c>
    </row>
    <row r="7910" spans="1:6" ht="12.75">
      <c r="A7910" s="2">
        <v>43881.739305555559</v>
      </c>
      <c r="B7910" t="str">
        <f>HYPERLINK("https://twitter.com/WealB_174","@WealB_174")</f>
        <v>@WealB_174</v>
      </c>
      <c r="C7910" t="s">
        <v>177</v>
      </c>
      <c r="D7910">
        <v>359</v>
      </c>
      <c r="E7910">
        <v>0</v>
      </c>
      <c r="F7910">
        <v>33</v>
      </c>
    </row>
    <row r="7911" spans="1:6" ht="12.75">
      <c r="A7911" s="2">
        <v>43881.739212962959</v>
      </c>
      <c r="B7911" t="str">
        <f>HYPERLINK("https://twitter.com/frutistoberi","@frutistoberi")</f>
        <v>@frutistoberi</v>
      </c>
      <c r="C7911" t="s">
        <v>513</v>
      </c>
      <c r="D7911">
        <v>23233</v>
      </c>
      <c r="E7911">
        <v>0</v>
      </c>
      <c r="F7911">
        <v>354</v>
      </c>
    </row>
    <row r="7912" spans="1:6" ht="12.75">
      <c r="A7912" s="2">
        <v>43881.739155092597</v>
      </c>
      <c r="B7912" t="str">
        <f>HYPERLINK("https://twitter.com/iina_surbakti","@iina_surbakti")</f>
        <v>@iina_surbakti</v>
      </c>
      <c r="C7912" t="s">
        <v>177</v>
      </c>
      <c r="D7912">
        <v>359</v>
      </c>
      <c r="E7912">
        <v>0</v>
      </c>
      <c r="F7912">
        <v>560</v>
      </c>
    </row>
    <row r="7913" spans="1:6" ht="12.75">
      <c r="A7913" s="2">
        <v>43881.738298611112</v>
      </c>
      <c r="B7913" t="str">
        <f>HYPERLINK("https://twitter.com/tribunnews","@tribunnews")</f>
        <v>@tribunnews</v>
      </c>
      <c r="C7913" t="s">
        <v>5344</v>
      </c>
      <c r="D7913">
        <v>2</v>
      </c>
      <c r="E7913">
        <v>3</v>
      </c>
      <c r="F7913">
        <v>877417</v>
      </c>
    </row>
    <row r="7914" spans="1:6" ht="12.75">
      <c r="A7914" s="2">
        <v>43881.738229166665</v>
      </c>
      <c r="B7914" t="str">
        <f>HYPERLINK("https://twitter.com/anaesterlin","@anaesterlin")</f>
        <v>@anaesterlin</v>
      </c>
      <c r="C7914" t="s">
        <v>177</v>
      </c>
      <c r="D7914">
        <v>359</v>
      </c>
      <c r="E7914">
        <v>0</v>
      </c>
      <c r="F7914">
        <v>1771</v>
      </c>
    </row>
    <row r="7915" spans="1:6" ht="12.75">
      <c r="A7915" s="2">
        <v>43881.738067129627</v>
      </c>
      <c r="B7915" t="str">
        <f>HYPERLINK("https://twitter.com/RivaldiZakie","@RivaldiZakie")</f>
        <v>@RivaldiZakie</v>
      </c>
      <c r="C7915" t="s">
        <v>177</v>
      </c>
      <c r="D7915">
        <v>359</v>
      </c>
      <c r="E7915">
        <v>0</v>
      </c>
      <c r="F7915">
        <v>15</v>
      </c>
    </row>
    <row r="7916" spans="1:6" ht="12.75">
      <c r="A7916" s="2">
        <v>43881.737638888888</v>
      </c>
      <c r="B7916" t="str">
        <f>HYPERLINK("https://twitter.com/HannaAriTriN1","@HannaAriTriN1")</f>
        <v>@HannaAriTriN1</v>
      </c>
      <c r="C7916" t="s">
        <v>5345</v>
      </c>
      <c r="D7916">
        <v>0</v>
      </c>
      <c r="E7916">
        <v>1</v>
      </c>
      <c r="F7916">
        <v>27</v>
      </c>
    </row>
    <row r="7917" spans="1:6" ht="12.75">
      <c r="A7917" s="2">
        <v>43881.73737268518</v>
      </c>
      <c r="B7917" t="str">
        <f>HYPERLINK("https://twitter.com/minrikaa_","@minrikaa_")</f>
        <v>@minrikaa_</v>
      </c>
      <c r="C7917" t="s">
        <v>177</v>
      </c>
      <c r="D7917">
        <v>359</v>
      </c>
      <c r="E7917">
        <v>0</v>
      </c>
      <c r="F7917">
        <v>9</v>
      </c>
    </row>
    <row r="7918" spans="1:6" ht="12.75">
      <c r="A7918" s="2">
        <v>43881.737303240741</v>
      </c>
      <c r="B7918" t="str">
        <f>HYPERLINK("https://twitter.com/azzikukuh","@azzikukuh")</f>
        <v>@azzikukuh</v>
      </c>
      <c r="C7918" t="s">
        <v>2141</v>
      </c>
      <c r="D7918">
        <v>44</v>
      </c>
      <c r="E7918">
        <v>0</v>
      </c>
      <c r="F7918">
        <v>355</v>
      </c>
    </row>
    <row r="7919" spans="1:6" ht="12.75">
      <c r="A7919" s="2">
        <v>43881.737037037034</v>
      </c>
      <c r="B7919" t="str">
        <f>HYPERLINK("https://twitter.com/sam_alee","@sam_alee")</f>
        <v>@sam_alee</v>
      </c>
      <c r="C7919" t="s">
        <v>4994</v>
      </c>
      <c r="D7919">
        <v>23</v>
      </c>
      <c r="E7919">
        <v>0</v>
      </c>
      <c r="F7919">
        <v>2010</v>
      </c>
    </row>
    <row r="7920" spans="1:6" ht="12.75">
      <c r="A7920" s="2">
        <v>43881.737013888887</v>
      </c>
      <c r="B7920" t="str">
        <f>HYPERLINK("https://twitter.com/Divasarvasti","@Divasarvasti")</f>
        <v>@Divasarvasti</v>
      </c>
      <c r="C7920" t="s">
        <v>177</v>
      </c>
      <c r="D7920">
        <v>359</v>
      </c>
      <c r="E7920">
        <v>0</v>
      </c>
      <c r="F7920">
        <v>5</v>
      </c>
    </row>
    <row r="7921" spans="1:6" ht="12.75">
      <c r="A7921" s="2">
        <v>43881.736967592587</v>
      </c>
      <c r="B7921" t="str">
        <f>HYPERLINK("https://twitter.com/lili__lives","@lili__lives")</f>
        <v>@lili__lives</v>
      </c>
      <c r="C7921" t="s">
        <v>177</v>
      </c>
      <c r="D7921">
        <v>359</v>
      </c>
      <c r="E7921">
        <v>0</v>
      </c>
      <c r="F7921">
        <v>526</v>
      </c>
    </row>
    <row r="7922" spans="1:6" ht="12.75">
      <c r="A7922" s="2">
        <v>43881.736921296295</v>
      </c>
      <c r="B7922" t="str">
        <f>HYPERLINK("https://twitter.com/rezkiSR1","@rezkiSR1")</f>
        <v>@rezkiSR1</v>
      </c>
      <c r="C7922" t="s">
        <v>177</v>
      </c>
      <c r="D7922">
        <v>359</v>
      </c>
      <c r="E7922">
        <v>0</v>
      </c>
      <c r="F7922">
        <v>15</v>
      </c>
    </row>
    <row r="7923" spans="1:6" ht="12.75">
      <c r="A7923" s="2">
        <v>43881.736655092594</v>
      </c>
      <c r="B7923" t="str">
        <f>HYPERLINK("https://twitter.com/BaraFaba","@BaraFaba")</f>
        <v>@BaraFaba</v>
      </c>
      <c r="C7923" t="s">
        <v>5346</v>
      </c>
      <c r="D7923">
        <v>0</v>
      </c>
      <c r="E7923">
        <v>0</v>
      </c>
      <c r="F7923">
        <v>40</v>
      </c>
    </row>
    <row r="7924" spans="1:6" ht="12.75">
      <c r="A7924" s="2">
        <v>43881.736168981486</v>
      </c>
      <c r="B7924" t="str">
        <f>HYPERLINK("https://twitter.com/sitinafisah15","@sitinafisah15")</f>
        <v>@sitinafisah15</v>
      </c>
      <c r="C7924" t="s">
        <v>3278</v>
      </c>
      <c r="D7924">
        <v>99</v>
      </c>
      <c r="E7924">
        <v>0</v>
      </c>
      <c r="F7924">
        <v>543</v>
      </c>
    </row>
    <row r="7925" spans="1:6" ht="12.75">
      <c r="A7925" s="2">
        <v>43881.736134259263</v>
      </c>
      <c r="B7925" t="str">
        <f>HYPERLINK("https://twitter.com/suryadi200x","@suryadi200x")</f>
        <v>@suryadi200x</v>
      </c>
      <c r="C7925" t="s">
        <v>5347</v>
      </c>
      <c r="D7925">
        <v>0</v>
      </c>
      <c r="E7925">
        <v>0</v>
      </c>
      <c r="F7925">
        <v>0</v>
      </c>
    </row>
    <row r="7926" spans="1:6" ht="12.75">
      <c r="A7926" s="2">
        <v>43881.735891203702</v>
      </c>
      <c r="B7926" t="str">
        <f>HYPERLINK("https://twitter.com/AlmutoharU","@AlmutoharU")</f>
        <v>@AlmutoharU</v>
      </c>
      <c r="C7926" t="s">
        <v>3141</v>
      </c>
      <c r="D7926">
        <v>11</v>
      </c>
      <c r="E7926">
        <v>0</v>
      </c>
      <c r="F7926">
        <v>2196</v>
      </c>
    </row>
    <row r="7927" spans="1:6" ht="12.75">
      <c r="A7927" s="2">
        <v>43881.735694444447</v>
      </c>
      <c r="B7927" t="str">
        <f>HYPERLINK("https://twitter.com/Lyasingoastro","@Lyasingoastro")</f>
        <v>@Lyasingoastro</v>
      </c>
      <c r="C7927" t="s">
        <v>5348</v>
      </c>
      <c r="D7927">
        <v>7</v>
      </c>
      <c r="E7927">
        <v>0</v>
      </c>
      <c r="F7927">
        <v>528</v>
      </c>
    </row>
    <row r="7928" spans="1:6" ht="12.75">
      <c r="A7928" s="2">
        <v>43881.735219907408</v>
      </c>
      <c r="B7928" t="str">
        <f>HYPERLINK("https://twitter.com/TJumiat","@TJumiat")</f>
        <v>@TJumiat</v>
      </c>
      <c r="C7928" t="s">
        <v>177</v>
      </c>
      <c r="D7928">
        <v>359</v>
      </c>
      <c r="E7928">
        <v>0</v>
      </c>
      <c r="F7928">
        <v>156</v>
      </c>
    </row>
    <row r="7929" spans="1:6" ht="12.75">
      <c r="A7929" s="2">
        <v>43881.73510416667</v>
      </c>
      <c r="B7929" t="str">
        <f>HYPERLINK("https://twitter.com/CecepSyam","@CecepSyam")</f>
        <v>@CecepSyam</v>
      </c>
      <c r="C7929" t="s">
        <v>4994</v>
      </c>
      <c r="D7929">
        <v>23</v>
      </c>
      <c r="E7929">
        <v>0</v>
      </c>
      <c r="F7929">
        <v>829</v>
      </c>
    </row>
    <row r="7930" spans="1:6" ht="12.75">
      <c r="A7930" s="2">
        <v>43881.735069444447</v>
      </c>
      <c r="B7930" t="str">
        <f>HYPERLINK("https://twitter.com/piinkishblue","@piinkishblue")</f>
        <v>@piinkishblue</v>
      </c>
      <c r="C7930" t="s">
        <v>2745</v>
      </c>
      <c r="D7930">
        <v>12265</v>
      </c>
      <c r="E7930">
        <v>0</v>
      </c>
      <c r="F7930">
        <v>35</v>
      </c>
    </row>
    <row r="7931" spans="1:6" ht="12.75">
      <c r="A7931" s="2">
        <v>43881.734953703708</v>
      </c>
      <c r="B7931" t="str">
        <f>HYPERLINK("https://twitter.com/nhikmah660","@nhikmah660")</f>
        <v>@nhikmah660</v>
      </c>
      <c r="C7931" t="s">
        <v>1407</v>
      </c>
      <c r="D7931">
        <v>9648</v>
      </c>
      <c r="E7931">
        <v>0</v>
      </c>
      <c r="F7931">
        <v>20</v>
      </c>
    </row>
    <row r="7932" spans="1:6" ht="12.75">
      <c r="A7932" s="2">
        <v>43881.734942129631</v>
      </c>
      <c r="B7932" t="str">
        <f>HYPERLINK("https://twitter.com/HipHapip","@HipHapip")</f>
        <v>@HipHapip</v>
      </c>
      <c r="C7932" t="s">
        <v>5349</v>
      </c>
      <c r="D7932">
        <v>0</v>
      </c>
      <c r="E7932">
        <v>0</v>
      </c>
      <c r="F7932">
        <v>7</v>
      </c>
    </row>
    <row r="7933" spans="1:6" ht="12.75">
      <c r="A7933" s="2">
        <v>43881.734502314815</v>
      </c>
      <c r="B7933" t="str">
        <f>HYPERLINK("https://twitter.com/dik_genPetir","@dik_genPetir")</f>
        <v>@dik_genPetir</v>
      </c>
      <c r="C7933" t="s">
        <v>177</v>
      </c>
      <c r="D7933">
        <v>359</v>
      </c>
      <c r="E7933">
        <v>0</v>
      </c>
      <c r="F7933">
        <v>340</v>
      </c>
    </row>
    <row r="7934" spans="1:6" ht="12.75">
      <c r="A7934" s="2">
        <v>43881.734340277777</v>
      </c>
      <c r="B7934" t="str">
        <f>HYPERLINK("https://twitter.com/ceknricekcom_id","@ceknricekcom_id")</f>
        <v>@ceknricekcom_id</v>
      </c>
      <c r="C7934" t="s">
        <v>5350</v>
      </c>
      <c r="D7934">
        <v>0</v>
      </c>
      <c r="E7934">
        <v>0</v>
      </c>
      <c r="F7934">
        <v>29560</v>
      </c>
    </row>
    <row r="7935" spans="1:6" ht="12.75">
      <c r="A7935" s="2">
        <v>43881.734050925923</v>
      </c>
      <c r="B7935" t="str">
        <f>HYPERLINK("https://twitter.com/__lelaamuslimin","@__lelaamuslimin")</f>
        <v>@__lelaamuslimin</v>
      </c>
      <c r="C7935" t="s">
        <v>2141</v>
      </c>
      <c r="D7935">
        <v>44</v>
      </c>
      <c r="E7935">
        <v>0</v>
      </c>
      <c r="F7935">
        <v>701</v>
      </c>
    </row>
    <row r="7936" spans="1:6" ht="12.75">
      <c r="A7936" s="2">
        <v>43881.733935185184</v>
      </c>
      <c r="B7936" t="str">
        <f>HYPERLINK("https://twitter.com/kiasleo","@kiasleo")</f>
        <v>@kiasleo</v>
      </c>
      <c r="C7936" t="s">
        <v>177</v>
      </c>
      <c r="D7936">
        <v>359</v>
      </c>
      <c r="E7936">
        <v>0</v>
      </c>
      <c r="F7936">
        <v>627</v>
      </c>
    </row>
    <row r="7937" spans="1:6" ht="12.75">
      <c r="A7937" s="2">
        <v>43881.733611111107</v>
      </c>
      <c r="B7937" t="str">
        <f>HYPERLINK("https://twitter.com/berbiewww","@berbiewww")</f>
        <v>@berbiewww</v>
      </c>
      <c r="C7937" t="s">
        <v>1407</v>
      </c>
      <c r="D7937">
        <v>9648</v>
      </c>
      <c r="E7937">
        <v>0</v>
      </c>
      <c r="F7937">
        <v>231</v>
      </c>
    </row>
    <row r="7938" spans="1:6" ht="12.75">
      <c r="A7938" s="2">
        <v>43881.732847222222</v>
      </c>
      <c r="B7938" t="str">
        <f>HYPERLINK("https://twitter.com/naughtaeh","@naughtaeh")</f>
        <v>@naughtaeh</v>
      </c>
      <c r="C7938" t="s">
        <v>177</v>
      </c>
      <c r="D7938">
        <v>359</v>
      </c>
      <c r="E7938">
        <v>0</v>
      </c>
      <c r="F7938">
        <v>1068</v>
      </c>
    </row>
    <row r="7939" spans="1:6" ht="12.75">
      <c r="A7939" s="2">
        <v>43881.732557870375</v>
      </c>
      <c r="B7939" t="str">
        <f>HYPERLINK("https://twitter.com/qosyim_rosidy","@qosyim_rosidy")</f>
        <v>@qosyim_rosidy</v>
      </c>
      <c r="C7939" t="s">
        <v>177</v>
      </c>
      <c r="D7939">
        <v>359</v>
      </c>
      <c r="E7939">
        <v>0</v>
      </c>
      <c r="F7939">
        <v>1485</v>
      </c>
    </row>
    <row r="7940" spans="1:6" ht="12.75">
      <c r="A7940" s="2">
        <v>43881.731805555552</v>
      </c>
      <c r="B7940" t="str">
        <f>HYPERLINK("https://twitter.com/LaingenLisa","@LaingenLisa")</f>
        <v>@LaingenLisa</v>
      </c>
      <c r="C7940" t="s">
        <v>177</v>
      </c>
      <c r="D7940">
        <v>359</v>
      </c>
      <c r="E7940">
        <v>0</v>
      </c>
      <c r="F7940">
        <v>3166</v>
      </c>
    </row>
    <row r="7941" spans="1:6" ht="12.75">
      <c r="A7941" s="2">
        <v>43881.731793981482</v>
      </c>
      <c r="B7941" t="str">
        <f>HYPERLINK("https://twitter.com/antaranews","@antaranews")</f>
        <v>@antaranews</v>
      </c>
      <c r="C7941" t="s">
        <v>5351</v>
      </c>
      <c r="D7941">
        <v>0</v>
      </c>
      <c r="E7941">
        <v>5</v>
      </c>
      <c r="F7941">
        <v>1104147</v>
      </c>
    </row>
    <row r="7942" spans="1:6" ht="12.75">
      <c r="A7942" s="2">
        <v>43881.731516203705</v>
      </c>
      <c r="B7942" t="str">
        <f>HYPERLINK("https://twitter.com/pongkyagung","@pongkyagung")</f>
        <v>@pongkyagung</v>
      </c>
      <c r="C7942" t="s">
        <v>4360</v>
      </c>
      <c r="D7942">
        <v>167</v>
      </c>
      <c r="E7942">
        <v>0</v>
      </c>
      <c r="F7942">
        <v>428</v>
      </c>
    </row>
    <row r="7943" spans="1:6" ht="12.75">
      <c r="A7943" s="2">
        <v>43881.731354166666</v>
      </c>
      <c r="B7943" t="str">
        <f>HYPERLINK("https://twitter.com/DetaxId","@DetaxId")</f>
        <v>@DetaxId</v>
      </c>
      <c r="C7943" t="s">
        <v>5352</v>
      </c>
      <c r="D7943">
        <v>0</v>
      </c>
      <c r="E7943">
        <v>0</v>
      </c>
      <c r="F7943">
        <v>46</v>
      </c>
    </row>
    <row r="7944" spans="1:6" ht="12.75">
      <c r="A7944" s="2">
        <v>43881.731273148151</v>
      </c>
      <c r="B7944" t="str">
        <f>HYPERLINK("https://twitter.com/gs2_hardiansyah","@gs2_hardiansyah")</f>
        <v>@gs2_hardiansyah</v>
      </c>
      <c r="C7944" t="s">
        <v>177</v>
      </c>
      <c r="D7944">
        <v>359</v>
      </c>
      <c r="E7944">
        <v>0</v>
      </c>
      <c r="F7944">
        <v>520</v>
      </c>
    </row>
    <row r="7945" spans="1:6" ht="12.75">
      <c r="A7945" s="2">
        <v>43881.730729166666</v>
      </c>
      <c r="B7945" t="str">
        <f>HYPERLINK("https://twitter.com/BobbySrn","@BobbySrn")</f>
        <v>@BobbySrn</v>
      </c>
      <c r="C7945" t="s">
        <v>177</v>
      </c>
      <c r="D7945">
        <v>359</v>
      </c>
      <c r="E7945">
        <v>0</v>
      </c>
      <c r="F7945">
        <v>84</v>
      </c>
    </row>
    <row r="7946" spans="1:6" ht="12.75">
      <c r="A7946" s="2">
        <v>43881.73028935185</v>
      </c>
      <c r="B7946" t="str">
        <f>HYPERLINK("https://twitter.com/arrfhdayt","@arrfhdayt")</f>
        <v>@arrfhdayt</v>
      </c>
      <c r="C7946" t="s">
        <v>5353</v>
      </c>
      <c r="D7946">
        <v>0</v>
      </c>
      <c r="E7946">
        <v>0</v>
      </c>
      <c r="F7946">
        <v>362</v>
      </c>
    </row>
    <row r="7947" spans="1:6" ht="12.75">
      <c r="A7947" s="2">
        <v>43881.730243055557</v>
      </c>
      <c r="B7947" t="str">
        <f>HYPERLINK("https://twitter.com/anggiapriliiaa","@anggiapriliiaa")</f>
        <v>@anggiapriliiaa</v>
      </c>
      <c r="C7947" t="s">
        <v>177</v>
      </c>
      <c r="D7947">
        <v>359</v>
      </c>
      <c r="E7947">
        <v>0</v>
      </c>
      <c r="F7947">
        <v>730</v>
      </c>
    </row>
    <row r="7948" spans="1:6" ht="12.75">
      <c r="A7948" s="2">
        <v>43881.729988425926</v>
      </c>
      <c r="B7948" t="str">
        <f>HYPERLINK("https://twitter.com/beritalimacom","@beritalimacom")</f>
        <v>@beritalimacom</v>
      </c>
      <c r="C7948" t="s">
        <v>5170</v>
      </c>
      <c r="D7948">
        <v>0</v>
      </c>
      <c r="E7948">
        <v>0</v>
      </c>
      <c r="F7948">
        <v>1447</v>
      </c>
    </row>
    <row r="7949" spans="1:6" ht="12.75">
      <c r="A7949" s="2">
        <v>43881.729733796295</v>
      </c>
      <c r="B7949" t="str">
        <f>HYPERLINK("https://twitter.com/lionintheTable_","@lionintheTable_")</f>
        <v>@lionintheTable_</v>
      </c>
      <c r="C7949" t="s">
        <v>5354</v>
      </c>
      <c r="D7949">
        <v>0</v>
      </c>
      <c r="E7949">
        <v>0</v>
      </c>
      <c r="F7949">
        <v>3</v>
      </c>
    </row>
    <row r="7950" spans="1:6" ht="12.75">
      <c r="A7950" s="2">
        <v>43881.729664351849</v>
      </c>
      <c r="B7950" t="str">
        <f>HYPERLINK("https://twitter.com/F3K4R","@F3K4R")</f>
        <v>@F3K4R</v>
      </c>
      <c r="C7950" t="s">
        <v>177</v>
      </c>
      <c r="D7950">
        <v>359</v>
      </c>
      <c r="E7950">
        <v>0</v>
      </c>
      <c r="F7950">
        <v>5296</v>
      </c>
    </row>
    <row r="7951" spans="1:6" ht="12.75">
      <c r="A7951" s="2">
        <v>43881.729618055557</v>
      </c>
      <c r="B7951" t="str">
        <f t="shared" ref="B7951:B7952" si="144">HYPERLINK("https://twitter.com/annsandryn","@annsandryn")</f>
        <v>@annsandryn</v>
      </c>
      <c r="C7951" t="s">
        <v>4769</v>
      </c>
      <c r="D7951">
        <v>4</v>
      </c>
      <c r="E7951">
        <v>0</v>
      </c>
      <c r="F7951">
        <v>235</v>
      </c>
    </row>
    <row r="7952" spans="1:6" ht="12.75">
      <c r="A7952" s="2">
        <v>43881.729444444441</v>
      </c>
      <c r="B7952" t="str">
        <f t="shared" si="144"/>
        <v>@annsandryn</v>
      </c>
      <c r="C7952" t="s">
        <v>177</v>
      </c>
      <c r="D7952">
        <v>359</v>
      </c>
      <c r="E7952">
        <v>0</v>
      </c>
      <c r="F7952">
        <v>235</v>
      </c>
    </row>
    <row r="7953" spans="1:6" ht="12.75">
      <c r="A7953" s="2">
        <v>43881.729328703703</v>
      </c>
      <c r="B7953" t="str">
        <f>HYPERLINK("https://twitter.com/aulia2199","@aulia2199")</f>
        <v>@aulia2199</v>
      </c>
      <c r="C7953" t="s">
        <v>177</v>
      </c>
      <c r="D7953">
        <v>359</v>
      </c>
      <c r="E7953">
        <v>0</v>
      </c>
      <c r="F7953">
        <v>121</v>
      </c>
    </row>
    <row r="7954" spans="1:6" ht="12.75">
      <c r="A7954" s="2">
        <v>43881.729074074072</v>
      </c>
      <c r="B7954" t="str">
        <f>HYPERLINK("https://twitter.com/Jacky20091","@Jacky20091")</f>
        <v>@Jacky20091</v>
      </c>
      <c r="C7954" t="s">
        <v>177</v>
      </c>
      <c r="D7954">
        <v>359</v>
      </c>
      <c r="E7954">
        <v>0</v>
      </c>
      <c r="F7954">
        <v>180</v>
      </c>
    </row>
    <row r="7955" spans="1:6" ht="12.75">
      <c r="A7955" s="2">
        <v>43881.728749999995</v>
      </c>
      <c r="B7955" t="str">
        <f>HYPERLINK("https://twitter.com/Iler69Merda","@Iler69Merda")</f>
        <v>@Iler69Merda</v>
      </c>
      <c r="C7955" t="s">
        <v>2141</v>
      </c>
      <c r="D7955">
        <v>44</v>
      </c>
      <c r="E7955">
        <v>0</v>
      </c>
      <c r="F7955">
        <v>39</v>
      </c>
    </row>
    <row r="7956" spans="1:6" ht="12.75">
      <c r="A7956" s="2">
        <v>43881.728726851856</v>
      </c>
      <c r="B7956" t="str">
        <f>HYPERLINK("https://twitter.com/DedeWah70824344","@DedeWah70824344")</f>
        <v>@DedeWah70824344</v>
      </c>
      <c r="C7956" t="s">
        <v>5355</v>
      </c>
      <c r="D7956">
        <v>0</v>
      </c>
      <c r="E7956">
        <v>0</v>
      </c>
      <c r="F7956">
        <v>4</v>
      </c>
    </row>
    <row r="7957" spans="1:6" ht="12.75">
      <c r="A7957" s="2">
        <v>43881.728622685187</v>
      </c>
      <c r="B7957" t="str">
        <f>HYPERLINK("https://twitter.com/__rii_0324","@__rii_0324")</f>
        <v>@__rii_0324</v>
      </c>
      <c r="C7957" t="s">
        <v>5356</v>
      </c>
      <c r="D7957">
        <v>0</v>
      </c>
      <c r="E7957">
        <v>0</v>
      </c>
      <c r="F7957">
        <v>533</v>
      </c>
    </row>
    <row r="7958" spans="1:6" ht="12.75">
      <c r="A7958" s="2">
        <v>43881.72855324074</v>
      </c>
      <c r="B7958" t="str">
        <f>HYPERLINK("https://twitter.com/skyraa_11","@skyraa_11")</f>
        <v>@skyraa_11</v>
      </c>
      <c r="C7958" t="s">
        <v>2692</v>
      </c>
      <c r="D7958">
        <v>1978</v>
      </c>
      <c r="E7958">
        <v>0</v>
      </c>
      <c r="F7958">
        <v>94</v>
      </c>
    </row>
    <row r="7959" spans="1:6" ht="12.75">
      <c r="A7959" s="2">
        <v>43881.727870370371</v>
      </c>
      <c r="B7959" t="str">
        <f>HYPERLINK("https://twitter.com/politik_nkri","@politik_nkri")</f>
        <v>@politik_nkri</v>
      </c>
      <c r="C7959" t="s">
        <v>177</v>
      </c>
      <c r="D7959">
        <v>359</v>
      </c>
      <c r="E7959">
        <v>0</v>
      </c>
      <c r="F7959">
        <v>764</v>
      </c>
    </row>
    <row r="7960" spans="1:6" ht="12.75">
      <c r="A7960" s="2">
        <v>43881.727754629625</v>
      </c>
      <c r="B7960" t="str">
        <f>HYPERLINK("https://twitter.com/WPBergerak","@WPBergerak")</f>
        <v>@WPBergerak</v>
      </c>
      <c r="C7960" t="s">
        <v>5357</v>
      </c>
      <c r="D7960">
        <v>0</v>
      </c>
      <c r="E7960">
        <v>0</v>
      </c>
      <c r="F7960">
        <v>63</v>
      </c>
    </row>
    <row r="7961" spans="1:6" ht="12.75">
      <c r="A7961" s="2">
        <v>43881.709467592591</v>
      </c>
      <c r="B7961" t="str">
        <f>HYPERLINK("https://twitter.com/tyumee1","@tyumee1")</f>
        <v>@tyumee1</v>
      </c>
      <c r="C7961" t="s">
        <v>177</v>
      </c>
      <c r="D7961">
        <v>247</v>
      </c>
      <c r="E7961">
        <v>0</v>
      </c>
      <c r="F7961">
        <v>214</v>
      </c>
    </row>
    <row r="7962" spans="1:6" ht="12.75">
      <c r="A7962" s="2">
        <v>43881.709282407406</v>
      </c>
      <c r="B7962" t="str">
        <f>HYPERLINK("https://twitter.com/BubuNyaii","@BubuNyaii")</f>
        <v>@BubuNyaii</v>
      </c>
      <c r="C7962" t="s">
        <v>177</v>
      </c>
      <c r="D7962">
        <v>247</v>
      </c>
      <c r="E7962">
        <v>0</v>
      </c>
      <c r="F7962">
        <v>3499</v>
      </c>
    </row>
    <row r="7963" spans="1:6" ht="12.75">
      <c r="A7963" s="2">
        <v>43881.709282407406</v>
      </c>
      <c r="B7963" t="str">
        <f>HYPERLINK("https://twitter.com/rezkypangestu_","@rezkypangestu_")</f>
        <v>@rezkypangestu_</v>
      </c>
      <c r="C7963" t="s">
        <v>177</v>
      </c>
      <c r="D7963">
        <v>247</v>
      </c>
      <c r="E7963">
        <v>0</v>
      </c>
      <c r="F7963">
        <v>50</v>
      </c>
    </row>
    <row r="7964" spans="1:6" ht="12.75">
      <c r="A7964" s="2">
        <v>43881.709178240737</v>
      </c>
      <c r="B7964" t="str">
        <f>HYPERLINK("https://twitter.com/erikamelfa","@erikamelfa")</f>
        <v>@erikamelfa</v>
      </c>
      <c r="C7964" t="s">
        <v>5358</v>
      </c>
      <c r="D7964">
        <v>0</v>
      </c>
      <c r="E7964">
        <v>0</v>
      </c>
      <c r="F7964">
        <v>560</v>
      </c>
    </row>
    <row r="7965" spans="1:6" ht="12.75">
      <c r="A7965" s="2">
        <v>43881.709143518514</v>
      </c>
      <c r="B7965" t="str">
        <f>HYPERLINK("https://twitter.com/wbintoro101209","@wbintoro101209")</f>
        <v>@wbintoro101209</v>
      </c>
      <c r="C7965" t="s">
        <v>177</v>
      </c>
      <c r="D7965">
        <v>247</v>
      </c>
      <c r="E7965">
        <v>0</v>
      </c>
      <c r="F7965">
        <v>313</v>
      </c>
    </row>
    <row r="7966" spans="1:6" ht="12.75">
      <c r="A7966" s="2">
        <v>43881.708912037036</v>
      </c>
      <c r="B7966" t="str">
        <f>HYPERLINK("https://twitter.com/brownpapercups","@brownpapercups")</f>
        <v>@brownpapercups</v>
      </c>
      <c r="C7966" t="s">
        <v>177</v>
      </c>
      <c r="D7966">
        <v>247</v>
      </c>
      <c r="E7966">
        <v>0</v>
      </c>
      <c r="F7966">
        <v>313</v>
      </c>
    </row>
    <row r="7967" spans="1:6" ht="12.75">
      <c r="A7967" s="2">
        <v>43881.708819444444</v>
      </c>
      <c r="B7967" t="str">
        <f>HYPERLINK("https://twitter.com/Ahmad_hendars","@Ahmad_hendars")</f>
        <v>@Ahmad_hendars</v>
      </c>
      <c r="C7967" t="s">
        <v>5359</v>
      </c>
      <c r="D7967">
        <v>0</v>
      </c>
      <c r="E7967">
        <v>0</v>
      </c>
      <c r="F7967">
        <v>2043</v>
      </c>
    </row>
    <row r="7968" spans="1:6" ht="12.75">
      <c r="A7968" s="2">
        <v>43881.708796296298</v>
      </c>
      <c r="B7968" t="str">
        <f>HYPERLINK("https://twitter.com/Leel310","@Leel310")</f>
        <v>@Leel310</v>
      </c>
      <c r="C7968" t="s">
        <v>5360</v>
      </c>
      <c r="D7968">
        <v>0</v>
      </c>
      <c r="E7968">
        <v>0</v>
      </c>
      <c r="F7968">
        <v>1</v>
      </c>
    </row>
    <row r="7969" spans="1:6" ht="12.75">
      <c r="A7969" s="2">
        <v>43881.708726851852</v>
      </c>
      <c r="B7969" t="str">
        <f>HYPERLINK("https://twitter.com/ninjahatori212","@ninjahatori212")</f>
        <v>@ninjahatori212</v>
      </c>
      <c r="C7969" t="s">
        <v>5326</v>
      </c>
      <c r="D7969">
        <v>1</v>
      </c>
      <c r="E7969">
        <v>0</v>
      </c>
      <c r="F7969">
        <v>478</v>
      </c>
    </row>
    <row r="7970" spans="1:6" ht="12.75">
      <c r="A7970" s="2">
        <v>43881.708564814813</v>
      </c>
      <c r="B7970" t="str">
        <f>HYPERLINK("https://twitter.com/chcomtcha","@chcomtcha")</f>
        <v>@chcomtcha</v>
      </c>
      <c r="C7970" t="s">
        <v>177</v>
      </c>
      <c r="D7970">
        <v>247</v>
      </c>
      <c r="E7970">
        <v>0</v>
      </c>
      <c r="F7970">
        <v>1655</v>
      </c>
    </row>
    <row r="7971" spans="1:6" ht="12.75">
      <c r="A7971" s="2">
        <v>43881.708518518513</v>
      </c>
      <c r="B7971" t="str">
        <f>HYPERLINK("https://twitter.com/mostradio1058fm","@mostradio1058fm")</f>
        <v>@mostradio1058fm</v>
      </c>
      <c r="C7971" t="s">
        <v>5361</v>
      </c>
      <c r="D7971">
        <v>0</v>
      </c>
      <c r="E7971">
        <v>0</v>
      </c>
      <c r="F7971">
        <v>75408</v>
      </c>
    </row>
    <row r="7972" spans="1:6" ht="12.75">
      <c r="A7972" s="2">
        <v>43881.708101851851</v>
      </c>
      <c r="B7972" t="str">
        <f>HYPERLINK("https://twitter.com/Zulfiah_","@Zulfiah_")</f>
        <v>@Zulfiah_</v>
      </c>
      <c r="C7972" t="s">
        <v>5362</v>
      </c>
      <c r="D7972">
        <v>1</v>
      </c>
      <c r="E7972">
        <v>0</v>
      </c>
      <c r="F7972">
        <v>673</v>
      </c>
    </row>
    <row r="7973" spans="1:6" ht="12.75">
      <c r="A7973" s="2">
        <v>43881.708043981482</v>
      </c>
      <c r="B7973" t="str">
        <f>HYPERLINK("https://twitter.com/wni_jmsri","@wni_jmsri")</f>
        <v>@wni_jmsri</v>
      </c>
      <c r="C7973" t="s">
        <v>5363</v>
      </c>
      <c r="D7973">
        <v>7262</v>
      </c>
      <c r="E7973">
        <v>0</v>
      </c>
      <c r="F7973">
        <v>195</v>
      </c>
    </row>
    <row r="7974" spans="1:6" ht="12.75">
      <c r="A7974" s="2">
        <v>43881.708009259259</v>
      </c>
      <c r="B7974" t="str">
        <f>HYPERLINK("https://twitter.com/AndikaWijayaLaw","@AndikaWijayaLaw")</f>
        <v>@AndikaWijayaLaw</v>
      </c>
      <c r="C7974" t="s">
        <v>5364</v>
      </c>
      <c r="D7974">
        <v>0</v>
      </c>
      <c r="E7974">
        <v>0</v>
      </c>
      <c r="F7974">
        <v>200</v>
      </c>
    </row>
    <row r="7975" spans="1:6" ht="12.75">
      <c r="A7975" s="2">
        <v>43881.707870370374</v>
      </c>
      <c r="B7975" t="str">
        <f>HYPERLINK("https://twitter.com/hendranokoarie1","@hendranokoarie1")</f>
        <v>@hendranokoarie1</v>
      </c>
      <c r="C7975" t="s">
        <v>177</v>
      </c>
      <c r="D7975">
        <v>247</v>
      </c>
      <c r="E7975">
        <v>0</v>
      </c>
      <c r="F7975">
        <v>139</v>
      </c>
    </row>
    <row r="7976" spans="1:6" ht="12.75">
      <c r="A7976" s="2">
        <v>43881.707766203705</v>
      </c>
      <c r="B7976" t="str">
        <f>HYPERLINK("https://twitter.com/youliyoud","@youliyoud")</f>
        <v>@youliyoud</v>
      </c>
      <c r="C7976" t="s">
        <v>177</v>
      </c>
      <c r="D7976">
        <v>247</v>
      </c>
      <c r="E7976">
        <v>0</v>
      </c>
      <c r="F7976">
        <v>21</v>
      </c>
    </row>
    <row r="7977" spans="1:6" ht="12.75">
      <c r="A7977" s="2">
        <v>43881.707349537042</v>
      </c>
      <c r="B7977" t="str">
        <f>HYPERLINK("https://twitter.com/alifrhilmi","@alifrhilmi")</f>
        <v>@alifrhilmi</v>
      </c>
      <c r="C7977" t="s">
        <v>177</v>
      </c>
      <c r="D7977">
        <v>247</v>
      </c>
      <c r="E7977">
        <v>0</v>
      </c>
      <c r="F7977">
        <v>98</v>
      </c>
    </row>
    <row r="7978" spans="1:6" ht="12.75">
      <c r="A7978" s="2">
        <v>43881.707337962958</v>
      </c>
      <c r="B7978" t="str">
        <f>HYPERLINK("https://twitter.com/HarunNomads","@HarunNomads")</f>
        <v>@HarunNomads</v>
      </c>
      <c r="C7978" t="s">
        <v>5365</v>
      </c>
      <c r="D7978">
        <v>0</v>
      </c>
      <c r="E7978">
        <v>0</v>
      </c>
      <c r="F7978">
        <v>0</v>
      </c>
    </row>
    <row r="7979" spans="1:6" ht="12.75">
      <c r="A7979" s="2">
        <v>43881.707326388889</v>
      </c>
      <c r="B7979" t="str">
        <f>HYPERLINK("https://twitter.com/kompascom","@kompascom")</f>
        <v>@kompascom</v>
      </c>
      <c r="C7979" t="s">
        <v>5366</v>
      </c>
      <c r="D7979">
        <v>0</v>
      </c>
      <c r="E7979">
        <v>0</v>
      </c>
      <c r="F7979">
        <v>7505198</v>
      </c>
    </row>
    <row r="7980" spans="1:6" ht="12.75">
      <c r="A7980" s="2">
        <v>43881.70716435185</v>
      </c>
      <c r="B7980" t="str">
        <f>HYPERLINK("https://twitter.com/FeraSumampouw","@FeraSumampouw")</f>
        <v>@FeraSumampouw</v>
      </c>
      <c r="C7980" t="s">
        <v>177</v>
      </c>
      <c r="D7980">
        <v>247</v>
      </c>
      <c r="E7980">
        <v>0</v>
      </c>
      <c r="F7980">
        <v>71</v>
      </c>
    </row>
    <row r="7981" spans="1:6" ht="12.75">
      <c r="A7981" s="2">
        <v>43881.706956018519</v>
      </c>
      <c r="B7981" t="str">
        <f>HYPERLINK("https://twitter.com/roedijanto","@roedijanto")</f>
        <v>@roedijanto</v>
      </c>
      <c r="C7981" t="s">
        <v>4329</v>
      </c>
      <c r="D7981">
        <v>26</v>
      </c>
      <c r="E7981">
        <v>0</v>
      </c>
      <c r="F7981">
        <v>146</v>
      </c>
    </row>
    <row r="7982" spans="1:6" ht="12.75">
      <c r="A7982" s="2">
        <v>43881.706747685181</v>
      </c>
      <c r="B7982" t="str">
        <f>HYPERLINK("https://twitter.com/Johnbondx_","@Johnbondx_")</f>
        <v>@Johnbondx_</v>
      </c>
      <c r="C7982" t="s">
        <v>177</v>
      </c>
      <c r="D7982">
        <v>247</v>
      </c>
      <c r="E7982">
        <v>0</v>
      </c>
      <c r="F7982">
        <v>5</v>
      </c>
    </row>
    <row r="7983" spans="1:6" ht="12.75">
      <c r="A7983" s="2">
        <v>43881.706678240742</v>
      </c>
      <c r="B7983" t="str">
        <f>HYPERLINK("https://twitter.com/JoseAndre89","@JoseAndre89")</f>
        <v>@JoseAndre89</v>
      </c>
      <c r="C7983" t="s">
        <v>5367</v>
      </c>
      <c r="D7983">
        <v>0</v>
      </c>
      <c r="E7983">
        <v>0</v>
      </c>
      <c r="F7983">
        <v>419</v>
      </c>
    </row>
    <row r="7984" spans="1:6" ht="12.75">
      <c r="A7984" s="2">
        <v>43881.706585648149</v>
      </c>
      <c r="B7984" t="str">
        <f>HYPERLINK("https://twitter.com/andriybima","@andriybima")</f>
        <v>@andriybima</v>
      </c>
      <c r="C7984" t="s">
        <v>5368</v>
      </c>
      <c r="D7984">
        <v>2</v>
      </c>
      <c r="E7984">
        <v>0</v>
      </c>
      <c r="F7984">
        <v>4268</v>
      </c>
    </row>
    <row r="7985" spans="1:6" ht="12.75">
      <c r="A7985" s="2">
        <v>43881.706550925926</v>
      </c>
      <c r="B7985" t="str">
        <f>HYPERLINK("https://twitter.com/_cappuccino_93","@_cappuccino_93")</f>
        <v>@_cappuccino_93</v>
      </c>
      <c r="C7985" t="s">
        <v>177</v>
      </c>
      <c r="D7985">
        <v>247</v>
      </c>
      <c r="E7985">
        <v>0</v>
      </c>
      <c r="F7985">
        <v>510</v>
      </c>
    </row>
    <row r="7986" spans="1:6" ht="12.75">
      <c r="A7986" s="2">
        <v>43881.706192129626</v>
      </c>
      <c r="B7986" t="str">
        <f>HYPERLINK("https://twitter.com/salsabila0307","@salsabila0307")</f>
        <v>@salsabila0307</v>
      </c>
      <c r="C7986" t="s">
        <v>5369</v>
      </c>
      <c r="D7986">
        <v>0</v>
      </c>
      <c r="E7986">
        <v>0</v>
      </c>
      <c r="F7986">
        <v>4352</v>
      </c>
    </row>
    <row r="7987" spans="1:6" ht="12.75">
      <c r="A7987" s="2">
        <v>43881.705925925926</v>
      </c>
      <c r="B7987" t="str">
        <f>HYPERLINK("https://twitter.com/911comand","@911comand")</f>
        <v>@911comand</v>
      </c>
      <c r="C7987" t="s">
        <v>177</v>
      </c>
      <c r="D7987">
        <v>247</v>
      </c>
      <c r="E7987">
        <v>0</v>
      </c>
      <c r="F7987">
        <v>689</v>
      </c>
    </row>
    <row r="7988" spans="1:6" ht="12.75">
      <c r="A7988" s="2">
        <v>43881.70585648148</v>
      </c>
      <c r="B7988" t="str">
        <f>HYPERLINK("https://twitter.com/Muh_IkhsanIcan","@Muh_IkhsanIcan")</f>
        <v>@Muh_IkhsanIcan</v>
      </c>
      <c r="C7988" t="s">
        <v>177</v>
      </c>
      <c r="D7988">
        <v>247</v>
      </c>
      <c r="E7988">
        <v>0</v>
      </c>
      <c r="F7988">
        <v>836</v>
      </c>
    </row>
    <row r="7989" spans="1:6" ht="12.75">
      <c r="A7989" s="2">
        <v>43881.70584490741</v>
      </c>
      <c r="B7989" t="str">
        <f>HYPERLINK("https://twitter.com/BramantyaNigel","@BramantyaNigel")</f>
        <v>@BramantyaNigel</v>
      </c>
      <c r="C7989" t="s">
        <v>5370</v>
      </c>
      <c r="D7989">
        <v>5</v>
      </c>
      <c r="E7989">
        <v>0</v>
      </c>
      <c r="F7989">
        <v>36</v>
      </c>
    </row>
    <row r="7990" spans="1:6" ht="12.75">
      <c r="A7990" s="2">
        <v>43881.705752314811</v>
      </c>
      <c r="B7990" t="str">
        <f>HYPERLINK("https://twitter.com/Avi62957270","@Avi62957270")</f>
        <v>@Avi62957270</v>
      </c>
      <c r="C7990" t="s">
        <v>2145</v>
      </c>
      <c r="D7990">
        <v>4</v>
      </c>
      <c r="E7990">
        <v>0</v>
      </c>
      <c r="F7990">
        <v>0</v>
      </c>
    </row>
    <row r="7991" spans="1:6" ht="12.75">
      <c r="A7991" s="2">
        <v>43881.704687500001</v>
      </c>
      <c r="B7991" t="str">
        <f>HYPERLINK("https://twitter.com/DedyNad_id","@DedyNad_id")</f>
        <v>@DedyNad_id</v>
      </c>
      <c r="C7991" t="s">
        <v>177</v>
      </c>
      <c r="D7991">
        <v>247</v>
      </c>
      <c r="E7991">
        <v>0</v>
      </c>
      <c r="F7991">
        <v>3669</v>
      </c>
    </row>
    <row r="7992" spans="1:6" ht="12.75">
      <c r="A7992" s="2">
        <v>43881.704085648147</v>
      </c>
      <c r="B7992" t="str">
        <f>HYPERLINK("https://twitter.com/adc1408","@adc1408")</f>
        <v>@adc1408</v>
      </c>
      <c r="C7992" t="s">
        <v>177</v>
      </c>
      <c r="D7992">
        <v>247</v>
      </c>
      <c r="E7992">
        <v>0</v>
      </c>
      <c r="F7992">
        <v>92</v>
      </c>
    </row>
    <row r="7993" spans="1:6" ht="12.75">
      <c r="A7993" s="2">
        <v>43881.703877314816</v>
      </c>
      <c r="B7993" t="str">
        <f>HYPERLINK("https://twitter.com/MakariosTarigan","@MakariosTarigan")</f>
        <v>@MakariosTarigan</v>
      </c>
      <c r="C7993" t="s">
        <v>5371</v>
      </c>
      <c r="D7993">
        <v>0</v>
      </c>
      <c r="E7993">
        <v>0</v>
      </c>
      <c r="F7993">
        <v>2</v>
      </c>
    </row>
    <row r="7994" spans="1:6" ht="12.75">
      <c r="A7994" s="2">
        <v>43881.70385416667</v>
      </c>
      <c r="B7994" t="str">
        <f>HYPERLINK("https://twitter.com/Metro_TV","@Metro_TV")</f>
        <v>@Metro_TV</v>
      </c>
      <c r="C7994" t="s">
        <v>5372</v>
      </c>
      <c r="D7994">
        <v>0</v>
      </c>
      <c r="E7994">
        <v>1</v>
      </c>
      <c r="F7994">
        <v>10511010</v>
      </c>
    </row>
    <row r="7995" spans="1:6" ht="12.75">
      <c r="A7995" s="2">
        <v>43881.703819444447</v>
      </c>
      <c r="B7995" t="str">
        <f>HYPERLINK("https://twitter.com/Taner6790","@Taner6790")</f>
        <v>@Taner6790</v>
      </c>
      <c r="C7995" t="s">
        <v>2129</v>
      </c>
      <c r="D7995">
        <v>3</v>
      </c>
      <c r="E7995">
        <v>0</v>
      </c>
      <c r="F7995">
        <v>421</v>
      </c>
    </row>
    <row r="7996" spans="1:6" ht="12.75">
      <c r="A7996" s="2">
        <v>43881.703715277778</v>
      </c>
      <c r="B7996" t="str">
        <f>HYPERLINK("https://twitter.com/iswararafika","@iswararafika")</f>
        <v>@iswararafika</v>
      </c>
      <c r="C7996" t="s">
        <v>177</v>
      </c>
      <c r="D7996">
        <v>247</v>
      </c>
      <c r="E7996">
        <v>0</v>
      </c>
      <c r="F7996">
        <v>5</v>
      </c>
    </row>
    <row r="7997" spans="1:6" ht="12.75">
      <c r="A7997" s="2">
        <v>43881.703576388885</v>
      </c>
      <c r="B7997" t="str">
        <f t="shared" ref="B7997:B8001" si="145">HYPERLINK("https://twitter.com/LamanKita_","@LamanKita_")</f>
        <v>@LamanKita_</v>
      </c>
      <c r="C7997" t="s">
        <v>5373</v>
      </c>
      <c r="D7997">
        <v>0</v>
      </c>
      <c r="E7997">
        <v>1</v>
      </c>
      <c r="F7997">
        <v>138561</v>
      </c>
    </row>
    <row r="7998" spans="1:6" ht="12.75">
      <c r="A7998" s="2">
        <v>43881.703564814816</v>
      </c>
      <c r="B7998" t="str">
        <f t="shared" si="145"/>
        <v>@LamanKita_</v>
      </c>
      <c r="C7998" t="s">
        <v>5374</v>
      </c>
      <c r="D7998">
        <v>0</v>
      </c>
      <c r="E7998">
        <v>0</v>
      </c>
      <c r="F7998">
        <v>138561</v>
      </c>
    </row>
    <row r="7999" spans="1:6" ht="12.75">
      <c r="A7999" s="2">
        <v>43881.703553240739</v>
      </c>
      <c r="B7999" t="str">
        <f t="shared" si="145"/>
        <v>@LamanKita_</v>
      </c>
      <c r="C7999" t="s">
        <v>5375</v>
      </c>
      <c r="D7999">
        <v>0</v>
      </c>
      <c r="E7999">
        <v>0</v>
      </c>
      <c r="F7999">
        <v>138561</v>
      </c>
    </row>
    <row r="8000" spans="1:6" ht="12.75">
      <c r="A8000" s="2">
        <v>43881.703541666662</v>
      </c>
      <c r="B8000" t="str">
        <f t="shared" si="145"/>
        <v>@LamanKita_</v>
      </c>
      <c r="C8000" t="s">
        <v>5376</v>
      </c>
      <c r="D8000">
        <v>0</v>
      </c>
      <c r="E8000">
        <v>0</v>
      </c>
      <c r="F8000">
        <v>138561</v>
      </c>
    </row>
    <row r="8001" spans="1:6" ht="12.75">
      <c r="A8001" s="2">
        <v>43881.703530092593</v>
      </c>
      <c r="B8001" t="str">
        <f t="shared" si="145"/>
        <v>@LamanKita_</v>
      </c>
      <c r="C8001" t="s">
        <v>5377</v>
      </c>
      <c r="D8001">
        <v>0</v>
      </c>
      <c r="E8001">
        <v>0</v>
      </c>
      <c r="F8001">
        <v>138561</v>
      </c>
    </row>
    <row r="8002" spans="1:6" ht="12.75">
      <c r="A8002" s="2">
        <v>43881.703217592592</v>
      </c>
      <c r="B8002" t="str">
        <f>HYPERLINK("https://twitter.com/djodibotak","@djodibotak")</f>
        <v>@djodibotak</v>
      </c>
      <c r="C8002" t="s">
        <v>2692</v>
      </c>
      <c r="D8002">
        <v>1972</v>
      </c>
      <c r="E8002">
        <v>0</v>
      </c>
      <c r="F8002">
        <v>237</v>
      </c>
    </row>
    <row r="8003" spans="1:6" ht="12.75">
      <c r="A8003" s="2">
        <v>43881.702997685185</v>
      </c>
      <c r="B8003" t="str">
        <f>HYPERLINK("https://twitter.com/DamaiituindahN","@DamaiituindahN")</f>
        <v>@DamaiituindahN</v>
      </c>
      <c r="C8003" t="s">
        <v>177</v>
      </c>
      <c r="D8003">
        <v>247</v>
      </c>
      <c r="E8003">
        <v>0</v>
      </c>
      <c r="F8003">
        <v>222</v>
      </c>
    </row>
    <row r="8004" spans="1:6" ht="12.75">
      <c r="A8004" s="2">
        <v>43881.702881944446</v>
      </c>
      <c r="B8004" t="str">
        <f>HYPERLINK("https://twitter.com/serenaomi","@serenaomi")</f>
        <v>@serenaomi</v>
      </c>
      <c r="C8004" t="s">
        <v>2141</v>
      </c>
      <c r="D8004">
        <v>34</v>
      </c>
      <c r="E8004">
        <v>0</v>
      </c>
      <c r="F8004">
        <v>786</v>
      </c>
    </row>
    <row r="8005" spans="1:6" ht="12.75">
      <c r="A8005" s="2">
        <v>43881.702881944446</v>
      </c>
      <c r="B8005" t="str">
        <f>HYPERLINK("https://twitter.com/Mayaajengl","@Mayaajengl")</f>
        <v>@Mayaajengl</v>
      </c>
      <c r="C8005" t="s">
        <v>177</v>
      </c>
      <c r="D8005">
        <v>247</v>
      </c>
      <c r="E8005">
        <v>0</v>
      </c>
      <c r="F8005">
        <v>372</v>
      </c>
    </row>
    <row r="8006" spans="1:6" ht="12.75">
      <c r="A8006" s="2">
        <v>43881.7028587963</v>
      </c>
      <c r="B8006" t="str">
        <f>HYPERLINK("https://twitter.com/faridwinart","@faridwinart")</f>
        <v>@faridwinart</v>
      </c>
      <c r="C8006" t="s">
        <v>5378</v>
      </c>
      <c r="D8006">
        <v>0</v>
      </c>
      <c r="E8006">
        <v>0</v>
      </c>
      <c r="F8006">
        <v>119</v>
      </c>
    </row>
    <row r="8007" spans="1:6" ht="12.75">
      <c r="A8007" s="2">
        <v>43881.702719907407</v>
      </c>
      <c r="B8007" t="str">
        <f>HYPERLINK("https://twitter.com/PakIsal1","@PakIsal1")</f>
        <v>@PakIsal1</v>
      </c>
      <c r="C8007" t="s">
        <v>4994</v>
      </c>
      <c r="D8007">
        <v>20</v>
      </c>
      <c r="E8007">
        <v>0</v>
      </c>
      <c r="F8007">
        <v>434</v>
      </c>
    </row>
    <row r="8008" spans="1:6" ht="12.75">
      <c r="A8008" s="2">
        <v>43881.702662037038</v>
      </c>
      <c r="B8008" t="str">
        <f>HYPERLINK("https://twitter.com/e100ss","@e100ss")</f>
        <v>@e100ss</v>
      </c>
      <c r="C8008" t="s">
        <v>5379</v>
      </c>
      <c r="D8008">
        <v>1</v>
      </c>
      <c r="E8008">
        <v>1</v>
      </c>
      <c r="F8008">
        <v>779842</v>
      </c>
    </row>
    <row r="8009" spans="1:6" ht="12.75">
      <c r="A8009" s="2">
        <v>43881.702592592592</v>
      </c>
      <c r="B8009" t="str">
        <f>HYPERLINK("https://twitter.com/itbimcoming","@itbimcoming")</f>
        <v>@itbimcoming</v>
      </c>
      <c r="C8009" t="s">
        <v>1407</v>
      </c>
      <c r="D8009">
        <v>9642</v>
      </c>
      <c r="E8009">
        <v>0</v>
      </c>
      <c r="F8009">
        <v>146</v>
      </c>
    </row>
    <row r="8010" spans="1:6" ht="12.75">
      <c r="A8010" s="2">
        <v>43881.702372685184</v>
      </c>
      <c r="B8010" t="str">
        <f>HYPERLINK("https://twitter.com/Fannytjio1","@Fannytjio1")</f>
        <v>@Fannytjio1</v>
      </c>
      <c r="C8010" t="s">
        <v>177</v>
      </c>
      <c r="D8010">
        <v>247</v>
      </c>
      <c r="E8010">
        <v>0</v>
      </c>
      <c r="F8010">
        <v>38</v>
      </c>
    </row>
    <row r="8011" spans="1:6" ht="12.75">
      <c r="A8011" s="2">
        <v>43881.702175925922</v>
      </c>
      <c r="B8011" t="str">
        <f>HYPERLINK("https://twitter.com/Derri_dayen","@Derri_dayen")</f>
        <v>@Derri_dayen</v>
      </c>
      <c r="C8011" t="s">
        <v>4994</v>
      </c>
      <c r="D8011">
        <v>20</v>
      </c>
      <c r="E8011">
        <v>0</v>
      </c>
      <c r="F8011">
        <v>665</v>
      </c>
    </row>
    <row r="8012" spans="1:6" ht="12.75">
      <c r="A8012" s="2">
        <v>43881.702060185184</v>
      </c>
      <c r="B8012" t="str">
        <f>HYPERLINK("https://twitter.com/HaluanKiri49","@HaluanKiri49")</f>
        <v>@HaluanKiri49</v>
      </c>
      <c r="C8012" t="s">
        <v>5380</v>
      </c>
      <c r="D8012">
        <v>0</v>
      </c>
      <c r="E8012">
        <v>0</v>
      </c>
      <c r="F8012">
        <v>227</v>
      </c>
    </row>
    <row r="8013" spans="1:6" ht="12.75">
      <c r="A8013" s="2">
        <v>43881.701805555553</v>
      </c>
      <c r="B8013" t="str">
        <f>HYPERLINK("https://twitter.com/HUMAN_RES3","@HUMAN_RES3")</f>
        <v>@HUMAN_RES3</v>
      </c>
      <c r="C8013" t="s">
        <v>2129</v>
      </c>
      <c r="D8013">
        <v>3</v>
      </c>
      <c r="E8013">
        <v>0</v>
      </c>
      <c r="F8013">
        <v>86</v>
      </c>
    </row>
    <row r="8014" spans="1:6" ht="12.75">
      <c r="A8014" s="2">
        <v>43881.70177083333</v>
      </c>
      <c r="B8014" t="str">
        <f>HYPERLINK("https://twitter.com/mendungdung","@mendungdung")</f>
        <v>@mendungdung</v>
      </c>
      <c r="C8014" t="s">
        <v>5381</v>
      </c>
      <c r="D8014">
        <v>0</v>
      </c>
      <c r="E8014">
        <v>0</v>
      </c>
      <c r="F8014">
        <v>441</v>
      </c>
    </row>
    <row r="8015" spans="1:6" ht="12.75">
      <c r="A8015" s="2">
        <v>43881.701597222222</v>
      </c>
      <c r="B8015" t="str">
        <f>HYPERLINK("https://twitter.com/whatwouldaindo","@whatwouldaindo")</f>
        <v>@whatwouldaindo</v>
      </c>
      <c r="C8015" t="s">
        <v>177</v>
      </c>
      <c r="D8015">
        <v>247</v>
      </c>
      <c r="E8015">
        <v>0</v>
      </c>
      <c r="F8015">
        <v>908</v>
      </c>
    </row>
    <row r="8016" spans="1:6" ht="12.75">
      <c r="A8016" s="2">
        <v>43881.701504629629</v>
      </c>
      <c r="B8016" t="str">
        <f>HYPERLINK("https://twitter.com/INAinBucharest","@INAinBucharest")</f>
        <v>@INAinBucharest</v>
      </c>
      <c r="C8016" t="s">
        <v>177</v>
      </c>
      <c r="D8016">
        <v>247</v>
      </c>
      <c r="E8016">
        <v>0</v>
      </c>
      <c r="F8016">
        <v>1659</v>
      </c>
    </row>
    <row r="8017" spans="1:6" ht="12.75">
      <c r="A8017" s="2">
        <v>43881.701481481483</v>
      </c>
      <c r="B8017" t="str">
        <f>HYPERLINK("https://twitter.com/BannedMs","@BannedMs")</f>
        <v>@BannedMs</v>
      </c>
      <c r="C8017" t="s">
        <v>5329</v>
      </c>
      <c r="D8017">
        <v>10</v>
      </c>
      <c r="E8017">
        <v>0</v>
      </c>
      <c r="F8017">
        <v>726</v>
      </c>
    </row>
    <row r="8018" spans="1:6" ht="12.75">
      <c r="A8018" s="2">
        <v>43881.701307870375</v>
      </c>
      <c r="B8018" t="str">
        <f>HYPERLINK("https://twitter.com/ulfamelaniaaa","@ulfamelaniaaa")</f>
        <v>@ulfamelaniaaa</v>
      </c>
      <c r="C8018" t="s">
        <v>5382</v>
      </c>
      <c r="D8018">
        <v>4</v>
      </c>
      <c r="E8018">
        <v>0</v>
      </c>
      <c r="F8018">
        <v>221</v>
      </c>
    </row>
    <row r="8019" spans="1:6" ht="12.75">
      <c r="A8019" s="2">
        <v>43881.701249999998</v>
      </c>
      <c r="B8019" t="str">
        <f>HYPERLINK("https://twitter.com/iradiojogja","@iradiojogja")</f>
        <v>@iradiojogja</v>
      </c>
      <c r="C8019" t="s">
        <v>177</v>
      </c>
      <c r="D8019">
        <v>247</v>
      </c>
      <c r="E8019">
        <v>0</v>
      </c>
      <c r="F8019">
        <v>31790</v>
      </c>
    </row>
    <row r="8020" spans="1:6" ht="12.75">
      <c r="A8020" s="2">
        <v>43881.701203703706</v>
      </c>
      <c r="B8020" t="str">
        <f>HYPERLINK("https://twitter.com/souju52","@souju52")</f>
        <v>@souju52</v>
      </c>
      <c r="C8020" t="s">
        <v>177</v>
      </c>
      <c r="D8020">
        <v>247</v>
      </c>
      <c r="E8020">
        <v>0</v>
      </c>
      <c r="F8020">
        <v>296</v>
      </c>
    </row>
    <row r="8021" spans="1:6" ht="12.75">
      <c r="A8021" s="2">
        <v>43881.701180555552</v>
      </c>
      <c r="B8021" t="str">
        <f>HYPERLINK("https://twitter.com/sattwikadyva","@sattwikadyva")</f>
        <v>@sattwikadyva</v>
      </c>
      <c r="C8021" t="s">
        <v>177</v>
      </c>
      <c r="D8021">
        <v>247</v>
      </c>
      <c r="E8021">
        <v>0</v>
      </c>
      <c r="F8021">
        <v>351</v>
      </c>
    </row>
    <row r="8022" spans="1:6" ht="12.75">
      <c r="A8022" s="2">
        <v>43881.701168981483</v>
      </c>
      <c r="B8022" t="str">
        <f>HYPERLINK("https://twitter.com/Jono_Fortunate","@Jono_Fortunate")</f>
        <v>@Jono_Fortunate</v>
      </c>
      <c r="C8022" t="s">
        <v>5383</v>
      </c>
      <c r="D8022">
        <v>0</v>
      </c>
      <c r="E8022">
        <v>0</v>
      </c>
      <c r="F8022">
        <v>545</v>
      </c>
    </row>
    <row r="8023" spans="1:6" ht="12.75">
      <c r="A8023" s="2">
        <v>43881.70112268519</v>
      </c>
      <c r="B8023" t="str">
        <f>HYPERLINK("https://twitter.com/satrio_arif","@satrio_arif")</f>
        <v>@satrio_arif</v>
      </c>
      <c r="C8023" t="s">
        <v>2141</v>
      </c>
      <c r="D8023">
        <v>34</v>
      </c>
      <c r="E8023">
        <v>0</v>
      </c>
      <c r="F8023">
        <v>6</v>
      </c>
    </row>
    <row r="8024" spans="1:6" ht="12.75">
      <c r="A8024" s="2">
        <v>43881.701006944444</v>
      </c>
      <c r="B8024" t="str">
        <f>HYPERLINK("https://twitter.com/faridwinart","@faridwinart")</f>
        <v>@faridwinart</v>
      </c>
      <c r="C8024" t="s">
        <v>5384</v>
      </c>
      <c r="D8024">
        <v>0</v>
      </c>
      <c r="E8024">
        <v>0</v>
      </c>
      <c r="F8024">
        <v>119</v>
      </c>
    </row>
    <row r="8025" spans="1:6" ht="12.75">
      <c r="A8025" s="2">
        <v>43881.700868055559</v>
      </c>
      <c r="B8025" t="str">
        <f>HYPERLINK("https://twitter.com/HadiPoerbo","@HadiPoerbo")</f>
        <v>@HadiPoerbo</v>
      </c>
      <c r="C8025" t="s">
        <v>2129</v>
      </c>
      <c r="D8025">
        <v>3</v>
      </c>
      <c r="E8025">
        <v>0</v>
      </c>
      <c r="F8025">
        <v>1153</v>
      </c>
    </row>
    <row r="8026" spans="1:6" ht="12.75">
      <c r="A8026" s="2">
        <v>43881.700844907406</v>
      </c>
      <c r="B8026" t="str">
        <f>HYPERLINK("https://twitter.com/nasywam_","@nasywam_")</f>
        <v>@nasywam_</v>
      </c>
      <c r="C8026" t="s">
        <v>177</v>
      </c>
      <c r="D8026">
        <v>247</v>
      </c>
      <c r="E8026">
        <v>0</v>
      </c>
      <c r="F8026">
        <v>76</v>
      </c>
    </row>
    <row r="8027" spans="1:6" ht="12.75">
      <c r="A8027" s="2">
        <v>43881.700844907406</v>
      </c>
      <c r="B8027" t="str">
        <f>HYPERLINK("https://twitter.com/ulfamelaniaaa","@ulfamelaniaaa")</f>
        <v>@ulfamelaniaaa</v>
      </c>
      <c r="C8027" t="s">
        <v>177</v>
      </c>
      <c r="D8027">
        <v>247</v>
      </c>
      <c r="E8027">
        <v>0</v>
      </c>
      <c r="F8027">
        <v>221</v>
      </c>
    </row>
    <row r="8028" spans="1:6" ht="12.75">
      <c r="A8028" s="2">
        <v>43881.700636574074</v>
      </c>
      <c r="B8028" t="str">
        <f>HYPERLINK("https://twitter.com/KiK0000_","@KiK0000_")</f>
        <v>@KiK0000_</v>
      </c>
      <c r="C8028" t="s">
        <v>5348</v>
      </c>
      <c r="D8028">
        <v>5</v>
      </c>
      <c r="E8028">
        <v>0</v>
      </c>
      <c r="F8028">
        <v>191</v>
      </c>
    </row>
    <row r="8029" spans="1:6" ht="12.75">
      <c r="A8029" s="2">
        <v>43881.700543981482</v>
      </c>
      <c r="B8029" t="str">
        <f>HYPERLINK("https://twitter.com/4ks4r4","@4ks4r4")</f>
        <v>@4ks4r4</v>
      </c>
      <c r="C8029" t="s">
        <v>4994</v>
      </c>
      <c r="D8029">
        <v>20</v>
      </c>
      <c r="E8029">
        <v>0</v>
      </c>
      <c r="F8029">
        <v>3483</v>
      </c>
    </row>
    <row r="8030" spans="1:6" ht="12.75">
      <c r="A8030" s="2">
        <v>43881.70045138889</v>
      </c>
      <c r="B8030" t="str">
        <f>HYPERLINK("https://twitter.com/WEPratama_","@WEPratama_")</f>
        <v>@WEPratama_</v>
      </c>
      <c r="C8030" t="s">
        <v>177</v>
      </c>
      <c r="D8030">
        <v>247</v>
      </c>
      <c r="E8030">
        <v>0</v>
      </c>
      <c r="F8030">
        <v>594</v>
      </c>
    </row>
    <row r="8031" spans="1:6" ht="12.75">
      <c r="A8031" s="2">
        <v>43881.700243055559</v>
      </c>
      <c r="B8031" t="str">
        <f>HYPERLINK("https://twitter.com/titi_alfath","@titi_alfath")</f>
        <v>@titi_alfath</v>
      </c>
      <c r="C8031" t="s">
        <v>177</v>
      </c>
      <c r="D8031">
        <v>247</v>
      </c>
      <c r="E8031">
        <v>0</v>
      </c>
      <c r="F8031">
        <v>208</v>
      </c>
    </row>
    <row r="8032" spans="1:6" ht="12.75">
      <c r="A8032" s="2">
        <v>43881.699722222227</v>
      </c>
      <c r="B8032" t="str">
        <f>HYPERLINK("https://twitter.com/iampotatofries","@iampotatofries")</f>
        <v>@iampotatofries</v>
      </c>
      <c r="C8032" t="s">
        <v>1407</v>
      </c>
      <c r="D8032">
        <v>9642</v>
      </c>
      <c r="E8032">
        <v>0</v>
      </c>
      <c r="F8032">
        <v>7</v>
      </c>
    </row>
    <row r="8033" spans="1:6" ht="12.75">
      <c r="A8033" s="2">
        <v>43881.699687500004</v>
      </c>
      <c r="B8033" t="str">
        <f>HYPERLINK("https://twitter.com/euphemest","@euphemest")</f>
        <v>@euphemest</v>
      </c>
      <c r="C8033" t="s">
        <v>2692</v>
      </c>
      <c r="D8033">
        <v>1972</v>
      </c>
      <c r="E8033">
        <v>0</v>
      </c>
      <c r="F8033">
        <v>338</v>
      </c>
    </row>
    <row r="8034" spans="1:6" ht="12.75">
      <c r="A8034" s="2">
        <v>43881.699525462958</v>
      </c>
      <c r="B8034" t="str">
        <f>HYPERLINK("https://twitter.com/krisnaslam","@krisnaslam")</f>
        <v>@krisnaslam</v>
      </c>
      <c r="C8034" t="s">
        <v>177</v>
      </c>
      <c r="D8034">
        <v>247</v>
      </c>
      <c r="E8034">
        <v>0</v>
      </c>
      <c r="F8034">
        <v>92</v>
      </c>
    </row>
    <row r="8035" spans="1:6" ht="12.75">
      <c r="A8035" s="2">
        <v>43881.699490740742</v>
      </c>
      <c r="B8035" t="str">
        <f>HYPERLINK("https://twitter.com/alambaskoroke4","@alambaskoroke4")</f>
        <v>@alambaskoroke4</v>
      </c>
      <c r="C8035" t="s">
        <v>5385</v>
      </c>
      <c r="D8035">
        <v>5</v>
      </c>
      <c r="E8035">
        <v>0</v>
      </c>
      <c r="F8035">
        <v>287</v>
      </c>
    </row>
    <row r="8036" spans="1:6" ht="12.75">
      <c r="A8036" s="2">
        <v>43881.69939814815</v>
      </c>
      <c r="B8036" t="str">
        <f>HYPERLINK("https://twitter.com/nugrazee","@nugrazee")</f>
        <v>@nugrazee</v>
      </c>
      <c r="C8036" t="s">
        <v>2141</v>
      </c>
      <c r="D8036">
        <v>34</v>
      </c>
      <c r="E8036">
        <v>0</v>
      </c>
      <c r="F8036">
        <v>786</v>
      </c>
    </row>
    <row r="8037" spans="1:6" ht="12.75">
      <c r="A8037" s="2">
        <v>43881.69939814815</v>
      </c>
      <c r="B8037" t="str">
        <f>HYPERLINK("https://twitter.com/OpiniRakyat2","@OpiniRakyat2")</f>
        <v>@OpiniRakyat2</v>
      </c>
      <c r="C8037" t="s">
        <v>4994</v>
      </c>
      <c r="D8037">
        <v>20</v>
      </c>
      <c r="E8037">
        <v>0</v>
      </c>
      <c r="F8037">
        <v>156</v>
      </c>
    </row>
    <row r="8038" spans="1:6" ht="12.75">
      <c r="A8038" s="2">
        <v>43881.69930555555</v>
      </c>
      <c r="B8038" t="str">
        <f>HYPERLINK("https://twitter.com/Erwin_Sahari","@Erwin_Sahari")</f>
        <v>@Erwin_Sahari</v>
      </c>
      <c r="C8038" t="s">
        <v>5386</v>
      </c>
      <c r="D8038">
        <v>1</v>
      </c>
      <c r="E8038">
        <v>0</v>
      </c>
      <c r="F8038">
        <v>245</v>
      </c>
    </row>
    <row r="8039" spans="1:6" ht="12.75">
      <c r="A8039" s="2">
        <v>43881.699270833335</v>
      </c>
      <c r="B8039" t="str">
        <f>HYPERLINK("https://twitter.com/Metro_TV","@Metro_TV")</f>
        <v>@Metro_TV</v>
      </c>
      <c r="C8039" t="s">
        <v>5387</v>
      </c>
      <c r="D8039">
        <v>3</v>
      </c>
      <c r="E8039">
        <v>3</v>
      </c>
      <c r="F8039">
        <v>10511010</v>
      </c>
    </row>
    <row r="8040" spans="1:6" ht="12.75">
      <c r="A8040" s="2">
        <v>43881.699108796296</v>
      </c>
      <c r="B8040" t="str">
        <f>HYPERLINK("https://twitter.com/moechamad_erwin","@moechamad_erwin")</f>
        <v>@moechamad_erwin</v>
      </c>
      <c r="C8040" t="s">
        <v>177</v>
      </c>
      <c r="D8040">
        <v>247</v>
      </c>
      <c r="E8040">
        <v>0</v>
      </c>
      <c r="F8040">
        <v>101</v>
      </c>
    </row>
    <row r="8041" spans="1:6" ht="12.75">
      <c r="A8041" s="2">
        <v>43881.699108796296</v>
      </c>
      <c r="B8041" t="str">
        <f>HYPERLINK("https://twitter.com/yabalabahiyaah","@yabalabahiyaah")</f>
        <v>@yabalabahiyaah</v>
      </c>
      <c r="C8041" t="s">
        <v>1407</v>
      </c>
      <c r="D8041">
        <v>9642</v>
      </c>
      <c r="E8041">
        <v>0</v>
      </c>
      <c r="F8041">
        <v>528</v>
      </c>
    </row>
    <row r="8042" spans="1:6" ht="12.75">
      <c r="A8042" s="2">
        <v>43881.698981481481</v>
      </c>
      <c r="B8042" t="str">
        <f>HYPERLINK("https://twitter.com/Erwin_Sahari","@Erwin_Sahari")</f>
        <v>@Erwin_Sahari</v>
      </c>
      <c r="C8042" t="s">
        <v>5388</v>
      </c>
      <c r="D8042">
        <v>1</v>
      </c>
      <c r="E8042">
        <v>1</v>
      </c>
      <c r="F8042">
        <v>245</v>
      </c>
    </row>
    <row r="8043" spans="1:6" ht="12.75">
      <c r="A8043" s="2">
        <v>43881.698796296296</v>
      </c>
      <c r="B8043" t="str">
        <f>HYPERLINK("https://twitter.com/WarasBareng","@WarasBareng")</f>
        <v>@WarasBareng</v>
      </c>
      <c r="C8043" t="s">
        <v>5389</v>
      </c>
      <c r="D8043">
        <v>0</v>
      </c>
      <c r="E8043">
        <v>0</v>
      </c>
      <c r="F8043">
        <v>15</v>
      </c>
    </row>
    <row r="8044" spans="1:6" ht="12.75">
      <c r="A8044" s="2">
        <v>43881.698796296296</v>
      </c>
      <c r="B8044" t="str">
        <f>HYPERLINK("https://twitter.com/__Aiek__Channel","@__Aiek__Channel")</f>
        <v>@__Aiek__Channel</v>
      </c>
      <c r="C8044" t="s">
        <v>5390</v>
      </c>
      <c r="D8044">
        <v>1</v>
      </c>
      <c r="E8044">
        <v>3</v>
      </c>
      <c r="F8044">
        <v>8822</v>
      </c>
    </row>
    <row r="8045" spans="1:6" ht="12.75">
      <c r="A8045" s="2">
        <v>43881.698576388888</v>
      </c>
      <c r="B8045" t="str">
        <f>HYPERLINK("https://twitter.com/anangYudian","@anangYudian")</f>
        <v>@anangYudian</v>
      </c>
      <c r="C8045" t="s">
        <v>5391</v>
      </c>
      <c r="D8045">
        <v>0</v>
      </c>
      <c r="E8045">
        <v>0</v>
      </c>
      <c r="F8045">
        <v>361</v>
      </c>
    </row>
    <row r="8046" spans="1:6" ht="12.75">
      <c r="A8046" s="2">
        <v>43881.698553240742</v>
      </c>
      <c r="B8046" t="str">
        <f>HYPERLINK("https://twitter.com/detdickaydb","@detdickaydb")</f>
        <v>@detdickaydb</v>
      </c>
      <c r="C8046" t="s">
        <v>2141</v>
      </c>
      <c r="D8046">
        <v>34</v>
      </c>
      <c r="E8046">
        <v>0</v>
      </c>
      <c r="F8046">
        <v>894</v>
      </c>
    </row>
    <row r="8047" spans="1:6" ht="12.75">
      <c r="A8047" s="2">
        <v>43881.698518518519</v>
      </c>
      <c r="B8047" t="str">
        <f>HYPERLINK("https://twitter.com/alexjanuarii","@alexjanuarii")</f>
        <v>@alexjanuarii</v>
      </c>
      <c r="C8047" t="s">
        <v>4994</v>
      </c>
      <c r="D8047">
        <v>20</v>
      </c>
      <c r="E8047">
        <v>0</v>
      </c>
      <c r="F8047">
        <v>165</v>
      </c>
    </row>
    <row r="8048" spans="1:6" ht="12.75">
      <c r="A8048" s="2">
        <v>43881.698495370365</v>
      </c>
      <c r="B8048" t="str">
        <f>HYPERLINK("https://twitter.com/edwin_basuki","@edwin_basuki")</f>
        <v>@edwin_basuki</v>
      </c>
      <c r="C8048" t="s">
        <v>177</v>
      </c>
      <c r="D8048">
        <v>247</v>
      </c>
      <c r="E8048">
        <v>0</v>
      </c>
      <c r="F8048">
        <v>191</v>
      </c>
    </row>
    <row r="8049" spans="1:6" ht="12.75">
      <c r="A8049" s="2">
        <v>43881.698368055557</v>
      </c>
      <c r="B8049" t="str">
        <f>HYPERLINK("https://twitter.com/Andika15_","@Andika15_")</f>
        <v>@Andika15_</v>
      </c>
      <c r="C8049" t="s">
        <v>177</v>
      </c>
      <c r="D8049">
        <v>247</v>
      </c>
      <c r="E8049">
        <v>0</v>
      </c>
      <c r="F8049">
        <v>77</v>
      </c>
    </row>
    <row r="8050" spans="1:6" ht="12.75">
      <c r="A8050" s="2">
        <v>43881.698333333334</v>
      </c>
      <c r="B8050" t="str">
        <f>HYPERLINK("https://twitter.com/Dhan61152962","@Dhan61152962")</f>
        <v>@Dhan61152962</v>
      </c>
      <c r="C8050" t="s">
        <v>177</v>
      </c>
      <c r="D8050">
        <v>247</v>
      </c>
      <c r="E8050">
        <v>0</v>
      </c>
      <c r="F8050">
        <v>345</v>
      </c>
    </row>
    <row r="8051" spans="1:6" ht="12.75">
      <c r="A8051" s="2">
        <v>43881.698275462964</v>
      </c>
      <c r="B8051" t="str">
        <f>HYPERLINK("https://twitter.com/alambaskoroke4","@alambaskoroke4")</f>
        <v>@alambaskoroke4</v>
      </c>
      <c r="C8051" t="s">
        <v>177</v>
      </c>
      <c r="D8051">
        <v>247</v>
      </c>
      <c r="E8051">
        <v>0</v>
      </c>
      <c r="F8051">
        <v>287</v>
      </c>
    </row>
    <row r="8052" spans="1:6" ht="12.75">
      <c r="A8052" s="2">
        <v>43881.698124999995</v>
      </c>
      <c r="B8052" t="str">
        <f>HYPERLINK("https://twitter.com/aaaRindu","@aaaRindu")</f>
        <v>@aaaRindu</v>
      </c>
      <c r="C8052" t="s">
        <v>2141</v>
      </c>
      <c r="D8052">
        <v>34</v>
      </c>
      <c r="E8052">
        <v>0</v>
      </c>
      <c r="F8052">
        <v>58</v>
      </c>
    </row>
    <row r="8053" spans="1:6" ht="12.75">
      <c r="A8053" s="2">
        <v>43881.698101851856</v>
      </c>
      <c r="B8053" t="str">
        <f>HYPERLINK("https://twitter.com/ekoprastyoo653","@ekoprastyoo653")</f>
        <v>@ekoprastyoo653</v>
      </c>
      <c r="C8053" t="s">
        <v>177</v>
      </c>
      <c r="D8053">
        <v>247</v>
      </c>
      <c r="E8053">
        <v>0</v>
      </c>
      <c r="F8053">
        <v>44</v>
      </c>
    </row>
    <row r="8054" spans="1:6" ht="12.75">
      <c r="A8054" s="2">
        <v>43881.697916666672</v>
      </c>
      <c r="B8054" t="str">
        <f>HYPERLINK("https://twitter.com/mishbahulmnr","@mishbahulmnr")</f>
        <v>@mishbahulmnr</v>
      </c>
      <c r="C8054" t="s">
        <v>177</v>
      </c>
      <c r="D8054">
        <v>247</v>
      </c>
      <c r="E8054">
        <v>0</v>
      </c>
      <c r="F8054">
        <v>5</v>
      </c>
    </row>
    <row r="8055" spans="1:6" ht="12.75">
      <c r="A8055" s="2">
        <v>43881.697743055556</v>
      </c>
      <c r="B8055" t="str">
        <f>HYPERLINK("https://twitter.com/TukangR78349424","@TukangR78349424")</f>
        <v>@TukangR78349424</v>
      </c>
      <c r="C8055" t="s">
        <v>3141</v>
      </c>
      <c r="D8055">
        <v>2</v>
      </c>
      <c r="E8055">
        <v>0</v>
      </c>
      <c r="F8055">
        <v>10</v>
      </c>
    </row>
    <row r="8056" spans="1:6" ht="12.75">
      <c r="A8056" s="2">
        <v>43881.697731481487</v>
      </c>
      <c r="B8056" t="str">
        <f>HYPERLINK("https://twitter.com/PanglimaSilihw1","@PanglimaSilihw1")</f>
        <v>@PanglimaSilihw1</v>
      </c>
      <c r="C8056" t="s">
        <v>177</v>
      </c>
      <c r="D8056">
        <v>247</v>
      </c>
      <c r="E8056">
        <v>0</v>
      </c>
      <c r="F8056">
        <v>21</v>
      </c>
    </row>
    <row r="8057" spans="1:6" ht="12.75">
      <c r="A8057" s="2">
        <v>43881.697627314818</v>
      </c>
      <c r="B8057" t="str">
        <f>HYPERLINK("https://twitter.com/Karinnarin","@Karinnarin")</f>
        <v>@Karinnarin</v>
      </c>
      <c r="C8057" t="s">
        <v>2141</v>
      </c>
      <c r="D8057">
        <v>34</v>
      </c>
      <c r="E8057">
        <v>0</v>
      </c>
      <c r="F8057">
        <v>405</v>
      </c>
    </row>
    <row r="8058" spans="1:6" ht="12.75">
      <c r="A8058" s="2">
        <v>43881.697592592594</v>
      </c>
      <c r="B8058" t="str">
        <f>HYPERLINK("https://twitter.com/Rifiaaachya","@Rifiaaachya")</f>
        <v>@Rifiaaachya</v>
      </c>
      <c r="C8058" t="s">
        <v>177</v>
      </c>
      <c r="D8058">
        <v>247</v>
      </c>
      <c r="E8058">
        <v>0</v>
      </c>
      <c r="F8058">
        <v>493</v>
      </c>
    </row>
    <row r="8059" spans="1:6" ht="12.75">
      <c r="A8059" s="2">
        <v>43881.697557870371</v>
      </c>
      <c r="B8059" t="str">
        <f>HYPERLINK("https://twitter.com/ppihyd","@ppihyd")</f>
        <v>@ppihyd</v>
      </c>
      <c r="C8059" t="s">
        <v>5392</v>
      </c>
      <c r="D8059">
        <v>0</v>
      </c>
      <c r="E8059">
        <v>0</v>
      </c>
      <c r="F8059">
        <v>537</v>
      </c>
    </row>
    <row r="8060" spans="1:6" ht="12.75">
      <c r="A8060" s="2">
        <v>43881.697141203702</v>
      </c>
      <c r="B8060" t="str">
        <f>HYPERLINK("https://twitter.com/akunsudi","@akunsudi")</f>
        <v>@akunsudi</v>
      </c>
      <c r="C8060" t="s">
        <v>5393</v>
      </c>
      <c r="D8060">
        <v>1</v>
      </c>
      <c r="E8060">
        <v>0</v>
      </c>
      <c r="F8060">
        <v>1322</v>
      </c>
    </row>
    <row r="8061" spans="1:6" ht="12.75">
      <c r="A8061" s="2">
        <v>43881.668124999997</v>
      </c>
      <c r="B8061" t="str">
        <f>HYPERLINK("https://twitter.com/BillTemporo","@BillTemporo")</f>
        <v>@BillTemporo</v>
      </c>
      <c r="C8061" t="s">
        <v>832</v>
      </c>
      <c r="D8061">
        <v>0</v>
      </c>
      <c r="E8061">
        <v>0</v>
      </c>
      <c r="F8061">
        <v>11</v>
      </c>
    </row>
    <row r="8062" spans="1:6" ht="12.75">
      <c r="A8062" s="2">
        <v>43881.666539351849</v>
      </c>
      <c r="B8062" t="str">
        <f>HYPERLINK("https://twitter.com/christosilalahi","@christosilalahi")</f>
        <v>@christosilalahi</v>
      </c>
      <c r="C8062" t="s">
        <v>5348</v>
      </c>
      <c r="D8062">
        <v>2</v>
      </c>
      <c r="E8062">
        <v>0</v>
      </c>
      <c r="F8062">
        <v>98</v>
      </c>
    </row>
    <row r="8063" spans="1:6" ht="12.75">
      <c r="A8063" s="2">
        <v>43881.666493055556</v>
      </c>
      <c r="B8063" t="str">
        <f>HYPERLINK("https://twitter.com/SeputariNews","@SeputariNews")</f>
        <v>@SeputariNews</v>
      </c>
      <c r="C8063" t="s">
        <v>5394</v>
      </c>
      <c r="D8063">
        <v>0</v>
      </c>
      <c r="E8063">
        <v>1</v>
      </c>
      <c r="F8063">
        <v>438665</v>
      </c>
    </row>
    <row r="8064" spans="1:6" ht="12.75">
      <c r="A8064" s="2">
        <v>43881.666331018518</v>
      </c>
      <c r="B8064" t="str">
        <f>HYPERLINK("https://twitter.com/wiendywi","@wiendywi")</f>
        <v>@wiendywi</v>
      </c>
      <c r="C8064" t="s">
        <v>5395</v>
      </c>
      <c r="D8064">
        <v>0</v>
      </c>
      <c r="E8064">
        <v>0</v>
      </c>
      <c r="F8064">
        <v>711</v>
      </c>
    </row>
    <row r="8065" spans="1:6" ht="12.75">
      <c r="A8065" s="2">
        <v>43881.66615740741</v>
      </c>
      <c r="B8065" t="str">
        <f>HYPERLINK("https://twitter.com/ChrisTetty","@ChrisTetty")</f>
        <v>@ChrisTetty</v>
      </c>
      <c r="C8065" t="s">
        <v>5396</v>
      </c>
      <c r="D8065">
        <v>0</v>
      </c>
      <c r="E8065">
        <v>0</v>
      </c>
      <c r="F8065">
        <v>134</v>
      </c>
    </row>
    <row r="8066" spans="1:6" ht="12.75">
      <c r="A8066" s="2">
        <v>43881.666006944448</v>
      </c>
      <c r="B8066" t="str">
        <f>HYPERLINK("https://twitter.com/Harian_Jogja","@Harian_Jogja")</f>
        <v>@Harian_Jogja</v>
      </c>
      <c r="C8066" t="s">
        <v>5397</v>
      </c>
      <c r="D8066">
        <v>0</v>
      </c>
      <c r="E8066">
        <v>0</v>
      </c>
      <c r="F8066">
        <v>153676</v>
      </c>
    </row>
    <row r="8067" spans="1:6" ht="12.75">
      <c r="A8067" s="2">
        <v>43881.665983796294</v>
      </c>
      <c r="B8067" t="str">
        <f>HYPERLINK("https://twitter.com/DaeguVoys","@DaeguVoys")</f>
        <v>@DaeguVoys</v>
      </c>
      <c r="C8067" t="s">
        <v>5348</v>
      </c>
      <c r="D8067">
        <v>2</v>
      </c>
      <c r="E8067">
        <v>0</v>
      </c>
      <c r="F8067">
        <v>152</v>
      </c>
    </row>
    <row r="8068" spans="1:6" ht="12.75">
      <c r="A8068" s="2">
        <v>43881.66574074074</v>
      </c>
      <c r="B8068" t="str">
        <f>HYPERLINK("https://twitter.com/Metro_TV","@Metro_TV")</f>
        <v>@Metro_TV</v>
      </c>
      <c r="C8068" t="s">
        <v>5398</v>
      </c>
      <c r="D8068">
        <v>2</v>
      </c>
      <c r="E8068">
        <v>3</v>
      </c>
      <c r="F8068">
        <v>10510994</v>
      </c>
    </row>
    <row r="8069" spans="1:6" ht="12.75">
      <c r="A8069" s="2">
        <v>43881.665659722217</v>
      </c>
      <c r="B8069" t="str">
        <f>HYPERLINK("https://twitter.com/KapalPerang","@KapalPerang")</f>
        <v>@KapalPerang</v>
      </c>
      <c r="C8069" t="s">
        <v>5399</v>
      </c>
      <c r="D8069">
        <v>0</v>
      </c>
      <c r="E8069">
        <v>0</v>
      </c>
      <c r="F8069">
        <v>562</v>
      </c>
    </row>
    <row r="8070" spans="1:6" ht="12.75">
      <c r="A8070" s="2">
        <v>43881.665601851855</v>
      </c>
      <c r="B8070" t="str">
        <f>HYPERLINK("https://twitter.com/idntimes","@idntimes")</f>
        <v>@idntimes</v>
      </c>
      <c r="C8070" t="s">
        <v>5400</v>
      </c>
      <c r="D8070">
        <v>0</v>
      </c>
      <c r="E8070">
        <v>0</v>
      </c>
      <c r="F8070">
        <v>393090</v>
      </c>
    </row>
    <row r="8071" spans="1:6" ht="12.75">
      <c r="A8071" s="2">
        <v>43881.665543981479</v>
      </c>
      <c r="B8071" t="str">
        <f>HYPERLINK("https://twitter.com/Beritasatu","@Beritasatu")</f>
        <v>@Beritasatu</v>
      </c>
      <c r="C8071" t="s">
        <v>5401</v>
      </c>
      <c r="D8071">
        <v>0</v>
      </c>
      <c r="E8071">
        <v>0</v>
      </c>
      <c r="F8071">
        <v>614934</v>
      </c>
    </row>
    <row r="8072" spans="1:6" ht="12.75">
      <c r="A8072" s="2">
        <v>43881.66506944444</v>
      </c>
      <c r="B8072" t="str">
        <f>HYPERLINK("https://twitter.com/RizkaaahNH","@RizkaaahNH")</f>
        <v>@RizkaaahNH</v>
      </c>
      <c r="C8072" t="s">
        <v>2692</v>
      </c>
      <c r="D8072">
        <v>1964</v>
      </c>
      <c r="E8072">
        <v>0</v>
      </c>
      <c r="F8072">
        <v>2142</v>
      </c>
    </row>
    <row r="8073" spans="1:6" ht="12.75">
      <c r="A8073" s="2">
        <v>43881.664907407408</v>
      </c>
      <c r="B8073" t="str">
        <f>HYPERLINK("https://twitter.com/LudiroMadu","@LudiroMadu")</f>
        <v>@LudiroMadu</v>
      </c>
      <c r="C8073" t="s">
        <v>5402</v>
      </c>
      <c r="D8073">
        <v>5570</v>
      </c>
      <c r="E8073">
        <v>0</v>
      </c>
      <c r="F8073">
        <v>572</v>
      </c>
    </row>
    <row r="8074" spans="1:6" ht="12.75">
      <c r="A8074" s="2">
        <v>43881.664814814816</v>
      </c>
      <c r="B8074" t="str">
        <f>HYPERLINK("https://twitter.com/blueaestheticcc","@blueaestheticcc")</f>
        <v>@blueaestheticcc</v>
      </c>
      <c r="C8074" t="s">
        <v>3340</v>
      </c>
      <c r="D8074">
        <v>341</v>
      </c>
      <c r="E8074">
        <v>0</v>
      </c>
      <c r="F8074">
        <v>298</v>
      </c>
    </row>
    <row r="8075" spans="1:6" ht="12.75">
      <c r="A8075" s="2">
        <v>43881.66474537037</v>
      </c>
      <c r="B8075" t="str">
        <f>HYPERLINK("https://twitter.com/yuliaswd_","@yuliaswd_")</f>
        <v>@yuliaswd_</v>
      </c>
      <c r="C8075" t="s">
        <v>5403</v>
      </c>
      <c r="D8075">
        <v>8</v>
      </c>
      <c r="E8075">
        <v>0</v>
      </c>
      <c r="F8075">
        <v>264</v>
      </c>
    </row>
    <row r="8076" spans="1:6" ht="12.75">
      <c r="A8076" s="2">
        <v>43881.664270833338</v>
      </c>
      <c r="B8076" t="str">
        <f>HYPERLINK("https://twitter.com/KompasTV","@KompasTV")</f>
        <v>@KompasTV</v>
      </c>
      <c r="C8076" t="s">
        <v>5404</v>
      </c>
      <c r="D8076">
        <v>0</v>
      </c>
      <c r="E8076">
        <v>1</v>
      </c>
      <c r="F8076">
        <v>2944843</v>
      </c>
    </row>
    <row r="8077" spans="1:6" ht="12.75">
      <c r="A8077" s="2">
        <v>43881.664259259254</v>
      </c>
      <c r="B8077" t="str">
        <f>HYPERLINK("https://twitter.com/idntimes","@idntimes")</f>
        <v>@idntimes</v>
      </c>
      <c r="C8077" t="s">
        <v>5405</v>
      </c>
      <c r="D8077">
        <v>0</v>
      </c>
      <c r="E8077">
        <v>0</v>
      </c>
      <c r="F8077">
        <v>393090</v>
      </c>
    </row>
    <row r="8078" spans="1:6" ht="12.75">
      <c r="A8078" s="2">
        <v>43881.664097222223</v>
      </c>
      <c r="B8078" t="str">
        <f>HYPERLINK("https://twitter.com/absomad1","@absomad1")</f>
        <v>@absomad1</v>
      </c>
      <c r="C8078" t="s">
        <v>4360</v>
      </c>
      <c r="D8078">
        <v>162</v>
      </c>
      <c r="E8078">
        <v>0</v>
      </c>
      <c r="F8078">
        <v>238</v>
      </c>
    </row>
    <row r="8079" spans="1:6" ht="12.75">
      <c r="A8079" s="2">
        <v>43881.663668981477</v>
      </c>
      <c r="B8079" t="str">
        <f>HYPERLINK("https://twitter.com/ppidsetdajateng","@ppidsetdajateng")</f>
        <v>@ppidsetdajateng</v>
      </c>
      <c r="C8079" t="s">
        <v>5406</v>
      </c>
      <c r="D8079">
        <v>27</v>
      </c>
      <c r="E8079">
        <v>0</v>
      </c>
      <c r="F8079">
        <v>1275</v>
      </c>
    </row>
    <row r="8080" spans="1:6" ht="12.75">
      <c r="A8080" s="2">
        <v>43881.66337962963</v>
      </c>
      <c r="B8080" t="str">
        <f>HYPERLINK("https://twitter.com/ikhwan_yan","@ikhwan_yan")</f>
        <v>@ikhwan_yan</v>
      </c>
      <c r="C8080" t="s">
        <v>5407</v>
      </c>
      <c r="D8080">
        <v>2</v>
      </c>
      <c r="E8080">
        <v>0</v>
      </c>
      <c r="F8080">
        <v>1932</v>
      </c>
    </row>
    <row r="8081" spans="1:6" ht="12.75">
      <c r="A8081" s="2">
        <v>43881.663344907407</v>
      </c>
      <c r="B8081" t="str">
        <f>HYPERLINK("https://twitter.com/Valhalla_Asgard","@Valhalla_Asgard")</f>
        <v>@Valhalla_Asgard</v>
      </c>
      <c r="C8081" t="s">
        <v>5329</v>
      </c>
      <c r="D8081">
        <v>9</v>
      </c>
      <c r="E8081">
        <v>0</v>
      </c>
      <c r="F8081">
        <v>6832</v>
      </c>
    </row>
    <row r="8082" spans="1:6" ht="12.75">
      <c r="A8082" s="2">
        <v>43881.663078703699</v>
      </c>
      <c r="B8082" t="str">
        <f>HYPERLINK("https://twitter.com/NurjanahRike","@NurjanahRike")</f>
        <v>@NurjanahRike</v>
      </c>
      <c r="C8082" t="s">
        <v>5407</v>
      </c>
      <c r="D8082">
        <v>2</v>
      </c>
      <c r="E8082">
        <v>0</v>
      </c>
      <c r="F8082">
        <v>530</v>
      </c>
    </row>
    <row r="8083" spans="1:6" ht="12.75">
      <c r="A8083" s="2">
        <v>43881.662893518514</v>
      </c>
      <c r="B8083" t="str">
        <f>HYPERLINK("https://twitter.com/ifhakhadif","@ifhakhadif")</f>
        <v>@ifhakhadif</v>
      </c>
      <c r="C8083" t="s">
        <v>2444</v>
      </c>
      <c r="D8083">
        <v>4581</v>
      </c>
      <c r="E8083">
        <v>0</v>
      </c>
      <c r="F8083">
        <v>7</v>
      </c>
    </row>
    <row r="8084" spans="1:6" ht="12.75">
      <c r="A8084" s="2">
        <v>43881.662615740745</v>
      </c>
      <c r="B8084" t="str">
        <f>HYPERLINK("https://twitter.com/ISIS_Balik_NO","@ISIS_Balik_NO")</f>
        <v>@ISIS_Balik_NO</v>
      </c>
      <c r="C8084" t="s">
        <v>5408</v>
      </c>
      <c r="D8084">
        <v>28</v>
      </c>
      <c r="E8084">
        <v>0</v>
      </c>
      <c r="F8084">
        <v>6087</v>
      </c>
    </row>
    <row r="8085" spans="1:6" ht="12.75">
      <c r="A8085" s="2">
        <v>43881.662395833337</v>
      </c>
      <c r="B8085" t="str">
        <f>HYPERLINK("https://twitter.com/youliyoud","@youliyoud")</f>
        <v>@youliyoud</v>
      </c>
      <c r="C8085" t="s">
        <v>4329</v>
      </c>
      <c r="D8085">
        <v>23</v>
      </c>
      <c r="E8085">
        <v>0</v>
      </c>
      <c r="F8085">
        <v>21</v>
      </c>
    </row>
    <row r="8086" spans="1:6" ht="12.75">
      <c r="A8086" s="2">
        <v>43881.662141203706</v>
      </c>
      <c r="B8086" t="str">
        <f>HYPERLINK("https://twitter.com/SDGagal","@SDGagal")</f>
        <v>@SDGagal</v>
      </c>
      <c r="C8086" t="s">
        <v>5409</v>
      </c>
      <c r="D8086">
        <v>0</v>
      </c>
      <c r="E8086">
        <v>0</v>
      </c>
      <c r="F8086">
        <v>3</v>
      </c>
    </row>
    <row r="8087" spans="1:6" ht="12.75">
      <c r="A8087" s="2">
        <v>43881.661990740744</v>
      </c>
      <c r="B8087" t="str">
        <f>HYPERLINK("https://twitter.com/angelicacs26","@angelicacs26")</f>
        <v>@angelicacs26</v>
      </c>
      <c r="C8087" t="s">
        <v>5410</v>
      </c>
      <c r="D8087">
        <v>143</v>
      </c>
      <c r="E8087">
        <v>0</v>
      </c>
      <c r="F8087">
        <v>275</v>
      </c>
    </row>
    <row r="8088" spans="1:6" ht="12.75">
      <c r="A8088" s="2">
        <v>43881.661736111113</v>
      </c>
      <c r="B8088" t="str">
        <f>HYPERLINK("https://twitter.com/antaranews","@antaranews")</f>
        <v>@antaranews</v>
      </c>
      <c r="C8088" t="s">
        <v>5411</v>
      </c>
      <c r="D8088">
        <v>2</v>
      </c>
      <c r="E8088">
        <v>3</v>
      </c>
      <c r="F8088">
        <v>1104140</v>
      </c>
    </row>
    <row r="8089" spans="1:6" ht="12.75">
      <c r="A8089" s="2">
        <v>43881.66097222222</v>
      </c>
      <c r="B8089" t="str">
        <f>HYPERLINK("https://twitter.com/MuhSulkaidar","@MuhSulkaidar")</f>
        <v>@MuhSulkaidar</v>
      </c>
      <c r="C8089" t="s">
        <v>2147</v>
      </c>
      <c r="D8089">
        <v>585</v>
      </c>
      <c r="E8089">
        <v>0</v>
      </c>
      <c r="F8089">
        <v>0</v>
      </c>
    </row>
    <row r="8090" spans="1:6" ht="12.75">
      <c r="A8090" s="2">
        <v>43881.658449074079</v>
      </c>
      <c r="B8090" t="str">
        <f>HYPERLINK("https://twitter.com/aritrijunianto","@aritrijunianto")</f>
        <v>@aritrijunianto</v>
      </c>
      <c r="C8090" t="s">
        <v>5412</v>
      </c>
      <c r="D8090">
        <v>0</v>
      </c>
      <c r="E8090">
        <v>0</v>
      </c>
      <c r="F8090">
        <v>3536</v>
      </c>
    </row>
    <row r="8091" spans="1:6" ht="12.75">
      <c r="A8091" s="2">
        <v>43881.65829861111</v>
      </c>
      <c r="B8091" t="str">
        <f>HYPERLINK("https://twitter.com/SyukurAyub","@SyukurAyub")</f>
        <v>@SyukurAyub</v>
      </c>
      <c r="C8091" t="s">
        <v>4994</v>
      </c>
      <c r="D8091">
        <v>12</v>
      </c>
      <c r="E8091">
        <v>0</v>
      </c>
      <c r="F8091">
        <v>639</v>
      </c>
    </row>
    <row r="8092" spans="1:6" ht="12.75">
      <c r="A8092" s="2">
        <v>43881.658055555556</v>
      </c>
      <c r="B8092" t="str">
        <f>HYPERLINK("https://twitter.com/hemaviton99","@hemaviton99")</f>
        <v>@hemaviton99</v>
      </c>
      <c r="C8092" t="s">
        <v>5413</v>
      </c>
      <c r="D8092">
        <v>0</v>
      </c>
      <c r="E8092">
        <v>0</v>
      </c>
      <c r="F8092">
        <v>4225</v>
      </c>
    </row>
    <row r="8093" spans="1:6" ht="12.75">
      <c r="A8093" s="2">
        <v>43881.65730324074</v>
      </c>
      <c r="B8093" t="str">
        <f>HYPERLINK("https://twitter.com/Metro_TV","@Metro_TV")</f>
        <v>@Metro_TV</v>
      </c>
      <c r="C8093" t="s">
        <v>5414</v>
      </c>
      <c r="D8093">
        <v>0</v>
      </c>
      <c r="E8093">
        <v>2</v>
      </c>
      <c r="F8093">
        <v>10510994</v>
      </c>
    </row>
    <row r="8094" spans="1:6" ht="12.75">
      <c r="A8094" s="2">
        <v>43881.657291666663</v>
      </c>
      <c r="B8094" t="str">
        <f>HYPERLINK("https://twitter.com/vemoontae","@vemoontae")</f>
        <v>@vemoontae</v>
      </c>
      <c r="C8094" t="s">
        <v>1407</v>
      </c>
      <c r="D8094">
        <v>9625</v>
      </c>
      <c r="E8094">
        <v>0</v>
      </c>
      <c r="F8094">
        <v>474</v>
      </c>
    </row>
    <row r="8095" spans="1:6" ht="12.75">
      <c r="A8095" s="2">
        <v>43881.656770833331</v>
      </c>
      <c r="B8095" t="str">
        <f>HYPERLINK("https://twitter.com/bangkitriambada","@bangkitriambada")</f>
        <v>@bangkitriambada</v>
      </c>
      <c r="C8095" t="s">
        <v>5415</v>
      </c>
      <c r="D8095">
        <v>2</v>
      </c>
      <c r="E8095">
        <v>0</v>
      </c>
      <c r="F8095">
        <v>198</v>
      </c>
    </row>
    <row r="8096" spans="1:6" ht="12.75">
      <c r="A8096" s="2">
        <v>43881.656701388885</v>
      </c>
      <c r="B8096" t="str">
        <f>HYPERLINK("https://twitter.com/SINDOnews","@SINDOnews")</f>
        <v>@SINDOnews</v>
      </c>
      <c r="C8096" t="s">
        <v>5416</v>
      </c>
      <c r="D8096">
        <v>0</v>
      </c>
      <c r="E8096">
        <v>0</v>
      </c>
      <c r="F8096">
        <v>270789</v>
      </c>
    </row>
    <row r="8097" spans="1:6" ht="12.75">
      <c r="A8097" s="2">
        <v>43881.656678240739</v>
      </c>
      <c r="B8097" t="str">
        <f>HYPERLINK("https://twitter.com/A_ADHI_S","@A_ADHI_S")</f>
        <v>@A_ADHI_S</v>
      </c>
      <c r="C8097" t="s">
        <v>4360</v>
      </c>
      <c r="D8097">
        <v>162</v>
      </c>
      <c r="E8097">
        <v>0</v>
      </c>
      <c r="F8097">
        <v>10</v>
      </c>
    </row>
    <row r="8098" spans="1:6" ht="12.75">
      <c r="A8098" s="2">
        <v>43881.65662037037</v>
      </c>
      <c r="B8098" t="str">
        <f>HYPERLINK("https://twitter.com/pheonlights","@pheonlights")</f>
        <v>@pheonlights</v>
      </c>
      <c r="C8098" t="s">
        <v>2692</v>
      </c>
      <c r="D8098">
        <v>1964</v>
      </c>
      <c r="E8098">
        <v>0</v>
      </c>
      <c r="F8098">
        <v>980</v>
      </c>
    </row>
    <row r="8099" spans="1:6" ht="12.75">
      <c r="A8099" s="2">
        <v>43881.656435185185</v>
      </c>
      <c r="B8099" t="str">
        <f>HYPERLINK("https://twitter.com/UlarLaut77","@UlarLaut77")</f>
        <v>@UlarLaut77</v>
      </c>
      <c r="C8099" t="s">
        <v>5417</v>
      </c>
      <c r="D8099">
        <v>2</v>
      </c>
      <c r="E8099">
        <v>0</v>
      </c>
      <c r="F8099">
        <v>64</v>
      </c>
    </row>
    <row r="8100" spans="1:6" ht="12.75">
      <c r="A8100" s="2">
        <v>43881.656342592592</v>
      </c>
      <c r="B8100" t="str">
        <f>HYPERLINK("https://twitter.com/SammyMujahidah","@SammyMujahidah")</f>
        <v>@SammyMujahidah</v>
      </c>
      <c r="C8100" t="s">
        <v>5418</v>
      </c>
      <c r="D8100">
        <v>2</v>
      </c>
      <c r="E8100">
        <v>0</v>
      </c>
      <c r="F8100">
        <v>2633</v>
      </c>
    </row>
    <row r="8101" spans="1:6" ht="12.75">
      <c r="A8101" s="2">
        <v>43881.656342592592</v>
      </c>
      <c r="B8101" t="str">
        <f>HYPERLINK("https://twitter.com/Gentaoktober","@Gentaoktober")</f>
        <v>@Gentaoktober</v>
      </c>
      <c r="C8101" t="s">
        <v>2131</v>
      </c>
      <c r="D8101">
        <v>0</v>
      </c>
      <c r="E8101">
        <v>0</v>
      </c>
      <c r="F8101">
        <v>1</v>
      </c>
    </row>
    <row r="8102" spans="1:6" ht="12.75">
      <c r="A8102" s="2">
        <v>43881.656331018516</v>
      </c>
      <c r="B8102" t="str">
        <f>HYPERLINK("https://twitter.com/JhondoexlxG","@JhondoexlxG")</f>
        <v>@JhondoexlxG</v>
      </c>
      <c r="C8102" t="s">
        <v>5419</v>
      </c>
      <c r="D8102">
        <v>1</v>
      </c>
      <c r="E8102">
        <v>0</v>
      </c>
      <c r="F8102">
        <v>427</v>
      </c>
    </row>
    <row r="8103" spans="1:6" ht="12.75">
      <c r="A8103" s="2">
        <v>43881.655902777777</v>
      </c>
      <c r="B8103" t="str">
        <f>HYPERLINK("https://twitter.com/PriyadiDeyi","@PriyadiDeyi")</f>
        <v>@PriyadiDeyi</v>
      </c>
      <c r="C8103" t="s">
        <v>5418</v>
      </c>
      <c r="D8103">
        <v>2</v>
      </c>
      <c r="E8103">
        <v>0</v>
      </c>
      <c r="F8103">
        <v>1836</v>
      </c>
    </row>
    <row r="8104" spans="1:6" ht="12.75">
      <c r="A8104" s="2">
        <v>43881.655601851853</v>
      </c>
      <c r="B8104" t="str">
        <f>HYPERLINK("https://twitter.com/gunadi_cla10","@gunadi_cla10")</f>
        <v>@gunadi_cla10</v>
      </c>
      <c r="C8104" t="s">
        <v>4566</v>
      </c>
      <c r="D8104">
        <v>0</v>
      </c>
      <c r="E8104">
        <v>0</v>
      </c>
      <c r="F8104">
        <v>562</v>
      </c>
    </row>
    <row r="8105" spans="1:6" ht="12.75">
      <c r="A8105" s="2">
        <v>43881.655393518522</v>
      </c>
      <c r="B8105" t="str">
        <f>HYPERLINK("https://twitter.com/krystalock_","@krystalock_")</f>
        <v>@krystalock_</v>
      </c>
      <c r="C8105" t="s">
        <v>2692</v>
      </c>
      <c r="D8105">
        <v>1964</v>
      </c>
      <c r="E8105">
        <v>0</v>
      </c>
      <c r="F8105">
        <v>1300</v>
      </c>
    </row>
    <row r="8106" spans="1:6" ht="12.75">
      <c r="A8106" s="2">
        <v>43881.655173611114</v>
      </c>
      <c r="B8106" t="str">
        <f>HYPERLINK("https://twitter.com/cnbcindonesia","@cnbcindonesia")</f>
        <v>@cnbcindonesia</v>
      </c>
      <c r="C8106" t="s">
        <v>5420</v>
      </c>
      <c r="D8106">
        <v>2</v>
      </c>
      <c r="E8106">
        <v>0</v>
      </c>
      <c r="F8106">
        <v>30443</v>
      </c>
    </row>
    <row r="8107" spans="1:6" ht="12.75">
      <c r="A8107" s="2">
        <v>43881.655081018514</v>
      </c>
      <c r="B8107" t="str">
        <f>HYPERLINK("https://twitter.com/MNCNewsroom","@MNCNewsroom")</f>
        <v>@MNCNewsroom</v>
      </c>
      <c r="C8107" t="s">
        <v>5421</v>
      </c>
      <c r="D8107">
        <v>0</v>
      </c>
      <c r="E8107">
        <v>0</v>
      </c>
      <c r="F8107">
        <v>17552</v>
      </c>
    </row>
    <row r="8108" spans="1:6" ht="12.75">
      <c r="A8108" s="2">
        <v>43881.654456018514</v>
      </c>
      <c r="B8108" t="str">
        <f>HYPERLINK("https://twitter.com/idntimes","@idntimes")</f>
        <v>@idntimes</v>
      </c>
      <c r="C8108" t="s">
        <v>5422</v>
      </c>
      <c r="D8108">
        <v>1</v>
      </c>
      <c r="E8108">
        <v>1</v>
      </c>
      <c r="F8108">
        <v>393090</v>
      </c>
    </row>
    <row r="8109" spans="1:6" ht="12.75">
      <c r="A8109" s="2">
        <v>43881.654328703706</v>
      </c>
      <c r="B8109" t="str">
        <f>HYPERLINK("https://twitter.com/okezonenews","@okezonenews")</f>
        <v>@okezonenews</v>
      </c>
      <c r="C8109" t="s">
        <v>5423</v>
      </c>
      <c r="D8109">
        <v>0</v>
      </c>
      <c r="E8109">
        <v>2</v>
      </c>
      <c r="F8109">
        <v>1742935</v>
      </c>
    </row>
    <row r="8110" spans="1:6" ht="12.75">
      <c r="A8110" s="2">
        <v>43881.654224537036</v>
      </c>
      <c r="B8110" t="str">
        <f>HYPERLINK("https://twitter.com/SammyMujahidah","@SammyMujahidah")</f>
        <v>@SammyMujahidah</v>
      </c>
      <c r="C8110" t="s">
        <v>5424</v>
      </c>
      <c r="D8110">
        <v>2</v>
      </c>
      <c r="E8110">
        <v>2</v>
      </c>
      <c r="F8110">
        <v>2633</v>
      </c>
    </row>
    <row r="8111" spans="1:6" ht="12.75">
      <c r="A8111" s="2">
        <v>43881.653680555552</v>
      </c>
      <c r="B8111" t="str">
        <f>HYPERLINK("https://twitter.com/anti_mager","@anti_mager")</f>
        <v>@anti_mager</v>
      </c>
      <c r="C8111" t="s">
        <v>5425</v>
      </c>
      <c r="D8111">
        <v>0</v>
      </c>
      <c r="E8111">
        <v>0</v>
      </c>
      <c r="F8111">
        <v>6687</v>
      </c>
    </row>
    <row r="8112" spans="1:6" ht="12.75">
      <c r="A8112" s="2">
        <v>43881.653657407413</v>
      </c>
      <c r="B8112" t="str">
        <f>HYPERLINK("https://twitter.com/crystalizen","@crystalizen")</f>
        <v>@crystalizen</v>
      </c>
      <c r="C8112" t="s">
        <v>1407</v>
      </c>
      <c r="D8112">
        <v>9625</v>
      </c>
      <c r="E8112">
        <v>0</v>
      </c>
      <c r="F8112">
        <v>1702</v>
      </c>
    </row>
    <row r="8113" spans="1:6" ht="12.75">
      <c r="A8113" s="2">
        <v>43881.65357638889</v>
      </c>
      <c r="B8113" t="str">
        <f>HYPERLINK("https://twitter.com/okezonenews","@okezonenews")</f>
        <v>@okezonenews</v>
      </c>
      <c r="C8113" t="s">
        <v>5421</v>
      </c>
      <c r="D8113">
        <v>0</v>
      </c>
      <c r="E8113">
        <v>1</v>
      </c>
      <c r="F8113">
        <v>1742935</v>
      </c>
    </row>
    <row r="8114" spans="1:6" ht="12.75">
      <c r="A8114" s="2">
        <v>43881.653333333335</v>
      </c>
      <c r="B8114" t="str">
        <f>HYPERLINK("https://twitter.com/terjituu","@terjituu")</f>
        <v>@terjituu</v>
      </c>
      <c r="C8114" t="s">
        <v>5426</v>
      </c>
      <c r="D8114">
        <v>0</v>
      </c>
      <c r="E8114">
        <v>0</v>
      </c>
      <c r="F8114">
        <v>5080</v>
      </c>
    </row>
    <row r="8115" spans="1:6" ht="12.75">
      <c r="A8115" s="2">
        <v>43881.653078703705</v>
      </c>
      <c r="B8115" t="str">
        <f>HYPERLINK("https://twitter.com/KEZIAAM0UR","@KEZIAAM0UR")</f>
        <v>@KEZIAAM0UR</v>
      </c>
      <c r="C8115" t="s">
        <v>5427</v>
      </c>
      <c r="D8115">
        <v>0</v>
      </c>
      <c r="E8115">
        <v>0</v>
      </c>
      <c r="F8115">
        <v>99</v>
      </c>
    </row>
    <row r="8116" spans="1:6" ht="12.75">
      <c r="A8116" s="2">
        <v>43881.652557870373</v>
      </c>
      <c r="B8116" t="str">
        <f>HYPERLINK("https://twitter.com/lee_mawan","@lee_mawan")</f>
        <v>@lee_mawan</v>
      </c>
      <c r="C8116" t="s">
        <v>5428</v>
      </c>
      <c r="D8116">
        <v>1</v>
      </c>
      <c r="E8116">
        <v>0</v>
      </c>
      <c r="F8116">
        <v>142</v>
      </c>
    </row>
    <row r="8117" spans="1:6" ht="12.75">
      <c r="A8117" s="2">
        <v>43881.652314814812</v>
      </c>
      <c r="B8117" t="str">
        <f>HYPERLINK("https://twitter.com/day6jsbwd","@day6jsbwd")</f>
        <v>@day6jsbwd</v>
      </c>
      <c r="C8117" t="s">
        <v>1407</v>
      </c>
      <c r="D8117">
        <v>9625</v>
      </c>
      <c r="E8117">
        <v>0</v>
      </c>
      <c r="F8117">
        <v>6</v>
      </c>
    </row>
    <row r="8118" spans="1:6" ht="12.75">
      <c r="A8118" s="2">
        <v>43881.65215277778</v>
      </c>
      <c r="B8118" t="str">
        <f>HYPERLINK("https://twitter.com/anifmubarok","@anifmubarok")</f>
        <v>@anifmubarok</v>
      </c>
      <c r="C8118" t="s">
        <v>5429</v>
      </c>
      <c r="D8118">
        <v>0</v>
      </c>
      <c r="E8118">
        <v>0</v>
      </c>
      <c r="F8118">
        <v>1672</v>
      </c>
    </row>
    <row r="8119" spans="1:6" ht="12.75">
      <c r="A8119" s="2">
        <v>43881.651504629626</v>
      </c>
      <c r="B8119" t="str">
        <f>HYPERLINK("https://twitter.com/Ipinmuach","@Ipinmuach")</f>
        <v>@Ipinmuach</v>
      </c>
      <c r="C8119" t="s">
        <v>5430</v>
      </c>
      <c r="D8119">
        <v>1</v>
      </c>
      <c r="E8119">
        <v>0</v>
      </c>
      <c r="F8119">
        <v>23</v>
      </c>
    </row>
    <row r="8120" spans="1:6" ht="12.75">
      <c r="A8120" s="2">
        <v>43881.650509259256</v>
      </c>
      <c r="B8120" t="str">
        <f>HYPERLINK("https://twitter.com/sirajapadoha","@sirajapadoha")</f>
        <v>@sirajapadoha</v>
      </c>
      <c r="C8120" t="s">
        <v>4329</v>
      </c>
      <c r="D8120">
        <v>23</v>
      </c>
      <c r="E8120">
        <v>0</v>
      </c>
      <c r="F8120">
        <v>2440</v>
      </c>
    </row>
    <row r="8121" spans="1:6" ht="12.75">
      <c r="A8121" s="2">
        <v>43881.65042824074</v>
      </c>
      <c r="B8121" t="str">
        <f>HYPERLINK("https://twitter.com/hariankompas","@hariankompas")</f>
        <v>@hariankompas</v>
      </c>
      <c r="C8121" t="s">
        <v>5431</v>
      </c>
      <c r="D8121">
        <v>1</v>
      </c>
      <c r="E8121">
        <v>1</v>
      </c>
      <c r="F8121">
        <v>786634</v>
      </c>
    </row>
    <row r="8122" spans="1:6" ht="12.75">
      <c r="A8122" s="2">
        <v>43881.649930555555</v>
      </c>
      <c r="B8122" t="str">
        <f>HYPERLINK("https://twitter.com/Fajr6655","@Fajr6655")</f>
        <v>@Fajr6655</v>
      </c>
      <c r="C8122" t="s">
        <v>1407</v>
      </c>
      <c r="D8122">
        <v>9625</v>
      </c>
      <c r="E8122">
        <v>0</v>
      </c>
      <c r="F8122">
        <v>12</v>
      </c>
    </row>
    <row r="8123" spans="1:6" ht="12.75">
      <c r="A8123" s="2">
        <v>43881.649016203708</v>
      </c>
      <c r="B8123" t="str">
        <f>HYPERLINK("https://twitter.com/tvOneNews","@tvOneNews")</f>
        <v>@tvOneNews</v>
      </c>
      <c r="C8123" t="s">
        <v>5432</v>
      </c>
      <c r="D8123">
        <v>1</v>
      </c>
      <c r="E8123">
        <v>3</v>
      </c>
      <c r="F8123">
        <v>8717790</v>
      </c>
    </row>
    <row r="8124" spans="1:6" ht="12.75">
      <c r="A8124" s="2">
        <v>43881.6487962963</v>
      </c>
      <c r="B8124" t="str">
        <f>HYPERLINK("https://twitter.com/StalistS","@StalistS")</f>
        <v>@StalistS</v>
      </c>
      <c r="C8124" t="s">
        <v>5329</v>
      </c>
      <c r="D8124">
        <v>9</v>
      </c>
      <c r="E8124">
        <v>0</v>
      </c>
      <c r="F8124">
        <v>1804</v>
      </c>
    </row>
    <row r="8125" spans="1:6" ht="12.75">
      <c r="A8125" s="2">
        <v>43881.647777777776</v>
      </c>
      <c r="B8125" t="str">
        <f>HYPERLINK("https://twitter.com/GoTotheJek","@GoTotheJek")</f>
        <v>@GoTotheJek</v>
      </c>
      <c r="C8125" t="s">
        <v>4360</v>
      </c>
      <c r="D8125">
        <v>162</v>
      </c>
      <c r="E8125">
        <v>0</v>
      </c>
      <c r="F8125">
        <v>775</v>
      </c>
    </row>
    <row r="8126" spans="1:6" ht="12.75">
      <c r="A8126" s="2">
        <v>43881.647314814814</v>
      </c>
      <c r="B8126" t="str">
        <f>HYPERLINK("https://twitter.com/BeritaCenter","@BeritaCenter")</f>
        <v>@BeritaCenter</v>
      </c>
      <c r="C8126" t="s">
        <v>5433</v>
      </c>
      <c r="D8126">
        <v>0</v>
      </c>
      <c r="E8126">
        <v>0</v>
      </c>
      <c r="F8126">
        <v>9430</v>
      </c>
    </row>
    <row r="8127" spans="1:6" ht="12.75">
      <c r="A8127" s="2">
        <v>43881.647199074076</v>
      </c>
      <c r="B8127" t="str">
        <f>HYPERLINK("https://twitter.com/BillTemporo","@BillTemporo")</f>
        <v>@BillTemporo</v>
      </c>
      <c r="C8127" t="s">
        <v>2092</v>
      </c>
      <c r="D8127">
        <v>0</v>
      </c>
      <c r="E8127">
        <v>0</v>
      </c>
      <c r="F8127">
        <v>11</v>
      </c>
    </row>
    <row r="8128" spans="1:6" ht="12.75">
      <c r="A8128" s="2">
        <v>43881.647002314814</v>
      </c>
      <c r="B8128" t="str">
        <f>HYPERLINK("https://twitter.com/Hoga_Smjtk","@Hoga_Smjtk")</f>
        <v>@Hoga_Smjtk</v>
      </c>
      <c r="C8128" t="s">
        <v>5434</v>
      </c>
      <c r="D8128">
        <v>0</v>
      </c>
      <c r="E8128">
        <v>0</v>
      </c>
      <c r="F8128">
        <v>635</v>
      </c>
    </row>
    <row r="8129" spans="1:6" ht="12.75">
      <c r="A8129" s="2">
        <v>43881.646979166668</v>
      </c>
      <c r="B8129" t="str">
        <f>HYPERLINK("https://twitter.com/7endralKadruN","@7endralKadruN")</f>
        <v>@7endralKadruN</v>
      </c>
      <c r="C8129" t="s">
        <v>5435</v>
      </c>
      <c r="D8129">
        <v>3</v>
      </c>
      <c r="E8129">
        <v>0</v>
      </c>
      <c r="F8129">
        <v>499</v>
      </c>
    </row>
    <row r="8130" spans="1:6" ht="12.75">
      <c r="A8130" s="2">
        <v>43881.645914351851</v>
      </c>
      <c r="B8130" t="str">
        <f>HYPERLINK("https://twitter.com/alineadotid","@alineadotid")</f>
        <v>@alineadotid</v>
      </c>
      <c r="C8130" t="s">
        <v>5436</v>
      </c>
      <c r="D8130">
        <v>0</v>
      </c>
      <c r="E8130">
        <v>0</v>
      </c>
      <c r="F8130">
        <v>611929</v>
      </c>
    </row>
    <row r="8131" spans="1:6" ht="12.75">
      <c r="A8131" s="2">
        <v>43881.645902777775</v>
      </c>
      <c r="B8131" t="str">
        <f>HYPERLINK("https://twitter.com/pecihireng","@pecihireng")</f>
        <v>@pecihireng</v>
      </c>
      <c r="C8131" t="s">
        <v>5435</v>
      </c>
      <c r="D8131">
        <v>3</v>
      </c>
      <c r="E8131">
        <v>0</v>
      </c>
      <c r="F8131">
        <v>1396</v>
      </c>
    </row>
    <row r="8132" spans="1:6" ht="12.75">
      <c r="A8132" s="2">
        <v>43881.645810185189</v>
      </c>
      <c r="B8132" t="str">
        <f>HYPERLINK("https://twitter.com/CahJywe","@CahJywe")</f>
        <v>@CahJywe</v>
      </c>
      <c r="C8132" t="s">
        <v>5435</v>
      </c>
      <c r="D8132">
        <v>3</v>
      </c>
      <c r="E8132">
        <v>0</v>
      </c>
      <c r="F8132">
        <v>2231</v>
      </c>
    </row>
    <row r="8133" spans="1:6" ht="12.75">
      <c r="A8133" s="2">
        <v>43881.645682870367</v>
      </c>
      <c r="B8133" t="str">
        <f>HYPERLINK("https://twitter.com/fatintafida12","@fatintafida12")</f>
        <v>@fatintafida12</v>
      </c>
      <c r="C8133" t="s">
        <v>5164</v>
      </c>
      <c r="D8133">
        <v>13</v>
      </c>
      <c r="E8133">
        <v>0</v>
      </c>
      <c r="F8133">
        <v>15</v>
      </c>
    </row>
    <row r="8134" spans="1:6" ht="12.75">
      <c r="A8134" s="2">
        <v>43881.645497685182</v>
      </c>
      <c r="B8134" t="str">
        <f>HYPERLINK("https://twitter.com/maulydiadw","@maulydiadw")</f>
        <v>@maulydiadw</v>
      </c>
      <c r="C8134" t="s">
        <v>1407</v>
      </c>
      <c r="D8134">
        <v>9625</v>
      </c>
      <c r="E8134">
        <v>0</v>
      </c>
      <c r="F8134">
        <v>766</v>
      </c>
    </row>
    <row r="8135" spans="1:6" ht="12.75">
      <c r="A8135" s="2">
        <v>43881.645451388889</v>
      </c>
      <c r="B8135" t="str">
        <f>HYPERLINK("https://twitter.com/christiyantosw","@christiyantosw")</f>
        <v>@christiyantosw</v>
      </c>
      <c r="C8135" t="s">
        <v>4360</v>
      </c>
      <c r="D8135">
        <v>162</v>
      </c>
      <c r="E8135">
        <v>0</v>
      </c>
      <c r="F8135">
        <v>3072</v>
      </c>
    </row>
    <row r="8136" spans="1:6" ht="12.75">
      <c r="A8136" s="2">
        <v>43881.644930555558</v>
      </c>
      <c r="B8136" t="str">
        <f>HYPERLINK("https://twitter.com/batamnewsonline","@batamnewsonline")</f>
        <v>@batamnewsonline</v>
      </c>
      <c r="C8136" t="s">
        <v>5437</v>
      </c>
      <c r="D8136">
        <v>0</v>
      </c>
      <c r="E8136">
        <v>0</v>
      </c>
      <c r="F8136">
        <v>10220</v>
      </c>
    </row>
    <row r="8137" spans="1:6" ht="12.75">
      <c r="A8137" s="2">
        <v>43881.644872685181</v>
      </c>
      <c r="B8137" t="str">
        <f>HYPERLINK("https://twitter.com/nevesongisnade","@nevesongisnade")</f>
        <v>@nevesongisnade</v>
      </c>
      <c r="C8137" t="s">
        <v>4564</v>
      </c>
      <c r="D8137">
        <v>3</v>
      </c>
      <c r="E8137">
        <v>3</v>
      </c>
      <c r="F8137">
        <v>11</v>
      </c>
    </row>
    <row r="8138" spans="1:6" ht="12.75">
      <c r="A8138" s="2">
        <v>43881.644861111112</v>
      </c>
      <c r="B8138" t="str">
        <f>HYPERLINK("https://twitter.com/BuamKops","@BuamKops")</f>
        <v>@BuamKops</v>
      </c>
      <c r="C8138" t="s">
        <v>5438</v>
      </c>
      <c r="D8138">
        <v>4</v>
      </c>
      <c r="E8138">
        <v>0</v>
      </c>
      <c r="F8138">
        <v>444</v>
      </c>
    </row>
    <row r="8139" spans="1:6" ht="12.75">
      <c r="A8139" s="2">
        <v>43881.644583333335</v>
      </c>
      <c r="B8139" t="str">
        <f>HYPERLINK("https://twitter.com/edwardrully","@edwardrully")</f>
        <v>@edwardrully</v>
      </c>
      <c r="C8139" t="s">
        <v>5439</v>
      </c>
      <c r="D8139">
        <v>0</v>
      </c>
      <c r="E8139">
        <v>0</v>
      </c>
      <c r="F8139">
        <v>48</v>
      </c>
    </row>
    <row r="8140" spans="1:6" ht="12.75">
      <c r="A8140" s="2">
        <v>43881.644513888888</v>
      </c>
      <c r="B8140" t="str">
        <f>HYPERLINK("https://twitter.com/kbharianaceh","@kbharianaceh")</f>
        <v>@kbharianaceh</v>
      </c>
      <c r="C8140" t="s">
        <v>5440</v>
      </c>
      <c r="D8140">
        <v>0</v>
      </c>
      <c r="E8140">
        <v>0</v>
      </c>
      <c r="F8140">
        <v>1187</v>
      </c>
    </row>
    <row r="8141" spans="1:6" ht="12.75">
      <c r="A8141" s="2">
        <v>43881.644467592589</v>
      </c>
      <c r="B8141" t="str">
        <f>HYPERLINK("https://twitter.com/VIVAcoid","@VIVAcoid")</f>
        <v>@VIVAcoid</v>
      </c>
      <c r="C8141" t="s">
        <v>5417</v>
      </c>
      <c r="D8141">
        <v>2</v>
      </c>
      <c r="E8141">
        <v>0</v>
      </c>
      <c r="F8141">
        <v>4170793</v>
      </c>
    </row>
    <row r="8142" spans="1:6" ht="12.75">
      <c r="A8142" s="2">
        <v>43881.644212962958</v>
      </c>
      <c r="B8142" t="str">
        <f>HYPERLINK("https://twitter.com/tempodotco","@tempodotco")</f>
        <v>@tempodotco</v>
      </c>
      <c r="C8142" t="s">
        <v>5441</v>
      </c>
      <c r="D8142">
        <v>6</v>
      </c>
      <c r="E8142">
        <v>0</v>
      </c>
      <c r="F8142">
        <v>1707193</v>
      </c>
    </row>
    <row r="8143" spans="1:6" ht="12.75">
      <c r="A8143" s="2">
        <v>43881.644166666665</v>
      </c>
      <c r="B8143" t="str">
        <f>HYPERLINK("https://twitter.com/Waspadaid","@Waspadaid")</f>
        <v>@Waspadaid</v>
      </c>
      <c r="C8143" t="s">
        <v>5442</v>
      </c>
      <c r="D8143">
        <v>0</v>
      </c>
      <c r="E8143">
        <v>1</v>
      </c>
      <c r="F8143">
        <v>2101</v>
      </c>
    </row>
    <row r="8144" spans="1:6" ht="12.75">
      <c r="A8144" s="2">
        <v>43881.644131944442</v>
      </c>
      <c r="B8144" t="str">
        <f>HYPERLINK("https://twitter.com/vivanewscom","@vivanewscom")</f>
        <v>@vivanewscom</v>
      </c>
      <c r="C8144" t="s">
        <v>5443</v>
      </c>
      <c r="D8144">
        <v>2</v>
      </c>
      <c r="E8144">
        <v>2</v>
      </c>
      <c r="F8144">
        <v>4228</v>
      </c>
    </row>
    <row r="8145" spans="1:6" ht="12.75">
      <c r="A8145" s="2">
        <v>43881.64371527778</v>
      </c>
      <c r="B8145" t="str">
        <f>HYPERLINK("https://twitter.com/republikaonline","@republikaonline")</f>
        <v>@republikaonline</v>
      </c>
      <c r="C8145" t="s">
        <v>5444</v>
      </c>
      <c r="D8145">
        <v>0</v>
      </c>
      <c r="E8145">
        <v>1</v>
      </c>
      <c r="F8145">
        <v>1211548</v>
      </c>
    </row>
    <row r="8146" spans="1:6" ht="12.75">
      <c r="A8146" s="2">
        <v>43881.643495370372</v>
      </c>
      <c r="B8146" t="str">
        <f>HYPERLINK("https://twitter.com/lullabiyo","@lullabiyo")</f>
        <v>@lullabiyo</v>
      </c>
      <c r="C8146" t="s">
        <v>3278</v>
      </c>
      <c r="D8146">
        <v>95</v>
      </c>
      <c r="E8146">
        <v>0</v>
      </c>
      <c r="F8146">
        <v>466</v>
      </c>
    </row>
    <row r="8147" spans="1:6" ht="12.75">
      <c r="A8147" s="2">
        <v>43881.643414351856</v>
      </c>
      <c r="B8147" t="str">
        <f>HYPERLINK("https://twitter.com/KemenkesRI","@KemenkesRI")</f>
        <v>@KemenkesRI</v>
      </c>
      <c r="C8147" t="s">
        <v>5445</v>
      </c>
      <c r="D8147">
        <v>4</v>
      </c>
      <c r="E8147">
        <v>7</v>
      </c>
      <c r="F8147">
        <v>246659</v>
      </c>
    </row>
    <row r="8148" spans="1:6" ht="12.75">
      <c r="A8148" s="2">
        <v>43881.643379629633</v>
      </c>
      <c r="B8148" t="str">
        <f>HYPERLINK("https://twitter.com/agustin_sastra","@agustin_sastra")</f>
        <v>@agustin_sastra</v>
      </c>
      <c r="C8148" t="s">
        <v>4360</v>
      </c>
      <c r="D8148">
        <v>162</v>
      </c>
      <c r="E8148">
        <v>0</v>
      </c>
      <c r="F8148">
        <v>534</v>
      </c>
    </row>
    <row r="8149" spans="1:6" ht="12.75">
      <c r="A8149" s="2">
        <v>43881.64261574074</v>
      </c>
      <c r="B8149" t="str">
        <f>HYPERLINK("https://twitter.com/99xJOY","@99xJOY")</f>
        <v>@99xJOY</v>
      </c>
      <c r="C8149" t="s">
        <v>2124</v>
      </c>
      <c r="D8149">
        <v>1743</v>
      </c>
      <c r="E8149">
        <v>0</v>
      </c>
      <c r="F8149">
        <v>386</v>
      </c>
    </row>
    <row r="8150" spans="1:6" ht="12.75">
      <c r="A8150" s="2">
        <v>43881.64234953704</v>
      </c>
      <c r="B8150" t="str">
        <f>HYPERLINK("https://twitter.com/herdiman29","@herdiman29")</f>
        <v>@herdiman29</v>
      </c>
      <c r="C8150" t="s">
        <v>5329</v>
      </c>
      <c r="D8150">
        <v>9</v>
      </c>
      <c r="E8150">
        <v>0</v>
      </c>
      <c r="F8150">
        <v>965</v>
      </c>
    </row>
    <row r="8151" spans="1:6" ht="12.75">
      <c r="A8151" s="2">
        <v>43881.642337962963</v>
      </c>
      <c r="B8151" t="str">
        <f>HYPERLINK("https://twitter.com/iNewsID","@iNewsID")</f>
        <v>@iNewsID</v>
      </c>
      <c r="C8151" t="s">
        <v>5446</v>
      </c>
      <c r="D8151">
        <v>0</v>
      </c>
      <c r="E8151">
        <v>0</v>
      </c>
      <c r="F8151">
        <v>1281</v>
      </c>
    </row>
    <row r="8152" spans="1:6" ht="12.75">
      <c r="A8152" s="2">
        <v>43881.641759259262</v>
      </c>
      <c r="B8152" t="str">
        <f>HYPERLINK("https://twitter.com/yy54871","@yy54871")</f>
        <v>@yy54871</v>
      </c>
      <c r="C8152" t="s">
        <v>5447</v>
      </c>
      <c r="D8152">
        <v>3</v>
      </c>
      <c r="E8152">
        <v>0</v>
      </c>
      <c r="F8152">
        <v>223</v>
      </c>
    </row>
    <row r="8153" spans="1:6" ht="12.75">
      <c r="A8153" s="2">
        <v>43881.641736111109</v>
      </c>
      <c r="B8153" t="str">
        <f>HYPERLINK("https://twitter.com/99xJOY","@99xJOY")</f>
        <v>@99xJOY</v>
      </c>
      <c r="C8153" t="s">
        <v>5448</v>
      </c>
      <c r="D8153">
        <v>284</v>
      </c>
      <c r="E8153">
        <v>0</v>
      </c>
      <c r="F8153">
        <v>386</v>
      </c>
    </row>
    <row r="8154" spans="1:6" ht="12.75">
      <c r="A8154" s="2">
        <v>43881.640856481477</v>
      </c>
      <c r="B8154" t="str">
        <f>HYPERLINK("https://twitter.com/mahadih54444624","@mahadih54444624")</f>
        <v>@mahadih54444624</v>
      </c>
      <c r="C8154" t="s">
        <v>2085</v>
      </c>
      <c r="D8154">
        <v>16</v>
      </c>
      <c r="E8154">
        <v>0</v>
      </c>
      <c r="F8154">
        <v>1</v>
      </c>
    </row>
    <row r="8155" spans="1:6" ht="12.75">
      <c r="A8155" s="2">
        <v>43881.640844907408</v>
      </c>
      <c r="B8155" t="str">
        <f>HYPERLINK("https://twitter.com/WigunaZahra1","@WigunaZahra1")</f>
        <v>@WigunaZahra1</v>
      </c>
      <c r="C8155" t="s">
        <v>513</v>
      </c>
      <c r="D8155">
        <v>23225</v>
      </c>
      <c r="E8155">
        <v>0</v>
      </c>
      <c r="F8155">
        <v>67</v>
      </c>
    </row>
    <row r="8156" spans="1:6" ht="12.75">
      <c r="A8156" s="2">
        <v>43881.640659722223</v>
      </c>
      <c r="B8156" t="str">
        <f>HYPERLINK("https://twitter.com/flouerpetal","@flouerpetal")</f>
        <v>@flouerpetal</v>
      </c>
      <c r="C8156" t="s">
        <v>2692</v>
      </c>
      <c r="D8156">
        <v>1964</v>
      </c>
      <c r="E8156">
        <v>0</v>
      </c>
      <c r="F8156">
        <v>123</v>
      </c>
    </row>
    <row r="8157" spans="1:6" ht="12.75">
      <c r="A8157" s="2">
        <v>43881.640659722223</v>
      </c>
      <c r="B8157" t="str">
        <f>HYPERLINK("https://twitter.com/BPPemiluPDIPDKI","@BPPemiluPDIPDKI")</f>
        <v>@BPPemiluPDIPDKI</v>
      </c>
      <c r="C8157" t="s">
        <v>5449</v>
      </c>
      <c r="D8157">
        <v>0</v>
      </c>
      <c r="E8157">
        <v>0</v>
      </c>
      <c r="F8157">
        <v>114</v>
      </c>
    </row>
    <row r="8158" spans="1:6" ht="12.75">
      <c r="A8158" s="2">
        <v>43881.640370370369</v>
      </c>
      <c r="B8158" t="str">
        <f>HYPERLINK("https://twitter.com/Ipinmuach","@Ipinmuach")</f>
        <v>@Ipinmuach</v>
      </c>
      <c r="C8158" t="s">
        <v>5234</v>
      </c>
      <c r="D8158">
        <v>2</v>
      </c>
      <c r="E8158">
        <v>0</v>
      </c>
      <c r="F8158">
        <v>23</v>
      </c>
    </row>
    <row r="8159" spans="1:6" ht="12.75">
      <c r="A8159" s="2">
        <v>43881.640243055561</v>
      </c>
      <c r="B8159" t="str">
        <f>HYPERLINK("https://twitter.com/won6_6unung","@won6_6unung")</f>
        <v>@won6_6unung</v>
      </c>
      <c r="C8159" t="s">
        <v>4360</v>
      </c>
      <c r="D8159">
        <v>162</v>
      </c>
      <c r="E8159">
        <v>0</v>
      </c>
      <c r="F8159">
        <v>3134</v>
      </c>
    </row>
    <row r="8160" spans="1:6" ht="12.75">
      <c r="A8160" s="2">
        <v>43881.640162037038</v>
      </c>
      <c r="B8160" t="str">
        <f>HYPERLINK("https://twitter.com/Ipinmuach","@Ipinmuach")</f>
        <v>@Ipinmuach</v>
      </c>
      <c r="C8160" t="s">
        <v>4374</v>
      </c>
      <c r="D8160">
        <v>1</v>
      </c>
      <c r="E8160">
        <v>0</v>
      </c>
      <c r="F8160">
        <v>23</v>
      </c>
    </row>
    <row r="8161" spans="1:6" ht="12.75">
      <c r="A8161" s="2">
        <v>43881.626458333332</v>
      </c>
      <c r="B8161" t="str">
        <f>HYPERLINK("https://twitter.com/BillTemporo","@BillTemporo")</f>
        <v>@BillTemporo</v>
      </c>
      <c r="C8161" t="s">
        <v>889</v>
      </c>
      <c r="D8161">
        <v>0</v>
      </c>
      <c r="E8161">
        <v>0</v>
      </c>
      <c r="F8161">
        <v>11</v>
      </c>
    </row>
    <row r="8162" spans="1:6" ht="12.75">
      <c r="A8162" s="2">
        <v>43881.626134259262</v>
      </c>
      <c r="B8162" t="str">
        <f>HYPERLINK("https://twitter.com/Monovalen_","@Monovalen_")</f>
        <v>@Monovalen_</v>
      </c>
      <c r="C8162" t="s">
        <v>5450</v>
      </c>
      <c r="D8162">
        <v>2</v>
      </c>
      <c r="E8162">
        <v>0</v>
      </c>
      <c r="F8162">
        <v>1348</v>
      </c>
    </row>
    <row r="8163" spans="1:6" ht="12.75">
      <c r="A8163" s="2">
        <v>43881.625787037032</v>
      </c>
      <c r="B8163" t="str">
        <f>HYPERLINK("https://twitter.com/MalangPostNews","@MalangPostNews")</f>
        <v>@MalangPostNews</v>
      </c>
      <c r="C8163" t="s">
        <v>5451</v>
      </c>
      <c r="D8163">
        <v>0</v>
      </c>
      <c r="E8163">
        <v>0</v>
      </c>
      <c r="F8163">
        <v>4</v>
      </c>
    </row>
    <row r="8164" spans="1:6" ht="12.75">
      <c r="A8164" s="2">
        <v>43881.625740740739</v>
      </c>
      <c r="B8164" t="str">
        <f>HYPERLINK("https://twitter.com/pinacuk","@pinacuk")</f>
        <v>@pinacuk</v>
      </c>
      <c r="C8164" t="s">
        <v>1407</v>
      </c>
      <c r="D8164">
        <v>9614</v>
      </c>
      <c r="E8164">
        <v>0</v>
      </c>
      <c r="F8164">
        <v>1924</v>
      </c>
    </row>
    <row r="8165" spans="1:6" ht="12.75">
      <c r="A8165" s="2">
        <v>43881.625393518523</v>
      </c>
      <c r="B8165" t="str">
        <f>HYPERLINK("https://twitter.com/D_m3chy","@D_m3chy")</f>
        <v>@D_m3chy</v>
      </c>
      <c r="C8165" t="s">
        <v>5452</v>
      </c>
      <c r="D8165">
        <v>2</v>
      </c>
      <c r="E8165">
        <v>1</v>
      </c>
      <c r="F8165">
        <v>19325</v>
      </c>
    </row>
    <row r="8166" spans="1:6" ht="12.75">
      <c r="A8166" s="2">
        <v>43881.625289351854</v>
      </c>
      <c r="B8166" t="str">
        <f>HYPERLINK("https://twitter.com/Ipinmuach","@Ipinmuach")</f>
        <v>@Ipinmuach</v>
      </c>
      <c r="C8166" t="s">
        <v>3141</v>
      </c>
      <c r="D8166">
        <v>8</v>
      </c>
      <c r="E8166">
        <v>0</v>
      </c>
      <c r="F8166">
        <v>23</v>
      </c>
    </row>
    <row r="8167" spans="1:6" ht="12.75">
      <c r="A8167" s="2">
        <v>43881.624398148153</v>
      </c>
      <c r="B8167" t="str">
        <f>HYPERLINK("https://twitter.com/scimla","@scimla")</f>
        <v>@scimla</v>
      </c>
      <c r="C8167" t="s">
        <v>1407</v>
      </c>
      <c r="D8167">
        <v>9614</v>
      </c>
      <c r="E8167">
        <v>0</v>
      </c>
      <c r="F8167">
        <v>404</v>
      </c>
    </row>
    <row r="8168" spans="1:6" ht="12.75">
      <c r="A8168" s="2">
        <v>43881.624259259261</v>
      </c>
      <c r="B8168" t="str">
        <f>HYPERLINK("https://twitter.com/KBRI_Athena","@KBRI_Athena")</f>
        <v>@KBRI_Athena</v>
      </c>
      <c r="C8168" t="s">
        <v>5453</v>
      </c>
      <c r="D8168">
        <v>0</v>
      </c>
      <c r="E8168">
        <v>0</v>
      </c>
      <c r="F8168">
        <v>1211</v>
      </c>
    </row>
    <row r="8169" spans="1:6" ht="12.75">
      <c r="A8169" s="2">
        <v>43881.62399305556</v>
      </c>
      <c r="B8169" t="str">
        <f>HYPERLINK("https://twitter.com/calon_ughtea","@calon_ughtea")</f>
        <v>@calon_ughtea</v>
      </c>
      <c r="C8169" t="s">
        <v>5454</v>
      </c>
      <c r="D8169">
        <v>1</v>
      </c>
      <c r="E8169">
        <v>0</v>
      </c>
      <c r="F8169">
        <v>8</v>
      </c>
    </row>
    <row r="8170" spans="1:6" ht="12.75">
      <c r="A8170" s="2">
        <v>43881.623564814814</v>
      </c>
      <c r="B8170" t="str">
        <f>HYPERLINK("https://twitter.com/bpriady","@bpriady")</f>
        <v>@bpriady</v>
      </c>
      <c r="C8170" t="s">
        <v>5455</v>
      </c>
      <c r="D8170">
        <v>2</v>
      </c>
      <c r="E8170">
        <v>0</v>
      </c>
      <c r="F8170">
        <v>596</v>
      </c>
    </row>
    <row r="8171" spans="1:6" ht="12.75">
      <c r="A8171" s="2">
        <v>43881.623460648145</v>
      </c>
      <c r="B8171" t="str">
        <f>HYPERLINK("https://twitter.com/cheapitato","@cheapitato")</f>
        <v>@cheapitato</v>
      </c>
      <c r="C8171" t="s">
        <v>2370</v>
      </c>
      <c r="D8171">
        <v>755</v>
      </c>
      <c r="E8171">
        <v>0</v>
      </c>
      <c r="F8171">
        <v>2</v>
      </c>
    </row>
    <row r="8172" spans="1:6" ht="12.75">
      <c r="A8172" s="2">
        <v>43881.622789351852</v>
      </c>
      <c r="B8172" t="str">
        <f>HYPERLINK("https://twitter.com/jajanciki","@jajanciki")</f>
        <v>@jajanciki</v>
      </c>
      <c r="C8172" t="s">
        <v>2692</v>
      </c>
      <c r="D8172">
        <v>1958</v>
      </c>
      <c r="E8172">
        <v>0</v>
      </c>
      <c r="F8172">
        <v>509</v>
      </c>
    </row>
    <row r="8173" spans="1:6" ht="12.75">
      <c r="A8173" s="2">
        <v>43881.622581018513</v>
      </c>
      <c r="B8173" t="str">
        <f>HYPERLINK("https://twitter.com/argieanluthfi","@argieanluthfi")</f>
        <v>@argieanluthfi</v>
      </c>
      <c r="C8173" t="s">
        <v>5370</v>
      </c>
      <c r="D8173">
        <v>3</v>
      </c>
      <c r="E8173">
        <v>0</v>
      </c>
      <c r="F8173">
        <v>93</v>
      </c>
    </row>
    <row r="8174" spans="1:6" ht="12.75">
      <c r="A8174" s="2">
        <v>43881.622511574074</v>
      </c>
      <c r="B8174" t="str">
        <f>HYPERLINK("https://twitter.com/hailqween","@hailqween")</f>
        <v>@hailqween</v>
      </c>
      <c r="C8174" t="s">
        <v>3278</v>
      </c>
      <c r="D8174">
        <v>91</v>
      </c>
      <c r="E8174">
        <v>0</v>
      </c>
      <c r="F8174">
        <v>33</v>
      </c>
    </row>
    <row r="8175" spans="1:6" ht="12.75">
      <c r="A8175" s="2">
        <v>43881.622291666667</v>
      </c>
      <c r="B8175" t="str">
        <f>HYPERLINK("https://twitter.com/gur_ita","@gur_ita")</f>
        <v>@gur_ita</v>
      </c>
      <c r="C8175" t="s">
        <v>5456</v>
      </c>
      <c r="D8175">
        <v>0</v>
      </c>
      <c r="E8175">
        <v>0</v>
      </c>
      <c r="F8175">
        <v>45</v>
      </c>
    </row>
    <row r="8176" spans="1:6" ht="12.75">
      <c r="A8176" s="2">
        <v>43881.62226851852</v>
      </c>
      <c r="B8176" t="str">
        <f>HYPERLINK("https://twitter.com/BadaQs","@BadaQs")</f>
        <v>@BadaQs</v>
      </c>
      <c r="C8176" t="s">
        <v>1407</v>
      </c>
      <c r="D8176">
        <v>9614</v>
      </c>
      <c r="E8176">
        <v>0</v>
      </c>
      <c r="F8176">
        <v>224</v>
      </c>
    </row>
    <row r="8177" spans="1:6" ht="12.75">
      <c r="A8177" s="2">
        <v>43881.622245370367</v>
      </c>
      <c r="B8177" t="str">
        <f>HYPERLINK("https://twitter.com/pikiran_rakyat","@pikiran_rakyat")</f>
        <v>@pikiran_rakyat</v>
      </c>
      <c r="C8177" t="s">
        <v>5457</v>
      </c>
      <c r="D8177">
        <v>0</v>
      </c>
      <c r="E8177">
        <v>0</v>
      </c>
      <c r="F8177">
        <v>412687</v>
      </c>
    </row>
    <row r="8178" spans="1:6" ht="12.75">
      <c r="A8178" s="2">
        <v>43881.622187500005</v>
      </c>
      <c r="B8178" t="str">
        <f>HYPERLINK("https://twitter.com/lightstabber","@lightstabber")</f>
        <v>@lightstabber</v>
      </c>
      <c r="C8178" t="s">
        <v>2692</v>
      </c>
      <c r="D8178">
        <v>1958</v>
      </c>
      <c r="E8178">
        <v>0</v>
      </c>
      <c r="F8178">
        <v>69</v>
      </c>
    </row>
    <row r="8179" spans="1:6" ht="12.75">
      <c r="A8179" s="2">
        <v>43881.621967592597</v>
      </c>
      <c r="B8179" t="str">
        <f>HYPERLINK("https://twitter.com/1979_khairul","@1979_khairul")</f>
        <v>@1979_khairul</v>
      </c>
      <c r="C8179" t="s">
        <v>5385</v>
      </c>
      <c r="D8179">
        <v>2</v>
      </c>
      <c r="E8179">
        <v>0</v>
      </c>
      <c r="F8179">
        <v>3304</v>
      </c>
    </row>
    <row r="8180" spans="1:6" ht="12.75">
      <c r="A8180" s="2">
        <v>43881.621608796297</v>
      </c>
      <c r="B8180" t="str">
        <f>HYPERLINK("https://twitter.com/YusufNusantara1","@YusufNusantara1")</f>
        <v>@YusufNusantara1</v>
      </c>
      <c r="C8180" t="s">
        <v>5385</v>
      </c>
      <c r="D8180">
        <v>2</v>
      </c>
      <c r="E8180">
        <v>0</v>
      </c>
      <c r="F8180">
        <v>709</v>
      </c>
    </row>
    <row r="8181" spans="1:6" ht="12.75">
      <c r="A8181" s="2">
        <v>43881.621296296296</v>
      </c>
      <c r="B8181" t="str">
        <f>HYPERLINK("https://twitter.com/musbarrk","@musbarrk")</f>
        <v>@musbarrk</v>
      </c>
      <c r="C8181" t="s">
        <v>1407</v>
      </c>
      <c r="D8181">
        <v>9614</v>
      </c>
      <c r="E8181">
        <v>0</v>
      </c>
      <c r="F8181">
        <v>568</v>
      </c>
    </row>
    <row r="8182" spans="1:6" ht="12.75">
      <c r="A8182" s="2">
        <v>43881.62122685185</v>
      </c>
      <c r="B8182" t="str">
        <f>HYPERLINK("https://twitter.com/anti_mager","@anti_mager")</f>
        <v>@anti_mager</v>
      </c>
      <c r="C8182" t="s">
        <v>5458</v>
      </c>
      <c r="D8182">
        <v>0</v>
      </c>
      <c r="E8182">
        <v>0</v>
      </c>
      <c r="F8182">
        <v>6687</v>
      </c>
    </row>
    <row r="8183" spans="1:6" ht="12.75">
      <c r="A8183" s="2">
        <v>43881.621145833335</v>
      </c>
      <c r="B8183" t="str">
        <f>HYPERLINK("https://twitter.com/Aryprasetyo85","@Aryprasetyo85")</f>
        <v>@Aryprasetyo85</v>
      </c>
      <c r="C8183" t="s">
        <v>5459</v>
      </c>
      <c r="D8183">
        <v>2</v>
      </c>
      <c r="E8183">
        <v>4</v>
      </c>
      <c r="F8183">
        <v>38951</v>
      </c>
    </row>
    <row r="8184" spans="1:6" ht="12.75">
      <c r="A8184" s="2">
        <v>43881.620717592596</v>
      </c>
      <c r="B8184" t="str">
        <f>HYPERLINK("https://twitter.com/RnL47499132","@RnL47499132")</f>
        <v>@RnL47499132</v>
      </c>
      <c r="C8184" t="s">
        <v>5460</v>
      </c>
      <c r="D8184">
        <v>0</v>
      </c>
      <c r="E8184">
        <v>0</v>
      </c>
      <c r="F8184">
        <v>277</v>
      </c>
    </row>
    <row r="8185" spans="1:6" ht="12.75">
      <c r="A8185" s="2">
        <v>43881.620370370365</v>
      </c>
      <c r="B8185" t="str">
        <f>HYPERLINK("https://twitter.com/tesa_arasanti","@tesa_arasanti")</f>
        <v>@tesa_arasanti</v>
      </c>
      <c r="C8185" t="s">
        <v>5461</v>
      </c>
      <c r="D8185">
        <v>1</v>
      </c>
      <c r="E8185">
        <v>0</v>
      </c>
      <c r="F8185">
        <v>89</v>
      </c>
    </row>
    <row r="8186" spans="1:6" ht="12.75">
      <c r="A8186" s="2">
        <v>43881.620347222226</v>
      </c>
      <c r="B8186" t="str">
        <f>HYPERLINK("https://twitter.com/AbolichdZ","@AbolichdZ")</f>
        <v>@AbolichdZ</v>
      </c>
      <c r="C8186" t="s">
        <v>4829</v>
      </c>
      <c r="D8186">
        <v>9</v>
      </c>
      <c r="E8186">
        <v>0</v>
      </c>
      <c r="F8186">
        <v>804</v>
      </c>
    </row>
    <row r="8187" spans="1:6" ht="12.75">
      <c r="A8187" s="2">
        <v>43881.620057870372</v>
      </c>
      <c r="B8187" t="str">
        <f>HYPERLINK("https://twitter.com/MHSyahrir","@MHSyahrir")</f>
        <v>@MHSyahrir</v>
      </c>
      <c r="C8187" t="s">
        <v>5462</v>
      </c>
      <c r="D8187">
        <v>0</v>
      </c>
      <c r="E8187">
        <v>0</v>
      </c>
      <c r="F8187">
        <v>61</v>
      </c>
    </row>
    <row r="8188" spans="1:6" ht="12.75">
      <c r="A8188" s="2">
        <v>43881.619618055556</v>
      </c>
      <c r="B8188" t="str">
        <f>HYPERLINK("https://twitter.com/BayuSet26765246","@BayuSet26765246")</f>
        <v>@BayuSet26765246</v>
      </c>
      <c r="C8188" t="s">
        <v>5463</v>
      </c>
      <c r="D8188">
        <v>0</v>
      </c>
      <c r="E8188">
        <v>0</v>
      </c>
      <c r="F8188">
        <v>1418</v>
      </c>
    </row>
    <row r="8189" spans="1:6" ht="12.75">
      <c r="A8189" s="2">
        <v>43881.619456018518</v>
      </c>
      <c r="B8189" t="str">
        <f>HYPERLINK("https://twitter.com/meidianadwi","@meidianadwi")</f>
        <v>@meidianadwi</v>
      </c>
      <c r="C8189" t="s">
        <v>5464</v>
      </c>
      <c r="D8189">
        <v>6</v>
      </c>
      <c r="E8189">
        <v>0</v>
      </c>
      <c r="F8189">
        <v>171</v>
      </c>
    </row>
    <row r="8190" spans="1:6" ht="12.75">
      <c r="A8190" s="2">
        <v>43881.619374999995</v>
      </c>
      <c r="B8190" t="str">
        <f>HYPERLINK("https://twitter.com/tribunnews","@tribunnews")</f>
        <v>@tribunnews</v>
      </c>
      <c r="C8190" t="s">
        <v>5465</v>
      </c>
      <c r="D8190">
        <v>1</v>
      </c>
      <c r="E8190">
        <v>1</v>
      </c>
      <c r="F8190">
        <v>877334</v>
      </c>
    </row>
    <row r="8191" spans="1:6" ht="12.75">
      <c r="A8191" s="2">
        <v>43881.618854166663</v>
      </c>
      <c r="B8191" t="str">
        <f>HYPERLINK("https://twitter.com/CaptYudi","@CaptYudi")</f>
        <v>@CaptYudi</v>
      </c>
      <c r="C8191" t="s">
        <v>5466</v>
      </c>
      <c r="D8191">
        <v>1</v>
      </c>
      <c r="E8191">
        <v>0</v>
      </c>
      <c r="F8191">
        <v>1774</v>
      </c>
    </row>
    <row r="8192" spans="1:6" ht="12.75">
      <c r="A8192" s="2">
        <v>43881.618483796294</v>
      </c>
      <c r="B8192" t="str">
        <f>HYPERLINK("https://twitter.com/sundaruu","@sundaruu")</f>
        <v>@sundaruu</v>
      </c>
      <c r="C8192" t="s">
        <v>5467</v>
      </c>
      <c r="D8192">
        <v>1</v>
      </c>
      <c r="E8192">
        <v>0</v>
      </c>
      <c r="F8192">
        <v>96</v>
      </c>
    </row>
    <row r="8193" spans="1:6" ht="12.75">
      <c r="A8193" s="2">
        <v>43881.61782407407</v>
      </c>
      <c r="B8193" t="str">
        <f>HYPERLINK("https://twitter.com/DDRezhaa","@DDRezhaa")</f>
        <v>@DDRezhaa</v>
      </c>
      <c r="C8193" t="s">
        <v>4994</v>
      </c>
      <c r="D8193">
        <v>11</v>
      </c>
      <c r="E8193">
        <v>0</v>
      </c>
      <c r="F8193">
        <v>25817</v>
      </c>
    </row>
    <row r="8194" spans="1:6" ht="12.75">
      <c r="A8194" s="2">
        <v>43881.617604166662</v>
      </c>
      <c r="B8194" t="str">
        <f>HYPERLINK("https://twitter.com/Mike27Bravo","@Mike27Bravo")</f>
        <v>@Mike27Bravo</v>
      </c>
      <c r="C8194" t="s">
        <v>5468</v>
      </c>
      <c r="D8194">
        <v>0</v>
      </c>
      <c r="E8194">
        <v>0</v>
      </c>
      <c r="F8194">
        <v>5</v>
      </c>
    </row>
    <row r="8195" spans="1:6" ht="12.75">
      <c r="A8195" s="2">
        <v>43881.617523148147</v>
      </c>
      <c r="B8195" t="str">
        <f>HYPERLINK("https://twitter.com/MaulinaMo","@MaulinaMo")</f>
        <v>@MaulinaMo</v>
      </c>
      <c r="C8195" t="s">
        <v>1407</v>
      </c>
      <c r="D8195">
        <v>9614</v>
      </c>
      <c r="E8195">
        <v>0</v>
      </c>
      <c r="F8195">
        <v>145</v>
      </c>
    </row>
    <row r="8196" spans="1:6" ht="12.75">
      <c r="A8196" s="2">
        <v>43881.617361111115</v>
      </c>
      <c r="B8196" t="str">
        <f>HYPERLINK("https://twitter.com/kompascom","@kompascom")</f>
        <v>@kompascom</v>
      </c>
      <c r="C8196" t="s">
        <v>5469</v>
      </c>
      <c r="D8196">
        <v>1</v>
      </c>
      <c r="E8196">
        <v>4</v>
      </c>
      <c r="F8196">
        <v>7505064</v>
      </c>
    </row>
    <row r="8197" spans="1:6" ht="12.75">
      <c r="A8197" s="2">
        <v>43881.617025462961</v>
      </c>
      <c r="B8197" t="str">
        <f>HYPERLINK("https://twitter.com/nguyentran1105","@nguyentran1105")</f>
        <v>@nguyentran1105</v>
      </c>
      <c r="C8197" t="s">
        <v>2085</v>
      </c>
      <c r="D8197">
        <v>15</v>
      </c>
      <c r="E8197">
        <v>0</v>
      </c>
      <c r="F8197">
        <v>0</v>
      </c>
    </row>
    <row r="8198" spans="1:6" ht="12.75">
      <c r="A8198" s="2">
        <v>43881.616863425923</v>
      </c>
      <c r="B8198" t="str">
        <f>HYPERLINK("https://twitter.com/wni_jmsri","@wni_jmsri")</f>
        <v>@wni_jmsri</v>
      </c>
      <c r="C8198" t="s">
        <v>5470</v>
      </c>
      <c r="D8198">
        <v>1440</v>
      </c>
      <c r="E8198">
        <v>0</v>
      </c>
      <c r="F8198">
        <v>195</v>
      </c>
    </row>
    <row r="8199" spans="1:6" ht="12.75">
      <c r="A8199" s="2">
        <v>43881.61645833333</v>
      </c>
      <c r="B8199" t="str">
        <f>HYPERLINK("https://twitter.com/youngparkeu","@youngparkeu")</f>
        <v>@youngparkeu</v>
      </c>
      <c r="C8199" t="s">
        <v>513</v>
      </c>
      <c r="D8199">
        <v>23223</v>
      </c>
      <c r="E8199">
        <v>0</v>
      </c>
      <c r="F8199">
        <v>347</v>
      </c>
    </row>
    <row r="8200" spans="1:6" ht="12.75">
      <c r="A8200" s="2">
        <v>43881.61645833333</v>
      </c>
      <c r="B8200" t="str">
        <f>HYPERLINK("https://twitter.com/Ko_Brama","@Ko_Brama")</f>
        <v>@Ko_Brama</v>
      </c>
      <c r="C8200" t="s">
        <v>5166</v>
      </c>
      <c r="D8200">
        <v>6</v>
      </c>
      <c r="E8200">
        <v>0</v>
      </c>
      <c r="F8200">
        <v>56</v>
      </c>
    </row>
    <row r="8201" spans="1:6" ht="12.75">
      <c r="A8201" s="2">
        <v>43881.616111111114</v>
      </c>
      <c r="B8201" t="str">
        <f>HYPERLINK("https://twitter.com/reason2sense","@reason2sense")</f>
        <v>@reason2sense</v>
      </c>
      <c r="C8201" t="s">
        <v>4678</v>
      </c>
      <c r="D8201">
        <v>1</v>
      </c>
      <c r="E8201">
        <v>0</v>
      </c>
      <c r="F8201">
        <v>5924</v>
      </c>
    </row>
    <row r="8202" spans="1:6" ht="12.75">
      <c r="A8202" s="2">
        <v>43881.615752314814</v>
      </c>
      <c r="B8202" t="str">
        <f>HYPERLINK("https://twitter.com/pamungkas82","@pamungkas82")</f>
        <v>@pamungkas82</v>
      </c>
      <c r="C8202" t="s">
        <v>4994</v>
      </c>
      <c r="D8202">
        <v>11</v>
      </c>
      <c r="E8202">
        <v>0</v>
      </c>
      <c r="F8202">
        <v>1222</v>
      </c>
    </row>
    <row r="8203" spans="1:6" ht="12.75">
      <c r="A8203" s="2">
        <v>43881.615729166668</v>
      </c>
      <c r="B8203" t="str">
        <f>HYPERLINK("https://twitter.com/rizkidhe","@rizkidhe")</f>
        <v>@rizkidhe</v>
      </c>
      <c r="C8203" t="s">
        <v>1407</v>
      </c>
      <c r="D8203">
        <v>9614</v>
      </c>
      <c r="E8203">
        <v>0</v>
      </c>
      <c r="F8203">
        <v>507</v>
      </c>
    </row>
    <row r="8204" spans="1:6" ht="12.75">
      <c r="A8204" s="2">
        <v>43881.615706018521</v>
      </c>
      <c r="B8204" t="str">
        <f>HYPERLINK("https://twitter.com/pubinform","@pubinform")</f>
        <v>@pubinform</v>
      </c>
      <c r="C8204" t="s">
        <v>5471</v>
      </c>
      <c r="D8204">
        <v>0</v>
      </c>
      <c r="E8204">
        <v>0</v>
      </c>
      <c r="F8204">
        <v>380</v>
      </c>
    </row>
    <row r="8205" spans="1:6" ht="12.75">
      <c r="A8205" s="2">
        <v>43881.615694444445</v>
      </c>
      <c r="B8205" t="str">
        <f>HYPERLINK("https://twitter.com/ferly_norman","@ferly_norman")</f>
        <v>@ferly_norman</v>
      </c>
      <c r="C8205" t="s">
        <v>5472</v>
      </c>
      <c r="D8205">
        <v>0</v>
      </c>
      <c r="E8205">
        <v>0</v>
      </c>
      <c r="F8205">
        <v>512</v>
      </c>
    </row>
    <row r="8206" spans="1:6" ht="12.75">
      <c r="A8206" s="2">
        <v>43881.615069444444</v>
      </c>
      <c r="B8206" t="str">
        <f>HYPERLINK("https://twitter.com/asepzeni17","@asepzeni17")</f>
        <v>@asepzeni17</v>
      </c>
      <c r="C8206" t="s">
        <v>4360</v>
      </c>
      <c r="D8206">
        <v>156</v>
      </c>
      <c r="E8206">
        <v>0</v>
      </c>
      <c r="F8206">
        <v>95</v>
      </c>
    </row>
    <row r="8207" spans="1:6" ht="12.75">
      <c r="A8207" s="2">
        <v>43881.614224537036</v>
      </c>
      <c r="B8207" t="str">
        <f>HYPERLINK("https://twitter.com/pubinform","@pubinform")</f>
        <v>@pubinform</v>
      </c>
      <c r="C8207" t="s">
        <v>5473</v>
      </c>
      <c r="D8207">
        <v>0</v>
      </c>
      <c r="E8207">
        <v>0</v>
      </c>
      <c r="F8207">
        <v>380</v>
      </c>
    </row>
    <row r="8208" spans="1:6" ht="12.75">
      <c r="A8208" s="2">
        <v>43881.613125000003</v>
      </c>
      <c r="B8208" t="str">
        <f>HYPERLINK("https://twitter.com/Dreamcoid","@Dreamcoid")</f>
        <v>@Dreamcoid</v>
      </c>
      <c r="C8208" t="s">
        <v>5474</v>
      </c>
      <c r="D8208">
        <v>0</v>
      </c>
      <c r="E8208">
        <v>0</v>
      </c>
      <c r="F8208">
        <v>11574</v>
      </c>
    </row>
    <row r="8209" spans="1:6" ht="12.75">
      <c r="A8209" s="2">
        <v>43881.610891203702</v>
      </c>
      <c r="B8209" t="str">
        <f>HYPERLINK("https://twitter.com/kabarpolitik","@kabarpolitik")</f>
        <v>@kabarpolitik</v>
      </c>
      <c r="C8209" t="s">
        <v>5170</v>
      </c>
      <c r="D8209">
        <v>0</v>
      </c>
      <c r="E8209">
        <v>0</v>
      </c>
      <c r="F8209">
        <v>16775</v>
      </c>
    </row>
    <row r="8210" spans="1:6" ht="12.75">
      <c r="A8210" s="2">
        <v>43881.610613425924</v>
      </c>
      <c r="B8210" t="str">
        <f>HYPERLINK("https://twitter.com/nyeokuchaa","@nyeokuchaa")</f>
        <v>@nyeokuchaa</v>
      </c>
      <c r="C8210" t="s">
        <v>2692</v>
      </c>
      <c r="D8210">
        <v>1958</v>
      </c>
      <c r="E8210">
        <v>0</v>
      </c>
      <c r="F8210">
        <v>329</v>
      </c>
    </row>
    <row r="8211" spans="1:6" ht="12.75">
      <c r="A8211" s="2">
        <v>43881.610486111109</v>
      </c>
      <c r="B8211" t="str">
        <f>HYPERLINK("https://twitter.com/mejagambar","@mejagambar")</f>
        <v>@mejagambar</v>
      </c>
      <c r="C8211" t="s">
        <v>5475</v>
      </c>
      <c r="D8211">
        <v>0</v>
      </c>
      <c r="E8211">
        <v>0</v>
      </c>
      <c r="F8211">
        <v>227</v>
      </c>
    </row>
    <row r="8212" spans="1:6" ht="12.75">
      <c r="A8212" s="2">
        <v>43881.610416666663</v>
      </c>
      <c r="B8212" t="str">
        <f>HYPERLINK("https://twitter.com/micasaright","@micasaright")</f>
        <v>@micasaright</v>
      </c>
      <c r="C8212" t="s">
        <v>1407</v>
      </c>
      <c r="D8212">
        <v>9614</v>
      </c>
      <c r="E8212">
        <v>0</v>
      </c>
      <c r="F8212">
        <v>476</v>
      </c>
    </row>
    <row r="8213" spans="1:6" ht="12.75">
      <c r="A8213" s="2">
        <v>43881.610405092593</v>
      </c>
      <c r="B8213" t="str">
        <f>HYPERLINK("https://twitter.com/Rahmi_Chess","@Rahmi_Chess")</f>
        <v>@Rahmi_Chess</v>
      </c>
      <c r="C8213" t="s">
        <v>5476</v>
      </c>
      <c r="D8213">
        <v>0</v>
      </c>
      <c r="E8213">
        <v>0</v>
      </c>
      <c r="F8213">
        <v>7</v>
      </c>
    </row>
    <row r="8214" spans="1:6" ht="12.75">
      <c r="A8214" s="2">
        <v>43881.609583333338</v>
      </c>
      <c r="B8214" t="str">
        <f>HYPERLINK("https://twitter.com/elioeliod","@elioeliod")</f>
        <v>@elioeliod</v>
      </c>
      <c r="C8214" t="s">
        <v>5477</v>
      </c>
      <c r="D8214">
        <v>0</v>
      </c>
      <c r="E8214">
        <v>0</v>
      </c>
      <c r="F8214">
        <v>48</v>
      </c>
    </row>
    <row r="8215" spans="1:6" ht="12.75">
      <c r="A8215" s="2">
        <v>43881.60936342593</v>
      </c>
      <c r="B8215" t="str">
        <f>HYPERLINK("https://twitter.com/ronaldhonarto","@ronaldhonarto")</f>
        <v>@ronaldhonarto</v>
      </c>
      <c r="C8215" t="s">
        <v>5478</v>
      </c>
      <c r="D8215">
        <v>0</v>
      </c>
      <c r="E8215">
        <v>0</v>
      </c>
      <c r="F8215">
        <v>718</v>
      </c>
    </row>
    <row r="8216" spans="1:6" ht="12.75">
      <c r="A8216" s="2">
        <v>43881.609351851846</v>
      </c>
      <c r="B8216" t="str">
        <f>HYPERLINK("https://twitter.com/imamsyaif","@imamsyaif")</f>
        <v>@imamsyaif</v>
      </c>
      <c r="C8216" t="s">
        <v>3278</v>
      </c>
      <c r="D8216">
        <v>91</v>
      </c>
      <c r="E8216">
        <v>0</v>
      </c>
      <c r="F8216">
        <v>246</v>
      </c>
    </row>
    <row r="8217" spans="1:6" ht="12.75">
      <c r="A8217" s="2">
        <v>43881.609340277777</v>
      </c>
      <c r="B8217" t="str">
        <f>HYPERLINK("https://twitter.com/Ko_Brama","@Ko_Brama")</f>
        <v>@Ko_Brama</v>
      </c>
      <c r="C8217" t="s">
        <v>5165</v>
      </c>
      <c r="D8217">
        <v>3</v>
      </c>
      <c r="E8217">
        <v>0</v>
      </c>
      <c r="F8217">
        <v>56</v>
      </c>
    </row>
    <row r="8218" spans="1:6" ht="12.75">
      <c r="A8218" s="2">
        <v>43881.609143518523</v>
      </c>
      <c r="B8218" t="str">
        <f>HYPERLINK("https://twitter.com/taeilmometer","@taeilmometer")</f>
        <v>@taeilmometer</v>
      </c>
      <c r="C8218" t="s">
        <v>2692</v>
      </c>
      <c r="D8218">
        <v>1958</v>
      </c>
      <c r="E8218">
        <v>0</v>
      </c>
      <c r="F8218">
        <v>408</v>
      </c>
    </row>
    <row r="8219" spans="1:6" ht="12.75">
      <c r="A8219" s="2">
        <v>43881.608159722222</v>
      </c>
      <c r="B8219" t="str">
        <f>HYPERLINK("https://twitter.com/Sandy_ervandi","@Sandy_ervandi")</f>
        <v>@Sandy_ervandi</v>
      </c>
      <c r="C8219" t="s">
        <v>4329</v>
      </c>
      <c r="D8219">
        <v>21</v>
      </c>
      <c r="E8219">
        <v>0</v>
      </c>
      <c r="F8219">
        <v>100</v>
      </c>
    </row>
    <row r="8220" spans="1:6" ht="12.75">
      <c r="A8220" s="2">
        <v>43881.607685185183</v>
      </c>
      <c r="B8220" t="str">
        <f>HYPERLINK("https://twitter.com/kondekturbus_","@kondekturbus_")</f>
        <v>@kondekturbus_</v>
      </c>
      <c r="C8220" t="s">
        <v>3278</v>
      </c>
      <c r="D8220">
        <v>91</v>
      </c>
      <c r="E8220">
        <v>0</v>
      </c>
      <c r="F8220">
        <v>14162</v>
      </c>
    </row>
    <row r="8221" spans="1:6" ht="12.75">
      <c r="A8221" s="2">
        <v>43881.607534722221</v>
      </c>
      <c r="B8221" t="str">
        <f>HYPERLINK("https://twitter.com/woshenelea","@woshenelea")</f>
        <v>@woshenelea</v>
      </c>
      <c r="C8221" t="s">
        <v>1407</v>
      </c>
      <c r="D8221">
        <v>9614</v>
      </c>
      <c r="E8221">
        <v>0</v>
      </c>
      <c r="F8221">
        <v>85</v>
      </c>
    </row>
    <row r="8222" spans="1:6" ht="12.75">
      <c r="A8222" s="2">
        <v>43881.606932870374</v>
      </c>
      <c r="B8222" t="str">
        <f>HYPERLINK("https://twitter.com/buruhmigran","@buruhmigran")</f>
        <v>@buruhmigran</v>
      </c>
      <c r="C8222" t="s">
        <v>5479</v>
      </c>
      <c r="D8222">
        <v>0</v>
      </c>
      <c r="E8222">
        <v>0</v>
      </c>
      <c r="F8222">
        <v>172</v>
      </c>
    </row>
    <row r="8223" spans="1:6" ht="12.75">
      <c r="A8223" s="2">
        <v>43881.606111111112</v>
      </c>
      <c r="B8223" t="str">
        <f>HYPERLINK("https://twitter.com/RobbyGoesti","@RobbyGoesti")</f>
        <v>@RobbyGoesti</v>
      </c>
      <c r="C8223" t="s">
        <v>5480</v>
      </c>
      <c r="D8223">
        <v>0</v>
      </c>
      <c r="E8223">
        <v>0</v>
      </c>
      <c r="F8223">
        <v>1157</v>
      </c>
    </row>
    <row r="8224" spans="1:6" ht="12.75">
      <c r="A8224" s="2">
        <v>43881.605925925927</v>
      </c>
      <c r="B8224" t="str">
        <f>HYPERLINK("https://twitter.com/alex_hunter146","@alex_hunter146")</f>
        <v>@alex_hunter146</v>
      </c>
      <c r="C8224" t="s">
        <v>5481</v>
      </c>
      <c r="D8224">
        <v>0</v>
      </c>
      <c r="E8224">
        <v>1</v>
      </c>
      <c r="F8224">
        <v>1396</v>
      </c>
    </row>
    <row r="8225" spans="1:6" ht="12.75">
      <c r="A8225" s="2">
        <v>43881.605902777781</v>
      </c>
      <c r="B8225" t="str">
        <f>HYPERLINK("https://twitter.com/ElshintaDotcom","@ElshintaDotcom")</f>
        <v>@ElshintaDotcom</v>
      </c>
      <c r="C8225" t="s">
        <v>5482</v>
      </c>
      <c r="D8225">
        <v>0</v>
      </c>
      <c r="E8225">
        <v>0</v>
      </c>
      <c r="F8225">
        <v>27884</v>
      </c>
    </row>
    <row r="8226" spans="1:6" ht="12.75">
      <c r="A8226" s="2">
        <v>43881.605624999997</v>
      </c>
      <c r="B8226" t="str">
        <f>HYPERLINK("https://twitter.com/aldayuriska","@aldayuriska")</f>
        <v>@aldayuriska</v>
      </c>
      <c r="C8226" t="s">
        <v>1407</v>
      </c>
      <c r="D8226">
        <v>9614</v>
      </c>
      <c r="E8226">
        <v>0</v>
      </c>
      <c r="F8226">
        <v>1235</v>
      </c>
    </row>
    <row r="8227" spans="1:6" ht="12.75">
      <c r="A8227" s="2">
        <v>43881.605613425927</v>
      </c>
      <c r="B8227" t="str">
        <f>HYPERLINK("https://twitter.com/DhevyArindaa","@DhevyArindaa")</f>
        <v>@DhevyArindaa</v>
      </c>
      <c r="C8227" t="s">
        <v>5483</v>
      </c>
      <c r="D8227">
        <v>0</v>
      </c>
      <c r="E8227">
        <v>0</v>
      </c>
      <c r="F8227">
        <v>1</v>
      </c>
    </row>
    <row r="8228" spans="1:6" ht="12.75">
      <c r="A8228" s="2">
        <v>43881.605370370366</v>
      </c>
      <c r="B8228" t="str">
        <f>HYPERLINK("https://twitter.com/risaldiputra","@risaldiputra")</f>
        <v>@risaldiputra</v>
      </c>
      <c r="C8228" t="s">
        <v>513</v>
      </c>
      <c r="D8228">
        <v>23223</v>
      </c>
      <c r="E8228">
        <v>0</v>
      </c>
      <c r="F8228">
        <v>371</v>
      </c>
    </row>
    <row r="8229" spans="1:6" ht="12.75">
      <c r="A8229" s="2">
        <v>43881.605196759258</v>
      </c>
      <c r="B8229" t="str">
        <f>HYPERLINK("https://twitter.com/oohputriark","@oohputriark")</f>
        <v>@oohputriark</v>
      </c>
      <c r="C8229" t="s">
        <v>2692</v>
      </c>
      <c r="D8229">
        <v>1958</v>
      </c>
      <c r="E8229">
        <v>0</v>
      </c>
      <c r="F8229">
        <v>18</v>
      </c>
    </row>
    <row r="8230" spans="1:6" ht="12.75">
      <c r="A8230" s="2">
        <v>43881.604953703703</v>
      </c>
      <c r="B8230" t="str">
        <f>HYPERLINK("https://twitter.com/dewimyacob","@dewimyacob")</f>
        <v>@dewimyacob</v>
      </c>
      <c r="C8230" t="s">
        <v>513</v>
      </c>
      <c r="D8230">
        <v>23223</v>
      </c>
      <c r="E8230">
        <v>0</v>
      </c>
      <c r="F8230">
        <v>362</v>
      </c>
    </row>
    <row r="8231" spans="1:6" ht="12.75">
      <c r="A8231" s="2">
        <v>43881.604780092588</v>
      </c>
      <c r="B8231" t="str">
        <f>HYPERLINK("https://twitter.com/sukajalanterus","@sukajalanterus")</f>
        <v>@sukajalanterus</v>
      </c>
      <c r="C8231" t="s">
        <v>5484</v>
      </c>
      <c r="D8231">
        <v>6</v>
      </c>
      <c r="E8231">
        <v>0</v>
      </c>
      <c r="F8231">
        <v>318</v>
      </c>
    </row>
    <row r="8232" spans="1:6" ht="12.75">
      <c r="A8232" s="2">
        <v>43881.604374999995</v>
      </c>
      <c r="B8232" t="str">
        <f>HYPERLINK("https://twitter.com/disismalife","@disismalife")</f>
        <v>@disismalife</v>
      </c>
      <c r="C8232" t="s">
        <v>1407</v>
      </c>
      <c r="D8232">
        <v>9614</v>
      </c>
      <c r="E8232">
        <v>0</v>
      </c>
      <c r="F8232">
        <v>299</v>
      </c>
    </row>
    <row r="8233" spans="1:6" ht="12.75">
      <c r="A8233" s="2">
        <v>43881.60429398148</v>
      </c>
      <c r="B8233" t="str">
        <f>HYPERLINK("https://twitter.com/EPras92","@EPras92")</f>
        <v>@EPras92</v>
      </c>
      <c r="C8233" t="s">
        <v>4329</v>
      </c>
      <c r="D8233">
        <v>21</v>
      </c>
      <c r="E8233">
        <v>0</v>
      </c>
      <c r="F8233">
        <v>591</v>
      </c>
    </row>
    <row r="8234" spans="1:6" ht="12.75">
      <c r="A8234" s="2">
        <v>43881.604062500002</v>
      </c>
      <c r="B8234" t="str">
        <f>HYPERLINK("https://twitter.com/seungwooaku","@seungwooaku")</f>
        <v>@seungwooaku</v>
      </c>
      <c r="C8234" t="s">
        <v>1407</v>
      </c>
      <c r="D8234">
        <v>9614</v>
      </c>
      <c r="E8234">
        <v>0</v>
      </c>
      <c r="F8234">
        <v>1059</v>
      </c>
    </row>
    <row r="8235" spans="1:6" ht="12.75">
      <c r="A8235" s="2">
        <v>43881.603831018518</v>
      </c>
      <c r="B8235" t="str">
        <f>HYPERLINK("https://twitter.com/disismalife","@disismalife")</f>
        <v>@disismalife</v>
      </c>
      <c r="C8235" t="s">
        <v>2467</v>
      </c>
      <c r="D8235">
        <v>885</v>
      </c>
      <c r="E8235">
        <v>0</v>
      </c>
      <c r="F8235">
        <v>299</v>
      </c>
    </row>
    <row r="8236" spans="1:6" ht="12.75">
      <c r="A8236" s="2">
        <v>43881.603009259255</v>
      </c>
      <c r="B8236" t="str">
        <f>HYPERLINK("https://twitter.com/BabangOwe","@BabangOwe")</f>
        <v>@BabangOwe</v>
      </c>
      <c r="C8236" t="s">
        <v>5485</v>
      </c>
      <c r="D8236">
        <v>8</v>
      </c>
      <c r="E8236">
        <v>0</v>
      </c>
      <c r="F8236">
        <v>1</v>
      </c>
    </row>
    <row r="8237" spans="1:6" ht="12.75">
      <c r="A8237" s="2">
        <v>43881.602754629625</v>
      </c>
      <c r="B8237" t="str">
        <f>HYPERLINK("https://twitter.com/nyawwwns","@nyawwwns")</f>
        <v>@nyawwwns</v>
      </c>
      <c r="C8237" t="s">
        <v>1407</v>
      </c>
      <c r="D8237">
        <v>9614</v>
      </c>
      <c r="E8237">
        <v>0</v>
      </c>
      <c r="F8237">
        <v>188</v>
      </c>
    </row>
    <row r="8238" spans="1:6" ht="12.75">
      <c r="A8238" s="2">
        <v>43881.602719907409</v>
      </c>
      <c r="B8238" t="str">
        <f>HYPERLINK("https://twitter.com/ArisBowxfire","@ArisBowxfire")</f>
        <v>@ArisBowxfire</v>
      </c>
      <c r="C8238" t="s">
        <v>5486</v>
      </c>
      <c r="D8238">
        <v>2</v>
      </c>
      <c r="E8238">
        <v>0</v>
      </c>
      <c r="F8238">
        <v>813</v>
      </c>
    </row>
    <row r="8239" spans="1:6" ht="12.75">
      <c r="A8239" s="2">
        <v>43881.602523148147</v>
      </c>
      <c r="B8239" t="str">
        <f>HYPERLINK("https://twitter.com/farhannachmad","@farhannachmad")</f>
        <v>@farhannachmad</v>
      </c>
      <c r="C8239" t="s">
        <v>5487</v>
      </c>
      <c r="D8239">
        <v>1</v>
      </c>
      <c r="E8239">
        <v>0</v>
      </c>
      <c r="F8239">
        <v>39</v>
      </c>
    </row>
    <row r="8240" spans="1:6" ht="12.75">
      <c r="A8240" s="2">
        <v>43881.601782407408</v>
      </c>
      <c r="B8240" t="str">
        <f>HYPERLINK("https://twitter.com/sohag94797043","@sohag94797043")</f>
        <v>@sohag94797043</v>
      </c>
      <c r="C8240" t="s">
        <v>4423</v>
      </c>
      <c r="D8240">
        <v>4</v>
      </c>
      <c r="E8240">
        <v>0</v>
      </c>
      <c r="F8240">
        <v>2</v>
      </c>
    </row>
    <row r="8241" spans="1:6" ht="12.75">
      <c r="A8241" s="2">
        <v>43881.601712962962</v>
      </c>
      <c r="B8241" t="str">
        <f>HYPERLINK("https://twitter.com/idinfasisaka","@idinfasisaka")</f>
        <v>@idinfasisaka</v>
      </c>
      <c r="C8241" t="s">
        <v>3059</v>
      </c>
      <c r="D8241">
        <v>301</v>
      </c>
      <c r="E8241">
        <v>0</v>
      </c>
      <c r="F8241">
        <v>101</v>
      </c>
    </row>
    <row r="8242" spans="1:6" ht="12.75">
      <c r="A8242" s="2">
        <v>43881.60083333333</v>
      </c>
      <c r="B8242" t="str">
        <f>HYPERLINK("https://twitter.com/AlberaD5","@AlberaD5")</f>
        <v>@AlberaD5</v>
      </c>
      <c r="C8242" t="s">
        <v>4360</v>
      </c>
      <c r="D8242">
        <v>156</v>
      </c>
      <c r="E8242">
        <v>0</v>
      </c>
      <c r="F8242">
        <v>1637</v>
      </c>
    </row>
    <row r="8243" spans="1:6" ht="12.75">
      <c r="A8243" s="2">
        <v>43881.600416666668</v>
      </c>
      <c r="B8243" t="str">
        <f>HYPERLINK("https://twitter.com/BinAffan19","@BinAffan19")</f>
        <v>@BinAffan19</v>
      </c>
      <c r="C8243" t="s">
        <v>5488</v>
      </c>
      <c r="D8243">
        <v>0</v>
      </c>
      <c r="E8243">
        <v>1</v>
      </c>
      <c r="F8243">
        <v>723</v>
      </c>
    </row>
    <row r="8244" spans="1:6" ht="12.75">
      <c r="A8244" s="2">
        <v>43881.600370370375</v>
      </c>
      <c r="B8244" t="str">
        <f>HYPERLINK("https://twitter.com/warta_tangerang","@warta_tangerang")</f>
        <v>@warta_tangerang</v>
      </c>
      <c r="C8244" t="s">
        <v>5170</v>
      </c>
      <c r="D8244">
        <v>0</v>
      </c>
      <c r="E8244">
        <v>0</v>
      </c>
      <c r="F8244">
        <v>8548</v>
      </c>
    </row>
    <row r="8245" spans="1:6" ht="12.75">
      <c r="A8245" s="2">
        <v>43881.600231481483</v>
      </c>
      <c r="B8245" t="str">
        <f>HYPERLINK("https://twitter.com/SeputariNews","@SeputariNews")</f>
        <v>@SeputariNews</v>
      </c>
      <c r="C8245" t="s">
        <v>5489</v>
      </c>
      <c r="D8245">
        <v>0</v>
      </c>
      <c r="E8245">
        <v>0</v>
      </c>
      <c r="F8245">
        <v>438664</v>
      </c>
    </row>
    <row r="8246" spans="1:6" ht="12.75">
      <c r="A8246" s="2">
        <v>43881.599745370375</v>
      </c>
      <c r="B8246" t="str">
        <f>HYPERLINK("https://twitter.com/yudhapati88","@yudhapati88")</f>
        <v>@yudhapati88</v>
      </c>
      <c r="C8246" t="s">
        <v>5490</v>
      </c>
      <c r="D8246">
        <v>0</v>
      </c>
      <c r="E8246">
        <v>0</v>
      </c>
      <c r="F8246">
        <v>3416</v>
      </c>
    </row>
    <row r="8247" spans="1:6" ht="12.75">
      <c r="A8247" s="2">
        <v>43881.599618055552</v>
      </c>
      <c r="B8247" t="str">
        <f>HYPERLINK("https://twitter.com/TMukherjee6","@TMukherjee6")</f>
        <v>@TMukherjee6</v>
      </c>
      <c r="C8247" t="s">
        <v>5491</v>
      </c>
      <c r="D8247">
        <v>0</v>
      </c>
      <c r="E8247">
        <v>0</v>
      </c>
      <c r="F8247">
        <v>6</v>
      </c>
    </row>
    <row r="8248" spans="1:6" ht="12.75">
      <c r="A8248" s="2">
        <v>43881.599074074074</v>
      </c>
      <c r="B8248" t="str">
        <f>HYPERLINK("https://twitter.com/liarahmaa","@liarahmaa")</f>
        <v>@liarahmaa</v>
      </c>
      <c r="C8248" t="s">
        <v>1407</v>
      </c>
      <c r="D8248">
        <v>9614</v>
      </c>
      <c r="E8248">
        <v>0</v>
      </c>
      <c r="F8248">
        <v>740</v>
      </c>
    </row>
    <row r="8249" spans="1:6" ht="12.75">
      <c r="A8249" s="2">
        <v>43881.598634259259</v>
      </c>
      <c r="B8249" t="str">
        <f>HYPERLINK("https://twitter.com/sohag94797043","@sohag94797043")</f>
        <v>@sohag94797043</v>
      </c>
      <c r="C8249" t="s">
        <v>2146</v>
      </c>
      <c r="D8249">
        <v>2</v>
      </c>
      <c r="E8249">
        <v>0</v>
      </c>
      <c r="F8249">
        <v>2</v>
      </c>
    </row>
    <row r="8250" spans="1:6" ht="12.75">
      <c r="A8250" s="2">
        <v>43881.598587962959</v>
      </c>
      <c r="B8250" t="str">
        <f>HYPERLINK("https://twitter.com/ruangobrol_id","@ruangobrol_id")</f>
        <v>@ruangobrol_id</v>
      </c>
      <c r="C8250" t="s">
        <v>5492</v>
      </c>
      <c r="D8250">
        <v>0</v>
      </c>
      <c r="E8250">
        <v>0</v>
      </c>
      <c r="F8250">
        <v>161</v>
      </c>
    </row>
    <row r="8251" spans="1:6" ht="12.75">
      <c r="A8251" s="2">
        <v>43881.598275462966</v>
      </c>
      <c r="B8251" t="str">
        <f>HYPERLINK("https://twitter.com/wartaIDN","@wartaIDN")</f>
        <v>@wartaIDN</v>
      </c>
      <c r="C8251" t="s">
        <v>5170</v>
      </c>
      <c r="D8251">
        <v>0</v>
      </c>
      <c r="E8251">
        <v>0</v>
      </c>
      <c r="F8251">
        <v>7769</v>
      </c>
    </row>
    <row r="8252" spans="1:6" ht="12.75">
      <c r="A8252" s="2">
        <v>43881.598182870366</v>
      </c>
      <c r="B8252" t="str">
        <f>HYPERLINK("https://twitter.com/AndySastrawina1","@AndySastrawina1")</f>
        <v>@AndySastrawina1</v>
      </c>
      <c r="C8252" t="s">
        <v>4360</v>
      </c>
      <c r="D8252">
        <v>156</v>
      </c>
      <c r="E8252">
        <v>0</v>
      </c>
      <c r="F8252">
        <v>1992</v>
      </c>
    </row>
    <row r="8253" spans="1:6" ht="12.75">
      <c r="A8253" s="2">
        <v>43881.59778935185</v>
      </c>
      <c r="B8253" t="str">
        <f>HYPERLINK("https://twitter.com/kabarpol","@kabarpol")</f>
        <v>@kabarpol</v>
      </c>
      <c r="C8253" t="s">
        <v>5170</v>
      </c>
      <c r="D8253">
        <v>0</v>
      </c>
      <c r="E8253">
        <v>0</v>
      </c>
      <c r="F8253">
        <v>51</v>
      </c>
    </row>
    <row r="8254" spans="1:6" ht="12.75">
      <c r="A8254" s="2">
        <v>43881.59774305555</v>
      </c>
      <c r="B8254" t="str">
        <f>HYPERLINK("https://twitter.com/kabarpolitik","@kabarpolitik")</f>
        <v>@kabarpolitik</v>
      </c>
      <c r="C8254" t="s">
        <v>5170</v>
      </c>
      <c r="D8254">
        <v>0</v>
      </c>
      <c r="E8254">
        <v>0</v>
      </c>
      <c r="F8254">
        <v>16775</v>
      </c>
    </row>
    <row r="8255" spans="1:6" ht="12.75">
      <c r="A8255" s="2">
        <v>43881.59746527778</v>
      </c>
      <c r="B8255" t="str">
        <f>HYPERLINK("https://twitter.com/PutraSiregar218","@PutraSiregar218")</f>
        <v>@PutraSiregar218</v>
      </c>
      <c r="C8255" t="s">
        <v>5493</v>
      </c>
      <c r="D8255">
        <v>0</v>
      </c>
      <c r="E8255">
        <v>0</v>
      </c>
      <c r="F8255">
        <v>82</v>
      </c>
    </row>
    <row r="8256" spans="1:6" ht="12.75">
      <c r="A8256" s="2">
        <v>43881.597407407404</v>
      </c>
      <c r="B8256" t="str">
        <f>HYPERLINK("https://twitter.com/JohnAhmadSarjon","@JohnAhmadSarjon")</f>
        <v>@JohnAhmadSarjon</v>
      </c>
      <c r="C8256" t="s">
        <v>5484</v>
      </c>
      <c r="D8256">
        <v>6</v>
      </c>
      <c r="E8256">
        <v>0</v>
      </c>
      <c r="F8256">
        <v>278</v>
      </c>
    </row>
    <row r="8257" spans="1:6" ht="12.75">
      <c r="A8257" s="2">
        <v>43881.597303240742</v>
      </c>
      <c r="B8257" t="str">
        <f>HYPERLINK("https://twitter.com/Jopidc_","@Jopidc_")</f>
        <v>@Jopidc_</v>
      </c>
      <c r="C8257" t="s">
        <v>2467</v>
      </c>
      <c r="D8257">
        <v>885</v>
      </c>
      <c r="E8257">
        <v>0</v>
      </c>
      <c r="F8257">
        <v>386</v>
      </c>
    </row>
    <row r="8258" spans="1:6" ht="12.75">
      <c r="A8258" s="2">
        <v>43881.597175925926</v>
      </c>
      <c r="B8258" t="str">
        <f>HYPERLINK("https://twitter.com/chzjonas","@chzjonas")</f>
        <v>@chzjonas</v>
      </c>
      <c r="C8258" t="s">
        <v>1407</v>
      </c>
      <c r="D8258">
        <v>9614</v>
      </c>
      <c r="E8258">
        <v>0</v>
      </c>
      <c r="F8258">
        <v>856</v>
      </c>
    </row>
    <row r="8259" spans="1:6" ht="12.75">
      <c r="A8259" s="2">
        <v>43881.596990740742</v>
      </c>
      <c r="B8259" t="str">
        <f>HYPERLINK("https://twitter.com/BramMaulana12","@BramMaulana12")</f>
        <v>@BramMaulana12</v>
      </c>
      <c r="C8259" t="s">
        <v>5494</v>
      </c>
      <c r="D8259">
        <v>0</v>
      </c>
      <c r="E8259">
        <v>0</v>
      </c>
      <c r="F8259">
        <v>17</v>
      </c>
    </row>
    <row r="8260" spans="1:6" ht="12.75">
      <c r="A8260" s="2">
        <v>43881.596909722226</v>
      </c>
      <c r="B8260" t="str">
        <f>HYPERLINK("https://twitter.com/kosongduaempatt","@kosongduaempatt")</f>
        <v>@kosongduaempatt</v>
      </c>
      <c r="C8260" t="s">
        <v>5484</v>
      </c>
      <c r="D8260">
        <v>6</v>
      </c>
      <c r="E8260">
        <v>0</v>
      </c>
      <c r="F8260">
        <v>110</v>
      </c>
    </row>
    <row r="8261" spans="1:6" ht="12.75">
      <c r="A8261" s="2">
        <v>43881.584293981483</v>
      </c>
      <c r="B8261" t="str">
        <f t="shared" ref="B8261:B8262" si="146">HYPERLINK("https://twitter.com/sofia_sudarma","@sofia_sudarma")</f>
        <v>@sofia_sudarma</v>
      </c>
      <c r="C8261" t="s">
        <v>5495</v>
      </c>
      <c r="D8261">
        <v>0</v>
      </c>
      <c r="E8261">
        <v>0</v>
      </c>
      <c r="F8261">
        <v>853</v>
      </c>
    </row>
    <row r="8262" spans="1:6" ht="12.75">
      <c r="A8262" s="2">
        <v>43881.584224537037</v>
      </c>
      <c r="B8262" t="str">
        <f t="shared" si="146"/>
        <v>@sofia_sudarma</v>
      </c>
      <c r="C8262" t="s">
        <v>5496</v>
      </c>
      <c r="D8262">
        <v>1</v>
      </c>
      <c r="E8262">
        <v>0</v>
      </c>
      <c r="F8262">
        <v>853</v>
      </c>
    </row>
    <row r="8263" spans="1:6" ht="12.75">
      <c r="A8263" s="2">
        <v>43881.583634259259</v>
      </c>
      <c r="B8263" t="str">
        <f>HYPERLINK("https://twitter.com/trubusid","@trubusid")</f>
        <v>@trubusid</v>
      </c>
      <c r="C8263" t="s">
        <v>5497</v>
      </c>
      <c r="D8263">
        <v>0</v>
      </c>
      <c r="E8263">
        <v>0</v>
      </c>
      <c r="F8263">
        <v>1023</v>
      </c>
    </row>
    <row r="8264" spans="1:6" ht="12.75">
      <c r="A8264" s="2">
        <v>43881.583506944444</v>
      </c>
      <c r="B8264" t="str">
        <f>HYPERLINK("https://twitter.com/Galuhramadhania","@Galuhramadhania")</f>
        <v>@Galuhramadhania</v>
      </c>
      <c r="C8264" t="s">
        <v>5498</v>
      </c>
      <c r="D8264">
        <v>5</v>
      </c>
      <c r="E8264">
        <v>0</v>
      </c>
      <c r="F8264">
        <v>1971</v>
      </c>
    </row>
    <row r="8265" spans="1:6" ht="12.75">
      <c r="A8265" s="2">
        <v>43881.583356481482</v>
      </c>
      <c r="B8265" t="str">
        <f>HYPERLINK("https://twitter.com/rmol_id","@rmol_id")</f>
        <v>@rmol_id</v>
      </c>
      <c r="C8265" t="s">
        <v>5499</v>
      </c>
      <c r="D8265">
        <v>0</v>
      </c>
      <c r="E8265">
        <v>1</v>
      </c>
      <c r="F8265">
        <v>163512</v>
      </c>
    </row>
    <row r="8266" spans="1:6" ht="12.75">
      <c r="A8266" s="2">
        <v>43881.583148148144</v>
      </c>
      <c r="B8266" t="str">
        <f>HYPERLINK("https://twitter.com/beatrice_health","@beatrice_health")</f>
        <v>@beatrice_health</v>
      </c>
      <c r="C8266" t="s">
        <v>5486</v>
      </c>
      <c r="D8266">
        <v>1</v>
      </c>
      <c r="E8266">
        <v>0</v>
      </c>
      <c r="F8266">
        <v>220</v>
      </c>
    </row>
    <row r="8267" spans="1:6" ht="12.75">
      <c r="A8267" s="2">
        <v>43881.583043981482</v>
      </c>
      <c r="B8267" t="str">
        <f>HYPERLINK("https://twitter.com/notifindonesia","@notifindonesia")</f>
        <v>@notifindonesia</v>
      </c>
      <c r="C8267" t="s">
        <v>5500</v>
      </c>
      <c r="D8267">
        <v>1</v>
      </c>
      <c r="E8267">
        <v>0</v>
      </c>
      <c r="F8267">
        <v>1199</v>
      </c>
    </row>
    <row r="8268" spans="1:6" ht="12.75">
      <c r="A8268" s="2">
        <v>43881.582870370374</v>
      </c>
      <c r="B8268" t="str">
        <f>HYPERLINK("https://twitter.com/Dogelkarya82","@Dogelkarya82")</f>
        <v>@Dogelkarya82</v>
      </c>
      <c r="C8268" t="s">
        <v>5501</v>
      </c>
      <c r="D8268">
        <v>0</v>
      </c>
      <c r="E8268">
        <v>0</v>
      </c>
      <c r="F8268">
        <v>683</v>
      </c>
    </row>
    <row r="8269" spans="1:6" ht="12.75">
      <c r="A8269" s="2">
        <v>43881.582152777773</v>
      </c>
      <c r="B8269" t="str">
        <f>HYPERLINK("https://twitter.com/pinacol4da","@pinacol4da")</f>
        <v>@pinacol4da</v>
      </c>
      <c r="C8269" t="s">
        <v>3278</v>
      </c>
      <c r="D8269">
        <v>87</v>
      </c>
      <c r="E8269">
        <v>0</v>
      </c>
      <c r="F8269">
        <v>505</v>
      </c>
    </row>
    <row r="8270" spans="1:6" ht="12.75">
      <c r="A8270" s="2">
        <v>43881.581817129627</v>
      </c>
      <c r="B8270" t="str">
        <f>HYPERLINK("https://twitter.com/DipaKurnia_A","@DipaKurnia_A")</f>
        <v>@DipaKurnia_A</v>
      </c>
      <c r="C8270" t="s">
        <v>5502</v>
      </c>
      <c r="D8270">
        <v>0</v>
      </c>
      <c r="E8270">
        <v>0</v>
      </c>
      <c r="F8270">
        <v>664</v>
      </c>
    </row>
    <row r="8271" spans="1:6" ht="12.75">
      <c r="A8271" s="2">
        <v>43881.581620370373</v>
      </c>
      <c r="B8271" t="str">
        <f>HYPERLINK("https://twitter.com/penyrilla","@penyrilla")</f>
        <v>@penyrilla</v>
      </c>
      <c r="C8271" t="s">
        <v>1407</v>
      </c>
      <c r="D8271">
        <v>9593</v>
      </c>
      <c r="E8271">
        <v>0</v>
      </c>
      <c r="F8271">
        <v>753</v>
      </c>
    </row>
    <row r="8272" spans="1:6" ht="12.75">
      <c r="A8272" s="2">
        <v>43881.581377314811</v>
      </c>
      <c r="B8272" t="str">
        <f>HYPERLINK("https://twitter.com/republikaonline","@republikaonline")</f>
        <v>@republikaonline</v>
      </c>
      <c r="C8272" t="s">
        <v>5503</v>
      </c>
      <c r="D8272">
        <v>0</v>
      </c>
      <c r="E8272">
        <v>2</v>
      </c>
      <c r="F8272">
        <v>1211527</v>
      </c>
    </row>
    <row r="8273" spans="1:6" ht="12.75">
      <c r="A8273" s="2">
        <v>43881.58121527778</v>
      </c>
      <c r="B8273" t="str">
        <f>HYPERLINK("https://twitter.com/AnandaPLestari","@AnandaPLestari")</f>
        <v>@AnandaPLestari</v>
      </c>
      <c r="C8273" t="s">
        <v>2692</v>
      </c>
      <c r="D8273">
        <v>1945</v>
      </c>
      <c r="E8273">
        <v>0</v>
      </c>
      <c r="F8273">
        <v>272</v>
      </c>
    </row>
    <row r="8274" spans="1:6" ht="12.75">
      <c r="A8274" s="2">
        <v>43881.580810185187</v>
      </c>
      <c r="B8274" t="str">
        <f>HYPERLINK("https://twitter.com/the_geotimes","@the_geotimes")</f>
        <v>@the_geotimes</v>
      </c>
      <c r="C8274" t="s">
        <v>5504</v>
      </c>
      <c r="D8274">
        <v>0</v>
      </c>
      <c r="E8274">
        <v>2</v>
      </c>
      <c r="F8274">
        <v>49542</v>
      </c>
    </row>
    <row r="8275" spans="1:6" ht="12.75">
      <c r="A8275" s="2">
        <v>43881.580729166672</v>
      </c>
      <c r="B8275" t="str">
        <f>HYPERLINK("https://twitter.com/Yosevva","@Yosevva")</f>
        <v>@Yosevva</v>
      </c>
      <c r="C8275" t="s">
        <v>1407</v>
      </c>
      <c r="D8275">
        <v>9593</v>
      </c>
      <c r="E8275">
        <v>0</v>
      </c>
      <c r="F8275">
        <v>849</v>
      </c>
    </row>
    <row r="8276" spans="1:6" ht="12.75">
      <c r="A8276" s="2">
        <v>43881.580694444448</v>
      </c>
      <c r="B8276" t="str">
        <f>HYPERLINK("https://twitter.com/YayukWa01806028","@YayukWa01806028")</f>
        <v>@YayukWa01806028</v>
      </c>
      <c r="C8276" t="s">
        <v>5505</v>
      </c>
      <c r="D8276">
        <v>3</v>
      </c>
      <c r="E8276">
        <v>0</v>
      </c>
      <c r="F8276">
        <v>946</v>
      </c>
    </row>
    <row r="8277" spans="1:6" ht="12.75">
      <c r="A8277" s="2">
        <v>43881.580648148149</v>
      </c>
      <c r="B8277" t="str">
        <f>HYPERLINK("https://twitter.com/nzirhmdhzir","@nzirhmdhzir")</f>
        <v>@nzirhmdhzir</v>
      </c>
      <c r="C8277" t="s">
        <v>5506</v>
      </c>
      <c r="D8277">
        <v>3</v>
      </c>
      <c r="E8277">
        <v>0</v>
      </c>
      <c r="F8277">
        <v>85</v>
      </c>
    </row>
    <row r="8278" spans="1:6" ht="12.75">
      <c r="A8278" s="2">
        <v>43881.580555555556</v>
      </c>
      <c r="B8278" t="str">
        <f>HYPERLINK("https://twitter.com/Beritasatu","@Beritasatu")</f>
        <v>@Beritasatu</v>
      </c>
      <c r="C8278" t="s">
        <v>5507</v>
      </c>
      <c r="D8278">
        <v>0</v>
      </c>
      <c r="E8278">
        <v>0</v>
      </c>
      <c r="F8278">
        <v>614925</v>
      </c>
    </row>
    <row r="8279" spans="1:6" ht="12.75">
      <c r="A8279" s="2">
        <v>43881.580439814818</v>
      </c>
      <c r="B8279" t="str">
        <f>HYPERLINK("https://twitter.com/alex_hunter146","@alex_hunter146")</f>
        <v>@alex_hunter146</v>
      </c>
      <c r="C8279" t="s">
        <v>5508</v>
      </c>
      <c r="D8279">
        <v>0</v>
      </c>
      <c r="E8279">
        <v>0</v>
      </c>
      <c r="F8279">
        <v>1395</v>
      </c>
    </row>
    <row r="8280" spans="1:6" ht="12.75">
      <c r="A8280" s="2">
        <v>43881.58011574074</v>
      </c>
      <c r="B8280" t="str">
        <f>HYPERLINK("https://twitter.com/Rani_Indriani_S","@Rani_Indriani_S")</f>
        <v>@Rani_Indriani_S</v>
      </c>
      <c r="C8280" t="s">
        <v>5509</v>
      </c>
      <c r="D8280">
        <v>5</v>
      </c>
      <c r="E8280">
        <v>0</v>
      </c>
      <c r="F8280">
        <v>917</v>
      </c>
    </row>
    <row r="8281" spans="1:6" ht="12.75">
      <c r="A8281" s="2">
        <v>43881.57885416667</v>
      </c>
      <c r="B8281" t="str">
        <f>HYPERLINK("https://twitter.com/SIkim27mnr","@SIkim27mnr")</f>
        <v>@SIkim27mnr</v>
      </c>
      <c r="C8281" t="s">
        <v>4360</v>
      </c>
      <c r="D8281">
        <v>153</v>
      </c>
      <c r="E8281">
        <v>0</v>
      </c>
      <c r="F8281">
        <v>40</v>
      </c>
    </row>
    <row r="8282" spans="1:6" ht="12.75">
      <c r="A8282" s="2">
        <v>43881.578819444447</v>
      </c>
      <c r="B8282" t="str">
        <f>HYPERLINK("https://twitter.com/mashiheheh","@mashiheheh")</f>
        <v>@mashiheheh</v>
      </c>
      <c r="C8282" t="s">
        <v>1407</v>
      </c>
      <c r="D8282">
        <v>9593</v>
      </c>
      <c r="E8282">
        <v>0</v>
      </c>
      <c r="F8282">
        <v>379</v>
      </c>
    </row>
    <row r="8283" spans="1:6" ht="12.75">
      <c r="A8283" s="2">
        <v>43881.578576388885</v>
      </c>
      <c r="B8283" t="str">
        <f>HYPERLINK("https://twitter.com/oprasisenyap","@oprasisenyap")</f>
        <v>@oprasisenyap</v>
      </c>
      <c r="C8283" t="s">
        <v>5505</v>
      </c>
      <c r="D8283">
        <v>3</v>
      </c>
      <c r="E8283">
        <v>0</v>
      </c>
      <c r="F8283">
        <v>25</v>
      </c>
    </row>
    <row r="8284" spans="1:6" ht="12.75">
      <c r="A8284" s="2">
        <v>43881.577962962961</v>
      </c>
      <c r="B8284" t="str">
        <f>HYPERLINK("https://twitter.com/BlackisBlackMSS","@BlackisBlackMSS")</f>
        <v>@BlackisBlackMSS</v>
      </c>
      <c r="C8284" t="s">
        <v>5505</v>
      </c>
      <c r="D8284">
        <v>3</v>
      </c>
      <c r="E8284">
        <v>0</v>
      </c>
      <c r="F8284">
        <v>4527</v>
      </c>
    </row>
    <row r="8285" spans="1:6" ht="12.75">
      <c r="A8285" s="2">
        <v>43881.577233796299</v>
      </c>
      <c r="B8285" t="str">
        <f>HYPERLINK("https://twitter.com/khrnisaa","@khrnisaa")</f>
        <v>@khrnisaa</v>
      </c>
      <c r="C8285" t="s">
        <v>1407</v>
      </c>
      <c r="D8285">
        <v>9593</v>
      </c>
      <c r="E8285">
        <v>0</v>
      </c>
      <c r="F8285">
        <v>435</v>
      </c>
    </row>
    <row r="8286" spans="1:6" ht="12.75">
      <c r="A8286" s="2">
        <v>43881.577233796299</v>
      </c>
      <c r="B8286" t="str">
        <f>HYPERLINK("https://twitter.com/snakecofficial","@snakecofficial")</f>
        <v>@snakecofficial</v>
      </c>
      <c r="C8286" t="s">
        <v>5510</v>
      </c>
      <c r="D8286">
        <v>0</v>
      </c>
      <c r="E8286">
        <v>0</v>
      </c>
      <c r="F8286">
        <v>29</v>
      </c>
    </row>
    <row r="8287" spans="1:6" ht="12.75">
      <c r="A8287" s="2">
        <v>43881.576805555553</v>
      </c>
      <c r="B8287" t="str">
        <f>HYPERLINK("https://twitter.com/beatrice_health","@beatrice_health")</f>
        <v>@beatrice_health</v>
      </c>
      <c r="C8287" t="s">
        <v>5511</v>
      </c>
      <c r="D8287">
        <v>1</v>
      </c>
      <c r="E8287">
        <v>0</v>
      </c>
      <c r="F8287">
        <v>220</v>
      </c>
    </row>
    <row r="8288" spans="1:6" ht="12.75">
      <c r="A8288" s="2">
        <v>43881.576724537037</v>
      </c>
      <c r="B8288" t="str">
        <f t="shared" ref="B8288:B8289" si="147">HYPERLINK("https://twitter.com/senasurya53","@senasurya53")</f>
        <v>@senasurya53</v>
      </c>
      <c r="C8288" t="s">
        <v>5512</v>
      </c>
      <c r="D8288">
        <v>1</v>
      </c>
      <c r="E8288">
        <v>0</v>
      </c>
      <c r="F8288">
        <v>510</v>
      </c>
    </row>
    <row r="8289" spans="1:6" ht="12.75">
      <c r="A8289" s="2">
        <v>43881.576712962968</v>
      </c>
      <c r="B8289" t="str">
        <f t="shared" si="147"/>
        <v>@senasurya53</v>
      </c>
      <c r="C8289" t="s">
        <v>5513</v>
      </c>
      <c r="D8289">
        <v>0</v>
      </c>
      <c r="E8289">
        <v>0</v>
      </c>
      <c r="F8289">
        <v>510</v>
      </c>
    </row>
    <row r="8290" spans="1:6" ht="12.75">
      <c r="A8290" s="2">
        <v>43881.576539351852</v>
      </c>
      <c r="B8290" t="str">
        <f>HYPERLINK("https://twitter.com/idntimes","@idntimes")</f>
        <v>@idntimes</v>
      </c>
      <c r="C8290" t="s">
        <v>5514</v>
      </c>
      <c r="D8290">
        <v>0</v>
      </c>
      <c r="E8290">
        <v>0</v>
      </c>
      <c r="F8290">
        <v>393090</v>
      </c>
    </row>
    <row r="8291" spans="1:6" ht="12.75">
      <c r="A8291" s="2">
        <v>43881.57612268519</v>
      </c>
      <c r="B8291" t="str">
        <f>HYPERLINK("https://twitter.com/lisadwipayoma","@lisadwipayoma")</f>
        <v>@lisadwipayoma</v>
      </c>
      <c r="C8291" t="s">
        <v>3278</v>
      </c>
      <c r="D8291">
        <v>87</v>
      </c>
      <c r="E8291">
        <v>0</v>
      </c>
      <c r="F8291">
        <v>398</v>
      </c>
    </row>
    <row r="8292" spans="1:6" ht="12.75">
      <c r="A8292" s="2">
        <v>43881.575879629629</v>
      </c>
      <c r="B8292" t="str">
        <f>HYPERLINK("https://twitter.com/SCTV","@SCTV")</f>
        <v>@SCTV</v>
      </c>
      <c r="C8292" t="s">
        <v>5515</v>
      </c>
      <c r="D8292">
        <v>0</v>
      </c>
      <c r="E8292">
        <v>2</v>
      </c>
      <c r="F8292">
        <v>4478993</v>
      </c>
    </row>
    <row r="8293" spans="1:6" ht="12.75">
      <c r="A8293" s="2">
        <v>43881.574837962966</v>
      </c>
      <c r="B8293" t="str">
        <f>HYPERLINK("https://twitter.com/JanggutMbah","@JanggutMbah")</f>
        <v>@JanggutMbah</v>
      </c>
      <c r="C8293" t="s">
        <v>5498</v>
      </c>
      <c r="D8293">
        <v>5</v>
      </c>
      <c r="E8293">
        <v>0</v>
      </c>
      <c r="F8293">
        <v>2403</v>
      </c>
    </row>
    <row r="8294" spans="1:6" ht="12.75">
      <c r="A8294" s="2">
        <v>43881.574837962966</v>
      </c>
      <c r="B8294" t="str">
        <f>HYPERLINK("https://twitter.com/suketi666","@suketi666")</f>
        <v>@suketi666</v>
      </c>
      <c r="C8294" t="s">
        <v>5516</v>
      </c>
      <c r="D8294">
        <v>0</v>
      </c>
      <c r="E8294">
        <v>0</v>
      </c>
      <c r="F8294">
        <v>470</v>
      </c>
    </row>
    <row r="8295" spans="1:6" ht="12.75">
      <c r="A8295" s="2">
        <v>43881.574259259258</v>
      </c>
      <c r="B8295" t="str">
        <f>HYPERLINK("https://twitter.com/newscommentary1","@newscommentary1")</f>
        <v>@newscommentary1</v>
      </c>
      <c r="C8295" t="s">
        <v>5517</v>
      </c>
      <c r="D8295">
        <v>3</v>
      </c>
      <c r="E8295">
        <v>0</v>
      </c>
      <c r="F8295">
        <v>51</v>
      </c>
    </row>
    <row r="8296" spans="1:6" ht="12.75">
      <c r="A8296" s="2">
        <v>43881.573252314818</v>
      </c>
      <c r="B8296" t="str">
        <f>HYPERLINK("https://twitter.com/KrisBrata","@KrisBrata")</f>
        <v>@KrisBrata</v>
      </c>
      <c r="C8296" t="s">
        <v>5518</v>
      </c>
      <c r="D8296">
        <v>0</v>
      </c>
      <c r="E8296">
        <v>0</v>
      </c>
      <c r="F8296">
        <v>45</v>
      </c>
    </row>
    <row r="8297" spans="1:6" ht="12.75">
      <c r="A8297" s="2">
        <v>43881.573101851856</v>
      </c>
      <c r="B8297" t="str">
        <f>HYPERLINK("https://twitter.com/adepedia","@adepedia")</f>
        <v>@adepedia</v>
      </c>
      <c r="C8297" t="s">
        <v>5517</v>
      </c>
      <c r="D8297">
        <v>3</v>
      </c>
      <c r="E8297">
        <v>0</v>
      </c>
      <c r="F8297">
        <v>1840</v>
      </c>
    </row>
    <row r="8298" spans="1:6" ht="12.75">
      <c r="A8298" s="2">
        <v>43881.57298611111</v>
      </c>
      <c r="B8298" t="str">
        <f>HYPERLINK("https://twitter.com/irfannfauzi","@irfannfauzi")</f>
        <v>@irfannfauzi</v>
      </c>
      <c r="C8298" t="s">
        <v>1407</v>
      </c>
      <c r="D8298">
        <v>9593</v>
      </c>
      <c r="E8298">
        <v>0</v>
      </c>
      <c r="F8298">
        <v>365</v>
      </c>
    </row>
    <row r="8299" spans="1:6" ht="12.75">
      <c r="A8299" s="2">
        <v>43881.572835648149</v>
      </c>
      <c r="B8299" t="str">
        <f>HYPERLINK("https://twitter.com/Poksai","@Poksai")</f>
        <v>@Poksai</v>
      </c>
      <c r="C8299" t="s">
        <v>5519</v>
      </c>
      <c r="D8299">
        <v>0</v>
      </c>
      <c r="E8299">
        <v>0</v>
      </c>
      <c r="F8299">
        <v>206</v>
      </c>
    </row>
    <row r="8300" spans="1:6" ht="12.75">
      <c r="A8300" s="2">
        <v>43881.572511574079</v>
      </c>
      <c r="B8300" t="str">
        <f>HYPERLINK("https://twitter.com/jamukunyitasem","@jamukunyitasem")</f>
        <v>@jamukunyitasem</v>
      </c>
      <c r="C8300" t="s">
        <v>1407</v>
      </c>
      <c r="D8300">
        <v>9593</v>
      </c>
      <c r="E8300">
        <v>0</v>
      </c>
      <c r="F8300">
        <v>413</v>
      </c>
    </row>
    <row r="8301" spans="1:6" ht="12.75">
      <c r="A8301" s="2">
        <v>43881.572349537033</v>
      </c>
      <c r="B8301" t="str">
        <f>HYPERLINK("https://twitter.com/nraidaftrn","@nraidaftrn")</f>
        <v>@nraidaftrn</v>
      </c>
      <c r="C8301" t="s">
        <v>513</v>
      </c>
      <c r="D8301">
        <v>23217</v>
      </c>
      <c r="E8301">
        <v>0</v>
      </c>
      <c r="F8301">
        <v>0</v>
      </c>
    </row>
    <row r="8302" spans="1:6" ht="12.75">
      <c r="A8302" s="2">
        <v>43881.572326388894</v>
      </c>
      <c r="B8302" t="str">
        <f>HYPERLINK("https://twitter.com/pramitha_maria","@pramitha_maria")</f>
        <v>@pramitha_maria</v>
      </c>
      <c r="C8302" t="s">
        <v>5520</v>
      </c>
      <c r="D8302">
        <v>0</v>
      </c>
      <c r="E8302">
        <v>2</v>
      </c>
      <c r="F8302">
        <v>12</v>
      </c>
    </row>
    <row r="8303" spans="1:6" ht="12.75">
      <c r="A8303" s="2">
        <v>43881.572106481486</v>
      </c>
      <c r="B8303" t="str">
        <f>HYPERLINK("https://twitter.com/RizkyFerdian08","@RizkyFerdian08")</f>
        <v>@RizkyFerdian08</v>
      </c>
      <c r="C8303" t="s">
        <v>5517</v>
      </c>
      <c r="D8303">
        <v>3</v>
      </c>
      <c r="E8303">
        <v>0</v>
      </c>
      <c r="F8303">
        <v>570</v>
      </c>
    </row>
    <row r="8304" spans="1:6" ht="12.75">
      <c r="A8304" s="2">
        <v>43881.572025462963</v>
      </c>
      <c r="B8304" t="str">
        <f>HYPERLINK("https://twitter.com/alex_hunter146","@alex_hunter146")</f>
        <v>@alex_hunter146</v>
      </c>
      <c r="C8304" t="s">
        <v>5521</v>
      </c>
      <c r="D8304">
        <v>0</v>
      </c>
      <c r="E8304">
        <v>0</v>
      </c>
      <c r="F8304">
        <v>1395</v>
      </c>
    </row>
    <row r="8305" spans="1:6" ht="12.75">
      <c r="A8305" s="2">
        <v>43881.571747685186</v>
      </c>
      <c r="B8305" t="str">
        <f>HYPERLINK("https://twitter.com/kompascom","@kompascom")</f>
        <v>@kompascom</v>
      </c>
      <c r="C8305" t="s">
        <v>5522</v>
      </c>
      <c r="D8305">
        <v>3</v>
      </c>
      <c r="E8305">
        <v>3</v>
      </c>
      <c r="F8305">
        <v>7504995</v>
      </c>
    </row>
    <row r="8306" spans="1:6" ht="12.75">
      <c r="A8306" s="2">
        <v>43881.571527777778</v>
      </c>
      <c r="B8306" t="str">
        <f>HYPERLINK("https://twitter.com/reyn_no","@reyn_no")</f>
        <v>@reyn_no</v>
      </c>
      <c r="C8306" t="s">
        <v>4845</v>
      </c>
      <c r="D8306">
        <v>18</v>
      </c>
      <c r="E8306">
        <v>0</v>
      </c>
      <c r="F8306">
        <v>40</v>
      </c>
    </row>
    <row r="8307" spans="1:6" ht="12.75">
      <c r="A8307" s="2">
        <v>43881.570729166662</v>
      </c>
      <c r="B8307" t="str">
        <f>HYPERLINK("https://twitter.com/Setianingrumx","@Setianingrumx")</f>
        <v>@Setianingrumx</v>
      </c>
      <c r="C8307" t="s">
        <v>2692</v>
      </c>
      <c r="D8307">
        <v>1945</v>
      </c>
      <c r="E8307">
        <v>0</v>
      </c>
      <c r="F8307">
        <v>363</v>
      </c>
    </row>
    <row r="8308" spans="1:6" ht="12.75">
      <c r="A8308" s="2">
        <v>43881.570289351846</v>
      </c>
      <c r="B8308" t="str">
        <f>HYPERLINK("https://twitter.com/nandaputriik","@nandaputriik")</f>
        <v>@nandaputriik</v>
      </c>
      <c r="C8308" t="s">
        <v>1407</v>
      </c>
      <c r="D8308">
        <v>9593</v>
      </c>
      <c r="E8308">
        <v>0</v>
      </c>
      <c r="F8308">
        <v>45</v>
      </c>
    </row>
    <row r="8309" spans="1:6" ht="12.75">
      <c r="A8309" s="2">
        <v>43881.570057870369</v>
      </c>
      <c r="B8309" t="str">
        <f>HYPERLINK("https://twitter.com/republikaonline","@republikaonline")</f>
        <v>@republikaonline</v>
      </c>
      <c r="C8309" t="s">
        <v>5523</v>
      </c>
      <c r="D8309">
        <v>0</v>
      </c>
      <c r="E8309">
        <v>1</v>
      </c>
      <c r="F8309">
        <v>1211527</v>
      </c>
    </row>
    <row r="8310" spans="1:6" ht="12.75">
      <c r="A8310" s="2">
        <v>43881.570023148146</v>
      </c>
      <c r="B8310" t="str">
        <f>HYPERLINK("https://twitter.com/nijkoes_mik","@nijkoes_mik")</f>
        <v>@nijkoes_mik</v>
      </c>
      <c r="C8310" t="s">
        <v>2692</v>
      </c>
      <c r="D8310">
        <v>1945</v>
      </c>
      <c r="E8310">
        <v>0</v>
      </c>
      <c r="F8310">
        <v>485</v>
      </c>
    </row>
    <row r="8311" spans="1:6" ht="12.75">
      <c r="A8311" s="2">
        <v>43881.569351851853</v>
      </c>
      <c r="B8311" t="str">
        <f>HYPERLINK("https://twitter.com/TohaAlhabsyie","@TohaAlhabsyie")</f>
        <v>@TohaAlhabsyie</v>
      </c>
      <c r="C8311" t="s">
        <v>3141</v>
      </c>
      <c r="D8311">
        <v>2</v>
      </c>
      <c r="E8311">
        <v>0</v>
      </c>
      <c r="F8311">
        <v>784</v>
      </c>
    </row>
    <row r="8312" spans="1:6" ht="12.75">
      <c r="A8312" s="2">
        <v>43881.569074074076</v>
      </c>
      <c r="B8312" t="str">
        <f>HYPERLINK("https://twitter.com/DeltaFMBandung","@DeltaFMBandung")</f>
        <v>@DeltaFMBandung</v>
      </c>
      <c r="C8312" t="s">
        <v>5524</v>
      </c>
      <c r="D8312">
        <v>0</v>
      </c>
      <c r="E8312">
        <v>0</v>
      </c>
      <c r="F8312">
        <v>4435</v>
      </c>
    </row>
    <row r="8313" spans="1:6" ht="12.75">
      <c r="A8313" s="2">
        <v>43881.569039351853</v>
      </c>
      <c r="B8313" t="str">
        <f>HYPERLINK("https://twitter.com/tribunnews","@tribunnews")</f>
        <v>@tribunnews</v>
      </c>
      <c r="C8313" t="s">
        <v>5525</v>
      </c>
      <c r="D8313">
        <v>0</v>
      </c>
      <c r="E8313">
        <v>0</v>
      </c>
      <c r="F8313">
        <v>877316</v>
      </c>
    </row>
    <row r="8314" spans="1:6" ht="12.75">
      <c r="A8314" s="2">
        <v>43881.569027777776</v>
      </c>
      <c r="B8314" t="str">
        <f>HYPERLINK("https://twitter.com/krishna0302","@krishna0302")</f>
        <v>@krishna0302</v>
      </c>
      <c r="C8314" t="s">
        <v>5526</v>
      </c>
      <c r="D8314">
        <v>0</v>
      </c>
      <c r="E8314">
        <v>1</v>
      </c>
      <c r="F8314">
        <v>1518</v>
      </c>
    </row>
    <row r="8315" spans="1:6" ht="12.75">
      <c r="A8315" s="2">
        <v>43881.568067129629</v>
      </c>
      <c r="B8315" t="str">
        <f>HYPERLINK("https://twitter.com/awmayjing","@awmayjing")</f>
        <v>@awmayjing</v>
      </c>
      <c r="C8315" t="s">
        <v>1407</v>
      </c>
      <c r="D8315">
        <v>9593</v>
      </c>
      <c r="E8315">
        <v>0</v>
      </c>
      <c r="F8315">
        <v>524</v>
      </c>
    </row>
    <row r="8316" spans="1:6" ht="12.75">
      <c r="A8316" s="2">
        <v>43881.568043981482</v>
      </c>
      <c r="B8316" t="str">
        <f>HYPERLINK("https://twitter.com/Yeyen41020695","@Yeyen41020695")</f>
        <v>@Yeyen41020695</v>
      </c>
      <c r="C8316" t="s">
        <v>5527</v>
      </c>
      <c r="D8316">
        <v>3</v>
      </c>
      <c r="E8316">
        <v>7</v>
      </c>
      <c r="F8316">
        <v>1441</v>
      </c>
    </row>
    <row r="8317" spans="1:6" ht="12.75">
      <c r="A8317" s="2">
        <v>43881.567569444444</v>
      </c>
      <c r="B8317" t="str">
        <f>HYPERLINK("https://twitter.com/arafat944","@arafat944")</f>
        <v>@arafat944</v>
      </c>
      <c r="C8317" t="s">
        <v>3141</v>
      </c>
      <c r="D8317">
        <v>2</v>
      </c>
      <c r="E8317">
        <v>0</v>
      </c>
      <c r="F8317">
        <v>47</v>
      </c>
    </row>
    <row r="8318" spans="1:6" ht="12.75">
      <c r="A8318" s="2">
        <v>43881.567025462966</v>
      </c>
      <c r="B8318" t="str">
        <f>HYPERLINK("https://twitter.com/Ngopslah","@Ngopslah")</f>
        <v>@Ngopslah</v>
      </c>
      <c r="C8318" t="s">
        <v>5528</v>
      </c>
      <c r="D8318">
        <v>0</v>
      </c>
      <c r="E8318">
        <v>1</v>
      </c>
      <c r="F8318">
        <v>1159</v>
      </c>
    </row>
    <row r="8319" spans="1:6" ht="12.75">
      <c r="A8319" s="2">
        <v>43881.566817129627</v>
      </c>
      <c r="B8319" t="str">
        <f>HYPERLINK("https://twitter.com/KakekHalal","@KakekHalal")</f>
        <v>@KakekHalal</v>
      </c>
      <c r="C8319" t="s">
        <v>5139</v>
      </c>
      <c r="D8319">
        <v>27</v>
      </c>
      <c r="E8319">
        <v>0</v>
      </c>
      <c r="F8319">
        <v>22247</v>
      </c>
    </row>
    <row r="8320" spans="1:6" ht="12.75">
      <c r="A8320" s="2">
        <v>43881.566770833335</v>
      </c>
      <c r="B8320" t="str">
        <f>HYPERLINK("https://twitter.com/bubblxgvm","@bubblxgvm")</f>
        <v>@bubblxgvm</v>
      </c>
      <c r="C8320" t="s">
        <v>2126</v>
      </c>
      <c r="D8320">
        <v>2811</v>
      </c>
      <c r="E8320">
        <v>0</v>
      </c>
      <c r="F8320">
        <v>1092</v>
      </c>
    </row>
    <row r="8321" spans="1:6" ht="12.75">
      <c r="A8321" s="2">
        <v>43881.566435185188</v>
      </c>
      <c r="B8321" t="str">
        <f>HYPERLINK("https://twitter.com/atikahsal","@atikahsal")</f>
        <v>@atikahsal</v>
      </c>
      <c r="C8321" t="s">
        <v>2373</v>
      </c>
      <c r="D8321">
        <v>283</v>
      </c>
      <c r="E8321">
        <v>0</v>
      </c>
      <c r="F8321">
        <v>4</v>
      </c>
    </row>
    <row r="8322" spans="1:6" ht="12.75">
      <c r="A8322" s="2">
        <v>43881.566412037035</v>
      </c>
      <c r="B8322" t="str">
        <f>HYPERLINK("https://twitter.com/leaderchuu","@leaderchuu")</f>
        <v>@leaderchuu</v>
      </c>
      <c r="C8322" t="s">
        <v>1407</v>
      </c>
      <c r="D8322">
        <v>9593</v>
      </c>
      <c r="E8322">
        <v>0</v>
      </c>
      <c r="F8322">
        <v>2158</v>
      </c>
    </row>
    <row r="8323" spans="1:6" ht="12.75">
      <c r="A8323" s="2">
        <v>43881.566284722227</v>
      </c>
      <c r="B8323" t="str">
        <f>HYPERLINK("https://twitter.com/an18ping","@an18ping")</f>
        <v>@an18ping</v>
      </c>
      <c r="C8323" t="s">
        <v>5529</v>
      </c>
      <c r="D8323">
        <v>1</v>
      </c>
      <c r="E8323">
        <v>0</v>
      </c>
      <c r="F8323">
        <v>1244</v>
      </c>
    </row>
    <row r="8324" spans="1:6" ht="12.75">
      <c r="A8324" s="2">
        <v>43881.566192129627</v>
      </c>
      <c r="B8324" t="str">
        <f>HYPERLINK("https://twitter.com/borokokok_cuit","@borokokok_cuit")</f>
        <v>@borokokok_cuit</v>
      </c>
      <c r="C8324" t="s">
        <v>3141</v>
      </c>
      <c r="D8324">
        <v>6</v>
      </c>
      <c r="E8324">
        <v>0</v>
      </c>
      <c r="F8324">
        <v>19</v>
      </c>
    </row>
    <row r="8325" spans="1:6" ht="12.75">
      <c r="A8325" s="2">
        <v>43881.566006944442</v>
      </c>
      <c r="B8325" t="str">
        <f>HYPERLINK("https://twitter.com/tvOneNews","@tvOneNews")</f>
        <v>@tvOneNews</v>
      </c>
      <c r="C8325" t="s">
        <v>5245</v>
      </c>
      <c r="D8325">
        <v>2</v>
      </c>
      <c r="E8325">
        <v>3</v>
      </c>
      <c r="F8325">
        <v>8717733</v>
      </c>
    </row>
    <row r="8326" spans="1:6" ht="12.75">
      <c r="A8326" s="2">
        <v>43881.565902777773</v>
      </c>
      <c r="B8326" t="str">
        <f>HYPERLINK("https://twitter.com/cendananews","@cendananews")</f>
        <v>@cendananews</v>
      </c>
      <c r="C8326" t="s">
        <v>5530</v>
      </c>
      <c r="D8326">
        <v>0</v>
      </c>
      <c r="E8326">
        <v>0</v>
      </c>
      <c r="F8326">
        <v>4564</v>
      </c>
    </row>
    <row r="8327" spans="1:6" ht="12.75">
      <c r="A8327" s="2">
        <v>43881.565636574072</v>
      </c>
      <c r="B8327" t="str">
        <f>HYPERLINK("https://twitter.com/oglaogre","@oglaogre")</f>
        <v>@oglaogre</v>
      </c>
      <c r="C8327" t="s">
        <v>2692</v>
      </c>
      <c r="D8327">
        <v>1945</v>
      </c>
      <c r="E8327">
        <v>0</v>
      </c>
      <c r="F8327">
        <v>83</v>
      </c>
    </row>
    <row r="8328" spans="1:6" ht="12.75">
      <c r="A8328" s="2">
        <v>43881.56527777778</v>
      </c>
      <c r="B8328" t="str">
        <f>HYPERLINK("https://twitter.com/cokeaintequilla","@cokeaintequilla")</f>
        <v>@cokeaintequilla</v>
      </c>
      <c r="C8328" t="s">
        <v>1407</v>
      </c>
      <c r="D8328">
        <v>9593</v>
      </c>
      <c r="E8328">
        <v>0</v>
      </c>
      <c r="F8328">
        <v>414</v>
      </c>
    </row>
    <row r="8329" spans="1:6" ht="12.75">
      <c r="A8329" s="2">
        <v>43881.564942129626</v>
      </c>
      <c r="B8329" t="str">
        <f>HYPERLINK("https://twitter.com/HaniahHanamichi","@HaniahHanamichi")</f>
        <v>@HaniahHanamichi</v>
      </c>
      <c r="C8329" t="s">
        <v>5498</v>
      </c>
      <c r="D8329">
        <v>5</v>
      </c>
      <c r="E8329">
        <v>0</v>
      </c>
      <c r="F8329">
        <v>2333</v>
      </c>
    </row>
    <row r="8330" spans="1:6" ht="12.75">
      <c r="A8330" s="2">
        <v>43881.564803240741</v>
      </c>
      <c r="B8330" t="str">
        <f>HYPERLINK("https://twitter.com/ElisaNovianti15","@ElisaNovianti15")</f>
        <v>@ElisaNovianti15</v>
      </c>
      <c r="C8330" t="s">
        <v>5531</v>
      </c>
      <c r="D8330">
        <v>0</v>
      </c>
      <c r="E8330">
        <v>0</v>
      </c>
      <c r="F8330">
        <v>27</v>
      </c>
    </row>
    <row r="8331" spans="1:6" ht="12.75">
      <c r="A8331" s="2">
        <v>43881.564652777779</v>
      </c>
      <c r="B8331" t="str">
        <f>HYPERLINK("https://twitter.com/senagunardi","@senagunardi")</f>
        <v>@senagunardi</v>
      </c>
      <c r="C8331" t="s">
        <v>5086</v>
      </c>
      <c r="D8331">
        <v>9</v>
      </c>
      <c r="E8331">
        <v>0</v>
      </c>
      <c r="F8331">
        <v>2080</v>
      </c>
    </row>
    <row r="8332" spans="1:6" ht="12.75">
      <c r="A8332" s="2">
        <v>43881.564143518517</v>
      </c>
      <c r="B8332" t="str">
        <f>HYPERLINK("https://twitter.com/MNCNewsroom","@MNCNewsroom")</f>
        <v>@MNCNewsroom</v>
      </c>
      <c r="C8332" t="s">
        <v>5532</v>
      </c>
      <c r="D8332">
        <v>0</v>
      </c>
      <c r="E8332">
        <v>0</v>
      </c>
      <c r="F8332">
        <v>17552</v>
      </c>
    </row>
    <row r="8333" spans="1:6" ht="12.75">
      <c r="A8333" s="2">
        <v>43881.563912037032</v>
      </c>
      <c r="B8333" t="str">
        <f>HYPERLINK("https://twitter.com/kdhiyaaa","@kdhiyaaa")</f>
        <v>@kdhiyaaa</v>
      </c>
      <c r="C8333" t="s">
        <v>1407</v>
      </c>
      <c r="D8333">
        <v>9593</v>
      </c>
      <c r="E8333">
        <v>0</v>
      </c>
      <c r="F8333">
        <v>346</v>
      </c>
    </row>
    <row r="8334" spans="1:6" ht="12.75">
      <c r="A8334" s="2">
        <v>43881.563287037032</v>
      </c>
      <c r="B8334" t="str">
        <f>HYPERLINK("https://twitter.com/seagyulii","@seagyulii")</f>
        <v>@seagyulii</v>
      </c>
      <c r="C8334" t="s">
        <v>1407</v>
      </c>
      <c r="D8334">
        <v>9593</v>
      </c>
      <c r="E8334">
        <v>0</v>
      </c>
      <c r="F8334">
        <v>477</v>
      </c>
    </row>
    <row r="8335" spans="1:6" ht="12.75">
      <c r="A8335" s="2">
        <v>43881.56318287037</v>
      </c>
      <c r="B8335" t="str">
        <f>HYPERLINK("https://twitter.com/gwangjuqueen_","@gwangjuqueen_")</f>
        <v>@gwangjuqueen_</v>
      </c>
      <c r="C8335" t="s">
        <v>1407</v>
      </c>
      <c r="D8335">
        <v>9593</v>
      </c>
      <c r="E8335">
        <v>0</v>
      </c>
      <c r="F8335">
        <v>1794</v>
      </c>
    </row>
    <row r="8336" spans="1:6" ht="12.75">
      <c r="A8336" s="2">
        <v>43881.562615740739</v>
      </c>
      <c r="B8336" t="str">
        <f>HYPERLINK("https://twitter.com/gakadanama__","@gakadanama__")</f>
        <v>@gakadanama__</v>
      </c>
      <c r="C8336" t="s">
        <v>5533</v>
      </c>
      <c r="D8336">
        <v>7</v>
      </c>
      <c r="E8336">
        <v>0</v>
      </c>
      <c r="F8336">
        <v>334</v>
      </c>
    </row>
    <row r="8337" spans="1:6" ht="12.75">
      <c r="A8337" s="2">
        <v>43881.56251157407</v>
      </c>
      <c r="B8337" t="str">
        <f>HYPERLINK("https://twitter.com/Fatchus3","@Fatchus3")</f>
        <v>@Fatchus3</v>
      </c>
      <c r="C8337" t="s">
        <v>2692</v>
      </c>
      <c r="D8337">
        <v>1945</v>
      </c>
      <c r="E8337">
        <v>0</v>
      </c>
      <c r="F8337">
        <v>8</v>
      </c>
    </row>
    <row r="8338" spans="1:6" ht="12.75">
      <c r="A8338" s="2">
        <v>43881.5621412037</v>
      </c>
      <c r="B8338" t="str">
        <f>HYPERLINK("https://twitter.com/sheiszahra","@sheiszahra")</f>
        <v>@sheiszahra</v>
      </c>
      <c r="C8338" t="s">
        <v>2692</v>
      </c>
      <c r="D8338">
        <v>1945</v>
      </c>
      <c r="E8338">
        <v>0</v>
      </c>
      <c r="F8338">
        <v>61</v>
      </c>
    </row>
    <row r="8339" spans="1:6" ht="12.75">
      <c r="A8339" s="2">
        <v>43881.562060185184</v>
      </c>
      <c r="B8339" t="str">
        <f>HYPERLINK("https://twitter.com/radarmasnetwork","@radarmasnetwork")</f>
        <v>@radarmasnetwork</v>
      </c>
      <c r="C8339" t="s">
        <v>5534</v>
      </c>
      <c r="D8339">
        <v>0</v>
      </c>
      <c r="E8339">
        <v>0</v>
      </c>
      <c r="F8339">
        <v>2403</v>
      </c>
    </row>
    <row r="8340" spans="1:6" ht="12.75">
      <c r="A8340" s="2">
        <v>43881.560972222222</v>
      </c>
      <c r="B8340" t="str">
        <f>HYPERLINK("https://twitter.com/Aliinzz","@Aliinzz")</f>
        <v>@Aliinzz</v>
      </c>
      <c r="C8340" t="s">
        <v>5535</v>
      </c>
      <c r="D8340">
        <v>0</v>
      </c>
      <c r="E8340">
        <v>0</v>
      </c>
      <c r="F8340">
        <v>0</v>
      </c>
    </row>
    <row r="8341" spans="1:6" ht="12.75">
      <c r="A8341" s="2">
        <v>43881.560057870374</v>
      </c>
      <c r="B8341" t="str">
        <f>HYPERLINK("https://twitter.com/2103_R4CHM4","@2103_R4CHM4")</f>
        <v>@2103_R4CHM4</v>
      </c>
      <c r="C8341" t="s">
        <v>5536</v>
      </c>
      <c r="D8341">
        <v>10</v>
      </c>
      <c r="E8341">
        <v>0</v>
      </c>
      <c r="F8341">
        <v>2428</v>
      </c>
    </row>
    <row r="8342" spans="1:6" ht="12.75">
      <c r="A8342" s="2">
        <v>43881.559155092589</v>
      </c>
      <c r="B8342" t="str">
        <f>HYPERLINK("https://twitter.com/wantopur1","@wantopur1")</f>
        <v>@wantopur1</v>
      </c>
      <c r="C8342" t="s">
        <v>5537</v>
      </c>
      <c r="D8342">
        <v>0</v>
      </c>
      <c r="E8342">
        <v>0</v>
      </c>
      <c r="F8342">
        <v>310</v>
      </c>
    </row>
    <row r="8343" spans="1:6" ht="12.75">
      <c r="A8343" s="2">
        <v>43881.559062500004</v>
      </c>
      <c r="B8343" t="str">
        <f>HYPERLINK("https://twitter.com/yosgabe4","@yosgabe4")</f>
        <v>@yosgabe4</v>
      </c>
      <c r="C8343" t="s">
        <v>5538</v>
      </c>
      <c r="D8343">
        <v>0</v>
      </c>
      <c r="E8343">
        <v>0</v>
      </c>
      <c r="F8343">
        <v>1423</v>
      </c>
    </row>
    <row r="8344" spans="1:6" ht="12.75">
      <c r="A8344" s="2">
        <v>43881.559016203704</v>
      </c>
      <c r="B8344" t="str">
        <f>HYPERLINK("https://twitter.com/seprite","@seprite")</f>
        <v>@seprite</v>
      </c>
      <c r="C8344" t="s">
        <v>1407</v>
      </c>
      <c r="D8344">
        <v>9593</v>
      </c>
      <c r="E8344">
        <v>0</v>
      </c>
      <c r="F8344">
        <v>2598</v>
      </c>
    </row>
    <row r="8345" spans="1:6" ht="12.75">
      <c r="A8345" s="2">
        <v>43881.559004629627</v>
      </c>
      <c r="B8345" t="str">
        <f>HYPERLINK("https://twitter.com/ryolandafit","@ryolandafit")</f>
        <v>@ryolandafit</v>
      </c>
      <c r="C8345" t="s">
        <v>5299</v>
      </c>
      <c r="D8345">
        <v>1</v>
      </c>
      <c r="E8345">
        <v>0</v>
      </c>
      <c r="F8345">
        <v>650</v>
      </c>
    </row>
    <row r="8346" spans="1:6" ht="12.75">
      <c r="A8346" s="2">
        <v>43881.558055555557</v>
      </c>
      <c r="B8346" t="str">
        <f>HYPERLINK("https://twitter.com/BadjaNuswantara","@BadjaNuswantara")</f>
        <v>@BadjaNuswantara</v>
      </c>
      <c r="C8346" t="s">
        <v>5139</v>
      </c>
      <c r="D8346">
        <v>27</v>
      </c>
      <c r="E8346">
        <v>0</v>
      </c>
      <c r="F8346">
        <v>42765</v>
      </c>
    </row>
    <row r="8347" spans="1:6" ht="12.75">
      <c r="A8347" s="2">
        <v>43881.557800925926</v>
      </c>
      <c r="B8347" t="str">
        <f>HYPERLINK("https://twitter.com/ryolandafit","@ryolandafit")</f>
        <v>@ryolandafit</v>
      </c>
      <c r="C8347" t="s">
        <v>5539</v>
      </c>
      <c r="D8347">
        <v>5</v>
      </c>
      <c r="E8347">
        <v>0</v>
      </c>
      <c r="F8347">
        <v>650</v>
      </c>
    </row>
    <row r="8348" spans="1:6" ht="12.75">
      <c r="A8348" s="2">
        <v>43881.55768518518</v>
      </c>
      <c r="B8348" t="str">
        <f>HYPERLINK("https://twitter.com/dizzyheadass","@dizzyheadass")</f>
        <v>@dizzyheadass</v>
      </c>
      <c r="C8348" t="s">
        <v>2692</v>
      </c>
      <c r="D8348">
        <v>1945</v>
      </c>
      <c r="E8348">
        <v>0</v>
      </c>
      <c r="F8348">
        <v>37</v>
      </c>
    </row>
    <row r="8349" spans="1:6" ht="12.75">
      <c r="A8349" s="2">
        <v>43881.55741898148</v>
      </c>
      <c r="B8349" t="str">
        <f>HYPERLINK("https://twitter.com/ahmednazihM","@ahmednazihM")</f>
        <v>@ahmednazihM</v>
      </c>
      <c r="C8349" t="s">
        <v>2768</v>
      </c>
      <c r="D8349">
        <v>80</v>
      </c>
      <c r="E8349">
        <v>0</v>
      </c>
      <c r="F8349">
        <v>922</v>
      </c>
    </row>
    <row r="8350" spans="1:6" ht="12.75">
      <c r="A8350" s="2">
        <v>43881.556620370371</v>
      </c>
      <c r="B8350" t="str">
        <f>HYPERLINK("https://twitter.com/DindaGek90","@DindaGek90")</f>
        <v>@DindaGek90</v>
      </c>
      <c r="C8350" t="s">
        <v>5540</v>
      </c>
      <c r="D8350">
        <v>0</v>
      </c>
      <c r="E8350">
        <v>0</v>
      </c>
      <c r="F8350">
        <v>4</v>
      </c>
    </row>
    <row r="8351" spans="1:6" ht="12.75">
      <c r="A8351" s="2">
        <v>43881.556446759263</v>
      </c>
      <c r="B8351" t="str">
        <f>HYPERLINK("https://twitter.com/okezonenews","@okezonenews")</f>
        <v>@okezonenews</v>
      </c>
      <c r="C8351" t="s">
        <v>5532</v>
      </c>
      <c r="D8351">
        <v>0</v>
      </c>
      <c r="E8351">
        <v>0</v>
      </c>
      <c r="F8351">
        <v>1742938</v>
      </c>
    </row>
    <row r="8352" spans="1:6" ht="12.75">
      <c r="A8352" s="2">
        <v>43881.55641203704</v>
      </c>
      <c r="B8352" t="str">
        <f>HYPERLINK("https://twitter.com/febiee_NF","@febiee_NF")</f>
        <v>@febiee_NF</v>
      </c>
      <c r="C8352" t="s">
        <v>1407</v>
      </c>
      <c r="D8352">
        <v>9593</v>
      </c>
      <c r="E8352">
        <v>0</v>
      </c>
      <c r="F8352">
        <v>153</v>
      </c>
    </row>
    <row r="8353" spans="1:6" ht="12.75">
      <c r="A8353" s="2">
        <v>43881.556307870371</v>
      </c>
      <c r="B8353" t="str">
        <f>HYPERLINK("https://twitter.com/NNA45962785","@NNA45962785")</f>
        <v>@NNA45962785</v>
      </c>
      <c r="C8353" t="s">
        <v>3412</v>
      </c>
      <c r="D8353">
        <v>1016</v>
      </c>
      <c r="E8353">
        <v>0</v>
      </c>
      <c r="F8353">
        <v>3</v>
      </c>
    </row>
    <row r="8354" spans="1:6" ht="12.75">
      <c r="A8354" s="2">
        <v>43881.555775462963</v>
      </c>
      <c r="B8354" t="str">
        <f>HYPERLINK("https://twitter.com/nopaa_","@nopaa_")</f>
        <v>@nopaa_</v>
      </c>
      <c r="C8354" t="s">
        <v>2692</v>
      </c>
      <c r="D8354">
        <v>1945</v>
      </c>
      <c r="E8354">
        <v>0</v>
      </c>
      <c r="F8354">
        <v>427</v>
      </c>
    </row>
    <row r="8355" spans="1:6" ht="12.75">
      <c r="A8355" s="2">
        <v>43881.555590277778</v>
      </c>
      <c r="B8355" t="str">
        <f>HYPERLINK("https://twitter.com/frimayana","@frimayana")</f>
        <v>@frimayana</v>
      </c>
      <c r="C8355" t="s">
        <v>2692</v>
      </c>
      <c r="D8355">
        <v>1945</v>
      </c>
      <c r="E8355">
        <v>0</v>
      </c>
      <c r="F8355">
        <v>259</v>
      </c>
    </row>
    <row r="8356" spans="1:6" ht="12.75">
      <c r="A8356" s="2">
        <v>43881.555567129632</v>
      </c>
      <c r="B8356" t="str">
        <f>HYPERLINK("https://twitter.com/Metro_TV","@Metro_TV")</f>
        <v>@Metro_TV</v>
      </c>
      <c r="C8356" t="s">
        <v>5541</v>
      </c>
      <c r="D8356">
        <v>1</v>
      </c>
      <c r="E8356">
        <v>2</v>
      </c>
      <c r="F8356">
        <v>10510972</v>
      </c>
    </row>
    <row r="8357" spans="1:6" ht="12.75">
      <c r="A8357" s="2">
        <v>43881.555196759262</v>
      </c>
      <c r="B8357" t="str">
        <f>HYPERLINK("https://twitter.com/SF16821","@SF16821")</f>
        <v>@SF16821</v>
      </c>
      <c r="C8357" t="s">
        <v>1407</v>
      </c>
      <c r="D8357">
        <v>9593</v>
      </c>
      <c r="E8357">
        <v>0</v>
      </c>
      <c r="F8357">
        <v>35</v>
      </c>
    </row>
    <row r="8358" spans="1:6" ht="12.75">
      <c r="A8358" s="2">
        <v>43881.554432870369</v>
      </c>
      <c r="B8358" t="str">
        <f>HYPERLINK("https://twitter.com/zamrud02","@zamrud02")</f>
        <v>@zamrud02</v>
      </c>
      <c r="C8358" t="s">
        <v>4829</v>
      </c>
      <c r="D8358">
        <v>7</v>
      </c>
      <c r="E8358">
        <v>0</v>
      </c>
      <c r="F8358">
        <v>179</v>
      </c>
    </row>
    <row r="8359" spans="1:6" ht="12.75">
      <c r="A8359" s="2">
        <v>43881.554259259261</v>
      </c>
      <c r="B8359" t="str">
        <f>HYPERLINK("https://twitter.com/bloomyapril","@bloomyapril")</f>
        <v>@bloomyapril</v>
      </c>
      <c r="C8359" t="s">
        <v>1407</v>
      </c>
      <c r="D8359">
        <v>9593</v>
      </c>
      <c r="E8359">
        <v>0</v>
      </c>
      <c r="F8359">
        <v>67</v>
      </c>
    </row>
    <row r="8360" spans="1:6" ht="12.75">
      <c r="A8360" s="2">
        <v>43881.552800925929</v>
      </c>
      <c r="B8360" t="str">
        <f>HYPERLINK("https://twitter.com/AEPishere","@AEPishere")</f>
        <v>@AEPishere</v>
      </c>
      <c r="C8360" t="s">
        <v>5542</v>
      </c>
      <c r="D8360">
        <v>1</v>
      </c>
      <c r="E8360">
        <v>0</v>
      </c>
      <c r="F8360">
        <v>3012</v>
      </c>
    </row>
    <row r="8361" spans="1:6" ht="12.75">
      <c r="A8361" s="2">
        <v>43881.542361111111</v>
      </c>
      <c r="B8361" t="str">
        <f>HYPERLINK("https://twitter.com/hihellonight","@hihellonight")</f>
        <v>@hihellonight</v>
      </c>
      <c r="C8361" t="s">
        <v>1407</v>
      </c>
      <c r="D8361">
        <v>9564</v>
      </c>
      <c r="E8361">
        <v>0</v>
      </c>
      <c r="F8361">
        <v>133</v>
      </c>
    </row>
    <row r="8362" spans="1:6" ht="12.75">
      <c r="A8362" s="2">
        <v>43881.542349537034</v>
      </c>
      <c r="B8362" t="str">
        <f>HYPERLINK("https://twitter.com/beatrice_health","@beatrice_health")</f>
        <v>@beatrice_health</v>
      </c>
      <c r="C8362" t="s">
        <v>5533</v>
      </c>
      <c r="D8362">
        <v>5</v>
      </c>
      <c r="E8362">
        <v>0</v>
      </c>
      <c r="F8362">
        <v>215</v>
      </c>
    </row>
    <row r="8363" spans="1:6" ht="12.75">
      <c r="A8363" s="2">
        <v>43881.542314814811</v>
      </c>
      <c r="B8363" t="str">
        <f>HYPERLINK("https://twitter.com/gepho_hie","@gepho_hie")</f>
        <v>@gepho_hie</v>
      </c>
      <c r="C8363" t="s">
        <v>1407</v>
      </c>
      <c r="D8363">
        <v>9564</v>
      </c>
      <c r="E8363">
        <v>0</v>
      </c>
      <c r="F8363">
        <v>2294</v>
      </c>
    </row>
    <row r="8364" spans="1:6" ht="12.75">
      <c r="A8364" s="2">
        <v>43881.542256944449</v>
      </c>
      <c r="B8364" t="str">
        <f>HYPERLINK("https://twitter.com/not_helsing","@not_helsing")</f>
        <v>@not_helsing</v>
      </c>
      <c r="C8364" t="s">
        <v>5533</v>
      </c>
      <c r="D8364">
        <v>5</v>
      </c>
      <c r="E8364">
        <v>0</v>
      </c>
      <c r="F8364">
        <v>112</v>
      </c>
    </row>
    <row r="8365" spans="1:6" ht="12.75">
      <c r="A8365" s="2">
        <v>43881.542175925926</v>
      </c>
      <c r="B8365" t="str">
        <f>HYPERLINK("https://twitter.com/donutnut_al","@donutnut_al")</f>
        <v>@donutnut_al</v>
      </c>
      <c r="C8365" t="s">
        <v>2692</v>
      </c>
      <c r="D8365">
        <v>1929</v>
      </c>
      <c r="E8365">
        <v>0</v>
      </c>
      <c r="F8365">
        <v>131</v>
      </c>
    </row>
    <row r="8366" spans="1:6" ht="12.75">
      <c r="A8366" s="2">
        <v>43881.541944444441</v>
      </c>
      <c r="B8366" t="str">
        <f>HYPERLINK("https://twitter.com/VinaEska","@VinaEska")</f>
        <v>@VinaEska</v>
      </c>
      <c r="C8366" t="s">
        <v>2692</v>
      </c>
      <c r="D8366">
        <v>1929</v>
      </c>
      <c r="E8366">
        <v>0</v>
      </c>
      <c r="F8366">
        <v>837</v>
      </c>
    </row>
    <row r="8367" spans="1:6" ht="12.75">
      <c r="A8367" s="2">
        <v>43881.541932870372</v>
      </c>
      <c r="B8367" t="str">
        <f>HYPERLINK("https://twitter.com/batamtoday","@batamtoday")</f>
        <v>@batamtoday</v>
      </c>
      <c r="C8367" t="s">
        <v>5543</v>
      </c>
      <c r="D8367">
        <v>0</v>
      </c>
      <c r="E8367">
        <v>0</v>
      </c>
      <c r="F8367">
        <v>27113</v>
      </c>
    </row>
    <row r="8368" spans="1:6" ht="12.75">
      <c r="A8368" s="2">
        <v>43881.541851851856</v>
      </c>
      <c r="B8368" t="str">
        <f>HYPERLINK("https://twitter.com/FischaNasya","@FischaNasya")</f>
        <v>@FischaNasya</v>
      </c>
      <c r="C8368" t="s">
        <v>1407</v>
      </c>
      <c r="D8368">
        <v>9564</v>
      </c>
      <c r="E8368">
        <v>0</v>
      </c>
      <c r="F8368">
        <v>216</v>
      </c>
    </row>
    <row r="8369" spans="1:6" ht="12.75">
      <c r="A8369" s="2">
        <v>43881.541678240741</v>
      </c>
      <c r="B8369" t="str">
        <f>HYPERLINK("https://twitter.com/dudisuswandi","@dudisuswandi")</f>
        <v>@dudisuswandi</v>
      </c>
      <c r="C8369" t="s">
        <v>5544</v>
      </c>
      <c r="D8369">
        <v>0</v>
      </c>
      <c r="E8369">
        <v>0</v>
      </c>
      <c r="F8369">
        <v>1014</v>
      </c>
    </row>
    <row r="8370" spans="1:6" ht="12.75">
      <c r="A8370" s="2">
        <v>43881.541666666672</v>
      </c>
      <c r="B8370" t="str">
        <f>HYPERLINK("https://twitter.com/NasDem","@NasDem")</f>
        <v>@NasDem</v>
      </c>
      <c r="C8370" t="s">
        <v>5545</v>
      </c>
      <c r="D8370">
        <v>0</v>
      </c>
      <c r="E8370">
        <v>0</v>
      </c>
      <c r="F8370">
        <v>91087</v>
      </c>
    </row>
    <row r="8371" spans="1:6" ht="12.75">
      <c r="A8371" s="2">
        <v>43881.540960648148</v>
      </c>
      <c r="B8371" t="str">
        <f>HYPERLINK("https://twitter.com/fhiachen","@fhiachen")</f>
        <v>@fhiachen</v>
      </c>
      <c r="C8371" t="s">
        <v>2692</v>
      </c>
      <c r="D8371">
        <v>1929</v>
      </c>
      <c r="E8371">
        <v>0</v>
      </c>
      <c r="F8371">
        <v>351</v>
      </c>
    </row>
    <row r="8372" spans="1:6" ht="12.75">
      <c r="A8372" s="2">
        <v>43881.540682870371</v>
      </c>
      <c r="B8372" t="str">
        <f>HYPERLINK("https://twitter.com/hendra_bryan","@hendra_bryan")</f>
        <v>@hendra_bryan</v>
      </c>
      <c r="C8372" t="s">
        <v>5546</v>
      </c>
      <c r="D8372">
        <v>0</v>
      </c>
      <c r="E8372">
        <v>0</v>
      </c>
      <c r="F8372">
        <v>140</v>
      </c>
    </row>
    <row r="8373" spans="1:6" ht="12.75">
      <c r="A8373" s="2">
        <v>43881.540648148148</v>
      </c>
      <c r="B8373" t="str">
        <f>HYPERLINK("https://twitter.com/kompascom","@kompascom")</f>
        <v>@kompascom</v>
      </c>
      <c r="C8373" t="s">
        <v>5547</v>
      </c>
      <c r="D8373">
        <v>0</v>
      </c>
      <c r="E8373">
        <v>1</v>
      </c>
      <c r="F8373">
        <v>7504928</v>
      </c>
    </row>
    <row r="8374" spans="1:6" ht="12.75">
      <c r="A8374" s="2">
        <v>43881.540636574078</v>
      </c>
      <c r="B8374" t="str">
        <f>HYPERLINK("https://twitter.com/VIVAcoid","@VIVAcoid")</f>
        <v>@VIVAcoid</v>
      </c>
      <c r="C8374" t="s">
        <v>5548</v>
      </c>
      <c r="D8374">
        <v>1</v>
      </c>
      <c r="E8374">
        <v>0</v>
      </c>
      <c r="F8374">
        <v>4170758</v>
      </c>
    </row>
    <row r="8375" spans="1:6" ht="12.75">
      <c r="A8375" s="2">
        <v>43881.540601851855</v>
      </c>
      <c r="B8375" t="str">
        <f>HYPERLINK("https://twitter.com/Santoso854","@Santoso854")</f>
        <v>@Santoso854</v>
      </c>
      <c r="C8375" t="s">
        <v>5549</v>
      </c>
      <c r="D8375">
        <v>0</v>
      </c>
      <c r="E8375">
        <v>0</v>
      </c>
      <c r="F8375">
        <v>6</v>
      </c>
    </row>
    <row r="8376" spans="1:6" ht="12.75">
      <c r="A8376" s="2">
        <v>43881.540543981479</v>
      </c>
      <c r="B8376" t="str">
        <f>HYPERLINK("https://twitter.com/alifian32harbi","@alifian32harbi")</f>
        <v>@alifian32harbi</v>
      </c>
      <c r="C8376" t="s">
        <v>5539</v>
      </c>
      <c r="D8376">
        <v>4</v>
      </c>
      <c r="E8376">
        <v>0</v>
      </c>
      <c r="F8376">
        <v>287</v>
      </c>
    </row>
    <row r="8377" spans="1:6" ht="12.75">
      <c r="A8377" s="2">
        <v>43881.540520833332</v>
      </c>
      <c r="B8377" t="str">
        <f t="shared" ref="B8377:B8378" si="148">HYPERLINK("https://twitter.com/tenriangke","@tenriangke")</f>
        <v>@tenriangke</v>
      </c>
      <c r="C8377" t="s">
        <v>5550</v>
      </c>
      <c r="D8377">
        <v>1</v>
      </c>
      <c r="E8377">
        <v>0</v>
      </c>
      <c r="F8377">
        <v>1351</v>
      </c>
    </row>
    <row r="8378" spans="1:6" ht="12.75">
      <c r="A8378" s="2">
        <v>43881.540497685186</v>
      </c>
      <c r="B8378" t="str">
        <f t="shared" si="148"/>
        <v>@tenriangke</v>
      </c>
      <c r="C8378" t="s">
        <v>5551</v>
      </c>
      <c r="D8378">
        <v>1</v>
      </c>
      <c r="E8378">
        <v>0</v>
      </c>
      <c r="F8378">
        <v>1351</v>
      </c>
    </row>
    <row r="8379" spans="1:6" ht="12.75">
      <c r="A8379" s="2">
        <v>43881.540486111116</v>
      </c>
      <c r="B8379" t="str">
        <f>HYPERLINK("https://twitter.com/alexgundul","@alexgundul")</f>
        <v>@alexgundul</v>
      </c>
      <c r="C8379" t="s">
        <v>4360</v>
      </c>
      <c r="D8379">
        <v>152</v>
      </c>
      <c r="E8379">
        <v>0</v>
      </c>
      <c r="F8379">
        <v>224</v>
      </c>
    </row>
    <row r="8380" spans="1:6" ht="12.75">
      <c r="A8380" s="2">
        <v>43881.540300925924</v>
      </c>
      <c r="B8380" t="str">
        <f>HYPERLINK("https://twitter.com/vivanewscom","@vivanewscom")</f>
        <v>@vivanewscom</v>
      </c>
      <c r="C8380" t="s">
        <v>5552</v>
      </c>
      <c r="D8380">
        <v>1</v>
      </c>
      <c r="E8380">
        <v>0</v>
      </c>
      <c r="F8380">
        <v>4225</v>
      </c>
    </row>
    <row r="8381" spans="1:6" ht="12.75">
      <c r="A8381" s="2">
        <v>43881.540300925924</v>
      </c>
      <c r="B8381" t="str">
        <f>HYPERLINK("https://twitter.com/shapmary","@shapmary")</f>
        <v>@shapmary</v>
      </c>
      <c r="C8381" t="s">
        <v>3278</v>
      </c>
      <c r="D8381">
        <v>84</v>
      </c>
      <c r="E8381">
        <v>0</v>
      </c>
      <c r="F8381">
        <v>455</v>
      </c>
    </row>
    <row r="8382" spans="1:6" ht="12.75">
      <c r="A8382" s="2">
        <v>43881.539837962962</v>
      </c>
      <c r="B8382" t="str">
        <f>HYPERLINK("https://twitter.com/Imsyserwa","@Imsyserwa")</f>
        <v>@Imsyserwa</v>
      </c>
      <c r="C8382" t="s">
        <v>1407</v>
      </c>
      <c r="D8382">
        <v>9564</v>
      </c>
      <c r="E8382">
        <v>0</v>
      </c>
      <c r="F8382">
        <v>16</v>
      </c>
    </row>
    <row r="8383" spans="1:6" ht="12.75">
      <c r="A8383" s="2">
        <v>43881.539733796293</v>
      </c>
      <c r="B8383" t="str">
        <f>HYPERLINK("https://twitter.com/k4ng_C1reNG","@k4ng_C1reNG")</f>
        <v>@k4ng_C1reNG</v>
      </c>
      <c r="C8383" t="s">
        <v>5553</v>
      </c>
      <c r="D8383">
        <v>0</v>
      </c>
      <c r="E8383">
        <v>1</v>
      </c>
      <c r="F8383">
        <v>3162</v>
      </c>
    </row>
    <row r="8384" spans="1:6" ht="12.75">
      <c r="A8384" s="2">
        <v>43881.539583333331</v>
      </c>
      <c r="B8384" t="str">
        <f>HYPERLINK("https://twitter.com/felicialexndra","@felicialexndra")</f>
        <v>@felicialexndra</v>
      </c>
      <c r="C8384" t="s">
        <v>1407</v>
      </c>
      <c r="D8384">
        <v>9564</v>
      </c>
      <c r="E8384">
        <v>0</v>
      </c>
      <c r="F8384">
        <v>371</v>
      </c>
    </row>
    <row r="8385" spans="1:6" ht="12.75">
      <c r="A8385" s="2">
        <v>43881.539305555554</v>
      </c>
      <c r="B8385" t="str">
        <f>HYPERLINK("https://twitter.com/heylordwithus","@heylordwithus")</f>
        <v>@heylordwithus</v>
      </c>
      <c r="C8385" t="s">
        <v>1407</v>
      </c>
      <c r="D8385">
        <v>9564</v>
      </c>
      <c r="E8385">
        <v>0</v>
      </c>
      <c r="F8385">
        <v>13</v>
      </c>
    </row>
    <row r="8386" spans="1:6" ht="12.75">
      <c r="A8386" s="2">
        <v>43881.538981481484</v>
      </c>
      <c r="B8386" t="str">
        <f>HYPERLINK("https://twitter.com/ryolandafit","@ryolandafit")</f>
        <v>@ryolandafit</v>
      </c>
      <c r="C8386" t="s">
        <v>3141</v>
      </c>
      <c r="D8386">
        <v>3</v>
      </c>
      <c r="E8386">
        <v>0</v>
      </c>
      <c r="F8386">
        <v>650</v>
      </c>
    </row>
    <row r="8387" spans="1:6" ht="12.75">
      <c r="A8387" s="2">
        <v>43881.538900462961</v>
      </c>
      <c r="B8387" t="str">
        <f>HYPERLINK("https://twitter.com/yohandavin","@yohandavin")</f>
        <v>@yohandavin</v>
      </c>
      <c r="C8387" t="s">
        <v>2692</v>
      </c>
      <c r="D8387">
        <v>1929</v>
      </c>
      <c r="E8387">
        <v>0</v>
      </c>
      <c r="F8387">
        <v>536</v>
      </c>
    </row>
    <row r="8388" spans="1:6" ht="12.75">
      <c r="A8388" s="2">
        <v>43881.538726851853</v>
      </c>
      <c r="B8388" t="str">
        <f>HYPERLINK("https://twitter.com/weiyasudah","@weiyasudah")</f>
        <v>@weiyasudah</v>
      </c>
      <c r="C8388" t="s">
        <v>5323</v>
      </c>
      <c r="D8388">
        <v>16</v>
      </c>
      <c r="E8388">
        <v>0</v>
      </c>
      <c r="F8388">
        <v>238</v>
      </c>
    </row>
    <row r="8389" spans="1:6" ht="12.75">
      <c r="A8389" s="2">
        <v>43881.5387037037</v>
      </c>
      <c r="B8389" t="str">
        <f>HYPERLINK("https://twitter.com/asthryprtw","@asthryprtw")</f>
        <v>@asthryprtw</v>
      </c>
      <c r="C8389" t="s">
        <v>5539</v>
      </c>
      <c r="D8389">
        <v>4</v>
      </c>
      <c r="E8389">
        <v>0</v>
      </c>
      <c r="F8389">
        <v>477</v>
      </c>
    </row>
    <row r="8390" spans="1:6" ht="12.75">
      <c r="A8390" s="2">
        <v>43881.538657407407</v>
      </c>
      <c r="B8390" t="str">
        <f>HYPERLINK("https://twitter.com/weiyasudah","@weiyasudah")</f>
        <v>@weiyasudah</v>
      </c>
      <c r="C8390" t="s">
        <v>5554</v>
      </c>
      <c r="D8390">
        <v>29</v>
      </c>
      <c r="E8390">
        <v>0</v>
      </c>
      <c r="F8390">
        <v>238</v>
      </c>
    </row>
    <row r="8391" spans="1:6" ht="12.75">
      <c r="A8391" s="2">
        <v>43881.538657407407</v>
      </c>
      <c r="B8391" t="str">
        <f>HYPERLINK("https://twitter.com/beatrice_health","@beatrice_health")</f>
        <v>@beatrice_health</v>
      </c>
      <c r="C8391" t="s">
        <v>5555</v>
      </c>
      <c r="D8391">
        <v>26</v>
      </c>
      <c r="E8391">
        <v>0</v>
      </c>
      <c r="F8391">
        <v>215</v>
      </c>
    </row>
    <row r="8392" spans="1:6" ht="12.75">
      <c r="A8392" s="2">
        <v>43881.538645833338</v>
      </c>
      <c r="B8392" t="str">
        <f>HYPERLINK("https://twitter.com/TJumiat","@TJumiat")</f>
        <v>@TJumiat</v>
      </c>
      <c r="C8392" t="s">
        <v>4360</v>
      </c>
      <c r="D8392">
        <v>152</v>
      </c>
      <c r="E8392">
        <v>0</v>
      </c>
      <c r="F8392">
        <v>154</v>
      </c>
    </row>
    <row r="8393" spans="1:6" ht="12.75">
      <c r="A8393" s="2">
        <v>43881.538611111115</v>
      </c>
      <c r="B8393" t="str">
        <f t="shared" ref="B8393:B8395" si="149">HYPERLINK("https://twitter.com/weiyasudah","@weiyasudah")</f>
        <v>@weiyasudah</v>
      </c>
      <c r="C8393" t="s">
        <v>5555</v>
      </c>
      <c r="D8393">
        <v>26</v>
      </c>
      <c r="E8393">
        <v>0</v>
      </c>
      <c r="F8393">
        <v>238</v>
      </c>
    </row>
    <row r="8394" spans="1:6" ht="12.75">
      <c r="A8394" s="2">
        <v>43881.538576388892</v>
      </c>
      <c r="B8394" t="str">
        <f t="shared" si="149"/>
        <v>@weiyasudah</v>
      </c>
      <c r="C8394" t="s">
        <v>2509</v>
      </c>
      <c r="D8394">
        <v>141</v>
      </c>
      <c r="E8394">
        <v>0</v>
      </c>
      <c r="F8394">
        <v>238</v>
      </c>
    </row>
    <row r="8395" spans="1:6" ht="12.75">
      <c r="A8395" s="2">
        <v>43881.538495370369</v>
      </c>
      <c r="B8395" t="str">
        <f t="shared" si="149"/>
        <v>@weiyasudah</v>
      </c>
      <c r="C8395" t="s">
        <v>2183</v>
      </c>
      <c r="D8395">
        <v>323</v>
      </c>
      <c r="E8395">
        <v>0</v>
      </c>
      <c r="F8395">
        <v>238</v>
      </c>
    </row>
    <row r="8396" spans="1:6" ht="12.75">
      <c r="A8396" s="2">
        <v>43881.538495370369</v>
      </c>
      <c r="B8396" t="str">
        <f>HYPERLINK("https://twitter.com/solasacras","@solasacras")</f>
        <v>@solasacras</v>
      </c>
      <c r="C8396" t="s">
        <v>2692</v>
      </c>
      <c r="D8396">
        <v>1929</v>
      </c>
      <c r="E8396">
        <v>0</v>
      </c>
      <c r="F8396">
        <v>461</v>
      </c>
    </row>
    <row r="8397" spans="1:6" ht="12.75">
      <c r="A8397" s="2">
        <v>43881.53842592593</v>
      </c>
      <c r="B8397" t="str">
        <f>HYPERLINK("https://twitter.com/weiyasudah","@weiyasudah")</f>
        <v>@weiyasudah</v>
      </c>
      <c r="C8397" t="s">
        <v>2467</v>
      </c>
      <c r="D8397">
        <v>882</v>
      </c>
      <c r="E8397">
        <v>0</v>
      </c>
      <c r="F8397">
        <v>238</v>
      </c>
    </row>
    <row r="8398" spans="1:6" ht="12.75">
      <c r="A8398" s="2">
        <v>43881.538402777776</v>
      </c>
      <c r="B8398" t="str">
        <f>HYPERLINK("https://twitter.com/dmwsdq","@dmwsdq")</f>
        <v>@dmwsdq</v>
      </c>
      <c r="C8398" t="s">
        <v>5370</v>
      </c>
      <c r="D8398">
        <v>2</v>
      </c>
      <c r="E8398">
        <v>0</v>
      </c>
      <c r="F8398">
        <v>904</v>
      </c>
    </row>
    <row r="8399" spans="1:6" ht="12.75">
      <c r="A8399" s="2">
        <v>43881.538356481484</v>
      </c>
      <c r="B8399" t="str">
        <f>HYPERLINK("https://twitter.com/nurkardiawan","@nurkardiawan")</f>
        <v>@nurkardiawan</v>
      </c>
      <c r="C8399" t="s">
        <v>5539</v>
      </c>
      <c r="D8399">
        <v>4</v>
      </c>
      <c r="E8399">
        <v>0</v>
      </c>
      <c r="F8399">
        <v>460</v>
      </c>
    </row>
    <row r="8400" spans="1:6" ht="12.75">
      <c r="A8400" s="2">
        <v>43881.538356481484</v>
      </c>
      <c r="B8400" t="str">
        <f>HYPERLINK("https://twitter.com/KontanNews","@KontanNews")</f>
        <v>@KontanNews</v>
      </c>
      <c r="C8400" t="s">
        <v>5556</v>
      </c>
      <c r="D8400">
        <v>0</v>
      </c>
      <c r="E8400">
        <v>1</v>
      </c>
      <c r="F8400">
        <v>316800</v>
      </c>
    </row>
    <row r="8401" spans="1:6" ht="12.75">
      <c r="A8401" s="2">
        <v>43881.538217592592</v>
      </c>
      <c r="B8401" t="str">
        <f>HYPERLINK("https://twitter.com/sally_rw","@sally_rw")</f>
        <v>@sally_rw</v>
      </c>
      <c r="C8401" t="s">
        <v>5557</v>
      </c>
      <c r="D8401">
        <v>0</v>
      </c>
      <c r="E8401">
        <v>0</v>
      </c>
      <c r="F8401">
        <v>829</v>
      </c>
    </row>
    <row r="8402" spans="1:6" ht="12.75">
      <c r="A8402" s="2">
        <v>43881.538194444445</v>
      </c>
      <c r="B8402" t="str">
        <f>HYPERLINK("https://twitter.com/menurutsaya2","@menurutsaya2")</f>
        <v>@menurutsaya2</v>
      </c>
      <c r="C8402" t="s">
        <v>5558</v>
      </c>
      <c r="D8402">
        <v>0</v>
      </c>
      <c r="E8402">
        <v>0</v>
      </c>
      <c r="F8402">
        <v>1</v>
      </c>
    </row>
    <row r="8403" spans="1:6" ht="12.75">
      <c r="A8403" s="2">
        <v>43881.538090277776</v>
      </c>
      <c r="B8403" t="str">
        <f>HYPERLINK("https://twitter.com/ryolandafit","@ryolandafit")</f>
        <v>@ryolandafit</v>
      </c>
      <c r="C8403" t="s">
        <v>5559</v>
      </c>
      <c r="D8403">
        <v>3</v>
      </c>
      <c r="E8403">
        <v>0</v>
      </c>
      <c r="F8403">
        <v>650</v>
      </c>
    </row>
    <row r="8404" spans="1:6" ht="12.75">
      <c r="A8404" s="2">
        <v>43881.537870370375</v>
      </c>
      <c r="B8404" t="str">
        <f>HYPERLINK("https://twitter.com/indiemediaidnew","@indiemediaidnew")</f>
        <v>@indiemediaidnew</v>
      </c>
      <c r="C8404" t="s">
        <v>5560</v>
      </c>
      <c r="D8404">
        <v>0</v>
      </c>
      <c r="E8404">
        <v>0</v>
      </c>
      <c r="F8404">
        <v>4</v>
      </c>
    </row>
    <row r="8405" spans="1:6" ht="12.75">
      <c r="A8405" s="2">
        <v>43881.537557870368</v>
      </c>
      <c r="B8405" t="str">
        <f>HYPERLINK("https://twitter.com/beatrice_health","@beatrice_health")</f>
        <v>@beatrice_health</v>
      </c>
      <c r="C8405" t="s">
        <v>5539</v>
      </c>
      <c r="D8405">
        <v>4</v>
      </c>
      <c r="E8405">
        <v>0</v>
      </c>
      <c r="F8405">
        <v>215</v>
      </c>
    </row>
    <row r="8406" spans="1:6" ht="12.75">
      <c r="A8406" s="2">
        <v>43881.537488425922</v>
      </c>
      <c r="B8406" t="str">
        <f>HYPERLINK("https://twitter.com/Metro_TV","@Metro_TV")</f>
        <v>@Metro_TV</v>
      </c>
      <c r="C8406" t="s">
        <v>5561</v>
      </c>
      <c r="D8406">
        <v>4</v>
      </c>
      <c r="E8406">
        <v>2</v>
      </c>
      <c r="F8406">
        <v>10510965</v>
      </c>
    </row>
    <row r="8407" spans="1:6" ht="12.75">
      <c r="A8407" s="2">
        <v>43881.537488425922</v>
      </c>
      <c r="B8407" t="str">
        <f>HYPERLINK("https://twitter.com/cnixjuang","@cnixjuang")</f>
        <v>@cnixjuang</v>
      </c>
      <c r="C8407" t="s">
        <v>5562</v>
      </c>
      <c r="D8407">
        <v>0</v>
      </c>
      <c r="E8407">
        <v>0</v>
      </c>
      <c r="F8407">
        <v>1411</v>
      </c>
    </row>
    <row r="8408" spans="1:6" ht="12.75">
      <c r="A8408" s="2">
        <v>43881.537395833337</v>
      </c>
      <c r="B8408" t="str">
        <f>HYPERLINK("https://twitter.com/ryolandafit","@ryolandafit")</f>
        <v>@ryolandafit</v>
      </c>
      <c r="C8408" t="s">
        <v>5533</v>
      </c>
      <c r="D8408">
        <v>5</v>
      </c>
      <c r="E8408">
        <v>0</v>
      </c>
      <c r="F8408">
        <v>650</v>
      </c>
    </row>
    <row r="8409" spans="1:6" ht="12.75">
      <c r="A8409" s="2">
        <v>43881.537361111114</v>
      </c>
      <c r="B8409" t="str">
        <f>HYPERLINK("https://twitter.com/bindunada","@bindunada")</f>
        <v>@bindunada</v>
      </c>
      <c r="C8409" t="s">
        <v>5563</v>
      </c>
      <c r="D8409">
        <v>1</v>
      </c>
      <c r="E8409">
        <v>0</v>
      </c>
      <c r="F8409">
        <v>1061</v>
      </c>
    </row>
    <row r="8410" spans="1:6" ht="12.75">
      <c r="A8410" s="2">
        <v>43881.536909722221</v>
      </c>
      <c r="B8410" t="str">
        <f>HYPERLINK("https://twitter.com/sally_rw","@sally_rw")</f>
        <v>@sally_rw</v>
      </c>
      <c r="C8410" t="s">
        <v>5564</v>
      </c>
      <c r="D8410">
        <v>0</v>
      </c>
      <c r="E8410">
        <v>0</v>
      </c>
      <c r="F8410">
        <v>829</v>
      </c>
    </row>
    <row r="8411" spans="1:6" ht="12.75">
      <c r="A8411" s="2">
        <v>43881.536817129629</v>
      </c>
      <c r="B8411" t="str">
        <f>HYPERLINK("https://twitter.com/beatrice_health","@beatrice_health")</f>
        <v>@beatrice_health</v>
      </c>
      <c r="C8411" t="s">
        <v>5565</v>
      </c>
      <c r="D8411">
        <v>2</v>
      </c>
      <c r="E8411">
        <v>0</v>
      </c>
      <c r="F8411">
        <v>215</v>
      </c>
    </row>
    <row r="8412" spans="1:6" ht="12.75">
      <c r="A8412" s="2">
        <v>43881.536782407406</v>
      </c>
      <c r="B8412" t="str">
        <f>HYPERLINK("https://twitter.com/juni_irene","@juni_irene")</f>
        <v>@juni_irene</v>
      </c>
      <c r="C8412" t="s">
        <v>5234</v>
      </c>
      <c r="D8412">
        <v>1</v>
      </c>
      <c r="E8412">
        <v>0</v>
      </c>
      <c r="F8412">
        <v>5591</v>
      </c>
    </row>
    <row r="8413" spans="1:6" ht="12.75">
      <c r="A8413" s="2">
        <v>43881.536493055552</v>
      </c>
      <c r="B8413" t="str">
        <f>HYPERLINK("https://twitter.com/smile_guys","@smile_guys")</f>
        <v>@smile_guys</v>
      </c>
      <c r="C8413" t="s">
        <v>5565</v>
      </c>
      <c r="D8413">
        <v>2</v>
      </c>
      <c r="E8413">
        <v>0</v>
      </c>
      <c r="F8413">
        <v>121</v>
      </c>
    </row>
    <row r="8414" spans="1:6" ht="12.75">
      <c r="A8414" s="2">
        <v>43881.536145833335</v>
      </c>
      <c r="B8414" t="str">
        <f t="shared" ref="B8414:B8415" si="150">HYPERLINK("https://twitter.com/kompascom","@kompascom")</f>
        <v>@kompascom</v>
      </c>
      <c r="C8414" t="s">
        <v>5566</v>
      </c>
      <c r="D8414">
        <v>2</v>
      </c>
      <c r="E8414">
        <v>3</v>
      </c>
      <c r="F8414">
        <v>7504928</v>
      </c>
    </row>
    <row r="8415" spans="1:6" ht="12.75">
      <c r="A8415" s="2">
        <v>43881.536134259259</v>
      </c>
      <c r="B8415" t="str">
        <f t="shared" si="150"/>
        <v>@kompascom</v>
      </c>
      <c r="C8415" t="s">
        <v>5567</v>
      </c>
      <c r="D8415">
        <v>1</v>
      </c>
      <c r="E8415">
        <v>0</v>
      </c>
      <c r="F8415">
        <v>7504928</v>
      </c>
    </row>
    <row r="8416" spans="1:6" ht="12.75">
      <c r="A8416" s="2">
        <v>43881.53570601852</v>
      </c>
      <c r="B8416" t="str">
        <f>HYPERLINK("https://twitter.com/AnugrahDewandy","@AnugrahDewandy")</f>
        <v>@AnugrahDewandy</v>
      </c>
      <c r="C8416" t="s">
        <v>1407</v>
      </c>
      <c r="D8416">
        <v>9564</v>
      </c>
      <c r="E8416">
        <v>0</v>
      </c>
      <c r="F8416">
        <v>168</v>
      </c>
    </row>
    <row r="8417" spans="1:6" ht="12.75">
      <c r="A8417" s="2">
        <v>43881.534733796296</v>
      </c>
      <c r="B8417" t="str">
        <f>HYPERLINK("https://twitter.com/SoniMsi07","@SoniMsi07")</f>
        <v>@SoniMsi07</v>
      </c>
      <c r="C8417" t="s">
        <v>4360</v>
      </c>
      <c r="D8417">
        <v>152</v>
      </c>
      <c r="E8417">
        <v>0</v>
      </c>
      <c r="F8417">
        <v>246</v>
      </c>
    </row>
    <row r="8418" spans="1:6" ht="12.75">
      <c r="A8418" s="2">
        <v>43881.534050925926</v>
      </c>
      <c r="B8418" t="str">
        <f>HYPERLINK("https://twitter.com/shineeyeyen","@shineeyeyen")</f>
        <v>@shineeyeyen</v>
      </c>
      <c r="C8418" t="s">
        <v>2692</v>
      </c>
      <c r="D8418">
        <v>1929</v>
      </c>
      <c r="E8418">
        <v>0</v>
      </c>
      <c r="F8418">
        <v>546</v>
      </c>
    </row>
    <row r="8419" spans="1:6" ht="12.75">
      <c r="A8419" s="2">
        <v>43881.533912037034</v>
      </c>
      <c r="B8419" t="str">
        <f>HYPERLINK("https://twitter.com/urgetaway","@urgetaway")</f>
        <v>@urgetaway</v>
      </c>
      <c r="C8419" t="s">
        <v>513</v>
      </c>
      <c r="D8419">
        <v>23216</v>
      </c>
      <c r="E8419">
        <v>0</v>
      </c>
      <c r="F8419">
        <v>25</v>
      </c>
    </row>
    <row r="8420" spans="1:6" ht="12.75">
      <c r="A8420" s="2">
        <v>43881.533541666664</v>
      </c>
      <c r="B8420" t="str">
        <f>HYPERLINK("https://twitter.com/DdVaynard","@DdVaynard")</f>
        <v>@DdVaynard</v>
      </c>
      <c r="C8420" t="s">
        <v>2135</v>
      </c>
      <c r="D8420">
        <v>32</v>
      </c>
      <c r="E8420">
        <v>0</v>
      </c>
      <c r="F8420">
        <v>316</v>
      </c>
    </row>
    <row r="8421" spans="1:6" ht="12.75">
      <c r="A8421" s="2">
        <v>43881.533437499995</v>
      </c>
      <c r="B8421" t="str">
        <f>HYPERLINK("https://twitter.com/faridwinart","@faridwinart")</f>
        <v>@faridwinart</v>
      </c>
      <c r="C8421" t="s">
        <v>5568</v>
      </c>
      <c r="D8421">
        <v>0</v>
      </c>
      <c r="E8421">
        <v>0</v>
      </c>
      <c r="F8421">
        <v>119</v>
      </c>
    </row>
    <row r="8422" spans="1:6" ht="12.75">
      <c r="A8422" s="2">
        <v>43881.532893518517</v>
      </c>
      <c r="B8422" t="str">
        <f>HYPERLINK("https://twitter.com/gak_dimanamana","@gak_dimanamana")</f>
        <v>@gak_dimanamana</v>
      </c>
      <c r="C8422" t="s">
        <v>5569</v>
      </c>
      <c r="D8422">
        <v>0</v>
      </c>
      <c r="E8422">
        <v>0</v>
      </c>
      <c r="F8422">
        <v>273</v>
      </c>
    </row>
    <row r="8423" spans="1:6" ht="12.75">
      <c r="A8423" s="2">
        <v>43881.53230324074</v>
      </c>
      <c r="B8423" t="str">
        <f>HYPERLINK("https://twitter.com/guchytae_","@guchytae_")</f>
        <v>@guchytae_</v>
      </c>
      <c r="C8423" t="s">
        <v>1407</v>
      </c>
      <c r="D8423">
        <v>9564</v>
      </c>
      <c r="E8423">
        <v>0</v>
      </c>
      <c r="F8423">
        <v>526</v>
      </c>
    </row>
    <row r="8424" spans="1:6" ht="12.75">
      <c r="A8424" s="2">
        <v>43881.532280092593</v>
      </c>
      <c r="B8424" t="str">
        <f>HYPERLINK("https://twitter.com/OghieMPurnomo","@OghieMPurnomo")</f>
        <v>@OghieMPurnomo</v>
      </c>
      <c r="C8424" t="s">
        <v>5570</v>
      </c>
      <c r="D8424">
        <v>0</v>
      </c>
      <c r="E8424">
        <v>0</v>
      </c>
      <c r="F8424">
        <v>573</v>
      </c>
    </row>
    <row r="8425" spans="1:6" ht="12.75">
      <c r="A8425" s="2">
        <v>43881.531921296293</v>
      </c>
      <c r="B8425" t="str">
        <f>HYPERLINK("https://twitter.com/Tulang_Godang","@Tulang_Godang")</f>
        <v>@Tulang_Godang</v>
      </c>
      <c r="C8425" t="s">
        <v>5571</v>
      </c>
      <c r="D8425">
        <v>0</v>
      </c>
      <c r="E8425">
        <v>0</v>
      </c>
      <c r="F8425">
        <v>570</v>
      </c>
    </row>
    <row r="8426" spans="1:6" ht="12.75">
      <c r="A8426" s="2">
        <v>43881.531898148147</v>
      </c>
      <c r="B8426" t="str">
        <f>HYPERLINK("https://twitter.com/bloozoum","@bloozoum")</f>
        <v>@bloozoum</v>
      </c>
      <c r="C8426" t="s">
        <v>5572</v>
      </c>
      <c r="D8426">
        <v>5</v>
      </c>
      <c r="E8426">
        <v>0</v>
      </c>
      <c r="F8426">
        <v>588</v>
      </c>
    </row>
    <row r="8427" spans="1:6" ht="12.75">
      <c r="A8427" s="2">
        <v>43881.531631944439</v>
      </c>
      <c r="B8427" t="str">
        <f>HYPERLINK("https://twitter.com/kompascom","@kompascom")</f>
        <v>@kompascom</v>
      </c>
      <c r="C8427" t="s">
        <v>5567</v>
      </c>
      <c r="D8427">
        <v>0</v>
      </c>
      <c r="E8427">
        <v>0</v>
      </c>
      <c r="F8427">
        <v>7504928</v>
      </c>
    </row>
    <row r="8428" spans="1:6" ht="12.75">
      <c r="A8428" s="2">
        <v>43881.531469907408</v>
      </c>
      <c r="B8428" t="str">
        <f>HYPERLINK("https://twitter.com/bloozoum","@bloozoum")</f>
        <v>@bloozoum</v>
      </c>
      <c r="C8428" t="s">
        <v>2135</v>
      </c>
      <c r="D8428">
        <v>32</v>
      </c>
      <c r="E8428">
        <v>0</v>
      </c>
      <c r="F8428">
        <v>588</v>
      </c>
    </row>
    <row r="8429" spans="1:6" ht="12.75">
      <c r="A8429" s="2">
        <v>43881.531388888892</v>
      </c>
      <c r="B8429" t="str">
        <f>HYPERLINK("https://twitter.com/arif_luqman","@arif_luqman")</f>
        <v>@arif_luqman</v>
      </c>
      <c r="C8429" t="s">
        <v>5573</v>
      </c>
      <c r="D8429">
        <v>0</v>
      </c>
      <c r="E8429">
        <v>0</v>
      </c>
      <c r="F8429">
        <v>26</v>
      </c>
    </row>
    <row r="8430" spans="1:6" ht="12.75">
      <c r="A8430" s="2">
        <v>43881.531377314815</v>
      </c>
      <c r="B8430" t="str">
        <f>HYPERLINK("https://twitter.com/delicateddim","@delicateddim")</f>
        <v>@delicateddim</v>
      </c>
      <c r="C8430" t="s">
        <v>1407</v>
      </c>
      <c r="D8430">
        <v>9564</v>
      </c>
      <c r="E8430">
        <v>0</v>
      </c>
      <c r="F8430">
        <v>29</v>
      </c>
    </row>
    <row r="8431" spans="1:6" ht="12.75">
      <c r="A8431" s="2">
        <v>43881.53123842593</v>
      </c>
      <c r="B8431" t="str">
        <f>HYPERLINK("https://twitter.com/anggitajatmiko2","@anggitajatmiko2")</f>
        <v>@anggitajatmiko2</v>
      </c>
      <c r="C8431" t="s">
        <v>1407</v>
      </c>
      <c r="D8431">
        <v>9564</v>
      </c>
      <c r="E8431">
        <v>0</v>
      </c>
      <c r="F8431">
        <v>205</v>
      </c>
    </row>
    <row r="8432" spans="1:6" ht="12.75">
      <c r="A8432" s="2">
        <v>43881.530972222223</v>
      </c>
      <c r="B8432" t="str">
        <f>HYPERLINK("https://twitter.com/ditha_tirtayos","@ditha_tirtayos")</f>
        <v>@ditha_tirtayos</v>
      </c>
      <c r="C8432" t="s">
        <v>2467</v>
      </c>
      <c r="D8432">
        <v>882</v>
      </c>
      <c r="E8432">
        <v>0</v>
      </c>
      <c r="F8432">
        <v>68</v>
      </c>
    </row>
    <row r="8433" spans="1:6" ht="12.75">
      <c r="A8433" s="2">
        <v>43881.530763888892</v>
      </c>
      <c r="B8433" t="str">
        <f>HYPERLINK("https://twitter.com/ssnnyadji","@ssnnyadji")</f>
        <v>@ssnnyadji</v>
      </c>
      <c r="C8433" t="s">
        <v>1407</v>
      </c>
      <c r="D8433">
        <v>9564</v>
      </c>
      <c r="E8433">
        <v>0</v>
      </c>
      <c r="F8433">
        <v>58</v>
      </c>
    </row>
    <row r="8434" spans="1:6" ht="12.75">
      <c r="A8434" s="2">
        <v>43881.530324074076</v>
      </c>
      <c r="B8434" t="str">
        <f t="shared" ref="B8434:B8435" si="151">HYPERLINK("https://twitter.com/yunohlogy","@yunohlogy")</f>
        <v>@yunohlogy</v>
      </c>
      <c r="C8434" t="s">
        <v>2183</v>
      </c>
      <c r="D8434">
        <v>323</v>
      </c>
      <c r="E8434">
        <v>0</v>
      </c>
      <c r="F8434">
        <v>415</v>
      </c>
    </row>
    <row r="8435" spans="1:6" ht="12.75">
      <c r="A8435" s="2">
        <v>43881.530208333337</v>
      </c>
      <c r="B8435" t="str">
        <f t="shared" si="151"/>
        <v>@yunohlogy</v>
      </c>
      <c r="C8435" t="s">
        <v>2467</v>
      </c>
      <c r="D8435">
        <v>882</v>
      </c>
      <c r="E8435">
        <v>0</v>
      </c>
      <c r="F8435">
        <v>415</v>
      </c>
    </row>
    <row r="8436" spans="1:6" ht="12.75">
      <c r="A8436" s="2">
        <v>43881.530104166668</v>
      </c>
      <c r="B8436" t="str">
        <f>HYPERLINK("https://twitter.com/palashr52706091","@palashr52706091")</f>
        <v>@palashr52706091</v>
      </c>
      <c r="C8436" t="s">
        <v>2085</v>
      </c>
      <c r="D8436">
        <v>14</v>
      </c>
      <c r="E8436">
        <v>0</v>
      </c>
      <c r="F8436">
        <v>1</v>
      </c>
    </row>
    <row r="8437" spans="1:6" ht="12.75">
      <c r="A8437" s="2">
        <v>43881.529849537037</v>
      </c>
      <c r="B8437" t="str">
        <f>HYPERLINK("https://twitter.com/Alexmel94259414","@Alexmel94259414")</f>
        <v>@Alexmel94259414</v>
      </c>
      <c r="C8437" t="s">
        <v>4360</v>
      </c>
      <c r="D8437">
        <v>152</v>
      </c>
      <c r="E8437">
        <v>0</v>
      </c>
      <c r="F8437">
        <v>11</v>
      </c>
    </row>
    <row r="8438" spans="1:6" ht="12.75">
      <c r="A8438" s="2">
        <v>43881.529398148152</v>
      </c>
      <c r="B8438" t="str">
        <f>HYPERLINK("https://twitter.com/aayyeleees","@aayyeleees")</f>
        <v>@aayyeleees</v>
      </c>
      <c r="C8438" t="s">
        <v>1407</v>
      </c>
      <c r="D8438">
        <v>9564</v>
      </c>
      <c r="E8438">
        <v>0</v>
      </c>
      <c r="F8438">
        <v>322</v>
      </c>
    </row>
    <row r="8439" spans="1:6" ht="12.75">
      <c r="A8439" s="2">
        <v>43881.529062500005</v>
      </c>
      <c r="B8439" t="str">
        <f>HYPERLINK("https://twitter.com/tehmns","@tehmns")</f>
        <v>@tehmns</v>
      </c>
      <c r="C8439" t="s">
        <v>1407</v>
      </c>
      <c r="D8439">
        <v>9564</v>
      </c>
      <c r="E8439">
        <v>0</v>
      </c>
      <c r="F8439">
        <v>44</v>
      </c>
    </row>
    <row r="8440" spans="1:6" ht="12.75">
      <c r="A8440" s="2">
        <v>43881.528726851851</v>
      </c>
      <c r="B8440" t="str">
        <f>HYPERLINK("https://twitter.com/nana13nana13nan","@nana13nana13nan")</f>
        <v>@nana13nana13nan</v>
      </c>
      <c r="C8440" t="s">
        <v>2135</v>
      </c>
      <c r="D8440">
        <v>32</v>
      </c>
      <c r="E8440">
        <v>0</v>
      </c>
      <c r="F8440">
        <v>455</v>
      </c>
    </row>
    <row r="8441" spans="1:6" ht="12.75">
      <c r="A8441" s="2">
        <v>43881.528425925921</v>
      </c>
      <c r="B8441" t="str">
        <f>HYPERLINK("https://twitter.com/feriirawan8888","@feriirawan8888")</f>
        <v>@feriirawan8888</v>
      </c>
      <c r="C8441" t="s">
        <v>5574</v>
      </c>
      <c r="D8441">
        <v>0</v>
      </c>
      <c r="E8441">
        <v>0</v>
      </c>
      <c r="F8441">
        <v>321</v>
      </c>
    </row>
    <row r="8442" spans="1:6" ht="12.75">
      <c r="A8442" s="2">
        <v>43881.52825231482</v>
      </c>
      <c r="B8442" t="str">
        <f>HYPERLINK("https://twitter.com/sahul_69","@sahul_69")</f>
        <v>@sahul_69</v>
      </c>
      <c r="C8442" t="s">
        <v>5575</v>
      </c>
      <c r="D8442">
        <v>2</v>
      </c>
      <c r="E8442">
        <v>0</v>
      </c>
      <c r="F8442">
        <v>1171</v>
      </c>
    </row>
    <row r="8443" spans="1:6" ht="12.75">
      <c r="A8443" s="2">
        <v>43881.527719907404</v>
      </c>
      <c r="B8443" t="str">
        <f>HYPERLINK("https://twitter.com/rosarymargareta","@rosarymargareta")</f>
        <v>@rosarymargareta</v>
      </c>
      <c r="C8443" t="s">
        <v>5576</v>
      </c>
      <c r="D8443">
        <v>0</v>
      </c>
      <c r="E8443">
        <v>0</v>
      </c>
      <c r="F8443">
        <v>1019</v>
      </c>
    </row>
    <row r="8444" spans="1:6" ht="12.75">
      <c r="A8444" s="2">
        <v>43881.527615740742</v>
      </c>
      <c r="B8444" t="str">
        <f>HYPERLINK("https://twitter.com/habibvleer","@habibvleer")</f>
        <v>@habibvleer</v>
      </c>
      <c r="C8444" t="s">
        <v>1407</v>
      </c>
      <c r="D8444">
        <v>9564</v>
      </c>
      <c r="E8444">
        <v>0</v>
      </c>
      <c r="F8444">
        <v>311</v>
      </c>
    </row>
    <row r="8445" spans="1:6" ht="12.75">
      <c r="A8445" s="2">
        <v>43881.52679398148</v>
      </c>
      <c r="B8445" t="str">
        <f>HYPERLINK("https://twitter.com/rudiputroo","@rudiputroo")</f>
        <v>@rudiputroo</v>
      </c>
      <c r="C8445" t="s">
        <v>1407</v>
      </c>
      <c r="D8445">
        <v>9564</v>
      </c>
      <c r="E8445">
        <v>0</v>
      </c>
      <c r="F8445">
        <v>666</v>
      </c>
    </row>
    <row r="8446" spans="1:6" ht="12.75">
      <c r="A8446" s="2">
        <v>43881.526504629626</v>
      </c>
      <c r="B8446" t="str">
        <f>HYPERLINK("https://twitter.com/Saha_namina_","@Saha_namina_")</f>
        <v>@Saha_namina_</v>
      </c>
      <c r="C8446" t="s">
        <v>5577</v>
      </c>
      <c r="D8446">
        <v>0</v>
      </c>
      <c r="E8446">
        <v>0</v>
      </c>
      <c r="F8446">
        <v>650</v>
      </c>
    </row>
    <row r="8447" spans="1:6" ht="12.75">
      <c r="A8447" s="2">
        <v>43881.52648148148</v>
      </c>
      <c r="B8447" t="str">
        <f>HYPERLINK("https://twitter.com/Adenneon77","@Adenneon77")</f>
        <v>@Adenneon77</v>
      </c>
      <c r="C8447" t="s">
        <v>5203</v>
      </c>
      <c r="D8447">
        <v>91</v>
      </c>
      <c r="E8447">
        <v>0</v>
      </c>
      <c r="F8447">
        <v>24</v>
      </c>
    </row>
    <row r="8448" spans="1:6" ht="12.75">
      <c r="A8448" s="2">
        <v>43881.52616898148</v>
      </c>
      <c r="B8448" t="str">
        <f>HYPERLINK("https://twitter.com/Bentir16","@Bentir16")</f>
        <v>@Bentir16</v>
      </c>
      <c r="C8448" t="s">
        <v>5575</v>
      </c>
      <c r="D8448">
        <v>2</v>
      </c>
      <c r="E8448">
        <v>0</v>
      </c>
      <c r="F8448">
        <v>655</v>
      </c>
    </row>
    <row r="8449" spans="1:6" ht="12.75">
      <c r="A8449" s="2">
        <v>43881.52579861111</v>
      </c>
      <c r="B8449" t="str">
        <f>HYPERLINK("https://twitter.com/Donatbekuenak","@Donatbekuenak")</f>
        <v>@Donatbekuenak</v>
      </c>
      <c r="C8449" t="s">
        <v>2692</v>
      </c>
      <c r="D8449">
        <v>1929</v>
      </c>
      <c r="E8449">
        <v>0</v>
      </c>
      <c r="F8449">
        <v>59</v>
      </c>
    </row>
    <row r="8450" spans="1:6" ht="12.75">
      <c r="A8450" s="2">
        <v>43881.524247685185</v>
      </c>
      <c r="B8450" t="str">
        <f>HYPERLINK("https://twitter.com/Hamjjidungie","@Hamjjidungie")</f>
        <v>@Hamjjidungie</v>
      </c>
      <c r="C8450" t="s">
        <v>2467</v>
      </c>
      <c r="D8450">
        <v>882</v>
      </c>
      <c r="E8450">
        <v>0</v>
      </c>
      <c r="F8450">
        <v>415</v>
      </c>
    </row>
    <row r="8451" spans="1:6" ht="12.75">
      <c r="A8451" s="2">
        <v>43881.524236111116</v>
      </c>
      <c r="B8451" t="str">
        <f>HYPERLINK("https://twitter.com/TahtehKw","@TahtehKw")</f>
        <v>@TahtehKw</v>
      </c>
      <c r="C8451" t="s">
        <v>5578</v>
      </c>
      <c r="D8451">
        <v>2</v>
      </c>
      <c r="E8451">
        <v>3</v>
      </c>
      <c r="F8451">
        <v>1463</v>
      </c>
    </row>
    <row r="8452" spans="1:6" ht="12.75">
      <c r="A8452" s="2">
        <v>43881.523877314816</v>
      </c>
      <c r="B8452" t="str">
        <f>HYPERLINK("https://twitter.com/ekbenlicious","@ekbenlicious")</f>
        <v>@ekbenlicious</v>
      </c>
      <c r="C8452" t="s">
        <v>5579</v>
      </c>
      <c r="D8452">
        <v>0</v>
      </c>
      <c r="E8452">
        <v>0</v>
      </c>
      <c r="F8452">
        <v>1567</v>
      </c>
    </row>
    <row r="8453" spans="1:6" ht="12.75">
      <c r="A8453" s="2">
        <v>43881.523773148147</v>
      </c>
      <c r="B8453" t="str">
        <f>HYPERLINK("https://twitter.com/helloiamsyn","@helloiamsyn")</f>
        <v>@helloiamsyn</v>
      </c>
      <c r="C8453" t="s">
        <v>513</v>
      </c>
      <c r="D8453">
        <v>23216</v>
      </c>
      <c r="E8453">
        <v>0</v>
      </c>
      <c r="F8453">
        <v>606</v>
      </c>
    </row>
    <row r="8454" spans="1:6" ht="12.75">
      <c r="A8454" s="2">
        <v>43881.523530092592</v>
      </c>
      <c r="B8454" t="str">
        <f>HYPERLINK("https://twitter.com/ObaiIdon","@ObaiIdon")</f>
        <v>@ObaiIdon</v>
      </c>
      <c r="C8454" t="s">
        <v>5580</v>
      </c>
      <c r="D8454">
        <v>0</v>
      </c>
      <c r="E8454">
        <v>0</v>
      </c>
      <c r="F8454">
        <v>179</v>
      </c>
    </row>
    <row r="8455" spans="1:6" ht="12.75">
      <c r="A8455" s="2">
        <v>43881.52342592593</v>
      </c>
      <c r="B8455" t="str">
        <f>HYPERLINK("https://twitter.com/NasDem","@NasDem")</f>
        <v>@NasDem</v>
      </c>
      <c r="C8455" t="s">
        <v>5581</v>
      </c>
      <c r="D8455">
        <v>1</v>
      </c>
      <c r="E8455">
        <v>1</v>
      </c>
      <c r="F8455">
        <v>91087</v>
      </c>
    </row>
    <row r="8456" spans="1:6" ht="12.75">
      <c r="A8456" s="2">
        <v>43881.522893518515</v>
      </c>
      <c r="B8456" t="str">
        <f>HYPERLINK("https://twitter.com/DanangSadya","@DanangSadya")</f>
        <v>@DanangSadya</v>
      </c>
      <c r="C8456" t="s">
        <v>5533</v>
      </c>
      <c r="D8456">
        <v>5</v>
      </c>
      <c r="E8456">
        <v>0</v>
      </c>
      <c r="F8456">
        <v>14</v>
      </c>
    </row>
    <row r="8457" spans="1:6" ht="12.75">
      <c r="A8457" s="2">
        <v>43881.522418981476</v>
      </c>
      <c r="B8457" t="str">
        <f>HYPERLINK("https://twitter.com/albertusdanu2","@albertusdanu2")</f>
        <v>@albertusdanu2</v>
      </c>
      <c r="C8457" t="s">
        <v>5582</v>
      </c>
      <c r="D8457">
        <v>0</v>
      </c>
      <c r="E8457">
        <v>0</v>
      </c>
      <c r="F8457">
        <v>46</v>
      </c>
    </row>
    <row r="8458" spans="1:6" ht="12.75">
      <c r="A8458" s="2">
        <v>43881.522372685184</v>
      </c>
      <c r="B8458" t="str">
        <f>HYPERLINK("https://twitter.com/dongyounggf","@dongyounggf")</f>
        <v>@dongyounggf</v>
      </c>
      <c r="C8458" t="s">
        <v>1407</v>
      </c>
      <c r="D8458">
        <v>9564</v>
      </c>
      <c r="E8458">
        <v>0</v>
      </c>
      <c r="F8458">
        <v>267</v>
      </c>
    </row>
    <row r="8459" spans="1:6" ht="12.75">
      <c r="A8459" s="2">
        <v>43881.522314814814</v>
      </c>
      <c r="B8459" t="str">
        <f>HYPERLINK("https://twitter.com/mylittlelightJ","@mylittlelightJ")</f>
        <v>@mylittlelightJ</v>
      </c>
      <c r="C8459" t="s">
        <v>2692</v>
      </c>
      <c r="D8459">
        <v>1929</v>
      </c>
      <c r="E8459">
        <v>0</v>
      </c>
      <c r="F8459">
        <v>177</v>
      </c>
    </row>
    <row r="8460" spans="1:6" ht="12.75">
      <c r="A8460" s="2">
        <v>43881.521817129629</v>
      </c>
      <c r="B8460" t="str">
        <f>HYPERLINK("https://twitter.com/BorneoWolf","@BorneoWolf")</f>
        <v>@BorneoWolf</v>
      </c>
      <c r="C8460" t="s">
        <v>5583</v>
      </c>
      <c r="D8460">
        <v>0</v>
      </c>
      <c r="E8460">
        <v>0</v>
      </c>
      <c r="F8460">
        <v>5</v>
      </c>
    </row>
    <row r="8461" spans="1:6" ht="12.75">
      <c r="A8461" s="2">
        <v>43881.501608796301</v>
      </c>
      <c r="B8461" t="str">
        <f>HYPERLINK("https://twitter.com/ino_cents","@ino_cents")</f>
        <v>@ino_cents</v>
      </c>
      <c r="C8461" t="s">
        <v>2692</v>
      </c>
      <c r="D8461">
        <v>1903</v>
      </c>
      <c r="E8461">
        <v>0</v>
      </c>
      <c r="F8461">
        <v>1133</v>
      </c>
    </row>
    <row r="8462" spans="1:6" ht="12.75">
      <c r="A8462" s="2">
        <v>43881.501504629632</v>
      </c>
      <c r="B8462" t="str">
        <f>HYPERLINK("https://twitter.com/mayaffzh","@mayaffzh")</f>
        <v>@mayaffzh</v>
      </c>
      <c r="C8462" t="s">
        <v>2692</v>
      </c>
      <c r="D8462">
        <v>1903</v>
      </c>
      <c r="E8462">
        <v>0</v>
      </c>
      <c r="F8462">
        <v>306</v>
      </c>
    </row>
    <row r="8463" spans="1:6" ht="12.75">
      <c r="A8463" s="2">
        <v>43881.501273148147</v>
      </c>
      <c r="B8463" t="str">
        <f>HYPERLINK("https://twitter.com/aherbawono","@aherbawono")</f>
        <v>@aherbawono</v>
      </c>
      <c r="C8463" t="s">
        <v>2692</v>
      </c>
      <c r="D8463">
        <v>1903</v>
      </c>
      <c r="E8463">
        <v>0</v>
      </c>
      <c r="F8463">
        <v>103</v>
      </c>
    </row>
    <row r="8464" spans="1:6" ht="12.75">
      <c r="A8464" s="2">
        <v>43881.500717592593</v>
      </c>
      <c r="B8464" t="str">
        <f>HYPERLINK("https://twitter.com/dodi_ahmad07","@dodi_ahmad07")</f>
        <v>@dodi_ahmad07</v>
      </c>
      <c r="C8464" t="s">
        <v>5139</v>
      </c>
      <c r="D8464">
        <v>18</v>
      </c>
      <c r="E8464">
        <v>0</v>
      </c>
      <c r="F8464">
        <v>620</v>
      </c>
    </row>
    <row r="8465" spans="1:6" ht="12.75">
      <c r="A8465" s="2">
        <v>43881.500706018516</v>
      </c>
      <c r="B8465" t="str">
        <f>HYPERLINK("https://twitter.com/captainbiay","@captainbiay")</f>
        <v>@captainbiay</v>
      </c>
      <c r="C8465" t="s">
        <v>2692</v>
      </c>
      <c r="D8465">
        <v>1903</v>
      </c>
      <c r="E8465">
        <v>0</v>
      </c>
      <c r="F8465">
        <v>900</v>
      </c>
    </row>
    <row r="8466" spans="1:6" ht="12.75">
      <c r="A8466" s="2">
        <v>43881.5003587963</v>
      </c>
      <c r="B8466" t="str">
        <f>HYPERLINK("https://twitter.com/doel_pikr","@doel_pikr")</f>
        <v>@doel_pikr</v>
      </c>
      <c r="C8466" t="s">
        <v>4873</v>
      </c>
      <c r="D8466">
        <v>1794</v>
      </c>
      <c r="E8466">
        <v>0</v>
      </c>
      <c r="F8466">
        <v>61</v>
      </c>
    </row>
    <row r="8467" spans="1:6" ht="12.75">
      <c r="A8467" s="2">
        <v>43881.500324074077</v>
      </c>
      <c r="B8467" t="str">
        <f>HYPERLINK("https://twitter.com/buatapakepo","@buatapakepo")</f>
        <v>@buatapakepo</v>
      </c>
      <c r="C8467" t="s">
        <v>5584</v>
      </c>
      <c r="D8467">
        <v>0</v>
      </c>
      <c r="E8467">
        <v>0</v>
      </c>
      <c r="F8467">
        <v>99</v>
      </c>
    </row>
    <row r="8468" spans="1:6" ht="12.75">
      <c r="A8468" s="2">
        <v>43881.500057870369</v>
      </c>
      <c r="B8468" t="str">
        <f>HYPERLINK("https://twitter.com/TribunNew5","@TribunNew5")</f>
        <v>@TribunNew5</v>
      </c>
      <c r="C8468" t="s">
        <v>5585</v>
      </c>
      <c r="D8468">
        <v>0</v>
      </c>
      <c r="E8468">
        <v>0</v>
      </c>
      <c r="F8468">
        <v>523</v>
      </c>
    </row>
    <row r="8469" spans="1:6" ht="12.75">
      <c r="A8469" s="2">
        <v>43881.5</v>
      </c>
      <c r="B8469" t="str">
        <f>HYPERLINK("https://twitter.com/KurioID","@KurioID")</f>
        <v>@KurioID</v>
      </c>
      <c r="C8469" t="s">
        <v>5586</v>
      </c>
      <c r="D8469">
        <v>0</v>
      </c>
      <c r="E8469">
        <v>0</v>
      </c>
      <c r="F8469">
        <v>7985</v>
      </c>
    </row>
    <row r="8470" spans="1:6" ht="12.75">
      <c r="A8470" s="2">
        <v>43881.5</v>
      </c>
      <c r="B8470" t="str">
        <f>HYPERLINK("https://twitter.com/IndonesiaBaikId","@IndonesiaBaikId")</f>
        <v>@IndonesiaBaikId</v>
      </c>
      <c r="C8470" t="s">
        <v>5587</v>
      </c>
      <c r="D8470">
        <v>0</v>
      </c>
      <c r="E8470">
        <v>0</v>
      </c>
      <c r="F8470">
        <v>13116</v>
      </c>
    </row>
    <row r="8471" spans="1:6" ht="12.75">
      <c r="A8471" s="2">
        <v>43881.499525462961</v>
      </c>
      <c r="B8471" t="str">
        <f>HYPERLINK("https://twitter.com/lowkeyvulcan","@lowkeyvulcan")</f>
        <v>@lowkeyvulcan</v>
      </c>
      <c r="C8471" t="s">
        <v>2692</v>
      </c>
      <c r="D8471">
        <v>1903</v>
      </c>
      <c r="E8471">
        <v>0</v>
      </c>
      <c r="F8471">
        <v>370</v>
      </c>
    </row>
    <row r="8472" spans="1:6" ht="12.75">
      <c r="A8472" s="2">
        <v>43881.499502314815</v>
      </c>
      <c r="B8472" t="str">
        <f>HYPERLINK("https://twitter.com/blurrymarch","@blurrymarch")</f>
        <v>@blurrymarch</v>
      </c>
      <c r="C8472" t="s">
        <v>2692</v>
      </c>
      <c r="D8472">
        <v>1903</v>
      </c>
      <c r="E8472">
        <v>0</v>
      </c>
      <c r="F8472">
        <v>523</v>
      </c>
    </row>
    <row r="8473" spans="1:6" ht="12.75">
      <c r="A8473" s="2">
        <v>43881.499490740738</v>
      </c>
      <c r="B8473" t="str">
        <f>HYPERLINK("https://twitter.com/cnbcindonesia","@cnbcindonesia")</f>
        <v>@cnbcindonesia</v>
      </c>
      <c r="C8473" t="s">
        <v>5588</v>
      </c>
      <c r="D8473">
        <v>1</v>
      </c>
      <c r="E8473">
        <v>1</v>
      </c>
      <c r="F8473">
        <v>30437</v>
      </c>
    </row>
    <row r="8474" spans="1:6" ht="12.75">
      <c r="A8474" s="2">
        <v>43881.499421296292</v>
      </c>
      <c r="B8474" t="str">
        <f>HYPERLINK("https://twitter.com/belsha2206","@belsha2206")</f>
        <v>@belsha2206</v>
      </c>
      <c r="C8474" t="s">
        <v>3610</v>
      </c>
      <c r="D8474">
        <v>4</v>
      </c>
      <c r="E8474">
        <v>0</v>
      </c>
      <c r="F8474">
        <v>37</v>
      </c>
    </row>
    <row r="8475" spans="1:6" ht="12.75">
      <c r="A8475" s="2">
        <v>43881.498981481476</v>
      </c>
      <c r="B8475" t="str">
        <f>HYPERLINK("https://twitter.com/hyuuniverse_","@hyuuniverse_")</f>
        <v>@hyuuniverse_</v>
      </c>
      <c r="C8475" t="s">
        <v>5589</v>
      </c>
      <c r="D8475">
        <v>0</v>
      </c>
      <c r="E8475">
        <v>0</v>
      </c>
      <c r="F8475">
        <v>5</v>
      </c>
    </row>
    <row r="8476" spans="1:6" ht="12.75">
      <c r="A8476" s="2">
        <v>43881.498958333337</v>
      </c>
      <c r="B8476" t="str">
        <f>HYPERLINK("https://twitter.com/ResFan122","@ResFan122")</f>
        <v>@ResFan122</v>
      </c>
      <c r="C8476" t="s">
        <v>5590</v>
      </c>
      <c r="D8476">
        <v>0</v>
      </c>
      <c r="E8476">
        <v>0</v>
      </c>
      <c r="F8476">
        <v>30</v>
      </c>
    </row>
    <row r="8477" spans="1:6" ht="12.75">
      <c r="A8477" s="2">
        <v>43881.498854166668</v>
      </c>
      <c r="B8477" t="str">
        <f>HYPERLINK("https://twitter.com/nink_tika","@nink_tika")</f>
        <v>@nink_tika</v>
      </c>
      <c r="C8477" t="s">
        <v>2692</v>
      </c>
      <c r="D8477">
        <v>1903</v>
      </c>
      <c r="E8477">
        <v>0</v>
      </c>
      <c r="F8477">
        <v>77</v>
      </c>
    </row>
    <row r="8478" spans="1:6" ht="12.75">
      <c r="A8478" s="2">
        <v>43881.498854166668</v>
      </c>
      <c r="B8478" t="str">
        <f>HYPERLINK("https://twitter.com/mudha_satriya","@mudha_satriya")</f>
        <v>@mudha_satriya</v>
      </c>
      <c r="C8478" t="s">
        <v>5559</v>
      </c>
      <c r="D8478">
        <v>2</v>
      </c>
      <c r="E8478">
        <v>0</v>
      </c>
      <c r="F8478">
        <v>1875</v>
      </c>
    </row>
    <row r="8479" spans="1:6" ht="12.75">
      <c r="A8479" s="2">
        <v>43881.49795138889</v>
      </c>
      <c r="B8479" t="str">
        <f>HYPERLINK("https://twitter.com/okezonenews","@okezonenews")</f>
        <v>@okezonenews</v>
      </c>
      <c r="C8479" t="s">
        <v>5591</v>
      </c>
      <c r="D8479">
        <v>0</v>
      </c>
      <c r="E8479">
        <v>0</v>
      </c>
      <c r="F8479">
        <v>1742941</v>
      </c>
    </row>
    <row r="8480" spans="1:6" ht="12.75">
      <c r="A8480" s="2">
        <v>43881.497430555552</v>
      </c>
      <c r="B8480" t="str">
        <f>HYPERLINK("https://twitter.com/tryrosma","@tryrosma")</f>
        <v>@tryrosma</v>
      </c>
      <c r="C8480" t="s">
        <v>1407</v>
      </c>
      <c r="D8480">
        <v>9526</v>
      </c>
      <c r="E8480">
        <v>0</v>
      </c>
      <c r="F8480">
        <v>294</v>
      </c>
    </row>
    <row r="8481" spans="1:6" ht="12.75">
      <c r="A8481" s="2">
        <v>43881.497418981482</v>
      </c>
      <c r="B8481" t="str">
        <f>HYPERLINK("https://twitter.com/BoengNana","@BoengNana")</f>
        <v>@BoengNana</v>
      </c>
      <c r="C8481" t="s">
        <v>4360</v>
      </c>
      <c r="D8481">
        <v>143</v>
      </c>
      <c r="E8481">
        <v>0</v>
      </c>
      <c r="F8481">
        <v>227</v>
      </c>
    </row>
    <row r="8482" spans="1:6" ht="12.75">
      <c r="A8482" s="2">
        <v>43881.496770833328</v>
      </c>
      <c r="B8482" t="str">
        <f>HYPERLINK("https://twitter.com/andiicarus","@andiicarus")</f>
        <v>@andiicarus</v>
      </c>
      <c r="C8482" t="s">
        <v>1407</v>
      </c>
      <c r="D8482">
        <v>9526</v>
      </c>
      <c r="E8482">
        <v>0</v>
      </c>
      <c r="F8482">
        <v>574</v>
      </c>
    </row>
    <row r="8483" spans="1:6" ht="12.75">
      <c r="A8483" s="2">
        <v>43881.496342592596</v>
      </c>
      <c r="B8483" t="str">
        <f>HYPERLINK("https://twitter.com/_icaok","@_icaok")</f>
        <v>@_icaok</v>
      </c>
      <c r="C8483" t="s">
        <v>5592</v>
      </c>
      <c r="D8483">
        <v>0</v>
      </c>
      <c r="E8483">
        <v>0</v>
      </c>
      <c r="F8483">
        <v>67</v>
      </c>
    </row>
    <row r="8484" spans="1:6" ht="12.75">
      <c r="A8484" s="2">
        <v>43881.495868055557</v>
      </c>
      <c r="B8484" t="str">
        <f>HYPERLINK("https://twitter.com/ssunnyshit","@ssunnyshit")</f>
        <v>@ssunnyshit</v>
      </c>
      <c r="C8484" t="s">
        <v>1407</v>
      </c>
      <c r="D8484">
        <v>9526</v>
      </c>
      <c r="E8484">
        <v>0</v>
      </c>
      <c r="F8484">
        <v>283</v>
      </c>
    </row>
    <row r="8485" spans="1:6" ht="12.75">
      <c r="A8485" s="2">
        <v>43881.495821759258</v>
      </c>
      <c r="B8485" t="str">
        <f>HYPERLINK("https://twitter.com/elinghofur","@elinghofur")</f>
        <v>@elinghofur</v>
      </c>
      <c r="C8485" t="s">
        <v>5593</v>
      </c>
      <c r="D8485">
        <v>0</v>
      </c>
      <c r="E8485">
        <v>0</v>
      </c>
      <c r="F8485">
        <v>519</v>
      </c>
    </row>
    <row r="8486" spans="1:6" ht="12.75">
      <c r="A8486" s="2">
        <v>43881.495335648149</v>
      </c>
      <c r="B8486" t="str">
        <f>HYPERLINK("https://twitter.com/seeroice","@seeroice")</f>
        <v>@seeroice</v>
      </c>
      <c r="C8486" t="s">
        <v>4360</v>
      </c>
      <c r="D8486">
        <v>143</v>
      </c>
      <c r="E8486">
        <v>0</v>
      </c>
      <c r="F8486">
        <v>210</v>
      </c>
    </row>
    <row r="8487" spans="1:6" ht="12.75">
      <c r="A8487" s="2">
        <v>43881.495162037041</v>
      </c>
      <c r="B8487" t="str">
        <f>HYPERLINK("https://twitter.com/syanti_nech","@syanti_nech")</f>
        <v>@syanti_nech</v>
      </c>
      <c r="C8487" t="s">
        <v>3278</v>
      </c>
      <c r="D8487">
        <v>75</v>
      </c>
      <c r="E8487">
        <v>0</v>
      </c>
      <c r="F8487">
        <v>640</v>
      </c>
    </row>
    <row r="8488" spans="1:6" ht="12.75">
      <c r="A8488" s="2">
        <v>43881.494733796295</v>
      </c>
      <c r="B8488" t="str">
        <f>HYPERLINK("https://twitter.com/xkflxk","@xkflxk")</f>
        <v>@xkflxk</v>
      </c>
      <c r="C8488" t="s">
        <v>1407</v>
      </c>
      <c r="D8488">
        <v>9526</v>
      </c>
      <c r="E8488">
        <v>0</v>
      </c>
      <c r="F8488">
        <v>91</v>
      </c>
    </row>
    <row r="8489" spans="1:6" ht="12.75">
      <c r="A8489" s="2">
        <v>43881.494317129633</v>
      </c>
      <c r="B8489" t="str">
        <f>HYPERLINK("https://twitter.com/kaidante_","@kaidante_")</f>
        <v>@kaidante_</v>
      </c>
      <c r="C8489" t="s">
        <v>2692</v>
      </c>
      <c r="D8489">
        <v>1903</v>
      </c>
      <c r="E8489">
        <v>0</v>
      </c>
      <c r="F8489">
        <v>791</v>
      </c>
    </row>
    <row r="8490" spans="1:6" ht="12.75">
      <c r="A8490" s="2">
        <v>43881.494201388894</v>
      </c>
      <c r="B8490" t="str">
        <f>HYPERLINK("https://twitter.com/streetwicee","@streetwicee")</f>
        <v>@streetwicee</v>
      </c>
      <c r="C8490" t="s">
        <v>1407</v>
      </c>
      <c r="D8490">
        <v>9526</v>
      </c>
      <c r="E8490">
        <v>0</v>
      </c>
      <c r="F8490">
        <v>55</v>
      </c>
    </row>
    <row r="8491" spans="1:6" ht="12.75">
      <c r="A8491" s="2">
        <v>43881.493634259255</v>
      </c>
      <c r="B8491" t="str">
        <f>HYPERLINK("https://twitter.com/Muhamma05048888","@Muhamma05048888")</f>
        <v>@Muhamma05048888</v>
      </c>
      <c r="C8491" t="s">
        <v>5594</v>
      </c>
      <c r="D8491">
        <v>1</v>
      </c>
      <c r="E8491">
        <v>0</v>
      </c>
      <c r="F8491">
        <v>13</v>
      </c>
    </row>
    <row r="8492" spans="1:6" ht="12.75">
      <c r="A8492" s="2">
        <v>43881.49354166667</v>
      </c>
      <c r="B8492" t="str">
        <f>HYPERLINK("https://twitter.com/jehosuann","@jehosuann")</f>
        <v>@jehosuann</v>
      </c>
      <c r="C8492" t="s">
        <v>4329</v>
      </c>
      <c r="D8492">
        <v>12</v>
      </c>
      <c r="E8492">
        <v>0</v>
      </c>
      <c r="F8492">
        <v>82</v>
      </c>
    </row>
    <row r="8493" spans="1:6" ht="12.75">
      <c r="A8493" s="2">
        <v>43881.493495370371</v>
      </c>
      <c r="B8493" t="str">
        <f>HYPERLINK("https://twitter.com/Bentalakelam","@Bentalakelam")</f>
        <v>@Bentalakelam</v>
      </c>
      <c r="C8493" t="s">
        <v>5595</v>
      </c>
      <c r="D8493">
        <v>1</v>
      </c>
      <c r="E8493">
        <v>2</v>
      </c>
      <c r="F8493">
        <v>2177</v>
      </c>
    </row>
    <row r="8494" spans="1:6" ht="12.75">
      <c r="A8494" s="2">
        <v>43881.493252314816</v>
      </c>
      <c r="B8494" t="str">
        <f>HYPERLINK("https://twitter.com/watashiwakarind","@watashiwakarind")</f>
        <v>@watashiwakarind</v>
      </c>
      <c r="C8494" t="s">
        <v>2692</v>
      </c>
      <c r="D8494">
        <v>1903</v>
      </c>
      <c r="E8494">
        <v>0</v>
      </c>
      <c r="F8494">
        <v>936</v>
      </c>
    </row>
    <row r="8495" spans="1:6" ht="12.75">
      <c r="A8495" s="2">
        <v>43881.493078703701</v>
      </c>
      <c r="B8495" t="str">
        <f>HYPERLINK("https://twitter.com/gusbayu","@gusbayu")</f>
        <v>@gusbayu</v>
      </c>
      <c r="C8495" t="s">
        <v>5139</v>
      </c>
      <c r="D8495">
        <v>18</v>
      </c>
      <c r="E8495">
        <v>0</v>
      </c>
      <c r="F8495">
        <v>1474</v>
      </c>
    </row>
    <row r="8496" spans="1:6" ht="12.75">
      <c r="A8496" s="2">
        <v>43881.493009259255</v>
      </c>
      <c r="B8496" t="str">
        <f>HYPERLINK("https://twitter.com/Rzkyevita","@Rzkyevita")</f>
        <v>@Rzkyevita</v>
      </c>
      <c r="C8496" t="s">
        <v>1407</v>
      </c>
      <c r="D8496">
        <v>9526</v>
      </c>
      <c r="E8496">
        <v>0</v>
      </c>
      <c r="F8496">
        <v>836</v>
      </c>
    </row>
    <row r="8497" spans="1:6" ht="12.75">
      <c r="A8497" s="2">
        <v>43881.49287037037</v>
      </c>
      <c r="B8497" t="str">
        <f>HYPERLINK("https://twitter.com/EkaAgustd","@EkaAgustd")</f>
        <v>@EkaAgustd</v>
      </c>
      <c r="C8497" t="s">
        <v>1407</v>
      </c>
      <c r="D8497">
        <v>9526</v>
      </c>
      <c r="E8497">
        <v>0</v>
      </c>
      <c r="F8497">
        <v>45</v>
      </c>
    </row>
    <row r="8498" spans="1:6" ht="12.75">
      <c r="A8498" s="2">
        <v>43881.492673611108</v>
      </c>
      <c r="B8498" t="str">
        <f>HYPERLINK("https://twitter.com/tempodotco","@tempodotco")</f>
        <v>@tempodotco</v>
      </c>
      <c r="C8498" t="s">
        <v>5596</v>
      </c>
      <c r="D8498">
        <v>1</v>
      </c>
      <c r="E8498">
        <v>2</v>
      </c>
      <c r="F8498">
        <v>1707031</v>
      </c>
    </row>
    <row r="8499" spans="1:6" ht="12.75">
      <c r="A8499" s="2">
        <v>43881.492523148147</v>
      </c>
      <c r="B8499" t="str">
        <f>HYPERLINK("https://twitter.com/laksanacaturp_","@laksanacaturp_")</f>
        <v>@laksanacaturp_</v>
      </c>
      <c r="C8499" t="s">
        <v>1407</v>
      </c>
      <c r="D8499">
        <v>9526</v>
      </c>
      <c r="E8499">
        <v>0</v>
      </c>
      <c r="F8499">
        <v>300</v>
      </c>
    </row>
    <row r="8500" spans="1:6" ht="12.75">
      <c r="A8500" s="2">
        <v>43881.492083333331</v>
      </c>
      <c r="B8500" t="str">
        <f>HYPERLINK("https://twitter.com/itsallg0od","@itsallg0od")</f>
        <v>@itsallg0od</v>
      </c>
      <c r="C8500" t="s">
        <v>1407</v>
      </c>
      <c r="D8500">
        <v>9526</v>
      </c>
      <c r="E8500">
        <v>0</v>
      </c>
      <c r="F8500">
        <v>635</v>
      </c>
    </row>
    <row r="8501" spans="1:6" ht="12.75">
      <c r="A8501" s="2">
        <v>43881.491840277777</v>
      </c>
      <c r="B8501" t="str">
        <f>HYPERLINK("https://twitter.com/deNurtanio","@deNurtanio")</f>
        <v>@deNurtanio</v>
      </c>
      <c r="C8501" t="s">
        <v>5368</v>
      </c>
      <c r="D8501">
        <v>1</v>
      </c>
      <c r="E8501">
        <v>0</v>
      </c>
      <c r="F8501">
        <v>462</v>
      </c>
    </row>
    <row r="8502" spans="1:6" ht="12.75">
      <c r="A8502" s="2">
        <v>43881.49181712963</v>
      </c>
      <c r="B8502" t="str">
        <f>HYPERLINK("https://twitter.com/blackthornnes","@blackthornnes")</f>
        <v>@blackthornnes</v>
      </c>
      <c r="C8502" t="s">
        <v>2692</v>
      </c>
      <c r="D8502">
        <v>1903</v>
      </c>
      <c r="E8502">
        <v>0</v>
      </c>
      <c r="F8502">
        <v>386</v>
      </c>
    </row>
    <row r="8503" spans="1:6" ht="12.75">
      <c r="A8503" s="2">
        <v>43881.491574074069</v>
      </c>
      <c r="B8503" t="str">
        <f>HYPERLINK("https://twitter.com/justroseflower","@justroseflower")</f>
        <v>@justroseflower</v>
      </c>
      <c r="C8503" t="s">
        <v>2692</v>
      </c>
      <c r="D8503">
        <v>1903</v>
      </c>
      <c r="E8503">
        <v>0</v>
      </c>
      <c r="F8503">
        <v>1387</v>
      </c>
    </row>
    <row r="8504" spans="1:6" ht="12.75">
      <c r="A8504" s="2">
        <v>43881.491446759261</v>
      </c>
      <c r="B8504" t="str">
        <f>HYPERLINK("https://twitter.com/MbahnePetruk","@MbahnePetruk")</f>
        <v>@MbahnePetruk</v>
      </c>
      <c r="C8504" t="s">
        <v>4360</v>
      </c>
      <c r="D8504">
        <v>143</v>
      </c>
      <c r="E8504">
        <v>0</v>
      </c>
      <c r="F8504">
        <v>140</v>
      </c>
    </row>
    <row r="8505" spans="1:6" ht="12.75">
      <c r="A8505" s="2">
        <v>43881.491354166668</v>
      </c>
      <c r="B8505" t="str">
        <f>HYPERLINK("https://twitter.com/labelliwhale","@labelliwhale")</f>
        <v>@labelliwhale</v>
      </c>
      <c r="C8505" t="s">
        <v>2692</v>
      </c>
      <c r="D8505">
        <v>1903</v>
      </c>
      <c r="E8505">
        <v>0</v>
      </c>
      <c r="F8505">
        <v>472</v>
      </c>
    </row>
    <row r="8506" spans="1:6" ht="12.75">
      <c r="A8506" s="2">
        <v>43881.491249999999</v>
      </c>
      <c r="B8506" t="str">
        <f>HYPERLINK("https://twitter.com/revofebri","@revofebri")</f>
        <v>@revofebri</v>
      </c>
      <c r="C8506" t="s">
        <v>5597</v>
      </c>
      <c r="D8506">
        <v>0</v>
      </c>
      <c r="E8506">
        <v>0</v>
      </c>
      <c r="F8506">
        <v>620</v>
      </c>
    </row>
    <row r="8507" spans="1:6" ht="12.75">
      <c r="A8507" s="2">
        <v>43881.491203703699</v>
      </c>
      <c r="B8507" t="str">
        <f>HYPERLINK("https://twitter.com/katatodaycom","@katatodaycom")</f>
        <v>@katatodaycom</v>
      </c>
      <c r="C8507" t="s">
        <v>5598</v>
      </c>
      <c r="D8507">
        <v>0</v>
      </c>
      <c r="E8507">
        <v>0</v>
      </c>
      <c r="F8507">
        <v>1003</v>
      </c>
    </row>
    <row r="8508" spans="1:6" ht="12.75">
      <c r="A8508" s="2">
        <v>43881.490763888884</v>
      </c>
      <c r="B8508" t="str">
        <f>HYPERLINK("https://twitter.com/jeonginbracess","@jeonginbracess")</f>
        <v>@jeonginbracess</v>
      </c>
      <c r="C8508" t="s">
        <v>2692</v>
      </c>
      <c r="D8508">
        <v>1903</v>
      </c>
      <c r="E8508">
        <v>0</v>
      </c>
      <c r="F8508">
        <v>3196</v>
      </c>
    </row>
    <row r="8509" spans="1:6" ht="12.75">
      <c r="A8509" s="2">
        <v>43881.490497685183</v>
      </c>
      <c r="B8509" t="str">
        <f>HYPERLINK("https://twitter.com/ISIS_Kasiab","@ISIS_Kasiab")</f>
        <v>@ISIS_Kasiab</v>
      </c>
      <c r="C8509" t="s">
        <v>5599</v>
      </c>
      <c r="D8509">
        <v>0</v>
      </c>
      <c r="E8509">
        <v>0</v>
      </c>
      <c r="F8509">
        <v>137</v>
      </c>
    </row>
    <row r="8510" spans="1:6" ht="12.75">
      <c r="A8510" s="2">
        <v>43881.490381944444</v>
      </c>
      <c r="B8510" t="str">
        <f>HYPERLINK("https://twitter.com/duasisi_tvone","@duasisi_tvone")</f>
        <v>@duasisi_tvone</v>
      </c>
      <c r="C8510" t="s">
        <v>5600</v>
      </c>
      <c r="D8510">
        <v>1</v>
      </c>
      <c r="E8510">
        <v>1</v>
      </c>
      <c r="F8510">
        <v>29513</v>
      </c>
    </row>
    <row r="8511" spans="1:6" ht="12.75">
      <c r="A8511" s="2">
        <v>43881.490104166667</v>
      </c>
      <c r="B8511" t="str">
        <f>HYPERLINK("https://twitter.com/Berthagoe","@Berthagoe")</f>
        <v>@Berthagoe</v>
      </c>
      <c r="C8511" t="s">
        <v>5601</v>
      </c>
      <c r="D8511">
        <v>2</v>
      </c>
      <c r="E8511">
        <v>0</v>
      </c>
      <c r="F8511">
        <v>31</v>
      </c>
    </row>
    <row r="8512" spans="1:6" ht="12.75">
      <c r="A8512" s="2">
        <v>43881.489837962959</v>
      </c>
      <c r="B8512" t="str">
        <f>HYPERLINK("https://twitter.com/kopitehku","@kopitehku")</f>
        <v>@kopitehku</v>
      </c>
      <c r="C8512" t="s">
        <v>5601</v>
      </c>
      <c r="D8512">
        <v>2</v>
      </c>
      <c r="E8512">
        <v>0</v>
      </c>
      <c r="F8512">
        <v>25</v>
      </c>
    </row>
    <row r="8513" spans="1:6" ht="12.75">
      <c r="A8513" s="2">
        <v>43881.489687499998</v>
      </c>
      <c r="B8513" t="str">
        <f>HYPERLINK("https://twitter.com/guavajuyce","@guavajuyce")</f>
        <v>@guavajuyce</v>
      </c>
      <c r="C8513" t="s">
        <v>2692</v>
      </c>
      <c r="D8513">
        <v>1903</v>
      </c>
      <c r="E8513">
        <v>0</v>
      </c>
      <c r="F8513">
        <v>344</v>
      </c>
    </row>
    <row r="8514" spans="1:6" ht="12.75">
      <c r="A8514" s="2">
        <v>43881.488981481481</v>
      </c>
      <c r="B8514" t="str">
        <f>HYPERLINK("https://twitter.com/thtrvthvntold","@thtrvthvntold")</f>
        <v>@thtrvthvntold</v>
      </c>
      <c r="C8514" t="s">
        <v>1407</v>
      </c>
      <c r="D8514">
        <v>9526</v>
      </c>
      <c r="E8514">
        <v>0</v>
      </c>
      <c r="F8514">
        <v>17</v>
      </c>
    </row>
    <row r="8515" spans="1:6" ht="12.75">
      <c r="A8515" s="2">
        <v>43881.488807870366</v>
      </c>
      <c r="B8515" t="str">
        <f>HYPERLINK("https://twitter.com/ayra22092017","@ayra22092017")</f>
        <v>@ayra22092017</v>
      </c>
      <c r="C8515" t="s">
        <v>5602</v>
      </c>
      <c r="D8515">
        <v>0</v>
      </c>
      <c r="E8515">
        <v>0</v>
      </c>
      <c r="F8515">
        <v>283</v>
      </c>
    </row>
    <row r="8516" spans="1:6" ht="12.75">
      <c r="A8516" s="2">
        <v>43881.488726851851</v>
      </c>
      <c r="B8516" t="str">
        <f>HYPERLINK("https://twitter.com/desihaditoro","@desihaditoro")</f>
        <v>@desihaditoro</v>
      </c>
      <c r="C8516" t="s">
        <v>5603</v>
      </c>
      <c r="D8516">
        <v>1</v>
      </c>
      <c r="E8516">
        <v>0</v>
      </c>
      <c r="F8516">
        <v>353</v>
      </c>
    </row>
    <row r="8517" spans="1:6" ht="12.75">
      <c r="A8517" s="2">
        <v>43881.488634259258</v>
      </c>
      <c r="B8517" t="str">
        <f>HYPERLINK("https://twitter.com/i_canggihalfan","@i_canggihalfan")</f>
        <v>@i_canggihalfan</v>
      </c>
      <c r="C8517" t="s">
        <v>5604</v>
      </c>
      <c r="D8517">
        <v>0</v>
      </c>
      <c r="E8517">
        <v>0</v>
      </c>
      <c r="F8517">
        <v>189</v>
      </c>
    </row>
    <row r="8518" spans="1:6" ht="12.75">
      <c r="A8518" s="2">
        <v>43881.488611111112</v>
      </c>
      <c r="B8518" t="str">
        <f>HYPERLINK("https://twitter.com/torotrapah","@torotrapah")</f>
        <v>@torotrapah</v>
      </c>
      <c r="C8518" t="s">
        <v>2692</v>
      </c>
      <c r="D8518">
        <v>1903</v>
      </c>
      <c r="E8518">
        <v>0</v>
      </c>
      <c r="F8518">
        <v>69</v>
      </c>
    </row>
    <row r="8519" spans="1:6" ht="12.75">
      <c r="A8519" s="2">
        <v>43881.48846064815</v>
      </c>
      <c r="B8519" t="str">
        <f>HYPERLINK("https://twitter.com/Bang_N_E_O","@Bang_N_E_O")</f>
        <v>@Bang_N_E_O</v>
      </c>
      <c r="C8519" t="s">
        <v>5536</v>
      </c>
      <c r="D8519">
        <v>9</v>
      </c>
      <c r="E8519">
        <v>0</v>
      </c>
      <c r="F8519">
        <v>3507</v>
      </c>
    </row>
    <row r="8520" spans="1:6" ht="12.75">
      <c r="A8520" s="2">
        <v>43881.48841435185</v>
      </c>
      <c r="B8520" t="str">
        <f>HYPERLINK("https://twitter.com/ChrisTetty","@ChrisTetty")</f>
        <v>@ChrisTetty</v>
      </c>
      <c r="C8520" t="s">
        <v>5605</v>
      </c>
      <c r="D8520">
        <v>2</v>
      </c>
      <c r="E8520">
        <v>0</v>
      </c>
      <c r="F8520">
        <v>134</v>
      </c>
    </row>
    <row r="8521" spans="1:6" ht="12.75">
      <c r="A8521" s="2">
        <v>43881.488229166665</v>
      </c>
      <c r="B8521" t="str">
        <f>HYPERLINK("https://twitter.com/joahamnida_day6","@joahamnida_day6")</f>
        <v>@joahamnida_day6</v>
      </c>
      <c r="C8521" t="s">
        <v>2692</v>
      </c>
      <c r="D8521">
        <v>1903</v>
      </c>
      <c r="E8521">
        <v>0</v>
      </c>
      <c r="F8521">
        <v>987</v>
      </c>
    </row>
    <row r="8522" spans="1:6" ht="12.75">
      <c r="A8522" s="2">
        <v>43881.488182870366</v>
      </c>
      <c r="B8522" t="str">
        <f>HYPERLINK("https://twitter.com/marathonday6","@marathonday6")</f>
        <v>@marathonday6</v>
      </c>
      <c r="C8522" t="s">
        <v>2692</v>
      </c>
      <c r="D8522">
        <v>1903</v>
      </c>
      <c r="E8522">
        <v>0</v>
      </c>
      <c r="F8522">
        <v>126</v>
      </c>
    </row>
    <row r="8523" spans="1:6" ht="12.75">
      <c r="A8523" s="2">
        <v>43881.487997685181</v>
      </c>
      <c r="B8523" t="str">
        <f t="shared" ref="B8523:B8524" si="152">HYPERLINK("https://twitter.com/HaloBCA","@HaloBCA")</f>
        <v>@HaloBCA</v>
      </c>
      <c r="C8523" t="s">
        <v>5606</v>
      </c>
      <c r="D8523">
        <v>0</v>
      </c>
      <c r="E8523">
        <v>0</v>
      </c>
      <c r="F8523">
        <v>231062</v>
      </c>
    </row>
    <row r="8524" spans="1:6" ht="12.75">
      <c r="A8524" s="2">
        <v>43881.487997685181</v>
      </c>
      <c r="B8524" t="str">
        <f t="shared" si="152"/>
        <v>@HaloBCA</v>
      </c>
      <c r="C8524" t="s">
        <v>5607</v>
      </c>
      <c r="D8524">
        <v>0</v>
      </c>
      <c r="E8524">
        <v>0</v>
      </c>
      <c r="F8524">
        <v>231062</v>
      </c>
    </row>
    <row r="8525" spans="1:6" ht="12.75">
      <c r="A8525" s="2">
        <v>43881.487847222219</v>
      </c>
      <c r="B8525" t="str">
        <f>HYPERLINK("https://twitter.com/dhanimahendra","@dhanimahendra")</f>
        <v>@dhanimahendra</v>
      </c>
      <c r="C8525" t="s">
        <v>3278</v>
      </c>
      <c r="D8525">
        <v>75</v>
      </c>
      <c r="E8525">
        <v>0</v>
      </c>
      <c r="F8525">
        <v>378</v>
      </c>
    </row>
    <row r="8526" spans="1:6" ht="12.75">
      <c r="A8526" s="2">
        <v>43881.487673611111</v>
      </c>
      <c r="B8526" t="str">
        <f>HYPERLINK("https://twitter.com/sistemlimbik","@sistemlimbik")</f>
        <v>@sistemlimbik</v>
      </c>
      <c r="C8526" t="s">
        <v>1407</v>
      </c>
      <c r="D8526">
        <v>9526</v>
      </c>
      <c r="E8526">
        <v>0</v>
      </c>
      <c r="F8526">
        <v>1233</v>
      </c>
    </row>
    <row r="8527" spans="1:6" ht="12.75">
      <c r="A8527" s="2">
        <v>43881.487569444449</v>
      </c>
      <c r="B8527" t="str">
        <f>HYPERLINK("https://twitter.com/GSwagerry","@GSwagerry")</f>
        <v>@GSwagerry</v>
      </c>
      <c r="C8527" t="s">
        <v>4329</v>
      </c>
      <c r="D8527">
        <v>12</v>
      </c>
      <c r="E8527">
        <v>0</v>
      </c>
      <c r="F8527">
        <v>15</v>
      </c>
    </row>
    <row r="8528" spans="1:6" ht="12.75">
      <c r="A8528" s="2">
        <v>43881.487534722226</v>
      </c>
      <c r="B8528" t="str">
        <f>HYPERLINK("https://twitter.com/fitrividuthh","@fitrividuthh")</f>
        <v>@fitrividuthh</v>
      </c>
      <c r="C8528" t="s">
        <v>1407</v>
      </c>
      <c r="D8528">
        <v>9526</v>
      </c>
      <c r="E8528">
        <v>0</v>
      </c>
      <c r="F8528">
        <v>215</v>
      </c>
    </row>
    <row r="8529" spans="1:6" ht="12.75">
      <c r="A8529" s="2">
        <v>43881.487511574072</v>
      </c>
      <c r="B8529" t="str">
        <f>HYPERLINK("https://twitter.com/Cutegerl1","@Cutegerl1")</f>
        <v>@Cutegerl1</v>
      </c>
      <c r="C8529" t="s">
        <v>2692</v>
      </c>
      <c r="D8529">
        <v>1903</v>
      </c>
      <c r="E8529">
        <v>0</v>
      </c>
      <c r="F8529">
        <v>3116</v>
      </c>
    </row>
    <row r="8530" spans="1:6" ht="12.75">
      <c r="A8530" s="2">
        <v>43881.487511574072</v>
      </c>
      <c r="B8530" t="str">
        <f>HYPERLINK("https://twitter.com/leoomind","@leoomind")</f>
        <v>@leoomind</v>
      </c>
      <c r="C8530" t="s">
        <v>5608</v>
      </c>
      <c r="D8530">
        <v>0</v>
      </c>
      <c r="E8530">
        <v>0</v>
      </c>
      <c r="F8530">
        <v>1034</v>
      </c>
    </row>
    <row r="8531" spans="1:6" ht="12.75">
      <c r="A8531" s="2">
        <v>43881.487164351856</v>
      </c>
      <c r="B8531" t="str">
        <f>HYPERLINK("https://twitter.com/jeongsincaryeo","@jeongsincaryeo")</f>
        <v>@jeongsincaryeo</v>
      </c>
      <c r="C8531" t="s">
        <v>2692</v>
      </c>
      <c r="D8531">
        <v>1903</v>
      </c>
      <c r="E8531">
        <v>0</v>
      </c>
      <c r="F8531">
        <v>652</v>
      </c>
    </row>
    <row r="8532" spans="1:6" ht="12.75">
      <c r="A8532" s="2">
        <v>43881.486539351856</v>
      </c>
      <c r="B8532" t="str">
        <f>HYPERLINK("https://twitter.com/zupryzaenal","@zupryzaenal")</f>
        <v>@zupryzaenal</v>
      </c>
      <c r="C8532" t="s">
        <v>3278</v>
      </c>
      <c r="D8532">
        <v>75</v>
      </c>
      <c r="E8532">
        <v>0</v>
      </c>
      <c r="F8532">
        <v>855</v>
      </c>
    </row>
    <row r="8533" spans="1:6" ht="12.75">
      <c r="A8533" s="2">
        <v>43881.486180555556</v>
      </c>
      <c r="B8533" t="str">
        <f>HYPERLINK("https://twitter.com/rriyaw","@rriyaw")</f>
        <v>@rriyaw</v>
      </c>
      <c r="C8533" t="s">
        <v>5559</v>
      </c>
      <c r="D8533">
        <v>2</v>
      </c>
      <c r="E8533">
        <v>0</v>
      </c>
      <c r="F8533">
        <v>367</v>
      </c>
    </row>
    <row r="8534" spans="1:6" ht="12.75">
      <c r="A8534" s="2">
        <v>43881.48605324074</v>
      </c>
      <c r="B8534" t="str">
        <f>HYPERLINK("https://twitter.com/akugangerti","@akugangerti")</f>
        <v>@akugangerti</v>
      </c>
      <c r="C8534" t="s">
        <v>2692</v>
      </c>
      <c r="D8534">
        <v>1903</v>
      </c>
      <c r="E8534">
        <v>0</v>
      </c>
      <c r="F8534">
        <v>848</v>
      </c>
    </row>
    <row r="8535" spans="1:6" ht="12.75">
      <c r="A8535" s="2">
        <v>43881.485648148147</v>
      </c>
      <c r="B8535" t="str">
        <f>HYPERLINK("https://twitter.com/octobirthe","@octobirthe")</f>
        <v>@octobirthe</v>
      </c>
      <c r="C8535" t="s">
        <v>1407</v>
      </c>
      <c r="D8535">
        <v>9526</v>
      </c>
      <c r="E8535">
        <v>0</v>
      </c>
      <c r="F8535">
        <v>735</v>
      </c>
    </row>
    <row r="8536" spans="1:6" ht="12.75">
      <c r="A8536" s="2">
        <v>43881.485081018516</v>
      </c>
      <c r="B8536" t="str">
        <f>HYPERLINK("https://twitter.com/VIVAcoid","@VIVAcoid")</f>
        <v>@VIVAcoid</v>
      </c>
      <c r="C8536" t="s">
        <v>5609</v>
      </c>
      <c r="D8536">
        <v>1</v>
      </c>
      <c r="E8536">
        <v>0</v>
      </c>
      <c r="F8536">
        <v>4170751</v>
      </c>
    </row>
    <row r="8537" spans="1:6" ht="12.75">
      <c r="A8537" s="2">
        <v>43881.48505787037</v>
      </c>
      <c r="B8537" t="str">
        <f>HYPERLINK("https://twitter.com/presidentyrex","@presidentyrex")</f>
        <v>@presidentyrex</v>
      </c>
      <c r="C8537" t="s">
        <v>5610</v>
      </c>
      <c r="D8537">
        <v>1</v>
      </c>
      <c r="E8537">
        <v>0</v>
      </c>
      <c r="F8537">
        <v>338</v>
      </c>
    </row>
    <row r="8538" spans="1:6" ht="12.75">
      <c r="A8538" s="2">
        <v>43881.484768518523</v>
      </c>
      <c r="B8538" t="str">
        <f>HYPERLINK("https://twitter.com/CantiqpakekQ","@CantiqpakekQ")</f>
        <v>@CantiqpakekQ</v>
      </c>
      <c r="C8538" t="s">
        <v>2692</v>
      </c>
      <c r="D8538">
        <v>1903</v>
      </c>
      <c r="E8538">
        <v>0</v>
      </c>
      <c r="F8538">
        <v>4860</v>
      </c>
    </row>
    <row r="8539" spans="1:6" ht="12.75">
      <c r="A8539" s="2">
        <v>43881.48474537037</v>
      </c>
      <c r="B8539" t="str">
        <f>HYPERLINK("https://twitter.com/vivanewscom","@vivanewscom")</f>
        <v>@vivanewscom</v>
      </c>
      <c r="C8539" t="s">
        <v>5611</v>
      </c>
      <c r="D8539">
        <v>1</v>
      </c>
      <c r="E8539">
        <v>0</v>
      </c>
      <c r="F8539">
        <v>4224</v>
      </c>
    </row>
    <row r="8540" spans="1:6" ht="12.75">
      <c r="A8540" s="2">
        <v>43881.4847337963</v>
      </c>
      <c r="B8540" t="str">
        <f>HYPERLINK("https://twitter.com/buburubur","@buburubur")</f>
        <v>@buburubur</v>
      </c>
      <c r="C8540" t="s">
        <v>1407</v>
      </c>
      <c r="D8540">
        <v>9526</v>
      </c>
      <c r="E8540">
        <v>0</v>
      </c>
      <c r="F8540">
        <v>292</v>
      </c>
    </row>
    <row r="8541" spans="1:6" ht="12.75">
      <c r="A8541" s="2">
        <v>43881.484537037039</v>
      </c>
      <c r="B8541" t="str">
        <f>HYPERLINK("https://twitter.com/okezonenews","@okezonenews")</f>
        <v>@okezonenews</v>
      </c>
      <c r="C8541" t="s">
        <v>5612</v>
      </c>
      <c r="D8541">
        <v>1</v>
      </c>
      <c r="E8541">
        <v>1</v>
      </c>
      <c r="F8541">
        <v>1742941</v>
      </c>
    </row>
    <row r="8542" spans="1:6" ht="12.75">
      <c r="A8542" s="2">
        <v>43881.484131944446</v>
      </c>
      <c r="B8542" t="str">
        <f>HYPERLINK("https://twitter.com/sapphirecious","@sapphirecious")</f>
        <v>@sapphirecious</v>
      </c>
      <c r="C8542" t="s">
        <v>3278</v>
      </c>
      <c r="D8542">
        <v>75</v>
      </c>
      <c r="E8542">
        <v>0</v>
      </c>
      <c r="F8542">
        <v>221</v>
      </c>
    </row>
    <row r="8543" spans="1:6" ht="12.75">
      <c r="A8543" s="2">
        <v>43881.483773148153</v>
      </c>
      <c r="B8543" t="str">
        <f>HYPERLINK("https://twitter.com/trianaep_","@trianaep_")</f>
        <v>@trianaep_</v>
      </c>
      <c r="C8543" t="s">
        <v>1407</v>
      </c>
      <c r="D8543">
        <v>9526</v>
      </c>
      <c r="E8543">
        <v>0</v>
      </c>
      <c r="F8543">
        <v>367</v>
      </c>
    </row>
    <row r="8544" spans="1:6" ht="12.75">
      <c r="A8544" s="2">
        <v>43881.483668981484</v>
      </c>
      <c r="B8544" t="str">
        <f t="shared" ref="B8544:B8545" si="153">HYPERLINK("https://twitter.com/jabarsaberhoaks","@jabarsaberhoaks")</f>
        <v>@jabarsaberhoaks</v>
      </c>
      <c r="C8544" t="s">
        <v>5613</v>
      </c>
      <c r="D8544">
        <v>0</v>
      </c>
      <c r="E8544">
        <v>0</v>
      </c>
      <c r="F8544">
        <v>2708</v>
      </c>
    </row>
    <row r="8545" spans="1:6" ht="12.75">
      <c r="A8545" s="2">
        <v>43881.483657407407</v>
      </c>
      <c r="B8545" t="str">
        <f t="shared" si="153"/>
        <v>@jabarsaberhoaks</v>
      </c>
      <c r="C8545" t="s">
        <v>5614</v>
      </c>
      <c r="D8545">
        <v>0</v>
      </c>
      <c r="E8545">
        <v>1</v>
      </c>
      <c r="F8545">
        <v>2708</v>
      </c>
    </row>
    <row r="8546" spans="1:6" ht="12.75">
      <c r="A8546" s="2">
        <v>43881.48337962963</v>
      </c>
      <c r="B8546" t="str">
        <f>HYPERLINK("https://twitter.com/KompasTV","@KompasTV")</f>
        <v>@KompasTV</v>
      </c>
      <c r="C8546" t="s">
        <v>5615</v>
      </c>
      <c r="D8546">
        <v>2</v>
      </c>
      <c r="E8546">
        <v>7</v>
      </c>
      <c r="F8546">
        <v>2944737</v>
      </c>
    </row>
    <row r="8547" spans="1:6" ht="12.75">
      <c r="A8547" s="2">
        <v>43881.483356481476</v>
      </c>
      <c r="B8547" t="str">
        <f>HYPERLINK("https://twitter.com/nabilanab","@nabilanab")</f>
        <v>@nabilanab</v>
      </c>
      <c r="C8547" t="s">
        <v>2692</v>
      </c>
      <c r="D8547">
        <v>1903</v>
      </c>
      <c r="E8547">
        <v>0</v>
      </c>
      <c r="F8547">
        <v>799</v>
      </c>
    </row>
    <row r="8548" spans="1:6" ht="12.75">
      <c r="A8548" s="2">
        <v>43881.483310185184</v>
      </c>
      <c r="B8548" t="str">
        <f>HYPERLINK("https://twitter.com/leviniap","@leviniap")</f>
        <v>@leviniap</v>
      </c>
      <c r="C8548" t="s">
        <v>5616</v>
      </c>
      <c r="D8548">
        <v>0</v>
      </c>
      <c r="E8548">
        <v>0</v>
      </c>
      <c r="F8548">
        <v>394</v>
      </c>
    </row>
    <row r="8549" spans="1:6" ht="12.75">
      <c r="A8549" s="2">
        <v>43881.483287037037</v>
      </c>
      <c r="B8549" t="str">
        <f>HYPERLINK("https://twitter.com/embunnnn","@embunnnn")</f>
        <v>@embunnnn</v>
      </c>
      <c r="C8549" t="s">
        <v>1407</v>
      </c>
      <c r="D8549">
        <v>9526</v>
      </c>
      <c r="E8549">
        <v>0</v>
      </c>
      <c r="F8549">
        <v>200</v>
      </c>
    </row>
    <row r="8550" spans="1:6" ht="12.75">
      <c r="A8550" s="2">
        <v>43881.483148148152</v>
      </c>
      <c r="B8550" t="str">
        <f>HYPERLINK("https://twitter.com/ISIS_Balik_NO","@ISIS_Balik_NO")</f>
        <v>@ISIS_Balik_NO</v>
      </c>
      <c r="C8550" t="s">
        <v>5617</v>
      </c>
      <c r="D8550">
        <v>2</v>
      </c>
      <c r="E8550">
        <v>0</v>
      </c>
      <c r="F8550">
        <v>6086</v>
      </c>
    </row>
    <row r="8551" spans="1:6" ht="12.75">
      <c r="A8551" s="2">
        <v>43881.482928240745</v>
      </c>
      <c r="B8551" t="str">
        <f>HYPERLINK("https://twitter.com/khalyl","@khalyl")</f>
        <v>@khalyl</v>
      </c>
      <c r="C8551" t="s">
        <v>2768</v>
      </c>
      <c r="D8551">
        <v>79</v>
      </c>
      <c r="E8551">
        <v>0</v>
      </c>
      <c r="F8551">
        <v>1278</v>
      </c>
    </row>
    <row r="8552" spans="1:6" ht="12.75">
      <c r="A8552" s="2">
        <v>43881.482708333337</v>
      </c>
      <c r="B8552" t="str">
        <f>HYPERLINK("https://twitter.com/essy7sisil","@essy7sisil")</f>
        <v>@essy7sisil</v>
      </c>
      <c r="C8552" t="s">
        <v>2692</v>
      </c>
      <c r="D8552">
        <v>1903</v>
      </c>
      <c r="E8552">
        <v>0</v>
      </c>
      <c r="F8552">
        <v>522</v>
      </c>
    </row>
    <row r="8553" spans="1:6" ht="12.75">
      <c r="A8553" s="2">
        <v>43881.48269675926</v>
      </c>
      <c r="B8553" t="str">
        <f>HYPERLINK("https://twitter.com/epiphanyy92_","@epiphanyy92_")</f>
        <v>@epiphanyy92_</v>
      </c>
      <c r="C8553" t="s">
        <v>1407</v>
      </c>
      <c r="D8553">
        <v>9526</v>
      </c>
      <c r="E8553">
        <v>0</v>
      </c>
      <c r="F8553">
        <v>36</v>
      </c>
    </row>
    <row r="8554" spans="1:6" ht="12.75">
      <c r="A8554" s="2">
        <v>43881.482615740737</v>
      </c>
      <c r="B8554" t="str">
        <f>HYPERLINK("https://twitter.com/koopancake","@koopancake")</f>
        <v>@koopancake</v>
      </c>
      <c r="C8554" t="s">
        <v>1407</v>
      </c>
      <c r="D8554">
        <v>9526</v>
      </c>
      <c r="E8554">
        <v>0</v>
      </c>
      <c r="F8554">
        <v>955</v>
      </c>
    </row>
    <row r="8555" spans="1:6" ht="12.75">
      <c r="A8555" s="2">
        <v>43881.482453703706</v>
      </c>
      <c r="B8555" t="str">
        <f>HYPERLINK("https://twitter.com/Peachysm_","@Peachysm_")</f>
        <v>@Peachysm_</v>
      </c>
      <c r="C8555" t="s">
        <v>1407</v>
      </c>
      <c r="D8555">
        <v>9526</v>
      </c>
      <c r="E8555">
        <v>0</v>
      </c>
      <c r="F8555">
        <v>607</v>
      </c>
    </row>
    <row r="8556" spans="1:6" ht="12.75">
      <c r="A8556" s="2">
        <v>43881.481620370367</v>
      </c>
      <c r="B8556" t="str">
        <f>HYPERLINK("https://twitter.com/rlsdoyeon","@rlsdoyeon")</f>
        <v>@rlsdoyeon</v>
      </c>
      <c r="C8556" t="s">
        <v>5618</v>
      </c>
      <c r="D8556">
        <v>0</v>
      </c>
      <c r="E8556">
        <v>0</v>
      </c>
      <c r="F8556">
        <v>1013</v>
      </c>
    </row>
    <row r="8557" spans="1:6" ht="12.75">
      <c r="A8557" s="2">
        <v>43881.481469907405</v>
      </c>
      <c r="B8557" t="str">
        <f>HYPERLINK("https://twitter.com/utiputri","@utiputri")</f>
        <v>@utiputri</v>
      </c>
      <c r="C8557" t="s">
        <v>2692</v>
      </c>
      <c r="D8557">
        <v>1903</v>
      </c>
      <c r="E8557">
        <v>0</v>
      </c>
      <c r="F8557">
        <v>678</v>
      </c>
    </row>
    <row r="8558" spans="1:6" ht="12.75">
      <c r="A8558" s="2">
        <v>43881.481238425928</v>
      </c>
      <c r="B8558" t="str">
        <f>HYPERLINK("https://twitter.com/nurul_akla","@nurul_akla")</f>
        <v>@nurul_akla</v>
      </c>
      <c r="C8558" t="s">
        <v>5619</v>
      </c>
      <c r="D8558">
        <v>0</v>
      </c>
      <c r="E8558">
        <v>0</v>
      </c>
      <c r="F8558">
        <v>990</v>
      </c>
    </row>
    <row r="8559" spans="1:6" ht="12.75">
      <c r="A8559" s="2">
        <v>43881.480833333335</v>
      </c>
      <c r="B8559" t="str">
        <f>HYPERLINK("https://twitter.com/KurniawanW99","@KurniawanW99")</f>
        <v>@KurniawanW99</v>
      </c>
      <c r="C8559" t="s">
        <v>513</v>
      </c>
      <c r="D8559">
        <v>23212</v>
      </c>
      <c r="E8559">
        <v>0</v>
      </c>
      <c r="F8559">
        <v>2</v>
      </c>
    </row>
    <row r="8560" spans="1:6" ht="12.75">
      <c r="A8560" s="2">
        <v>43881.480405092589</v>
      </c>
      <c r="B8560" t="str">
        <f>HYPERLINK("https://twitter.com/Reinerr33","@Reinerr33")</f>
        <v>@Reinerr33</v>
      </c>
      <c r="C8560" t="s">
        <v>5620</v>
      </c>
      <c r="D8560">
        <v>2</v>
      </c>
      <c r="E8560">
        <v>0</v>
      </c>
      <c r="F8560">
        <v>3</v>
      </c>
    </row>
    <row r="8561" spans="1:6" ht="12.75">
      <c r="A8561" s="2">
        <v>43881.45925925926</v>
      </c>
      <c r="B8561" t="str">
        <f>HYPERLINK("https://twitter.com/riyanwahyudi","@riyanwahyudi")</f>
        <v>@riyanwahyudi</v>
      </c>
      <c r="C8561" t="s">
        <v>2692</v>
      </c>
      <c r="D8561">
        <v>1866</v>
      </c>
      <c r="E8561">
        <v>0</v>
      </c>
      <c r="F8561">
        <v>3089</v>
      </c>
    </row>
    <row r="8562" spans="1:6" ht="12.75">
      <c r="A8562" s="2">
        <v>43881.458923611106</v>
      </c>
      <c r="B8562" t="str">
        <f>HYPERLINK("https://twitter.com/nadyaapase","@nadyaapase")</f>
        <v>@nadyaapase</v>
      </c>
      <c r="C8562" t="s">
        <v>2467</v>
      </c>
      <c r="D8562">
        <v>868</v>
      </c>
      <c r="E8562">
        <v>0</v>
      </c>
      <c r="F8562">
        <v>528</v>
      </c>
    </row>
    <row r="8563" spans="1:6" ht="12.75">
      <c r="A8563" s="2">
        <v>43881.458692129629</v>
      </c>
      <c r="B8563" t="str">
        <f>HYPERLINK("https://twitter.com/ISIS_Balik_NO","@ISIS_Balik_NO")</f>
        <v>@ISIS_Balik_NO</v>
      </c>
      <c r="C8563" t="s">
        <v>5621</v>
      </c>
      <c r="D8563">
        <v>0</v>
      </c>
      <c r="E8563">
        <v>0</v>
      </c>
      <c r="F8563">
        <v>6085</v>
      </c>
    </row>
    <row r="8564" spans="1:6" ht="12.75">
      <c r="A8564" s="2">
        <v>43881.458449074074</v>
      </c>
      <c r="B8564" t="str">
        <f>HYPERLINK("https://twitter.com/pencarioppa","@pencarioppa")</f>
        <v>@pencarioppa</v>
      </c>
      <c r="C8564" t="s">
        <v>1407</v>
      </c>
      <c r="D8564">
        <v>9474</v>
      </c>
      <c r="E8564">
        <v>0</v>
      </c>
      <c r="F8564">
        <v>256</v>
      </c>
    </row>
    <row r="8565" spans="1:6" ht="12.75">
      <c r="A8565" s="2">
        <v>43881.458136574074</v>
      </c>
      <c r="B8565" t="str">
        <f>HYPERLINK("https://twitter.com/DamailahRI","@DamailahRI")</f>
        <v>@DamailahRI</v>
      </c>
      <c r="C8565" t="s">
        <v>5622</v>
      </c>
      <c r="D8565">
        <v>0</v>
      </c>
      <c r="E8565">
        <v>0</v>
      </c>
      <c r="F8565">
        <v>31991</v>
      </c>
    </row>
    <row r="8566" spans="1:6" ht="12.75">
      <c r="A8566" s="2">
        <v>43881.458090277782</v>
      </c>
      <c r="B8566" t="str">
        <f>HYPERLINK("https://twitter.com/poeputrii","@poeputrii")</f>
        <v>@poeputrii</v>
      </c>
      <c r="C8566" t="s">
        <v>2692</v>
      </c>
      <c r="D8566">
        <v>1866</v>
      </c>
      <c r="E8566">
        <v>0</v>
      </c>
      <c r="F8566">
        <v>472</v>
      </c>
    </row>
    <row r="8567" spans="1:6" ht="12.75">
      <c r="A8567" s="2">
        <v>43881.45789351852</v>
      </c>
      <c r="B8567" t="str">
        <f>HYPERLINK("https://twitter.com/lempearls","@lempearls")</f>
        <v>@lempearls</v>
      </c>
      <c r="C8567" t="s">
        <v>1407</v>
      </c>
      <c r="D8567">
        <v>9474</v>
      </c>
      <c r="E8567">
        <v>0</v>
      </c>
      <c r="F8567">
        <v>67</v>
      </c>
    </row>
    <row r="8568" spans="1:6" ht="12.75">
      <c r="A8568" s="2">
        <v>43881.457592592589</v>
      </c>
      <c r="B8568" t="str">
        <f>HYPERLINK("https://twitter.com/Rezkhaaa","@Rezkhaaa")</f>
        <v>@Rezkhaaa</v>
      </c>
      <c r="C8568" t="s">
        <v>3278</v>
      </c>
      <c r="D8568">
        <v>58</v>
      </c>
      <c r="E8568">
        <v>0</v>
      </c>
      <c r="F8568">
        <v>1063</v>
      </c>
    </row>
    <row r="8569" spans="1:6" ht="12.75">
      <c r="A8569" s="2">
        <v>43881.457129629634</v>
      </c>
      <c r="B8569" t="str">
        <f>HYPERLINK("https://twitter.com/endar12180376","@endar12180376")</f>
        <v>@endar12180376</v>
      </c>
      <c r="C8569" t="s">
        <v>5623</v>
      </c>
      <c r="D8569">
        <v>0</v>
      </c>
      <c r="E8569">
        <v>0</v>
      </c>
      <c r="F8569">
        <v>113</v>
      </c>
    </row>
    <row r="8570" spans="1:6" ht="12.75">
      <c r="A8570" s="2">
        <v>43881.457025462965</v>
      </c>
      <c r="B8570" t="str">
        <f>HYPERLINK("https://twitter.com/Yoga_dut","@Yoga_dut")</f>
        <v>@Yoga_dut</v>
      </c>
      <c r="C8570" t="s">
        <v>1407</v>
      </c>
      <c r="D8570">
        <v>9474</v>
      </c>
      <c r="E8570">
        <v>0</v>
      </c>
      <c r="F8570">
        <v>362</v>
      </c>
    </row>
    <row r="8571" spans="1:6" ht="12.75">
      <c r="A8571" s="2">
        <v>43881.456863425927</v>
      </c>
      <c r="B8571" t="str">
        <f>HYPERLINK("https://twitter.com/jimmysitepu81","@jimmysitepu81")</f>
        <v>@jimmysitepu81</v>
      </c>
      <c r="C8571" t="s">
        <v>5624</v>
      </c>
      <c r="D8571">
        <v>118</v>
      </c>
      <c r="E8571">
        <v>0</v>
      </c>
      <c r="F8571">
        <v>62</v>
      </c>
    </row>
    <row r="8572" spans="1:6" ht="12.75">
      <c r="A8572" s="2">
        <v>43881.45684027778</v>
      </c>
      <c r="B8572" t="str">
        <f>HYPERLINK("https://twitter.com/chocochic","@chocochic")</f>
        <v>@chocochic</v>
      </c>
      <c r="C8572" t="s">
        <v>5625</v>
      </c>
      <c r="D8572">
        <v>0</v>
      </c>
      <c r="E8572">
        <v>0</v>
      </c>
      <c r="F8572">
        <v>734</v>
      </c>
    </row>
    <row r="8573" spans="1:6" ht="12.75">
      <c r="A8573" s="2">
        <v>43881.456701388888</v>
      </c>
      <c r="B8573" t="str">
        <f>HYPERLINK("https://twitter.com/salsabila0307","@salsabila0307")</f>
        <v>@salsabila0307</v>
      </c>
      <c r="C8573" t="s">
        <v>5626</v>
      </c>
      <c r="D8573">
        <v>0</v>
      </c>
      <c r="E8573">
        <v>0</v>
      </c>
      <c r="F8573">
        <v>4340</v>
      </c>
    </row>
    <row r="8574" spans="1:6" ht="12.75">
      <c r="A8574" s="2">
        <v>43881.456307870365</v>
      </c>
      <c r="B8574" t="str">
        <f>HYPERLINK("https://twitter.com/RezaPahpah","@RezaPahpah")</f>
        <v>@RezaPahpah</v>
      </c>
      <c r="C8574" t="s">
        <v>5627</v>
      </c>
      <c r="D8574">
        <v>0</v>
      </c>
      <c r="E8574">
        <v>0</v>
      </c>
      <c r="F8574">
        <v>19</v>
      </c>
    </row>
    <row r="8575" spans="1:6" ht="12.75">
      <c r="A8575" s="2">
        <v>43881.456296296295</v>
      </c>
      <c r="B8575" t="str">
        <f>HYPERLINK("https://twitter.com/keponewsdotcom","@keponewsdotcom")</f>
        <v>@keponewsdotcom</v>
      </c>
      <c r="C8575" t="s">
        <v>5628</v>
      </c>
      <c r="D8575">
        <v>0</v>
      </c>
      <c r="E8575">
        <v>0</v>
      </c>
      <c r="F8575">
        <v>166</v>
      </c>
    </row>
    <row r="8576" spans="1:6" ht="12.75">
      <c r="A8576" s="2">
        <v>43881.456284722226</v>
      </c>
      <c r="B8576" t="str">
        <f>HYPERLINK("https://twitter.com/hiroyu_0001","@hiroyu_0001")</f>
        <v>@hiroyu_0001</v>
      </c>
      <c r="C8576" t="s">
        <v>2509</v>
      </c>
      <c r="D8576">
        <v>140</v>
      </c>
      <c r="E8576">
        <v>0</v>
      </c>
      <c r="F8576">
        <v>155</v>
      </c>
    </row>
    <row r="8577" spans="1:6" ht="12.75">
      <c r="A8577" s="2">
        <v>43881.456284722226</v>
      </c>
      <c r="B8577" t="str">
        <f>HYPERLINK("https://twitter.com/riverseung","@riverseung")</f>
        <v>@riverseung</v>
      </c>
      <c r="C8577" t="s">
        <v>1407</v>
      </c>
      <c r="D8577">
        <v>9474</v>
      </c>
      <c r="E8577">
        <v>0</v>
      </c>
      <c r="F8577">
        <v>31</v>
      </c>
    </row>
    <row r="8578" spans="1:6" ht="12.75">
      <c r="A8578" s="2">
        <v>43881.456157407403</v>
      </c>
      <c r="B8578" t="str">
        <f>HYPERLINK("https://twitter.com/tamtam90032515","@tamtam90032515")</f>
        <v>@tamtam90032515</v>
      </c>
      <c r="C8578" t="s">
        <v>1407</v>
      </c>
      <c r="D8578">
        <v>9474</v>
      </c>
      <c r="E8578">
        <v>0</v>
      </c>
      <c r="F8578">
        <v>6</v>
      </c>
    </row>
    <row r="8579" spans="1:6" ht="12.75">
      <c r="A8579" s="2">
        <v>43881.45584490741</v>
      </c>
      <c r="B8579" t="str">
        <f t="shared" ref="B8579:B8580" si="154">HYPERLINK("https://twitter.com/risaamaliiia","@risaamaliiia")</f>
        <v>@risaamaliiia</v>
      </c>
      <c r="C8579" t="s">
        <v>2147</v>
      </c>
      <c r="D8579">
        <v>579</v>
      </c>
      <c r="E8579">
        <v>0</v>
      </c>
      <c r="F8579">
        <v>0</v>
      </c>
    </row>
    <row r="8580" spans="1:6" ht="12.75">
      <c r="A8580" s="2">
        <v>43881.455821759257</v>
      </c>
      <c r="B8580" t="str">
        <f t="shared" si="154"/>
        <v>@risaamaliiia</v>
      </c>
      <c r="C8580" t="s">
        <v>2963</v>
      </c>
      <c r="D8580">
        <v>1319</v>
      </c>
      <c r="E8580">
        <v>0</v>
      </c>
      <c r="F8580">
        <v>0</v>
      </c>
    </row>
    <row r="8581" spans="1:6" ht="12.75">
      <c r="A8581" s="2">
        <v>43881.455787037034</v>
      </c>
      <c r="B8581" t="str">
        <f>HYPERLINK("https://twitter.com/comsenta","@comsenta")</f>
        <v>@comsenta</v>
      </c>
      <c r="C8581" t="s">
        <v>4360</v>
      </c>
      <c r="D8581">
        <v>135</v>
      </c>
      <c r="E8581">
        <v>0</v>
      </c>
      <c r="F8581">
        <v>609</v>
      </c>
    </row>
    <row r="8582" spans="1:6" ht="12.75">
      <c r="A8582" s="2">
        <v>43881.455706018518</v>
      </c>
      <c r="B8582" t="str">
        <f>HYPERLINK("https://twitter.com/tayaahehe","@tayaahehe")</f>
        <v>@tayaahehe</v>
      </c>
      <c r="C8582" t="s">
        <v>2692</v>
      </c>
      <c r="D8582">
        <v>1866</v>
      </c>
      <c r="E8582">
        <v>0</v>
      </c>
      <c r="F8582">
        <v>202</v>
      </c>
    </row>
    <row r="8583" spans="1:6" ht="12.75">
      <c r="A8583" s="2">
        <v>43881.455439814818</v>
      </c>
      <c r="B8583" t="str">
        <f>HYPERLINK("https://twitter.com/beatrice_health","@beatrice_health")</f>
        <v>@beatrice_health</v>
      </c>
      <c r="C8583" t="s">
        <v>5629</v>
      </c>
      <c r="D8583">
        <v>1</v>
      </c>
      <c r="E8583">
        <v>0</v>
      </c>
      <c r="F8583">
        <v>214</v>
      </c>
    </row>
    <row r="8584" spans="1:6" ht="12.75">
      <c r="A8584" s="2">
        <v>43881.455381944441</v>
      </c>
      <c r="B8584" t="str">
        <f>HYPERLINK("https://twitter.com/insanmedika_id","@insanmedika_id")</f>
        <v>@insanmedika_id</v>
      </c>
      <c r="C8584" t="s">
        <v>5630</v>
      </c>
      <c r="D8584">
        <v>1</v>
      </c>
      <c r="E8584">
        <v>0</v>
      </c>
      <c r="F8584">
        <v>504</v>
      </c>
    </row>
    <row r="8585" spans="1:6" ht="12.75">
      <c r="A8585" s="2">
        <v>43881.455370370371</v>
      </c>
      <c r="B8585" t="str">
        <f>HYPERLINK("https://twitter.com/argesh_suta","@argesh_suta")</f>
        <v>@argesh_suta</v>
      </c>
      <c r="C8585" t="s">
        <v>3278</v>
      </c>
      <c r="D8585">
        <v>58</v>
      </c>
      <c r="E8585">
        <v>0</v>
      </c>
      <c r="F8585">
        <v>2838</v>
      </c>
    </row>
    <row r="8586" spans="1:6" ht="12.75">
      <c r="A8586" s="2">
        <v>43881.45521990741</v>
      </c>
      <c r="B8586" t="str">
        <f>HYPERLINK("https://twitter.com/okinrlnt","@okinrlnt")</f>
        <v>@okinrlnt</v>
      </c>
      <c r="C8586" t="s">
        <v>3278</v>
      </c>
      <c r="D8586">
        <v>58</v>
      </c>
      <c r="E8586">
        <v>0</v>
      </c>
      <c r="F8586">
        <v>299</v>
      </c>
    </row>
    <row r="8587" spans="1:6" ht="12.75">
      <c r="A8587" s="2">
        <v>43881.455011574071</v>
      </c>
      <c r="B8587" t="str">
        <f>HYPERLINK("https://twitter.com/Ardian_thiwul","@Ardian_thiwul")</f>
        <v>@Ardian_thiwul</v>
      </c>
      <c r="C8587" t="s">
        <v>4360</v>
      </c>
      <c r="D8587">
        <v>135</v>
      </c>
      <c r="E8587">
        <v>0</v>
      </c>
      <c r="F8587">
        <v>92</v>
      </c>
    </row>
    <row r="8588" spans="1:6" ht="12.75">
      <c r="A8588" s="2">
        <v>43881.454953703702</v>
      </c>
      <c r="B8588" t="str">
        <f>HYPERLINK("https://twitter.com/peleTANPA_r","@peleTANPA_r")</f>
        <v>@peleTANPA_r</v>
      </c>
      <c r="C8588" t="s">
        <v>5631</v>
      </c>
      <c r="D8588">
        <v>0</v>
      </c>
      <c r="E8588">
        <v>1</v>
      </c>
      <c r="F8588">
        <v>2299</v>
      </c>
    </row>
    <row r="8589" spans="1:6" ht="12.75">
      <c r="A8589" s="2">
        <v>43881.454629629632</v>
      </c>
      <c r="B8589" t="str">
        <f>HYPERLINK("https://twitter.com/spacerover_","@spacerover_")</f>
        <v>@spacerover_</v>
      </c>
      <c r="C8589" t="s">
        <v>2692</v>
      </c>
      <c r="D8589">
        <v>1866</v>
      </c>
      <c r="E8589">
        <v>0</v>
      </c>
      <c r="F8589">
        <v>1091</v>
      </c>
    </row>
    <row r="8590" spans="1:6" ht="12.75">
      <c r="A8590" s="2">
        <v>43881.454594907409</v>
      </c>
      <c r="B8590" t="str">
        <f>HYPERLINK("https://twitter.com/Ryan_zipur","@Ryan_zipur")</f>
        <v>@Ryan_zipur</v>
      </c>
      <c r="C8590" t="s">
        <v>5164</v>
      </c>
      <c r="D8590">
        <v>6</v>
      </c>
      <c r="E8590">
        <v>0</v>
      </c>
      <c r="F8590">
        <v>318</v>
      </c>
    </row>
    <row r="8591" spans="1:6" ht="12.75">
      <c r="A8591" s="2">
        <v>43881.454375000001</v>
      </c>
      <c r="B8591" t="str">
        <f>HYPERLINK("https://twitter.com/oktfna","@oktfna")</f>
        <v>@oktfna</v>
      </c>
      <c r="C8591" t="s">
        <v>3278</v>
      </c>
      <c r="D8591">
        <v>58</v>
      </c>
      <c r="E8591">
        <v>0</v>
      </c>
      <c r="F8591">
        <v>625</v>
      </c>
    </row>
    <row r="8592" spans="1:6" ht="12.75">
      <c r="A8592" s="2">
        <v>43881.454189814816</v>
      </c>
      <c r="B8592" t="str">
        <f>HYPERLINK("https://twitter.com/Ella_LailaYasin","@Ella_LailaYasin")</f>
        <v>@Ella_LailaYasin</v>
      </c>
      <c r="C8592" t="s">
        <v>3278</v>
      </c>
      <c r="D8592">
        <v>58</v>
      </c>
      <c r="E8592">
        <v>0</v>
      </c>
      <c r="F8592">
        <v>13</v>
      </c>
    </row>
    <row r="8593" spans="1:6" ht="12.75">
      <c r="A8593" s="2">
        <v>43881.453622685185</v>
      </c>
      <c r="B8593" t="str">
        <f>HYPERLINK("https://twitter.com/Mr692142","@Mr692142")</f>
        <v>@Mr692142</v>
      </c>
      <c r="C8593" t="s">
        <v>4360</v>
      </c>
      <c r="D8593">
        <v>135</v>
      </c>
      <c r="E8593">
        <v>0</v>
      </c>
      <c r="F8593">
        <v>33</v>
      </c>
    </row>
    <row r="8594" spans="1:6" ht="12.75">
      <c r="A8594" s="2">
        <v>43881.453587962962</v>
      </c>
      <c r="B8594" t="str">
        <f>HYPERLINK("https://twitter.com/putrijalitoo","@putrijalitoo")</f>
        <v>@putrijalitoo</v>
      </c>
      <c r="C8594" t="s">
        <v>513</v>
      </c>
      <c r="D8594">
        <v>23210</v>
      </c>
      <c r="E8594">
        <v>0</v>
      </c>
      <c r="F8594">
        <v>399</v>
      </c>
    </row>
    <row r="8595" spans="1:6" ht="12.75">
      <c r="A8595" s="2">
        <v>43881.453564814816</v>
      </c>
      <c r="B8595" t="str">
        <f>HYPERLINK("https://twitter.com/AwalFans","@AwalFans")</f>
        <v>@AwalFans</v>
      </c>
      <c r="C8595" t="s">
        <v>2692</v>
      </c>
      <c r="D8595">
        <v>1866</v>
      </c>
      <c r="E8595">
        <v>0</v>
      </c>
      <c r="F8595">
        <v>645</v>
      </c>
    </row>
    <row r="8596" spans="1:6" ht="12.75">
      <c r="A8596" s="2">
        <v>43881.452800925923</v>
      </c>
      <c r="B8596" t="str">
        <f>HYPERLINK("https://twitter.com/isis_avaloss","@isis_avaloss")</f>
        <v>@isis_avaloss</v>
      </c>
      <c r="C8596" t="s">
        <v>5632</v>
      </c>
      <c r="D8596">
        <v>0</v>
      </c>
      <c r="E8596">
        <v>1</v>
      </c>
      <c r="F8596">
        <v>741</v>
      </c>
    </row>
    <row r="8597" spans="1:6" ht="12.75">
      <c r="A8597" s="2">
        <v>43881.452407407407</v>
      </c>
      <c r="B8597" t="str">
        <f>HYPERLINK("https://twitter.com/Tomyarisa","@Tomyarisa")</f>
        <v>@Tomyarisa</v>
      </c>
      <c r="C8597" t="s">
        <v>5633</v>
      </c>
      <c r="D8597">
        <v>0</v>
      </c>
      <c r="E8597">
        <v>0</v>
      </c>
      <c r="F8597">
        <v>245</v>
      </c>
    </row>
    <row r="8598" spans="1:6" ht="12.75">
      <c r="A8598" s="2">
        <v>43881.452291666668</v>
      </c>
      <c r="B8598" t="str">
        <f>HYPERLINK("https://twitter.com/Mithon49604438","@Mithon49604438")</f>
        <v>@Mithon49604438</v>
      </c>
      <c r="C8598" t="s">
        <v>2085</v>
      </c>
      <c r="D8598">
        <v>13</v>
      </c>
      <c r="E8598">
        <v>0</v>
      </c>
      <c r="F8598">
        <v>0</v>
      </c>
    </row>
    <row r="8599" spans="1:6" ht="12.75">
      <c r="A8599" s="2">
        <v>43881.451990740738</v>
      </c>
      <c r="B8599" t="str">
        <f>HYPERLINK("https://twitter.com/ciwhwaoowa","@ciwhwaoowa")</f>
        <v>@ciwhwaoowa</v>
      </c>
      <c r="C8599" t="s">
        <v>1407</v>
      </c>
      <c r="D8599">
        <v>9474</v>
      </c>
      <c r="E8599">
        <v>0</v>
      </c>
      <c r="F8599">
        <v>34</v>
      </c>
    </row>
    <row r="8600" spans="1:6" ht="12.75">
      <c r="A8600" s="2">
        <v>43881.451817129629</v>
      </c>
      <c r="B8600" t="str">
        <f>HYPERLINK("https://twitter.com/Saras_Devi18","@Saras_Devi18")</f>
        <v>@Saras_Devi18</v>
      </c>
      <c r="C8600" t="s">
        <v>1407</v>
      </c>
      <c r="D8600">
        <v>9474</v>
      </c>
      <c r="E8600">
        <v>0</v>
      </c>
      <c r="F8600">
        <v>737</v>
      </c>
    </row>
    <row r="8601" spans="1:6" ht="12.75">
      <c r="A8601" s="2">
        <v>43881.451782407406</v>
      </c>
      <c r="B8601" t="str">
        <f>HYPERLINK("https://twitter.com/kessi_v_","@kessi_v_")</f>
        <v>@kessi_v_</v>
      </c>
      <c r="C8601" t="s">
        <v>2692</v>
      </c>
      <c r="D8601">
        <v>1866</v>
      </c>
      <c r="E8601">
        <v>0</v>
      </c>
      <c r="F8601">
        <v>334</v>
      </c>
    </row>
    <row r="8602" spans="1:6" ht="12.75">
      <c r="A8602" s="2">
        <v>43881.451655092591</v>
      </c>
      <c r="B8602" t="str">
        <f>HYPERLINK("https://twitter.com/mieayam70407440","@mieayam70407440")</f>
        <v>@mieayam70407440</v>
      </c>
      <c r="C8602" t="s">
        <v>5634</v>
      </c>
      <c r="D8602">
        <v>0</v>
      </c>
      <c r="E8602">
        <v>0</v>
      </c>
      <c r="F8602">
        <v>4</v>
      </c>
    </row>
    <row r="8603" spans="1:6" ht="12.75">
      <c r="A8603" s="2">
        <v>43881.451597222222</v>
      </c>
      <c r="B8603" t="str">
        <f>HYPERLINK("https://twitter.com/Andrikrwn","@Andrikrwn")</f>
        <v>@Andrikrwn</v>
      </c>
      <c r="C8603" t="s">
        <v>1407</v>
      </c>
      <c r="D8603">
        <v>9474</v>
      </c>
      <c r="E8603">
        <v>0</v>
      </c>
      <c r="F8603">
        <v>247</v>
      </c>
    </row>
    <row r="8604" spans="1:6" ht="12.75">
      <c r="A8604" s="2">
        <v>43881.451504629629</v>
      </c>
      <c r="B8604" t="str">
        <f>HYPERLINK("https://twitter.com/lvn_twt","@lvn_twt")</f>
        <v>@lvn_twt</v>
      </c>
      <c r="C8604" t="s">
        <v>3278</v>
      </c>
      <c r="D8604">
        <v>58</v>
      </c>
      <c r="E8604">
        <v>0</v>
      </c>
      <c r="F8604">
        <v>839</v>
      </c>
    </row>
    <row r="8605" spans="1:6" ht="12.75">
      <c r="A8605" s="2">
        <v>43881.451435185183</v>
      </c>
      <c r="B8605" t="str">
        <f>HYPERLINK("https://twitter.com/ennyelf2","@ennyelf2")</f>
        <v>@ennyelf2</v>
      </c>
      <c r="C8605" t="s">
        <v>5167</v>
      </c>
      <c r="D8605">
        <v>3</v>
      </c>
      <c r="E8605">
        <v>0</v>
      </c>
      <c r="F8605">
        <v>345</v>
      </c>
    </row>
    <row r="8606" spans="1:6" ht="12.75">
      <c r="A8606" s="2">
        <v>43881.451342592598</v>
      </c>
      <c r="B8606" t="str">
        <f>HYPERLINK("https://twitter.com/zizirin","@zizirin")</f>
        <v>@zizirin</v>
      </c>
      <c r="C8606" t="s">
        <v>3278</v>
      </c>
      <c r="D8606">
        <v>58</v>
      </c>
      <c r="E8606">
        <v>0</v>
      </c>
      <c r="F8606">
        <v>236</v>
      </c>
    </row>
    <row r="8607" spans="1:6" ht="12.75">
      <c r="A8607" s="2">
        <v>43881.451203703706</v>
      </c>
      <c r="B8607" t="str">
        <f>HYPERLINK("https://twitter.com/ernajww","@ernajww")</f>
        <v>@ernajww</v>
      </c>
      <c r="C8607" t="s">
        <v>5635</v>
      </c>
      <c r="D8607">
        <v>1</v>
      </c>
      <c r="E8607">
        <v>0</v>
      </c>
      <c r="F8607">
        <v>60</v>
      </c>
    </row>
    <row r="8608" spans="1:6" ht="12.75">
      <c r="A8608" s="2">
        <v>43881.451111111106</v>
      </c>
      <c r="B8608" t="str">
        <f>HYPERLINK("https://twitter.com/Irving_Kho","@Irving_Kho")</f>
        <v>@Irving_Kho</v>
      </c>
      <c r="C8608" t="s">
        <v>5636</v>
      </c>
      <c r="D8608">
        <v>0</v>
      </c>
      <c r="E8608">
        <v>0</v>
      </c>
      <c r="F8608">
        <v>20</v>
      </c>
    </row>
    <row r="8609" spans="1:6" ht="12.75">
      <c r="A8609" s="2">
        <v>43881.450706018513</v>
      </c>
      <c r="B8609" t="str">
        <f>HYPERLINK("https://twitter.com/gacoanbelimbing","@gacoanbelimbing")</f>
        <v>@gacoanbelimbing</v>
      </c>
      <c r="C8609" t="s">
        <v>1407</v>
      </c>
      <c r="D8609">
        <v>9474</v>
      </c>
      <c r="E8609">
        <v>0</v>
      </c>
      <c r="F8609">
        <v>467</v>
      </c>
    </row>
    <row r="8610" spans="1:6" ht="12.75">
      <c r="A8610" s="2">
        <v>43881.45039351852</v>
      </c>
      <c r="B8610" t="str">
        <f>HYPERLINK("https://twitter.com/nuninu9","@nuninu9")</f>
        <v>@nuninu9</v>
      </c>
      <c r="C8610" t="s">
        <v>3278</v>
      </c>
      <c r="D8610">
        <v>58</v>
      </c>
      <c r="E8610">
        <v>0</v>
      </c>
      <c r="F8610">
        <v>1300</v>
      </c>
    </row>
    <row r="8611" spans="1:6" ht="12.75">
      <c r="A8611" s="2">
        <v>43881.450150462959</v>
      </c>
      <c r="B8611" t="str">
        <f>HYPERLINK("https://twitter.com/_snaaah","@_snaaah")</f>
        <v>@_snaaah</v>
      </c>
      <c r="C8611" t="s">
        <v>513</v>
      </c>
      <c r="D8611">
        <v>23210</v>
      </c>
      <c r="E8611">
        <v>0</v>
      </c>
      <c r="F8611">
        <v>546</v>
      </c>
    </row>
    <row r="8612" spans="1:6" ht="12.75">
      <c r="A8612" s="2">
        <v>43881.449618055558</v>
      </c>
      <c r="B8612" t="str">
        <f>HYPERLINK("https://twitter.com/blogdokter","@blogdokter")</f>
        <v>@blogdokter</v>
      </c>
      <c r="C8612" t="s">
        <v>3278</v>
      </c>
      <c r="D8612">
        <v>58</v>
      </c>
      <c r="E8612">
        <v>0</v>
      </c>
      <c r="F8612">
        <v>1791427</v>
      </c>
    </row>
    <row r="8613" spans="1:6" ht="12.75">
      <c r="A8613" s="2">
        <v>43881.449583333335</v>
      </c>
      <c r="B8613" t="str">
        <f>HYPERLINK("https://twitter.com/haikalnkri","@haikalnkri")</f>
        <v>@haikalnkri</v>
      </c>
      <c r="C8613" t="s">
        <v>2125</v>
      </c>
      <c r="D8613">
        <v>4</v>
      </c>
      <c r="E8613">
        <v>0</v>
      </c>
      <c r="F8613">
        <v>149</v>
      </c>
    </row>
    <row r="8614" spans="1:6" ht="12.75">
      <c r="A8614" s="2">
        <v>43881.44940972222</v>
      </c>
      <c r="B8614" t="str">
        <f>HYPERLINK("https://twitter.com/r_martomo","@r_martomo")</f>
        <v>@r_martomo</v>
      </c>
      <c r="C8614" t="s">
        <v>5164</v>
      </c>
      <c r="D8614">
        <v>6</v>
      </c>
      <c r="E8614">
        <v>0</v>
      </c>
      <c r="F8614">
        <v>2041</v>
      </c>
    </row>
    <row r="8615" spans="1:6" ht="12.75">
      <c r="A8615" s="2">
        <v>43881.448993055557</v>
      </c>
      <c r="B8615" t="str">
        <f t="shared" ref="B8615:B8616" si="155">HYPERLINK("https://twitter.com/Sofia_ardani","@Sofia_ardani")</f>
        <v>@Sofia_ardani</v>
      </c>
      <c r="C8615" t="s">
        <v>5166</v>
      </c>
      <c r="D8615">
        <v>3</v>
      </c>
      <c r="E8615">
        <v>0</v>
      </c>
      <c r="F8615">
        <v>849</v>
      </c>
    </row>
    <row r="8616" spans="1:6" ht="12.75">
      <c r="A8616" s="2">
        <v>43881.44866898148</v>
      </c>
      <c r="B8616" t="str">
        <f t="shared" si="155"/>
        <v>@Sofia_ardani</v>
      </c>
      <c r="C8616" t="s">
        <v>4994</v>
      </c>
      <c r="D8616">
        <v>4</v>
      </c>
      <c r="E8616">
        <v>0</v>
      </c>
      <c r="F8616">
        <v>849</v>
      </c>
    </row>
    <row r="8617" spans="1:6" ht="12.75">
      <c r="A8617" s="2">
        <v>43881.448287037041</v>
      </c>
      <c r="B8617" t="str">
        <f>HYPERLINK("https://twitter.com/remahancoco","@remahancoco")</f>
        <v>@remahancoco</v>
      </c>
      <c r="C8617" t="s">
        <v>5637</v>
      </c>
      <c r="D8617">
        <v>1</v>
      </c>
      <c r="E8617">
        <v>0</v>
      </c>
      <c r="F8617">
        <v>918</v>
      </c>
    </row>
    <row r="8618" spans="1:6" ht="12.75">
      <c r="A8618" s="2">
        <v>43881.448240740741</v>
      </c>
      <c r="B8618" t="str">
        <f>HYPERLINK("https://twitter.com/gepeng12267058","@gepeng12267058")</f>
        <v>@gepeng12267058</v>
      </c>
      <c r="C8618" t="s">
        <v>5186</v>
      </c>
      <c r="D8618">
        <v>2</v>
      </c>
      <c r="E8618">
        <v>0</v>
      </c>
      <c r="F8618">
        <v>4</v>
      </c>
    </row>
    <row r="8619" spans="1:6" ht="12.75">
      <c r="A8619" s="2">
        <v>43881.447916666672</v>
      </c>
      <c r="B8619" t="str">
        <f>HYPERLINK("https://twitter.com/IhsanAlfatih3","@IhsanAlfatih3")</f>
        <v>@IhsanAlfatih3</v>
      </c>
      <c r="C8619" t="s">
        <v>4994</v>
      </c>
      <c r="D8619">
        <v>4</v>
      </c>
      <c r="E8619">
        <v>0</v>
      </c>
      <c r="F8619">
        <v>80</v>
      </c>
    </row>
    <row r="8620" spans="1:6" ht="12.75">
      <c r="A8620" s="2">
        <v>43881.447858796295</v>
      </c>
      <c r="B8620" t="str">
        <f>HYPERLINK("https://twitter.com/Julia_Zeed","@Julia_Zeed")</f>
        <v>@Julia_Zeed</v>
      </c>
      <c r="C8620" t="s">
        <v>5638</v>
      </c>
      <c r="D8620">
        <v>1</v>
      </c>
      <c r="E8620">
        <v>0</v>
      </c>
      <c r="F8620">
        <v>2624</v>
      </c>
    </row>
    <row r="8621" spans="1:6" ht="12.75">
      <c r="A8621" s="2">
        <v>43881.447847222225</v>
      </c>
      <c r="B8621" t="str">
        <f>HYPERLINK("https://twitter.com/tribunnews","@tribunnews")</f>
        <v>@tribunnews</v>
      </c>
      <c r="C8621" t="s">
        <v>5639</v>
      </c>
      <c r="D8621">
        <v>3</v>
      </c>
      <c r="E8621">
        <v>2</v>
      </c>
      <c r="F8621">
        <v>877215</v>
      </c>
    </row>
    <row r="8622" spans="1:6" ht="12.75">
      <c r="A8622" s="2">
        <v>43881.447847222225</v>
      </c>
      <c r="B8622" t="str">
        <f>HYPERLINK("https://twitter.com/Sofia_ardani","@Sofia_ardani")</f>
        <v>@Sofia_ardani</v>
      </c>
      <c r="C8622" t="s">
        <v>5164</v>
      </c>
      <c r="D8622">
        <v>6</v>
      </c>
      <c r="E8622">
        <v>0</v>
      </c>
      <c r="F8622">
        <v>849</v>
      </c>
    </row>
    <row r="8623" spans="1:6" ht="12.75">
      <c r="A8623" s="2">
        <v>43881.447812500002</v>
      </c>
      <c r="B8623" t="str">
        <f>HYPERLINK("https://twitter.com/r_martomo","@r_martomo")</f>
        <v>@r_martomo</v>
      </c>
      <c r="C8623" t="s">
        <v>4994</v>
      </c>
      <c r="D8623">
        <v>4</v>
      </c>
      <c r="E8623">
        <v>0</v>
      </c>
      <c r="F8623">
        <v>2041</v>
      </c>
    </row>
    <row r="8624" spans="1:6" ht="12.75">
      <c r="A8624" s="2">
        <v>43881.44730324074</v>
      </c>
      <c r="B8624" t="str">
        <f>HYPERLINK("https://twitter.com/INDRAARDIAWAN2","@INDRAARDIAWAN2")</f>
        <v>@INDRAARDIAWAN2</v>
      </c>
      <c r="C8624" t="s">
        <v>5640</v>
      </c>
      <c r="D8624">
        <v>0</v>
      </c>
      <c r="E8624">
        <v>1</v>
      </c>
      <c r="F8624">
        <v>836</v>
      </c>
    </row>
    <row r="8625" spans="1:6" ht="12.75">
      <c r="A8625" s="2">
        <v>43881.447245370371</v>
      </c>
      <c r="B8625" t="str">
        <f>HYPERLINK("https://twitter.com/noudie","@noudie")</f>
        <v>@noudie</v>
      </c>
      <c r="C8625" t="s">
        <v>2692</v>
      </c>
      <c r="D8625">
        <v>1866</v>
      </c>
      <c r="E8625">
        <v>0</v>
      </c>
      <c r="F8625">
        <v>1009</v>
      </c>
    </row>
    <row r="8626" spans="1:6" ht="12.75">
      <c r="A8626" s="2">
        <v>43881.446608796294</v>
      </c>
      <c r="B8626" t="str">
        <f>HYPERLINK("https://twitter.com/Irving_Kho","@Irving_Kho")</f>
        <v>@Irving_Kho</v>
      </c>
      <c r="C8626" t="s">
        <v>5641</v>
      </c>
      <c r="D8626">
        <v>0</v>
      </c>
      <c r="E8626">
        <v>0</v>
      </c>
      <c r="F8626">
        <v>20</v>
      </c>
    </row>
    <row r="8627" spans="1:6" ht="12.75">
      <c r="A8627" s="2">
        <v>43881.446597222224</v>
      </c>
      <c r="B8627" t="str">
        <f>HYPERLINK("https://twitter.com/Arinaaeka","@Arinaaeka")</f>
        <v>@Arinaaeka</v>
      </c>
      <c r="C8627" t="s">
        <v>1407</v>
      </c>
      <c r="D8627">
        <v>9474</v>
      </c>
      <c r="E8627">
        <v>0</v>
      </c>
      <c r="F8627">
        <v>186</v>
      </c>
    </row>
    <row r="8628" spans="1:6" ht="12.75">
      <c r="A8628" s="2">
        <v>43881.446388888886</v>
      </c>
      <c r="B8628" t="str">
        <f>HYPERLINK("https://twitter.com/jalupratidina","@jalupratidina")</f>
        <v>@jalupratidina</v>
      </c>
      <c r="C8628" t="s">
        <v>5642</v>
      </c>
      <c r="D8628">
        <v>261</v>
      </c>
      <c r="E8628">
        <v>0</v>
      </c>
      <c r="F8628">
        <v>468</v>
      </c>
    </row>
    <row r="8629" spans="1:6" ht="12.75">
      <c r="A8629" s="2">
        <v>43881.446134259255</v>
      </c>
      <c r="B8629" t="str">
        <f>HYPERLINK("https://twitter.com/sutan2009","@sutan2009")</f>
        <v>@sutan2009</v>
      </c>
      <c r="C8629" t="s">
        <v>5166</v>
      </c>
      <c r="D8629">
        <v>3</v>
      </c>
      <c r="E8629">
        <v>0</v>
      </c>
      <c r="F8629">
        <v>22</v>
      </c>
    </row>
    <row r="8630" spans="1:6" ht="12.75">
      <c r="A8630" s="2">
        <v>43881.445960648147</v>
      </c>
      <c r="B8630" t="str">
        <f>HYPERLINK("https://twitter.com/dahpoy","@dahpoy")</f>
        <v>@dahpoy</v>
      </c>
      <c r="C8630" t="s">
        <v>5164</v>
      </c>
      <c r="D8630">
        <v>6</v>
      </c>
      <c r="E8630">
        <v>0</v>
      </c>
      <c r="F8630">
        <v>1052</v>
      </c>
    </row>
    <row r="8631" spans="1:6" ht="12.75">
      <c r="A8631" s="2">
        <v>43881.445694444439</v>
      </c>
      <c r="B8631" t="str">
        <f>HYPERLINK("https://twitter.com/Ulama_Sangean","@Ulama_Sangean")</f>
        <v>@Ulama_Sangean</v>
      </c>
      <c r="C8631" t="s">
        <v>5643</v>
      </c>
      <c r="D8631">
        <v>0</v>
      </c>
      <c r="E8631">
        <v>0</v>
      </c>
      <c r="F8631">
        <v>691</v>
      </c>
    </row>
    <row r="8632" spans="1:6" ht="12.75">
      <c r="A8632" s="2">
        <v>43881.445590277777</v>
      </c>
      <c r="B8632" t="str">
        <f>HYPERLINK("https://twitter.com/BayuKhrisna14","@BayuKhrisna14")</f>
        <v>@BayuKhrisna14</v>
      </c>
      <c r="C8632" t="s">
        <v>5644</v>
      </c>
      <c r="D8632">
        <v>377</v>
      </c>
      <c r="E8632">
        <v>0</v>
      </c>
      <c r="F8632">
        <v>625</v>
      </c>
    </row>
    <row r="8633" spans="1:6" ht="12.75">
      <c r="A8633" s="2">
        <v>43881.445462962962</v>
      </c>
      <c r="B8633" t="str">
        <f>HYPERLINK("https://twitter.com/harihariono1","@harihariono1")</f>
        <v>@harihariono1</v>
      </c>
      <c r="C8633" t="s">
        <v>5645</v>
      </c>
      <c r="D8633">
        <v>1</v>
      </c>
      <c r="E8633">
        <v>1</v>
      </c>
      <c r="F8633">
        <v>9399</v>
      </c>
    </row>
    <row r="8634" spans="1:6" ht="12.75">
      <c r="A8634" s="2">
        <v>43881.44532407407</v>
      </c>
      <c r="B8634" t="str">
        <f>HYPERLINK("https://twitter.com/Iyon30763870","@Iyon30763870")</f>
        <v>@Iyon30763870</v>
      </c>
      <c r="C8634" t="s">
        <v>5646</v>
      </c>
      <c r="D8634">
        <v>0</v>
      </c>
      <c r="E8634">
        <v>0</v>
      </c>
      <c r="F8634">
        <v>2</v>
      </c>
    </row>
    <row r="8635" spans="1:6" ht="12.75">
      <c r="A8635" s="2">
        <v>43881.445219907408</v>
      </c>
      <c r="B8635" t="str">
        <f>HYPERLINK("https://twitter.com/Gumanti95485609","@Gumanti95485609")</f>
        <v>@Gumanti95485609</v>
      </c>
      <c r="C8635" t="s">
        <v>5647</v>
      </c>
      <c r="D8635">
        <v>0</v>
      </c>
      <c r="E8635">
        <v>0</v>
      </c>
      <c r="F8635">
        <v>32</v>
      </c>
    </row>
    <row r="8636" spans="1:6" ht="12.75">
      <c r="A8636" s="2">
        <v>43881.444872685184</v>
      </c>
      <c r="B8636" t="str">
        <f>HYPERLINK("https://twitter.com/KEZIAAM0UR","@KEZIAAM0UR")</f>
        <v>@KEZIAAM0UR</v>
      </c>
      <c r="C8636" t="s">
        <v>5648</v>
      </c>
      <c r="D8636">
        <v>0</v>
      </c>
      <c r="E8636">
        <v>0</v>
      </c>
      <c r="F8636">
        <v>99</v>
      </c>
    </row>
    <row r="8637" spans="1:6" ht="12.75">
      <c r="A8637" s="2">
        <v>43881.444791666669</v>
      </c>
      <c r="B8637" t="str">
        <f>HYPERLINK("https://twitter.com/TofaTofa_id","@TofaTofa_id")</f>
        <v>@TofaTofa_id</v>
      </c>
      <c r="C8637" t="s">
        <v>5649</v>
      </c>
      <c r="D8637">
        <v>4</v>
      </c>
      <c r="E8637">
        <v>7</v>
      </c>
      <c r="F8637">
        <v>12556</v>
      </c>
    </row>
    <row r="8638" spans="1:6" ht="12.75">
      <c r="A8638" s="2">
        <v>43881.444618055553</v>
      </c>
      <c r="B8638" t="str">
        <f>HYPERLINK("https://twitter.com/Beritasatu","@Beritasatu")</f>
        <v>@Beritasatu</v>
      </c>
      <c r="C8638" t="s">
        <v>5650</v>
      </c>
      <c r="D8638">
        <v>2</v>
      </c>
      <c r="E8638">
        <v>4</v>
      </c>
      <c r="F8638">
        <v>614881</v>
      </c>
    </row>
    <row r="8639" spans="1:6" ht="12.75">
      <c r="A8639" s="2">
        <v>43881.444340277776</v>
      </c>
      <c r="B8639" t="str">
        <f>HYPERLINK("https://twitter.com/PriskyPribadi74","@PriskyPribadi74")</f>
        <v>@PriskyPribadi74</v>
      </c>
      <c r="C8639" t="s">
        <v>5651</v>
      </c>
      <c r="D8639">
        <v>3</v>
      </c>
      <c r="E8639">
        <v>0</v>
      </c>
      <c r="F8639">
        <v>18</v>
      </c>
    </row>
    <row r="8640" spans="1:6" ht="12.75">
      <c r="A8640" s="2">
        <v>43881.444247685184</v>
      </c>
      <c r="B8640" t="str">
        <f>HYPERLINK("https://twitter.com/TitikTerangNews","@TitikTerangNews")</f>
        <v>@TitikTerangNews</v>
      </c>
      <c r="C8640" t="s">
        <v>5652</v>
      </c>
      <c r="D8640">
        <v>0</v>
      </c>
      <c r="E8640">
        <v>0</v>
      </c>
      <c r="F8640">
        <v>17</v>
      </c>
    </row>
    <row r="8641" spans="1:6" ht="12.75">
      <c r="A8641" s="2">
        <v>43881.444236111114</v>
      </c>
      <c r="B8641" t="str">
        <f>HYPERLINK("https://twitter.com/DPWPKBJAKARTA","@DPWPKBJAKARTA")</f>
        <v>@DPWPKBJAKARTA</v>
      </c>
      <c r="C8641" t="s">
        <v>2133</v>
      </c>
      <c r="D8641">
        <v>101</v>
      </c>
      <c r="E8641">
        <v>0</v>
      </c>
      <c r="F8641">
        <v>4174</v>
      </c>
    </row>
    <row r="8642" spans="1:6" ht="12.75">
      <c r="A8642" s="2">
        <v>43881.444166666668</v>
      </c>
      <c r="B8642" t="str">
        <f>HYPERLINK("https://twitter.com/YogaKrisnanda2","@YogaKrisnanda2")</f>
        <v>@YogaKrisnanda2</v>
      </c>
      <c r="C8642" t="s">
        <v>5164</v>
      </c>
      <c r="D8642">
        <v>6</v>
      </c>
      <c r="E8642">
        <v>0</v>
      </c>
      <c r="F8642">
        <v>3145</v>
      </c>
    </row>
    <row r="8643" spans="1:6" ht="12.75">
      <c r="A8643" s="2">
        <v>43881.444120370375</v>
      </c>
      <c r="B8643" t="str">
        <f>HYPERLINK("https://twitter.com/Nayyasha14","@Nayyasha14")</f>
        <v>@Nayyasha14</v>
      </c>
      <c r="C8643" t="s">
        <v>1407</v>
      </c>
      <c r="D8643">
        <v>9474</v>
      </c>
      <c r="E8643">
        <v>0</v>
      </c>
      <c r="F8643">
        <v>342</v>
      </c>
    </row>
    <row r="8644" spans="1:6" ht="12.75">
      <c r="A8644" s="2">
        <v>43881.443611111114</v>
      </c>
      <c r="B8644" t="str">
        <f>HYPERLINK("https://twitter.com/S3MIC","@S3MIC")</f>
        <v>@S3MIC</v>
      </c>
      <c r="C8644" t="s">
        <v>2768</v>
      </c>
      <c r="D8644">
        <v>78</v>
      </c>
      <c r="E8644">
        <v>0</v>
      </c>
      <c r="F8644">
        <v>50</v>
      </c>
    </row>
    <row r="8645" spans="1:6" ht="12.75">
      <c r="A8645" s="2">
        <v>43881.443599537037</v>
      </c>
      <c r="B8645" t="str">
        <f>HYPERLINK("https://twitter.com/prasetycio","@prasetycio")</f>
        <v>@prasetycio</v>
      </c>
      <c r="C8645" t="s">
        <v>5164</v>
      </c>
      <c r="D8645">
        <v>6</v>
      </c>
      <c r="E8645">
        <v>0</v>
      </c>
      <c r="F8645">
        <v>360</v>
      </c>
    </row>
    <row r="8646" spans="1:6" ht="12.75">
      <c r="A8646" s="2">
        <v>43881.443576388891</v>
      </c>
      <c r="B8646" t="str">
        <f>HYPERLINK("https://twitter.com/Irving_Kho","@Irving_Kho")</f>
        <v>@Irving_Kho</v>
      </c>
      <c r="C8646" t="s">
        <v>5653</v>
      </c>
      <c r="D8646">
        <v>0</v>
      </c>
      <c r="E8646">
        <v>0</v>
      </c>
      <c r="F8646">
        <v>20</v>
      </c>
    </row>
    <row r="8647" spans="1:6" ht="12.75">
      <c r="A8647" s="2">
        <v>43881.44321759259</v>
      </c>
      <c r="B8647" t="str">
        <f>HYPERLINK("https://twitter.com/mencarihayati","@mencarihayati")</f>
        <v>@mencarihayati</v>
      </c>
      <c r="C8647" t="s">
        <v>5651</v>
      </c>
      <c r="D8647">
        <v>3</v>
      </c>
      <c r="E8647">
        <v>0</v>
      </c>
      <c r="F8647">
        <v>951</v>
      </c>
    </row>
    <row r="8648" spans="1:6" ht="12.75">
      <c r="A8648" s="2">
        <v>43881.443194444444</v>
      </c>
      <c r="B8648" t="str">
        <f>HYPERLINK("https://twitter.com/BabluYa85609562","@BabluYa85609562")</f>
        <v>@BabluYa85609562</v>
      </c>
      <c r="C8648" t="s">
        <v>5654</v>
      </c>
      <c r="D8648">
        <v>0</v>
      </c>
      <c r="E8648">
        <v>0</v>
      </c>
      <c r="F8648">
        <v>118</v>
      </c>
    </row>
    <row r="8649" spans="1:6" ht="12.75">
      <c r="A8649" s="2">
        <v>43881.442997685182</v>
      </c>
      <c r="B8649" t="str">
        <f>HYPERLINK("https://twitter.com/bangkitriambada","@bangkitriambada")</f>
        <v>@bangkitriambada</v>
      </c>
      <c r="C8649" t="s">
        <v>5655</v>
      </c>
      <c r="D8649">
        <v>3</v>
      </c>
      <c r="E8649">
        <v>0</v>
      </c>
      <c r="F8649">
        <v>198</v>
      </c>
    </row>
    <row r="8650" spans="1:6" ht="12.75">
      <c r="A8650" s="2">
        <v>43881.442962962959</v>
      </c>
      <c r="B8650" t="str">
        <f>HYPERLINK("https://twitter.com/TofaTofa_id","@TofaTofa_id")</f>
        <v>@TofaTofa_id</v>
      </c>
      <c r="C8650" t="s">
        <v>5656</v>
      </c>
      <c r="D8650">
        <v>6</v>
      </c>
      <c r="E8650">
        <v>10</v>
      </c>
      <c r="F8650">
        <v>12556</v>
      </c>
    </row>
    <row r="8651" spans="1:6" ht="12.75">
      <c r="A8651" s="2">
        <v>43881.442800925928</v>
      </c>
      <c r="B8651" t="str">
        <f>HYPERLINK("https://twitter.com/2c00l2bmessed","@2c00l2bmessed")</f>
        <v>@2c00l2bmessed</v>
      </c>
      <c r="C8651" t="s">
        <v>1407</v>
      </c>
      <c r="D8651">
        <v>9474</v>
      </c>
      <c r="E8651">
        <v>0</v>
      </c>
      <c r="F8651">
        <v>493</v>
      </c>
    </row>
    <row r="8652" spans="1:6" ht="12.75">
      <c r="A8652" s="2">
        <v>43881.442708333328</v>
      </c>
      <c r="B8652" t="str">
        <f>HYPERLINK("https://twitter.com/OliviaCath1540","@OliviaCath1540")</f>
        <v>@OliviaCath1540</v>
      </c>
      <c r="C8652" t="s">
        <v>5139</v>
      </c>
      <c r="D8652">
        <v>16</v>
      </c>
      <c r="E8652">
        <v>0</v>
      </c>
      <c r="F8652">
        <v>1248</v>
      </c>
    </row>
    <row r="8653" spans="1:6" ht="12.75">
      <c r="A8653" s="2">
        <v>43881.442083333328</v>
      </c>
      <c r="B8653" t="str">
        <f>HYPERLINK("https://twitter.com/n20t14","@n20t14")</f>
        <v>@n20t14</v>
      </c>
      <c r="C8653" t="s">
        <v>513</v>
      </c>
      <c r="D8653">
        <v>23210</v>
      </c>
      <c r="E8653">
        <v>0</v>
      </c>
      <c r="F8653">
        <v>439</v>
      </c>
    </row>
    <row r="8654" spans="1:6" ht="12.75">
      <c r="A8654" s="2">
        <v>43881.442048611112</v>
      </c>
      <c r="B8654" t="str">
        <f>HYPERLINK("https://twitter.com/hehehesti","@hehehesti")</f>
        <v>@hehehesti</v>
      </c>
      <c r="C8654" t="s">
        <v>2467</v>
      </c>
      <c r="D8654">
        <v>868</v>
      </c>
      <c r="E8654">
        <v>0</v>
      </c>
      <c r="F8654">
        <v>1207</v>
      </c>
    </row>
    <row r="8655" spans="1:6" ht="12.75">
      <c r="A8655" s="2">
        <v>43881.441747685181</v>
      </c>
      <c r="B8655" t="str">
        <f>HYPERLINK("https://twitter.com/yellowishgirls","@yellowishgirls")</f>
        <v>@yellowishgirls</v>
      </c>
      <c r="C8655" t="s">
        <v>1407</v>
      </c>
      <c r="D8655">
        <v>9474</v>
      </c>
      <c r="E8655">
        <v>0</v>
      </c>
      <c r="F8655">
        <v>10</v>
      </c>
    </row>
    <row r="8656" spans="1:6" ht="12.75">
      <c r="A8656" s="2">
        <v>43881.441087962958</v>
      </c>
      <c r="B8656" t="str">
        <f>HYPERLINK("https://twitter.com/adinianita","@adinianita")</f>
        <v>@adinianita</v>
      </c>
      <c r="C8656" t="s">
        <v>1407</v>
      </c>
      <c r="D8656">
        <v>9474</v>
      </c>
      <c r="E8656">
        <v>0</v>
      </c>
      <c r="F8656">
        <v>478</v>
      </c>
    </row>
    <row r="8657" spans="1:6" ht="12.75">
      <c r="A8657" s="2">
        <v>43881.441076388888</v>
      </c>
      <c r="B8657" t="str">
        <f>HYPERLINK("https://twitter.com/soleilbreeze","@soleilbreeze")</f>
        <v>@soleilbreeze</v>
      </c>
      <c r="C8657" t="s">
        <v>1407</v>
      </c>
      <c r="D8657">
        <v>9474</v>
      </c>
      <c r="E8657">
        <v>0</v>
      </c>
      <c r="F8657">
        <v>249</v>
      </c>
    </row>
    <row r="8658" spans="1:6" ht="12.75">
      <c r="A8658" s="2">
        <v>43881.440902777773</v>
      </c>
      <c r="B8658" t="str">
        <f>HYPERLINK("https://twitter.com/infomitigasi","@infomitigasi")</f>
        <v>@infomitigasi</v>
      </c>
      <c r="C8658" t="s">
        <v>5651</v>
      </c>
      <c r="D8658">
        <v>3</v>
      </c>
      <c r="E8658">
        <v>0</v>
      </c>
      <c r="F8658">
        <v>23923</v>
      </c>
    </row>
    <row r="8659" spans="1:6" ht="12.75">
      <c r="A8659" s="2">
        <v>43881.440486111111</v>
      </c>
      <c r="B8659" t="str">
        <f>HYPERLINK("https://twitter.com/Deffizzy1","@Deffizzy1")</f>
        <v>@Deffizzy1</v>
      </c>
      <c r="C8659" t="s">
        <v>1407</v>
      </c>
      <c r="D8659">
        <v>9474</v>
      </c>
      <c r="E8659">
        <v>0</v>
      </c>
      <c r="F8659">
        <v>0</v>
      </c>
    </row>
    <row r="8660" spans="1:6" ht="12.75">
      <c r="A8660" s="2">
        <v>43881.440335648149</v>
      </c>
      <c r="B8660" t="str">
        <f>HYPERLINK("https://twitter.com/hasbipkb","@hasbipkb")</f>
        <v>@hasbipkb</v>
      </c>
      <c r="C8660" t="s">
        <v>2133</v>
      </c>
      <c r="D8660">
        <v>101</v>
      </c>
      <c r="E8660">
        <v>0</v>
      </c>
      <c r="F8660">
        <v>628</v>
      </c>
    </row>
    <row r="8661" spans="1:6" ht="12.75">
      <c r="A8661" s="2">
        <v>43881.41815972222</v>
      </c>
      <c r="B8661" t="str">
        <f>HYPERLINK("https://twitter.com/NaiNina","@NaiNina")</f>
        <v>@NaiNina</v>
      </c>
      <c r="C8661" t="s">
        <v>3278</v>
      </c>
      <c r="D8661">
        <v>42</v>
      </c>
      <c r="E8661">
        <v>0</v>
      </c>
      <c r="F8661">
        <v>389</v>
      </c>
    </row>
    <row r="8662" spans="1:6" ht="12.75">
      <c r="A8662" s="2">
        <v>43881.417951388888</v>
      </c>
      <c r="B8662" t="str">
        <f>HYPERLINK("https://twitter.com/thongyuck","@thongyuck")</f>
        <v>@thongyuck</v>
      </c>
      <c r="C8662" t="s">
        <v>1407</v>
      </c>
      <c r="D8662">
        <v>9440</v>
      </c>
      <c r="E8662">
        <v>0</v>
      </c>
      <c r="F8662">
        <v>450</v>
      </c>
    </row>
    <row r="8663" spans="1:6" ht="12.75">
      <c r="A8663" s="2">
        <v>43881.417847222227</v>
      </c>
      <c r="B8663" t="str">
        <f>HYPERLINK("https://twitter.com/MissShinta__","@MissShinta__")</f>
        <v>@MissShinta__</v>
      </c>
      <c r="C8663" t="s">
        <v>1407</v>
      </c>
      <c r="D8663">
        <v>9440</v>
      </c>
      <c r="E8663">
        <v>0</v>
      </c>
      <c r="F8663">
        <v>586</v>
      </c>
    </row>
    <row r="8664" spans="1:6" ht="12.75">
      <c r="A8664" s="2">
        <v>43881.41783564815</v>
      </c>
      <c r="B8664" t="str">
        <f>HYPERLINK("https://twitter.com/pandesintyad","@pandesintyad")</f>
        <v>@pandesintyad</v>
      </c>
      <c r="C8664" t="s">
        <v>1407</v>
      </c>
      <c r="D8664">
        <v>9440</v>
      </c>
      <c r="E8664">
        <v>0</v>
      </c>
      <c r="F8664">
        <v>272</v>
      </c>
    </row>
    <row r="8665" spans="1:6" ht="12.75">
      <c r="A8665" s="2">
        <v>43881.417812500003</v>
      </c>
      <c r="B8665" t="str">
        <f>HYPERLINK("https://twitter.com/imriatiarna","@imriatiarna")</f>
        <v>@imriatiarna</v>
      </c>
      <c r="C8665" t="s">
        <v>5657</v>
      </c>
      <c r="D8665">
        <v>0</v>
      </c>
      <c r="E8665">
        <v>0</v>
      </c>
      <c r="F8665">
        <v>13</v>
      </c>
    </row>
    <row r="8666" spans="1:6" ht="12.75">
      <c r="A8666" s="2">
        <v>43881.417650462958</v>
      </c>
      <c r="B8666" t="str">
        <f>HYPERLINK("https://twitter.com/mrs_kyuhyun","@mrs_kyuhyun")</f>
        <v>@mrs_kyuhyun</v>
      </c>
      <c r="C8666" t="s">
        <v>2692</v>
      </c>
      <c r="D8666">
        <v>1843</v>
      </c>
      <c r="E8666">
        <v>0</v>
      </c>
      <c r="F8666">
        <v>1162</v>
      </c>
    </row>
    <row r="8667" spans="1:6" ht="12.75">
      <c r="A8667" s="2">
        <v>43881.417523148149</v>
      </c>
      <c r="B8667" t="str">
        <f>HYPERLINK("https://twitter.com/FradityaHarry","@FradityaHarry")</f>
        <v>@FradityaHarry</v>
      </c>
      <c r="C8667" t="s">
        <v>5658</v>
      </c>
      <c r="D8667">
        <v>0</v>
      </c>
      <c r="E8667">
        <v>0</v>
      </c>
      <c r="F8667">
        <v>1</v>
      </c>
    </row>
    <row r="8668" spans="1:6" ht="12.75">
      <c r="A8668" s="2">
        <v>43881.417488425926</v>
      </c>
      <c r="B8668" t="str">
        <f>HYPERLINK("https://twitter.com/simssaladim","@simssaladim")</f>
        <v>@simssaladim</v>
      </c>
      <c r="C8668" t="s">
        <v>513</v>
      </c>
      <c r="D8668">
        <v>23206</v>
      </c>
      <c r="E8668">
        <v>0</v>
      </c>
      <c r="F8668">
        <v>99</v>
      </c>
    </row>
    <row r="8669" spans="1:6" ht="12.75">
      <c r="A8669" s="2">
        <v>43881.417384259257</v>
      </c>
      <c r="B8669" t="str">
        <f>HYPERLINK("https://twitter.com/investamedia","@investamedia")</f>
        <v>@investamedia</v>
      </c>
      <c r="C8669" t="s">
        <v>5659</v>
      </c>
      <c r="D8669">
        <v>0</v>
      </c>
      <c r="E8669">
        <v>0</v>
      </c>
      <c r="F8669">
        <v>43</v>
      </c>
    </row>
    <row r="8670" spans="1:6" ht="12.75">
      <c r="A8670" s="2">
        <v>43881.416898148149</v>
      </c>
      <c r="B8670" t="str">
        <f>HYPERLINK("https://twitter.com/richardodhstio","@richardodhstio")</f>
        <v>@richardodhstio</v>
      </c>
      <c r="C8670" t="s">
        <v>4360</v>
      </c>
      <c r="D8670">
        <v>125</v>
      </c>
      <c r="E8670">
        <v>0</v>
      </c>
      <c r="F8670">
        <v>2752</v>
      </c>
    </row>
    <row r="8671" spans="1:6" ht="12.75">
      <c r="A8671" s="2">
        <v>43881.41684027778</v>
      </c>
      <c r="B8671" t="str">
        <f>HYPERLINK("https://twitter.com/winna_eka","@winna_eka")</f>
        <v>@winna_eka</v>
      </c>
      <c r="C8671" t="s">
        <v>2692</v>
      </c>
      <c r="D8671">
        <v>1843</v>
      </c>
      <c r="E8671">
        <v>0</v>
      </c>
      <c r="F8671">
        <v>471</v>
      </c>
    </row>
    <row r="8672" spans="1:6" ht="12.75">
      <c r="A8672" s="2">
        <v>43881.416701388887</v>
      </c>
      <c r="B8672" t="str">
        <f>HYPERLINK("https://twitter.com/H4NES234","@H4NES234")</f>
        <v>@H4NES234</v>
      </c>
      <c r="C8672" t="s">
        <v>4360</v>
      </c>
      <c r="D8672">
        <v>125</v>
      </c>
      <c r="E8672">
        <v>0</v>
      </c>
      <c r="F8672">
        <v>2219</v>
      </c>
    </row>
    <row r="8673" spans="1:6" ht="12.75">
      <c r="A8673" s="2">
        <v>43881.416678240741</v>
      </c>
      <c r="B8673" t="str">
        <f>HYPERLINK("https://twitter.com/pinterpolitik","@pinterpolitik")</f>
        <v>@pinterpolitik</v>
      </c>
      <c r="C8673" t="s">
        <v>5660</v>
      </c>
      <c r="D8673">
        <v>0</v>
      </c>
      <c r="E8673">
        <v>0</v>
      </c>
      <c r="F8673">
        <v>7415</v>
      </c>
    </row>
    <row r="8674" spans="1:6" ht="12.75">
      <c r="A8674" s="2">
        <v>43881.416620370372</v>
      </c>
      <c r="B8674" t="str">
        <f>HYPERLINK("https://twitter.com/dewikus1","@dewikus1")</f>
        <v>@dewikus1</v>
      </c>
      <c r="C8674" t="s">
        <v>5661</v>
      </c>
      <c r="D8674">
        <v>0</v>
      </c>
      <c r="E8674">
        <v>0</v>
      </c>
      <c r="F8674">
        <v>291</v>
      </c>
    </row>
    <row r="8675" spans="1:6" ht="12.75">
      <c r="A8675" s="2">
        <v>43881.416585648149</v>
      </c>
      <c r="B8675" t="str">
        <f>HYPERLINK("https://twitter.com/abu_cebong","@abu_cebong")</f>
        <v>@abu_cebong</v>
      </c>
      <c r="C8675" t="s">
        <v>5662</v>
      </c>
      <c r="D8675">
        <v>3</v>
      </c>
      <c r="E8675">
        <v>0</v>
      </c>
      <c r="F8675">
        <v>802</v>
      </c>
    </row>
    <row r="8676" spans="1:6" ht="12.75">
      <c r="A8676" s="2">
        <v>43881.416481481487</v>
      </c>
      <c r="B8676" t="str">
        <f>HYPERLINK("https://twitter.com/xnyxte__","@xnyxte__")</f>
        <v>@xnyxte__</v>
      </c>
      <c r="C8676" t="s">
        <v>1407</v>
      </c>
      <c r="D8676">
        <v>9440</v>
      </c>
      <c r="E8676">
        <v>0</v>
      </c>
      <c r="F8676">
        <v>453</v>
      </c>
    </row>
    <row r="8677" spans="1:6" ht="12.75">
      <c r="A8677" s="2">
        <v>43881.416354166664</v>
      </c>
      <c r="B8677" t="str">
        <f>HYPERLINK("https://twitter.com/misdianto","@misdianto")</f>
        <v>@misdianto</v>
      </c>
      <c r="C8677" t="s">
        <v>5663</v>
      </c>
      <c r="D8677">
        <v>0</v>
      </c>
      <c r="E8677">
        <v>0</v>
      </c>
      <c r="F8677">
        <v>747</v>
      </c>
    </row>
    <row r="8678" spans="1:6" ht="12.75">
      <c r="A8678" s="2">
        <v>43881.416354166664</v>
      </c>
      <c r="B8678" t="str">
        <f>HYPERLINK("https://twitter.com/Ochayangini","@Ochayangini")</f>
        <v>@Ochayangini</v>
      </c>
      <c r="C8678" t="s">
        <v>1407</v>
      </c>
      <c r="D8678">
        <v>9440</v>
      </c>
      <c r="E8678">
        <v>0</v>
      </c>
      <c r="F8678">
        <v>412</v>
      </c>
    </row>
    <row r="8679" spans="1:6" ht="12.75">
      <c r="A8679" s="2">
        <v>43881.415462962963</v>
      </c>
      <c r="B8679" t="str">
        <f>HYPERLINK("https://twitter.com/praja_pyan","@praja_pyan")</f>
        <v>@praja_pyan</v>
      </c>
      <c r="C8679" t="s">
        <v>5662</v>
      </c>
      <c r="D8679">
        <v>3</v>
      </c>
      <c r="E8679">
        <v>0</v>
      </c>
      <c r="F8679">
        <v>66</v>
      </c>
    </row>
    <row r="8680" spans="1:6" ht="12.75">
      <c r="A8680" s="2">
        <v>43881.415451388893</v>
      </c>
      <c r="B8680" t="str">
        <f>HYPERLINK("https://twitter.com/smile_guys","@smile_guys")</f>
        <v>@smile_guys</v>
      </c>
      <c r="C8680" t="s">
        <v>5139</v>
      </c>
      <c r="D8680">
        <v>14</v>
      </c>
      <c r="E8680">
        <v>0</v>
      </c>
      <c r="F8680">
        <v>121</v>
      </c>
    </row>
    <row r="8681" spans="1:6" ht="12.75">
      <c r="A8681" s="2">
        <v>43881.415277777778</v>
      </c>
      <c r="B8681" t="str">
        <f>HYPERLINK("https://twitter.com/jasmineesofiana","@jasmineesofiana")</f>
        <v>@jasmineesofiana</v>
      </c>
      <c r="C8681" t="s">
        <v>1407</v>
      </c>
      <c r="D8681">
        <v>9440</v>
      </c>
      <c r="E8681">
        <v>0</v>
      </c>
      <c r="F8681">
        <v>625</v>
      </c>
    </row>
    <row r="8682" spans="1:6" ht="12.75">
      <c r="A8682" s="2">
        <v>43881.415254629625</v>
      </c>
      <c r="B8682" t="str">
        <f>HYPERLINK("https://twitter.com/Mutiaraknsh","@Mutiaraknsh")</f>
        <v>@Mutiaraknsh</v>
      </c>
      <c r="C8682" t="s">
        <v>1407</v>
      </c>
      <c r="D8682">
        <v>9440</v>
      </c>
      <c r="E8682">
        <v>0</v>
      </c>
      <c r="F8682">
        <v>119</v>
      </c>
    </row>
    <row r="8683" spans="1:6" ht="12.75">
      <c r="A8683" s="2">
        <v>43881.414930555555</v>
      </c>
      <c r="B8683" t="str">
        <f>HYPERLINK("https://twitter.com/perwilham","@perwilham")</f>
        <v>@perwilham</v>
      </c>
      <c r="C8683" t="s">
        <v>5662</v>
      </c>
      <c r="D8683">
        <v>3</v>
      </c>
      <c r="E8683">
        <v>0</v>
      </c>
      <c r="F8683">
        <v>98</v>
      </c>
    </row>
    <row r="8684" spans="1:6" ht="12.75">
      <c r="A8684" s="2">
        <v>43881.41479166667</v>
      </c>
      <c r="B8684" t="str">
        <f>HYPERLINK("https://twitter.com/_tomasowa","@_tomasowa")</f>
        <v>@_tomasowa</v>
      </c>
      <c r="C8684" t="s">
        <v>4360</v>
      </c>
      <c r="D8684">
        <v>125</v>
      </c>
      <c r="E8684">
        <v>0</v>
      </c>
      <c r="F8684">
        <v>2435</v>
      </c>
    </row>
    <row r="8685" spans="1:6" ht="12.75">
      <c r="A8685" s="2">
        <v>43881.414629629631</v>
      </c>
      <c r="B8685" t="str">
        <f>HYPERLINK("https://twitter.com/NieSide27","@NieSide27")</f>
        <v>@NieSide27</v>
      </c>
      <c r="C8685" t="s">
        <v>5664</v>
      </c>
      <c r="D8685">
        <v>1</v>
      </c>
      <c r="E8685">
        <v>0</v>
      </c>
      <c r="F8685">
        <v>137</v>
      </c>
    </row>
    <row r="8686" spans="1:6" ht="12.75">
      <c r="A8686" s="2">
        <v>43881.414548611108</v>
      </c>
      <c r="B8686" t="str">
        <f>HYPERLINK("https://twitter.com/sumardi_arifin","@sumardi_arifin")</f>
        <v>@sumardi_arifin</v>
      </c>
      <c r="C8686" t="s">
        <v>5665</v>
      </c>
      <c r="D8686">
        <v>72</v>
      </c>
      <c r="E8686">
        <v>0</v>
      </c>
      <c r="F8686">
        <v>1165</v>
      </c>
    </row>
    <row r="8687" spans="1:6" ht="12.75">
      <c r="A8687" s="2">
        <v>43881.4144212963</v>
      </c>
      <c r="B8687" t="str">
        <f>HYPERLINK("https://twitter.com/geloraco","@geloraco")</f>
        <v>@geloraco</v>
      </c>
      <c r="C8687" t="s">
        <v>5666</v>
      </c>
      <c r="D8687">
        <v>3</v>
      </c>
      <c r="E8687">
        <v>3</v>
      </c>
      <c r="F8687">
        <v>100855</v>
      </c>
    </row>
    <row r="8688" spans="1:6" ht="12.75">
      <c r="A8688" s="2">
        <v>43881.414097222223</v>
      </c>
      <c r="B8688" t="str">
        <f>HYPERLINK("https://twitter.com/svftrn","@svftrn")</f>
        <v>@svftrn</v>
      </c>
      <c r="C8688" t="s">
        <v>1407</v>
      </c>
      <c r="D8688">
        <v>9440</v>
      </c>
      <c r="E8688">
        <v>0</v>
      </c>
      <c r="F8688">
        <v>488</v>
      </c>
    </row>
    <row r="8689" spans="1:6" ht="12.75">
      <c r="A8689" s="2">
        <v>43881.413993055554</v>
      </c>
      <c r="B8689" t="str">
        <f>HYPERLINK("https://twitter.com/Dani86113065","@Dani86113065")</f>
        <v>@Dani86113065</v>
      </c>
      <c r="C8689" t="s">
        <v>4329</v>
      </c>
      <c r="D8689">
        <v>9</v>
      </c>
      <c r="E8689">
        <v>0</v>
      </c>
      <c r="F8689">
        <v>470</v>
      </c>
    </row>
    <row r="8690" spans="1:6" ht="12.75">
      <c r="A8690" s="2">
        <v>43881.413946759261</v>
      </c>
      <c r="B8690" t="str">
        <f>HYPERLINK("https://twitter.com/Muhammadsuadim2","@Muhammadsuadim2")</f>
        <v>@Muhammadsuadim2</v>
      </c>
      <c r="C8690" t="s">
        <v>5667</v>
      </c>
      <c r="D8690">
        <v>0</v>
      </c>
      <c r="E8690">
        <v>0</v>
      </c>
      <c r="F8690">
        <v>17</v>
      </c>
    </row>
    <row r="8691" spans="1:6" ht="12.75">
      <c r="A8691" s="2">
        <v>43881.413368055553</v>
      </c>
      <c r="B8691" t="str">
        <f>HYPERLINK("https://twitter.com/megamisama_ann","@megamisama_ann")</f>
        <v>@megamisama_ann</v>
      </c>
      <c r="C8691" t="s">
        <v>2692</v>
      </c>
      <c r="D8691">
        <v>1843</v>
      </c>
      <c r="E8691">
        <v>0</v>
      </c>
      <c r="F8691">
        <v>443</v>
      </c>
    </row>
    <row r="8692" spans="1:6" ht="12.75">
      <c r="A8692" s="2">
        <v>43881.413090277776</v>
      </c>
      <c r="B8692" t="str">
        <f>HYPERLINK("https://twitter.com/Iriandi19","@Iriandi19")</f>
        <v>@Iriandi19</v>
      </c>
      <c r="C8692" t="s">
        <v>5668</v>
      </c>
      <c r="D8692">
        <v>0</v>
      </c>
      <c r="E8692">
        <v>2</v>
      </c>
      <c r="F8692">
        <v>1</v>
      </c>
    </row>
    <row r="8693" spans="1:6" ht="12.75">
      <c r="A8693" s="2">
        <v>43881.412754629629</v>
      </c>
      <c r="B8693" t="str">
        <f>HYPERLINK("https://twitter.com/Heri_aja","@Heri_aja")</f>
        <v>@Heri_aja</v>
      </c>
      <c r="C8693" t="s">
        <v>5669</v>
      </c>
      <c r="D8693">
        <v>1</v>
      </c>
      <c r="E8693">
        <v>0</v>
      </c>
      <c r="F8693">
        <v>1691</v>
      </c>
    </row>
    <row r="8694" spans="1:6" ht="12.75">
      <c r="A8694" s="2">
        <v>43881.412453703699</v>
      </c>
      <c r="B8694" t="str">
        <f>HYPERLINK("https://twitter.com/hydrotalcite2mg","@hydrotalcite2mg")</f>
        <v>@hydrotalcite2mg</v>
      </c>
      <c r="C8694" t="s">
        <v>5670</v>
      </c>
      <c r="D8694">
        <v>0</v>
      </c>
      <c r="E8694">
        <v>0</v>
      </c>
      <c r="F8694">
        <v>4</v>
      </c>
    </row>
    <row r="8695" spans="1:6" ht="12.75">
      <c r="A8695" s="2">
        <v>43881.412025462967</v>
      </c>
      <c r="B8695" t="str">
        <f>HYPERLINK("https://twitter.com/dondihananto","@dondihananto")</f>
        <v>@dondihananto</v>
      </c>
      <c r="C8695" t="s">
        <v>5671</v>
      </c>
      <c r="D8695">
        <v>0</v>
      </c>
      <c r="E8695">
        <v>0</v>
      </c>
      <c r="F8695">
        <v>24905</v>
      </c>
    </row>
    <row r="8696" spans="1:6" ht="12.75">
      <c r="A8696" s="2">
        <v>43881.411909722221</v>
      </c>
      <c r="B8696" t="str">
        <f>HYPERLINK("https://twitter.com/Dokter_tasawur","@Dokter_tasawur")</f>
        <v>@Dokter_tasawur</v>
      </c>
      <c r="C8696" t="s">
        <v>5672</v>
      </c>
      <c r="D8696">
        <v>0</v>
      </c>
      <c r="E8696">
        <v>0</v>
      </c>
      <c r="F8696">
        <v>15</v>
      </c>
    </row>
    <row r="8697" spans="1:6" ht="12.75">
      <c r="A8697" s="2">
        <v>43881.41134259259</v>
      </c>
      <c r="B8697" t="str">
        <f>HYPERLINK("https://twitter.com/matchacaaw","@matchacaaw")</f>
        <v>@matchacaaw</v>
      </c>
      <c r="C8697" t="s">
        <v>1407</v>
      </c>
      <c r="D8697">
        <v>9440</v>
      </c>
      <c r="E8697">
        <v>0</v>
      </c>
      <c r="F8697">
        <v>25</v>
      </c>
    </row>
    <row r="8698" spans="1:6" ht="12.75">
      <c r="A8698" s="2">
        <v>43881.411157407405</v>
      </c>
      <c r="B8698" t="str">
        <f>HYPERLINK("https://twitter.com/awskt","@awskt")</f>
        <v>@awskt</v>
      </c>
      <c r="C8698" t="s">
        <v>2692</v>
      </c>
      <c r="D8698">
        <v>1843</v>
      </c>
      <c r="E8698">
        <v>0</v>
      </c>
      <c r="F8698">
        <v>292</v>
      </c>
    </row>
    <row r="8699" spans="1:6" ht="12.75">
      <c r="A8699" s="2">
        <v>43881.410914351851</v>
      </c>
      <c r="B8699" t="str">
        <f>HYPERLINK("https://twitter.com/_bigaonda","@_bigaonda")</f>
        <v>@_bigaonda</v>
      </c>
      <c r="C8699" t="s">
        <v>2692</v>
      </c>
      <c r="D8699">
        <v>1843</v>
      </c>
      <c r="E8699">
        <v>0</v>
      </c>
      <c r="F8699">
        <v>283</v>
      </c>
    </row>
    <row r="8700" spans="1:6" ht="12.75">
      <c r="A8700" s="2">
        <v>43881.410543981481</v>
      </c>
      <c r="B8700" t="str">
        <f>HYPERLINK("https://twitter.com/panggilkepuluu","@panggilkepuluu")</f>
        <v>@panggilkepuluu</v>
      </c>
      <c r="C8700" t="s">
        <v>4329</v>
      </c>
      <c r="D8700">
        <v>9</v>
      </c>
      <c r="E8700">
        <v>0</v>
      </c>
      <c r="F8700">
        <v>735</v>
      </c>
    </row>
    <row r="8701" spans="1:6" ht="12.75">
      <c r="A8701" s="2">
        <v>43881.410219907411</v>
      </c>
      <c r="B8701" t="str">
        <f>HYPERLINK("https://twitter.com/Supriya72540457","@Supriya72540457")</f>
        <v>@Supriya72540457</v>
      </c>
      <c r="C8701" t="s">
        <v>5673</v>
      </c>
      <c r="D8701">
        <v>0</v>
      </c>
      <c r="E8701">
        <v>0</v>
      </c>
      <c r="F8701">
        <v>149</v>
      </c>
    </row>
    <row r="8702" spans="1:6" ht="12.75">
      <c r="A8702" s="2">
        <v>43881.409733796296</v>
      </c>
      <c r="B8702" t="str">
        <f>HYPERLINK("https://twitter.com/oefflorescences","@oefflorescences")</f>
        <v>@oefflorescences</v>
      </c>
      <c r="C8702" t="s">
        <v>2509</v>
      </c>
      <c r="D8702">
        <v>138</v>
      </c>
      <c r="E8702">
        <v>0</v>
      </c>
      <c r="F8702">
        <v>237</v>
      </c>
    </row>
    <row r="8703" spans="1:6" ht="12.75">
      <c r="A8703" s="2">
        <v>43881.409421296295</v>
      </c>
      <c r="B8703" t="str">
        <f>HYPERLINK("https://twitter.com/Avery1776","@Avery1776")</f>
        <v>@Avery1776</v>
      </c>
      <c r="C8703" t="s">
        <v>5674</v>
      </c>
      <c r="D8703">
        <v>0</v>
      </c>
      <c r="E8703">
        <v>3</v>
      </c>
      <c r="F8703">
        <v>22308</v>
      </c>
    </row>
    <row r="8704" spans="1:6" ht="12.75">
      <c r="A8704" s="2">
        <v>43881.409039351856</v>
      </c>
      <c r="B8704" t="str">
        <f>HYPERLINK("https://twitter.com/VIVAcoid","@VIVAcoid")</f>
        <v>@VIVAcoid</v>
      </c>
      <c r="C8704" t="s">
        <v>5675</v>
      </c>
      <c r="D8704">
        <v>1</v>
      </c>
      <c r="E8704">
        <v>0</v>
      </c>
      <c r="F8704">
        <v>4170718</v>
      </c>
    </row>
    <row r="8705" spans="1:6" ht="12.75">
      <c r="A8705" s="2">
        <v>43881.40896990741</v>
      </c>
      <c r="B8705" t="str">
        <f>HYPERLINK("https://twitter.com/nikanor1234","@nikanor1234")</f>
        <v>@nikanor1234</v>
      </c>
      <c r="C8705" t="s">
        <v>2692</v>
      </c>
      <c r="D8705">
        <v>1843</v>
      </c>
      <c r="E8705">
        <v>0</v>
      </c>
      <c r="F8705">
        <v>738</v>
      </c>
    </row>
    <row r="8706" spans="1:6" ht="12.75">
      <c r="A8706" s="2">
        <v>43881.408703703702</v>
      </c>
      <c r="B8706" t="str">
        <f>HYPERLINK("https://twitter.com/vivanewscom","@vivanewscom")</f>
        <v>@vivanewscom</v>
      </c>
      <c r="C8706" t="s">
        <v>5676</v>
      </c>
      <c r="D8706">
        <v>1</v>
      </c>
      <c r="E8706">
        <v>1</v>
      </c>
      <c r="F8706">
        <v>4221</v>
      </c>
    </row>
    <row r="8707" spans="1:6" ht="12.75">
      <c r="A8707" s="2">
        <v>43881.408125000002</v>
      </c>
      <c r="B8707" t="str">
        <f>HYPERLINK("https://twitter.com/RanggaLeo","@RanggaLeo")</f>
        <v>@RanggaLeo</v>
      </c>
      <c r="C8707" t="s">
        <v>1407</v>
      </c>
      <c r="D8707">
        <v>9440</v>
      </c>
      <c r="E8707">
        <v>0</v>
      </c>
      <c r="F8707">
        <v>94</v>
      </c>
    </row>
    <row r="8708" spans="1:6" ht="12.75">
      <c r="A8708" s="2">
        <v>43881.407824074078</v>
      </c>
      <c r="B8708" t="str">
        <f>HYPERLINK("https://twitter.com/fajrinugrh","@fajrinugrh")</f>
        <v>@fajrinugrh</v>
      </c>
      <c r="C8708" t="s">
        <v>1407</v>
      </c>
      <c r="D8708">
        <v>9440</v>
      </c>
      <c r="E8708">
        <v>0</v>
      </c>
      <c r="F8708">
        <v>98</v>
      </c>
    </row>
    <row r="8709" spans="1:6" ht="12.75">
      <c r="A8709" s="2">
        <v>43881.407569444447</v>
      </c>
      <c r="B8709" t="str">
        <f>HYPERLINK("https://twitter.com/cutayr","@cutayr")</f>
        <v>@cutayr</v>
      </c>
      <c r="C8709" t="s">
        <v>2692</v>
      </c>
      <c r="D8709">
        <v>1843</v>
      </c>
      <c r="E8709">
        <v>0</v>
      </c>
      <c r="F8709">
        <v>816</v>
      </c>
    </row>
    <row r="8710" spans="1:6" ht="12.75">
      <c r="A8710" s="2">
        <v>43881.407314814816</v>
      </c>
      <c r="B8710" t="str">
        <f>HYPERLINK("https://twitter.com/icasaurus","@icasaurus")</f>
        <v>@icasaurus</v>
      </c>
      <c r="C8710" t="s">
        <v>1407</v>
      </c>
      <c r="D8710">
        <v>9440</v>
      </c>
      <c r="E8710">
        <v>0</v>
      </c>
      <c r="F8710">
        <v>504</v>
      </c>
    </row>
    <row r="8711" spans="1:6" ht="12.75">
      <c r="A8711" s="2">
        <v>43881.406307870369</v>
      </c>
      <c r="B8711" t="str">
        <f>HYPERLINK("https://twitter.com/putrimiserigulo","@putrimiserigulo")</f>
        <v>@putrimiserigulo</v>
      </c>
      <c r="C8711" t="s">
        <v>2692</v>
      </c>
      <c r="D8711">
        <v>1843</v>
      </c>
      <c r="E8711">
        <v>0</v>
      </c>
      <c r="F8711">
        <v>3597</v>
      </c>
    </row>
    <row r="8712" spans="1:6" ht="12.75">
      <c r="A8712" s="2">
        <v>43881.405740740738</v>
      </c>
      <c r="B8712" t="str">
        <f>HYPERLINK("https://twitter.com/May08514022","@May08514022")</f>
        <v>@May08514022</v>
      </c>
      <c r="C8712" t="s">
        <v>5677</v>
      </c>
      <c r="D8712">
        <v>0</v>
      </c>
      <c r="E8712">
        <v>0</v>
      </c>
      <c r="F8712">
        <v>6</v>
      </c>
    </row>
    <row r="8713" spans="1:6" ht="12.75">
      <c r="A8713" s="2">
        <v>43881.405335648145</v>
      </c>
      <c r="B8713" t="str">
        <f>HYPERLINK("https://twitter.com/HumanIn_Aceh","@HumanIn_Aceh")</f>
        <v>@HumanIn_Aceh</v>
      </c>
      <c r="C8713" t="s">
        <v>5678</v>
      </c>
      <c r="D8713">
        <v>1</v>
      </c>
      <c r="E8713">
        <v>0</v>
      </c>
      <c r="F8713">
        <v>1718</v>
      </c>
    </row>
    <row r="8714" spans="1:6" ht="12.75">
      <c r="A8714" s="2">
        <v>43881.405324074076</v>
      </c>
      <c r="B8714" t="str">
        <f>HYPERLINK("https://twitter.com/mamiofdew","@mamiofdew")</f>
        <v>@mamiofdew</v>
      </c>
      <c r="C8714" t="s">
        <v>1407</v>
      </c>
      <c r="D8714">
        <v>9440</v>
      </c>
      <c r="E8714">
        <v>0</v>
      </c>
      <c r="F8714">
        <v>858</v>
      </c>
    </row>
    <row r="8715" spans="1:6" ht="12.75">
      <c r="A8715" s="2">
        <v>43881.405127314814</v>
      </c>
      <c r="B8715" t="str">
        <f>HYPERLINK("https://twitter.com/Yepiylnrk","@Yepiylnrk")</f>
        <v>@Yepiylnrk</v>
      </c>
      <c r="C8715" t="s">
        <v>5679</v>
      </c>
      <c r="D8715">
        <v>0</v>
      </c>
      <c r="E8715">
        <v>0</v>
      </c>
      <c r="F8715">
        <v>1054</v>
      </c>
    </row>
    <row r="8716" spans="1:6" ht="12.75">
      <c r="A8716" s="2">
        <v>43881.405115740738</v>
      </c>
      <c r="B8716" t="str">
        <f>HYPERLINK("https://twitter.com/innocentkid_","@innocentkid_")</f>
        <v>@innocentkid_</v>
      </c>
      <c r="C8716" t="s">
        <v>1407</v>
      </c>
      <c r="D8716">
        <v>9440</v>
      </c>
      <c r="E8716">
        <v>0</v>
      </c>
      <c r="F8716">
        <v>56</v>
      </c>
    </row>
    <row r="8717" spans="1:6" ht="12.75">
      <c r="A8717" s="2">
        <v>43881.405046296291</v>
      </c>
      <c r="B8717" t="str">
        <f>HYPERLINK("https://twitter.com/FradityaHarry","@FradityaHarry")</f>
        <v>@FradityaHarry</v>
      </c>
      <c r="C8717" t="s">
        <v>5680</v>
      </c>
      <c r="D8717">
        <v>0</v>
      </c>
      <c r="E8717">
        <v>1</v>
      </c>
      <c r="F8717">
        <v>1</v>
      </c>
    </row>
    <row r="8718" spans="1:6" ht="12.75">
      <c r="A8718" s="2">
        <v>43881.404814814814</v>
      </c>
      <c r="B8718" t="str">
        <f>HYPERLINK("https://twitter.com/Khong_Beng","@Khong_Beng")</f>
        <v>@Khong_Beng</v>
      </c>
      <c r="C8718" t="s">
        <v>4360</v>
      </c>
      <c r="D8718">
        <v>125</v>
      </c>
      <c r="E8718">
        <v>0</v>
      </c>
      <c r="F8718">
        <v>162</v>
      </c>
    </row>
    <row r="8719" spans="1:6" ht="12.75">
      <c r="A8719" s="2">
        <v>43881.404687499999</v>
      </c>
      <c r="B8719" t="str">
        <f>HYPERLINK("https://twitter.com/xijaehwan","@xijaehwan")</f>
        <v>@xijaehwan</v>
      </c>
      <c r="C8719" t="s">
        <v>5681</v>
      </c>
      <c r="D8719">
        <v>0</v>
      </c>
      <c r="E8719">
        <v>0</v>
      </c>
      <c r="F8719">
        <v>1699</v>
      </c>
    </row>
    <row r="8720" spans="1:6" ht="12.75">
      <c r="A8720" s="2">
        <v>43881.404687499999</v>
      </c>
      <c r="B8720" t="str">
        <f>HYPERLINK("https://twitter.com/buceiswara","@buceiswara")</f>
        <v>@buceiswara</v>
      </c>
      <c r="C8720" t="s">
        <v>5682</v>
      </c>
      <c r="D8720">
        <v>2</v>
      </c>
      <c r="E8720">
        <v>0</v>
      </c>
      <c r="F8720">
        <v>84</v>
      </c>
    </row>
    <row r="8721" spans="1:6" ht="12.75">
      <c r="A8721" s="2">
        <v>43881.404606481483</v>
      </c>
      <c r="B8721" t="str">
        <f>HYPERLINK("https://twitter.com/formaggioo","@formaggioo")</f>
        <v>@formaggioo</v>
      </c>
      <c r="C8721" t="s">
        <v>1407</v>
      </c>
      <c r="D8721">
        <v>9440</v>
      </c>
      <c r="E8721">
        <v>0</v>
      </c>
      <c r="F8721">
        <v>1651</v>
      </c>
    </row>
    <row r="8722" spans="1:6" ht="12.75">
      <c r="A8722" s="2">
        <v>43881.40457175926</v>
      </c>
      <c r="B8722" t="str">
        <f>HYPERLINK("https://twitter.com/Gajava_Nano","@Gajava_Nano")</f>
        <v>@Gajava_Nano</v>
      </c>
      <c r="C8722" t="s">
        <v>1407</v>
      </c>
      <c r="D8722">
        <v>9440</v>
      </c>
      <c r="E8722">
        <v>0</v>
      </c>
      <c r="F8722">
        <v>776</v>
      </c>
    </row>
    <row r="8723" spans="1:6" ht="12.75">
      <c r="A8723" s="2">
        <v>43881.404340277775</v>
      </c>
      <c r="B8723" t="str">
        <f>HYPERLINK("https://twitter.com/keichain","@keichain")</f>
        <v>@keichain</v>
      </c>
      <c r="C8723" t="s">
        <v>1407</v>
      </c>
      <c r="D8723">
        <v>9440</v>
      </c>
      <c r="E8723">
        <v>0</v>
      </c>
      <c r="F8723">
        <v>275</v>
      </c>
    </row>
    <row r="8724" spans="1:6" ht="12.75">
      <c r="A8724" s="2">
        <v>43881.40425925926</v>
      </c>
      <c r="B8724" t="str">
        <f>HYPERLINK("https://twitter.com/Na_NuYan_","@Na_NuYan_")</f>
        <v>@Na_NuYan_</v>
      </c>
      <c r="C8724" t="s">
        <v>1407</v>
      </c>
      <c r="D8724">
        <v>9440</v>
      </c>
      <c r="E8724">
        <v>0</v>
      </c>
      <c r="F8724">
        <v>1</v>
      </c>
    </row>
    <row r="8725" spans="1:6" ht="12.75">
      <c r="A8725" s="2">
        <v>43881.404189814813</v>
      </c>
      <c r="B8725" t="str">
        <f>HYPERLINK("https://twitter.com/ghifarrm1","@ghifarrm1")</f>
        <v>@ghifarrm1</v>
      </c>
      <c r="C8725" t="s">
        <v>5683</v>
      </c>
      <c r="D8725">
        <v>0</v>
      </c>
      <c r="E8725">
        <v>0</v>
      </c>
      <c r="F8725">
        <v>54</v>
      </c>
    </row>
    <row r="8726" spans="1:6" ht="12.75">
      <c r="A8726" s="2">
        <v>43881.404097222221</v>
      </c>
      <c r="B8726" t="str">
        <f>HYPERLINK("https://twitter.com/deepiina","@deepiina")</f>
        <v>@deepiina</v>
      </c>
      <c r="C8726" t="s">
        <v>1407</v>
      </c>
      <c r="D8726">
        <v>9440</v>
      </c>
      <c r="E8726">
        <v>0</v>
      </c>
      <c r="F8726">
        <v>224</v>
      </c>
    </row>
    <row r="8727" spans="1:6" ht="12.75">
      <c r="A8727" s="2">
        <v>43881.403969907406</v>
      </c>
      <c r="B8727" t="str">
        <f>HYPERLINK("https://twitter.com/RizkyBram27","@RizkyBram27")</f>
        <v>@RizkyBram27</v>
      </c>
      <c r="C8727" t="s">
        <v>4360</v>
      </c>
      <c r="D8727">
        <v>125</v>
      </c>
      <c r="E8727">
        <v>0</v>
      </c>
      <c r="F8727">
        <v>755</v>
      </c>
    </row>
    <row r="8728" spans="1:6" ht="12.75">
      <c r="A8728" s="2">
        <v>43881.403842592597</v>
      </c>
      <c r="B8728" t="str">
        <f>HYPERLINK("https://twitter.com/Lesung75446356","@Lesung75446356")</f>
        <v>@Lesung75446356</v>
      </c>
      <c r="C8728" t="s">
        <v>5684</v>
      </c>
      <c r="D8728">
        <v>0</v>
      </c>
      <c r="E8728">
        <v>0</v>
      </c>
      <c r="F8728">
        <v>1</v>
      </c>
    </row>
    <row r="8729" spans="1:6" ht="12.75">
      <c r="A8729" s="2">
        <v>43881.403425925921</v>
      </c>
      <c r="B8729" t="str">
        <f>HYPERLINK("https://twitter.com/TolakBigotRI","@TolakBigotRI")</f>
        <v>@TolakBigotRI</v>
      </c>
      <c r="C8729" t="s">
        <v>4329</v>
      </c>
      <c r="D8729">
        <v>9</v>
      </c>
      <c r="E8729">
        <v>0</v>
      </c>
      <c r="F8729">
        <v>25633</v>
      </c>
    </row>
    <row r="8730" spans="1:6" ht="12.75">
      <c r="A8730" s="2">
        <v>43881.403344907405</v>
      </c>
      <c r="B8730" t="str">
        <f>HYPERLINK("https://twitter.com/taekookusayang","@taekookusayang")</f>
        <v>@taekookusayang</v>
      </c>
      <c r="C8730" t="s">
        <v>2183</v>
      </c>
      <c r="D8730">
        <v>315</v>
      </c>
      <c r="E8730">
        <v>0</v>
      </c>
      <c r="F8730">
        <v>250</v>
      </c>
    </row>
    <row r="8731" spans="1:6" ht="12.75">
      <c r="A8731" s="2">
        <v>43881.403310185182</v>
      </c>
      <c r="B8731" t="str">
        <f>HYPERLINK("https://twitter.com/TolakBigotRI","@TolakBigotRI")</f>
        <v>@TolakBigotRI</v>
      </c>
      <c r="C8731" t="s">
        <v>4360</v>
      </c>
      <c r="D8731">
        <v>125</v>
      </c>
      <c r="E8731">
        <v>0</v>
      </c>
      <c r="F8731">
        <v>25633</v>
      </c>
    </row>
    <row r="8732" spans="1:6" ht="12.75">
      <c r="A8732" s="2">
        <v>43881.403298611112</v>
      </c>
      <c r="B8732" t="str">
        <f>HYPERLINK("https://twitter.com/yohanseungwu","@yohanseungwu")</f>
        <v>@yohanseungwu</v>
      </c>
      <c r="C8732" t="s">
        <v>1407</v>
      </c>
      <c r="D8732">
        <v>9440</v>
      </c>
      <c r="E8732">
        <v>0</v>
      </c>
      <c r="F8732">
        <v>121</v>
      </c>
    </row>
    <row r="8733" spans="1:6" ht="12.75">
      <c r="A8733" s="2">
        <v>43881.403263888889</v>
      </c>
      <c r="B8733" t="str">
        <f>HYPERLINK("https://twitter.com/taekookusayang","@taekookusayang")</f>
        <v>@taekookusayang</v>
      </c>
      <c r="C8733" t="s">
        <v>2467</v>
      </c>
      <c r="D8733">
        <v>862</v>
      </c>
      <c r="E8733">
        <v>0</v>
      </c>
      <c r="F8733">
        <v>250</v>
      </c>
    </row>
    <row r="8734" spans="1:6" ht="12.75">
      <c r="A8734" s="2">
        <v>43881.40325231482</v>
      </c>
      <c r="B8734" t="str">
        <f>HYPERLINK("https://twitter.com/UwuAku","@UwuAku")</f>
        <v>@UwuAku</v>
      </c>
      <c r="C8734" t="s">
        <v>1407</v>
      </c>
      <c r="D8734">
        <v>9440</v>
      </c>
      <c r="E8734">
        <v>0</v>
      </c>
      <c r="F8734">
        <v>446</v>
      </c>
    </row>
    <row r="8735" spans="1:6" ht="12.75">
      <c r="A8735" s="2">
        <v>43881.402997685189</v>
      </c>
      <c r="B8735" t="str">
        <f>HYPERLINK("https://twitter.com/emilisa707","@emilisa707")</f>
        <v>@emilisa707</v>
      </c>
      <c r="C8735" t="s">
        <v>5685</v>
      </c>
      <c r="D8735">
        <v>1</v>
      </c>
      <c r="E8735">
        <v>0</v>
      </c>
      <c r="F8735">
        <v>275</v>
      </c>
    </row>
    <row r="8736" spans="1:6" ht="12.75">
      <c r="A8736" s="2">
        <v>43881.40247685185</v>
      </c>
      <c r="B8736" t="str">
        <f>HYPERLINK("https://twitter.com/beautifulsenja","@beautifulsenja")</f>
        <v>@beautifulsenja</v>
      </c>
      <c r="C8736" t="s">
        <v>1407</v>
      </c>
      <c r="D8736">
        <v>9440</v>
      </c>
      <c r="E8736">
        <v>0</v>
      </c>
      <c r="F8736">
        <v>13</v>
      </c>
    </row>
    <row r="8737" spans="1:6" ht="12.75">
      <c r="A8737" s="2">
        <v>43881.401678240742</v>
      </c>
      <c r="B8737" t="str">
        <f>HYPERLINK("https://twitter.com/wind_aku","@wind_aku")</f>
        <v>@wind_aku</v>
      </c>
      <c r="C8737" t="s">
        <v>1407</v>
      </c>
      <c r="D8737">
        <v>9440</v>
      </c>
      <c r="E8737">
        <v>0</v>
      </c>
      <c r="F8737">
        <v>580</v>
      </c>
    </row>
    <row r="8738" spans="1:6" ht="12.75">
      <c r="A8738" s="2">
        <v>43881.401388888888</v>
      </c>
      <c r="B8738" t="str">
        <f>HYPERLINK("https://twitter.com/dwiraha00586436","@dwiraha00586436")</f>
        <v>@dwiraha00586436</v>
      </c>
      <c r="C8738" t="s">
        <v>5686</v>
      </c>
      <c r="D8738">
        <v>0</v>
      </c>
      <c r="E8738">
        <v>1</v>
      </c>
      <c r="F8738">
        <v>6</v>
      </c>
    </row>
    <row r="8739" spans="1:6" ht="12.75">
      <c r="A8739" s="2">
        <v>43881.401249999995</v>
      </c>
      <c r="B8739" t="str">
        <f>HYPERLINK("https://twitter.com/anggitaNadila","@anggitaNadila")</f>
        <v>@anggitaNadila</v>
      </c>
      <c r="C8739" t="s">
        <v>2692</v>
      </c>
      <c r="D8739">
        <v>1843</v>
      </c>
      <c r="E8739">
        <v>0</v>
      </c>
      <c r="F8739">
        <v>722</v>
      </c>
    </row>
    <row r="8740" spans="1:6" ht="12.75">
      <c r="A8740" s="2">
        <v>43881.400659722218</v>
      </c>
      <c r="B8740" t="str">
        <f>HYPERLINK("https://twitter.com/Se7enline_radio","@Se7enline_radio")</f>
        <v>@Se7enline_radio</v>
      </c>
      <c r="C8740" t="s">
        <v>5687</v>
      </c>
      <c r="D8740">
        <v>0</v>
      </c>
      <c r="E8740">
        <v>0</v>
      </c>
      <c r="F8740">
        <v>1279</v>
      </c>
    </row>
    <row r="8741" spans="1:6" ht="12.75">
      <c r="A8741" s="2">
        <v>43881.400393518517</v>
      </c>
      <c r="B8741" t="str">
        <f>HYPERLINK("https://twitter.com/TheNotoriousPDB","@TheNotoriousPDB")</f>
        <v>@TheNotoriousPDB</v>
      </c>
      <c r="C8741" t="s">
        <v>5688</v>
      </c>
      <c r="D8741">
        <v>0</v>
      </c>
      <c r="E8741">
        <v>0</v>
      </c>
      <c r="F8741">
        <v>187</v>
      </c>
    </row>
    <row r="8742" spans="1:6" ht="12.75">
      <c r="A8742" s="2">
        <v>43881.400046296301</v>
      </c>
      <c r="B8742" t="str">
        <f>HYPERLINK("https://twitter.com/_jabangtutuko_","@_jabangtutuko_")</f>
        <v>@_jabangtutuko_</v>
      </c>
      <c r="C8742" t="s">
        <v>4360</v>
      </c>
      <c r="D8742">
        <v>125</v>
      </c>
      <c r="E8742">
        <v>0</v>
      </c>
      <c r="F8742">
        <v>419</v>
      </c>
    </row>
    <row r="8743" spans="1:6" ht="12.75">
      <c r="A8743" s="2">
        <v>43881.399895833332</v>
      </c>
      <c r="B8743" t="str">
        <f>HYPERLINK("https://twitter.com/whityblue_","@whityblue_")</f>
        <v>@whityblue_</v>
      </c>
      <c r="C8743" t="s">
        <v>1407</v>
      </c>
      <c r="D8743">
        <v>9440</v>
      </c>
      <c r="E8743">
        <v>0</v>
      </c>
      <c r="F8743">
        <v>90</v>
      </c>
    </row>
    <row r="8744" spans="1:6" ht="12.75">
      <c r="A8744" s="2">
        <v>43881.399687500001</v>
      </c>
      <c r="B8744" t="str">
        <f>HYPERLINK("https://twitter.com/aestheler","@aestheler")</f>
        <v>@aestheler</v>
      </c>
      <c r="C8744" t="s">
        <v>1407</v>
      </c>
      <c r="D8744">
        <v>9440</v>
      </c>
      <c r="E8744">
        <v>0</v>
      </c>
      <c r="F8744">
        <v>2324</v>
      </c>
    </row>
    <row r="8745" spans="1:6" ht="12.75">
      <c r="A8745" s="2">
        <v>43881.399537037039</v>
      </c>
      <c r="B8745" t="str">
        <f>HYPERLINK("https://twitter.com/mingkeums","@mingkeums")</f>
        <v>@mingkeums</v>
      </c>
      <c r="C8745" t="s">
        <v>1407</v>
      </c>
      <c r="D8745">
        <v>9440</v>
      </c>
      <c r="E8745">
        <v>0</v>
      </c>
      <c r="F8745">
        <v>19</v>
      </c>
    </row>
    <row r="8746" spans="1:6" ht="12.75">
      <c r="A8746" s="2">
        <v>43881.398831018523</v>
      </c>
      <c r="B8746" t="str">
        <f>HYPERLINK("https://twitter.com/Hasemelehhhhhh","@Hasemelehhhhhh")</f>
        <v>@Hasemelehhhhhh</v>
      </c>
      <c r="C8746" t="s">
        <v>1407</v>
      </c>
      <c r="D8746">
        <v>9440</v>
      </c>
      <c r="E8746">
        <v>0</v>
      </c>
      <c r="F8746">
        <v>11</v>
      </c>
    </row>
    <row r="8747" spans="1:6" ht="12.75">
      <c r="A8747" s="2">
        <v>43881.398414351846</v>
      </c>
      <c r="B8747" t="str">
        <f>HYPERLINK("https://twitter.com/lionelacrisa_","@lionelacrisa_")</f>
        <v>@lionelacrisa_</v>
      </c>
      <c r="C8747" t="s">
        <v>1407</v>
      </c>
      <c r="D8747">
        <v>9440</v>
      </c>
      <c r="E8747">
        <v>0</v>
      </c>
      <c r="F8747">
        <v>94</v>
      </c>
    </row>
    <row r="8748" spans="1:6" ht="12.75">
      <c r="A8748" s="2">
        <v>43881.398321759261</v>
      </c>
      <c r="B8748" t="str">
        <f>HYPERLINK("https://twitter.com/bruceleeeee69","@bruceleeeee69")</f>
        <v>@bruceleeeee69</v>
      </c>
      <c r="C8748" t="s">
        <v>5689</v>
      </c>
      <c r="D8748">
        <v>0</v>
      </c>
      <c r="E8748">
        <v>0</v>
      </c>
      <c r="F8748">
        <v>16</v>
      </c>
    </row>
    <row r="8749" spans="1:6" ht="12.75">
      <c r="A8749" s="2">
        <v>43881.398206018523</v>
      </c>
      <c r="B8749" t="str">
        <f>HYPERLINK("https://twitter.com/stannerz2020","@stannerz2020")</f>
        <v>@stannerz2020</v>
      </c>
      <c r="C8749" t="s">
        <v>1407</v>
      </c>
      <c r="D8749">
        <v>9440</v>
      </c>
      <c r="E8749">
        <v>0</v>
      </c>
      <c r="F8749">
        <v>33</v>
      </c>
    </row>
    <row r="8750" spans="1:6" ht="12.75">
      <c r="A8750" s="2">
        <v>43881.398159722223</v>
      </c>
      <c r="B8750" t="str">
        <f>HYPERLINK("https://twitter.com/rian_galau","@rian_galau")</f>
        <v>@rian_galau</v>
      </c>
      <c r="C8750" t="s">
        <v>1407</v>
      </c>
      <c r="D8750">
        <v>9440</v>
      </c>
      <c r="E8750">
        <v>0</v>
      </c>
      <c r="F8750">
        <v>8</v>
      </c>
    </row>
    <row r="8751" spans="1:6" ht="12.75">
      <c r="A8751" s="2">
        <v>43881.398159722223</v>
      </c>
      <c r="B8751" t="str">
        <f>HYPERLINK("https://twitter.com/dinatasyachr_","@dinatasyachr_")</f>
        <v>@dinatasyachr_</v>
      </c>
      <c r="C8751" t="s">
        <v>1407</v>
      </c>
      <c r="D8751">
        <v>9440</v>
      </c>
      <c r="E8751">
        <v>0</v>
      </c>
      <c r="F8751">
        <v>124</v>
      </c>
    </row>
    <row r="8752" spans="1:6" ht="12.75">
      <c r="A8752" s="2">
        <v>43881.398055555561</v>
      </c>
      <c r="B8752" t="str">
        <f>HYPERLINK("https://twitter.com/embersky_","@embersky_")</f>
        <v>@embersky_</v>
      </c>
      <c r="C8752" t="s">
        <v>2692</v>
      </c>
      <c r="D8752">
        <v>1843</v>
      </c>
      <c r="E8752">
        <v>0</v>
      </c>
      <c r="F8752">
        <v>72</v>
      </c>
    </row>
    <row r="8753" spans="1:6" ht="12.75">
      <c r="A8753" s="2">
        <v>43881.397696759261</v>
      </c>
      <c r="B8753" t="str">
        <f>HYPERLINK("https://twitter.com/wiwin90_","@wiwin90_")</f>
        <v>@wiwin90_</v>
      </c>
      <c r="C8753" t="s">
        <v>2135</v>
      </c>
      <c r="D8753">
        <v>29</v>
      </c>
      <c r="E8753">
        <v>0</v>
      </c>
      <c r="F8753">
        <v>458</v>
      </c>
    </row>
    <row r="8754" spans="1:6" ht="12.75">
      <c r="A8754" s="2">
        <v>43881.397604166668</v>
      </c>
      <c r="B8754" t="str">
        <f>HYPERLINK("https://twitter.com/tvOneNews","@tvOneNews")</f>
        <v>@tvOneNews</v>
      </c>
      <c r="C8754" t="s">
        <v>5245</v>
      </c>
      <c r="D8754">
        <v>0</v>
      </c>
      <c r="E8754">
        <v>5</v>
      </c>
      <c r="F8754">
        <v>8717636</v>
      </c>
    </row>
    <row r="8755" spans="1:6" ht="12.75">
      <c r="A8755" s="2">
        <v>43881.397581018522</v>
      </c>
      <c r="B8755" t="str">
        <f>HYPERLINK("https://twitter.com/AlBanna57697952","@AlBanna57697952")</f>
        <v>@AlBanna57697952</v>
      </c>
      <c r="C8755" t="s">
        <v>5139</v>
      </c>
      <c r="D8755">
        <v>14</v>
      </c>
      <c r="E8755">
        <v>0</v>
      </c>
      <c r="F8755">
        <v>43</v>
      </c>
    </row>
    <row r="8756" spans="1:6" ht="12.75">
      <c r="A8756" s="2">
        <v>43881.397546296299</v>
      </c>
      <c r="B8756" t="str">
        <f>HYPERLINK("https://twitter.com/lovelyK53220966","@lovelyK53220966")</f>
        <v>@lovelyK53220966</v>
      </c>
      <c r="C8756" t="s">
        <v>2085</v>
      </c>
      <c r="D8756">
        <v>12</v>
      </c>
      <c r="E8756">
        <v>0</v>
      </c>
      <c r="F8756">
        <v>2</v>
      </c>
    </row>
    <row r="8757" spans="1:6" ht="12.75">
      <c r="A8757" s="2">
        <v>43881.397407407407</v>
      </c>
      <c r="B8757" t="str">
        <f>HYPERLINK("https://twitter.com/lesdaybreaks","@lesdaybreaks")</f>
        <v>@lesdaybreaks</v>
      </c>
      <c r="C8757" t="s">
        <v>2692</v>
      </c>
      <c r="D8757">
        <v>1843</v>
      </c>
      <c r="E8757">
        <v>0</v>
      </c>
      <c r="F8757">
        <v>223</v>
      </c>
    </row>
    <row r="8758" spans="1:6" ht="12.75">
      <c r="A8758" s="2">
        <v>43881.397199074076</v>
      </c>
      <c r="B8758" t="str">
        <f>HYPERLINK("https://twitter.com/toServetoGive","@toServetoGive")</f>
        <v>@toServetoGive</v>
      </c>
      <c r="C8758" t="s">
        <v>5690</v>
      </c>
      <c r="D8758">
        <v>0</v>
      </c>
      <c r="E8758">
        <v>0</v>
      </c>
      <c r="F8758">
        <v>5</v>
      </c>
    </row>
    <row r="8759" spans="1:6" ht="12.75">
      <c r="A8759" s="2">
        <v>43881.397175925929</v>
      </c>
      <c r="B8759" t="str">
        <f>HYPERLINK("https://twitter.com/BawasluKotaJPR","@BawasluKotaJPR")</f>
        <v>@BawasluKotaJPR</v>
      </c>
      <c r="C8759" t="s">
        <v>5691</v>
      </c>
      <c r="D8759">
        <v>0</v>
      </c>
      <c r="E8759">
        <v>0</v>
      </c>
      <c r="F8759">
        <v>64</v>
      </c>
    </row>
    <row r="8760" spans="1:6" ht="12.75">
      <c r="A8760" s="2">
        <v>43881.396944444445</v>
      </c>
      <c r="B8760" t="str">
        <f>HYPERLINK("https://twitter.com/SusilawatiSisi2","@SusilawatiSisi2")</f>
        <v>@SusilawatiSisi2</v>
      </c>
      <c r="C8760" t="s">
        <v>5692</v>
      </c>
      <c r="D8760">
        <v>0</v>
      </c>
      <c r="E8760">
        <v>0</v>
      </c>
      <c r="F8760">
        <v>3507</v>
      </c>
    </row>
    <row r="8761" spans="1:6" ht="12.75">
      <c r="A8761" s="2">
        <v>43881.376493055555</v>
      </c>
      <c r="B8761" t="str">
        <f>HYPERLINK("https://twitter.com/excusemiiin","@excusemiiin")</f>
        <v>@excusemiiin</v>
      </c>
      <c r="C8761" t="s">
        <v>2692</v>
      </c>
      <c r="D8761">
        <v>1825</v>
      </c>
      <c r="E8761">
        <v>0</v>
      </c>
      <c r="F8761">
        <v>269</v>
      </c>
    </row>
    <row r="8762" spans="1:6" ht="12.75">
      <c r="A8762" s="2">
        <v>43881.376284722224</v>
      </c>
      <c r="B8762" t="str">
        <f>HYPERLINK("https://twitter.com/tinaagusduwi","@tinaagusduwi")</f>
        <v>@tinaagusduwi</v>
      </c>
      <c r="C8762" t="s">
        <v>1407</v>
      </c>
      <c r="D8762">
        <v>9371</v>
      </c>
      <c r="E8762">
        <v>0</v>
      </c>
      <c r="F8762">
        <v>213</v>
      </c>
    </row>
    <row r="8763" spans="1:6" ht="12.75">
      <c r="A8763" s="2">
        <v>43881.376111111109</v>
      </c>
      <c r="B8763" t="str">
        <f>HYPERLINK("https://twitter.com/viaaaputri","@viaaaputri")</f>
        <v>@viaaaputri</v>
      </c>
      <c r="C8763" t="s">
        <v>1407</v>
      </c>
      <c r="D8763">
        <v>9371</v>
      </c>
      <c r="E8763">
        <v>0</v>
      </c>
      <c r="F8763">
        <v>953</v>
      </c>
    </row>
    <row r="8764" spans="1:6" ht="12.75">
      <c r="A8764" s="2">
        <v>43881.375648148147</v>
      </c>
      <c r="B8764" t="str">
        <f>HYPERLINK("https://twitter.com/hanifahanaa_","@hanifahanaa_")</f>
        <v>@hanifahanaa_</v>
      </c>
      <c r="C8764" t="s">
        <v>2692</v>
      </c>
      <c r="D8764">
        <v>1825</v>
      </c>
      <c r="E8764">
        <v>0</v>
      </c>
      <c r="F8764">
        <v>1327</v>
      </c>
    </row>
    <row r="8765" spans="1:6" ht="12.75">
      <c r="A8765" s="2">
        <v>43881.375625000001</v>
      </c>
      <c r="B8765" t="str">
        <f>HYPERLINK("https://twitter.com/syifani_","@syifani_")</f>
        <v>@syifani_</v>
      </c>
      <c r="C8765" t="s">
        <v>2692</v>
      </c>
      <c r="D8765">
        <v>1825</v>
      </c>
      <c r="E8765">
        <v>0</v>
      </c>
      <c r="F8765">
        <v>945</v>
      </c>
    </row>
    <row r="8766" spans="1:6" ht="12.75">
      <c r="A8766" s="2">
        <v>43881.375462962962</v>
      </c>
      <c r="B8766" t="str">
        <f>HYPERLINK("https://twitter.com/LokadataID","@LokadataID")</f>
        <v>@LokadataID</v>
      </c>
      <c r="C8766" t="s">
        <v>5693</v>
      </c>
      <c r="D8766">
        <v>0</v>
      </c>
      <c r="E8766">
        <v>0</v>
      </c>
      <c r="F8766">
        <v>512765</v>
      </c>
    </row>
    <row r="8767" spans="1:6" ht="12.75">
      <c r="A8767" s="2">
        <v>43881.375</v>
      </c>
      <c r="B8767" t="str">
        <f>HYPERLINK("https://twitter.com/di75_","@di75_")</f>
        <v>@di75_</v>
      </c>
      <c r="C8767" t="s">
        <v>1407</v>
      </c>
      <c r="D8767">
        <v>9371</v>
      </c>
      <c r="E8767">
        <v>0</v>
      </c>
      <c r="F8767">
        <v>479</v>
      </c>
    </row>
    <row r="8768" spans="1:6" ht="12.75">
      <c r="A8768" s="2">
        <v>43881.375</v>
      </c>
      <c r="B8768" t="str">
        <f>HYPERLINK("https://twitter.com/akuratco","@akuratco")</f>
        <v>@akuratco</v>
      </c>
      <c r="C8768" t="s">
        <v>5694</v>
      </c>
      <c r="D8768">
        <v>0</v>
      </c>
      <c r="E8768">
        <v>0</v>
      </c>
      <c r="F8768">
        <v>8450</v>
      </c>
    </row>
    <row r="8769" spans="1:6" ht="12.75">
      <c r="A8769" s="2">
        <v>43881.374930555554</v>
      </c>
      <c r="B8769" t="str">
        <f>HYPERLINK("https://twitter.com/erinsnote","@erinsnote")</f>
        <v>@erinsnote</v>
      </c>
      <c r="C8769" t="s">
        <v>5695</v>
      </c>
      <c r="D8769">
        <v>0</v>
      </c>
      <c r="E8769">
        <v>0</v>
      </c>
      <c r="F8769">
        <v>1845</v>
      </c>
    </row>
    <row r="8770" spans="1:6" ht="12.75">
      <c r="A8770" s="2">
        <v>43881.3747337963</v>
      </c>
      <c r="B8770" t="str">
        <f>HYPERLINK("https://twitter.com/adoramaid","@adoramaid")</f>
        <v>@adoramaid</v>
      </c>
      <c r="C8770" t="s">
        <v>5696</v>
      </c>
      <c r="D8770">
        <v>0</v>
      </c>
      <c r="E8770">
        <v>0</v>
      </c>
      <c r="F8770">
        <v>158</v>
      </c>
    </row>
    <row r="8771" spans="1:6" ht="12.75">
      <c r="A8771" s="2">
        <v>43881.3746875</v>
      </c>
      <c r="B8771" t="str">
        <f>HYPERLINK("https://twitter.com/BatamPos","@BatamPos")</f>
        <v>@BatamPos</v>
      </c>
      <c r="C8771" t="s">
        <v>5697</v>
      </c>
      <c r="D8771">
        <v>0</v>
      </c>
      <c r="E8771">
        <v>0</v>
      </c>
      <c r="F8771">
        <v>67383</v>
      </c>
    </row>
    <row r="8772" spans="1:6" ht="12.75">
      <c r="A8772" s="2">
        <v>43881.374097222222</v>
      </c>
      <c r="B8772" t="str">
        <f>HYPERLINK("https://twitter.com/ansorwedung","@ansorwedung")</f>
        <v>@ansorwedung</v>
      </c>
      <c r="C8772" t="s">
        <v>5698</v>
      </c>
      <c r="D8772">
        <v>0</v>
      </c>
      <c r="E8772">
        <v>0</v>
      </c>
      <c r="F8772">
        <v>724</v>
      </c>
    </row>
    <row r="8773" spans="1:6" ht="12.75">
      <c r="A8773" s="2">
        <v>43881.373773148152</v>
      </c>
      <c r="B8773" t="str">
        <f>HYPERLINK("https://twitter.com/hamoeba_","@hamoeba_")</f>
        <v>@hamoeba_</v>
      </c>
      <c r="C8773" t="s">
        <v>2692</v>
      </c>
      <c r="D8773">
        <v>1825</v>
      </c>
      <c r="E8773">
        <v>0</v>
      </c>
      <c r="F8773">
        <v>830</v>
      </c>
    </row>
    <row r="8774" spans="1:6" ht="12.75">
      <c r="A8774" s="2">
        <v>43881.373414351852</v>
      </c>
      <c r="B8774" t="str">
        <f>HYPERLINK("https://twitter.com/cakeymakeup","@cakeymakeup")</f>
        <v>@cakeymakeup</v>
      </c>
      <c r="C8774" t="s">
        <v>5644</v>
      </c>
      <c r="D8774">
        <v>374</v>
      </c>
      <c r="E8774">
        <v>0</v>
      </c>
      <c r="F8774">
        <v>2351</v>
      </c>
    </row>
    <row r="8775" spans="1:6" ht="12.75">
      <c r="A8775" s="2">
        <v>43881.373356481483</v>
      </c>
      <c r="B8775" t="str">
        <f>HYPERLINK("https://twitter.com/kikimonde","@kikimonde")</f>
        <v>@kikimonde</v>
      </c>
      <c r="C8775" t="s">
        <v>2692</v>
      </c>
      <c r="D8775">
        <v>1825</v>
      </c>
      <c r="E8775">
        <v>0</v>
      </c>
      <c r="F8775">
        <v>277</v>
      </c>
    </row>
    <row r="8776" spans="1:6" ht="12.75">
      <c r="A8776" s="2">
        <v>43881.373229166667</v>
      </c>
      <c r="B8776" t="str">
        <f>HYPERLINK("https://twitter.com/WidaMahalik","@WidaMahalik")</f>
        <v>@WidaMahalik</v>
      </c>
      <c r="C8776" t="s">
        <v>4360</v>
      </c>
      <c r="D8776">
        <v>110</v>
      </c>
      <c r="E8776">
        <v>0</v>
      </c>
      <c r="F8776">
        <v>6878</v>
      </c>
    </row>
    <row r="8777" spans="1:6" ht="12.75">
      <c r="A8777" s="2">
        <v>43881.373101851852</v>
      </c>
      <c r="B8777" t="str">
        <f>HYPERLINK("https://twitter.com/Ft_Daenaa","@Ft_Daenaa")</f>
        <v>@Ft_Daenaa</v>
      </c>
      <c r="C8777" t="s">
        <v>2692</v>
      </c>
      <c r="D8777">
        <v>1825</v>
      </c>
      <c r="E8777">
        <v>0</v>
      </c>
      <c r="F8777">
        <v>1008</v>
      </c>
    </row>
    <row r="8778" spans="1:6" ht="12.75">
      <c r="A8778" s="2">
        <v>43881.372881944444</v>
      </c>
      <c r="B8778" t="str">
        <f>HYPERLINK("https://twitter.com/Fm98Sonora","@Fm98Sonora")</f>
        <v>@Fm98Sonora</v>
      </c>
      <c r="C8778" t="s">
        <v>5699</v>
      </c>
      <c r="D8778">
        <v>5</v>
      </c>
      <c r="E8778">
        <v>0</v>
      </c>
      <c r="F8778">
        <v>19</v>
      </c>
    </row>
    <row r="8779" spans="1:6" ht="12.75">
      <c r="A8779" s="2">
        <v>43881.372847222221</v>
      </c>
      <c r="B8779" t="str">
        <f>HYPERLINK("https://twitter.com/miss_ditya","@miss_ditya")</f>
        <v>@miss_ditya</v>
      </c>
      <c r="C8779" t="s">
        <v>2692</v>
      </c>
      <c r="D8779">
        <v>1825</v>
      </c>
      <c r="E8779">
        <v>0</v>
      </c>
      <c r="F8779">
        <v>627</v>
      </c>
    </row>
    <row r="8780" spans="1:6" ht="12.75">
      <c r="A8780" s="2">
        <v>43881.372824074075</v>
      </c>
      <c r="B8780" t="str">
        <f>HYPERLINK("https://twitter.com/A_FaiJKT49","@A_FaiJKT49")</f>
        <v>@A_FaiJKT49</v>
      </c>
      <c r="C8780" t="s">
        <v>2692</v>
      </c>
      <c r="D8780">
        <v>1825</v>
      </c>
      <c r="E8780">
        <v>0</v>
      </c>
      <c r="F8780">
        <v>64</v>
      </c>
    </row>
    <row r="8781" spans="1:6" ht="12.75">
      <c r="A8781" s="2">
        <v>43881.372592592597</v>
      </c>
      <c r="B8781" t="str">
        <f>HYPERLINK("https://twitter.com/ansorwedung","@ansorwedung")</f>
        <v>@ansorwedung</v>
      </c>
      <c r="C8781" t="s">
        <v>2125</v>
      </c>
      <c r="D8781">
        <v>2</v>
      </c>
      <c r="E8781">
        <v>0</v>
      </c>
      <c r="F8781">
        <v>724</v>
      </c>
    </row>
    <row r="8782" spans="1:6" ht="12.75">
      <c r="A8782" s="2">
        <v>43881.372118055559</v>
      </c>
      <c r="B8782" t="str">
        <f>HYPERLINK("https://twitter.com/NETlJEN","@NETlJEN")</f>
        <v>@NETlJEN</v>
      </c>
      <c r="C8782" t="s">
        <v>2692</v>
      </c>
      <c r="D8782">
        <v>1825</v>
      </c>
      <c r="E8782">
        <v>0</v>
      </c>
      <c r="F8782">
        <v>2473</v>
      </c>
    </row>
    <row r="8783" spans="1:6" ht="12.75">
      <c r="A8783" s="2">
        <v>43881.371527777781</v>
      </c>
      <c r="B8783" t="str">
        <f>HYPERLINK("https://twitter.com/Isis_lopez_","@Isis_lopez_")</f>
        <v>@Isis_lopez_</v>
      </c>
      <c r="C8783" t="s">
        <v>5700</v>
      </c>
      <c r="D8783">
        <v>0</v>
      </c>
      <c r="E8783">
        <v>0</v>
      </c>
      <c r="F8783">
        <v>168</v>
      </c>
    </row>
    <row r="8784" spans="1:6" ht="12.75">
      <c r="A8784" s="2">
        <v>43881.37091435185</v>
      </c>
      <c r="B8784" t="str">
        <f>HYPERLINK("https://twitter.com/__aiek_esthreem","@__aiek_esthreem")</f>
        <v>@__aiek_esthreem</v>
      </c>
      <c r="C8784" t="s">
        <v>5536</v>
      </c>
      <c r="D8784">
        <v>7</v>
      </c>
      <c r="E8784">
        <v>0</v>
      </c>
      <c r="F8784">
        <v>16814</v>
      </c>
    </row>
    <row r="8785" spans="1:6" ht="12.75">
      <c r="A8785" s="2">
        <v>43881.370717592596</v>
      </c>
      <c r="B8785" t="str">
        <f>HYPERLINK("https://twitter.com/hilaryrachelm","@hilaryrachelm")</f>
        <v>@hilaryrachelm</v>
      </c>
      <c r="C8785" t="s">
        <v>1407</v>
      </c>
      <c r="D8785">
        <v>9371</v>
      </c>
      <c r="E8785">
        <v>0</v>
      </c>
      <c r="F8785">
        <v>261</v>
      </c>
    </row>
    <row r="8786" spans="1:6" ht="12.75">
      <c r="A8786" s="2">
        <v>43881.370694444442</v>
      </c>
      <c r="B8786" t="str">
        <f>HYPERLINK("https://twitter.com/nadeelaw","@nadeelaw")</f>
        <v>@nadeelaw</v>
      </c>
      <c r="C8786" t="s">
        <v>1407</v>
      </c>
      <c r="D8786">
        <v>9371</v>
      </c>
      <c r="E8786">
        <v>0</v>
      </c>
      <c r="F8786">
        <v>109</v>
      </c>
    </row>
    <row r="8787" spans="1:6" ht="12.75">
      <c r="A8787" s="2">
        <v>43881.370682870373</v>
      </c>
      <c r="B8787" t="str">
        <f>HYPERLINK("https://twitter.com/forhwangel","@forhwangel")</f>
        <v>@forhwangel</v>
      </c>
      <c r="C8787" t="s">
        <v>1407</v>
      </c>
      <c r="D8787">
        <v>9371</v>
      </c>
      <c r="E8787">
        <v>0</v>
      </c>
      <c r="F8787">
        <v>666</v>
      </c>
    </row>
    <row r="8788" spans="1:6" ht="12.75">
      <c r="A8788" s="2">
        <v>43881.370451388888</v>
      </c>
      <c r="B8788" t="str">
        <f>HYPERLINK("https://twitter.com/woowthing","@woowthing")</f>
        <v>@woowthing</v>
      </c>
      <c r="C8788" t="s">
        <v>2692</v>
      </c>
      <c r="D8788">
        <v>1825</v>
      </c>
      <c r="E8788">
        <v>0</v>
      </c>
      <c r="F8788">
        <v>12</v>
      </c>
    </row>
    <row r="8789" spans="1:6" ht="12.75">
      <c r="A8789" s="2">
        <v>43881.370405092588</v>
      </c>
      <c r="B8789" t="str">
        <f>HYPERLINK("https://twitter.com/rizalhimm","@rizalhimm")</f>
        <v>@rizalhimm</v>
      </c>
      <c r="C8789" t="s">
        <v>2692</v>
      </c>
      <c r="D8789">
        <v>1825</v>
      </c>
      <c r="E8789">
        <v>0</v>
      </c>
      <c r="F8789">
        <v>441</v>
      </c>
    </row>
    <row r="8790" spans="1:6" ht="12.75">
      <c r="A8790" s="2">
        <v>43881.370069444441</v>
      </c>
      <c r="B8790" t="str">
        <f>HYPERLINK("https://twitter.com/ricosiswandi","@ricosiswandi")</f>
        <v>@ricosiswandi</v>
      </c>
      <c r="C8790" t="s">
        <v>5701</v>
      </c>
      <c r="D8790">
        <v>30</v>
      </c>
      <c r="E8790">
        <v>0</v>
      </c>
      <c r="F8790">
        <v>2401</v>
      </c>
    </row>
    <row r="8791" spans="1:6" ht="12.75">
      <c r="A8791" s="2">
        <v>43881.369444444441</v>
      </c>
      <c r="B8791" t="str">
        <f>HYPERLINK("https://twitter.com/maharanignp_","@maharanignp_")</f>
        <v>@maharanignp_</v>
      </c>
      <c r="C8791" t="s">
        <v>1407</v>
      </c>
      <c r="D8791">
        <v>9371</v>
      </c>
      <c r="E8791">
        <v>0</v>
      </c>
      <c r="F8791">
        <v>222</v>
      </c>
    </row>
    <row r="8792" spans="1:6" ht="12.75">
      <c r="A8792" s="2">
        <v>43881.369224537033</v>
      </c>
      <c r="B8792" t="str">
        <f>HYPERLINK("https://twitter.com/beaglewriggle","@beaglewriggle")</f>
        <v>@beaglewriggle</v>
      </c>
      <c r="C8792" t="s">
        <v>1407</v>
      </c>
      <c r="D8792">
        <v>9371</v>
      </c>
      <c r="E8792">
        <v>0</v>
      </c>
      <c r="F8792">
        <v>1601</v>
      </c>
    </row>
    <row r="8793" spans="1:6" ht="12.75">
      <c r="A8793" s="2">
        <v>43881.369050925925</v>
      </c>
      <c r="B8793" t="str">
        <f>HYPERLINK("https://twitter.com/TutiAla83917666","@TutiAla83917666")</f>
        <v>@TutiAla83917666</v>
      </c>
      <c r="C8793" t="s">
        <v>2134</v>
      </c>
      <c r="D8793">
        <v>996</v>
      </c>
      <c r="E8793">
        <v>0</v>
      </c>
      <c r="F8793">
        <v>9</v>
      </c>
    </row>
    <row r="8794" spans="1:6" ht="12.75">
      <c r="A8794" s="2">
        <v>43881.368877314817</v>
      </c>
      <c r="B8794" t="str">
        <f>HYPERLINK("https://twitter.com/r_martomo","@r_martomo")</f>
        <v>@r_martomo</v>
      </c>
      <c r="C8794" t="s">
        <v>5702</v>
      </c>
      <c r="D8794">
        <v>239</v>
      </c>
      <c r="E8794">
        <v>0</v>
      </c>
      <c r="F8794">
        <v>2040</v>
      </c>
    </row>
    <row r="8795" spans="1:6" ht="12.75">
      <c r="A8795" s="2">
        <v>43881.368738425925</v>
      </c>
      <c r="B8795" t="str">
        <f>HYPERLINK("https://twitter.com/jaeminshii__","@jaeminshii__")</f>
        <v>@jaeminshii__</v>
      </c>
      <c r="C8795" t="s">
        <v>1407</v>
      </c>
      <c r="D8795">
        <v>9371</v>
      </c>
      <c r="E8795">
        <v>0</v>
      </c>
      <c r="F8795">
        <v>346</v>
      </c>
    </row>
    <row r="8796" spans="1:6" ht="12.75">
      <c r="A8796" s="2">
        <v>43881.368576388893</v>
      </c>
      <c r="B8796" t="str">
        <f>HYPERLINK("https://twitter.com/sunankaliblanak","@sunankaliblanak")</f>
        <v>@sunankaliblanak</v>
      </c>
      <c r="C8796" t="s">
        <v>5703</v>
      </c>
      <c r="D8796">
        <v>0</v>
      </c>
      <c r="E8796">
        <v>0</v>
      </c>
      <c r="F8796">
        <v>412</v>
      </c>
    </row>
    <row r="8797" spans="1:6" ht="12.75">
      <c r="A8797" s="2">
        <v>43881.368344907409</v>
      </c>
      <c r="B8797" t="str">
        <f>HYPERLINK("https://twitter.com/prabu_wa","@prabu_wa")</f>
        <v>@prabu_wa</v>
      </c>
      <c r="C8797" t="s">
        <v>2135</v>
      </c>
      <c r="D8797">
        <v>26</v>
      </c>
      <c r="E8797">
        <v>0</v>
      </c>
      <c r="F8797">
        <v>438</v>
      </c>
    </row>
    <row r="8798" spans="1:6" ht="12.75">
      <c r="A8798" s="2">
        <v>43881.368229166663</v>
      </c>
      <c r="B8798" t="str">
        <f>HYPERLINK("https://twitter.com/limonata_bleu","@limonata_bleu")</f>
        <v>@limonata_bleu</v>
      </c>
      <c r="C8798" t="s">
        <v>1407</v>
      </c>
      <c r="D8798">
        <v>9371</v>
      </c>
      <c r="E8798">
        <v>0</v>
      </c>
      <c r="F8798">
        <v>72</v>
      </c>
    </row>
    <row r="8799" spans="1:6" ht="12.75">
      <c r="A8799" s="2">
        <v>43881.367939814816</v>
      </c>
      <c r="B8799" t="str">
        <f>HYPERLINK("https://twitter.com/AriePutraWijay1","@AriePutraWijay1")</f>
        <v>@AriePutraWijay1</v>
      </c>
      <c r="C8799" t="s">
        <v>5139</v>
      </c>
      <c r="D8799">
        <v>12</v>
      </c>
      <c r="E8799">
        <v>0</v>
      </c>
      <c r="F8799">
        <v>134</v>
      </c>
    </row>
    <row r="8800" spans="1:6" ht="12.75">
      <c r="A8800" s="2">
        <v>43881.367696759262</v>
      </c>
      <c r="B8800" t="str">
        <f>HYPERLINK("https://twitter.com/hufflepfftt","@hufflepfftt")</f>
        <v>@hufflepfftt</v>
      </c>
      <c r="C8800" t="s">
        <v>1407</v>
      </c>
      <c r="D8800">
        <v>9371</v>
      </c>
      <c r="E8800">
        <v>0</v>
      </c>
      <c r="F8800">
        <v>240</v>
      </c>
    </row>
    <row r="8801" spans="1:6" ht="12.75">
      <c r="A8801" s="2">
        <v>43881.367569444439</v>
      </c>
      <c r="B8801" t="str">
        <f>HYPERLINK("https://twitter.com/crichtianyu","@crichtianyu")</f>
        <v>@crichtianyu</v>
      </c>
      <c r="C8801" t="s">
        <v>1407</v>
      </c>
      <c r="D8801">
        <v>9371</v>
      </c>
      <c r="E8801">
        <v>0</v>
      </c>
      <c r="F8801">
        <v>298</v>
      </c>
    </row>
    <row r="8802" spans="1:6" ht="12.75">
      <c r="A8802" s="2">
        <v>43881.367372685185</v>
      </c>
      <c r="B8802" t="str">
        <f>HYPERLINK("https://twitter.com/Mirae62981454","@Mirae62981454")</f>
        <v>@Mirae62981454</v>
      </c>
      <c r="C8802" t="s">
        <v>5704</v>
      </c>
      <c r="D8802">
        <v>0</v>
      </c>
      <c r="E8802">
        <v>0</v>
      </c>
      <c r="F8802">
        <v>359</v>
      </c>
    </row>
    <row r="8803" spans="1:6" ht="12.75">
      <c r="A8803" s="2">
        <v>43881.367361111115</v>
      </c>
      <c r="B8803" t="str">
        <f>HYPERLINK("https://twitter.com/Topp16_","@Topp16_")</f>
        <v>@Topp16_</v>
      </c>
      <c r="C8803" t="s">
        <v>1407</v>
      </c>
      <c r="D8803">
        <v>9371</v>
      </c>
      <c r="E8803">
        <v>0</v>
      </c>
      <c r="F8803">
        <v>697</v>
      </c>
    </row>
    <row r="8804" spans="1:6" ht="12.75">
      <c r="A8804" s="2">
        <v>43881.367268518516</v>
      </c>
      <c r="B8804" t="str">
        <f>HYPERLINK("https://twitter.com/stupawfy","@stupawfy")</f>
        <v>@stupawfy</v>
      </c>
      <c r="C8804" t="s">
        <v>1407</v>
      </c>
      <c r="D8804">
        <v>9371</v>
      </c>
      <c r="E8804">
        <v>0</v>
      </c>
      <c r="F8804">
        <v>262</v>
      </c>
    </row>
    <row r="8805" spans="1:6" ht="12.75">
      <c r="A8805" s="2">
        <v>43881.366967592592</v>
      </c>
      <c r="B8805" t="str">
        <f>HYPERLINK("https://twitter.com/SumutposO","@SumutposO")</f>
        <v>@SumutposO</v>
      </c>
      <c r="C8805" t="s">
        <v>5705</v>
      </c>
      <c r="D8805">
        <v>0</v>
      </c>
      <c r="E8805">
        <v>0</v>
      </c>
      <c r="F8805">
        <v>49</v>
      </c>
    </row>
    <row r="8806" spans="1:6" ht="12.75">
      <c r="A8806" s="2">
        <v>43881.366585648153</v>
      </c>
      <c r="B8806" t="str">
        <f>HYPERLINK("https://twitter.com/randomwisdomID","@randomwisdomID")</f>
        <v>@randomwisdomID</v>
      </c>
      <c r="C8806" t="s">
        <v>4360</v>
      </c>
      <c r="D8806">
        <v>110</v>
      </c>
      <c r="E8806">
        <v>0</v>
      </c>
      <c r="F8806">
        <v>281</v>
      </c>
    </row>
    <row r="8807" spans="1:6" ht="12.75">
      <c r="A8807" s="2">
        <v>43881.366574074069</v>
      </c>
      <c r="B8807" t="str">
        <f>HYPERLINK("https://twitter.com/Eldelidia_","@Eldelidia_")</f>
        <v>@Eldelidia_</v>
      </c>
      <c r="C8807" t="s">
        <v>5706</v>
      </c>
      <c r="D8807">
        <v>3</v>
      </c>
      <c r="E8807">
        <v>0</v>
      </c>
      <c r="F8807">
        <v>1169</v>
      </c>
    </row>
    <row r="8808" spans="1:6" ht="12.75">
      <c r="A8808" s="2">
        <v>43881.366435185184</v>
      </c>
      <c r="B8808" t="str">
        <f>HYPERLINK("https://twitter.com/fadlilarohim","@fadlilarohim")</f>
        <v>@fadlilarohim</v>
      </c>
      <c r="C8808" t="s">
        <v>2692</v>
      </c>
      <c r="D8808">
        <v>1825</v>
      </c>
      <c r="E8808">
        <v>0</v>
      </c>
      <c r="F8808">
        <v>475</v>
      </c>
    </row>
    <row r="8809" spans="1:6" ht="12.75">
      <c r="A8809" s="2">
        <v>43881.366261574076</v>
      </c>
      <c r="B8809" t="str">
        <f>HYPERLINK("https://twitter.com/_intisari","@_intisari")</f>
        <v>@_intisari</v>
      </c>
      <c r="C8809" t="s">
        <v>1407</v>
      </c>
      <c r="D8809">
        <v>9371</v>
      </c>
      <c r="E8809">
        <v>0</v>
      </c>
      <c r="F8809">
        <v>107</v>
      </c>
    </row>
    <row r="8810" spans="1:6" ht="12.75">
      <c r="A8810" s="2">
        <v>43881.366041666668</v>
      </c>
      <c r="B8810" t="str">
        <f>HYPERLINK("https://twitter.com/HPeridia","@HPeridia")</f>
        <v>@HPeridia</v>
      </c>
      <c r="C8810" t="s">
        <v>4360</v>
      </c>
      <c r="D8810">
        <v>110</v>
      </c>
      <c r="E8810">
        <v>0</v>
      </c>
      <c r="F8810">
        <v>661</v>
      </c>
    </row>
    <row r="8811" spans="1:6" ht="12.75">
      <c r="A8811" s="2">
        <v>43881.365810185191</v>
      </c>
      <c r="B8811" t="str">
        <f>HYPERLINK("https://twitter.com/DEQLZ1012","@DEQLZ1012")</f>
        <v>@DEQLZ1012</v>
      </c>
      <c r="C8811" t="s">
        <v>5707</v>
      </c>
      <c r="D8811">
        <v>0</v>
      </c>
      <c r="E8811">
        <v>0</v>
      </c>
      <c r="F8811">
        <v>811</v>
      </c>
    </row>
    <row r="8812" spans="1:6" ht="12.75">
      <c r="A8812" s="2">
        <v>43881.36509259259</v>
      </c>
      <c r="B8812" t="str">
        <f>HYPERLINK("https://twitter.com/cintiyaa12","@cintiyaa12")</f>
        <v>@cintiyaa12</v>
      </c>
      <c r="C8812" t="s">
        <v>1407</v>
      </c>
      <c r="D8812">
        <v>9371</v>
      </c>
      <c r="E8812">
        <v>0</v>
      </c>
      <c r="F8812">
        <v>362</v>
      </c>
    </row>
    <row r="8813" spans="1:6" ht="12.75">
      <c r="A8813" s="2">
        <v>43881.365046296298</v>
      </c>
      <c r="B8813" t="str">
        <f>HYPERLINK("https://twitter.com/akspmu","@akspmu")</f>
        <v>@akspmu</v>
      </c>
      <c r="C8813" t="s">
        <v>1407</v>
      </c>
      <c r="D8813">
        <v>9371</v>
      </c>
      <c r="E8813">
        <v>0</v>
      </c>
      <c r="F8813">
        <v>1078</v>
      </c>
    </row>
    <row r="8814" spans="1:6" ht="12.75">
      <c r="A8814" s="2">
        <v>43881.365000000005</v>
      </c>
      <c r="B8814" t="str">
        <f>HYPERLINK("https://twitter.com/bung_ronron","@bung_ronron")</f>
        <v>@bung_ronron</v>
      </c>
      <c r="C8814" t="s">
        <v>5708</v>
      </c>
      <c r="D8814">
        <v>0</v>
      </c>
      <c r="E8814">
        <v>0</v>
      </c>
      <c r="F8814">
        <v>1142</v>
      </c>
    </row>
    <row r="8815" spans="1:6" ht="12.75">
      <c r="A8815" s="2">
        <v>43881.364861111113</v>
      </c>
      <c r="B8815" t="str">
        <f>HYPERLINK("https://twitter.com/medcom_id","@medcom_id")</f>
        <v>@medcom_id</v>
      </c>
      <c r="C8815" t="s">
        <v>5709</v>
      </c>
      <c r="D8815">
        <v>0</v>
      </c>
      <c r="E8815">
        <v>1</v>
      </c>
      <c r="F8815">
        <v>18300</v>
      </c>
    </row>
    <row r="8816" spans="1:6" ht="12.75">
      <c r="A8816" s="2">
        <v>43881.364803240736</v>
      </c>
      <c r="B8816" t="str">
        <f>HYPERLINK("https://twitter.com/Pantaiselatan14","@Pantaiselatan14")</f>
        <v>@Pantaiselatan14</v>
      </c>
      <c r="C8816" t="s">
        <v>4360</v>
      </c>
      <c r="D8816">
        <v>110</v>
      </c>
      <c r="E8816">
        <v>0</v>
      </c>
      <c r="F8816">
        <v>310</v>
      </c>
    </row>
    <row r="8817" spans="1:6" ht="12.75">
      <c r="A8817" s="2">
        <v>43881.364004629635</v>
      </c>
      <c r="B8817" t="str">
        <f>HYPERLINK("https://twitter.com/KurniaSubud","@KurniaSubud")</f>
        <v>@KurniaSubud</v>
      </c>
      <c r="C8817" t="s">
        <v>5710</v>
      </c>
      <c r="D8817">
        <v>0</v>
      </c>
      <c r="E8817">
        <v>0</v>
      </c>
      <c r="F8817">
        <v>2969</v>
      </c>
    </row>
    <row r="8818" spans="1:6" ht="12.75">
      <c r="A8818" s="2">
        <v>43881.363958333328</v>
      </c>
      <c r="B8818" t="str">
        <f>HYPERLINK("https://twitter.com/baeweiwei","@baeweiwei")</f>
        <v>@baeweiwei</v>
      </c>
      <c r="C8818" t="s">
        <v>1407</v>
      </c>
      <c r="D8818">
        <v>9371</v>
      </c>
      <c r="E8818">
        <v>0</v>
      </c>
      <c r="F8818">
        <v>19</v>
      </c>
    </row>
    <row r="8819" spans="1:6" ht="12.75">
      <c r="A8819" s="2">
        <v>43881.363842592589</v>
      </c>
      <c r="B8819" t="str">
        <f>HYPERLINK("https://twitter.com/tuanbrewoks","@tuanbrewoks")</f>
        <v>@tuanbrewoks</v>
      </c>
      <c r="C8819" t="s">
        <v>5498</v>
      </c>
      <c r="D8819">
        <v>0</v>
      </c>
      <c r="E8819">
        <v>0</v>
      </c>
      <c r="F8819">
        <v>55</v>
      </c>
    </row>
    <row r="8820" spans="1:6" ht="12.75">
      <c r="A8820" s="2">
        <v>43881.363796296297</v>
      </c>
      <c r="B8820" t="str">
        <f>HYPERLINK("https://twitter.com/BebasVisaID","@BebasVisaID")</f>
        <v>@BebasVisaID</v>
      </c>
      <c r="C8820" t="s">
        <v>5706</v>
      </c>
      <c r="D8820">
        <v>3</v>
      </c>
      <c r="E8820">
        <v>0</v>
      </c>
      <c r="F8820">
        <v>7896</v>
      </c>
    </row>
    <row r="8821" spans="1:6" ht="12.75">
      <c r="A8821" s="2">
        <v>43881.363750000004</v>
      </c>
      <c r="B8821" t="str">
        <f>HYPERLINK("https://twitter.com/renxugar","@renxugar")</f>
        <v>@renxugar</v>
      </c>
      <c r="C8821" t="s">
        <v>2692</v>
      </c>
      <c r="D8821">
        <v>1825</v>
      </c>
      <c r="E8821">
        <v>0</v>
      </c>
      <c r="F8821">
        <v>62</v>
      </c>
    </row>
    <row r="8822" spans="1:6" ht="12.75">
      <c r="A8822" s="2">
        <v>43881.363425925927</v>
      </c>
      <c r="B8822" t="str">
        <f>HYPERLINK("https://twitter.com/bliiboo","@bliiboo")</f>
        <v>@bliiboo</v>
      </c>
      <c r="C8822" t="s">
        <v>1407</v>
      </c>
      <c r="D8822">
        <v>9371</v>
      </c>
      <c r="E8822">
        <v>0</v>
      </c>
      <c r="F8822">
        <v>46</v>
      </c>
    </row>
    <row r="8823" spans="1:6" ht="12.75">
      <c r="A8823" s="2">
        <v>43881.362847222219</v>
      </c>
      <c r="B8823" t="str">
        <f>HYPERLINK("https://twitter.com/tahupetismanis","@tahupetismanis")</f>
        <v>@tahupetismanis</v>
      </c>
      <c r="C8823" t="s">
        <v>5701</v>
      </c>
      <c r="D8823">
        <v>30</v>
      </c>
      <c r="E8823">
        <v>0</v>
      </c>
      <c r="F8823">
        <v>4004</v>
      </c>
    </row>
    <row r="8824" spans="1:6" ht="12.75">
      <c r="A8824" s="2">
        <v>43881.362719907411</v>
      </c>
      <c r="B8824" t="str">
        <f>HYPERLINK("https://twitter.com/Irving_Kho","@Irving_Kho")</f>
        <v>@Irving_Kho</v>
      </c>
      <c r="C8824" t="s">
        <v>5711</v>
      </c>
      <c r="D8824">
        <v>0</v>
      </c>
      <c r="E8824">
        <v>0</v>
      </c>
      <c r="F8824">
        <v>20</v>
      </c>
    </row>
    <row r="8825" spans="1:6" ht="12.75">
      <c r="A8825" s="2">
        <v>43881.362708333334</v>
      </c>
      <c r="B8825" t="str">
        <f>HYPERLINK("https://twitter.com/BangkitBelaNKRI","@BangkitBelaNKRI")</f>
        <v>@BangkitBelaNKRI</v>
      </c>
      <c r="C8825" t="s">
        <v>4360</v>
      </c>
      <c r="D8825">
        <v>110</v>
      </c>
      <c r="E8825">
        <v>0</v>
      </c>
      <c r="F8825">
        <v>1366</v>
      </c>
    </row>
    <row r="8826" spans="1:6" ht="12.75">
      <c r="A8826" s="2">
        <v>43881.362581018519</v>
      </c>
      <c r="B8826" t="str">
        <f>HYPERLINK("https://twitter.com/JakariaDj9","@JakariaDj9")</f>
        <v>@JakariaDj9</v>
      </c>
      <c r="C8826" t="s">
        <v>2125</v>
      </c>
      <c r="D8826">
        <v>2</v>
      </c>
      <c r="E8826">
        <v>0</v>
      </c>
      <c r="F8826">
        <v>1374</v>
      </c>
    </row>
    <row r="8827" spans="1:6" ht="12.75">
      <c r="A8827" s="2">
        <v>43881.362291666665</v>
      </c>
      <c r="B8827" t="str">
        <f>HYPERLINK("https://twitter.com/shabeld","@shabeld")</f>
        <v>@shabeld</v>
      </c>
      <c r="C8827" t="s">
        <v>1407</v>
      </c>
      <c r="D8827">
        <v>9371</v>
      </c>
      <c r="E8827">
        <v>0</v>
      </c>
      <c r="F8827">
        <v>667</v>
      </c>
    </row>
    <row r="8828" spans="1:6" ht="12.75">
      <c r="A8828" s="2">
        <v>43881.362083333333</v>
      </c>
      <c r="B8828" t="str">
        <f>HYPERLINK("https://twitter.com/maramhrsm","@maramhrsm")</f>
        <v>@maramhrsm</v>
      </c>
      <c r="C8828" t="s">
        <v>5712</v>
      </c>
      <c r="D8828">
        <v>1</v>
      </c>
      <c r="E8828">
        <v>0</v>
      </c>
      <c r="F8828">
        <v>1255</v>
      </c>
    </row>
    <row r="8829" spans="1:6" ht="12.75">
      <c r="A8829" s="2">
        <v>43881.361944444448</v>
      </c>
      <c r="B8829" t="str">
        <f>HYPERLINK("https://twitter.com/kittycatsu","@kittycatsu")</f>
        <v>@kittycatsu</v>
      </c>
      <c r="C8829" t="s">
        <v>2135</v>
      </c>
      <c r="D8829">
        <v>26</v>
      </c>
      <c r="E8829">
        <v>0</v>
      </c>
      <c r="F8829">
        <v>86</v>
      </c>
    </row>
    <row r="8830" spans="1:6" ht="12.75">
      <c r="A8830" s="2">
        <v>43881.361840277779</v>
      </c>
      <c r="B8830" t="str">
        <f>HYPERLINK("https://twitter.com/taembrat","@taembrat")</f>
        <v>@taembrat</v>
      </c>
      <c r="C8830" t="s">
        <v>2101</v>
      </c>
      <c r="D8830">
        <v>5</v>
      </c>
      <c r="E8830">
        <v>0</v>
      </c>
      <c r="F8830">
        <v>794</v>
      </c>
    </row>
    <row r="8831" spans="1:6" ht="12.75">
      <c r="A8831" s="2">
        <v>43881.361226851848</v>
      </c>
      <c r="B8831" t="str">
        <f>HYPERLINK("https://twitter.com/ChristoPalit_","@ChristoPalit_")</f>
        <v>@ChristoPalit_</v>
      </c>
      <c r="C8831" t="s">
        <v>2692</v>
      </c>
      <c r="D8831">
        <v>1825</v>
      </c>
      <c r="E8831">
        <v>0</v>
      </c>
      <c r="F8831">
        <v>170</v>
      </c>
    </row>
    <row r="8832" spans="1:6" ht="12.75">
      <c r="A8832" s="2">
        <v>43881.361157407402</v>
      </c>
      <c r="B8832" t="str">
        <f>HYPERLINK("https://twitter.com/lafliledhiver","@lafliledhiver")</f>
        <v>@lafliledhiver</v>
      </c>
      <c r="C8832" t="s">
        <v>5713</v>
      </c>
      <c r="D8832">
        <v>0</v>
      </c>
      <c r="E8832">
        <v>0</v>
      </c>
      <c r="F8832">
        <v>378</v>
      </c>
    </row>
    <row r="8833" spans="1:6" ht="12.75">
      <c r="A8833" s="2">
        <v>43881.360914351855</v>
      </c>
      <c r="B8833" t="str">
        <f>HYPERLINK("https://twitter.com/rahardiansatya1","@rahardiansatya1")</f>
        <v>@rahardiansatya1</v>
      </c>
      <c r="C8833" t="s">
        <v>2147</v>
      </c>
      <c r="D8833">
        <v>577</v>
      </c>
      <c r="E8833">
        <v>0</v>
      </c>
      <c r="F8833">
        <v>19</v>
      </c>
    </row>
    <row r="8834" spans="1:6" ht="12.75">
      <c r="A8834" s="2">
        <v>43881.360868055555</v>
      </c>
      <c r="B8834" t="str">
        <f>HYPERLINK("https://twitter.com/Dnugroho11","@Dnugroho11")</f>
        <v>@Dnugroho11</v>
      </c>
      <c r="C8834" t="s">
        <v>4360</v>
      </c>
      <c r="D8834">
        <v>110</v>
      </c>
      <c r="E8834">
        <v>0</v>
      </c>
      <c r="F8834">
        <v>732</v>
      </c>
    </row>
    <row r="8835" spans="1:6" ht="12.75">
      <c r="A8835" s="2">
        <v>43881.360486111109</v>
      </c>
      <c r="B8835" t="str">
        <f>HYPERLINK("https://twitter.com/aryacokronegoro","@aryacokronegoro")</f>
        <v>@aryacokronegoro</v>
      </c>
      <c r="C8835" t="s">
        <v>5706</v>
      </c>
      <c r="D8835">
        <v>3</v>
      </c>
      <c r="E8835">
        <v>0</v>
      </c>
      <c r="F8835">
        <v>435</v>
      </c>
    </row>
    <row r="8836" spans="1:6" ht="12.75">
      <c r="A8836" s="2">
        <v>43881.360196759255</v>
      </c>
      <c r="B8836" t="str">
        <f>HYPERLINK("https://twitter.com/kinederjoy","@kinederjoy")</f>
        <v>@kinederjoy</v>
      </c>
      <c r="C8836" t="s">
        <v>2467</v>
      </c>
      <c r="D8836">
        <v>856</v>
      </c>
      <c r="E8836">
        <v>0</v>
      </c>
      <c r="F8836">
        <v>1290</v>
      </c>
    </row>
    <row r="8837" spans="1:6" ht="12.75">
      <c r="A8837" s="2">
        <v>43881.360081018516</v>
      </c>
      <c r="B8837" t="str">
        <f>HYPERLINK("https://twitter.com/bucininoppaa","@bucininoppaa")</f>
        <v>@bucininoppaa</v>
      </c>
      <c r="C8837" t="s">
        <v>2467</v>
      </c>
      <c r="D8837">
        <v>856</v>
      </c>
      <c r="E8837">
        <v>0</v>
      </c>
      <c r="F8837">
        <v>38</v>
      </c>
    </row>
    <row r="8838" spans="1:6" ht="12.75">
      <c r="A8838" s="2">
        <v>43881.36005787037</v>
      </c>
      <c r="B8838" t="str">
        <f>HYPERLINK("https://twitter.com/tamagraph","@tamagraph")</f>
        <v>@tamagraph</v>
      </c>
      <c r="C8838" t="s">
        <v>2692</v>
      </c>
      <c r="D8838">
        <v>1825</v>
      </c>
      <c r="E8838">
        <v>0</v>
      </c>
      <c r="F8838">
        <v>1183</v>
      </c>
    </row>
    <row r="8839" spans="1:6" ht="12.75">
      <c r="A8839" s="2">
        <v>43881.359953703708</v>
      </c>
      <c r="B8839" t="str">
        <f>HYPERLINK("https://twitter.com/NyiGiri","@NyiGiri")</f>
        <v>@NyiGiri</v>
      </c>
      <c r="C8839" t="s">
        <v>5714</v>
      </c>
      <c r="D8839">
        <v>2</v>
      </c>
      <c r="E8839">
        <v>10</v>
      </c>
      <c r="F8839">
        <v>3812</v>
      </c>
    </row>
    <row r="8840" spans="1:6" ht="12.75">
      <c r="A8840" s="2">
        <v>43881.359895833331</v>
      </c>
      <c r="B8840" t="str">
        <f>HYPERLINK("https://twitter.com/sunflowner","@sunflowner")</f>
        <v>@sunflowner</v>
      </c>
      <c r="C8840" t="s">
        <v>1407</v>
      </c>
      <c r="D8840">
        <v>9371</v>
      </c>
      <c r="E8840">
        <v>0</v>
      </c>
      <c r="F8840">
        <v>4935</v>
      </c>
    </row>
    <row r="8841" spans="1:6" ht="12.75">
      <c r="A8841" s="2">
        <v>43881.359722222223</v>
      </c>
      <c r="B8841" t="str">
        <f>HYPERLINK("https://twitter.com/njuebloq","@njuebloq")</f>
        <v>@njuebloq</v>
      </c>
      <c r="C8841" t="s">
        <v>1407</v>
      </c>
      <c r="D8841">
        <v>9371</v>
      </c>
      <c r="E8841">
        <v>0</v>
      </c>
      <c r="F8841">
        <v>2172</v>
      </c>
    </row>
    <row r="8842" spans="1:6" ht="12.75">
      <c r="A8842" s="2">
        <v>43881.359189814815</v>
      </c>
      <c r="B8842" t="str">
        <f>HYPERLINK("https://twitter.com/Marder2000","@Marder2000")</f>
        <v>@Marder2000</v>
      </c>
      <c r="C8842" t="s">
        <v>5715</v>
      </c>
      <c r="D8842">
        <v>52</v>
      </c>
      <c r="E8842">
        <v>0</v>
      </c>
      <c r="F8842">
        <v>19</v>
      </c>
    </row>
    <row r="8843" spans="1:6" ht="12.75">
      <c r="A8843" s="2">
        <v>43881.359050925923</v>
      </c>
      <c r="B8843" t="str">
        <f>HYPERLINK("https://twitter.com/HDS_mazgie","@HDS_mazgie")</f>
        <v>@HDS_mazgie</v>
      </c>
      <c r="C8843" t="s">
        <v>4360</v>
      </c>
      <c r="D8843">
        <v>110</v>
      </c>
      <c r="E8843">
        <v>0</v>
      </c>
      <c r="F8843">
        <v>448</v>
      </c>
    </row>
    <row r="8844" spans="1:6" ht="12.75">
      <c r="A8844" s="2">
        <v>43881.358530092592</v>
      </c>
      <c r="B8844" t="str">
        <f>HYPERLINK("https://twitter.com/arm4di0n","@arm4di0n")</f>
        <v>@arm4di0n</v>
      </c>
      <c r="C8844" t="s">
        <v>5716</v>
      </c>
      <c r="D8844">
        <v>5</v>
      </c>
      <c r="E8844">
        <v>0</v>
      </c>
      <c r="F8844">
        <v>571</v>
      </c>
    </row>
    <row r="8845" spans="1:6" ht="12.75">
      <c r="A8845" s="2">
        <v>43881.35800925926</v>
      </c>
      <c r="B8845" t="str">
        <f>HYPERLINK("https://twitter.com/wibisonho","@wibisonho")</f>
        <v>@wibisonho</v>
      </c>
      <c r="C8845" t="s">
        <v>4360</v>
      </c>
      <c r="D8845">
        <v>110</v>
      </c>
      <c r="E8845">
        <v>0</v>
      </c>
      <c r="F8845">
        <v>114</v>
      </c>
    </row>
    <row r="8846" spans="1:6" ht="12.75">
      <c r="A8846" s="2">
        <v>43881.357870370368</v>
      </c>
      <c r="B8846" t="str">
        <f>HYPERLINK("https://twitter.com/wiendini","@wiendini")</f>
        <v>@wiendini</v>
      </c>
      <c r="C8846" t="s">
        <v>5717</v>
      </c>
      <c r="D8846">
        <v>3</v>
      </c>
      <c r="E8846">
        <v>0</v>
      </c>
      <c r="F8846">
        <v>459</v>
      </c>
    </row>
    <row r="8847" spans="1:6" ht="12.75">
      <c r="A8847" s="2">
        <v>43881.357824074075</v>
      </c>
      <c r="B8847" t="str">
        <f>HYPERLINK("https://twitter.com/ryolandafit","@ryolandafit")</f>
        <v>@ryolandafit</v>
      </c>
      <c r="C8847" t="s">
        <v>5699</v>
      </c>
      <c r="D8847">
        <v>5</v>
      </c>
      <c r="E8847">
        <v>0</v>
      </c>
      <c r="F8847">
        <v>650</v>
      </c>
    </row>
    <row r="8848" spans="1:6" ht="12.75">
      <c r="A8848" s="2">
        <v>43881.357766203699</v>
      </c>
      <c r="B8848" t="str">
        <f>HYPERLINK("https://twitter.com/beatrice_health","@beatrice_health")</f>
        <v>@beatrice_health</v>
      </c>
      <c r="C8848" t="s">
        <v>5718</v>
      </c>
      <c r="D8848">
        <v>1</v>
      </c>
      <c r="E8848">
        <v>0</v>
      </c>
      <c r="F8848">
        <v>213</v>
      </c>
    </row>
    <row r="8849" spans="1:6" ht="12.75">
      <c r="A8849" s="2">
        <v>43881.357662037037</v>
      </c>
      <c r="B8849" t="str">
        <f>HYPERLINK("https://twitter.com/rmol_id","@rmol_id")</f>
        <v>@rmol_id</v>
      </c>
      <c r="C8849" t="s">
        <v>5719</v>
      </c>
      <c r="D8849">
        <v>1</v>
      </c>
      <c r="E8849">
        <v>2</v>
      </c>
      <c r="F8849">
        <v>163419</v>
      </c>
    </row>
    <row r="8850" spans="1:6" ht="12.75">
      <c r="A8850" s="2">
        <v>43881.357129629629</v>
      </c>
      <c r="B8850" t="str">
        <f>HYPERLINK("https://twitter.com/FaneArigayo","@FaneArigayo")</f>
        <v>@FaneArigayo</v>
      </c>
      <c r="C8850" t="s">
        <v>5716</v>
      </c>
      <c r="D8850">
        <v>5</v>
      </c>
      <c r="E8850">
        <v>0</v>
      </c>
      <c r="F8850">
        <v>249</v>
      </c>
    </row>
    <row r="8851" spans="1:6" ht="12.75">
      <c r="A8851" s="2">
        <v>43881.356793981482</v>
      </c>
      <c r="B8851" t="str">
        <f>HYPERLINK("https://twitter.com/kartikaapilia","@kartikaapilia")</f>
        <v>@kartikaapilia</v>
      </c>
      <c r="C8851" t="s">
        <v>5716</v>
      </c>
      <c r="D8851">
        <v>5</v>
      </c>
      <c r="E8851">
        <v>0</v>
      </c>
      <c r="F8851">
        <v>291</v>
      </c>
    </row>
    <row r="8852" spans="1:6" ht="12.75">
      <c r="A8852" s="2">
        <v>43881.35665509259</v>
      </c>
      <c r="B8852" t="str">
        <f>HYPERLINK("https://twitter.com/veraagustian_","@veraagustian_")</f>
        <v>@veraagustian_</v>
      </c>
      <c r="C8852" t="s">
        <v>5716</v>
      </c>
      <c r="D8852">
        <v>5</v>
      </c>
      <c r="E8852">
        <v>0</v>
      </c>
      <c r="F8852">
        <v>2967</v>
      </c>
    </row>
    <row r="8853" spans="1:6" ht="12.75">
      <c r="A8853" s="2">
        <v>43881.356249999997</v>
      </c>
      <c r="B8853" t="str">
        <f>HYPERLINK("https://twitter.com/DOJAENO","@DOJAENO")</f>
        <v>@DOJAENO</v>
      </c>
      <c r="C8853" t="s">
        <v>1407</v>
      </c>
      <c r="D8853">
        <v>9371</v>
      </c>
      <c r="E8853">
        <v>0</v>
      </c>
      <c r="F8853">
        <v>897</v>
      </c>
    </row>
    <row r="8854" spans="1:6" ht="12.75">
      <c r="A8854" s="2">
        <v>43881.356030092589</v>
      </c>
      <c r="B8854" t="str">
        <f>HYPERLINK("https://twitter.com/gunoto777","@gunoto777")</f>
        <v>@gunoto777</v>
      </c>
      <c r="C8854" t="s">
        <v>4360</v>
      </c>
      <c r="D8854">
        <v>110</v>
      </c>
      <c r="E8854">
        <v>0</v>
      </c>
      <c r="F8854">
        <v>1035</v>
      </c>
    </row>
    <row r="8855" spans="1:6" ht="12.75">
      <c r="A8855" s="2">
        <v>43881.355682870373</v>
      </c>
      <c r="B8855" t="str">
        <f>HYPERLINK("https://twitter.com/AyubeeB","@AyubeeB")</f>
        <v>@AyubeeB</v>
      </c>
      <c r="C8855" t="s">
        <v>5716</v>
      </c>
      <c r="D8855">
        <v>5</v>
      </c>
      <c r="E8855">
        <v>0</v>
      </c>
      <c r="F8855">
        <v>1234</v>
      </c>
    </row>
    <row r="8856" spans="1:6" ht="12.75">
      <c r="A8856" s="2">
        <v>43881.35564814815</v>
      </c>
      <c r="B8856" t="str">
        <f>HYPERLINK("https://twitter.com/gusbayu","@gusbayu")</f>
        <v>@gusbayu</v>
      </c>
      <c r="C8856" t="s">
        <v>5194</v>
      </c>
      <c r="D8856">
        <v>2</v>
      </c>
      <c r="E8856">
        <v>0</v>
      </c>
      <c r="F8856">
        <v>1473</v>
      </c>
    </row>
    <row r="8857" spans="1:6" ht="12.75">
      <c r="A8857" s="2">
        <v>43881.35560185185</v>
      </c>
      <c r="B8857" t="str">
        <f>HYPERLINK("https://twitter.com/beatrice_health","@beatrice_health")</f>
        <v>@beatrice_health</v>
      </c>
      <c r="C8857" t="s">
        <v>5682</v>
      </c>
      <c r="D8857">
        <v>1</v>
      </c>
      <c r="E8857">
        <v>0</v>
      </c>
      <c r="F8857">
        <v>213</v>
      </c>
    </row>
    <row r="8858" spans="1:6" ht="12.75">
      <c r="A8858" s="2">
        <v>43881.355486111112</v>
      </c>
      <c r="B8858" t="str">
        <f>HYPERLINK("https://twitter.com/indoinsidenews","@indoinsidenews")</f>
        <v>@indoinsidenews</v>
      </c>
      <c r="C8858" t="s">
        <v>5720</v>
      </c>
      <c r="D8858">
        <v>1</v>
      </c>
      <c r="E8858">
        <v>0</v>
      </c>
      <c r="F8858">
        <v>1296</v>
      </c>
    </row>
    <row r="8859" spans="1:6" ht="12.75">
      <c r="A8859" s="2">
        <v>43881.355324074073</v>
      </c>
      <c r="B8859" t="str">
        <f>HYPERLINK("https://twitter.com/Rachaarc","@Rachaarc")</f>
        <v>@Rachaarc</v>
      </c>
      <c r="C8859" t="s">
        <v>1407</v>
      </c>
      <c r="D8859">
        <v>9371</v>
      </c>
      <c r="E8859">
        <v>0</v>
      </c>
      <c r="F8859">
        <v>138</v>
      </c>
    </row>
    <row r="8860" spans="1:6" ht="12.75">
      <c r="A8860" s="2">
        <v>43881.355300925927</v>
      </c>
      <c r="B8860" t="str">
        <f>HYPERLINK("https://twitter.com/PunyanyaLucas","@PunyanyaLucas")</f>
        <v>@PunyanyaLucas</v>
      </c>
      <c r="C8860" t="s">
        <v>1407</v>
      </c>
      <c r="D8860">
        <v>9371</v>
      </c>
      <c r="E8860">
        <v>0</v>
      </c>
      <c r="F8860">
        <v>521</v>
      </c>
    </row>
    <row r="8861" spans="1:6" ht="12.75">
      <c r="A8861" s="2">
        <v>43881.334872685184</v>
      </c>
      <c r="B8861" t="str">
        <f>HYPERLINK("https://twitter.com/xzxxvia","@xzxxvia")</f>
        <v>@xzxxvia</v>
      </c>
      <c r="C8861" t="s">
        <v>1407</v>
      </c>
      <c r="D8861">
        <v>9295</v>
      </c>
      <c r="E8861">
        <v>0</v>
      </c>
      <c r="F8861">
        <v>372</v>
      </c>
    </row>
    <row r="8862" spans="1:6" ht="12.75">
      <c r="A8862" s="2">
        <v>43881.334108796298</v>
      </c>
      <c r="B8862" t="str">
        <f>HYPERLINK("https://twitter.com/_dianaamel","@_dianaamel")</f>
        <v>@_dianaamel</v>
      </c>
      <c r="C8862" t="s">
        <v>1407</v>
      </c>
      <c r="D8862">
        <v>9295</v>
      </c>
      <c r="E8862">
        <v>0</v>
      </c>
      <c r="F8862">
        <v>223</v>
      </c>
    </row>
    <row r="8863" spans="1:6" ht="12.75">
      <c r="A8863" s="2">
        <v>43881.333877314813</v>
      </c>
      <c r="B8863" t="str">
        <f>HYPERLINK("https://twitter.com/JENOENSITl","@JENOENSITl")</f>
        <v>@JENOENSITl</v>
      </c>
      <c r="C8863" t="s">
        <v>1407</v>
      </c>
      <c r="D8863">
        <v>9295</v>
      </c>
      <c r="E8863">
        <v>0</v>
      </c>
      <c r="F8863">
        <v>6118</v>
      </c>
    </row>
    <row r="8864" spans="1:6" ht="12.75">
      <c r="A8864" s="2">
        <v>43881.333796296298</v>
      </c>
      <c r="B8864" t="str">
        <f>HYPERLINK("https://twitter.com/MrsRachelIn","@MrsRachelIn")</f>
        <v>@MrsRachelIn</v>
      </c>
      <c r="C8864" t="s">
        <v>5721</v>
      </c>
      <c r="D8864">
        <v>0</v>
      </c>
      <c r="E8864">
        <v>0</v>
      </c>
      <c r="F8864">
        <v>3189</v>
      </c>
    </row>
    <row r="8865" spans="1:6" ht="12.75">
      <c r="A8865" s="2">
        <v>43881.333622685182</v>
      </c>
      <c r="B8865" t="str">
        <f>HYPERLINK("https://twitter.com/tvOneNews","@tvOneNews")</f>
        <v>@tvOneNews</v>
      </c>
      <c r="C8865" t="s">
        <v>5722</v>
      </c>
      <c r="D8865">
        <v>0</v>
      </c>
      <c r="E8865">
        <v>0</v>
      </c>
      <c r="F8865">
        <v>8717543</v>
      </c>
    </row>
    <row r="8866" spans="1:6" ht="12.75">
      <c r="A8866" s="2">
        <v>43881.33357638889</v>
      </c>
      <c r="B8866" t="str">
        <f>HYPERLINK("https://twitter.com/mellindoublel","@mellindoublel")</f>
        <v>@mellindoublel</v>
      </c>
      <c r="C8866" t="s">
        <v>1407</v>
      </c>
      <c r="D8866">
        <v>9295</v>
      </c>
      <c r="E8866">
        <v>0</v>
      </c>
      <c r="F8866">
        <v>1283</v>
      </c>
    </row>
    <row r="8867" spans="1:6" ht="12.75">
      <c r="A8867" s="2">
        <v>43881.333564814813</v>
      </c>
      <c r="B8867" t="str">
        <f>HYPERLINK("https://twitter.com/kim_heechuLove","@kim_heechuLove")</f>
        <v>@kim_heechuLove</v>
      </c>
      <c r="C8867" t="s">
        <v>2692</v>
      </c>
      <c r="D8867">
        <v>1790</v>
      </c>
      <c r="E8867">
        <v>0</v>
      </c>
      <c r="F8867">
        <v>1829</v>
      </c>
    </row>
    <row r="8868" spans="1:6" ht="12.75">
      <c r="A8868" s="2">
        <v>43881.33315972222</v>
      </c>
      <c r="B8868" t="str">
        <f>HYPERLINK("https://twitter.com/ardevinaa","@ardevinaa")</f>
        <v>@ardevinaa</v>
      </c>
      <c r="C8868" t="s">
        <v>1407</v>
      </c>
      <c r="D8868">
        <v>9295</v>
      </c>
      <c r="E8868">
        <v>0</v>
      </c>
      <c r="F8868">
        <v>24</v>
      </c>
    </row>
    <row r="8869" spans="1:6" ht="12.75">
      <c r="A8869" s="2">
        <v>43881.332997685182</v>
      </c>
      <c r="B8869" t="str">
        <f>HYPERLINK("https://twitter.com/YosuaYunianto","@YosuaYunianto")</f>
        <v>@YosuaYunianto</v>
      </c>
      <c r="C8869" t="s">
        <v>5723</v>
      </c>
      <c r="D8869">
        <v>0</v>
      </c>
      <c r="E8869">
        <v>0</v>
      </c>
      <c r="F8869">
        <v>101</v>
      </c>
    </row>
    <row r="8870" spans="1:6" ht="12.75">
      <c r="A8870" s="2">
        <v>43881.332870370374</v>
      </c>
      <c r="B8870" t="str">
        <f>HYPERLINK("https://twitter.com/oktivatavia","@oktivatavia")</f>
        <v>@oktivatavia</v>
      </c>
      <c r="C8870" t="s">
        <v>1407</v>
      </c>
      <c r="D8870">
        <v>9295</v>
      </c>
      <c r="E8870">
        <v>0</v>
      </c>
      <c r="F8870">
        <v>192</v>
      </c>
    </row>
    <row r="8871" spans="1:6" ht="12.75">
      <c r="A8871" s="2">
        <v>43881.332673611112</v>
      </c>
      <c r="B8871" t="str">
        <f>HYPERLINK("https://twitter.com/karmilla2_","@karmilla2_")</f>
        <v>@karmilla2_</v>
      </c>
      <c r="C8871" t="s">
        <v>2467</v>
      </c>
      <c r="D8871">
        <v>849</v>
      </c>
      <c r="E8871">
        <v>0</v>
      </c>
      <c r="F8871">
        <v>7</v>
      </c>
    </row>
    <row r="8872" spans="1:6" ht="12.75">
      <c r="A8872" s="2">
        <v>43881.332662037035</v>
      </c>
      <c r="B8872" t="str">
        <f>HYPERLINK("https://twitter.com/Geomsshi","@Geomsshi")</f>
        <v>@Geomsshi</v>
      </c>
      <c r="C8872" t="s">
        <v>2692</v>
      </c>
      <c r="D8872">
        <v>1790</v>
      </c>
      <c r="E8872">
        <v>0</v>
      </c>
      <c r="F8872">
        <v>247</v>
      </c>
    </row>
    <row r="8873" spans="1:6" ht="12.75">
      <c r="A8873" s="2">
        <v>43881.332384259258</v>
      </c>
      <c r="B8873" t="str">
        <f>HYPERLINK("https://twitter.com/Muhalfarizi9","@Muhalfarizi9")</f>
        <v>@Muhalfarizi9</v>
      </c>
      <c r="C8873" t="s">
        <v>5724</v>
      </c>
      <c r="D8873">
        <v>0</v>
      </c>
      <c r="E8873">
        <v>0</v>
      </c>
      <c r="F8873">
        <v>188</v>
      </c>
    </row>
    <row r="8874" spans="1:6" ht="12.75">
      <c r="A8874" s="2">
        <v>43881.332071759258</v>
      </c>
      <c r="B8874" t="str">
        <f>HYPERLINK("https://twitter.com/llhammmm","@llhammmm")</f>
        <v>@llhammmm</v>
      </c>
      <c r="C8874" t="s">
        <v>2692</v>
      </c>
      <c r="D8874">
        <v>1790</v>
      </c>
      <c r="E8874">
        <v>0</v>
      </c>
      <c r="F8874">
        <v>1712</v>
      </c>
    </row>
    <row r="8875" spans="1:6" ht="12.75">
      <c r="A8875" s="2">
        <v>43881.332002314812</v>
      </c>
      <c r="B8875" t="str">
        <f>HYPERLINK("https://twitter.com/scarletgleams","@scarletgleams")</f>
        <v>@scarletgleams</v>
      </c>
      <c r="C8875" t="s">
        <v>1407</v>
      </c>
      <c r="D8875">
        <v>9295</v>
      </c>
      <c r="E8875">
        <v>0</v>
      </c>
      <c r="F8875">
        <v>21</v>
      </c>
    </row>
    <row r="8876" spans="1:6" ht="12.75">
      <c r="A8876" s="2">
        <v>43881.33185185185</v>
      </c>
      <c r="B8876" t="str">
        <f>HYPERLINK("https://twitter.com/JousairiJ","@JousairiJ")</f>
        <v>@JousairiJ</v>
      </c>
      <c r="C8876" t="s">
        <v>5725</v>
      </c>
      <c r="D8876">
        <v>0</v>
      </c>
      <c r="E8876">
        <v>0</v>
      </c>
      <c r="F8876">
        <v>2349</v>
      </c>
    </row>
    <row r="8877" spans="1:6" ht="12.75">
      <c r="A8877" s="2">
        <v>43881.331562499996</v>
      </c>
      <c r="B8877" t="str">
        <f>HYPERLINK("https://twitter.com/Senopat19670034","@Senopat19670034")</f>
        <v>@Senopat19670034</v>
      </c>
      <c r="C8877" t="s">
        <v>5726</v>
      </c>
      <c r="D8877">
        <v>0</v>
      </c>
      <c r="E8877">
        <v>0</v>
      </c>
      <c r="F8877">
        <v>2</v>
      </c>
    </row>
    <row r="8878" spans="1:6" ht="12.75">
      <c r="A8878" s="2">
        <v>43881.331446759257</v>
      </c>
      <c r="B8878" t="str">
        <f>HYPERLINK("https://twitter.com/capilaalpt","@capilaalpt")</f>
        <v>@capilaalpt</v>
      </c>
      <c r="C8878" t="s">
        <v>2692</v>
      </c>
      <c r="D8878">
        <v>1790</v>
      </c>
      <c r="E8878">
        <v>0</v>
      </c>
      <c r="F8878">
        <v>73</v>
      </c>
    </row>
    <row r="8879" spans="1:6" ht="12.75">
      <c r="A8879" s="2">
        <v>43881.331064814818</v>
      </c>
      <c r="B8879" t="str">
        <f>HYPERLINK("https://twitter.com/mamangsuho","@mamangsuho")</f>
        <v>@mamangsuho</v>
      </c>
      <c r="C8879" t="s">
        <v>2692</v>
      </c>
      <c r="D8879">
        <v>1790</v>
      </c>
      <c r="E8879">
        <v>0</v>
      </c>
      <c r="F8879">
        <v>1127</v>
      </c>
    </row>
    <row r="8880" spans="1:6" ht="12.75">
      <c r="A8880" s="2">
        <v>43881.330891203703</v>
      </c>
      <c r="B8880" t="str">
        <f>HYPERLINK("https://twitter.com/ricosiswandi","@ricosiswandi")</f>
        <v>@ricosiswandi</v>
      </c>
      <c r="C8880" t="s">
        <v>4360</v>
      </c>
      <c r="D8880">
        <v>94</v>
      </c>
      <c r="E8880">
        <v>0</v>
      </c>
      <c r="F8880">
        <v>2400</v>
      </c>
    </row>
    <row r="8881" spans="1:6" ht="12.75">
      <c r="A8881" s="2">
        <v>43881.33084490741</v>
      </c>
      <c r="B8881" t="str">
        <f>HYPERLINK("https://twitter.com/imnotapizza","@imnotapizza")</f>
        <v>@imnotapizza</v>
      </c>
      <c r="C8881" t="s">
        <v>1407</v>
      </c>
      <c r="D8881">
        <v>9295</v>
      </c>
      <c r="E8881">
        <v>0</v>
      </c>
      <c r="F8881">
        <v>2448</v>
      </c>
    </row>
    <row r="8882" spans="1:6" ht="12.75">
      <c r="A8882" s="2">
        <v>43881.330833333333</v>
      </c>
      <c r="B8882" t="str">
        <f>HYPERLINK("https://twitter.com/e_lasmaria","@e_lasmaria")</f>
        <v>@e_lasmaria</v>
      </c>
      <c r="C8882" t="s">
        <v>1407</v>
      </c>
      <c r="D8882">
        <v>9295</v>
      </c>
      <c r="E8882">
        <v>0</v>
      </c>
      <c r="F8882">
        <v>510</v>
      </c>
    </row>
    <row r="8883" spans="1:6" ht="12.75">
      <c r="A8883" s="2">
        <v>43881.330706018518</v>
      </c>
      <c r="B8883" t="str">
        <f>HYPERLINK("https://twitter.com/anaknyamewgulf","@anaknyamewgulf")</f>
        <v>@anaknyamewgulf</v>
      </c>
      <c r="C8883" t="s">
        <v>2135</v>
      </c>
      <c r="D8883">
        <v>24</v>
      </c>
      <c r="E8883">
        <v>0</v>
      </c>
      <c r="F8883">
        <v>133</v>
      </c>
    </row>
    <row r="8884" spans="1:6" ht="12.75">
      <c r="A8884" s="2">
        <v>43881.330497685187</v>
      </c>
      <c r="B8884" t="str">
        <f>HYPERLINK("https://twitter.com/loey2711__","@loey2711__")</f>
        <v>@loey2711__</v>
      </c>
      <c r="C8884" t="s">
        <v>2692</v>
      </c>
      <c r="D8884">
        <v>1790</v>
      </c>
      <c r="E8884">
        <v>0</v>
      </c>
      <c r="F8884">
        <v>14</v>
      </c>
    </row>
    <row r="8885" spans="1:6" ht="12.75">
      <c r="A8885" s="2">
        <v>43881.330231481479</v>
      </c>
      <c r="B8885" t="str">
        <f>HYPERLINK("https://twitter.com/baekhyehettt","@baekhyehettt")</f>
        <v>@baekhyehettt</v>
      </c>
      <c r="C8885" t="s">
        <v>1407</v>
      </c>
      <c r="D8885">
        <v>9295</v>
      </c>
      <c r="E8885">
        <v>0</v>
      </c>
      <c r="F8885">
        <v>149</v>
      </c>
    </row>
    <row r="8886" spans="1:6" ht="12.75">
      <c r="A8886" s="2">
        <v>43881.330034722225</v>
      </c>
      <c r="B8886" t="str">
        <f>HYPERLINK("https://twitter.com/heriansyah_92","@heriansyah_92")</f>
        <v>@heriansyah_92</v>
      </c>
      <c r="C8886" t="s">
        <v>1407</v>
      </c>
      <c r="D8886">
        <v>9295</v>
      </c>
      <c r="E8886">
        <v>0</v>
      </c>
      <c r="F8886">
        <v>381</v>
      </c>
    </row>
    <row r="8887" spans="1:6" ht="12.75">
      <c r="A8887" s="2">
        <v>43881.329907407402</v>
      </c>
      <c r="B8887" t="str">
        <f>HYPERLINK("https://twitter.com/AgusSup39011241","@AgusSup39011241")</f>
        <v>@AgusSup39011241</v>
      </c>
      <c r="C8887" t="s">
        <v>4360</v>
      </c>
      <c r="D8887">
        <v>94</v>
      </c>
      <c r="E8887">
        <v>0</v>
      </c>
      <c r="F8887">
        <v>10149</v>
      </c>
    </row>
    <row r="8888" spans="1:6" ht="12.75">
      <c r="A8888" s="2">
        <v>43881.32949074074</v>
      </c>
      <c r="B8888" t="str">
        <f>HYPERLINK("https://twitter.com/TratatoulieF","@TratatoulieF")</f>
        <v>@TratatoulieF</v>
      </c>
      <c r="C8888" t="s">
        <v>1407</v>
      </c>
      <c r="D8888">
        <v>9295</v>
      </c>
      <c r="E8888">
        <v>0</v>
      </c>
      <c r="F8888">
        <v>893</v>
      </c>
    </row>
    <row r="8889" spans="1:6" ht="12.75">
      <c r="A8889" s="2">
        <v>43881.329317129625</v>
      </c>
      <c r="B8889" t="str">
        <f>HYPERLINK("https://twitter.com/DoubleV_17","@DoubleV_17")</f>
        <v>@DoubleV_17</v>
      </c>
      <c r="C8889" t="s">
        <v>1407</v>
      </c>
      <c r="D8889">
        <v>9295</v>
      </c>
      <c r="E8889">
        <v>0</v>
      </c>
      <c r="F8889">
        <v>190</v>
      </c>
    </row>
    <row r="8890" spans="1:6" ht="12.75">
      <c r="A8890" s="2">
        <v>43881.329270833332</v>
      </c>
      <c r="B8890" t="str">
        <f>HYPERLINK("https://twitter.com/robbyjulr","@robbyjulr")</f>
        <v>@robbyjulr</v>
      </c>
      <c r="C8890" t="s">
        <v>2692</v>
      </c>
      <c r="D8890">
        <v>1790</v>
      </c>
      <c r="E8890">
        <v>0</v>
      </c>
      <c r="F8890">
        <v>60</v>
      </c>
    </row>
    <row r="8891" spans="1:6" ht="12.75">
      <c r="A8891" s="2">
        <v>43881.329236111109</v>
      </c>
      <c r="B8891" t="str">
        <f>HYPERLINK("https://twitter.com/hetanila","@hetanila")</f>
        <v>@hetanila</v>
      </c>
      <c r="C8891" t="s">
        <v>2692</v>
      </c>
      <c r="D8891">
        <v>1790</v>
      </c>
      <c r="E8891">
        <v>0</v>
      </c>
      <c r="F8891">
        <v>310</v>
      </c>
    </row>
    <row r="8892" spans="1:6" ht="12.75">
      <c r="A8892" s="2">
        <v>43881.329166666663</v>
      </c>
      <c r="B8892" t="str">
        <f>HYPERLINK("https://twitter.com/RadenrofifahH","@RadenrofifahH")</f>
        <v>@RadenrofifahH</v>
      </c>
      <c r="C8892" t="s">
        <v>1407</v>
      </c>
      <c r="D8892">
        <v>9295</v>
      </c>
      <c r="E8892">
        <v>0</v>
      </c>
      <c r="F8892">
        <v>493</v>
      </c>
    </row>
    <row r="8893" spans="1:6" ht="12.75">
      <c r="A8893" s="2">
        <v>43881.329027777778</v>
      </c>
      <c r="B8893" t="str">
        <f>HYPERLINK("https://twitter.com/optimusthyun","@optimusthyun")</f>
        <v>@optimusthyun</v>
      </c>
      <c r="C8893" t="s">
        <v>2692</v>
      </c>
      <c r="D8893">
        <v>1790</v>
      </c>
      <c r="E8893">
        <v>0</v>
      </c>
      <c r="F8893">
        <v>906</v>
      </c>
    </row>
    <row r="8894" spans="1:6" ht="12.75">
      <c r="A8894" s="2">
        <v>43881.328935185185</v>
      </c>
      <c r="B8894" t="str">
        <f>HYPERLINK("https://twitter.com/trellaoribel","@trellaoribel")</f>
        <v>@trellaoribel</v>
      </c>
      <c r="C8894" t="s">
        <v>2692</v>
      </c>
      <c r="D8894">
        <v>1790</v>
      </c>
      <c r="E8894">
        <v>0</v>
      </c>
      <c r="F8894">
        <v>686</v>
      </c>
    </row>
    <row r="8895" spans="1:6" ht="12.75">
      <c r="A8895" s="2">
        <v>43881.328726851847</v>
      </c>
      <c r="B8895" t="str">
        <f>HYPERLINK("https://twitter.com/lilionakim","@lilionakim")</f>
        <v>@lilionakim</v>
      </c>
      <c r="C8895" t="s">
        <v>5168</v>
      </c>
      <c r="D8895">
        <v>1691</v>
      </c>
      <c r="E8895">
        <v>0</v>
      </c>
      <c r="F8895">
        <v>415</v>
      </c>
    </row>
    <row r="8896" spans="1:6" ht="12.75">
      <c r="A8896" s="2">
        <v>43881.328715277778</v>
      </c>
      <c r="B8896" t="str">
        <f>HYPERLINK("https://twitter.com/sunflawrrs","@sunflawrrs")</f>
        <v>@sunflawrrs</v>
      </c>
      <c r="C8896" t="s">
        <v>1407</v>
      </c>
      <c r="D8896">
        <v>9295</v>
      </c>
      <c r="E8896">
        <v>0</v>
      </c>
      <c r="F8896">
        <v>428</v>
      </c>
    </row>
    <row r="8897" spans="1:6" ht="12.75">
      <c r="A8897" s="2">
        <v>43881.328692129631</v>
      </c>
      <c r="B8897" t="str">
        <f>HYPERLINK("https://twitter.com/anakdewa","@anakdewa")</f>
        <v>@anakdewa</v>
      </c>
      <c r="C8897" t="s">
        <v>5727</v>
      </c>
      <c r="D8897">
        <v>0</v>
      </c>
      <c r="E8897">
        <v>2</v>
      </c>
      <c r="F8897">
        <v>533</v>
      </c>
    </row>
    <row r="8898" spans="1:6" ht="12.75">
      <c r="A8898" s="2">
        <v>43881.328206018516</v>
      </c>
      <c r="B8898" t="str">
        <f>HYPERLINK("https://twitter.com/tetitot","@tetitot")</f>
        <v>@tetitot</v>
      </c>
      <c r="C8898" t="s">
        <v>2692</v>
      </c>
      <c r="D8898">
        <v>1790</v>
      </c>
      <c r="E8898">
        <v>0</v>
      </c>
      <c r="F8898">
        <v>283</v>
      </c>
    </row>
    <row r="8899" spans="1:6" ht="12.75">
      <c r="A8899" s="2">
        <v>43881.328148148154</v>
      </c>
      <c r="B8899" t="str">
        <f>HYPERLINK("https://twitter.com/tempodotco","@tempodotco")</f>
        <v>@tempodotco</v>
      </c>
      <c r="C8899" t="s">
        <v>5728</v>
      </c>
      <c r="D8899">
        <v>0</v>
      </c>
      <c r="E8899">
        <v>5</v>
      </c>
      <c r="F8899">
        <v>1706840</v>
      </c>
    </row>
    <row r="8900" spans="1:6" ht="12.75">
      <c r="A8900" s="2">
        <v>43881.327951388885</v>
      </c>
      <c r="B8900" t="str">
        <f>HYPERLINK("https://twitter.com/echankaseppisan","@echankaseppisan")</f>
        <v>@echankaseppisan</v>
      </c>
      <c r="C8900" t="s">
        <v>1407</v>
      </c>
      <c r="D8900">
        <v>9295</v>
      </c>
      <c r="E8900">
        <v>0</v>
      </c>
      <c r="F8900">
        <v>1517</v>
      </c>
    </row>
    <row r="8901" spans="1:6" ht="12.75">
      <c r="A8901" s="2">
        <v>43881.327835648146</v>
      </c>
      <c r="B8901" t="str">
        <f>HYPERLINK("https://twitter.com/lilionakim","@lilionakim")</f>
        <v>@lilionakim</v>
      </c>
      <c r="C8901" t="s">
        <v>2692</v>
      </c>
      <c r="D8901">
        <v>1790</v>
      </c>
      <c r="E8901">
        <v>0</v>
      </c>
      <c r="F8901">
        <v>415</v>
      </c>
    </row>
    <row r="8902" spans="1:6" ht="12.75">
      <c r="A8902" s="2">
        <v>43881.327719907407</v>
      </c>
      <c r="B8902" t="str">
        <f>HYPERLINK("https://twitter.com/diazabdc","@diazabdc")</f>
        <v>@diazabdc</v>
      </c>
      <c r="C8902" t="s">
        <v>2467</v>
      </c>
      <c r="D8902">
        <v>849</v>
      </c>
      <c r="E8902">
        <v>0</v>
      </c>
      <c r="F8902">
        <v>490</v>
      </c>
    </row>
    <row r="8903" spans="1:6" ht="12.75">
      <c r="A8903" s="2">
        <v>43881.327314814815</v>
      </c>
      <c r="B8903" t="str">
        <f>HYPERLINK("https://twitter.com/YCH7168","@YCH7168")</f>
        <v>@YCH7168</v>
      </c>
      <c r="C8903" t="s">
        <v>4360</v>
      </c>
      <c r="D8903">
        <v>94</v>
      </c>
      <c r="E8903">
        <v>0</v>
      </c>
      <c r="F8903">
        <v>7626</v>
      </c>
    </row>
    <row r="8904" spans="1:6" ht="12.75">
      <c r="A8904" s="2">
        <v>43881.327245370368</v>
      </c>
      <c r="B8904" t="str">
        <f>HYPERLINK("https://twitter.com/IbuMakiah","@IbuMakiah")</f>
        <v>@IbuMakiah</v>
      </c>
      <c r="C8904" t="s">
        <v>5729</v>
      </c>
      <c r="D8904">
        <v>279</v>
      </c>
      <c r="E8904">
        <v>0</v>
      </c>
      <c r="F8904">
        <v>278</v>
      </c>
    </row>
    <row r="8905" spans="1:6" ht="12.75">
      <c r="A8905" s="2">
        <v>43881.327175925922</v>
      </c>
      <c r="B8905" t="str">
        <f>HYPERLINK("https://twitter.com/diazabdc","@diazabdc")</f>
        <v>@diazabdc</v>
      </c>
      <c r="C8905" t="s">
        <v>1407</v>
      </c>
      <c r="D8905">
        <v>9295</v>
      </c>
      <c r="E8905">
        <v>0</v>
      </c>
      <c r="F8905">
        <v>490</v>
      </c>
    </row>
    <row r="8906" spans="1:6" ht="12.75">
      <c r="A8906" s="2">
        <v>43881.325659722221</v>
      </c>
      <c r="B8906" t="str">
        <f>HYPERLINK("https://twitter.com/raranoona","@raranoona")</f>
        <v>@raranoona</v>
      </c>
      <c r="C8906" t="s">
        <v>2692</v>
      </c>
      <c r="D8906">
        <v>1790</v>
      </c>
      <c r="E8906">
        <v>0</v>
      </c>
      <c r="F8906">
        <v>399</v>
      </c>
    </row>
    <row r="8907" spans="1:6" ht="12.75">
      <c r="A8907" s="2">
        <v>43881.325659722221</v>
      </c>
      <c r="B8907" t="str">
        <f>HYPERLINK("https://twitter.com/hi_imexol","@hi_imexol")</f>
        <v>@hi_imexol</v>
      </c>
      <c r="C8907" t="s">
        <v>2692</v>
      </c>
      <c r="D8907">
        <v>1790</v>
      </c>
      <c r="E8907">
        <v>0</v>
      </c>
      <c r="F8907">
        <v>495</v>
      </c>
    </row>
    <row r="8908" spans="1:6" ht="12.75">
      <c r="A8908" s="2">
        <v>43881.324988425928</v>
      </c>
      <c r="B8908" t="str">
        <f>HYPERLINK("https://twitter.com/BungRetweet","@BungRetweet")</f>
        <v>@BungRetweet</v>
      </c>
      <c r="C8908" t="s">
        <v>5730</v>
      </c>
      <c r="D8908">
        <v>1</v>
      </c>
      <c r="E8908">
        <v>0</v>
      </c>
      <c r="F8908">
        <v>3618</v>
      </c>
    </row>
    <row r="8909" spans="1:6" ht="12.75">
      <c r="A8909" s="2">
        <v>43881.324803240743</v>
      </c>
      <c r="B8909" t="str">
        <f>HYPERLINK("https://twitter.com/GaganSutrisna","@GaganSutrisna")</f>
        <v>@GaganSutrisna</v>
      </c>
      <c r="C8909" t="s">
        <v>5731</v>
      </c>
      <c r="D8909">
        <v>0</v>
      </c>
      <c r="E8909">
        <v>0</v>
      </c>
      <c r="F8909">
        <v>13</v>
      </c>
    </row>
    <row r="8910" spans="1:6" ht="12.75">
      <c r="A8910" s="2">
        <v>43881.324618055558</v>
      </c>
      <c r="B8910" t="str">
        <f>HYPERLINK("https://twitter.com/tatarosyanita","@tatarosyanita")</f>
        <v>@tatarosyanita</v>
      </c>
      <c r="C8910" t="s">
        <v>5139</v>
      </c>
      <c r="D8910">
        <v>9</v>
      </c>
      <c r="E8910">
        <v>0</v>
      </c>
      <c r="F8910">
        <v>987</v>
      </c>
    </row>
    <row r="8911" spans="1:6" ht="12.75">
      <c r="A8911" s="2">
        <v>43881.324432870373</v>
      </c>
      <c r="B8911" t="str">
        <f>HYPERLINK("https://twitter.com/karyopinot","@karyopinot")</f>
        <v>@karyopinot</v>
      </c>
      <c r="C8911" t="s">
        <v>1407</v>
      </c>
      <c r="D8911">
        <v>9295</v>
      </c>
      <c r="E8911">
        <v>0</v>
      </c>
      <c r="F8911">
        <v>586</v>
      </c>
    </row>
    <row r="8912" spans="1:6" ht="12.75">
      <c r="A8912" s="2">
        <v>43881.324421296296</v>
      </c>
      <c r="B8912" t="str">
        <f>HYPERLINK("https://twitter.com/rlawns3730","@rlawns3730")</f>
        <v>@rlawns3730</v>
      </c>
      <c r="C8912" t="s">
        <v>2692</v>
      </c>
      <c r="D8912">
        <v>1790</v>
      </c>
      <c r="E8912">
        <v>0</v>
      </c>
      <c r="F8912">
        <v>317</v>
      </c>
    </row>
    <row r="8913" spans="1:6" ht="12.75">
      <c r="A8913" s="2">
        <v>43881.32335648148</v>
      </c>
      <c r="B8913" t="str">
        <f>HYPERLINK("https://twitter.com/karmilla2_","@karmilla2_")</f>
        <v>@karmilla2_</v>
      </c>
      <c r="C8913" t="s">
        <v>1407</v>
      </c>
      <c r="D8913">
        <v>9295</v>
      </c>
      <c r="E8913">
        <v>0</v>
      </c>
      <c r="F8913">
        <v>7</v>
      </c>
    </row>
    <row r="8914" spans="1:6" ht="12.75">
      <c r="A8914" s="2">
        <v>43881.323113425926</v>
      </c>
      <c r="B8914" t="str">
        <f>HYPERLINK("https://twitter.com/sabinazag","@sabinazag")</f>
        <v>@sabinazag</v>
      </c>
      <c r="C8914" t="s">
        <v>1407</v>
      </c>
      <c r="D8914">
        <v>9295</v>
      </c>
      <c r="E8914">
        <v>0</v>
      </c>
      <c r="F8914">
        <v>83</v>
      </c>
    </row>
    <row r="8915" spans="1:6" ht="12.75">
      <c r="A8915" s="2">
        <v>43881.322858796295</v>
      </c>
      <c r="B8915" t="str">
        <f>HYPERLINK("https://twitter.com/bukandobleeh","@bukandobleeh")</f>
        <v>@bukandobleeh</v>
      </c>
      <c r="C8915" t="s">
        <v>1407</v>
      </c>
      <c r="D8915">
        <v>9295</v>
      </c>
      <c r="E8915">
        <v>0</v>
      </c>
      <c r="F8915">
        <v>117</v>
      </c>
    </row>
    <row r="8916" spans="1:6" ht="12.75">
      <c r="A8916" s="2">
        <v>43881.322141203702</v>
      </c>
      <c r="B8916" t="str">
        <f>HYPERLINK("https://twitter.com/scaleta_","@scaleta_")</f>
        <v>@scaleta_</v>
      </c>
      <c r="C8916" t="s">
        <v>1407</v>
      </c>
      <c r="D8916">
        <v>9295</v>
      </c>
      <c r="E8916">
        <v>0</v>
      </c>
      <c r="F8916">
        <v>739</v>
      </c>
    </row>
    <row r="8917" spans="1:6" ht="12.75">
      <c r="A8917" s="2">
        <v>43881.322083333333</v>
      </c>
      <c r="B8917" t="str">
        <f>HYPERLINK("https://twitter.com/zfnychrstn","@zfnychrstn")</f>
        <v>@zfnychrstn</v>
      </c>
      <c r="C8917" t="s">
        <v>1407</v>
      </c>
      <c r="D8917">
        <v>9295</v>
      </c>
      <c r="E8917">
        <v>0</v>
      </c>
      <c r="F8917">
        <v>233</v>
      </c>
    </row>
    <row r="8918" spans="1:6" ht="12.75">
      <c r="A8918" s="2">
        <v>43881.32099537037</v>
      </c>
      <c r="B8918" t="str">
        <f>HYPERLINK("https://twitter.com/Hyeraa24","@Hyeraa24")</f>
        <v>@Hyeraa24</v>
      </c>
      <c r="C8918" t="s">
        <v>1407</v>
      </c>
      <c r="D8918">
        <v>9295</v>
      </c>
      <c r="E8918">
        <v>0</v>
      </c>
      <c r="F8918">
        <v>83</v>
      </c>
    </row>
    <row r="8919" spans="1:6" ht="12.75">
      <c r="A8919" s="2">
        <v>43881.320925925931</v>
      </c>
      <c r="B8919" t="str">
        <f>HYPERLINK("https://twitter.com/yonadamel","@yonadamel")</f>
        <v>@yonadamel</v>
      </c>
      <c r="C8919" t="s">
        <v>1407</v>
      </c>
      <c r="D8919">
        <v>9295</v>
      </c>
      <c r="E8919">
        <v>0</v>
      </c>
      <c r="F8919">
        <v>403</v>
      </c>
    </row>
    <row r="8920" spans="1:6" ht="12.75">
      <c r="A8920" s="2">
        <v>43881.320798611108</v>
      </c>
      <c r="B8920" t="str">
        <f>HYPERLINK("https://twitter.com/ngersoolo","@ngersoolo")</f>
        <v>@ngersoolo</v>
      </c>
      <c r="C8920" t="s">
        <v>2692</v>
      </c>
      <c r="D8920">
        <v>1790</v>
      </c>
      <c r="E8920">
        <v>0</v>
      </c>
      <c r="F8920">
        <v>42</v>
      </c>
    </row>
    <row r="8921" spans="1:6" ht="12.75">
      <c r="A8921" s="2">
        <v>43881.320729166662</v>
      </c>
      <c r="B8921" t="str">
        <f>HYPERLINK("https://twitter.com/vincentialitha","@vincentialitha")</f>
        <v>@vincentialitha</v>
      </c>
      <c r="C8921" t="s">
        <v>1407</v>
      </c>
      <c r="D8921">
        <v>9295</v>
      </c>
      <c r="E8921">
        <v>0</v>
      </c>
      <c r="F8921">
        <v>678</v>
      </c>
    </row>
    <row r="8922" spans="1:6" ht="12.75">
      <c r="A8922" s="2">
        <v>43881.320474537039</v>
      </c>
      <c r="B8922" t="str">
        <f>HYPERLINK("https://twitter.com/pendividia","@pendividia")</f>
        <v>@pendividia</v>
      </c>
      <c r="C8922" t="s">
        <v>4329</v>
      </c>
      <c r="D8922">
        <v>5</v>
      </c>
      <c r="E8922">
        <v>0</v>
      </c>
      <c r="F8922">
        <v>582</v>
      </c>
    </row>
    <row r="8923" spans="1:6" ht="12.75">
      <c r="A8923" s="2">
        <v>43881.320451388892</v>
      </c>
      <c r="B8923" t="str">
        <f>HYPERLINK("https://twitter.com/aliyasalsabila","@aliyasalsabila")</f>
        <v>@aliyasalsabila</v>
      </c>
      <c r="C8923" t="s">
        <v>1407</v>
      </c>
      <c r="D8923">
        <v>9295</v>
      </c>
      <c r="E8923">
        <v>0</v>
      </c>
      <c r="F8923">
        <v>820</v>
      </c>
    </row>
    <row r="8924" spans="1:6" ht="12.75">
      <c r="A8924" s="2">
        <v>43881.32030092593</v>
      </c>
      <c r="B8924" t="str">
        <f>HYPERLINK("https://twitter.com/faridwinart","@faridwinart")</f>
        <v>@faridwinart</v>
      </c>
      <c r="C8924" t="s">
        <v>5732</v>
      </c>
      <c r="D8924">
        <v>0</v>
      </c>
      <c r="E8924">
        <v>0</v>
      </c>
      <c r="F8924">
        <v>119</v>
      </c>
    </row>
    <row r="8925" spans="1:6" ht="12.75">
      <c r="A8925" s="2">
        <v>43881.320034722223</v>
      </c>
      <c r="B8925" t="str">
        <f>HYPERLINK("https://twitter.com/mbak_utiii","@mbak_utiii")</f>
        <v>@mbak_utiii</v>
      </c>
      <c r="C8925" t="s">
        <v>2692</v>
      </c>
      <c r="D8925">
        <v>1790</v>
      </c>
      <c r="E8925">
        <v>0</v>
      </c>
      <c r="F8925">
        <v>404</v>
      </c>
    </row>
    <row r="8926" spans="1:6" ht="12.75">
      <c r="A8926" s="2">
        <v>43881.319826388892</v>
      </c>
      <c r="B8926" t="str">
        <f>HYPERLINK("https://twitter.com/ssyapphire","@ssyapphire")</f>
        <v>@ssyapphire</v>
      </c>
      <c r="C8926" t="s">
        <v>5572</v>
      </c>
      <c r="D8926">
        <v>4</v>
      </c>
      <c r="E8926">
        <v>0</v>
      </c>
      <c r="F8926">
        <v>1023</v>
      </c>
    </row>
    <row r="8927" spans="1:6" ht="12.75">
      <c r="A8927" s="2">
        <v>43881.319768518515</v>
      </c>
      <c r="B8927" t="str">
        <f>HYPERLINK("https://twitter.com/wonglemoe73","@wonglemoe73")</f>
        <v>@wonglemoe73</v>
      </c>
      <c r="C8927" t="s">
        <v>5536</v>
      </c>
      <c r="D8927">
        <v>3</v>
      </c>
      <c r="E8927">
        <v>0</v>
      </c>
      <c r="F8927">
        <v>8004</v>
      </c>
    </row>
    <row r="8928" spans="1:6" ht="12.75">
      <c r="A8928" s="2">
        <v>43881.319699074069</v>
      </c>
      <c r="B8928" t="str">
        <f>HYPERLINK("https://twitter.com/ssyapphire","@ssyapphire")</f>
        <v>@ssyapphire</v>
      </c>
      <c r="C8928" t="s">
        <v>2135</v>
      </c>
      <c r="D8928">
        <v>24</v>
      </c>
      <c r="E8928">
        <v>0</v>
      </c>
      <c r="F8928">
        <v>1023</v>
      </c>
    </row>
    <row r="8929" spans="1:6" ht="12.75">
      <c r="A8929" s="2">
        <v>43881.31967592593</v>
      </c>
      <c r="B8929" t="str">
        <f>HYPERLINK("https://twitter.com/idftria","@idftria")</f>
        <v>@idftria</v>
      </c>
      <c r="C8929" t="s">
        <v>2692</v>
      </c>
      <c r="D8929">
        <v>1790</v>
      </c>
      <c r="E8929">
        <v>0</v>
      </c>
      <c r="F8929">
        <v>484</v>
      </c>
    </row>
    <row r="8930" spans="1:6" ht="12.75">
      <c r="A8930" s="2">
        <v>43881.319293981476</v>
      </c>
      <c r="B8930" t="str">
        <f>HYPERLINK("https://twitter.com/manager_5am","@manager_5am")</f>
        <v>@manager_5am</v>
      </c>
      <c r="C8930" t="s">
        <v>5733</v>
      </c>
      <c r="D8930">
        <v>2</v>
      </c>
      <c r="E8930">
        <v>0</v>
      </c>
      <c r="F8930">
        <v>7148</v>
      </c>
    </row>
    <row r="8931" spans="1:6" ht="12.75">
      <c r="A8931" s="2">
        <v>43881.319270833337</v>
      </c>
      <c r="B8931" t="str">
        <f>HYPERLINK("https://twitter.com/iqbalfdil","@iqbalfdil")</f>
        <v>@iqbalfdil</v>
      </c>
      <c r="C8931" t="s">
        <v>1407</v>
      </c>
      <c r="D8931">
        <v>9295</v>
      </c>
      <c r="E8931">
        <v>0</v>
      </c>
      <c r="F8931">
        <v>1015</v>
      </c>
    </row>
    <row r="8932" spans="1:6" ht="12.75">
      <c r="A8932" s="2">
        <v>43881.319131944445</v>
      </c>
      <c r="B8932" t="str">
        <f>HYPERLINK("https://twitter.com/ISIS_Balik_NO","@ISIS_Balik_NO")</f>
        <v>@ISIS_Balik_NO</v>
      </c>
      <c r="C8932" t="s">
        <v>5734</v>
      </c>
      <c r="D8932">
        <v>0</v>
      </c>
      <c r="E8932">
        <v>0</v>
      </c>
      <c r="F8932">
        <v>6077</v>
      </c>
    </row>
    <row r="8933" spans="1:6" ht="12.75">
      <c r="A8933" s="2">
        <v>43881.318472222221</v>
      </c>
      <c r="B8933" t="str">
        <f>HYPERLINK("https://twitter.com/pinggyyy","@pinggyyy")</f>
        <v>@pinggyyy</v>
      </c>
      <c r="C8933" t="s">
        <v>2467</v>
      </c>
      <c r="D8933">
        <v>849</v>
      </c>
      <c r="E8933">
        <v>0</v>
      </c>
      <c r="F8933">
        <v>59</v>
      </c>
    </row>
    <row r="8934" spans="1:6" ht="12.75">
      <c r="A8934" s="2">
        <v>43881.318344907406</v>
      </c>
      <c r="B8934" t="str">
        <f t="shared" ref="B8934:B8936" si="156">HYPERLINK("https://twitter.com/declatte","@declatte")</f>
        <v>@declatte</v>
      </c>
      <c r="C8934" t="s">
        <v>2183</v>
      </c>
      <c r="D8934">
        <v>309</v>
      </c>
      <c r="E8934">
        <v>0</v>
      </c>
      <c r="F8934">
        <v>2517</v>
      </c>
    </row>
    <row r="8935" spans="1:6" ht="12.75">
      <c r="A8935" s="2">
        <v>43881.318298611106</v>
      </c>
      <c r="B8935" t="str">
        <f t="shared" si="156"/>
        <v>@declatte</v>
      </c>
      <c r="C8935" t="s">
        <v>2467</v>
      </c>
      <c r="D8935">
        <v>849</v>
      </c>
      <c r="E8935">
        <v>0</v>
      </c>
      <c r="F8935">
        <v>2517</v>
      </c>
    </row>
    <row r="8936" spans="1:6" ht="12.75">
      <c r="A8936" s="2">
        <v>43881.318240740744</v>
      </c>
      <c r="B8936" t="str">
        <f t="shared" si="156"/>
        <v>@declatte</v>
      </c>
      <c r="C8936" t="s">
        <v>1407</v>
      </c>
      <c r="D8936">
        <v>9295</v>
      </c>
      <c r="E8936">
        <v>0</v>
      </c>
      <c r="F8936">
        <v>2517</v>
      </c>
    </row>
    <row r="8937" spans="1:6" ht="12.75">
      <c r="A8937" s="2">
        <v>43881.318148148144</v>
      </c>
      <c r="B8937" t="str">
        <f>HYPERLINK("https://twitter.com/MarbunSulaiman","@MarbunSulaiman")</f>
        <v>@MarbunSulaiman</v>
      </c>
      <c r="C8937" t="s">
        <v>5735</v>
      </c>
      <c r="D8937">
        <v>1</v>
      </c>
      <c r="E8937">
        <v>1</v>
      </c>
      <c r="F8937">
        <v>119</v>
      </c>
    </row>
    <row r="8938" spans="1:6" ht="12.75">
      <c r="A8938" s="2">
        <v>43881.318090277782</v>
      </c>
      <c r="B8938" t="str">
        <f>HYPERLINK("https://twitter.com/huckeybusk","@huckeybusk")</f>
        <v>@huckeybusk</v>
      </c>
      <c r="C8938" t="s">
        <v>2692</v>
      </c>
      <c r="D8938">
        <v>1790</v>
      </c>
      <c r="E8938">
        <v>0</v>
      </c>
      <c r="F8938">
        <v>633</v>
      </c>
    </row>
    <row r="8939" spans="1:6" ht="12.75">
      <c r="A8939" s="2">
        <v>43881.318090277782</v>
      </c>
      <c r="B8939" t="str">
        <f>HYPERLINK("https://twitter.com/geloraco","@geloraco")</f>
        <v>@geloraco</v>
      </c>
      <c r="C8939" t="s">
        <v>5196</v>
      </c>
      <c r="D8939">
        <v>2</v>
      </c>
      <c r="E8939">
        <v>4</v>
      </c>
      <c r="F8939">
        <v>100834</v>
      </c>
    </row>
    <row r="8940" spans="1:6" ht="12.75">
      <c r="A8940" s="2">
        <v>43881.31795138889</v>
      </c>
      <c r="B8940" t="str">
        <f>HYPERLINK("https://twitter.com/trem_loucona","@trem_loucona")</f>
        <v>@trem_loucona</v>
      </c>
      <c r="C8940" t="s">
        <v>5736</v>
      </c>
      <c r="D8940">
        <v>0</v>
      </c>
      <c r="E8940">
        <v>0</v>
      </c>
      <c r="F8940">
        <v>743</v>
      </c>
    </row>
    <row r="8941" spans="1:6" ht="12.75">
      <c r="A8941" s="2">
        <v>43881.317800925928</v>
      </c>
      <c r="B8941" t="str">
        <f>HYPERLINK("https://twitter.com/ghina","@ghina")</f>
        <v>@ghina</v>
      </c>
      <c r="C8941" t="s">
        <v>1407</v>
      </c>
      <c r="D8941">
        <v>9295</v>
      </c>
      <c r="E8941">
        <v>0</v>
      </c>
      <c r="F8941">
        <v>240</v>
      </c>
    </row>
    <row r="8942" spans="1:6" ht="12.75">
      <c r="A8942" s="2">
        <v>43881.317719907413</v>
      </c>
      <c r="B8942" t="str">
        <f>HYPERLINK("https://twitter.com/GagakNeww2","@GagakNeww2")</f>
        <v>@GagakNeww2</v>
      </c>
      <c r="C8942" t="s">
        <v>4329</v>
      </c>
      <c r="D8942">
        <v>5</v>
      </c>
      <c r="E8942">
        <v>0</v>
      </c>
      <c r="F8942">
        <v>413</v>
      </c>
    </row>
    <row r="8943" spans="1:6" ht="12.75">
      <c r="A8943" s="2">
        <v>43881.317615740743</v>
      </c>
      <c r="B8943" t="str">
        <f>HYPERLINK("https://twitter.com/ISIS_Balik_NO","@ISIS_Balik_NO")</f>
        <v>@ISIS_Balik_NO</v>
      </c>
      <c r="C8943" t="s">
        <v>5737</v>
      </c>
      <c r="D8943">
        <v>0</v>
      </c>
      <c r="E8943">
        <v>2</v>
      </c>
      <c r="F8943">
        <v>6077</v>
      </c>
    </row>
    <row r="8944" spans="1:6" ht="12.75">
      <c r="A8944" s="2">
        <v>43881.317500000005</v>
      </c>
      <c r="B8944" t="str">
        <f>HYPERLINK("https://twitter.com/SembodroDewi","@SembodroDewi")</f>
        <v>@SembodroDewi</v>
      </c>
      <c r="C8944" t="s">
        <v>5536</v>
      </c>
      <c r="D8944">
        <v>3</v>
      </c>
      <c r="E8944">
        <v>0</v>
      </c>
      <c r="F8944">
        <v>245</v>
      </c>
    </row>
    <row r="8945" spans="1:6" ht="12.75">
      <c r="A8945" s="2">
        <v>43881.317476851851</v>
      </c>
      <c r="B8945" t="str">
        <f>HYPERLINK("https://twitter.com/tamara_donasl","@tamara_donasl")</f>
        <v>@tamara_donasl</v>
      </c>
      <c r="C8945" t="s">
        <v>1407</v>
      </c>
      <c r="D8945">
        <v>9295</v>
      </c>
      <c r="E8945">
        <v>0</v>
      </c>
      <c r="F8945">
        <v>431</v>
      </c>
    </row>
    <row r="8946" spans="1:6" ht="12.75">
      <c r="A8946" s="2">
        <v>43881.317349537036</v>
      </c>
      <c r="B8946" t="str">
        <f>HYPERLINK("https://twitter.com/beatrice_health","@beatrice_health")</f>
        <v>@beatrice_health</v>
      </c>
      <c r="C8946" t="s">
        <v>5738</v>
      </c>
      <c r="D8946">
        <v>1</v>
      </c>
      <c r="E8946">
        <v>0</v>
      </c>
      <c r="F8946">
        <v>211</v>
      </c>
    </row>
    <row r="8947" spans="1:6" ht="12.75">
      <c r="A8947" s="2">
        <v>43881.317291666666</v>
      </c>
      <c r="B8947" t="str">
        <f>HYPERLINK("https://twitter.com/mbvtt","@mbvtt")</f>
        <v>@mbvtt</v>
      </c>
      <c r="C8947" t="s">
        <v>5739</v>
      </c>
      <c r="D8947">
        <v>1</v>
      </c>
      <c r="E8947">
        <v>0</v>
      </c>
      <c r="F8947">
        <v>278</v>
      </c>
    </row>
    <row r="8948" spans="1:6" ht="12.75">
      <c r="A8948" s="2">
        <v>43881.317106481481</v>
      </c>
      <c r="B8948" t="str">
        <f>HYPERLINK("https://twitter.com/koloni_saham","@koloni_saham")</f>
        <v>@koloni_saham</v>
      </c>
      <c r="C8948" t="s">
        <v>5740</v>
      </c>
      <c r="D8948">
        <v>0</v>
      </c>
      <c r="E8948">
        <v>0</v>
      </c>
      <c r="F8948">
        <v>52</v>
      </c>
    </row>
    <row r="8949" spans="1:6" ht="12.75">
      <c r="A8949" s="2">
        <v>43881.315879629634</v>
      </c>
      <c r="B8949" t="str">
        <f>HYPERLINK("https://twitter.com/ISIS_Balik_NO","@ISIS_Balik_NO")</f>
        <v>@ISIS_Balik_NO</v>
      </c>
      <c r="C8949" t="s">
        <v>5741</v>
      </c>
      <c r="D8949">
        <v>133</v>
      </c>
      <c r="E8949">
        <v>0</v>
      </c>
      <c r="F8949">
        <v>6077</v>
      </c>
    </row>
    <row r="8950" spans="1:6" ht="12.75">
      <c r="A8950" s="2">
        <v>43881.315740740742</v>
      </c>
      <c r="B8950" t="str">
        <f>HYPERLINK("https://twitter.com/adicecsfabregas","@adicecsfabregas")</f>
        <v>@adicecsfabregas</v>
      </c>
      <c r="C8950" t="s">
        <v>1407</v>
      </c>
      <c r="D8950">
        <v>9295</v>
      </c>
      <c r="E8950">
        <v>0</v>
      </c>
      <c r="F8950">
        <v>201</v>
      </c>
    </row>
    <row r="8951" spans="1:6" ht="12.75">
      <c r="A8951" s="2">
        <v>43881.315659722226</v>
      </c>
      <c r="B8951" t="str">
        <f>HYPERLINK("https://twitter.com/ekagumilars","@ekagumilars")</f>
        <v>@ekagumilars</v>
      </c>
      <c r="C8951" t="s">
        <v>5717</v>
      </c>
      <c r="D8951">
        <v>2</v>
      </c>
      <c r="E8951">
        <v>0</v>
      </c>
      <c r="F8951">
        <v>114783</v>
      </c>
    </row>
    <row r="8952" spans="1:6" ht="12.75">
      <c r="A8952" s="2">
        <v>43881.31559027778</v>
      </c>
      <c r="B8952" t="str">
        <f t="shared" ref="B8952:B8954" si="157">HYPERLINK("https://twitter.com/lesyeuxdebyla","@lesyeuxdebyla")</f>
        <v>@lesyeuxdebyla</v>
      </c>
      <c r="C8952" t="s">
        <v>2183</v>
      </c>
      <c r="D8952">
        <v>309</v>
      </c>
      <c r="E8952">
        <v>0</v>
      </c>
      <c r="F8952">
        <v>446</v>
      </c>
    </row>
    <row r="8953" spans="1:6" ht="12.75">
      <c r="A8953" s="2">
        <v>43881.31554398148</v>
      </c>
      <c r="B8953" t="str">
        <f t="shared" si="157"/>
        <v>@lesyeuxdebyla</v>
      </c>
      <c r="C8953" t="s">
        <v>2467</v>
      </c>
      <c r="D8953">
        <v>849</v>
      </c>
      <c r="E8953">
        <v>0</v>
      </c>
      <c r="F8953">
        <v>446</v>
      </c>
    </row>
    <row r="8954" spans="1:6" ht="12.75">
      <c r="A8954" s="2">
        <v>43881.315370370372</v>
      </c>
      <c r="B8954" t="str">
        <f t="shared" si="157"/>
        <v>@lesyeuxdebyla</v>
      </c>
      <c r="C8954" t="s">
        <v>1407</v>
      </c>
      <c r="D8954">
        <v>9295</v>
      </c>
      <c r="E8954">
        <v>0</v>
      </c>
      <c r="F8954">
        <v>446</v>
      </c>
    </row>
    <row r="8955" spans="1:6" ht="12.75">
      <c r="A8955" s="2">
        <v>43881.315300925926</v>
      </c>
      <c r="B8955" t="str">
        <f>HYPERLINK("https://twitter.com/jisungpwaaarkkk","@jisungpwaaarkkk")</f>
        <v>@jisungpwaaarkkk</v>
      </c>
      <c r="C8955" t="s">
        <v>1407</v>
      </c>
      <c r="D8955">
        <v>9295</v>
      </c>
      <c r="E8955">
        <v>0</v>
      </c>
      <c r="F8955">
        <v>1759</v>
      </c>
    </row>
    <row r="8956" spans="1:6" ht="12.75">
      <c r="A8956" s="2">
        <v>43881.315289351856</v>
      </c>
      <c r="B8956" t="str">
        <f>HYPERLINK("https://twitter.com/DadBorneo","@DadBorneo")</f>
        <v>@DadBorneo</v>
      </c>
      <c r="C8956" t="s">
        <v>4360</v>
      </c>
      <c r="D8956">
        <v>94</v>
      </c>
      <c r="E8956">
        <v>0</v>
      </c>
      <c r="F8956">
        <v>767</v>
      </c>
    </row>
    <row r="8957" spans="1:6" ht="12.75">
      <c r="A8957" s="2">
        <v>43881.314872685187</v>
      </c>
      <c r="B8957" t="str">
        <f>HYPERLINK("https://twitter.com/sleeplessummer","@sleeplessummer")</f>
        <v>@sleeplessummer</v>
      </c>
      <c r="C8957" t="s">
        <v>1407</v>
      </c>
      <c r="D8957">
        <v>9295</v>
      </c>
      <c r="E8957">
        <v>0</v>
      </c>
      <c r="F8957">
        <v>472</v>
      </c>
    </row>
    <row r="8958" spans="1:6" ht="12.75">
      <c r="A8958" s="2">
        <v>43881.314479166671</v>
      </c>
      <c r="B8958" t="str">
        <f>HYPERLINK("https://twitter.com/Rini_Rinnai","@Rini_Rinnai")</f>
        <v>@Rini_Rinnai</v>
      </c>
      <c r="C8958" t="s">
        <v>2467</v>
      </c>
      <c r="D8958">
        <v>849</v>
      </c>
      <c r="E8958">
        <v>0</v>
      </c>
      <c r="F8958">
        <v>149</v>
      </c>
    </row>
    <row r="8959" spans="1:6" ht="12.75">
      <c r="A8959" s="2">
        <v>43881.314479166671</v>
      </c>
      <c r="B8959" t="str">
        <f>HYPERLINK("https://twitter.com/helloitisme66","@helloitisme66")</f>
        <v>@helloitisme66</v>
      </c>
      <c r="C8959" t="s">
        <v>2692</v>
      </c>
      <c r="D8959">
        <v>1790</v>
      </c>
      <c r="E8959">
        <v>0</v>
      </c>
      <c r="F8959">
        <v>544</v>
      </c>
    </row>
    <row r="8960" spans="1:6" ht="12.75">
      <c r="A8960" s="2">
        <v>43881.314108796301</v>
      </c>
      <c r="B8960" t="str">
        <f>HYPERLINK("https://twitter.com/FatimahAWijaya","@FatimahAWijaya")</f>
        <v>@FatimahAWijaya</v>
      </c>
      <c r="C8960" t="s">
        <v>1407</v>
      </c>
      <c r="D8960">
        <v>9295</v>
      </c>
      <c r="E8960">
        <v>0</v>
      </c>
      <c r="F8960">
        <v>298</v>
      </c>
    </row>
    <row r="8961" spans="1:6" ht="12.75">
      <c r="A8961" s="2">
        <v>43881.293287037042</v>
      </c>
      <c r="B8961" t="str">
        <f>HYPERLINK("https://twitter.com/MdAlomg14208406","@MdAlomg14208406")</f>
        <v>@MdAlomg14208406</v>
      </c>
      <c r="C8961" t="s">
        <v>2085</v>
      </c>
      <c r="D8961">
        <v>10</v>
      </c>
      <c r="E8961">
        <v>0</v>
      </c>
      <c r="F8961">
        <v>0</v>
      </c>
    </row>
    <row r="8962" spans="1:6" ht="12.75">
      <c r="A8962" s="2">
        <v>43881.293206018519</v>
      </c>
      <c r="B8962" t="str">
        <f>HYPERLINK("https://twitter.com/bobacure","@bobacure")</f>
        <v>@bobacure</v>
      </c>
      <c r="C8962" t="s">
        <v>1407</v>
      </c>
      <c r="D8962">
        <v>9200</v>
      </c>
      <c r="E8962">
        <v>0</v>
      </c>
      <c r="F8962">
        <v>79</v>
      </c>
    </row>
    <row r="8963" spans="1:6" ht="12.75">
      <c r="A8963" s="2">
        <v>43881.292986111112</v>
      </c>
      <c r="B8963" t="str">
        <f>HYPERLINK("https://twitter.com/heyrinzzz","@heyrinzzz")</f>
        <v>@heyrinzzz</v>
      </c>
      <c r="C8963" t="s">
        <v>1407</v>
      </c>
      <c r="D8963">
        <v>9200</v>
      </c>
      <c r="E8963">
        <v>0</v>
      </c>
      <c r="F8963">
        <v>714</v>
      </c>
    </row>
    <row r="8964" spans="1:6" ht="12.75">
      <c r="A8964" s="2">
        <v>43881.292534722219</v>
      </c>
      <c r="B8964" t="str">
        <f>HYPERLINK("https://twitter.com/makLambeTurah","@makLambeTurah")</f>
        <v>@makLambeTurah</v>
      </c>
      <c r="C8964" t="s">
        <v>5139</v>
      </c>
      <c r="D8964">
        <v>6</v>
      </c>
      <c r="E8964">
        <v>0</v>
      </c>
      <c r="F8964">
        <v>134559</v>
      </c>
    </row>
    <row r="8965" spans="1:6" ht="12.75">
      <c r="A8965" s="2">
        <v>43881.292314814811</v>
      </c>
      <c r="B8965" t="str">
        <f>HYPERLINK("https://twitter.com/kylielipan","@kylielipan")</f>
        <v>@kylielipan</v>
      </c>
      <c r="C8965" t="s">
        <v>1407</v>
      </c>
      <c r="D8965">
        <v>9200</v>
      </c>
      <c r="E8965">
        <v>0</v>
      </c>
      <c r="F8965">
        <v>127</v>
      </c>
    </row>
    <row r="8966" spans="1:6" ht="12.75">
      <c r="A8966" s="2">
        <v>43881.292071759264</v>
      </c>
      <c r="B8966" t="str">
        <f>HYPERLINK("https://twitter.com/nanskiiiii","@nanskiiiii")</f>
        <v>@nanskiiiii</v>
      </c>
      <c r="C8966" t="s">
        <v>2692</v>
      </c>
      <c r="D8966">
        <v>1748</v>
      </c>
      <c r="E8966">
        <v>0</v>
      </c>
      <c r="F8966">
        <v>382</v>
      </c>
    </row>
    <row r="8967" spans="1:6" ht="12.75">
      <c r="A8967" s="2">
        <v>43881.292037037041</v>
      </c>
      <c r="B8967" t="str">
        <f>HYPERLINK("https://twitter.com/pinktint_","@pinktint_")</f>
        <v>@pinktint_</v>
      </c>
      <c r="C8967" t="s">
        <v>1407</v>
      </c>
      <c r="D8967">
        <v>9200</v>
      </c>
      <c r="E8967">
        <v>0</v>
      </c>
      <c r="F8967">
        <v>251</v>
      </c>
    </row>
    <row r="8968" spans="1:6" ht="12.75">
      <c r="A8968" s="2">
        <v>43881.291921296295</v>
      </c>
      <c r="B8968" t="str">
        <f>HYPERLINK("https://twitter.com/dohbella","@dohbella")</f>
        <v>@dohbella</v>
      </c>
      <c r="C8968" t="s">
        <v>2692</v>
      </c>
      <c r="D8968">
        <v>1748</v>
      </c>
      <c r="E8968">
        <v>0</v>
      </c>
      <c r="F8968">
        <v>870</v>
      </c>
    </row>
    <row r="8969" spans="1:6" ht="12.75">
      <c r="A8969" s="2">
        <v>43881.29184027778</v>
      </c>
      <c r="B8969" t="str">
        <f>HYPERLINK("https://twitter.com/shellya_KC","@shellya_KC")</f>
        <v>@shellya_KC</v>
      </c>
      <c r="C8969" t="s">
        <v>1407</v>
      </c>
      <c r="D8969">
        <v>9200</v>
      </c>
      <c r="E8969">
        <v>0</v>
      </c>
      <c r="F8969">
        <v>249</v>
      </c>
    </row>
    <row r="8970" spans="1:6" ht="12.75">
      <c r="A8970" s="2">
        <v>43881.291516203702</v>
      </c>
      <c r="B8970" t="str">
        <f>HYPERLINK("https://twitter.com/cha_zea","@cha_zea")</f>
        <v>@cha_zea</v>
      </c>
      <c r="C8970" t="s">
        <v>1407</v>
      </c>
      <c r="D8970">
        <v>9200</v>
      </c>
      <c r="E8970">
        <v>0</v>
      </c>
      <c r="F8970">
        <v>1040</v>
      </c>
    </row>
    <row r="8971" spans="1:6" ht="12.75">
      <c r="A8971" s="2">
        <v>43881.291145833333</v>
      </c>
      <c r="B8971" t="str">
        <f>HYPERLINK("https://twitter.com/kimaeri88_","@kimaeri88_")</f>
        <v>@kimaeri88_</v>
      </c>
      <c r="C8971" t="s">
        <v>1407</v>
      </c>
      <c r="D8971">
        <v>9200</v>
      </c>
      <c r="E8971">
        <v>0</v>
      </c>
      <c r="F8971">
        <v>148</v>
      </c>
    </row>
    <row r="8972" spans="1:6" ht="12.75">
      <c r="A8972" s="2">
        <v>43881.290648148148</v>
      </c>
      <c r="B8972" t="str">
        <f>HYPERLINK("https://twitter.com/Desiaans","@Desiaans")</f>
        <v>@Desiaans</v>
      </c>
      <c r="C8972" t="s">
        <v>513</v>
      </c>
      <c r="D8972">
        <v>23198</v>
      </c>
      <c r="E8972">
        <v>0</v>
      </c>
      <c r="F8972">
        <v>389</v>
      </c>
    </row>
    <row r="8973" spans="1:6" ht="12.75">
      <c r="A8973" s="2">
        <v>43881.290636574078</v>
      </c>
      <c r="B8973" t="str">
        <f>HYPERLINK("https://twitter.com/taeradorable","@taeradorable")</f>
        <v>@taeradorable</v>
      </c>
      <c r="C8973" t="s">
        <v>1407</v>
      </c>
      <c r="D8973">
        <v>9200</v>
      </c>
      <c r="E8973">
        <v>0</v>
      </c>
      <c r="F8973">
        <v>1070</v>
      </c>
    </row>
    <row r="8974" spans="1:6" ht="12.75">
      <c r="A8974" s="2">
        <v>43881.290370370371</v>
      </c>
      <c r="B8974" t="str">
        <f>HYPERLINK("https://twitter.com/cofficup01","@cofficup01")</f>
        <v>@cofficup01</v>
      </c>
      <c r="C8974" t="s">
        <v>513</v>
      </c>
      <c r="D8974">
        <v>23198</v>
      </c>
      <c r="E8974">
        <v>0</v>
      </c>
      <c r="F8974">
        <v>12</v>
      </c>
    </row>
    <row r="8975" spans="1:6" ht="12.75">
      <c r="A8975" s="2">
        <v>43881.290162037039</v>
      </c>
      <c r="B8975" t="str">
        <f>HYPERLINK("https://twitter.com/BayuSet26765246","@BayuSet26765246")</f>
        <v>@BayuSet26765246</v>
      </c>
      <c r="C8975" t="s">
        <v>4360</v>
      </c>
      <c r="D8975">
        <v>83</v>
      </c>
      <c r="E8975">
        <v>0</v>
      </c>
      <c r="F8975">
        <v>1413</v>
      </c>
    </row>
    <row r="8976" spans="1:6" ht="12.75">
      <c r="A8976" s="2">
        <v>43881.29011574074</v>
      </c>
      <c r="B8976" t="str">
        <f>HYPERLINK("https://twitter.com/xyrloin","@xyrloin")</f>
        <v>@xyrloin</v>
      </c>
      <c r="C8976" t="s">
        <v>1407</v>
      </c>
      <c r="D8976">
        <v>9200</v>
      </c>
      <c r="E8976">
        <v>0</v>
      </c>
      <c r="F8976">
        <v>174</v>
      </c>
    </row>
    <row r="8977" spans="1:6" ht="12.75">
      <c r="A8977" s="2">
        <v>43881.290081018524</v>
      </c>
      <c r="B8977" t="str">
        <f>HYPERLINK("https://twitter.com/bedhillboy","@bedhillboy")</f>
        <v>@bedhillboy</v>
      </c>
      <c r="C8977" t="s">
        <v>5742</v>
      </c>
      <c r="D8977">
        <v>0</v>
      </c>
      <c r="E8977">
        <v>0</v>
      </c>
      <c r="F8977">
        <v>23</v>
      </c>
    </row>
    <row r="8978" spans="1:6" ht="12.75">
      <c r="A8978" s="2">
        <v>43881.289849537032</v>
      </c>
      <c r="B8978" t="str">
        <f>HYPERLINK("https://twitter.com/momochienak","@momochienak")</f>
        <v>@momochienak</v>
      </c>
      <c r="C8978" t="s">
        <v>1407</v>
      </c>
      <c r="D8978">
        <v>9200</v>
      </c>
      <c r="E8978">
        <v>0</v>
      </c>
      <c r="F8978">
        <v>214</v>
      </c>
    </row>
    <row r="8979" spans="1:6" ht="12.75">
      <c r="A8979" s="2">
        <v>43881.289803240739</v>
      </c>
      <c r="B8979" t="str">
        <f>HYPERLINK("https://twitter.com/ririzkamalia","@ririzkamalia")</f>
        <v>@ririzkamalia</v>
      </c>
      <c r="C8979" t="s">
        <v>2692</v>
      </c>
      <c r="D8979">
        <v>1748</v>
      </c>
      <c r="E8979">
        <v>0</v>
      </c>
      <c r="F8979">
        <v>447</v>
      </c>
    </row>
    <row r="8980" spans="1:6" ht="12.75">
      <c r="A8980" s="2">
        <v>43881.289293981477</v>
      </c>
      <c r="B8980" t="str">
        <f>HYPERLINK("https://twitter.com/MukbangE","@MukbangE")</f>
        <v>@MukbangE</v>
      </c>
      <c r="C8980" t="s">
        <v>5743</v>
      </c>
      <c r="D8980">
        <v>0</v>
      </c>
      <c r="E8980">
        <v>0</v>
      </c>
      <c r="F8980">
        <v>26</v>
      </c>
    </row>
    <row r="8981" spans="1:6" ht="12.75">
      <c r="A8981" s="2">
        <v>43881.288969907408</v>
      </c>
      <c r="B8981" t="str">
        <f>HYPERLINK("https://twitter.com/Hugoskd","@Hugoskd")</f>
        <v>@Hugoskd</v>
      </c>
      <c r="C8981" t="s">
        <v>1407</v>
      </c>
      <c r="D8981">
        <v>9200</v>
      </c>
      <c r="E8981">
        <v>0</v>
      </c>
      <c r="F8981">
        <v>1013</v>
      </c>
    </row>
    <row r="8982" spans="1:6" ht="12.75">
      <c r="A8982" s="2">
        <v>43881.288611111115</v>
      </c>
      <c r="B8982" t="str">
        <f>HYPERLINK("https://twitter.com/hendryan_edy","@hendryan_edy")</f>
        <v>@hendryan_edy</v>
      </c>
      <c r="C8982" t="s">
        <v>5744</v>
      </c>
      <c r="D8982">
        <v>26</v>
      </c>
      <c r="E8982">
        <v>0</v>
      </c>
      <c r="F8982">
        <v>148</v>
      </c>
    </row>
    <row r="8983" spans="1:6" ht="12.75">
      <c r="A8983" s="2">
        <v>43881.288368055553</v>
      </c>
      <c r="B8983" t="str">
        <f>HYPERLINK("https://twitter.com/emfik10","@emfik10")</f>
        <v>@emfik10</v>
      </c>
      <c r="C8983" t="s">
        <v>4360</v>
      </c>
      <c r="D8983">
        <v>83</v>
      </c>
      <c r="E8983">
        <v>0</v>
      </c>
      <c r="F8983">
        <v>328</v>
      </c>
    </row>
    <row r="8984" spans="1:6" ht="12.75">
      <c r="A8984" s="2">
        <v>43881.28806712963</v>
      </c>
      <c r="B8984" t="str">
        <f>HYPERLINK("https://twitter.com/lambert_kota","@lambert_kota")</f>
        <v>@lambert_kota</v>
      </c>
      <c r="C8984" t="s">
        <v>4360</v>
      </c>
      <c r="D8984">
        <v>83</v>
      </c>
      <c r="E8984">
        <v>0</v>
      </c>
      <c r="F8984">
        <v>691</v>
      </c>
    </row>
    <row r="8985" spans="1:6" ht="12.75">
      <c r="A8985" s="2">
        <v>43881.288020833337</v>
      </c>
      <c r="B8985" t="str">
        <f>HYPERLINK("https://twitter.com/LeeYara5","@LeeYara5")</f>
        <v>@LeeYara5</v>
      </c>
      <c r="C8985" t="s">
        <v>513</v>
      </c>
      <c r="D8985">
        <v>23198</v>
      </c>
      <c r="E8985">
        <v>0</v>
      </c>
      <c r="F8985">
        <v>19</v>
      </c>
    </row>
    <row r="8986" spans="1:6" ht="12.75">
      <c r="A8986" s="2">
        <v>43881.28743055556</v>
      </c>
      <c r="B8986" t="str">
        <f>HYPERLINK("https://twitter.com/847moyago_","@847moyago_")</f>
        <v>@847moyago_</v>
      </c>
      <c r="C8986" t="s">
        <v>1407</v>
      </c>
      <c r="D8986">
        <v>9200</v>
      </c>
      <c r="E8986">
        <v>0</v>
      </c>
      <c r="F8986">
        <v>12</v>
      </c>
    </row>
    <row r="8987" spans="1:6" ht="12.75">
      <c r="A8987" s="2">
        <v>43881.287395833337</v>
      </c>
      <c r="B8987" t="str">
        <f>HYPERLINK("https://twitter.com/desiits_","@desiits_")</f>
        <v>@desiits_</v>
      </c>
      <c r="C8987" t="s">
        <v>2692</v>
      </c>
      <c r="D8987">
        <v>1748</v>
      </c>
      <c r="E8987">
        <v>0</v>
      </c>
      <c r="F8987">
        <v>108</v>
      </c>
    </row>
    <row r="8988" spans="1:6" ht="12.75">
      <c r="A8988" s="2">
        <v>43881.287187499998</v>
      </c>
      <c r="B8988" t="str">
        <f>HYPERLINK("https://twitter.com/bgstrwbw","@bgstrwbw")</f>
        <v>@bgstrwbw</v>
      </c>
      <c r="C8988" t="s">
        <v>5745</v>
      </c>
      <c r="D8988">
        <v>5</v>
      </c>
      <c r="E8988">
        <v>0</v>
      </c>
      <c r="F8988">
        <v>282</v>
      </c>
    </row>
    <row r="8989" spans="1:6" ht="12.75">
      <c r="A8989" s="2">
        <v>43881.287118055552</v>
      </c>
      <c r="B8989" t="str">
        <f>HYPERLINK("https://twitter.com/ibnupurna","@ibnupurna")</f>
        <v>@ibnupurna</v>
      </c>
      <c r="C8989" t="s">
        <v>5746</v>
      </c>
      <c r="D8989">
        <v>0</v>
      </c>
      <c r="E8989">
        <v>0</v>
      </c>
      <c r="F8989">
        <v>5944</v>
      </c>
    </row>
    <row r="8990" spans="1:6" ht="12.75">
      <c r="A8990" s="2">
        <v>43881.28696759259</v>
      </c>
      <c r="B8990" t="str">
        <f>HYPERLINK("https://twitter.com/Fikridwiki1616","@Fikridwiki1616")</f>
        <v>@Fikridwiki1616</v>
      </c>
      <c r="C8990" t="s">
        <v>5747</v>
      </c>
      <c r="D8990">
        <v>0</v>
      </c>
      <c r="E8990">
        <v>1</v>
      </c>
      <c r="F8990">
        <v>4015</v>
      </c>
    </row>
    <row r="8991" spans="1:6" ht="12.75">
      <c r="A8991" s="2">
        <v>43881.286817129629</v>
      </c>
      <c r="B8991" t="str">
        <f>HYPERLINK("https://twitter.com/de2via","@de2via")</f>
        <v>@de2via</v>
      </c>
      <c r="C8991" t="s">
        <v>2692</v>
      </c>
      <c r="D8991">
        <v>1748</v>
      </c>
      <c r="E8991">
        <v>0</v>
      </c>
      <c r="F8991">
        <v>288</v>
      </c>
    </row>
    <row r="8992" spans="1:6" ht="12.75">
      <c r="A8992" s="2">
        <v>43881.286446759259</v>
      </c>
      <c r="B8992" t="str">
        <f>HYPERLINK("https://twitter.com/dsynwr_","@dsynwr_")</f>
        <v>@dsynwr_</v>
      </c>
      <c r="C8992" t="s">
        <v>1407</v>
      </c>
      <c r="D8992">
        <v>9200</v>
      </c>
      <c r="E8992">
        <v>0</v>
      </c>
      <c r="F8992">
        <v>259</v>
      </c>
    </row>
    <row r="8993" spans="1:6" ht="12.75">
      <c r="A8993" s="2">
        <v>43881.285578703704</v>
      </c>
      <c r="B8993" t="str">
        <f>HYPERLINK("https://twitter.com/sonorafmjogja","@sonorafmjogja")</f>
        <v>@sonorafmjogja</v>
      </c>
      <c r="C8993" t="s">
        <v>5748</v>
      </c>
      <c r="D8993">
        <v>0</v>
      </c>
      <c r="E8993">
        <v>0</v>
      </c>
      <c r="F8993">
        <v>8037</v>
      </c>
    </row>
    <row r="8994" spans="1:6" ht="12.75">
      <c r="A8994" s="2">
        <v>43881.285324074073</v>
      </c>
      <c r="B8994" t="str">
        <f>HYPERLINK("https://twitter.com/pendividia","@pendividia")</f>
        <v>@pendividia</v>
      </c>
      <c r="C8994" t="s">
        <v>5139</v>
      </c>
      <c r="D8994">
        <v>6</v>
      </c>
      <c r="E8994">
        <v>0</v>
      </c>
      <c r="F8994">
        <v>582</v>
      </c>
    </row>
    <row r="8995" spans="1:6" ht="12.75">
      <c r="A8995" s="2">
        <v>43881.284872685181</v>
      </c>
      <c r="B8995" t="str">
        <f>HYPERLINK("https://twitter.com/21Lai21","@21Lai21")</f>
        <v>@21Lai21</v>
      </c>
      <c r="C8995" t="s">
        <v>5139</v>
      </c>
      <c r="D8995">
        <v>6</v>
      </c>
      <c r="E8995">
        <v>0</v>
      </c>
      <c r="F8995">
        <v>291</v>
      </c>
    </row>
    <row r="8996" spans="1:6" ht="12.75">
      <c r="A8996" s="2">
        <v>43881.284791666665</v>
      </c>
      <c r="B8996" t="str">
        <f>HYPERLINK("https://twitter.com/arkoww","@arkoww")</f>
        <v>@arkoww</v>
      </c>
      <c r="C8996" t="s">
        <v>2692</v>
      </c>
      <c r="D8996">
        <v>1748</v>
      </c>
      <c r="E8996">
        <v>0</v>
      </c>
      <c r="F8996">
        <v>520</v>
      </c>
    </row>
    <row r="8997" spans="1:6" ht="12.75">
      <c r="A8997" s="2">
        <v>43881.284768518519</v>
      </c>
      <c r="B8997" t="str">
        <f t="shared" ref="B8997:B8998" si="158">HYPERLINK("https://twitter.com/eraieshaa","@eraieshaa")</f>
        <v>@eraieshaa</v>
      </c>
      <c r="C8997" t="s">
        <v>2183</v>
      </c>
      <c r="D8997">
        <v>303</v>
      </c>
      <c r="E8997">
        <v>0</v>
      </c>
      <c r="F8997">
        <v>18</v>
      </c>
    </row>
    <row r="8998" spans="1:6" ht="12.75">
      <c r="A8998" s="2">
        <v>43881.284733796296</v>
      </c>
      <c r="B8998" t="str">
        <f t="shared" si="158"/>
        <v>@eraieshaa</v>
      </c>
      <c r="C8998" t="s">
        <v>2467</v>
      </c>
      <c r="D8998">
        <v>836</v>
      </c>
      <c r="E8998">
        <v>0</v>
      </c>
      <c r="F8998">
        <v>18</v>
      </c>
    </row>
    <row r="8999" spans="1:6" ht="12.75">
      <c r="A8999" s="2">
        <v>43881.28460648148</v>
      </c>
      <c r="B8999" t="str">
        <f>HYPERLINK("https://twitter.com/1O1OYZ","@1O1OYZ")</f>
        <v>@1O1OYZ</v>
      </c>
      <c r="C8999" t="s">
        <v>1407</v>
      </c>
      <c r="D8999">
        <v>9200</v>
      </c>
      <c r="E8999">
        <v>0</v>
      </c>
      <c r="F8999">
        <v>324</v>
      </c>
    </row>
    <row r="9000" spans="1:6" ht="12.75">
      <c r="A9000" s="2">
        <v>43881.284537037034</v>
      </c>
      <c r="B9000" t="str">
        <f>HYPERLINK("https://twitter.com/ruspin_upin","@ruspin_upin")</f>
        <v>@ruspin_upin</v>
      </c>
      <c r="C9000" t="s">
        <v>5749</v>
      </c>
      <c r="D9000">
        <v>0</v>
      </c>
      <c r="E9000">
        <v>0</v>
      </c>
      <c r="F9000">
        <v>12</v>
      </c>
    </row>
    <row r="9001" spans="1:6" ht="12.75">
      <c r="A9001" s="2">
        <v>43881.284398148149</v>
      </c>
      <c r="B9001" t="str">
        <f>HYPERLINK("https://twitter.com/nafiiisa","@nafiiisa")</f>
        <v>@nafiiisa</v>
      </c>
      <c r="C9001" t="s">
        <v>1407</v>
      </c>
      <c r="D9001">
        <v>9200</v>
      </c>
      <c r="E9001">
        <v>0</v>
      </c>
      <c r="F9001">
        <v>668</v>
      </c>
    </row>
    <row r="9002" spans="1:6" ht="12.75">
      <c r="A9002" s="2">
        <v>43881.28398148148</v>
      </c>
      <c r="B9002" t="str">
        <f>HYPERLINK("https://twitter.com/sayyidfath","@sayyidfath")</f>
        <v>@sayyidfath</v>
      </c>
      <c r="C9002" t="s">
        <v>2692</v>
      </c>
      <c r="D9002">
        <v>1748</v>
      </c>
      <c r="E9002">
        <v>0</v>
      </c>
      <c r="F9002">
        <v>222</v>
      </c>
    </row>
    <row r="9003" spans="1:6" ht="12.75">
      <c r="A9003" s="2">
        <v>43881.283553240741</v>
      </c>
      <c r="B9003" t="str">
        <f>HYPERLINK("https://twitter.com/watermark_lon","@watermark_lon")</f>
        <v>@watermark_lon</v>
      </c>
      <c r="C9003" t="s">
        <v>5750</v>
      </c>
      <c r="D9003">
        <v>10</v>
      </c>
      <c r="E9003">
        <v>0</v>
      </c>
      <c r="F9003">
        <v>133</v>
      </c>
    </row>
    <row r="9004" spans="1:6" ht="12.75">
      <c r="A9004" s="2">
        <v>43881.283275462964</v>
      </c>
      <c r="B9004" t="str">
        <f>HYPERLINK("https://twitter.com/pcarl21","@pcarl21")</f>
        <v>@pcarl21</v>
      </c>
      <c r="C9004" t="s">
        <v>1407</v>
      </c>
      <c r="D9004">
        <v>9200</v>
      </c>
      <c r="E9004">
        <v>0</v>
      </c>
      <c r="F9004">
        <v>179</v>
      </c>
    </row>
    <row r="9005" spans="1:6" ht="12.75">
      <c r="A9005" s="2">
        <v>43881.282384259262</v>
      </c>
      <c r="B9005" t="str">
        <f>HYPERLINK("https://twitter.com/opiktaufik23","@opiktaufik23")</f>
        <v>@opiktaufik23</v>
      </c>
      <c r="C9005" t="s">
        <v>5203</v>
      </c>
      <c r="D9005">
        <v>88</v>
      </c>
      <c r="E9005">
        <v>0</v>
      </c>
      <c r="F9005">
        <v>32</v>
      </c>
    </row>
    <row r="9006" spans="1:6" ht="12.75">
      <c r="A9006" s="2">
        <v>43881.282210648147</v>
      </c>
      <c r="B9006" t="str">
        <f>HYPERLINK("https://twitter.com/hey_lessyu","@hey_lessyu")</f>
        <v>@hey_lessyu</v>
      </c>
      <c r="C9006" t="s">
        <v>1407</v>
      </c>
      <c r="D9006">
        <v>9200</v>
      </c>
      <c r="E9006">
        <v>0</v>
      </c>
      <c r="F9006">
        <v>189</v>
      </c>
    </row>
    <row r="9007" spans="1:6" ht="12.75">
      <c r="A9007" s="2">
        <v>43881.282037037032</v>
      </c>
      <c r="B9007" t="str">
        <f>HYPERLINK("https://twitter.com/GfPlat","@GfPlat")</f>
        <v>@GfPlat</v>
      </c>
      <c r="C9007" t="s">
        <v>5701</v>
      </c>
      <c r="D9007">
        <v>28</v>
      </c>
      <c r="E9007">
        <v>0</v>
      </c>
      <c r="F9007">
        <v>1797</v>
      </c>
    </row>
    <row r="9008" spans="1:6" ht="12.75">
      <c r="A9008" s="2">
        <v>43881.28197916667</v>
      </c>
      <c r="B9008" t="str">
        <f>HYPERLINK("https://twitter.com/jessica_cilvani","@jessica_cilvani")</f>
        <v>@jessica_cilvani</v>
      </c>
      <c r="C9008" t="s">
        <v>1407</v>
      </c>
      <c r="D9008">
        <v>9200</v>
      </c>
      <c r="E9008">
        <v>0</v>
      </c>
      <c r="F9008">
        <v>38</v>
      </c>
    </row>
    <row r="9009" spans="1:6" ht="12.75">
      <c r="A9009" s="2">
        <v>43881.281747685185</v>
      </c>
      <c r="B9009" t="str">
        <f>HYPERLINK("https://twitter.com/mbuhmutungaku","@mbuhmutungaku")</f>
        <v>@mbuhmutungaku</v>
      </c>
      <c r="C9009" t="s">
        <v>1407</v>
      </c>
      <c r="D9009">
        <v>9200</v>
      </c>
      <c r="E9009">
        <v>0</v>
      </c>
      <c r="F9009">
        <v>18</v>
      </c>
    </row>
    <row r="9010" spans="1:6" ht="12.75">
      <c r="A9010" s="2">
        <v>43881.281377314815</v>
      </c>
      <c r="B9010" t="str">
        <f>HYPERLINK("https://twitter.com/Ivone_RSZ","@Ivone_RSZ")</f>
        <v>@Ivone_RSZ</v>
      </c>
      <c r="C9010" t="s">
        <v>5751</v>
      </c>
      <c r="D9010">
        <v>6</v>
      </c>
      <c r="E9010">
        <v>4</v>
      </c>
      <c r="F9010">
        <v>16806</v>
      </c>
    </row>
    <row r="9011" spans="1:6" ht="12.75">
      <c r="A9011" s="2">
        <v>43881.281064814815</v>
      </c>
      <c r="B9011" t="str">
        <f>HYPERLINK("https://twitter.com/Indrake6Magus","@Indrake6Magus")</f>
        <v>@Indrake6Magus</v>
      </c>
      <c r="C9011" t="s">
        <v>5752</v>
      </c>
      <c r="D9011">
        <v>6</v>
      </c>
      <c r="E9011">
        <v>0</v>
      </c>
      <c r="F9011">
        <v>13</v>
      </c>
    </row>
    <row r="9012" spans="1:6" ht="12.75">
      <c r="A9012" s="2">
        <v>43881.28056712963</v>
      </c>
      <c r="B9012" t="str">
        <f>HYPERLINK("https://twitter.com/imannn_97","@imannn_97")</f>
        <v>@imannn_97</v>
      </c>
      <c r="C9012" t="s">
        <v>2692</v>
      </c>
      <c r="D9012">
        <v>1748</v>
      </c>
      <c r="E9012">
        <v>0</v>
      </c>
      <c r="F9012">
        <v>663</v>
      </c>
    </row>
    <row r="9013" spans="1:6" ht="12.75">
      <c r="A9013" s="2">
        <v>43881.280486111107</v>
      </c>
      <c r="B9013" t="str">
        <f>HYPERLINK("https://twitter.com/Triyuliantiii1","@Triyuliantiii1")</f>
        <v>@Triyuliantiii1</v>
      </c>
      <c r="C9013" t="s">
        <v>1407</v>
      </c>
      <c r="D9013">
        <v>9200</v>
      </c>
      <c r="E9013">
        <v>0</v>
      </c>
      <c r="F9013">
        <v>96</v>
      </c>
    </row>
    <row r="9014" spans="1:6" ht="12.75">
      <c r="A9014" s="2">
        <v>43881.280011574076</v>
      </c>
      <c r="B9014" t="str">
        <f>HYPERLINK("https://twitter.com/henry_ohello","@henry_ohello")</f>
        <v>@henry_ohello</v>
      </c>
      <c r="C9014" t="s">
        <v>4360</v>
      </c>
      <c r="D9014">
        <v>83</v>
      </c>
      <c r="E9014">
        <v>0</v>
      </c>
      <c r="F9014">
        <v>270</v>
      </c>
    </row>
    <row r="9015" spans="1:6" ht="12.75">
      <c r="A9015" s="2">
        <v>43881.279942129629</v>
      </c>
      <c r="B9015" t="str">
        <f>HYPERLINK("https://twitter.com/nurulwi_","@nurulwi_")</f>
        <v>@nurulwi_</v>
      </c>
      <c r="C9015" t="s">
        <v>1407</v>
      </c>
      <c r="D9015">
        <v>9200</v>
      </c>
      <c r="E9015">
        <v>0</v>
      </c>
      <c r="F9015">
        <v>306</v>
      </c>
    </row>
    <row r="9016" spans="1:6" ht="12.75">
      <c r="A9016" s="2">
        <v>43881.278796296298</v>
      </c>
      <c r="B9016" t="str">
        <f>HYPERLINK("https://twitter.com/ackelaspanas","@ackelaspanas")</f>
        <v>@ackelaspanas</v>
      </c>
      <c r="C9016" t="s">
        <v>1407</v>
      </c>
      <c r="D9016">
        <v>9200</v>
      </c>
      <c r="E9016">
        <v>0</v>
      </c>
      <c r="F9016">
        <v>7</v>
      </c>
    </row>
    <row r="9017" spans="1:6" ht="12.75">
      <c r="A9017" s="2">
        <v>43881.278749999998</v>
      </c>
      <c r="B9017" t="str">
        <f>HYPERLINK("https://twitter.com/disaugusting","@disaugusting")</f>
        <v>@disaugusting</v>
      </c>
      <c r="C9017" t="s">
        <v>1407</v>
      </c>
      <c r="D9017">
        <v>9200</v>
      </c>
      <c r="E9017">
        <v>0</v>
      </c>
      <c r="F9017">
        <v>517</v>
      </c>
    </row>
    <row r="9018" spans="1:6" ht="12.75">
      <c r="A9018" s="2">
        <v>43881.278715277775</v>
      </c>
      <c r="B9018" t="str">
        <f>HYPERLINK("https://twitter.com/Quinnfy__","@Quinnfy__")</f>
        <v>@Quinnfy__</v>
      </c>
      <c r="C9018" t="s">
        <v>1407</v>
      </c>
      <c r="D9018">
        <v>9200</v>
      </c>
      <c r="E9018">
        <v>0</v>
      </c>
      <c r="F9018">
        <v>431</v>
      </c>
    </row>
    <row r="9019" spans="1:6" ht="12.75">
      <c r="A9019" s="2">
        <v>43881.278715277775</v>
      </c>
      <c r="B9019" t="str">
        <f>HYPERLINK("https://twitter.com/yulvie","@yulvie")</f>
        <v>@yulvie</v>
      </c>
      <c r="C9019" t="s">
        <v>2692</v>
      </c>
      <c r="D9019">
        <v>1748</v>
      </c>
      <c r="E9019">
        <v>0</v>
      </c>
      <c r="F9019">
        <v>581</v>
      </c>
    </row>
    <row r="9020" spans="1:6" ht="12.75">
      <c r="A9020" s="2">
        <v>43881.278182870374</v>
      </c>
      <c r="B9020" t="str">
        <f>HYPERLINK("https://twitter.com/silviagitac","@silviagitac")</f>
        <v>@silviagitac</v>
      </c>
      <c r="C9020" t="s">
        <v>2692</v>
      </c>
      <c r="D9020">
        <v>1748</v>
      </c>
      <c r="E9020">
        <v>0</v>
      </c>
      <c r="F9020">
        <v>727</v>
      </c>
    </row>
    <row r="9021" spans="1:6" ht="12.75">
      <c r="A9021" s="2">
        <v>43881.278020833328</v>
      </c>
      <c r="B9021" t="str">
        <f>HYPERLINK("https://twitter.com/Hyunhan10","@Hyunhan10")</f>
        <v>@Hyunhan10</v>
      </c>
      <c r="C9021" t="s">
        <v>1407</v>
      </c>
      <c r="D9021">
        <v>9200</v>
      </c>
      <c r="E9021">
        <v>0</v>
      </c>
      <c r="F9021">
        <v>140</v>
      </c>
    </row>
    <row r="9022" spans="1:6" ht="12.75">
      <c r="A9022" s="2">
        <v>43881.277974537035</v>
      </c>
      <c r="B9022" t="str">
        <f>HYPERLINK("https://twitter.com/mshtmyunan","@mshtmyunan")</f>
        <v>@mshtmyunan</v>
      </c>
      <c r="C9022" t="s">
        <v>1407</v>
      </c>
      <c r="D9022">
        <v>9200</v>
      </c>
      <c r="E9022">
        <v>0</v>
      </c>
      <c r="F9022">
        <v>33</v>
      </c>
    </row>
    <row r="9023" spans="1:6" ht="12.75">
      <c r="A9023" s="2">
        <v>43881.277974537035</v>
      </c>
      <c r="B9023" t="str">
        <f>HYPERLINK("https://twitter.com/a4f87bdda1c54c0","@a4f87bdda1c54c0")</f>
        <v>@a4f87bdda1c54c0</v>
      </c>
      <c r="C9023" t="s">
        <v>4360</v>
      </c>
      <c r="D9023">
        <v>83</v>
      </c>
      <c r="E9023">
        <v>0</v>
      </c>
      <c r="F9023">
        <v>1228</v>
      </c>
    </row>
    <row r="9024" spans="1:6" ht="12.75">
      <c r="A9024" s="2">
        <v>43881.277384259258</v>
      </c>
      <c r="B9024" t="str">
        <f>HYPERLINK("https://twitter.com/daffaibn","@daffaibn")</f>
        <v>@daffaibn</v>
      </c>
      <c r="C9024" t="s">
        <v>2692</v>
      </c>
      <c r="D9024">
        <v>1748</v>
      </c>
      <c r="E9024">
        <v>0</v>
      </c>
      <c r="F9024">
        <v>808</v>
      </c>
    </row>
    <row r="9025" spans="1:6" ht="12.75">
      <c r="A9025" s="2">
        <v>43881.276909722219</v>
      </c>
      <c r="B9025" t="str">
        <f>HYPERLINK("https://twitter.com/juned_zeid","@juned_zeid")</f>
        <v>@juned_zeid</v>
      </c>
      <c r="C9025" t="s">
        <v>5753</v>
      </c>
      <c r="D9025">
        <v>1</v>
      </c>
      <c r="E9025">
        <v>0</v>
      </c>
      <c r="F9025">
        <v>87</v>
      </c>
    </row>
    <row r="9026" spans="1:6" ht="12.75">
      <c r="A9026" s="2">
        <v>43881.276770833334</v>
      </c>
      <c r="B9026" t="str">
        <f>HYPERLINK("https://twitter.com/wins_cool","@wins_cool")</f>
        <v>@wins_cool</v>
      </c>
      <c r="C9026" t="s">
        <v>5754</v>
      </c>
      <c r="D9026">
        <v>0</v>
      </c>
      <c r="E9026">
        <v>0</v>
      </c>
      <c r="F9026">
        <v>199</v>
      </c>
    </row>
    <row r="9027" spans="1:6" ht="12.75">
      <c r="A9027" s="2">
        <v>43881.27643518518</v>
      </c>
      <c r="B9027" t="str">
        <f>HYPERLINK("https://twitter.com/poppynauky","@poppynauky")</f>
        <v>@poppynauky</v>
      </c>
      <c r="C9027" t="s">
        <v>4360</v>
      </c>
      <c r="D9027">
        <v>83</v>
      </c>
      <c r="E9027">
        <v>0</v>
      </c>
      <c r="F9027">
        <v>232</v>
      </c>
    </row>
    <row r="9028" spans="1:6" ht="12.75">
      <c r="A9028" s="2">
        <v>43881.276354166665</v>
      </c>
      <c r="B9028" t="str">
        <f>HYPERLINK("https://twitter.com/voaislam","@voaislam")</f>
        <v>@voaislam</v>
      </c>
      <c r="C9028" t="s">
        <v>4974</v>
      </c>
      <c r="D9028">
        <v>0</v>
      </c>
      <c r="E9028">
        <v>0</v>
      </c>
      <c r="F9028">
        <v>87876</v>
      </c>
    </row>
    <row r="9029" spans="1:6" ht="12.75">
      <c r="A9029" s="2">
        <v>43881.276203703703</v>
      </c>
      <c r="B9029" t="str">
        <f>HYPERLINK("https://twitter.com/nugrohorofil86","@nugrohorofil86")</f>
        <v>@nugrohorofil86</v>
      </c>
      <c r="C9029" t="s">
        <v>4360</v>
      </c>
      <c r="D9029">
        <v>83</v>
      </c>
      <c r="E9029">
        <v>0</v>
      </c>
      <c r="F9029">
        <v>65</v>
      </c>
    </row>
    <row r="9030" spans="1:6" ht="12.75">
      <c r="A9030" s="2">
        <v>43881.275821759264</v>
      </c>
      <c r="B9030" t="str">
        <f>HYPERLINK("https://twitter.com/mamihanafi","@mamihanafi")</f>
        <v>@mamihanafi</v>
      </c>
      <c r="C9030" t="s">
        <v>4360</v>
      </c>
      <c r="D9030">
        <v>83</v>
      </c>
      <c r="E9030">
        <v>0</v>
      </c>
      <c r="F9030">
        <v>1671</v>
      </c>
    </row>
    <row r="9031" spans="1:6" ht="12.75">
      <c r="A9031" s="2">
        <v>43881.275613425925</v>
      </c>
      <c r="B9031" t="str">
        <f>HYPERLINK("https://twitter.com/botjahalit","@botjahalit")</f>
        <v>@botjahalit</v>
      </c>
      <c r="C9031" t="s">
        <v>2692</v>
      </c>
      <c r="D9031">
        <v>1748</v>
      </c>
      <c r="E9031">
        <v>0</v>
      </c>
      <c r="F9031">
        <v>149</v>
      </c>
    </row>
    <row r="9032" spans="1:6" ht="12.75">
      <c r="A9032" s="2">
        <v>43881.27553240741</v>
      </c>
      <c r="B9032" t="str">
        <f>HYPERLINK("https://twitter.com/dinatalundy","@dinatalundy")</f>
        <v>@dinatalundy</v>
      </c>
      <c r="C9032" t="s">
        <v>1407</v>
      </c>
      <c r="D9032">
        <v>9200</v>
      </c>
      <c r="E9032">
        <v>0</v>
      </c>
      <c r="F9032">
        <v>223</v>
      </c>
    </row>
    <row r="9033" spans="1:6" ht="12.75">
      <c r="A9033" s="2">
        <v>43881.275497685187</v>
      </c>
      <c r="B9033" t="str">
        <f>HYPERLINK("https://twitter.com/ratihwardhani17","@ratihwardhani17")</f>
        <v>@ratihwardhani17</v>
      </c>
      <c r="C9033" t="s">
        <v>2692</v>
      </c>
      <c r="D9033">
        <v>1748</v>
      </c>
      <c r="E9033">
        <v>0</v>
      </c>
      <c r="F9033">
        <v>610</v>
      </c>
    </row>
    <row r="9034" spans="1:6" ht="12.75">
      <c r="A9034" s="2">
        <v>43881.275254629625</v>
      </c>
      <c r="B9034" t="str">
        <f>HYPERLINK("https://twitter.com/vchjeon","@vchjeon")</f>
        <v>@vchjeon</v>
      </c>
      <c r="C9034" t="s">
        <v>5644</v>
      </c>
      <c r="D9034">
        <v>373</v>
      </c>
      <c r="E9034">
        <v>0</v>
      </c>
      <c r="F9034">
        <v>343</v>
      </c>
    </row>
    <row r="9035" spans="1:6" ht="12.75">
      <c r="A9035" s="2">
        <v>43881.274675925924</v>
      </c>
      <c r="B9035" t="str">
        <f>HYPERLINK("https://twitter.com/ViradilaUmi","@ViradilaUmi")</f>
        <v>@ViradilaUmi</v>
      </c>
      <c r="C9035" t="s">
        <v>5203</v>
      </c>
      <c r="D9035">
        <v>88</v>
      </c>
      <c r="E9035">
        <v>0</v>
      </c>
      <c r="F9035">
        <v>228</v>
      </c>
    </row>
    <row r="9036" spans="1:6" ht="12.75">
      <c r="A9036" s="2">
        <v>43881.274675925924</v>
      </c>
      <c r="B9036" t="str">
        <f>HYPERLINK("https://twitter.com/sarf50053","@sarf50053")</f>
        <v>@sarf50053</v>
      </c>
      <c r="C9036" t="s">
        <v>5755</v>
      </c>
      <c r="D9036">
        <v>0</v>
      </c>
      <c r="E9036">
        <v>0</v>
      </c>
      <c r="F9036">
        <v>704</v>
      </c>
    </row>
    <row r="9037" spans="1:6" ht="12.75">
      <c r="A9037" s="2">
        <v>43881.274409722224</v>
      </c>
      <c r="B9037" t="str">
        <f>HYPERLINK("https://twitter.com/Zhrfavory","@Zhrfavory")</f>
        <v>@Zhrfavory</v>
      </c>
      <c r="C9037" t="s">
        <v>1407</v>
      </c>
      <c r="D9037">
        <v>9200</v>
      </c>
      <c r="E9037">
        <v>0</v>
      </c>
      <c r="F9037">
        <v>461</v>
      </c>
    </row>
    <row r="9038" spans="1:6" ht="12.75">
      <c r="A9038" s="2">
        <v>43881.274247685185</v>
      </c>
      <c r="B9038" t="str">
        <f>HYPERLINK("https://twitter.com/nengnani","@nengnani")</f>
        <v>@nengnani</v>
      </c>
      <c r="C9038" t="s">
        <v>2692</v>
      </c>
      <c r="D9038">
        <v>1748</v>
      </c>
      <c r="E9038">
        <v>0</v>
      </c>
      <c r="F9038">
        <v>255</v>
      </c>
    </row>
    <row r="9039" spans="1:6" ht="12.75">
      <c r="A9039" s="2">
        <v>43881.2737962963</v>
      </c>
      <c r="B9039" t="str">
        <f>HYPERLINK("https://twitter.com/MdAlomg14208406","@MdAlomg14208406")</f>
        <v>@MdAlomg14208406</v>
      </c>
      <c r="C9039" t="s">
        <v>2117</v>
      </c>
      <c r="D9039">
        <v>5</v>
      </c>
      <c r="E9039">
        <v>0</v>
      </c>
      <c r="F9039">
        <v>0</v>
      </c>
    </row>
    <row r="9040" spans="1:6" ht="12.75">
      <c r="A9040" s="2">
        <v>43881.273715277777</v>
      </c>
      <c r="B9040" t="str">
        <f>HYPERLINK("https://twitter.com/dwifakhria","@dwifakhria")</f>
        <v>@dwifakhria</v>
      </c>
      <c r="C9040" t="s">
        <v>2692</v>
      </c>
      <c r="D9040">
        <v>1748</v>
      </c>
      <c r="E9040">
        <v>0</v>
      </c>
      <c r="F9040">
        <v>167</v>
      </c>
    </row>
    <row r="9041" spans="1:6" ht="12.75">
      <c r="A9041" s="2">
        <v>43881.273506944446</v>
      </c>
      <c r="B9041" t="str">
        <f>HYPERLINK("https://twitter.com/toomuchheal","@toomuchheal")</f>
        <v>@toomuchheal</v>
      </c>
      <c r="C9041" t="s">
        <v>2373</v>
      </c>
      <c r="D9041">
        <v>281</v>
      </c>
      <c r="E9041">
        <v>0</v>
      </c>
      <c r="F9041">
        <v>9</v>
      </c>
    </row>
    <row r="9042" spans="1:6" ht="12.75">
      <c r="A9042" s="2">
        <v>43881.27342592593</v>
      </c>
      <c r="B9042" t="str">
        <f>HYPERLINK("https://twitter.com/pijhe_loey","@pijhe_loey")</f>
        <v>@pijhe_loey</v>
      </c>
      <c r="C9042" t="s">
        <v>1407</v>
      </c>
      <c r="D9042">
        <v>9200</v>
      </c>
      <c r="E9042">
        <v>0</v>
      </c>
      <c r="F9042">
        <v>1661</v>
      </c>
    </row>
    <row r="9043" spans="1:6" ht="12.75">
      <c r="A9043" s="2">
        <v>43881.273263888885</v>
      </c>
      <c r="B9043" t="str">
        <f>HYPERLINK("https://twitter.com/kbrimaputo","@kbrimaputo")</f>
        <v>@kbrimaputo</v>
      </c>
      <c r="C9043" t="s">
        <v>5756</v>
      </c>
      <c r="D9043">
        <v>24</v>
      </c>
      <c r="E9043">
        <v>0</v>
      </c>
      <c r="F9043">
        <v>307</v>
      </c>
    </row>
    <row r="9044" spans="1:6" ht="12.75">
      <c r="A9044" s="2">
        <v>43881.27280092593</v>
      </c>
      <c r="B9044" t="str">
        <f>HYPERLINK("https://twitter.com/toomuchheal","@toomuchheal")</f>
        <v>@toomuchheal</v>
      </c>
      <c r="C9044" t="s">
        <v>513</v>
      </c>
      <c r="D9044">
        <v>23198</v>
      </c>
      <c r="E9044">
        <v>0</v>
      </c>
      <c r="F9044">
        <v>9</v>
      </c>
    </row>
    <row r="9045" spans="1:6" ht="12.75">
      <c r="A9045" s="2">
        <v>43881.272118055553</v>
      </c>
      <c r="B9045" t="str">
        <f>HYPERLINK("https://twitter.com/FeriFey2","@FeriFey2")</f>
        <v>@FeriFey2</v>
      </c>
      <c r="C9045" t="s">
        <v>5757</v>
      </c>
      <c r="D9045">
        <v>15</v>
      </c>
      <c r="E9045">
        <v>0</v>
      </c>
      <c r="F9045">
        <v>0</v>
      </c>
    </row>
    <row r="9046" spans="1:6" ht="12.75">
      <c r="A9046" s="2">
        <v>43881.27208333333</v>
      </c>
      <c r="B9046" t="str">
        <f>HYPERLINK("https://twitter.com/bbhfangirl06","@bbhfangirl06")</f>
        <v>@bbhfangirl06</v>
      </c>
      <c r="C9046" t="s">
        <v>1407</v>
      </c>
      <c r="D9046">
        <v>9200</v>
      </c>
      <c r="E9046">
        <v>0</v>
      </c>
      <c r="F9046">
        <v>7</v>
      </c>
    </row>
    <row r="9047" spans="1:6" ht="12.75">
      <c r="A9047" s="2">
        <v>43881.271666666667</v>
      </c>
      <c r="B9047" t="str">
        <f>HYPERLINK("https://twitter.com/ntnshifa","@ntnshifa")</f>
        <v>@ntnshifa</v>
      </c>
      <c r="C9047" t="s">
        <v>1407</v>
      </c>
      <c r="D9047">
        <v>9200</v>
      </c>
      <c r="E9047">
        <v>0</v>
      </c>
      <c r="F9047">
        <v>900</v>
      </c>
    </row>
    <row r="9048" spans="1:6" ht="12.75">
      <c r="A9048" s="2">
        <v>43881.271550925929</v>
      </c>
      <c r="B9048" t="str">
        <f>HYPERLINK("https://twitter.com/anisarizkif","@anisarizkif")</f>
        <v>@anisarizkif</v>
      </c>
      <c r="C9048" t="s">
        <v>513</v>
      </c>
      <c r="D9048">
        <v>23198</v>
      </c>
      <c r="E9048">
        <v>0</v>
      </c>
      <c r="F9048">
        <v>129</v>
      </c>
    </row>
    <row r="9049" spans="1:6" ht="12.75">
      <c r="A9049" s="2">
        <v>43881.27144675926</v>
      </c>
      <c r="B9049" t="str">
        <f>HYPERLINK("https://twitter.com/asrmld_","@asrmld_")</f>
        <v>@asrmld_</v>
      </c>
      <c r="C9049" t="s">
        <v>1407</v>
      </c>
      <c r="D9049">
        <v>9200</v>
      </c>
      <c r="E9049">
        <v>0</v>
      </c>
      <c r="F9049">
        <v>1064</v>
      </c>
    </row>
    <row r="9050" spans="1:6" ht="12.75">
      <c r="A9050" s="2">
        <v>43881.271273148144</v>
      </c>
      <c r="B9050" t="str">
        <f>HYPERLINK("https://twitter.com/hipoklorat","@hipoklorat")</f>
        <v>@hipoklorat</v>
      </c>
      <c r="C9050" t="s">
        <v>1407</v>
      </c>
      <c r="D9050">
        <v>9200</v>
      </c>
      <c r="E9050">
        <v>0</v>
      </c>
      <c r="F9050">
        <v>27</v>
      </c>
    </row>
    <row r="9051" spans="1:6" ht="12.75">
      <c r="A9051" s="2">
        <v>43881.270868055552</v>
      </c>
      <c r="B9051" t="str">
        <f>HYPERLINK("https://twitter.com/pinkiesnay","@pinkiesnay")</f>
        <v>@pinkiesnay</v>
      </c>
      <c r="C9051" t="s">
        <v>1407</v>
      </c>
      <c r="D9051">
        <v>9200</v>
      </c>
      <c r="E9051">
        <v>0</v>
      </c>
      <c r="F9051">
        <v>215</v>
      </c>
    </row>
    <row r="9052" spans="1:6" ht="12.75">
      <c r="A9052" s="2">
        <v>43881.269849537042</v>
      </c>
      <c r="B9052" t="str">
        <f t="shared" ref="B9052:B9053" si="159">HYPERLINK("https://twitter.com/HAND_Ok","@HAND_Ok")</f>
        <v>@HAND_Ok</v>
      </c>
      <c r="C9052" t="s">
        <v>5758</v>
      </c>
      <c r="D9052">
        <v>5</v>
      </c>
      <c r="E9052">
        <v>0</v>
      </c>
      <c r="F9052">
        <v>51</v>
      </c>
    </row>
    <row r="9053" spans="1:6" ht="12.75">
      <c r="A9053" s="2">
        <v>43881.269814814819</v>
      </c>
      <c r="B9053" t="str">
        <f t="shared" si="159"/>
        <v>@HAND_Ok</v>
      </c>
      <c r="C9053" t="s">
        <v>5759</v>
      </c>
      <c r="D9053">
        <v>4</v>
      </c>
      <c r="E9053">
        <v>0</v>
      </c>
      <c r="F9053">
        <v>51</v>
      </c>
    </row>
    <row r="9054" spans="1:6" ht="12.75">
      <c r="A9054" s="2">
        <v>43881.269768518519</v>
      </c>
      <c r="B9054" t="str">
        <f>HYPERLINK("https://twitter.com/Bubble01997065","@Bubble01997065")</f>
        <v>@Bubble01997065</v>
      </c>
      <c r="C9054" t="s">
        <v>5760</v>
      </c>
      <c r="D9054">
        <v>0</v>
      </c>
      <c r="E9054">
        <v>0</v>
      </c>
      <c r="F9054">
        <v>2</v>
      </c>
    </row>
    <row r="9055" spans="1:6" ht="12.75">
      <c r="A9055" s="2">
        <v>43881.269363425927</v>
      </c>
      <c r="B9055" t="str">
        <f>HYPERLINK("https://twitter.com/FarelmaxL","@FarelmaxL")</f>
        <v>@FarelmaxL</v>
      </c>
      <c r="C9055" t="s">
        <v>4360</v>
      </c>
      <c r="D9055">
        <v>83</v>
      </c>
      <c r="E9055">
        <v>0</v>
      </c>
      <c r="F9055">
        <v>1313</v>
      </c>
    </row>
    <row r="9056" spans="1:6" ht="12.75">
      <c r="A9056" s="2">
        <v>43881.269212962958</v>
      </c>
      <c r="B9056" t="str">
        <f>HYPERLINK("https://twitter.com/sellllvii","@sellllvii")</f>
        <v>@sellllvii</v>
      </c>
      <c r="C9056" t="s">
        <v>1407</v>
      </c>
      <c r="D9056">
        <v>9200</v>
      </c>
      <c r="E9056">
        <v>0</v>
      </c>
      <c r="F9056">
        <v>1240</v>
      </c>
    </row>
    <row r="9057" spans="1:6" ht="12.75">
      <c r="A9057" s="2">
        <v>43881.269120370373</v>
      </c>
      <c r="B9057" t="str">
        <f>HYPERLINK("https://twitter.com/khecang","@khecang")</f>
        <v>@khecang</v>
      </c>
      <c r="C9057" t="s">
        <v>5761</v>
      </c>
      <c r="D9057">
        <v>102</v>
      </c>
      <c r="E9057">
        <v>0</v>
      </c>
      <c r="F9057">
        <v>48</v>
      </c>
    </row>
    <row r="9058" spans="1:6" ht="12.75">
      <c r="A9058" s="2">
        <v>43881.268761574072</v>
      </c>
      <c r="B9058" t="str">
        <f>HYPERLINK("https://twitter.com/firasha__","@firasha__")</f>
        <v>@firasha__</v>
      </c>
      <c r="C9058" t="s">
        <v>2692</v>
      </c>
      <c r="D9058">
        <v>1748</v>
      </c>
      <c r="E9058">
        <v>0</v>
      </c>
      <c r="F9058">
        <v>1375</v>
      </c>
    </row>
    <row r="9059" spans="1:6" ht="12.75">
      <c r="A9059" s="2">
        <v>43881.268761574072</v>
      </c>
      <c r="B9059" t="str">
        <f>HYPERLINK("https://twitter.com/sonorafmjogja","@sonorafmjogja")</f>
        <v>@sonorafmjogja</v>
      </c>
      <c r="C9059" t="s">
        <v>5762</v>
      </c>
      <c r="D9059">
        <v>0</v>
      </c>
      <c r="E9059">
        <v>0</v>
      </c>
      <c r="F9059">
        <v>8037</v>
      </c>
    </row>
    <row r="9060" spans="1:6" ht="12.75">
      <c r="A9060" s="2">
        <v>43881.268576388888</v>
      </c>
      <c r="B9060" t="str">
        <f>HYPERLINK("https://twitter.com/crazyzack13","@crazyzack13")</f>
        <v>@crazyzack13</v>
      </c>
      <c r="C9060" t="s">
        <v>4415</v>
      </c>
      <c r="D9060">
        <v>133</v>
      </c>
      <c r="E9060">
        <v>0</v>
      </c>
      <c r="F9060">
        <v>171</v>
      </c>
    </row>
    <row r="9061" spans="1:6" ht="12.75">
      <c r="A9061" s="2">
        <v>43881.251469907409</v>
      </c>
      <c r="B9061" t="str">
        <f>HYPERLINK("https://twitter.com/parallaxssaja","@parallaxssaja")</f>
        <v>@parallaxssaja</v>
      </c>
      <c r="C9061" t="s">
        <v>1407</v>
      </c>
      <c r="D9061">
        <v>9120</v>
      </c>
      <c r="E9061">
        <v>0</v>
      </c>
      <c r="F9061">
        <v>2044</v>
      </c>
    </row>
    <row r="9062" spans="1:6" ht="12.75">
      <c r="A9062" s="2">
        <v>43881.251284722224</v>
      </c>
      <c r="B9062" t="str">
        <f>HYPERLINK("https://twitter.com/metoto02","@metoto02")</f>
        <v>@metoto02</v>
      </c>
      <c r="C9062" t="s">
        <v>513</v>
      </c>
      <c r="D9062">
        <v>23192</v>
      </c>
      <c r="E9062">
        <v>0</v>
      </c>
      <c r="F9062">
        <v>194</v>
      </c>
    </row>
    <row r="9063" spans="1:6" ht="12.75">
      <c r="A9063" s="2">
        <v>43881.251018518524</v>
      </c>
      <c r="B9063" t="str">
        <f>HYPERLINK("https://twitter.com/girlcantek","@girlcantek")</f>
        <v>@girlcantek</v>
      </c>
      <c r="C9063" t="s">
        <v>2183</v>
      </c>
      <c r="D9063">
        <v>299</v>
      </c>
      <c r="E9063">
        <v>0</v>
      </c>
      <c r="F9063">
        <v>651</v>
      </c>
    </row>
    <row r="9064" spans="1:6" ht="12.75">
      <c r="A9064" s="2">
        <v>43881.25063657407</v>
      </c>
      <c r="B9064" t="str">
        <f>HYPERLINK("https://twitter.com/RubenLumalessi1","@RubenLumalessi1")</f>
        <v>@RubenLumalessi1</v>
      </c>
      <c r="C9064" t="s">
        <v>5763</v>
      </c>
      <c r="D9064">
        <v>0</v>
      </c>
      <c r="E9064">
        <v>0</v>
      </c>
      <c r="F9064">
        <v>765</v>
      </c>
    </row>
    <row r="9065" spans="1:6" ht="12.75">
      <c r="A9065" s="2">
        <v>43881.250532407408</v>
      </c>
      <c r="B9065" t="str">
        <f>HYPERLINK("https://twitter.com/titik_nurahmad","@titik_nurahmad")</f>
        <v>@titik_nurahmad</v>
      </c>
      <c r="C9065" t="s">
        <v>5764</v>
      </c>
      <c r="D9065">
        <v>0</v>
      </c>
      <c r="E9065">
        <v>0</v>
      </c>
      <c r="F9065">
        <v>154</v>
      </c>
    </row>
    <row r="9066" spans="1:6" ht="12.75">
      <c r="A9066" s="2">
        <v>43881.250347222223</v>
      </c>
      <c r="B9066" t="str">
        <f>HYPERLINK("https://twitter.com/chogiwa_awoo","@chogiwa_awoo")</f>
        <v>@chogiwa_awoo</v>
      </c>
      <c r="C9066" t="s">
        <v>1407</v>
      </c>
      <c r="D9066">
        <v>9120</v>
      </c>
      <c r="E9066">
        <v>0</v>
      </c>
      <c r="F9066">
        <v>50</v>
      </c>
    </row>
    <row r="9067" spans="1:6" ht="12.75">
      <c r="A9067" s="2">
        <v>43881.250150462962</v>
      </c>
      <c r="B9067" t="str">
        <f>HYPERLINK("https://twitter.com/kabarklaten","@kabarklaten")</f>
        <v>@kabarklaten</v>
      </c>
      <c r="C9067" t="s">
        <v>5765</v>
      </c>
      <c r="D9067">
        <v>0</v>
      </c>
      <c r="E9067">
        <v>2</v>
      </c>
      <c r="F9067">
        <v>80000</v>
      </c>
    </row>
    <row r="9068" spans="1:6" ht="12.75">
      <c r="A9068" s="2">
        <v>43881.25</v>
      </c>
      <c r="B9068" t="str">
        <f>HYPERLINK("https://twitter.com/SeputariNews","@SeputariNews")</f>
        <v>@SeputariNews</v>
      </c>
      <c r="C9068" t="s">
        <v>5766</v>
      </c>
      <c r="D9068">
        <v>0</v>
      </c>
      <c r="E9068">
        <v>0</v>
      </c>
      <c r="F9068">
        <v>438668</v>
      </c>
    </row>
    <row r="9069" spans="1:6" ht="12.75">
      <c r="A9069" s="2">
        <v>43881.25</v>
      </c>
      <c r="B9069" t="str">
        <f>HYPERLINK("https://twitter.com/officialnova_id","@officialnova_id")</f>
        <v>@officialnova_id</v>
      </c>
      <c r="C9069" t="s">
        <v>5767</v>
      </c>
      <c r="D9069">
        <v>0</v>
      </c>
      <c r="E9069">
        <v>0</v>
      </c>
      <c r="F9069">
        <v>65472</v>
      </c>
    </row>
    <row r="9070" spans="1:6" ht="12.75">
      <c r="A9070" s="2">
        <v>43881.249861111108</v>
      </c>
      <c r="B9070" t="str">
        <f>HYPERLINK("https://twitter.com/ISIS_Balik_NO","@ISIS_Balik_NO")</f>
        <v>@ISIS_Balik_NO</v>
      </c>
      <c r="C9070" t="s">
        <v>5768</v>
      </c>
      <c r="D9070">
        <v>0</v>
      </c>
      <c r="E9070">
        <v>0</v>
      </c>
      <c r="F9070">
        <v>6071</v>
      </c>
    </row>
    <row r="9071" spans="1:6" ht="12.75">
      <c r="A9071" s="2">
        <v>43881.249826388885</v>
      </c>
      <c r="B9071" t="str">
        <f>HYPERLINK("https://twitter.com/melameliong","@melameliong")</f>
        <v>@melameliong</v>
      </c>
      <c r="C9071" t="s">
        <v>2692</v>
      </c>
      <c r="D9071">
        <v>1716</v>
      </c>
      <c r="E9071">
        <v>0</v>
      </c>
      <c r="F9071">
        <v>411</v>
      </c>
    </row>
    <row r="9072" spans="1:6" ht="12.75">
      <c r="A9072" s="2">
        <v>43881.248773148152</v>
      </c>
      <c r="B9072" t="str">
        <f>HYPERLINK("https://twitter.com/fanskucingits","@fanskucingits")</f>
        <v>@fanskucingits</v>
      </c>
      <c r="C9072" t="s">
        <v>2692</v>
      </c>
      <c r="D9072">
        <v>1716</v>
      </c>
      <c r="E9072">
        <v>0</v>
      </c>
      <c r="F9072">
        <v>194</v>
      </c>
    </row>
    <row r="9073" spans="1:6" ht="12.75">
      <c r="A9073" s="2">
        <v>43881.247939814813</v>
      </c>
      <c r="B9073" t="str">
        <f>HYPERLINK("https://twitter.com/kimbbapkidding","@kimbbapkidding")</f>
        <v>@kimbbapkidding</v>
      </c>
      <c r="C9073" t="s">
        <v>1407</v>
      </c>
      <c r="D9073">
        <v>9120</v>
      </c>
      <c r="E9073">
        <v>0</v>
      </c>
      <c r="F9073">
        <v>20</v>
      </c>
    </row>
    <row r="9074" spans="1:6" ht="12.75">
      <c r="A9074" s="2">
        <v>43881.247696759259</v>
      </c>
      <c r="B9074" t="str">
        <f>HYPERLINK("https://twitter.com/NurulKhaasanah","@NurulKhaasanah")</f>
        <v>@NurulKhaasanah</v>
      </c>
      <c r="C9074" t="s">
        <v>5769</v>
      </c>
      <c r="D9074">
        <v>18</v>
      </c>
      <c r="E9074">
        <v>0</v>
      </c>
      <c r="F9074">
        <v>114</v>
      </c>
    </row>
    <row r="9075" spans="1:6" ht="12.75">
      <c r="A9075" s="2">
        <v>43881.247592592597</v>
      </c>
      <c r="B9075" t="str">
        <f>HYPERLINK("https://twitter.com/amelinda675","@amelinda675")</f>
        <v>@amelinda675</v>
      </c>
      <c r="C9075" t="s">
        <v>2692</v>
      </c>
      <c r="D9075">
        <v>1716</v>
      </c>
      <c r="E9075">
        <v>0</v>
      </c>
      <c r="F9075">
        <v>90</v>
      </c>
    </row>
    <row r="9076" spans="1:6" ht="12.75">
      <c r="A9076" s="2">
        <v>43881.247233796297</v>
      </c>
      <c r="B9076" t="str">
        <f>HYPERLINK("https://twitter.com/ISIS_Balik_NO","@ISIS_Balik_NO")</f>
        <v>@ISIS_Balik_NO</v>
      </c>
      <c r="C9076" t="s">
        <v>5770</v>
      </c>
      <c r="D9076">
        <v>0</v>
      </c>
      <c r="E9076">
        <v>0</v>
      </c>
      <c r="F9076">
        <v>6071</v>
      </c>
    </row>
    <row r="9077" spans="1:6" ht="12.75">
      <c r="A9077" s="2">
        <v>43881.246851851851</v>
      </c>
      <c r="B9077" t="str">
        <f>HYPERLINK("https://twitter.com/dididoop","@dididoop")</f>
        <v>@dididoop</v>
      </c>
      <c r="C9077" t="s">
        <v>1407</v>
      </c>
      <c r="D9077">
        <v>9120</v>
      </c>
      <c r="E9077">
        <v>0</v>
      </c>
      <c r="F9077">
        <v>17</v>
      </c>
    </row>
    <row r="9078" spans="1:6" ht="12.75">
      <c r="A9078" s="2">
        <v>43881.246782407412</v>
      </c>
      <c r="B9078" t="str">
        <f t="shared" ref="B9078:B9079" si="160">HYPERLINK("https://twitter.com/xxccvvgh","@xxccvvgh")</f>
        <v>@xxccvvgh</v>
      </c>
      <c r="C9078" t="s">
        <v>2183</v>
      </c>
      <c r="D9078">
        <v>299</v>
      </c>
      <c r="E9078">
        <v>0</v>
      </c>
      <c r="F9078">
        <v>1610</v>
      </c>
    </row>
    <row r="9079" spans="1:6" ht="12.75">
      <c r="A9079" s="2">
        <v>43881.246747685189</v>
      </c>
      <c r="B9079" t="str">
        <f t="shared" si="160"/>
        <v>@xxccvvgh</v>
      </c>
      <c r="C9079" t="s">
        <v>2467</v>
      </c>
      <c r="D9079">
        <v>831</v>
      </c>
      <c r="E9079">
        <v>0</v>
      </c>
      <c r="F9079">
        <v>1610</v>
      </c>
    </row>
    <row r="9080" spans="1:6" ht="12.75">
      <c r="A9080" s="2">
        <v>43881.245868055557</v>
      </c>
      <c r="B9080" t="str">
        <f>HYPERLINK("https://twitter.com/ISIS_Balik_NO","@ISIS_Balik_NO")</f>
        <v>@ISIS_Balik_NO</v>
      </c>
      <c r="C9080" t="s">
        <v>5771</v>
      </c>
      <c r="D9080">
        <v>0</v>
      </c>
      <c r="E9080">
        <v>0</v>
      </c>
      <c r="F9080">
        <v>6071</v>
      </c>
    </row>
    <row r="9081" spans="1:6" ht="12.75">
      <c r="A9081" s="2">
        <v>43881.245787037042</v>
      </c>
      <c r="B9081" t="str">
        <f>HYPERLINK("https://twitter.com/aidilmubarock","@aidilmubarock")</f>
        <v>@aidilmubarock</v>
      </c>
      <c r="C9081" t="s">
        <v>5772</v>
      </c>
      <c r="D9081">
        <v>0</v>
      </c>
      <c r="E9081">
        <v>0</v>
      </c>
      <c r="F9081">
        <v>19</v>
      </c>
    </row>
    <row r="9082" spans="1:6" ht="12.75">
      <c r="A9082" s="2">
        <v>43881.245763888888</v>
      </c>
      <c r="B9082" t="str">
        <f>HYPERLINK("https://twitter.com/dikalustika","@dikalustika")</f>
        <v>@dikalustika</v>
      </c>
      <c r="C9082" t="s">
        <v>2692</v>
      </c>
      <c r="D9082">
        <v>1716</v>
      </c>
      <c r="E9082">
        <v>0</v>
      </c>
      <c r="F9082">
        <v>256</v>
      </c>
    </row>
    <row r="9083" spans="1:6" ht="12.75">
      <c r="A9083" s="2">
        <v>43881.245347222226</v>
      </c>
      <c r="B9083" t="str">
        <f>HYPERLINK("https://twitter.com/kbrimaputo","@kbrimaputo")</f>
        <v>@kbrimaputo</v>
      </c>
      <c r="C9083" t="s">
        <v>2079</v>
      </c>
      <c r="D9083">
        <v>56</v>
      </c>
      <c r="E9083">
        <v>0</v>
      </c>
      <c r="F9083">
        <v>307</v>
      </c>
    </row>
    <row r="9084" spans="1:6" ht="12.75">
      <c r="A9084" s="2">
        <v>43881.244537037041</v>
      </c>
      <c r="B9084" t="str">
        <f>HYPERLINK("https://twitter.com/Kugyyyy","@Kugyyyy")</f>
        <v>@Kugyyyy</v>
      </c>
      <c r="C9084" t="s">
        <v>513</v>
      </c>
      <c r="D9084">
        <v>23192</v>
      </c>
      <c r="E9084">
        <v>0</v>
      </c>
      <c r="F9084">
        <v>740</v>
      </c>
    </row>
    <row r="9085" spans="1:6" ht="12.75">
      <c r="A9085" s="2">
        <v>43881.244328703702</v>
      </c>
      <c r="B9085" t="str">
        <f>HYPERLINK("https://twitter.com/jimienshi","@jimienshi")</f>
        <v>@jimienshi</v>
      </c>
      <c r="C9085" t="s">
        <v>1407</v>
      </c>
      <c r="D9085">
        <v>9120</v>
      </c>
      <c r="E9085">
        <v>0</v>
      </c>
      <c r="F9085">
        <v>15</v>
      </c>
    </row>
    <row r="9086" spans="1:6" ht="12.75">
      <c r="A9086" s="2">
        <v>43881.244097222225</v>
      </c>
      <c r="B9086" t="str">
        <f>HYPERLINK("https://twitter.com/nuraarifiani","@nuraarifiani")</f>
        <v>@nuraarifiani</v>
      </c>
      <c r="C9086" t="s">
        <v>1407</v>
      </c>
      <c r="D9086">
        <v>9120</v>
      </c>
      <c r="E9086">
        <v>0</v>
      </c>
      <c r="F9086">
        <v>418</v>
      </c>
    </row>
    <row r="9087" spans="1:6" ht="12.75">
      <c r="A9087" s="2">
        <v>43881.243969907402</v>
      </c>
      <c r="B9087" t="str">
        <f>HYPERLINK("https://twitter.com/TSidayat","@TSidayat")</f>
        <v>@TSidayat</v>
      </c>
      <c r="C9087" t="s">
        <v>4360</v>
      </c>
      <c r="D9087">
        <v>61</v>
      </c>
      <c r="E9087">
        <v>0</v>
      </c>
      <c r="F9087">
        <v>26</v>
      </c>
    </row>
    <row r="9088" spans="1:6" ht="12.75">
      <c r="A9088" s="2">
        <v>43881.243946759263</v>
      </c>
      <c r="B9088" t="str">
        <f>HYPERLINK("https://twitter.com/fauziafirda","@fauziafirda")</f>
        <v>@fauziafirda</v>
      </c>
      <c r="C9088" t="s">
        <v>1407</v>
      </c>
      <c r="D9088">
        <v>9120</v>
      </c>
      <c r="E9088">
        <v>0</v>
      </c>
      <c r="F9088">
        <v>406</v>
      </c>
    </row>
    <row r="9089" spans="1:6" ht="12.75">
      <c r="A9089" s="2">
        <v>43881.243796296301</v>
      </c>
      <c r="B9089" t="str">
        <f>HYPERLINK("https://twitter.com/sofiadephadill","@sofiadephadill")</f>
        <v>@sofiadephadill</v>
      </c>
      <c r="C9089" t="s">
        <v>1407</v>
      </c>
      <c r="D9089">
        <v>9120</v>
      </c>
      <c r="E9089">
        <v>0</v>
      </c>
      <c r="F9089">
        <v>809</v>
      </c>
    </row>
    <row r="9090" spans="1:6" ht="12.75">
      <c r="A9090" s="2">
        <v>43881.243587962963</v>
      </c>
      <c r="B9090" t="str">
        <f>HYPERLINK("https://twitter.com/kintaani","@kintaani")</f>
        <v>@kintaani</v>
      </c>
      <c r="C9090" t="s">
        <v>1407</v>
      </c>
      <c r="D9090">
        <v>9120</v>
      </c>
      <c r="E9090">
        <v>0</v>
      </c>
      <c r="F9090">
        <v>1188</v>
      </c>
    </row>
    <row r="9091" spans="1:6" ht="12.75">
      <c r="A9091" s="2">
        <v>43881.242442129631</v>
      </c>
      <c r="B9091" t="str">
        <f>HYPERLINK("https://twitter.com/ainuzzilati","@ainuzzilati")</f>
        <v>@ainuzzilati</v>
      </c>
      <c r="C9091" t="s">
        <v>1407</v>
      </c>
      <c r="D9091">
        <v>9120</v>
      </c>
      <c r="E9091">
        <v>0</v>
      </c>
      <c r="F9091">
        <v>55</v>
      </c>
    </row>
    <row r="9092" spans="1:6" ht="12.75">
      <c r="A9092" s="2">
        <v>43881.241770833338</v>
      </c>
      <c r="B9092" t="str">
        <f>HYPERLINK("https://twitter.com/syaz_wantwo3","@syaz_wantwo3")</f>
        <v>@syaz_wantwo3</v>
      </c>
      <c r="C9092" t="s">
        <v>5773</v>
      </c>
      <c r="D9092">
        <v>4</v>
      </c>
      <c r="E9092">
        <v>0</v>
      </c>
      <c r="F9092">
        <v>401</v>
      </c>
    </row>
    <row r="9093" spans="1:6" ht="12.75">
      <c r="A9093" s="2">
        <v>43881.241643518515</v>
      </c>
      <c r="B9093" t="str">
        <f>HYPERLINK("https://twitter.com/kerupukkkaleng","@kerupukkkaleng")</f>
        <v>@kerupukkkaleng</v>
      </c>
      <c r="C9093" t="s">
        <v>2183</v>
      </c>
      <c r="D9093">
        <v>299</v>
      </c>
      <c r="E9093">
        <v>0</v>
      </c>
      <c r="F9093">
        <v>1123</v>
      </c>
    </row>
    <row r="9094" spans="1:6" ht="12.75">
      <c r="A9094" s="2">
        <v>43881.241608796292</v>
      </c>
      <c r="B9094" t="str">
        <f>HYPERLINK("https://twitter.com/RubenLumalessi1","@RubenLumalessi1")</f>
        <v>@RubenLumalessi1</v>
      </c>
      <c r="C9094" t="s">
        <v>5774</v>
      </c>
      <c r="D9094">
        <v>0</v>
      </c>
      <c r="E9094">
        <v>0</v>
      </c>
      <c r="F9094">
        <v>765</v>
      </c>
    </row>
    <row r="9095" spans="1:6" ht="12.75">
      <c r="A9095" s="2">
        <v>43881.241377314815</v>
      </c>
      <c r="B9095" t="str">
        <f>HYPERLINK("https://twitter.com/kembangkertas97","@kembangkertas97")</f>
        <v>@kembangkertas97</v>
      </c>
      <c r="C9095" t="s">
        <v>2692</v>
      </c>
      <c r="D9095">
        <v>1716</v>
      </c>
      <c r="E9095">
        <v>0</v>
      </c>
      <c r="F9095">
        <v>4335</v>
      </c>
    </row>
    <row r="9096" spans="1:6" ht="12.75">
      <c r="A9096" s="2">
        <v>43881.241377314815</v>
      </c>
      <c r="B9096" t="str">
        <f>HYPERLINK("https://twitter.com/hapsari_ina","@hapsari_ina")</f>
        <v>@hapsari_ina</v>
      </c>
      <c r="C9096" t="s">
        <v>175</v>
      </c>
      <c r="D9096">
        <v>5400</v>
      </c>
      <c r="E9096">
        <v>0</v>
      </c>
      <c r="F9096">
        <v>27</v>
      </c>
    </row>
    <row r="9097" spans="1:6" ht="12.75">
      <c r="A9097" s="2">
        <v>43881.240740740745</v>
      </c>
      <c r="B9097" t="str">
        <f>HYPERLINK("https://twitter.com/mygxfr","@mygxfr")</f>
        <v>@mygxfr</v>
      </c>
      <c r="C9097" t="s">
        <v>1407</v>
      </c>
      <c r="D9097">
        <v>9120</v>
      </c>
      <c r="E9097">
        <v>0</v>
      </c>
      <c r="F9097">
        <v>2173</v>
      </c>
    </row>
    <row r="9098" spans="1:6" ht="12.75">
      <c r="A9098" s="2">
        <v>43881.240706018521</v>
      </c>
      <c r="B9098" t="str">
        <f>HYPERLINK("https://twitter.com/nafaaaisya","@nafaaaisya")</f>
        <v>@nafaaaisya</v>
      </c>
      <c r="C9098" t="s">
        <v>1407</v>
      </c>
      <c r="D9098">
        <v>9120</v>
      </c>
      <c r="E9098">
        <v>0</v>
      </c>
      <c r="F9098">
        <v>286</v>
      </c>
    </row>
    <row r="9099" spans="1:6" ht="12.75">
      <c r="A9099" s="2">
        <v>43881.240648148145</v>
      </c>
      <c r="B9099" t="str">
        <f>HYPERLINK("https://twitter.com/AhmadRosidi1982","@AhmadRosidi1982")</f>
        <v>@AhmadRosidi1982</v>
      </c>
      <c r="C9099" t="s">
        <v>5775</v>
      </c>
      <c r="D9099">
        <v>193</v>
      </c>
      <c r="E9099">
        <v>0</v>
      </c>
      <c r="F9099">
        <v>938</v>
      </c>
    </row>
    <row r="9100" spans="1:6" ht="12.75">
      <c r="A9100" s="2">
        <v>43881.240474537037</v>
      </c>
      <c r="B9100" t="str">
        <f>HYPERLINK("https://twitter.com/shakiraizzatul","@shakiraizzatul")</f>
        <v>@shakiraizzatul</v>
      </c>
      <c r="C9100" t="s">
        <v>5773</v>
      </c>
      <c r="D9100">
        <v>4</v>
      </c>
      <c r="E9100">
        <v>0</v>
      </c>
      <c r="F9100">
        <v>251</v>
      </c>
    </row>
    <row r="9101" spans="1:6" ht="12.75">
      <c r="A9101" s="2">
        <v>43881.240439814814</v>
      </c>
      <c r="B9101" t="str">
        <f>HYPERLINK("https://twitter.com/chskidraira","@chskidraira")</f>
        <v>@chskidraira</v>
      </c>
      <c r="C9101" t="s">
        <v>513</v>
      </c>
      <c r="D9101">
        <v>23192</v>
      </c>
      <c r="E9101">
        <v>0</v>
      </c>
      <c r="F9101">
        <v>2361</v>
      </c>
    </row>
    <row r="9102" spans="1:6" ht="12.75">
      <c r="A9102" s="2">
        <v>43881.240358796298</v>
      </c>
      <c r="B9102" t="str">
        <f>HYPERLINK("https://twitter.com/liputan6dotcom","@liputan6dotcom")</f>
        <v>@liputan6dotcom</v>
      </c>
      <c r="C9102" t="s">
        <v>5776</v>
      </c>
      <c r="D9102">
        <v>0</v>
      </c>
      <c r="E9102">
        <v>5</v>
      </c>
      <c r="F9102">
        <v>3626704</v>
      </c>
    </row>
    <row r="9103" spans="1:6" ht="12.75">
      <c r="A9103" s="2">
        <v>43881.24018518519</v>
      </c>
      <c r="B9103" t="str">
        <f>HYPERLINK("https://twitter.com/brmstiadi","@brmstiadi")</f>
        <v>@brmstiadi</v>
      </c>
      <c r="C9103" t="s">
        <v>1407</v>
      </c>
      <c r="D9103">
        <v>9120</v>
      </c>
      <c r="E9103">
        <v>0</v>
      </c>
      <c r="F9103">
        <v>392</v>
      </c>
    </row>
    <row r="9104" spans="1:6" ht="12.75">
      <c r="A9104" s="2">
        <v>43881.240115740744</v>
      </c>
      <c r="B9104" t="str">
        <f>HYPERLINK("https://twitter.com/realitesuce","@realitesuce")</f>
        <v>@realitesuce</v>
      </c>
      <c r="C9104" t="s">
        <v>1407</v>
      </c>
      <c r="D9104">
        <v>9120</v>
      </c>
      <c r="E9104">
        <v>0</v>
      </c>
      <c r="F9104">
        <v>72</v>
      </c>
    </row>
    <row r="9105" spans="1:6" ht="12.75">
      <c r="A9105" s="2">
        <v>43881.240023148144</v>
      </c>
      <c r="B9105" t="str">
        <f>HYPERLINK("https://twitter.com/Voice_maldives","@Voice_maldives")</f>
        <v>@Voice_maldives</v>
      </c>
      <c r="C9105" t="s">
        <v>2768</v>
      </c>
      <c r="D9105">
        <v>77</v>
      </c>
      <c r="E9105">
        <v>0</v>
      </c>
      <c r="F9105">
        <v>860</v>
      </c>
    </row>
    <row r="9106" spans="1:6" ht="12.75">
      <c r="A9106" s="2">
        <v>43881.240023148144</v>
      </c>
      <c r="B9106" t="str">
        <f>HYPERLINK("https://twitter.com/bagaiqhuda","@bagaiqhuda")</f>
        <v>@bagaiqhuda</v>
      </c>
      <c r="C9106" t="s">
        <v>2467</v>
      </c>
      <c r="D9106">
        <v>831</v>
      </c>
      <c r="E9106">
        <v>0</v>
      </c>
      <c r="F9106">
        <v>37</v>
      </c>
    </row>
    <row r="9107" spans="1:6" ht="12.75">
      <c r="A9107" s="2">
        <v>43881.239537037036</v>
      </c>
      <c r="B9107" t="str">
        <f>HYPERLINK("https://twitter.com/pngstdms","@pngstdms")</f>
        <v>@pngstdms</v>
      </c>
      <c r="C9107" t="s">
        <v>1407</v>
      </c>
      <c r="D9107">
        <v>9120</v>
      </c>
      <c r="E9107">
        <v>0</v>
      </c>
      <c r="F9107">
        <v>545</v>
      </c>
    </row>
    <row r="9108" spans="1:6" ht="12.75">
      <c r="A9108" s="2">
        <v>43881.239259259259</v>
      </c>
      <c r="B9108" t="str">
        <f>HYPERLINK("https://twitter.com/vict_isis","@vict_isis")</f>
        <v>@vict_isis</v>
      </c>
      <c r="C9108" t="s">
        <v>5777</v>
      </c>
      <c r="D9108">
        <v>0</v>
      </c>
      <c r="E9108">
        <v>0</v>
      </c>
      <c r="F9108">
        <v>865</v>
      </c>
    </row>
    <row r="9109" spans="1:6" ht="12.75">
      <c r="A9109" s="2">
        <v>43881.239166666666</v>
      </c>
      <c r="B9109" t="str">
        <f>HYPERLINK("https://twitter.com/abcdewijklmalik","@abcdewijklmalik")</f>
        <v>@abcdewijklmalik</v>
      </c>
      <c r="C9109" t="s">
        <v>1407</v>
      </c>
      <c r="D9109">
        <v>9120</v>
      </c>
      <c r="E9109">
        <v>0</v>
      </c>
      <c r="F9109">
        <v>4</v>
      </c>
    </row>
    <row r="9110" spans="1:6" ht="12.75">
      <c r="A9110" s="2">
        <v>43881.239004629635</v>
      </c>
      <c r="B9110" t="str">
        <f>HYPERLINK("https://twitter.com/jeuwisuc","@jeuwisuc")</f>
        <v>@jeuwisuc</v>
      </c>
      <c r="C9110" t="s">
        <v>1407</v>
      </c>
      <c r="D9110">
        <v>9120</v>
      </c>
      <c r="E9110">
        <v>0</v>
      </c>
      <c r="F9110">
        <v>1527</v>
      </c>
    </row>
    <row r="9111" spans="1:6" ht="12.75">
      <c r="A9111" s="2">
        <v>43881.238946759258</v>
      </c>
      <c r="B9111" t="str">
        <f>HYPERLINK("https://twitter.com/DivaRadioqu","@DivaRadioqu")</f>
        <v>@DivaRadioqu</v>
      </c>
      <c r="C9111" t="s">
        <v>5778</v>
      </c>
      <c r="D9111">
        <v>0</v>
      </c>
      <c r="E9111">
        <v>0</v>
      </c>
      <c r="F9111">
        <v>256</v>
      </c>
    </row>
    <row r="9112" spans="1:6" ht="12.75">
      <c r="A9112" s="2">
        <v>43881.238379629634</v>
      </c>
      <c r="B9112" t="str">
        <f>HYPERLINK("https://twitter.com/TINCEUBEY","@TINCEUBEY")</f>
        <v>@TINCEUBEY</v>
      </c>
      <c r="C9112" t="s">
        <v>2467</v>
      </c>
      <c r="D9112">
        <v>831</v>
      </c>
      <c r="E9112">
        <v>0</v>
      </c>
      <c r="F9112">
        <v>47</v>
      </c>
    </row>
    <row r="9113" spans="1:6" ht="12.75">
      <c r="A9113" s="2">
        <v>43881.238321759258</v>
      </c>
      <c r="B9113" t="str">
        <f>HYPERLINK("https://twitter.com/preciousminarii","@preciousminarii")</f>
        <v>@preciousminarii</v>
      </c>
      <c r="C9113" t="s">
        <v>2183</v>
      </c>
      <c r="D9113">
        <v>299</v>
      </c>
      <c r="E9113">
        <v>0</v>
      </c>
      <c r="F9113">
        <v>1036</v>
      </c>
    </row>
    <row r="9114" spans="1:6" ht="12.75">
      <c r="A9114" s="2">
        <v>43881.238206018519</v>
      </c>
      <c r="B9114" t="str">
        <f>HYPERLINK("https://twitter.com/Tulang_Godang","@Tulang_Godang")</f>
        <v>@Tulang_Godang</v>
      </c>
      <c r="C9114" t="s">
        <v>4360</v>
      </c>
      <c r="D9114">
        <v>61</v>
      </c>
      <c r="E9114">
        <v>0</v>
      </c>
      <c r="F9114">
        <v>570</v>
      </c>
    </row>
    <row r="9115" spans="1:6" ht="12.75">
      <c r="A9115" s="2">
        <v>43881.238182870366</v>
      </c>
      <c r="B9115" t="str">
        <f>HYPERLINK("https://twitter.com/preciousminarii","@preciousminarii")</f>
        <v>@preciousminarii</v>
      </c>
      <c r="C9115" t="s">
        <v>1407</v>
      </c>
      <c r="D9115">
        <v>9120</v>
      </c>
      <c r="E9115">
        <v>0</v>
      </c>
      <c r="F9115">
        <v>1036</v>
      </c>
    </row>
    <row r="9116" spans="1:6" ht="12.75">
      <c r="A9116" s="2">
        <v>43881.236550925925</v>
      </c>
      <c r="B9116" t="str">
        <f>HYPERLINK("https://twitter.com/jurnaIis","@jurnaIis")</f>
        <v>@jurnaIis</v>
      </c>
      <c r="C9116" t="s">
        <v>2692</v>
      </c>
      <c r="D9116">
        <v>1716</v>
      </c>
      <c r="E9116">
        <v>0</v>
      </c>
      <c r="F9116">
        <v>22</v>
      </c>
    </row>
    <row r="9117" spans="1:6" ht="12.75">
      <c r="A9117" s="2">
        <v>43881.236435185187</v>
      </c>
      <c r="B9117" t="str">
        <f>HYPERLINK("https://twitter.com/Jusup_Rianto","@Jusup_Rianto")</f>
        <v>@Jusup_Rianto</v>
      </c>
      <c r="C9117" t="s">
        <v>5779</v>
      </c>
      <c r="D9117">
        <v>0</v>
      </c>
      <c r="E9117">
        <v>0</v>
      </c>
      <c r="F9117">
        <v>47</v>
      </c>
    </row>
    <row r="9118" spans="1:6" ht="12.75">
      <c r="A9118" s="2">
        <v>43881.236261574071</v>
      </c>
      <c r="B9118" t="str">
        <f>HYPERLINK("https://twitter.com/nabil_thaqif","@nabil_thaqif")</f>
        <v>@nabil_thaqif</v>
      </c>
      <c r="C9118" t="s">
        <v>5773</v>
      </c>
      <c r="D9118">
        <v>4</v>
      </c>
      <c r="E9118">
        <v>0</v>
      </c>
      <c r="F9118">
        <v>326</v>
      </c>
    </row>
    <row r="9119" spans="1:6" ht="12.75">
      <c r="A9119" s="2">
        <v>43881.236226851848</v>
      </c>
      <c r="B9119" t="str">
        <f>HYPERLINK("https://twitter.com/RT_Salsabiil_QF","@RT_Salsabiil_QF")</f>
        <v>@RT_Salsabiil_QF</v>
      </c>
      <c r="C9119" t="s">
        <v>2183</v>
      </c>
      <c r="D9119">
        <v>299</v>
      </c>
      <c r="E9119">
        <v>0</v>
      </c>
      <c r="F9119">
        <v>259</v>
      </c>
    </row>
    <row r="9120" spans="1:6" ht="12.75">
      <c r="A9120" s="2">
        <v>43881.236064814817</v>
      </c>
      <c r="B9120" t="str">
        <f>HYPERLINK("https://twitter.com/Hayik02","@Hayik02")</f>
        <v>@Hayik02</v>
      </c>
      <c r="C9120" t="s">
        <v>4360</v>
      </c>
      <c r="D9120">
        <v>61</v>
      </c>
      <c r="E9120">
        <v>0</v>
      </c>
      <c r="F9120">
        <v>271</v>
      </c>
    </row>
    <row r="9121" spans="1:6" ht="12.75">
      <c r="A9121" s="2">
        <v>43881.235914351855</v>
      </c>
      <c r="B9121" t="str">
        <f>HYPERLINK("https://twitter.com/wardanaaditya11","@wardanaaditya11")</f>
        <v>@wardanaaditya11</v>
      </c>
      <c r="C9121" t="s">
        <v>513</v>
      </c>
      <c r="D9121">
        <v>23192</v>
      </c>
      <c r="E9121">
        <v>0</v>
      </c>
      <c r="F9121">
        <v>340</v>
      </c>
    </row>
    <row r="9122" spans="1:6" ht="12.75">
      <c r="A9122" s="2">
        <v>43881.235891203702</v>
      </c>
      <c r="B9122" t="str">
        <f t="shared" ref="B9122:B9123" si="161">HYPERLINK("https://twitter.com/BGaber62","@BGaber62")</f>
        <v>@BGaber62</v>
      </c>
      <c r="C9122" t="s">
        <v>5773</v>
      </c>
      <c r="D9122">
        <v>4</v>
      </c>
      <c r="E9122">
        <v>0</v>
      </c>
      <c r="F9122">
        <v>163</v>
      </c>
    </row>
    <row r="9123" spans="1:6" ht="12.75">
      <c r="A9123" s="2">
        <v>43881.235752314809</v>
      </c>
      <c r="B9123" t="str">
        <f t="shared" si="161"/>
        <v>@BGaber62</v>
      </c>
      <c r="C9123" t="s">
        <v>5780</v>
      </c>
      <c r="D9123">
        <v>4</v>
      </c>
      <c r="E9123">
        <v>4</v>
      </c>
      <c r="F9123">
        <v>163</v>
      </c>
    </row>
    <row r="9124" spans="1:6" ht="12.75">
      <c r="A9124" s="2">
        <v>43881.235092592593</v>
      </c>
      <c r="B9124" t="str">
        <f>HYPERLINK("https://twitter.com/bayuiswhyd_","@bayuiswhyd_")</f>
        <v>@bayuiswhyd_</v>
      </c>
      <c r="C9124" t="s">
        <v>1407</v>
      </c>
      <c r="D9124">
        <v>9120</v>
      </c>
      <c r="E9124">
        <v>0</v>
      </c>
      <c r="F9124">
        <v>149</v>
      </c>
    </row>
    <row r="9125" spans="1:6" ht="12.75">
      <c r="A9125" s="2">
        <v>43881.234513888892</v>
      </c>
      <c r="B9125" t="str">
        <f>HYPERLINK("https://twitter.com/sofia_sudarma","@sofia_sudarma")</f>
        <v>@sofia_sudarma</v>
      </c>
      <c r="C9125" t="s">
        <v>2101</v>
      </c>
      <c r="D9125">
        <v>1</v>
      </c>
      <c r="E9125">
        <v>0</v>
      </c>
      <c r="F9125">
        <v>853</v>
      </c>
    </row>
    <row r="9126" spans="1:6" ht="12.75">
      <c r="A9126" s="2">
        <v>43881.234467592592</v>
      </c>
      <c r="B9126" t="str">
        <f>HYPERLINK("https://twitter.com/hankin4802","@hankin4802")</f>
        <v>@hankin4802</v>
      </c>
      <c r="C9126" t="s">
        <v>1407</v>
      </c>
      <c r="D9126">
        <v>9120</v>
      </c>
      <c r="E9126">
        <v>0</v>
      </c>
      <c r="F9126">
        <v>28</v>
      </c>
    </row>
    <row r="9127" spans="1:6" ht="12.75">
      <c r="A9127" s="2">
        <v>43881.234375</v>
      </c>
      <c r="B9127" t="str">
        <f>HYPERLINK("https://twitter.com/kocchiniejin","@kocchiniejin")</f>
        <v>@kocchiniejin</v>
      </c>
      <c r="C9127" t="s">
        <v>1407</v>
      </c>
      <c r="D9127">
        <v>9120</v>
      </c>
      <c r="E9127">
        <v>0</v>
      </c>
      <c r="F9127">
        <v>478</v>
      </c>
    </row>
    <row r="9128" spans="1:6" ht="12.75">
      <c r="A9128" s="2">
        <v>43881.234293981484</v>
      </c>
      <c r="B9128" t="str">
        <f>HYPERLINK("https://twitter.com/hajinewsonline","@hajinewsonline")</f>
        <v>@hajinewsonline</v>
      </c>
      <c r="C9128" t="s">
        <v>5781</v>
      </c>
      <c r="D9128">
        <v>0</v>
      </c>
      <c r="E9128">
        <v>0</v>
      </c>
      <c r="F9128">
        <v>22</v>
      </c>
    </row>
    <row r="9129" spans="1:6" ht="12.75">
      <c r="A9129" s="2">
        <v>43881.234166666662</v>
      </c>
      <c r="B9129" t="str">
        <f>HYPERLINK("https://twitter.com/kaleng_tuna","@kaleng_tuna")</f>
        <v>@kaleng_tuna</v>
      </c>
      <c r="C9129" t="s">
        <v>1407</v>
      </c>
      <c r="D9129">
        <v>9120</v>
      </c>
      <c r="E9129">
        <v>0</v>
      </c>
      <c r="F9129">
        <v>33</v>
      </c>
    </row>
    <row r="9130" spans="1:6" ht="12.75">
      <c r="A9130" s="2">
        <v>43881.233888888892</v>
      </c>
      <c r="B9130" t="str">
        <f>HYPERLINK("https://twitter.com/mikaelsoedira","@mikaelsoedira")</f>
        <v>@mikaelsoedira</v>
      </c>
      <c r="C9130" t="s">
        <v>1407</v>
      </c>
      <c r="D9130">
        <v>9120</v>
      </c>
      <c r="E9130">
        <v>0</v>
      </c>
      <c r="F9130">
        <v>453</v>
      </c>
    </row>
    <row r="9131" spans="1:6" ht="12.75">
      <c r="A9131" s="2">
        <v>43881.232928240745</v>
      </c>
      <c r="B9131" t="str">
        <f>HYPERLINK("https://twitter.com/Melinia_R","@Melinia_R")</f>
        <v>@Melinia_R</v>
      </c>
      <c r="C9131" t="s">
        <v>1407</v>
      </c>
      <c r="D9131">
        <v>9120</v>
      </c>
      <c r="E9131">
        <v>0</v>
      </c>
      <c r="F9131">
        <v>171</v>
      </c>
    </row>
    <row r="9132" spans="1:6" ht="12.75">
      <c r="A9132" s="2">
        <v>43881.232615740737</v>
      </c>
      <c r="B9132" t="str">
        <f>HYPERLINK("https://twitter.com/uwu98l","@uwu98l")</f>
        <v>@uwu98l</v>
      </c>
      <c r="C9132" t="s">
        <v>1407</v>
      </c>
      <c r="D9132">
        <v>9120</v>
      </c>
      <c r="E9132">
        <v>0</v>
      </c>
      <c r="F9132">
        <v>362</v>
      </c>
    </row>
    <row r="9133" spans="1:6" ht="12.75">
      <c r="A9133" s="2">
        <v>43881.232141203705</v>
      </c>
      <c r="B9133" t="str">
        <f>HYPERLINK("https://twitter.com/GXXDRM","@GXXDRM")</f>
        <v>@GXXDRM</v>
      </c>
      <c r="C9133" t="s">
        <v>1407</v>
      </c>
      <c r="D9133">
        <v>9120</v>
      </c>
      <c r="E9133">
        <v>0</v>
      </c>
      <c r="F9133">
        <v>93</v>
      </c>
    </row>
    <row r="9134" spans="1:6" ht="12.75">
      <c r="A9134" s="2">
        <v>43881.231921296298</v>
      </c>
      <c r="B9134" t="str">
        <f>HYPERLINK("https://twitter.com/eideulx","@eideulx")</f>
        <v>@eideulx</v>
      </c>
      <c r="C9134" t="s">
        <v>2467</v>
      </c>
      <c r="D9134">
        <v>831</v>
      </c>
      <c r="E9134">
        <v>0</v>
      </c>
      <c r="F9134">
        <v>623</v>
      </c>
    </row>
    <row r="9135" spans="1:6" ht="12.75">
      <c r="A9135" s="2">
        <v>43881.231689814813</v>
      </c>
      <c r="B9135" t="str">
        <f>HYPERLINK("https://twitter.com/g3tt0kn0wm3","@g3tt0kn0wm3")</f>
        <v>@g3tt0kn0wm3</v>
      </c>
      <c r="C9135" t="s">
        <v>1407</v>
      </c>
      <c r="D9135">
        <v>9120</v>
      </c>
      <c r="E9135">
        <v>0</v>
      </c>
      <c r="F9135">
        <v>1170</v>
      </c>
    </row>
    <row r="9136" spans="1:6" ht="12.75">
      <c r="A9136" s="2">
        <v>43881.231134259258</v>
      </c>
      <c r="B9136" t="str">
        <f>HYPERLINK("https://twitter.com/AyuTriwn","@AyuTriwn")</f>
        <v>@AyuTriwn</v>
      </c>
      <c r="C9136" t="s">
        <v>1407</v>
      </c>
      <c r="D9136">
        <v>9120</v>
      </c>
      <c r="E9136">
        <v>0</v>
      </c>
      <c r="F9136">
        <v>884</v>
      </c>
    </row>
    <row r="9137" spans="1:6" ht="12.75">
      <c r="A9137" s="2">
        <v>43881.23064814815</v>
      </c>
      <c r="B9137" t="str">
        <f>HYPERLINK("https://twitter.com/chanippeo","@chanippeo")</f>
        <v>@chanippeo</v>
      </c>
      <c r="C9137" t="s">
        <v>2692</v>
      </c>
      <c r="D9137">
        <v>1716</v>
      </c>
      <c r="E9137">
        <v>0</v>
      </c>
      <c r="F9137">
        <v>442</v>
      </c>
    </row>
    <row r="9138" spans="1:6" ht="12.75">
      <c r="A9138" s="2">
        <v>43881.230613425927</v>
      </c>
      <c r="B9138" t="str">
        <f>HYPERLINK("https://twitter.com/ekopriyobondowo","@ekopriyobondowo")</f>
        <v>@ekopriyobondowo</v>
      </c>
      <c r="C9138" t="s">
        <v>4360</v>
      </c>
      <c r="D9138">
        <v>61</v>
      </c>
      <c r="E9138">
        <v>0</v>
      </c>
      <c r="F9138">
        <v>26</v>
      </c>
    </row>
    <row r="9139" spans="1:6" ht="12.75">
      <c r="A9139" s="2">
        <v>43881.230358796296</v>
      </c>
      <c r="B9139" t="str">
        <f>HYPERLINK("https://twitter.com/youngkfingers","@youngkfingers")</f>
        <v>@youngkfingers</v>
      </c>
      <c r="C9139" t="s">
        <v>1407</v>
      </c>
      <c r="D9139">
        <v>9120</v>
      </c>
      <c r="E9139">
        <v>0</v>
      </c>
      <c r="F9139">
        <v>498</v>
      </c>
    </row>
    <row r="9140" spans="1:6" ht="12.75">
      <c r="A9140" s="2">
        <v>43881.230231481481</v>
      </c>
      <c r="B9140" t="str">
        <f>HYPERLINK("https://twitter.com/Wahyu05806471","@Wahyu05806471")</f>
        <v>@Wahyu05806471</v>
      </c>
      <c r="C9140" t="s">
        <v>4360</v>
      </c>
      <c r="D9140">
        <v>61</v>
      </c>
      <c r="E9140">
        <v>0</v>
      </c>
      <c r="F9140">
        <v>38</v>
      </c>
    </row>
    <row r="9141" spans="1:6" ht="12.75">
      <c r="A9141" s="2">
        <v>43881.229976851857</v>
      </c>
      <c r="B9141" t="str">
        <f>HYPERLINK("https://twitter.com/amirsyahoke","@amirsyahoke")</f>
        <v>@amirsyahoke</v>
      </c>
      <c r="C9141" t="s">
        <v>4415</v>
      </c>
      <c r="D9141">
        <v>131</v>
      </c>
      <c r="E9141">
        <v>0</v>
      </c>
      <c r="F9141">
        <v>438</v>
      </c>
    </row>
    <row r="9142" spans="1:6" ht="12.75">
      <c r="A9142" s="2">
        <v>43881.229965277773</v>
      </c>
      <c r="B9142" t="str">
        <f>HYPERLINK("https://twitter.com/imanarya192","@imanarya192")</f>
        <v>@imanarya192</v>
      </c>
      <c r="C9142" t="s">
        <v>5782</v>
      </c>
      <c r="D9142">
        <v>3</v>
      </c>
      <c r="E9142">
        <v>0</v>
      </c>
      <c r="F9142">
        <v>330</v>
      </c>
    </row>
    <row r="9143" spans="1:6" ht="12.75">
      <c r="A9143" s="2">
        <v>43881.229178240741</v>
      </c>
      <c r="B9143" t="str">
        <f>HYPERLINK("https://twitter.com/SayHeiYu","@SayHeiYu")</f>
        <v>@SayHeiYu</v>
      </c>
      <c r="C9143" t="s">
        <v>4913</v>
      </c>
      <c r="D9143">
        <v>0</v>
      </c>
      <c r="E9143">
        <v>0</v>
      </c>
      <c r="F9143">
        <v>120156</v>
      </c>
    </row>
    <row r="9144" spans="1:6" ht="12.75">
      <c r="A9144" s="2">
        <v>43881.229016203702</v>
      </c>
      <c r="B9144" t="str">
        <f>HYPERLINK("https://twitter.com/xocity21","@xocity21")</f>
        <v>@xocity21</v>
      </c>
      <c r="C9144" t="s">
        <v>1407</v>
      </c>
      <c r="D9144">
        <v>9120</v>
      </c>
      <c r="E9144">
        <v>0</v>
      </c>
      <c r="F9144">
        <v>93</v>
      </c>
    </row>
    <row r="9145" spans="1:6" ht="12.75">
      <c r="A9145" s="2">
        <v>43881.229016203702</v>
      </c>
      <c r="B9145" t="str">
        <f>HYPERLINK("https://twitter.com/txxkah","@txxkah")</f>
        <v>@txxkah</v>
      </c>
      <c r="C9145" t="s">
        <v>2692</v>
      </c>
      <c r="D9145">
        <v>1716</v>
      </c>
      <c r="E9145">
        <v>0</v>
      </c>
      <c r="F9145">
        <v>610</v>
      </c>
    </row>
    <row r="9146" spans="1:6" ht="12.75">
      <c r="A9146" s="2">
        <v>43881.228912037041</v>
      </c>
      <c r="B9146" t="str">
        <f>HYPERLINK("https://twitter.com/cjxhao_o","@cjxhao_o")</f>
        <v>@cjxhao_o</v>
      </c>
      <c r="C9146" t="s">
        <v>1407</v>
      </c>
      <c r="D9146">
        <v>9120</v>
      </c>
      <c r="E9146">
        <v>0</v>
      </c>
      <c r="F9146">
        <v>13</v>
      </c>
    </row>
    <row r="9147" spans="1:6" ht="12.75">
      <c r="A9147" s="2">
        <v>43881.228645833333</v>
      </c>
      <c r="B9147" t="str">
        <f>HYPERLINK("https://twitter.com/9lalalala_songs","@9lalalala_songs")</f>
        <v>@9lalalala_songs</v>
      </c>
      <c r="C9147" t="s">
        <v>1407</v>
      </c>
      <c r="D9147">
        <v>9120</v>
      </c>
      <c r="E9147">
        <v>0</v>
      </c>
      <c r="F9147">
        <v>6</v>
      </c>
    </row>
    <row r="9148" spans="1:6" ht="12.75">
      <c r="A9148" s="2">
        <v>43881.228518518517</v>
      </c>
      <c r="B9148" t="str">
        <f>HYPERLINK("https://twitter.com/chimot_","@chimot_")</f>
        <v>@chimot_</v>
      </c>
      <c r="C9148" t="s">
        <v>2692</v>
      </c>
      <c r="D9148">
        <v>1716</v>
      </c>
      <c r="E9148">
        <v>0</v>
      </c>
      <c r="F9148">
        <v>410</v>
      </c>
    </row>
    <row r="9149" spans="1:6" ht="12.75">
      <c r="A9149" s="2">
        <v>43881.228182870371</v>
      </c>
      <c r="B9149" t="str">
        <f>HYPERLINK("https://twitter.com/rizal_le","@rizal_le")</f>
        <v>@rizal_le</v>
      </c>
      <c r="C9149" t="s">
        <v>1407</v>
      </c>
      <c r="D9149">
        <v>9120</v>
      </c>
      <c r="E9149">
        <v>0</v>
      </c>
      <c r="F9149">
        <v>114</v>
      </c>
    </row>
    <row r="9150" spans="1:6" ht="12.75">
      <c r="A9150" s="2">
        <v>43881.227858796294</v>
      </c>
      <c r="B9150" t="str">
        <f>HYPERLINK("https://twitter.com/bennydjuwanda","@bennydjuwanda")</f>
        <v>@bennydjuwanda</v>
      </c>
      <c r="C9150" t="s">
        <v>5783</v>
      </c>
      <c r="D9150">
        <v>4</v>
      </c>
      <c r="E9150">
        <v>0</v>
      </c>
      <c r="F9150">
        <v>307</v>
      </c>
    </row>
    <row r="9151" spans="1:6" ht="12.75">
      <c r="A9151" s="2">
        <v>43881.227476851855</v>
      </c>
      <c r="B9151" t="str">
        <f>HYPERLINK("https://twitter.com/sintancos__","@sintancos__")</f>
        <v>@sintancos__</v>
      </c>
      <c r="C9151" t="s">
        <v>2692</v>
      </c>
      <c r="D9151">
        <v>1716</v>
      </c>
      <c r="E9151">
        <v>0</v>
      </c>
      <c r="F9151">
        <v>150</v>
      </c>
    </row>
    <row r="9152" spans="1:6" ht="12.75">
      <c r="A9152" s="2">
        <v>43881.227465277778</v>
      </c>
      <c r="B9152" t="str">
        <f>HYPERLINK("https://twitter.com/masuncuk","@masuncuk")</f>
        <v>@masuncuk</v>
      </c>
      <c r="C9152" t="s">
        <v>513</v>
      </c>
      <c r="D9152">
        <v>23192</v>
      </c>
      <c r="E9152">
        <v>0</v>
      </c>
      <c r="F9152">
        <v>27</v>
      </c>
    </row>
    <row r="9153" spans="1:6" ht="12.75">
      <c r="A9153" s="2">
        <v>43881.227361111116</v>
      </c>
      <c r="B9153" t="str">
        <f>HYPERLINK("https://twitter.com/OptimuShauma89","@OptimuShauma89")</f>
        <v>@OptimuShauma89</v>
      </c>
      <c r="C9153" t="s">
        <v>1407</v>
      </c>
      <c r="D9153">
        <v>9120</v>
      </c>
      <c r="E9153">
        <v>0</v>
      </c>
      <c r="F9153">
        <v>105</v>
      </c>
    </row>
    <row r="9154" spans="1:6" ht="12.75">
      <c r="A9154" s="2">
        <v>43881.227164351847</v>
      </c>
      <c r="B9154" t="str">
        <f>HYPERLINK("https://twitter.com/Rden_","@Rden_")</f>
        <v>@Rden_</v>
      </c>
      <c r="C9154" t="s">
        <v>4360</v>
      </c>
      <c r="D9154">
        <v>61</v>
      </c>
      <c r="E9154">
        <v>0</v>
      </c>
      <c r="F9154">
        <v>382</v>
      </c>
    </row>
    <row r="9155" spans="1:6" ht="12.75">
      <c r="A9155" s="2">
        <v>43881.227060185185</v>
      </c>
      <c r="B9155" t="str">
        <f>HYPERLINK("https://twitter.com/matatacha","@matatacha")</f>
        <v>@matatacha</v>
      </c>
      <c r="C9155" t="s">
        <v>1407</v>
      </c>
      <c r="D9155">
        <v>9120</v>
      </c>
      <c r="E9155">
        <v>0</v>
      </c>
      <c r="F9155">
        <v>1615</v>
      </c>
    </row>
    <row r="9156" spans="1:6" ht="12.75">
      <c r="A9156" s="2">
        <v>43881.225983796292</v>
      </c>
      <c r="B9156" t="str">
        <f>HYPERLINK("https://twitter.com/viviervn","@viviervn")</f>
        <v>@viviervn</v>
      </c>
      <c r="C9156" t="s">
        <v>1407</v>
      </c>
      <c r="D9156">
        <v>9120</v>
      </c>
      <c r="E9156">
        <v>0</v>
      </c>
      <c r="F9156">
        <v>197</v>
      </c>
    </row>
    <row r="9157" spans="1:6" ht="12.75">
      <c r="A9157" s="2">
        <v>43881.225624999999</v>
      </c>
      <c r="B9157" t="str">
        <f>HYPERLINK("https://twitter.com/steve_yu1","@steve_yu1")</f>
        <v>@steve_yu1</v>
      </c>
      <c r="C9157" t="s">
        <v>4360</v>
      </c>
      <c r="D9157">
        <v>61</v>
      </c>
      <c r="E9157">
        <v>0</v>
      </c>
      <c r="F9157">
        <v>994</v>
      </c>
    </row>
    <row r="9158" spans="1:6" ht="12.75">
      <c r="A9158" s="2">
        <v>43881.225254629629</v>
      </c>
      <c r="B9158" t="str">
        <f>HYPERLINK("https://twitter.com/mh_ydgh","@mh_ydgh")</f>
        <v>@mh_ydgh</v>
      </c>
      <c r="C9158" t="s">
        <v>1407</v>
      </c>
      <c r="D9158">
        <v>9120</v>
      </c>
      <c r="E9158">
        <v>0</v>
      </c>
      <c r="F9158">
        <v>47</v>
      </c>
    </row>
    <row r="9159" spans="1:6" ht="12.75">
      <c r="A9159" s="2">
        <v>43881.223923611113</v>
      </c>
      <c r="B9159" t="str">
        <f>HYPERLINK("https://twitter.com/seheonnt","@seheonnt")</f>
        <v>@seheonnt</v>
      </c>
      <c r="C9159" t="s">
        <v>2467</v>
      </c>
      <c r="D9159">
        <v>831</v>
      </c>
      <c r="E9159">
        <v>0</v>
      </c>
      <c r="F9159">
        <v>1246</v>
      </c>
    </row>
    <row r="9160" spans="1:6" ht="12.75">
      <c r="A9160" s="2">
        <v>43881.223541666666</v>
      </c>
      <c r="B9160" t="str">
        <f>HYPERLINK("https://twitter.com/HRS212_","@HRS212_")</f>
        <v>@HRS212_</v>
      </c>
      <c r="C9160" t="s">
        <v>5203</v>
      </c>
      <c r="D9160">
        <v>86</v>
      </c>
      <c r="E9160">
        <v>0</v>
      </c>
      <c r="F9160">
        <v>673</v>
      </c>
    </row>
    <row r="9161" spans="1:6" ht="12.75">
      <c r="A9161" s="2">
        <v>43881.209849537037</v>
      </c>
      <c r="B9161" t="str">
        <f>HYPERLINK("https://twitter.com/amaliadyaaah","@amaliadyaaah")</f>
        <v>@amaliadyaaah</v>
      </c>
      <c r="C9161" t="s">
        <v>1407</v>
      </c>
      <c r="D9161">
        <v>9049</v>
      </c>
      <c r="E9161">
        <v>0</v>
      </c>
      <c r="F9161">
        <v>278</v>
      </c>
    </row>
    <row r="9162" spans="1:6" ht="12.75">
      <c r="A9162" s="2">
        <v>43881.209502314814</v>
      </c>
      <c r="B9162" t="str">
        <f>HYPERLINK("https://twitter.com/zahrotaainiy","@zahrotaainiy")</f>
        <v>@zahrotaainiy</v>
      </c>
      <c r="C9162" t="s">
        <v>1407</v>
      </c>
      <c r="D9162">
        <v>9049</v>
      </c>
      <c r="E9162">
        <v>0</v>
      </c>
      <c r="F9162">
        <v>212</v>
      </c>
    </row>
    <row r="9163" spans="1:6" ht="12.75">
      <c r="A9163" s="2">
        <v>43881.209317129629</v>
      </c>
      <c r="B9163" t="str">
        <f>HYPERLINK("https://twitter.com/YogaSena","@YogaSena")</f>
        <v>@YogaSena</v>
      </c>
      <c r="C9163" t="s">
        <v>2692</v>
      </c>
      <c r="D9163">
        <v>1698</v>
      </c>
      <c r="E9163">
        <v>0</v>
      </c>
      <c r="F9163">
        <v>342</v>
      </c>
    </row>
    <row r="9164" spans="1:6" ht="12.75">
      <c r="A9164" s="2">
        <v>43881.209143518514</v>
      </c>
      <c r="B9164" t="str">
        <f>HYPERLINK("https://twitter.com/pratamaemriz","@pratamaemriz")</f>
        <v>@pratamaemriz</v>
      </c>
      <c r="C9164" t="s">
        <v>1407</v>
      </c>
      <c r="D9164">
        <v>9049</v>
      </c>
      <c r="E9164">
        <v>0</v>
      </c>
      <c r="F9164">
        <v>18</v>
      </c>
    </row>
    <row r="9165" spans="1:6" ht="12.75">
      <c r="A9165" s="2">
        <v>43881.208854166667</v>
      </c>
      <c r="B9165" t="str">
        <f>HYPERLINK("https://twitter.com/bobDddablue","@bobDddablue")</f>
        <v>@bobDddablue</v>
      </c>
      <c r="C9165" t="s">
        <v>1407</v>
      </c>
      <c r="D9165">
        <v>9049</v>
      </c>
      <c r="E9165">
        <v>0</v>
      </c>
      <c r="F9165">
        <v>18</v>
      </c>
    </row>
    <row r="9166" spans="1:6" ht="12.75">
      <c r="A9166" s="2">
        <v>43881.208391203705</v>
      </c>
      <c r="B9166" t="str">
        <f>HYPERLINK("https://twitter.com/sptn_bagas","@sptn_bagas")</f>
        <v>@sptn_bagas</v>
      </c>
      <c r="C9166" t="s">
        <v>1407</v>
      </c>
      <c r="D9166">
        <v>9049</v>
      </c>
      <c r="E9166">
        <v>0</v>
      </c>
      <c r="F9166">
        <v>311</v>
      </c>
    </row>
    <row r="9167" spans="1:6" ht="12.75">
      <c r="A9167" s="2">
        <v>43881.208055555559</v>
      </c>
      <c r="B9167" t="str">
        <f>HYPERLINK("https://twitter.com/yudi732002","@yudi732002")</f>
        <v>@yudi732002</v>
      </c>
      <c r="C9167" t="s">
        <v>4360</v>
      </c>
      <c r="D9167">
        <v>52</v>
      </c>
      <c r="E9167">
        <v>0</v>
      </c>
      <c r="F9167">
        <v>636</v>
      </c>
    </row>
    <row r="9168" spans="1:6" ht="12.75">
      <c r="A9168" s="2">
        <v>43881.207951388889</v>
      </c>
      <c r="B9168" t="str">
        <f>HYPERLINK("https://twitter.com/Peachyohaniee","@Peachyohaniee")</f>
        <v>@Peachyohaniee</v>
      </c>
      <c r="C9168" t="s">
        <v>513</v>
      </c>
      <c r="D9168">
        <v>23185</v>
      </c>
      <c r="E9168">
        <v>0</v>
      </c>
      <c r="F9168">
        <v>1087</v>
      </c>
    </row>
    <row r="9169" spans="1:6" ht="12.75">
      <c r="A9169" s="2">
        <v>43881.207372685181</v>
      </c>
      <c r="B9169" t="str">
        <f>HYPERLINK("https://twitter.com/ini_ayla","@ini_ayla")</f>
        <v>@ini_ayla</v>
      </c>
      <c r="C9169" t="s">
        <v>1407</v>
      </c>
      <c r="D9169">
        <v>9049</v>
      </c>
      <c r="E9169">
        <v>0</v>
      </c>
      <c r="F9169">
        <v>15</v>
      </c>
    </row>
    <row r="9170" spans="1:6" ht="12.75">
      <c r="A9170" s="2">
        <v>43881.206273148149</v>
      </c>
      <c r="B9170" t="str">
        <f>HYPERLINK("https://twitter.com/republikaonline","@republikaonline")</f>
        <v>@republikaonline</v>
      </c>
      <c r="C9170" t="s">
        <v>5784</v>
      </c>
      <c r="D9170">
        <v>0</v>
      </c>
      <c r="E9170">
        <v>1</v>
      </c>
      <c r="F9170">
        <v>1211419</v>
      </c>
    </row>
    <row r="9171" spans="1:6" ht="12.75">
      <c r="A9171" s="2">
        <v>43881.206180555557</v>
      </c>
      <c r="B9171" t="str">
        <f>HYPERLINK("https://twitter.com/gatauaww","@gatauaww")</f>
        <v>@gatauaww</v>
      </c>
      <c r="C9171" t="s">
        <v>2692</v>
      </c>
      <c r="D9171">
        <v>1698</v>
      </c>
      <c r="E9171">
        <v>0</v>
      </c>
      <c r="F9171">
        <v>458</v>
      </c>
    </row>
    <row r="9172" spans="1:6" ht="12.75">
      <c r="A9172" s="2">
        <v>43881.203182870369</v>
      </c>
      <c r="B9172" t="str">
        <f>HYPERLINK("https://twitter.com/beatrice_health","@beatrice_health")</f>
        <v>@beatrice_health</v>
      </c>
      <c r="C9172" t="s">
        <v>2135</v>
      </c>
      <c r="D9172">
        <v>20</v>
      </c>
      <c r="E9172">
        <v>0</v>
      </c>
      <c r="F9172">
        <v>209</v>
      </c>
    </row>
    <row r="9173" spans="1:6" ht="12.75">
      <c r="A9173" s="2">
        <v>43881.203101851846</v>
      </c>
      <c r="B9173" t="str">
        <f>HYPERLINK("https://twitter.com/ilhamyamanaka","@ilhamyamanaka")</f>
        <v>@ilhamyamanaka</v>
      </c>
      <c r="C9173" t="s">
        <v>2135</v>
      </c>
      <c r="D9173">
        <v>20</v>
      </c>
      <c r="E9173">
        <v>0</v>
      </c>
      <c r="F9173">
        <v>273</v>
      </c>
    </row>
    <row r="9174" spans="1:6" ht="12.75">
      <c r="A9174" s="2">
        <v>43881.200972222221</v>
      </c>
      <c r="B9174" t="str">
        <f>HYPERLINK("https://twitter.com/AndrianPraatama","@AndrianPraatama")</f>
        <v>@AndrianPraatama</v>
      </c>
      <c r="C9174" t="s">
        <v>1407</v>
      </c>
      <c r="D9174">
        <v>9049</v>
      </c>
      <c r="E9174">
        <v>0</v>
      </c>
      <c r="F9174">
        <v>3923</v>
      </c>
    </row>
    <row r="9175" spans="1:6" ht="12.75">
      <c r="A9175" s="2">
        <v>43881.200590277775</v>
      </c>
      <c r="B9175" t="str">
        <f>HYPERLINK("https://twitter.com/MSampurnaJ_","@MSampurnaJ_")</f>
        <v>@MSampurnaJ_</v>
      </c>
      <c r="C9175" t="s">
        <v>513</v>
      </c>
      <c r="D9175">
        <v>23185</v>
      </c>
      <c r="E9175">
        <v>0</v>
      </c>
      <c r="F9175">
        <v>205</v>
      </c>
    </row>
    <row r="9176" spans="1:6" ht="12.75">
      <c r="A9176" s="2">
        <v>43881.200509259259</v>
      </c>
      <c r="B9176" t="str">
        <f>HYPERLINK("https://twitter.com/qibthiyah37","@qibthiyah37")</f>
        <v>@qibthiyah37</v>
      </c>
      <c r="C9176" t="s">
        <v>1407</v>
      </c>
      <c r="D9176">
        <v>9049</v>
      </c>
      <c r="E9176">
        <v>0</v>
      </c>
      <c r="F9176">
        <v>346</v>
      </c>
    </row>
    <row r="9177" spans="1:6" ht="12.75">
      <c r="A9177" s="2">
        <v>43881.200046296297</v>
      </c>
      <c r="B9177" t="str">
        <f>HYPERLINK("https://twitter.com/haikeJKT48","@haikeJKT48")</f>
        <v>@haikeJKT48</v>
      </c>
      <c r="C9177" t="s">
        <v>1407</v>
      </c>
      <c r="D9177">
        <v>9049</v>
      </c>
      <c r="E9177">
        <v>0</v>
      </c>
      <c r="F9177">
        <v>228</v>
      </c>
    </row>
    <row r="9178" spans="1:6" ht="12.75">
      <c r="A9178" s="2">
        <v>43881.199502314819</v>
      </c>
      <c r="B9178" t="str">
        <f>HYPERLINK("https://twitter.com/ginga3294","@ginga3294")</f>
        <v>@ginga3294</v>
      </c>
      <c r="C9178" t="s">
        <v>4360</v>
      </c>
      <c r="D9178">
        <v>52</v>
      </c>
      <c r="E9178">
        <v>0</v>
      </c>
      <c r="F9178">
        <v>331</v>
      </c>
    </row>
    <row r="9179" spans="1:6" ht="12.75">
      <c r="A9179" s="2">
        <v>43881.199328703704</v>
      </c>
      <c r="B9179" t="str">
        <f>HYPERLINK("https://twitter.com/ulinisti","@ulinisti")</f>
        <v>@ulinisti</v>
      </c>
      <c r="C9179" t="s">
        <v>2692</v>
      </c>
      <c r="D9179">
        <v>1698</v>
      </c>
      <c r="E9179">
        <v>0</v>
      </c>
      <c r="F9179">
        <v>314</v>
      </c>
    </row>
    <row r="9180" spans="1:6" ht="12.75">
      <c r="A9180" s="2">
        <v>43881.199293981481</v>
      </c>
      <c r="B9180" t="str">
        <f>HYPERLINK("https://twitter.com/nndwdyy","@nndwdyy")</f>
        <v>@nndwdyy</v>
      </c>
      <c r="C9180" t="s">
        <v>1407</v>
      </c>
      <c r="D9180">
        <v>9049</v>
      </c>
      <c r="E9180">
        <v>0</v>
      </c>
      <c r="F9180">
        <v>138</v>
      </c>
    </row>
    <row r="9181" spans="1:6" ht="12.75">
      <c r="A9181" s="2">
        <v>43881.198287037041</v>
      </c>
      <c r="B9181" t="str">
        <f>HYPERLINK("https://twitter.com/21Lai21","@21Lai21")</f>
        <v>@21Lai21</v>
      </c>
      <c r="C9181" t="s">
        <v>4360</v>
      </c>
      <c r="D9181">
        <v>52</v>
      </c>
      <c r="E9181">
        <v>0</v>
      </c>
      <c r="F9181">
        <v>292</v>
      </c>
    </row>
    <row r="9182" spans="1:6" ht="12.75">
      <c r="A9182" s="2">
        <v>43881.198217592595</v>
      </c>
      <c r="B9182" t="str">
        <f>HYPERLINK("https://twitter.com/chaengberries","@chaengberries")</f>
        <v>@chaengberries</v>
      </c>
      <c r="C9182" t="s">
        <v>1407</v>
      </c>
      <c r="D9182">
        <v>9049</v>
      </c>
      <c r="E9182">
        <v>0</v>
      </c>
      <c r="F9182">
        <v>404</v>
      </c>
    </row>
    <row r="9183" spans="1:6" ht="12.75">
      <c r="A9183" s="2">
        <v>43881.198194444441</v>
      </c>
      <c r="B9183" t="str">
        <f t="shared" ref="B9183:B9184" si="162">HYPERLINK("https://twitter.com/stargazingkim","@stargazingkim")</f>
        <v>@stargazingkim</v>
      </c>
      <c r="C9183" t="s">
        <v>2509</v>
      </c>
      <c r="D9183">
        <v>130</v>
      </c>
      <c r="E9183">
        <v>0</v>
      </c>
      <c r="F9183">
        <v>1138</v>
      </c>
    </row>
    <row r="9184" spans="1:6" ht="12.75">
      <c r="A9184" s="2">
        <v>43881.197418981479</v>
      </c>
      <c r="B9184" t="str">
        <f t="shared" si="162"/>
        <v>@stargazingkim</v>
      </c>
      <c r="C9184" t="s">
        <v>1407</v>
      </c>
      <c r="D9184">
        <v>9049</v>
      </c>
      <c r="E9184">
        <v>0</v>
      </c>
      <c r="F9184">
        <v>1138</v>
      </c>
    </row>
    <row r="9185" spans="1:6" ht="12.75">
      <c r="A9185" s="2">
        <v>43881.19730324074</v>
      </c>
      <c r="B9185" t="str">
        <f>HYPERLINK("https://twitter.com/akunsudi","@akunsudi")</f>
        <v>@akunsudi</v>
      </c>
      <c r="C9185" t="s">
        <v>5785</v>
      </c>
      <c r="D9185">
        <v>1</v>
      </c>
      <c r="E9185">
        <v>0</v>
      </c>
      <c r="F9185">
        <v>1322</v>
      </c>
    </row>
    <row r="9186" spans="1:6" ht="12.75">
      <c r="A9186" s="2">
        <v>43881.195821759262</v>
      </c>
      <c r="B9186" t="str">
        <f>HYPERLINK("https://twitter.com/achmaulanaa","@achmaulanaa")</f>
        <v>@achmaulanaa</v>
      </c>
      <c r="C9186" t="s">
        <v>1407</v>
      </c>
      <c r="D9186">
        <v>9049</v>
      </c>
      <c r="E9186">
        <v>0</v>
      </c>
      <c r="F9186">
        <v>664</v>
      </c>
    </row>
    <row r="9187" spans="1:6" ht="12.75">
      <c r="A9187" s="2">
        <v>43881.195717592593</v>
      </c>
      <c r="B9187" t="str">
        <f>HYPERLINK("https://twitter.com/hariankompas","@hariankompas")</f>
        <v>@hariankompas</v>
      </c>
      <c r="C9187" t="s">
        <v>5786</v>
      </c>
      <c r="D9187">
        <v>0</v>
      </c>
      <c r="E9187">
        <v>1</v>
      </c>
      <c r="F9187">
        <v>786550</v>
      </c>
    </row>
    <row r="9188" spans="1:6" ht="12.75">
      <c r="A9188" s="2">
        <v>43881.195162037038</v>
      </c>
      <c r="B9188" t="str">
        <f>HYPERLINK("https://twitter.com/JerikoBaru2170","@JerikoBaru2170")</f>
        <v>@JerikoBaru2170</v>
      </c>
      <c r="C9188" t="s">
        <v>5787</v>
      </c>
      <c r="D9188">
        <v>0</v>
      </c>
      <c r="E9188">
        <v>0</v>
      </c>
      <c r="F9188">
        <v>22</v>
      </c>
    </row>
    <row r="9189" spans="1:6" ht="12.75">
      <c r="A9189" s="2">
        <v>43881.193993055553</v>
      </c>
      <c r="B9189" t="str">
        <f>HYPERLINK("https://twitter.com/lClMAYRAN","@lClMAYRAN")</f>
        <v>@lClMAYRAN</v>
      </c>
      <c r="C9189" t="s">
        <v>2692</v>
      </c>
      <c r="D9189">
        <v>1698</v>
      </c>
      <c r="E9189">
        <v>0</v>
      </c>
      <c r="F9189">
        <v>548</v>
      </c>
    </row>
    <row r="9190" spans="1:6" ht="12.75">
      <c r="A9190" s="2">
        <v>43881.192939814813</v>
      </c>
      <c r="B9190" t="str">
        <f>HYPERLINK("https://twitter.com/edwinhayadi","@edwinhayadi")</f>
        <v>@edwinhayadi</v>
      </c>
      <c r="C9190" t="s">
        <v>5644</v>
      </c>
      <c r="D9190">
        <v>372</v>
      </c>
      <c r="E9190">
        <v>0</v>
      </c>
      <c r="F9190">
        <v>722</v>
      </c>
    </row>
    <row r="9191" spans="1:6" ht="12.75">
      <c r="A9191" s="2">
        <v>43881.192662037036</v>
      </c>
      <c r="B9191" t="str">
        <f>HYPERLINK("https://twitter.com/ChantiqPutriAyu","@ChantiqPutriAyu")</f>
        <v>@ChantiqPutriAyu</v>
      </c>
      <c r="C9191" t="s">
        <v>4360</v>
      </c>
      <c r="D9191">
        <v>52</v>
      </c>
      <c r="E9191">
        <v>0</v>
      </c>
      <c r="F9191">
        <v>530</v>
      </c>
    </row>
    <row r="9192" spans="1:6" ht="12.75">
      <c r="A9192" s="2">
        <v>43881.192037037035</v>
      </c>
      <c r="B9192" t="str">
        <f>HYPERLINK("https://twitter.com/fliesdaisy","@fliesdaisy")</f>
        <v>@fliesdaisy</v>
      </c>
      <c r="C9192" t="s">
        <v>1407</v>
      </c>
      <c r="D9192">
        <v>9049</v>
      </c>
      <c r="E9192">
        <v>0</v>
      </c>
      <c r="F9192">
        <v>447</v>
      </c>
    </row>
    <row r="9193" spans="1:6" ht="12.75">
      <c r="A9193" s="2">
        <v>43881.191944444443</v>
      </c>
      <c r="B9193" t="str">
        <f>HYPERLINK("https://twitter.com/DidiHyungie","@DidiHyungie")</f>
        <v>@DidiHyungie</v>
      </c>
      <c r="C9193" t="s">
        <v>1407</v>
      </c>
      <c r="D9193">
        <v>9049</v>
      </c>
      <c r="E9193">
        <v>0</v>
      </c>
      <c r="F9193">
        <v>109</v>
      </c>
    </row>
    <row r="9194" spans="1:6" ht="12.75">
      <c r="A9194" s="2">
        <v>43881.189108796301</v>
      </c>
      <c r="B9194" t="str">
        <f>HYPERLINK("https://twitter.com/badwntgtbttr","@badwntgtbttr")</f>
        <v>@badwntgtbttr</v>
      </c>
      <c r="C9194" t="s">
        <v>1407</v>
      </c>
      <c r="D9194">
        <v>9049</v>
      </c>
      <c r="E9194">
        <v>0</v>
      </c>
      <c r="F9194">
        <v>836</v>
      </c>
    </row>
    <row r="9195" spans="1:6" ht="12.75">
      <c r="A9195" s="2">
        <v>43881.189062500001</v>
      </c>
      <c r="B9195" t="str">
        <f>HYPERLINK("https://twitter.com/niknackssss","@niknackssss")</f>
        <v>@niknackssss</v>
      </c>
      <c r="C9195" t="s">
        <v>1407</v>
      </c>
      <c r="D9195">
        <v>9049</v>
      </c>
      <c r="E9195">
        <v>0</v>
      </c>
      <c r="F9195">
        <v>46</v>
      </c>
    </row>
    <row r="9196" spans="1:6" ht="12.75">
      <c r="A9196" s="2">
        <v>43881.188761574071</v>
      </c>
      <c r="B9196" t="str">
        <f>HYPERLINK("https://twitter.com/pinkeuvanilla","@pinkeuvanilla")</f>
        <v>@pinkeuvanilla</v>
      </c>
      <c r="C9196" t="s">
        <v>1407</v>
      </c>
      <c r="D9196">
        <v>9049</v>
      </c>
      <c r="E9196">
        <v>0</v>
      </c>
      <c r="F9196">
        <v>185</v>
      </c>
    </row>
    <row r="9197" spans="1:6" ht="12.75">
      <c r="A9197" s="2">
        <v>43881.187662037039</v>
      </c>
      <c r="B9197" t="str">
        <f>HYPERLINK("https://twitter.com/aloysius_ndp","@aloysius_ndp")</f>
        <v>@aloysius_ndp</v>
      </c>
      <c r="C9197" t="s">
        <v>2467</v>
      </c>
      <c r="D9197">
        <v>825</v>
      </c>
      <c r="E9197">
        <v>0</v>
      </c>
      <c r="F9197">
        <v>79</v>
      </c>
    </row>
    <row r="9198" spans="1:6" ht="12.75">
      <c r="A9198" s="2">
        <v>43881.1875</v>
      </c>
      <c r="B9198" t="str">
        <f>HYPERLINK("https://twitter.com/gohzah","@gohzah")</f>
        <v>@gohzah</v>
      </c>
      <c r="C9198" t="s">
        <v>2692</v>
      </c>
      <c r="D9198">
        <v>1698</v>
      </c>
      <c r="E9198">
        <v>0</v>
      </c>
      <c r="F9198">
        <v>115</v>
      </c>
    </row>
    <row r="9199" spans="1:6" ht="12.75">
      <c r="A9199" s="2">
        <v>43881.184560185182</v>
      </c>
      <c r="B9199" t="str">
        <f>HYPERLINK("https://twitter.com/khrisna_","@khrisna_")</f>
        <v>@khrisna_</v>
      </c>
      <c r="C9199" t="s">
        <v>1407</v>
      </c>
      <c r="D9199">
        <v>9049</v>
      </c>
      <c r="E9199">
        <v>0</v>
      </c>
      <c r="F9199">
        <v>733</v>
      </c>
    </row>
    <row r="9200" spans="1:6" ht="12.75">
      <c r="A9200" s="2">
        <v>43881.181203703702</v>
      </c>
      <c r="B9200" t="str">
        <f>HYPERLINK("https://twitter.com/ajumono","@ajumono")</f>
        <v>@ajumono</v>
      </c>
      <c r="C9200" t="s">
        <v>2692</v>
      </c>
      <c r="D9200">
        <v>1698</v>
      </c>
      <c r="E9200">
        <v>0</v>
      </c>
      <c r="F9200">
        <v>284</v>
      </c>
    </row>
    <row r="9201" spans="1:6" ht="12.75">
      <c r="A9201" s="2">
        <v>43881.178703703699</v>
      </c>
      <c r="B9201" t="str">
        <f>HYPERLINK("https://twitter.com/twois_","@twois_")</f>
        <v>@twois_</v>
      </c>
      <c r="C9201" t="s">
        <v>5788</v>
      </c>
      <c r="D9201">
        <v>0</v>
      </c>
      <c r="E9201">
        <v>2</v>
      </c>
      <c r="F9201">
        <v>1966</v>
      </c>
    </row>
    <row r="9202" spans="1:6" ht="12.75">
      <c r="A9202" s="2">
        <v>43881.177743055552</v>
      </c>
      <c r="B9202" t="str">
        <f>HYPERLINK("https://twitter.com/CutIntanHesty","@CutIntanHesty")</f>
        <v>@CutIntanHesty</v>
      </c>
      <c r="C9202" t="s">
        <v>1407</v>
      </c>
      <c r="D9202">
        <v>9049</v>
      </c>
      <c r="E9202">
        <v>0</v>
      </c>
      <c r="F9202">
        <v>2118</v>
      </c>
    </row>
    <row r="9203" spans="1:6" ht="12.75">
      <c r="A9203" s="2">
        <v>43881.17465277778</v>
      </c>
      <c r="B9203" t="str">
        <f>HYPERLINK("https://twitter.com/noviammi","@noviammi")</f>
        <v>@noviammi</v>
      </c>
      <c r="C9203" t="s">
        <v>1407</v>
      </c>
      <c r="D9203">
        <v>9049</v>
      </c>
      <c r="E9203">
        <v>0</v>
      </c>
      <c r="F9203">
        <v>383</v>
      </c>
    </row>
    <row r="9204" spans="1:6" ht="12.75">
      <c r="A9204" s="2">
        <v>43881.174143518518</v>
      </c>
      <c r="B9204" t="str">
        <f>HYPERLINK("https://twitter.com/arief_iboy","@arief_iboy")</f>
        <v>@arief_iboy</v>
      </c>
      <c r="C9204" t="s">
        <v>1407</v>
      </c>
      <c r="D9204">
        <v>9049</v>
      </c>
      <c r="E9204">
        <v>0</v>
      </c>
      <c r="F9204">
        <v>157</v>
      </c>
    </row>
    <row r="9205" spans="1:6" ht="12.75">
      <c r="A9205" s="2">
        <v>43881.169270833328</v>
      </c>
      <c r="B9205" t="str">
        <f>HYPERLINK("https://twitter.com/niluhdevia","@niluhdevia")</f>
        <v>@niluhdevia</v>
      </c>
      <c r="C9205" t="s">
        <v>4360</v>
      </c>
      <c r="D9205">
        <v>52</v>
      </c>
      <c r="E9205">
        <v>0</v>
      </c>
      <c r="F9205">
        <v>1020</v>
      </c>
    </row>
    <row r="9206" spans="1:6" ht="12.75">
      <c r="A9206" s="2">
        <v>43881.167604166665</v>
      </c>
      <c r="B9206" t="str">
        <f>HYPERLINK("https://twitter.com/daninsatria","@daninsatria")</f>
        <v>@daninsatria</v>
      </c>
      <c r="C9206" t="s">
        <v>1407</v>
      </c>
      <c r="D9206">
        <v>9020</v>
      </c>
      <c r="E9206">
        <v>0</v>
      </c>
      <c r="F9206">
        <v>3</v>
      </c>
    </row>
    <row r="9207" spans="1:6" ht="12.75">
      <c r="A9207" s="2">
        <v>43881.167592592596</v>
      </c>
      <c r="B9207" t="str">
        <f>HYPERLINK("https://twitter.com/_bestarii","@_bestarii")</f>
        <v>@_bestarii</v>
      </c>
      <c r="C9207" t="s">
        <v>2692</v>
      </c>
      <c r="D9207">
        <v>1690</v>
      </c>
      <c r="E9207">
        <v>0</v>
      </c>
      <c r="F9207">
        <v>431</v>
      </c>
    </row>
    <row r="9208" spans="1:6" ht="12.75">
      <c r="A9208" s="2">
        <v>43881.167083333334</v>
      </c>
      <c r="B9208" t="str">
        <f>HYPERLINK("https://twitter.com/tika_buncis","@tika_buncis")</f>
        <v>@tika_buncis</v>
      </c>
      <c r="C9208" t="s">
        <v>1407</v>
      </c>
      <c r="D9208">
        <v>9020</v>
      </c>
      <c r="E9208">
        <v>0</v>
      </c>
      <c r="F9208">
        <v>7</v>
      </c>
    </row>
    <row r="9209" spans="1:6" ht="12.75">
      <c r="A9209" s="2">
        <v>43881.166678240741</v>
      </c>
      <c r="B9209" t="str">
        <f>HYPERLINK("https://twitter.com/dhearstntr","@dhearstntr")</f>
        <v>@dhearstntr</v>
      </c>
      <c r="C9209" t="s">
        <v>1407</v>
      </c>
      <c r="D9209">
        <v>9020</v>
      </c>
      <c r="E9209">
        <v>0</v>
      </c>
      <c r="F9209">
        <v>174</v>
      </c>
    </row>
    <row r="9210" spans="1:6" ht="12.75">
      <c r="A9210" s="2">
        <v>43881.16342592593</v>
      </c>
      <c r="B9210" t="str">
        <f>HYPERLINK("https://twitter.com/uurrbby","@uurrbby")</f>
        <v>@uurrbby</v>
      </c>
      <c r="C9210" t="s">
        <v>1407</v>
      </c>
      <c r="D9210">
        <v>9020</v>
      </c>
      <c r="E9210">
        <v>0</v>
      </c>
      <c r="F9210">
        <v>2051</v>
      </c>
    </row>
    <row r="9211" spans="1:6" ht="12.75">
      <c r="A9211" s="2">
        <v>43881.162893518514</v>
      </c>
      <c r="B9211" t="str">
        <f>HYPERLINK("https://twitter.com/bambang_hesti","@bambang_hesti")</f>
        <v>@bambang_hesti</v>
      </c>
      <c r="C9211" t="s">
        <v>5789</v>
      </c>
      <c r="D9211">
        <v>0</v>
      </c>
      <c r="E9211">
        <v>0</v>
      </c>
      <c r="F9211">
        <v>15</v>
      </c>
    </row>
    <row r="9212" spans="1:6" ht="12.75">
      <c r="A9212" s="2">
        <v>43881.159884259258</v>
      </c>
      <c r="B9212" t="str">
        <f>HYPERLINK("https://twitter.com/ircham_syah","@ircham_syah")</f>
        <v>@ircham_syah</v>
      </c>
      <c r="C9212" t="s">
        <v>5790</v>
      </c>
      <c r="D9212">
        <v>1</v>
      </c>
      <c r="E9212">
        <v>0</v>
      </c>
      <c r="F9212">
        <v>467</v>
      </c>
    </row>
    <row r="9213" spans="1:6" ht="12.75">
      <c r="A9213" s="2">
        <v>43881.15834490741</v>
      </c>
      <c r="B9213" t="str">
        <f>HYPERLINK("https://twitter.com/hymaniezz","@hymaniezz")</f>
        <v>@hymaniezz</v>
      </c>
      <c r="C9213" t="s">
        <v>1407</v>
      </c>
      <c r="D9213">
        <v>9020</v>
      </c>
      <c r="E9213">
        <v>0</v>
      </c>
      <c r="F9213">
        <v>1060</v>
      </c>
    </row>
    <row r="9214" spans="1:6" ht="12.75">
      <c r="A9214" s="2">
        <v>43881.157824074078</v>
      </c>
      <c r="B9214" t="str">
        <f>HYPERLINK("https://twitter.com/wafinity","@wafinity")</f>
        <v>@wafinity</v>
      </c>
      <c r="C9214" t="s">
        <v>1407</v>
      </c>
      <c r="D9214">
        <v>9020</v>
      </c>
      <c r="E9214">
        <v>0</v>
      </c>
      <c r="F9214">
        <v>602</v>
      </c>
    </row>
    <row r="9215" spans="1:6" ht="12.75">
      <c r="A9215" s="2">
        <v>43881.157476851848</v>
      </c>
      <c r="B9215" t="str">
        <f>HYPERLINK("https://twitter.com/priliaar19","@priliaar19")</f>
        <v>@priliaar19</v>
      </c>
      <c r="C9215" t="s">
        <v>1407</v>
      </c>
      <c r="D9215">
        <v>9020</v>
      </c>
      <c r="E9215">
        <v>0</v>
      </c>
      <c r="F9215">
        <v>35</v>
      </c>
    </row>
    <row r="9216" spans="1:6" ht="12.75">
      <c r="A9216" s="2">
        <v>43881.157152777778</v>
      </c>
      <c r="B9216" t="str">
        <f>HYPERLINK("https://twitter.com/yahya_teer","@yahya_teer")</f>
        <v>@yahya_teer</v>
      </c>
      <c r="C9216" t="s">
        <v>2692</v>
      </c>
      <c r="D9216">
        <v>1690</v>
      </c>
      <c r="E9216">
        <v>0</v>
      </c>
      <c r="F9216">
        <v>429</v>
      </c>
    </row>
    <row r="9217" spans="1:6" ht="12.75">
      <c r="A9217" s="2">
        <v>43881.156736111108</v>
      </c>
      <c r="B9217" t="str">
        <f>HYPERLINK("https://twitter.com/Aris_Arohman","@Aris_Arohman")</f>
        <v>@Aris_Arohman</v>
      </c>
      <c r="C9217" t="s">
        <v>1407</v>
      </c>
      <c r="D9217">
        <v>9020</v>
      </c>
      <c r="E9217">
        <v>0</v>
      </c>
      <c r="F9217">
        <v>203</v>
      </c>
    </row>
    <row r="9218" spans="1:6" ht="12.75">
      <c r="A9218" s="2">
        <v>43881.156365740739</v>
      </c>
      <c r="B9218" t="str">
        <f>HYPERLINK("https://twitter.com/hottestboo_","@hottestboo_")</f>
        <v>@hottestboo_</v>
      </c>
      <c r="C9218" t="s">
        <v>1407</v>
      </c>
      <c r="D9218">
        <v>9020</v>
      </c>
      <c r="E9218">
        <v>0</v>
      </c>
      <c r="F9218">
        <v>518</v>
      </c>
    </row>
    <row r="9219" spans="1:6" ht="12.75">
      <c r="A9219" s="2">
        <v>43881.155115740738</v>
      </c>
      <c r="B9219" t="str">
        <f>HYPERLINK("https://twitter.com/bukanakunidaman","@bukanakunidaman")</f>
        <v>@bukanakunidaman</v>
      </c>
      <c r="C9219" t="s">
        <v>1407</v>
      </c>
      <c r="D9219">
        <v>9020</v>
      </c>
      <c r="E9219">
        <v>0</v>
      </c>
      <c r="F9219">
        <v>1461</v>
      </c>
    </row>
    <row r="9220" spans="1:6" ht="12.75">
      <c r="A9220" s="2">
        <v>43881.154930555553</v>
      </c>
      <c r="B9220" t="str">
        <f>HYPERLINK("https://twitter.com/zahrahmayang_","@zahrahmayang_")</f>
        <v>@zahrahmayang_</v>
      </c>
      <c r="C9220" t="s">
        <v>2692</v>
      </c>
      <c r="D9220">
        <v>1690</v>
      </c>
      <c r="E9220">
        <v>0</v>
      </c>
      <c r="F9220">
        <v>320</v>
      </c>
    </row>
    <row r="9221" spans="1:6" ht="12.75">
      <c r="A9221" s="2">
        <v>43881.153773148151</v>
      </c>
      <c r="B9221" t="str">
        <f>HYPERLINK("https://twitter.com/LaulaChrismanto","@LaulaChrismanto")</f>
        <v>@LaulaChrismanto</v>
      </c>
      <c r="C9221" t="s">
        <v>4360</v>
      </c>
      <c r="D9221">
        <v>45</v>
      </c>
      <c r="E9221">
        <v>0</v>
      </c>
      <c r="F9221">
        <v>10</v>
      </c>
    </row>
    <row r="9222" spans="1:6" ht="12.75">
      <c r="A9222" s="2">
        <v>43881.152499999997</v>
      </c>
      <c r="B9222" t="str">
        <f>HYPERLINK("https://twitter.com/amaliaa_n","@amaliaa_n")</f>
        <v>@amaliaa_n</v>
      </c>
      <c r="C9222" t="s">
        <v>1407</v>
      </c>
      <c r="D9222">
        <v>9020</v>
      </c>
      <c r="E9222">
        <v>0</v>
      </c>
      <c r="F9222">
        <v>300</v>
      </c>
    </row>
    <row r="9223" spans="1:6" ht="12.75">
      <c r="A9223" s="2">
        <v>43881.150520833333</v>
      </c>
      <c r="B9223" t="str">
        <f>HYPERLINK("https://twitter.com/setiawanh46","@setiawanh46")</f>
        <v>@setiawanh46</v>
      </c>
      <c r="C9223" t="s">
        <v>4360</v>
      </c>
      <c r="D9223">
        <v>45</v>
      </c>
      <c r="E9223">
        <v>0</v>
      </c>
      <c r="F9223">
        <v>1830</v>
      </c>
    </row>
    <row r="9224" spans="1:6" ht="12.75">
      <c r="A9224" s="2">
        <v>43881.149826388893</v>
      </c>
      <c r="B9224" t="str">
        <f>HYPERLINK("https://twitter.com/mbakjidha","@mbakjidha")</f>
        <v>@mbakjidha</v>
      </c>
      <c r="C9224" t="s">
        <v>1407</v>
      </c>
      <c r="D9224">
        <v>9020</v>
      </c>
      <c r="E9224">
        <v>0</v>
      </c>
      <c r="F9224">
        <v>114</v>
      </c>
    </row>
    <row r="9225" spans="1:6" ht="12.75">
      <c r="A9225" s="2">
        <v>43881.147951388892</v>
      </c>
      <c r="B9225" t="str">
        <f>HYPERLINK("https://twitter.com/ayudyaap_","@ayudyaap_")</f>
        <v>@ayudyaap_</v>
      </c>
      <c r="C9225" t="s">
        <v>2692</v>
      </c>
      <c r="D9225">
        <v>1690</v>
      </c>
      <c r="E9225">
        <v>0</v>
      </c>
      <c r="F9225">
        <v>747</v>
      </c>
    </row>
    <row r="9226" spans="1:6" ht="12.75">
      <c r="A9226" s="2">
        <v>43881.147326388891</v>
      </c>
      <c r="B9226" t="str">
        <f>HYPERLINK("https://twitter.com/isis_eb","@isis_eb")</f>
        <v>@isis_eb</v>
      </c>
      <c r="C9226" t="s">
        <v>5791</v>
      </c>
      <c r="D9226">
        <v>1</v>
      </c>
      <c r="E9226">
        <v>1</v>
      </c>
      <c r="F9226">
        <v>355</v>
      </c>
    </row>
    <row r="9227" spans="1:6" ht="12.75">
      <c r="A9227" s="2">
        <v>43881.14398148148</v>
      </c>
      <c r="B9227" t="str">
        <f>HYPERLINK("https://twitter.com/youadisty","@youadisty")</f>
        <v>@youadisty</v>
      </c>
      <c r="C9227" t="s">
        <v>1407</v>
      </c>
      <c r="D9227">
        <v>9020</v>
      </c>
      <c r="E9227">
        <v>0</v>
      </c>
      <c r="F9227">
        <v>1277</v>
      </c>
    </row>
    <row r="9228" spans="1:6" ht="12.75">
      <c r="A9228" s="2">
        <v>43881.143958333334</v>
      </c>
      <c r="B9228" t="str">
        <f>HYPERLINK("https://twitter.com/FauzaAnnisa","@FauzaAnnisa")</f>
        <v>@FauzaAnnisa</v>
      </c>
      <c r="C9228" t="s">
        <v>2692</v>
      </c>
      <c r="D9228">
        <v>1690</v>
      </c>
      <c r="E9228">
        <v>0</v>
      </c>
      <c r="F9228">
        <v>500</v>
      </c>
    </row>
    <row r="9229" spans="1:6" ht="12.75">
      <c r="A9229" s="2">
        <v>43881.143958333334</v>
      </c>
      <c r="B9229" t="str">
        <f t="shared" ref="B9229:B9230" si="163">HYPERLINK("https://twitter.com/sasakyungs_","@sasakyungs_")</f>
        <v>@sasakyungs_</v>
      </c>
      <c r="C9229" t="s">
        <v>2467</v>
      </c>
      <c r="D9229">
        <v>823</v>
      </c>
      <c r="E9229">
        <v>0</v>
      </c>
      <c r="F9229">
        <v>343</v>
      </c>
    </row>
    <row r="9230" spans="1:6" ht="12.75">
      <c r="A9230" s="2">
        <v>43881.143842592588</v>
      </c>
      <c r="B9230" t="str">
        <f t="shared" si="163"/>
        <v>@sasakyungs_</v>
      </c>
      <c r="C9230" t="s">
        <v>1407</v>
      </c>
      <c r="D9230">
        <v>9020</v>
      </c>
      <c r="E9230">
        <v>0</v>
      </c>
      <c r="F9230">
        <v>343</v>
      </c>
    </row>
    <row r="9231" spans="1:6" ht="12.75">
      <c r="A9231" s="2">
        <v>43881.14225694444</v>
      </c>
      <c r="B9231" t="str">
        <f>HYPERLINK("https://twitter.com/robbyasiregar","@robbyasiregar")</f>
        <v>@robbyasiregar</v>
      </c>
      <c r="C9231" t="s">
        <v>1407</v>
      </c>
      <c r="D9231">
        <v>9020</v>
      </c>
      <c r="E9231">
        <v>0</v>
      </c>
      <c r="F9231">
        <v>657</v>
      </c>
    </row>
    <row r="9232" spans="1:6" ht="12.75">
      <c r="A9232" s="2">
        <v>43881.141203703708</v>
      </c>
      <c r="B9232" t="str">
        <f>HYPERLINK("https://twitter.com/fitbar_N","@fitbar_N")</f>
        <v>@fitbar_N</v>
      </c>
      <c r="C9232" t="s">
        <v>5792</v>
      </c>
      <c r="D9232">
        <v>0</v>
      </c>
      <c r="E9232">
        <v>0</v>
      </c>
      <c r="F9232">
        <v>143</v>
      </c>
    </row>
    <row r="9233" spans="1:6" ht="12.75">
      <c r="A9233" s="2">
        <v>43881.140335648146</v>
      </c>
      <c r="B9233" t="str">
        <f>HYPERLINK("https://twitter.com/aallliin","@aallliin")</f>
        <v>@aallliin</v>
      </c>
      <c r="C9233" t="s">
        <v>1407</v>
      </c>
      <c r="D9233">
        <v>9020</v>
      </c>
      <c r="E9233">
        <v>0</v>
      </c>
      <c r="F9233">
        <v>349</v>
      </c>
    </row>
    <row r="9234" spans="1:6" ht="12.75">
      <c r="A9234" s="2">
        <v>43881.138680555552</v>
      </c>
      <c r="B9234" t="str">
        <f>HYPERLINK("https://twitter.com/skinnyman_12","@skinnyman_12")</f>
        <v>@skinnyman_12</v>
      </c>
      <c r="C9234" t="s">
        <v>1407</v>
      </c>
      <c r="D9234">
        <v>9020</v>
      </c>
      <c r="E9234">
        <v>0</v>
      </c>
      <c r="F9234">
        <v>85</v>
      </c>
    </row>
    <row r="9235" spans="1:6" ht="12.75">
      <c r="A9235" s="2">
        <v>43881.138564814813</v>
      </c>
      <c r="B9235" t="str">
        <f>HYPERLINK("https://twitter.com/aprets","@aprets")</f>
        <v>@aprets</v>
      </c>
      <c r="C9235" t="s">
        <v>5793</v>
      </c>
      <c r="D9235">
        <v>0</v>
      </c>
      <c r="E9235">
        <v>1</v>
      </c>
      <c r="F9235">
        <v>659</v>
      </c>
    </row>
    <row r="9236" spans="1:6" ht="12.75">
      <c r="A9236" s="2">
        <v>43881.138472222221</v>
      </c>
      <c r="B9236" t="str">
        <f>HYPERLINK("https://twitter.com/odilegt","@odilegt")</f>
        <v>@odilegt</v>
      </c>
      <c r="C9236" t="s">
        <v>1407</v>
      </c>
      <c r="D9236">
        <v>9020</v>
      </c>
      <c r="E9236">
        <v>0</v>
      </c>
      <c r="F9236">
        <v>627</v>
      </c>
    </row>
    <row r="9237" spans="1:6" ht="12.75">
      <c r="A9237" s="2">
        <v>43881.138402777782</v>
      </c>
      <c r="B9237" t="str">
        <f>HYPERLINK("https://twitter.com/peavchytea","@peavchytea")</f>
        <v>@peavchytea</v>
      </c>
      <c r="C9237" t="s">
        <v>1407</v>
      </c>
      <c r="D9237">
        <v>9020</v>
      </c>
      <c r="E9237">
        <v>0</v>
      </c>
      <c r="F9237">
        <v>755</v>
      </c>
    </row>
    <row r="9238" spans="1:6" ht="12.75">
      <c r="A9238" s="2">
        <v>43881.137523148151</v>
      </c>
      <c r="B9238" t="str">
        <f>HYPERLINK("https://twitter.com/ameliyaaa994","@ameliyaaa994")</f>
        <v>@ameliyaaa994</v>
      </c>
      <c r="C9238" t="s">
        <v>1407</v>
      </c>
      <c r="D9238">
        <v>9020</v>
      </c>
      <c r="E9238">
        <v>0</v>
      </c>
      <c r="F9238">
        <v>168</v>
      </c>
    </row>
    <row r="9239" spans="1:6" ht="12.75">
      <c r="A9239" s="2">
        <v>43881.137418981481</v>
      </c>
      <c r="B9239" t="str">
        <f>HYPERLINK("https://twitter.com/vinasti","@vinasti")</f>
        <v>@vinasti</v>
      </c>
      <c r="C9239" t="s">
        <v>1407</v>
      </c>
      <c r="D9239">
        <v>9020</v>
      </c>
      <c r="E9239">
        <v>0</v>
      </c>
      <c r="F9239">
        <v>402</v>
      </c>
    </row>
    <row r="9240" spans="1:6" ht="12.75">
      <c r="A9240" s="2">
        <v>43881.136828703704</v>
      </c>
      <c r="B9240" t="str">
        <f>HYPERLINK("https://twitter.com/KKhawarij","@KKhawarij")</f>
        <v>@KKhawarij</v>
      </c>
      <c r="C9240" t="s">
        <v>5794</v>
      </c>
      <c r="D9240">
        <v>0</v>
      </c>
      <c r="E9240">
        <v>0</v>
      </c>
      <c r="F9240">
        <v>194</v>
      </c>
    </row>
    <row r="9241" spans="1:6" ht="12.75">
      <c r="A9241" s="2">
        <v>43881.134756944448</v>
      </c>
      <c r="B9241" t="str">
        <f>HYPERLINK("https://twitter.com/aminah9_","@aminah9_")</f>
        <v>@aminah9_</v>
      </c>
      <c r="C9241" t="s">
        <v>1407</v>
      </c>
      <c r="D9241">
        <v>9020</v>
      </c>
      <c r="E9241">
        <v>0</v>
      </c>
      <c r="F9241">
        <v>188</v>
      </c>
    </row>
    <row r="9242" spans="1:6" ht="12.75">
      <c r="A9242" s="2">
        <v>43881.134189814809</v>
      </c>
      <c r="B9242" t="str">
        <f>HYPERLINK("https://twitter.com/Intanparamita22","@Intanparamita22")</f>
        <v>@Intanparamita22</v>
      </c>
      <c r="C9242" t="s">
        <v>1407</v>
      </c>
      <c r="D9242">
        <v>9020</v>
      </c>
      <c r="E9242">
        <v>0</v>
      </c>
      <c r="F9242">
        <v>107</v>
      </c>
    </row>
    <row r="9243" spans="1:6" ht="12.75">
      <c r="A9243" s="2">
        <v>43881.134004629625</v>
      </c>
      <c r="B9243" t="str">
        <f>HYPERLINK("https://twitter.com/edisonsbr","@edisonsbr")</f>
        <v>@edisonsbr</v>
      </c>
      <c r="C9243" t="s">
        <v>1407</v>
      </c>
      <c r="D9243">
        <v>9020</v>
      </c>
      <c r="E9243">
        <v>0</v>
      </c>
      <c r="F9243">
        <v>75</v>
      </c>
    </row>
    <row r="9244" spans="1:6" ht="12.75">
      <c r="A9244" s="2">
        <v>43881.133935185186</v>
      </c>
      <c r="B9244" t="str">
        <f>HYPERLINK("https://twitter.com/Diffa_HS","@Diffa_HS")</f>
        <v>@Diffa_HS</v>
      </c>
      <c r="C9244" t="s">
        <v>1407</v>
      </c>
      <c r="D9244">
        <v>9020</v>
      </c>
      <c r="E9244">
        <v>0</v>
      </c>
      <c r="F9244">
        <v>6468</v>
      </c>
    </row>
    <row r="9245" spans="1:6" ht="12.75">
      <c r="A9245" s="2">
        <v>43881.133703703701</v>
      </c>
      <c r="B9245" t="str">
        <f t="shared" ref="B9245:B9246" si="164">HYPERLINK("https://twitter.com/sabhatansabiz","@sabhatansabiz")</f>
        <v>@sabhatansabiz</v>
      </c>
      <c r="C9245" t="s">
        <v>5795</v>
      </c>
      <c r="D9245">
        <v>2</v>
      </c>
      <c r="E9245">
        <v>0</v>
      </c>
      <c r="F9245">
        <v>1584</v>
      </c>
    </row>
    <row r="9246" spans="1:6" ht="12.75">
      <c r="A9246" s="2">
        <v>43881.133703703701</v>
      </c>
      <c r="B9246" t="str">
        <f t="shared" si="164"/>
        <v>@sabhatansabiz</v>
      </c>
      <c r="C9246" t="s">
        <v>5795</v>
      </c>
      <c r="D9246">
        <v>2</v>
      </c>
      <c r="E9246">
        <v>0</v>
      </c>
      <c r="F9246">
        <v>1584</v>
      </c>
    </row>
    <row r="9247" spans="1:6" ht="12.75">
      <c r="A9247" s="2">
        <v>43881.133229166662</v>
      </c>
      <c r="B9247" t="str">
        <f>HYPERLINK("https://twitter.com/RadityaChavvah","@RadityaChavvah")</f>
        <v>@RadityaChavvah</v>
      </c>
      <c r="C9247" t="s">
        <v>2692</v>
      </c>
      <c r="D9247">
        <v>1690</v>
      </c>
      <c r="E9247">
        <v>0</v>
      </c>
      <c r="F9247">
        <v>170</v>
      </c>
    </row>
    <row r="9248" spans="1:6" ht="12.75">
      <c r="A9248" s="2">
        <v>43881.133090277777</v>
      </c>
      <c r="B9248" t="str">
        <f t="shared" ref="B9248:B9250" si="165">HYPERLINK("https://twitter.com/maknae907","@maknae907")</f>
        <v>@maknae907</v>
      </c>
      <c r="C9248" t="s">
        <v>2183</v>
      </c>
      <c r="D9248">
        <v>294</v>
      </c>
      <c r="E9248">
        <v>0</v>
      </c>
      <c r="F9248">
        <v>252</v>
      </c>
    </row>
    <row r="9249" spans="1:6" ht="12.75">
      <c r="A9249" s="2">
        <v>43881.133032407408</v>
      </c>
      <c r="B9249" t="str">
        <f t="shared" si="165"/>
        <v>@maknae907</v>
      </c>
      <c r="C9249" t="s">
        <v>2467</v>
      </c>
      <c r="D9249">
        <v>823</v>
      </c>
      <c r="E9249">
        <v>0</v>
      </c>
      <c r="F9249">
        <v>252</v>
      </c>
    </row>
    <row r="9250" spans="1:6" ht="12.75">
      <c r="A9250" s="2">
        <v>43881.132905092592</v>
      </c>
      <c r="B9250" t="str">
        <f t="shared" si="165"/>
        <v>@maknae907</v>
      </c>
      <c r="C9250" t="s">
        <v>1407</v>
      </c>
      <c r="D9250">
        <v>9020</v>
      </c>
      <c r="E9250">
        <v>0</v>
      </c>
      <c r="F9250">
        <v>252</v>
      </c>
    </row>
    <row r="9251" spans="1:6" ht="12.75">
      <c r="A9251" s="2">
        <v>43881.132557870369</v>
      </c>
      <c r="B9251" t="str">
        <f>HYPERLINK("https://twitter.com/hemaviton99","@hemaviton99")</f>
        <v>@hemaviton99</v>
      </c>
      <c r="C9251" t="s">
        <v>5796</v>
      </c>
      <c r="D9251">
        <v>0</v>
      </c>
      <c r="E9251">
        <v>0</v>
      </c>
      <c r="F9251">
        <v>4156</v>
      </c>
    </row>
    <row r="9252" spans="1:6" ht="12.75">
      <c r="A9252" s="2">
        <v>43881.132199074069</v>
      </c>
      <c r="B9252" t="str">
        <f>HYPERLINK("https://twitter.com/urfuturewifeH","@urfuturewifeH")</f>
        <v>@urfuturewifeH</v>
      </c>
      <c r="C9252" t="s">
        <v>5642</v>
      </c>
      <c r="D9252">
        <v>260</v>
      </c>
      <c r="E9252">
        <v>0</v>
      </c>
      <c r="F9252">
        <v>368</v>
      </c>
    </row>
    <row r="9253" spans="1:6" ht="12.75">
      <c r="A9253" s="2">
        <v>43881.131967592592</v>
      </c>
      <c r="B9253" t="str">
        <f t="shared" ref="B9253:B9254" si="166">HYPERLINK("https://twitter.com/updatedotid","@updatedotid")</f>
        <v>@updatedotid</v>
      </c>
      <c r="C9253" t="s">
        <v>5795</v>
      </c>
      <c r="D9253">
        <v>2</v>
      </c>
      <c r="E9253">
        <v>0</v>
      </c>
      <c r="F9253">
        <v>1620</v>
      </c>
    </row>
    <row r="9254" spans="1:6" ht="12.75">
      <c r="A9254" s="2">
        <v>43881.131967592592</v>
      </c>
      <c r="B9254" t="str">
        <f t="shared" si="166"/>
        <v>@updatedotid</v>
      </c>
      <c r="C9254" t="s">
        <v>5795</v>
      </c>
      <c r="D9254">
        <v>2</v>
      </c>
      <c r="E9254">
        <v>0</v>
      </c>
      <c r="F9254">
        <v>1620</v>
      </c>
    </row>
    <row r="9255" spans="1:6" ht="12.75">
      <c r="A9255" s="2">
        <v>43881.131631944445</v>
      </c>
      <c r="B9255" t="str">
        <f t="shared" ref="B9255:B9256" si="167">HYPERLINK("https://twitter.com/radar_malang","@radar_malang")</f>
        <v>@radar_malang</v>
      </c>
      <c r="C9255" t="s">
        <v>5797</v>
      </c>
      <c r="D9255">
        <v>2</v>
      </c>
      <c r="E9255">
        <v>0</v>
      </c>
      <c r="F9255">
        <v>108584</v>
      </c>
    </row>
    <row r="9256" spans="1:6" ht="12.75">
      <c r="A9256" s="2">
        <v>43881.131620370375</v>
      </c>
      <c r="B9256" t="str">
        <f t="shared" si="167"/>
        <v>@radar_malang</v>
      </c>
      <c r="C9256" t="s">
        <v>5797</v>
      </c>
      <c r="D9256">
        <v>2</v>
      </c>
      <c r="E9256">
        <v>0</v>
      </c>
      <c r="F9256">
        <v>108584</v>
      </c>
    </row>
    <row r="9257" spans="1:6" ht="12.75">
      <c r="A9257" s="2">
        <v>43881.130486111113</v>
      </c>
      <c r="B9257" t="str">
        <f>HYPERLINK("https://twitter.com/gugahenwskathok","@gugahenwskathok")</f>
        <v>@gugahenwskathok</v>
      </c>
      <c r="C9257" t="s">
        <v>1407</v>
      </c>
      <c r="D9257">
        <v>9020</v>
      </c>
      <c r="E9257">
        <v>0</v>
      </c>
      <c r="F9257">
        <v>1</v>
      </c>
    </row>
    <row r="9258" spans="1:6" ht="12.75">
      <c r="A9258" s="2">
        <v>43881.128009259264</v>
      </c>
      <c r="B9258" t="str">
        <f>HYPERLINK("https://twitter.com/isis_plaza","@isis_plaza")</f>
        <v>@isis_plaza</v>
      </c>
      <c r="C9258" t="s">
        <v>5798</v>
      </c>
      <c r="D9258">
        <v>0</v>
      </c>
      <c r="E9258">
        <v>0</v>
      </c>
      <c r="F9258">
        <v>922</v>
      </c>
    </row>
    <row r="9259" spans="1:6" ht="12.75">
      <c r="A9259" s="2">
        <v>43881.127812499995</v>
      </c>
      <c r="B9259" t="str">
        <f>HYPERLINK("https://twitter.com/nyuguseiyo","@nyuguseiyo")</f>
        <v>@nyuguseiyo</v>
      </c>
      <c r="C9259" t="s">
        <v>1407</v>
      </c>
      <c r="D9259">
        <v>9020</v>
      </c>
      <c r="E9259">
        <v>0</v>
      </c>
      <c r="F9259">
        <v>555</v>
      </c>
    </row>
    <row r="9260" spans="1:6" ht="12.75">
      <c r="A9260" s="2">
        <v>43881.127245370371</v>
      </c>
      <c r="B9260" t="str">
        <f>HYPERLINK("https://twitter.com/AswinJohan","@AswinJohan")</f>
        <v>@AswinJohan</v>
      </c>
      <c r="C9260" t="s">
        <v>4360</v>
      </c>
      <c r="D9260">
        <v>45</v>
      </c>
      <c r="E9260">
        <v>0</v>
      </c>
      <c r="F9260">
        <v>40</v>
      </c>
    </row>
    <row r="9261" spans="1:6" ht="12.75">
      <c r="A9261" s="2">
        <v>43881.126701388886</v>
      </c>
      <c r="B9261" t="str">
        <f>HYPERLINK("https://twitter.com/kulimahal","@kulimahal")</f>
        <v>@kulimahal</v>
      </c>
      <c r="C9261" t="s">
        <v>1407</v>
      </c>
      <c r="D9261">
        <v>9020</v>
      </c>
      <c r="E9261">
        <v>0</v>
      </c>
      <c r="F9261">
        <v>516</v>
      </c>
    </row>
    <row r="9262" spans="1:6" ht="12.75">
      <c r="A9262" s="2">
        <v>43881.125659722224</v>
      </c>
      <c r="B9262" t="str">
        <f>HYPERLINK("https://twitter.com/_januhardy","@_januhardy")</f>
        <v>@_januhardy</v>
      </c>
      <c r="C9262" t="s">
        <v>5799</v>
      </c>
      <c r="D9262">
        <v>19</v>
      </c>
      <c r="E9262">
        <v>0</v>
      </c>
      <c r="F9262">
        <v>231</v>
      </c>
    </row>
    <row r="9263" spans="1:6" ht="12.75">
      <c r="A9263" s="2">
        <v>43881.123229166667</v>
      </c>
      <c r="B9263" t="str">
        <f>HYPERLINK("https://twitter.com/noersaktipanji","@noersaktipanji")</f>
        <v>@noersaktipanji</v>
      </c>
      <c r="C9263" t="s">
        <v>2692</v>
      </c>
      <c r="D9263">
        <v>1682</v>
      </c>
      <c r="E9263">
        <v>0</v>
      </c>
      <c r="F9263">
        <v>361</v>
      </c>
    </row>
    <row r="9264" spans="1:6" ht="12.75">
      <c r="A9264" s="2">
        <v>43881.121562500004</v>
      </c>
      <c r="B9264" t="str">
        <f>HYPERLINK("https://twitter.com/joswito","@joswito")</f>
        <v>@joswito</v>
      </c>
      <c r="C9264" t="s">
        <v>5800</v>
      </c>
      <c r="D9264">
        <v>0</v>
      </c>
      <c r="E9264">
        <v>0</v>
      </c>
      <c r="F9264">
        <v>1250</v>
      </c>
    </row>
    <row r="9265" spans="1:6" ht="12.75">
      <c r="A9265" s="2">
        <v>43881.119120370371</v>
      </c>
      <c r="B9265" t="str">
        <f>HYPERLINK("https://twitter.com/papaspoppinpeny","@papaspoppinpeny")</f>
        <v>@papaspoppinpeny</v>
      </c>
      <c r="C9265" t="s">
        <v>2076</v>
      </c>
      <c r="D9265">
        <v>0</v>
      </c>
      <c r="E9265">
        <v>0</v>
      </c>
      <c r="F9265">
        <v>219</v>
      </c>
    </row>
    <row r="9266" spans="1:6" ht="12.75">
      <c r="A9266" s="2">
        <v>43881.118831018517</v>
      </c>
      <c r="B9266" t="str">
        <f>HYPERLINK("https://twitter.com/vitjakso","@vitjakso")</f>
        <v>@vitjakso</v>
      </c>
      <c r="C9266" t="s">
        <v>2692</v>
      </c>
      <c r="D9266">
        <v>1682</v>
      </c>
      <c r="E9266">
        <v>0</v>
      </c>
      <c r="F9266">
        <v>36</v>
      </c>
    </row>
    <row r="9267" spans="1:6" ht="12.75">
      <c r="A9267" s="2">
        <v>43881.118784722217</v>
      </c>
      <c r="B9267" t="str">
        <f>HYPERLINK("https://twitter.com/aafinkm_","@aafinkm_")</f>
        <v>@aafinkm_</v>
      </c>
      <c r="C9267" t="s">
        <v>5801</v>
      </c>
      <c r="D9267">
        <v>0</v>
      </c>
      <c r="E9267">
        <v>0</v>
      </c>
      <c r="F9267">
        <v>49</v>
      </c>
    </row>
    <row r="9268" spans="1:6" ht="12.75">
      <c r="A9268" s="2">
        <v>43881.118414351848</v>
      </c>
      <c r="B9268" t="str">
        <f>HYPERLINK("https://twitter.com/chairulachir","@chairulachir")</f>
        <v>@chairulachir</v>
      </c>
      <c r="C9268" t="s">
        <v>5802</v>
      </c>
      <c r="D9268">
        <v>0</v>
      </c>
      <c r="E9268">
        <v>0</v>
      </c>
      <c r="F9268">
        <v>2555</v>
      </c>
    </row>
    <row r="9269" spans="1:6" ht="12.75">
      <c r="A9269" s="2">
        <v>43881.117673611108</v>
      </c>
      <c r="B9269" t="str">
        <f t="shared" ref="B9269:B9270" si="168">HYPERLINK("https://twitter.com/antar_kabar","@antar_kabar")</f>
        <v>@antar_kabar</v>
      </c>
      <c r="C9269" t="s">
        <v>5803</v>
      </c>
      <c r="D9269">
        <v>0</v>
      </c>
      <c r="E9269">
        <v>0</v>
      </c>
      <c r="F9269">
        <v>1128</v>
      </c>
    </row>
    <row r="9270" spans="1:6" ht="12.75">
      <c r="A9270" s="2">
        <v>43881.116423611107</v>
      </c>
      <c r="B9270" t="str">
        <f t="shared" si="168"/>
        <v>@antar_kabar</v>
      </c>
      <c r="C9270" t="s">
        <v>5804</v>
      </c>
      <c r="D9270">
        <v>0</v>
      </c>
      <c r="E9270">
        <v>0</v>
      </c>
      <c r="F9270">
        <v>1128</v>
      </c>
    </row>
    <row r="9271" spans="1:6" ht="12.75">
      <c r="A9271" s="2">
        <v>43881.116203703699</v>
      </c>
      <c r="B9271" t="str">
        <f>HYPERLINK("https://twitter.com/LaingenLisa","@LaingenLisa")</f>
        <v>@LaingenLisa</v>
      </c>
      <c r="C9271" t="s">
        <v>4360</v>
      </c>
      <c r="D9271">
        <v>42</v>
      </c>
      <c r="E9271">
        <v>0</v>
      </c>
      <c r="F9271">
        <v>3110</v>
      </c>
    </row>
    <row r="9272" spans="1:6" ht="12.75">
      <c r="A9272" s="2">
        <v>43881.11613425926</v>
      </c>
      <c r="B9272" t="str">
        <f>HYPERLINK("https://twitter.com/nimassintha","@nimassintha")</f>
        <v>@nimassintha</v>
      </c>
      <c r="C9272" t="s">
        <v>2692</v>
      </c>
      <c r="D9272">
        <v>1682</v>
      </c>
      <c r="E9272">
        <v>0</v>
      </c>
      <c r="F9272">
        <v>40</v>
      </c>
    </row>
    <row r="9273" spans="1:6" ht="12.75">
      <c r="A9273" s="2">
        <v>43881.115601851852</v>
      </c>
      <c r="B9273" t="str">
        <f>HYPERLINK("https://twitter.com/hallu_himawari","@hallu_himawari")</f>
        <v>@hallu_himawari</v>
      </c>
      <c r="C9273" t="s">
        <v>513</v>
      </c>
      <c r="D9273">
        <v>23183</v>
      </c>
      <c r="E9273">
        <v>0</v>
      </c>
      <c r="F9273">
        <v>394</v>
      </c>
    </row>
    <row r="9274" spans="1:6" ht="12.75">
      <c r="A9274" s="2">
        <v>43881.112013888887</v>
      </c>
      <c r="B9274" t="str">
        <f>HYPERLINK("https://twitter.com/lustrousclouds","@lustrousclouds")</f>
        <v>@lustrousclouds</v>
      </c>
      <c r="C9274" t="s">
        <v>2692</v>
      </c>
      <c r="D9274">
        <v>1682</v>
      </c>
      <c r="E9274">
        <v>0</v>
      </c>
      <c r="F9274">
        <v>402</v>
      </c>
    </row>
    <row r="9275" spans="1:6" ht="12.75">
      <c r="A9275" s="2">
        <v>43881.109988425931</v>
      </c>
      <c r="B9275" t="str">
        <f>HYPERLINK("https://twitter.com/evereeze","@evereeze")</f>
        <v>@evereeze</v>
      </c>
      <c r="C9275" t="s">
        <v>5805</v>
      </c>
      <c r="D9275">
        <v>7</v>
      </c>
      <c r="E9275">
        <v>0</v>
      </c>
      <c r="F9275">
        <v>291</v>
      </c>
    </row>
    <row r="9276" spans="1:6" ht="12.75">
      <c r="A9276" s="2">
        <v>43881.109884259262</v>
      </c>
      <c r="B9276" t="str">
        <f>HYPERLINK("https://twitter.com/LaingenLisa","@LaingenLisa")</f>
        <v>@LaingenLisa</v>
      </c>
      <c r="C9276" t="s">
        <v>5806</v>
      </c>
      <c r="D9276">
        <v>1</v>
      </c>
      <c r="E9276">
        <v>0</v>
      </c>
      <c r="F9276">
        <v>3110</v>
      </c>
    </row>
    <row r="9277" spans="1:6" ht="12.75">
      <c r="A9277" s="2">
        <v>43881.109143518523</v>
      </c>
      <c r="B9277" t="str">
        <f>HYPERLINK("https://twitter.com/lvxcifer666","@lvxcifer666")</f>
        <v>@lvxcifer666</v>
      </c>
      <c r="C9277" t="s">
        <v>1407</v>
      </c>
      <c r="D9277">
        <v>8988</v>
      </c>
      <c r="E9277">
        <v>0</v>
      </c>
      <c r="F9277">
        <v>249</v>
      </c>
    </row>
    <row r="9278" spans="1:6" ht="12.75">
      <c r="A9278" s="2">
        <v>43881.10869212963</v>
      </c>
      <c r="B9278" t="str">
        <f>HYPERLINK("https://twitter.com/jayo_kkk","@jayo_kkk")</f>
        <v>@jayo_kkk</v>
      </c>
      <c r="C9278" t="s">
        <v>1407</v>
      </c>
      <c r="D9278">
        <v>8988</v>
      </c>
      <c r="E9278">
        <v>0</v>
      </c>
      <c r="F9278">
        <v>56</v>
      </c>
    </row>
    <row r="9279" spans="1:6" ht="12.75">
      <c r="A9279" s="2">
        <v>43881.108472222222</v>
      </c>
      <c r="B9279" t="str">
        <f>HYPERLINK("https://twitter.com/amjad_ismail","@amjad_ismail")</f>
        <v>@amjad_ismail</v>
      </c>
      <c r="C9279" t="s">
        <v>2768</v>
      </c>
      <c r="D9279">
        <v>75</v>
      </c>
      <c r="E9279">
        <v>0</v>
      </c>
      <c r="F9279">
        <v>29</v>
      </c>
    </row>
    <row r="9280" spans="1:6" ht="12.75">
      <c r="A9280" s="2">
        <v>43881.107766203699</v>
      </c>
      <c r="B9280" t="str">
        <f>HYPERLINK("https://twitter.com/fachryni","@fachryni")</f>
        <v>@fachryni</v>
      </c>
      <c r="C9280" t="s">
        <v>1407</v>
      </c>
      <c r="D9280">
        <v>8988</v>
      </c>
      <c r="E9280">
        <v>0</v>
      </c>
      <c r="F9280">
        <v>446</v>
      </c>
    </row>
    <row r="9281" spans="1:6" ht="12.75">
      <c r="A9281" s="2">
        <v>43881.10460648148</v>
      </c>
      <c r="B9281" t="str">
        <f>HYPERLINK("https://twitter.com/ayuwindaf_","@ayuwindaf_")</f>
        <v>@ayuwindaf_</v>
      </c>
      <c r="C9281" t="s">
        <v>1407</v>
      </c>
      <c r="D9281">
        <v>8988</v>
      </c>
      <c r="E9281">
        <v>0</v>
      </c>
      <c r="F9281">
        <v>343</v>
      </c>
    </row>
    <row r="9282" spans="1:6" ht="12.75">
      <c r="A9282" s="2">
        <v>43881.104467592595</v>
      </c>
      <c r="B9282" t="str">
        <f>HYPERLINK("https://twitter.com/iskandar_bima","@iskandar_bima")</f>
        <v>@iskandar_bima</v>
      </c>
      <c r="C9282" t="s">
        <v>1407</v>
      </c>
      <c r="D9282">
        <v>8988</v>
      </c>
      <c r="E9282">
        <v>0</v>
      </c>
      <c r="F9282">
        <v>661</v>
      </c>
    </row>
    <row r="9283" spans="1:6" ht="12.75">
      <c r="A9283" s="2">
        <v>43881.10392361111</v>
      </c>
      <c r="B9283" t="str">
        <f>HYPERLINK("https://twitter.com/Maldivianx","@Maldivianx")</f>
        <v>@Maldivianx</v>
      </c>
      <c r="C9283" t="s">
        <v>2768</v>
      </c>
      <c r="D9283">
        <v>75</v>
      </c>
      <c r="E9283">
        <v>0</v>
      </c>
      <c r="F9283">
        <v>1325</v>
      </c>
    </row>
    <row r="9284" spans="1:6" ht="12.75">
      <c r="A9284" s="2">
        <v>43881.103414351848</v>
      </c>
      <c r="B9284" t="str">
        <f>HYPERLINK("https://twitter.com/RubenLumalessi1","@RubenLumalessi1")</f>
        <v>@RubenLumalessi1</v>
      </c>
      <c r="C9284" t="s">
        <v>4360</v>
      </c>
      <c r="D9284">
        <v>42</v>
      </c>
      <c r="E9284">
        <v>0</v>
      </c>
      <c r="F9284">
        <v>765</v>
      </c>
    </row>
    <row r="9285" spans="1:6" ht="12.75">
      <c r="A9285" s="2">
        <v>43881.102881944447</v>
      </c>
      <c r="B9285" t="str">
        <f>HYPERLINK("https://twitter.com/pernicicus","@pernicicus")</f>
        <v>@pernicicus</v>
      </c>
      <c r="C9285" t="s">
        <v>2692</v>
      </c>
      <c r="D9285">
        <v>1682</v>
      </c>
      <c r="E9285">
        <v>0</v>
      </c>
      <c r="F9285">
        <v>118</v>
      </c>
    </row>
    <row r="9286" spans="1:6" ht="12.75">
      <c r="A9286" s="2">
        <v>43881.101053240738</v>
      </c>
      <c r="B9286" t="str">
        <f>HYPERLINK("https://twitter.com/kottongum","@kottongum")</f>
        <v>@kottongum</v>
      </c>
      <c r="C9286" t="s">
        <v>1407</v>
      </c>
      <c r="D9286">
        <v>8988</v>
      </c>
      <c r="E9286">
        <v>0</v>
      </c>
      <c r="F9286">
        <v>428</v>
      </c>
    </row>
    <row r="9287" spans="1:6" ht="12.75">
      <c r="A9287" s="2">
        <v>43881.100428240738</v>
      </c>
      <c r="B9287" t="str">
        <f>HYPERLINK("https://twitter.com/Ulama_Sangean","@Ulama_Sangean")</f>
        <v>@Ulama_Sangean</v>
      </c>
      <c r="C9287" t="s">
        <v>4360</v>
      </c>
      <c r="D9287">
        <v>42</v>
      </c>
      <c r="E9287">
        <v>0</v>
      </c>
      <c r="F9287">
        <v>689</v>
      </c>
    </row>
    <row r="9288" spans="1:6" ht="12.75">
      <c r="A9288" s="2">
        <v>43881.10019675926</v>
      </c>
      <c r="B9288" t="str">
        <f>HYPERLINK("https://twitter.com/jumari_ndangde","@jumari_ndangde")</f>
        <v>@jumari_ndangde</v>
      </c>
      <c r="C9288" t="s">
        <v>5807</v>
      </c>
      <c r="D9288">
        <v>1</v>
      </c>
      <c r="E9288">
        <v>1</v>
      </c>
      <c r="F9288">
        <v>686</v>
      </c>
    </row>
    <row r="9289" spans="1:6" ht="12.75">
      <c r="A9289" s="2">
        <v>43881.097500000003</v>
      </c>
      <c r="B9289" t="str">
        <f>HYPERLINK("https://twitter.com/lyriahaha","@lyriahaha")</f>
        <v>@lyriahaha</v>
      </c>
      <c r="C9289" t="s">
        <v>2692</v>
      </c>
      <c r="D9289">
        <v>1682</v>
      </c>
      <c r="E9289">
        <v>0</v>
      </c>
      <c r="F9289">
        <v>722</v>
      </c>
    </row>
    <row r="9290" spans="1:6" ht="12.75">
      <c r="A9290" s="2">
        <v>43881.09747685185</v>
      </c>
      <c r="B9290" t="str">
        <f>HYPERLINK("https://twitter.com/Kimberl321","@Kimberl321")</f>
        <v>@Kimberl321</v>
      </c>
      <c r="C9290" t="s">
        <v>5808</v>
      </c>
      <c r="D9290">
        <v>0</v>
      </c>
      <c r="E9290">
        <v>0</v>
      </c>
      <c r="F9290">
        <v>4907</v>
      </c>
    </row>
    <row r="9291" spans="1:6" ht="12.75">
      <c r="A9291" s="2">
        <v>43881.097141203703</v>
      </c>
      <c r="B9291" t="str">
        <f>HYPERLINK("https://twitter.com/twinidi","@twinidi")</f>
        <v>@twinidi</v>
      </c>
      <c r="C9291" t="s">
        <v>1407</v>
      </c>
      <c r="D9291">
        <v>8988</v>
      </c>
      <c r="E9291">
        <v>0</v>
      </c>
      <c r="F9291">
        <v>970</v>
      </c>
    </row>
    <row r="9292" spans="1:6" ht="12.75">
      <c r="A9292" s="2">
        <v>43881.096921296295</v>
      </c>
      <c r="B9292" t="str">
        <f t="shared" ref="B9292:B9294" si="169">HYPERLINK("https://twitter.com/IvanEnrico","@IvanEnrico")</f>
        <v>@IvanEnrico</v>
      </c>
      <c r="C9292" t="s">
        <v>5809</v>
      </c>
      <c r="D9292">
        <v>0</v>
      </c>
      <c r="E9292">
        <v>0</v>
      </c>
      <c r="F9292">
        <v>1044</v>
      </c>
    </row>
    <row r="9293" spans="1:6" ht="12.75">
      <c r="A9293" s="2">
        <v>43881.09679398148</v>
      </c>
      <c r="B9293" t="str">
        <f t="shared" si="169"/>
        <v>@IvanEnrico</v>
      </c>
      <c r="C9293" t="s">
        <v>5554</v>
      </c>
      <c r="D9293">
        <v>27</v>
      </c>
      <c r="E9293">
        <v>0</v>
      </c>
      <c r="F9293">
        <v>1044</v>
      </c>
    </row>
    <row r="9294" spans="1:6" ht="12.75">
      <c r="A9294" s="2">
        <v>43881.096712962964</v>
      </c>
      <c r="B9294" t="str">
        <f t="shared" si="169"/>
        <v>@IvanEnrico</v>
      </c>
      <c r="C9294" t="s">
        <v>2509</v>
      </c>
      <c r="D9294">
        <v>129</v>
      </c>
      <c r="E9294">
        <v>0</v>
      </c>
      <c r="F9294">
        <v>1044</v>
      </c>
    </row>
    <row r="9295" spans="1:6" ht="12.75">
      <c r="A9295" s="2">
        <v>43881.096168981487</v>
      </c>
      <c r="B9295" t="str">
        <f>HYPERLINK("https://twitter.com/ljhvobozz","@ljhvobozz")</f>
        <v>@ljhvobozz</v>
      </c>
      <c r="C9295" t="s">
        <v>1407</v>
      </c>
      <c r="D9295">
        <v>8988</v>
      </c>
      <c r="E9295">
        <v>0</v>
      </c>
      <c r="F9295">
        <v>378</v>
      </c>
    </row>
    <row r="9296" spans="1:6" ht="12.75">
      <c r="A9296" s="2">
        <v>43881.096064814818</v>
      </c>
      <c r="B9296" t="str">
        <f>HYPERLINK("https://twitter.com/JonathanCrispy","@JonathanCrispy")</f>
        <v>@JonathanCrispy</v>
      </c>
      <c r="C9296" t="s">
        <v>1407</v>
      </c>
      <c r="D9296">
        <v>8988</v>
      </c>
      <c r="E9296">
        <v>0</v>
      </c>
      <c r="F9296">
        <v>60</v>
      </c>
    </row>
    <row r="9297" spans="1:6" ht="12.75">
      <c r="A9297" s="2">
        <v>43881.09579861111</v>
      </c>
      <c r="B9297" t="str">
        <f>HYPERLINK("https://twitter.com/miatmaja","@miatmaja")</f>
        <v>@miatmaja</v>
      </c>
      <c r="C9297" t="s">
        <v>1407</v>
      </c>
      <c r="D9297">
        <v>8988</v>
      </c>
      <c r="E9297">
        <v>0</v>
      </c>
      <c r="F9297">
        <v>2973</v>
      </c>
    </row>
    <row r="9298" spans="1:6" ht="12.75">
      <c r="A9298" s="2">
        <v>43881.095555555556</v>
      </c>
      <c r="B9298" t="str">
        <f>HYPERLINK("https://twitter.com/saltlander","@saltlander")</f>
        <v>@saltlander</v>
      </c>
      <c r="C9298" t="s">
        <v>1407</v>
      </c>
      <c r="D9298">
        <v>8988</v>
      </c>
      <c r="E9298">
        <v>0</v>
      </c>
      <c r="F9298">
        <v>8697</v>
      </c>
    </row>
    <row r="9299" spans="1:6" ht="12.75">
      <c r="A9299" s="2">
        <v>43881.095451388886</v>
      </c>
      <c r="B9299" t="str">
        <f>HYPERLINK("https://twitter.com/Januarjososusa1","@Januarjososusa1")</f>
        <v>@Januarjososusa1</v>
      </c>
      <c r="C9299" t="s">
        <v>4360</v>
      </c>
      <c r="D9299">
        <v>42</v>
      </c>
      <c r="E9299">
        <v>0</v>
      </c>
      <c r="F9299">
        <v>226</v>
      </c>
    </row>
    <row r="9300" spans="1:6" ht="12.75">
      <c r="A9300" s="2">
        <v>43881.09447916667</v>
      </c>
      <c r="B9300" t="str">
        <f>HYPERLINK("https://twitter.com/abdoelimajie","@abdoelimajie")</f>
        <v>@abdoelimajie</v>
      </c>
      <c r="C9300" t="s">
        <v>2692</v>
      </c>
      <c r="D9300">
        <v>1682</v>
      </c>
      <c r="E9300">
        <v>0</v>
      </c>
      <c r="F9300">
        <v>154</v>
      </c>
    </row>
    <row r="9301" spans="1:6" ht="12.75">
      <c r="A9301" s="2">
        <v>43881.094467592593</v>
      </c>
      <c r="B9301" t="str">
        <f>HYPERLINK("https://twitter.com/pasifictears","@pasifictears")</f>
        <v>@pasifictears</v>
      </c>
      <c r="C9301" t="s">
        <v>1407</v>
      </c>
      <c r="D9301">
        <v>8988</v>
      </c>
      <c r="E9301">
        <v>0</v>
      </c>
      <c r="F9301">
        <v>224</v>
      </c>
    </row>
    <row r="9302" spans="1:6" ht="12.75">
      <c r="A9302" s="2">
        <v>43881.093564814815</v>
      </c>
      <c r="B9302" t="str">
        <f>HYPERLINK("https://twitter.com/aghagagas","@aghagagas")</f>
        <v>@aghagagas</v>
      </c>
      <c r="C9302" t="s">
        <v>2692</v>
      </c>
      <c r="D9302">
        <v>1682</v>
      </c>
      <c r="E9302">
        <v>0</v>
      </c>
      <c r="F9302">
        <v>688</v>
      </c>
    </row>
    <row r="9303" spans="1:6" ht="12.75">
      <c r="A9303" s="2">
        <v>43881.093032407407</v>
      </c>
      <c r="B9303" t="str">
        <f>HYPERLINK("https://twitter.com/ohmydayari_","@ohmydayari_")</f>
        <v>@ohmydayari_</v>
      </c>
      <c r="C9303" t="s">
        <v>1407</v>
      </c>
      <c r="D9303">
        <v>8988</v>
      </c>
      <c r="E9303">
        <v>0</v>
      </c>
      <c r="F9303">
        <v>1111</v>
      </c>
    </row>
    <row r="9304" spans="1:6" ht="12.75">
      <c r="A9304" s="2">
        <v>43881.093032407407</v>
      </c>
      <c r="B9304" t="str">
        <f>HYPERLINK("https://twitter.com/pinknotpunk","@pinknotpunk")</f>
        <v>@pinknotpunk</v>
      </c>
      <c r="C9304" t="s">
        <v>2692</v>
      </c>
      <c r="D9304">
        <v>1682</v>
      </c>
      <c r="E9304">
        <v>0</v>
      </c>
      <c r="F9304">
        <v>1329</v>
      </c>
    </row>
    <row r="9305" spans="1:6" ht="12.75">
      <c r="A9305" s="2">
        <v>43881.092905092592</v>
      </c>
      <c r="B9305" t="str">
        <f>HYPERLINK("https://twitter.com/nanda_teefa","@nanda_teefa")</f>
        <v>@nanda_teefa</v>
      </c>
      <c r="C9305" t="s">
        <v>2692</v>
      </c>
      <c r="D9305">
        <v>1682</v>
      </c>
      <c r="E9305">
        <v>0</v>
      </c>
      <c r="F9305">
        <v>128</v>
      </c>
    </row>
    <row r="9306" spans="1:6" ht="12.75">
      <c r="A9306" s="2">
        <v>43881.092777777776</v>
      </c>
      <c r="B9306" t="str">
        <f>HYPERLINK("https://twitter.com/WR_4AG226","@WR_4AG226")</f>
        <v>@WR_4AG226</v>
      </c>
      <c r="C9306" t="s">
        <v>4360</v>
      </c>
      <c r="D9306">
        <v>42</v>
      </c>
      <c r="E9306">
        <v>0</v>
      </c>
      <c r="F9306">
        <v>55161</v>
      </c>
    </row>
    <row r="9307" spans="1:6" ht="12.75">
      <c r="A9307" s="2">
        <v>43881.091793981483</v>
      </c>
      <c r="B9307" t="str">
        <f>HYPERLINK("https://twitter.com/tiamindifosfat","@tiamindifosfat")</f>
        <v>@tiamindifosfat</v>
      </c>
      <c r="C9307" t="s">
        <v>2692</v>
      </c>
      <c r="D9307">
        <v>1682</v>
      </c>
      <c r="E9307">
        <v>0</v>
      </c>
      <c r="F9307">
        <v>239</v>
      </c>
    </row>
    <row r="9308" spans="1:6" ht="12.75">
      <c r="A9308" s="2">
        <v>43881.090370370366</v>
      </c>
      <c r="B9308" t="str">
        <f>HYPERLINK("https://twitter.com/wmef1977","@wmef1977")</f>
        <v>@wmef1977</v>
      </c>
      <c r="C9308" t="s">
        <v>5810</v>
      </c>
      <c r="D9308">
        <v>0</v>
      </c>
      <c r="E9308">
        <v>4</v>
      </c>
      <c r="F9308">
        <v>139</v>
      </c>
    </row>
    <row r="9309" spans="1:6" ht="12.75">
      <c r="A9309" s="2">
        <v>43881.090370370366</v>
      </c>
      <c r="B9309" t="str">
        <f>HYPERLINK("https://twitter.com/LaurensioAbram","@LaurensioAbram")</f>
        <v>@LaurensioAbram</v>
      </c>
      <c r="C9309" t="s">
        <v>5811</v>
      </c>
      <c r="D9309">
        <v>1</v>
      </c>
      <c r="E9309">
        <v>0</v>
      </c>
      <c r="F9309">
        <v>236</v>
      </c>
    </row>
    <row r="9310" spans="1:6" ht="12.75">
      <c r="A9310" s="2">
        <v>43881.090092592596</v>
      </c>
      <c r="B9310" t="str">
        <f>HYPERLINK("https://twitter.com/ibazlightyear","@ibazlightyear")</f>
        <v>@ibazlightyear</v>
      </c>
      <c r="C9310" t="s">
        <v>1407</v>
      </c>
      <c r="D9310">
        <v>8988</v>
      </c>
      <c r="E9310">
        <v>0</v>
      </c>
      <c r="F9310">
        <v>303</v>
      </c>
    </row>
    <row r="9311" spans="1:6" ht="12.75">
      <c r="A9311" s="2">
        <v>43881.089849537035</v>
      </c>
      <c r="B9311" t="str">
        <f>HYPERLINK("https://twitter.com/Jeff_Zain","@Jeff_Zain")</f>
        <v>@Jeff_Zain</v>
      </c>
      <c r="C9311" t="s">
        <v>4329</v>
      </c>
      <c r="D9311">
        <v>1</v>
      </c>
      <c r="E9311">
        <v>0</v>
      </c>
      <c r="F9311">
        <v>90</v>
      </c>
    </row>
    <row r="9312" spans="1:6" ht="12.75">
      <c r="A9312" s="2">
        <v>43881.088055555556</v>
      </c>
      <c r="B9312" t="str">
        <f>HYPERLINK("https://twitter.com/triwul82","@triwul82")</f>
        <v>@triwul82</v>
      </c>
      <c r="C9312" t="s">
        <v>5812</v>
      </c>
      <c r="D9312">
        <v>0</v>
      </c>
      <c r="E9312">
        <v>1</v>
      </c>
      <c r="F9312">
        <v>28987</v>
      </c>
    </row>
    <row r="9313" spans="1:6" ht="12.75">
      <c r="A9313" s="2">
        <v>43881.087962962964</v>
      </c>
      <c r="B9313" t="str">
        <f>HYPERLINK("https://twitter.com/hajimauljima","@hajimauljima")</f>
        <v>@hajimauljima</v>
      </c>
      <c r="C9313" t="s">
        <v>1407</v>
      </c>
      <c r="D9313">
        <v>8988</v>
      </c>
      <c r="E9313">
        <v>0</v>
      </c>
      <c r="F9313">
        <v>562</v>
      </c>
    </row>
    <row r="9314" spans="1:6" ht="12.75">
      <c r="A9314" s="2">
        <v>43881.087881944448</v>
      </c>
      <c r="B9314" t="str">
        <f>HYPERLINK("https://twitter.com/HusinShihab","@HusinShihab")</f>
        <v>@HusinShihab</v>
      </c>
      <c r="C9314" t="s">
        <v>5813</v>
      </c>
      <c r="D9314">
        <v>1</v>
      </c>
      <c r="E9314">
        <v>5</v>
      </c>
      <c r="F9314">
        <v>3712</v>
      </c>
    </row>
    <row r="9315" spans="1:6" ht="12.75">
      <c r="A9315" s="2">
        <v>43881.087800925925</v>
      </c>
      <c r="B9315" t="str">
        <f t="shared" ref="B9315:B9316" si="170">HYPERLINK("https://twitter.com/Indopolitika","@Indopolitika")</f>
        <v>@Indopolitika</v>
      </c>
      <c r="C9315" t="s">
        <v>5814</v>
      </c>
      <c r="D9315">
        <v>0</v>
      </c>
      <c r="E9315">
        <v>0</v>
      </c>
      <c r="F9315">
        <v>10569</v>
      </c>
    </row>
    <row r="9316" spans="1:6" ht="12.75">
      <c r="A9316" s="2">
        <v>43881.087719907402</v>
      </c>
      <c r="B9316" t="str">
        <f t="shared" si="170"/>
        <v>@Indopolitika</v>
      </c>
      <c r="C9316" t="s">
        <v>5815</v>
      </c>
      <c r="D9316">
        <v>0</v>
      </c>
      <c r="E9316">
        <v>0</v>
      </c>
      <c r="F9316">
        <v>10569</v>
      </c>
    </row>
    <row r="9317" spans="1:6" ht="12.75">
      <c r="A9317" s="2">
        <v>43881.087534722217</v>
      </c>
      <c r="B9317" t="str">
        <f>HYPERLINK("https://twitter.com/FerdyCandraN","@FerdyCandraN")</f>
        <v>@FerdyCandraN</v>
      </c>
      <c r="C9317" t="s">
        <v>513</v>
      </c>
      <c r="D9317">
        <v>23183</v>
      </c>
      <c r="E9317">
        <v>0</v>
      </c>
      <c r="F9317">
        <v>142</v>
      </c>
    </row>
    <row r="9318" spans="1:6" ht="12.75">
      <c r="A9318" s="2">
        <v>43881.086967592593</v>
      </c>
      <c r="B9318" t="str">
        <f>HYPERLINK("https://twitter.com/Cahyadi_refa","@Cahyadi_refa")</f>
        <v>@Cahyadi_refa</v>
      </c>
      <c r="C9318" t="s">
        <v>4975</v>
      </c>
      <c r="D9318">
        <v>204</v>
      </c>
      <c r="E9318">
        <v>0</v>
      </c>
      <c r="F9318">
        <v>828</v>
      </c>
    </row>
    <row r="9319" spans="1:6" ht="12.75">
      <c r="A9319" s="2">
        <v>43881.086388888885</v>
      </c>
      <c r="B9319" t="str">
        <f>HYPERLINK("https://twitter.com/heyaaven","@heyaaven")</f>
        <v>@heyaaven</v>
      </c>
      <c r="C9319" t="s">
        <v>2692</v>
      </c>
      <c r="D9319">
        <v>1682</v>
      </c>
      <c r="E9319">
        <v>0</v>
      </c>
      <c r="F9319">
        <v>1123</v>
      </c>
    </row>
    <row r="9320" spans="1:6" ht="12.75">
      <c r="A9320" s="2">
        <v>43881.085277777776</v>
      </c>
      <c r="B9320" t="str">
        <f>HYPERLINK("https://twitter.com/Realitarakyat01","@Realitarakyat01")</f>
        <v>@Realitarakyat01</v>
      </c>
      <c r="C9320" t="s">
        <v>5816</v>
      </c>
      <c r="D9320">
        <v>0</v>
      </c>
      <c r="E9320">
        <v>0</v>
      </c>
      <c r="F9320">
        <v>125</v>
      </c>
    </row>
    <row r="9321" spans="1:6" ht="12.75">
      <c r="A9321" s="2">
        <v>43881.084999999999</v>
      </c>
      <c r="B9321" t="str">
        <f>HYPERLINK("https://twitter.com/Jeff_Zain","@Jeff_Zain")</f>
        <v>@Jeff_Zain</v>
      </c>
      <c r="C9321" t="s">
        <v>4360</v>
      </c>
      <c r="D9321">
        <v>42</v>
      </c>
      <c r="E9321">
        <v>0</v>
      </c>
      <c r="F9321">
        <v>90</v>
      </c>
    </row>
    <row r="9322" spans="1:6" ht="12.75">
      <c r="A9322" s="2">
        <v>43881.084814814814</v>
      </c>
      <c r="B9322" t="str">
        <f>HYPERLINK("https://twitter.com/AJangJoDo","@AJangJoDo")</f>
        <v>@AJangJoDo</v>
      </c>
      <c r="C9322" t="s">
        <v>5817</v>
      </c>
      <c r="D9322">
        <v>0</v>
      </c>
      <c r="E9322">
        <v>0</v>
      </c>
      <c r="F9322">
        <v>121</v>
      </c>
    </row>
    <row r="9323" spans="1:6" ht="12.75">
      <c r="A9323" s="2">
        <v>43881.084618055553</v>
      </c>
      <c r="B9323" t="str">
        <f>HYPERLINK("https://twitter.com/BillTemporo","@BillTemporo")</f>
        <v>@BillTemporo</v>
      </c>
      <c r="C9323" t="s">
        <v>832</v>
      </c>
      <c r="D9323">
        <v>0</v>
      </c>
      <c r="E9323">
        <v>0</v>
      </c>
      <c r="F9323">
        <v>11</v>
      </c>
    </row>
    <row r="9324" spans="1:6" ht="12.75">
      <c r="A9324" s="2">
        <v>43881.084618055553</v>
      </c>
      <c r="B9324" t="str">
        <f>HYPERLINK("https://twitter.com/Nasifx","@Nasifx")</f>
        <v>@Nasifx</v>
      </c>
      <c r="C9324" t="s">
        <v>2768</v>
      </c>
      <c r="D9324">
        <v>73</v>
      </c>
      <c r="E9324">
        <v>0</v>
      </c>
      <c r="F9324">
        <v>146</v>
      </c>
    </row>
    <row r="9325" spans="1:6" ht="12.75">
      <c r="A9325" s="2">
        <v>43881.084398148145</v>
      </c>
      <c r="B9325" t="str">
        <f>HYPERLINK("https://twitter.com/Dksrmn31","@Dksrmn31")</f>
        <v>@Dksrmn31</v>
      </c>
      <c r="C9325" t="s">
        <v>1407</v>
      </c>
      <c r="D9325">
        <v>8971</v>
      </c>
      <c r="E9325">
        <v>0</v>
      </c>
      <c r="F9325">
        <v>109</v>
      </c>
    </row>
    <row r="9326" spans="1:6" ht="12.75">
      <c r="A9326" s="2">
        <v>43881.083715277782</v>
      </c>
      <c r="B9326" t="str">
        <f>HYPERLINK("https://twitter.com/seyogyanya","@seyogyanya")</f>
        <v>@seyogyanya</v>
      </c>
      <c r="C9326" t="s">
        <v>5818</v>
      </c>
      <c r="D9326">
        <v>0</v>
      </c>
      <c r="E9326">
        <v>0</v>
      </c>
      <c r="F9326">
        <v>111</v>
      </c>
    </row>
    <row r="9327" spans="1:6" ht="12.75">
      <c r="A9327" s="2">
        <v>43881.083587962959</v>
      </c>
      <c r="B9327" t="str">
        <f>HYPERLINK("https://twitter.com/__r036","@__r036")</f>
        <v>@__r036</v>
      </c>
      <c r="C9327" t="s">
        <v>4360</v>
      </c>
      <c r="D9327">
        <v>36</v>
      </c>
      <c r="E9327">
        <v>0</v>
      </c>
      <c r="F9327">
        <v>2573</v>
      </c>
    </row>
    <row r="9328" spans="1:6" ht="12.75">
      <c r="A9328" s="2">
        <v>43881.082997685182</v>
      </c>
      <c r="B9328" t="str">
        <f>HYPERLINK("https://twitter.com/UnHijrah","@UnHijrah")</f>
        <v>@UnHijrah</v>
      </c>
      <c r="C9328" t="s">
        <v>1407</v>
      </c>
      <c r="D9328">
        <v>8971</v>
      </c>
      <c r="E9328">
        <v>0</v>
      </c>
      <c r="F9328">
        <v>24</v>
      </c>
    </row>
    <row r="9329" spans="1:6" ht="12.75">
      <c r="A9329" s="2">
        <v>43881.082835648151</v>
      </c>
      <c r="B9329" t="str">
        <f>HYPERLINK("https://twitter.com/poachedself","@poachedself")</f>
        <v>@poachedself</v>
      </c>
      <c r="C9329" t="s">
        <v>2467</v>
      </c>
      <c r="D9329">
        <v>821</v>
      </c>
      <c r="E9329">
        <v>0</v>
      </c>
      <c r="F9329">
        <v>7</v>
      </c>
    </row>
    <row r="9330" spans="1:6" ht="12.75">
      <c r="A9330" s="2">
        <v>43881.082291666666</v>
      </c>
      <c r="B9330" t="str">
        <f>HYPERLINK("https://twitter.com/Tasriansyah1","@Tasriansyah1")</f>
        <v>@Tasriansyah1</v>
      </c>
      <c r="C9330" t="s">
        <v>5819</v>
      </c>
      <c r="D9330">
        <v>0</v>
      </c>
      <c r="E9330">
        <v>0</v>
      </c>
      <c r="F9330">
        <v>149</v>
      </c>
    </row>
    <row r="9331" spans="1:6" ht="12.75">
      <c r="A9331" s="2">
        <v>43881.082245370373</v>
      </c>
      <c r="B9331" t="str">
        <f t="shared" ref="B9331:B9332" si="171">HYPERLINK("https://twitter.com/poachedself","@poachedself")</f>
        <v>@poachedself</v>
      </c>
      <c r="C9331" t="s">
        <v>2183</v>
      </c>
      <c r="D9331">
        <v>293</v>
      </c>
      <c r="E9331">
        <v>0</v>
      </c>
      <c r="F9331">
        <v>7</v>
      </c>
    </row>
    <row r="9332" spans="1:6" ht="12.75">
      <c r="A9332" s="2">
        <v>43881.082152777773</v>
      </c>
      <c r="B9332" t="str">
        <f t="shared" si="171"/>
        <v>@poachedself</v>
      </c>
      <c r="C9332" t="s">
        <v>1407</v>
      </c>
      <c r="D9332">
        <v>8971</v>
      </c>
      <c r="E9332">
        <v>0</v>
      </c>
      <c r="F9332">
        <v>7</v>
      </c>
    </row>
    <row r="9333" spans="1:6" ht="12.75">
      <c r="A9333" s="2">
        <v>43881.081979166665</v>
      </c>
      <c r="B9333" t="str">
        <f t="shared" ref="B9333:B9334" si="172">HYPERLINK("https://twitter.com/365247forX1","@365247forX1")</f>
        <v>@365247forX1</v>
      </c>
      <c r="C9333" t="s">
        <v>2467</v>
      </c>
      <c r="D9333">
        <v>821</v>
      </c>
      <c r="E9333">
        <v>0</v>
      </c>
      <c r="F9333">
        <v>95</v>
      </c>
    </row>
    <row r="9334" spans="1:6" ht="12.75">
      <c r="A9334" s="2">
        <v>43881.081736111111</v>
      </c>
      <c r="B9334" t="str">
        <f t="shared" si="172"/>
        <v>@365247forX1</v>
      </c>
      <c r="C9334" t="s">
        <v>1407</v>
      </c>
      <c r="D9334">
        <v>8971</v>
      </c>
      <c r="E9334">
        <v>0</v>
      </c>
      <c r="F9334">
        <v>95</v>
      </c>
    </row>
    <row r="9335" spans="1:6" ht="12.75">
      <c r="A9335" s="2">
        <v>43881.080104166671</v>
      </c>
      <c r="B9335" t="str">
        <f>HYPERLINK("https://twitter.com/Bocahci01028474","@Bocahci01028474")</f>
        <v>@Bocahci01028474</v>
      </c>
      <c r="C9335" t="s">
        <v>2097</v>
      </c>
      <c r="D9335">
        <v>417</v>
      </c>
      <c r="E9335">
        <v>0</v>
      </c>
      <c r="F9335">
        <v>5</v>
      </c>
    </row>
    <row r="9336" spans="1:6" ht="12.75">
      <c r="A9336" s="2">
        <v>43881.080046296294</v>
      </c>
      <c r="B9336" t="str">
        <f>HYPERLINK("https://twitter.com/Julaihaaaaa","@Julaihaaaaa")</f>
        <v>@Julaihaaaaa</v>
      </c>
      <c r="C9336" t="s">
        <v>2692</v>
      </c>
      <c r="D9336">
        <v>1670</v>
      </c>
      <c r="E9336">
        <v>0</v>
      </c>
      <c r="F9336">
        <v>219</v>
      </c>
    </row>
    <row r="9337" spans="1:6" ht="12.75">
      <c r="A9337" s="2">
        <v>43881.079895833333</v>
      </c>
      <c r="B9337" t="str">
        <f>HYPERLINK("https://twitter.com/AEPishere","@AEPishere")</f>
        <v>@AEPishere</v>
      </c>
      <c r="C9337" t="s">
        <v>5701</v>
      </c>
      <c r="D9337">
        <v>27</v>
      </c>
      <c r="E9337">
        <v>0</v>
      </c>
      <c r="F9337">
        <v>3012</v>
      </c>
    </row>
    <row r="9338" spans="1:6" ht="12.75">
      <c r="A9338" s="2">
        <v>43881.079826388886</v>
      </c>
      <c r="B9338" t="str">
        <f>HYPERLINK("https://twitter.com/nokaknox","@nokaknox")</f>
        <v>@nokaknox</v>
      </c>
      <c r="C9338" t="s">
        <v>2692</v>
      </c>
      <c r="D9338">
        <v>1670</v>
      </c>
      <c r="E9338">
        <v>0</v>
      </c>
      <c r="F9338">
        <v>300</v>
      </c>
    </row>
    <row r="9339" spans="1:6" ht="12.75">
      <c r="A9339" s="2">
        <v>43881.07949074074</v>
      </c>
      <c r="B9339" t="str">
        <f>HYPERLINK("https://twitter.com/Sukabikingeger","@Sukabikingeger")</f>
        <v>@Sukabikingeger</v>
      </c>
      <c r="C9339" t="s">
        <v>1407</v>
      </c>
      <c r="D9339">
        <v>8971</v>
      </c>
      <c r="E9339">
        <v>0</v>
      </c>
      <c r="F9339">
        <v>346</v>
      </c>
    </row>
    <row r="9340" spans="1:6" ht="12.75">
      <c r="A9340" s="2">
        <v>43881.078645833331</v>
      </c>
      <c r="B9340" t="str">
        <f>HYPERLINK("https://twitter.com/haaruukw","@haaruukw")</f>
        <v>@haaruukw</v>
      </c>
      <c r="C9340" t="s">
        <v>1407</v>
      </c>
      <c r="D9340">
        <v>8971</v>
      </c>
      <c r="E9340">
        <v>0</v>
      </c>
      <c r="F9340">
        <v>1957</v>
      </c>
    </row>
    <row r="9341" spans="1:6" ht="12.75">
      <c r="A9341" s="2">
        <v>43881.0784837963</v>
      </c>
      <c r="B9341" t="str">
        <f>HYPERLINK("https://twitter.com/Ukthi10","@Ukthi10")</f>
        <v>@Ukthi10</v>
      </c>
      <c r="C9341" t="s">
        <v>2768</v>
      </c>
      <c r="D9341">
        <v>73</v>
      </c>
      <c r="E9341">
        <v>0</v>
      </c>
      <c r="F9341">
        <v>66</v>
      </c>
    </row>
    <row r="9342" spans="1:6" ht="12.75">
      <c r="A9342" s="2">
        <v>43881.077824074076</v>
      </c>
      <c r="B9342" t="str">
        <f>HYPERLINK("https://twitter.com/imagitiveness","@imagitiveness")</f>
        <v>@imagitiveness</v>
      </c>
      <c r="C9342" t="s">
        <v>2692</v>
      </c>
      <c r="D9342">
        <v>1670</v>
      </c>
      <c r="E9342">
        <v>0</v>
      </c>
      <c r="F9342">
        <v>643</v>
      </c>
    </row>
    <row r="9343" spans="1:6" ht="12.75">
      <c r="A9343" s="2">
        <v>43881.07748842593</v>
      </c>
      <c r="B9343" t="str">
        <f>HYPERLINK("https://twitter.com/Jitr0_Tor0i","@Jitr0_Tor0i")</f>
        <v>@Jitr0_Tor0i</v>
      </c>
      <c r="C9343" t="s">
        <v>4360</v>
      </c>
      <c r="D9343">
        <v>36</v>
      </c>
      <c r="E9343">
        <v>0</v>
      </c>
      <c r="F9343">
        <v>532</v>
      </c>
    </row>
    <row r="9344" spans="1:6" ht="12.75">
      <c r="A9344" s="2">
        <v>43881.077291666668</v>
      </c>
      <c r="B9344" t="str">
        <f>HYPERLINK("https://twitter.com/bmwiputri","@bmwiputri")</f>
        <v>@bmwiputri</v>
      </c>
      <c r="C9344" t="s">
        <v>2692</v>
      </c>
      <c r="D9344">
        <v>1670</v>
      </c>
      <c r="E9344">
        <v>0</v>
      </c>
      <c r="F9344">
        <v>491</v>
      </c>
    </row>
    <row r="9345" spans="1:6" ht="12.75">
      <c r="A9345" s="2">
        <v>43881.077291666668</v>
      </c>
      <c r="B9345" t="str">
        <f>HYPERLINK("https://twitter.com/Brunowicaksono","@Brunowicaksono")</f>
        <v>@Brunowicaksono</v>
      </c>
      <c r="C9345" t="s">
        <v>4360</v>
      </c>
      <c r="D9345">
        <v>36</v>
      </c>
      <c r="E9345">
        <v>0</v>
      </c>
      <c r="F9345">
        <v>1775</v>
      </c>
    </row>
    <row r="9346" spans="1:6" ht="12.75">
      <c r="A9346" s="2">
        <v>43881.077245370368</v>
      </c>
      <c r="B9346" t="str">
        <f>HYPERLINK("https://twitter.com/dimplesmuffin","@dimplesmuffin")</f>
        <v>@dimplesmuffin</v>
      </c>
      <c r="C9346" t="s">
        <v>2467</v>
      </c>
      <c r="D9346">
        <v>821</v>
      </c>
      <c r="E9346">
        <v>0</v>
      </c>
      <c r="F9346">
        <v>295</v>
      </c>
    </row>
    <row r="9347" spans="1:6" ht="12.75">
      <c r="A9347" s="2">
        <v>43881.075219907405</v>
      </c>
      <c r="B9347" t="str">
        <f>HYPERLINK("https://twitter.com/TrioMacari2000","@TrioMacari2000")</f>
        <v>@TrioMacari2000</v>
      </c>
      <c r="C9347" t="s">
        <v>5203</v>
      </c>
      <c r="D9347">
        <v>83</v>
      </c>
      <c r="E9347">
        <v>0</v>
      </c>
      <c r="F9347">
        <v>6507</v>
      </c>
    </row>
    <row r="9348" spans="1:6" ht="12.75">
      <c r="A9348" s="2">
        <v>43881.074745370366</v>
      </c>
      <c r="B9348" t="str">
        <f>HYPERLINK("https://twitter.com/xiyad_ali","@xiyad_ali")</f>
        <v>@xiyad_ali</v>
      </c>
      <c r="C9348" t="s">
        <v>2768</v>
      </c>
      <c r="D9348">
        <v>73</v>
      </c>
      <c r="E9348">
        <v>0</v>
      </c>
      <c r="F9348">
        <v>241</v>
      </c>
    </row>
    <row r="9349" spans="1:6" ht="12.75">
      <c r="A9349" s="2">
        <v>43881.074259259258</v>
      </c>
      <c r="B9349" t="str">
        <f>HYPERLINK("https://twitter.com/eternictarian","@eternictarian")</f>
        <v>@eternictarian</v>
      </c>
      <c r="C9349" t="s">
        <v>1407</v>
      </c>
      <c r="D9349">
        <v>8971</v>
      </c>
      <c r="E9349">
        <v>0</v>
      </c>
      <c r="F9349">
        <v>264</v>
      </c>
    </row>
    <row r="9350" spans="1:6" ht="12.75">
      <c r="A9350" s="2">
        <v>43881.073888888888</v>
      </c>
      <c r="B9350" t="str">
        <f>HYPERLINK("https://twitter.com/PakRoaster99","@PakRoaster99")</f>
        <v>@PakRoaster99</v>
      </c>
      <c r="C9350" t="s">
        <v>5820</v>
      </c>
      <c r="D9350">
        <v>0</v>
      </c>
      <c r="E9350">
        <v>0</v>
      </c>
      <c r="F9350">
        <v>259</v>
      </c>
    </row>
    <row r="9351" spans="1:6" ht="12.75">
      <c r="A9351" s="2">
        <v>43881.073472222226</v>
      </c>
      <c r="B9351" t="str">
        <f>HYPERLINK("https://twitter.com/lennypr_","@lennypr_")</f>
        <v>@lennypr_</v>
      </c>
      <c r="C9351" t="s">
        <v>1407</v>
      </c>
      <c r="D9351">
        <v>8971</v>
      </c>
      <c r="E9351">
        <v>0</v>
      </c>
      <c r="F9351">
        <v>417</v>
      </c>
    </row>
    <row r="9352" spans="1:6" ht="12.75">
      <c r="A9352" s="2">
        <v>43881.073113425926</v>
      </c>
      <c r="B9352" t="str">
        <f>HYPERLINK("https://twitter.com/MAliSubhan2","@MAliSubhan2")</f>
        <v>@MAliSubhan2</v>
      </c>
      <c r="C9352" t="s">
        <v>5821</v>
      </c>
      <c r="D9352">
        <v>3</v>
      </c>
      <c r="E9352">
        <v>0</v>
      </c>
      <c r="F9352">
        <v>1138</v>
      </c>
    </row>
    <row r="9353" spans="1:6" ht="12.75">
      <c r="A9353" s="2">
        <v>43881.073020833333</v>
      </c>
      <c r="B9353" t="str">
        <f>HYPERLINK("https://twitter.com/srhngg","@srhngg")</f>
        <v>@srhngg</v>
      </c>
      <c r="C9353" t="s">
        <v>1407</v>
      </c>
      <c r="D9353">
        <v>8971</v>
      </c>
      <c r="E9353">
        <v>0</v>
      </c>
      <c r="F9353">
        <v>128</v>
      </c>
    </row>
    <row r="9354" spans="1:6" ht="12.75">
      <c r="A9354" s="2">
        <v>43881.072557870371</v>
      </c>
      <c r="B9354" t="str">
        <f>HYPERLINK("https://twitter.com/masmugialba","@masmugialba")</f>
        <v>@masmugialba</v>
      </c>
      <c r="C9354" t="s">
        <v>5821</v>
      </c>
      <c r="D9354">
        <v>3</v>
      </c>
      <c r="E9354">
        <v>0</v>
      </c>
      <c r="F9354">
        <v>1000</v>
      </c>
    </row>
    <row r="9355" spans="1:6" ht="12.75">
      <c r="A9355" s="2">
        <v>43881.072534722218</v>
      </c>
      <c r="B9355" t="str">
        <f>HYPERLINK("https://twitter.com/AndreYudha_","@AndreYudha_")</f>
        <v>@AndreYudha_</v>
      </c>
      <c r="C9355" t="s">
        <v>1407</v>
      </c>
      <c r="D9355">
        <v>8971</v>
      </c>
      <c r="E9355">
        <v>0</v>
      </c>
      <c r="F9355">
        <v>404</v>
      </c>
    </row>
    <row r="9356" spans="1:6" ht="12.75">
      <c r="A9356" s="2">
        <v>43881.071736111116</v>
      </c>
      <c r="B9356" t="str">
        <f>HYPERLINK("https://twitter.com/elHurryKoRn","@elHurryKoRn")</f>
        <v>@elHurryKoRn</v>
      </c>
      <c r="C9356" t="s">
        <v>5821</v>
      </c>
      <c r="D9356">
        <v>3</v>
      </c>
      <c r="E9356">
        <v>0</v>
      </c>
      <c r="F9356">
        <v>19284</v>
      </c>
    </row>
    <row r="9357" spans="1:6" ht="12.75">
      <c r="A9357" s="2">
        <v>43881.07136574074</v>
      </c>
      <c r="B9357" t="str">
        <f>HYPERLINK("https://twitter.com/fckofsht","@fckofsht")</f>
        <v>@fckofsht</v>
      </c>
      <c r="C9357" t="s">
        <v>1407</v>
      </c>
      <c r="D9357">
        <v>8971</v>
      </c>
      <c r="E9357">
        <v>0</v>
      </c>
      <c r="F9357">
        <v>260</v>
      </c>
    </row>
    <row r="9358" spans="1:6" ht="12.75">
      <c r="A9358" s="2">
        <v>43881.0706712963</v>
      </c>
      <c r="B9358" t="str">
        <f t="shared" ref="B9358:B9359" si="173">HYPERLINK("https://twitter.com/M_ArifRahmanH","@M_ArifRahmanH")</f>
        <v>@M_ArifRahmanH</v>
      </c>
      <c r="C9358" t="s">
        <v>2467</v>
      </c>
      <c r="D9358">
        <v>821</v>
      </c>
      <c r="E9358">
        <v>0</v>
      </c>
      <c r="F9358">
        <v>186</v>
      </c>
    </row>
    <row r="9359" spans="1:6" ht="12.75">
      <c r="A9359" s="2">
        <v>43881.070590277777</v>
      </c>
      <c r="B9359" t="str">
        <f t="shared" si="173"/>
        <v>@M_ArifRahmanH</v>
      </c>
      <c r="C9359" t="s">
        <v>1407</v>
      </c>
      <c r="D9359">
        <v>8971</v>
      </c>
      <c r="E9359">
        <v>0</v>
      </c>
      <c r="F9359">
        <v>186</v>
      </c>
    </row>
    <row r="9360" spans="1:6" ht="12.75">
      <c r="A9360" s="2">
        <v>43881.070590277777</v>
      </c>
      <c r="B9360" t="str">
        <f>HYPERLINK("https://twitter.com/wotagami","@wotagami")</f>
        <v>@wotagami</v>
      </c>
      <c r="C9360" t="s">
        <v>1407</v>
      </c>
      <c r="D9360">
        <v>8971</v>
      </c>
      <c r="E9360">
        <v>0</v>
      </c>
      <c r="F9360">
        <v>35</v>
      </c>
    </row>
    <row r="9361" spans="1:6" ht="12.75">
      <c r="A9361" s="2">
        <v>43881.070138888885</v>
      </c>
      <c r="B9361" t="str">
        <f>HYPERLINK("https://twitter.com/WcokW","@WcokW")</f>
        <v>@WcokW</v>
      </c>
      <c r="C9361" t="s">
        <v>1407</v>
      </c>
      <c r="D9361">
        <v>8971</v>
      </c>
      <c r="E9361">
        <v>0</v>
      </c>
      <c r="F9361">
        <v>384</v>
      </c>
    </row>
    <row r="9362" spans="1:6" ht="12.75">
      <c r="A9362" s="2">
        <v>43881.069594907407</v>
      </c>
      <c r="B9362" t="str">
        <f>HYPERLINK("https://twitter.com/bilbongggg","@bilbongggg")</f>
        <v>@bilbongggg</v>
      </c>
      <c r="C9362" t="s">
        <v>1407</v>
      </c>
      <c r="D9362">
        <v>8971</v>
      </c>
      <c r="E9362">
        <v>0</v>
      </c>
      <c r="F9362">
        <v>249</v>
      </c>
    </row>
    <row r="9363" spans="1:6" ht="12.75">
      <c r="A9363" s="2">
        <v>43881.068668981483</v>
      </c>
      <c r="B9363" t="str">
        <f>HYPERLINK("https://twitter.com/HusinShihab","@HusinShihab")</f>
        <v>@HusinShihab</v>
      </c>
      <c r="C9363" t="s">
        <v>4360</v>
      </c>
      <c r="D9363">
        <v>36</v>
      </c>
      <c r="E9363">
        <v>0</v>
      </c>
      <c r="F9363">
        <v>3712</v>
      </c>
    </row>
    <row r="9364" spans="1:6" ht="12.75">
      <c r="A9364" s="2">
        <v>43881.068541666667</v>
      </c>
      <c r="B9364" t="str">
        <f>HYPERLINK("https://twitter.com/bersxhka","@bersxhka")</f>
        <v>@bersxhka</v>
      </c>
      <c r="C9364" t="s">
        <v>1407</v>
      </c>
      <c r="D9364">
        <v>8971</v>
      </c>
      <c r="E9364">
        <v>0</v>
      </c>
      <c r="F9364">
        <v>3224</v>
      </c>
    </row>
    <row r="9365" spans="1:6" ht="12.75">
      <c r="A9365" s="2">
        <v>43881.068252314813</v>
      </c>
      <c r="B9365" t="str">
        <f>HYPERLINK("https://twitter.com/selenophile99","@selenophile99")</f>
        <v>@selenophile99</v>
      </c>
      <c r="C9365" t="s">
        <v>1407</v>
      </c>
      <c r="D9365">
        <v>8971</v>
      </c>
      <c r="E9365">
        <v>0</v>
      </c>
      <c r="F9365">
        <v>117</v>
      </c>
    </row>
    <row r="9366" spans="1:6" ht="12.75">
      <c r="A9366" s="2">
        <v>43881.067870370374</v>
      </c>
      <c r="B9366" t="str">
        <f>HYPERLINK("https://twitter.com/ditapedia","@ditapedia")</f>
        <v>@ditapedia</v>
      </c>
      <c r="C9366" t="s">
        <v>2692</v>
      </c>
      <c r="D9366">
        <v>1670</v>
      </c>
      <c r="E9366">
        <v>0</v>
      </c>
      <c r="F9366">
        <v>683</v>
      </c>
    </row>
    <row r="9367" spans="1:6" ht="12.75">
      <c r="A9367" s="2">
        <v>43881.067187499997</v>
      </c>
      <c r="B9367" t="str">
        <f t="shared" ref="B9367:B9368" si="174">HYPERLINK("https://twitter.com/younghoonwifeu","@younghoonwifeu")</f>
        <v>@younghoonwifeu</v>
      </c>
      <c r="C9367" t="s">
        <v>1407</v>
      </c>
      <c r="D9367">
        <v>8971</v>
      </c>
      <c r="E9367">
        <v>0</v>
      </c>
      <c r="F9367">
        <v>1190</v>
      </c>
    </row>
    <row r="9368" spans="1:6" ht="12.75">
      <c r="A9368" s="2">
        <v>43881.067106481481</v>
      </c>
      <c r="B9368" t="str">
        <f t="shared" si="174"/>
        <v>@younghoonwifeu</v>
      </c>
      <c r="C9368" t="s">
        <v>2467</v>
      </c>
      <c r="D9368">
        <v>821</v>
      </c>
      <c r="E9368">
        <v>0</v>
      </c>
      <c r="F9368">
        <v>1190</v>
      </c>
    </row>
    <row r="9369" spans="1:6" ht="12.75">
      <c r="A9369" s="2">
        <v>43881.066782407404</v>
      </c>
      <c r="B9369" t="str">
        <f>HYPERLINK("https://twitter.com/tahubulatyey","@tahubulatyey")</f>
        <v>@tahubulatyey</v>
      </c>
      <c r="C9369" t="s">
        <v>2692</v>
      </c>
      <c r="D9369">
        <v>1670</v>
      </c>
      <c r="E9369">
        <v>0</v>
      </c>
      <c r="F9369">
        <v>386</v>
      </c>
    </row>
    <row r="9370" spans="1:6" ht="12.75">
      <c r="A9370" s="2">
        <v>43881.066631944443</v>
      </c>
      <c r="B9370" t="str">
        <f>HYPERLINK("https://twitter.com/delirahman6","@delirahman6")</f>
        <v>@delirahman6</v>
      </c>
      <c r="C9370" t="s">
        <v>513</v>
      </c>
      <c r="D9370">
        <v>23182</v>
      </c>
      <c r="E9370">
        <v>0</v>
      </c>
      <c r="F9370">
        <v>14</v>
      </c>
    </row>
    <row r="9371" spans="1:6" ht="12.75">
      <c r="A9371" s="2">
        <v>43881.065069444448</v>
      </c>
      <c r="B9371" t="str">
        <f>HYPERLINK("https://twitter.com/Skedush_","@Skedush_")</f>
        <v>@Skedush_</v>
      </c>
      <c r="C9371" t="s">
        <v>1407</v>
      </c>
      <c r="D9371">
        <v>8971</v>
      </c>
      <c r="E9371">
        <v>0</v>
      </c>
      <c r="F9371">
        <v>362</v>
      </c>
    </row>
    <row r="9372" spans="1:6" ht="12.75">
      <c r="A9372" s="2">
        <v>43881.064120370371</v>
      </c>
      <c r="B9372" t="str">
        <f>HYPERLINK("https://twitter.com/mudha_satriya","@mudha_satriya")</f>
        <v>@mudha_satriya</v>
      </c>
      <c r="C9372" t="s">
        <v>5822</v>
      </c>
      <c r="D9372">
        <v>1</v>
      </c>
      <c r="E9372">
        <v>0</v>
      </c>
      <c r="F9372">
        <v>1875</v>
      </c>
    </row>
    <row r="9373" spans="1:6" ht="12.75">
      <c r="A9373" s="2">
        <v>43881.064027777778</v>
      </c>
      <c r="B9373" t="str">
        <f>HYPERLINK("https://twitter.com/Hazloey","@Hazloey")</f>
        <v>@Hazloey</v>
      </c>
      <c r="C9373" t="s">
        <v>2467</v>
      </c>
      <c r="D9373">
        <v>821</v>
      </c>
      <c r="E9373">
        <v>0</v>
      </c>
      <c r="F9373">
        <v>282</v>
      </c>
    </row>
    <row r="9374" spans="1:6" ht="12.75">
      <c r="A9374" s="2">
        <v>43881.06385416667</v>
      </c>
      <c r="B9374" t="str">
        <f>HYPERLINK("https://twitter.com/BillTemporo","@BillTemporo")</f>
        <v>@BillTemporo</v>
      </c>
      <c r="C9374" t="s">
        <v>2092</v>
      </c>
      <c r="D9374">
        <v>0</v>
      </c>
      <c r="E9374">
        <v>0</v>
      </c>
      <c r="F9374">
        <v>11</v>
      </c>
    </row>
    <row r="9375" spans="1:6" ht="12.75">
      <c r="A9375" s="2">
        <v>43881.063391203701</v>
      </c>
      <c r="B9375" t="str">
        <f>HYPERLINK("https://twitter.com/angeliyatanady","@angeliyatanady")</f>
        <v>@angeliyatanady</v>
      </c>
      <c r="C9375" t="s">
        <v>2692</v>
      </c>
      <c r="D9375">
        <v>1670</v>
      </c>
      <c r="E9375">
        <v>0</v>
      </c>
      <c r="F9375">
        <v>865</v>
      </c>
    </row>
    <row r="9376" spans="1:6" ht="12.75">
      <c r="A9376" s="2">
        <v>43881.063171296293</v>
      </c>
      <c r="B9376" t="str">
        <f>HYPERLINK("https://twitter.com/ChessaUlyThalia","@ChessaUlyThalia")</f>
        <v>@ChessaUlyThalia</v>
      </c>
      <c r="C9376" t="s">
        <v>2692</v>
      </c>
      <c r="D9376">
        <v>1670</v>
      </c>
      <c r="E9376">
        <v>0</v>
      </c>
      <c r="F9376">
        <v>419</v>
      </c>
    </row>
    <row r="9377" spans="1:6" ht="12.75">
      <c r="A9377" s="2">
        <v>43881.063009259262</v>
      </c>
      <c r="B9377" t="str">
        <f t="shared" ref="B9377:B9378" si="175">HYPERLINK("https://twitter.com/mudha_satriya","@mudha_satriya")</f>
        <v>@mudha_satriya</v>
      </c>
      <c r="C9377" t="s">
        <v>5699</v>
      </c>
      <c r="D9377">
        <v>3</v>
      </c>
      <c r="E9377">
        <v>0</v>
      </c>
      <c r="F9377">
        <v>1875</v>
      </c>
    </row>
    <row r="9378" spans="1:6" ht="12.75">
      <c r="A9378" s="2">
        <v>43881.062789351854</v>
      </c>
      <c r="B9378" t="str">
        <f t="shared" si="175"/>
        <v>@mudha_satriya</v>
      </c>
      <c r="C9378" t="s">
        <v>5823</v>
      </c>
      <c r="D9378">
        <v>2</v>
      </c>
      <c r="E9378">
        <v>0</v>
      </c>
      <c r="F9378">
        <v>1875</v>
      </c>
    </row>
    <row r="9379" spans="1:6" ht="12.75">
      <c r="A9379" s="2">
        <v>43881.061956018515</v>
      </c>
      <c r="B9379" t="str">
        <f>HYPERLINK("https://twitter.com/fransucipto","@fransucipto")</f>
        <v>@fransucipto</v>
      </c>
      <c r="C9379" t="s">
        <v>1407</v>
      </c>
      <c r="D9379">
        <v>8971</v>
      </c>
      <c r="E9379">
        <v>0</v>
      </c>
      <c r="F9379">
        <v>272</v>
      </c>
    </row>
    <row r="9380" spans="1:6" ht="12.75">
      <c r="A9380" s="2">
        <v>43881.06144675926</v>
      </c>
      <c r="B9380" t="str">
        <f>HYPERLINK("https://twitter.com/matchhaci","@matchhaci")</f>
        <v>@matchhaci</v>
      </c>
      <c r="C9380" t="s">
        <v>2692</v>
      </c>
      <c r="D9380">
        <v>1670</v>
      </c>
      <c r="E9380">
        <v>0</v>
      </c>
      <c r="F9380">
        <v>7</v>
      </c>
    </row>
    <row r="9381" spans="1:6" ht="12.75">
      <c r="A9381" s="2">
        <v>43881.060787037037</v>
      </c>
      <c r="B9381" t="str">
        <f>HYPERLINK("https://twitter.com/pratasena","@pratasena")</f>
        <v>@pratasena</v>
      </c>
      <c r="C9381" t="s">
        <v>5824</v>
      </c>
      <c r="D9381">
        <v>11</v>
      </c>
      <c r="E9381">
        <v>0</v>
      </c>
      <c r="F9381">
        <v>214</v>
      </c>
    </row>
    <row r="9382" spans="1:6" ht="12.75">
      <c r="A9382" s="2">
        <v>43881.06077546296</v>
      </c>
      <c r="B9382" t="str">
        <f>HYPERLINK("https://twitter.com/firdaaa2003","@firdaaa2003")</f>
        <v>@firdaaa2003</v>
      </c>
      <c r="C9382" t="s">
        <v>1407</v>
      </c>
      <c r="D9382">
        <v>8971</v>
      </c>
      <c r="E9382">
        <v>0</v>
      </c>
      <c r="F9382">
        <v>159</v>
      </c>
    </row>
    <row r="9383" spans="1:6" ht="12.75">
      <c r="A9383" s="2">
        <v>43881.060011574074</v>
      </c>
      <c r="B9383" t="str">
        <f>HYPERLINK("https://twitter.com/cahnyewl","@cahnyewl")</f>
        <v>@cahnyewl</v>
      </c>
      <c r="C9383" t="s">
        <v>2692</v>
      </c>
      <c r="D9383">
        <v>1670</v>
      </c>
      <c r="E9383">
        <v>0</v>
      </c>
      <c r="F9383">
        <v>101</v>
      </c>
    </row>
    <row r="9384" spans="1:6" ht="12.75">
      <c r="A9384" s="2">
        <v>43881.059687500005</v>
      </c>
      <c r="B9384" t="str">
        <f>HYPERLINK("https://twitter.com/LaBonit34512947","@LaBonit34512947")</f>
        <v>@LaBonit34512947</v>
      </c>
      <c r="C9384" t="s">
        <v>2930</v>
      </c>
      <c r="D9384">
        <v>143</v>
      </c>
      <c r="E9384">
        <v>0</v>
      </c>
      <c r="F9384">
        <v>115</v>
      </c>
    </row>
    <row r="9385" spans="1:6" ht="12.75">
      <c r="A9385" s="2">
        <v>43881.059259259258</v>
      </c>
      <c r="B9385" t="str">
        <f>HYPERLINK("https://twitter.com/alviapakev","@alviapakev")</f>
        <v>@alviapakev</v>
      </c>
      <c r="C9385" t="s">
        <v>2692</v>
      </c>
      <c r="D9385">
        <v>1670</v>
      </c>
      <c r="E9385">
        <v>0</v>
      </c>
      <c r="F9385">
        <v>413</v>
      </c>
    </row>
    <row r="9386" spans="1:6" ht="12.75">
      <c r="A9386" s="2">
        <v>43881.059039351851</v>
      </c>
      <c r="B9386" t="str">
        <f>HYPERLINK("https://twitter.com/abdulloh2015","@abdulloh2015")</f>
        <v>@abdulloh2015</v>
      </c>
      <c r="C9386" t="s">
        <v>2123</v>
      </c>
      <c r="D9386">
        <v>0</v>
      </c>
      <c r="E9386">
        <v>0</v>
      </c>
      <c r="F9386">
        <v>61</v>
      </c>
    </row>
    <row r="9387" spans="1:6" ht="12.75">
      <c r="A9387" s="2">
        <v>43881.058865740742</v>
      </c>
      <c r="B9387" t="str">
        <f>HYPERLINK("https://twitter.com/rnsnvn","@rnsnvn")</f>
        <v>@rnsnvn</v>
      </c>
      <c r="C9387" t="s">
        <v>1407</v>
      </c>
      <c r="D9387">
        <v>8971</v>
      </c>
      <c r="E9387">
        <v>0</v>
      </c>
      <c r="F9387">
        <v>1367</v>
      </c>
    </row>
    <row r="9388" spans="1:6" ht="12.75">
      <c r="A9388" s="2">
        <v>43881.058252314819</v>
      </c>
      <c r="B9388" t="str">
        <f>HYPERLINK("https://twitter.com/aloneinarles","@aloneinarles")</f>
        <v>@aloneinarles</v>
      </c>
      <c r="C9388" t="s">
        <v>2692</v>
      </c>
      <c r="D9388">
        <v>1670</v>
      </c>
      <c r="E9388">
        <v>0</v>
      </c>
      <c r="F9388">
        <v>425</v>
      </c>
    </row>
    <row r="9389" spans="1:6" ht="12.75">
      <c r="A9389" s="2">
        <v>43881.058113425926</v>
      </c>
      <c r="B9389" t="str">
        <f>HYPERLINK("https://twitter.com/gratissatu","@gratissatu")</f>
        <v>@gratissatu</v>
      </c>
      <c r="C9389" t="s">
        <v>1407</v>
      </c>
      <c r="D9389">
        <v>8971</v>
      </c>
      <c r="E9389">
        <v>0</v>
      </c>
      <c r="F9389">
        <v>1066</v>
      </c>
    </row>
    <row r="9390" spans="1:6" ht="12.75">
      <c r="A9390" s="2">
        <v>43881.057673611111</v>
      </c>
      <c r="B9390" t="str">
        <f t="shared" ref="B9390:B9391" si="176">HYPERLINK("https://twitter.com/noldyanti_","@noldyanti_")</f>
        <v>@noldyanti_</v>
      </c>
      <c r="C9390" t="s">
        <v>5825</v>
      </c>
      <c r="D9390">
        <v>14</v>
      </c>
      <c r="E9390">
        <v>0</v>
      </c>
      <c r="F9390">
        <v>32</v>
      </c>
    </row>
    <row r="9391" spans="1:6" ht="12.75">
      <c r="A9391" s="2">
        <v>43881.057337962964</v>
      </c>
      <c r="B9391" t="str">
        <f t="shared" si="176"/>
        <v>@noldyanti_</v>
      </c>
      <c r="C9391" t="s">
        <v>5826</v>
      </c>
      <c r="D9391">
        <v>9</v>
      </c>
      <c r="E9391">
        <v>0</v>
      </c>
      <c r="F9391">
        <v>32</v>
      </c>
    </row>
    <row r="9392" spans="1:6" ht="12.75">
      <c r="A9392" s="2">
        <v>43881.057106481487</v>
      </c>
      <c r="B9392" t="str">
        <f>HYPERLINK("https://twitter.com/AstiAyuLestari3","@AstiAyuLestari3")</f>
        <v>@AstiAyuLestari3</v>
      </c>
      <c r="C9392" t="s">
        <v>2692</v>
      </c>
      <c r="D9392">
        <v>1670</v>
      </c>
      <c r="E9392">
        <v>0</v>
      </c>
      <c r="F9392">
        <v>31</v>
      </c>
    </row>
    <row r="9393" spans="1:6" ht="12.75">
      <c r="A9393" s="2">
        <v>43881.055833333332</v>
      </c>
      <c r="B9393" t="str">
        <f>HYPERLINK("https://twitter.com/barukamuuuu","@barukamuuuu")</f>
        <v>@barukamuuuu</v>
      </c>
      <c r="C9393" t="s">
        <v>5827</v>
      </c>
      <c r="D9393">
        <v>3</v>
      </c>
      <c r="E9393">
        <v>0</v>
      </c>
      <c r="F9393">
        <v>20</v>
      </c>
    </row>
    <row r="9394" spans="1:6" ht="12.75">
      <c r="A9394" s="2">
        <v>43881.055428240739</v>
      </c>
      <c r="B9394" t="str">
        <f>HYPERLINK("https://twitter.com/Baranewsaceh","@Baranewsaceh")</f>
        <v>@Baranewsaceh</v>
      </c>
      <c r="C9394" t="s">
        <v>5828</v>
      </c>
      <c r="D9394">
        <v>0</v>
      </c>
      <c r="E9394">
        <v>0</v>
      </c>
      <c r="F9394">
        <v>286</v>
      </c>
    </row>
    <row r="9395" spans="1:6" ht="12.75">
      <c r="A9395" s="2">
        <v>43881.055150462962</v>
      </c>
      <c r="B9395" t="str">
        <f>HYPERLINK("https://twitter.com/Aztrans_Yogya","@Aztrans_Yogya")</f>
        <v>@Aztrans_Yogya</v>
      </c>
      <c r="C9395" t="s">
        <v>5829</v>
      </c>
      <c r="D9395">
        <v>0</v>
      </c>
      <c r="E9395">
        <v>0</v>
      </c>
      <c r="F9395">
        <v>1180</v>
      </c>
    </row>
    <row r="9396" spans="1:6" ht="12.75">
      <c r="A9396" s="2">
        <v>43881.054710648154</v>
      </c>
      <c r="B9396" t="str">
        <f>HYPERLINK("https://twitter.com/jeon_emaa","@jeon_emaa")</f>
        <v>@jeon_emaa</v>
      </c>
      <c r="C9396" t="s">
        <v>1407</v>
      </c>
      <c r="D9396">
        <v>8971</v>
      </c>
      <c r="E9396">
        <v>0</v>
      </c>
      <c r="F9396">
        <v>1842</v>
      </c>
    </row>
    <row r="9397" spans="1:6" ht="12.75">
      <c r="A9397" s="2">
        <v>43881.054293981477</v>
      </c>
      <c r="B9397" t="str">
        <f>HYPERLINK("https://twitter.com/bukay_","@bukay_")</f>
        <v>@bukay_</v>
      </c>
      <c r="C9397" t="s">
        <v>1407</v>
      </c>
      <c r="D9397">
        <v>8971</v>
      </c>
      <c r="E9397">
        <v>0</v>
      </c>
      <c r="F9397">
        <v>356</v>
      </c>
    </row>
    <row r="9398" spans="1:6" ht="12.75">
      <c r="A9398" s="2">
        <v>43881.053935185184</v>
      </c>
      <c r="B9398" t="str">
        <f>HYPERLINK("https://twitter.com/jeonysvu","@jeonysvu")</f>
        <v>@jeonysvu</v>
      </c>
      <c r="C9398" t="s">
        <v>1407</v>
      </c>
      <c r="D9398">
        <v>8971</v>
      </c>
      <c r="E9398">
        <v>0</v>
      </c>
      <c r="F9398">
        <v>813</v>
      </c>
    </row>
    <row r="9399" spans="1:6" ht="12.75">
      <c r="A9399" s="2">
        <v>43881.053101851852</v>
      </c>
      <c r="B9399" t="str">
        <f>HYPERLINK("https://twitter.com/Matildamn55","@Matildamn55")</f>
        <v>@Matildamn55</v>
      </c>
      <c r="C9399" t="s">
        <v>1407</v>
      </c>
      <c r="D9399">
        <v>8971</v>
      </c>
      <c r="E9399">
        <v>0</v>
      </c>
      <c r="F9399">
        <v>238</v>
      </c>
    </row>
    <row r="9400" spans="1:6" ht="12.75">
      <c r="A9400" s="2">
        <v>43881.053090277783</v>
      </c>
      <c r="B9400" t="str">
        <f>HYPERLINK("https://twitter.com/tersantai","@tersantai")</f>
        <v>@tersantai</v>
      </c>
      <c r="C9400" t="s">
        <v>1407</v>
      </c>
      <c r="D9400">
        <v>8971</v>
      </c>
      <c r="E9400">
        <v>0</v>
      </c>
      <c r="F9400">
        <v>477</v>
      </c>
    </row>
    <row r="9401" spans="1:6" ht="12.75">
      <c r="A9401" s="2">
        <v>43881.053043981483</v>
      </c>
      <c r="B9401" t="str">
        <f>HYPERLINK("https://twitter.com/saleypisang","@saleypisang")</f>
        <v>@saleypisang</v>
      </c>
      <c r="C9401" t="s">
        <v>1407</v>
      </c>
      <c r="D9401">
        <v>8971</v>
      </c>
      <c r="E9401">
        <v>0</v>
      </c>
      <c r="F9401">
        <v>280</v>
      </c>
    </row>
    <row r="9402" spans="1:6" ht="12.75">
      <c r="A9402" s="2">
        <v>43881.052800925929</v>
      </c>
      <c r="B9402" t="str">
        <f>HYPERLINK("https://twitter.com/ryfald","@ryfald")</f>
        <v>@ryfald</v>
      </c>
      <c r="C9402" t="s">
        <v>4360</v>
      </c>
      <c r="D9402">
        <v>36</v>
      </c>
      <c r="E9402">
        <v>0</v>
      </c>
      <c r="F9402">
        <v>546</v>
      </c>
    </row>
    <row r="9403" spans="1:6" ht="12.75">
      <c r="A9403" s="2">
        <v>43881.052465277782</v>
      </c>
      <c r="B9403" t="str">
        <f>HYPERLINK("https://twitter.com/agungseeee","@agungseeee")</f>
        <v>@agungseeee</v>
      </c>
      <c r="C9403" t="s">
        <v>1407</v>
      </c>
      <c r="D9403">
        <v>8971</v>
      </c>
      <c r="E9403">
        <v>0</v>
      </c>
      <c r="F9403">
        <v>58</v>
      </c>
    </row>
    <row r="9404" spans="1:6" ht="12.75">
      <c r="A9404" s="2">
        <v>43881.052280092597</v>
      </c>
      <c r="B9404" t="str">
        <f>HYPERLINK("https://twitter.com/singhanamika194","@singhanamika194")</f>
        <v>@singhanamika194</v>
      </c>
      <c r="C9404" t="s">
        <v>5830</v>
      </c>
      <c r="D9404">
        <v>0</v>
      </c>
      <c r="E9404">
        <v>0</v>
      </c>
      <c r="F9404">
        <v>44</v>
      </c>
    </row>
    <row r="9405" spans="1:6" ht="12.75">
      <c r="A9405" s="2">
        <v>43881.051701388889</v>
      </c>
      <c r="B9405" t="str">
        <f>HYPERLINK("https://twitter.com/heigtyr","@heigtyr")</f>
        <v>@heigtyr</v>
      </c>
      <c r="C9405" t="s">
        <v>1407</v>
      </c>
      <c r="D9405">
        <v>8971</v>
      </c>
      <c r="E9405">
        <v>0</v>
      </c>
      <c r="F9405">
        <v>687</v>
      </c>
    </row>
    <row r="9406" spans="1:6" ht="12.75">
      <c r="A9406" s="2">
        <v>43881.051145833335</v>
      </c>
      <c r="B9406" t="str">
        <f>HYPERLINK("https://twitter.com/mhdarif48","@mhdarif48")</f>
        <v>@mhdarif48</v>
      </c>
      <c r="C9406" t="s">
        <v>1407</v>
      </c>
      <c r="D9406">
        <v>8971</v>
      </c>
      <c r="E9406">
        <v>0</v>
      </c>
      <c r="F9406">
        <v>503</v>
      </c>
    </row>
    <row r="9407" spans="1:6" ht="12.75">
      <c r="A9407" s="2">
        <v>43881.051099537042</v>
      </c>
      <c r="B9407" t="str">
        <f>HYPERLINK("https://twitter.com/ItsMeNSand","@ItsMeNSand")</f>
        <v>@ItsMeNSand</v>
      </c>
      <c r="C9407" t="s">
        <v>1407</v>
      </c>
      <c r="D9407">
        <v>8971</v>
      </c>
      <c r="E9407">
        <v>0</v>
      </c>
      <c r="F9407">
        <v>408</v>
      </c>
    </row>
    <row r="9408" spans="1:6" ht="12.75">
      <c r="A9408" s="2">
        <v>43881.051064814819</v>
      </c>
      <c r="B9408" t="str">
        <f>HYPERLINK("https://twitter.com/Aprilyola3","@Aprilyola3")</f>
        <v>@Aprilyola3</v>
      </c>
      <c r="C9408" t="s">
        <v>5831</v>
      </c>
      <c r="D9408">
        <v>0</v>
      </c>
      <c r="E9408">
        <v>0</v>
      </c>
      <c r="F9408">
        <v>9</v>
      </c>
    </row>
    <row r="9409" spans="1:6" ht="12.75">
      <c r="A9409" s="2">
        <v>43881.051006944443</v>
      </c>
      <c r="B9409" t="str">
        <f>HYPERLINK("https://twitter.com/cizmori","@cizmori")</f>
        <v>@cizmori</v>
      </c>
      <c r="C9409" t="s">
        <v>1407</v>
      </c>
      <c r="D9409">
        <v>8971</v>
      </c>
      <c r="E9409">
        <v>0</v>
      </c>
      <c r="F9409">
        <v>381</v>
      </c>
    </row>
    <row r="9410" spans="1:6" ht="12.75">
      <c r="A9410" s="2">
        <v>43881.050949074073</v>
      </c>
      <c r="B9410" t="str">
        <f>HYPERLINK("https://twitter.com/MiaSyhd","@MiaSyhd")</f>
        <v>@MiaSyhd</v>
      </c>
      <c r="C9410" t="s">
        <v>1407</v>
      </c>
      <c r="D9410">
        <v>8971</v>
      </c>
      <c r="E9410">
        <v>0</v>
      </c>
      <c r="F9410">
        <v>250</v>
      </c>
    </row>
    <row r="9411" spans="1:6" ht="12.75">
      <c r="A9411" s="2">
        <v>43881.049907407403</v>
      </c>
      <c r="B9411" t="str">
        <f>HYPERLINK("https://twitter.com/saffaans","@saffaans")</f>
        <v>@saffaans</v>
      </c>
      <c r="C9411" t="s">
        <v>1407</v>
      </c>
      <c r="D9411">
        <v>8971</v>
      </c>
      <c r="E9411">
        <v>0</v>
      </c>
      <c r="F9411">
        <v>21</v>
      </c>
    </row>
    <row r="9412" spans="1:6" ht="12.75">
      <c r="A9412" s="2">
        <v>43881.049583333333</v>
      </c>
      <c r="B9412" t="str">
        <f>HYPERLINK("https://twitter.com/sandalspepi","@sandalspepi")</f>
        <v>@sandalspepi</v>
      </c>
      <c r="C9412" t="s">
        <v>1407</v>
      </c>
      <c r="D9412">
        <v>8971</v>
      </c>
      <c r="E9412">
        <v>0</v>
      </c>
      <c r="F9412">
        <v>130</v>
      </c>
    </row>
    <row r="9413" spans="1:6" ht="12.75">
      <c r="A9413" s="2">
        <v>43881.049027777779</v>
      </c>
      <c r="B9413" t="str">
        <f>HYPERLINK("https://twitter.com/ainsadalia","@ainsadalia")</f>
        <v>@ainsadalia</v>
      </c>
      <c r="C9413" t="s">
        <v>2692</v>
      </c>
      <c r="D9413">
        <v>1670</v>
      </c>
      <c r="E9413">
        <v>0</v>
      </c>
      <c r="F9413">
        <v>458</v>
      </c>
    </row>
    <row r="9414" spans="1:6" ht="12.75">
      <c r="A9414" s="2">
        <v>43881.048541666663</v>
      </c>
      <c r="B9414" t="str">
        <f>HYPERLINK("https://twitter.com/hitshalom","@hitshalom")</f>
        <v>@hitshalom</v>
      </c>
      <c r="C9414" t="s">
        <v>1407</v>
      </c>
      <c r="D9414">
        <v>8971</v>
      </c>
      <c r="E9414">
        <v>0</v>
      </c>
      <c r="F9414">
        <v>1260</v>
      </c>
    </row>
    <row r="9415" spans="1:6" ht="12.75">
      <c r="A9415" s="2">
        <v>43881.048298611116</v>
      </c>
      <c r="B9415" t="str">
        <f>HYPERLINK("https://twitter.com/rexlr8d","@rexlr8d")</f>
        <v>@rexlr8d</v>
      </c>
      <c r="C9415" t="s">
        <v>1407</v>
      </c>
      <c r="D9415">
        <v>8971</v>
      </c>
      <c r="E9415">
        <v>0</v>
      </c>
      <c r="F9415">
        <v>320</v>
      </c>
    </row>
    <row r="9416" spans="1:6" ht="12.75">
      <c r="A9416" s="2">
        <v>43881.048263888893</v>
      </c>
      <c r="B9416" t="str">
        <f>HYPERLINK("https://twitter.com/RudyTank","@RudyTank")</f>
        <v>@RudyTank</v>
      </c>
      <c r="C9416" t="s">
        <v>5832</v>
      </c>
      <c r="D9416">
        <v>0</v>
      </c>
      <c r="E9416">
        <v>0</v>
      </c>
      <c r="F9416">
        <v>1102</v>
      </c>
    </row>
    <row r="9417" spans="1:6" ht="12.75">
      <c r="A9417" s="2">
        <v>43881.048136574071</v>
      </c>
      <c r="B9417" t="str">
        <f>HYPERLINK("https://twitter.com/zaratustratrist","@zaratustratrist")</f>
        <v>@zaratustratrist</v>
      </c>
      <c r="C9417" t="s">
        <v>5833</v>
      </c>
      <c r="D9417">
        <v>0</v>
      </c>
      <c r="E9417">
        <v>0</v>
      </c>
      <c r="F9417">
        <v>278</v>
      </c>
    </row>
    <row r="9418" spans="1:6" ht="12.75">
      <c r="A9418" s="2">
        <v>43881.048090277778</v>
      </c>
      <c r="B9418" t="str">
        <f>HYPERLINK("https://twitter.com/qbangela","@qbangela")</f>
        <v>@qbangela</v>
      </c>
      <c r="C9418" t="s">
        <v>5834</v>
      </c>
      <c r="D9418">
        <v>1</v>
      </c>
      <c r="E9418">
        <v>0</v>
      </c>
      <c r="F9418">
        <v>78</v>
      </c>
    </row>
    <row r="9419" spans="1:6" ht="12.75">
      <c r="A9419" s="2">
        <v>43881.046990740739</v>
      </c>
      <c r="B9419" t="str">
        <f>HYPERLINK("https://twitter.com/strauss1997","@strauss1997")</f>
        <v>@strauss1997</v>
      </c>
      <c r="C9419" t="s">
        <v>1407</v>
      </c>
      <c r="D9419">
        <v>8971</v>
      </c>
      <c r="E9419">
        <v>0</v>
      </c>
      <c r="F9419">
        <v>14</v>
      </c>
    </row>
    <row r="9420" spans="1:6" ht="12.75">
      <c r="A9420" s="2">
        <v>43881.046909722223</v>
      </c>
      <c r="B9420" t="str">
        <f>HYPERLINK("https://twitter.com/fapuw","@fapuw")</f>
        <v>@fapuw</v>
      </c>
      <c r="C9420" t="s">
        <v>2692</v>
      </c>
      <c r="D9420">
        <v>1670</v>
      </c>
      <c r="E9420">
        <v>0</v>
      </c>
      <c r="F9420">
        <v>878</v>
      </c>
    </row>
    <row r="9421" spans="1:6" ht="12.75">
      <c r="A9421" s="2">
        <v>43881.046898148154</v>
      </c>
      <c r="B9421" t="str">
        <f>HYPERLINK("https://twitter.com/Alex65336057","@Alex65336057")</f>
        <v>@Alex65336057</v>
      </c>
      <c r="C9421" t="s">
        <v>5835</v>
      </c>
      <c r="D9421">
        <v>19</v>
      </c>
      <c r="E9421">
        <v>0</v>
      </c>
      <c r="F9421">
        <v>3</v>
      </c>
    </row>
    <row r="9422" spans="1:6" ht="12.75">
      <c r="A9422" s="2">
        <v>43881.043252314819</v>
      </c>
      <c r="B9422" t="str">
        <f>HYPERLINK("https://twitter.com/chanyeorc","@chanyeorc")</f>
        <v>@chanyeorc</v>
      </c>
      <c r="C9422" t="s">
        <v>5168</v>
      </c>
      <c r="D9422">
        <v>1688</v>
      </c>
      <c r="E9422">
        <v>0</v>
      </c>
      <c r="F9422">
        <v>658</v>
      </c>
    </row>
    <row r="9423" spans="1:6" ht="12.75">
      <c r="A9423" s="2">
        <v>43881.042962962965</v>
      </c>
      <c r="B9423" t="str">
        <f>HYPERLINK("https://twitter.com/BillTemporo","@BillTemporo")</f>
        <v>@BillTemporo</v>
      </c>
      <c r="C9423" t="s">
        <v>889</v>
      </c>
      <c r="D9423">
        <v>0</v>
      </c>
      <c r="E9423">
        <v>0</v>
      </c>
      <c r="F9423">
        <v>11</v>
      </c>
    </row>
    <row r="9424" spans="1:6" ht="12.75">
      <c r="A9424" s="2">
        <v>43881.042685185181</v>
      </c>
      <c r="B9424" t="str">
        <f>HYPERLINK("https://twitter.com/gcminie","@gcminie")</f>
        <v>@gcminie</v>
      </c>
      <c r="C9424" t="s">
        <v>1407</v>
      </c>
      <c r="D9424">
        <v>8919</v>
      </c>
      <c r="E9424">
        <v>0</v>
      </c>
      <c r="F9424">
        <v>1068</v>
      </c>
    </row>
    <row r="9425" spans="1:6" ht="12.75">
      <c r="A9425" s="2">
        <v>43881.041828703703</v>
      </c>
      <c r="B9425" t="str">
        <f>HYPERLINK("https://twitter.com/yourpaww","@yourpaww")</f>
        <v>@yourpaww</v>
      </c>
      <c r="C9425" t="s">
        <v>1407</v>
      </c>
      <c r="D9425">
        <v>8919</v>
      </c>
      <c r="E9425">
        <v>0</v>
      </c>
      <c r="F9425">
        <v>1410</v>
      </c>
    </row>
    <row r="9426" spans="1:6" ht="12.75">
      <c r="A9426" s="2">
        <v>43881.04115740741</v>
      </c>
      <c r="B9426" t="str">
        <f>HYPERLINK("https://twitter.com/DesiArfisi","@DesiArfisi")</f>
        <v>@DesiArfisi</v>
      </c>
      <c r="C9426" t="s">
        <v>5805</v>
      </c>
      <c r="D9426">
        <v>4</v>
      </c>
      <c r="E9426">
        <v>0</v>
      </c>
      <c r="F9426">
        <v>2219</v>
      </c>
    </row>
    <row r="9427" spans="1:6" ht="12.75">
      <c r="A9427" s="2">
        <v>43881.04106481481</v>
      </c>
      <c r="B9427" t="str">
        <f>HYPERLINK("https://twitter.com/muraripr","@muraripr")</f>
        <v>@muraripr</v>
      </c>
      <c r="C9427" t="s">
        <v>5836</v>
      </c>
      <c r="D9427">
        <v>0</v>
      </c>
      <c r="E9427">
        <v>0</v>
      </c>
      <c r="F9427">
        <v>127</v>
      </c>
    </row>
    <row r="9428" spans="1:6" ht="12.75">
      <c r="A9428" s="2">
        <v>43881.040972222225</v>
      </c>
      <c r="B9428" t="str">
        <f>HYPERLINK("https://twitter.com/tafeuli","@tafeuli")</f>
        <v>@tafeuli</v>
      </c>
      <c r="C9428" t="s">
        <v>1407</v>
      </c>
      <c r="D9428">
        <v>8919</v>
      </c>
      <c r="E9428">
        <v>0</v>
      </c>
      <c r="F9428">
        <v>441</v>
      </c>
    </row>
    <row r="9429" spans="1:6" ht="12.75">
      <c r="A9429" s="2">
        <v>43881.040798611109</v>
      </c>
      <c r="B9429" t="str">
        <f>HYPERLINK("https://twitter.com/ana_kawung06","@ana_kawung06")</f>
        <v>@ana_kawung06</v>
      </c>
      <c r="C9429" t="s">
        <v>5805</v>
      </c>
      <c r="D9429">
        <v>4</v>
      </c>
      <c r="E9429">
        <v>0</v>
      </c>
      <c r="F9429">
        <v>223</v>
      </c>
    </row>
    <row r="9430" spans="1:6" ht="12.75">
      <c r="A9430" s="2">
        <v>43881.040763888886</v>
      </c>
      <c r="B9430" t="str">
        <f>HYPERLINK("https://twitter.com/keanuagelo","@keanuagelo")</f>
        <v>@keanuagelo</v>
      </c>
      <c r="C9430" t="s">
        <v>2467</v>
      </c>
      <c r="D9430">
        <v>812</v>
      </c>
      <c r="E9430">
        <v>0</v>
      </c>
      <c r="F9430">
        <v>36</v>
      </c>
    </row>
    <row r="9431" spans="1:6" ht="12.75">
      <c r="A9431" s="2">
        <v>43881.040752314817</v>
      </c>
      <c r="B9431" t="str">
        <f>HYPERLINK("https://twitter.com/Rizkymutiaraya","@Rizkymutiaraya")</f>
        <v>@Rizkymutiaraya</v>
      </c>
      <c r="C9431" t="s">
        <v>1407</v>
      </c>
      <c r="D9431">
        <v>8919</v>
      </c>
      <c r="E9431">
        <v>0</v>
      </c>
      <c r="F9431">
        <v>31</v>
      </c>
    </row>
    <row r="9432" spans="1:6" ht="12.75">
      <c r="A9432" s="2">
        <v>43881.040601851855</v>
      </c>
      <c r="B9432" t="str">
        <f>HYPERLINK("https://twitter.com/Nasution_eD","@Nasution_eD")</f>
        <v>@Nasution_eD</v>
      </c>
      <c r="C9432" t="s">
        <v>5805</v>
      </c>
      <c r="D9432">
        <v>4</v>
      </c>
      <c r="E9432">
        <v>0</v>
      </c>
      <c r="F9432">
        <v>4505</v>
      </c>
    </row>
    <row r="9433" spans="1:6" ht="12.75">
      <c r="A9433" s="2">
        <v>43881.040312500001</v>
      </c>
      <c r="B9433" t="str">
        <f>HYPERLINK("https://twitter.com/updatedotid","@updatedotid")</f>
        <v>@updatedotid</v>
      </c>
      <c r="C9433" t="s">
        <v>5837</v>
      </c>
      <c r="D9433">
        <v>2</v>
      </c>
      <c r="E9433">
        <v>0</v>
      </c>
      <c r="F9433">
        <v>1620</v>
      </c>
    </row>
    <row r="9434" spans="1:6" ht="12.75">
      <c r="A9434" s="2">
        <v>43881.040300925924</v>
      </c>
      <c r="B9434" t="str">
        <f>HYPERLINK("https://twitter.com/sabhatansabiz","@sabhatansabiz")</f>
        <v>@sabhatansabiz</v>
      </c>
      <c r="C9434" t="s">
        <v>5837</v>
      </c>
      <c r="D9434">
        <v>2</v>
      </c>
      <c r="E9434">
        <v>0</v>
      </c>
      <c r="F9434">
        <v>1584</v>
      </c>
    </row>
    <row r="9435" spans="1:6" ht="12.75">
      <c r="A9435" s="2">
        <v>43881.04</v>
      </c>
      <c r="B9435" t="str">
        <f>HYPERLINK("https://twitter.com/Negev52031680","@Negev52031680")</f>
        <v>@Negev52031680</v>
      </c>
      <c r="C9435" t="s">
        <v>5838</v>
      </c>
      <c r="D9435">
        <v>0</v>
      </c>
      <c r="E9435">
        <v>0</v>
      </c>
      <c r="F9435">
        <v>19</v>
      </c>
    </row>
    <row r="9436" spans="1:6" ht="12.75">
      <c r="A9436" s="2">
        <v>43881.039976851855</v>
      </c>
      <c r="B9436" t="str">
        <f>HYPERLINK("https://twitter.com/radar_malang","@radar_malang")</f>
        <v>@radar_malang</v>
      </c>
      <c r="C9436" t="s">
        <v>5839</v>
      </c>
      <c r="D9436">
        <v>2</v>
      </c>
      <c r="E9436">
        <v>1</v>
      </c>
      <c r="F9436">
        <v>108579</v>
      </c>
    </row>
    <row r="9437" spans="1:6" ht="12.75">
      <c r="A9437" s="2">
        <v>43881.039780092593</v>
      </c>
      <c r="B9437" t="str">
        <f>HYPERLINK("https://twitter.com/Han_noona24","@Han_noona24")</f>
        <v>@Han_noona24</v>
      </c>
      <c r="C9437" t="s">
        <v>1407</v>
      </c>
      <c r="D9437">
        <v>8919</v>
      </c>
      <c r="E9437">
        <v>0</v>
      </c>
      <c r="F9437">
        <v>295</v>
      </c>
    </row>
    <row r="9438" spans="1:6" ht="12.75">
      <c r="A9438" s="2">
        <v>43881.039270833338</v>
      </c>
      <c r="B9438" t="str">
        <f>HYPERLINK("https://twitter.com/Ayaka_Masiga","@Ayaka_Masiga")</f>
        <v>@Ayaka_Masiga</v>
      </c>
      <c r="C9438" t="s">
        <v>1407</v>
      </c>
      <c r="D9438">
        <v>8919</v>
      </c>
      <c r="E9438">
        <v>0</v>
      </c>
      <c r="F9438">
        <v>576</v>
      </c>
    </row>
    <row r="9439" spans="1:6" ht="12.75">
      <c r="A9439" s="2">
        <v>43881.038726851853</v>
      </c>
      <c r="B9439" t="str">
        <f>HYPERLINK("https://twitter.com/augyboo","@augyboo")</f>
        <v>@augyboo</v>
      </c>
      <c r="C9439" t="s">
        <v>1407</v>
      </c>
      <c r="D9439">
        <v>8919</v>
      </c>
      <c r="E9439">
        <v>0</v>
      </c>
      <c r="F9439">
        <v>2314</v>
      </c>
    </row>
    <row r="9440" spans="1:6" ht="12.75">
      <c r="A9440" s="2">
        <v>43881.038715277777</v>
      </c>
      <c r="B9440" t="str">
        <f>HYPERLINK("https://twitter.com/tfmmdbkdh","@tfmmdbkdh")</f>
        <v>@tfmmdbkdh</v>
      </c>
      <c r="C9440" t="s">
        <v>1407</v>
      </c>
      <c r="D9440">
        <v>8919</v>
      </c>
      <c r="E9440">
        <v>0</v>
      </c>
      <c r="F9440">
        <v>82</v>
      </c>
    </row>
    <row r="9441" spans="1:6" ht="12.75">
      <c r="A9441" s="2">
        <v>43881.038229166668</v>
      </c>
      <c r="B9441" t="str">
        <f>HYPERLINK("https://twitter.com/forddyce92","@forddyce92")</f>
        <v>@forddyce92</v>
      </c>
      <c r="C9441" t="s">
        <v>5840</v>
      </c>
      <c r="D9441">
        <v>0</v>
      </c>
      <c r="E9441">
        <v>0</v>
      </c>
      <c r="F9441">
        <v>25</v>
      </c>
    </row>
    <row r="9442" spans="1:6" ht="12.75">
      <c r="A9442" s="2">
        <v>43881.038090277776</v>
      </c>
      <c r="B9442" t="str">
        <f>HYPERLINK("https://twitter.com/intaanwp","@intaanwp")</f>
        <v>@intaanwp</v>
      </c>
      <c r="C9442" t="s">
        <v>1407</v>
      </c>
      <c r="D9442">
        <v>8919</v>
      </c>
      <c r="E9442">
        <v>0</v>
      </c>
      <c r="F9442">
        <v>1358</v>
      </c>
    </row>
    <row r="9443" spans="1:6" ht="12.75">
      <c r="A9443" s="2">
        <v>43881.037974537037</v>
      </c>
      <c r="B9443" t="str">
        <f>HYPERLINK("https://twitter.com/bukansjwsjw","@bukansjwsjw")</f>
        <v>@bukansjwsjw</v>
      </c>
      <c r="C9443" t="s">
        <v>1407</v>
      </c>
      <c r="D9443">
        <v>8919</v>
      </c>
      <c r="E9443">
        <v>0</v>
      </c>
      <c r="F9443">
        <v>274</v>
      </c>
    </row>
    <row r="9444" spans="1:6" ht="12.75">
      <c r="A9444" s="2">
        <v>43881.037754629629</v>
      </c>
      <c r="B9444" t="str">
        <f>HYPERLINK("https://twitter.com/zahranabilalala","@zahranabilalala")</f>
        <v>@zahranabilalala</v>
      </c>
      <c r="C9444" t="s">
        <v>1407</v>
      </c>
      <c r="D9444">
        <v>8919</v>
      </c>
      <c r="E9444">
        <v>0</v>
      </c>
      <c r="F9444">
        <v>490</v>
      </c>
    </row>
    <row r="9445" spans="1:6" ht="12.75">
      <c r="A9445" s="2">
        <v>43881.037465277783</v>
      </c>
      <c r="B9445" t="str">
        <f t="shared" ref="B9445:B9446" si="177">HYPERLINK("https://twitter.com/milkyybobaa","@milkyybobaa")</f>
        <v>@milkyybobaa</v>
      </c>
      <c r="C9445" t="s">
        <v>2467</v>
      </c>
      <c r="D9445">
        <v>812</v>
      </c>
      <c r="E9445">
        <v>0</v>
      </c>
      <c r="F9445">
        <v>684</v>
      </c>
    </row>
    <row r="9446" spans="1:6" ht="12.75">
      <c r="A9446" s="2">
        <v>43881.037407407406</v>
      </c>
      <c r="B9446" t="str">
        <f t="shared" si="177"/>
        <v>@milkyybobaa</v>
      </c>
      <c r="C9446" t="s">
        <v>1407</v>
      </c>
      <c r="D9446">
        <v>8919</v>
      </c>
      <c r="E9446">
        <v>0</v>
      </c>
      <c r="F9446">
        <v>684</v>
      </c>
    </row>
    <row r="9447" spans="1:6" ht="12.75">
      <c r="A9447" s="2">
        <v>43881.036979166667</v>
      </c>
      <c r="B9447" t="str">
        <f>HYPERLINK("https://twitter.com/ruziqahani","@ruziqahani")</f>
        <v>@ruziqahani</v>
      </c>
      <c r="C9447" t="s">
        <v>513</v>
      </c>
      <c r="D9447">
        <v>23181</v>
      </c>
      <c r="E9447">
        <v>0</v>
      </c>
      <c r="F9447">
        <v>737</v>
      </c>
    </row>
    <row r="9448" spans="1:6" ht="12.75">
      <c r="A9448" s="2">
        <v>43881.036944444444</v>
      </c>
      <c r="B9448" t="str">
        <f>HYPERLINK("https://twitter.com/Tanjuang28","@Tanjuang28")</f>
        <v>@Tanjuang28</v>
      </c>
      <c r="C9448" t="s">
        <v>513</v>
      </c>
      <c r="D9448">
        <v>23181</v>
      </c>
      <c r="E9448">
        <v>0</v>
      </c>
      <c r="F9448">
        <v>49</v>
      </c>
    </row>
    <row r="9449" spans="1:6" ht="12.75">
      <c r="A9449" s="2">
        <v>43881.036689814813</v>
      </c>
      <c r="B9449" t="str">
        <f>HYPERLINK("https://twitter.com/w_11612","@w_11612")</f>
        <v>@w_11612</v>
      </c>
      <c r="C9449" t="s">
        <v>2692</v>
      </c>
      <c r="D9449">
        <v>1647</v>
      </c>
      <c r="E9449">
        <v>0</v>
      </c>
      <c r="F9449">
        <v>412</v>
      </c>
    </row>
    <row r="9450" spans="1:6" ht="12.75">
      <c r="A9450" s="2">
        <v>43881.036574074074</v>
      </c>
      <c r="B9450" t="str">
        <f>HYPERLINK("https://twitter.com/antinyisir","@antinyisir")</f>
        <v>@antinyisir</v>
      </c>
      <c r="C9450" t="s">
        <v>2692</v>
      </c>
      <c r="D9450">
        <v>1647</v>
      </c>
      <c r="E9450">
        <v>0</v>
      </c>
      <c r="F9450">
        <v>388</v>
      </c>
    </row>
    <row r="9451" spans="1:6" ht="12.75">
      <c r="A9451" s="2">
        <v>43881.036493055552</v>
      </c>
      <c r="B9451" t="str">
        <f>HYPERLINK("https://twitter.com/kepriinfo","@kepriinfo")</f>
        <v>@kepriinfo</v>
      </c>
      <c r="C9451" t="s">
        <v>5841</v>
      </c>
      <c r="D9451">
        <v>0</v>
      </c>
      <c r="E9451">
        <v>0</v>
      </c>
      <c r="F9451">
        <v>18724</v>
      </c>
    </row>
    <row r="9452" spans="1:6" ht="12.75">
      <c r="A9452" s="2">
        <v>43881.036319444444</v>
      </c>
      <c r="B9452" t="str">
        <f>HYPERLINK("https://twitter.com/muhficki","@muhficki")</f>
        <v>@muhficki</v>
      </c>
      <c r="C9452" t="s">
        <v>2692</v>
      </c>
      <c r="D9452">
        <v>1647</v>
      </c>
      <c r="E9452">
        <v>0</v>
      </c>
      <c r="F9452">
        <v>404</v>
      </c>
    </row>
    <row r="9453" spans="1:6" ht="12.75">
      <c r="A9453" s="2">
        <v>43881.035694444443</v>
      </c>
      <c r="B9453" t="str">
        <f>HYPERLINK("https://twitter.com/Asfarina1004","@Asfarina1004")</f>
        <v>@Asfarina1004</v>
      </c>
      <c r="C9453" t="s">
        <v>1407</v>
      </c>
      <c r="D9453">
        <v>8919</v>
      </c>
      <c r="E9453">
        <v>0</v>
      </c>
      <c r="F9453">
        <v>514</v>
      </c>
    </row>
    <row r="9454" spans="1:6" ht="12.75">
      <c r="A9454" s="2">
        <v>43881.035625000004</v>
      </c>
      <c r="B9454" t="str">
        <f>HYPERLINK("https://twitter.com/aumiraih","@aumiraih")</f>
        <v>@aumiraih</v>
      </c>
      <c r="C9454" t="s">
        <v>1407</v>
      </c>
      <c r="D9454">
        <v>8919</v>
      </c>
      <c r="E9454">
        <v>0</v>
      </c>
      <c r="F9454">
        <v>357</v>
      </c>
    </row>
    <row r="9455" spans="1:6" ht="12.75">
      <c r="A9455" s="2">
        <v>43881.034710648149</v>
      </c>
      <c r="B9455" t="str">
        <f>HYPERLINK("https://twitter.com/zarazettirazr","@zarazettirazr")</f>
        <v>@zarazettirazr</v>
      </c>
      <c r="C9455" t="s">
        <v>5842</v>
      </c>
      <c r="D9455">
        <v>4</v>
      </c>
      <c r="E9455">
        <v>10</v>
      </c>
      <c r="F9455">
        <v>250414</v>
      </c>
    </row>
    <row r="9456" spans="1:6" ht="12.75">
      <c r="A9456" s="2">
        <v>43881.034131944441</v>
      </c>
      <c r="B9456" t="str">
        <f>HYPERLINK("https://twitter.com/rebahanditwiter","@rebahanditwiter")</f>
        <v>@rebahanditwiter</v>
      </c>
      <c r="C9456" t="s">
        <v>2467</v>
      </c>
      <c r="D9456">
        <v>812</v>
      </c>
      <c r="E9456">
        <v>0</v>
      </c>
      <c r="F9456">
        <v>1063</v>
      </c>
    </row>
    <row r="9457" spans="1:6" ht="12.75">
      <c r="A9457" s="2">
        <v>43881.033668981487</v>
      </c>
      <c r="B9457" t="str">
        <f>HYPERLINK("https://twitter.com/fluffypieee","@fluffypieee")</f>
        <v>@fluffypieee</v>
      </c>
      <c r="C9457" t="s">
        <v>2467</v>
      </c>
      <c r="D9457">
        <v>812</v>
      </c>
      <c r="E9457">
        <v>0</v>
      </c>
      <c r="F9457">
        <v>647</v>
      </c>
    </row>
    <row r="9458" spans="1:6" ht="12.75">
      <c r="A9458" s="2">
        <v>43881.033449074079</v>
      </c>
      <c r="B9458" t="str">
        <f>HYPERLINK("https://twitter.com/kampungkulon","@kampungkulon")</f>
        <v>@kampungkulon</v>
      </c>
      <c r="C9458" t="s">
        <v>2135</v>
      </c>
      <c r="D9458">
        <v>18</v>
      </c>
      <c r="E9458">
        <v>0</v>
      </c>
      <c r="F9458">
        <v>771</v>
      </c>
    </row>
    <row r="9459" spans="1:6" ht="12.75">
      <c r="A9459" s="2">
        <v>43881.033391203702</v>
      </c>
      <c r="B9459" t="str">
        <f>HYPERLINK("https://twitter.com/kamvflase","@kamvflase")</f>
        <v>@kamvflase</v>
      </c>
      <c r="C9459" t="s">
        <v>1407</v>
      </c>
      <c r="D9459">
        <v>8919</v>
      </c>
      <c r="E9459">
        <v>0</v>
      </c>
      <c r="F9459">
        <v>1080</v>
      </c>
    </row>
    <row r="9460" spans="1:6" ht="12.75">
      <c r="A9460" s="2">
        <v>43881.033171296294</v>
      </c>
      <c r="B9460" t="str">
        <f>HYPERLINK("https://twitter.com/edoy","@edoy")</f>
        <v>@edoy</v>
      </c>
      <c r="C9460" t="s">
        <v>2692</v>
      </c>
      <c r="D9460">
        <v>1647</v>
      </c>
      <c r="E9460">
        <v>0</v>
      </c>
      <c r="F9460">
        <v>311</v>
      </c>
    </row>
    <row r="9461" spans="1:6" ht="12.75">
      <c r="A9461" s="2">
        <v>43881.032673611116</v>
      </c>
      <c r="B9461" t="str">
        <f>HYPERLINK("https://twitter.com/ranioktaviani92","@ranioktaviani92")</f>
        <v>@ranioktaviani92</v>
      </c>
      <c r="C9461" t="s">
        <v>2089</v>
      </c>
      <c r="D9461">
        <v>0</v>
      </c>
      <c r="E9461">
        <v>0</v>
      </c>
      <c r="F9461">
        <v>24</v>
      </c>
    </row>
    <row r="9462" spans="1:6" ht="12.75">
      <c r="A9462" s="2">
        <v>43881.032025462962</v>
      </c>
      <c r="B9462" t="str">
        <f>HYPERLINK("https://twitter.com/lucynuna","@lucynuna")</f>
        <v>@lucynuna</v>
      </c>
      <c r="C9462" t="s">
        <v>1407</v>
      </c>
      <c r="D9462">
        <v>8919</v>
      </c>
      <c r="E9462">
        <v>0</v>
      </c>
      <c r="F9462">
        <v>634</v>
      </c>
    </row>
    <row r="9463" spans="1:6" ht="12.75">
      <c r="A9463" s="2">
        <v>43881.03197916667</v>
      </c>
      <c r="B9463" t="str">
        <f>HYPERLINK("https://twitter.com/nextlevel0903","@nextlevel0903")</f>
        <v>@nextlevel0903</v>
      </c>
      <c r="C9463" t="s">
        <v>2126</v>
      </c>
      <c r="D9463">
        <v>2812</v>
      </c>
      <c r="E9463">
        <v>0</v>
      </c>
      <c r="F9463">
        <v>323</v>
      </c>
    </row>
    <row r="9464" spans="1:6" ht="12.75">
      <c r="A9464" s="2">
        <v>43881.03162037037</v>
      </c>
      <c r="B9464" t="str">
        <f>HYPERLINK("https://twitter.com/indonesiainist","@indonesiainist")</f>
        <v>@indonesiainist</v>
      </c>
      <c r="C9464" t="s">
        <v>2079</v>
      </c>
      <c r="D9464">
        <v>55</v>
      </c>
      <c r="E9464">
        <v>0</v>
      </c>
      <c r="F9464">
        <v>691</v>
      </c>
    </row>
    <row r="9465" spans="1:6" ht="12.75">
      <c r="A9465" s="2">
        <v>43881.031307870369</v>
      </c>
      <c r="B9465" t="str">
        <f>HYPERLINK("https://twitter.com/ayamgorengeyang","@ayamgorengeyang")</f>
        <v>@ayamgorengeyang</v>
      </c>
      <c r="C9465" t="s">
        <v>1407</v>
      </c>
      <c r="D9465">
        <v>8919</v>
      </c>
      <c r="E9465">
        <v>0</v>
      </c>
      <c r="F9465">
        <v>382</v>
      </c>
    </row>
    <row r="9466" spans="1:6" ht="12.75">
      <c r="A9466" s="2">
        <v>43881.031273148154</v>
      </c>
      <c r="B9466" t="str">
        <f>HYPERLINK("https://twitter.com/IsnaniaU","@IsnaniaU")</f>
        <v>@IsnaniaU</v>
      </c>
      <c r="C9466" t="s">
        <v>1407</v>
      </c>
      <c r="D9466">
        <v>8919</v>
      </c>
      <c r="E9466">
        <v>0</v>
      </c>
      <c r="F9466">
        <v>25</v>
      </c>
    </row>
    <row r="9467" spans="1:6" ht="12.75">
      <c r="A9467" s="2">
        <v>43881.031041666662</v>
      </c>
      <c r="B9467" t="str">
        <f>HYPERLINK("https://twitter.com/heartdery","@heartdery")</f>
        <v>@heartdery</v>
      </c>
      <c r="C9467" t="s">
        <v>1407</v>
      </c>
      <c r="D9467">
        <v>8919</v>
      </c>
      <c r="E9467">
        <v>0</v>
      </c>
      <c r="F9467">
        <v>6337</v>
      </c>
    </row>
    <row r="9468" spans="1:6" ht="12.75">
      <c r="A9468" s="2">
        <v>43881.030949074076</v>
      </c>
      <c r="B9468" t="str">
        <f>HYPERLINK("https://twitter.com/jeontaethic","@jeontaethic")</f>
        <v>@jeontaethic</v>
      </c>
      <c r="C9468" t="s">
        <v>1407</v>
      </c>
      <c r="D9468">
        <v>8919</v>
      </c>
      <c r="E9468">
        <v>0</v>
      </c>
      <c r="F9468">
        <v>310</v>
      </c>
    </row>
    <row r="9469" spans="1:6" ht="12.75">
      <c r="A9469" s="2">
        <v>43881.030763888892</v>
      </c>
      <c r="B9469" t="str">
        <f>HYPERLINK("https://twitter.com/majjaeralin","@majjaeralin")</f>
        <v>@majjaeralin</v>
      </c>
      <c r="C9469" t="s">
        <v>1407</v>
      </c>
      <c r="D9469">
        <v>8919</v>
      </c>
      <c r="E9469">
        <v>0</v>
      </c>
      <c r="F9469">
        <v>1047</v>
      </c>
    </row>
    <row r="9470" spans="1:6" ht="12.75">
      <c r="A9470" s="2">
        <v>43881.030578703707</v>
      </c>
      <c r="B9470" t="str">
        <f>HYPERLINK("https://twitter.com/euphoriaceae","@euphoriaceae")</f>
        <v>@euphoriaceae</v>
      </c>
      <c r="C9470" t="s">
        <v>1407</v>
      </c>
      <c r="D9470">
        <v>8919</v>
      </c>
      <c r="E9470">
        <v>0</v>
      </c>
      <c r="F9470">
        <v>115</v>
      </c>
    </row>
    <row r="9471" spans="1:6" ht="12.75">
      <c r="A9471" s="2">
        <v>43881.030543981484</v>
      </c>
      <c r="B9471" t="str">
        <f>HYPERLINK("https://twitter.com/Apriil68","@Apriil68")</f>
        <v>@Apriil68</v>
      </c>
      <c r="C9471" t="s">
        <v>4360</v>
      </c>
      <c r="D9471">
        <v>29</v>
      </c>
      <c r="E9471">
        <v>0</v>
      </c>
      <c r="F9471">
        <v>3074</v>
      </c>
    </row>
    <row r="9472" spans="1:6" ht="12.75">
      <c r="A9472" s="2">
        <v>43881.030069444445</v>
      </c>
      <c r="B9472" t="str">
        <f>HYPERLINK("https://twitter.com/SFariseS","@SFariseS")</f>
        <v>@SFariseS</v>
      </c>
      <c r="C9472" t="s">
        <v>5843</v>
      </c>
      <c r="D9472">
        <v>15</v>
      </c>
      <c r="E9472">
        <v>0</v>
      </c>
      <c r="F9472">
        <v>102</v>
      </c>
    </row>
    <row r="9473" spans="1:6" ht="12.75">
      <c r="A9473" s="2">
        <v>43881.029953703706</v>
      </c>
      <c r="B9473" t="str">
        <f>HYPERLINK("https://twitter.com/lim_kiky","@lim_kiky")</f>
        <v>@lim_kiky</v>
      </c>
      <c r="C9473" t="s">
        <v>4360</v>
      </c>
      <c r="D9473">
        <v>29</v>
      </c>
      <c r="E9473">
        <v>0</v>
      </c>
      <c r="F9473">
        <v>47</v>
      </c>
    </row>
    <row r="9474" spans="1:6" ht="12.75">
      <c r="A9474" s="2">
        <v>43881.028946759259</v>
      </c>
      <c r="B9474" t="str">
        <f>HYPERLINK("https://twitter.com/jianprk_myg","@jianprk_myg")</f>
        <v>@jianprk_myg</v>
      </c>
      <c r="C9474" t="s">
        <v>1407</v>
      </c>
      <c r="D9474">
        <v>8919</v>
      </c>
      <c r="E9474">
        <v>0</v>
      </c>
      <c r="F9474">
        <v>372</v>
      </c>
    </row>
    <row r="9475" spans="1:6" ht="12.75">
      <c r="A9475" s="2">
        <v>43881.028726851851</v>
      </c>
      <c r="B9475" t="str">
        <f>HYPERLINK("https://twitter.com/darinsevira","@darinsevira")</f>
        <v>@darinsevira</v>
      </c>
      <c r="C9475" t="s">
        <v>2183</v>
      </c>
      <c r="D9475">
        <v>291</v>
      </c>
      <c r="E9475">
        <v>0</v>
      </c>
      <c r="F9475">
        <v>218</v>
      </c>
    </row>
    <row r="9476" spans="1:6" ht="12.75">
      <c r="A9476" s="2">
        <v>43881.028680555552</v>
      </c>
      <c r="B9476" t="str">
        <f>HYPERLINK("https://twitter.com/nextlevel0903","@nextlevel0903")</f>
        <v>@nextlevel0903</v>
      </c>
      <c r="C9476" t="s">
        <v>513</v>
      </c>
      <c r="D9476">
        <v>23181</v>
      </c>
      <c r="E9476">
        <v>0</v>
      </c>
      <c r="F9476">
        <v>323</v>
      </c>
    </row>
    <row r="9477" spans="1:6" ht="12.75">
      <c r="A9477" s="2">
        <v>43881.028414351851</v>
      </c>
      <c r="B9477" t="str">
        <f>HYPERLINK("https://twitter.com/darinsevira","@darinsevira")</f>
        <v>@darinsevira</v>
      </c>
      <c r="C9477" t="s">
        <v>1407</v>
      </c>
      <c r="D9477">
        <v>8919</v>
      </c>
      <c r="E9477">
        <v>0</v>
      </c>
      <c r="F9477">
        <v>218</v>
      </c>
    </row>
    <row r="9478" spans="1:6" ht="12.75">
      <c r="A9478" s="2">
        <v>43881.028263888889</v>
      </c>
      <c r="B9478" t="str">
        <f>HYPERLINK("https://twitter.com/dika_gatra","@dika_gatra")</f>
        <v>@dika_gatra</v>
      </c>
      <c r="C9478" t="s">
        <v>5844</v>
      </c>
      <c r="D9478">
        <v>3</v>
      </c>
      <c r="E9478">
        <v>0</v>
      </c>
      <c r="F9478">
        <v>4</v>
      </c>
    </row>
    <row r="9479" spans="1:6" ht="12.75">
      <c r="A9479" s="2">
        <v>43881.028009259258</v>
      </c>
      <c r="B9479" t="str">
        <f>HYPERLINK("https://twitter.com/MAliSubhan2","@MAliSubhan2")</f>
        <v>@MAliSubhan2</v>
      </c>
      <c r="C9479" t="s">
        <v>4360</v>
      </c>
      <c r="D9479">
        <v>29</v>
      </c>
      <c r="E9479">
        <v>0</v>
      </c>
      <c r="F9479">
        <v>1137</v>
      </c>
    </row>
    <row r="9480" spans="1:6" ht="12.75">
      <c r="A9480" s="2">
        <v>43881.027928240743</v>
      </c>
      <c r="B9480" t="str">
        <f>HYPERLINK("https://twitter.com/pindoxx","@pindoxx")</f>
        <v>@pindoxx</v>
      </c>
      <c r="C9480" t="s">
        <v>2768</v>
      </c>
      <c r="D9480">
        <v>70</v>
      </c>
      <c r="E9480">
        <v>0</v>
      </c>
      <c r="F9480">
        <v>509</v>
      </c>
    </row>
    <row r="9481" spans="1:6" ht="12.75">
      <c r="A9481" s="2">
        <v>43881.027754629627</v>
      </c>
      <c r="B9481" t="str">
        <f>HYPERLINK("https://twitter.com/adoremings","@adoremings")</f>
        <v>@adoremings</v>
      </c>
      <c r="C9481" t="s">
        <v>1407</v>
      </c>
      <c r="D9481">
        <v>8919</v>
      </c>
      <c r="E9481">
        <v>0</v>
      </c>
      <c r="F9481">
        <v>275</v>
      </c>
    </row>
    <row r="9482" spans="1:6" ht="12.75">
      <c r="A9482" s="2">
        <v>43881.027627314819</v>
      </c>
      <c r="B9482" t="str">
        <f>HYPERLINK("https://twitter.com/Uvioleett","@Uvioleett")</f>
        <v>@Uvioleett</v>
      </c>
      <c r="C9482" t="s">
        <v>1407</v>
      </c>
      <c r="D9482">
        <v>8919</v>
      </c>
      <c r="E9482">
        <v>0</v>
      </c>
      <c r="F9482">
        <v>556</v>
      </c>
    </row>
    <row r="9483" spans="1:6" ht="12.75">
      <c r="A9483" s="2">
        <v>43881.027071759258</v>
      </c>
      <c r="B9483" t="str">
        <f>HYPERLINK("https://twitter.com/hira52395399","@hira52395399")</f>
        <v>@hira52395399</v>
      </c>
      <c r="C9483" t="s">
        <v>2118</v>
      </c>
      <c r="D9483">
        <v>6</v>
      </c>
      <c r="E9483">
        <v>0</v>
      </c>
      <c r="F9483">
        <v>0</v>
      </c>
    </row>
    <row r="9484" spans="1:6" ht="12.75">
      <c r="A9484" s="2">
        <v>43881.026805555557</v>
      </c>
      <c r="B9484" t="str">
        <f>HYPERLINK("https://twitter.com/nilaahrl","@nilaahrl")</f>
        <v>@nilaahrl</v>
      </c>
      <c r="C9484" t="s">
        <v>1407</v>
      </c>
      <c r="D9484">
        <v>8919</v>
      </c>
      <c r="E9484">
        <v>0</v>
      </c>
      <c r="F9484">
        <v>229</v>
      </c>
    </row>
    <row r="9485" spans="1:6" ht="12.75">
      <c r="A9485" s="2">
        <v>43881.026516203703</v>
      </c>
      <c r="B9485" t="str">
        <f>HYPERLINK("https://twitter.com/xAdiraHKsvarax","@xAdiraHKsvarax")</f>
        <v>@xAdiraHKsvarax</v>
      </c>
      <c r="C9485" t="s">
        <v>2692</v>
      </c>
      <c r="D9485">
        <v>1647</v>
      </c>
      <c r="E9485">
        <v>0</v>
      </c>
      <c r="F9485">
        <v>954</v>
      </c>
    </row>
    <row r="9486" spans="1:6" ht="12.75">
      <c r="A9486" s="2">
        <v>43881.026469907403</v>
      </c>
      <c r="B9486" t="str">
        <f>HYPERLINK("https://twitter.com/onlihumqn","@onlihumqn")</f>
        <v>@onlihumqn</v>
      </c>
      <c r="C9486" t="s">
        <v>1407</v>
      </c>
      <c r="D9486">
        <v>8919</v>
      </c>
      <c r="E9486">
        <v>0</v>
      </c>
      <c r="F9486">
        <v>1587</v>
      </c>
    </row>
    <row r="9487" spans="1:6" ht="12.75">
      <c r="A9487" s="2">
        <v>43881.026377314818</v>
      </c>
      <c r="B9487" t="str">
        <f>HYPERLINK("https://twitter.com/iputusmrntha_","@iputusmrntha_")</f>
        <v>@iputusmrntha_</v>
      </c>
      <c r="C9487" t="s">
        <v>1407</v>
      </c>
      <c r="D9487">
        <v>8919</v>
      </c>
      <c r="E9487">
        <v>0</v>
      </c>
      <c r="F9487">
        <v>545</v>
      </c>
    </row>
    <row r="9488" spans="1:6" ht="12.75">
      <c r="A9488" s="2">
        <v>43881.023969907408</v>
      </c>
      <c r="B9488" t="str">
        <f>HYPERLINK("https://twitter.com/updatedotid","@updatedotid")</f>
        <v>@updatedotid</v>
      </c>
      <c r="C9488" t="s">
        <v>5837</v>
      </c>
      <c r="D9488">
        <v>2</v>
      </c>
      <c r="E9488">
        <v>0</v>
      </c>
      <c r="F9488">
        <v>1620</v>
      </c>
    </row>
    <row r="9489" spans="1:6" ht="12.75">
      <c r="A9489" s="2">
        <v>43881.023969907408</v>
      </c>
      <c r="B9489" t="str">
        <f>HYPERLINK("https://twitter.com/sabhatansabiz","@sabhatansabiz")</f>
        <v>@sabhatansabiz</v>
      </c>
      <c r="C9489" t="s">
        <v>5837</v>
      </c>
      <c r="D9489">
        <v>2</v>
      </c>
      <c r="E9489">
        <v>0</v>
      </c>
      <c r="F9489">
        <v>1584</v>
      </c>
    </row>
    <row r="9490" spans="1:6" ht="12.75">
      <c r="A9490" s="2">
        <v>43881.023842592593</v>
      </c>
      <c r="B9490" t="str">
        <f>HYPERLINK("https://twitter.com/Indones1a_ku","@Indones1a_ku")</f>
        <v>@Indones1a_ku</v>
      </c>
      <c r="C9490" t="s">
        <v>5845</v>
      </c>
      <c r="D9490">
        <v>0</v>
      </c>
      <c r="E9490">
        <v>0</v>
      </c>
      <c r="F9490">
        <v>112</v>
      </c>
    </row>
    <row r="9491" spans="1:6" ht="12.75">
      <c r="A9491" s="2">
        <v>43881.023645833338</v>
      </c>
      <c r="B9491" t="str">
        <f>HYPERLINK("https://twitter.com/radar_malang","@radar_malang")</f>
        <v>@radar_malang</v>
      </c>
      <c r="C9491" t="s">
        <v>5839</v>
      </c>
      <c r="D9491">
        <v>2</v>
      </c>
      <c r="E9491">
        <v>1</v>
      </c>
      <c r="F9491">
        <v>108579</v>
      </c>
    </row>
    <row r="9492" spans="1:6" ht="12.75">
      <c r="A9492" s="2">
        <v>43881.023611111115</v>
      </c>
      <c r="B9492" t="str">
        <f>HYPERLINK("https://twitter.com/auliiiard","@auliiiard")</f>
        <v>@auliiiard</v>
      </c>
      <c r="C9492" t="s">
        <v>1407</v>
      </c>
      <c r="D9492">
        <v>8919</v>
      </c>
      <c r="E9492">
        <v>0</v>
      </c>
      <c r="F9492">
        <v>350</v>
      </c>
    </row>
    <row r="9493" spans="1:6" ht="12.75">
      <c r="A9493" s="2">
        <v>43881.022719907407</v>
      </c>
      <c r="B9493" t="str">
        <f>HYPERLINK("https://twitter.com/yeonmgi","@yeonmgi")</f>
        <v>@yeonmgi</v>
      </c>
      <c r="C9493" t="s">
        <v>1407</v>
      </c>
      <c r="D9493">
        <v>8919</v>
      </c>
      <c r="E9493">
        <v>0</v>
      </c>
      <c r="F9493">
        <v>496</v>
      </c>
    </row>
    <row r="9494" spans="1:6" ht="12.75">
      <c r="A9494" s="2">
        <v>43881.022256944445</v>
      </c>
      <c r="B9494" t="str">
        <f>HYPERLINK("https://twitter.com/shinichi8889","@shinichi8889")</f>
        <v>@shinichi8889</v>
      </c>
      <c r="C9494" t="s">
        <v>5846</v>
      </c>
      <c r="D9494">
        <v>0</v>
      </c>
      <c r="E9494">
        <v>0</v>
      </c>
      <c r="F9494">
        <v>2068</v>
      </c>
    </row>
    <row r="9495" spans="1:6" ht="12.75">
      <c r="A9495" s="2">
        <v>43881.022222222222</v>
      </c>
      <c r="B9495" t="str">
        <f>HYPERLINK("https://twitter.com/autumnfitsme","@autumnfitsme")</f>
        <v>@autumnfitsme</v>
      </c>
      <c r="C9495" t="s">
        <v>2692</v>
      </c>
      <c r="D9495">
        <v>1647</v>
      </c>
      <c r="E9495">
        <v>0</v>
      </c>
      <c r="F9495">
        <v>614</v>
      </c>
    </row>
    <row r="9496" spans="1:6" ht="12.75">
      <c r="A9496" s="2">
        <v>43881.021562499998</v>
      </c>
      <c r="B9496" t="str">
        <f>HYPERLINK("https://twitter.com/kbrilima","@kbrilima")</f>
        <v>@kbrilima</v>
      </c>
      <c r="C9496" t="s">
        <v>2079</v>
      </c>
      <c r="D9496">
        <v>55</v>
      </c>
      <c r="E9496">
        <v>0</v>
      </c>
      <c r="F9496">
        <v>1315</v>
      </c>
    </row>
    <row r="9497" spans="1:6" ht="12.75">
      <c r="A9497" s="2">
        <v>43881.021111111113</v>
      </c>
      <c r="B9497" t="str">
        <f>HYPERLINK("https://twitter.com/jisungricegrain","@jisungricegrain")</f>
        <v>@jisungricegrain</v>
      </c>
      <c r="C9497" t="s">
        <v>2692</v>
      </c>
      <c r="D9497">
        <v>1647</v>
      </c>
      <c r="E9497">
        <v>0</v>
      </c>
      <c r="F9497">
        <v>729</v>
      </c>
    </row>
    <row r="9498" spans="1:6" ht="12.75">
      <c r="A9498" s="2">
        <v>43881.02107638889</v>
      </c>
      <c r="B9498" t="str">
        <f>HYPERLINK("https://twitter.com/ivanchristi3","@ivanchristi3")</f>
        <v>@ivanchristi3</v>
      </c>
      <c r="C9498" t="s">
        <v>5847</v>
      </c>
      <c r="D9498">
        <v>1596</v>
      </c>
      <c r="E9498">
        <v>0</v>
      </c>
      <c r="F9498">
        <v>1737</v>
      </c>
    </row>
    <row r="9499" spans="1:6" ht="12.75">
      <c r="A9499" s="2">
        <v>43881.020844907413</v>
      </c>
      <c r="B9499" t="str">
        <f>HYPERLINK("https://twitter.com/unyubabi","@unyubabi")</f>
        <v>@unyubabi</v>
      </c>
      <c r="C9499" t="s">
        <v>1407</v>
      </c>
      <c r="D9499">
        <v>8919</v>
      </c>
      <c r="E9499">
        <v>0</v>
      </c>
      <c r="F9499">
        <v>16</v>
      </c>
    </row>
    <row r="9500" spans="1:6" ht="12.75">
      <c r="A9500" s="2">
        <v>43881.020787037036</v>
      </c>
      <c r="B9500" t="str">
        <f>HYPERLINK("https://twitter.com/adindasvr","@adindasvr")</f>
        <v>@adindasvr</v>
      </c>
      <c r="C9500" t="s">
        <v>5848</v>
      </c>
      <c r="D9500">
        <v>0</v>
      </c>
      <c r="E9500">
        <v>0</v>
      </c>
      <c r="F9500">
        <v>476</v>
      </c>
    </row>
    <row r="9501" spans="1:6" ht="12.75">
      <c r="A9501" s="2">
        <v>43881.020787037036</v>
      </c>
      <c r="B9501" t="str">
        <f>HYPERLINK("https://twitter.com/monggabi","@monggabi")</f>
        <v>@monggabi</v>
      </c>
      <c r="C9501" t="s">
        <v>1407</v>
      </c>
      <c r="D9501">
        <v>8919</v>
      </c>
      <c r="E9501">
        <v>0</v>
      </c>
      <c r="F9501">
        <v>104</v>
      </c>
    </row>
    <row r="9502" spans="1:6" ht="12.75">
      <c r="A9502" s="2">
        <v>43881.020682870367</v>
      </c>
      <c r="B9502" t="str">
        <f>HYPERLINK("https://twitter.com/rideumtta","@rideumtta")</f>
        <v>@rideumtta</v>
      </c>
      <c r="C9502" t="s">
        <v>2692</v>
      </c>
      <c r="D9502">
        <v>1647</v>
      </c>
      <c r="E9502">
        <v>0</v>
      </c>
      <c r="F9502">
        <v>173</v>
      </c>
    </row>
    <row r="9503" spans="1:6" ht="12.75">
      <c r="A9503" s="2">
        <v>43881.020474537036</v>
      </c>
      <c r="B9503" t="str">
        <f>HYPERLINK("https://twitter.com/nicofputra7","@nicofputra7")</f>
        <v>@nicofputra7</v>
      </c>
      <c r="C9503" t="s">
        <v>5849</v>
      </c>
      <c r="D9503">
        <v>0</v>
      </c>
      <c r="E9503">
        <v>0</v>
      </c>
      <c r="F9503">
        <v>69</v>
      </c>
    </row>
    <row r="9504" spans="1:6" ht="12.75">
      <c r="A9504" s="2">
        <v>43881.020219907412</v>
      </c>
      <c r="B9504" t="str">
        <f t="shared" ref="B9504:B9505" si="178">HYPERLINK("https://twitter.com/yaagitudehh","@yaagitudehh")</f>
        <v>@yaagitudehh</v>
      </c>
      <c r="C9504" t="s">
        <v>2183</v>
      </c>
      <c r="D9504">
        <v>291</v>
      </c>
      <c r="E9504">
        <v>0</v>
      </c>
      <c r="F9504">
        <v>392</v>
      </c>
    </row>
    <row r="9505" spans="1:6" ht="12.75">
      <c r="A9505" s="2">
        <v>43881.020104166666</v>
      </c>
      <c r="B9505" t="str">
        <f t="shared" si="178"/>
        <v>@yaagitudehh</v>
      </c>
      <c r="C9505" t="s">
        <v>2467</v>
      </c>
      <c r="D9505">
        <v>812</v>
      </c>
      <c r="E9505">
        <v>0</v>
      </c>
      <c r="F9505">
        <v>392</v>
      </c>
    </row>
    <row r="9506" spans="1:6" ht="12.75">
      <c r="A9506" s="2">
        <v>43881.019872685181</v>
      </c>
      <c r="B9506" t="str">
        <f>HYPERLINK("https://twitter.com/Negev52031680","@Negev52031680")</f>
        <v>@Negev52031680</v>
      </c>
      <c r="C9506" t="s">
        <v>5850</v>
      </c>
      <c r="D9506">
        <v>0</v>
      </c>
      <c r="E9506">
        <v>0</v>
      </c>
      <c r="F9506">
        <v>19</v>
      </c>
    </row>
    <row r="9507" spans="1:6" ht="12.75">
      <c r="A9507" s="2">
        <v>43881.019826388889</v>
      </c>
      <c r="B9507" t="str">
        <f>HYPERLINK("https://twitter.com/Lintas_kepri","@Lintas_kepri")</f>
        <v>@Lintas_kepri</v>
      </c>
      <c r="C9507" t="s">
        <v>5851</v>
      </c>
      <c r="D9507">
        <v>0</v>
      </c>
      <c r="E9507">
        <v>0</v>
      </c>
      <c r="F9507">
        <v>524</v>
      </c>
    </row>
    <row r="9508" spans="1:6" ht="12.75">
      <c r="A9508" s="2">
        <v>43881.019293981481</v>
      </c>
      <c r="B9508" t="str">
        <f>HYPERLINK("https://twitter.com/potatoizer","@potatoizer")</f>
        <v>@potatoizer</v>
      </c>
      <c r="C9508" t="s">
        <v>1407</v>
      </c>
      <c r="D9508">
        <v>8919</v>
      </c>
      <c r="E9508">
        <v>0</v>
      </c>
      <c r="F9508">
        <v>7456</v>
      </c>
    </row>
    <row r="9509" spans="1:6" ht="12.75">
      <c r="A9509" s="2">
        <v>43881.01862268518</v>
      </c>
      <c r="B9509" t="str">
        <f>HYPERLINK("https://twitter.com/xefianotsefiya","@xefianotsefiya")</f>
        <v>@xefianotsefiya</v>
      </c>
      <c r="C9509" t="s">
        <v>1407</v>
      </c>
      <c r="D9509">
        <v>8919</v>
      </c>
      <c r="E9509">
        <v>0</v>
      </c>
      <c r="F9509">
        <v>336</v>
      </c>
    </row>
    <row r="9510" spans="1:6" ht="12.75">
      <c r="A9510" s="2">
        <v>43881.018553240741</v>
      </c>
      <c r="B9510" t="str">
        <f>HYPERLINK("https://twitter.com/apaansiet","@apaansiet")</f>
        <v>@apaansiet</v>
      </c>
      <c r="C9510" t="s">
        <v>2467</v>
      </c>
      <c r="D9510">
        <v>812</v>
      </c>
      <c r="E9510">
        <v>0</v>
      </c>
      <c r="F9510">
        <v>1269</v>
      </c>
    </row>
    <row r="9511" spans="1:6" ht="12.75">
      <c r="A9511" s="2">
        <v>43881.018263888887</v>
      </c>
      <c r="B9511" t="str">
        <f>HYPERLINK("https://twitter.com/AnnisaLuthfiya","@AnnisaLuthfiya")</f>
        <v>@AnnisaLuthfiya</v>
      </c>
      <c r="C9511" t="s">
        <v>2467</v>
      </c>
      <c r="D9511">
        <v>812</v>
      </c>
      <c r="E9511">
        <v>0</v>
      </c>
      <c r="F9511">
        <v>871</v>
      </c>
    </row>
    <row r="9512" spans="1:6" ht="12.75">
      <c r="A9512" s="2">
        <v>43881.01798611111</v>
      </c>
      <c r="B9512" t="str">
        <f>HYPERLINK("https://twitter.com/leokunto","@leokunto")</f>
        <v>@leokunto</v>
      </c>
      <c r="C9512" t="s">
        <v>5852</v>
      </c>
      <c r="D9512">
        <v>0</v>
      </c>
      <c r="E9512">
        <v>0</v>
      </c>
      <c r="F9512">
        <v>349</v>
      </c>
    </row>
    <row r="9513" spans="1:6" ht="12.75">
      <c r="A9513" s="2">
        <v>43881.017928240741</v>
      </c>
      <c r="B9513" t="str">
        <f>HYPERLINK("https://twitter.com/AnnisaLuthfiya","@AnnisaLuthfiya")</f>
        <v>@AnnisaLuthfiya</v>
      </c>
      <c r="C9513" t="s">
        <v>1407</v>
      </c>
      <c r="D9513">
        <v>8919</v>
      </c>
      <c r="E9513">
        <v>0</v>
      </c>
      <c r="F9513">
        <v>871</v>
      </c>
    </row>
    <row r="9514" spans="1:6" ht="12.75">
      <c r="A9514" s="2">
        <v>43881.017754629633</v>
      </c>
      <c r="B9514" t="str">
        <f>HYPERLINK("https://twitter.com/ipantek_","@ipantek_")</f>
        <v>@ipantek_</v>
      </c>
      <c r="C9514" t="s">
        <v>2467</v>
      </c>
      <c r="D9514">
        <v>812</v>
      </c>
      <c r="E9514">
        <v>0</v>
      </c>
      <c r="F9514">
        <v>469</v>
      </c>
    </row>
    <row r="9515" spans="1:6" ht="12.75">
      <c r="A9515" s="2">
        <v>43881.01762731481</v>
      </c>
      <c r="B9515" t="str">
        <f>HYPERLINK("https://twitter.com/bubblexxiv","@bubblexxiv")</f>
        <v>@bubblexxiv</v>
      </c>
      <c r="C9515" t="s">
        <v>2692</v>
      </c>
      <c r="D9515">
        <v>1647</v>
      </c>
      <c r="E9515">
        <v>0</v>
      </c>
      <c r="F9515">
        <v>669</v>
      </c>
    </row>
    <row r="9516" spans="1:6" ht="12.75">
      <c r="A9516" s="2">
        <v>43881.017442129625</v>
      </c>
      <c r="B9516" t="str">
        <f>HYPERLINK("https://twitter.com/NabillaDP","@NabillaDP")</f>
        <v>@NabillaDP</v>
      </c>
      <c r="C9516" t="s">
        <v>2692</v>
      </c>
      <c r="D9516">
        <v>1647</v>
      </c>
      <c r="E9516">
        <v>0</v>
      </c>
      <c r="F9516">
        <v>1351</v>
      </c>
    </row>
    <row r="9517" spans="1:6" ht="12.75">
      <c r="A9517" s="2">
        <v>43881.017384259263</v>
      </c>
      <c r="B9517" t="str">
        <f>HYPERLINK("https://twitter.com/cakepansiiboy","@cakepansiiboy")</f>
        <v>@cakepansiiboy</v>
      </c>
      <c r="C9517" t="s">
        <v>1407</v>
      </c>
      <c r="D9517">
        <v>8919</v>
      </c>
      <c r="E9517">
        <v>0</v>
      </c>
      <c r="F9517">
        <v>204</v>
      </c>
    </row>
    <row r="9518" spans="1:6" ht="12.75">
      <c r="A9518" s="2">
        <v>43881.017291666663</v>
      </c>
      <c r="B9518" t="str">
        <f>HYPERLINK("https://twitter.com/andalasiy","@andalasiy")</f>
        <v>@andalasiy</v>
      </c>
      <c r="C9518" t="s">
        <v>5853</v>
      </c>
      <c r="D9518">
        <v>0</v>
      </c>
      <c r="E9518">
        <v>0</v>
      </c>
      <c r="F9518">
        <v>157</v>
      </c>
    </row>
    <row r="9519" spans="1:6" ht="12.75">
      <c r="A9519" s="2">
        <v>43881.016782407409</v>
      </c>
      <c r="B9519" t="str">
        <f>HYPERLINK("https://twitter.com/LBitjhina","@LBitjhina")</f>
        <v>@LBitjhina</v>
      </c>
      <c r="C9519" t="s">
        <v>1407</v>
      </c>
      <c r="D9519">
        <v>8919</v>
      </c>
      <c r="E9519">
        <v>0</v>
      </c>
      <c r="F9519">
        <v>84</v>
      </c>
    </row>
    <row r="9520" spans="1:6" ht="12.75">
      <c r="A9520" s="2">
        <v>43881.016759259262</v>
      </c>
      <c r="B9520" t="str">
        <f>HYPERLINK("https://twitter.com/nasfayaretno","@nasfayaretno")</f>
        <v>@nasfayaretno</v>
      </c>
      <c r="C9520" t="s">
        <v>2692</v>
      </c>
      <c r="D9520">
        <v>1647</v>
      </c>
      <c r="E9520">
        <v>0</v>
      </c>
      <c r="F9520">
        <v>281</v>
      </c>
    </row>
    <row r="9521" spans="1:6" ht="12.75">
      <c r="A9521" s="2">
        <v>43881.016250000001</v>
      </c>
      <c r="B9521" t="str">
        <f>HYPERLINK("https://twitter.com/indrprsty_","@indrprsty_")</f>
        <v>@indrprsty_</v>
      </c>
      <c r="C9521" t="s">
        <v>1407</v>
      </c>
      <c r="D9521">
        <v>8919</v>
      </c>
      <c r="E9521">
        <v>0</v>
      </c>
      <c r="F9521">
        <v>956</v>
      </c>
    </row>
    <row r="9522" spans="1:6" ht="12.75">
      <c r="A9522" s="2">
        <v>43881.001435185186</v>
      </c>
      <c r="B9522" t="str">
        <f>HYPERLINK("https://twitter.com/jaehyunsister","@jaehyunsister")</f>
        <v>@jaehyunsister</v>
      </c>
      <c r="C9522" t="s">
        <v>1407</v>
      </c>
      <c r="D9522">
        <v>8829</v>
      </c>
      <c r="E9522">
        <v>0</v>
      </c>
      <c r="F9522">
        <v>343</v>
      </c>
    </row>
    <row r="9523" spans="1:6" ht="12.75">
      <c r="A9523" s="2">
        <v>43881.001412037032</v>
      </c>
      <c r="B9523" t="str">
        <f>HYPERLINK("https://twitter.com/rainbowcakesxo","@rainbowcakesxo")</f>
        <v>@rainbowcakesxo</v>
      </c>
      <c r="C9523" t="s">
        <v>5854</v>
      </c>
      <c r="D9523">
        <v>0</v>
      </c>
      <c r="E9523">
        <v>0</v>
      </c>
      <c r="F9523">
        <v>497</v>
      </c>
    </row>
    <row r="9524" spans="1:6" ht="12.75">
      <c r="A9524" s="2">
        <v>43881.001018518524</v>
      </c>
      <c r="B9524" t="str">
        <f>HYPERLINK("https://twitter.com/dtargilp___","@dtargilp___")</f>
        <v>@dtargilp___</v>
      </c>
      <c r="C9524" t="s">
        <v>1407</v>
      </c>
      <c r="D9524">
        <v>8829</v>
      </c>
      <c r="E9524">
        <v>0</v>
      </c>
      <c r="F9524">
        <v>1283</v>
      </c>
    </row>
    <row r="9525" spans="1:6" ht="12.75">
      <c r="A9525" s="2">
        <v>43881.000752314816</v>
      </c>
      <c r="B9525" t="str">
        <f>HYPERLINK("https://twitter.com/mdkoir","@mdkoir")</f>
        <v>@mdkoir</v>
      </c>
      <c r="C9525" t="s">
        <v>5855</v>
      </c>
      <c r="D9525">
        <v>2</v>
      </c>
      <c r="E9525">
        <v>0</v>
      </c>
      <c r="F9525">
        <v>523</v>
      </c>
    </row>
    <row r="9526" spans="1:6" ht="12.75">
      <c r="A9526" s="2">
        <v>43881.000601851847</v>
      </c>
      <c r="B9526" t="str">
        <f>HYPERLINK("https://twitter.com/fatmanrv","@fatmanrv")</f>
        <v>@fatmanrv</v>
      </c>
      <c r="C9526" t="s">
        <v>1407</v>
      </c>
      <c r="D9526">
        <v>8829</v>
      </c>
      <c r="E9526">
        <v>0</v>
      </c>
      <c r="F9526">
        <v>611</v>
      </c>
    </row>
    <row r="9527" spans="1:6" ht="12.75">
      <c r="A9527" s="2">
        <v>43881.000381944439</v>
      </c>
      <c r="B9527" t="str">
        <f>HYPERLINK("https://twitter.com/y0ur3crush","@y0ur3crush")</f>
        <v>@y0ur3crush</v>
      </c>
      <c r="C9527" t="s">
        <v>1407</v>
      </c>
      <c r="D9527">
        <v>8829</v>
      </c>
      <c r="E9527">
        <v>0</v>
      </c>
      <c r="F9527">
        <v>2495</v>
      </c>
    </row>
    <row r="9528" spans="1:6" ht="12.75">
      <c r="A9528" s="2">
        <v>43881.000277777777</v>
      </c>
      <c r="B9528" t="str">
        <f>HYPERLINK("https://twitter.com/hulajkuki","@hulajkuki")</f>
        <v>@hulajkuki</v>
      </c>
      <c r="C9528" t="s">
        <v>1407</v>
      </c>
      <c r="D9528">
        <v>8829</v>
      </c>
      <c r="E9528">
        <v>0</v>
      </c>
      <c r="F9528">
        <v>208</v>
      </c>
    </row>
    <row r="9529" spans="1:6" ht="12.75">
      <c r="A9529" s="2">
        <v>43881.000208333338</v>
      </c>
      <c r="B9529" t="str">
        <f>HYPERLINK("https://twitter.com/ayaashh","@ayaashh")</f>
        <v>@ayaashh</v>
      </c>
      <c r="C9529" t="s">
        <v>1407</v>
      </c>
      <c r="D9529">
        <v>8829</v>
      </c>
      <c r="E9529">
        <v>0</v>
      </c>
      <c r="F9529">
        <v>1437</v>
      </c>
    </row>
    <row r="9530" spans="1:6" ht="12.75">
      <c r="A9530" s="2">
        <v>43881.000196759254</v>
      </c>
      <c r="B9530" t="str">
        <f>HYPERLINK("https://twitter.com/marwansher","@marwansher")</f>
        <v>@marwansher</v>
      </c>
      <c r="C9530" t="s">
        <v>2692</v>
      </c>
      <c r="D9530">
        <v>1621</v>
      </c>
      <c r="E9530">
        <v>0</v>
      </c>
      <c r="F9530">
        <v>701</v>
      </c>
    </row>
    <row r="9531" spans="1:6" ht="12.75">
      <c r="A9531" s="2">
        <v>43881.000092592592</v>
      </c>
      <c r="B9531" t="str">
        <f>HYPERLINK("https://twitter.com/pawchikins","@pawchikins")</f>
        <v>@pawchikins</v>
      </c>
      <c r="C9531" t="s">
        <v>1407</v>
      </c>
      <c r="D9531">
        <v>8829</v>
      </c>
      <c r="E9531">
        <v>0</v>
      </c>
      <c r="F9531">
        <v>221</v>
      </c>
    </row>
    <row r="9532" spans="1:6" ht="12.75">
      <c r="A9532" s="2">
        <v>43880.999652777777</v>
      </c>
      <c r="B9532" t="str">
        <f>HYPERLINK("https://twitter.com/nazleazle","@nazleazle")</f>
        <v>@nazleazle</v>
      </c>
      <c r="C9532" t="s">
        <v>1407</v>
      </c>
      <c r="D9532">
        <v>8829</v>
      </c>
      <c r="E9532">
        <v>0</v>
      </c>
      <c r="F9532">
        <v>501</v>
      </c>
    </row>
    <row r="9533" spans="1:6" ht="12.75">
      <c r="A9533" s="2">
        <v>43880.999340277776</v>
      </c>
      <c r="B9533" t="str">
        <f>HYPERLINK("https://twitter.com/SusilawatiSisi2","@SusilawatiSisi2")</f>
        <v>@SusilawatiSisi2</v>
      </c>
      <c r="C9533" t="s">
        <v>5856</v>
      </c>
      <c r="D9533">
        <v>0</v>
      </c>
      <c r="E9533">
        <v>0</v>
      </c>
      <c r="F9533">
        <v>3498</v>
      </c>
    </row>
    <row r="9534" spans="1:6" ht="12.75">
      <c r="A9534" s="2">
        <v>43880.999282407407</v>
      </c>
      <c r="B9534" t="str">
        <f>HYPERLINK("https://twitter.com/trisiantomike","@trisiantomike")</f>
        <v>@trisiantomike</v>
      </c>
      <c r="C9534" t="s">
        <v>1407</v>
      </c>
      <c r="D9534">
        <v>8829</v>
      </c>
      <c r="E9534">
        <v>0</v>
      </c>
      <c r="F9534">
        <v>162</v>
      </c>
    </row>
    <row r="9535" spans="1:6" ht="12.75">
      <c r="A9535" s="2">
        <v>43880.99927083333</v>
      </c>
      <c r="B9535" t="str">
        <f>HYPERLINK("https://twitter.com/since1999s","@since1999s")</f>
        <v>@since1999s</v>
      </c>
      <c r="C9535" t="s">
        <v>1407</v>
      </c>
      <c r="D9535">
        <v>8829</v>
      </c>
      <c r="E9535">
        <v>0</v>
      </c>
      <c r="F9535">
        <v>733</v>
      </c>
    </row>
    <row r="9536" spans="1:6" ht="12.75">
      <c r="A9536" s="2">
        <v>43880.998796296291</v>
      </c>
      <c r="B9536" t="str">
        <f>HYPERLINK("https://twitter.com/gigihadiguna","@gigihadiguna")</f>
        <v>@gigihadiguna</v>
      </c>
      <c r="C9536" t="s">
        <v>5857</v>
      </c>
      <c r="D9536">
        <v>0</v>
      </c>
      <c r="E9536">
        <v>0</v>
      </c>
      <c r="F9536">
        <v>3008</v>
      </c>
    </row>
    <row r="9537" spans="1:6" ht="12.75">
      <c r="A9537" s="2">
        <v>43880.998749999999</v>
      </c>
      <c r="B9537" t="str">
        <f>HYPERLINK("https://twitter.com/_andrrie_","@_andrrie_")</f>
        <v>@_andrrie_</v>
      </c>
      <c r="C9537" t="s">
        <v>1407</v>
      </c>
      <c r="D9537">
        <v>8829</v>
      </c>
      <c r="E9537">
        <v>0</v>
      </c>
      <c r="F9537">
        <v>407</v>
      </c>
    </row>
    <row r="9538" spans="1:6" ht="12.75">
      <c r="A9538" s="2">
        <v>43880.998738425929</v>
      </c>
      <c r="B9538" t="str">
        <f>HYPERLINK("https://twitter.com/harsono_afen_","@harsono_afen_")</f>
        <v>@harsono_afen_</v>
      </c>
      <c r="C9538" t="s">
        <v>2692</v>
      </c>
      <c r="D9538">
        <v>1621</v>
      </c>
      <c r="E9538">
        <v>0</v>
      </c>
      <c r="F9538">
        <v>1588</v>
      </c>
    </row>
    <row r="9539" spans="1:6" ht="12.75">
      <c r="A9539" s="2">
        <v>43880.998217592598</v>
      </c>
      <c r="B9539" t="str">
        <f>HYPERLINK("https://twitter.com/erinanfitri","@erinanfitri")</f>
        <v>@erinanfitri</v>
      </c>
      <c r="C9539" t="s">
        <v>2692</v>
      </c>
      <c r="D9539">
        <v>1621</v>
      </c>
      <c r="E9539">
        <v>0</v>
      </c>
      <c r="F9539">
        <v>319</v>
      </c>
    </row>
    <row r="9540" spans="1:6" ht="12.75">
      <c r="A9540" s="2">
        <v>43880.997592592597</v>
      </c>
      <c r="B9540" t="str">
        <f>HYPERLINK("https://twitter.com/GoSumutdotcom","@GoSumutdotcom")</f>
        <v>@GoSumutdotcom</v>
      </c>
      <c r="C9540" t="s">
        <v>5858</v>
      </c>
      <c r="D9540">
        <v>0</v>
      </c>
      <c r="E9540">
        <v>0</v>
      </c>
      <c r="F9540">
        <v>4622</v>
      </c>
    </row>
    <row r="9541" spans="1:6" ht="12.75">
      <c r="A9541" s="2">
        <v>43880.996840277774</v>
      </c>
      <c r="B9541" t="str">
        <f>HYPERLINK("https://twitter.com/dibaliklayartwt","@dibaliklayartwt")</f>
        <v>@dibaliklayartwt</v>
      </c>
      <c r="C9541" t="s">
        <v>1407</v>
      </c>
      <c r="D9541">
        <v>8829</v>
      </c>
      <c r="E9541">
        <v>0</v>
      </c>
      <c r="F9541">
        <v>893</v>
      </c>
    </row>
    <row r="9542" spans="1:6" ht="12.75">
      <c r="A9542" s="2">
        <v>43880.996736111112</v>
      </c>
      <c r="B9542" t="str">
        <f>HYPERLINK("https://twitter.com/RezaRahasia","@RezaRahasia")</f>
        <v>@RezaRahasia</v>
      </c>
      <c r="C9542" t="s">
        <v>2144</v>
      </c>
      <c r="D9542">
        <v>109</v>
      </c>
      <c r="E9542">
        <v>0</v>
      </c>
      <c r="F9542">
        <v>1946</v>
      </c>
    </row>
    <row r="9543" spans="1:6" ht="12.75">
      <c r="A9543" s="2">
        <v>43880.996712962966</v>
      </c>
      <c r="B9543" t="str">
        <f>HYPERLINK("https://twitter.com/putri_pdd24","@putri_pdd24")</f>
        <v>@putri_pdd24</v>
      </c>
      <c r="C9543" t="s">
        <v>1407</v>
      </c>
      <c r="D9543">
        <v>8829</v>
      </c>
      <c r="E9543">
        <v>0</v>
      </c>
      <c r="F9543">
        <v>319</v>
      </c>
    </row>
    <row r="9544" spans="1:6" ht="12.75">
      <c r="A9544" s="2">
        <v>43880.996388888889</v>
      </c>
      <c r="B9544" t="str">
        <f>HYPERLINK("https://twitter.com/Pohthu","@Pohthu")</f>
        <v>@Pohthu</v>
      </c>
      <c r="C9544" t="s">
        <v>2768</v>
      </c>
      <c r="D9544">
        <v>66</v>
      </c>
      <c r="E9544">
        <v>0</v>
      </c>
      <c r="F9544">
        <v>636</v>
      </c>
    </row>
    <row r="9545" spans="1:6" ht="12.75">
      <c r="A9545" s="2">
        <v>43880.996099537035</v>
      </c>
      <c r="B9545" t="str">
        <f>HYPERLINK("https://twitter.com/itschanwoowife","@itschanwoowife")</f>
        <v>@itschanwoowife</v>
      </c>
      <c r="C9545" t="s">
        <v>1407</v>
      </c>
      <c r="D9545">
        <v>8829</v>
      </c>
      <c r="E9545">
        <v>0</v>
      </c>
      <c r="F9545">
        <v>1349</v>
      </c>
    </row>
    <row r="9546" spans="1:6" ht="12.75">
      <c r="A9546" s="2">
        <v>43880.995856481481</v>
      </c>
      <c r="B9546" t="str">
        <f>HYPERLINK("https://twitter.com/sarbunceu","@sarbunceu")</f>
        <v>@sarbunceu</v>
      </c>
      <c r="C9546" t="s">
        <v>4415</v>
      </c>
      <c r="D9546">
        <v>129</v>
      </c>
      <c r="E9546">
        <v>0</v>
      </c>
      <c r="F9546">
        <v>421</v>
      </c>
    </row>
    <row r="9547" spans="1:6" ht="12.75">
      <c r="A9547" s="2">
        <v>43880.995798611111</v>
      </c>
      <c r="B9547" t="str">
        <f>HYPERLINK("https://twitter.com/GustMaN200","@GustMaN200")</f>
        <v>@GustMaN200</v>
      </c>
      <c r="C9547" t="s">
        <v>5859</v>
      </c>
      <c r="D9547">
        <v>0</v>
      </c>
      <c r="E9547">
        <v>0</v>
      </c>
      <c r="F9547">
        <v>38</v>
      </c>
    </row>
    <row r="9548" spans="1:6" ht="12.75">
      <c r="A9548" s="2">
        <v>43880.995694444442</v>
      </c>
      <c r="B9548" t="str">
        <f>HYPERLINK("https://twitter.com/anothersidevs","@anothersidevs")</f>
        <v>@anothersidevs</v>
      </c>
      <c r="C9548" t="s">
        <v>1407</v>
      </c>
      <c r="D9548">
        <v>8829</v>
      </c>
      <c r="E9548">
        <v>0</v>
      </c>
      <c r="F9548">
        <v>1048</v>
      </c>
    </row>
    <row r="9549" spans="1:6" ht="12.75">
      <c r="A9549" s="2">
        <v>43880.995659722219</v>
      </c>
      <c r="B9549" t="str">
        <f>HYPERLINK("https://twitter.com/MukeshM93739493","@MukeshM93739493")</f>
        <v>@MukeshM93739493</v>
      </c>
      <c r="C9549" t="s">
        <v>5860</v>
      </c>
      <c r="D9549">
        <v>0</v>
      </c>
      <c r="E9549">
        <v>0</v>
      </c>
      <c r="F9549">
        <v>852</v>
      </c>
    </row>
    <row r="9550" spans="1:6" ht="12.75">
      <c r="A9550" s="2">
        <v>43880.995601851857</v>
      </c>
      <c r="B9550" t="str">
        <f>HYPERLINK("https://twitter.com/mengonsistenkan","@mengonsistenkan")</f>
        <v>@mengonsistenkan</v>
      </c>
      <c r="C9550" t="s">
        <v>2692</v>
      </c>
      <c r="D9550">
        <v>1621</v>
      </c>
      <c r="E9550">
        <v>0</v>
      </c>
      <c r="F9550">
        <v>56</v>
      </c>
    </row>
    <row r="9551" spans="1:6" ht="12.75">
      <c r="A9551" s="2">
        <v>43880.995486111111</v>
      </c>
      <c r="B9551" t="str">
        <f>HYPERLINK("https://twitter.com/runnyfunny931","@runnyfunny931")</f>
        <v>@runnyfunny931</v>
      </c>
      <c r="C9551" t="s">
        <v>2692</v>
      </c>
      <c r="D9551">
        <v>1621</v>
      </c>
      <c r="E9551">
        <v>0</v>
      </c>
      <c r="F9551">
        <v>15</v>
      </c>
    </row>
    <row r="9552" spans="1:6" ht="12.75">
      <c r="A9552" s="2">
        <v>43880.995474537034</v>
      </c>
      <c r="B9552" t="str">
        <f>HYPERLINK("https://twitter.com/Irving_Kho","@Irving_Kho")</f>
        <v>@Irving_Kho</v>
      </c>
      <c r="C9552" t="s">
        <v>5861</v>
      </c>
      <c r="D9552">
        <v>0</v>
      </c>
      <c r="E9552">
        <v>0</v>
      </c>
      <c r="F9552">
        <v>20</v>
      </c>
    </row>
    <row r="9553" spans="1:6" ht="12.75">
      <c r="A9553" s="2">
        <v>43880.995405092588</v>
      </c>
      <c r="B9553" t="str">
        <f>HYPERLINK("https://twitter.com/rikardoar","@rikardoar")</f>
        <v>@rikardoar</v>
      </c>
      <c r="C9553" t="s">
        <v>1407</v>
      </c>
      <c r="D9553">
        <v>8829</v>
      </c>
      <c r="E9553">
        <v>0</v>
      </c>
      <c r="F9553">
        <v>163</v>
      </c>
    </row>
    <row r="9554" spans="1:6" ht="12.75">
      <c r="A9554" s="2">
        <v>43880.995208333334</v>
      </c>
      <c r="B9554" t="str">
        <f>HYPERLINK("https://twitter.com/MarieskaV","@MarieskaV")</f>
        <v>@MarieskaV</v>
      </c>
      <c r="C9554" t="s">
        <v>5839</v>
      </c>
      <c r="D9554">
        <v>0</v>
      </c>
      <c r="E9554">
        <v>0</v>
      </c>
      <c r="F9554">
        <v>304</v>
      </c>
    </row>
    <row r="9555" spans="1:6" ht="12.75">
      <c r="A9555" s="2">
        <v>43880.994664351849</v>
      </c>
      <c r="B9555" t="str">
        <f>HYPERLINK("https://twitter.com/jawapos","@jawapos")</f>
        <v>@jawapos</v>
      </c>
      <c r="C9555" t="s">
        <v>5839</v>
      </c>
      <c r="D9555">
        <v>0</v>
      </c>
      <c r="E9555">
        <v>1</v>
      </c>
      <c r="F9555">
        <v>119057</v>
      </c>
    </row>
    <row r="9556" spans="1:6" ht="12.75">
      <c r="A9556" s="2">
        <v>43880.994479166664</v>
      </c>
      <c r="B9556" t="str">
        <f>HYPERLINK("https://twitter.com/alvira_sisi","@alvira_sisi")</f>
        <v>@alvira_sisi</v>
      </c>
      <c r="C9556" t="s">
        <v>1407</v>
      </c>
      <c r="D9556">
        <v>8829</v>
      </c>
      <c r="E9556">
        <v>0</v>
      </c>
      <c r="F9556">
        <v>375</v>
      </c>
    </row>
    <row r="9557" spans="1:6" ht="12.75">
      <c r="A9557" s="2">
        <v>43880.994224537033</v>
      </c>
      <c r="B9557" t="str">
        <f>HYPERLINK("https://twitter.com/yakulaja57","@yakulaja57")</f>
        <v>@yakulaja57</v>
      </c>
      <c r="C9557" t="s">
        <v>5699</v>
      </c>
      <c r="D9557">
        <v>2</v>
      </c>
      <c r="E9557">
        <v>0</v>
      </c>
      <c r="F9557">
        <v>275</v>
      </c>
    </row>
    <row r="9558" spans="1:6" ht="12.75">
      <c r="A9558" s="2">
        <v>43880.994027777779</v>
      </c>
      <c r="B9558" t="str">
        <f>HYPERLINK("https://twitter.com/94kmilks","@94kmilks")</f>
        <v>@94kmilks</v>
      </c>
      <c r="C9558" t="s">
        <v>1407</v>
      </c>
      <c r="D9558">
        <v>8829</v>
      </c>
      <c r="E9558">
        <v>0</v>
      </c>
      <c r="F9558">
        <v>155</v>
      </c>
    </row>
    <row r="9559" spans="1:6" ht="12.75">
      <c r="A9559" s="2">
        <v>43880.993854166663</v>
      </c>
      <c r="B9559" t="str">
        <f>HYPERLINK("https://twitter.com/AristaRiris1","@AristaRiris1")</f>
        <v>@AristaRiris1</v>
      </c>
      <c r="C9559" t="s">
        <v>2692</v>
      </c>
      <c r="D9559">
        <v>1621</v>
      </c>
      <c r="E9559">
        <v>0</v>
      </c>
      <c r="F9559">
        <v>717</v>
      </c>
    </row>
    <row r="9560" spans="1:6" ht="12.75">
      <c r="A9560" s="2">
        <v>43880.993773148148</v>
      </c>
      <c r="B9560" t="str">
        <f>HYPERLINK("https://twitter.com/preferfruits","@preferfruits")</f>
        <v>@preferfruits</v>
      </c>
      <c r="C9560" t="s">
        <v>5168</v>
      </c>
      <c r="D9560">
        <v>1687</v>
      </c>
      <c r="E9560">
        <v>0</v>
      </c>
      <c r="F9560">
        <v>193</v>
      </c>
    </row>
    <row r="9561" spans="1:6" ht="12.75">
      <c r="A9561" s="2">
        <v>43880.993425925924</v>
      </c>
      <c r="B9561" t="str">
        <f>HYPERLINK("https://twitter.com/evening__poetry","@evening__poetry")</f>
        <v>@evening__poetry</v>
      </c>
      <c r="C9561" t="s">
        <v>1407</v>
      </c>
      <c r="D9561">
        <v>8829</v>
      </c>
      <c r="E9561">
        <v>0</v>
      </c>
      <c r="F9561">
        <v>11</v>
      </c>
    </row>
    <row r="9562" spans="1:6" ht="12.75">
      <c r="A9562" s="2">
        <v>43880.993298611109</v>
      </c>
      <c r="B9562" t="str">
        <f>HYPERLINK("https://twitter.com/preferfruits","@preferfruits")</f>
        <v>@preferfruits</v>
      </c>
      <c r="C9562" t="s">
        <v>1407</v>
      </c>
      <c r="D9562">
        <v>8829</v>
      </c>
      <c r="E9562">
        <v>0</v>
      </c>
      <c r="F9562">
        <v>193</v>
      </c>
    </row>
    <row r="9563" spans="1:6" ht="12.75">
      <c r="A9563" s="2">
        <v>43880.99324074074</v>
      </c>
      <c r="B9563" t="str">
        <f>HYPERLINK("https://twitter.com/arienakp","@arienakp")</f>
        <v>@arienakp</v>
      </c>
      <c r="C9563" t="s">
        <v>2692</v>
      </c>
      <c r="D9563">
        <v>1621</v>
      </c>
      <c r="E9563">
        <v>0</v>
      </c>
      <c r="F9563">
        <v>377</v>
      </c>
    </row>
    <row r="9564" spans="1:6" ht="12.75">
      <c r="A9564" s="2">
        <v>43880.993067129632</v>
      </c>
      <c r="B9564" t="str">
        <f>HYPERLINK("https://twitter.com/AnakLolina","@AnakLolina")</f>
        <v>@AnakLolina</v>
      </c>
      <c r="C9564" t="s">
        <v>4360</v>
      </c>
      <c r="D9564">
        <v>23</v>
      </c>
      <c r="E9564">
        <v>0</v>
      </c>
      <c r="F9564">
        <v>14684</v>
      </c>
    </row>
    <row r="9565" spans="1:6" ht="12.75">
      <c r="A9565" s="2">
        <v>43880.992928240739</v>
      </c>
      <c r="B9565" t="str">
        <f>HYPERLINK("https://twitter.com/safflenut","@safflenut")</f>
        <v>@safflenut</v>
      </c>
      <c r="C9565" t="s">
        <v>1407</v>
      </c>
      <c r="D9565">
        <v>8829</v>
      </c>
      <c r="E9565">
        <v>0</v>
      </c>
      <c r="F9565">
        <v>446</v>
      </c>
    </row>
    <row r="9566" spans="1:6" ht="12.75">
      <c r="A9566" s="2">
        <v>43880.992858796293</v>
      </c>
      <c r="B9566" t="str">
        <f>HYPERLINK("https://twitter.com/lawlesshy","@lawlesshy")</f>
        <v>@lawlesshy</v>
      </c>
      <c r="C9566" t="s">
        <v>1407</v>
      </c>
      <c r="D9566">
        <v>8829</v>
      </c>
      <c r="E9566">
        <v>0</v>
      </c>
      <c r="F9566">
        <v>544</v>
      </c>
    </row>
    <row r="9567" spans="1:6" ht="12.75">
      <c r="A9567" s="2">
        <v>43880.992754629631</v>
      </c>
      <c r="B9567" t="str">
        <f>HYPERLINK("https://twitter.com/SambelRujak16","@SambelRujak16")</f>
        <v>@SambelRujak16</v>
      </c>
      <c r="C9567" t="s">
        <v>1920</v>
      </c>
      <c r="D9567">
        <v>256</v>
      </c>
      <c r="E9567">
        <v>0</v>
      </c>
      <c r="F9567">
        <v>102</v>
      </c>
    </row>
    <row r="9568" spans="1:6" ht="12.75">
      <c r="A9568" s="2">
        <v>43880.99255787037</v>
      </c>
      <c r="B9568" t="str">
        <f>HYPERLINK("https://twitter.com/Xvavi99_","@Xvavi99_")</f>
        <v>@Xvavi99_</v>
      </c>
      <c r="C9568" t="s">
        <v>1407</v>
      </c>
      <c r="D9568">
        <v>8829</v>
      </c>
      <c r="E9568">
        <v>0</v>
      </c>
      <c r="F9568">
        <v>112</v>
      </c>
    </row>
    <row r="9569" spans="1:6" ht="12.75">
      <c r="A9569" s="2">
        <v>43880.992384259254</v>
      </c>
      <c r="B9569" t="str">
        <f>HYPERLINK("https://twitter.com/thisiszikra","@thisiszikra")</f>
        <v>@thisiszikra</v>
      </c>
      <c r="C9569" t="s">
        <v>1407</v>
      </c>
      <c r="D9569">
        <v>8829</v>
      </c>
      <c r="E9569">
        <v>0</v>
      </c>
      <c r="F9569">
        <v>1197</v>
      </c>
    </row>
    <row r="9570" spans="1:6" ht="12.75">
      <c r="A9570" s="2">
        <v>43880.99219907407</v>
      </c>
      <c r="B9570" t="str">
        <f>HYPERLINK("https://twitter.com/miyeyooo","@miyeyooo")</f>
        <v>@miyeyooo</v>
      </c>
      <c r="C9570" t="s">
        <v>1407</v>
      </c>
      <c r="D9570">
        <v>8829</v>
      </c>
      <c r="E9570">
        <v>0</v>
      </c>
      <c r="F9570">
        <v>29</v>
      </c>
    </row>
    <row r="9571" spans="1:6" ht="12.75">
      <c r="A9571" s="2">
        <v>43880.99217592593</v>
      </c>
      <c r="B9571" t="str">
        <f>HYPERLINK("https://twitter.com/usirro","@usirro")</f>
        <v>@usirro</v>
      </c>
      <c r="C9571" t="s">
        <v>5699</v>
      </c>
      <c r="D9571">
        <v>2</v>
      </c>
      <c r="E9571">
        <v>0</v>
      </c>
      <c r="F9571">
        <v>1054</v>
      </c>
    </row>
    <row r="9572" spans="1:6" ht="12.75">
      <c r="A9572" s="2">
        <v>43880.992118055554</v>
      </c>
      <c r="B9572" t="str">
        <f>HYPERLINK("https://twitter.com/kopitoba","@kopitoba")</f>
        <v>@kopitoba</v>
      </c>
      <c r="C9572" t="s">
        <v>1407</v>
      </c>
      <c r="D9572">
        <v>8829</v>
      </c>
      <c r="E9572">
        <v>0</v>
      </c>
      <c r="F9572">
        <v>316</v>
      </c>
    </row>
    <row r="9573" spans="1:6" ht="12.75">
      <c r="A9573" s="2">
        <v>43880.991782407407</v>
      </c>
      <c r="B9573" t="str">
        <f>HYPERLINK("https://twitter.com/wonuwuuu","@wonuwuuu")</f>
        <v>@wonuwuuu</v>
      </c>
      <c r="C9573" t="s">
        <v>1407</v>
      </c>
      <c r="D9573">
        <v>8829</v>
      </c>
      <c r="E9573">
        <v>0</v>
      </c>
      <c r="F9573">
        <v>303</v>
      </c>
    </row>
    <row r="9574" spans="1:6" ht="12.75">
      <c r="A9574" s="2">
        <v>43880.991377314815</v>
      </c>
      <c r="B9574" t="str">
        <f>HYPERLINK("https://twitter.com/1000lemonn","@1000lemonn")</f>
        <v>@1000lemonn</v>
      </c>
      <c r="C9574" t="s">
        <v>1407</v>
      </c>
      <c r="D9574">
        <v>8829</v>
      </c>
      <c r="E9574">
        <v>0</v>
      </c>
      <c r="F9574">
        <v>392</v>
      </c>
    </row>
    <row r="9575" spans="1:6" ht="12.75">
      <c r="A9575" s="2">
        <v>43880.991261574076</v>
      </c>
      <c r="B9575" t="str">
        <f>HYPERLINK("https://twitter.com/NolabelSF","@NolabelSF")</f>
        <v>@NolabelSF</v>
      </c>
      <c r="C9575" t="s">
        <v>1407</v>
      </c>
      <c r="D9575">
        <v>8829</v>
      </c>
      <c r="E9575">
        <v>0</v>
      </c>
      <c r="F9575">
        <v>126</v>
      </c>
    </row>
    <row r="9576" spans="1:6" ht="12.75">
      <c r="A9576" s="2">
        <v>43880.991168981476</v>
      </c>
      <c r="B9576" t="str">
        <f>HYPERLINK("https://twitter.com/pipinyasehun","@pipinyasehun")</f>
        <v>@pipinyasehun</v>
      </c>
      <c r="C9576" t="s">
        <v>1407</v>
      </c>
      <c r="D9576">
        <v>8829</v>
      </c>
      <c r="E9576">
        <v>0</v>
      </c>
      <c r="F9576">
        <v>471</v>
      </c>
    </row>
    <row r="9577" spans="1:6" ht="12.75">
      <c r="A9577" s="2">
        <v>43880.991122685184</v>
      </c>
      <c r="B9577" t="str">
        <f>HYPERLINK("https://twitter.com/MANGOJU_NE2","@MANGOJU_NE2")</f>
        <v>@MANGOJU_NE2</v>
      </c>
      <c r="C9577" t="s">
        <v>1407</v>
      </c>
      <c r="D9577">
        <v>8829</v>
      </c>
      <c r="E9577">
        <v>0</v>
      </c>
      <c r="F9577">
        <v>589</v>
      </c>
    </row>
    <row r="9578" spans="1:6" ht="12.75">
      <c r="A9578" s="2">
        <v>43880.991030092591</v>
      </c>
      <c r="B9578" t="str">
        <f>HYPERLINK("https://twitter.com/KompasTV","@KompasTV")</f>
        <v>@KompasTV</v>
      </c>
      <c r="C9578" t="s">
        <v>5862</v>
      </c>
      <c r="D9578">
        <v>2</v>
      </c>
      <c r="E9578">
        <v>5</v>
      </c>
      <c r="F9578">
        <v>2944460</v>
      </c>
    </row>
    <row r="9579" spans="1:6" ht="12.75">
      <c r="A9579" s="2">
        <v>43880.991006944445</v>
      </c>
      <c r="B9579" t="str">
        <f>HYPERLINK("https://twitter.com/dalbichu","@dalbichu")</f>
        <v>@dalbichu</v>
      </c>
      <c r="C9579" t="s">
        <v>2692</v>
      </c>
      <c r="D9579">
        <v>1621</v>
      </c>
      <c r="E9579">
        <v>0</v>
      </c>
      <c r="F9579">
        <v>445</v>
      </c>
    </row>
    <row r="9580" spans="1:6" ht="12.75">
      <c r="A9580" s="2">
        <v>43880.990983796291</v>
      </c>
      <c r="B9580" t="str">
        <f>HYPERLINK("https://twitter.com/Bukananakhitz","@Bukananakhitz")</f>
        <v>@Bukananakhitz</v>
      </c>
      <c r="C9580" t="s">
        <v>1407</v>
      </c>
      <c r="D9580">
        <v>8829</v>
      </c>
      <c r="E9580">
        <v>0</v>
      </c>
      <c r="F9580">
        <v>478</v>
      </c>
    </row>
    <row r="9581" spans="1:6" ht="12.75">
      <c r="A9581" s="2">
        <v>43880.990937499999</v>
      </c>
      <c r="B9581" t="str">
        <f>HYPERLINK("https://twitter.com/tengkutfk","@tengkutfk")</f>
        <v>@tengkutfk</v>
      </c>
      <c r="C9581" t="s">
        <v>1407</v>
      </c>
      <c r="D9581">
        <v>8829</v>
      </c>
      <c r="E9581">
        <v>0</v>
      </c>
      <c r="F9581">
        <v>296</v>
      </c>
    </row>
    <row r="9582" spans="1:6" ht="12.75">
      <c r="A9582" s="2">
        <v>43880.990763888884</v>
      </c>
      <c r="B9582" t="str">
        <f>HYPERLINK("https://twitter.com/pipiiisland","@pipiiisland")</f>
        <v>@pipiiisland</v>
      </c>
      <c r="C9582" t="s">
        <v>5843</v>
      </c>
      <c r="D9582">
        <v>14</v>
      </c>
      <c r="E9582">
        <v>0</v>
      </c>
      <c r="F9582">
        <v>3</v>
      </c>
    </row>
    <row r="9583" spans="1:6" ht="12.75">
      <c r="A9583" s="2">
        <v>43880.990532407406</v>
      </c>
      <c r="B9583" t="str">
        <f>HYPERLINK("https://twitter.com/AriaGagan","@AriaGagan")</f>
        <v>@AriaGagan</v>
      </c>
      <c r="C9583" t="s">
        <v>5863</v>
      </c>
      <c r="D9583">
        <v>0</v>
      </c>
      <c r="E9583">
        <v>1</v>
      </c>
      <c r="F9583">
        <v>72</v>
      </c>
    </row>
    <row r="9584" spans="1:6" ht="12.75">
      <c r="A9584" s="2">
        <v>43880.990347222221</v>
      </c>
      <c r="B9584" t="str">
        <f>HYPERLINK("https://twitter.com/oraekajja","@oraekajja")</f>
        <v>@oraekajja</v>
      </c>
      <c r="C9584" t="s">
        <v>2692</v>
      </c>
      <c r="D9584">
        <v>1621</v>
      </c>
      <c r="E9584">
        <v>0</v>
      </c>
      <c r="F9584">
        <v>329</v>
      </c>
    </row>
    <row r="9585" spans="1:6" ht="12.75">
      <c r="A9585" s="2">
        <v>43880.990324074075</v>
      </c>
      <c r="B9585" t="str">
        <f>HYPERLINK("https://twitter.com/kentankhidup","@kentankhidup")</f>
        <v>@kentankhidup</v>
      </c>
      <c r="C9585" t="s">
        <v>1407</v>
      </c>
      <c r="D9585">
        <v>8829</v>
      </c>
      <c r="E9585">
        <v>0</v>
      </c>
      <c r="F9585">
        <v>992</v>
      </c>
    </row>
    <row r="9586" spans="1:6" ht="12.75">
      <c r="A9586" s="2">
        <v>43880.989571759259</v>
      </c>
      <c r="B9586" t="str">
        <f>HYPERLINK("https://twitter.com/rayyithun2","@rayyithun2")</f>
        <v>@rayyithun2</v>
      </c>
      <c r="C9586" t="s">
        <v>2768</v>
      </c>
      <c r="D9586">
        <v>66</v>
      </c>
      <c r="E9586">
        <v>0</v>
      </c>
      <c r="F9586">
        <v>8</v>
      </c>
    </row>
    <row r="9587" spans="1:6" ht="12.75">
      <c r="A9587" s="2">
        <v>43880.989490740743</v>
      </c>
      <c r="B9587" t="str">
        <f>HYPERLINK("https://twitter.com/kopitoba","@kopitoba")</f>
        <v>@kopitoba</v>
      </c>
      <c r="C9587" t="s">
        <v>2692</v>
      </c>
      <c r="D9587">
        <v>1621</v>
      </c>
      <c r="E9587">
        <v>0</v>
      </c>
      <c r="F9587">
        <v>316</v>
      </c>
    </row>
    <row r="9588" spans="1:6" ht="12.75">
      <c r="A9588" s="2">
        <v>43880.989328703705</v>
      </c>
      <c r="B9588" t="str">
        <f>HYPERLINK("https://twitter.com/nrdnsdq","@nrdnsdq")</f>
        <v>@nrdnsdq</v>
      </c>
      <c r="C9588" t="s">
        <v>1407</v>
      </c>
      <c r="D9588">
        <v>8829</v>
      </c>
      <c r="E9588">
        <v>0</v>
      </c>
      <c r="F9588">
        <v>602</v>
      </c>
    </row>
    <row r="9589" spans="1:6" ht="12.75">
      <c r="A9589" s="2">
        <v>43880.988206018519</v>
      </c>
      <c r="B9589" t="str">
        <f>HYPERLINK("https://twitter.com/nueyr_","@nueyr_")</f>
        <v>@nueyr_</v>
      </c>
      <c r="C9589" t="s">
        <v>1407</v>
      </c>
      <c r="D9589">
        <v>8829</v>
      </c>
      <c r="E9589">
        <v>0</v>
      </c>
      <c r="F9589">
        <v>221</v>
      </c>
    </row>
    <row r="9590" spans="1:6" ht="12.75">
      <c r="A9590" s="2">
        <v>43880.988009259258</v>
      </c>
      <c r="B9590" t="str">
        <f>HYPERLINK("https://twitter.com/joonhoswift","@joonhoswift")</f>
        <v>@joonhoswift</v>
      </c>
      <c r="C9590" t="s">
        <v>2692</v>
      </c>
      <c r="D9590">
        <v>1621</v>
      </c>
      <c r="E9590">
        <v>0</v>
      </c>
      <c r="F9590">
        <v>424</v>
      </c>
    </row>
    <row r="9591" spans="1:6" ht="12.75">
      <c r="A9591" s="2">
        <v>43880.987812499996</v>
      </c>
      <c r="B9591" t="str">
        <f>HYPERLINK("https://twitter.com/erha_Kuswandi","@erha_Kuswandi")</f>
        <v>@erha_Kuswandi</v>
      </c>
      <c r="C9591" t="s">
        <v>5824</v>
      </c>
      <c r="D9591">
        <v>10</v>
      </c>
      <c r="E9591">
        <v>0</v>
      </c>
      <c r="F9591">
        <v>331</v>
      </c>
    </row>
    <row r="9592" spans="1:6" ht="12.75">
      <c r="A9592" s="2">
        <v>43880.987581018519</v>
      </c>
      <c r="B9592" t="str">
        <f>HYPERLINK("https://twitter.com/jinjjamusowo","@jinjjamusowo")</f>
        <v>@jinjjamusowo</v>
      </c>
      <c r="C9592" t="s">
        <v>1407</v>
      </c>
      <c r="D9592">
        <v>8829</v>
      </c>
      <c r="E9592">
        <v>0</v>
      </c>
      <c r="F9592">
        <v>211</v>
      </c>
    </row>
    <row r="9593" spans="1:6" ht="12.75">
      <c r="A9593" s="2">
        <v>43880.987395833334</v>
      </c>
      <c r="B9593" t="str">
        <f>HYPERLINK("https://twitter.com/purnomo_jati1","@purnomo_jati1")</f>
        <v>@purnomo_jati1</v>
      </c>
      <c r="C9593" t="s">
        <v>4360</v>
      </c>
      <c r="D9593">
        <v>23</v>
      </c>
      <c r="E9593">
        <v>0</v>
      </c>
      <c r="F9593">
        <v>329</v>
      </c>
    </row>
    <row r="9594" spans="1:6" ht="12.75">
      <c r="A9594" s="2">
        <v>43880.987222222218</v>
      </c>
      <c r="B9594" t="str">
        <f>HYPERLINK("https://twitter.com/obleuviate","@obleuviate")</f>
        <v>@obleuviate</v>
      </c>
      <c r="C9594" t="s">
        <v>1407</v>
      </c>
      <c r="D9594">
        <v>8829</v>
      </c>
      <c r="E9594">
        <v>0</v>
      </c>
      <c r="F9594">
        <v>56</v>
      </c>
    </row>
    <row r="9595" spans="1:6" ht="12.75">
      <c r="A9595" s="2">
        <v>43880.986747685187</v>
      </c>
      <c r="B9595" t="str">
        <f>HYPERLINK("https://twitter.com/agoessp","@agoessp")</f>
        <v>@agoessp</v>
      </c>
      <c r="C9595" t="s">
        <v>4360</v>
      </c>
      <c r="D9595">
        <v>23</v>
      </c>
      <c r="E9595">
        <v>0</v>
      </c>
      <c r="F9595">
        <v>132</v>
      </c>
    </row>
    <row r="9596" spans="1:6" ht="12.75">
      <c r="A9596" s="2">
        <v>43880.986712962964</v>
      </c>
      <c r="B9596" t="str">
        <f>HYPERLINK("https://twitter.com/suhrendipity_","@suhrendipity_")</f>
        <v>@suhrendipity_</v>
      </c>
      <c r="C9596" t="s">
        <v>1407</v>
      </c>
      <c r="D9596">
        <v>8829</v>
      </c>
      <c r="E9596">
        <v>0</v>
      </c>
      <c r="F9596">
        <v>362</v>
      </c>
    </row>
    <row r="9597" spans="1:6" ht="12.75">
      <c r="A9597" s="2">
        <v>43880.986689814818</v>
      </c>
      <c r="B9597" t="str">
        <f>HYPERLINK("https://twitter.com/yangakusayang","@yangakusayang")</f>
        <v>@yangakusayang</v>
      </c>
      <c r="C9597" t="s">
        <v>1407</v>
      </c>
      <c r="D9597">
        <v>8829</v>
      </c>
      <c r="E9597">
        <v>0</v>
      </c>
      <c r="F9597">
        <v>753</v>
      </c>
    </row>
    <row r="9598" spans="1:6" ht="12.75">
      <c r="A9598" s="2">
        <v>43880.986342592594</v>
      </c>
      <c r="B9598" t="str">
        <f>HYPERLINK("https://twitter.com/saltyana__","@saltyana__")</f>
        <v>@saltyana__</v>
      </c>
      <c r="C9598" t="s">
        <v>1407</v>
      </c>
      <c r="D9598">
        <v>8829</v>
      </c>
      <c r="E9598">
        <v>0</v>
      </c>
      <c r="F9598">
        <v>90</v>
      </c>
    </row>
    <row r="9599" spans="1:6" ht="12.75">
      <c r="A9599" s="2">
        <v>43880.986192129625</v>
      </c>
      <c r="B9599" t="str">
        <f>HYPERLINK("https://twitter.com/zinemaniac","@zinemaniac")</f>
        <v>@zinemaniac</v>
      </c>
      <c r="C9599" t="s">
        <v>5864</v>
      </c>
      <c r="D9599">
        <v>0</v>
      </c>
      <c r="E9599">
        <v>0</v>
      </c>
      <c r="F9599">
        <v>97</v>
      </c>
    </row>
    <row r="9600" spans="1:6" ht="12.75">
      <c r="A9600" s="2">
        <v>43880.986041666663</v>
      </c>
      <c r="B9600" t="str">
        <f>HYPERLINK("https://twitter.com/Peter15410","@Peter15410")</f>
        <v>@Peter15410</v>
      </c>
      <c r="C9600" t="s">
        <v>5865</v>
      </c>
      <c r="D9600">
        <v>0</v>
      </c>
      <c r="E9600">
        <v>0</v>
      </c>
      <c r="F9600">
        <v>0</v>
      </c>
    </row>
    <row r="9601" spans="1:6" ht="12.75">
      <c r="A9601" s="2">
        <v>43880.985937500001</v>
      </c>
      <c r="B9601" t="str">
        <f>HYPERLINK("https://twitter.com/henus8","@henus8")</f>
        <v>@henus8</v>
      </c>
      <c r="C9601" t="s">
        <v>513</v>
      </c>
      <c r="D9601">
        <v>23179</v>
      </c>
      <c r="E9601">
        <v>0</v>
      </c>
      <c r="F9601">
        <v>82</v>
      </c>
    </row>
    <row r="9602" spans="1:6" ht="12.75">
      <c r="A9602" s="2">
        <v>43880.985925925925</v>
      </c>
      <c r="B9602" t="str">
        <f t="shared" ref="B9602:B9604" si="179">HYPERLINK("https://twitter.com/pendudukwakanda","@pendudukwakanda")</f>
        <v>@pendudukwakanda</v>
      </c>
      <c r="C9602" t="s">
        <v>2509</v>
      </c>
      <c r="D9602">
        <v>128</v>
      </c>
      <c r="E9602">
        <v>0</v>
      </c>
      <c r="F9602">
        <v>248</v>
      </c>
    </row>
    <row r="9603" spans="1:6" ht="12.75">
      <c r="A9603" s="2">
        <v>43880.985868055555</v>
      </c>
      <c r="B9603" t="str">
        <f t="shared" si="179"/>
        <v>@pendudukwakanda</v>
      </c>
      <c r="C9603" t="s">
        <v>2183</v>
      </c>
      <c r="D9603">
        <v>287</v>
      </c>
      <c r="E9603">
        <v>0</v>
      </c>
      <c r="F9603">
        <v>248</v>
      </c>
    </row>
    <row r="9604" spans="1:6" ht="12.75">
      <c r="A9604" s="2">
        <v>43880.985810185186</v>
      </c>
      <c r="B9604" t="str">
        <f t="shared" si="179"/>
        <v>@pendudukwakanda</v>
      </c>
      <c r="C9604" t="s">
        <v>2467</v>
      </c>
      <c r="D9604">
        <v>802</v>
      </c>
      <c r="E9604">
        <v>0</v>
      </c>
      <c r="F9604">
        <v>248</v>
      </c>
    </row>
    <row r="9605" spans="1:6" ht="12.75">
      <c r="A9605" s="2">
        <v>43880.985462962963</v>
      </c>
      <c r="B9605" t="str">
        <f>HYPERLINK("https://twitter.com/f24nk1","@f24nk1")</f>
        <v>@f24nk1</v>
      </c>
      <c r="C9605" t="s">
        <v>4360</v>
      </c>
      <c r="D9605">
        <v>23</v>
      </c>
      <c r="E9605">
        <v>0</v>
      </c>
      <c r="F9605">
        <v>1169</v>
      </c>
    </row>
    <row r="9606" spans="1:6" ht="12.75">
      <c r="A9606" s="2">
        <v>43880.98537037037</v>
      </c>
      <c r="B9606" t="str">
        <f>HYPERLINK("https://twitter.com/ChristinaviviD","@ChristinaviviD")</f>
        <v>@ChristinaviviD</v>
      </c>
      <c r="C9606" t="s">
        <v>1407</v>
      </c>
      <c r="D9606">
        <v>8829</v>
      </c>
      <c r="E9606">
        <v>0</v>
      </c>
      <c r="F9606">
        <v>733</v>
      </c>
    </row>
    <row r="9607" spans="1:6" ht="12.75">
      <c r="A9607" s="2">
        <v>43880.985219907408</v>
      </c>
      <c r="B9607" t="str">
        <f>HYPERLINK("https://twitter.com/zzeachels","@zzeachels")</f>
        <v>@zzeachels</v>
      </c>
      <c r="C9607" t="s">
        <v>5866</v>
      </c>
      <c r="D9607">
        <v>0</v>
      </c>
      <c r="E9607">
        <v>0</v>
      </c>
      <c r="F9607">
        <v>40</v>
      </c>
    </row>
    <row r="9608" spans="1:6" ht="12.75">
      <c r="A9608" s="2">
        <v>43880.985127314816</v>
      </c>
      <c r="B9608" t="str">
        <f>HYPERLINK("https://twitter.com/ganesap99","@ganesap99")</f>
        <v>@ganesap99</v>
      </c>
      <c r="C9608" t="s">
        <v>5867</v>
      </c>
      <c r="D9608">
        <v>0</v>
      </c>
      <c r="E9608">
        <v>0</v>
      </c>
      <c r="F9608">
        <v>1</v>
      </c>
    </row>
    <row r="9609" spans="1:6" ht="12.75">
      <c r="A9609" s="2">
        <v>43880.984768518523</v>
      </c>
      <c r="B9609" t="str">
        <f>HYPERLINK("https://twitter.com/kapanlangsing","@kapanlangsing")</f>
        <v>@kapanlangsing</v>
      </c>
      <c r="C9609" t="s">
        <v>1407</v>
      </c>
      <c r="D9609">
        <v>8829</v>
      </c>
      <c r="E9609">
        <v>0</v>
      </c>
      <c r="F9609">
        <v>159</v>
      </c>
    </row>
    <row r="9610" spans="1:6" ht="12.75">
      <c r="A9610" s="2">
        <v>43880.984618055554</v>
      </c>
      <c r="B9610" t="str">
        <f>HYPERLINK("https://twitter.com/maunyapergiaja","@maunyapergiaja")</f>
        <v>@maunyapergiaja</v>
      </c>
      <c r="C9610" t="s">
        <v>513</v>
      </c>
      <c r="D9610">
        <v>23179</v>
      </c>
      <c r="E9610">
        <v>0</v>
      </c>
      <c r="F9610">
        <v>11</v>
      </c>
    </row>
    <row r="9611" spans="1:6" ht="12.75">
      <c r="A9611" s="2">
        <v>43880.984606481477</v>
      </c>
      <c r="B9611" t="str">
        <f>HYPERLINK("https://twitter.com/pakeybukani","@pakeybukani")</f>
        <v>@pakeybukani</v>
      </c>
      <c r="C9611" t="s">
        <v>1407</v>
      </c>
      <c r="D9611">
        <v>8829</v>
      </c>
      <c r="E9611">
        <v>0</v>
      </c>
      <c r="F9611">
        <v>612</v>
      </c>
    </row>
    <row r="9612" spans="1:6" ht="12.75">
      <c r="A9612" s="2">
        <v>43880.984571759254</v>
      </c>
      <c r="B9612" t="str">
        <f>HYPERLINK("https://twitter.com/deborapsibarani","@deborapsibarani")</f>
        <v>@deborapsibarani</v>
      </c>
      <c r="C9612" t="s">
        <v>1407</v>
      </c>
      <c r="D9612">
        <v>8829</v>
      </c>
      <c r="E9612">
        <v>0</v>
      </c>
      <c r="F9612">
        <v>409</v>
      </c>
    </row>
    <row r="9613" spans="1:6" ht="12.75">
      <c r="A9613" s="2">
        <v>43880.984490740739</v>
      </c>
      <c r="B9613" t="str">
        <f>HYPERLINK("https://twitter.com/rofiqsetiawan","@rofiqsetiawan")</f>
        <v>@rofiqsetiawan</v>
      </c>
      <c r="C9613" t="s">
        <v>1407</v>
      </c>
      <c r="D9613">
        <v>8829</v>
      </c>
      <c r="E9613">
        <v>0</v>
      </c>
      <c r="F9613">
        <v>228</v>
      </c>
    </row>
    <row r="9614" spans="1:6" ht="12.75">
      <c r="A9614" s="2">
        <v>43880.9841087963</v>
      </c>
      <c r="B9614" t="str">
        <f>HYPERLINK("https://twitter.com/JhonHtjl","@JhonHtjl")</f>
        <v>@JhonHtjl</v>
      </c>
      <c r="C9614" t="s">
        <v>4360</v>
      </c>
      <c r="D9614">
        <v>23</v>
      </c>
      <c r="E9614">
        <v>0</v>
      </c>
      <c r="F9614">
        <v>4251</v>
      </c>
    </row>
    <row r="9615" spans="1:6" ht="12.75">
      <c r="A9615" s="2">
        <v>43880.983969907407</v>
      </c>
      <c r="B9615" t="str">
        <f>HYPERLINK("https://twitter.com/wlndrshg","@wlndrshg")</f>
        <v>@wlndrshg</v>
      </c>
      <c r="C9615" t="s">
        <v>1407</v>
      </c>
      <c r="D9615">
        <v>8829</v>
      </c>
      <c r="E9615">
        <v>0</v>
      </c>
      <c r="F9615">
        <v>538</v>
      </c>
    </row>
    <row r="9616" spans="1:6" ht="12.75">
      <c r="A9616" s="2">
        <v>43880.983969907407</v>
      </c>
      <c r="B9616" t="str">
        <f>HYPERLINK("https://twitter.com/Bagus_A_N_F","@Bagus_A_N_F")</f>
        <v>@Bagus_A_N_F</v>
      </c>
      <c r="C9616" t="s">
        <v>5868</v>
      </c>
      <c r="D9616">
        <v>0</v>
      </c>
      <c r="E9616">
        <v>0</v>
      </c>
      <c r="F9616">
        <v>989</v>
      </c>
    </row>
    <row r="9617" spans="1:6" ht="12.75">
      <c r="A9617" s="2">
        <v>43880.983703703707</v>
      </c>
      <c r="B9617" t="str">
        <f>HYPERLINK("https://twitter.com/sendikusuma58","@sendikusuma58")</f>
        <v>@sendikusuma58</v>
      </c>
      <c r="C9617" t="s">
        <v>5869</v>
      </c>
      <c r="D9617">
        <v>0</v>
      </c>
      <c r="E9617">
        <v>0</v>
      </c>
      <c r="F9617">
        <v>36</v>
      </c>
    </row>
    <row r="9618" spans="1:6" ht="12.75">
      <c r="A9618" s="2">
        <v>43880.983703703707</v>
      </c>
      <c r="B9618" t="str">
        <f>HYPERLINK("https://twitter.com/buceenhangyul","@buceenhangyul")</f>
        <v>@buceenhangyul</v>
      </c>
      <c r="C9618" t="s">
        <v>1407</v>
      </c>
      <c r="D9618">
        <v>8829</v>
      </c>
      <c r="E9618">
        <v>0</v>
      </c>
      <c r="F9618">
        <v>1239</v>
      </c>
    </row>
    <row r="9619" spans="1:6" ht="12.75">
      <c r="A9619" s="2">
        <v>43880.98369212963</v>
      </c>
      <c r="B9619" t="str">
        <f>HYPERLINK("https://twitter.com/asinanana","@asinanana")</f>
        <v>@asinanana</v>
      </c>
      <c r="C9619" t="s">
        <v>1407</v>
      </c>
      <c r="D9619">
        <v>8829</v>
      </c>
      <c r="E9619">
        <v>0</v>
      </c>
      <c r="F9619">
        <v>1602</v>
      </c>
    </row>
    <row r="9620" spans="1:6" ht="12.75">
      <c r="A9620" s="2">
        <v>43880.98369212963</v>
      </c>
      <c r="B9620" t="str">
        <f>HYPERLINK("https://twitter.com/Yuniar_ryna","@Yuniar_ryna")</f>
        <v>@Yuniar_ryna</v>
      </c>
      <c r="C9620" t="s">
        <v>1407</v>
      </c>
      <c r="D9620">
        <v>8829</v>
      </c>
      <c r="E9620">
        <v>0</v>
      </c>
      <c r="F9620">
        <v>815</v>
      </c>
    </row>
    <row r="9621" spans="1:6" ht="12.75">
      <c r="A9621" s="2">
        <v>43880.983437499999</v>
      </c>
      <c r="B9621" t="str">
        <f>HYPERLINK("https://twitter.com/bhre_wengker84","@bhre_wengker84")</f>
        <v>@bhre_wengker84</v>
      </c>
      <c r="C9621" t="s">
        <v>5870</v>
      </c>
      <c r="D9621">
        <v>3</v>
      </c>
      <c r="E9621">
        <v>0</v>
      </c>
      <c r="F9621">
        <v>5088</v>
      </c>
    </row>
    <row r="9622" spans="1:6" ht="12.75">
      <c r="A9622" s="2">
        <v>43880.959953703699</v>
      </c>
      <c r="B9622" t="str">
        <f>HYPERLINK("https://twitter.com/ivatih","@ivatih")</f>
        <v>@ivatih</v>
      </c>
      <c r="C9622" t="s">
        <v>5871</v>
      </c>
      <c r="D9622">
        <v>0</v>
      </c>
      <c r="E9622">
        <v>0</v>
      </c>
      <c r="F9622">
        <v>3152</v>
      </c>
    </row>
    <row r="9623" spans="1:6" ht="12.75">
      <c r="A9623" s="2">
        <v>43880.959895833337</v>
      </c>
      <c r="B9623" t="str">
        <f>HYPERLINK("https://twitter.com/apurbo73867677","@apurbo73867677")</f>
        <v>@apurbo73867677</v>
      </c>
      <c r="C9623" t="s">
        <v>2108</v>
      </c>
      <c r="D9623">
        <v>6</v>
      </c>
      <c r="E9623">
        <v>0</v>
      </c>
      <c r="F9623">
        <v>1</v>
      </c>
    </row>
    <row r="9624" spans="1:6" ht="12.75">
      <c r="A9624" s="2">
        <v>43880.959768518514</v>
      </c>
      <c r="B9624" t="str">
        <f>HYPERLINK("https://twitter.com/sheisicha","@sheisicha")</f>
        <v>@sheisicha</v>
      </c>
      <c r="C9624" t="s">
        <v>2692</v>
      </c>
      <c r="D9624">
        <v>1582</v>
      </c>
      <c r="E9624">
        <v>0</v>
      </c>
      <c r="F9624">
        <v>283</v>
      </c>
    </row>
    <row r="9625" spans="1:6" ht="12.75">
      <c r="A9625" s="2">
        <v>43880.959490740745</v>
      </c>
      <c r="B9625" t="str">
        <f>HYPERLINK("https://twitter.com/yashintajuntaq","@yashintajuntaq")</f>
        <v>@yashintajuntaq</v>
      </c>
      <c r="C9625" t="s">
        <v>1407</v>
      </c>
      <c r="D9625">
        <v>8691</v>
      </c>
      <c r="E9625">
        <v>0</v>
      </c>
      <c r="F9625">
        <v>913</v>
      </c>
    </row>
    <row r="9626" spans="1:6" ht="12.75">
      <c r="A9626" s="2">
        <v>43880.959282407406</v>
      </c>
      <c r="B9626" t="str">
        <f>HYPERLINK("https://twitter.com/mbokyotulungg","@mbokyotulungg")</f>
        <v>@mbokyotulungg</v>
      </c>
      <c r="C9626" t="s">
        <v>2692</v>
      </c>
      <c r="D9626">
        <v>1582</v>
      </c>
      <c r="E9626">
        <v>0</v>
      </c>
      <c r="F9626">
        <v>394</v>
      </c>
    </row>
    <row r="9627" spans="1:6" ht="12.75">
      <c r="A9627" s="2">
        <v>43880.959224537037</v>
      </c>
      <c r="B9627" t="str">
        <f>HYPERLINK("https://twitter.com/ahnggadeh","@ahnggadeh")</f>
        <v>@ahnggadeh</v>
      </c>
      <c r="C9627" t="s">
        <v>2467</v>
      </c>
      <c r="D9627">
        <v>791</v>
      </c>
      <c r="E9627">
        <v>0</v>
      </c>
      <c r="F9627">
        <v>323</v>
      </c>
    </row>
    <row r="9628" spans="1:6" ht="12.75">
      <c r="A9628" s="2">
        <v>43880.95921296296</v>
      </c>
      <c r="B9628" t="str">
        <f>HYPERLINK("https://twitter.com/wni_jmsri","@wni_jmsri")</f>
        <v>@wni_jmsri</v>
      </c>
      <c r="C9628" t="s">
        <v>5872</v>
      </c>
      <c r="D9628">
        <v>2198</v>
      </c>
      <c r="E9628">
        <v>0</v>
      </c>
      <c r="F9628">
        <v>195</v>
      </c>
    </row>
    <row r="9629" spans="1:6" ht="12.75">
      <c r="A9629" s="2">
        <v>43880.95921296296</v>
      </c>
      <c r="B9629" t="str">
        <f>HYPERLINK("https://twitter.com/ahnggadeh","@ahnggadeh")</f>
        <v>@ahnggadeh</v>
      </c>
      <c r="C9629" t="s">
        <v>2183</v>
      </c>
      <c r="D9629">
        <v>283</v>
      </c>
      <c r="E9629">
        <v>0</v>
      </c>
      <c r="F9629">
        <v>323</v>
      </c>
    </row>
    <row r="9630" spans="1:6" ht="12.75">
      <c r="A9630" s="2">
        <v>43880.959143518514</v>
      </c>
      <c r="B9630" t="str">
        <f>HYPERLINK("https://twitter.com/followZhie","@followZhie")</f>
        <v>@followZhie</v>
      </c>
      <c r="C9630" t="s">
        <v>2467</v>
      </c>
      <c r="D9630">
        <v>791</v>
      </c>
      <c r="E9630">
        <v>0</v>
      </c>
      <c r="F9630">
        <v>746</v>
      </c>
    </row>
    <row r="9631" spans="1:6" ht="12.75">
      <c r="A9631" s="2">
        <v>43880.958958333329</v>
      </c>
      <c r="B9631" t="str">
        <f>HYPERLINK("https://twitter.com/cendolight","@cendolight")</f>
        <v>@cendolight</v>
      </c>
      <c r="C9631" t="s">
        <v>1407</v>
      </c>
      <c r="D9631">
        <v>8691</v>
      </c>
      <c r="E9631">
        <v>0</v>
      </c>
      <c r="F9631">
        <v>853</v>
      </c>
    </row>
    <row r="9632" spans="1:6" ht="12.75">
      <c r="A9632" s="2">
        <v>43880.958715277782</v>
      </c>
      <c r="B9632" t="str">
        <f>HYPERLINK("https://twitter.com/_sstami","@_sstami")</f>
        <v>@_sstami</v>
      </c>
      <c r="C9632" t="s">
        <v>2692</v>
      </c>
      <c r="D9632">
        <v>1582</v>
      </c>
      <c r="E9632">
        <v>0</v>
      </c>
      <c r="F9632">
        <v>383</v>
      </c>
    </row>
    <row r="9633" spans="1:6" ht="12.75">
      <c r="A9633" s="2">
        <v>43880.958530092597</v>
      </c>
      <c r="B9633" t="str">
        <f>HYPERLINK("https://twitter.com/minhyeoja1","@minhyeoja1")</f>
        <v>@minhyeoja1</v>
      </c>
      <c r="C9633" t="s">
        <v>1407</v>
      </c>
      <c r="D9633">
        <v>8691</v>
      </c>
      <c r="E9633">
        <v>0</v>
      </c>
      <c r="F9633">
        <v>660</v>
      </c>
    </row>
    <row r="9634" spans="1:6" ht="12.75">
      <c r="A9634" s="2">
        <v>43880.958518518513</v>
      </c>
      <c r="B9634" t="str">
        <f>HYPERLINK("https://twitter.com/ahnggadeh","@ahnggadeh")</f>
        <v>@ahnggadeh</v>
      </c>
      <c r="C9634" t="s">
        <v>1407</v>
      </c>
      <c r="D9634">
        <v>8691</v>
      </c>
      <c r="E9634">
        <v>0</v>
      </c>
      <c r="F9634">
        <v>323</v>
      </c>
    </row>
    <row r="9635" spans="1:6" ht="12.75">
      <c r="A9635" s="2">
        <v>43880.958460648151</v>
      </c>
      <c r="B9635" t="str">
        <f>HYPERLINK("https://twitter.com/seblakbasoaci","@seblakbasoaci")</f>
        <v>@seblakbasoaci</v>
      </c>
      <c r="C9635" t="s">
        <v>1407</v>
      </c>
      <c r="D9635">
        <v>8691</v>
      </c>
      <c r="E9635">
        <v>0</v>
      </c>
      <c r="F9635">
        <v>792</v>
      </c>
    </row>
    <row r="9636" spans="1:6" ht="12.75">
      <c r="A9636" s="2">
        <v>43880.958402777775</v>
      </c>
      <c r="B9636" t="str">
        <f>HYPERLINK("https://twitter.com/tika_tikatika","@tika_tikatika")</f>
        <v>@tika_tikatika</v>
      </c>
      <c r="C9636" t="s">
        <v>4415</v>
      </c>
      <c r="D9636">
        <v>128</v>
      </c>
      <c r="E9636">
        <v>0</v>
      </c>
      <c r="F9636">
        <v>283</v>
      </c>
    </row>
    <row r="9637" spans="1:6" ht="12.75">
      <c r="A9637" s="2">
        <v>43880.958356481482</v>
      </c>
      <c r="B9637" t="str">
        <f>HYPERLINK("https://twitter.com/followZhie","@followZhie")</f>
        <v>@followZhie</v>
      </c>
      <c r="C9637" t="s">
        <v>1407</v>
      </c>
      <c r="D9637">
        <v>8691</v>
      </c>
      <c r="E9637">
        <v>0</v>
      </c>
      <c r="F9637">
        <v>746</v>
      </c>
    </row>
    <row r="9638" spans="1:6" ht="12.75">
      <c r="A9638" s="2">
        <v>43880.958356481482</v>
      </c>
      <c r="B9638" t="str">
        <f>HYPERLINK("https://twitter.com/anto_tweet","@anto_tweet")</f>
        <v>@anto_tweet</v>
      </c>
      <c r="C9638" t="s">
        <v>5873</v>
      </c>
      <c r="D9638">
        <v>0</v>
      </c>
      <c r="E9638">
        <v>0</v>
      </c>
      <c r="F9638">
        <v>272</v>
      </c>
    </row>
    <row r="9639" spans="1:6" ht="12.75">
      <c r="A9639" s="2">
        <v>43880.958333333328</v>
      </c>
      <c r="B9639" t="str">
        <f>HYPERLINK("https://twitter.com/mediaindonesia","@mediaindonesia")</f>
        <v>@mediaindonesia</v>
      </c>
      <c r="C9639" t="s">
        <v>5874</v>
      </c>
      <c r="D9639">
        <v>0</v>
      </c>
      <c r="E9639">
        <v>0</v>
      </c>
      <c r="F9639">
        <v>1417277</v>
      </c>
    </row>
    <row r="9640" spans="1:6" ht="12.75">
      <c r="A9640" s="2">
        <v>43880.958275462966</v>
      </c>
      <c r="B9640" t="str">
        <f>HYPERLINK("https://twitter.com/Reehuka","@Reehuka")</f>
        <v>@Reehuka</v>
      </c>
      <c r="C9640" t="s">
        <v>5875</v>
      </c>
      <c r="D9640">
        <v>0</v>
      </c>
      <c r="E9640">
        <v>1</v>
      </c>
      <c r="F9640">
        <v>1687</v>
      </c>
    </row>
    <row r="9641" spans="1:6" ht="12.75">
      <c r="A9641" s="2">
        <v>43880.958252314813</v>
      </c>
      <c r="B9641" t="str">
        <f>HYPERLINK("https://twitter.com/bguskrnia","@bguskrnia")</f>
        <v>@bguskrnia</v>
      </c>
      <c r="C9641" t="s">
        <v>1407</v>
      </c>
      <c r="D9641">
        <v>8691</v>
      </c>
      <c r="E9641">
        <v>0</v>
      </c>
      <c r="F9641">
        <v>323</v>
      </c>
    </row>
    <row r="9642" spans="1:6" ht="12.75">
      <c r="A9642" s="2">
        <v>43880.958113425921</v>
      </c>
      <c r="B9642" t="str">
        <f>HYPERLINK("https://twitter.com/haah_gkdenger","@haah_gkdenger")</f>
        <v>@haah_gkdenger</v>
      </c>
      <c r="C9642" t="s">
        <v>5876</v>
      </c>
      <c r="D9642">
        <v>9</v>
      </c>
      <c r="E9642">
        <v>0</v>
      </c>
      <c r="F9642">
        <v>3</v>
      </c>
    </row>
    <row r="9643" spans="1:6" ht="12.75">
      <c r="A9643" s="2">
        <v>43880.958055555559</v>
      </c>
      <c r="B9643" t="str">
        <f>HYPERLINK("https://twitter.com/taeirav","@taeirav")</f>
        <v>@taeirav</v>
      </c>
      <c r="C9643" t="s">
        <v>1407</v>
      </c>
      <c r="D9643">
        <v>8691</v>
      </c>
      <c r="E9643">
        <v>0</v>
      </c>
      <c r="F9643">
        <v>1282</v>
      </c>
    </row>
    <row r="9644" spans="1:6" ht="12.75">
      <c r="A9644" s="2">
        <v>43880.958020833335</v>
      </c>
      <c r="B9644" t="str">
        <f>HYPERLINK("https://twitter.com/coffeeejellyy","@coffeeejellyy")</f>
        <v>@coffeeejellyy</v>
      </c>
      <c r="C9644" t="s">
        <v>5877</v>
      </c>
      <c r="D9644">
        <v>0</v>
      </c>
      <c r="E9644">
        <v>0</v>
      </c>
      <c r="F9644">
        <v>70</v>
      </c>
    </row>
    <row r="9645" spans="1:6" ht="12.75">
      <c r="A9645" s="2">
        <v>43880.957986111112</v>
      </c>
      <c r="B9645" t="str">
        <f>HYPERLINK("https://twitter.com/sindigami","@sindigami")</f>
        <v>@sindigami</v>
      </c>
      <c r="C9645" t="s">
        <v>2692</v>
      </c>
      <c r="D9645">
        <v>1582</v>
      </c>
      <c r="E9645">
        <v>0</v>
      </c>
      <c r="F9645">
        <v>65</v>
      </c>
    </row>
    <row r="9646" spans="1:6" ht="12.75">
      <c r="A9646" s="2">
        <v>43880.957743055551</v>
      </c>
      <c r="B9646" t="str">
        <f>HYPERLINK("https://twitter.com/furryskyun","@furryskyun")</f>
        <v>@furryskyun</v>
      </c>
      <c r="C9646" t="s">
        <v>1407</v>
      </c>
      <c r="D9646">
        <v>8691</v>
      </c>
      <c r="E9646">
        <v>0</v>
      </c>
      <c r="F9646">
        <v>1155</v>
      </c>
    </row>
    <row r="9647" spans="1:6" ht="12.75">
      <c r="A9647" s="2">
        <v>43880.957488425927</v>
      </c>
      <c r="B9647" t="str">
        <f>HYPERLINK("https://twitter.com/nuenueyinnuey","@nuenueyinnuey")</f>
        <v>@nuenueyinnuey</v>
      </c>
      <c r="C9647" t="s">
        <v>2692</v>
      </c>
      <c r="D9647">
        <v>1582</v>
      </c>
      <c r="E9647">
        <v>0</v>
      </c>
      <c r="F9647">
        <v>349</v>
      </c>
    </row>
    <row r="9648" spans="1:6" ht="12.75">
      <c r="A9648" s="2">
        <v>43880.957337962958</v>
      </c>
      <c r="B9648" t="str">
        <f>HYPERLINK("https://twitter.com/zenthesharingan","@zenthesharingan")</f>
        <v>@zenthesharingan</v>
      </c>
      <c r="C9648" t="s">
        <v>2692</v>
      </c>
      <c r="D9648">
        <v>1582</v>
      </c>
      <c r="E9648">
        <v>0</v>
      </c>
      <c r="F9648">
        <v>40</v>
      </c>
    </row>
    <row r="9649" spans="1:6" ht="12.75">
      <c r="A9649" s="2">
        <v>43880.957326388889</v>
      </c>
      <c r="B9649" t="str">
        <f>HYPERLINK("https://twitter.com/lograritma","@lograritma")</f>
        <v>@lograritma</v>
      </c>
      <c r="C9649" t="s">
        <v>2467</v>
      </c>
      <c r="D9649">
        <v>791</v>
      </c>
      <c r="E9649">
        <v>0</v>
      </c>
      <c r="F9649">
        <v>595</v>
      </c>
    </row>
    <row r="9650" spans="1:6" ht="12.75">
      <c r="A9650" s="2">
        <v>43880.95722222222</v>
      </c>
      <c r="B9650" t="str">
        <f>HYPERLINK("https://twitter.com/cokkainn","@cokkainn")</f>
        <v>@cokkainn</v>
      </c>
      <c r="C9650" t="s">
        <v>1407</v>
      </c>
      <c r="D9650">
        <v>8691</v>
      </c>
      <c r="E9650">
        <v>0</v>
      </c>
      <c r="F9650">
        <v>361</v>
      </c>
    </row>
    <row r="9651" spans="1:6" ht="12.75">
      <c r="A9651" s="2">
        <v>43880.957060185188</v>
      </c>
      <c r="B9651" t="str">
        <f>HYPERLINK("https://twitter.com/heyheera","@heyheera")</f>
        <v>@heyheera</v>
      </c>
      <c r="C9651" t="s">
        <v>2692</v>
      </c>
      <c r="D9651">
        <v>1582</v>
      </c>
      <c r="E9651">
        <v>0</v>
      </c>
      <c r="F9651">
        <v>32</v>
      </c>
    </row>
    <row r="9652" spans="1:6" ht="12.75">
      <c r="A9652" s="2">
        <v>43880.957060185188</v>
      </c>
      <c r="B9652" t="str">
        <f>HYPERLINK("https://twitter.com/syifamaulina97","@syifamaulina97")</f>
        <v>@syifamaulina97</v>
      </c>
      <c r="C9652" t="s">
        <v>2467</v>
      </c>
      <c r="D9652">
        <v>791</v>
      </c>
      <c r="E9652">
        <v>0</v>
      </c>
      <c r="F9652">
        <v>645</v>
      </c>
    </row>
    <row r="9653" spans="1:6" ht="12.75">
      <c r="A9653" s="2">
        <v>43880.956932870366</v>
      </c>
      <c r="B9653" t="str">
        <f>HYPERLINK("https://twitter.com/kmtnds","@kmtnds")</f>
        <v>@kmtnds</v>
      </c>
      <c r="C9653" t="s">
        <v>1407</v>
      </c>
      <c r="D9653">
        <v>8691</v>
      </c>
      <c r="E9653">
        <v>0</v>
      </c>
      <c r="F9653">
        <v>387</v>
      </c>
    </row>
    <row r="9654" spans="1:6" ht="12.75">
      <c r="A9654" s="2">
        <v>43880.95685185185</v>
      </c>
      <c r="B9654" t="str">
        <f>HYPERLINK("https://twitter.com/andris44","@andris44")</f>
        <v>@andris44</v>
      </c>
      <c r="C9654" t="s">
        <v>4360</v>
      </c>
      <c r="D9654">
        <v>7</v>
      </c>
      <c r="E9654">
        <v>0</v>
      </c>
      <c r="F9654">
        <v>1259</v>
      </c>
    </row>
    <row r="9655" spans="1:6" ht="12.75">
      <c r="A9655" s="2">
        <v>43880.956817129627</v>
      </c>
      <c r="B9655" t="str">
        <f>HYPERLINK("https://twitter.com/youncereal","@youncereal")</f>
        <v>@youncereal</v>
      </c>
      <c r="C9655" t="s">
        <v>1407</v>
      </c>
      <c r="D9655">
        <v>8691</v>
      </c>
      <c r="E9655">
        <v>0</v>
      </c>
      <c r="F9655">
        <v>50</v>
      </c>
    </row>
    <row r="9656" spans="1:6" ht="12.75">
      <c r="A9656" s="2">
        <v>43880.956574074073</v>
      </c>
      <c r="B9656" t="str">
        <f>HYPERLINK("https://twitter.com/Abah_Thoha","@Abah_Thoha")</f>
        <v>@Abah_Thoha</v>
      </c>
      <c r="C9656" t="s">
        <v>5878</v>
      </c>
      <c r="D9656">
        <v>46</v>
      </c>
      <c r="E9656">
        <v>0</v>
      </c>
      <c r="F9656">
        <v>2</v>
      </c>
    </row>
    <row r="9657" spans="1:6" ht="12.75">
      <c r="A9657" s="2">
        <v>43880.95648148148</v>
      </c>
      <c r="B9657" t="str">
        <f>HYPERLINK("https://twitter.com/syifamaulina97","@syifamaulina97")</f>
        <v>@syifamaulina97</v>
      </c>
      <c r="C9657" t="s">
        <v>1407</v>
      </c>
      <c r="D9657">
        <v>8691</v>
      </c>
      <c r="E9657">
        <v>0</v>
      </c>
      <c r="F9657">
        <v>645</v>
      </c>
    </row>
    <row r="9658" spans="1:6" ht="12.75">
      <c r="A9658" s="2">
        <v>43880.956400462965</v>
      </c>
      <c r="B9658" t="str">
        <f>HYPERLINK("https://twitter.com/epelidei","@epelidei")</f>
        <v>@epelidei</v>
      </c>
      <c r="C9658" t="s">
        <v>1407</v>
      </c>
      <c r="D9658">
        <v>8691</v>
      </c>
      <c r="E9658">
        <v>0</v>
      </c>
      <c r="F9658">
        <v>48</v>
      </c>
    </row>
    <row r="9659" spans="1:6" ht="12.75">
      <c r="A9659" s="2">
        <v>43880.956261574072</v>
      </c>
      <c r="B9659" t="str">
        <f>HYPERLINK("https://twitter.com/jynism_","@jynism_")</f>
        <v>@jynism_</v>
      </c>
      <c r="C9659" t="s">
        <v>1407</v>
      </c>
      <c r="D9659">
        <v>8691</v>
      </c>
      <c r="E9659">
        <v>0</v>
      </c>
      <c r="F9659">
        <v>75</v>
      </c>
    </row>
    <row r="9660" spans="1:6" ht="12.75">
      <c r="A9660" s="2">
        <v>43880.95621527778</v>
      </c>
      <c r="B9660" t="str">
        <f>HYPERLINK("https://twitter.com/lalaekswannnnnn","@lalaekswannnnnn")</f>
        <v>@lalaekswannnnnn</v>
      </c>
      <c r="C9660" t="s">
        <v>1407</v>
      </c>
      <c r="D9660">
        <v>8691</v>
      </c>
      <c r="E9660">
        <v>0</v>
      </c>
      <c r="F9660">
        <v>642</v>
      </c>
    </row>
    <row r="9661" spans="1:6" ht="12.75">
      <c r="A9661" s="2">
        <v>43880.95616898148</v>
      </c>
      <c r="B9661" t="str">
        <f>HYPERLINK("https://twitter.com/anfiandari","@anfiandari")</f>
        <v>@anfiandari</v>
      </c>
      <c r="C9661" t="s">
        <v>1407</v>
      </c>
      <c r="D9661">
        <v>8691</v>
      </c>
      <c r="E9661">
        <v>0</v>
      </c>
      <c r="F9661">
        <v>416</v>
      </c>
    </row>
    <row r="9662" spans="1:6" ht="12.75">
      <c r="A9662" s="2">
        <v>43880.956111111111</v>
      </c>
      <c r="B9662" t="str">
        <f>HYPERLINK("https://twitter.com/nnssvtr","@nnssvtr")</f>
        <v>@nnssvtr</v>
      </c>
      <c r="C9662" t="s">
        <v>1407</v>
      </c>
      <c r="D9662">
        <v>8691</v>
      </c>
      <c r="E9662">
        <v>0</v>
      </c>
      <c r="F9662">
        <v>613</v>
      </c>
    </row>
    <row r="9663" spans="1:6" ht="12.75">
      <c r="A9663" s="2">
        <v>43880.955925925926</v>
      </c>
      <c r="B9663" t="str">
        <f>HYPERLINK("https://twitter.com/GoNewsdotco","@GoNewsdotco")</f>
        <v>@GoNewsdotco</v>
      </c>
      <c r="C9663" t="s">
        <v>5858</v>
      </c>
      <c r="D9663">
        <v>0</v>
      </c>
      <c r="E9663">
        <v>0</v>
      </c>
      <c r="F9663">
        <v>3781</v>
      </c>
    </row>
    <row r="9664" spans="1:6" ht="12.75">
      <c r="A9664" s="2">
        <v>43880.955740740741</v>
      </c>
      <c r="B9664" t="str">
        <f>HYPERLINK("https://twitter.com/Ikhmiilaf","@Ikhmiilaf")</f>
        <v>@Ikhmiilaf</v>
      </c>
      <c r="C9664" t="s">
        <v>1407</v>
      </c>
      <c r="D9664">
        <v>8691</v>
      </c>
      <c r="E9664">
        <v>0</v>
      </c>
      <c r="F9664">
        <v>401</v>
      </c>
    </row>
    <row r="9665" spans="1:6" ht="12.75">
      <c r="A9665" s="2">
        <v>43880.955659722225</v>
      </c>
      <c r="B9665" t="str">
        <f>HYPERLINK("https://twitter.com/beebeeat","@beebeeat")</f>
        <v>@beebeeat</v>
      </c>
      <c r="C9665" t="s">
        <v>2692</v>
      </c>
      <c r="D9665">
        <v>1582</v>
      </c>
      <c r="E9665">
        <v>0</v>
      </c>
      <c r="F9665">
        <v>466</v>
      </c>
    </row>
    <row r="9666" spans="1:6" ht="12.75">
      <c r="A9666" s="2">
        <v>43880.955578703702</v>
      </c>
      <c r="B9666" t="str">
        <f>HYPERLINK("https://twitter.com/AndhikaHaryadi","@AndhikaHaryadi")</f>
        <v>@AndhikaHaryadi</v>
      </c>
      <c r="C9666" t="s">
        <v>5879</v>
      </c>
      <c r="D9666">
        <v>0</v>
      </c>
      <c r="E9666">
        <v>0</v>
      </c>
      <c r="F9666">
        <v>390</v>
      </c>
    </row>
    <row r="9667" spans="1:6" ht="12.75">
      <c r="A9667" s="2">
        <v>43880.955138888894</v>
      </c>
      <c r="B9667" t="str">
        <f>HYPERLINK("https://twitter.com/haibuyungupik","@haibuyungupik")</f>
        <v>@haibuyungupik</v>
      </c>
      <c r="C9667" t="s">
        <v>1407</v>
      </c>
      <c r="D9667">
        <v>8691</v>
      </c>
      <c r="E9667">
        <v>0</v>
      </c>
      <c r="F9667">
        <v>1005</v>
      </c>
    </row>
    <row r="9668" spans="1:6" ht="12.75">
      <c r="A9668" s="2">
        <v>43880.955081018517</v>
      </c>
      <c r="B9668" t="str">
        <f>HYPERLINK("https://twitter.com/kookvjinx","@kookvjinx")</f>
        <v>@kookvjinx</v>
      </c>
      <c r="C9668" t="s">
        <v>1407</v>
      </c>
      <c r="D9668">
        <v>8691</v>
      </c>
      <c r="E9668">
        <v>0</v>
      </c>
      <c r="F9668">
        <v>818</v>
      </c>
    </row>
    <row r="9669" spans="1:6" ht="12.75">
      <c r="A9669" s="2">
        <v>43880.954965277779</v>
      </c>
      <c r="B9669" t="str">
        <f>HYPERLINK("https://twitter.com/ughhobiee","@ughhobiee")</f>
        <v>@ughhobiee</v>
      </c>
      <c r="C9669" t="s">
        <v>1407</v>
      </c>
      <c r="D9669">
        <v>8691</v>
      </c>
      <c r="E9669">
        <v>0</v>
      </c>
      <c r="F9669">
        <v>2568</v>
      </c>
    </row>
    <row r="9670" spans="1:6" ht="12.75">
      <c r="A9670" s="2">
        <v>43880.954363425924</v>
      </c>
      <c r="B9670" t="str">
        <f>HYPERLINK("https://twitter.com/Kryzkrystallee","@Kryzkrystallee")</f>
        <v>@Kryzkrystallee</v>
      </c>
      <c r="C9670" t="s">
        <v>1407</v>
      </c>
      <c r="D9670">
        <v>8691</v>
      </c>
      <c r="E9670">
        <v>0</v>
      </c>
      <c r="F9670">
        <v>429</v>
      </c>
    </row>
    <row r="9671" spans="1:6" ht="12.75">
      <c r="A9671" s="2">
        <v>43880.954259259262</v>
      </c>
      <c r="B9671" t="str">
        <f>HYPERLINK("https://twitter.com/hsltr","@hsltr")</f>
        <v>@hsltr</v>
      </c>
      <c r="C9671" t="s">
        <v>2692</v>
      </c>
      <c r="D9671">
        <v>1582</v>
      </c>
      <c r="E9671">
        <v>0</v>
      </c>
      <c r="F9671">
        <v>679</v>
      </c>
    </row>
    <row r="9672" spans="1:6" ht="12.75">
      <c r="A9672" s="2">
        <v>43880.954155092593</v>
      </c>
      <c r="B9672" t="str">
        <f>HYPERLINK("https://twitter.com/apurbo73867677","@apurbo73867677")</f>
        <v>@apurbo73867677</v>
      </c>
      <c r="C9672" t="s">
        <v>2112</v>
      </c>
      <c r="D9672">
        <v>7</v>
      </c>
      <c r="E9672">
        <v>0</v>
      </c>
      <c r="F9672">
        <v>1</v>
      </c>
    </row>
    <row r="9673" spans="1:6" ht="12.75">
      <c r="A9673" s="2">
        <v>43880.954004629632</v>
      </c>
      <c r="B9673" t="str">
        <f>HYPERLINK("https://twitter.com/anggibaeee_","@anggibaeee_")</f>
        <v>@anggibaeee_</v>
      </c>
      <c r="C9673" t="s">
        <v>513</v>
      </c>
      <c r="D9673">
        <v>23172</v>
      </c>
      <c r="E9673">
        <v>0</v>
      </c>
      <c r="F9673">
        <v>1660</v>
      </c>
    </row>
    <row r="9674" spans="1:6" ht="12.75">
      <c r="A9674" s="2">
        <v>43880.954004629632</v>
      </c>
      <c r="B9674" t="str">
        <f>HYPERLINK("https://twitter.com/baksobulaaatttt","@baksobulaaatttt")</f>
        <v>@baksobulaaatttt</v>
      </c>
      <c r="C9674" t="s">
        <v>1407</v>
      </c>
      <c r="D9674">
        <v>8691</v>
      </c>
      <c r="E9674">
        <v>0</v>
      </c>
      <c r="F9674">
        <v>17</v>
      </c>
    </row>
    <row r="9675" spans="1:6" ht="12.75">
      <c r="A9675" s="2">
        <v>43880.953969907408</v>
      </c>
      <c r="B9675" t="str">
        <f>HYPERLINK("https://twitter.com/aewin86","@aewin86")</f>
        <v>@aewin86</v>
      </c>
      <c r="C9675" t="s">
        <v>2692</v>
      </c>
      <c r="D9675">
        <v>1582</v>
      </c>
      <c r="E9675">
        <v>0</v>
      </c>
      <c r="F9675">
        <v>15974</v>
      </c>
    </row>
    <row r="9676" spans="1:6" ht="12.75">
      <c r="A9676" s="2">
        <v>43880.953935185185</v>
      </c>
      <c r="B9676" t="str">
        <f>HYPERLINK("https://twitter.com/ratuhuang","@ratuhuang")</f>
        <v>@ratuhuang</v>
      </c>
      <c r="C9676" t="s">
        <v>1407</v>
      </c>
      <c r="D9676">
        <v>8691</v>
      </c>
      <c r="E9676">
        <v>0</v>
      </c>
      <c r="F9676">
        <v>889</v>
      </c>
    </row>
    <row r="9677" spans="1:6" ht="12.75">
      <c r="A9677" s="2">
        <v>43880.953692129631</v>
      </c>
      <c r="B9677" t="str">
        <f>HYPERLINK("https://twitter.com/bebbibubebo","@bebbibubebo")</f>
        <v>@bebbibubebo</v>
      </c>
      <c r="C9677" t="s">
        <v>1407</v>
      </c>
      <c r="D9677">
        <v>8691</v>
      </c>
      <c r="E9677">
        <v>0</v>
      </c>
      <c r="F9677">
        <v>22</v>
      </c>
    </row>
    <row r="9678" spans="1:6" ht="12.75">
      <c r="A9678" s="2">
        <v>43880.95349537037</v>
      </c>
      <c r="B9678" t="str">
        <f>HYPERLINK("https://twitter.com/GoSumbarcom","@GoSumbarcom")</f>
        <v>@GoSumbarcom</v>
      </c>
      <c r="C9678" t="s">
        <v>5858</v>
      </c>
      <c r="D9678">
        <v>0</v>
      </c>
      <c r="E9678">
        <v>0</v>
      </c>
      <c r="F9678">
        <v>16428</v>
      </c>
    </row>
    <row r="9679" spans="1:6" ht="12.75">
      <c r="A9679" s="2">
        <v>43880.953449074077</v>
      </c>
      <c r="B9679" t="str">
        <f>HYPERLINK("https://twitter.com/apurbo73867677","@apurbo73867677")</f>
        <v>@apurbo73867677</v>
      </c>
      <c r="C9679" t="s">
        <v>2109</v>
      </c>
      <c r="D9679">
        <v>7</v>
      </c>
      <c r="E9679">
        <v>0</v>
      </c>
      <c r="F9679">
        <v>1</v>
      </c>
    </row>
    <row r="9680" spans="1:6" ht="12.75">
      <c r="A9680" s="2">
        <v>43880.953252314815</v>
      </c>
      <c r="B9680" t="str">
        <f>HYPERLINK("https://twitter.com/jaehyunbojoku","@jaehyunbojoku")</f>
        <v>@jaehyunbojoku</v>
      </c>
      <c r="C9680" t="s">
        <v>1407</v>
      </c>
      <c r="D9680">
        <v>8691</v>
      </c>
      <c r="E9680">
        <v>0</v>
      </c>
      <c r="F9680">
        <v>4608</v>
      </c>
    </row>
    <row r="9681" spans="1:6" ht="12.75">
      <c r="A9681" s="2">
        <v>43880.953217592592</v>
      </c>
      <c r="B9681" t="str">
        <f>HYPERLINK("https://twitter.com/silviaprnmo","@silviaprnmo")</f>
        <v>@silviaprnmo</v>
      </c>
      <c r="C9681" t="s">
        <v>1407</v>
      </c>
      <c r="D9681">
        <v>8691</v>
      </c>
      <c r="E9681">
        <v>0</v>
      </c>
      <c r="F9681">
        <v>472</v>
      </c>
    </row>
    <row r="9682" spans="1:6" ht="12.75">
      <c r="A9682" s="2">
        <v>43880.953101851846</v>
      </c>
      <c r="B9682" t="str">
        <f>HYPERLINK("https://twitter.com/akudonatus","@akudonatus")</f>
        <v>@akudonatus</v>
      </c>
      <c r="C9682" t="s">
        <v>5701</v>
      </c>
      <c r="D9682">
        <v>25</v>
      </c>
      <c r="E9682">
        <v>0</v>
      </c>
      <c r="F9682">
        <v>4533</v>
      </c>
    </row>
    <row r="9683" spans="1:6" ht="12.75">
      <c r="A9683" s="2">
        <v>43880.953055555554</v>
      </c>
      <c r="B9683" t="str">
        <f>HYPERLINK("https://twitter.com/pacaynanonano","@pacaynanonano")</f>
        <v>@pacaynanonano</v>
      </c>
      <c r="C9683" t="s">
        <v>5203</v>
      </c>
      <c r="D9683">
        <v>82</v>
      </c>
      <c r="E9683">
        <v>0</v>
      </c>
      <c r="F9683">
        <v>309</v>
      </c>
    </row>
    <row r="9684" spans="1:6" ht="12.75">
      <c r="A9684" s="2">
        <v>43880.952997685185</v>
      </c>
      <c r="B9684" t="str">
        <f>HYPERLINK("https://twitter.com/farahitaferry","@farahitaferry")</f>
        <v>@farahitaferry</v>
      </c>
      <c r="C9684" t="s">
        <v>1407</v>
      </c>
      <c r="D9684">
        <v>8691</v>
      </c>
      <c r="E9684">
        <v>0</v>
      </c>
      <c r="F9684">
        <v>234</v>
      </c>
    </row>
    <row r="9685" spans="1:6" ht="12.75">
      <c r="A9685" s="2">
        <v>43880.952650462961</v>
      </c>
      <c r="B9685" t="str">
        <f>HYPERLINK("https://twitter.com/RizkiR4madani","@RizkiR4madani")</f>
        <v>@RizkiR4madani</v>
      </c>
      <c r="C9685" t="s">
        <v>4360</v>
      </c>
      <c r="D9685">
        <v>7</v>
      </c>
      <c r="E9685">
        <v>0</v>
      </c>
      <c r="F9685">
        <v>3766</v>
      </c>
    </row>
    <row r="9686" spans="1:6" ht="12.75">
      <c r="A9686" s="2">
        <v>43880.952581018515</v>
      </c>
      <c r="B9686" t="str">
        <f>HYPERLINK("https://twitter.com/kirishima198","@kirishima198")</f>
        <v>@kirishima198</v>
      </c>
      <c r="C9686" t="s">
        <v>2692</v>
      </c>
      <c r="D9686">
        <v>1582</v>
      </c>
      <c r="E9686">
        <v>0</v>
      </c>
      <c r="F9686">
        <v>785</v>
      </c>
    </row>
    <row r="9687" spans="1:6" ht="12.75">
      <c r="A9687" s="2">
        <v>43880.952534722222</v>
      </c>
      <c r="B9687" t="str">
        <f>HYPERLINK("https://twitter.com/DevaPratama__","@DevaPratama__")</f>
        <v>@DevaPratama__</v>
      </c>
      <c r="C9687" t="s">
        <v>2692</v>
      </c>
      <c r="D9687">
        <v>1582</v>
      </c>
      <c r="E9687">
        <v>0</v>
      </c>
      <c r="F9687">
        <v>311</v>
      </c>
    </row>
    <row r="9688" spans="1:6" ht="12.75">
      <c r="A9688" s="2">
        <v>43880.952523148153</v>
      </c>
      <c r="B9688" t="str">
        <f>HYPERLINK("https://twitter.com/nadiyaputrir","@nadiyaputrir")</f>
        <v>@nadiyaputrir</v>
      </c>
      <c r="C9688" t="s">
        <v>2692</v>
      </c>
      <c r="D9688">
        <v>1582</v>
      </c>
      <c r="E9688">
        <v>0</v>
      </c>
      <c r="F9688">
        <v>265</v>
      </c>
    </row>
    <row r="9689" spans="1:6" ht="12.75">
      <c r="A9689" s="2">
        <v>43880.952523148153</v>
      </c>
      <c r="B9689" t="str">
        <f>HYPERLINK("https://twitter.com/pseudochen","@pseudochen")</f>
        <v>@pseudochen</v>
      </c>
      <c r="C9689" t="s">
        <v>1407</v>
      </c>
      <c r="D9689">
        <v>8691</v>
      </c>
      <c r="E9689">
        <v>0</v>
      </c>
      <c r="F9689">
        <v>819</v>
      </c>
    </row>
    <row r="9690" spans="1:6" ht="12.75">
      <c r="A9690" s="2">
        <v>43880.952407407407</v>
      </c>
      <c r="B9690" t="str">
        <f>HYPERLINK("https://twitter.com/sisth4_hood","@sisth4_hood")</f>
        <v>@sisth4_hood</v>
      </c>
      <c r="C9690" t="s">
        <v>2692</v>
      </c>
      <c r="D9690">
        <v>1582</v>
      </c>
      <c r="E9690">
        <v>0</v>
      </c>
      <c r="F9690">
        <v>740</v>
      </c>
    </row>
    <row r="9691" spans="1:6" ht="12.75">
      <c r="A9691" s="2">
        <v>43880.952280092592</v>
      </c>
      <c r="B9691" t="str">
        <f>HYPERLINK("https://twitter.com/redasebentar","@redasebentar")</f>
        <v>@redasebentar</v>
      </c>
      <c r="C9691" t="s">
        <v>2692</v>
      </c>
      <c r="D9691">
        <v>1582</v>
      </c>
      <c r="E9691">
        <v>0</v>
      </c>
      <c r="F9691">
        <v>41</v>
      </c>
    </row>
    <row r="9692" spans="1:6" ht="12.75">
      <c r="A9692" s="2">
        <v>43880.952280092592</v>
      </c>
      <c r="B9692" t="str">
        <f>HYPERLINK("https://twitter.com/Adilvoodoo","@Adilvoodoo")</f>
        <v>@Adilvoodoo</v>
      </c>
      <c r="C9692" t="s">
        <v>2768</v>
      </c>
      <c r="D9692">
        <v>62</v>
      </c>
      <c r="E9692">
        <v>0</v>
      </c>
      <c r="F9692">
        <v>493</v>
      </c>
    </row>
    <row r="9693" spans="1:6" ht="12.75">
      <c r="A9693" s="2">
        <v>43880.952152777776</v>
      </c>
      <c r="B9693" t="str">
        <f>HYPERLINK("https://twitter.com/somplakuda","@somplakuda")</f>
        <v>@somplakuda</v>
      </c>
      <c r="C9693" t="s">
        <v>1407</v>
      </c>
      <c r="D9693">
        <v>8691</v>
      </c>
      <c r="E9693">
        <v>0</v>
      </c>
      <c r="F9693">
        <v>175</v>
      </c>
    </row>
    <row r="9694" spans="1:6" ht="12.75">
      <c r="A9694" s="2">
        <v>43880.951967592591</v>
      </c>
      <c r="B9694" t="str">
        <f>HYPERLINK("https://twitter.com/unwxxnted","@unwxxnted")</f>
        <v>@unwxxnted</v>
      </c>
      <c r="C9694" t="s">
        <v>1407</v>
      </c>
      <c r="D9694">
        <v>8691</v>
      </c>
      <c r="E9694">
        <v>0</v>
      </c>
      <c r="F9694">
        <v>1905</v>
      </c>
    </row>
    <row r="9695" spans="1:6" ht="12.75">
      <c r="A9695" s="2">
        <v>43880.951851851853</v>
      </c>
      <c r="B9695" t="str">
        <f>HYPERLINK("https://twitter.com/Laxmiwijayanti","@Laxmiwijayanti")</f>
        <v>@Laxmiwijayanti</v>
      </c>
      <c r="C9695" t="s">
        <v>1407</v>
      </c>
      <c r="D9695">
        <v>8691</v>
      </c>
      <c r="E9695">
        <v>0</v>
      </c>
      <c r="F9695">
        <v>129</v>
      </c>
    </row>
    <row r="9696" spans="1:6" ht="12.75">
      <c r="A9696" s="2">
        <v>43880.951689814814</v>
      </c>
      <c r="B9696" t="str">
        <f>HYPERLINK("https://twitter.com/faynadeaa","@faynadeaa")</f>
        <v>@faynadeaa</v>
      </c>
      <c r="C9696" t="s">
        <v>2467</v>
      </c>
      <c r="D9696">
        <v>791</v>
      </c>
      <c r="E9696">
        <v>0</v>
      </c>
      <c r="F9696">
        <v>714</v>
      </c>
    </row>
    <row r="9697" spans="1:6" ht="12.75">
      <c r="A9697" s="2">
        <v>43880.951597222222</v>
      </c>
      <c r="B9697" t="str">
        <f>HYPERLINK("https://twitter.com/kochenkcute","@kochenkcute")</f>
        <v>@kochenkcute</v>
      </c>
      <c r="C9697" t="s">
        <v>1407</v>
      </c>
      <c r="D9697">
        <v>8691</v>
      </c>
      <c r="E9697">
        <v>0</v>
      </c>
      <c r="F9697">
        <v>2</v>
      </c>
    </row>
    <row r="9698" spans="1:6" ht="12.75">
      <c r="A9698" s="2">
        <v>43880.95149305556</v>
      </c>
      <c r="B9698" t="str">
        <f>HYPERLINK("https://twitter.com/yxouth","@yxouth")</f>
        <v>@yxouth</v>
      </c>
      <c r="C9698" t="s">
        <v>1407</v>
      </c>
      <c r="D9698">
        <v>8691</v>
      </c>
      <c r="E9698">
        <v>0</v>
      </c>
      <c r="F9698">
        <v>1269</v>
      </c>
    </row>
    <row r="9699" spans="1:6" ht="12.75">
      <c r="A9699" s="2">
        <v>43880.95144675926</v>
      </c>
      <c r="B9699" t="str">
        <f>HYPERLINK("https://twitter.com/FaizahhhN","@FaizahhhN")</f>
        <v>@FaizahhhN</v>
      </c>
      <c r="C9699" t="s">
        <v>1407</v>
      </c>
      <c r="D9699">
        <v>8691</v>
      </c>
      <c r="E9699">
        <v>0</v>
      </c>
      <c r="F9699">
        <v>706</v>
      </c>
    </row>
    <row r="9700" spans="1:6" ht="12.75">
      <c r="A9700" s="2">
        <v>43880.951435185183</v>
      </c>
      <c r="B9700" t="str">
        <f>HYPERLINK("https://twitter.com/faynadeaa","@faynadeaa")</f>
        <v>@faynadeaa</v>
      </c>
      <c r="C9700" t="s">
        <v>1407</v>
      </c>
      <c r="D9700">
        <v>8691</v>
      </c>
      <c r="E9700">
        <v>0</v>
      </c>
      <c r="F9700">
        <v>714</v>
      </c>
    </row>
    <row r="9701" spans="1:6" ht="12.75">
      <c r="A9701" s="2">
        <v>43880.951423611114</v>
      </c>
      <c r="B9701" t="str">
        <f t="shared" ref="B9701:B9702" si="180">HYPERLINK("https://twitter.com/yxouth","@yxouth")</f>
        <v>@yxouth</v>
      </c>
      <c r="C9701" t="s">
        <v>2467</v>
      </c>
      <c r="D9701">
        <v>791</v>
      </c>
      <c r="E9701">
        <v>0</v>
      </c>
      <c r="F9701">
        <v>1269</v>
      </c>
    </row>
    <row r="9702" spans="1:6" ht="12.75">
      <c r="A9702" s="2">
        <v>43880.951412037037</v>
      </c>
      <c r="B9702" t="str">
        <f t="shared" si="180"/>
        <v>@yxouth</v>
      </c>
      <c r="C9702" t="s">
        <v>2183</v>
      </c>
      <c r="D9702">
        <v>283</v>
      </c>
      <c r="E9702">
        <v>0</v>
      </c>
      <c r="F9702">
        <v>1269</v>
      </c>
    </row>
    <row r="9703" spans="1:6" ht="12.75">
      <c r="A9703" s="2">
        <v>43880.951388888891</v>
      </c>
      <c r="B9703" t="str">
        <f>HYPERLINK("https://twitter.com/suradiparlan5","@suradiparlan5")</f>
        <v>@suradiparlan5</v>
      </c>
      <c r="C9703" t="s">
        <v>5880</v>
      </c>
      <c r="D9703">
        <v>5</v>
      </c>
      <c r="E9703">
        <v>0</v>
      </c>
      <c r="F9703">
        <v>1347</v>
      </c>
    </row>
    <row r="9704" spans="1:6" ht="12.75">
      <c r="A9704" s="2">
        <v>43880.951377314814</v>
      </c>
      <c r="B9704" t="str">
        <f>HYPERLINK("https://twitter.com/haniphasbi","@haniphasbi")</f>
        <v>@haniphasbi</v>
      </c>
      <c r="C9704" t="s">
        <v>1407</v>
      </c>
      <c r="D9704">
        <v>8691</v>
      </c>
      <c r="E9704">
        <v>0</v>
      </c>
      <c r="F9704">
        <v>302</v>
      </c>
    </row>
    <row r="9705" spans="1:6" ht="12.75">
      <c r="A9705" s="2">
        <v>43880.951284722221</v>
      </c>
      <c r="B9705" t="str">
        <f>HYPERLINK("https://twitter.com/BramMaulana12","@BramMaulana12")</f>
        <v>@BramMaulana12</v>
      </c>
      <c r="C9705" t="s">
        <v>5881</v>
      </c>
      <c r="D9705">
        <v>0</v>
      </c>
      <c r="E9705">
        <v>0</v>
      </c>
      <c r="F9705">
        <v>17</v>
      </c>
    </row>
    <row r="9706" spans="1:6" ht="12.75">
      <c r="A9706" s="2">
        <v>43880.951041666667</v>
      </c>
      <c r="B9706" t="str">
        <f>HYPERLINK("https://twitter.com/eun_woo11","@eun_woo11")</f>
        <v>@eun_woo11</v>
      </c>
      <c r="C9706" t="s">
        <v>1407</v>
      </c>
      <c r="D9706">
        <v>8691</v>
      </c>
      <c r="E9706">
        <v>0</v>
      </c>
      <c r="F9706">
        <v>211</v>
      </c>
    </row>
    <row r="9707" spans="1:6" ht="12.75">
      <c r="A9707" s="2">
        <v>43880.950879629629</v>
      </c>
      <c r="B9707" t="str">
        <f>HYPERLINK("https://twitter.com/isis_scheid","@isis_scheid")</f>
        <v>@isis_scheid</v>
      </c>
      <c r="C9707" t="s">
        <v>5882</v>
      </c>
      <c r="D9707">
        <v>1</v>
      </c>
      <c r="E9707">
        <v>0</v>
      </c>
      <c r="F9707">
        <v>436</v>
      </c>
    </row>
    <row r="9708" spans="1:6" ht="12.75">
      <c r="A9708" s="2">
        <v>43880.950868055559</v>
      </c>
      <c r="B9708" t="str">
        <f>HYPERLINK("https://twitter.com/dvrtn___","@dvrtn___")</f>
        <v>@dvrtn___</v>
      </c>
      <c r="C9708" t="s">
        <v>2692</v>
      </c>
      <c r="D9708">
        <v>1582</v>
      </c>
      <c r="E9708">
        <v>0</v>
      </c>
      <c r="F9708">
        <v>27</v>
      </c>
    </row>
    <row r="9709" spans="1:6" ht="12.75">
      <c r="A9709" s="2">
        <v>43880.950416666667</v>
      </c>
      <c r="B9709" t="str">
        <f>HYPERLINK("https://twitter.com/WakCopet","@WakCopet")</f>
        <v>@WakCopet</v>
      </c>
      <c r="C9709" t="s">
        <v>1407</v>
      </c>
      <c r="D9709">
        <v>8691</v>
      </c>
      <c r="E9709">
        <v>0</v>
      </c>
      <c r="F9709">
        <v>173</v>
      </c>
    </row>
    <row r="9710" spans="1:6" ht="12.75">
      <c r="A9710" s="2">
        <v>43880.95034722222</v>
      </c>
      <c r="B9710" t="str">
        <f>HYPERLINK("https://twitter.com/wuonowuon","@wuonowuon")</f>
        <v>@wuonowuon</v>
      </c>
      <c r="C9710" t="s">
        <v>1407</v>
      </c>
      <c r="D9710">
        <v>8691</v>
      </c>
      <c r="E9710">
        <v>0</v>
      </c>
      <c r="F9710">
        <v>151</v>
      </c>
    </row>
    <row r="9711" spans="1:6" ht="12.75">
      <c r="A9711" s="2">
        <v>43880.950277777782</v>
      </c>
      <c r="B9711" t="str">
        <f>HYPERLINK("https://twitter.com/nengridla","@nengridla")</f>
        <v>@nengridla</v>
      </c>
      <c r="C9711" t="s">
        <v>2692</v>
      </c>
      <c r="D9711">
        <v>1582</v>
      </c>
      <c r="E9711">
        <v>0</v>
      </c>
      <c r="F9711">
        <v>1583</v>
      </c>
    </row>
    <row r="9712" spans="1:6" ht="12.75">
      <c r="A9712" s="2">
        <v>43880.950254629628</v>
      </c>
      <c r="B9712" t="str">
        <f>HYPERLINK("https://twitter.com/wuonowuon","@wuonowuon")</f>
        <v>@wuonowuon</v>
      </c>
      <c r="C9712" t="s">
        <v>2467</v>
      </c>
      <c r="D9712">
        <v>791</v>
      </c>
      <c r="E9712">
        <v>0</v>
      </c>
      <c r="F9712">
        <v>151</v>
      </c>
    </row>
    <row r="9713" spans="1:6" ht="12.75">
      <c r="A9713" s="2">
        <v>43880.949930555551</v>
      </c>
      <c r="B9713" t="str">
        <f>HYPERLINK("https://twitter.com/majisyafii","@majisyafii")</f>
        <v>@majisyafii</v>
      </c>
      <c r="C9713" t="s">
        <v>4360</v>
      </c>
      <c r="D9713">
        <v>7</v>
      </c>
      <c r="E9713">
        <v>0</v>
      </c>
      <c r="F9713">
        <v>1885</v>
      </c>
    </row>
    <row r="9714" spans="1:6" ht="12.75">
      <c r="A9714" s="2">
        <v>43880.949895833328</v>
      </c>
      <c r="B9714" t="str">
        <f>HYPERLINK("https://twitter.com/smolhyxn","@smolhyxn")</f>
        <v>@smolhyxn</v>
      </c>
      <c r="C9714" t="s">
        <v>1407</v>
      </c>
      <c r="D9714">
        <v>8691</v>
      </c>
      <c r="E9714">
        <v>0</v>
      </c>
      <c r="F9714">
        <v>339</v>
      </c>
    </row>
    <row r="9715" spans="1:6" ht="12.75">
      <c r="A9715" s="2">
        <v>43880.949837962966</v>
      </c>
      <c r="B9715" t="str">
        <f>HYPERLINK("https://twitter.com/Ddaruuu","@Ddaruuu")</f>
        <v>@Ddaruuu</v>
      </c>
      <c r="C9715" t="s">
        <v>5883</v>
      </c>
      <c r="D9715">
        <v>0</v>
      </c>
      <c r="E9715">
        <v>0</v>
      </c>
      <c r="F9715">
        <v>28</v>
      </c>
    </row>
    <row r="9716" spans="1:6" ht="12.75">
      <c r="A9716" s="2">
        <v>43880.949629629627</v>
      </c>
      <c r="B9716" t="str">
        <f>HYPERLINK("https://twitter.com/stevenevets7","@stevenevets7")</f>
        <v>@stevenevets7</v>
      </c>
      <c r="C9716" t="s">
        <v>4360</v>
      </c>
      <c r="D9716">
        <v>7</v>
      </c>
      <c r="E9716">
        <v>0</v>
      </c>
      <c r="F9716">
        <v>687</v>
      </c>
    </row>
    <row r="9717" spans="1:6" ht="12.75">
      <c r="A9717" s="2">
        <v>43880.949537037042</v>
      </c>
      <c r="B9717" t="str">
        <f>HYPERLINK("https://twitter.com/qosyim_rosidy","@qosyim_rosidy")</f>
        <v>@qosyim_rosidy</v>
      </c>
      <c r="C9717" t="s">
        <v>4360</v>
      </c>
      <c r="D9717">
        <v>7</v>
      </c>
      <c r="E9717">
        <v>0</v>
      </c>
      <c r="F9717">
        <v>1481</v>
      </c>
    </row>
    <row r="9718" spans="1:6" ht="12.75">
      <c r="A9718" s="2">
        <v>43880.94940972222</v>
      </c>
      <c r="B9718" t="str">
        <f>HYPERLINK("https://twitter.com/panqestu_","@panqestu_")</f>
        <v>@panqestu_</v>
      </c>
      <c r="C9718" t="s">
        <v>1407</v>
      </c>
      <c r="D9718">
        <v>8691</v>
      </c>
      <c r="E9718">
        <v>0</v>
      </c>
      <c r="F9718">
        <v>42</v>
      </c>
    </row>
    <row r="9719" spans="1:6" ht="12.75">
      <c r="A9719" s="2">
        <v>43880.949108796296</v>
      </c>
      <c r="B9719" t="str">
        <f>HYPERLINK("https://twitter.com/Utengers","@Utengers")</f>
        <v>@Utengers</v>
      </c>
      <c r="C9719" t="s">
        <v>1407</v>
      </c>
      <c r="D9719">
        <v>8691</v>
      </c>
      <c r="E9719">
        <v>0</v>
      </c>
      <c r="F9719">
        <v>341</v>
      </c>
    </row>
    <row r="9720" spans="1:6" ht="12.75">
      <c r="A9720" s="2">
        <v>43880.948981481481</v>
      </c>
      <c r="B9720" t="str">
        <f>HYPERLINK("https://twitter.com/13claudia_","@13claudia_")</f>
        <v>@13claudia_</v>
      </c>
      <c r="C9720" t="s">
        <v>1407</v>
      </c>
      <c r="D9720">
        <v>8691</v>
      </c>
      <c r="E9720">
        <v>0</v>
      </c>
      <c r="F9720">
        <v>47</v>
      </c>
    </row>
    <row r="9721" spans="1:6" ht="12.75">
      <c r="A9721" s="2">
        <v>43880.948912037042</v>
      </c>
      <c r="B9721" t="str">
        <f>HYPERLINK("https://twitter.com/F3L1X_TAN","@F3L1X_TAN")</f>
        <v>@F3L1X_TAN</v>
      </c>
      <c r="C9721" t="s">
        <v>2692</v>
      </c>
      <c r="D9721">
        <v>1582</v>
      </c>
      <c r="E9721">
        <v>0</v>
      </c>
      <c r="F9721">
        <v>35</v>
      </c>
    </row>
    <row r="9722" spans="1:6" ht="12.75">
      <c r="A9722" s="2">
        <v>43880.918182870373</v>
      </c>
      <c r="B9722" t="str">
        <f>HYPERLINK("https://twitter.com/HusnaAnnisa29","@HusnaAnnisa29")</f>
        <v>@HusnaAnnisa29</v>
      </c>
      <c r="C9722" t="s">
        <v>1407</v>
      </c>
      <c r="D9722">
        <v>8441</v>
      </c>
      <c r="E9722">
        <v>0</v>
      </c>
      <c r="F9722">
        <v>14</v>
      </c>
    </row>
    <row r="9723" spans="1:6" ht="12.75">
      <c r="A9723" s="2">
        <v>43880.918124999997</v>
      </c>
      <c r="B9723" t="str">
        <f>HYPERLINK("https://twitter.com/atlet_rebahan","@atlet_rebahan")</f>
        <v>@atlet_rebahan</v>
      </c>
      <c r="C9723" t="s">
        <v>1407</v>
      </c>
      <c r="D9723">
        <v>8441</v>
      </c>
      <c r="E9723">
        <v>0</v>
      </c>
      <c r="F9723">
        <v>470</v>
      </c>
    </row>
    <row r="9724" spans="1:6" ht="12.75">
      <c r="A9724" s="2">
        <v>43880.917951388888</v>
      </c>
      <c r="B9724" t="str">
        <f>HYPERLINK("https://twitter.com/matchathetic_","@matchathetic_")</f>
        <v>@matchathetic_</v>
      </c>
      <c r="C9724" t="s">
        <v>1407</v>
      </c>
      <c r="D9724">
        <v>8441</v>
      </c>
      <c r="E9724">
        <v>0</v>
      </c>
      <c r="F9724">
        <v>1264</v>
      </c>
    </row>
    <row r="9725" spans="1:6" ht="12.75">
      <c r="A9725" s="2">
        <v>43880.917893518519</v>
      </c>
      <c r="B9725" t="str">
        <f>HYPERLINK("https://twitter.com/megasyl","@megasyl")</f>
        <v>@megasyl</v>
      </c>
      <c r="C9725" t="s">
        <v>1407</v>
      </c>
      <c r="D9725">
        <v>8441</v>
      </c>
      <c r="E9725">
        <v>0</v>
      </c>
      <c r="F9725">
        <v>407</v>
      </c>
    </row>
    <row r="9726" spans="1:6" ht="12.75">
      <c r="A9726" s="2">
        <v>43880.917824074073</v>
      </c>
      <c r="B9726" t="str">
        <f>HYPERLINK("https://twitter.com/couchpotatx","@couchpotatx")</f>
        <v>@couchpotatx</v>
      </c>
      <c r="C9726" t="s">
        <v>2692</v>
      </c>
      <c r="D9726">
        <v>1502</v>
      </c>
      <c r="E9726">
        <v>0</v>
      </c>
      <c r="F9726">
        <v>1792</v>
      </c>
    </row>
    <row r="9727" spans="1:6" ht="12.75">
      <c r="A9727" s="2">
        <v>43880.917754629627</v>
      </c>
      <c r="B9727" t="str">
        <f>HYPERLINK("https://twitter.com/thrilleasure","@thrilleasure")</f>
        <v>@thrilleasure</v>
      </c>
      <c r="C9727" t="s">
        <v>1407</v>
      </c>
      <c r="D9727">
        <v>8441</v>
      </c>
      <c r="E9727">
        <v>0</v>
      </c>
      <c r="F9727">
        <v>102</v>
      </c>
    </row>
    <row r="9728" spans="1:6" ht="12.75">
      <c r="A9728" s="2">
        <v>43880.917557870373</v>
      </c>
      <c r="B9728" t="str">
        <f>HYPERLINK("https://twitter.com/dedikus10","@dedikus10")</f>
        <v>@dedikus10</v>
      </c>
      <c r="C9728" t="s">
        <v>5884</v>
      </c>
      <c r="D9728">
        <v>0</v>
      </c>
      <c r="E9728">
        <v>0</v>
      </c>
      <c r="F9728">
        <v>22</v>
      </c>
    </row>
    <row r="9729" spans="1:6" ht="12.75">
      <c r="A9729" s="2">
        <v>43880.917442129634</v>
      </c>
      <c r="B9729" t="str">
        <f>HYPERLINK("https://twitter.com/belikatmu","@belikatmu")</f>
        <v>@belikatmu</v>
      </c>
      <c r="C9729" t="s">
        <v>1407</v>
      </c>
      <c r="D9729">
        <v>8441</v>
      </c>
      <c r="E9729">
        <v>0</v>
      </c>
      <c r="F9729">
        <v>226</v>
      </c>
    </row>
    <row r="9730" spans="1:6" ht="12.75">
      <c r="A9730" s="2">
        <v>43880.917384259257</v>
      </c>
      <c r="B9730" t="str">
        <f>HYPERLINK("https://twitter.com/liranti","@liranti")</f>
        <v>@liranti</v>
      </c>
      <c r="C9730" t="s">
        <v>2135</v>
      </c>
      <c r="D9730">
        <v>5</v>
      </c>
      <c r="E9730">
        <v>0</v>
      </c>
      <c r="F9730">
        <v>522</v>
      </c>
    </row>
    <row r="9731" spans="1:6" ht="12.75">
      <c r="A9731" s="2">
        <v>43880.917175925926</v>
      </c>
      <c r="B9731" t="str">
        <f>HYPERLINK("https://twitter.com/piyanudin18","@piyanudin18")</f>
        <v>@piyanudin18</v>
      </c>
      <c r="C9731" t="s">
        <v>1407</v>
      </c>
      <c r="D9731">
        <v>8441</v>
      </c>
      <c r="E9731">
        <v>0</v>
      </c>
      <c r="F9731">
        <v>60</v>
      </c>
    </row>
    <row r="9732" spans="1:6" ht="12.75">
      <c r="A9732" s="2">
        <v>43880.917048611111</v>
      </c>
      <c r="B9732" t="str">
        <f>HYPERLINK("https://twitter.com/jinkiyam","@jinkiyam")</f>
        <v>@jinkiyam</v>
      </c>
      <c r="C9732" t="s">
        <v>2692</v>
      </c>
      <c r="D9732">
        <v>1502</v>
      </c>
      <c r="E9732">
        <v>0</v>
      </c>
      <c r="F9732">
        <v>82</v>
      </c>
    </row>
    <row r="9733" spans="1:6" ht="12.75">
      <c r="A9733" s="2">
        <v>43880.916944444441</v>
      </c>
      <c r="B9733" t="str">
        <f>HYPERLINK("https://twitter.com/aprilptm","@aprilptm")</f>
        <v>@aprilptm</v>
      </c>
      <c r="C9733" t="s">
        <v>2692</v>
      </c>
      <c r="D9733">
        <v>1502</v>
      </c>
      <c r="E9733">
        <v>0</v>
      </c>
      <c r="F9733">
        <v>1525</v>
      </c>
    </row>
    <row r="9734" spans="1:6" ht="12.75">
      <c r="A9734" s="2">
        <v>43880.916944444441</v>
      </c>
      <c r="B9734" t="str">
        <f>HYPERLINK("https://twitter.com/stardokk","@stardokk")</f>
        <v>@stardokk</v>
      </c>
      <c r="C9734" t="s">
        <v>1407</v>
      </c>
      <c r="D9734">
        <v>8441</v>
      </c>
      <c r="E9734">
        <v>0</v>
      </c>
      <c r="F9734">
        <v>980</v>
      </c>
    </row>
    <row r="9735" spans="1:6" ht="12.75">
      <c r="A9735" s="2">
        <v>43880.91684027778</v>
      </c>
      <c r="B9735" t="str">
        <f>HYPERLINK("https://twitter.com/ak_umaa","@ak_umaa")</f>
        <v>@ak_umaa</v>
      </c>
      <c r="C9735" t="s">
        <v>2692</v>
      </c>
      <c r="D9735">
        <v>1502</v>
      </c>
      <c r="E9735">
        <v>0</v>
      </c>
      <c r="F9735">
        <v>732</v>
      </c>
    </row>
    <row r="9736" spans="1:6" ht="12.75">
      <c r="A9736" s="2">
        <v>43880.916817129633</v>
      </c>
      <c r="B9736" t="str">
        <f>HYPERLINK("https://twitter.com/chewchewiigum","@chewchewiigum")</f>
        <v>@chewchewiigum</v>
      </c>
      <c r="C9736" t="s">
        <v>1407</v>
      </c>
      <c r="D9736">
        <v>8441</v>
      </c>
      <c r="E9736">
        <v>0</v>
      </c>
      <c r="F9736">
        <v>77</v>
      </c>
    </row>
    <row r="9737" spans="1:6" ht="12.75">
      <c r="A9737" s="2">
        <v>43880.91679398148</v>
      </c>
      <c r="B9737" t="str">
        <f>HYPERLINK("https://twitter.com/jujiyooo","@jujiyooo")</f>
        <v>@jujiyooo</v>
      </c>
      <c r="C9737" t="s">
        <v>1407</v>
      </c>
      <c r="D9737">
        <v>8441</v>
      </c>
      <c r="E9737">
        <v>0</v>
      </c>
      <c r="F9737">
        <v>536</v>
      </c>
    </row>
    <row r="9738" spans="1:6" ht="12.75">
      <c r="A9738" s="2">
        <v>43880.916759259257</v>
      </c>
      <c r="B9738" t="str">
        <f>HYPERLINK("https://twitter.com/hebohdotcom_","@hebohdotcom_")</f>
        <v>@hebohdotcom_</v>
      </c>
      <c r="C9738" t="s">
        <v>5885</v>
      </c>
      <c r="D9738">
        <v>0</v>
      </c>
      <c r="E9738">
        <v>0</v>
      </c>
      <c r="F9738">
        <v>229</v>
      </c>
    </row>
    <row r="9739" spans="1:6" ht="12.75">
      <c r="A9739" s="2">
        <v>43880.916747685187</v>
      </c>
      <c r="B9739" t="str">
        <f>HYPERLINK("https://twitter.com/Kristanto2016","@Kristanto2016")</f>
        <v>@Kristanto2016</v>
      </c>
      <c r="C9739" t="s">
        <v>2135</v>
      </c>
      <c r="D9739">
        <v>5</v>
      </c>
      <c r="E9739">
        <v>0</v>
      </c>
      <c r="F9739">
        <v>103</v>
      </c>
    </row>
    <row r="9740" spans="1:6" ht="12.75">
      <c r="A9740" s="2">
        <v>43880.916666666672</v>
      </c>
      <c r="B9740" t="str">
        <f>HYPERLINK("https://twitter.com/dump9x","@dump9x")</f>
        <v>@dump9x</v>
      </c>
      <c r="C9740" t="s">
        <v>2135</v>
      </c>
      <c r="D9740">
        <v>5</v>
      </c>
      <c r="E9740">
        <v>0</v>
      </c>
      <c r="F9740">
        <v>314</v>
      </c>
    </row>
    <row r="9741" spans="1:6" ht="12.75">
      <c r="A9741" s="2">
        <v>43880.916527777779</v>
      </c>
      <c r="B9741" t="str">
        <f>HYPERLINK("https://twitter.com/khanza16206689","@khanza16206689")</f>
        <v>@khanza16206689</v>
      </c>
      <c r="C9741" t="s">
        <v>2135</v>
      </c>
      <c r="D9741">
        <v>5</v>
      </c>
      <c r="E9741">
        <v>0</v>
      </c>
      <c r="F9741">
        <v>4</v>
      </c>
    </row>
    <row r="9742" spans="1:6" ht="12.75">
      <c r="A9742" s="2">
        <v>43880.916331018518</v>
      </c>
      <c r="B9742" t="str">
        <f>HYPERLINK("https://twitter.com/chaewcnkim","@chaewcnkim")</f>
        <v>@chaewcnkim</v>
      </c>
      <c r="C9742" t="s">
        <v>1407</v>
      </c>
      <c r="D9742">
        <v>8441</v>
      </c>
      <c r="E9742">
        <v>0</v>
      </c>
      <c r="F9742">
        <v>1377</v>
      </c>
    </row>
    <row r="9743" spans="1:6" ht="12.75">
      <c r="A9743" s="2">
        <v>43880.916307870371</v>
      </c>
      <c r="B9743" t="str">
        <f>HYPERLINK("https://twitter.com/kbenaranHakiki","@kbenaranHakiki")</f>
        <v>@kbenaranHakiki</v>
      </c>
      <c r="C9743" t="s">
        <v>5886</v>
      </c>
      <c r="D9743">
        <v>0</v>
      </c>
      <c r="E9743">
        <v>0</v>
      </c>
      <c r="F9743">
        <v>1392</v>
      </c>
    </row>
    <row r="9744" spans="1:6" ht="12.75">
      <c r="A9744" s="2">
        <v>43880.915995370371</v>
      </c>
      <c r="B9744" t="str">
        <f>HYPERLINK("https://twitter.com/weirdorandomppl","@weirdorandomppl")</f>
        <v>@weirdorandomppl</v>
      </c>
      <c r="C9744" t="s">
        <v>1407</v>
      </c>
      <c r="D9744">
        <v>8441</v>
      </c>
      <c r="E9744">
        <v>0</v>
      </c>
      <c r="F9744">
        <v>30</v>
      </c>
    </row>
    <row r="9745" spans="1:6" ht="12.75">
      <c r="A9745" s="2">
        <v>43880.915995370371</v>
      </c>
      <c r="B9745" t="str">
        <f>HYPERLINK("https://twitter.com/anjaniriani28","@anjaniriani28")</f>
        <v>@anjaniriani28</v>
      </c>
      <c r="C9745" t="s">
        <v>5887</v>
      </c>
      <c r="D9745">
        <v>0</v>
      </c>
      <c r="E9745">
        <v>0</v>
      </c>
      <c r="F9745">
        <v>253</v>
      </c>
    </row>
    <row r="9746" spans="1:6" ht="12.75">
      <c r="A9746" s="2">
        <v>43880.915949074071</v>
      </c>
      <c r="B9746" t="str">
        <f>HYPERLINK("https://twitter.com/agwkandzzz","@agwkandzzz")</f>
        <v>@agwkandzzz</v>
      </c>
      <c r="C9746" t="s">
        <v>1407</v>
      </c>
      <c r="D9746">
        <v>8441</v>
      </c>
      <c r="E9746">
        <v>0</v>
      </c>
      <c r="F9746">
        <v>474</v>
      </c>
    </row>
    <row r="9747" spans="1:6" ht="12.75">
      <c r="A9747" s="2">
        <v>43880.915868055556</v>
      </c>
      <c r="B9747" t="str">
        <f>HYPERLINK("https://twitter.com/iamhikaa","@iamhikaa")</f>
        <v>@iamhikaa</v>
      </c>
      <c r="C9747" t="s">
        <v>2135</v>
      </c>
      <c r="D9747">
        <v>5</v>
      </c>
      <c r="E9747">
        <v>0</v>
      </c>
      <c r="F9747">
        <v>169</v>
      </c>
    </row>
    <row r="9748" spans="1:6" ht="12.75">
      <c r="A9748" s="2">
        <v>43880.915868055556</v>
      </c>
      <c r="B9748" t="str">
        <f>HYPERLINK("https://twitter.com/adnayiluy","@adnayiluy")</f>
        <v>@adnayiluy</v>
      </c>
      <c r="C9748" t="s">
        <v>513</v>
      </c>
      <c r="D9748">
        <v>23169</v>
      </c>
      <c r="E9748">
        <v>0</v>
      </c>
      <c r="F9748">
        <v>98</v>
      </c>
    </row>
    <row r="9749" spans="1:6" ht="12.75">
      <c r="A9749" s="2">
        <v>43880.915659722217</v>
      </c>
      <c r="B9749" t="str">
        <f>HYPERLINK("https://twitter.com/nyaavanya","@nyaavanya")</f>
        <v>@nyaavanya</v>
      </c>
      <c r="C9749" t="s">
        <v>2126</v>
      </c>
      <c r="D9749">
        <v>2811</v>
      </c>
      <c r="E9749">
        <v>0</v>
      </c>
      <c r="F9749">
        <v>16</v>
      </c>
    </row>
    <row r="9750" spans="1:6" ht="12.75">
      <c r="A9750" s="2">
        <v>43880.915474537032</v>
      </c>
      <c r="B9750" t="str">
        <f>HYPERLINK("https://twitter.com/Metro_TV","@Metro_TV")</f>
        <v>@Metro_TV</v>
      </c>
      <c r="C9750" t="s">
        <v>5888</v>
      </c>
      <c r="D9750">
        <v>1</v>
      </c>
      <c r="E9750">
        <v>5</v>
      </c>
      <c r="F9750">
        <v>10510695</v>
      </c>
    </row>
    <row r="9751" spans="1:6" ht="12.75">
      <c r="A9751" s="2">
        <v>43880.915462962963</v>
      </c>
      <c r="B9751" t="str">
        <f>HYPERLINK("https://twitter.com/chimonwiwat","@chimonwiwat")</f>
        <v>@chimonwiwat</v>
      </c>
      <c r="C9751" t="s">
        <v>1407</v>
      </c>
      <c r="D9751">
        <v>8441</v>
      </c>
      <c r="E9751">
        <v>0</v>
      </c>
      <c r="F9751">
        <v>645</v>
      </c>
    </row>
    <row r="9752" spans="1:6" ht="12.75">
      <c r="A9752" s="2">
        <v>43880.915393518517</v>
      </c>
      <c r="B9752" t="str">
        <f>HYPERLINK("https://twitter.com/disarkt","@disarkt")</f>
        <v>@disarkt</v>
      </c>
      <c r="C9752" t="s">
        <v>2183</v>
      </c>
      <c r="D9752">
        <v>278</v>
      </c>
      <c r="E9752">
        <v>0</v>
      </c>
      <c r="F9752">
        <v>54</v>
      </c>
    </row>
    <row r="9753" spans="1:6" ht="12.75">
      <c r="A9753" s="2">
        <v>43880.915335648147</v>
      </c>
      <c r="B9753" t="str">
        <f>HYPERLINK("https://twitter.com/KBRITokyo","@KBRITokyo")</f>
        <v>@KBRITokyo</v>
      </c>
      <c r="C9753" t="s">
        <v>5889</v>
      </c>
      <c r="D9753">
        <v>5</v>
      </c>
      <c r="E9753">
        <v>4</v>
      </c>
      <c r="F9753">
        <v>18646</v>
      </c>
    </row>
    <row r="9754" spans="1:6" ht="12.75">
      <c r="A9754" s="2">
        <v>43880.915335648147</v>
      </c>
      <c r="B9754" t="str">
        <f>HYPERLINK("https://twitter.com/adissyach","@adissyach")</f>
        <v>@adissyach</v>
      </c>
      <c r="C9754" t="s">
        <v>5890</v>
      </c>
      <c r="D9754">
        <v>0</v>
      </c>
      <c r="E9754">
        <v>0</v>
      </c>
      <c r="F9754">
        <v>222</v>
      </c>
    </row>
    <row r="9755" spans="1:6" ht="12.75">
      <c r="A9755" s="2">
        <v>43880.915277777778</v>
      </c>
      <c r="B9755" t="str">
        <f>HYPERLINK("https://twitter.com/Santri_Gay3ng","@Santri_Gay3ng")</f>
        <v>@Santri_Gay3ng</v>
      </c>
      <c r="C9755" t="s">
        <v>5891</v>
      </c>
      <c r="D9755">
        <v>8</v>
      </c>
      <c r="E9755">
        <v>0</v>
      </c>
      <c r="F9755">
        <v>460</v>
      </c>
    </row>
    <row r="9756" spans="1:6" ht="12.75">
      <c r="A9756" s="2">
        <v>43880.915104166663</v>
      </c>
      <c r="B9756" t="str">
        <f>HYPERLINK("https://twitter.com/pyongbyong","@pyongbyong")</f>
        <v>@pyongbyong</v>
      </c>
      <c r="C9756" t="s">
        <v>1407</v>
      </c>
      <c r="D9756">
        <v>8441</v>
      </c>
      <c r="E9756">
        <v>0</v>
      </c>
      <c r="F9756">
        <v>194</v>
      </c>
    </row>
    <row r="9757" spans="1:6" ht="12.75">
      <c r="A9757" s="2">
        <v>43880.914907407408</v>
      </c>
      <c r="B9757" t="str">
        <f>HYPERLINK("https://twitter.com/qsphayo","@qsphayo")</f>
        <v>@qsphayo</v>
      </c>
      <c r="C9757" t="s">
        <v>1407</v>
      </c>
      <c r="D9757">
        <v>8441</v>
      </c>
      <c r="E9757">
        <v>0</v>
      </c>
      <c r="F9757">
        <v>222</v>
      </c>
    </row>
    <row r="9758" spans="1:6" ht="12.75">
      <c r="A9758" s="2">
        <v>43880.914780092593</v>
      </c>
      <c r="B9758" t="str">
        <f>HYPERLINK("https://twitter.com/yusufhasmi74","@yusufhasmi74")</f>
        <v>@yusufhasmi74</v>
      </c>
      <c r="C9758" t="s">
        <v>5203</v>
      </c>
      <c r="D9758">
        <v>80</v>
      </c>
      <c r="E9758">
        <v>0</v>
      </c>
      <c r="F9758">
        <v>190</v>
      </c>
    </row>
    <row r="9759" spans="1:6" ht="12.75">
      <c r="A9759" s="2">
        <v>43880.914733796293</v>
      </c>
      <c r="B9759" t="str">
        <f>HYPERLINK("https://twitter.com/Ndrews1162011","@Ndrews1162011")</f>
        <v>@Ndrews1162011</v>
      </c>
      <c r="C9759" t="s">
        <v>5892</v>
      </c>
      <c r="D9759">
        <v>0</v>
      </c>
      <c r="E9759">
        <v>0</v>
      </c>
      <c r="F9759">
        <v>1136</v>
      </c>
    </row>
    <row r="9760" spans="1:6" ht="12.75">
      <c r="A9760" s="2">
        <v>43880.914641203708</v>
      </c>
      <c r="B9760" t="str">
        <f>HYPERLINK("https://twitter.com/cachanchen","@cachanchen")</f>
        <v>@cachanchen</v>
      </c>
      <c r="C9760" t="s">
        <v>1407</v>
      </c>
      <c r="D9760">
        <v>8441</v>
      </c>
      <c r="E9760">
        <v>0</v>
      </c>
      <c r="F9760">
        <v>273</v>
      </c>
    </row>
    <row r="9761" spans="1:6" ht="12.75">
      <c r="A9761" s="2">
        <v>43880.914641203708</v>
      </c>
      <c r="B9761" t="str">
        <f>HYPERLINK("https://twitter.com/imamimoo","@imamimoo")</f>
        <v>@imamimoo</v>
      </c>
      <c r="C9761" t="s">
        <v>5893</v>
      </c>
      <c r="D9761">
        <v>0</v>
      </c>
      <c r="E9761">
        <v>0</v>
      </c>
      <c r="F9761">
        <v>1520</v>
      </c>
    </row>
    <row r="9762" spans="1:6" ht="12.75">
      <c r="A9762" s="2">
        <v>43880.914583333331</v>
      </c>
      <c r="B9762" t="str">
        <f>HYPERLINK("https://twitter.com/sigolbog","@sigolbog")</f>
        <v>@sigolbog</v>
      </c>
      <c r="C9762" t="s">
        <v>1407</v>
      </c>
      <c r="D9762">
        <v>8441</v>
      </c>
      <c r="E9762">
        <v>0</v>
      </c>
      <c r="F9762">
        <v>959</v>
      </c>
    </row>
    <row r="9763" spans="1:6" ht="12.75">
      <c r="A9763" s="2">
        <v>43880.914409722223</v>
      </c>
      <c r="B9763" t="str">
        <f>HYPERLINK("https://twitter.com/heyraraaa_","@heyraraaa_")</f>
        <v>@heyraraaa_</v>
      </c>
      <c r="C9763" t="s">
        <v>1407</v>
      </c>
      <c r="D9763">
        <v>8441</v>
      </c>
      <c r="E9763">
        <v>0</v>
      </c>
      <c r="F9763">
        <v>2032</v>
      </c>
    </row>
    <row r="9764" spans="1:6" ht="12.75">
      <c r="A9764" s="2">
        <v>43880.914224537039</v>
      </c>
      <c r="B9764" t="str">
        <f>HYPERLINK("https://twitter.com/cachanchen","@cachanchen")</f>
        <v>@cachanchen</v>
      </c>
      <c r="C9764" t="s">
        <v>2467</v>
      </c>
      <c r="D9764">
        <v>770</v>
      </c>
      <c r="E9764">
        <v>0</v>
      </c>
      <c r="F9764">
        <v>273</v>
      </c>
    </row>
    <row r="9765" spans="1:6" ht="12.75">
      <c r="A9765" s="2">
        <v>43880.914120370369</v>
      </c>
      <c r="B9765" t="str">
        <f>HYPERLINK("https://twitter.com/FebrianYS_","@FebrianYS_")</f>
        <v>@FebrianYS_</v>
      </c>
      <c r="C9765" t="s">
        <v>2692</v>
      </c>
      <c r="D9765">
        <v>1502</v>
      </c>
      <c r="E9765">
        <v>0</v>
      </c>
      <c r="F9765">
        <v>353</v>
      </c>
    </row>
    <row r="9766" spans="1:6" ht="12.75">
      <c r="A9766" s="2">
        <v>43880.913819444446</v>
      </c>
      <c r="B9766" t="str">
        <f>HYPERLINK("https://twitter.com/babyoohsera_","@babyoohsera_")</f>
        <v>@babyoohsera_</v>
      </c>
      <c r="C9766" t="s">
        <v>1407</v>
      </c>
      <c r="D9766">
        <v>8441</v>
      </c>
      <c r="E9766">
        <v>0</v>
      </c>
      <c r="F9766">
        <v>271</v>
      </c>
    </row>
    <row r="9767" spans="1:6" ht="12.75">
      <c r="A9767" s="2">
        <v>43880.913518518515</v>
      </c>
      <c r="B9767" t="str">
        <f>HYPERLINK("https://twitter.com/cartbonara","@cartbonara")</f>
        <v>@cartbonara</v>
      </c>
      <c r="C9767" t="s">
        <v>1407</v>
      </c>
      <c r="D9767">
        <v>8441</v>
      </c>
      <c r="E9767">
        <v>0</v>
      </c>
      <c r="F9767">
        <v>25</v>
      </c>
    </row>
    <row r="9768" spans="1:6" ht="12.75">
      <c r="A9768" s="2">
        <v>43880.913402777776</v>
      </c>
      <c r="B9768" t="str">
        <f>HYPERLINK("https://twitter.com/anneesssy","@anneesssy")</f>
        <v>@anneesssy</v>
      </c>
      <c r="C9768" t="s">
        <v>2692</v>
      </c>
      <c r="D9768">
        <v>1502</v>
      </c>
      <c r="E9768">
        <v>0</v>
      </c>
      <c r="F9768">
        <v>502</v>
      </c>
    </row>
    <row r="9769" spans="1:6" ht="12.75">
      <c r="A9769" s="2">
        <v>43880.913298611107</v>
      </c>
      <c r="B9769" t="str">
        <f>HYPERLINK("https://twitter.com/zlurpeee","@zlurpeee")</f>
        <v>@zlurpeee</v>
      </c>
      <c r="C9769" t="s">
        <v>2692</v>
      </c>
      <c r="D9769">
        <v>1502</v>
      </c>
      <c r="E9769">
        <v>0</v>
      </c>
      <c r="F9769">
        <v>126</v>
      </c>
    </row>
    <row r="9770" spans="1:6" ht="12.75">
      <c r="A9770" s="2">
        <v>43880.913206018522</v>
      </c>
      <c r="B9770" t="str">
        <f>HYPERLINK("https://twitter.com/piriri_burora","@piriri_burora")</f>
        <v>@piriri_burora</v>
      </c>
      <c r="C9770" t="s">
        <v>1407</v>
      </c>
      <c r="D9770">
        <v>8441</v>
      </c>
      <c r="E9770">
        <v>0</v>
      </c>
      <c r="F9770">
        <v>164</v>
      </c>
    </row>
    <row r="9771" spans="1:6" ht="12.75">
      <c r="A9771" s="2">
        <v>43880.913206018522</v>
      </c>
      <c r="B9771" t="str">
        <f>HYPERLINK("https://twitter.com/adityafemilia","@adityafemilia")</f>
        <v>@adityafemilia</v>
      </c>
      <c r="C9771" t="s">
        <v>1407</v>
      </c>
      <c r="D9771">
        <v>8441</v>
      </c>
      <c r="E9771">
        <v>0</v>
      </c>
      <c r="F9771">
        <v>336</v>
      </c>
    </row>
    <row r="9772" spans="1:6" ht="12.75">
      <c r="A9772" s="2">
        <v>43880.913113425922</v>
      </c>
      <c r="B9772" t="str">
        <f>HYPERLINK("https://twitter.com/heedzin","@heedzin")</f>
        <v>@heedzin</v>
      </c>
      <c r="C9772" t="s">
        <v>5168</v>
      </c>
      <c r="D9772">
        <v>1683</v>
      </c>
      <c r="E9772">
        <v>0</v>
      </c>
      <c r="F9772">
        <v>75</v>
      </c>
    </row>
    <row r="9773" spans="1:6" ht="12.75">
      <c r="A9773" s="2">
        <v>43880.913078703699</v>
      </c>
      <c r="B9773" t="str">
        <f>HYPERLINK("https://twitter.com/nabilasarash","@nabilasarash")</f>
        <v>@nabilasarash</v>
      </c>
      <c r="C9773" t="s">
        <v>1407</v>
      </c>
      <c r="D9773">
        <v>8441</v>
      </c>
      <c r="E9773">
        <v>0</v>
      </c>
      <c r="F9773">
        <v>885</v>
      </c>
    </row>
    <row r="9774" spans="1:6" ht="12.75">
      <c r="A9774" s="2">
        <v>43880.912997685184</v>
      </c>
      <c r="B9774" t="str">
        <f>HYPERLINK("https://twitter.com/salsabila0307","@salsabila0307")</f>
        <v>@salsabila0307</v>
      </c>
      <c r="C9774" t="s">
        <v>5894</v>
      </c>
      <c r="D9774">
        <v>0</v>
      </c>
      <c r="E9774">
        <v>0</v>
      </c>
      <c r="F9774">
        <v>4336</v>
      </c>
    </row>
    <row r="9775" spans="1:6" ht="12.75">
      <c r="A9775" s="2">
        <v>43880.912916666668</v>
      </c>
      <c r="B9775" t="str">
        <f>HYPERLINK("https://twitter.com/FahmiMFTH","@FahmiMFTH")</f>
        <v>@FahmiMFTH</v>
      </c>
      <c r="C9775" t="s">
        <v>2692</v>
      </c>
      <c r="D9775">
        <v>1502</v>
      </c>
      <c r="E9775">
        <v>0</v>
      </c>
      <c r="F9775">
        <v>578</v>
      </c>
    </row>
    <row r="9776" spans="1:6" ht="12.75">
      <c r="A9776" s="2">
        <v>43880.912858796291</v>
      </c>
      <c r="B9776" t="str">
        <f>HYPERLINK("https://twitter.com/Drea90_","@Drea90_")</f>
        <v>@Drea90_</v>
      </c>
      <c r="C9776" t="s">
        <v>1407</v>
      </c>
      <c r="D9776">
        <v>8441</v>
      </c>
      <c r="E9776">
        <v>0</v>
      </c>
      <c r="F9776">
        <v>102</v>
      </c>
    </row>
    <row r="9777" spans="1:6" ht="12.75">
      <c r="A9777" s="2">
        <v>43880.912835648152</v>
      </c>
      <c r="B9777" t="str">
        <f>HYPERLINK("https://twitter.com/putrivitanadia","@putrivitanadia")</f>
        <v>@putrivitanadia</v>
      </c>
      <c r="C9777" t="s">
        <v>1407</v>
      </c>
      <c r="D9777">
        <v>8441</v>
      </c>
      <c r="E9777">
        <v>0</v>
      </c>
      <c r="F9777">
        <v>1047</v>
      </c>
    </row>
    <row r="9778" spans="1:6" ht="12.75">
      <c r="A9778" s="2">
        <v>43880.912766203706</v>
      </c>
      <c r="B9778" t="str">
        <f>HYPERLINK("https://twitter.com/shouthhhout","@shouthhhout")</f>
        <v>@shouthhhout</v>
      </c>
      <c r="C9778" t="s">
        <v>1407</v>
      </c>
      <c r="D9778">
        <v>8441</v>
      </c>
      <c r="E9778">
        <v>0</v>
      </c>
      <c r="F9778">
        <v>3676</v>
      </c>
    </row>
    <row r="9779" spans="1:6" ht="12.75">
      <c r="A9779" s="2">
        <v>43880.912465277783</v>
      </c>
      <c r="B9779" t="str">
        <f>HYPERLINK("https://twitter.com/yxxn__y","@yxxn__y")</f>
        <v>@yxxn__y</v>
      </c>
      <c r="C9779" t="s">
        <v>2467</v>
      </c>
      <c r="D9779">
        <v>770</v>
      </c>
      <c r="E9779">
        <v>0</v>
      </c>
      <c r="F9779">
        <v>100</v>
      </c>
    </row>
    <row r="9780" spans="1:6" ht="12.75">
      <c r="A9780" s="2">
        <v>43880.912326388891</v>
      </c>
      <c r="B9780" t="str">
        <f>HYPERLINK("https://twitter.com/natafosca","@natafosca")</f>
        <v>@natafosca</v>
      </c>
      <c r="C9780" t="s">
        <v>3278</v>
      </c>
      <c r="D9780">
        <v>35</v>
      </c>
      <c r="E9780">
        <v>0</v>
      </c>
      <c r="F9780">
        <v>603</v>
      </c>
    </row>
    <row r="9781" spans="1:6" ht="12.75">
      <c r="A9781" s="2">
        <v>43880.912222222221</v>
      </c>
      <c r="B9781" t="str">
        <f>HYPERLINK("https://twitter.com/pratamadhityar","@pratamadhityar")</f>
        <v>@pratamadhityar</v>
      </c>
      <c r="C9781" t="s">
        <v>3278</v>
      </c>
      <c r="D9781">
        <v>35</v>
      </c>
      <c r="E9781">
        <v>0</v>
      </c>
      <c r="F9781">
        <v>510</v>
      </c>
    </row>
    <row r="9782" spans="1:6" ht="12.75">
      <c r="A9782" s="2">
        <v>43880.912141203706</v>
      </c>
      <c r="B9782" t="str">
        <f>HYPERLINK("https://twitter.com/yxxn__y","@yxxn__y")</f>
        <v>@yxxn__y</v>
      </c>
      <c r="C9782" t="s">
        <v>1407</v>
      </c>
      <c r="D9782">
        <v>8441</v>
      </c>
      <c r="E9782">
        <v>0</v>
      </c>
      <c r="F9782">
        <v>100</v>
      </c>
    </row>
    <row r="9783" spans="1:6" ht="12.75">
      <c r="A9783" s="2">
        <v>43880.912106481483</v>
      </c>
      <c r="B9783" t="str">
        <f>HYPERLINK("https://twitter.com/afmalik_","@afmalik_")</f>
        <v>@afmalik_</v>
      </c>
      <c r="C9783" t="s">
        <v>1407</v>
      </c>
      <c r="D9783">
        <v>8441</v>
      </c>
      <c r="E9783">
        <v>0</v>
      </c>
      <c r="F9783">
        <v>361</v>
      </c>
    </row>
    <row r="9784" spans="1:6" ht="12.75">
      <c r="A9784" s="2">
        <v>43880.912094907406</v>
      </c>
      <c r="B9784" t="str">
        <f>HYPERLINK("https://twitter.com/zoyaverse","@zoyaverse")</f>
        <v>@zoyaverse</v>
      </c>
      <c r="C9784" t="s">
        <v>2692</v>
      </c>
      <c r="D9784">
        <v>1502</v>
      </c>
      <c r="E9784">
        <v>0</v>
      </c>
      <c r="F9784">
        <v>424</v>
      </c>
    </row>
    <row r="9785" spans="1:6" ht="12.75">
      <c r="A9785" s="2">
        <v>43880.912002314813</v>
      </c>
      <c r="B9785" t="str">
        <f>HYPERLINK("https://twitter.com/minosyahmadi","@minosyahmadi")</f>
        <v>@minosyahmadi</v>
      </c>
      <c r="C9785" t="s">
        <v>1407</v>
      </c>
      <c r="D9785">
        <v>8441</v>
      </c>
      <c r="E9785">
        <v>0</v>
      </c>
      <c r="F9785">
        <v>2927</v>
      </c>
    </row>
    <row r="9786" spans="1:6" ht="12.75">
      <c r="A9786" s="2">
        <v>43880.911979166667</v>
      </c>
      <c r="B9786" t="str">
        <f>HYPERLINK("https://twitter.com/ILHAMDZIKRULLOH","@ILHAMDZIKRULLOH")</f>
        <v>@ILHAMDZIKRULLOH</v>
      </c>
      <c r="C9786" t="s">
        <v>2692</v>
      </c>
      <c r="D9786">
        <v>1502</v>
      </c>
      <c r="E9786">
        <v>0</v>
      </c>
      <c r="F9786">
        <v>1138</v>
      </c>
    </row>
    <row r="9787" spans="1:6" ht="12.75">
      <c r="A9787" s="2">
        <v>43880.911898148144</v>
      </c>
      <c r="B9787" t="str">
        <f>HYPERLINK("https://twitter.com/quraquratinja","@quraquratinja")</f>
        <v>@quraquratinja</v>
      </c>
      <c r="C9787" t="s">
        <v>1407</v>
      </c>
      <c r="D9787">
        <v>8441</v>
      </c>
      <c r="E9787">
        <v>0</v>
      </c>
      <c r="F9787">
        <v>727</v>
      </c>
    </row>
    <row r="9788" spans="1:6" ht="12.75">
      <c r="A9788" s="2">
        <v>43880.911898148144</v>
      </c>
      <c r="B9788" t="str">
        <f>HYPERLINK("https://twitter.com/digy_j","@digy_j")</f>
        <v>@digy_j</v>
      </c>
      <c r="C9788" t="s">
        <v>5895</v>
      </c>
      <c r="D9788">
        <v>1</v>
      </c>
      <c r="E9788">
        <v>0</v>
      </c>
      <c r="F9788">
        <v>585</v>
      </c>
    </row>
    <row r="9789" spans="1:6" ht="12.75">
      <c r="A9789" s="2">
        <v>43880.911886574075</v>
      </c>
      <c r="B9789" t="str">
        <f>HYPERLINK("https://twitter.com/Rizkaawd","@Rizkaawd")</f>
        <v>@Rizkaawd</v>
      </c>
      <c r="C9789" t="s">
        <v>1407</v>
      </c>
      <c r="D9789">
        <v>8441</v>
      </c>
      <c r="E9789">
        <v>0</v>
      </c>
      <c r="F9789">
        <v>2320</v>
      </c>
    </row>
    <row r="9790" spans="1:6" ht="12.75">
      <c r="A9790" s="2">
        <v>43880.911770833336</v>
      </c>
      <c r="B9790" t="str">
        <f>HYPERLINK("https://twitter.com/dinnifitta","@dinnifitta")</f>
        <v>@dinnifitta</v>
      </c>
      <c r="C9790" t="s">
        <v>1407</v>
      </c>
      <c r="D9790">
        <v>8441</v>
      </c>
      <c r="E9790">
        <v>0</v>
      </c>
      <c r="F9790">
        <v>627</v>
      </c>
    </row>
    <row r="9791" spans="1:6" ht="12.75">
      <c r="A9791" s="2">
        <v>43880.911550925928</v>
      </c>
      <c r="B9791" t="str">
        <f>HYPERLINK("https://twitter.com/mfikrifuadi","@mfikrifuadi")</f>
        <v>@mfikrifuadi</v>
      </c>
      <c r="C9791" t="s">
        <v>1407</v>
      </c>
      <c r="D9791">
        <v>8441</v>
      </c>
      <c r="E9791">
        <v>0</v>
      </c>
      <c r="F9791">
        <v>324</v>
      </c>
    </row>
    <row r="9792" spans="1:6" ht="12.75">
      <c r="A9792" s="2">
        <v>43880.911504629628</v>
      </c>
      <c r="B9792" t="str">
        <f>HYPERLINK("https://twitter.com/weirdniss","@weirdniss")</f>
        <v>@weirdniss</v>
      </c>
      <c r="C9792" t="s">
        <v>1407</v>
      </c>
      <c r="D9792">
        <v>8441</v>
      </c>
      <c r="E9792">
        <v>0</v>
      </c>
      <c r="F9792">
        <v>544</v>
      </c>
    </row>
    <row r="9793" spans="1:6" ht="12.75">
      <c r="A9793" s="2">
        <v>43880.911296296297</v>
      </c>
      <c r="B9793" t="str">
        <f>HYPERLINK("https://twitter.com/gmb_indonesia","@gmb_indonesia")</f>
        <v>@gmb_indonesia</v>
      </c>
      <c r="C9793" t="s">
        <v>5896</v>
      </c>
      <c r="D9793">
        <v>4</v>
      </c>
      <c r="E9793">
        <v>0</v>
      </c>
      <c r="F9793">
        <v>14</v>
      </c>
    </row>
    <row r="9794" spans="1:6" ht="12.75">
      <c r="A9794" s="2">
        <v>43880.91128472222</v>
      </c>
      <c r="B9794" t="str">
        <f>HYPERLINK("https://twitter.com/noirdefilie","@noirdefilie")</f>
        <v>@noirdefilie</v>
      </c>
      <c r="C9794" t="s">
        <v>1407</v>
      </c>
      <c r="D9794">
        <v>8441</v>
      </c>
      <c r="E9794">
        <v>0</v>
      </c>
      <c r="F9794">
        <v>52</v>
      </c>
    </row>
    <row r="9795" spans="1:6" ht="12.75">
      <c r="A9795" s="2">
        <v>43880.911238425921</v>
      </c>
      <c r="B9795" t="str">
        <f>HYPERLINK("https://twitter.com/StefenLifc","@StefenLifc")</f>
        <v>@StefenLifc</v>
      </c>
      <c r="C9795" t="s">
        <v>2692</v>
      </c>
      <c r="D9795">
        <v>1502</v>
      </c>
      <c r="E9795">
        <v>0</v>
      </c>
      <c r="F9795">
        <v>803</v>
      </c>
    </row>
    <row r="9796" spans="1:6" ht="12.75">
      <c r="A9796" s="2">
        <v>43880.911157407405</v>
      </c>
      <c r="B9796" t="str">
        <f>HYPERLINK("https://twitter.com/cindybiancaaa","@cindybiancaaa")</f>
        <v>@cindybiancaaa</v>
      </c>
      <c r="C9796" t="s">
        <v>2467</v>
      </c>
      <c r="D9796">
        <v>770</v>
      </c>
      <c r="E9796">
        <v>0</v>
      </c>
      <c r="F9796">
        <v>594</v>
      </c>
    </row>
    <row r="9797" spans="1:6" ht="12.75">
      <c r="A9797" s="2">
        <v>43880.911099537036</v>
      </c>
      <c r="B9797" t="str">
        <f>HYPERLINK("https://twitter.com/almeishhh","@almeishhh")</f>
        <v>@almeishhh</v>
      </c>
      <c r="C9797" t="s">
        <v>1407</v>
      </c>
      <c r="D9797">
        <v>8441</v>
      </c>
      <c r="E9797">
        <v>0</v>
      </c>
      <c r="F9797">
        <v>379</v>
      </c>
    </row>
    <row r="9798" spans="1:6" ht="12.75">
      <c r="A9798" s="2">
        <v>43880.910937499997</v>
      </c>
      <c r="B9798" t="str">
        <f>HYPERLINK("https://twitter.com/queenzykim","@queenzykim")</f>
        <v>@queenzykim</v>
      </c>
      <c r="C9798" t="s">
        <v>1407</v>
      </c>
      <c r="D9798">
        <v>8441</v>
      </c>
      <c r="E9798">
        <v>0</v>
      </c>
      <c r="F9798">
        <v>242</v>
      </c>
    </row>
    <row r="9799" spans="1:6" ht="12.75">
      <c r="A9799" s="2">
        <v>43880.910833333328</v>
      </c>
      <c r="B9799" t="str">
        <f>HYPERLINK("https://twitter.com/paithetic","@paithetic")</f>
        <v>@paithetic</v>
      </c>
      <c r="C9799" t="s">
        <v>1407</v>
      </c>
      <c r="D9799">
        <v>8441</v>
      </c>
      <c r="E9799">
        <v>0</v>
      </c>
      <c r="F9799">
        <v>161</v>
      </c>
    </row>
    <row r="9800" spans="1:6" ht="12.75">
      <c r="A9800" s="2">
        <v>43880.910752314812</v>
      </c>
      <c r="B9800" t="str">
        <f>HYPERLINK("https://twitter.com/goodbam96","@goodbam96")</f>
        <v>@goodbam96</v>
      </c>
      <c r="C9800" t="s">
        <v>1407</v>
      </c>
      <c r="D9800">
        <v>8441</v>
      </c>
      <c r="E9800">
        <v>0</v>
      </c>
      <c r="F9800">
        <v>261</v>
      </c>
    </row>
    <row r="9801" spans="1:6" ht="12.75">
      <c r="A9801" s="2">
        <v>43880.910717592589</v>
      </c>
      <c r="B9801" t="str">
        <f>HYPERLINK("https://twitter.com/irsanluthfan","@irsanluthfan")</f>
        <v>@irsanluthfan</v>
      </c>
      <c r="C9801" t="s">
        <v>1407</v>
      </c>
      <c r="D9801">
        <v>8441</v>
      </c>
      <c r="E9801">
        <v>0</v>
      </c>
      <c r="F9801">
        <v>395</v>
      </c>
    </row>
    <row r="9802" spans="1:6" ht="12.75">
      <c r="A9802" s="2">
        <v>43880.910625000004</v>
      </c>
      <c r="B9802" t="str">
        <f>HYPERLINK("https://twitter.com/iNewsID","@iNewsID")</f>
        <v>@iNewsID</v>
      </c>
      <c r="C9802" t="s">
        <v>5897</v>
      </c>
      <c r="D9802">
        <v>0</v>
      </c>
      <c r="E9802">
        <v>0</v>
      </c>
      <c r="F9802">
        <v>1279</v>
      </c>
    </row>
    <row r="9803" spans="1:6" ht="12.75">
      <c r="A9803" s="2">
        <v>43880.910567129627</v>
      </c>
      <c r="B9803" t="str">
        <f>HYPERLINK("https://twitter.com/Achwan2208","@Achwan2208")</f>
        <v>@Achwan2208</v>
      </c>
      <c r="C9803" t="s">
        <v>5702</v>
      </c>
      <c r="D9803">
        <v>238</v>
      </c>
      <c r="E9803">
        <v>0</v>
      </c>
      <c r="F9803">
        <v>423</v>
      </c>
    </row>
    <row r="9804" spans="1:6" ht="12.75">
      <c r="A9804" s="2">
        <v>43880.910416666666</v>
      </c>
      <c r="B9804" t="str">
        <f>HYPERLINK("https://twitter.com/Nana_Nununn","@Nana_Nununn")</f>
        <v>@Nana_Nununn</v>
      </c>
      <c r="C9804" t="s">
        <v>1407</v>
      </c>
      <c r="D9804">
        <v>8441</v>
      </c>
      <c r="E9804">
        <v>0</v>
      </c>
      <c r="F9804">
        <v>491</v>
      </c>
    </row>
    <row r="9805" spans="1:6" ht="12.75">
      <c r="A9805" s="2">
        <v>43880.910370370373</v>
      </c>
      <c r="B9805" t="str">
        <f>HYPERLINK("https://twitter.com/joe_ahimed","@joe_ahimed")</f>
        <v>@joe_ahimed</v>
      </c>
      <c r="C9805" t="s">
        <v>2768</v>
      </c>
      <c r="D9805">
        <v>59</v>
      </c>
      <c r="E9805">
        <v>0</v>
      </c>
      <c r="F9805">
        <v>1297</v>
      </c>
    </row>
    <row r="9806" spans="1:6" ht="12.75">
      <c r="A9806" s="2">
        <v>43880.910324074073</v>
      </c>
      <c r="B9806" t="str">
        <f>HYPERLINK("https://twitter.com/AbdulhadiAlkat1","@AbdulhadiAlkat1")</f>
        <v>@AbdulhadiAlkat1</v>
      </c>
      <c r="C9806" t="s">
        <v>5898</v>
      </c>
      <c r="D9806">
        <v>0</v>
      </c>
      <c r="E9806">
        <v>0</v>
      </c>
      <c r="F9806">
        <v>195</v>
      </c>
    </row>
    <row r="9807" spans="1:6" ht="12.75">
      <c r="A9807" s="2">
        <v>43880.910138888888</v>
      </c>
      <c r="B9807" t="str">
        <f>HYPERLINK("https://twitter.com/aryahave","@aryahave")</f>
        <v>@aryahave</v>
      </c>
      <c r="C9807" t="s">
        <v>2692</v>
      </c>
      <c r="D9807">
        <v>1502</v>
      </c>
      <c r="E9807">
        <v>0</v>
      </c>
      <c r="F9807">
        <v>314</v>
      </c>
    </row>
    <row r="9808" spans="1:6" ht="12.75">
      <c r="A9808" s="2">
        <v>43880.910115740742</v>
      </c>
      <c r="B9808" t="str">
        <f>HYPERLINK("https://twitter.com/dianaprilia07","@dianaprilia07")</f>
        <v>@dianaprilia07</v>
      </c>
      <c r="C9808" t="s">
        <v>1407</v>
      </c>
      <c r="D9808">
        <v>8441</v>
      </c>
      <c r="E9808">
        <v>0</v>
      </c>
      <c r="F9808">
        <v>385</v>
      </c>
    </row>
    <row r="9809" spans="1:6" ht="12.75">
      <c r="A9809" s="2">
        <v>43880.91002314815</v>
      </c>
      <c r="B9809" t="str">
        <f>HYPERLINK("https://twitter.com/thisalleen","@thisalleen")</f>
        <v>@thisalleen</v>
      </c>
      <c r="C9809" t="s">
        <v>1407</v>
      </c>
      <c r="D9809">
        <v>8441</v>
      </c>
      <c r="E9809">
        <v>0</v>
      </c>
      <c r="F9809">
        <v>60</v>
      </c>
    </row>
    <row r="9810" spans="1:6" ht="12.75">
      <c r="A9810" s="2">
        <v>43880.909942129627</v>
      </c>
      <c r="B9810" t="str">
        <f>HYPERLINK("https://twitter.com/adindaakp","@adindaakp")</f>
        <v>@adindaakp</v>
      </c>
      <c r="C9810" t="s">
        <v>1920</v>
      </c>
      <c r="D9810">
        <v>254</v>
      </c>
      <c r="E9810">
        <v>0</v>
      </c>
      <c r="F9810">
        <v>326</v>
      </c>
    </row>
    <row r="9811" spans="1:6" ht="12.75">
      <c r="A9811" s="2">
        <v>43880.909907407404</v>
      </c>
      <c r="B9811" t="str">
        <f>HYPERLINK("https://twitter.com/ardkcy","@ardkcy")</f>
        <v>@ardkcy</v>
      </c>
      <c r="C9811" t="s">
        <v>1407</v>
      </c>
      <c r="D9811">
        <v>8441</v>
      </c>
      <c r="E9811">
        <v>0</v>
      </c>
      <c r="F9811">
        <v>289</v>
      </c>
    </row>
    <row r="9812" spans="1:6" ht="12.75">
      <c r="A9812" s="2">
        <v>43880.909872685181</v>
      </c>
      <c r="B9812" t="str">
        <f>HYPERLINK("https://twitter.com/indeathwetrust_","@indeathwetrust_")</f>
        <v>@indeathwetrust_</v>
      </c>
      <c r="C9812" t="s">
        <v>5899</v>
      </c>
      <c r="D9812">
        <v>0</v>
      </c>
      <c r="E9812">
        <v>0</v>
      </c>
      <c r="F9812">
        <v>38</v>
      </c>
    </row>
    <row r="9813" spans="1:6" ht="12.75">
      <c r="A9813" s="2">
        <v>43880.909791666665</v>
      </c>
      <c r="B9813" t="str">
        <f>HYPERLINK("https://twitter.com/forddyce92","@forddyce92")</f>
        <v>@forddyce92</v>
      </c>
      <c r="C9813" t="s">
        <v>5900</v>
      </c>
      <c r="D9813">
        <v>0</v>
      </c>
      <c r="E9813">
        <v>0</v>
      </c>
      <c r="F9813">
        <v>25</v>
      </c>
    </row>
    <row r="9814" spans="1:6" ht="12.75">
      <c r="A9814" s="2">
        <v>43880.909594907411</v>
      </c>
      <c r="B9814" t="str">
        <f>HYPERLINK("https://twitter.com/kwrinh","@kwrinh")</f>
        <v>@kwrinh</v>
      </c>
      <c r="C9814" t="s">
        <v>1407</v>
      </c>
      <c r="D9814">
        <v>8441</v>
      </c>
      <c r="E9814">
        <v>0</v>
      </c>
      <c r="F9814">
        <v>111</v>
      </c>
    </row>
    <row r="9815" spans="1:6" ht="12.75">
      <c r="A9815" s="2">
        <v>43880.909571759257</v>
      </c>
      <c r="B9815" t="str">
        <f>HYPERLINK("https://twitter.com/magnificaty","@magnificaty")</f>
        <v>@magnificaty</v>
      </c>
      <c r="C9815" t="s">
        <v>2692</v>
      </c>
      <c r="D9815">
        <v>1502</v>
      </c>
      <c r="E9815">
        <v>0</v>
      </c>
      <c r="F9815">
        <v>1844</v>
      </c>
    </row>
    <row r="9816" spans="1:6" ht="12.75">
      <c r="A9816" s="2">
        <v>43880.909479166672</v>
      </c>
      <c r="B9816" t="str">
        <f>HYPERLINK("https://twitter.com/AbdulhadiAlkat1","@AbdulhadiAlkat1")</f>
        <v>@AbdulhadiAlkat1</v>
      </c>
      <c r="C9816" t="s">
        <v>5901</v>
      </c>
      <c r="D9816">
        <v>0</v>
      </c>
      <c r="E9816">
        <v>0</v>
      </c>
      <c r="F9816">
        <v>195</v>
      </c>
    </row>
    <row r="9817" spans="1:6" ht="12.75">
      <c r="A9817" s="2">
        <v>43880.909432870365</v>
      </c>
      <c r="B9817" t="str">
        <f>HYPERLINK("https://twitter.com/gtnathalia","@gtnathalia")</f>
        <v>@gtnathalia</v>
      </c>
      <c r="C9817" t="s">
        <v>1407</v>
      </c>
      <c r="D9817">
        <v>8441</v>
      </c>
      <c r="E9817">
        <v>0</v>
      </c>
      <c r="F9817">
        <v>332</v>
      </c>
    </row>
    <row r="9818" spans="1:6" ht="12.75">
      <c r="A9818" s="2">
        <v>43880.909409722226</v>
      </c>
      <c r="B9818" t="str">
        <f>HYPERLINK("https://twitter.com/gyoopra","@gyoopra")</f>
        <v>@gyoopra</v>
      </c>
      <c r="C9818" t="s">
        <v>1407</v>
      </c>
      <c r="D9818">
        <v>8441</v>
      </c>
      <c r="E9818">
        <v>0</v>
      </c>
      <c r="F9818">
        <v>660</v>
      </c>
    </row>
    <row r="9819" spans="1:6" ht="12.75">
      <c r="A9819" s="2">
        <v>43880.909189814818</v>
      </c>
      <c r="B9819" t="str">
        <f>HYPERLINK("https://twitter.com/erispie","@erispie")</f>
        <v>@erispie</v>
      </c>
      <c r="C9819" t="s">
        <v>1407</v>
      </c>
      <c r="D9819">
        <v>8441</v>
      </c>
      <c r="E9819">
        <v>0</v>
      </c>
      <c r="F9819">
        <v>863</v>
      </c>
    </row>
    <row r="9820" spans="1:6" ht="12.75">
      <c r="A9820" s="2">
        <v>43880.909178240741</v>
      </c>
      <c r="B9820" t="str">
        <f>HYPERLINK("https://twitter.com/luticiciaa","@luticiciaa")</f>
        <v>@luticiciaa</v>
      </c>
      <c r="C9820" t="s">
        <v>1407</v>
      </c>
      <c r="D9820">
        <v>8441</v>
      </c>
      <c r="E9820">
        <v>0</v>
      </c>
      <c r="F9820">
        <v>28</v>
      </c>
    </row>
    <row r="9821" spans="1:6" ht="12.75">
      <c r="A9821" s="2">
        <v>43880.909178240741</v>
      </c>
      <c r="B9821" t="str">
        <f>HYPERLINK("https://twitter.com/immabangwool","@immabangwool")</f>
        <v>@immabangwool</v>
      </c>
      <c r="C9821" t="s">
        <v>1407</v>
      </c>
      <c r="D9821">
        <v>8441</v>
      </c>
      <c r="E9821">
        <v>0</v>
      </c>
      <c r="F9821">
        <v>68</v>
      </c>
    </row>
    <row r="9822" spans="1:6" ht="12.75">
      <c r="A9822" s="2">
        <v>43880.876597222217</v>
      </c>
      <c r="B9822" t="str">
        <f>HYPERLINK("https://twitter.com/gaelacxy","@gaelacxy")</f>
        <v>@gaelacxy</v>
      </c>
      <c r="C9822" t="s">
        <v>1407</v>
      </c>
      <c r="D9822">
        <v>8117</v>
      </c>
      <c r="E9822">
        <v>0</v>
      </c>
      <c r="F9822">
        <v>1090</v>
      </c>
    </row>
    <row r="9823" spans="1:6" ht="12.75">
      <c r="A9823" s="2">
        <v>43880.876550925925</v>
      </c>
      <c r="B9823" t="str">
        <f>HYPERLINK("https://twitter.com/67Riyu","@67Riyu")</f>
        <v>@67Riyu</v>
      </c>
      <c r="C9823" t="s">
        <v>1407</v>
      </c>
      <c r="D9823">
        <v>8117</v>
      </c>
      <c r="E9823">
        <v>0</v>
      </c>
      <c r="F9823">
        <v>142</v>
      </c>
    </row>
    <row r="9824" spans="1:6" ht="12.75">
      <c r="A9824" s="2">
        <v>43880.876423611116</v>
      </c>
      <c r="B9824" t="str">
        <f>HYPERLINK("https://twitter.com/petitsmolll","@petitsmolll")</f>
        <v>@petitsmolll</v>
      </c>
      <c r="C9824" t="s">
        <v>1407</v>
      </c>
      <c r="D9824">
        <v>8117</v>
      </c>
      <c r="E9824">
        <v>0</v>
      </c>
      <c r="F9824">
        <v>1099</v>
      </c>
    </row>
    <row r="9825" spans="1:6" ht="12.75">
      <c r="A9825" s="2">
        <v>43880.876284722224</v>
      </c>
      <c r="B9825" t="str">
        <f>HYPERLINK("https://twitter.com/Idhikeeli1","@Idhikeeli1")</f>
        <v>@Idhikeeli1</v>
      </c>
      <c r="C9825" t="s">
        <v>2768</v>
      </c>
      <c r="D9825">
        <v>53</v>
      </c>
      <c r="E9825">
        <v>0</v>
      </c>
      <c r="F9825">
        <v>44</v>
      </c>
    </row>
    <row r="9826" spans="1:6" ht="12.75">
      <c r="A9826" s="2">
        <v>43880.876261574071</v>
      </c>
      <c r="B9826" t="str">
        <f>HYPERLINK("https://twitter.com/HIKYERI99","@HIKYERI99")</f>
        <v>@HIKYERI99</v>
      </c>
      <c r="C9826" t="s">
        <v>1407</v>
      </c>
      <c r="D9826">
        <v>8117</v>
      </c>
      <c r="E9826">
        <v>0</v>
      </c>
      <c r="F9826">
        <v>114</v>
      </c>
    </row>
    <row r="9827" spans="1:6" ht="12.75">
      <c r="A9827" s="2">
        <v>43880.876203703709</v>
      </c>
      <c r="B9827" t="str">
        <f>HYPERLINK("https://twitter.com/ihsnseptian","@ihsnseptian")</f>
        <v>@ihsnseptian</v>
      </c>
      <c r="C9827" t="s">
        <v>1407</v>
      </c>
      <c r="D9827">
        <v>8117</v>
      </c>
      <c r="E9827">
        <v>0</v>
      </c>
      <c r="F9827">
        <v>236</v>
      </c>
    </row>
    <row r="9828" spans="1:6" ht="12.75">
      <c r="A9828" s="2">
        <v>43880.876122685186</v>
      </c>
      <c r="B9828" t="str">
        <f>HYPERLINK("https://twitter.com/GungdeSadhaka","@GungdeSadhaka")</f>
        <v>@GungdeSadhaka</v>
      </c>
      <c r="C9828" t="s">
        <v>4733</v>
      </c>
      <c r="D9828">
        <v>2816</v>
      </c>
      <c r="E9828">
        <v>0</v>
      </c>
      <c r="F9828">
        <v>1174</v>
      </c>
    </row>
    <row r="9829" spans="1:6" ht="12.75">
      <c r="A9829" s="2">
        <v>43880.875960648147</v>
      </c>
      <c r="B9829" t="str">
        <f>HYPERLINK("https://twitter.com/hugavvv","@hugavvv")</f>
        <v>@hugavvv</v>
      </c>
      <c r="C9829" t="s">
        <v>1407</v>
      </c>
      <c r="D9829">
        <v>8117</v>
      </c>
      <c r="E9829">
        <v>0</v>
      </c>
      <c r="F9829">
        <v>125</v>
      </c>
    </row>
    <row r="9830" spans="1:6" ht="12.75">
      <c r="A9830" s="2">
        <v>43880.875960648147</v>
      </c>
      <c r="B9830" t="str">
        <f>HYPERLINK("https://twitter.com/CuzzyVrij","@CuzzyVrij")</f>
        <v>@CuzzyVrij</v>
      </c>
      <c r="C9830" t="s">
        <v>1407</v>
      </c>
      <c r="D9830">
        <v>8117</v>
      </c>
      <c r="E9830">
        <v>0</v>
      </c>
      <c r="F9830">
        <v>158</v>
      </c>
    </row>
    <row r="9831" spans="1:6" ht="12.75">
      <c r="A9831" s="2">
        <v>43880.875937500001</v>
      </c>
      <c r="B9831" t="str">
        <f>HYPERLINK("https://twitter.com/IPMahardhika","@IPMahardhika")</f>
        <v>@IPMahardhika</v>
      </c>
      <c r="C9831" t="s">
        <v>5902</v>
      </c>
      <c r="D9831">
        <v>0</v>
      </c>
      <c r="E9831">
        <v>0</v>
      </c>
      <c r="F9831">
        <v>44</v>
      </c>
    </row>
    <row r="9832" spans="1:6" ht="12.75">
      <c r="A9832" s="2">
        <v>43880.875879629632</v>
      </c>
      <c r="B9832" t="str">
        <f>HYPERLINK("https://twitter.com/gyulllin07","@gyulllin07")</f>
        <v>@gyulllin07</v>
      </c>
      <c r="C9832" t="s">
        <v>1407</v>
      </c>
      <c r="D9832">
        <v>8117</v>
      </c>
      <c r="E9832">
        <v>0</v>
      </c>
      <c r="F9832">
        <v>790</v>
      </c>
    </row>
    <row r="9833" spans="1:6" ht="12.75">
      <c r="A9833" s="2">
        <v>43880.875821759255</v>
      </c>
      <c r="B9833" t="str">
        <f>HYPERLINK("https://twitter.com/EunjiJjang95","@EunjiJjang95")</f>
        <v>@EunjiJjang95</v>
      </c>
      <c r="C9833" t="s">
        <v>1407</v>
      </c>
      <c r="D9833">
        <v>8117</v>
      </c>
      <c r="E9833">
        <v>0</v>
      </c>
      <c r="F9833">
        <v>409</v>
      </c>
    </row>
    <row r="9834" spans="1:6" ht="12.75">
      <c r="A9834" s="2">
        <v>43880.875763888893</v>
      </c>
      <c r="B9834" t="str">
        <f>HYPERLINK("https://twitter.com/lmnshnn","@lmnshnn")</f>
        <v>@lmnshnn</v>
      </c>
      <c r="C9834" t="s">
        <v>1407</v>
      </c>
      <c r="D9834">
        <v>8117</v>
      </c>
      <c r="E9834">
        <v>0</v>
      </c>
      <c r="F9834">
        <v>160</v>
      </c>
    </row>
    <row r="9835" spans="1:6" ht="12.75">
      <c r="A9835" s="2">
        <v>43880.875717592593</v>
      </c>
      <c r="B9835" t="str">
        <f>HYPERLINK("https://twitter.com/JohnIrwan4","@JohnIrwan4")</f>
        <v>@JohnIrwan4</v>
      </c>
      <c r="C9835" t="s">
        <v>5903</v>
      </c>
      <c r="D9835">
        <v>1</v>
      </c>
      <c r="E9835">
        <v>0</v>
      </c>
      <c r="F9835">
        <v>2300</v>
      </c>
    </row>
    <row r="9836" spans="1:6" ht="12.75">
      <c r="A9836" s="2">
        <v>43880.875625000001</v>
      </c>
      <c r="B9836" t="str">
        <f>HYPERLINK("https://twitter.com/anwiu","@anwiu")</f>
        <v>@anwiu</v>
      </c>
      <c r="C9836" t="s">
        <v>2692</v>
      </c>
      <c r="D9836">
        <v>1419</v>
      </c>
      <c r="E9836">
        <v>0</v>
      </c>
      <c r="F9836">
        <v>197</v>
      </c>
    </row>
    <row r="9837" spans="1:6" ht="12.75">
      <c r="A9837" s="2">
        <v>43880.875601851847</v>
      </c>
      <c r="B9837" t="str">
        <f>HYPERLINK("https://twitter.com/teruSiapa_","@teruSiapa_")</f>
        <v>@teruSiapa_</v>
      </c>
      <c r="C9837" t="s">
        <v>1407</v>
      </c>
      <c r="D9837">
        <v>8117</v>
      </c>
      <c r="E9837">
        <v>0</v>
      </c>
      <c r="F9837">
        <v>264</v>
      </c>
    </row>
    <row r="9838" spans="1:6" ht="12.75">
      <c r="A9838" s="2">
        <v>43880.875578703708</v>
      </c>
      <c r="B9838" t="str">
        <f>HYPERLINK("https://twitter.com/iFayaz","@iFayaz")</f>
        <v>@iFayaz</v>
      </c>
      <c r="C9838" t="s">
        <v>5904</v>
      </c>
      <c r="D9838">
        <v>1</v>
      </c>
      <c r="E9838">
        <v>0</v>
      </c>
      <c r="F9838">
        <v>755</v>
      </c>
    </row>
    <row r="9839" spans="1:6" ht="12.75">
      <c r="A9839" s="2">
        <v>43880.875543981485</v>
      </c>
      <c r="B9839" t="str">
        <f>HYPERLINK("https://twitter.com/triiloeyy","@triiloeyy")</f>
        <v>@triiloeyy</v>
      </c>
      <c r="C9839" t="s">
        <v>1407</v>
      </c>
      <c r="D9839">
        <v>8117</v>
      </c>
      <c r="E9839">
        <v>0</v>
      </c>
      <c r="F9839">
        <v>402</v>
      </c>
    </row>
    <row r="9840" spans="1:6" ht="12.75">
      <c r="A9840" s="2">
        <v>43880.875405092593</v>
      </c>
      <c r="B9840" t="str">
        <f>HYPERLINK("https://twitter.com/gloomypich","@gloomypich")</f>
        <v>@gloomypich</v>
      </c>
      <c r="C9840" t="s">
        <v>1407</v>
      </c>
      <c r="D9840">
        <v>8117</v>
      </c>
      <c r="E9840">
        <v>0</v>
      </c>
      <c r="F9840">
        <v>334</v>
      </c>
    </row>
    <row r="9841" spans="1:6" ht="12.75">
      <c r="A9841" s="2">
        <v>43880.875277777777</v>
      </c>
      <c r="B9841" t="str">
        <f>HYPERLINK("https://twitter.com/ryanharriss","@ryanharriss")</f>
        <v>@ryanharriss</v>
      </c>
      <c r="C9841" t="s">
        <v>2692</v>
      </c>
      <c r="D9841">
        <v>1419</v>
      </c>
      <c r="E9841">
        <v>0</v>
      </c>
      <c r="F9841">
        <v>383</v>
      </c>
    </row>
    <row r="9842" spans="1:6" ht="12.75">
      <c r="A9842" s="2">
        <v>43880.875208333338</v>
      </c>
      <c r="B9842" t="str">
        <f>HYPERLINK("https://twitter.com/firmanda30","@firmanda30")</f>
        <v>@firmanda30</v>
      </c>
      <c r="C9842" t="s">
        <v>5905</v>
      </c>
      <c r="D9842">
        <v>0</v>
      </c>
      <c r="E9842">
        <v>0</v>
      </c>
      <c r="F9842">
        <v>137</v>
      </c>
    </row>
    <row r="9843" spans="1:6" ht="12.75">
      <c r="A9843" s="2">
        <v>43880.875150462962</v>
      </c>
      <c r="B9843" t="str">
        <f>HYPERLINK("https://twitter.com/Yudhi04188481","@Yudhi04188481")</f>
        <v>@Yudhi04188481</v>
      </c>
      <c r="C9843" t="s">
        <v>2134</v>
      </c>
      <c r="D9843">
        <v>995</v>
      </c>
      <c r="E9843">
        <v>0</v>
      </c>
      <c r="F9843">
        <v>20</v>
      </c>
    </row>
    <row r="9844" spans="1:6" ht="12.75">
      <c r="A9844" s="2">
        <v>43880.875138888892</v>
      </c>
      <c r="B9844" t="str">
        <f>HYPERLINK("https://twitter.com/HaloBCA","@HaloBCA")</f>
        <v>@HaloBCA</v>
      </c>
      <c r="C9844" t="s">
        <v>5906</v>
      </c>
      <c r="D9844">
        <v>0</v>
      </c>
      <c r="E9844">
        <v>0</v>
      </c>
      <c r="F9844">
        <v>230979</v>
      </c>
    </row>
    <row r="9845" spans="1:6" ht="12.75">
      <c r="A9845" s="2">
        <v>43880.875104166669</v>
      </c>
      <c r="B9845" t="str">
        <f>HYPERLINK("https://twitter.com/carezarizky","@carezarizky")</f>
        <v>@carezarizky</v>
      </c>
      <c r="C9845" t="s">
        <v>1407</v>
      </c>
      <c r="D9845">
        <v>8117</v>
      </c>
      <c r="E9845">
        <v>0</v>
      </c>
      <c r="F9845">
        <v>607</v>
      </c>
    </row>
    <row r="9846" spans="1:6" ht="12.75">
      <c r="A9846" s="2">
        <v>43880.875</v>
      </c>
      <c r="B9846" t="str">
        <f>HYPERLINK("https://twitter.com/sxtyxdd","@sxtyxdd")</f>
        <v>@sxtyxdd</v>
      </c>
      <c r="C9846" t="s">
        <v>1407</v>
      </c>
      <c r="D9846">
        <v>8117</v>
      </c>
      <c r="E9846">
        <v>0</v>
      </c>
      <c r="F9846">
        <v>471</v>
      </c>
    </row>
    <row r="9847" spans="1:6" ht="12.75">
      <c r="A9847" s="2">
        <v>43880.874965277777</v>
      </c>
      <c r="B9847" t="str">
        <f t="shared" ref="B9847:B9848" si="181">HYPERLINK("https://twitter.com/alinauliya","@alinauliya")</f>
        <v>@alinauliya</v>
      </c>
      <c r="C9847" t="s">
        <v>2183</v>
      </c>
      <c r="D9847">
        <v>271</v>
      </c>
      <c r="E9847">
        <v>0</v>
      </c>
      <c r="F9847">
        <v>407</v>
      </c>
    </row>
    <row r="9848" spans="1:6" ht="12.75">
      <c r="A9848" s="2">
        <v>43880.874942129631</v>
      </c>
      <c r="B9848" t="str">
        <f t="shared" si="181"/>
        <v>@alinauliya</v>
      </c>
      <c r="C9848" t="s">
        <v>2467</v>
      </c>
      <c r="D9848">
        <v>752</v>
      </c>
      <c r="E9848">
        <v>0</v>
      </c>
      <c r="F9848">
        <v>407</v>
      </c>
    </row>
    <row r="9849" spans="1:6" ht="12.75">
      <c r="A9849" s="2">
        <v>43880.8747337963</v>
      </c>
      <c r="B9849" t="str">
        <f>HYPERLINK("https://twitter.com/kha_risma15","@kha_risma15")</f>
        <v>@kha_risma15</v>
      </c>
      <c r="C9849" t="s">
        <v>1407</v>
      </c>
      <c r="D9849">
        <v>8117</v>
      </c>
      <c r="E9849">
        <v>0</v>
      </c>
      <c r="F9849">
        <v>304</v>
      </c>
    </row>
    <row r="9850" spans="1:6" ht="12.75">
      <c r="A9850" s="2">
        <v>43880.87462962963</v>
      </c>
      <c r="B9850" t="str">
        <f>HYPERLINK("https://twitter.com/amarilis_ayu","@amarilis_ayu")</f>
        <v>@amarilis_ayu</v>
      </c>
      <c r="C9850" t="s">
        <v>5907</v>
      </c>
      <c r="D9850">
        <v>0</v>
      </c>
      <c r="E9850">
        <v>0</v>
      </c>
      <c r="F9850">
        <v>1369</v>
      </c>
    </row>
    <row r="9851" spans="1:6" ht="12.75">
      <c r="A9851" s="2">
        <v>43880.87427083333</v>
      </c>
      <c r="B9851" t="str">
        <f>HYPERLINK("https://twitter.com/skyycheonsa","@skyycheonsa")</f>
        <v>@skyycheonsa</v>
      </c>
      <c r="C9851" t="s">
        <v>1407</v>
      </c>
      <c r="D9851">
        <v>8117</v>
      </c>
      <c r="E9851">
        <v>0</v>
      </c>
      <c r="F9851">
        <v>730</v>
      </c>
    </row>
    <row r="9852" spans="1:6" ht="12.75">
      <c r="A9852" s="2">
        <v>43880.87400462963</v>
      </c>
      <c r="B9852" t="str">
        <f>HYPERLINK("https://twitter.com/bluesuspect","@bluesuspect")</f>
        <v>@bluesuspect</v>
      </c>
      <c r="C9852" t="s">
        <v>5203</v>
      </c>
      <c r="D9852">
        <v>78</v>
      </c>
      <c r="E9852">
        <v>0</v>
      </c>
      <c r="F9852">
        <v>455</v>
      </c>
    </row>
    <row r="9853" spans="1:6" ht="12.75">
      <c r="A9853" s="2">
        <v>43880.873958333337</v>
      </c>
      <c r="B9853" t="str">
        <f>HYPERLINK("https://twitter.com/jimminss","@jimminss")</f>
        <v>@jimminss</v>
      </c>
      <c r="C9853" t="s">
        <v>1407</v>
      </c>
      <c r="D9853">
        <v>8117</v>
      </c>
      <c r="E9853">
        <v>0</v>
      </c>
      <c r="F9853">
        <v>62</v>
      </c>
    </row>
    <row r="9854" spans="1:6" ht="12.75">
      <c r="A9854" s="2">
        <v>43880.873738425929</v>
      </c>
      <c r="B9854" t="str">
        <f>HYPERLINK("https://twitter.com/Qibil12","@Qibil12")</f>
        <v>@Qibil12</v>
      </c>
      <c r="C9854" t="s">
        <v>1407</v>
      </c>
      <c r="D9854">
        <v>8117</v>
      </c>
      <c r="E9854">
        <v>0</v>
      </c>
      <c r="F9854">
        <v>203</v>
      </c>
    </row>
    <row r="9855" spans="1:6" ht="12.75">
      <c r="A9855" s="2">
        <v>43880.873657407406</v>
      </c>
      <c r="B9855" t="str">
        <f>HYPERLINK("https://twitter.com/Pradiptya_","@Pradiptya_")</f>
        <v>@Pradiptya_</v>
      </c>
      <c r="C9855" t="s">
        <v>1407</v>
      </c>
      <c r="D9855">
        <v>8117</v>
      </c>
      <c r="E9855">
        <v>0</v>
      </c>
      <c r="F9855">
        <v>1785</v>
      </c>
    </row>
    <row r="9856" spans="1:6" ht="12.75">
      <c r="A9856" s="2">
        <v>43880.87364583333</v>
      </c>
      <c r="B9856" t="str">
        <f>HYPERLINK("https://twitter.com/Bella_Gusita","@Bella_Gusita")</f>
        <v>@Bella_Gusita</v>
      </c>
      <c r="C9856" t="s">
        <v>1407</v>
      </c>
      <c r="D9856">
        <v>8117</v>
      </c>
      <c r="E9856">
        <v>0</v>
      </c>
      <c r="F9856">
        <v>394</v>
      </c>
    </row>
    <row r="9857" spans="1:6" ht="12.75">
      <c r="A9857" s="2">
        <v>43880.87364583333</v>
      </c>
      <c r="B9857" t="str">
        <f>HYPERLINK("https://twitter.com/faiqbgstm","@faiqbgstm")</f>
        <v>@faiqbgstm</v>
      </c>
      <c r="C9857" t="s">
        <v>1407</v>
      </c>
      <c r="D9857">
        <v>8117</v>
      </c>
      <c r="E9857">
        <v>0</v>
      </c>
      <c r="F9857">
        <v>32</v>
      </c>
    </row>
    <row r="9858" spans="1:6" ht="12.75">
      <c r="A9858" s="2">
        <v>43880.87363425926</v>
      </c>
      <c r="B9858" t="str">
        <f>HYPERLINK("https://twitter.com/bella_erl","@bella_erl")</f>
        <v>@bella_erl</v>
      </c>
      <c r="C9858" t="s">
        <v>1407</v>
      </c>
      <c r="D9858">
        <v>8117</v>
      </c>
      <c r="E9858">
        <v>0</v>
      </c>
      <c r="F9858">
        <v>5089</v>
      </c>
    </row>
    <row r="9859" spans="1:6" ht="12.75">
      <c r="A9859" s="2">
        <v>43880.873518518521</v>
      </c>
      <c r="B9859" t="str">
        <f>HYPERLINK("https://twitter.com/shjnchan_","@shjnchan_")</f>
        <v>@shjnchan_</v>
      </c>
      <c r="C9859" t="s">
        <v>1407</v>
      </c>
      <c r="D9859">
        <v>8117</v>
      </c>
      <c r="E9859">
        <v>0</v>
      </c>
      <c r="F9859">
        <v>110</v>
      </c>
    </row>
    <row r="9860" spans="1:6" ht="12.75">
      <c r="A9860" s="2">
        <v>43880.87332175926</v>
      </c>
      <c r="B9860" t="str">
        <f>HYPERLINK("https://twitter.com/deaftiuwu","@deaftiuwu")</f>
        <v>@deaftiuwu</v>
      </c>
      <c r="C9860" t="s">
        <v>1407</v>
      </c>
      <c r="D9860">
        <v>8117</v>
      </c>
      <c r="E9860">
        <v>0</v>
      </c>
      <c r="F9860">
        <v>1097</v>
      </c>
    </row>
    <row r="9861" spans="1:6" ht="12.75">
      <c r="A9861" s="2">
        <v>43880.873206018514</v>
      </c>
      <c r="B9861" t="str">
        <f>HYPERLINK("https://twitter.com/dindarahayu97","@dindarahayu97")</f>
        <v>@dindarahayu97</v>
      </c>
      <c r="C9861" t="s">
        <v>1407</v>
      </c>
      <c r="D9861">
        <v>8117</v>
      </c>
      <c r="E9861">
        <v>0</v>
      </c>
      <c r="F9861">
        <v>596</v>
      </c>
    </row>
    <row r="9862" spans="1:6" ht="12.75">
      <c r="A9862" s="2">
        <v>43880.873148148152</v>
      </c>
      <c r="B9862" t="str">
        <f>HYPERLINK("https://twitter.com/elizakdmy","@elizakdmy")</f>
        <v>@elizakdmy</v>
      </c>
      <c r="C9862" t="s">
        <v>1407</v>
      </c>
      <c r="D9862">
        <v>8117</v>
      </c>
      <c r="E9862">
        <v>0</v>
      </c>
      <c r="F9862">
        <v>1281</v>
      </c>
    </row>
    <row r="9863" spans="1:6" ht="12.75">
      <c r="A9863" s="2">
        <v>43880.873078703706</v>
      </c>
      <c r="B9863" t="str">
        <f>HYPERLINK("https://twitter.com/bananagyul","@bananagyul")</f>
        <v>@bananagyul</v>
      </c>
      <c r="C9863" t="s">
        <v>1407</v>
      </c>
      <c r="D9863">
        <v>8117</v>
      </c>
      <c r="E9863">
        <v>0</v>
      </c>
      <c r="F9863">
        <v>206</v>
      </c>
    </row>
    <row r="9864" spans="1:6" ht="12.75">
      <c r="A9864" s="2">
        <v>43880.873067129629</v>
      </c>
      <c r="B9864" t="str">
        <f>HYPERLINK("https://twitter.com/zaenalkase03","@zaenalkase03")</f>
        <v>@zaenalkase03</v>
      </c>
      <c r="C9864" t="s">
        <v>5908</v>
      </c>
      <c r="D9864">
        <v>1</v>
      </c>
      <c r="E9864">
        <v>1</v>
      </c>
      <c r="F9864">
        <v>2878</v>
      </c>
    </row>
    <row r="9865" spans="1:6" ht="12.75">
      <c r="A9865" s="2">
        <v>43880.873043981483</v>
      </c>
      <c r="B9865" t="str">
        <f>HYPERLINK("https://twitter.com/echaarp","@echaarp")</f>
        <v>@echaarp</v>
      </c>
      <c r="C9865" t="s">
        <v>2692</v>
      </c>
      <c r="D9865">
        <v>1419</v>
      </c>
      <c r="E9865">
        <v>0</v>
      </c>
      <c r="F9865">
        <v>2353</v>
      </c>
    </row>
    <row r="9866" spans="1:6" ht="12.75">
      <c r="A9866" s="2">
        <v>43880.872916666667</v>
      </c>
      <c r="B9866" t="str">
        <f>HYPERLINK("https://twitter.com/bpriady","@bpriady")</f>
        <v>@bpriady</v>
      </c>
      <c r="C9866" t="s">
        <v>5909</v>
      </c>
      <c r="D9866">
        <v>0</v>
      </c>
      <c r="E9866">
        <v>0</v>
      </c>
      <c r="F9866">
        <v>595</v>
      </c>
    </row>
    <row r="9867" spans="1:6" ht="12.75">
      <c r="A9867" s="2">
        <v>43880.872731481482</v>
      </c>
      <c r="B9867" t="str">
        <f>HYPERLINK("https://twitter.com/Diiyah_DDY","@Diiyah_DDY")</f>
        <v>@Diiyah_DDY</v>
      </c>
      <c r="C9867" t="s">
        <v>5910</v>
      </c>
      <c r="D9867">
        <v>0</v>
      </c>
      <c r="E9867">
        <v>0</v>
      </c>
      <c r="F9867">
        <v>799</v>
      </c>
    </row>
    <row r="9868" spans="1:6" ht="12.75">
      <c r="A9868" s="2">
        <v>43880.872673611113</v>
      </c>
      <c r="B9868" t="str">
        <f>HYPERLINK("https://twitter.com/imabadliarhehe","@imabadliarhehe")</f>
        <v>@imabadliarhehe</v>
      </c>
      <c r="C9868" t="s">
        <v>2467</v>
      </c>
      <c r="D9868">
        <v>752</v>
      </c>
      <c r="E9868">
        <v>0</v>
      </c>
      <c r="F9868">
        <v>458</v>
      </c>
    </row>
    <row r="9869" spans="1:6" ht="12.75">
      <c r="A9869" s="2">
        <v>43880.872569444444</v>
      </c>
      <c r="B9869" t="str">
        <f>HYPERLINK("https://twitter.com/KamalKhoerul","@KamalKhoerul")</f>
        <v>@KamalKhoerul</v>
      </c>
      <c r="C9869" t="s">
        <v>2692</v>
      </c>
      <c r="D9869">
        <v>1419</v>
      </c>
      <c r="E9869">
        <v>0</v>
      </c>
      <c r="F9869">
        <v>1722</v>
      </c>
    </row>
    <row r="9870" spans="1:6" ht="12.75">
      <c r="A9870" s="2">
        <v>43880.872569444444</v>
      </c>
      <c r="B9870" t="str">
        <f>HYPERLINK("https://twitter.com/byunbh_pcy","@byunbh_pcy")</f>
        <v>@byunbh_pcy</v>
      </c>
      <c r="C9870" t="s">
        <v>1407</v>
      </c>
      <c r="D9870">
        <v>8117</v>
      </c>
      <c r="E9870">
        <v>0</v>
      </c>
      <c r="F9870">
        <v>207</v>
      </c>
    </row>
    <row r="9871" spans="1:6" ht="12.75">
      <c r="A9871" s="2">
        <v>43880.872534722221</v>
      </c>
      <c r="B9871" t="str">
        <f>HYPERLINK("https://twitter.com/mhyhilmy","@mhyhilmy")</f>
        <v>@mhyhilmy</v>
      </c>
      <c r="C9871" t="s">
        <v>2692</v>
      </c>
      <c r="D9871">
        <v>1419</v>
      </c>
      <c r="E9871">
        <v>0</v>
      </c>
      <c r="F9871">
        <v>859</v>
      </c>
    </row>
    <row r="9872" spans="1:6" ht="12.75">
      <c r="A9872" s="2">
        <v>43880.872523148151</v>
      </c>
      <c r="B9872" t="str">
        <f>HYPERLINK("https://twitter.com/indozonemedia","@indozonemedia")</f>
        <v>@indozonemedia</v>
      </c>
      <c r="C9872" t="s">
        <v>5911</v>
      </c>
      <c r="D9872">
        <v>0</v>
      </c>
      <c r="E9872">
        <v>2</v>
      </c>
      <c r="F9872">
        <v>1787949</v>
      </c>
    </row>
    <row r="9873" spans="1:6" ht="12.75">
      <c r="A9873" s="2">
        <v>43880.872314814813</v>
      </c>
      <c r="B9873" t="str">
        <f>HYPERLINK("https://twitter.com/rebahannteros","@rebahannteros")</f>
        <v>@rebahannteros</v>
      </c>
      <c r="C9873" t="s">
        <v>2467</v>
      </c>
      <c r="D9873">
        <v>752</v>
      </c>
      <c r="E9873">
        <v>0</v>
      </c>
      <c r="F9873">
        <v>423</v>
      </c>
    </row>
    <row r="9874" spans="1:6" ht="12.75">
      <c r="A9874" s="2">
        <v>43880.872291666667</v>
      </c>
      <c r="B9874" t="str">
        <f>HYPERLINK("https://twitter.com/dipsysmom","@dipsysmom")</f>
        <v>@dipsysmom</v>
      </c>
      <c r="C9874" t="s">
        <v>1407</v>
      </c>
      <c r="D9874">
        <v>8117</v>
      </c>
      <c r="E9874">
        <v>0</v>
      </c>
      <c r="F9874">
        <v>75</v>
      </c>
    </row>
    <row r="9875" spans="1:6" ht="12.75">
      <c r="A9875" s="2">
        <v>43880.872129629628</v>
      </c>
      <c r="B9875" t="str">
        <f>HYPERLINK("https://twitter.com/DhianaPertiwi","@DhianaPertiwi")</f>
        <v>@DhianaPertiwi</v>
      </c>
      <c r="C9875" t="s">
        <v>1407</v>
      </c>
      <c r="D9875">
        <v>8117</v>
      </c>
      <c r="E9875">
        <v>0</v>
      </c>
      <c r="F9875">
        <v>435</v>
      </c>
    </row>
    <row r="9876" spans="1:6" ht="12.75">
      <c r="A9876" s="2">
        <v>43880.872060185182</v>
      </c>
      <c r="B9876" t="str">
        <f>HYPERLINK("https://twitter.com/ciknamanyateh","@ciknamanyateh")</f>
        <v>@ciknamanyateh</v>
      </c>
      <c r="C9876" t="s">
        <v>1407</v>
      </c>
      <c r="D9876">
        <v>8117</v>
      </c>
      <c r="E9876">
        <v>0</v>
      </c>
      <c r="F9876">
        <v>76</v>
      </c>
    </row>
    <row r="9877" spans="1:6" ht="12.75">
      <c r="A9877" s="2">
        <v>43880.872037037036</v>
      </c>
      <c r="B9877" t="str">
        <f>HYPERLINK("https://twitter.com/white_coffee24","@white_coffee24")</f>
        <v>@white_coffee24</v>
      </c>
      <c r="C9877" t="s">
        <v>1407</v>
      </c>
      <c r="D9877">
        <v>8117</v>
      </c>
      <c r="E9877">
        <v>0</v>
      </c>
      <c r="F9877">
        <v>543</v>
      </c>
    </row>
    <row r="9878" spans="1:6" ht="12.75">
      <c r="A9878" s="2">
        <v>43880.871921296297</v>
      </c>
      <c r="B9878" t="str">
        <f>HYPERLINK("https://twitter.com/zizahsayangnana","@zizahsayangnana")</f>
        <v>@zizahsayangnana</v>
      </c>
      <c r="C9878" t="s">
        <v>1407</v>
      </c>
      <c r="D9878">
        <v>8117</v>
      </c>
      <c r="E9878">
        <v>0</v>
      </c>
      <c r="F9878">
        <v>565</v>
      </c>
    </row>
    <row r="9879" spans="1:6" ht="12.75">
      <c r="A9879" s="2">
        <v>43880.871863425928</v>
      </c>
      <c r="B9879" t="str">
        <f>HYPERLINK("https://twitter.com/juneeeeeeyh","@juneeeeeeyh")</f>
        <v>@juneeeeeeyh</v>
      </c>
      <c r="C9879" t="s">
        <v>2509</v>
      </c>
      <c r="D9879">
        <v>120</v>
      </c>
      <c r="E9879">
        <v>0</v>
      </c>
      <c r="F9879">
        <v>346</v>
      </c>
    </row>
    <row r="9880" spans="1:6" ht="12.75">
      <c r="A9880" s="2">
        <v>43880.871863425928</v>
      </c>
      <c r="B9880" t="str">
        <f>HYPERLINK("https://twitter.com/HopsIndonesia","@HopsIndonesia")</f>
        <v>@HopsIndonesia</v>
      </c>
      <c r="C9880" t="s">
        <v>5912</v>
      </c>
      <c r="D9880">
        <v>0</v>
      </c>
      <c r="E9880">
        <v>0</v>
      </c>
      <c r="F9880">
        <v>9</v>
      </c>
    </row>
    <row r="9881" spans="1:6" ht="12.75">
      <c r="A9881" s="2">
        <v>43880.871828703705</v>
      </c>
      <c r="B9881" t="str">
        <f>HYPERLINK("https://twitter.com/fioktarian","@fioktarian")</f>
        <v>@fioktarian</v>
      </c>
      <c r="C9881" t="s">
        <v>2692</v>
      </c>
      <c r="D9881">
        <v>1419</v>
      </c>
      <c r="E9881">
        <v>0</v>
      </c>
      <c r="F9881">
        <v>4489</v>
      </c>
    </row>
    <row r="9882" spans="1:6" ht="12.75">
      <c r="A9882" s="2">
        <v>43880.871701388889</v>
      </c>
      <c r="B9882" t="str">
        <f>HYPERLINK("https://twitter.com/Gucigang","@Gucigang")</f>
        <v>@Gucigang</v>
      </c>
      <c r="C9882" t="s">
        <v>2692</v>
      </c>
      <c r="D9882">
        <v>1419</v>
      </c>
      <c r="E9882">
        <v>0</v>
      </c>
      <c r="F9882">
        <v>217</v>
      </c>
    </row>
    <row r="9883" spans="1:6" ht="12.75">
      <c r="A9883" s="2">
        <v>43880.871597222227</v>
      </c>
      <c r="B9883" t="str">
        <f>HYPERLINK("https://twitter.com/juneeeeeeyh","@juneeeeeeyh")</f>
        <v>@juneeeeeeyh</v>
      </c>
      <c r="C9883" t="s">
        <v>2183</v>
      </c>
      <c r="D9883">
        <v>271</v>
      </c>
      <c r="E9883">
        <v>0</v>
      </c>
      <c r="F9883">
        <v>346</v>
      </c>
    </row>
    <row r="9884" spans="1:6" ht="12.75">
      <c r="A9884" s="2">
        <v>43880.871597222227</v>
      </c>
      <c r="B9884" t="str">
        <f>HYPERLINK("https://twitter.com/ernaaabcd","@ernaaabcd")</f>
        <v>@ernaaabcd</v>
      </c>
      <c r="C9884" t="s">
        <v>2692</v>
      </c>
      <c r="D9884">
        <v>1419</v>
      </c>
      <c r="E9884">
        <v>0</v>
      </c>
      <c r="F9884">
        <v>6926</v>
      </c>
    </row>
    <row r="9885" spans="1:6" ht="12.75">
      <c r="A9885" s="2">
        <v>43880.871574074074</v>
      </c>
      <c r="B9885" t="str">
        <f>HYPERLINK("https://twitter.com/rebahannteros","@rebahannteros")</f>
        <v>@rebahannteros</v>
      </c>
      <c r="C9885" t="s">
        <v>1407</v>
      </c>
      <c r="D9885">
        <v>8117</v>
      </c>
      <c r="E9885">
        <v>0</v>
      </c>
      <c r="F9885">
        <v>423</v>
      </c>
    </row>
    <row r="9886" spans="1:6" ht="12.75">
      <c r="A9886" s="2">
        <v>43880.871504629627</v>
      </c>
      <c r="B9886" t="str">
        <f>HYPERLINK("https://twitter.com/sooethereal","@sooethereal")</f>
        <v>@sooethereal</v>
      </c>
      <c r="C9886" t="s">
        <v>2692</v>
      </c>
      <c r="D9886">
        <v>1419</v>
      </c>
      <c r="E9886">
        <v>0</v>
      </c>
      <c r="F9886">
        <v>92</v>
      </c>
    </row>
    <row r="9887" spans="1:6" ht="12.75">
      <c r="A9887" s="2">
        <v>43880.871469907404</v>
      </c>
      <c r="B9887" t="str">
        <f>HYPERLINK("https://twitter.com/Mudraglava80","@Mudraglava80")</f>
        <v>@Mudraglava80</v>
      </c>
      <c r="C9887" t="s">
        <v>2692</v>
      </c>
      <c r="D9887">
        <v>1419</v>
      </c>
      <c r="E9887">
        <v>0</v>
      </c>
      <c r="F9887">
        <v>1422</v>
      </c>
    </row>
    <row r="9888" spans="1:6" ht="12.75">
      <c r="A9888" s="2">
        <v>43880.871458333335</v>
      </c>
      <c r="B9888" t="str">
        <f>HYPERLINK("https://twitter.com/katjangkeledai","@katjangkeledai")</f>
        <v>@katjangkeledai</v>
      </c>
      <c r="C9888" t="s">
        <v>1407</v>
      </c>
      <c r="D9888">
        <v>8117</v>
      </c>
      <c r="E9888">
        <v>0</v>
      </c>
      <c r="F9888">
        <v>1385</v>
      </c>
    </row>
    <row r="9889" spans="1:6" ht="12.75">
      <c r="A9889" s="2">
        <v>43880.871458333335</v>
      </c>
      <c r="B9889" t="str">
        <f>HYPERLINK("https://twitter.com/eungyulhan","@eungyulhan")</f>
        <v>@eungyulhan</v>
      </c>
      <c r="C9889" t="s">
        <v>1407</v>
      </c>
      <c r="D9889">
        <v>8117</v>
      </c>
      <c r="E9889">
        <v>0</v>
      </c>
      <c r="F9889">
        <v>191</v>
      </c>
    </row>
    <row r="9890" spans="1:6" ht="12.75">
      <c r="A9890" s="2">
        <v>43880.871423611112</v>
      </c>
      <c r="B9890" t="str">
        <f>HYPERLINK("https://twitter.com/royalmargarine","@royalmargarine")</f>
        <v>@royalmargarine</v>
      </c>
      <c r="C9890" t="s">
        <v>1407</v>
      </c>
      <c r="D9890">
        <v>8117</v>
      </c>
      <c r="E9890">
        <v>0</v>
      </c>
      <c r="F9890">
        <v>367</v>
      </c>
    </row>
    <row r="9891" spans="1:6" ht="12.75">
      <c r="A9891" s="2">
        <v>43880.871365740742</v>
      </c>
      <c r="B9891" t="str">
        <f>HYPERLINK("https://twitter.com/kiasleo","@kiasleo")</f>
        <v>@kiasleo</v>
      </c>
      <c r="C9891" t="s">
        <v>2692</v>
      </c>
      <c r="D9891">
        <v>1419</v>
      </c>
      <c r="E9891">
        <v>0</v>
      </c>
      <c r="F9891">
        <v>627</v>
      </c>
    </row>
    <row r="9892" spans="1:6" ht="12.75">
      <c r="A9892" s="2">
        <v>43880.871354166666</v>
      </c>
      <c r="B9892" t="str">
        <f>HYPERLINK("https://twitter.com/aytentology","@aytentology")</f>
        <v>@aytentology</v>
      </c>
      <c r="C9892" t="s">
        <v>1407</v>
      </c>
      <c r="D9892">
        <v>8117</v>
      </c>
      <c r="E9892">
        <v>0</v>
      </c>
      <c r="F9892">
        <v>1470</v>
      </c>
    </row>
    <row r="9893" spans="1:6" ht="12.75">
      <c r="A9893" s="2">
        <v>43880.871249999997</v>
      </c>
      <c r="B9893" t="str">
        <f>HYPERLINK("https://twitter.com/witrikhalfiyah_","@witrikhalfiyah_")</f>
        <v>@witrikhalfiyah_</v>
      </c>
      <c r="C9893" t="s">
        <v>1407</v>
      </c>
      <c r="D9893">
        <v>8117</v>
      </c>
      <c r="E9893">
        <v>0</v>
      </c>
      <c r="F9893">
        <v>605</v>
      </c>
    </row>
    <row r="9894" spans="1:6" ht="12.75">
      <c r="A9894" s="2">
        <v>43880.871064814812</v>
      </c>
      <c r="B9894" t="str">
        <f>HYPERLINK("https://twitter.com/Nabilamelyas","@Nabilamelyas")</f>
        <v>@Nabilamelyas</v>
      </c>
      <c r="C9894" t="s">
        <v>1407</v>
      </c>
      <c r="D9894">
        <v>8117</v>
      </c>
      <c r="E9894">
        <v>0</v>
      </c>
      <c r="F9894">
        <v>277</v>
      </c>
    </row>
    <row r="9895" spans="1:6" ht="12.75">
      <c r="A9895" s="2">
        <v>43880.870995370366</v>
      </c>
      <c r="B9895" t="str">
        <f>HYPERLINK("https://twitter.com/danangmike","@danangmike")</f>
        <v>@danangmike</v>
      </c>
      <c r="C9895" t="s">
        <v>5913</v>
      </c>
      <c r="D9895">
        <v>0</v>
      </c>
      <c r="E9895">
        <v>0</v>
      </c>
      <c r="F9895">
        <v>319</v>
      </c>
    </row>
    <row r="9896" spans="1:6" ht="12.75">
      <c r="A9896" s="2">
        <v>43880.870949074073</v>
      </c>
      <c r="B9896" t="str">
        <f>HYPERLINK("https://twitter.com/sphericalfa","@sphericalfa")</f>
        <v>@sphericalfa</v>
      </c>
      <c r="C9896" t="s">
        <v>5914</v>
      </c>
      <c r="D9896">
        <v>17</v>
      </c>
      <c r="E9896">
        <v>0</v>
      </c>
      <c r="F9896">
        <v>4601</v>
      </c>
    </row>
    <row r="9897" spans="1:6" ht="12.75">
      <c r="A9897" s="2">
        <v>43880.870949074073</v>
      </c>
      <c r="B9897" t="str">
        <f>HYPERLINK("https://twitter.com/hematwoii","@hematwoii")</f>
        <v>@hematwoii</v>
      </c>
      <c r="C9897" t="s">
        <v>1407</v>
      </c>
      <c r="D9897">
        <v>8117</v>
      </c>
      <c r="E9897">
        <v>0</v>
      </c>
      <c r="F9897">
        <v>1312</v>
      </c>
    </row>
    <row r="9898" spans="1:6" ht="12.75">
      <c r="A9898" s="2">
        <v>43880.870844907404</v>
      </c>
      <c r="B9898" t="str">
        <f>HYPERLINK("https://twitter.com/goshdangitkai","@goshdangitkai")</f>
        <v>@goshdangitkai</v>
      </c>
      <c r="C9898" t="s">
        <v>1407</v>
      </c>
      <c r="D9898">
        <v>8117</v>
      </c>
      <c r="E9898">
        <v>0</v>
      </c>
      <c r="F9898">
        <v>627</v>
      </c>
    </row>
    <row r="9899" spans="1:6" ht="12.75">
      <c r="A9899" s="2">
        <v>43880.870833333334</v>
      </c>
      <c r="B9899" t="str">
        <f>HYPERLINK("https://twitter.com/KyoongiD","@KyoongiD")</f>
        <v>@KyoongiD</v>
      </c>
      <c r="C9899" t="s">
        <v>1407</v>
      </c>
      <c r="D9899">
        <v>8117</v>
      </c>
      <c r="E9899">
        <v>0</v>
      </c>
      <c r="F9899">
        <v>117</v>
      </c>
    </row>
    <row r="9900" spans="1:6" ht="12.75">
      <c r="A9900" s="2">
        <v>43880.870810185181</v>
      </c>
      <c r="B9900" t="str">
        <f>HYPERLINK("https://twitter.com/sphericalfa","@sphericalfa")</f>
        <v>@sphericalfa</v>
      </c>
      <c r="C9900" t="s">
        <v>1920</v>
      </c>
      <c r="D9900">
        <v>253</v>
      </c>
      <c r="E9900">
        <v>0</v>
      </c>
      <c r="F9900">
        <v>4601</v>
      </c>
    </row>
    <row r="9901" spans="1:6" ht="12.75">
      <c r="A9901" s="2">
        <v>43880.870787037042</v>
      </c>
      <c r="B9901" t="str">
        <f>HYPERLINK("https://twitter.com/RahmatFajriAdha","@RahmatFajriAdha")</f>
        <v>@RahmatFajriAdha</v>
      </c>
      <c r="C9901" t="s">
        <v>1407</v>
      </c>
      <c r="D9901">
        <v>8117</v>
      </c>
      <c r="E9901">
        <v>0</v>
      </c>
      <c r="F9901">
        <v>1355</v>
      </c>
    </row>
    <row r="9902" spans="1:6" ht="12.75">
      <c r="A9902" s="2">
        <v>43880.870763888888</v>
      </c>
      <c r="B9902" t="str">
        <f>HYPERLINK("https://twitter.com/leevianter","@leevianter")</f>
        <v>@leevianter</v>
      </c>
      <c r="C9902" t="s">
        <v>2183</v>
      </c>
      <c r="D9902">
        <v>271</v>
      </c>
      <c r="E9902">
        <v>0</v>
      </c>
      <c r="F9902">
        <v>1816</v>
      </c>
    </row>
    <row r="9903" spans="1:6" ht="12.75">
      <c r="A9903" s="2">
        <v>43880.870740740742</v>
      </c>
      <c r="B9903" t="str">
        <f>HYPERLINK("https://twitter.com/bsntwh","@bsntwh")</f>
        <v>@bsntwh</v>
      </c>
      <c r="C9903" t="s">
        <v>1407</v>
      </c>
      <c r="D9903">
        <v>8117</v>
      </c>
      <c r="E9903">
        <v>0</v>
      </c>
      <c r="F9903">
        <v>485</v>
      </c>
    </row>
    <row r="9904" spans="1:6" ht="12.75">
      <c r="A9904" s="2">
        <v>43880.870659722219</v>
      </c>
      <c r="B9904" t="str">
        <f>HYPERLINK("https://twitter.com/heyshellyy","@heyshellyy")</f>
        <v>@heyshellyy</v>
      </c>
      <c r="C9904" t="s">
        <v>1407</v>
      </c>
      <c r="D9904">
        <v>8117</v>
      </c>
      <c r="E9904">
        <v>0</v>
      </c>
      <c r="F9904">
        <v>934</v>
      </c>
    </row>
    <row r="9905" spans="1:6" ht="12.75">
      <c r="A9905" s="2">
        <v>43880.870497685188</v>
      </c>
      <c r="B9905" t="str">
        <f>HYPERLINK("https://twitter.com/Giedelweiss","@Giedelweiss")</f>
        <v>@Giedelweiss</v>
      </c>
      <c r="C9905" t="s">
        <v>1407</v>
      </c>
      <c r="D9905">
        <v>8117</v>
      </c>
      <c r="E9905">
        <v>0</v>
      </c>
      <c r="F9905">
        <v>155</v>
      </c>
    </row>
    <row r="9906" spans="1:6" ht="12.75">
      <c r="A9906" s="2">
        <v>43880.870451388888</v>
      </c>
      <c r="B9906" t="str">
        <f>HYPERLINK("https://twitter.com/Novandri86R","@Novandri86R")</f>
        <v>@Novandri86R</v>
      </c>
      <c r="C9906" t="s">
        <v>5915</v>
      </c>
      <c r="D9906">
        <v>1</v>
      </c>
      <c r="E9906">
        <v>0</v>
      </c>
      <c r="F9906">
        <v>759</v>
      </c>
    </row>
    <row r="9907" spans="1:6" ht="12.75">
      <c r="A9907" s="2">
        <v>43880.870439814811</v>
      </c>
      <c r="B9907" t="str">
        <f>HYPERLINK("https://twitter.com/doughyonssi","@doughyonssi")</f>
        <v>@doughyonssi</v>
      </c>
      <c r="C9907" t="s">
        <v>1407</v>
      </c>
      <c r="D9907">
        <v>8117</v>
      </c>
      <c r="E9907">
        <v>0</v>
      </c>
      <c r="F9907">
        <v>349</v>
      </c>
    </row>
    <row r="9908" spans="1:6" ht="12.75">
      <c r="A9908" s="2">
        <v>43880.870289351849</v>
      </c>
      <c r="B9908" t="str">
        <f>HYPERLINK("https://twitter.com/sohibyohangyul","@sohibyohangyul")</f>
        <v>@sohibyohangyul</v>
      </c>
      <c r="C9908" t="s">
        <v>1407</v>
      </c>
      <c r="D9908">
        <v>8117</v>
      </c>
      <c r="E9908">
        <v>0</v>
      </c>
      <c r="F9908">
        <v>640</v>
      </c>
    </row>
    <row r="9909" spans="1:6" ht="12.75">
      <c r="A9909" s="2">
        <v>43880.870289351849</v>
      </c>
      <c r="B9909" t="str">
        <f>HYPERLINK("https://twitter.com/Lisakartikaa2","@Lisakartikaa2")</f>
        <v>@Lisakartikaa2</v>
      </c>
      <c r="C9909" t="s">
        <v>513</v>
      </c>
      <c r="D9909">
        <v>23166</v>
      </c>
      <c r="E9909">
        <v>0</v>
      </c>
      <c r="F9909">
        <v>38</v>
      </c>
    </row>
    <row r="9910" spans="1:6" ht="12.75">
      <c r="A9910" s="2">
        <v>43880.870243055557</v>
      </c>
      <c r="B9910" t="str">
        <f>HYPERLINK("https://twitter.com/esfjgemini","@esfjgemini")</f>
        <v>@esfjgemini</v>
      </c>
      <c r="C9910" t="s">
        <v>1407</v>
      </c>
      <c r="D9910">
        <v>8117</v>
      </c>
      <c r="E9910">
        <v>0</v>
      </c>
      <c r="F9910">
        <v>56</v>
      </c>
    </row>
    <row r="9911" spans="1:6" ht="12.75">
      <c r="A9911" s="2">
        <v>43880.87023148148</v>
      </c>
      <c r="B9911" t="str">
        <f>HYPERLINK("https://twitter.com/jjangmyecyn","@jjangmyecyn")</f>
        <v>@jjangmyecyn</v>
      </c>
      <c r="C9911" t="s">
        <v>1407</v>
      </c>
      <c r="D9911">
        <v>8117</v>
      </c>
      <c r="E9911">
        <v>0</v>
      </c>
      <c r="F9911">
        <v>10</v>
      </c>
    </row>
    <row r="9912" spans="1:6" ht="12.75">
      <c r="A9912" s="2">
        <v>43880.870034722218</v>
      </c>
      <c r="B9912" t="str">
        <f>HYPERLINK("https://twitter.com/nnajaemm__","@nnajaemm__")</f>
        <v>@nnajaemm__</v>
      </c>
      <c r="C9912" t="s">
        <v>1407</v>
      </c>
      <c r="D9912">
        <v>8117</v>
      </c>
      <c r="E9912">
        <v>0</v>
      </c>
      <c r="F9912">
        <v>1081</v>
      </c>
    </row>
    <row r="9913" spans="1:6" ht="12.75">
      <c r="A9913" s="2">
        <v>43880.869942129633</v>
      </c>
      <c r="B9913" t="str">
        <f>HYPERLINK("https://twitter.com/meeonggg","@meeonggg")</f>
        <v>@meeonggg</v>
      </c>
      <c r="C9913" t="s">
        <v>2692</v>
      </c>
      <c r="D9913">
        <v>1419</v>
      </c>
      <c r="E9913">
        <v>0</v>
      </c>
      <c r="F9913">
        <v>1790</v>
      </c>
    </row>
    <row r="9914" spans="1:6" ht="12.75">
      <c r="A9914" s="2">
        <v>43880.869502314818</v>
      </c>
      <c r="B9914" t="str">
        <f>HYPERLINK("https://twitter.com/radarbangsa_com","@radarbangsa_com")</f>
        <v>@radarbangsa_com</v>
      </c>
      <c r="C9914" t="s">
        <v>5916</v>
      </c>
      <c r="D9914">
        <v>1</v>
      </c>
      <c r="E9914">
        <v>0</v>
      </c>
      <c r="F9914">
        <v>2245</v>
      </c>
    </row>
    <row r="9915" spans="1:6" ht="12.75">
      <c r="A9915" s="2">
        <v>43880.869421296295</v>
      </c>
      <c r="B9915" t="str">
        <f>HYPERLINK("https://twitter.com/FlearaB","@FlearaB")</f>
        <v>@FlearaB</v>
      </c>
      <c r="C9915" t="s">
        <v>2467</v>
      </c>
      <c r="D9915">
        <v>752</v>
      </c>
      <c r="E9915">
        <v>0</v>
      </c>
      <c r="F9915">
        <v>320</v>
      </c>
    </row>
    <row r="9916" spans="1:6" ht="12.75">
      <c r="A9916" s="2">
        <v>43880.869224537033</v>
      </c>
      <c r="B9916" t="str">
        <f>HYPERLINK("https://twitter.com/heilazura","@heilazura")</f>
        <v>@heilazura</v>
      </c>
      <c r="C9916" t="s">
        <v>1407</v>
      </c>
      <c r="D9916">
        <v>8117</v>
      </c>
      <c r="E9916">
        <v>0</v>
      </c>
      <c r="F9916">
        <v>82</v>
      </c>
    </row>
    <row r="9917" spans="1:6" ht="12.75">
      <c r="A9917" s="2">
        <v>43880.869201388894</v>
      </c>
      <c r="B9917" t="str">
        <f>HYPERLINK("https://twitter.com/FlearaB","@FlearaB")</f>
        <v>@FlearaB</v>
      </c>
      <c r="C9917" t="s">
        <v>1407</v>
      </c>
      <c r="D9917">
        <v>8117</v>
      </c>
      <c r="E9917">
        <v>0</v>
      </c>
      <c r="F9917">
        <v>320</v>
      </c>
    </row>
    <row r="9918" spans="1:6" ht="12.75">
      <c r="A9918" s="2">
        <v>43880.869062500002</v>
      </c>
      <c r="B9918" t="str">
        <f>HYPERLINK("https://twitter.com/zwitsaladdict","@zwitsaladdict")</f>
        <v>@zwitsaladdict</v>
      </c>
      <c r="C9918" t="s">
        <v>1407</v>
      </c>
      <c r="D9918">
        <v>8117</v>
      </c>
      <c r="E9918">
        <v>0</v>
      </c>
      <c r="F9918">
        <v>142</v>
      </c>
    </row>
    <row r="9919" spans="1:6" ht="12.75">
      <c r="A9919" s="2">
        <v>43880.868877314817</v>
      </c>
      <c r="B9919" t="str">
        <f>HYPERLINK("https://twitter.com/nandanggg","@nandanggg")</f>
        <v>@nandanggg</v>
      </c>
      <c r="C9919" t="s">
        <v>1407</v>
      </c>
      <c r="D9919">
        <v>8117</v>
      </c>
      <c r="E9919">
        <v>0</v>
      </c>
      <c r="F9919">
        <v>4173</v>
      </c>
    </row>
    <row r="9920" spans="1:6" ht="12.75">
      <c r="A9920" s="2">
        <v>43880.86886574074</v>
      </c>
      <c r="B9920" t="str">
        <f>HYPERLINK("https://twitter.com/farizashabrina","@farizashabrina")</f>
        <v>@farizashabrina</v>
      </c>
      <c r="C9920" t="s">
        <v>2692</v>
      </c>
      <c r="D9920">
        <v>1419</v>
      </c>
      <c r="E9920">
        <v>0</v>
      </c>
      <c r="F9920">
        <v>836</v>
      </c>
    </row>
    <row r="9921" spans="1:6" ht="12.75">
      <c r="A9921" s="2">
        <v>43880.868807870371</v>
      </c>
      <c r="B9921" t="str">
        <f>HYPERLINK("https://twitter.com/ardianfadi","@ardianfadi")</f>
        <v>@ardianfadi</v>
      </c>
      <c r="C9921" t="s">
        <v>5917</v>
      </c>
      <c r="D9921">
        <v>0</v>
      </c>
      <c r="E9921">
        <v>0</v>
      </c>
      <c r="F9921">
        <v>267</v>
      </c>
    </row>
    <row r="9922" spans="1:6" ht="12.75">
      <c r="A9922" s="2">
        <v>43880.834699074076</v>
      </c>
      <c r="B9922" t="str">
        <f>HYPERLINK("https://twitter.com/ehlaqmindenime","@ehlaqmindenime")</f>
        <v>@ehlaqmindenime</v>
      </c>
      <c r="C9922" t="s">
        <v>1407</v>
      </c>
      <c r="D9922">
        <v>7735</v>
      </c>
      <c r="E9922">
        <v>0</v>
      </c>
      <c r="F9922">
        <v>203</v>
      </c>
    </row>
    <row r="9923" spans="1:6" ht="12.75">
      <c r="A9923" s="2">
        <v>43880.834687499999</v>
      </c>
      <c r="B9923" t="str">
        <f>HYPERLINK("https://twitter.com/baechodding","@baechodding")</f>
        <v>@baechodding</v>
      </c>
      <c r="C9923" t="s">
        <v>5918</v>
      </c>
      <c r="D9923">
        <v>3</v>
      </c>
      <c r="E9923">
        <v>0</v>
      </c>
      <c r="F9923">
        <v>268</v>
      </c>
    </row>
    <row r="9924" spans="1:6" ht="12.75">
      <c r="A9924" s="2">
        <v>43880.834456018521</v>
      </c>
      <c r="B9924" t="str">
        <f>HYPERLINK("https://twitter.com/tiptaengtokissu","@tiptaengtokissu")</f>
        <v>@tiptaengtokissu</v>
      </c>
      <c r="C9924" t="s">
        <v>3278</v>
      </c>
      <c r="D9924">
        <v>32</v>
      </c>
      <c r="E9924">
        <v>0</v>
      </c>
      <c r="F9924">
        <v>34</v>
      </c>
    </row>
    <row r="9925" spans="1:6" ht="12.75">
      <c r="A9925" s="2">
        <v>43880.834444444445</v>
      </c>
      <c r="B9925" t="str">
        <f>HYPERLINK("https://twitter.com/BNewsCoID","@BNewsCoID")</f>
        <v>@BNewsCoID</v>
      </c>
      <c r="C9925" t="s">
        <v>5919</v>
      </c>
      <c r="D9925">
        <v>0</v>
      </c>
      <c r="E9925">
        <v>0</v>
      </c>
      <c r="F9925">
        <v>30619</v>
      </c>
    </row>
    <row r="9926" spans="1:6" ht="12.75">
      <c r="A9926" s="2">
        <v>43880.834421296298</v>
      </c>
      <c r="B9926" t="str">
        <f>HYPERLINK("https://twitter.com/AwanParutang","@AwanParutang")</f>
        <v>@AwanParutang</v>
      </c>
      <c r="C9926" t="s">
        <v>4415</v>
      </c>
      <c r="D9926">
        <v>122</v>
      </c>
      <c r="E9926">
        <v>0</v>
      </c>
      <c r="F9926">
        <v>309</v>
      </c>
    </row>
    <row r="9927" spans="1:6" ht="12.75">
      <c r="A9927" s="2">
        <v>43880.834351851852</v>
      </c>
      <c r="B9927" t="str">
        <f>HYPERLINK("https://twitter.com/Mahyani20","@Mahyani20")</f>
        <v>@Mahyani20</v>
      </c>
      <c r="C9927" t="s">
        <v>5203</v>
      </c>
      <c r="D9927">
        <v>73</v>
      </c>
      <c r="E9927">
        <v>0</v>
      </c>
      <c r="F9927">
        <v>1277</v>
      </c>
    </row>
    <row r="9928" spans="1:6" ht="12.75">
      <c r="A9928" s="2">
        <v>43880.834340277783</v>
      </c>
      <c r="B9928" t="str">
        <f>HYPERLINK("https://twitter.com/serbukmatcha","@serbukmatcha")</f>
        <v>@serbukmatcha</v>
      </c>
      <c r="C9928" t="s">
        <v>2467</v>
      </c>
      <c r="D9928">
        <v>722</v>
      </c>
      <c r="E9928">
        <v>0</v>
      </c>
      <c r="F9928">
        <v>4660</v>
      </c>
    </row>
    <row r="9929" spans="1:6" ht="12.75">
      <c r="A9929" s="2">
        <v>43880.834282407406</v>
      </c>
      <c r="B9929" t="str">
        <f>HYPERLINK("https://twitter.com/LokadataID","@LokadataID")</f>
        <v>@LokadataID</v>
      </c>
      <c r="C9929" t="s">
        <v>5920</v>
      </c>
      <c r="D9929">
        <v>0</v>
      </c>
      <c r="E9929">
        <v>0</v>
      </c>
      <c r="F9929">
        <v>512761</v>
      </c>
    </row>
    <row r="9930" spans="1:6" ht="12.75">
      <c r="A9930" s="2">
        <v>43880.834178240737</v>
      </c>
      <c r="B9930" t="str">
        <f>HYPERLINK("https://twitter.com/leinadanielku","@leinadanielku")</f>
        <v>@leinadanielku</v>
      </c>
      <c r="C9930" t="s">
        <v>1407</v>
      </c>
      <c r="D9930">
        <v>7735</v>
      </c>
      <c r="E9930">
        <v>0</v>
      </c>
      <c r="F9930">
        <v>589</v>
      </c>
    </row>
    <row r="9931" spans="1:6" ht="12.75">
      <c r="A9931" s="2">
        <v>43880.834166666667</v>
      </c>
      <c r="B9931" t="str">
        <f>HYPERLINK("https://twitter.com/baechodding","@baechodding")</f>
        <v>@baechodding</v>
      </c>
      <c r="C9931" t="s">
        <v>2509</v>
      </c>
      <c r="D9931">
        <v>110</v>
      </c>
      <c r="E9931">
        <v>0</v>
      </c>
      <c r="F9931">
        <v>268</v>
      </c>
    </row>
    <row r="9932" spans="1:6" ht="12.75">
      <c r="A9932" s="2">
        <v>43880.834074074075</v>
      </c>
      <c r="B9932" t="str">
        <f>HYPERLINK("https://twitter.com/day6dablue","@day6dablue")</f>
        <v>@day6dablue</v>
      </c>
      <c r="C9932" t="s">
        <v>2692</v>
      </c>
      <c r="D9932">
        <v>1311</v>
      </c>
      <c r="E9932">
        <v>0</v>
      </c>
      <c r="F9932">
        <v>988</v>
      </c>
    </row>
    <row r="9933" spans="1:6" ht="12.75">
      <c r="A9933" s="2">
        <v>43880.834062499998</v>
      </c>
      <c r="B9933" t="str">
        <f>HYPERLINK("https://twitter.com/yerimnicorn","@yerimnicorn")</f>
        <v>@yerimnicorn</v>
      </c>
      <c r="C9933" t="s">
        <v>1407</v>
      </c>
      <c r="D9933">
        <v>7735</v>
      </c>
      <c r="E9933">
        <v>0</v>
      </c>
      <c r="F9933">
        <v>216</v>
      </c>
    </row>
    <row r="9934" spans="1:6" ht="12.75">
      <c r="A9934" s="2">
        <v>43880.834050925929</v>
      </c>
      <c r="B9934" t="str">
        <f>HYPERLINK("https://twitter.com/recuperatlon","@recuperatlon")</f>
        <v>@recuperatlon</v>
      </c>
      <c r="C9934" t="s">
        <v>1407</v>
      </c>
      <c r="D9934">
        <v>7735</v>
      </c>
      <c r="E9934">
        <v>0</v>
      </c>
      <c r="F9934">
        <v>38</v>
      </c>
    </row>
    <row r="9935" spans="1:6" ht="12.75">
      <c r="A9935" s="2">
        <v>43880.834004629629</v>
      </c>
      <c r="B9935" t="str">
        <f>HYPERLINK("https://twitter.com/Destriif","@Destriif")</f>
        <v>@Destriif</v>
      </c>
      <c r="C9935" t="s">
        <v>2692</v>
      </c>
      <c r="D9935">
        <v>1311</v>
      </c>
      <c r="E9935">
        <v>0</v>
      </c>
      <c r="F9935">
        <v>15</v>
      </c>
    </row>
    <row r="9936" spans="1:6" ht="12.75">
      <c r="A9936" s="2">
        <v>43880.833958333329</v>
      </c>
      <c r="B9936" t="str">
        <f>HYPERLINK("https://twitter.com/baechodding","@baechodding")</f>
        <v>@baechodding</v>
      </c>
      <c r="C9936" t="s">
        <v>2183</v>
      </c>
      <c r="D9936">
        <v>257</v>
      </c>
      <c r="E9936">
        <v>0</v>
      </c>
      <c r="F9936">
        <v>268</v>
      </c>
    </row>
    <row r="9937" spans="1:6" ht="12.75">
      <c r="A9937" s="2">
        <v>43880.833912037036</v>
      </c>
      <c r="B9937" t="str">
        <f>HYPERLINK("https://twitter.com/Reaumurrr","@Reaumurrr")</f>
        <v>@Reaumurrr</v>
      </c>
      <c r="C9937" t="s">
        <v>1407</v>
      </c>
      <c r="D9937">
        <v>7735</v>
      </c>
      <c r="E9937">
        <v>0</v>
      </c>
      <c r="F9937">
        <v>248</v>
      </c>
    </row>
    <row r="9938" spans="1:6" ht="12.75">
      <c r="A9938" s="2">
        <v>43880.833877314813</v>
      </c>
      <c r="B9938" t="str">
        <f>HYPERLINK("https://twitter.com/baechodding","@baechodding")</f>
        <v>@baechodding</v>
      </c>
      <c r="C9938" t="s">
        <v>2467</v>
      </c>
      <c r="D9938">
        <v>722</v>
      </c>
      <c r="E9938">
        <v>0</v>
      </c>
      <c r="F9938">
        <v>268</v>
      </c>
    </row>
    <row r="9939" spans="1:6" ht="12.75">
      <c r="A9939" s="2">
        <v>43880.833831018521</v>
      </c>
      <c r="B9939" t="str">
        <f>HYPERLINK("https://twitter.com/laixlaa","@laixlaa")</f>
        <v>@laixlaa</v>
      </c>
      <c r="C9939" t="s">
        <v>1407</v>
      </c>
      <c r="D9939">
        <v>7735</v>
      </c>
      <c r="E9939">
        <v>0</v>
      </c>
      <c r="F9939">
        <v>1539</v>
      </c>
    </row>
    <row r="9940" spans="1:6" ht="12.75">
      <c r="A9940" s="2">
        <v>43880.833807870367</v>
      </c>
      <c r="B9940" t="str">
        <f>HYPERLINK("https://twitter.com/baechodding","@baechodding")</f>
        <v>@baechodding</v>
      </c>
      <c r="C9940" t="s">
        <v>1407</v>
      </c>
      <c r="D9940">
        <v>7735</v>
      </c>
      <c r="E9940">
        <v>0</v>
      </c>
      <c r="F9940">
        <v>268</v>
      </c>
    </row>
    <row r="9941" spans="1:6" ht="12.75">
      <c r="A9941" s="2">
        <v>43880.833750000005</v>
      </c>
      <c r="B9941" t="str">
        <f>HYPERLINK("https://twitter.com/erikamelia__","@erikamelia__")</f>
        <v>@erikamelia__</v>
      </c>
      <c r="C9941" t="s">
        <v>5921</v>
      </c>
      <c r="D9941">
        <v>0</v>
      </c>
      <c r="E9941">
        <v>0</v>
      </c>
      <c r="F9941">
        <v>749</v>
      </c>
    </row>
    <row r="9942" spans="1:6" ht="12.75">
      <c r="A9942" s="2">
        <v>43880.833472222221</v>
      </c>
      <c r="B9942" t="str">
        <f>HYPERLINK("https://twitter.com/jiminquin","@jiminquin")</f>
        <v>@jiminquin</v>
      </c>
      <c r="C9942" t="s">
        <v>1407</v>
      </c>
      <c r="D9942">
        <v>7735</v>
      </c>
      <c r="E9942">
        <v>0</v>
      </c>
      <c r="F9942">
        <v>484</v>
      </c>
    </row>
    <row r="9943" spans="1:6" ht="12.75">
      <c r="A9943" s="2">
        <v>43880.833402777775</v>
      </c>
      <c r="B9943" t="str">
        <f>HYPERLINK("https://twitter.com/Dbubujae","@Dbubujae")</f>
        <v>@Dbubujae</v>
      </c>
      <c r="C9943" t="s">
        <v>1407</v>
      </c>
      <c r="D9943">
        <v>7735</v>
      </c>
      <c r="E9943">
        <v>0</v>
      </c>
      <c r="F9943">
        <v>882</v>
      </c>
    </row>
    <row r="9944" spans="1:6" ht="12.75">
      <c r="A9944" s="2">
        <v>43880.833344907413</v>
      </c>
      <c r="B9944" t="str">
        <f>HYPERLINK("https://twitter.com/AnjaniSA","@AnjaniSA")</f>
        <v>@AnjaniSA</v>
      </c>
      <c r="C9944" t="s">
        <v>1407</v>
      </c>
      <c r="D9944">
        <v>7735</v>
      </c>
      <c r="E9944">
        <v>0</v>
      </c>
      <c r="F9944">
        <v>525</v>
      </c>
    </row>
    <row r="9945" spans="1:6" ht="12.75">
      <c r="A9945" s="2">
        <v>43880.833321759259</v>
      </c>
      <c r="B9945" t="str">
        <f>HYPERLINK("https://twitter.com/700KY","@700KY")</f>
        <v>@700KY</v>
      </c>
      <c r="C9945" t="s">
        <v>2692</v>
      </c>
      <c r="D9945">
        <v>1311</v>
      </c>
      <c r="E9945">
        <v>0</v>
      </c>
      <c r="F9945">
        <v>19</v>
      </c>
    </row>
    <row r="9946" spans="1:6" ht="12.75">
      <c r="A9946" s="2">
        <v>43880.833310185189</v>
      </c>
      <c r="B9946" t="str">
        <f>HYPERLINK("https://twitter.com/smutties_","@smutties_")</f>
        <v>@smutties_</v>
      </c>
      <c r="C9946" t="s">
        <v>1407</v>
      </c>
      <c r="D9946">
        <v>7735</v>
      </c>
      <c r="E9946">
        <v>0</v>
      </c>
      <c r="F9946">
        <v>891</v>
      </c>
    </row>
    <row r="9947" spans="1:6" ht="12.75">
      <c r="A9947" s="2">
        <v>43880.833275462966</v>
      </c>
      <c r="B9947" t="str">
        <f>HYPERLINK("https://twitter.com/basicplatonic","@basicplatonic")</f>
        <v>@basicplatonic</v>
      </c>
      <c r="C9947" t="s">
        <v>1407</v>
      </c>
      <c r="D9947">
        <v>7735</v>
      </c>
      <c r="E9947">
        <v>0</v>
      </c>
      <c r="F9947">
        <v>702</v>
      </c>
    </row>
    <row r="9948" spans="1:6" ht="12.75">
      <c r="A9948" s="2">
        <v>43880.833229166667</v>
      </c>
      <c r="B9948" t="str">
        <f>HYPERLINK("https://twitter.com/harubimo","@harubimo")</f>
        <v>@harubimo</v>
      </c>
      <c r="C9948" t="s">
        <v>2692</v>
      </c>
      <c r="D9948">
        <v>1311</v>
      </c>
      <c r="E9948">
        <v>0</v>
      </c>
      <c r="F9948">
        <v>242</v>
      </c>
    </row>
    <row r="9949" spans="1:6" ht="12.75">
      <c r="A9949" s="2">
        <v>43880.833182870367</v>
      </c>
      <c r="B9949" t="str">
        <f>HYPERLINK("https://twitter.com/kunderemp","@kunderemp")</f>
        <v>@kunderemp</v>
      </c>
      <c r="C9949" t="s">
        <v>2692</v>
      </c>
      <c r="D9949">
        <v>1311</v>
      </c>
      <c r="E9949">
        <v>0</v>
      </c>
      <c r="F9949">
        <v>190</v>
      </c>
    </row>
    <row r="9950" spans="1:6" ht="12.75">
      <c r="A9950" s="2">
        <v>43880.832858796297</v>
      </c>
      <c r="B9950" t="str">
        <f>HYPERLINK("https://twitter.com/lyggers","@lyggers")</f>
        <v>@lyggers</v>
      </c>
      <c r="C9950" t="s">
        <v>1407</v>
      </c>
      <c r="D9950">
        <v>7735</v>
      </c>
      <c r="E9950">
        <v>0</v>
      </c>
      <c r="F9950">
        <v>1025</v>
      </c>
    </row>
    <row r="9951" spans="1:6" ht="12.75">
      <c r="A9951" s="2">
        <v>43880.832754629635</v>
      </c>
      <c r="B9951" t="str">
        <f>HYPERLINK("https://twitter.com/mieccasa","@mieccasa")</f>
        <v>@mieccasa</v>
      </c>
      <c r="C9951" t="s">
        <v>1407</v>
      </c>
      <c r="D9951">
        <v>7735</v>
      </c>
      <c r="E9951">
        <v>0</v>
      </c>
      <c r="F9951">
        <v>348</v>
      </c>
    </row>
    <row r="9952" spans="1:6" ht="12.75">
      <c r="A9952" s="2">
        <v>43880.832696759258</v>
      </c>
      <c r="B9952" t="str">
        <f>HYPERLINK("https://twitter.com/agnezmofeelings","@agnezmofeelings")</f>
        <v>@agnezmofeelings</v>
      </c>
      <c r="C9952" t="s">
        <v>1407</v>
      </c>
      <c r="D9952">
        <v>7735</v>
      </c>
      <c r="E9952">
        <v>0</v>
      </c>
      <c r="F9952">
        <v>85</v>
      </c>
    </row>
    <row r="9953" spans="1:6" ht="12.75">
      <c r="A9953" s="2">
        <v>43880.832592592589</v>
      </c>
      <c r="B9953" t="str">
        <f>HYPERLINK("https://twitter.com/dinasuryanaaa","@dinasuryanaaa")</f>
        <v>@dinasuryanaaa</v>
      </c>
      <c r="C9953" t="s">
        <v>2509</v>
      </c>
      <c r="D9953">
        <v>110</v>
      </c>
      <c r="E9953">
        <v>0</v>
      </c>
      <c r="F9953">
        <v>1346</v>
      </c>
    </row>
    <row r="9954" spans="1:6" ht="12.75">
      <c r="A9954" s="2">
        <v>43880.832546296297</v>
      </c>
      <c r="B9954" t="str">
        <f>HYPERLINK("https://twitter.com/fauzanaufal21","@fauzanaufal21")</f>
        <v>@fauzanaufal21</v>
      </c>
      <c r="C9954" t="s">
        <v>5922</v>
      </c>
      <c r="D9954">
        <v>0</v>
      </c>
      <c r="E9954">
        <v>0</v>
      </c>
      <c r="F9954">
        <v>75</v>
      </c>
    </row>
    <row r="9955" spans="1:6" ht="12.75">
      <c r="A9955" s="2">
        <v>43880.832534722227</v>
      </c>
      <c r="B9955" t="str">
        <f>HYPERLINK("https://twitter.com/dinasuryanaaa","@dinasuryanaaa")</f>
        <v>@dinasuryanaaa</v>
      </c>
      <c r="C9955" t="s">
        <v>2183</v>
      </c>
      <c r="D9955">
        <v>257</v>
      </c>
      <c r="E9955">
        <v>0</v>
      </c>
      <c r="F9955">
        <v>1346</v>
      </c>
    </row>
    <row r="9956" spans="1:6" ht="12.75">
      <c r="A9956" s="2">
        <v>43880.832418981481</v>
      </c>
      <c r="B9956" t="str">
        <f>HYPERLINK("https://twitter.com/Purwo_no1266","@Purwo_no1266")</f>
        <v>@Purwo_no1266</v>
      </c>
      <c r="C9956" t="s">
        <v>5923</v>
      </c>
      <c r="D9956">
        <v>0</v>
      </c>
      <c r="E9956">
        <v>0</v>
      </c>
      <c r="F9956">
        <v>1456</v>
      </c>
    </row>
    <row r="9957" spans="1:6" ht="12.75">
      <c r="A9957" s="2">
        <v>43880.832361111112</v>
      </c>
      <c r="B9957" t="str">
        <f>HYPERLINK("https://twitter.com/dinasuryanaaa","@dinasuryanaaa")</f>
        <v>@dinasuryanaaa</v>
      </c>
      <c r="C9957" t="s">
        <v>2467</v>
      </c>
      <c r="D9957">
        <v>722</v>
      </c>
      <c r="E9957">
        <v>0</v>
      </c>
      <c r="F9957">
        <v>1346</v>
      </c>
    </row>
    <row r="9958" spans="1:6" ht="12.75">
      <c r="A9958" s="2">
        <v>43880.83216435185</v>
      </c>
      <c r="B9958" t="str">
        <f>HYPERLINK("https://twitter.com/jaessssy","@jaessssy")</f>
        <v>@jaessssy</v>
      </c>
      <c r="C9958" t="s">
        <v>1407</v>
      </c>
      <c r="D9958">
        <v>7735</v>
      </c>
      <c r="E9958">
        <v>0</v>
      </c>
      <c r="F9958">
        <v>748</v>
      </c>
    </row>
    <row r="9959" spans="1:6" ht="12.75">
      <c r="A9959" s="2">
        <v>43880.831979166665</v>
      </c>
      <c r="B9959" t="str">
        <f>HYPERLINK("https://twitter.com/tesa_arasanti","@tesa_arasanti")</f>
        <v>@tesa_arasanti</v>
      </c>
      <c r="C9959" t="s">
        <v>1407</v>
      </c>
      <c r="D9959">
        <v>7735</v>
      </c>
      <c r="E9959">
        <v>0</v>
      </c>
      <c r="F9959">
        <v>89</v>
      </c>
    </row>
    <row r="9960" spans="1:6" ht="12.75">
      <c r="A9960" s="2">
        <v>43880.831956018519</v>
      </c>
      <c r="B9960" t="str">
        <f>HYPERLINK("https://twitter.com/Americanoo_o","@Americanoo_o")</f>
        <v>@Americanoo_o</v>
      </c>
      <c r="C9960" t="s">
        <v>1407</v>
      </c>
      <c r="D9960">
        <v>7735</v>
      </c>
      <c r="E9960">
        <v>0</v>
      </c>
      <c r="F9960">
        <v>222</v>
      </c>
    </row>
    <row r="9961" spans="1:6" ht="12.75">
      <c r="A9961" s="2">
        <v>43880.83185185185</v>
      </c>
      <c r="B9961" t="str">
        <f>HYPERLINK("https://twitter.com/sipitung009","@sipitung009")</f>
        <v>@sipitung009</v>
      </c>
      <c r="C9961" t="s">
        <v>5924</v>
      </c>
      <c r="D9961">
        <v>0</v>
      </c>
      <c r="E9961">
        <v>0</v>
      </c>
      <c r="F9961">
        <v>40</v>
      </c>
    </row>
    <row r="9962" spans="1:6" ht="12.75">
      <c r="A9962" s="2">
        <v>43880.83185185185</v>
      </c>
      <c r="B9962" t="str">
        <f>HYPERLINK("https://twitter.com/kapiteenn","@kapiteenn")</f>
        <v>@kapiteenn</v>
      </c>
      <c r="C9962" t="s">
        <v>1407</v>
      </c>
      <c r="D9962">
        <v>7735</v>
      </c>
      <c r="E9962">
        <v>0</v>
      </c>
      <c r="F9962">
        <v>682</v>
      </c>
    </row>
    <row r="9963" spans="1:6" ht="12.75">
      <c r="A9963" s="2">
        <v>43880.831805555557</v>
      </c>
      <c r="B9963" t="str">
        <f>HYPERLINK("https://twitter.com/bungamawarbiru","@bungamawarbiru")</f>
        <v>@bungamawarbiru</v>
      </c>
      <c r="C9963" t="s">
        <v>3278</v>
      </c>
      <c r="D9963">
        <v>32</v>
      </c>
      <c r="E9963">
        <v>0</v>
      </c>
      <c r="F9963">
        <v>0</v>
      </c>
    </row>
    <row r="9964" spans="1:6" ht="12.75">
      <c r="A9964" s="2">
        <v>43880.831805555557</v>
      </c>
      <c r="B9964" t="str">
        <f>HYPERLINK("https://twitter.com/sinbyourbae","@sinbyourbae")</f>
        <v>@sinbyourbae</v>
      </c>
      <c r="C9964" t="s">
        <v>5925</v>
      </c>
      <c r="D9964">
        <v>0</v>
      </c>
      <c r="E9964">
        <v>0</v>
      </c>
      <c r="F9964">
        <v>925</v>
      </c>
    </row>
    <row r="9965" spans="1:6" ht="12.75">
      <c r="A9965" s="2">
        <v>43880.831689814819</v>
      </c>
      <c r="B9965" t="str">
        <f>HYPERLINK("https://twitter.com/zakoooraa","@zakoooraa")</f>
        <v>@zakoooraa</v>
      </c>
      <c r="C9965" t="s">
        <v>1407</v>
      </c>
      <c r="D9965">
        <v>7735</v>
      </c>
      <c r="E9965">
        <v>0</v>
      </c>
      <c r="F9965">
        <v>1567</v>
      </c>
    </row>
    <row r="9966" spans="1:6" ht="12.75">
      <c r="A9966" s="2">
        <v>43880.831585648149</v>
      </c>
      <c r="B9966" t="str">
        <f>HYPERLINK("https://twitter.com/hyperrboleee","@hyperrboleee")</f>
        <v>@hyperrboleee</v>
      </c>
      <c r="C9966" t="s">
        <v>1407</v>
      </c>
      <c r="D9966">
        <v>7735</v>
      </c>
      <c r="E9966">
        <v>0</v>
      </c>
      <c r="F9966">
        <v>82</v>
      </c>
    </row>
    <row r="9967" spans="1:6" ht="12.75">
      <c r="A9967" s="2">
        <v>43880.831527777773</v>
      </c>
      <c r="B9967" t="str">
        <f>HYPERLINK("https://twitter.com/na_na_na76","@na_na_na76")</f>
        <v>@na_na_na76</v>
      </c>
      <c r="C9967" t="s">
        <v>1407</v>
      </c>
      <c r="D9967">
        <v>7735</v>
      </c>
      <c r="E9967">
        <v>0</v>
      </c>
      <c r="F9967">
        <v>166</v>
      </c>
    </row>
    <row r="9968" spans="1:6" ht="12.75">
      <c r="A9968" s="2">
        <v>43880.831493055557</v>
      </c>
      <c r="B9968" t="str">
        <f>HYPERLINK("https://twitter.com/rinsometik","@rinsometik")</f>
        <v>@rinsometik</v>
      </c>
      <c r="C9968" t="s">
        <v>1407</v>
      </c>
      <c r="D9968">
        <v>7735</v>
      </c>
      <c r="E9968">
        <v>0</v>
      </c>
      <c r="F9968">
        <v>1516</v>
      </c>
    </row>
    <row r="9969" spans="1:6" ht="12.75">
      <c r="A9969" s="2">
        <v>43880.831435185188</v>
      </c>
      <c r="B9969" t="str">
        <f>HYPERLINK("https://twitter.com/ddalgi_joon","@ddalgi_joon")</f>
        <v>@ddalgi_joon</v>
      </c>
      <c r="C9969" t="s">
        <v>1407</v>
      </c>
      <c r="D9969">
        <v>7735</v>
      </c>
      <c r="E9969">
        <v>0</v>
      </c>
      <c r="F9969">
        <v>836</v>
      </c>
    </row>
    <row r="9970" spans="1:6" ht="12.75">
      <c r="A9970" s="2">
        <v>43880.831412037034</v>
      </c>
      <c r="B9970" t="str">
        <f>HYPERLINK("https://twitter.com/imamimoo","@imamimoo")</f>
        <v>@imamimoo</v>
      </c>
      <c r="C9970" t="s">
        <v>5926</v>
      </c>
      <c r="D9970">
        <v>0</v>
      </c>
      <c r="E9970">
        <v>0</v>
      </c>
      <c r="F9970">
        <v>1519</v>
      </c>
    </row>
    <row r="9971" spans="1:6" ht="12.75">
      <c r="A9971" s="2">
        <v>43880.831365740742</v>
      </c>
      <c r="B9971" t="str">
        <f>HYPERLINK("https://twitter.com/crystalclr23","@crystalclr23")</f>
        <v>@crystalclr23</v>
      </c>
      <c r="C9971" t="s">
        <v>1407</v>
      </c>
      <c r="D9971">
        <v>7735</v>
      </c>
      <c r="E9971">
        <v>0</v>
      </c>
      <c r="F9971">
        <v>529</v>
      </c>
    </row>
    <row r="9972" spans="1:6" ht="12.75">
      <c r="A9972" s="2">
        <v>43880.831354166672</v>
      </c>
      <c r="B9972" t="str">
        <f>HYPERLINK("https://twitter.com/annishavad","@annishavad")</f>
        <v>@annishavad</v>
      </c>
      <c r="C9972" t="s">
        <v>2692</v>
      </c>
      <c r="D9972">
        <v>1311</v>
      </c>
      <c r="E9972">
        <v>0</v>
      </c>
      <c r="F9972">
        <v>724</v>
      </c>
    </row>
    <row r="9973" spans="1:6" ht="12.75">
      <c r="A9973" s="2">
        <v>43880.83121527778</v>
      </c>
      <c r="B9973" t="str">
        <f>HYPERLINK("https://twitter.com/EdySukirdi9","@EdySukirdi9")</f>
        <v>@EdySukirdi9</v>
      </c>
      <c r="C9973" t="s">
        <v>5927</v>
      </c>
      <c r="D9973">
        <v>4</v>
      </c>
      <c r="E9973">
        <v>0</v>
      </c>
      <c r="F9973">
        <v>32</v>
      </c>
    </row>
    <row r="9974" spans="1:6" ht="12.75">
      <c r="A9974" s="2">
        <v>43880.83112268518</v>
      </c>
      <c r="B9974" t="str">
        <f>HYPERLINK("https://twitter.com/bvsann97","@bvsann97")</f>
        <v>@bvsann97</v>
      </c>
      <c r="C9974" t="s">
        <v>1407</v>
      </c>
      <c r="D9974">
        <v>7735</v>
      </c>
      <c r="E9974">
        <v>0</v>
      </c>
      <c r="F9974">
        <v>458</v>
      </c>
    </row>
    <row r="9975" spans="1:6" ht="12.75">
      <c r="A9975" s="2">
        <v>43880.830960648149</v>
      </c>
      <c r="B9975" t="str">
        <f>HYPERLINK("https://twitter.com/Veetaekook","@Veetaekook")</f>
        <v>@Veetaekook</v>
      </c>
      <c r="C9975" t="s">
        <v>1407</v>
      </c>
      <c r="D9975">
        <v>7735</v>
      </c>
      <c r="E9975">
        <v>0</v>
      </c>
      <c r="F9975">
        <v>82</v>
      </c>
    </row>
    <row r="9976" spans="1:6" ht="12.75">
      <c r="A9976" s="2">
        <v>43880.830937499995</v>
      </c>
      <c r="B9976" t="str">
        <f>HYPERLINK("https://twitter.com/fairedubien_","@fairedubien_")</f>
        <v>@fairedubien_</v>
      </c>
      <c r="C9976" t="s">
        <v>1407</v>
      </c>
      <c r="D9976">
        <v>7735</v>
      </c>
      <c r="E9976">
        <v>0</v>
      </c>
      <c r="F9976">
        <v>2875</v>
      </c>
    </row>
    <row r="9977" spans="1:6" ht="12.75">
      <c r="A9977" s="2">
        <v>43880.830833333333</v>
      </c>
      <c r="B9977" t="str">
        <f>HYPERLINK("https://twitter.com/jecikaah","@jecikaah")</f>
        <v>@jecikaah</v>
      </c>
      <c r="C9977" t="s">
        <v>1407</v>
      </c>
      <c r="D9977">
        <v>7735</v>
      </c>
      <c r="E9977">
        <v>0</v>
      </c>
      <c r="F9977">
        <v>43</v>
      </c>
    </row>
    <row r="9978" spans="1:6" ht="12.75">
      <c r="A9978" s="2">
        <v>43880.830648148149</v>
      </c>
      <c r="B9978" t="str">
        <f>HYPERLINK("https://twitter.com/dinda_rifaa","@dinda_rifaa")</f>
        <v>@dinda_rifaa</v>
      </c>
      <c r="C9978" t="s">
        <v>1407</v>
      </c>
      <c r="D9978">
        <v>7735</v>
      </c>
      <c r="E9978">
        <v>0</v>
      </c>
      <c r="F9978">
        <v>462</v>
      </c>
    </row>
    <row r="9979" spans="1:6" ht="12.75">
      <c r="A9979" s="2">
        <v>43880.830613425926</v>
      </c>
      <c r="B9979" t="str">
        <f>HYPERLINK("https://twitter.com/wnoktivani","@wnoktivani")</f>
        <v>@wnoktivani</v>
      </c>
      <c r="C9979" t="s">
        <v>2467</v>
      </c>
      <c r="D9979">
        <v>722</v>
      </c>
      <c r="E9979">
        <v>0</v>
      </c>
      <c r="F9979">
        <v>295</v>
      </c>
    </row>
    <row r="9980" spans="1:6" ht="12.75">
      <c r="A9980" s="2">
        <v>43880.830601851849</v>
      </c>
      <c r="B9980" t="str">
        <f>HYPERLINK("https://twitter.com/fauzanaufal21","@fauzanaufal21")</f>
        <v>@fauzanaufal21</v>
      </c>
      <c r="C9980" t="s">
        <v>5928</v>
      </c>
      <c r="D9980">
        <v>0</v>
      </c>
      <c r="E9980">
        <v>0</v>
      </c>
      <c r="F9980">
        <v>75</v>
      </c>
    </row>
    <row r="9981" spans="1:6" ht="12.75">
      <c r="A9981" s="2">
        <v>43880.830520833333</v>
      </c>
      <c r="B9981" t="str">
        <f>HYPERLINK("https://twitter.com/tsaha1965","@tsaha1965")</f>
        <v>@tsaha1965</v>
      </c>
      <c r="C9981" t="s">
        <v>5929</v>
      </c>
      <c r="D9981">
        <v>0</v>
      </c>
      <c r="E9981">
        <v>0</v>
      </c>
      <c r="F9981">
        <v>8</v>
      </c>
    </row>
    <row r="9982" spans="1:6" ht="12.75">
      <c r="A9982" s="2">
        <v>43880.830428240741</v>
      </c>
      <c r="B9982" t="str">
        <f>HYPERLINK("https://twitter.com/meilianasay","@meilianasay")</f>
        <v>@meilianasay</v>
      </c>
      <c r="C9982" t="s">
        <v>1407</v>
      </c>
      <c r="D9982">
        <v>7735</v>
      </c>
      <c r="E9982">
        <v>0</v>
      </c>
      <c r="F9982">
        <v>666</v>
      </c>
    </row>
    <row r="9983" spans="1:6" ht="12.75">
      <c r="A9983" s="2">
        <v>43880.830428240741</v>
      </c>
      <c r="B9983" t="str">
        <f>HYPERLINK("https://twitter.com/titigunita","@titigunita")</f>
        <v>@titigunita</v>
      </c>
      <c r="C9983" t="s">
        <v>1407</v>
      </c>
      <c r="D9983">
        <v>7735</v>
      </c>
      <c r="E9983">
        <v>0</v>
      </c>
      <c r="F9983">
        <v>596</v>
      </c>
    </row>
    <row r="9984" spans="1:6" ht="12.75">
      <c r="A9984" s="2">
        <v>43880.830312499995</v>
      </c>
      <c r="B9984" t="str">
        <f>HYPERLINK("https://twitter.com/ulfa_ftrn13","@ulfa_ftrn13")</f>
        <v>@ulfa_ftrn13</v>
      </c>
      <c r="C9984" t="s">
        <v>1407</v>
      </c>
      <c r="D9984">
        <v>7735</v>
      </c>
      <c r="E9984">
        <v>0</v>
      </c>
      <c r="F9984">
        <v>45</v>
      </c>
    </row>
    <row r="9985" spans="1:6" ht="12.75">
      <c r="A9985" s="2">
        <v>43880.830266203702</v>
      </c>
      <c r="B9985" t="str">
        <f>HYPERLINK("https://twitter.com/selgints","@selgints")</f>
        <v>@selgints</v>
      </c>
      <c r="C9985" t="s">
        <v>1407</v>
      </c>
      <c r="D9985">
        <v>7735</v>
      </c>
      <c r="E9985">
        <v>0</v>
      </c>
      <c r="F9985">
        <v>1161</v>
      </c>
    </row>
    <row r="9986" spans="1:6" ht="12.75">
      <c r="A9986" s="2">
        <v>43880.830011574071</v>
      </c>
      <c r="B9986" t="str">
        <f>HYPERLINK("https://twitter.com/jhsdope","@jhsdope")</f>
        <v>@jhsdope</v>
      </c>
      <c r="C9986" t="s">
        <v>1407</v>
      </c>
      <c r="D9986">
        <v>7735</v>
      </c>
      <c r="E9986">
        <v>0</v>
      </c>
      <c r="F9986">
        <v>1188</v>
      </c>
    </row>
    <row r="9987" spans="1:6" ht="12.75">
      <c r="A9987" s="2">
        <v>43880.829976851848</v>
      </c>
      <c r="B9987" t="str">
        <f>HYPERLINK("https://twitter.com/dionejz_","@dionejz_")</f>
        <v>@dionejz_</v>
      </c>
      <c r="C9987" t="s">
        <v>1407</v>
      </c>
      <c r="D9987">
        <v>7735</v>
      </c>
      <c r="E9987">
        <v>0</v>
      </c>
      <c r="F9987">
        <v>1207</v>
      </c>
    </row>
    <row r="9988" spans="1:6" ht="12.75">
      <c r="A9988" s="2">
        <v>43880.829884259263</v>
      </c>
      <c r="B9988" t="str">
        <f>HYPERLINK("https://twitter.com/sdevifitriani","@sdevifitriani")</f>
        <v>@sdevifitriani</v>
      </c>
      <c r="C9988" t="s">
        <v>1407</v>
      </c>
      <c r="D9988">
        <v>7735</v>
      </c>
      <c r="E9988">
        <v>0</v>
      </c>
      <c r="F9988">
        <v>146</v>
      </c>
    </row>
    <row r="9989" spans="1:6" ht="12.75">
      <c r="A9989" s="2">
        <v>43880.829710648148</v>
      </c>
      <c r="B9989" t="str">
        <f>HYPERLINK("https://twitter.com/SriMulyatis81","@SriMulyatis81")</f>
        <v>@SriMulyatis81</v>
      </c>
      <c r="C9989" t="s">
        <v>1407</v>
      </c>
      <c r="D9989">
        <v>7735</v>
      </c>
      <c r="E9989">
        <v>0</v>
      </c>
      <c r="F9989">
        <v>111</v>
      </c>
    </row>
    <row r="9990" spans="1:6" ht="12.75">
      <c r="A9990" s="2">
        <v>43880.829594907409</v>
      </c>
      <c r="B9990" t="str">
        <f>HYPERLINK("https://twitter.com/laladillaaaa","@laladillaaaa")</f>
        <v>@laladillaaaa</v>
      </c>
      <c r="C9990" t="s">
        <v>1407</v>
      </c>
      <c r="D9990">
        <v>7735</v>
      </c>
      <c r="E9990">
        <v>0</v>
      </c>
      <c r="F9990">
        <v>26</v>
      </c>
    </row>
    <row r="9991" spans="1:6" ht="12.75">
      <c r="A9991" s="2">
        <v>43880.829513888893</v>
      </c>
      <c r="B9991" t="str">
        <f t="shared" ref="B9991:B9992" si="182">HYPERLINK("https://twitter.com/gintoukie","@gintoukie")</f>
        <v>@gintoukie</v>
      </c>
      <c r="C9991" t="s">
        <v>2183</v>
      </c>
      <c r="D9991">
        <v>257</v>
      </c>
      <c r="E9991">
        <v>0</v>
      </c>
      <c r="F9991">
        <v>76</v>
      </c>
    </row>
    <row r="9992" spans="1:6" ht="12.75">
      <c r="A9992" s="2">
        <v>43880.82947916667</v>
      </c>
      <c r="B9992" t="str">
        <f t="shared" si="182"/>
        <v>@gintoukie</v>
      </c>
      <c r="C9992" t="s">
        <v>2467</v>
      </c>
      <c r="D9992">
        <v>722</v>
      </c>
      <c r="E9992">
        <v>0</v>
      </c>
      <c r="F9992">
        <v>76</v>
      </c>
    </row>
    <row r="9993" spans="1:6" ht="12.75">
      <c r="A9993" s="2">
        <v>43880.829421296294</v>
      </c>
      <c r="B9993" t="str">
        <f>HYPERLINK("https://twitter.com/kookriluvs","@kookriluvs")</f>
        <v>@kookriluvs</v>
      </c>
      <c r="C9993" t="s">
        <v>2467</v>
      </c>
      <c r="D9993">
        <v>722</v>
      </c>
      <c r="E9993">
        <v>0</v>
      </c>
      <c r="F9993">
        <v>52</v>
      </c>
    </row>
    <row r="9994" spans="1:6" ht="12.75">
      <c r="A9994" s="2">
        <v>43880.829421296294</v>
      </c>
      <c r="B9994" t="str">
        <f>HYPERLINK("https://twitter.com/uunazimah","@uunazimah")</f>
        <v>@uunazimah</v>
      </c>
      <c r="C9994" t="s">
        <v>1407</v>
      </c>
      <c r="D9994">
        <v>7735</v>
      </c>
      <c r="E9994">
        <v>0</v>
      </c>
      <c r="F9994">
        <v>683</v>
      </c>
    </row>
    <row r="9995" spans="1:6" ht="12.75">
      <c r="A9995" s="2">
        <v>43880.829421296294</v>
      </c>
      <c r="B9995" t="str">
        <f>HYPERLINK("https://twitter.com/oliviakrst","@oliviakrst")</f>
        <v>@oliviakrst</v>
      </c>
      <c r="C9995" t="s">
        <v>2692</v>
      </c>
      <c r="D9995">
        <v>1311</v>
      </c>
      <c r="E9995">
        <v>0</v>
      </c>
      <c r="F9995">
        <v>432</v>
      </c>
    </row>
    <row r="9996" spans="1:6" ht="12.75">
      <c r="A9996" s="2">
        <v>43880.829398148147</v>
      </c>
      <c r="B9996" t="str">
        <f>HYPERLINK("https://twitter.com/Thebear1505","@Thebear1505")</f>
        <v>@Thebear1505</v>
      </c>
      <c r="C9996" t="s">
        <v>513</v>
      </c>
      <c r="D9996">
        <v>23159</v>
      </c>
      <c r="E9996">
        <v>0</v>
      </c>
      <c r="F9996">
        <v>17</v>
      </c>
    </row>
    <row r="9997" spans="1:6" ht="12.75">
      <c r="A9997" s="2">
        <v>43880.829224537039</v>
      </c>
      <c r="B9997" t="str">
        <f>HYPERLINK("https://twitter.com/gintoukie","@gintoukie")</f>
        <v>@gintoukie</v>
      </c>
      <c r="C9997" t="s">
        <v>1407</v>
      </c>
      <c r="D9997">
        <v>7735</v>
      </c>
      <c r="E9997">
        <v>0</v>
      </c>
      <c r="F9997">
        <v>76</v>
      </c>
    </row>
    <row r="9998" spans="1:6" ht="12.75">
      <c r="A9998" s="2">
        <v>43880.829201388886</v>
      </c>
      <c r="B9998" t="str">
        <f>HYPERLINK("https://twitter.com/kookriluvs","@kookriluvs")</f>
        <v>@kookriluvs</v>
      </c>
      <c r="C9998" t="s">
        <v>1407</v>
      </c>
      <c r="D9998">
        <v>7735</v>
      </c>
      <c r="E9998">
        <v>0</v>
      </c>
      <c r="F9998">
        <v>52</v>
      </c>
    </row>
    <row r="9999" spans="1:6" ht="12.75">
      <c r="A9999" s="2">
        <v>43880.82913194444</v>
      </c>
      <c r="B9999" t="str">
        <f>HYPERLINK("https://twitter.com/aestheuticbyun","@aestheuticbyun")</f>
        <v>@aestheuticbyun</v>
      </c>
      <c r="C9999" t="s">
        <v>1407</v>
      </c>
      <c r="D9999">
        <v>7735</v>
      </c>
      <c r="E9999">
        <v>0</v>
      </c>
      <c r="F9999">
        <v>1653</v>
      </c>
    </row>
    <row r="10000" spans="1:6" ht="12.75">
      <c r="A10000" s="2">
        <v>43880.829074074078</v>
      </c>
      <c r="B10000" t="str">
        <f>HYPERLINK("https://twitter.com/ISIS_Balik_NO","@ISIS_Balik_NO")</f>
        <v>@ISIS_Balik_NO</v>
      </c>
      <c r="C10000" t="s">
        <v>5930</v>
      </c>
      <c r="D10000">
        <v>78</v>
      </c>
      <c r="E10000">
        <v>0</v>
      </c>
      <c r="F10000">
        <v>6069</v>
      </c>
    </row>
    <row r="10001" spans="1:6" ht="12.75">
      <c r="A10001" s="2">
        <v>43880.829027777778</v>
      </c>
      <c r="B10001" t="str">
        <f>HYPERLINK("https://twitter.com/arizaldhy","@arizaldhy")</f>
        <v>@arizaldhy</v>
      </c>
      <c r="C10001" t="s">
        <v>2692</v>
      </c>
      <c r="D10001">
        <v>1311</v>
      </c>
      <c r="E10001">
        <v>0</v>
      </c>
      <c r="F10001">
        <v>220</v>
      </c>
    </row>
    <row r="10002" spans="1:6" ht="12.75">
      <c r="A10002" s="2">
        <v>43880.829027777778</v>
      </c>
      <c r="B10002" t="str">
        <f>HYPERLINK("https://twitter.com/flawlesssLIN","@flawlesssLIN")</f>
        <v>@flawlesssLIN</v>
      </c>
      <c r="C10002" t="s">
        <v>1407</v>
      </c>
      <c r="D10002">
        <v>7735</v>
      </c>
      <c r="E10002">
        <v>0</v>
      </c>
      <c r="F10002">
        <v>752</v>
      </c>
    </row>
    <row r="10003" spans="1:6" ht="12.75">
      <c r="A10003" s="2">
        <v>43880.829016203701</v>
      </c>
      <c r="B10003" t="str">
        <f>HYPERLINK("https://twitter.com/sayamilikjisung","@sayamilikjisung")</f>
        <v>@sayamilikjisung</v>
      </c>
      <c r="C10003" t="s">
        <v>1407</v>
      </c>
      <c r="D10003">
        <v>7735</v>
      </c>
      <c r="E10003">
        <v>0</v>
      </c>
      <c r="F10003">
        <v>861</v>
      </c>
    </row>
    <row r="10004" spans="1:6" ht="12.75">
      <c r="A10004" s="2">
        <v>43880.828981481478</v>
      </c>
      <c r="B10004" t="str">
        <f>HYPERLINK("https://twitter.com/uculdotcom","@uculdotcom")</f>
        <v>@uculdotcom</v>
      </c>
      <c r="C10004" t="s">
        <v>1407</v>
      </c>
      <c r="D10004">
        <v>7735</v>
      </c>
      <c r="E10004">
        <v>0</v>
      </c>
      <c r="F10004">
        <v>4850</v>
      </c>
    </row>
    <row r="10005" spans="1:6" ht="12.75">
      <c r="A10005" s="2">
        <v>43880.828935185185</v>
      </c>
      <c r="B10005" t="str">
        <f>HYPERLINK("https://twitter.com/sparkIingssky","@sparkIingssky")</f>
        <v>@sparkIingssky</v>
      </c>
      <c r="C10005" t="s">
        <v>2692</v>
      </c>
      <c r="D10005">
        <v>1311</v>
      </c>
      <c r="E10005">
        <v>0</v>
      </c>
      <c r="F10005">
        <v>1300</v>
      </c>
    </row>
    <row r="10006" spans="1:6" ht="12.75">
      <c r="A10006" s="2">
        <v>43880.828900462962</v>
      </c>
      <c r="B10006" t="str">
        <f>HYPERLINK("https://twitter.com/BloomingSaphire","@BloomingSaphire")</f>
        <v>@BloomingSaphire</v>
      </c>
      <c r="C10006" t="s">
        <v>1407</v>
      </c>
      <c r="D10006">
        <v>7735</v>
      </c>
      <c r="E10006">
        <v>0</v>
      </c>
      <c r="F10006">
        <v>599</v>
      </c>
    </row>
    <row r="10007" spans="1:6" ht="12.75">
      <c r="A10007" s="2">
        <v>43880.828784722224</v>
      </c>
      <c r="B10007" t="str">
        <f>HYPERLINK("https://twitter.com/oxaquarians","@oxaquarians")</f>
        <v>@oxaquarians</v>
      </c>
      <c r="C10007" t="s">
        <v>2692</v>
      </c>
      <c r="D10007">
        <v>1311</v>
      </c>
      <c r="E10007">
        <v>0</v>
      </c>
      <c r="F10007">
        <v>1147</v>
      </c>
    </row>
    <row r="10008" spans="1:6" ht="12.75">
      <c r="A10008" s="2">
        <v>43880.828773148147</v>
      </c>
      <c r="B10008" t="str">
        <f>HYPERLINK("https://twitter.com/essemadu","@essemadu")</f>
        <v>@essemadu</v>
      </c>
      <c r="C10008" t="s">
        <v>2692</v>
      </c>
      <c r="D10008">
        <v>1311</v>
      </c>
      <c r="E10008">
        <v>0</v>
      </c>
      <c r="F10008">
        <v>51</v>
      </c>
    </row>
    <row r="10009" spans="1:6" ht="12.75">
      <c r="A10009" s="2">
        <v>43880.828680555554</v>
      </c>
      <c r="B10009" t="str">
        <f>HYPERLINK("https://twitter.com/Sudihardi_007","@Sudihardi_007")</f>
        <v>@Sudihardi_007</v>
      </c>
      <c r="C10009" t="s">
        <v>5931</v>
      </c>
      <c r="D10009">
        <v>2</v>
      </c>
      <c r="E10009">
        <v>0</v>
      </c>
      <c r="F10009">
        <v>88</v>
      </c>
    </row>
    <row r="10010" spans="1:6" ht="12.75">
      <c r="A10010" s="2">
        <v>43880.828657407408</v>
      </c>
      <c r="B10010" t="str">
        <f>HYPERLINK("https://twitter.com/runetampanpisan","@runetampanpisan")</f>
        <v>@runetampanpisan</v>
      </c>
      <c r="C10010" t="s">
        <v>5932</v>
      </c>
      <c r="D10010">
        <v>1</v>
      </c>
      <c r="E10010">
        <v>0</v>
      </c>
      <c r="F10010">
        <v>392</v>
      </c>
    </row>
    <row r="10011" spans="1:6" ht="12.75">
      <c r="A10011" s="2">
        <v>43880.828645833331</v>
      </c>
      <c r="B10011" t="str">
        <f>HYPERLINK("https://twitter.com/denirazhr","@denirazhr")</f>
        <v>@denirazhr</v>
      </c>
      <c r="C10011" t="s">
        <v>1407</v>
      </c>
      <c r="D10011">
        <v>7735</v>
      </c>
      <c r="E10011">
        <v>0</v>
      </c>
      <c r="F10011">
        <v>112</v>
      </c>
    </row>
    <row r="10012" spans="1:6" ht="12.75">
      <c r="A10012" s="2">
        <v>43880.828576388885</v>
      </c>
      <c r="B10012" t="str">
        <f>HYPERLINK("https://twitter.com/MaurinHottest","@MaurinHottest")</f>
        <v>@MaurinHottest</v>
      </c>
      <c r="C10012" t="s">
        <v>2692</v>
      </c>
      <c r="D10012">
        <v>1311</v>
      </c>
      <c r="E10012">
        <v>0</v>
      </c>
      <c r="F10012">
        <v>867</v>
      </c>
    </row>
    <row r="10013" spans="1:6" ht="12.75">
      <c r="A10013" s="2">
        <v>43880.828576388885</v>
      </c>
      <c r="B10013" t="str">
        <f>HYPERLINK("https://twitter.com/rajawaliNKRI","@rajawaliNKRI")</f>
        <v>@rajawaliNKRI</v>
      </c>
      <c r="C10013" t="s">
        <v>5931</v>
      </c>
      <c r="D10013">
        <v>2</v>
      </c>
      <c r="E10013">
        <v>0</v>
      </c>
      <c r="F10013">
        <v>2314</v>
      </c>
    </row>
    <row r="10014" spans="1:6" ht="12.75">
      <c r="A10014" s="2">
        <v>43880.828449074077</v>
      </c>
      <c r="B10014" t="str">
        <f>HYPERLINK("https://twitter.com/ISIS_Balik_NO","@ISIS_Balik_NO")</f>
        <v>@ISIS_Balik_NO</v>
      </c>
      <c r="C10014" t="s">
        <v>5933</v>
      </c>
      <c r="D10014">
        <v>0</v>
      </c>
      <c r="E10014">
        <v>1</v>
      </c>
      <c r="F10014">
        <v>6069</v>
      </c>
    </row>
    <row r="10015" spans="1:6" ht="12.75">
      <c r="A10015" s="2">
        <v>43880.828298611115</v>
      </c>
      <c r="B10015" t="str">
        <f>HYPERLINK("https://twitter.com/azsfhri","@azsfhri")</f>
        <v>@azsfhri</v>
      </c>
      <c r="C10015" t="s">
        <v>1407</v>
      </c>
      <c r="D10015">
        <v>7735</v>
      </c>
      <c r="E10015">
        <v>0</v>
      </c>
      <c r="F10015">
        <v>265</v>
      </c>
    </row>
    <row r="10016" spans="1:6" ht="12.75">
      <c r="A10016" s="2">
        <v>43880.828194444446</v>
      </c>
      <c r="B10016" t="str">
        <f>HYPERLINK("https://twitter.com/johnsandy_s","@johnsandy_s")</f>
        <v>@johnsandy_s</v>
      </c>
      <c r="C10016" t="s">
        <v>2467</v>
      </c>
      <c r="D10016">
        <v>722</v>
      </c>
      <c r="E10016">
        <v>0</v>
      </c>
      <c r="F10016">
        <v>352</v>
      </c>
    </row>
    <row r="10017" spans="1:6" ht="12.75">
      <c r="A10017" s="2">
        <v>43880.828171296293</v>
      </c>
      <c r="B10017" t="str">
        <f>HYPERLINK("https://twitter.com/amaliiaaw","@amaliiaaw")</f>
        <v>@amaliiaaw</v>
      </c>
      <c r="C10017" t="s">
        <v>1407</v>
      </c>
      <c r="D10017">
        <v>7735</v>
      </c>
      <c r="E10017">
        <v>0</v>
      </c>
      <c r="F10017">
        <v>618</v>
      </c>
    </row>
    <row r="10018" spans="1:6" ht="12.75">
      <c r="A10018" s="2">
        <v>43880.827997685185</v>
      </c>
      <c r="B10018" t="str">
        <f>HYPERLINK("https://twitter.com/feluffy","@feluffy")</f>
        <v>@feluffy</v>
      </c>
      <c r="C10018" t="s">
        <v>1407</v>
      </c>
      <c r="D10018">
        <v>7735</v>
      </c>
      <c r="E10018">
        <v>0</v>
      </c>
      <c r="F10018">
        <v>2682</v>
      </c>
    </row>
    <row r="10019" spans="1:6" ht="12.75">
      <c r="A10019" s="2">
        <v>43880.827986111108</v>
      </c>
      <c r="B10019" t="str">
        <f>HYPERLINK("https://twitter.com/upilnyaxuxi","@upilnyaxuxi")</f>
        <v>@upilnyaxuxi</v>
      </c>
      <c r="C10019" t="s">
        <v>1407</v>
      </c>
      <c r="D10019">
        <v>7735</v>
      </c>
      <c r="E10019">
        <v>0</v>
      </c>
      <c r="F10019">
        <v>331</v>
      </c>
    </row>
    <row r="10020" spans="1:6" ht="12.75">
      <c r="A10020" s="2">
        <v>43880.827986111108</v>
      </c>
      <c r="B10020" t="str">
        <f>HYPERLINK("https://twitter.com/Tatanie95","@Tatanie95")</f>
        <v>@Tatanie95</v>
      </c>
      <c r="C10020" t="s">
        <v>1407</v>
      </c>
      <c r="D10020">
        <v>7735</v>
      </c>
      <c r="E10020">
        <v>0</v>
      </c>
      <c r="F10020">
        <v>1702</v>
      </c>
    </row>
    <row r="10021" spans="1:6" ht="12.75">
      <c r="A10021" s="2">
        <v>43880.827916666662</v>
      </c>
      <c r="B10021" t="str">
        <f>HYPERLINK("https://twitter.com/peachkemon","@peachkemon")</f>
        <v>@peachkemon</v>
      </c>
      <c r="C10021" t="s">
        <v>1407</v>
      </c>
      <c r="D10021">
        <v>7735</v>
      </c>
      <c r="E10021">
        <v>0</v>
      </c>
      <c r="F10021">
        <v>129</v>
      </c>
    </row>
    <row r="10022" spans="1:6" ht="12.75">
      <c r="A10022" s="2">
        <v>43880.793287037042</v>
      </c>
      <c r="B10022" t="str">
        <f>HYPERLINK("https://twitter.com/RtaBee0506","@RtaBee0506")</f>
        <v>@RtaBee0506</v>
      </c>
      <c r="C10022" t="s">
        <v>2467</v>
      </c>
      <c r="D10022">
        <v>677</v>
      </c>
      <c r="E10022">
        <v>0</v>
      </c>
      <c r="F10022">
        <v>821</v>
      </c>
    </row>
    <row r="10023" spans="1:6" ht="12.75">
      <c r="A10023" s="2">
        <v>43880.793136574073</v>
      </c>
      <c r="B10023" t="str">
        <f>HYPERLINK("https://twitter.com/salvadoreicy","@salvadoreicy")</f>
        <v>@salvadoreicy</v>
      </c>
      <c r="C10023" t="s">
        <v>2467</v>
      </c>
      <c r="D10023">
        <v>677</v>
      </c>
      <c r="E10023">
        <v>0</v>
      </c>
      <c r="F10023">
        <v>100</v>
      </c>
    </row>
    <row r="10024" spans="1:6" ht="12.75">
      <c r="A10024" s="2">
        <v>43880.792974537035</v>
      </c>
      <c r="B10024" t="str">
        <f>HYPERLINK("https://twitter.com/flut0_","@flut0_")</f>
        <v>@flut0_</v>
      </c>
      <c r="C10024" t="s">
        <v>1407</v>
      </c>
      <c r="D10024">
        <v>7306</v>
      </c>
      <c r="E10024">
        <v>0</v>
      </c>
      <c r="F10024">
        <v>56</v>
      </c>
    </row>
    <row r="10025" spans="1:6" ht="12.75">
      <c r="A10025" s="2">
        <v>43880.792974537035</v>
      </c>
      <c r="B10025" t="str">
        <f>HYPERLINK("https://twitter.com/RtaBee0506","@RtaBee0506")</f>
        <v>@RtaBee0506</v>
      </c>
      <c r="C10025" t="s">
        <v>1407</v>
      </c>
      <c r="D10025">
        <v>7306</v>
      </c>
      <c r="E10025">
        <v>0</v>
      </c>
      <c r="F10025">
        <v>821</v>
      </c>
    </row>
    <row r="10026" spans="1:6" ht="12.75">
      <c r="A10026" s="2">
        <v>43880.792893518519</v>
      </c>
      <c r="B10026" t="str">
        <f>HYPERLINK("https://twitter.com/jungkUGHie","@jungkUGHie")</f>
        <v>@jungkUGHie</v>
      </c>
      <c r="C10026" t="s">
        <v>1407</v>
      </c>
      <c r="D10026">
        <v>7306</v>
      </c>
      <c r="E10026">
        <v>0</v>
      </c>
      <c r="F10026">
        <v>48</v>
      </c>
    </row>
    <row r="10027" spans="1:6" ht="12.75">
      <c r="A10027" s="2">
        <v>43880.79277777778</v>
      </c>
      <c r="B10027" t="str">
        <f>HYPERLINK("https://twitter.com/armyzingbts","@armyzingbts")</f>
        <v>@armyzingbts</v>
      </c>
      <c r="C10027" t="s">
        <v>1407</v>
      </c>
      <c r="D10027">
        <v>7306</v>
      </c>
      <c r="E10027">
        <v>0</v>
      </c>
      <c r="F10027">
        <v>104</v>
      </c>
    </row>
    <row r="10028" spans="1:6" ht="12.75">
      <c r="A10028" s="2">
        <v>43880.792754629627</v>
      </c>
      <c r="B10028" t="str">
        <f>HYPERLINK("https://twitter.com/madiejaane","@madiejaane")</f>
        <v>@madiejaane</v>
      </c>
      <c r="C10028" t="s">
        <v>1407</v>
      </c>
      <c r="D10028">
        <v>7306</v>
      </c>
      <c r="E10028">
        <v>0</v>
      </c>
      <c r="F10028">
        <v>365</v>
      </c>
    </row>
    <row r="10029" spans="1:6" ht="12.75">
      <c r="A10029" s="2">
        <v>43880.792743055557</v>
      </c>
      <c r="B10029" t="str">
        <f>HYPERLINK("https://twitter.com/YatmokoCahyo","@YatmokoCahyo")</f>
        <v>@YatmokoCahyo</v>
      </c>
      <c r="C10029" t="s">
        <v>2147</v>
      </c>
      <c r="D10029">
        <v>575</v>
      </c>
      <c r="E10029">
        <v>0</v>
      </c>
      <c r="F10029">
        <v>3</v>
      </c>
    </row>
    <row r="10030" spans="1:6" ht="12.75">
      <c r="A10030" s="2">
        <v>43880.792719907404</v>
      </c>
      <c r="B10030" t="str">
        <f>HYPERLINK("https://twitter.com/aiwoofu","@aiwoofu")</f>
        <v>@aiwoofu</v>
      </c>
      <c r="C10030" t="s">
        <v>1407</v>
      </c>
      <c r="D10030">
        <v>7306</v>
      </c>
      <c r="E10030">
        <v>0</v>
      </c>
      <c r="F10030">
        <v>2280</v>
      </c>
    </row>
    <row r="10031" spans="1:6" ht="12.75">
      <c r="A10031" s="2">
        <v>43880.792534722219</v>
      </c>
      <c r="B10031" t="str">
        <f>HYPERLINK("https://twitter.com/macheossa","@macheossa")</f>
        <v>@macheossa</v>
      </c>
      <c r="C10031" t="s">
        <v>2692</v>
      </c>
      <c r="D10031">
        <v>1217</v>
      </c>
      <c r="E10031">
        <v>0</v>
      </c>
      <c r="F10031">
        <v>431</v>
      </c>
    </row>
    <row r="10032" spans="1:6" ht="12.75">
      <c r="A10032" s="2">
        <v>43880.792523148149</v>
      </c>
      <c r="B10032" t="str">
        <f>HYPERLINK("https://twitter.com/Iron_Woman16","@Iron_Woman16")</f>
        <v>@Iron_Woman16</v>
      </c>
      <c r="C10032" t="s">
        <v>1407</v>
      </c>
      <c r="D10032">
        <v>7306</v>
      </c>
      <c r="E10032">
        <v>0</v>
      </c>
      <c r="F10032">
        <v>112</v>
      </c>
    </row>
    <row r="10033" spans="1:6" ht="12.75">
      <c r="A10033" s="2">
        <v>43880.792488425926</v>
      </c>
      <c r="B10033" t="str">
        <f>HYPERLINK("https://twitter.com/jinganlo","@jinganlo")</f>
        <v>@jinganlo</v>
      </c>
      <c r="C10033" t="s">
        <v>1407</v>
      </c>
      <c r="D10033">
        <v>7306</v>
      </c>
      <c r="E10033">
        <v>0</v>
      </c>
      <c r="F10033">
        <v>666</v>
      </c>
    </row>
    <row r="10034" spans="1:6" ht="12.75">
      <c r="A10034" s="2">
        <v>43880.792280092588</v>
      </c>
      <c r="B10034" t="str">
        <f>HYPERLINK("https://twitter.com/cucunyanamjoon2","@cucunyanamjoon2")</f>
        <v>@cucunyanamjoon2</v>
      </c>
      <c r="C10034" t="s">
        <v>1407</v>
      </c>
      <c r="D10034">
        <v>7306</v>
      </c>
      <c r="E10034">
        <v>0</v>
      </c>
      <c r="F10034">
        <v>363</v>
      </c>
    </row>
    <row r="10035" spans="1:6" ht="12.75">
      <c r="A10035" s="2">
        <v>43880.791990740741</v>
      </c>
      <c r="B10035" t="str">
        <f>HYPERLINK("https://twitter.com/ziaraarahmah__","@ziaraarahmah__")</f>
        <v>@ziaraarahmah__</v>
      </c>
      <c r="C10035" t="s">
        <v>1407</v>
      </c>
      <c r="D10035">
        <v>7306</v>
      </c>
      <c r="E10035">
        <v>0</v>
      </c>
      <c r="F10035">
        <v>195</v>
      </c>
    </row>
    <row r="10036" spans="1:6" ht="12.75">
      <c r="A10036" s="2">
        <v>43880.791932870372</v>
      </c>
      <c r="B10036" t="str">
        <f>HYPERLINK("https://twitter.com/todayiswindy_","@todayiswindy_")</f>
        <v>@todayiswindy_</v>
      </c>
      <c r="C10036" t="s">
        <v>2692</v>
      </c>
      <c r="D10036">
        <v>1217</v>
      </c>
      <c r="E10036">
        <v>0</v>
      </c>
      <c r="F10036">
        <v>543</v>
      </c>
    </row>
    <row r="10037" spans="1:6" ht="12.75">
      <c r="A10037" s="2">
        <v>43880.791921296295</v>
      </c>
      <c r="B10037" t="str">
        <f>HYPERLINK("https://twitter.com/superb_eean","@superb_eean")</f>
        <v>@superb_eean</v>
      </c>
      <c r="C10037" t="s">
        <v>1407</v>
      </c>
      <c r="D10037">
        <v>7306</v>
      </c>
      <c r="E10037">
        <v>0</v>
      </c>
      <c r="F10037">
        <v>339</v>
      </c>
    </row>
    <row r="10038" spans="1:6" ht="12.75">
      <c r="A10038" s="2">
        <v>43880.791909722218</v>
      </c>
      <c r="B10038" t="str">
        <f>HYPERLINK("https://twitter.com/HensHons","@HensHons")</f>
        <v>@HensHons</v>
      </c>
      <c r="C10038" t="s">
        <v>2692</v>
      </c>
      <c r="D10038">
        <v>1217</v>
      </c>
      <c r="E10038">
        <v>0</v>
      </c>
      <c r="F10038">
        <v>359</v>
      </c>
    </row>
    <row r="10039" spans="1:6" ht="12.75">
      <c r="A10039" s="2">
        <v>43880.791898148149</v>
      </c>
      <c r="B10039" t="str">
        <f>HYPERLINK("https://twitter.com/YusupBhtyr","@YusupBhtyr")</f>
        <v>@YusupBhtyr</v>
      </c>
      <c r="C10039" t="s">
        <v>1407</v>
      </c>
      <c r="D10039">
        <v>7306</v>
      </c>
      <c r="E10039">
        <v>0</v>
      </c>
      <c r="F10039">
        <v>103</v>
      </c>
    </row>
    <row r="10040" spans="1:6" ht="12.75">
      <c r="A10040" s="2">
        <v>43880.791898148149</v>
      </c>
      <c r="B10040" t="str">
        <f>HYPERLINK("https://twitter.com/moonieugh","@moonieugh")</f>
        <v>@moonieugh</v>
      </c>
      <c r="C10040" t="s">
        <v>1407</v>
      </c>
      <c r="D10040">
        <v>7306</v>
      </c>
      <c r="E10040">
        <v>0</v>
      </c>
      <c r="F10040">
        <v>1731</v>
      </c>
    </row>
    <row r="10041" spans="1:6" ht="12.75">
      <c r="A10041" s="2">
        <v>43880.791886574079</v>
      </c>
      <c r="B10041" t="str">
        <f>HYPERLINK("https://twitter.com/malesbangetah","@malesbangetah")</f>
        <v>@malesbangetah</v>
      </c>
      <c r="C10041" t="s">
        <v>1407</v>
      </c>
      <c r="D10041">
        <v>7306</v>
      </c>
      <c r="E10041">
        <v>0</v>
      </c>
      <c r="F10041">
        <v>199</v>
      </c>
    </row>
    <row r="10042" spans="1:6" ht="12.75">
      <c r="A10042" s="2">
        <v>43880.791874999995</v>
      </c>
      <c r="B10042" t="str">
        <f>HYPERLINK("https://twitter.com/sayasiapa_hayoo","@sayasiapa_hayoo")</f>
        <v>@sayasiapa_hayoo</v>
      </c>
      <c r="C10042" t="s">
        <v>1407</v>
      </c>
      <c r="D10042">
        <v>7306</v>
      </c>
      <c r="E10042">
        <v>0</v>
      </c>
      <c r="F10042">
        <v>1209</v>
      </c>
    </row>
    <row r="10043" spans="1:6" ht="12.75">
      <c r="A10043" s="2">
        <v>43880.791863425926</v>
      </c>
      <c r="B10043" t="str">
        <f>HYPERLINK("https://twitter.com/prananditowisnu","@prananditowisnu")</f>
        <v>@prananditowisnu</v>
      </c>
      <c r="C10043" t="s">
        <v>3799</v>
      </c>
      <c r="D10043">
        <v>3663</v>
      </c>
      <c r="E10043">
        <v>0</v>
      </c>
      <c r="F10043">
        <v>238</v>
      </c>
    </row>
    <row r="10044" spans="1:6" ht="12.75">
      <c r="A10044" s="2">
        <v>43880.791851851856</v>
      </c>
      <c r="B10044" t="str">
        <f>HYPERLINK("https://twitter.com/gkswlswn1023","@gkswlswn1023")</f>
        <v>@gkswlswn1023</v>
      </c>
      <c r="C10044" t="s">
        <v>3278</v>
      </c>
      <c r="D10044">
        <v>21</v>
      </c>
      <c r="E10044">
        <v>0</v>
      </c>
      <c r="F10044">
        <v>165</v>
      </c>
    </row>
    <row r="10045" spans="1:6" ht="12.75">
      <c r="A10045" s="2">
        <v>43880.79184027778</v>
      </c>
      <c r="B10045" t="str">
        <f>HYPERLINK("https://twitter.com/yodeulstars","@yodeulstars")</f>
        <v>@yodeulstars</v>
      </c>
      <c r="C10045" t="s">
        <v>1407</v>
      </c>
      <c r="D10045">
        <v>7306</v>
      </c>
      <c r="E10045">
        <v>0</v>
      </c>
      <c r="F10045">
        <v>1109</v>
      </c>
    </row>
    <row r="10046" spans="1:6" ht="12.75">
      <c r="A10046" s="2">
        <v>43880.791805555556</v>
      </c>
      <c r="B10046" t="str">
        <f>HYPERLINK("https://twitter.com/hanahan_s","@hanahan_s")</f>
        <v>@hanahan_s</v>
      </c>
      <c r="C10046" t="s">
        <v>1407</v>
      </c>
      <c r="D10046">
        <v>7306</v>
      </c>
      <c r="E10046">
        <v>0</v>
      </c>
      <c r="F10046">
        <v>399</v>
      </c>
    </row>
    <row r="10047" spans="1:6" ht="12.75">
      <c r="A10047" s="2">
        <v>43880.791805555556</v>
      </c>
      <c r="B10047" t="str">
        <f>HYPERLINK("https://twitter.com/sparklingwilis","@sparklingwilis")</f>
        <v>@sparklingwilis</v>
      </c>
      <c r="C10047" t="s">
        <v>1407</v>
      </c>
      <c r="D10047">
        <v>7306</v>
      </c>
      <c r="E10047">
        <v>0</v>
      </c>
      <c r="F10047">
        <v>1605</v>
      </c>
    </row>
    <row r="10048" spans="1:6" ht="12.75">
      <c r="A10048" s="2">
        <v>43880.791701388887</v>
      </c>
      <c r="B10048" t="str">
        <f>HYPERLINK("https://twitter.com/anak_pak_smith","@anak_pak_smith")</f>
        <v>@anak_pak_smith</v>
      </c>
      <c r="C10048" t="s">
        <v>5934</v>
      </c>
      <c r="D10048">
        <v>0</v>
      </c>
      <c r="E10048">
        <v>1</v>
      </c>
      <c r="F10048">
        <v>28</v>
      </c>
    </row>
    <row r="10049" spans="1:6" ht="12.75">
      <c r="A10049" s="2">
        <v>43880.791678240741</v>
      </c>
      <c r="B10049" t="str">
        <f>HYPERLINK("https://twitter.com/sewotbgt","@sewotbgt")</f>
        <v>@sewotbgt</v>
      </c>
      <c r="C10049" t="s">
        <v>1407</v>
      </c>
      <c r="D10049">
        <v>7306</v>
      </c>
      <c r="E10049">
        <v>0</v>
      </c>
      <c r="F10049">
        <v>1141</v>
      </c>
    </row>
    <row r="10050" spans="1:6" ht="12.75">
      <c r="A10050" s="2">
        <v>43880.791678240741</v>
      </c>
      <c r="B10050" t="str">
        <f>HYPERLINK("https://twitter.com/GTVID_News","@GTVID_News")</f>
        <v>@GTVID_News</v>
      </c>
      <c r="C10050" t="s">
        <v>5935</v>
      </c>
      <c r="D10050">
        <v>0</v>
      </c>
      <c r="E10050">
        <v>0</v>
      </c>
      <c r="F10050">
        <v>10806</v>
      </c>
    </row>
    <row r="10051" spans="1:6" ht="12.75">
      <c r="A10051" s="2">
        <v>43880.791666666672</v>
      </c>
      <c r="B10051" t="str">
        <f>HYPERLINK("https://twitter.com/newsmerahputih","@newsmerahputih")</f>
        <v>@newsmerahputih</v>
      </c>
      <c r="C10051" t="s">
        <v>5936</v>
      </c>
      <c r="D10051">
        <v>0</v>
      </c>
      <c r="E10051">
        <v>0</v>
      </c>
      <c r="F10051">
        <v>8748</v>
      </c>
    </row>
    <row r="10052" spans="1:6" ht="12.75">
      <c r="A10052" s="2">
        <v>43880.791527777779</v>
      </c>
      <c r="B10052" t="str">
        <f>HYPERLINK("https://twitter.com/ikabdastin","@ikabdastin")</f>
        <v>@ikabdastin</v>
      </c>
      <c r="C10052" t="s">
        <v>2692</v>
      </c>
      <c r="D10052">
        <v>1217</v>
      </c>
      <c r="E10052">
        <v>0</v>
      </c>
      <c r="F10052">
        <v>451</v>
      </c>
    </row>
    <row r="10053" spans="1:6" ht="12.75">
      <c r="A10053" s="2">
        <v>43880.791493055556</v>
      </c>
      <c r="B10053" t="str">
        <f>HYPERLINK("https://twitter.com/Bunyameen","@Bunyameen")</f>
        <v>@Bunyameen</v>
      </c>
      <c r="C10053" t="s">
        <v>2768</v>
      </c>
      <c r="D10053">
        <v>47</v>
      </c>
      <c r="E10053">
        <v>0</v>
      </c>
      <c r="F10053">
        <v>144</v>
      </c>
    </row>
    <row r="10054" spans="1:6" ht="12.75">
      <c r="A10054" s="2">
        <v>43880.791307870371</v>
      </c>
      <c r="B10054" t="str">
        <f>HYPERLINK("https://twitter.com/Wigati52","@Wigati52")</f>
        <v>@Wigati52</v>
      </c>
      <c r="C10054" t="s">
        <v>5927</v>
      </c>
      <c r="D10054">
        <v>2</v>
      </c>
      <c r="E10054">
        <v>0</v>
      </c>
      <c r="F10054">
        <v>160</v>
      </c>
    </row>
    <row r="10055" spans="1:6" ht="12.75">
      <c r="A10055" s="2">
        <v>43880.791180555556</v>
      </c>
      <c r="B10055" t="str">
        <f>HYPERLINK("https://twitter.com/martabakbeku","@martabakbeku")</f>
        <v>@martabakbeku</v>
      </c>
      <c r="C10055" t="s">
        <v>5937</v>
      </c>
      <c r="D10055">
        <v>0</v>
      </c>
      <c r="E10055">
        <v>0</v>
      </c>
      <c r="F10055">
        <v>108</v>
      </c>
    </row>
    <row r="10056" spans="1:6" ht="12.75">
      <c r="A10056" s="2">
        <v>43880.791006944448</v>
      </c>
      <c r="B10056" t="str">
        <f>HYPERLINK("https://twitter.com/BgusMufti","@BgusMufti")</f>
        <v>@BgusMufti</v>
      </c>
      <c r="C10056" t="s">
        <v>1407</v>
      </c>
      <c r="D10056">
        <v>7306</v>
      </c>
      <c r="E10056">
        <v>0</v>
      </c>
      <c r="F10056">
        <v>576</v>
      </c>
    </row>
    <row r="10057" spans="1:6" ht="12.75">
      <c r="A10057" s="2">
        <v>43880.790995370371</v>
      </c>
      <c r="B10057" t="str">
        <f>HYPERLINK("https://twitter.com/aanyoss","@aanyoss")</f>
        <v>@aanyoss</v>
      </c>
      <c r="C10057" t="s">
        <v>2692</v>
      </c>
      <c r="D10057">
        <v>1217</v>
      </c>
      <c r="E10057">
        <v>0</v>
      </c>
      <c r="F10057">
        <v>154</v>
      </c>
    </row>
    <row r="10058" spans="1:6" ht="12.75">
      <c r="A10058" s="2">
        <v>43880.790914351848</v>
      </c>
      <c r="B10058" t="str">
        <f>HYPERLINK("https://twitter.com/AlviSriyanto","@AlviSriyanto")</f>
        <v>@AlviSriyanto</v>
      </c>
      <c r="C10058" t="s">
        <v>5938</v>
      </c>
      <c r="D10058">
        <v>0</v>
      </c>
      <c r="E10058">
        <v>0</v>
      </c>
      <c r="F10058">
        <v>56</v>
      </c>
    </row>
    <row r="10059" spans="1:6" ht="12.75">
      <c r="A10059" s="2">
        <v>43880.790902777779</v>
      </c>
      <c r="B10059" t="str">
        <f>HYPERLINK("https://twitter.com/deraiaray","@deraiaray")</f>
        <v>@deraiaray</v>
      </c>
      <c r="C10059" t="s">
        <v>1407</v>
      </c>
      <c r="D10059">
        <v>7306</v>
      </c>
      <c r="E10059">
        <v>0</v>
      </c>
      <c r="F10059">
        <v>882</v>
      </c>
    </row>
    <row r="10060" spans="1:6" ht="12.75">
      <c r="A10060" s="2">
        <v>43880.790902777779</v>
      </c>
      <c r="B10060" t="str">
        <f>HYPERLINK("https://twitter.com/fantaciiaa","@fantaciiaa")</f>
        <v>@fantaciiaa</v>
      </c>
      <c r="C10060" t="s">
        <v>1407</v>
      </c>
      <c r="D10060">
        <v>7306</v>
      </c>
      <c r="E10060">
        <v>0</v>
      </c>
      <c r="F10060">
        <v>924</v>
      </c>
    </row>
    <row r="10061" spans="1:6" ht="12.75">
      <c r="A10061" s="2">
        <v>43880.790868055556</v>
      </c>
      <c r="B10061" t="str">
        <f>HYPERLINK("https://twitter.com/0bliviateee","@0bliviateee")</f>
        <v>@0bliviateee</v>
      </c>
      <c r="C10061" t="s">
        <v>1407</v>
      </c>
      <c r="D10061">
        <v>7306</v>
      </c>
      <c r="E10061">
        <v>0</v>
      </c>
      <c r="F10061">
        <v>854</v>
      </c>
    </row>
    <row r="10062" spans="1:6" ht="12.75">
      <c r="A10062" s="2">
        <v>43880.790868055556</v>
      </c>
      <c r="B10062" t="str">
        <f>HYPERLINK("https://twitter.com/n_aishaaa30","@n_aishaaa30")</f>
        <v>@n_aishaaa30</v>
      </c>
      <c r="C10062" t="s">
        <v>1407</v>
      </c>
      <c r="D10062">
        <v>7306</v>
      </c>
      <c r="E10062">
        <v>0</v>
      </c>
      <c r="F10062">
        <v>595</v>
      </c>
    </row>
    <row r="10063" spans="1:6" ht="12.75">
      <c r="A10063" s="2">
        <v>43880.790810185186</v>
      </c>
      <c r="B10063" t="str">
        <f>HYPERLINK("https://twitter.com/cheeseckae","@cheeseckae")</f>
        <v>@cheeseckae</v>
      </c>
      <c r="C10063" t="s">
        <v>1407</v>
      </c>
      <c r="D10063">
        <v>7306</v>
      </c>
      <c r="E10063">
        <v>0</v>
      </c>
      <c r="F10063">
        <v>558</v>
      </c>
    </row>
    <row r="10064" spans="1:6" ht="12.75">
      <c r="A10064" s="2">
        <v>43880.790729166663</v>
      </c>
      <c r="B10064" t="str">
        <f>HYPERLINK("https://twitter.com/Gencamon","@Gencamon")</f>
        <v>@Gencamon</v>
      </c>
      <c r="C10064" t="s">
        <v>1407</v>
      </c>
      <c r="D10064">
        <v>7306</v>
      </c>
      <c r="E10064">
        <v>0</v>
      </c>
      <c r="F10064">
        <v>330</v>
      </c>
    </row>
    <row r="10065" spans="1:6" ht="12.75">
      <c r="A10065" s="2">
        <v>43880.790717592594</v>
      </c>
      <c r="B10065" t="str">
        <f>HYPERLINK("https://twitter.com/Ariestaupi","@Ariestaupi")</f>
        <v>@Ariestaupi</v>
      </c>
      <c r="C10065" t="s">
        <v>5939</v>
      </c>
      <c r="D10065">
        <v>27</v>
      </c>
      <c r="E10065">
        <v>0</v>
      </c>
      <c r="F10065">
        <v>326</v>
      </c>
    </row>
    <row r="10066" spans="1:6" ht="12.75">
      <c r="A10066" s="2">
        <v>43880.790625000001</v>
      </c>
      <c r="B10066" t="str">
        <f>HYPERLINK("https://twitter.com/apcocalips","@apcocalips")</f>
        <v>@apcocalips</v>
      </c>
      <c r="C10066" t="s">
        <v>1407</v>
      </c>
      <c r="D10066">
        <v>7306</v>
      </c>
      <c r="E10066">
        <v>0</v>
      </c>
      <c r="F10066">
        <v>273</v>
      </c>
    </row>
    <row r="10067" spans="1:6" ht="12.75">
      <c r="A10067" s="2">
        <v>43880.790543981479</v>
      </c>
      <c r="B10067" t="str">
        <f>HYPERLINK("https://twitter.com/mochaani","@mochaani")</f>
        <v>@mochaani</v>
      </c>
      <c r="C10067" t="s">
        <v>1407</v>
      </c>
      <c r="D10067">
        <v>7306</v>
      </c>
      <c r="E10067">
        <v>0</v>
      </c>
      <c r="F10067">
        <v>473</v>
      </c>
    </row>
    <row r="10068" spans="1:6" ht="12.75">
      <c r="A10068" s="2">
        <v>43880.790520833332</v>
      </c>
      <c r="B10068" t="str">
        <f>HYPERLINK("https://twitter.com/puetal","@puetal")</f>
        <v>@puetal</v>
      </c>
      <c r="C10068" t="s">
        <v>1407</v>
      </c>
      <c r="D10068">
        <v>7306</v>
      </c>
      <c r="E10068">
        <v>0</v>
      </c>
      <c r="F10068">
        <v>659</v>
      </c>
    </row>
    <row r="10069" spans="1:6" ht="12.75">
      <c r="A10069" s="2">
        <v>43880.790393518517</v>
      </c>
      <c r="B10069" t="str">
        <f t="shared" ref="B10069:B10070" si="183">HYPERLINK("https://twitter.com/gwacheonssi","@gwacheonssi")</f>
        <v>@gwacheonssi</v>
      </c>
      <c r="C10069" t="s">
        <v>2183</v>
      </c>
      <c r="D10069">
        <v>230</v>
      </c>
      <c r="E10069">
        <v>0</v>
      </c>
      <c r="F10069">
        <v>453</v>
      </c>
    </row>
    <row r="10070" spans="1:6" ht="12.75">
      <c r="A10070" s="2">
        <v>43880.790335648147</v>
      </c>
      <c r="B10070" t="str">
        <f t="shared" si="183"/>
        <v>@gwacheonssi</v>
      </c>
      <c r="C10070" t="s">
        <v>2467</v>
      </c>
      <c r="D10070">
        <v>677</v>
      </c>
      <c r="E10070">
        <v>0</v>
      </c>
      <c r="F10070">
        <v>453</v>
      </c>
    </row>
    <row r="10071" spans="1:6" ht="12.75">
      <c r="A10071" s="2">
        <v>43880.790312500001</v>
      </c>
      <c r="B10071" t="str">
        <f>HYPERLINK("https://twitter.com/RobensRuslan","@RobensRuslan")</f>
        <v>@RobensRuslan</v>
      </c>
      <c r="C10071" t="s">
        <v>5940</v>
      </c>
      <c r="D10071">
        <v>0</v>
      </c>
      <c r="E10071">
        <v>0</v>
      </c>
      <c r="F10071">
        <v>2</v>
      </c>
    </row>
    <row r="10072" spans="1:6" ht="12.75">
      <c r="A10072" s="2">
        <v>43880.790127314816</v>
      </c>
      <c r="B10072" t="str">
        <f>HYPERLINK("https://twitter.com/jinniemybaby","@jinniemybaby")</f>
        <v>@jinniemybaby</v>
      </c>
      <c r="C10072" t="s">
        <v>1407</v>
      </c>
      <c r="D10072">
        <v>7306</v>
      </c>
      <c r="E10072">
        <v>0</v>
      </c>
      <c r="F10072">
        <v>1580</v>
      </c>
    </row>
    <row r="10073" spans="1:6" ht="12.75">
      <c r="A10073" s="2">
        <v>43880.789976851855</v>
      </c>
      <c r="B10073" t="str">
        <f>HYPERLINK("https://twitter.com/brisss12","@brisss12")</f>
        <v>@brisss12</v>
      </c>
      <c r="C10073" t="s">
        <v>1407</v>
      </c>
      <c r="D10073">
        <v>7306</v>
      </c>
      <c r="E10073">
        <v>0</v>
      </c>
      <c r="F10073">
        <v>15</v>
      </c>
    </row>
    <row r="10074" spans="1:6" ht="12.75">
      <c r="A10074" s="2">
        <v>43880.789861111116</v>
      </c>
      <c r="B10074" t="str">
        <f>HYPERLINK("https://twitter.com/nisma_mokhtar","@nisma_mokhtar")</f>
        <v>@nisma_mokhtar</v>
      </c>
      <c r="C10074" t="s">
        <v>5941</v>
      </c>
      <c r="D10074">
        <v>0</v>
      </c>
      <c r="E10074">
        <v>0</v>
      </c>
      <c r="F10074">
        <v>1259</v>
      </c>
    </row>
    <row r="10075" spans="1:6" ht="12.75">
      <c r="A10075" s="2">
        <v>43880.789837962962</v>
      </c>
      <c r="B10075" t="str">
        <f>HYPERLINK("https://twitter.com/itsdelijoons","@itsdelijoons")</f>
        <v>@itsdelijoons</v>
      </c>
      <c r="C10075" t="s">
        <v>1407</v>
      </c>
      <c r="D10075">
        <v>7306</v>
      </c>
      <c r="E10075">
        <v>0</v>
      </c>
      <c r="F10075">
        <v>652</v>
      </c>
    </row>
    <row r="10076" spans="1:6" ht="12.75">
      <c r="A10076" s="2">
        <v>43880.78979166667</v>
      </c>
      <c r="B10076" t="str">
        <f>HYPERLINK("https://twitter.com/obahajima_keu","@obahajima_keu")</f>
        <v>@obahajima_keu</v>
      </c>
      <c r="C10076" t="s">
        <v>1407</v>
      </c>
      <c r="D10076">
        <v>7306</v>
      </c>
      <c r="E10076">
        <v>0</v>
      </c>
      <c r="F10076">
        <v>25</v>
      </c>
    </row>
    <row r="10077" spans="1:6" ht="12.75">
      <c r="A10077" s="2">
        <v>43880.789629629631</v>
      </c>
      <c r="B10077" t="str">
        <f t="shared" ref="B10077:B10078" si="184">HYPERLINK("https://twitter.com/booflepuff","@booflepuff")</f>
        <v>@booflepuff</v>
      </c>
      <c r="C10077" t="s">
        <v>2183</v>
      </c>
      <c r="D10077">
        <v>230</v>
      </c>
      <c r="E10077">
        <v>0</v>
      </c>
      <c r="F10077">
        <v>1050</v>
      </c>
    </row>
    <row r="10078" spans="1:6" ht="12.75">
      <c r="A10078" s="2">
        <v>43880.789606481485</v>
      </c>
      <c r="B10078" t="str">
        <f t="shared" si="184"/>
        <v>@booflepuff</v>
      </c>
      <c r="C10078" t="s">
        <v>2467</v>
      </c>
      <c r="D10078">
        <v>677</v>
      </c>
      <c r="E10078">
        <v>0</v>
      </c>
      <c r="F10078">
        <v>1050</v>
      </c>
    </row>
    <row r="10079" spans="1:6" ht="12.75">
      <c r="A10079" s="2">
        <v>43880.789583333331</v>
      </c>
      <c r="B10079" t="str">
        <f>HYPERLINK("https://twitter.com/ukegalak","@ukegalak")</f>
        <v>@ukegalak</v>
      </c>
      <c r="C10079" t="s">
        <v>1407</v>
      </c>
      <c r="D10079">
        <v>7306</v>
      </c>
      <c r="E10079">
        <v>0</v>
      </c>
      <c r="F10079">
        <v>69</v>
      </c>
    </row>
    <row r="10080" spans="1:6" ht="12.75">
      <c r="A10080" s="2">
        <v>43880.789560185185</v>
      </c>
      <c r="B10080" t="str">
        <f>HYPERLINK("https://twitter.com/booflepuff","@booflepuff")</f>
        <v>@booflepuff</v>
      </c>
      <c r="C10080" t="s">
        <v>1407</v>
      </c>
      <c r="D10080">
        <v>7306</v>
      </c>
      <c r="E10080">
        <v>0</v>
      </c>
      <c r="F10080">
        <v>1050</v>
      </c>
    </row>
    <row r="10081" spans="1:6" ht="12.75">
      <c r="A10081" s="2">
        <v>43880.789560185185</v>
      </c>
      <c r="B10081" t="str">
        <f>HYPERLINK("https://twitter.com/rismasetyawati","@rismasetyawati")</f>
        <v>@rismasetyawati</v>
      </c>
      <c r="C10081" t="s">
        <v>1407</v>
      </c>
      <c r="D10081">
        <v>7306</v>
      </c>
      <c r="E10081">
        <v>0</v>
      </c>
      <c r="F10081">
        <v>32</v>
      </c>
    </row>
    <row r="10082" spans="1:6" ht="12.75">
      <c r="A10082" s="2">
        <v>43880.789560185185</v>
      </c>
      <c r="B10082" t="str">
        <f>HYPERLINK("https://twitter.com/intanUWU","@intanUWU")</f>
        <v>@intanUWU</v>
      </c>
      <c r="C10082" t="s">
        <v>1407</v>
      </c>
      <c r="D10082">
        <v>7306</v>
      </c>
      <c r="E10082">
        <v>0</v>
      </c>
      <c r="F10082">
        <v>407</v>
      </c>
    </row>
    <row r="10083" spans="1:6" ht="12.75">
      <c r="A10083" s="2">
        <v>43880.789525462962</v>
      </c>
      <c r="B10083" t="str">
        <f>HYPERLINK("https://twitter.com/bakzokotak","@bakzokotak")</f>
        <v>@bakzokotak</v>
      </c>
      <c r="C10083" t="s">
        <v>1407</v>
      </c>
      <c r="D10083">
        <v>7306</v>
      </c>
      <c r="E10083">
        <v>0</v>
      </c>
      <c r="F10083">
        <v>485</v>
      </c>
    </row>
    <row r="10084" spans="1:6" ht="12.75">
      <c r="A10084" s="2">
        <v>43880.789467592593</v>
      </c>
      <c r="B10084" t="str">
        <f>HYPERLINK("https://twitter.com/gwacheonssi","@gwacheonssi")</f>
        <v>@gwacheonssi</v>
      </c>
      <c r="C10084" t="s">
        <v>1407</v>
      </c>
      <c r="D10084">
        <v>7306</v>
      </c>
      <c r="E10084">
        <v>0</v>
      </c>
      <c r="F10084">
        <v>453</v>
      </c>
    </row>
    <row r="10085" spans="1:6" ht="12.75">
      <c r="A10085" s="2">
        <v>43880.7894212963</v>
      </c>
      <c r="B10085" t="str">
        <f>HYPERLINK("https://twitter.com/jaenjb","@jaenjb")</f>
        <v>@jaenjb</v>
      </c>
      <c r="C10085" t="s">
        <v>1407</v>
      </c>
      <c r="D10085">
        <v>7306</v>
      </c>
      <c r="E10085">
        <v>0</v>
      </c>
      <c r="F10085">
        <v>601</v>
      </c>
    </row>
    <row r="10086" spans="1:6" ht="12.75">
      <c r="A10086" s="2">
        <v>43880.789409722223</v>
      </c>
      <c r="B10086" t="str">
        <f>HYPERLINK("https://twitter.com/twentweeps","@twentweeps")</f>
        <v>@twentweeps</v>
      </c>
      <c r="C10086" t="s">
        <v>1407</v>
      </c>
      <c r="D10086">
        <v>7306</v>
      </c>
      <c r="E10086">
        <v>0</v>
      </c>
      <c r="F10086">
        <v>438</v>
      </c>
    </row>
    <row r="10087" spans="1:6" ht="12.75">
      <c r="A10087" s="2">
        <v>43880.789375</v>
      </c>
      <c r="B10087" t="str">
        <f>HYPERLINK("https://twitter.com/rettamfh","@rettamfh")</f>
        <v>@rettamfh</v>
      </c>
      <c r="C10087" t="s">
        <v>1407</v>
      </c>
      <c r="D10087">
        <v>7306</v>
      </c>
      <c r="E10087">
        <v>0</v>
      </c>
      <c r="F10087">
        <v>362</v>
      </c>
    </row>
    <row r="10088" spans="1:6" ht="12.75">
      <c r="A10088" s="2">
        <v>43880.789189814815</v>
      </c>
      <c r="B10088" t="str">
        <f>HYPERLINK("https://twitter.com/thoreausmuse","@thoreausmuse")</f>
        <v>@thoreausmuse</v>
      </c>
      <c r="C10088" t="s">
        <v>1407</v>
      </c>
      <c r="D10088">
        <v>7306</v>
      </c>
      <c r="E10088">
        <v>0</v>
      </c>
      <c r="F10088">
        <v>820</v>
      </c>
    </row>
    <row r="10089" spans="1:6" ht="12.75">
      <c r="A10089" s="2">
        <v>43880.789189814815</v>
      </c>
      <c r="B10089" t="str">
        <f>HYPERLINK("https://twitter.com/bakedp0tatto","@bakedp0tatto")</f>
        <v>@bakedp0tatto</v>
      </c>
      <c r="C10089" t="s">
        <v>1407</v>
      </c>
      <c r="D10089">
        <v>7306</v>
      </c>
      <c r="E10089">
        <v>0</v>
      </c>
      <c r="F10089">
        <v>225</v>
      </c>
    </row>
    <row r="10090" spans="1:6" ht="12.75">
      <c r="A10090" s="2">
        <v>43880.789155092592</v>
      </c>
      <c r="B10090" t="str">
        <f>HYPERLINK("https://twitter.com/exoaerii","@exoaerii")</f>
        <v>@exoaerii</v>
      </c>
      <c r="C10090" t="s">
        <v>1407</v>
      </c>
      <c r="D10090">
        <v>7306</v>
      </c>
      <c r="E10090">
        <v>0</v>
      </c>
      <c r="F10090">
        <v>1341</v>
      </c>
    </row>
    <row r="10091" spans="1:6" ht="12.75">
      <c r="A10091" s="2">
        <v>43880.789004629631</v>
      </c>
      <c r="B10091" t="str">
        <f>HYPERLINK("https://twitter.com/nedjachou","@nedjachou")</f>
        <v>@nedjachou</v>
      </c>
      <c r="C10091" t="s">
        <v>5942</v>
      </c>
      <c r="D10091">
        <v>0</v>
      </c>
      <c r="E10091">
        <v>0</v>
      </c>
      <c r="F10091">
        <v>241</v>
      </c>
    </row>
    <row r="10092" spans="1:6" ht="12.75">
      <c r="A10092" s="2">
        <v>43880.788923611108</v>
      </c>
      <c r="B10092" t="str">
        <f>HYPERLINK("https://twitter.com/suryobon","@suryobon")</f>
        <v>@suryobon</v>
      </c>
      <c r="C10092" t="s">
        <v>2692</v>
      </c>
      <c r="D10092">
        <v>1217</v>
      </c>
      <c r="E10092">
        <v>0</v>
      </c>
      <c r="F10092">
        <v>356</v>
      </c>
    </row>
    <row r="10093" spans="1:6" ht="12.75">
      <c r="A10093" s="2">
        <v>43880.788865740746</v>
      </c>
      <c r="B10093" t="str">
        <f>HYPERLINK("https://twitter.com/imamteguhp_","@imamteguhp_")</f>
        <v>@imamteguhp_</v>
      </c>
      <c r="C10093" t="s">
        <v>1407</v>
      </c>
      <c r="D10093">
        <v>7306</v>
      </c>
      <c r="E10093">
        <v>0</v>
      </c>
      <c r="F10093">
        <v>81</v>
      </c>
    </row>
    <row r="10094" spans="1:6" ht="12.75">
      <c r="A10094" s="2">
        <v>43880.788761574076</v>
      </c>
      <c r="B10094" t="str">
        <f>HYPERLINK("https://twitter.com/sepintasangan","@sepintasangan")</f>
        <v>@sepintasangan</v>
      </c>
      <c r="C10094" t="s">
        <v>5943</v>
      </c>
      <c r="D10094">
        <v>0</v>
      </c>
      <c r="E10094">
        <v>0</v>
      </c>
      <c r="F10094">
        <v>144</v>
      </c>
    </row>
    <row r="10095" spans="1:6" ht="12.75">
      <c r="A10095" s="2">
        <v>43880.788680555561</v>
      </c>
      <c r="B10095" t="str">
        <f>HYPERLINK("https://twitter.com/cynthianvt","@cynthianvt")</f>
        <v>@cynthianvt</v>
      </c>
      <c r="C10095" t="s">
        <v>2692</v>
      </c>
      <c r="D10095">
        <v>1217</v>
      </c>
      <c r="E10095">
        <v>0</v>
      </c>
      <c r="F10095">
        <v>537</v>
      </c>
    </row>
    <row r="10096" spans="1:6" ht="12.75">
      <c r="A10096" s="2">
        <v>43880.788645833338</v>
      </c>
      <c r="B10096" t="str">
        <f>HYPERLINK("https://twitter.com/demokrasicoid","@demokrasicoid")</f>
        <v>@demokrasicoid</v>
      </c>
      <c r="C10096" t="s">
        <v>5944</v>
      </c>
      <c r="D10096">
        <v>0</v>
      </c>
      <c r="E10096">
        <v>0</v>
      </c>
      <c r="F10096">
        <v>22340</v>
      </c>
    </row>
    <row r="10097" spans="1:6" ht="12.75">
      <c r="A10097" s="2">
        <v>43880.788645833338</v>
      </c>
      <c r="B10097" t="str">
        <f>HYPERLINK("https://twitter.com/DevGadis","@DevGadis")</f>
        <v>@DevGadis</v>
      </c>
      <c r="C10097" t="s">
        <v>1407</v>
      </c>
      <c r="D10097">
        <v>7306</v>
      </c>
      <c r="E10097">
        <v>0</v>
      </c>
      <c r="F10097">
        <v>13</v>
      </c>
    </row>
    <row r="10098" spans="1:6" ht="12.75">
      <c r="A10098" s="2">
        <v>43880.788483796292</v>
      </c>
      <c r="B10098" t="str">
        <f>HYPERLINK("https://twitter.com/anjaymabar378","@anjaymabar378")</f>
        <v>@anjaymabar378</v>
      </c>
      <c r="C10098" t="s">
        <v>5945</v>
      </c>
      <c r="D10098">
        <v>0</v>
      </c>
      <c r="E10098">
        <v>0</v>
      </c>
      <c r="F10098">
        <v>89</v>
      </c>
    </row>
    <row r="10099" spans="1:6" ht="12.75">
      <c r="A10099" s="2">
        <v>43880.788391203707</v>
      </c>
      <c r="B10099" t="str">
        <f>HYPERLINK("https://twitter.com/xgitpx","@xgitpx")</f>
        <v>@xgitpx</v>
      </c>
      <c r="C10099" t="s">
        <v>1407</v>
      </c>
      <c r="D10099">
        <v>7306</v>
      </c>
      <c r="E10099">
        <v>0</v>
      </c>
      <c r="F10099">
        <v>410</v>
      </c>
    </row>
    <row r="10100" spans="1:6" ht="12.75">
      <c r="A10100" s="2">
        <v>43880.788356481484</v>
      </c>
      <c r="B10100" t="str">
        <f>HYPERLINK("https://twitter.com/fenitadisaa","@fenitadisaa")</f>
        <v>@fenitadisaa</v>
      </c>
      <c r="C10100" t="s">
        <v>1407</v>
      </c>
      <c r="D10100">
        <v>7306</v>
      </c>
      <c r="E10100">
        <v>0</v>
      </c>
      <c r="F10100">
        <v>6</v>
      </c>
    </row>
    <row r="10101" spans="1:6" ht="12.75">
      <c r="A10101" s="2">
        <v>43880.788344907407</v>
      </c>
      <c r="B10101" t="str">
        <f>HYPERLINK("https://twitter.com/atbashuc","@atbashuc")</f>
        <v>@atbashuc</v>
      </c>
      <c r="C10101" t="s">
        <v>1407</v>
      </c>
      <c r="D10101">
        <v>7306</v>
      </c>
      <c r="E10101">
        <v>0</v>
      </c>
      <c r="F10101">
        <v>69</v>
      </c>
    </row>
    <row r="10102" spans="1:6" ht="12.75">
      <c r="A10102" s="2">
        <v>43880.788298611107</v>
      </c>
      <c r="B10102" t="str">
        <f>HYPERLINK("https://twitter.com/pirrnanda1","@pirrnanda1")</f>
        <v>@pirrnanda1</v>
      </c>
      <c r="C10102" t="s">
        <v>1407</v>
      </c>
      <c r="D10102">
        <v>7306</v>
      </c>
      <c r="E10102">
        <v>0</v>
      </c>
      <c r="F10102">
        <v>1189</v>
      </c>
    </row>
    <row r="10103" spans="1:6" ht="12.75">
      <c r="A10103" s="2">
        <v>43880.788171296299</v>
      </c>
      <c r="B10103" t="str">
        <f>HYPERLINK("https://twitter.com/dheaaw","@dheaaw")</f>
        <v>@dheaaw</v>
      </c>
      <c r="C10103" t="s">
        <v>1407</v>
      </c>
      <c r="D10103">
        <v>7306</v>
      </c>
      <c r="E10103">
        <v>0</v>
      </c>
      <c r="F10103">
        <v>2383</v>
      </c>
    </row>
    <row r="10104" spans="1:6" ht="12.75">
      <c r="A10104" s="2">
        <v>43880.788159722222</v>
      </c>
      <c r="B10104" t="str">
        <f>HYPERLINK("https://twitter.com/AndyWu007","@AndyWu007")</f>
        <v>@AndyWu007</v>
      </c>
      <c r="C10104" t="s">
        <v>5946</v>
      </c>
      <c r="D10104">
        <v>0</v>
      </c>
      <c r="E10104">
        <v>0</v>
      </c>
      <c r="F10104">
        <v>222</v>
      </c>
    </row>
    <row r="10105" spans="1:6" ht="12.75">
      <c r="A10105" s="2">
        <v>43880.788090277776</v>
      </c>
      <c r="B10105" t="str">
        <f>HYPERLINK("https://twitter.com/yourheartbabe","@yourheartbabe")</f>
        <v>@yourheartbabe</v>
      </c>
      <c r="C10105" t="s">
        <v>1407</v>
      </c>
      <c r="D10105">
        <v>7306</v>
      </c>
      <c r="E10105">
        <v>0</v>
      </c>
      <c r="F10105">
        <v>619</v>
      </c>
    </row>
    <row r="10106" spans="1:6" ht="12.75">
      <c r="A10106" s="2">
        <v>43880.787986111114</v>
      </c>
      <c r="B10106" t="str">
        <f>HYPERLINK("https://twitter.com/yeacuIt","@yeacuIt")</f>
        <v>@yeacuIt</v>
      </c>
      <c r="C10106" t="s">
        <v>1407</v>
      </c>
      <c r="D10106">
        <v>7306</v>
      </c>
      <c r="E10106">
        <v>0</v>
      </c>
      <c r="F10106">
        <v>171</v>
      </c>
    </row>
    <row r="10107" spans="1:6" ht="12.75">
      <c r="A10107" s="2">
        <v>43880.787974537037</v>
      </c>
      <c r="B10107" t="str">
        <f>HYPERLINK("https://twitter.com/bundapiyoy","@bundapiyoy")</f>
        <v>@bundapiyoy</v>
      </c>
      <c r="C10107" t="s">
        <v>1407</v>
      </c>
      <c r="D10107">
        <v>7306</v>
      </c>
      <c r="E10107">
        <v>0</v>
      </c>
      <c r="F10107">
        <v>72</v>
      </c>
    </row>
    <row r="10108" spans="1:6" ht="12.75">
      <c r="A10108" s="2">
        <v>43880.787916666668</v>
      </c>
      <c r="B10108" t="str">
        <f>HYPERLINK("https://twitter.com/koalasshi","@koalasshi")</f>
        <v>@koalasshi</v>
      </c>
      <c r="C10108" t="s">
        <v>2467</v>
      </c>
      <c r="D10108">
        <v>677</v>
      </c>
      <c r="E10108">
        <v>0</v>
      </c>
      <c r="F10108">
        <v>672</v>
      </c>
    </row>
    <row r="10109" spans="1:6" ht="12.75">
      <c r="A10109" s="2">
        <v>43880.787881944445</v>
      </c>
      <c r="B10109" t="str">
        <f>HYPERLINK("https://twitter.com/rradithadid","@rradithadid")</f>
        <v>@rradithadid</v>
      </c>
      <c r="C10109" t="s">
        <v>1407</v>
      </c>
      <c r="D10109">
        <v>7306</v>
      </c>
      <c r="E10109">
        <v>0</v>
      </c>
      <c r="F10109">
        <v>285</v>
      </c>
    </row>
    <row r="10110" spans="1:6" ht="12.75">
      <c r="A10110" s="2">
        <v>43880.787812499999</v>
      </c>
      <c r="B10110" t="str">
        <f>HYPERLINK("https://twitter.com/DEFence_hr","@DEFence_hr")</f>
        <v>@DEFence_hr</v>
      </c>
      <c r="C10110" t="s">
        <v>1407</v>
      </c>
      <c r="D10110">
        <v>7306</v>
      </c>
      <c r="E10110">
        <v>0</v>
      </c>
      <c r="F10110">
        <v>88</v>
      </c>
    </row>
    <row r="10111" spans="1:6" ht="12.75">
      <c r="A10111" s="2">
        <v>43880.78770833333</v>
      </c>
      <c r="B10111" t="str">
        <f>HYPERLINK("https://twitter.com/najenmee","@najenmee")</f>
        <v>@najenmee</v>
      </c>
      <c r="C10111" t="s">
        <v>1407</v>
      </c>
      <c r="D10111">
        <v>7306</v>
      </c>
      <c r="E10111">
        <v>0</v>
      </c>
      <c r="F10111">
        <v>2070</v>
      </c>
    </row>
    <row r="10112" spans="1:6" ht="12.75">
      <c r="A10112" s="2">
        <v>43880.787662037037</v>
      </c>
      <c r="B10112" t="str">
        <f>HYPERLINK("https://twitter.com/curlyhairwonu","@curlyhairwonu")</f>
        <v>@curlyhairwonu</v>
      </c>
      <c r="C10112" t="s">
        <v>1407</v>
      </c>
      <c r="D10112">
        <v>7306</v>
      </c>
      <c r="E10112">
        <v>0</v>
      </c>
      <c r="F10112">
        <v>1751</v>
      </c>
    </row>
    <row r="10113" spans="1:6" ht="12.75">
      <c r="A10113" s="2">
        <v>43880.787662037037</v>
      </c>
      <c r="B10113" t="str">
        <f>HYPERLINK("https://twitter.com/xepthilia","@xepthilia")</f>
        <v>@xepthilia</v>
      </c>
      <c r="C10113" t="s">
        <v>1407</v>
      </c>
      <c r="D10113">
        <v>7306</v>
      </c>
      <c r="E10113">
        <v>0</v>
      </c>
      <c r="F10113">
        <v>77</v>
      </c>
    </row>
    <row r="10114" spans="1:6" ht="12.75">
      <c r="A10114" s="2">
        <v>43880.787592592591</v>
      </c>
      <c r="B10114" t="str">
        <f>HYPERLINK("https://twitter.com/cspbajakan","@cspbajakan")</f>
        <v>@cspbajakan</v>
      </c>
      <c r="C10114" t="s">
        <v>2692</v>
      </c>
      <c r="D10114">
        <v>1217</v>
      </c>
      <c r="E10114">
        <v>0</v>
      </c>
      <c r="F10114">
        <v>259</v>
      </c>
    </row>
    <row r="10115" spans="1:6" ht="12.75">
      <c r="A10115" s="2">
        <v>43880.787581018521</v>
      </c>
      <c r="B10115" t="str">
        <f>HYPERLINK("https://twitter.com/mochimonac","@mochimonac")</f>
        <v>@mochimonac</v>
      </c>
      <c r="C10115" t="s">
        <v>1407</v>
      </c>
      <c r="D10115">
        <v>7306</v>
      </c>
      <c r="E10115">
        <v>0</v>
      </c>
      <c r="F10115">
        <v>654</v>
      </c>
    </row>
    <row r="10116" spans="1:6" ht="12.75">
      <c r="A10116" s="2">
        <v>43880.787499999999</v>
      </c>
      <c r="B10116" t="str">
        <f>HYPERLINK("https://twitter.com/j_onggyu","@j_onggyu")</f>
        <v>@j_onggyu</v>
      </c>
      <c r="C10116" t="s">
        <v>2692</v>
      </c>
      <c r="D10116">
        <v>1217</v>
      </c>
      <c r="E10116">
        <v>0</v>
      </c>
      <c r="F10116">
        <v>25</v>
      </c>
    </row>
    <row r="10117" spans="1:6" ht="12.75">
      <c r="A10117" s="2">
        <v>43880.787476851852</v>
      </c>
      <c r="B10117" t="str">
        <f>HYPERLINK("https://twitter.com/Wandadu_","@Wandadu_")</f>
        <v>@Wandadu_</v>
      </c>
      <c r="C10117" t="s">
        <v>1407</v>
      </c>
      <c r="D10117">
        <v>7306</v>
      </c>
      <c r="E10117">
        <v>0</v>
      </c>
      <c r="F10117">
        <v>3811</v>
      </c>
    </row>
    <row r="10118" spans="1:6" ht="12.75">
      <c r="A10118" s="2">
        <v>43880.78743055556</v>
      </c>
      <c r="B10118" t="str">
        <f>HYPERLINK("https://twitter.com/AgusSup39011241","@AgusSup39011241")</f>
        <v>@AgusSup39011241</v>
      </c>
      <c r="C10118" t="s">
        <v>5947</v>
      </c>
      <c r="D10118">
        <v>73</v>
      </c>
      <c r="E10118">
        <v>0</v>
      </c>
      <c r="F10118">
        <v>10139</v>
      </c>
    </row>
    <row r="10119" spans="1:6" ht="12.75">
      <c r="A10119" s="2">
        <v>43880.787303240737</v>
      </c>
      <c r="B10119" t="str">
        <f>HYPERLINK("https://twitter.com/jaehyukcrush","@jaehyukcrush")</f>
        <v>@jaehyukcrush</v>
      </c>
      <c r="C10119" t="s">
        <v>2692</v>
      </c>
      <c r="D10119">
        <v>1217</v>
      </c>
      <c r="E10119">
        <v>0</v>
      </c>
      <c r="F10119">
        <v>840</v>
      </c>
    </row>
    <row r="10120" spans="1:6" ht="12.75">
      <c r="A10120" s="2">
        <v>43880.787256944444</v>
      </c>
      <c r="B10120" t="str">
        <f>HYPERLINK("https://twitter.com/Chitatooo","@Chitatooo")</f>
        <v>@Chitatooo</v>
      </c>
      <c r="C10120" t="s">
        <v>2692</v>
      </c>
      <c r="D10120">
        <v>1217</v>
      </c>
      <c r="E10120">
        <v>0</v>
      </c>
      <c r="F10120">
        <v>13747</v>
      </c>
    </row>
    <row r="10121" spans="1:6" ht="12.75">
      <c r="A10121" s="2">
        <v>43880.787245370375</v>
      </c>
      <c r="B10121" t="str">
        <f>HYPERLINK("https://twitter.com/quninq","@quninq")</f>
        <v>@quninq</v>
      </c>
      <c r="C10121" t="s">
        <v>2692</v>
      </c>
      <c r="D10121">
        <v>1217</v>
      </c>
      <c r="E10121">
        <v>0</v>
      </c>
      <c r="F10121">
        <v>47</v>
      </c>
    </row>
    <row r="10122" spans="1:6" ht="12.75">
      <c r="A10122" s="2">
        <v>43880.751562500001</v>
      </c>
      <c r="B10122" t="str">
        <f>HYPERLINK("https://twitter.com/sayangwonpili","@sayangwonpili")</f>
        <v>@sayangwonpili</v>
      </c>
      <c r="C10122" t="s">
        <v>2467</v>
      </c>
      <c r="D10122">
        <v>627</v>
      </c>
      <c r="E10122">
        <v>0</v>
      </c>
      <c r="F10122">
        <v>151</v>
      </c>
    </row>
    <row r="10123" spans="1:6" ht="12.75">
      <c r="A10123" s="2">
        <v>43880.751423611116</v>
      </c>
      <c r="B10123" t="str">
        <f>HYPERLINK("https://twitter.com/vivanewscom","@vivanewscom")</f>
        <v>@vivanewscom</v>
      </c>
      <c r="C10123" t="s">
        <v>5948</v>
      </c>
      <c r="D10123">
        <v>0</v>
      </c>
      <c r="E10123">
        <v>0</v>
      </c>
      <c r="F10123">
        <v>4203</v>
      </c>
    </row>
    <row r="10124" spans="1:6" ht="12.75">
      <c r="A10124" s="2">
        <v>43880.751284722224</v>
      </c>
      <c r="B10124" t="str">
        <f>HYPERLINK("https://twitter.com/guanjack1","@guanjack1")</f>
        <v>@guanjack1</v>
      </c>
      <c r="C10124" t="s">
        <v>1407</v>
      </c>
      <c r="D10124">
        <v>6752</v>
      </c>
      <c r="E10124">
        <v>0</v>
      </c>
      <c r="F10124">
        <v>1126</v>
      </c>
    </row>
    <row r="10125" spans="1:6" ht="12.75">
      <c r="A10125" s="2">
        <v>43880.751238425924</v>
      </c>
      <c r="B10125" t="str">
        <f t="shared" ref="B10125:B10126" si="185">HYPERLINK("https://twitter.com/xdodyd","@xdodyd")</f>
        <v>@xdodyd</v>
      </c>
      <c r="C10125" t="s">
        <v>2509</v>
      </c>
      <c r="D10125">
        <v>91</v>
      </c>
      <c r="E10125">
        <v>0</v>
      </c>
      <c r="F10125">
        <v>3302</v>
      </c>
    </row>
    <row r="10126" spans="1:6" ht="12.75">
      <c r="A10126" s="2">
        <v>43880.751192129625</v>
      </c>
      <c r="B10126" t="str">
        <f t="shared" si="185"/>
        <v>@xdodyd</v>
      </c>
      <c r="C10126" t="s">
        <v>2183</v>
      </c>
      <c r="D10126">
        <v>208</v>
      </c>
      <c r="E10126">
        <v>0</v>
      </c>
      <c r="F10126">
        <v>3302</v>
      </c>
    </row>
    <row r="10127" spans="1:6" ht="12.75">
      <c r="A10127" s="2">
        <v>43880.751168981486</v>
      </c>
      <c r="B10127" t="str">
        <f>HYPERLINK("https://twitter.com/dandeluwish","@dandeluwish")</f>
        <v>@dandeluwish</v>
      </c>
      <c r="C10127" t="s">
        <v>1407</v>
      </c>
      <c r="D10127">
        <v>6752</v>
      </c>
      <c r="E10127">
        <v>0</v>
      </c>
      <c r="F10127">
        <v>258</v>
      </c>
    </row>
    <row r="10128" spans="1:6" ht="12.75">
      <c r="A10128" s="2">
        <v>43880.751145833332</v>
      </c>
      <c r="B10128" t="str">
        <f>HYPERLINK("https://twitter.com/suka011","@suka011")</f>
        <v>@suka011</v>
      </c>
      <c r="C10128" t="s">
        <v>2147</v>
      </c>
      <c r="D10128">
        <v>573</v>
      </c>
      <c r="E10128">
        <v>0</v>
      </c>
      <c r="F10128">
        <v>2019</v>
      </c>
    </row>
    <row r="10129" spans="1:6" ht="12.75">
      <c r="A10129" s="2">
        <v>43880.751122685186</v>
      </c>
      <c r="B10129" t="str">
        <f>HYPERLINK("https://twitter.com/xdodyd","@xdodyd")</f>
        <v>@xdodyd</v>
      </c>
      <c r="C10129" t="s">
        <v>2467</v>
      </c>
      <c r="D10129">
        <v>627</v>
      </c>
      <c r="E10129">
        <v>0</v>
      </c>
      <c r="F10129">
        <v>3302</v>
      </c>
    </row>
    <row r="10130" spans="1:6" ht="12.75">
      <c r="A10130" s="2">
        <v>43880.751099537039</v>
      </c>
      <c r="B10130" t="str">
        <f>HYPERLINK("https://twitter.com/bucinPjihoon","@bucinPjihoon")</f>
        <v>@bucinPjihoon</v>
      </c>
      <c r="C10130" t="s">
        <v>1407</v>
      </c>
      <c r="D10130">
        <v>6752</v>
      </c>
      <c r="E10130">
        <v>0</v>
      </c>
      <c r="F10130">
        <v>370</v>
      </c>
    </row>
    <row r="10131" spans="1:6" ht="12.75">
      <c r="A10131" s="2">
        <v>43880.751087962963</v>
      </c>
      <c r="B10131" t="str">
        <f>HYPERLINK("https://twitter.com/criforeir","@criforeir")</f>
        <v>@criforeir</v>
      </c>
      <c r="C10131" t="s">
        <v>1407</v>
      </c>
      <c r="D10131">
        <v>6752</v>
      </c>
      <c r="E10131">
        <v>0</v>
      </c>
      <c r="F10131">
        <v>124</v>
      </c>
    </row>
    <row r="10132" spans="1:6" ht="12.75">
      <c r="A10132" s="2">
        <v>43880.751076388886</v>
      </c>
      <c r="B10132" t="str">
        <f>HYPERLINK("https://twitter.com/Moccaberryy","@Moccaberryy")</f>
        <v>@Moccaberryy</v>
      </c>
      <c r="C10132" t="s">
        <v>1407</v>
      </c>
      <c r="D10132">
        <v>6752</v>
      </c>
      <c r="E10132">
        <v>0</v>
      </c>
      <c r="F10132">
        <v>81</v>
      </c>
    </row>
    <row r="10133" spans="1:6" ht="12.75">
      <c r="A10133" s="2">
        <v>43880.751041666663</v>
      </c>
      <c r="B10133" t="str">
        <f>HYPERLINK("https://twitter.com/kucingnyajebong","@kucingnyajebong")</f>
        <v>@kucingnyajebong</v>
      </c>
      <c r="C10133" t="s">
        <v>1407</v>
      </c>
      <c r="D10133">
        <v>6752</v>
      </c>
      <c r="E10133">
        <v>0</v>
      </c>
      <c r="F10133">
        <v>99</v>
      </c>
    </row>
    <row r="10134" spans="1:6" ht="12.75">
      <c r="A10134" s="2">
        <v>43880.751041666663</v>
      </c>
      <c r="B10134" t="str">
        <f>HYPERLINK("https://twitter.com/yulsnoona","@yulsnoona")</f>
        <v>@yulsnoona</v>
      </c>
      <c r="C10134" t="s">
        <v>1407</v>
      </c>
      <c r="D10134">
        <v>6752</v>
      </c>
      <c r="E10134">
        <v>0</v>
      </c>
      <c r="F10134">
        <v>19</v>
      </c>
    </row>
    <row r="10135" spans="1:6" ht="12.75">
      <c r="A10135" s="2">
        <v>43880.750960648147</v>
      </c>
      <c r="B10135" t="str">
        <f>HYPERLINK("https://twitter.com/moonflower_j","@moonflower_j")</f>
        <v>@moonflower_j</v>
      </c>
      <c r="C10135" t="s">
        <v>1407</v>
      </c>
      <c r="D10135">
        <v>6752</v>
      </c>
      <c r="E10135">
        <v>0</v>
      </c>
      <c r="F10135">
        <v>464</v>
      </c>
    </row>
    <row r="10136" spans="1:6" ht="12.75">
      <c r="A10136" s="2">
        <v>43880.750949074078</v>
      </c>
      <c r="B10136" t="str">
        <f>HYPERLINK("https://twitter.com/ismashiho","@ismashiho")</f>
        <v>@ismashiho</v>
      </c>
      <c r="C10136" t="s">
        <v>1407</v>
      </c>
      <c r="D10136">
        <v>6752</v>
      </c>
      <c r="E10136">
        <v>0</v>
      </c>
      <c r="F10136">
        <v>207</v>
      </c>
    </row>
    <row r="10137" spans="1:6" ht="12.75">
      <c r="A10137" s="2">
        <v>43880.750925925924</v>
      </c>
      <c r="B10137" t="str">
        <f>HYPERLINK("https://twitter.com/ISIS_Balik_NO","@ISIS_Balik_NO")</f>
        <v>@ISIS_Balik_NO</v>
      </c>
      <c r="C10137" t="s">
        <v>5949</v>
      </c>
      <c r="D10137">
        <v>16</v>
      </c>
      <c r="E10137">
        <v>0</v>
      </c>
      <c r="F10137">
        <v>6064</v>
      </c>
    </row>
    <row r="10138" spans="1:6" ht="12.75">
      <c r="A10138" s="2">
        <v>43880.750914351855</v>
      </c>
      <c r="B10138" t="str">
        <f>HYPERLINK("https://twitter.com/KevinAdam2017","@KevinAdam2017")</f>
        <v>@KevinAdam2017</v>
      </c>
      <c r="C10138" t="s">
        <v>5950</v>
      </c>
      <c r="D10138">
        <v>0</v>
      </c>
      <c r="E10138">
        <v>0</v>
      </c>
      <c r="F10138">
        <v>189</v>
      </c>
    </row>
    <row r="10139" spans="1:6" ht="12.75">
      <c r="A10139" s="2">
        <v>43880.750902777778</v>
      </c>
      <c r="B10139" t="str">
        <f>HYPERLINK("https://twitter.com/viiolates","@viiolates")</f>
        <v>@viiolates</v>
      </c>
      <c r="C10139" t="s">
        <v>2467</v>
      </c>
      <c r="D10139">
        <v>627</v>
      </c>
      <c r="E10139">
        <v>0</v>
      </c>
      <c r="F10139">
        <v>3079</v>
      </c>
    </row>
    <row r="10140" spans="1:6" ht="12.75">
      <c r="A10140" s="2">
        <v>43880.750891203701</v>
      </c>
      <c r="B10140" t="str">
        <f>HYPERLINK("https://twitter.com/Gomezdyta","@Gomezdyta")</f>
        <v>@Gomezdyta</v>
      </c>
      <c r="C10140" t="s">
        <v>1407</v>
      </c>
      <c r="D10140">
        <v>6752</v>
      </c>
      <c r="E10140">
        <v>0</v>
      </c>
      <c r="F10140">
        <v>205</v>
      </c>
    </row>
    <row r="10141" spans="1:6" ht="12.75">
      <c r="A10141" s="2">
        <v>43880.750844907408</v>
      </c>
      <c r="B10141" t="str">
        <f>HYPERLINK("https://twitter.com/xdodyd","@xdodyd")</f>
        <v>@xdodyd</v>
      </c>
      <c r="C10141" t="s">
        <v>1407</v>
      </c>
      <c r="D10141">
        <v>6752</v>
      </c>
      <c r="E10141">
        <v>0</v>
      </c>
      <c r="F10141">
        <v>3302</v>
      </c>
    </row>
    <row r="10142" spans="1:6" ht="12.75">
      <c r="A10142" s="2">
        <v>43880.750833333332</v>
      </c>
      <c r="B10142" t="str">
        <f>HYPERLINK("https://twitter.com/SENDYYeah","@SENDYYeah")</f>
        <v>@SENDYYeah</v>
      </c>
      <c r="C10142" t="s">
        <v>1407</v>
      </c>
      <c r="D10142">
        <v>6752</v>
      </c>
      <c r="E10142">
        <v>0</v>
      </c>
      <c r="F10142">
        <v>685</v>
      </c>
    </row>
    <row r="10143" spans="1:6" ht="12.75">
      <c r="A10143" s="2">
        <v>43880.750787037032</v>
      </c>
      <c r="B10143" t="str">
        <f>HYPERLINK("https://twitter.com/MNCNewsroom","@MNCNewsroom")</f>
        <v>@MNCNewsroom</v>
      </c>
      <c r="C10143" t="s">
        <v>5766</v>
      </c>
      <c r="D10143">
        <v>0</v>
      </c>
      <c r="E10143">
        <v>0</v>
      </c>
      <c r="F10143">
        <v>17551</v>
      </c>
    </row>
    <row r="10144" spans="1:6" ht="12.75">
      <c r="A10144" s="2">
        <v>43880.750671296293</v>
      </c>
      <c r="B10144" t="str">
        <f>HYPERLINK("https://twitter.com/r054ndy","@r054ndy")</f>
        <v>@r054ndy</v>
      </c>
      <c r="C10144" t="s">
        <v>2692</v>
      </c>
      <c r="D10144">
        <v>1104</v>
      </c>
      <c r="E10144">
        <v>0</v>
      </c>
      <c r="F10144">
        <v>65</v>
      </c>
    </row>
    <row r="10145" spans="1:6" ht="12.75">
      <c r="A10145" s="2">
        <v>43880.750659722224</v>
      </c>
      <c r="B10145" t="str">
        <f>HYPERLINK("https://twitter.com/SukitmanS","@SukitmanS")</f>
        <v>@SukitmanS</v>
      </c>
      <c r="C10145" t="s">
        <v>5951</v>
      </c>
      <c r="D10145">
        <v>2</v>
      </c>
      <c r="E10145">
        <v>0</v>
      </c>
      <c r="F10145">
        <v>102</v>
      </c>
    </row>
    <row r="10146" spans="1:6" ht="12.75">
      <c r="A10146" s="2">
        <v>43880.750439814816</v>
      </c>
      <c r="B10146" t="str">
        <f>HYPERLINK("https://twitter.com/avouni28","@avouni28")</f>
        <v>@avouni28</v>
      </c>
      <c r="C10146" t="s">
        <v>1407</v>
      </c>
      <c r="D10146">
        <v>6752</v>
      </c>
      <c r="E10146">
        <v>0</v>
      </c>
      <c r="F10146">
        <v>1505</v>
      </c>
    </row>
    <row r="10147" spans="1:6" ht="12.75">
      <c r="A10147" s="2">
        <v>43880.750416666662</v>
      </c>
      <c r="B10147" t="str">
        <f>HYPERLINK("https://twitter.com/svkayakult","@svkayakult")</f>
        <v>@svkayakult</v>
      </c>
      <c r="C10147" t="s">
        <v>1407</v>
      </c>
      <c r="D10147">
        <v>6752</v>
      </c>
      <c r="E10147">
        <v>0</v>
      </c>
      <c r="F10147">
        <v>1438</v>
      </c>
    </row>
    <row r="10148" spans="1:6" ht="12.75">
      <c r="A10148" s="2">
        <v>43880.750381944439</v>
      </c>
      <c r="B10148" t="str">
        <f>HYPERLINK("https://twitter.com/joyuwree","@joyuwree")</f>
        <v>@joyuwree</v>
      </c>
      <c r="C10148" t="s">
        <v>1407</v>
      </c>
      <c r="D10148">
        <v>6752</v>
      </c>
      <c r="E10148">
        <v>0</v>
      </c>
      <c r="F10148">
        <v>475</v>
      </c>
    </row>
    <row r="10149" spans="1:6" ht="12.75">
      <c r="A10149" s="2">
        <v>43880.75037037037</v>
      </c>
      <c r="B10149" t="str">
        <f>HYPERLINK("https://twitter.com/infoajus","@infoajus")</f>
        <v>@infoajus</v>
      </c>
      <c r="C10149" t="s">
        <v>2692</v>
      </c>
      <c r="D10149">
        <v>1104</v>
      </c>
      <c r="E10149">
        <v>0</v>
      </c>
      <c r="F10149">
        <v>742</v>
      </c>
    </row>
    <row r="10150" spans="1:6" ht="12.75">
      <c r="A10150" s="2">
        <v>43880.7503125</v>
      </c>
      <c r="B10150" t="str">
        <f>HYPERLINK("https://twitter.com/HimawanAdi27","@HimawanAdi27")</f>
        <v>@HimawanAdi27</v>
      </c>
      <c r="C10150" t="s">
        <v>1407</v>
      </c>
      <c r="D10150">
        <v>6752</v>
      </c>
      <c r="E10150">
        <v>0</v>
      </c>
      <c r="F10150">
        <v>455</v>
      </c>
    </row>
    <row r="10151" spans="1:6" ht="12.75">
      <c r="A10151" s="2">
        <v>43880.750289351854</v>
      </c>
      <c r="B10151" t="str">
        <f>HYPERLINK("https://twitter.com/kobamjaehyun","@kobamjaehyun")</f>
        <v>@kobamjaehyun</v>
      </c>
      <c r="C10151" t="s">
        <v>1407</v>
      </c>
      <c r="D10151">
        <v>6752</v>
      </c>
      <c r="E10151">
        <v>0</v>
      </c>
      <c r="F10151">
        <v>299</v>
      </c>
    </row>
    <row r="10152" spans="1:6" ht="12.75">
      <c r="A10152" s="2">
        <v>43880.750277777777</v>
      </c>
      <c r="B10152" t="str">
        <f>HYPERLINK("https://twitter.com/cookieemoon","@cookieemoon")</f>
        <v>@cookieemoon</v>
      </c>
      <c r="C10152" t="s">
        <v>1407</v>
      </c>
      <c r="D10152">
        <v>6752</v>
      </c>
      <c r="E10152">
        <v>0</v>
      </c>
      <c r="F10152">
        <v>0</v>
      </c>
    </row>
    <row r="10153" spans="1:6" ht="12.75">
      <c r="A10153" s="2">
        <v>43880.7502662037</v>
      </c>
      <c r="B10153" t="str">
        <f>HYPERLINK("https://twitter.com/putriheling","@putriheling")</f>
        <v>@putriheling</v>
      </c>
      <c r="C10153" t="s">
        <v>2692</v>
      </c>
      <c r="D10153">
        <v>1104</v>
      </c>
      <c r="E10153">
        <v>0</v>
      </c>
      <c r="F10153">
        <v>198</v>
      </c>
    </row>
    <row r="10154" spans="1:6" ht="12.75">
      <c r="A10154" s="2">
        <v>43880.750243055554</v>
      </c>
      <c r="B10154" t="str">
        <f>HYPERLINK("https://twitter.com/sedang_lapar","@sedang_lapar")</f>
        <v>@sedang_lapar</v>
      </c>
      <c r="C10154" t="s">
        <v>3224</v>
      </c>
      <c r="D10154">
        <v>10</v>
      </c>
      <c r="E10154">
        <v>0</v>
      </c>
      <c r="F10154">
        <v>253</v>
      </c>
    </row>
    <row r="10155" spans="1:6" ht="12.75">
      <c r="A10155" s="2">
        <v>43880.750115740739</v>
      </c>
      <c r="B10155" t="str">
        <f>HYPERLINK("https://twitter.com/strawbbheriz","@strawbbheriz")</f>
        <v>@strawbbheriz</v>
      </c>
      <c r="C10155" t="s">
        <v>1407</v>
      </c>
      <c r="D10155">
        <v>6752</v>
      </c>
      <c r="E10155">
        <v>0</v>
      </c>
      <c r="F10155">
        <v>1063</v>
      </c>
    </row>
    <row r="10156" spans="1:6" ht="12.75">
      <c r="A10156" s="2">
        <v>43880.750104166669</v>
      </c>
      <c r="B10156" t="str">
        <f>HYPERLINK("https://twitter.com/xxchanis","@xxchanis")</f>
        <v>@xxchanis</v>
      </c>
      <c r="C10156" t="s">
        <v>1407</v>
      </c>
      <c r="D10156">
        <v>6752</v>
      </c>
      <c r="E10156">
        <v>0</v>
      </c>
      <c r="F10156">
        <v>768</v>
      </c>
    </row>
    <row r="10157" spans="1:6" ht="12.75">
      <c r="A10157" s="2">
        <v>43880.750092592592</v>
      </c>
      <c r="B10157" t="str">
        <f>HYPERLINK("https://twitter.com/machiao_","@machiao_")</f>
        <v>@machiao_</v>
      </c>
      <c r="C10157" t="s">
        <v>2467</v>
      </c>
      <c r="D10157">
        <v>627</v>
      </c>
      <c r="E10157">
        <v>0</v>
      </c>
      <c r="F10157">
        <v>881</v>
      </c>
    </row>
    <row r="10158" spans="1:6" ht="12.75">
      <c r="A10158" s="2">
        <v>43880.750081018516</v>
      </c>
      <c r="B10158" t="str">
        <f>HYPERLINK("https://twitter.com/ggreatestt","@ggreatestt")</f>
        <v>@ggreatestt</v>
      </c>
      <c r="C10158" t="s">
        <v>1407</v>
      </c>
      <c r="D10158">
        <v>6752</v>
      </c>
      <c r="E10158">
        <v>0</v>
      </c>
      <c r="F10158">
        <v>215</v>
      </c>
    </row>
    <row r="10159" spans="1:6" ht="12.75">
      <c r="A10159" s="2">
        <v>43880.750081018516</v>
      </c>
      <c r="B10159" t="str">
        <f>HYPERLINK("https://twitter.com/forddyce92","@forddyce92")</f>
        <v>@forddyce92</v>
      </c>
      <c r="C10159" t="s">
        <v>5952</v>
      </c>
      <c r="D10159">
        <v>0</v>
      </c>
      <c r="E10159">
        <v>0</v>
      </c>
      <c r="F10159">
        <v>25</v>
      </c>
    </row>
    <row r="10160" spans="1:6" ht="12.75">
      <c r="A10160" s="2">
        <v>43880.750069444446</v>
      </c>
      <c r="B10160" t="str">
        <f>HYPERLINK("https://twitter.com/machiao_","@machiao_")</f>
        <v>@machiao_</v>
      </c>
      <c r="C10160" t="s">
        <v>2183</v>
      </c>
      <c r="D10160">
        <v>208</v>
      </c>
      <c r="E10160">
        <v>0</v>
      </c>
      <c r="F10160">
        <v>881</v>
      </c>
    </row>
    <row r="10161" spans="1:6" ht="12.75">
      <c r="A10161" s="2">
        <v>43880.750069444446</v>
      </c>
      <c r="B10161" t="str">
        <f>HYPERLINK("https://twitter.com/darkbluenim","@darkbluenim")</f>
        <v>@darkbluenim</v>
      </c>
      <c r="C10161" t="s">
        <v>1407</v>
      </c>
      <c r="D10161">
        <v>6752</v>
      </c>
      <c r="E10161">
        <v>0</v>
      </c>
      <c r="F10161">
        <v>1975</v>
      </c>
    </row>
    <row r="10162" spans="1:6" ht="12.75">
      <c r="A10162" s="2">
        <v>43880.750046296293</v>
      </c>
      <c r="B10162" t="str">
        <f>HYPERLINK("https://twitter.com/snowpeachKD","@snowpeachKD")</f>
        <v>@snowpeachKD</v>
      </c>
      <c r="C10162" t="s">
        <v>2692</v>
      </c>
      <c r="D10162">
        <v>1104</v>
      </c>
      <c r="E10162">
        <v>0</v>
      </c>
      <c r="F10162">
        <v>227</v>
      </c>
    </row>
    <row r="10163" spans="1:6" ht="12.75">
      <c r="A10163" s="2">
        <v>43880.750034722223</v>
      </c>
      <c r="B10163" t="str">
        <f>HYPERLINK("https://twitter.com/sabhatansabiz","@sabhatansabiz")</f>
        <v>@sabhatansabiz</v>
      </c>
      <c r="C10163" t="s">
        <v>5795</v>
      </c>
      <c r="D10163">
        <v>1</v>
      </c>
      <c r="E10163">
        <v>0</v>
      </c>
      <c r="F10163">
        <v>1584</v>
      </c>
    </row>
    <row r="10164" spans="1:6" ht="12.75">
      <c r="A10164" s="2">
        <v>43880.750023148154</v>
      </c>
      <c r="B10164" t="str">
        <f>HYPERLINK("https://twitter.com/jaaaejaaa","@jaaaejaaa")</f>
        <v>@jaaaejaaa</v>
      </c>
      <c r="C10164" t="s">
        <v>1407</v>
      </c>
      <c r="D10164">
        <v>6752</v>
      </c>
      <c r="E10164">
        <v>0</v>
      </c>
      <c r="F10164">
        <v>356</v>
      </c>
    </row>
    <row r="10165" spans="1:6" ht="12.75">
      <c r="A10165" s="2">
        <v>43880.75001157407</v>
      </c>
      <c r="B10165" t="str">
        <f>HYPERLINK("https://twitter.com/diescats","@diescats")</f>
        <v>@diescats</v>
      </c>
      <c r="C10165" t="s">
        <v>2692</v>
      </c>
      <c r="D10165">
        <v>1104</v>
      </c>
      <c r="E10165">
        <v>0</v>
      </c>
      <c r="F10165">
        <v>496</v>
      </c>
    </row>
    <row r="10166" spans="1:6" ht="12.75">
      <c r="A10166" s="2">
        <v>43880.75001157407</v>
      </c>
      <c r="B10166" t="str">
        <f>HYPERLINK("https://twitter.com/SeputariNews","@SeputariNews")</f>
        <v>@SeputariNews</v>
      </c>
      <c r="C10166" t="s">
        <v>5953</v>
      </c>
      <c r="D10166">
        <v>0</v>
      </c>
      <c r="E10166">
        <v>1</v>
      </c>
      <c r="F10166">
        <v>438668</v>
      </c>
    </row>
    <row r="10167" spans="1:6" ht="12.75">
      <c r="A10167" s="2">
        <v>43880.749976851846</v>
      </c>
      <c r="B10167" t="str">
        <f>HYPERLINK("https://twitter.com/VLSR1210","@VLSR1210")</f>
        <v>@VLSR1210</v>
      </c>
      <c r="C10167" t="s">
        <v>5168</v>
      </c>
      <c r="D10167">
        <v>1674</v>
      </c>
      <c r="E10167">
        <v>0</v>
      </c>
      <c r="F10167">
        <v>553</v>
      </c>
    </row>
    <row r="10168" spans="1:6" ht="12.75">
      <c r="A10168" s="2">
        <v>43880.749942129631</v>
      </c>
      <c r="B10168" t="str">
        <f>HYPERLINK("https://twitter.com/machiao_","@machiao_")</f>
        <v>@machiao_</v>
      </c>
      <c r="C10168" t="s">
        <v>1407</v>
      </c>
      <c r="D10168">
        <v>6752</v>
      </c>
      <c r="E10168">
        <v>0</v>
      </c>
      <c r="F10168">
        <v>881</v>
      </c>
    </row>
    <row r="10169" spans="1:6" ht="12.75">
      <c r="A10169" s="2">
        <v>43880.749837962961</v>
      </c>
      <c r="B10169" t="str">
        <f>HYPERLINK("https://twitter.com/marthaguss","@marthaguss")</f>
        <v>@marthaguss</v>
      </c>
      <c r="C10169" t="s">
        <v>2692</v>
      </c>
      <c r="D10169">
        <v>1104</v>
      </c>
      <c r="E10169">
        <v>0</v>
      </c>
      <c r="F10169">
        <v>368</v>
      </c>
    </row>
    <row r="10170" spans="1:6" ht="12.75">
      <c r="A10170" s="2">
        <v>43880.749814814815</v>
      </c>
      <c r="B10170" t="str">
        <f>HYPERLINK("https://twitter.com/ljhforbabysun","@ljhforbabysun")</f>
        <v>@ljhforbabysun</v>
      </c>
      <c r="C10170" t="s">
        <v>1407</v>
      </c>
      <c r="D10170">
        <v>6752</v>
      </c>
      <c r="E10170">
        <v>0</v>
      </c>
      <c r="F10170">
        <v>422</v>
      </c>
    </row>
    <row r="10171" spans="1:6" ht="12.75">
      <c r="A10171" s="2">
        <v>43880.749756944446</v>
      </c>
      <c r="B10171" t="str">
        <f>HYPERLINK("https://twitter.com/notmugglle","@notmugglle")</f>
        <v>@notmugglle</v>
      </c>
      <c r="C10171" t="s">
        <v>1407</v>
      </c>
      <c r="D10171">
        <v>6752</v>
      </c>
      <c r="E10171">
        <v>0</v>
      </c>
      <c r="F10171">
        <v>279</v>
      </c>
    </row>
    <row r="10172" spans="1:6" ht="12.75">
      <c r="A10172" s="2">
        <v>43880.749710648146</v>
      </c>
      <c r="B10172" t="str">
        <f>HYPERLINK("https://twitter.com/radar_malang","@radar_malang")</f>
        <v>@radar_malang</v>
      </c>
      <c r="C10172" t="s">
        <v>5797</v>
      </c>
      <c r="D10172">
        <v>1</v>
      </c>
      <c r="E10172">
        <v>0</v>
      </c>
      <c r="F10172">
        <v>108579</v>
      </c>
    </row>
    <row r="10173" spans="1:6" ht="12.75">
      <c r="A10173" s="2">
        <v>43880.74962962963</v>
      </c>
      <c r="B10173" t="str">
        <f>HYPERLINK("https://twitter.com/Safiraputriii_","@Safiraputriii_")</f>
        <v>@Safiraputriii_</v>
      </c>
      <c r="C10173" t="s">
        <v>2692</v>
      </c>
      <c r="D10173">
        <v>1104</v>
      </c>
      <c r="E10173">
        <v>0</v>
      </c>
      <c r="F10173">
        <v>138</v>
      </c>
    </row>
    <row r="10174" spans="1:6" ht="12.75">
      <c r="A10174" s="2">
        <v>43880.749583333338</v>
      </c>
      <c r="B10174" t="str">
        <f>HYPERLINK("https://twitter.com/zarazettirazr","@zarazettirazr")</f>
        <v>@zarazettirazr</v>
      </c>
      <c r="C10174" t="s">
        <v>5954</v>
      </c>
      <c r="D10174">
        <v>1</v>
      </c>
      <c r="E10174">
        <v>0</v>
      </c>
      <c r="F10174">
        <v>250388</v>
      </c>
    </row>
    <row r="10175" spans="1:6" ht="12.75">
      <c r="A10175" s="2">
        <v>43880.749409722222</v>
      </c>
      <c r="B10175" t="str">
        <f>HYPERLINK("https://twitter.com/human6592","@human6592")</f>
        <v>@human6592</v>
      </c>
      <c r="C10175" t="s">
        <v>1407</v>
      </c>
      <c r="D10175">
        <v>6752</v>
      </c>
      <c r="E10175">
        <v>0</v>
      </c>
      <c r="F10175">
        <v>572</v>
      </c>
    </row>
    <row r="10176" spans="1:6" ht="12.75">
      <c r="A10176" s="2">
        <v>43880.749398148153</v>
      </c>
      <c r="B10176" t="str">
        <f>HYPERLINK("https://twitter.com/VIVAcoid","@VIVAcoid")</f>
        <v>@VIVAcoid</v>
      </c>
      <c r="C10176" t="s">
        <v>5955</v>
      </c>
      <c r="D10176">
        <v>0</v>
      </c>
      <c r="E10176">
        <v>1</v>
      </c>
      <c r="F10176">
        <v>4170562</v>
      </c>
    </row>
    <row r="10177" spans="1:6" ht="12.75">
      <c r="A10177" s="2">
        <v>43880.74936342593</v>
      </c>
      <c r="B10177" t="str">
        <f>HYPERLINK("https://twitter.com/AbdulhadiAlkat1","@AbdulhadiAlkat1")</f>
        <v>@AbdulhadiAlkat1</v>
      </c>
      <c r="C10177" t="s">
        <v>5956</v>
      </c>
      <c r="D10177">
        <v>0</v>
      </c>
      <c r="E10177">
        <v>0</v>
      </c>
      <c r="F10177">
        <v>195</v>
      </c>
    </row>
    <row r="10178" spans="1:6" ht="12.75">
      <c r="A10178" s="2">
        <v>43880.749340277776</v>
      </c>
      <c r="B10178" t="str">
        <f>HYPERLINK("https://twitter.com/FandiRizki","@FandiRizki")</f>
        <v>@FandiRizki</v>
      </c>
      <c r="C10178" t="s">
        <v>1407</v>
      </c>
      <c r="D10178">
        <v>6752</v>
      </c>
      <c r="E10178">
        <v>0</v>
      </c>
      <c r="F10178">
        <v>3381</v>
      </c>
    </row>
    <row r="10179" spans="1:6" ht="12.75">
      <c r="A10179" s="2">
        <v>43880.749340277776</v>
      </c>
      <c r="B10179" t="str">
        <f>HYPERLINK("https://twitter.com/novimsr","@novimsr")</f>
        <v>@novimsr</v>
      </c>
      <c r="C10179" t="s">
        <v>1407</v>
      </c>
      <c r="D10179">
        <v>6752</v>
      </c>
      <c r="E10179">
        <v>0</v>
      </c>
      <c r="F10179">
        <v>704</v>
      </c>
    </row>
    <row r="10180" spans="1:6" ht="12.75">
      <c r="A10180" s="2">
        <v>43880.74931712963</v>
      </c>
      <c r="B10180" t="str">
        <f>HYPERLINK("https://twitter.com/ov0malttine","@ov0malttine")</f>
        <v>@ov0malttine</v>
      </c>
      <c r="C10180" t="s">
        <v>2467</v>
      </c>
      <c r="D10180">
        <v>627</v>
      </c>
      <c r="E10180">
        <v>0</v>
      </c>
      <c r="F10180">
        <v>103</v>
      </c>
    </row>
    <row r="10181" spans="1:6" ht="12.75">
      <c r="A10181" s="2">
        <v>43880.74931712963</v>
      </c>
      <c r="B10181" t="str">
        <f>HYPERLINK("https://twitter.com/akangyogurt721","@akangyogurt721")</f>
        <v>@akangyogurt721</v>
      </c>
      <c r="C10181" t="s">
        <v>1407</v>
      </c>
      <c r="D10181">
        <v>6752</v>
      </c>
      <c r="E10181">
        <v>0</v>
      </c>
      <c r="F10181">
        <v>529</v>
      </c>
    </row>
    <row r="10182" spans="1:6" ht="12.75">
      <c r="A10182" s="2">
        <v>43880.749293981484</v>
      </c>
      <c r="B10182" t="str">
        <f>HYPERLINK("https://twitter.com/eojjeodaboni_","@eojjeodaboni_")</f>
        <v>@eojjeodaboni_</v>
      </c>
      <c r="C10182" t="s">
        <v>2692</v>
      </c>
      <c r="D10182">
        <v>1104</v>
      </c>
      <c r="E10182">
        <v>0</v>
      </c>
      <c r="F10182">
        <v>1176</v>
      </c>
    </row>
    <row r="10183" spans="1:6" ht="12.75">
      <c r="A10183" s="2">
        <v>43880.74927083333</v>
      </c>
      <c r="B10183" t="str">
        <f>HYPERLINK("https://twitter.com/jigongnagaa","@jigongnagaa")</f>
        <v>@jigongnagaa</v>
      </c>
      <c r="C10183" t="s">
        <v>1407</v>
      </c>
      <c r="D10183">
        <v>6752</v>
      </c>
      <c r="E10183">
        <v>0</v>
      </c>
      <c r="F10183">
        <v>1145</v>
      </c>
    </row>
    <row r="10184" spans="1:6" ht="12.75">
      <c r="A10184" s="2">
        <v>43880.749259259261</v>
      </c>
      <c r="B10184" t="str">
        <f>HYPERLINK("https://twitter.com/KadrunEdan","@KadrunEdan")</f>
        <v>@KadrunEdan</v>
      </c>
      <c r="C10184" t="s">
        <v>5957</v>
      </c>
      <c r="D10184">
        <v>0</v>
      </c>
      <c r="E10184">
        <v>1</v>
      </c>
      <c r="F10184">
        <v>1720</v>
      </c>
    </row>
    <row r="10185" spans="1:6" ht="12.75">
      <c r="A10185" s="2">
        <v>43880.749131944445</v>
      </c>
      <c r="B10185" t="str">
        <f>HYPERLINK("https://twitter.com/dildeeel","@dildeeel")</f>
        <v>@dildeeel</v>
      </c>
      <c r="C10185" t="s">
        <v>1407</v>
      </c>
      <c r="D10185">
        <v>6752</v>
      </c>
      <c r="E10185">
        <v>0</v>
      </c>
      <c r="F10185">
        <v>299</v>
      </c>
    </row>
    <row r="10186" spans="1:6" ht="12.75">
      <c r="A10186" s="2">
        <v>43880.749108796299</v>
      </c>
      <c r="B10186" t="str">
        <f>HYPERLINK("https://twitter.com/afhhilman","@afhhilman")</f>
        <v>@afhhilman</v>
      </c>
      <c r="C10186" t="s">
        <v>1407</v>
      </c>
      <c r="D10186">
        <v>6752</v>
      </c>
      <c r="E10186">
        <v>0</v>
      </c>
      <c r="F10186">
        <v>269</v>
      </c>
    </row>
    <row r="10187" spans="1:6" ht="12.75">
      <c r="A10187" s="2">
        <v>43880.749097222222</v>
      </c>
      <c r="B10187" t="str">
        <f>HYPERLINK("https://twitter.com/geloraco","@geloraco")</f>
        <v>@geloraco</v>
      </c>
      <c r="C10187" t="s">
        <v>5958</v>
      </c>
      <c r="D10187">
        <v>1</v>
      </c>
      <c r="E10187">
        <v>1</v>
      </c>
      <c r="F10187">
        <v>100735</v>
      </c>
    </row>
    <row r="10188" spans="1:6" ht="12.75">
      <c r="A10188" s="2">
        <v>43880.749085648145</v>
      </c>
      <c r="B10188" t="str">
        <f>HYPERLINK("https://twitter.com/sadpootat00","@sadpootat00")</f>
        <v>@sadpootat00</v>
      </c>
      <c r="C10188" t="s">
        <v>1407</v>
      </c>
      <c r="D10188">
        <v>6752</v>
      </c>
      <c r="E10188">
        <v>0</v>
      </c>
      <c r="F10188">
        <v>173</v>
      </c>
    </row>
    <row r="10189" spans="1:6" ht="12.75">
      <c r="A10189" s="2">
        <v>43880.749039351853</v>
      </c>
      <c r="B10189" t="str">
        <f>HYPERLINK("https://twitter.com/KimStarkkk","@KimStarkkk")</f>
        <v>@KimStarkkk</v>
      </c>
      <c r="C10189" t="s">
        <v>1407</v>
      </c>
      <c r="D10189">
        <v>6752</v>
      </c>
      <c r="E10189">
        <v>0</v>
      </c>
      <c r="F10189">
        <v>231</v>
      </c>
    </row>
    <row r="10190" spans="1:6" ht="12.75">
      <c r="A10190" s="2">
        <v>43880.749027777776</v>
      </c>
      <c r="B10190" t="str">
        <f>HYPERLINK("https://twitter.com/wiwigaga_","@wiwigaga_")</f>
        <v>@wiwigaga_</v>
      </c>
      <c r="C10190" t="s">
        <v>2692</v>
      </c>
      <c r="D10190">
        <v>1104</v>
      </c>
      <c r="E10190">
        <v>0</v>
      </c>
      <c r="F10190">
        <v>650</v>
      </c>
    </row>
    <row r="10191" spans="1:6" ht="12.75">
      <c r="A10191" s="2">
        <v>43880.74894675926</v>
      </c>
      <c r="B10191" t="str">
        <f>HYPERLINK("https://twitter.com/drmalcaa","@drmalcaa")</f>
        <v>@drmalcaa</v>
      </c>
      <c r="C10191" t="s">
        <v>1407</v>
      </c>
      <c r="D10191">
        <v>6752</v>
      </c>
      <c r="E10191">
        <v>0</v>
      </c>
      <c r="F10191">
        <v>810</v>
      </c>
    </row>
    <row r="10192" spans="1:6" ht="12.75">
      <c r="A10192" s="2">
        <v>43880.748877314814</v>
      </c>
      <c r="B10192" t="str">
        <f>HYPERLINK("https://twitter.com/tehpucuke","@tehpucuke")</f>
        <v>@tehpucuke</v>
      </c>
      <c r="C10192" t="s">
        <v>1407</v>
      </c>
      <c r="D10192">
        <v>6752</v>
      </c>
      <c r="E10192">
        <v>0</v>
      </c>
      <c r="F10192">
        <v>608</v>
      </c>
    </row>
    <row r="10193" spans="1:6" ht="12.75">
      <c r="A10193" s="2">
        <v>43880.748842592591</v>
      </c>
      <c r="B10193" t="str">
        <f>HYPERLINK("https://twitter.com/GeniusLabSweet","@GeniusLabSweet")</f>
        <v>@GeniusLabSweet</v>
      </c>
      <c r="C10193" t="s">
        <v>1407</v>
      </c>
      <c r="D10193">
        <v>6752</v>
      </c>
      <c r="E10193">
        <v>0</v>
      </c>
      <c r="F10193">
        <v>484</v>
      </c>
    </row>
    <row r="10194" spans="1:6" ht="12.75">
      <c r="A10194" s="2">
        <v>43880.748599537037</v>
      </c>
      <c r="B10194" t="str">
        <f>HYPERLINK("https://twitter.com/ariadinal203","@ariadinal203")</f>
        <v>@ariadinal203</v>
      </c>
      <c r="C10194" t="s">
        <v>1407</v>
      </c>
      <c r="D10194">
        <v>6752</v>
      </c>
      <c r="E10194">
        <v>0</v>
      </c>
      <c r="F10194">
        <v>190</v>
      </c>
    </row>
    <row r="10195" spans="1:6" ht="12.75">
      <c r="A10195" s="2">
        <v>43880.748576388884</v>
      </c>
      <c r="B10195" t="str">
        <f>HYPERLINK("https://twitter.com/Defitrirmdhnt","@Defitrirmdhnt")</f>
        <v>@Defitrirmdhnt</v>
      </c>
      <c r="C10195" t="s">
        <v>4415</v>
      </c>
      <c r="D10195">
        <v>118</v>
      </c>
      <c r="E10195">
        <v>0</v>
      </c>
      <c r="F10195">
        <v>151</v>
      </c>
    </row>
    <row r="10196" spans="1:6" ht="12.75">
      <c r="A10196" s="2">
        <v>43880.748541666668</v>
      </c>
      <c r="B10196" t="str">
        <f>HYPERLINK("https://twitter.com/bernicha","@bernicha")</f>
        <v>@bernicha</v>
      </c>
      <c r="C10196" t="s">
        <v>3278</v>
      </c>
      <c r="D10196">
        <v>11</v>
      </c>
      <c r="E10196">
        <v>0</v>
      </c>
      <c r="F10196">
        <v>736</v>
      </c>
    </row>
    <row r="10197" spans="1:6" ht="12.75">
      <c r="A10197" s="2">
        <v>43880.748495370368</v>
      </c>
      <c r="B10197" t="str">
        <f>HYPERLINK("https://twitter.com/Fqhrma","@Fqhrma")</f>
        <v>@Fqhrma</v>
      </c>
      <c r="C10197" t="s">
        <v>1407</v>
      </c>
      <c r="D10197">
        <v>6752</v>
      </c>
      <c r="E10197">
        <v>0</v>
      </c>
      <c r="F10197">
        <v>1108</v>
      </c>
    </row>
    <row r="10198" spans="1:6" ht="12.75">
      <c r="A10198" s="2">
        <v>43880.748437499999</v>
      </c>
      <c r="B10198" t="str">
        <f>HYPERLINK("https://twitter.com/akangyogurt721","@akangyogurt721")</f>
        <v>@akangyogurt721</v>
      </c>
      <c r="C10198" t="s">
        <v>2692</v>
      </c>
      <c r="D10198">
        <v>1104</v>
      </c>
      <c r="E10198">
        <v>0</v>
      </c>
      <c r="F10198">
        <v>529</v>
      </c>
    </row>
    <row r="10199" spans="1:6" ht="12.75">
      <c r="A10199" s="2">
        <v>43880.748402777783</v>
      </c>
      <c r="B10199" t="str">
        <f>HYPERLINK("https://twitter.com/isdclose","@isdclose")</f>
        <v>@isdclose</v>
      </c>
      <c r="C10199" t="s">
        <v>5959</v>
      </c>
      <c r="D10199">
        <v>0</v>
      </c>
      <c r="E10199">
        <v>0</v>
      </c>
      <c r="F10199">
        <v>3</v>
      </c>
    </row>
    <row r="10200" spans="1:6" ht="12.75">
      <c r="A10200" s="2">
        <v>43880.748298611114</v>
      </c>
      <c r="B10200" t="str">
        <f>HYPERLINK("https://twitter.com/yohankrab","@yohankrab")</f>
        <v>@yohankrab</v>
      </c>
      <c r="C10200" t="s">
        <v>1407</v>
      </c>
      <c r="D10200">
        <v>6752</v>
      </c>
      <c r="E10200">
        <v>0</v>
      </c>
      <c r="F10200">
        <v>492</v>
      </c>
    </row>
    <row r="10201" spans="1:6" ht="12.75">
      <c r="A10201" s="2">
        <v>43880.748252314814</v>
      </c>
      <c r="B10201" t="str">
        <f>HYPERLINK("https://twitter.com/ISIS_Balik_NO","@ISIS_Balik_NO")</f>
        <v>@ISIS_Balik_NO</v>
      </c>
      <c r="C10201" t="s">
        <v>5960</v>
      </c>
      <c r="D10201">
        <v>0</v>
      </c>
      <c r="E10201">
        <v>1</v>
      </c>
      <c r="F10201">
        <v>6064</v>
      </c>
    </row>
    <row r="10202" spans="1:6" ht="12.75">
      <c r="A10202" s="2">
        <v>43880.748148148152</v>
      </c>
      <c r="B10202" t="str">
        <f>HYPERLINK("https://twitter.com/nadiacho95","@nadiacho95")</f>
        <v>@nadiacho95</v>
      </c>
      <c r="C10202" t="s">
        <v>5464</v>
      </c>
      <c r="D10202">
        <v>1</v>
      </c>
      <c r="E10202">
        <v>0</v>
      </c>
      <c r="F10202">
        <v>1473</v>
      </c>
    </row>
    <row r="10203" spans="1:6" ht="12.75">
      <c r="A10203" s="2">
        <v>43880.748124999998</v>
      </c>
      <c r="B10203" t="str">
        <f>HYPERLINK("https://twitter.com/apwssi","@apwssi")</f>
        <v>@apwssi</v>
      </c>
      <c r="C10203" t="s">
        <v>1407</v>
      </c>
      <c r="D10203">
        <v>6752</v>
      </c>
      <c r="E10203">
        <v>0</v>
      </c>
      <c r="F10203">
        <v>371</v>
      </c>
    </row>
    <row r="10204" spans="1:6" ht="12.75">
      <c r="A10204" s="2">
        <v>43880.748090277775</v>
      </c>
      <c r="B10204" t="str">
        <f>HYPERLINK("https://twitter.com/Ofscnti","@Ofscnti")</f>
        <v>@Ofscnti</v>
      </c>
      <c r="C10204" t="s">
        <v>1407</v>
      </c>
      <c r="D10204">
        <v>6752</v>
      </c>
      <c r="E10204">
        <v>0</v>
      </c>
      <c r="F10204">
        <v>875</v>
      </c>
    </row>
    <row r="10205" spans="1:6" ht="12.75">
      <c r="A10205" s="2">
        <v>43880.748055555552</v>
      </c>
      <c r="B10205" t="str">
        <f>HYPERLINK("https://twitter.com/adinmaulida","@adinmaulida")</f>
        <v>@adinmaulida</v>
      </c>
      <c r="C10205" t="s">
        <v>1407</v>
      </c>
      <c r="D10205">
        <v>6752</v>
      </c>
      <c r="E10205">
        <v>0</v>
      </c>
      <c r="F10205">
        <v>1003</v>
      </c>
    </row>
    <row r="10206" spans="1:6" ht="12.75">
      <c r="A10206" s="2">
        <v>43880.748032407406</v>
      </c>
      <c r="B10206" t="str">
        <f>HYPERLINK("https://twitter.com/redbeen31","@redbeen31")</f>
        <v>@redbeen31</v>
      </c>
      <c r="C10206" t="s">
        <v>1407</v>
      </c>
      <c r="D10206">
        <v>6752</v>
      </c>
      <c r="E10206">
        <v>0</v>
      </c>
      <c r="F10206">
        <v>49</v>
      </c>
    </row>
    <row r="10207" spans="1:6" ht="12.75">
      <c r="A10207" s="2">
        <v>43880.748020833329</v>
      </c>
      <c r="B10207" t="str">
        <f>HYPERLINK("https://twitter.com/ilhamakbarsoe","@ilhamakbarsoe")</f>
        <v>@ilhamakbarsoe</v>
      </c>
      <c r="C10207" t="s">
        <v>1407</v>
      </c>
      <c r="D10207">
        <v>6752</v>
      </c>
      <c r="E10207">
        <v>0</v>
      </c>
      <c r="F10207">
        <v>531</v>
      </c>
    </row>
    <row r="10208" spans="1:6" ht="12.75">
      <c r="A10208" s="2">
        <v>43880.74800925926</v>
      </c>
      <c r="B10208" t="str">
        <f>HYPERLINK("https://twitter.com/jaeminproperty","@jaeminproperty")</f>
        <v>@jaeminproperty</v>
      </c>
      <c r="C10208" t="s">
        <v>1407</v>
      </c>
      <c r="D10208">
        <v>6752</v>
      </c>
      <c r="E10208">
        <v>0</v>
      </c>
      <c r="F10208">
        <v>10074</v>
      </c>
    </row>
    <row r="10209" spans="1:6" ht="12.75">
      <c r="A10209" s="2">
        <v>43880.74799768519</v>
      </c>
      <c r="B10209" t="str">
        <f>HYPERLINK("https://twitter.com/stardustcarat","@stardustcarat")</f>
        <v>@stardustcarat</v>
      </c>
      <c r="C10209" t="s">
        <v>1407</v>
      </c>
      <c r="D10209">
        <v>6752</v>
      </c>
      <c r="E10209">
        <v>0</v>
      </c>
      <c r="F10209">
        <v>110</v>
      </c>
    </row>
    <row r="10210" spans="1:6" ht="12.75">
      <c r="A10210" s="2">
        <v>43880.747916666667</v>
      </c>
      <c r="B10210" t="str">
        <f>HYPERLINK("https://twitter.com/ImdadAzizy","@ImdadAzizy")</f>
        <v>@ImdadAzizy</v>
      </c>
      <c r="C10210" t="s">
        <v>4415</v>
      </c>
      <c r="D10210">
        <v>118</v>
      </c>
      <c r="E10210">
        <v>0</v>
      </c>
      <c r="F10210">
        <v>1268</v>
      </c>
    </row>
    <row r="10211" spans="1:6" ht="12.75">
      <c r="A10211" s="2">
        <v>43880.747812500005</v>
      </c>
      <c r="B10211" t="str">
        <f>HYPERLINK("https://twitter.com/nismafz","@nismafz")</f>
        <v>@nismafz</v>
      </c>
      <c r="C10211" t="s">
        <v>1407</v>
      </c>
      <c r="D10211">
        <v>6752</v>
      </c>
      <c r="E10211">
        <v>0</v>
      </c>
      <c r="F10211">
        <v>701</v>
      </c>
    </row>
    <row r="10212" spans="1:6" ht="12.75">
      <c r="A10212" s="2">
        <v>43880.747789351852</v>
      </c>
      <c r="B10212" t="str">
        <f>HYPERLINK("https://twitter.com/echanuwuu","@echanuwuu")</f>
        <v>@echanuwuu</v>
      </c>
      <c r="C10212" t="s">
        <v>1407</v>
      </c>
      <c r="D10212">
        <v>6752</v>
      </c>
      <c r="E10212">
        <v>0</v>
      </c>
      <c r="F10212">
        <v>118</v>
      </c>
    </row>
    <row r="10213" spans="1:6" ht="12.75">
      <c r="A10213" s="2">
        <v>43880.747754629629</v>
      </c>
      <c r="B10213" t="str">
        <f>HYPERLINK("https://twitter.com/erinanfitri","@erinanfitri")</f>
        <v>@erinanfitri</v>
      </c>
      <c r="C10213" t="s">
        <v>1407</v>
      </c>
      <c r="D10213">
        <v>6752</v>
      </c>
      <c r="E10213">
        <v>0</v>
      </c>
      <c r="F10213">
        <v>319</v>
      </c>
    </row>
    <row r="10214" spans="1:6" ht="12.75">
      <c r="A10214" s="2">
        <v>43880.747708333336</v>
      </c>
      <c r="B10214" t="str">
        <f>HYPERLINK("https://twitter.com/jahejaehyunnie","@jahejaehyunnie")</f>
        <v>@jahejaehyunnie</v>
      </c>
      <c r="C10214" t="s">
        <v>1407</v>
      </c>
      <c r="D10214">
        <v>6752</v>
      </c>
      <c r="E10214">
        <v>0</v>
      </c>
      <c r="F10214">
        <v>352</v>
      </c>
    </row>
    <row r="10215" spans="1:6" ht="12.75">
      <c r="A10215" s="2">
        <v>43880.747615740736</v>
      </c>
      <c r="B10215" t="str">
        <f>HYPERLINK("https://twitter.com/ryan5354saputra","@ryan5354saputra")</f>
        <v>@ryan5354saputra</v>
      </c>
      <c r="C10215" t="s">
        <v>5203</v>
      </c>
      <c r="D10215">
        <v>64</v>
      </c>
      <c r="E10215">
        <v>0</v>
      </c>
      <c r="F10215">
        <v>4</v>
      </c>
    </row>
    <row r="10216" spans="1:6" ht="12.75">
      <c r="A10216" s="2">
        <v>43880.747592592597</v>
      </c>
      <c r="B10216" t="str">
        <f>HYPERLINK("https://twitter.com/HeyneVika","@HeyneVika")</f>
        <v>@HeyneVika</v>
      </c>
      <c r="C10216" t="s">
        <v>1407</v>
      </c>
      <c r="D10216">
        <v>6752</v>
      </c>
      <c r="E10216">
        <v>0</v>
      </c>
      <c r="F10216">
        <v>614</v>
      </c>
    </row>
    <row r="10217" spans="1:6" ht="12.75">
      <c r="A10217" s="2">
        <v>43880.747581018513</v>
      </c>
      <c r="B10217" t="str">
        <f>HYPERLINK("https://twitter.com/acstroboy","@acstroboy")</f>
        <v>@acstroboy</v>
      </c>
      <c r="C10217" t="s">
        <v>1407</v>
      </c>
      <c r="D10217">
        <v>6752</v>
      </c>
      <c r="E10217">
        <v>0</v>
      </c>
      <c r="F10217">
        <v>626</v>
      </c>
    </row>
    <row r="10218" spans="1:6" ht="12.75">
      <c r="A10218" s="2">
        <v>43880.747557870374</v>
      </c>
      <c r="B10218" t="str">
        <f>HYPERLINK("https://twitter.com/thisisnotandin","@thisisnotandin")</f>
        <v>@thisisnotandin</v>
      </c>
      <c r="C10218" t="s">
        <v>2509</v>
      </c>
      <c r="D10218">
        <v>91</v>
      </c>
      <c r="E10218">
        <v>0</v>
      </c>
      <c r="F10218">
        <v>4</v>
      </c>
    </row>
    <row r="10219" spans="1:6" ht="12.75">
      <c r="A10219" s="2">
        <v>43880.747546296298</v>
      </c>
      <c r="B10219" t="str">
        <f>HYPERLINK("https://twitter.com/Bambig1rl","@Bambig1rl")</f>
        <v>@Bambig1rl</v>
      </c>
      <c r="C10219" t="s">
        <v>2692</v>
      </c>
      <c r="D10219">
        <v>1104</v>
      </c>
      <c r="E10219">
        <v>0</v>
      </c>
      <c r="F10219">
        <v>480</v>
      </c>
    </row>
    <row r="10220" spans="1:6" ht="12.75">
      <c r="A10220" s="2">
        <v>43880.747534722221</v>
      </c>
      <c r="B10220" t="str">
        <f>HYPERLINK("https://twitter.com/goldendreamyn99","@goldendreamyn99")</f>
        <v>@goldendreamyn99</v>
      </c>
      <c r="C10220" t="s">
        <v>1407</v>
      </c>
      <c r="D10220">
        <v>6752</v>
      </c>
      <c r="E10220">
        <v>0</v>
      </c>
      <c r="F10220">
        <v>335</v>
      </c>
    </row>
    <row r="10221" spans="1:6" ht="12.75">
      <c r="A10221" s="2">
        <v>43880.747442129628</v>
      </c>
      <c r="B10221" t="str">
        <f>HYPERLINK("https://twitter.com/fallingforyoun","@fallingforyoun")</f>
        <v>@fallingforyoun</v>
      </c>
      <c r="C10221" t="s">
        <v>1407</v>
      </c>
      <c r="D10221">
        <v>6752</v>
      </c>
      <c r="E10221">
        <v>0</v>
      </c>
      <c r="F10221">
        <v>329</v>
      </c>
    </row>
    <row r="10222" spans="1:6" ht="12.75">
      <c r="A10222" s="2">
        <v>43880.70988425926</v>
      </c>
      <c r="B10222" t="str">
        <f>HYPERLINK("https://twitter.com/ilylysm","@ilylysm")</f>
        <v>@ilylysm</v>
      </c>
      <c r="C10222" t="s">
        <v>1407</v>
      </c>
      <c r="D10222">
        <v>6146</v>
      </c>
      <c r="E10222">
        <v>0</v>
      </c>
      <c r="F10222">
        <v>480</v>
      </c>
    </row>
    <row r="10223" spans="1:6" ht="12.75">
      <c r="A10223" s="2">
        <v>43880.709861111114</v>
      </c>
      <c r="B10223" t="str">
        <f>HYPERLINK("https://twitter.com/ryeongvi9","@ryeongvi9")</f>
        <v>@ryeongvi9</v>
      </c>
      <c r="C10223" t="s">
        <v>1407</v>
      </c>
      <c r="D10223">
        <v>6146</v>
      </c>
      <c r="E10223">
        <v>0</v>
      </c>
      <c r="F10223">
        <v>1017</v>
      </c>
    </row>
    <row r="10224" spans="1:6" ht="12.75">
      <c r="A10224" s="2">
        <v>43880.709837962961</v>
      </c>
      <c r="B10224" t="str">
        <f>HYPERLINK("https://twitter.com/BeneranIniRiian","@BeneranIniRiian")</f>
        <v>@BeneranIniRiian</v>
      </c>
      <c r="C10224" t="s">
        <v>1407</v>
      </c>
      <c r="D10224">
        <v>6146</v>
      </c>
      <c r="E10224">
        <v>0</v>
      </c>
      <c r="F10224">
        <v>15</v>
      </c>
    </row>
    <row r="10225" spans="1:6" ht="12.75">
      <c r="A10225" s="2">
        <v>43880.709837962961</v>
      </c>
      <c r="B10225" t="str">
        <f>HYPERLINK("https://twitter.com/haetnimah","@haetnimah")</f>
        <v>@haetnimah</v>
      </c>
      <c r="C10225" t="s">
        <v>1407</v>
      </c>
      <c r="D10225">
        <v>6146</v>
      </c>
      <c r="E10225">
        <v>0</v>
      </c>
      <c r="F10225">
        <v>9</v>
      </c>
    </row>
    <row r="10226" spans="1:6" ht="12.75">
      <c r="A10226" s="2">
        <v>43880.709814814814</v>
      </c>
      <c r="B10226" t="str">
        <f>HYPERLINK("https://twitter.com/dynlrsss","@dynlrsss")</f>
        <v>@dynlrsss</v>
      </c>
      <c r="C10226" t="s">
        <v>1407</v>
      </c>
      <c r="D10226">
        <v>6146</v>
      </c>
      <c r="E10226">
        <v>0</v>
      </c>
      <c r="F10226">
        <v>574</v>
      </c>
    </row>
    <row r="10227" spans="1:6" ht="12.75">
      <c r="A10227" s="2">
        <v>43880.709791666668</v>
      </c>
      <c r="B10227" t="str">
        <f>HYPERLINK("https://twitter.com/tubivr","@tubivr")</f>
        <v>@tubivr</v>
      </c>
      <c r="C10227" t="s">
        <v>1407</v>
      </c>
      <c r="D10227">
        <v>6146</v>
      </c>
      <c r="E10227">
        <v>0</v>
      </c>
      <c r="F10227">
        <v>745</v>
      </c>
    </row>
    <row r="10228" spans="1:6" ht="12.75">
      <c r="A10228" s="2">
        <v>43880.709756944445</v>
      </c>
      <c r="B10228" t="str">
        <f>HYPERLINK("https://twitter.com/HenkMizell","@HenkMizell")</f>
        <v>@HenkMizell</v>
      </c>
      <c r="C10228" t="s">
        <v>5961</v>
      </c>
      <c r="D10228">
        <v>0</v>
      </c>
      <c r="E10228">
        <v>0</v>
      </c>
      <c r="F10228">
        <v>21</v>
      </c>
    </row>
    <row r="10229" spans="1:6" ht="12.75">
      <c r="A10229" s="2">
        <v>43880.709641203706</v>
      </c>
      <c r="B10229" t="str">
        <f>HYPERLINK("https://twitter.com/sueweetisz","@sueweetisz")</f>
        <v>@sueweetisz</v>
      </c>
      <c r="C10229" t="s">
        <v>1407</v>
      </c>
      <c r="D10229">
        <v>6146</v>
      </c>
      <c r="E10229">
        <v>0</v>
      </c>
      <c r="F10229">
        <v>246</v>
      </c>
    </row>
    <row r="10230" spans="1:6" ht="12.75">
      <c r="A10230" s="2">
        <v>43880.709629629629</v>
      </c>
      <c r="B10230" t="str">
        <f>HYPERLINK("https://twitter.com/morethanyouth29","@morethanyouth29")</f>
        <v>@morethanyouth29</v>
      </c>
      <c r="C10230" t="s">
        <v>1407</v>
      </c>
      <c r="D10230">
        <v>6146</v>
      </c>
      <c r="E10230">
        <v>0</v>
      </c>
      <c r="F10230">
        <v>100</v>
      </c>
    </row>
    <row r="10231" spans="1:6" ht="12.75">
      <c r="A10231" s="2">
        <v>43880.709629629629</v>
      </c>
      <c r="B10231" t="str">
        <f t="shared" ref="B10231:B10232" si="186">HYPERLINK("https://twitter.com/purrbb","@purrbb")</f>
        <v>@purrbb</v>
      </c>
      <c r="C10231" t="s">
        <v>2183</v>
      </c>
      <c r="D10231">
        <v>179</v>
      </c>
      <c r="E10231">
        <v>0</v>
      </c>
      <c r="F10231">
        <v>1449</v>
      </c>
    </row>
    <row r="10232" spans="1:6" ht="12.75">
      <c r="A10232" s="2">
        <v>43880.70957175926</v>
      </c>
      <c r="B10232" t="str">
        <f t="shared" si="186"/>
        <v>@purrbb</v>
      </c>
      <c r="C10232" t="s">
        <v>2467</v>
      </c>
      <c r="D10232">
        <v>558</v>
      </c>
      <c r="E10232">
        <v>0</v>
      </c>
      <c r="F10232">
        <v>1449</v>
      </c>
    </row>
    <row r="10233" spans="1:6" ht="12.75">
      <c r="A10233" s="2">
        <v>43880.709479166668</v>
      </c>
      <c r="B10233" t="str">
        <f>HYPERLINK("https://twitter.com/rustandi821","@rustandi821")</f>
        <v>@rustandi821</v>
      </c>
      <c r="C10233" t="s">
        <v>175</v>
      </c>
      <c r="D10233">
        <v>5400</v>
      </c>
      <c r="E10233">
        <v>0</v>
      </c>
      <c r="F10233">
        <v>4</v>
      </c>
    </row>
    <row r="10234" spans="1:6" ht="12.75">
      <c r="A10234" s="2">
        <v>43880.709444444445</v>
      </c>
      <c r="B10234" t="str">
        <f>HYPERLINK("https://twitter.com/uridearmoon","@uridearmoon")</f>
        <v>@uridearmoon</v>
      </c>
      <c r="C10234" t="s">
        <v>1407</v>
      </c>
      <c r="D10234">
        <v>6146</v>
      </c>
      <c r="E10234">
        <v>0</v>
      </c>
      <c r="F10234">
        <v>2481</v>
      </c>
    </row>
    <row r="10235" spans="1:6" ht="12.75">
      <c r="A10235" s="2">
        <v>43880.709432870368</v>
      </c>
      <c r="B10235" t="str">
        <f>HYPERLINK("https://twitter.com/ucoeppp","@ucoeppp")</f>
        <v>@ucoeppp</v>
      </c>
      <c r="C10235" t="s">
        <v>5962</v>
      </c>
      <c r="D10235">
        <v>0</v>
      </c>
      <c r="E10235">
        <v>0</v>
      </c>
      <c r="F10235">
        <v>82</v>
      </c>
    </row>
    <row r="10236" spans="1:6" ht="12.75">
      <c r="A10236" s="2">
        <v>43880.709374999999</v>
      </c>
      <c r="B10236" t="str">
        <f>HYPERLINK("https://twitter.com/andiniverse","@andiniverse")</f>
        <v>@andiniverse</v>
      </c>
      <c r="C10236" t="s">
        <v>1407</v>
      </c>
      <c r="D10236">
        <v>6146</v>
      </c>
      <c r="E10236">
        <v>0</v>
      </c>
      <c r="F10236">
        <v>197</v>
      </c>
    </row>
    <row r="10237" spans="1:6" ht="12.75">
      <c r="A10237" s="2">
        <v>43880.70930555556</v>
      </c>
      <c r="B10237" t="str">
        <f>HYPERLINK("https://twitter.com/peminumaer","@peminumaer")</f>
        <v>@peminumaer</v>
      </c>
      <c r="C10237" t="s">
        <v>1407</v>
      </c>
      <c r="D10237">
        <v>6146</v>
      </c>
      <c r="E10237">
        <v>0</v>
      </c>
      <c r="F10237">
        <v>869</v>
      </c>
    </row>
    <row r="10238" spans="1:6" ht="12.75">
      <c r="A10238" s="2">
        <v>43880.709224537037</v>
      </c>
      <c r="B10238" t="str">
        <f>HYPERLINK("https://twitter.com/purrbb","@purrbb")</f>
        <v>@purrbb</v>
      </c>
      <c r="C10238" t="s">
        <v>1407</v>
      </c>
      <c r="D10238">
        <v>6146</v>
      </c>
      <c r="E10238">
        <v>0</v>
      </c>
      <c r="F10238">
        <v>1449</v>
      </c>
    </row>
    <row r="10239" spans="1:6" ht="12.75">
      <c r="A10239" s="2">
        <v>43880.709074074075</v>
      </c>
      <c r="B10239" t="str">
        <f>HYPERLINK("https://twitter.com/kompascom","@kompascom")</f>
        <v>@kompascom</v>
      </c>
      <c r="C10239" t="s">
        <v>5963</v>
      </c>
      <c r="D10239">
        <v>0</v>
      </c>
      <c r="E10239">
        <v>0</v>
      </c>
      <c r="F10239">
        <v>7503851</v>
      </c>
    </row>
    <row r="10240" spans="1:6" ht="12.75">
      <c r="A10240" s="2">
        <v>43880.708969907406</v>
      </c>
      <c r="B10240" t="str">
        <f>HYPERLINK("https://twitter.com/bunanyahaechan","@bunanyahaechan")</f>
        <v>@bunanyahaechan</v>
      </c>
      <c r="C10240" t="s">
        <v>1407</v>
      </c>
      <c r="D10240">
        <v>6146</v>
      </c>
      <c r="E10240">
        <v>0</v>
      </c>
      <c r="F10240">
        <v>134</v>
      </c>
    </row>
    <row r="10241" spans="1:6" ht="12.75">
      <c r="A10241" s="2">
        <v>43880.708796296298</v>
      </c>
      <c r="B10241" t="str">
        <f>HYPERLINK("https://twitter.com/JACKSSUNI","@JACKSSUNI")</f>
        <v>@JACKSSUNI</v>
      </c>
      <c r="C10241" t="s">
        <v>1407</v>
      </c>
      <c r="D10241">
        <v>6146</v>
      </c>
      <c r="E10241">
        <v>0</v>
      </c>
      <c r="F10241">
        <v>248</v>
      </c>
    </row>
    <row r="10242" spans="1:6" ht="12.75">
      <c r="A10242" s="2">
        <v>43880.708750000005</v>
      </c>
      <c r="B10242" t="str">
        <f>HYPERLINK("https://twitter.com/kattberriees","@kattberriees")</f>
        <v>@kattberriees</v>
      </c>
      <c r="C10242" t="s">
        <v>513</v>
      </c>
      <c r="D10242">
        <v>23156</v>
      </c>
      <c r="E10242">
        <v>0</v>
      </c>
      <c r="F10242">
        <v>1602</v>
      </c>
    </row>
    <row r="10243" spans="1:6" ht="12.75">
      <c r="A10243" s="2">
        <v>43880.708715277782</v>
      </c>
      <c r="B10243" t="str">
        <f>HYPERLINK("https://twitter.com/seungyongssi","@seungyongssi")</f>
        <v>@seungyongssi</v>
      </c>
      <c r="C10243" t="s">
        <v>1407</v>
      </c>
      <c r="D10243">
        <v>6146</v>
      </c>
      <c r="E10243">
        <v>0</v>
      </c>
      <c r="F10243">
        <v>566</v>
      </c>
    </row>
    <row r="10244" spans="1:6" ht="12.75">
      <c r="A10244" s="2">
        <v>43880.708680555559</v>
      </c>
      <c r="B10244" t="str">
        <f>HYPERLINK("https://twitter.com/AyummaTanaka","@AyummaTanaka")</f>
        <v>@AyummaTanaka</v>
      </c>
      <c r="C10244" t="s">
        <v>2161</v>
      </c>
      <c r="D10244">
        <v>0</v>
      </c>
      <c r="E10244">
        <v>0</v>
      </c>
      <c r="F10244">
        <v>1097</v>
      </c>
    </row>
    <row r="10245" spans="1:6" ht="12.75">
      <c r="A10245" s="2">
        <v>43880.708657407406</v>
      </c>
      <c r="B10245" t="str">
        <f>HYPERLINK("https://twitter.com/laksanass","@laksanass")</f>
        <v>@laksanass</v>
      </c>
      <c r="C10245" t="s">
        <v>2692</v>
      </c>
      <c r="D10245">
        <v>974</v>
      </c>
      <c r="E10245">
        <v>0</v>
      </c>
      <c r="F10245">
        <v>148</v>
      </c>
    </row>
    <row r="10246" spans="1:6" ht="12.75">
      <c r="A10246" s="2">
        <v>43880.708622685182</v>
      </c>
      <c r="B10246" t="str">
        <f>HYPERLINK("https://twitter.com/fiqihalfrsi","@fiqihalfrsi")</f>
        <v>@fiqihalfrsi</v>
      </c>
      <c r="C10246" t="s">
        <v>1407</v>
      </c>
      <c r="D10246">
        <v>6146</v>
      </c>
      <c r="E10246">
        <v>0</v>
      </c>
      <c r="F10246">
        <v>395</v>
      </c>
    </row>
    <row r="10247" spans="1:6" ht="12.75">
      <c r="A10247" s="2">
        <v>43880.708564814813</v>
      </c>
      <c r="B10247" t="str">
        <f>HYPERLINK("https://twitter.com/sekantongpermen","@sekantongpermen")</f>
        <v>@sekantongpermen</v>
      </c>
      <c r="C10247" t="s">
        <v>1407</v>
      </c>
      <c r="D10247">
        <v>6146</v>
      </c>
      <c r="E10247">
        <v>0</v>
      </c>
      <c r="F10247">
        <v>45</v>
      </c>
    </row>
    <row r="10248" spans="1:6" ht="12.75">
      <c r="A10248" s="2">
        <v>43880.708530092597</v>
      </c>
      <c r="B10248" t="str">
        <f>HYPERLINK("https://twitter.com/hyuncay","@hyuncay")</f>
        <v>@hyuncay</v>
      </c>
      <c r="C10248" t="s">
        <v>1407</v>
      </c>
      <c r="D10248">
        <v>6146</v>
      </c>
      <c r="E10248">
        <v>0</v>
      </c>
      <c r="F10248">
        <v>2056</v>
      </c>
    </row>
    <row r="10249" spans="1:6" ht="12.75">
      <c r="A10249" s="2">
        <v>43880.708449074074</v>
      </c>
      <c r="B10249" t="str">
        <f>HYPERLINK("https://twitter.com/yawesmogimana","@yawesmogimana")</f>
        <v>@yawesmogimana</v>
      </c>
      <c r="C10249" t="s">
        <v>2467</v>
      </c>
      <c r="D10249">
        <v>558</v>
      </c>
      <c r="E10249">
        <v>0</v>
      </c>
      <c r="F10249">
        <v>18</v>
      </c>
    </row>
    <row r="10250" spans="1:6" ht="12.75">
      <c r="A10250" s="2">
        <v>43880.708356481482</v>
      </c>
      <c r="B10250" t="str">
        <f>HYPERLINK("https://twitter.com/oktale","@oktale")</f>
        <v>@oktale</v>
      </c>
      <c r="C10250" t="s">
        <v>1407</v>
      </c>
      <c r="D10250">
        <v>6146</v>
      </c>
      <c r="E10250">
        <v>0</v>
      </c>
      <c r="F10250">
        <v>338</v>
      </c>
    </row>
    <row r="10251" spans="1:6" ht="12.75">
      <c r="A10251" s="2">
        <v>43880.708344907413</v>
      </c>
      <c r="B10251" t="str">
        <f>HYPERLINK("https://twitter.com/gianmaldiniptr","@gianmaldiniptr")</f>
        <v>@gianmaldiniptr</v>
      </c>
      <c r="C10251" t="s">
        <v>1407</v>
      </c>
      <c r="D10251">
        <v>6146</v>
      </c>
      <c r="E10251">
        <v>0</v>
      </c>
      <c r="F10251">
        <v>605</v>
      </c>
    </row>
    <row r="10252" spans="1:6" ht="12.75">
      <c r="A10252" s="2">
        <v>43880.708344907413</v>
      </c>
      <c r="B10252" t="str">
        <f>HYPERLINK("https://twitter.com/wahyuls","@wahyuls")</f>
        <v>@wahyuls</v>
      </c>
      <c r="C10252" t="s">
        <v>1407</v>
      </c>
      <c r="D10252">
        <v>6146</v>
      </c>
      <c r="E10252">
        <v>0</v>
      </c>
      <c r="F10252">
        <v>508</v>
      </c>
    </row>
    <row r="10253" spans="1:6" ht="12.75">
      <c r="A10253" s="2">
        <v>43880.708333333328</v>
      </c>
      <c r="B10253" t="str">
        <f>HYPERLINK("https://twitter.com/KurioID","@KurioID")</f>
        <v>@KurioID</v>
      </c>
      <c r="C10253" t="s">
        <v>5964</v>
      </c>
      <c r="D10253">
        <v>0</v>
      </c>
      <c r="E10253">
        <v>0</v>
      </c>
      <c r="F10253">
        <v>7983</v>
      </c>
    </row>
    <row r="10254" spans="1:6" ht="12.75">
      <c r="A10254" s="2">
        <v>43880.708333333328</v>
      </c>
      <c r="B10254" t="str">
        <f>HYPERLINK("https://twitter.com/IndonesiaBaikId","@IndonesiaBaikId")</f>
        <v>@IndonesiaBaikId</v>
      </c>
      <c r="C10254" t="s">
        <v>5965</v>
      </c>
      <c r="D10254">
        <v>0</v>
      </c>
      <c r="E10254">
        <v>0</v>
      </c>
      <c r="F10254">
        <v>13107</v>
      </c>
    </row>
    <row r="10255" spans="1:6" ht="12.75">
      <c r="A10255" s="2">
        <v>43880.708333333328</v>
      </c>
      <c r="B10255" t="str">
        <f>HYPERLINK("https://twitter.com/KompasTV","@KompasTV")</f>
        <v>@KompasTV</v>
      </c>
      <c r="C10255" t="s">
        <v>5966</v>
      </c>
      <c r="D10255">
        <v>0</v>
      </c>
      <c r="E10255">
        <v>0</v>
      </c>
      <c r="F10255">
        <v>2944288</v>
      </c>
    </row>
    <row r="10256" spans="1:6" ht="12.75">
      <c r="A10256" s="2">
        <v>43880.708310185189</v>
      </c>
      <c r="B10256" t="str">
        <f>HYPERLINK("https://twitter.com/alohamorraaa","@alohamorraaa")</f>
        <v>@alohamorraaa</v>
      </c>
      <c r="C10256" t="s">
        <v>1407</v>
      </c>
      <c r="D10256">
        <v>6146</v>
      </c>
      <c r="E10256">
        <v>0</v>
      </c>
      <c r="F10256">
        <v>271</v>
      </c>
    </row>
    <row r="10257" spans="1:6" ht="12.75">
      <c r="A10257" s="2">
        <v>43880.708194444444</v>
      </c>
      <c r="B10257" t="str">
        <f>HYPERLINK("https://twitter.com/oktale","@oktale")</f>
        <v>@oktale</v>
      </c>
      <c r="C10257" t="s">
        <v>2467</v>
      </c>
      <c r="D10257">
        <v>558</v>
      </c>
      <c r="E10257">
        <v>0</v>
      </c>
      <c r="F10257">
        <v>338</v>
      </c>
    </row>
    <row r="10258" spans="1:6" ht="12.75">
      <c r="A10258" s="2">
        <v>43880.708171296297</v>
      </c>
      <c r="B10258" t="str">
        <f>HYPERLINK("https://twitter.com/AyiIsmail4","@AyiIsmail4")</f>
        <v>@AyiIsmail4</v>
      </c>
      <c r="C10258" t="s">
        <v>5203</v>
      </c>
      <c r="D10258">
        <v>60</v>
      </c>
      <c r="E10258">
        <v>0</v>
      </c>
      <c r="F10258">
        <v>1081</v>
      </c>
    </row>
    <row r="10259" spans="1:6" ht="12.75">
      <c r="A10259" s="2">
        <v>43880.707905092597</v>
      </c>
      <c r="B10259" t="str">
        <f>HYPERLINK("https://twitter.com/Kaiforlife001","@Kaiforlife001")</f>
        <v>@Kaiforlife001</v>
      </c>
      <c r="C10259" t="s">
        <v>1407</v>
      </c>
      <c r="D10259">
        <v>6146</v>
      </c>
      <c r="E10259">
        <v>0</v>
      </c>
      <c r="F10259">
        <v>226</v>
      </c>
    </row>
    <row r="10260" spans="1:6" ht="12.75">
      <c r="A10260" s="2">
        <v>43880.70784722222</v>
      </c>
      <c r="B10260" t="str">
        <f t="shared" ref="B10260:B10261" si="187">HYPERLINK("https://twitter.com/loeylovesme","@loeylovesme")</f>
        <v>@loeylovesme</v>
      </c>
      <c r="C10260" t="s">
        <v>2183</v>
      </c>
      <c r="D10260">
        <v>179</v>
      </c>
      <c r="E10260">
        <v>0</v>
      </c>
      <c r="F10260">
        <v>986</v>
      </c>
    </row>
    <row r="10261" spans="1:6" ht="12.75">
      <c r="A10261" s="2">
        <v>43880.707824074074</v>
      </c>
      <c r="B10261" t="str">
        <f t="shared" si="187"/>
        <v>@loeylovesme</v>
      </c>
      <c r="C10261" t="s">
        <v>2467</v>
      </c>
      <c r="D10261">
        <v>558</v>
      </c>
      <c r="E10261">
        <v>0</v>
      </c>
      <c r="F10261">
        <v>986</v>
      </c>
    </row>
    <row r="10262" spans="1:6" ht="12.75">
      <c r="A10262" s="2">
        <v>43880.707777777774</v>
      </c>
      <c r="B10262" t="str">
        <f>HYPERLINK("https://twitter.com/kireiyeppeo","@kireiyeppeo")</f>
        <v>@kireiyeppeo</v>
      </c>
      <c r="C10262" t="s">
        <v>1407</v>
      </c>
      <c r="D10262">
        <v>6146</v>
      </c>
      <c r="E10262">
        <v>0</v>
      </c>
      <c r="F10262">
        <v>1791</v>
      </c>
    </row>
    <row r="10263" spans="1:6" ht="12.75">
      <c r="A10263" s="2">
        <v>43880.707766203705</v>
      </c>
      <c r="B10263" t="str">
        <f>HYPERLINK("https://twitter.com/jx27dy","@jx27dy")</f>
        <v>@jx27dy</v>
      </c>
      <c r="C10263" t="s">
        <v>1407</v>
      </c>
      <c r="D10263">
        <v>6146</v>
      </c>
      <c r="E10263">
        <v>0</v>
      </c>
      <c r="F10263">
        <v>91</v>
      </c>
    </row>
    <row r="10264" spans="1:6" ht="12.75">
      <c r="A10264" s="2">
        <v>43880.707719907412</v>
      </c>
      <c r="B10264" t="str">
        <f>HYPERLINK("https://twitter.com/instux","@instux")</f>
        <v>@instux</v>
      </c>
      <c r="C10264" t="s">
        <v>1407</v>
      </c>
      <c r="D10264">
        <v>6146</v>
      </c>
      <c r="E10264">
        <v>0</v>
      </c>
      <c r="F10264">
        <v>165</v>
      </c>
    </row>
    <row r="10265" spans="1:6" ht="12.75">
      <c r="A10265" s="2">
        <v>43880.707685185189</v>
      </c>
      <c r="B10265" t="str">
        <f>HYPERLINK("https://twitter.com/chonbikese","@chonbikese")</f>
        <v>@chonbikese</v>
      </c>
      <c r="C10265" t="s">
        <v>1407</v>
      </c>
      <c r="D10265">
        <v>6146</v>
      </c>
      <c r="E10265">
        <v>0</v>
      </c>
      <c r="F10265">
        <v>339</v>
      </c>
    </row>
    <row r="10266" spans="1:6" ht="12.75">
      <c r="A10266" s="2">
        <v>43880.707662037035</v>
      </c>
      <c r="B10266" t="str">
        <f>HYPERLINK("https://twitter.com/oktvn25","@oktvn25")</f>
        <v>@oktvn25</v>
      </c>
      <c r="C10266" t="s">
        <v>1407</v>
      </c>
      <c r="D10266">
        <v>6146</v>
      </c>
      <c r="E10266">
        <v>0</v>
      </c>
      <c r="F10266">
        <v>838</v>
      </c>
    </row>
    <row r="10267" spans="1:6" ht="12.75">
      <c r="A10267" s="2">
        <v>43880.707592592589</v>
      </c>
      <c r="B10267" t="str">
        <f>HYPERLINK("https://twitter.com/chxrkgma","@chxrkgma")</f>
        <v>@chxrkgma</v>
      </c>
      <c r="C10267" t="s">
        <v>1407</v>
      </c>
      <c r="D10267">
        <v>6146</v>
      </c>
      <c r="E10267">
        <v>0</v>
      </c>
      <c r="F10267">
        <v>1160</v>
      </c>
    </row>
    <row r="10268" spans="1:6" ht="12.75">
      <c r="A10268" s="2">
        <v>43880.707592592589</v>
      </c>
      <c r="B10268" t="str">
        <f>HYPERLINK("https://twitter.com/loeylovesme","@loeylovesme")</f>
        <v>@loeylovesme</v>
      </c>
      <c r="C10268" t="s">
        <v>1407</v>
      </c>
      <c r="D10268">
        <v>6146</v>
      </c>
      <c r="E10268">
        <v>0</v>
      </c>
      <c r="F10268">
        <v>986</v>
      </c>
    </row>
    <row r="10269" spans="1:6" ht="12.75">
      <c r="A10269" s="2">
        <v>43880.707534722227</v>
      </c>
      <c r="B10269" t="str">
        <f>HYPERLINK("https://twitter.com/beachmilks","@beachmilks")</f>
        <v>@beachmilks</v>
      </c>
      <c r="C10269" t="s">
        <v>1407</v>
      </c>
      <c r="D10269">
        <v>6146</v>
      </c>
      <c r="E10269">
        <v>0</v>
      </c>
      <c r="F10269">
        <v>70</v>
      </c>
    </row>
    <row r="10270" spans="1:6" ht="12.75">
      <c r="A10270" s="2">
        <v>43880.707442129627</v>
      </c>
      <c r="B10270" t="str">
        <f>HYPERLINK("https://twitter.com/pendekar58","@pendekar58")</f>
        <v>@pendekar58</v>
      </c>
      <c r="C10270" t="s">
        <v>5203</v>
      </c>
      <c r="D10270">
        <v>60</v>
      </c>
      <c r="E10270">
        <v>0</v>
      </c>
      <c r="F10270">
        <v>2758</v>
      </c>
    </row>
    <row r="10271" spans="1:6" ht="12.75">
      <c r="A10271" s="2">
        <v>43880.707418981481</v>
      </c>
      <c r="B10271" t="str">
        <f>HYPERLINK("https://twitter.com/cotteon","@cotteon")</f>
        <v>@cotteon</v>
      </c>
      <c r="C10271" t="s">
        <v>1407</v>
      </c>
      <c r="D10271">
        <v>6146</v>
      </c>
      <c r="E10271">
        <v>0</v>
      </c>
      <c r="F10271">
        <v>1343</v>
      </c>
    </row>
    <row r="10272" spans="1:6" ht="12.75">
      <c r="A10272" s="2">
        <v>43880.707372685181</v>
      </c>
      <c r="B10272" t="str">
        <f>HYPERLINK("https://twitter.com/ataappptap","@ataappptap")</f>
        <v>@ataappptap</v>
      </c>
      <c r="C10272" t="s">
        <v>1407</v>
      </c>
      <c r="D10272">
        <v>6146</v>
      </c>
      <c r="E10272">
        <v>0</v>
      </c>
      <c r="F10272">
        <v>220</v>
      </c>
    </row>
    <row r="10273" spans="1:6" ht="12.75">
      <c r="A10273" s="2">
        <v>43880.707349537042</v>
      </c>
      <c r="B10273" t="str">
        <f>HYPERLINK("https://twitter.com/nahmader","@nahmader")</f>
        <v>@nahmader</v>
      </c>
      <c r="C10273" t="s">
        <v>5967</v>
      </c>
      <c r="D10273">
        <v>0</v>
      </c>
      <c r="E10273">
        <v>1</v>
      </c>
      <c r="F10273">
        <v>8</v>
      </c>
    </row>
    <row r="10274" spans="1:6" ht="12.75">
      <c r="A10274" s="2">
        <v>43880.707268518519</v>
      </c>
      <c r="B10274" t="str">
        <f>HYPERLINK("https://twitter.com/santos62658028","@santos62658028")</f>
        <v>@santos62658028</v>
      </c>
      <c r="C10274" t="s">
        <v>3224</v>
      </c>
      <c r="D10274">
        <v>6</v>
      </c>
      <c r="E10274">
        <v>0</v>
      </c>
      <c r="F10274">
        <v>1460</v>
      </c>
    </row>
    <row r="10275" spans="1:6" ht="12.75">
      <c r="A10275" s="2">
        <v>43880.707233796296</v>
      </c>
      <c r="B10275" t="str">
        <f>HYPERLINK("https://twitter.com/edwinmogi","@edwinmogi")</f>
        <v>@edwinmogi</v>
      </c>
      <c r="C10275" t="s">
        <v>1407</v>
      </c>
      <c r="D10275">
        <v>6146</v>
      </c>
      <c r="E10275">
        <v>0</v>
      </c>
      <c r="F10275">
        <v>371</v>
      </c>
    </row>
    <row r="10276" spans="1:6" ht="12.75">
      <c r="A10276" s="2">
        <v>43880.70722222222</v>
      </c>
      <c r="B10276" t="str">
        <f>HYPERLINK("https://twitter.com/lauvyoubeb","@lauvyoubeb")</f>
        <v>@lauvyoubeb</v>
      </c>
      <c r="C10276" t="s">
        <v>1407</v>
      </c>
      <c r="D10276">
        <v>6146</v>
      </c>
      <c r="E10276">
        <v>0</v>
      </c>
      <c r="F10276">
        <v>565</v>
      </c>
    </row>
    <row r="10277" spans="1:6" ht="12.75">
      <c r="A10277" s="2">
        <v>43880.70721064815</v>
      </c>
      <c r="B10277" t="str">
        <f>HYPERLINK("https://twitter.com/hancherryblush","@hancherryblush")</f>
        <v>@hancherryblush</v>
      </c>
      <c r="C10277" t="s">
        <v>1407</v>
      </c>
      <c r="D10277">
        <v>6146</v>
      </c>
      <c r="E10277">
        <v>0</v>
      </c>
      <c r="F10277">
        <v>158</v>
      </c>
    </row>
    <row r="10278" spans="1:6" ht="12.75">
      <c r="A10278" s="2">
        <v>43880.707141203704</v>
      </c>
      <c r="B10278" t="str">
        <f>HYPERLINK("https://twitter.com/deffcnvs","@deffcnvs")</f>
        <v>@deffcnvs</v>
      </c>
      <c r="C10278" t="s">
        <v>1407</v>
      </c>
      <c r="D10278">
        <v>6146</v>
      </c>
      <c r="E10278">
        <v>0</v>
      </c>
      <c r="F10278">
        <v>162</v>
      </c>
    </row>
    <row r="10279" spans="1:6" ht="12.75">
      <c r="A10279" s="2">
        <v>43880.70711805555</v>
      </c>
      <c r="B10279" t="str">
        <f>HYPERLINK("https://twitter.com/revalia__","@revalia__")</f>
        <v>@revalia__</v>
      </c>
      <c r="C10279" t="s">
        <v>1407</v>
      </c>
      <c r="D10279">
        <v>6146</v>
      </c>
      <c r="E10279">
        <v>0</v>
      </c>
      <c r="F10279">
        <v>1539</v>
      </c>
    </row>
    <row r="10280" spans="1:6" ht="12.75">
      <c r="A10280" s="2">
        <v>43880.707094907411</v>
      </c>
      <c r="B10280" t="str">
        <f>HYPERLINK("https://twitter.com/tualang","@tualang")</f>
        <v>@tualang</v>
      </c>
      <c r="C10280" t="s">
        <v>4415</v>
      </c>
      <c r="D10280">
        <v>113</v>
      </c>
      <c r="E10280">
        <v>0</v>
      </c>
      <c r="F10280">
        <v>177</v>
      </c>
    </row>
    <row r="10281" spans="1:6" ht="12.75">
      <c r="A10281" s="2">
        <v>43880.707071759258</v>
      </c>
      <c r="B10281" t="str">
        <f t="shared" ref="B10281:B10282" si="188">HYPERLINK("https://twitter.com/jodohyukaa","@jodohyukaa")</f>
        <v>@jodohyukaa</v>
      </c>
      <c r="C10281" t="s">
        <v>1407</v>
      </c>
      <c r="D10281">
        <v>6146</v>
      </c>
      <c r="E10281">
        <v>0</v>
      </c>
      <c r="F10281">
        <v>1017</v>
      </c>
    </row>
    <row r="10282" spans="1:6" ht="12.75">
      <c r="A10282" s="2">
        <v>43880.707013888888</v>
      </c>
      <c r="B10282" t="str">
        <f t="shared" si="188"/>
        <v>@jodohyukaa</v>
      </c>
      <c r="C10282" t="s">
        <v>2467</v>
      </c>
      <c r="D10282">
        <v>558</v>
      </c>
      <c r="E10282">
        <v>0</v>
      </c>
      <c r="F10282">
        <v>1017</v>
      </c>
    </row>
    <row r="10283" spans="1:6" ht="12.75">
      <c r="A10283" s="2">
        <v>43880.706863425927</v>
      </c>
      <c r="B10283" t="str">
        <f>HYPERLINK("https://twitter.com/bintang_praba","@bintang_praba")</f>
        <v>@bintang_praba</v>
      </c>
      <c r="C10283" t="s">
        <v>1407</v>
      </c>
      <c r="D10283">
        <v>6146</v>
      </c>
      <c r="E10283">
        <v>0</v>
      </c>
      <c r="F10283">
        <v>527</v>
      </c>
    </row>
    <row r="10284" spans="1:6" ht="12.75">
      <c r="A10284" s="2">
        <v>43880.706759259258</v>
      </c>
      <c r="B10284" t="str">
        <f>HYPERLINK("https://twitter.com/lucknutella","@lucknutella")</f>
        <v>@lucknutella</v>
      </c>
      <c r="C10284" t="s">
        <v>1407</v>
      </c>
      <c r="D10284">
        <v>6146</v>
      </c>
      <c r="E10284">
        <v>0</v>
      </c>
      <c r="F10284">
        <v>1339</v>
      </c>
    </row>
    <row r="10285" spans="1:6" ht="12.75">
      <c r="A10285" s="2">
        <v>43880.706712962958</v>
      </c>
      <c r="B10285" t="str">
        <f>HYPERLINK("https://twitter.com/ccherryknow","@ccherryknow")</f>
        <v>@ccherryknow</v>
      </c>
      <c r="C10285" t="s">
        <v>1407</v>
      </c>
      <c r="D10285">
        <v>6146</v>
      </c>
      <c r="E10285">
        <v>0</v>
      </c>
      <c r="F10285">
        <v>568</v>
      </c>
    </row>
    <row r="10286" spans="1:6" ht="12.75">
      <c r="A10286" s="2">
        <v>43880.706689814819</v>
      </c>
      <c r="B10286" t="str">
        <f>HYPERLINK("https://twitter.com/coffemilkaddict","@coffemilkaddict")</f>
        <v>@coffemilkaddict</v>
      </c>
      <c r="C10286" t="s">
        <v>2126</v>
      </c>
      <c r="D10286">
        <v>2809</v>
      </c>
      <c r="E10286">
        <v>0</v>
      </c>
      <c r="F10286">
        <v>61</v>
      </c>
    </row>
    <row r="10287" spans="1:6" ht="12.75">
      <c r="A10287" s="2">
        <v>43880.706655092596</v>
      </c>
      <c r="B10287" t="str">
        <f>HYPERLINK("https://twitter.com/manissyekaliii","@manissyekaliii")</f>
        <v>@manissyekaliii</v>
      </c>
      <c r="C10287" t="s">
        <v>1407</v>
      </c>
      <c r="D10287">
        <v>6146</v>
      </c>
      <c r="E10287">
        <v>0</v>
      </c>
      <c r="F10287">
        <v>164</v>
      </c>
    </row>
    <row r="10288" spans="1:6" ht="12.75">
      <c r="A10288" s="2">
        <v>43880.706620370373</v>
      </c>
      <c r="B10288" t="str">
        <f>HYPERLINK("https://twitter.com/fckinm00d","@fckinm00d")</f>
        <v>@fckinm00d</v>
      </c>
      <c r="C10288" t="s">
        <v>1407</v>
      </c>
      <c r="D10288">
        <v>6146</v>
      </c>
      <c r="E10288">
        <v>0</v>
      </c>
      <c r="F10288">
        <v>72</v>
      </c>
    </row>
    <row r="10289" spans="1:6" ht="12.75">
      <c r="A10289" s="2">
        <v>43880.706608796296</v>
      </c>
      <c r="B10289" t="str">
        <f>HYPERLINK("https://twitter.com/kharismathics","@kharismathics")</f>
        <v>@kharismathics</v>
      </c>
      <c r="C10289" t="s">
        <v>2692</v>
      </c>
      <c r="D10289">
        <v>974</v>
      </c>
      <c r="E10289">
        <v>0</v>
      </c>
      <c r="F10289">
        <v>16</v>
      </c>
    </row>
    <row r="10290" spans="1:6" ht="12.75">
      <c r="A10290" s="2">
        <v>43880.70648148148</v>
      </c>
      <c r="B10290" t="str">
        <f>HYPERLINK("https://twitter.com/justdyn","@justdyn")</f>
        <v>@justdyn</v>
      </c>
      <c r="C10290" t="s">
        <v>1407</v>
      </c>
      <c r="D10290">
        <v>6146</v>
      </c>
      <c r="E10290">
        <v>0</v>
      </c>
      <c r="F10290">
        <v>576</v>
      </c>
    </row>
    <row r="10291" spans="1:6" ht="12.75">
      <c r="A10291" s="2">
        <v>43880.706377314811</v>
      </c>
      <c r="B10291" t="str">
        <f>HYPERLINK("https://twitter.com/KSINetworkID","@KSINetworkID")</f>
        <v>@KSINetworkID</v>
      </c>
      <c r="C10291" t="s">
        <v>5968</v>
      </c>
      <c r="D10291">
        <v>0</v>
      </c>
      <c r="E10291">
        <v>0</v>
      </c>
      <c r="F10291">
        <v>748</v>
      </c>
    </row>
    <row r="10292" spans="1:6" ht="12.75">
      <c r="A10292" s="2">
        <v>43880.706354166672</v>
      </c>
      <c r="B10292" t="str">
        <f>HYPERLINK("https://twitter.com/dawam__","@dawam__")</f>
        <v>@dawam__</v>
      </c>
      <c r="C10292" t="s">
        <v>5969</v>
      </c>
      <c r="D10292">
        <v>1</v>
      </c>
      <c r="E10292">
        <v>0</v>
      </c>
      <c r="F10292">
        <v>417</v>
      </c>
    </row>
    <row r="10293" spans="1:6" ht="12.75">
      <c r="A10293" s="2">
        <v>43880.706296296295</v>
      </c>
      <c r="B10293" t="str">
        <f>HYPERLINK("https://twitter.com/ayamwarnaaa","@ayamwarnaaa")</f>
        <v>@ayamwarnaaa</v>
      </c>
      <c r="C10293" t="s">
        <v>2692</v>
      </c>
      <c r="D10293">
        <v>974</v>
      </c>
      <c r="E10293">
        <v>0</v>
      </c>
      <c r="F10293">
        <v>769</v>
      </c>
    </row>
    <row r="10294" spans="1:6" ht="12.75">
      <c r="A10294" s="2">
        <v>43880.706273148149</v>
      </c>
      <c r="B10294" t="str">
        <f>HYPERLINK("https://twitter.com/planettblue","@planettblue")</f>
        <v>@planettblue</v>
      </c>
      <c r="C10294" t="s">
        <v>1407</v>
      </c>
      <c r="D10294">
        <v>6146</v>
      </c>
      <c r="E10294">
        <v>0</v>
      </c>
      <c r="F10294">
        <v>5181</v>
      </c>
    </row>
    <row r="10295" spans="1:6" ht="12.75">
      <c r="A10295" s="2">
        <v>43880.706238425926</v>
      </c>
      <c r="B10295" t="str">
        <f>HYPERLINK("https://twitter.com/asamefenamatt","@asamefenamatt")</f>
        <v>@asamefenamatt</v>
      </c>
      <c r="C10295" t="s">
        <v>5970</v>
      </c>
      <c r="D10295">
        <v>0</v>
      </c>
      <c r="E10295">
        <v>0</v>
      </c>
      <c r="F10295">
        <v>705</v>
      </c>
    </row>
    <row r="10296" spans="1:6" ht="12.75">
      <c r="A10296" s="2">
        <v>43880.706238425926</v>
      </c>
      <c r="B10296" t="str">
        <f>HYPERLINK("https://twitter.com/shi__wie","@shi__wie")</f>
        <v>@shi__wie</v>
      </c>
      <c r="C10296" t="s">
        <v>5971</v>
      </c>
      <c r="D10296">
        <v>0</v>
      </c>
      <c r="E10296">
        <v>1</v>
      </c>
      <c r="F10296">
        <v>311</v>
      </c>
    </row>
    <row r="10297" spans="1:6" ht="12.75">
      <c r="A10297" s="2">
        <v>43880.706180555557</v>
      </c>
      <c r="B10297" t="str">
        <f>HYPERLINK("https://twitter.com/bestlegendman1","@bestlegendman1")</f>
        <v>@bestlegendman1</v>
      </c>
      <c r="C10297" t="s">
        <v>5972</v>
      </c>
      <c r="D10297">
        <v>0</v>
      </c>
      <c r="E10297">
        <v>0</v>
      </c>
      <c r="F10297">
        <v>91</v>
      </c>
    </row>
    <row r="10298" spans="1:6" ht="12.75">
      <c r="A10298" s="2">
        <v>43880.706134259264</v>
      </c>
      <c r="B10298" t="str">
        <f>HYPERLINK("https://twitter.com/Sanbbygurl","@Sanbbygurl")</f>
        <v>@Sanbbygurl</v>
      </c>
      <c r="C10298" t="s">
        <v>1407</v>
      </c>
      <c r="D10298">
        <v>6146</v>
      </c>
      <c r="E10298">
        <v>0</v>
      </c>
      <c r="F10298">
        <v>2010</v>
      </c>
    </row>
    <row r="10299" spans="1:6" ht="12.75">
      <c r="A10299" s="2">
        <v>43880.706134259264</v>
      </c>
      <c r="B10299" t="str">
        <f>HYPERLINK("https://twitter.com/Lialalen","@Lialalen")</f>
        <v>@Lialalen</v>
      </c>
      <c r="C10299" t="s">
        <v>513</v>
      </c>
      <c r="D10299">
        <v>23156</v>
      </c>
      <c r="E10299">
        <v>0</v>
      </c>
      <c r="F10299">
        <v>740</v>
      </c>
    </row>
    <row r="10300" spans="1:6" ht="12.75">
      <c r="A10300" s="2">
        <v>43880.706134259264</v>
      </c>
      <c r="B10300" t="str">
        <f>HYPERLINK("https://twitter.com/faninirmalaa","@faninirmalaa")</f>
        <v>@faninirmalaa</v>
      </c>
      <c r="C10300" t="s">
        <v>1407</v>
      </c>
      <c r="D10300">
        <v>6146</v>
      </c>
      <c r="E10300">
        <v>0</v>
      </c>
      <c r="F10300">
        <v>285</v>
      </c>
    </row>
    <row r="10301" spans="1:6" ht="12.75">
      <c r="A10301" s="2">
        <v>43880.706099537041</v>
      </c>
      <c r="B10301" t="str">
        <f>HYPERLINK("https://twitter.com/ananiskarima","@ananiskarima")</f>
        <v>@ananiskarima</v>
      </c>
      <c r="C10301" t="s">
        <v>1407</v>
      </c>
      <c r="D10301">
        <v>6146</v>
      </c>
      <c r="E10301">
        <v>0</v>
      </c>
      <c r="F10301">
        <v>136</v>
      </c>
    </row>
    <row r="10302" spans="1:6" ht="12.75">
      <c r="A10302" s="2">
        <v>43880.706053240741</v>
      </c>
      <c r="B10302" t="str">
        <f>HYPERLINK("https://twitter.com/bukanakulohya","@bukanakulohya")</f>
        <v>@bukanakulohya</v>
      </c>
      <c r="C10302" t="s">
        <v>1407</v>
      </c>
      <c r="D10302">
        <v>6146</v>
      </c>
      <c r="E10302">
        <v>0</v>
      </c>
      <c r="F10302">
        <v>276</v>
      </c>
    </row>
    <row r="10303" spans="1:6" ht="12.75">
      <c r="A10303" s="2">
        <v>43880.705972222218</v>
      </c>
      <c r="B10303" t="str">
        <f>HYPERLINK("https://twitter.com/lampuphiliks","@lampuphiliks")</f>
        <v>@lampuphiliks</v>
      </c>
      <c r="C10303" t="s">
        <v>1920</v>
      </c>
      <c r="D10303">
        <v>244</v>
      </c>
      <c r="E10303">
        <v>0</v>
      </c>
      <c r="F10303">
        <v>314</v>
      </c>
    </row>
    <row r="10304" spans="1:6" ht="12.75">
      <c r="A10304" s="2">
        <v>43880.705891203703</v>
      </c>
      <c r="B10304" t="str">
        <f>HYPERLINK("https://twitter.com/chocholavaa","@chocholavaa")</f>
        <v>@chocholavaa</v>
      </c>
      <c r="C10304" t="s">
        <v>1407</v>
      </c>
      <c r="D10304">
        <v>6146</v>
      </c>
      <c r="E10304">
        <v>0</v>
      </c>
      <c r="F10304">
        <v>281</v>
      </c>
    </row>
    <row r="10305" spans="1:6" ht="12.75">
      <c r="A10305" s="2">
        <v>43880.705729166672</v>
      </c>
      <c r="B10305" t="str">
        <f>HYPERLINK("https://twitter.com/mundursadardiri","@mundursadardiri")</f>
        <v>@mundursadardiri</v>
      </c>
      <c r="C10305" t="s">
        <v>1407</v>
      </c>
      <c r="D10305">
        <v>6146</v>
      </c>
      <c r="E10305">
        <v>0</v>
      </c>
      <c r="F10305">
        <v>84</v>
      </c>
    </row>
    <row r="10306" spans="1:6" ht="12.75">
      <c r="A10306" s="2">
        <v>43880.705694444448</v>
      </c>
      <c r="B10306" t="str">
        <f>HYPERLINK("https://twitter.com/KBRI_Pretoria","@KBRI_Pretoria")</f>
        <v>@KBRI_Pretoria</v>
      </c>
      <c r="C10306" t="s">
        <v>2079</v>
      </c>
      <c r="D10306">
        <v>49</v>
      </c>
      <c r="E10306">
        <v>0</v>
      </c>
      <c r="F10306">
        <v>820</v>
      </c>
    </row>
    <row r="10307" spans="1:6" ht="12.75">
      <c r="A10307" s="2">
        <v>43880.705659722225</v>
      </c>
      <c r="B10307" t="str">
        <f>HYPERLINK("https://twitter.com/sparklingbooty","@sparklingbooty")</f>
        <v>@sparklingbooty</v>
      </c>
      <c r="C10307" t="s">
        <v>1407</v>
      </c>
      <c r="D10307">
        <v>6146</v>
      </c>
      <c r="E10307">
        <v>0</v>
      </c>
      <c r="F10307">
        <v>259</v>
      </c>
    </row>
    <row r="10308" spans="1:6" ht="12.75">
      <c r="A10308" s="2">
        <v>43880.705590277779</v>
      </c>
      <c r="B10308" t="str">
        <f>HYPERLINK("https://twitter.com/ncturnall","@ncturnall")</f>
        <v>@ncturnall</v>
      </c>
      <c r="C10308" t="s">
        <v>1407</v>
      </c>
      <c r="D10308">
        <v>6146</v>
      </c>
      <c r="E10308">
        <v>0</v>
      </c>
      <c r="F10308">
        <v>175</v>
      </c>
    </row>
    <row r="10309" spans="1:6" ht="12.75">
      <c r="A10309" s="2">
        <v>43880.705532407403</v>
      </c>
      <c r="B10309" t="str">
        <f>HYPERLINK("https://twitter.com/vetbarista","@vetbarista")</f>
        <v>@vetbarista</v>
      </c>
      <c r="C10309" t="s">
        <v>2692</v>
      </c>
      <c r="D10309">
        <v>974</v>
      </c>
      <c r="E10309">
        <v>0</v>
      </c>
      <c r="F10309">
        <v>102</v>
      </c>
    </row>
    <row r="10310" spans="1:6" ht="12.75">
      <c r="A10310" s="2">
        <v>43880.70548611111</v>
      </c>
      <c r="B10310" t="str">
        <f>HYPERLINK("https://twitter.com/Sceneriestae_","@Sceneriestae_")</f>
        <v>@Sceneriestae_</v>
      </c>
      <c r="C10310" t="s">
        <v>1407</v>
      </c>
      <c r="D10310">
        <v>6146</v>
      </c>
      <c r="E10310">
        <v>0</v>
      </c>
      <c r="F10310">
        <v>600</v>
      </c>
    </row>
    <row r="10311" spans="1:6" ht="12.75">
      <c r="A10311" s="2">
        <v>43880.705462962964</v>
      </c>
      <c r="B10311" t="str">
        <f>HYPERLINK("https://twitter.com/subhanaIlah","@subhanaIlah")</f>
        <v>@subhanaIlah</v>
      </c>
      <c r="C10311" t="s">
        <v>2509</v>
      </c>
      <c r="D10311">
        <v>78</v>
      </c>
      <c r="E10311">
        <v>0</v>
      </c>
      <c r="F10311">
        <v>951</v>
      </c>
    </row>
    <row r="10312" spans="1:6" ht="12.75">
      <c r="A10312" s="2">
        <v>43880.705439814818</v>
      </c>
      <c r="B10312" t="str">
        <f>HYPERLINK("https://twitter.com/ferincchi","@ferincchi")</f>
        <v>@ferincchi</v>
      </c>
      <c r="C10312" t="s">
        <v>1407</v>
      </c>
      <c r="D10312">
        <v>6146</v>
      </c>
      <c r="E10312">
        <v>0</v>
      </c>
      <c r="F10312">
        <v>443</v>
      </c>
    </row>
    <row r="10313" spans="1:6" ht="12.75">
      <c r="A10313" s="2">
        <v>43880.705428240741</v>
      </c>
      <c r="B10313" t="str">
        <f>HYPERLINK("https://twitter.com/fadhiransa","@fadhiransa")</f>
        <v>@fadhiransa</v>
      </c>
      <c r="C10313" t="s">
        <v>1407</v>
      </c>
      <c r="D10313">
        <v>6146</v>
      </c>
      <c r="E10313">
        <v>0</v>
      </c>
      <c r="F10313">
        <v>148</v>
      </c>
    </row>
    <row r="10314" spans="1:6" ht="12.75">
      <c r="A10314" s="2">
        <v>43880.705416666664</v>
      </c>
      <c r="B10314" t="str">
        <f t="shared" ref="B10314:B10315" si="189">HYPERLINK("https://twitter.com/subhanaIlah","@subhanaIlah")</f>
        <v>@subhanaIlah</v>
      </c>
      <c r="C10314" t="s">
        <v>2183</v>
      </c>
      <c r="D10314">
        <v>179</v>
      </c>
      <c r="E10314">
        <v>0</v>
      </c>
      <c r="F10314">
        <v>951</v>
      </c>
    </row>
    <row r="10315" spans="1:6" ht="12.75">
      <c r="A10315" s="2">
        <v>43880.705381944441</v>
      </c>
      <c r="B10315" t="str">
        <f t="shared" si="189"/>
        <v>@subhanaIlah</v>
      </c>
      <c r="C10315" t="s">
        <v>2467</v>
      </c>
      <c r="D10315">
        <v>558</v>
      </c>
      <c r="E10315">
        <v>0</v>
      </c>
      <c r="F10315">
        <v>951</v>
      </c>
    </row>
    <row r="10316" spans="1:6" ht="12.75">
      <c r="A10316" s="2">
        <v>43880.705266203702</v>
      </c>
      <c r="B10316" t="str">
        <f>HYPERLINK("https://twitter.com/cigaretteftme","@cigaretteftme")</f>
        <v>@cigaretteftme</v>
      </c>
      <c r="C10316" t="s">
        <v>1407</v>
      </c>
      <c r="D10316">
        <v>6146</v>
      </c>
      <c r="E10316">
        <v>0</v>
      </c>
      <c r="F10316">
        <v>1036</v>
      </c>
    </row>
    <row r="10317" spans="1:6" ht="12.75">
      <c r="A10317" s="2">
        <v>43880.70521990741</v>
      </c>
      <c r="B10317" t="str">
        <f>HYPERLINK("https://twitter.com/_doshigatai__","@_doshigatai__")</f>
        <v>@_doshigatai__</v>
      </c>
      <c r="C10317" t="s">
        <v>1407</v>
      </c>
      <c r="D10317">
        <v>6146</v>
      </c>
      <c r="E10317">
        <v>0</v>
      </c>
      <c r="F10317">
        <v>408</v>
      </c>
    </row>
    <row r="10318" spans="1:6" ht="12.75">
      <c r="A10318" s="2">
        <v>43880.70517361111</v>
      </c>
      <c r="B10318" t="str">
        <f>HYPERLINK("https://twitter.com/orrumaitto","@orrumaitto")</f>
        <v>@orrumaitto</v>
      </c>
      <c r="C10318" t="s">
        <v>2692</v>
      </c>
      <c r="D10318">
        <v>974</v>
      </c>
      <c r="E10318">
        <v>0</v>
      </c>
      <c r="F10318">
        <v>130</v>
      </c>
    </row>
    <row r="10319" spans="1:6" ht="12.75">
      <c r="A10319" s="2">
        <v>43880.70517361111</v>
      </c>
      <c r="B10319" t="str">
        <f>HYPERLINK("https://twitter.com/subhanaIlah","@subhanaIlah")</f>
        <v>@subhanaIlah</v>
      </c>
      <c r="C10319" t="s">
        <v>1407</v>
      </c>
      <c r="D10319">
        <v>6146</v>
      </c>
      <c r="E10319">
        <v>0</v>
      </c>
      <c r="F10319">
        <v>951</v>
      </c>
    </row>
    <row r="10320" spans="1:6" ht="12.75">
      <c r="A10320" s="2">
        <v>43880.70511574074</v>
      </c>
      <c r="B10320" t="str">
        <f>HYPERLINK("https://twitter.com/minnimonnii","@minnimonnii")</f>
        <v>@minnimonnii</v>
      </c>
      <c r="C10320" t="s">
        <v>1407</v>
      </c>
      <c r="D10320">
        <v>6146</v>
      </c>
      <c r="E10320">
        <v>0</v>
      </c>
      <c r="F10320">
        <v>590</v>
      </c>
    </row>
    <row r="10321" spans="1:6" ht="12.75">
      <c r="A10321" s="2">
        <v>43880.705046296294</v>
      </c>
      <c r="B10321" t="str">
        <f>HYPERLINK("https://twitter.com/wsrswt","@wsrswt")</f>
        <v>@wsrswt</v>
      </c>
      <c r="C10321" t="s">
        <v>2692</v>
      </c>
      <c r="D10321">
        <v>974</v>
      </c>
      <c r="E10321">
        <v>0</v>
      </c>
      <c r="F10321">
        <v>255</v>
      </c>
    </row>
    <row r="10322" spans="1:6" ht="12.75">
      <c r="A10322" s="2">
        <v>43880.668287037042</v>
      </c>
      <c r="B10322" t="str">
        <f>HYPERLINK("https://twitter.com/adekandungLuhan","@adekandungLuhan")</f>
        <v>@adekandungLuhan</v>
      </c>
      <c r="C10322" t="s">
        <v>1407</v>
      </c>
      <c r="D10322">
        <v>5583</v>
      </c>
      <c r="E10322">
        <v>0</v>
      </c>
      <c r="F10322">
        <v>1366</v>
      </c>
    </row>
    <row r="10323" spans="1:6" ht="12.75">
      <c r="A10323" s="2">
        <v>43880.66814814815</v>
      </c>
      <c r="B10323" t="str">
        <f>HYPERLINK("https://twitter.com/blueorenade","@blueorenade")</f>
        <v>@blueorenade</v>
      </c>
      <c r="C10323" t="s">
        <v>2467</v>
      </c>
      <c r="D10323">
        <v>494</v>
      </c>
      <c r="E10323">
        <v>0</v>
      </c>
      <c r="F10323">
        <v>201</v>
      </c>
    </row>
    <row r="10324" spans="1:6" ht="12.75">
      <c r="A10324" s="2">
        <v>43880.668113425927</v>
      </c>
      <c r="B10324" t="str">
        <f>HYPERLINK("https://twitter.com/wynorusia20","@wynorusia20")</f>
        <v>@wynorusia20</v>
      </c>
      <c r="C10324" t="s">
        <v>5744</v>
      </c>
      <c r="D10324">
        <v>24</v>
      </c>
      <c r="E10324">
        <v>0</v>
      </c>
      <c r="F10324">
        <v>4436</v>
      </c>
    </row>
    <row r="10325" spans="1:6" ht="12.75">
      <c r="A10325" s="2">
        <v>43880.667916666665</v>
      </c>
      <c r="B10325" t="str">
        <f>HYPERLINK("https://twitter.com/akumanusiauwu","@akumanusiauwu")</f>
        <v>@akumanusiauwu</v>
      </c>
      <c r="C10325" t="s">
        <v>2509</v>
      </c>
      <c r="D10325">
        <v>68</v>
      </c>
      <c r="E10325">
        <v>0</v>
      </c>
      <c r="F10325">
        <v>741</v>
      </c>
    </row>
    <row r="10326" spans="1:6" ht="12.75">
      <c r="A10326" s="2">
        <v>43880.667870370366</v>
      </c>
      <c r="B10326" t="str">
        <f>HYPERLINK("https://twitter.com/senorita365","@senorita365")</f>
        <v>@senorita365</v>
      </c>
      <c r="C10326" t="s">
        <v>1407</v>
      </c>
      <c r="D10326">
        <v>5583</v>
      </c>
      <c r="E10326">
        <v>0</v>
      </c>
      <c r="F10326">
        <v>162</v>
      </c>
    </row>
    <row r="10327" spans="1:6" ht="12.75">
      <c r="A10327" s="2">
        <v>43880.667847222227</v>
      </c>
      <c r="B10327" t="str">
        <f>HYPERLINK("https://twitter.com/astevafa","@astevafa")</f>
        <v>@astevafa</v>
      </c>
      <c r="C10327" t="s">
        <v>2692</v>
      </c>
      <c r="D10327">
        <v>882</v>
      </c>
      <c r="E10327">
        <v>0</v>
      </c>
      <c r="F10327">
        <v>102</v>
      </c>
    </row>
    <row r="10328" spans="1:6" ht="12.75">
      <c r="A10328" s="2">
        <v>43880.667754629627</v>
      </c>
      <c r="B10328" t="str">
        <f>HYPERLINK("https://twitter.com/prakashitape","@prakashitape")</f>
        <v>@prakashitape</v>
      </c>
      <c r="C10328" t="s">
        <v>1407</v>
      </c>
      <c r="D10328">
        <v>5583</v>
      </c>
      <c r="E10328">
        <v>0</v>
      </c>
      <c r="F10328">
        <v>701</v>
      </c>
    </row>
    <row r="10329" spans="1:6" ht="12.75">
      <c r="A10329" s="2">
        <v>43880.667743055557</v>
      </c>
      <c r="B10329" t="str">
        <f>HYPERLINK("https://twitter.com/calon_ughtea","@calon_ughtea")</f>
        <v>@calon_ughtea</v>
      </c>
      <c r="C10329" t="s">
        <v>5973</v>
      </c>
      <c r="D10329">
        <v>0</v>
      </c>
      <c r="E10329">
        <v>0</v>
      </c>
      <c r="F10329">
        <v>7</v>
      </c>
    </row>
    <row r="10330" spans="1:6" ht="12.75">
      <c r="A10330" s="2">
        <v>43880.667731481481</v>
      </c>
      <c r="B10330" t="str">
        <f>HYPERLINK("https://twitter.com/indolinearcom","@indolinearcom")</f>
        <v>@indolinearcom</v>
      </c>
      <c r="C10330" t="s">
        <v>5974</v>
      </c>
      <c r="D10330">
        <v>0</v>
      </c>
      <c r="E10330">
        <v>0</v>
      </c>
      <c r="F10330">
        <v>68</v>
      </c>
    </row>
    <row r="10331" spans="1:6" ht="12.75">
      <c r="A10331" s="2">
        <v>43880.667696759258</v>
      </c>
      <c r="B10331" t="str">
        <f>HYPERLINK("https://twitter.com/csyouniie","@csyouniie")</f>
        <v>@csyouniie</v>
      </c>
      <c r="C10331" t="s">
        <v>1407</v>
      </c>
      <c r="D10331">
        <v>5583</v>
      </c>
      <c r="E10331">
        <v>0</v>
      </c>
      <c r="F10331">
        <v>285</v>
      </c>
    </row>
    <row r="10332" spans="1:6" ht="12.75">
      <c r="A10332" s="2">
        <v>43880.667673611111</v>
      </c>
      <c r="B10332" t="str">
        <f>HYPERLINK("https://twitter.com/akumanusiauwu","@akumanusiauwu")</f>
        <v>@akumanusiauwu</v>
      </c>
      <c r="C10332" t="s">
        <v>1407</v>
      </c>
      <c r="D10332">
        <v>5583</v>
      </c>
      <c r="E10332">
        <v>0</v>
      </c>
      <c r="F10332">
        <v>741</v>
      </c>
    </row>
    <row r="10333" spans="1:6" ht="12.75">
      <c r="A10333" s="2">
        <v>43880.667511574073</v>
      </c>
      <c r="B10333" t="str">
        <f>HYPERLINK("https://twitter.com/ana054","@ana054")</f>
        <v>@ana054</v>
      </c>
      <c r="C10333" t="s">
        <v>1407</v>
      </c>
      <c r="D10333">
        <v>5583</v>
      </c>
      <c r="E10333">
        <v>0</v>
      </c>
      <c r="F10333">
        <v>1508</v>
      </c>
    </row>
    <row r="10334" spans="1:6" ht="12.75">
      <c r="A10334" s="2">
        <v>43880.667499999996</v>
      </c>
      <c r="B10334" t="str">
        <f>HYPERLINK("https://twitter.com/AlwanSiddiq","@AlwanSiddiq")</f>
        <v>@AlwanSiddiq</v>
      </c>
      <c r="C10334" t="s">
        <v>5975</v>
      </c>
      <c r="D10334">
        <v>5</v>
      </c>
      <c r="E10334">
        <v>0</v>
      </c>
      <c r="F10334">
        <v>304</v>
      </c>
    </row>
    <row r="10335" spans="1:6" ht="12.75">
      <c r="A10335" s="2">
        <v>43880.667465277773</v>
      </c>
      <c r="B10335" t="str">
        <f>HYPERLINK("https://twitter.com/milkshakeuw","@milkshakeuw")</f>
        <v>@milkshakeuw</v>
      </c>
      <c r="C10335" t="s">
        <v>1407</v>
      </c>
      <c r="D10335">
        <v>5583</v>
      </c>
      <c r="E10335">
        <v>0</v>
      </c>
      <c r="F10335">
        <v>505</v>
      </c>
    </row>
    <row r="10336" spans="1:6" ht="12.75">
      <c r="A10336" s="2">
        <v>43880.667430555557</v>
      </c>
      <c r="B10336" t="str">
        <f>HYPERLINK("https://twitter.com/TOUMAKlS","@TOUMAKlS")</f>
        <v>@TOUMAKlS</v>
      </c>
      <c r="C10336" t="s">
        <v>1407</v>
      </c>
      <c r="D10336">
        <v>5583</v>
      </c>
      <c r="E10336">
        <v>0</v>
      </c>
      <c r="F10336">
        <v>584</v>
      </c>
    </row>
    <row r="10337" spans="1:6" ht="12.75">
      <c r="A10337" s="2">
        <v>43880.667349537034</v>
      </c>
      <c r="B10337" t="str">
        <f>HYPERLINK("https://twitter.com/penjamoonitja","@penjamoonitja")</f>
        <v>@penjamoonitja</v>
      </c>
      <c r="C10337" t="s">
        <v>1407</v>
      </c>
      <c r="D10337">
        <v>5583</v>
      </c>
      <c r="E10337">
        <v>0</v>
      </c>
      <c r="F10337">
        <v>518</v>
      </c>
    </row>
    <row r="10338" spans="1:6" ht="12.75">
      <c r="A10338" s="2">
        <v>43880.667326388888</v>
      </c>
      <c r="B10338" t="str">
        <f>HYPERLINK("https://twitter.com/ysrzlmf","@ysrzlmf")</f>
        <v>@ysrzlmf</v>
      </c>
      <c r="C10338" t="s">
        <v>1407</v>
      </c>
      <c r="D10338">
        <v>5583</v>
      </c>
      <c r="E10338">
        <v>0</v>
      </c>
      <c r="F10338">
        <v>14</v>
      </c>
    </row>
    <row r="10339" spans="1:6" ht="12.75">
      <c r="A10339" s="2">
        <v>43880.667314814811</v>
      </c>
      <c r="B10339" t="str">
        <f>HYPERLINK("https://twitter.com/alln_wlkr","@alln_wlkr")</f>
        <v>@alln_wlkr</v>
      </c>
      <c r="C10339" t="s">
        <v>1407</v>
      </c>
      <c r="D10339">
        <v>5583</v>
      </c>
      <c r="E10339">
        <v>0</v>
      </c>
      <c r="F10339">
        <v>48</v>
      </c>
    </row>
    <row r="10340" spans="1:6" ht="12.75">
      <c r="A10340" s="2">
        <v>43880.667256944449</v>
      </c>
      <c r="B10340" t="str">
        <f>HYPERLINK("https://twitter.com/Ichaaprisya","@Ichaaprisya")</f>
        <v>@Ichaaprisya</v>
      </c>
      <c r="C10340" t="s">
        <v>2692</v>
      </c>
      <c r="D10340">
        <v>882</v>
      </c>
      <c r="E10340">
        <v>0</v>
      </c>
      <c r="F10340">
        <v>351</v>
      </c>
    </row>
    <row r="10341" spans="1:6" ht="12.75">
      <c r="A10341" s="2">
        <v>43880.667199074072</v>
      </c>
      <c r="B10341" t="str">
        <f>HYPERLINK("https://twitter.com/edaneidan","@edaneidan")</f>
        <v>@edaneidan</v>
      </c>
      <c r="C10341" t="s">
        <v>1407</v>
      </c>
      <c r="D10341">
        <v>5583</v>
      </c>
      <c r="E10341">
        <v>0</v>
      </c>
      <c r="F10341">
        <v>267</v>
      </c>
    </row>
    <row r="10342" spans="1:6" ht="12.75">
      <c r="A10342" s="2">
        <v>43880.667013888888</v>
      </c>
      <c r="B10342" t="str">
        <f>HYPERLINK("https://twitter.com/bontang_post","@bontang_post")</f>
        <v>@bontang_post</v>
      </c>
      <c r="C10342" t="s">
        <v>5976</v>
      </c>
      <c r="D10342">
        <v>0</v>
      </c>
      <c r="E10342">
        <v>0</v>
      </c>
      <c r="F10342">
        <v>334</v>
      </c>
    </row>
    <row r="10343" spans="1:6" ht="12.75">
      <c r="A10343" s="2">
        <v>43880.666932870372</v>
      </c>
      <c r="B10343" t="str">
        <f>HYPERLINK("https://twitter.com/medcom_id","@medcom_id")</f>
        <v>@medcom_id</v>
      </c>
      <c r="C10343" t="s">
        <v>5977</v>
      </c>
      <c r="D10343">
        <v>0</v>
      </c>
      <c r="E10343">
        <v>0</v>
      </c>
      <c r="F10343">
        <v>18266</v>
      </c>
    </row>
    <row r="10344" spans="1:6" ht="12.75">
      <c r="A10344" s="2">
        <v>43880.666828703703</v>
      </c>
      <c r="B10344" t="str">
        <f>HYPERLINK("https://twitter.com/myusician","@myusician")</f>
        <v>@myusician</v>
      </c>
      <c r="C10344" t="s">
        <v>1407</v>
      </c>
      <c r="D10344">
        <v>5583</v>
      </c>
      <c r="E10344">
        <v>0</v>
      </c>
      <c r="F10344">
        <v>305</v>
      </c>
    </row>
    <row r="10345" spans="1:6" ht="12.75">
      <c r="A10345" s="2">
        <v>43880.666655092587</v>
      </c>
      <c r="B10345" t="str">
        <f>HYPERLINK("https://twitter.com/XCIVdoux","@XCIVdoux")</f>
        <v>@XCIVdoux</v>
      </c>
      <c r="C10345" t="s">
        <v>1407</v>
      </c>
      <c r="D10345">
        <v>5583</v>
      </c>
      <c r="E10345">
        <v>0</v>
      </c>
      <c r="F10345">
        <v>33</v>
      </c>
    </row>
    <row r="10346" spans="1:6" ht="12.75">
      <c r="A10346" s="2">
        <v>43880.666585648149</v>
      </c>
      <c r="B10346" t="str">
        <f>HYPERLINK("https://twitter.com/tehtareek","@tehtareek")</f>
        <v>@tehtareek</v>
      </c>
      <c r="C10346" t="s">
        <v>1407</v>
      </c>
      <c r="D10346">
        <v>5583</v>
      </c>
      <c r="E10346">
        <v>0</v>
      </c>
      <c r="F10346">
        <v>806</v>
      </c>
    </row>
    <row r="10347" spans="1:6" ht="12.75">
      <c r="A10347" s="2">
        <v>43880.666550925926</v>
      </c>
      <c r="B10347" t="str">
        <f>HYPERLINK("https://twitter.com/catchURcrayon__","@catchURcrayon__")</f>
        <v>@catchURcrayon__</v>
      </c>
      <c r="C10347" t="s">
        <v>2692</v>
      </c>
      <c r="D10347">
        <v>882</v>
      </c>
      <c r="E10347">
        <v>0</v>
      </c>
      <c r="F10347">
        <v>62</v>
      </c>
    </row>
    <row r="10348" spans="1:6" ht="12.75">
      <c r="A10348" s="2">
        <v>43880.666527777779</v>
      </c>
      <c r="B10348" t="str">
        <f>HYPERLINK("https://twitter.com/starrvnight_","@starrvnight_")</f>
        <v>@starrvnight_</v>
      </c>
      <c r="C10348" t="s">
        <v>1407</v>
      </c>
      <c r="D10348">
        <v>5583</v>
      </c>
      <c r="E10348">
        <v>0</v>
      </c>
      <c r="F10348">
        <v>2417</v>
      </c>
    </row>
    <row r="10349" spans="1:6" ht="12.75">
      <c r="A10349" s="2">
        <v>43880.666516203702</v>
      </c>
      <c r="B10349" t="str">
        <f>HYPERLINK("https://twitter.com/zarazettirazr","@zarazettirazr")</f>
        <v>@zarazettirazr</v>
      </c>
      <c r="C10349" t="s">
        <v>5978</v>
      </c>
      <c r="D10349">
        <v>1</v>
      </c>
      <c r="E10349">
        <v>3</v>
      </c>
      <c r="F10349">
        <v>250379</v>
      </c>
    </row>
    <row r="10350" spans="1:6" ht="12.75">
      <c r="A10350" s="2">
        <v>43880.666412037041</v>
      </c>
      <c r="B10350" t="str">
        <f>HYPERLINK("https://twitter.com/tasyadeviana_","@tasyadeviana_")</f>
        <v>@tasyadeviana_</v>
      </c>
      <c r="C10350" t="s">
        <v>1407</v>
      </c>
      <c r="D10350">
        <v>5583</v>
      </c>
      <c r="E10350">
        <v>0</v>
      </c>
      <c r="F10350">
        <v>635</v>
      </c>
    </row>
    <row r="10351" spans="1:6" ht="12.75">
      <c r="A10351" s="2">
        <v>43880.666388888887</v>
      </c>
      <c r="B10351" t="str">
        <f>HYPERLINK("https://twitter.com/acilo","@acilo")</f>
        <v>@acilo</v>
      </c>
      <c r="C10351" t="s">
        <v>1407</v>
      </c>
      <c r="D10351">
        <v>5583</v>
      </c>
      <c r="E10351">
        <v>0</v>
      </c>
      <c r="F10351">
        <v>930</v>
      </c>
    </row>
    <row r="10352" spans="1:6" ht="12.75">
      <c r="A10352" s="2">
        <v>43880.666354166664</v>
      </c>
      <c r="B10352" t="str">
        <f>HYPERLINK("https://twitter.com/NisaJ42029264","@NisaJ42029264")</f>
        <v>@NisaJ42029264</v>
      </c>
      <c r="C10352" t="s">
        <v>5979</v>
      </c>
      <c r="D10352">
        <v>16</v>
      </c>
      <c r="E10352">
        <v>0</v>
      </c>
      <c r="F10352">
        <v>2</v>
      </c>
    </row>
    <row r="10353" spans="1:6" ht="12.75">
      <c r="A10353" s="2">
        <v>43880.666319444441</v>
      </c>
      <c r="B10353" t="str">
        <f>HYPERLINK("https://twitter.com/jungbungeegi","@jungbungeegi")</f>
        <v>@jungbungeegi</v>
      </c>
      <c r="C10353" t="s">
        <v>2692</v>
      </c>
      <c r="D10353">
        <v>882</v>
      </c>
      <c r="E10353">
        <v>0</v>
      </c>
      <c r="F10353">
        <v>409</v>
      </c>
    </row>
    <row r="10354" spans="1:6" ht="12.75">
      <c r="A10354" s="2">
        <v>43880.666273148148</v>
      </c>
      <c r="B10354" t="str">
        <f>HYPERLINK("https://twitter.com/khurinaja","@khurinaja")</f>
        <v>@khurinaja</v>
      </c>
      <c r="C10354" t="s">
        <v>2692</v>
      </c>
      <c r="D10354">
        <v>882</v>
      </c>
      <c r="E10354">
        <v>0</v>
      </c>
      <c r="F10354">
        <v>321</v>
      </c>
    </row>
    <row r="10355" spans="1:6" ht="12.75">
      <c r="A10355" s="2">
        <v>43880.666261574079</v>
      </c>
      <c r="B10355" t="str">
        <f>HYPERLINK("https://twitter.com/andrepradana27","@andrepradana27")</f>
        <v>@andrepradana27</v>
      </c>
      <c r="C10355" t="s">
        <v>1407</v>
      </c>
      <c r="D10355">
        <v>5583</v>
      </c>
      <c r="E10355">
        <v>0</v>
      </c>
      <c r="F10355">
        <v>749</v>
      </c>
    </row>
    <row r="10356" spans="1:6" ht="12.75">
      <c r="A10356" s="2">
        <v>43880.666192129633</v>
      </c>
      <c r="B10356" t="str">
        <f>HYPERLINK("https://twitter.com/ISIS_Balik_NO","@ISIS_Balik_NO")</f>
        <v>@ISIS_Balik_NO</v>
      </c>
      <c r="C10356" t="s">
        <v>5980</v>
      </c>
      <c r="D10356">
        <v>135</v>
      </c>
      <c r="E10356">
        <v>0</v>
      </c>
      <c r="F10356">
        <v>6064</v>
      </c>
    </row>
    <row r="10357" spans="1:6" ht="12.75">
      <c r="A10357" s="2">
        <v>43880.666145833333</v>
      </c>
      <c r="B10357" t="str">
        <f>HYPERLINK("https://twitter.com/kinahahah","@kinahahah")</f>
        <v>@kinahahah</v>
      </c>
      <c r="C10357" t="s">
        <v>1407</v>
      </c>
      <c r="D10357">
        <v>5583</v>
      </c>
      <c r="E10357">
        <v>0</v>
      </c>
      <c r="F10357">
        <v>332</v>
      </c>
    </row>
    <row r="10358" spans="1:6" ht="12.75">
      <c r="A10358" s="2">
        <v>43880.66611111111</v>
      </c>
      <c r="B10358" t="str">
        <f>HYPERLINK("https://twitter.com/qwerty064664422","@qwerty064664422")</f>
        <v>@qwerty064664422</v>
      </c>
      <c r="C10358" t="s">
        <v>1407</v>
      </c>
      <c r="D10358">
        <v>5583</v>
      </c>
      <c r="E10358">
        <v>0</v>
      </c>
      <c r="F10358">
        <v>57</v>
      </c>
    </row>
    <row r="10359" spans="1:6" ht="12.75">
      <c r="A10359" s="2">
        <v>43880.665960648148</v>
      </c>
      <c r="B10359" t="str">
        <f>HYPERLINK("https://twitter.com/Rizbar19","@Rizbar19")</f>
        <v>@Rizbar19</v>
      </c>
      <c r="C10359" t="s">
        <v>1407</v>
      </c>
      <c r="D10359">
        <v>5583</v>
      </c>
      <c r="E10359">
        <v>0</v>
      </c>
      <c r="F10359">
        <v>97</v>
      </c>
    </row>
    <row r="10360" spans="1:6" ht="12.75">
      <c r="A10360" s="2">
        <v>43880.665844907402</v>
      </c>
      <c r="B10360" t="str">
        <f>HYPERLINK("https://twitter.com/rebahan4lyf","@rebahan4lyf")</f>
        <v>@rebahan4lyf</v>
      </c>
      <c r="C10360" t="s">
        <v>1407</v>
      </c>
      <c r="D10360">
        <v>5583</v>
      </c>
      <c r="E10360">
        <v>0</v>
      </c>
      <c r="F10360">
        <v>3839</v>
      </c>
    </row>
    <row r="10361" spans="1:6" ht="12.75">
      <c r="A10361" s="2">
        <v>43880.665833333333</v>
      </c>
      <c r="B10361" t="str">
        <f>HYPERLINK("https://twitter.com/aryudhas","@aryudhas")</f>
        <v>@aryudhas</v>
      </c>
      <c r="C10361" t="s">
        <v>1407</v>
      </c>
      <c r="D10361">
        <v>5583</v>
      </c>
      <c r="E10361">
        <v>0</v>
      </c>
      <c r="F10361">
        <v>277</v>
      </c>
    </row>
    <row r="10362" spans="1:6" ht="12.75">
      <c r="A10362" s="2">
        <v>43880.66574074074</v>
      </c>
      <c r="B10362" t="str">
        <f>HYPERLINK("https://twitter.com/zxneyskies","@zxneyskies")</f>
        <v>@zxneyskies</v>
      </c>
      <c r="C10362" t="s">
        <v>5981</v>
      </c>
      <c r="D10362">
        <v>2</v>
      </c>
      <c r="E10362">
        <v>0</v>
      </c>
      <c r="F10362">
        <v>4177</v>
      </c>
    </row>
    <row r="10363" spans="1:6" ht="12.75">
      <c r="A10363" s="2">
        <v>43880.66574074074</v>
      </c>
      <c r="B10363" t="str">
        <f>HYPERLINK("https://twitter.com/awin_quwin","@awin_quwin")</f>
        <v>@awin_quwin</v>
      </c>
      <c r="C10363" t="s">
        <v>1407</v>
      </c>
      <c r="D10363">
        <v>5583</v>
      </c>
      <c r="E10363">
        <v>0</v>
      </c>
      <c r="F10363">
        <v>180</v>
      </c>
    </row>
    <row r="10364" spans="1:6" ht="12.75">
      <c r="A10364" s="2">
        <v>43880.665601851855</v>
      </c>
      <c r="B10364" t="str">
        <f>HYPERLINK("https://twitter.com/yoondowoongf","@yoondowoongf")</f>
        <v>@yoondowoongf</v>
      </c>
      <c r="C10364" t="s">
        <v>2509</v>
      </c>
      <c r="D10364">
        <v>68</v>
      </c>
      <c r="E10364">
        <v>0</v>
      </c>
      <c r="F10364">
        <v>517</v>
      </c>
    </row>
    <row r="10365" spans="1:6" ht="12.75">
      <c r="A10365" s="2">
        <v>43880.665590277778</v>
      </c>
      <c r="B10365" t="str">
        <f>HYPERLINK("https://twitter.com/_u_knownothing","@_u_knownothing")</f>
        <v>@_u_knownothing</v>
      </c>
      <c r="C10365" t="s">
        <v>1407</v>
      </c>
      <c r="D10365">
        <v>5583</v>
      </c>
      <c r="E10365">
        <v>0</v>
      </c>
      <c r="F10365">
        <v>99</v>
      </c>
    </row>
    <row r="10366" spans="1:6" ht="12.75">
      <c r="A10366" s="2">
        <v>43880.665567129632</v>
      </c>
      <c r="B10366" t="str">
        <f>HYPERLINK("https://twitter.com/DARKESTGALAXY","@DARKESTGALAXY")</f>
        <v>@DARKESTGALAXY</v>
      </c>
      <c r="C10366" t="s">
        <v>1407</v>
      </c>
      <c r="D10366">
        <v>5583</v>
      </c>
      <c r="E10366">
        <v>0</v>
      </c>
      <c r="F10366">
        <v>780</v>
      </c>
    </row>
    <row r="10367" spans="1:6" ht="12.75">
      <c r="A10367" s="2">
        <v>43880.665555555555</v>
      </c>
      <c r="B10367" t="str">
        <f>HYPERLINK("https://twitter.com/terubozeu","@terubozeu")</f>
        <v>@terubozeu</v>
      </c>
      <c r="C10367" t="s">
        <v>1407</v>
      </c>
      <c r="D10367">
        <v>5583</v>
      </c>
      <c r="E10367">
        <v>0</v>
      </c>
      <c r="F10367">
        <v>1877</v>
      </c>
    </row>
    <row r="10368" spans="1:6" ht="12.75">
      <c r="A10368" s="2">
        <v>43880.665486111116</v>
      </c>
      <c r="B10368" t="str">
        <f>HYPERLINK("https://twitter.com/Naya18Na","@Naya18Na")</f>
        <v>@Naya18Na</v>
      </c>
      <c r="C10368" t="s">
        <v>1407</v>
      </c>
      <c r="D10368">
        <v>5583</v>
      </c>
      <c r="E10368">
        <v>0</v>
      </c>
      <c r="F10368">
        <v>218</v>
      </c>
    </row>
    <row r="10369" spans="1:6" ht="12.75">
      <c r="A10369" s="2">
        <v>43880.665462962963</v>
      </c>
      <c r="B10369" t="str">
        <f>HYPERLINK("https://twitter.com/sikoom","@sikoom")</f>
        <v>@sikoom</v>
      </c>
      <c r="C10369" t="s">
        <v>2692</v>
      </c>
      <c r="D10369">
        <v>882</v>
      </c>
      <c r="E10369">
        <v>0</v>
      </c>
      <c r="F10369">
        <v>163</v>
      </c>
    </row>
    <row r="10370" spans="1:6" ht="12.75">
      <c r="A10370" s="2">
        <v>43880.66542824074</v>
      </c>
      <c r="B10370" t="str">
        <f>HYPERLINK("https://twitter.com/prettywuisan","@prettywuisan")</f>
        <v>@prettywuisan</v>
      </c>
      <c r="C10370" t="s">
        <v>2692</v>
      </c>
      <c r="D10370">
        <v>882</v>
      </c>
      <c r="E10370">
        <v>0</v>
      </c>
      <c r="F10370">
        <v>830</v>
      </c>
    </row>
    <row r="10371" spans="1:6" ht="12.75">
      <c r="A10371" s="2">
        <v>43880.665370370371</v>
      </c>
      <c r="B10371" t="str">
        <f>HYPERLINK("https://twitter.com/genceruan","@genceruan")</f>
        <v>@genceruan</v>
      </c>
      <c r="C10371" t="s">
        <v>1407</v>
      </c>
      <c r="D10371">
        <v>5583</v>
      </c>
      <c r="E10371">
        <v>0</v>
      </c>
      <c r="F10371">
        <v>440</v>
      </c>
    </row>
    <row r="10372" spans="1:6" ht="12.75">
      <c r="A10372" s="2">
        <v>43880.665277777778</v>
      </c>
      <c r="B10372" t="str">
        <f>HYPERLINK("https://twitter.com/timunkering","@timunkering")</f>
        <v>@timunkering</v>
      </c>
      <c r="C10372" t="s">
        <v>1407</v>
      </c>
      <c r="D10372">
        <v>5583</v>
      </c>
      <c r="E10372">
        <v>0</v>
      </c>
      <c r="F10372">
        <v>260</v>
      </c>
    </row>
    <row r="10373" spans="1:6" ht="12.75">
      <c r="A10373" s="2">
        <v>43880.665219907409</v>
      </c>
      <c r="B10373" t="str">
        <f>HYPERLINK("https://twitter.com/kOkumiiw","@kOkumiiw")</f>
        <v>@kOkumiiw</v>
      </c>
      <c r="C10373" t="s">
        <v>1407</v>
      </c>
      <c r="D10373">
        <v>5583</v>
      </c>
      <c r="E10373">
        <v>0</v>
      </c>
      <c r="F10373">
        <v>135</v>
      </c>
    </row>
    <row r="10374" spans="1:6" ht="12.75">
      <c r="A10374" s="2">
        <v>43880.665138888886</v>
      </c>
      <c r="B10374" t="str">
        <f>HYPERLINK("https://twitter.com/honeykki_","@honeykki_")</f>
        <v>@honeykki_</v>
      </c>
      <c r="C10374" t="s">
        <v>1407</v>
      </c>
      <c r="D10374">
        <v>5583</v>
      </c>
      <c r="E10374">
        <v>0</v>
      </c>
      <c r="F10374">
        <v>790</v>
      </c>
    </row>
    <row r="10375" spans="1:6" ht="12.75">
      <c r="A10375" s="2">
        <v>43880.66511574074</v>
      </c>
      <c r="B10375" t="str">
        <f>HYPERLINK("https://twitter.com/Andi_sulayman","@Andi_sulayman")</f>
        <v>@Andi_sulayman</v>
      </c>
      <c r="C10375" t="s">
        <v>2692</v>
      </c>
      <c r="D10375">
        <v>882</v>
      </c>
      <c r="E10375">
        <v>0</v>
      </c>
      <c r="F10375">
        <v>1072</v>
      </c>
    </row>
    <row r="10376" spans="1:6" ht="12.75">
      <c r="A10376" s="2">
        <v>43880.665034722224</v>
      </c>
      <c r="B10376" t="str">
        <f>HYPERLINK("https://twitter.com/jahedikupas","@jahedikupas")</f>
        <v>@jahedikupas</v>
      </c>
      <c r="C10376" t="s">
        <v>1407</v>
      </c>
      <c r="D10376">
        <v>5583</v>
      </c>
      <c r="E10376">
        <v>0</v>
      </c>
      <c r="F10376">
        <v>634</v>
      </c>
    </row>
    <row r="10377" spans="1:6" ht="12.75">
      <c r="A10377" s="2">
        <v>43880.664965277778</v>
      </c>
      <c r="B10377" t="str">
        <f>HYPERLINK("https://twitter.com/Aphro_dead","@Aphro_dead")</f>
        <v>@Aphro_dead</v>
      </c>
      <c r="C10377" t="s">
        <v>1407</v>
      </c>
      <c r="D10377">
        <v>5583</v>
      </c>
      <c r="E10377">
        <v>0</v>
      </c>
      <c r="F10377">
        <v>259</v>
      </c>
    </row>
    <row r="10378" spans="1:6" ht="12.75">
      <c r="A10378" s="2">
        <v>43880.664930555555</v>
      </c>
      <c r="B10378" t="str">
        <f>HYPERLINK("https://twitter.com/nurlailaqdrwt","@nurlailaqdrwt")</f>
        <v>@nurlailaqdrwt</v>
      </c>
      <c r="C10378" t="s">
        <v>2692</v>
      </c>
      <c r="D10378">
        <v>882</v>
      </c>
      <c r="E10378">
        <v>0</v>
      </c>
      <c r="F10378">
        <v>301</v>
      </c>
    </row>
    <row r="10379" spans="1:6" ht="12.75">
      <c r="A10379" s="2">
        <v>43880.664930555555</v>
      </c>
      <c r="B10379" t="str">
        <f>HYPERLINK("https://twitter.com/erikphitoyo1","@erikphitoyo1")</f>
        <v>@erikphitoyo1</v>
      </c>
      <c r="C10379" t="s">
        <v>5982</v>
      </c>
      <c r="D10379">
        <v>69</v>
      </c>
      <c r="E10379">
        <v>0</v>
      </c>
      <c r="F10379">
        <v>340</v>
      </c>
    </row>
    <row r="10380" spans="1:6" ht="12.75">
      <c r="A10380" s="2">
        <v>43880.664826388893</v>
      </c>
      <c r="B10380" t="str">
        <f>HYPERLINK("https://twitter.com/guavajuyce","@guavajuyce")</f>
        <v>@guavajuyce</v>
      </c>
      <c r="C10380" t="s">
        <v>1407</v>
      </c>
      <c r="D10380">
        <v>5583</v>
      </c>
      <c r="E10380">
        <v>0</v>
      </c>
      <c r="F10380">
        <v>344</v>
      </c>
    </row>
    <row r="10381" spans="1:6" ht="12.75">
      <c r="A10381" s="2">
        <v>43880.664814814816</v>
      </c>
      <c r="B10381" t="str">
        <f t="shared" ref="B10381:B10382" si="190">HYPERLINK("https://twitter.com/dearestyeolmae","@dearestyeolmae")</f>
        <v>@dearestyeolmae</v>
      </c>
      <c r="C10381" t="s">
        <v>2467</v>
      </c>
      <c r="D10381">
        <v>494</v>
      </c>
      <c r="E10381">
        <v>0</v>
      </c>
      <c r="F10381">
        <v>1202</v>
      </c>
    </row>
    <row r="10382" spans="1:6" ht="12.75">
      <c r="A10382" s="2">
        <v>43880.664710648147</v>
      </c>
      <c r="B10382" t="str">
        <f t="shared" si="190"/>
        <v>@dearestyeolmae</v>
      </c>
      <c r="C10382" t="s">
        <v>1407</v>
      </c>
      <c r="D10382">
        <v>5583</v>
      </c>
      <c r="E10382">
        <v>0</v>
      </c>
      <c r="F10382">
        <v>1202</v>
      </c>
    </row>
    <row r="10383" spans="1:6" ht="12.75">
      <c r="A10383" s="2">
        <v>43880.664687500001</v>
      </c>
      <c r="B10383" t="str">
        <f>HYPERLINK("https://twitter.com/2103_R4CHM4","@2103_R4CHM4")</f>
        <v>@2103_R4CHM4</v>
      </c>
      <c r="C10383" t="s">
        <v>5983</v>
      </c>
      <c r="D10383">
        <v>2</v>
      </c>
      <c r="E10383">
        <v>0</v>
      </c>
      <c r="F10383">
        <v>2428</v>
      </c>
    </row>
    <row r="10384" spans="1:6" ht="12.75">
      <c r="A10384" s="2">
        <v>43880.664664351847</v>
      </c>
      <c r="B10384" t="str">
        <f>HYPERLINK("https://twitter.com/cgurlweet","@cgurlweet")</f>
        <v>@cgurlweet</v>
      </c>
      <c r="C10384" t="s">
        <v>1407</v>
      </c>
      <c r="D10384">
        <v>5583</v>
      </c>
      <c r="E10384">
        <v>0</v>
      </c>
      <c r="F10384">
        <v>664</v>
      </c>
    </row>
    <row r="10385" spans="1:6" ht="12.75">
      <c r="A10385" s="2">
        <v>43880.664583333331</v>
      </c>
      <c r="B10385" t="str">
        <f>HYPERLINK("https://twitter.com/Manisa_Christy","@Manisa_Christy")</f>
        <v>@Manisa_Christy</v>
      </c>
      <c r="C10385" t="s">
        <v>1407</v>
      </c>
      <c r="D10385">
        <v>5583</v>
      </c>
      <c r="E10385">
        <v>0</v>
      </c>
      <c r="F10385">
        <v>768</v>
      </c>
    </row>
    <row r="10386" spans="1:6" ht="12.75">
      <c r="A10386" s="2">
        <v>43880.664525462962</v>
      </c>
      <c r="B10386" t="str">
        <f>HYPERLINK("https://twitter.com/NoContextZano","@NoContextZano")</f>
        <v>@NoContextZano</v>
      </c>
      <c r="C10386" t="s">
        <v>5984</v>
      </c>
      <c r="D10386">
        <v>0</v>
      </c>
      <c r="E10386">
        <v>0</v>
      </c>
      <c r="F10386">
        <v>205</v>
      </c>
    </row>
    <row r="10387" spans="1:6" ht="12.75">
      <c r="A10387" s="2">
        <v>43880.664386574077</v>
      </c>
      <c r="B10387" t="str">
        <f>HYPERLINK("https://twitter.com/Littl3chicken","@Littl3chicken")</f>
        <v>@Littl3chicken</v>
      </c>
      <c r="C10387" t="s">
        <v>1407</v>
      </c>
      <c r="D10387">
        <v>5583</v>
      </c>
      <c r="E10387">
        <v>0</v>
      </c>
      <c r="F10387">
        <v>880</v>
      </c>
    </row>
    <row r="10388" spans="1:6" ht="12.75">
      <c r="A10388" s="2">
        <v>43880.664363425924</v>
      </c>
      <c r="B10388" t="str">
        <f>HYPERLINK("https://twitter.com/keumad","@keumad")</f>
        <v>@keumad</v>
      </c>
      <c r="C10388" t="s">
        <v>5168</v>
      </c>
      <c r="D10388">
        <v>1666</v>
      </c>
      <c r="E10388">
        <v>0</v>
      </c>
      <c r="F10388">
        <v>320</v>
      </c>
    </row>
    <row r="10389" spans="1:6" ht="12.75">
      <c r="A10389" s="2">
        <v>43880.664340277777</v>
      </c>
      <c r="B10389" t="str">
        <f>HYPERLINK("https://twitter.com/najunkyu","@najunkyu")</f>
        <v>@najunkyu</v>
      </c>
      <c r="C10389" t="s">
        <v>1407</v>
      </c>
      <c r="D10389">
        <v>5583</v>
      </c>
      <c r="E10389">
        <v>0</v>
      </c>
      <c r="F10389">
        <v>1172</v>
      </c>
    </row>
    <row r="10390" spans="1:6" ht="12.75">
      <c r="A10390" s="2">
        <v>43880.664270833338</v>
      </c>
      <c r="B10390" t="str">
        <f>HYPERLINK("https://twitter.com/AwsumMen","@AwsumMen")</f>
        <v>@AwsumMen</v>
      </c>
      <c r="C10390" t="s">
        <v>2768</v>
      </c>
      <c r="D10390">
        <v>39</v>
      </c>
      <c r="E10390">
        <v>0</v>
      </c>
      <c r="F10390">
        <v>1984</v>
      </c>
    </row>
    <row r="10391" spans="1:6" ht="12.75">
      <c r="A10391" s="2">
        <v>43880.664212962962</v>
      </c>
      <c r="B10391" t="str">
        <f>HYPERLINK("https://twitter.com/101derajat","@101derajat")</f>
        <v>@101derajat</v>
      </c>
      <c r="C10391" t="s">
        <v>1407</v>
      </c>
      <c r="D10391">
        <v>5583</v>
      </c>
      <c r="E10391">
        <v>0</v>
      </c>
      <c r="F10391">
        <v>142</v>
      </c>
    </row>
    <row r="10392" spans="1:6" ht="12.75">
      <c r="A10392" s="2">
        <v>43880.664189814815</v>
      </c>
      <c r="B10392" t="str">
        <f>HYPERLINK("https://twitter.com/2103_R4CHM4","@2103_R4CHM4")</f>
        <v>@2103_R4CHM4</v>
      </c>
      <c r="C10392" t="s">
        <v>5985</v>
      </c>
      <c r="D10392">
        <v>2</v>
      </c>
      <c r="E10392">
        <v>0</v>
      </c>
      <c r="F10392">
        <v>2428</v>
      </c>
    </row>
    <row r="10393" spans="1:6" ht="12.75">
      <c r="A10393" s="2">
        <v>43880.664178240739</v>
      </c>
      <c r="B10393" t="str">
        <f>HYPERLINK("https://twitter.com/awie_albetawie","@awie_albetawie")</f>
        <v>@awie_albetawie</v>
      </c>
      <c r="C10393" t="s">
        <v>5203</v>
      </c>
      <c r="D10393">
        <v>53</v>
      </c>
      <c r="E10393">
        <v>0</v>
      </c>
      <c r="F10393">
        <v>1786</v>
      </c>
    </row>
    <row r="10394" spans="1:6" ht="12.75">
      <c r="A10394" s="2">
        <v>43880.663923611108</v>
      </c>
      <c r="B10394" t="str">
        <f>HYPERLINK("https://twitter.com/fartypeeps","@fartypeeps")</f>
        <v>@fartypeeps</v>
      </c>
      <c r="C10394" t="s">
        <v>513</v>
      </c>
      <c r="D10394">
        <v>23153</v>
      </c>
      <c r="E10394">
        <v>0</v>
      </c>
      <c r="F10394">
        <v>438</v>
      </c>
    </row>
    <row r="10395" spans="1:6" ht="12.75">
      <c r="A10395" s="2">
        <v>43880.663900462961</v>
      </c>
      <c r="B10395" t="str">
        <f>HYPERLINK("https://twitter.com/DilianaPertiwi","@DilianaPertiwi")</f>
        <v>@DilianaPertiwi</v>
      </c>
      <c r="C10395" t="s">
        <v>2692</v>
      </c>
      <c r="D10395">
        <v>882</v>
      </c>
      <c r="E10395">
        <v>0</v>
      </c>
      <c r="F10395">
        <v>854</v>
      </c>
    </row>
    <row r="10396" spans="1:6" ht="12.75">
      <c r="A10396" s="2">
        <v>43880.663831018523</v>
      </c>
      <c r="B10396" t="str">
        <f>HYPERLINK("https://twitter.com/chelnle","@chelnle")</f>
        <v>@chelnle</v>
      </c>
      <c r="C10396" t="s">
        <v>2692</v>
      </c>
      <c r="D10396">
        <v>882</v>
      </c>
      <c r="E10396">
        <v>0</v>
      </c>
      <c r="F10396">
        <v>3601</v>
      </c>
    </row>
    <row r="10397" spans="1:6" ht="12.75">
      <c r="A10397" s="2">
        <v>43880.663726851853</v>
      </c>
      <c r="B10397" t="str">
        <f>HYPERLINK("https://twitter.com/KongReds","@KongReds")</f>
        <v>@KongReds</v>
      </c>
      <c r="C10397" t="s">
        <v>2692</v>
      </c>
      <c r="D10397">
        <v>882</v>
      </c>
      <c r="E10397">
        <v>0</v>
      </c>
      <c r="F10397">
        <v>1095</v>
      </c>
    </row>
    <row r="10398" spans="1:6" ht="12.75">
      <c r="A10398" s="2">
        <v>43880.663634259261</v>
      </c>
      <c r="B10398" t="str">
        <f>HYPERLINK("https://twitter.com/wibowodwicahyo","@wibowodwicahyo")</f>
        <v>@wibowodwicahyo</v>
      </c>
      <c r="C10398" t="s">
        <v>5986</v>
      </c>
      <c r="D10398">
        <v>7</v>
      </c>
      <c r="E10398">
        <v>0</v>
      </c>
      <c r="F10398">
        <v>553</v>
      </c>
    </row>
    <row r="10399" spans="1:6" ht="12.75">
      <c r="A10399" s="2">
        <v>43880.663611111115</v>
      </c>
      <c r="B10399" t="str">
        <f>HYPERLINK("https://twitter.com/Tulang_Godang","@Tulang_Godang")</f>
        <v>@Tulang_Godang</v>
      </c>
      <c r="C10399" t="s">
        <v>4415</v>
      </c>
      <c r="D10399">
        <v>108</v>
      </c>
      <c r="E10399">
        <v>0</v>
      </c>
      <c r="F10399">
        <v>571</v>
      </c>
    </row>
    <row r="10400" spans="1:6" ht="12.75">
      <c r="A10400" s="2">
        <v>43880.663576388892</v>
      </c>
      <c r="B10400" t="str">
        <f>HYPERLINK("https://twitter.com/AraaKim__","@AraaKim__")</f>
        <v>@AraaKim__</v>
      </c>
      <c r="C10400" t="s">
        <v>1407</v>
      </c>
      <c r="D10400">
        <v>5583</v>
      </c>
      <c r="E10400">
        <v>0</v>
      </c>
      <c r="F10400">
        <v>520</v>
      </c>
    </row>
    <row r="10401" spans="1:6" ht="12.75">
      <c r="A10401" s="2">
        <v>43880.663472222222</v>
      </c>
      <c r="B10401" t="str">
        <f>HYPERLINK("https://twitter.com/bxxinfullsun","@bxxinfullsun")</f>
        <v>@bxxinfullsun</v>
      </c>
      <c r="C10401" t="s">
        <v>1407</v>
      </c>
      <c r="D10401">
        <v>5583</v>
      </c>
      <c r="E10401">
        <v>0</v>
      </c>
      <c r="F10401">
        <v>1004</v>
      </c>
    </row>
    <row r="10402" spans="1:6" ht="12.75">
      <c r="A10402" s="2">
        <v>43880.663414351853</v>
      </c>
      <c r="B10402" t="str">
        <f>HYPERLINK("https://twitter.com/caelinnnslp","@caelinnnslp")</f>
        <v>@caelinnnslp</v>
      </c>
      <c r="C10402" t="s">
        <v>2692</v>
      </c>
      <c r="D10402">
        <v>882</v>
      </c>
      <c r="E10402">
        <v>0</v>
      </c>
      <c r="F10402">
        <v>1624</v>
      </c>
    </row>
    <row r="10403" spans="1:6" ht="12.75">
      <c r="A10403" s="2">
        <v>43880.663275462968</v>
      </c>
      <c r="B10403" t="str">
        <f>HYPERLINK("https://twitter.com/JacksQuevara","@JacksQuevara")</f>
        <v>@JacksQuevara</v>
      </c>
      <c r="C10403" t="s">
        <v>5824</v>
      </c>
      <c r="D10403">
        <v>8</v>
      </c>
      <c r="E10403">
        <v>0</v>
      </c>
      <c r="F10403">
        <v>1041</v>
      </c>
    </row>
    <row r="10404" spans="1:6" ht="12.75">
      <c r="A10404" s="2">
        <v>43880.663217592592</v>
      </c>
      <c r="B10404" t="str">
        <f>HYPERLINK("https://twitter.com/saltedwedges","@saltedwedges")</f>
        <v>@saltedwedges</v>
      </c>
      <c r="C10404" t="s">
        <v>1407</v>
      </c>
      <c r="D10404">
        <v>5583</v>
      </c>
      <c r="E10404">
        <v>0</v>
      </c>
      <c r="F10404">
        <v>601</v>
      </c>
    </row>
    <row r="10405" spans="1:6" ht="12.75">
      <c r="A10405" s="2">
        <v>43880.663206018522</v>
      </c>
      <c r="B10405" t="str">
        <f>HYPERLINK("https://twitter.com/EisforEby","@EisforEby")</f>
        <v>@EisforEby</v>
      </c>
      <c r="C10405" t="s">
        <v>2692</v>
      </c>
      <c r="D10405">
        <v>882</v>
      </c>
      <c r="E10405">
        <v>0</v>
      </c>
      <c r="F10405">
        <v>679</v>
      </c>
    </row>
    <row r="10406" spans="1:6" ht="12.75">
      <c r="A10406" s="2">
        <v>43880.663159722222</v>
      </c>
      <c r="B10406" t="str">
        <f>HYPERLINK("https://twitter.com/wibowodwicahyo","@wibowodwicahyo")</f>
        <v>@wibowodwicahyo</v>
      </c>
      <c r="C10406" t="s">
        <v>5987</v>
      </c>
      <c r="D10406">
        <v>8</v>
      </c>
      <c r="E10406">
        <v>0</v>
      </c>
      <c r="F10406">
        <v>553</v>
      </c>
    </row>
    <row r="10407" spans="1:6" ht="12.75">
      <c r="A10407" s="2">
        <v>43880.663124999999</v>
      </c>
      <c r="B10407" t="str">
        <f>HYPERLINK("https://twitter.com/bdg_langitbiru","@bdg_langitbiru")</f>
        <v>@bdg_langitbiru</v>
      </c>
      <c r="C10407" t="s">
        <v>1407</v>
      </c>
      <c r="D10407">
        <v>5583</v>
      </c>
      <c r="E10407">
        <v>0</v>
      </c>
      <c r="F10407">
        <v>549</v>
      </c>
    </row>
    <row r="10408" spans="1:6" ht="12.75">
      <c r="A10408" s="2">
        <v>43880.66306712963</v>
      </c>
      <c r="B10408" t="str">
        <f>HYPERLINK("https://twitter.com/sxxxofme131","@sxxxofme131")</f>
        <v>@sxxxofme131</v>
      </c>
      <c r="C10408" t="s">
        <v>5981</v>
      </c>
      <c r="D10408">
        <v>2</v>
      </c>
      <c r="E10408">
        <v>0</v>
      </c>
      <c r="F10408">
        <v>3280</v>
      </c>
    </row>
    <row r="10409" spans="1:6" ht="12.75">
      <c r="A10409" s="2">
        <v>43880.66300925926</v>
      </c>
      <c r="B10409" t="str">
        <f>HYPERLINK("https://twitter.com/hilmarabbani","@hilmarabbani")</f>
        <v>@hilmarabbani</v>
      </c>
      <c r="C10409" t="s">
        <v>1407</v>
      </c>
      <c r="D10409">
        <v>5583</v>
      </c>
      <c r="E10409">
        <v>0</v>
      </c>
      <c r="F10409">
        <v>52</v>
      </c>
    </row>
    <row r="10410" spans="1:6" ht="12.75">
      <c r="A10410" s="2">
        <v>43880.662986111114</v>
      </c>
      <c r="B10410" t="str">
        <f>HYPERLINK("https://twitter.com/sxxxofme131","@sxxxofme131")</f>
        <v>@sxxxofme131</v>
      </c>
      <c r="C10410" t="s">
        <v>5988</v>
      </c>
      <c r="D10410">
        <v>1</v>
      </c>
      <c r="E10410">
        <v>0</v>
      </c>
      <c r="F10410">
        <v>3280</v>
      </c>
    </row>
    <row r="10411" spans="1:6" ht="12.75">
      <c r="A10411" s="2">
        <v>43880.662962962961</v>
      </c>
      <c r="B10411" t="str">
        <f>HYPERLINK("https://twitter.com/wibowodwicahyo","@wibowodwicahyo")</f>
        <v>@wibowodwicahyo</v>
      </c>
      <c r="C10411" t="s">
        <v>5989</v>
      </c>
      <c r="D10411">
        <v>81</v>
      </c>
      <c r="E10411">
        <v>0</v>
      </c>
      <c r="F10411">
        <v>553</v>
      </c>
    </row>
    <row r="10412" spans="1:6" ht="12.75">
      <c r="A10412" s="2">
        <v>43880.662951388891</v>
      </c>
      <c r="B10412" t="str">
        <f>HYPERLINK("https://twitter.com/ryeostars","@ryeostars")</f>
        <v>@ryeostars</v>
      </c>
      <c r="C10412" t="s">
        <v>2183</v>
      </c>
      <c r="D10412">
        <v>147</v>
      </c>
      <c r="E10412">
        <v>0</v>
      </c>
      <c r="F10412">
        <v>870</v>
      </c>
    </row>
    <row r="10413" spans="1:6" ht="12.75">
      <c r="A10413" s="2">
        <v>43880.662939814814</v>
      </c>
      <c r="B10413" t="str">
        <f>HYPERLINK("https://twitter.com/sxxxofme131","@sxxxofme131")</f>
        <v>@sxxxofme131</v>
      </c>
      <c r="C10413" t="s">
        <v>5323</v>
      </c>
      <c r="D10413">
        <v>3</v>
      </c>
      <c r="E10413">
        <v>0</v>
      </c>
      <c r="F10413">
        <v>3280</v>
      </c>
    </row>
    <row r="10414" spans="1:6" ht="12.75">
      <c r="A10414" s="2">
        <v>43880.662905092591</v>
      </c>
      <c r="B10414" t="str">
        <f>HYPERLINK("https://twitter.com/raeraeyaa","@raeraeyaa")</f>
        <v>@raeraeyaa</v>
      </c>
      <c r="C10414" t="s">
        <v>1407</v>
      </c>
      <c r="D10414">
        <v>5583</v>
      </c>
      <c r="E10414">
        <v>0</v>
      </c>
      <c r="F10414">
        <v>74</v>
      </c>
    </row>
    <row r="10415" spans="1:6" ht="12.75">
      <c r="A10415" s="2">
        <v>43880.662905092591</v>
      </c>
      <c r="B10415" t="str">
        <f>HYPERLINK("https://twitter.com/sxxxofme131","@sxxxofme131")</f>
        <v>@sxxxofme131</v>
      </c>
      <c r="C10415" t="s">
        <v>5554</v>
      </c>
      <c r="D10415">
        <v>10</v>
      </c>
      <c r="E10415">
        <v>0</v>
      </c>
      <c r="F10415">
        <v>3280</v>
      </c>
    </row>
    <row r="10416" spans="1:6" ht="12.75">
      <c r="A10416" s="2">
        <v>43880.662893518514</v>
      </c>
      <c r="B10416" t="str">
        <f>HYPERLINK("https://twitter.com/embohhsopo","@embohhsopo")</f>
        <v>@embohhsopo</v>
      </c>
      <c r="C10416" t="s">
        <v>1407</v>
      </c>
      <c r="D10416">
        <v>5583</v>
      </c>
      <c r="E10416">
        <v>0</v>
      </c>
      <c r="F10416">
        <v>309</v>
      </c>
    </row>
    <row r="10417" spans="1:6" ht="12.75">
      <c r="A10417" s="2">
        <v>43880.662870370375</v>
      </c>
      <c r="B10417" t="str">
        <f>HYPERLINK("https://twitter.com/gladiolusjaemin","@gladiolusjaemin")</f>
        <v>@gladiolusjaemin</v>
      </c>
      <c r="C10417" t="s">
        <v>1407</v>
      </c>
      <c r="D10417">
        <v>5583</v>
      </c>
      <c r="E10417">
        <v>0</v>
      </c>
      <c r="F10417">
        <v>541</v>
      </c>
    </row>
    <row r="10418" spans="1:6" ht="12.75">
      <c r="A10418" s="2">
        <v>43880.662870370375</v>
      </c>
      <c r="B10418" t="str">
        <f>HYPERLINK("https://twitter.com/ryeostars","@ryeostars")</f>
        <v>@ryeostars</v>
      </c>
      <c r="C10418" t="s">
        <v>2467</v>
      </c>
      <c r="D10418">
        <v>494</v>
      </c>
      <c r="E10418">
        <v>0</v>
      </c>
      <c r="F10418">
        <v>870</v>
      </c>
    </row>
    <row r="10419" spans="1:6" ht="12.75">
      <c r="A10419" s="2">
        <v>43880.662858796291</v>
      </c>
      <c r="B10419" t="str">
        <f>HYPERLINK("https://twitter.com/sxxxofme131","@sxxxofme131")</f>
        <v>@sxxxofme131</v>
      </c>
      <c r="C10419" t="s">
        <v>5555</v>
      </c>
      <c r="D10419">
        <v>9</v>
      </c>
      <c r="E10419">
        <v>0</v>
      </c>
      <c r="F10419">
        <v>3280</v>
      </c>
    </row>
    <row r="10420" spans="1:6" ht="12.75">
      <c r="A10420" s="2">
        <v>43880.662847222222</v>
      </c>
      <c r="B10420" t="str">
        <f>HYPERLINK("https://twitter.com/skyr0cketed","@skyr0cketed")</f>
        <v>@skyr0cketed</v>
      </c>
      <c r="C10420" t="s">
        <v>1407</v>
      </c>
      <c r="D10420">
        <v>5583</v>
      </c>
      <c r="E10420">
        <v>0</v>
      </c>
      <c r="F10420">
        <v>319</v>
      </c>
    </row>
    <row r="10421" spans="1:6" ht="12.75">
      <c r="A10421" s="2">
        <v>43880.662835648152</v>
      </c>
      <c r="B10421" t="str">
        <f>HYPERLINK("https://twitter.com/sxxxofme131","@sxxxofme131")</f>
        <v>@sxxxofme131</v>
      </c>
      <c r="C10421" t="s">
        <v>2509</v>
      </c>
      <c r="D10421">
        <v>68</v>
      </c>
      <c r="E10421">
        <v>0</v>
      </c>
      <c r="F10421">
        <v>3280</v>
      </c>
    </row>
    <row r="10422" spans="1:6" ht="12.75">
      <c r="A10422" s="2">
        <v>43880.626574074078</v>
      </c>
      <c r="B10422" t="str">
        <f>HYPERLINK("https://twitter.com/fitri_0214","@fitri_0214")</f>
        <v>@fitri_0214</v>
      </c>
      <c r="C10422" t="s">
        <v>2467</v>
      </c>
      <c r="D10422">
        <v>419</v>
      </c>
      <c r="E10422">
        <v>0</v>
      </c>
      <c r="F10422">
        <v>41</v>
      </c>
    </row>
    <row r="10423" spans="1:6" ht="12.75">
      <c r="A10423" s="2">
        <v>43880.626296296294</v>
      </c>
      <c r="B10423" t="str">
        <f>HYPERLINK("https://twitter.com/chenawoo","@chenawoo")</f>
        <v>@chenawoo</v>
      </c>
      <c r="C10423" t="s">
        <v>1407</v>
      </c>
      <c r="D10423">
        <v>5051</v>
      </c>
      <c r="E10423">
        <v>0</v>
      </c>
      <c r="F10423">
        <v>204</v>
      </c>
    </row>
    <row r="10424" spans="1:6" ht="12.75">
      <c r="A10424" s="2">
        <v>43880.626192129625</v>
      </c>
      <c r="B10424" t="str">
        <f>HYPERLINK("https://twitter.com/jjaenindaeyo","@jjaenindaeyo")</f>
        <v>@jjaenindaeyo</v>
      </c>
      <c r="C10424" t="s">
        <v>1407</v>
      </c>
      <c r="D10424">
        <v>5051</v>
      </c>
      <c r="E10424">
        <v>0</v>
      </c>
      <c r="F10424">
        <v>550</v>
      </c>
    </row>
    <row r="10425" spans="1:6" ht="12.75">
      <c r="A10425" s="2">
        <v>43880.626180555555</v>
      </c>
      <c r="B10425" t="str">
        <f>HYPERLINK("https://twitter.com/arre13arie","@arre13arie")</f>
        <v>@arre13arie</v>
      </c>
      <c r="C10425" t="s">
        <v>2692</v>
      </c>
      <c r="D10425">
        <v>777</v>
      </c>
      <c r="E10425">
        <v>0</v>
      </c>
      <c r="F10425">
        <v>268</v>
      </c>
    </row>
    <row r="10426" spans="1:6" ht="12.75">
      <c r="A10426" s="2">
        <v>43880.626087962963</v>
      </c>
      <c r="B10426" t="str">
        <f>HYPERLINK("https://twitter.com/somewhereserene","@somewhereserene")</f>
        <v>@somewhereserene</v>
      </c>
      <c r="C10426" t="s">
        <v>2692</v>
      </c>
      <c r="D10426">
        <v>777</v>
      </c>
      <c r="E10426">
        <v>0</v>
      </c>
      <c r="F10426">
        <v>326</v>
      </c>
    </row>
    <row r="10427" spans="1:6" ht="12.75">
      <c r="A10427" s="2">
        <v>43880.62605324074</v>
      </c>
      <c r="B10427" t="str">
        <f>HYPERLINK("https://twitter.com/winterwithloey","@winterwithloey")</f>
        <v>@winterwithloey</v>
      </c>
      <c r="C10427" t="s">
        <v>1407</v>
      </c>
      <c r="D10427">
        <v>5051</v>
      </c>
      <c r="E10427">
        <v>0</v>
      </c>
      <c r="F10427">
        <v>891</v>
      </c>
    </row>
    <row r="10428" spans="1:6" ht="12.75">
      <c r="A10428" s="2">
        <v>43880.626018518524</v>
      </c>
      <c r="B10428" t="str">
        <f>HYPERLINK("https://twitter.com/anisanurulaida","@anisanurulaida")</f>
        <v>@anisanurulaida</v>
      </c>
      <c r="C10428" t="s">
        <v>5990</v>
      </c>
      <c r="D10428">
        <v>1</v>
      </c>
      <c r="E10428">
        <v>0</v>
      </c>
      <c r="F10428">
        <v>661</v>
      </c>
    </row>
    <row r="10429" spans="1:6" ht="12.75">
      <c r="A10429" s="2">
        <v>43880.62600694444</v>
      </c>
      <c r="B10429" t="str">
        <f>HYPERLINK("https://twitter.com/kemusuhan","@kemusuhan")</f>
        <v>@kemusuhan</v>
      </c>
      <c r="C10429" t="s">
        <v>5991</v>
      </c>
      <c r="D10429">
        <v>4</v>
      </c>
      <c r="E10429">
        <v>0</v>
      </c>
      <c r="F10429">
        <v>315</v>
      </c>
    </row>
    <row r="10430" spans="1:6" ht="12.75">
      <c r="A10430" s="2">
        <v>43880.625925925924</v>
      </c>
      <c r="B10430" t="str">
        <f>HYPERLINK("https://twitter.com/anggadiptaray","@anggadiptaray")</f>
        <v>@anggadiptaray</v>
      </c>
      <c r="C10430" t="s">
        <v>1407</v>
      </c>
      <c r="D10430">
        <v>5051</v>
      </c>
      <c r="E10430">
        <v>0</v>
      </c>
      <c r="F10430">
        <v>402</v>
      </c>
    </row>
    <row r="10431" spans="1:6" ht="12.75">
      <c r="A10431" s="2">
        <v>43880.625821759255</v>
      </c>
      <c r="B10431" t="str">
        <f>HYPERLINK("https://twitter.com/tempodotco","@tempodotco")</f>
        <v>@tempodotco</v>
      </c>
      <c r="C10431" t="s">
        <v>5992</v>
      </c>
      <c r="D10431">
        <v>1</v>
      </c>
      <c r="E10431">
        <v>2</v>
      </c>
      <c r="F10431">
        <v>1706344</v>
      </c>
    </row>
    <row r="10432" spans="1:6" ht="12.75">
      <c r="A10432" s="2">
        <v>43880.625821759255</v>
      </c>
      <c r="B10432" t="str">
        <f t="shared" ref="B10432:B10433" si="191">HYPERLINK("https://twitter.com/Media_linked","@Media_linked")</f>
        <v>@Media_linked</v>
      </c>
      <c r="C10432" t="s">
        <v>5993</v>
      </c>
      <c r="D10432">
        <v>0</v>
      </c>
      <c r="E10432">
        <v>0</v>
      </c>
      <c r="F10432">
        <v>174</v>
      </c>
    </row>
    <row r="10433" spans="1:6" ht="12.75">
      <c r="A10433" s="2">
        <v>43880.625810185185</v>
      </c>
      <c r="B10433" t="str">
        <f t="shared" si="191"/>
        <v>@Media_linked</v>
      </c>
      <c r="C10433" t="s">
        <v>5994</v>
      </c>
      <c r="D10433">
        <v>0</v>
      </c>
      <c r="E10433">
        <v>0</v>
      </c>
      <c r="F10433">
        <v>174</v>
      </c>
    </row>
    <row r="10434" spans="1:6" ht="12.75">
      <c r="A10434" s="2">
        <v>43880.62568287037</v>
      </c>
      <c r="B10434" t="str">
        <f>HYPERLINK("https://twitter.com/yuubuw","@yuubuw")</f>
        <v>@yuubuw</v>
      </c>
      <c r="C10434" t="s">
        <v>1407</v>
      </c>
      <c r="D10434">
        <v>5051</v>
      </c>
      <c r="E10434">
        <v>0</v>
      </c>
      <c r="F10434">
        <v>2675</v>
      </c>
    </row>
    <row r="10435" spans="1:6" ht="12.75">
      <c r="A10435" s="2">
        <v>43880.625648148147</v>
      </c>
      <c r="B10435" t="str">
        <f>HYPERLINK("https://twitter.com/lulluralla_","@lulluralla_")</f>
        <v>@lulluralla_</v>
      </c>
      <c r="C10435" t="s">
        <v>2183</v>
      </c>
      <c r="D10435">
        <v>119</v>
      </c>
      <c r="E10435">
        <v>0</v>
      </c>
      <c r="F10435">
        <v>224</v>
      </c>
    </row>
    <row r="10436" spans="1:6" ht="12.75">
      <c r="A10436" s="2">
        <v>43880.625601851847</v>
      </c>
      <c r="B10436" t="str">
        <f>HYPERLINK("https://twitter.com/bilatteon","@bilatteon")</f>
        <v>@bilatteon</v>
      </c>
      <c r="C10436" t="s">
        <v>1407</v>
      </c>
      <c r="D10436">
        <v>5051</v>
      </c>
      <c r="E10436">
        <v>0</v>
      </c>
      <c r="F10436">
        <v>344</v>
      </c>
    </row>
    <row r="10437" spans="1:6" ht="12.75">
      <c r="A10437" s="2">
        <v>43880.625532407408</v>
      </c>
      <c r="B10437" t="str">
        <f>HYPERLINK("https://twitter.com/earlrahman_","@earlrahman_")</f>
        <v>@earlrahman_</v>
      </c>
      <c r="C10437" t="s">
        <v>5995</v>
      </c>
      <c r="D10437">
        <v>3</v>
      </c>
      <c r="E10437">
        <v>0</v>
      </c>
      <c r="F10437">
        <v>300</v>
      </c>
    </row>
    <row r="10438" spans="1:6" ht="12.75">
      <c r="A10438" s="2">
        <v>43880.625486111108</v>
      </c>
      <c r="B10438" t="str">
        <f>HYPERLINK("https://twitter.com/echoadez","@echoadez")</f>
        <v>@echoadez</v>
      </c>
      <c r="C10438" t="s">
        <v>1407</v>
      </c>
      <c r="D10438">
        <v>5051</v>
      </c>
      <c r="E10438">
        <v>0</v>
      </c>
      <c r="F10438">
        <v>126</v>
      </c>
    </row>
    <row r="10439" spans="1:6" ht="12.75">
      <c r="A10439" s="2">
        <v>43880.625474537039</v>
      </c>
      <c r="B10439" t="str">
        <f>HYPERLINK("https://twitter.com/rizkiahrizauha","@rizkiahrizauha")</f>
        <v>@rizkiahrizauha</v>
      </c>
      <c r="C10439" t="s">
        <v>1407</v>
      </c>
      <c r="D10439">
        <v>5051</v>
      </c>
      <c r="E10439">
        <v>0</v>
      </c>
      <c r="F10439">
        <v>188</v>
      </c>
    </row>
    <row r="10440" spans="1:6" ht="12.75">
      <c r="A10440" s="2">
        <v>43880.625393518523</v>
      </c>
      <c r="B10440" t="str">
        <f>HYPERLINK("https://twitter.com/dandiirzani","@dandiirzani")</f>
        <v>@dandiirzani</v>
      </c>
      <c r="C10440" t="s">
        <v>1407</v>
      </c>
      <c r="D10440">
        <v>5051</v>
      </c>
      <c r="E10440">
        <v>0</v>
      </c>
      <c r="F10440">
        <v>806</v>
      </c>
    </row>
    <row r="10441" spans="1:6" ht="12.75">
      <c r="A10441" s="2">
        <v>43880.625347222223</v>
      </c>
      <c r="B10441" t="str">
        <f>HYPERLINK("https://twitter.com/HannafNurul","@HannafNurul")</f>
        <v>@HannafNurul</v>
      </c>
      <c r="C10441" t="s">
        <v>5715</v>
      </c>
      <c r="D10441">
        <v>35</v>
      </c>
      <c r="E10441">
        <v>0</v>
      </c>
      <c r="F10441">
        <v>210</v>
      </c>
    </row>
    <row r="10442" spans="1:6" ht="12.75">
      <c r="A10442" s="2">
        <v>43880.625277777777</v>
      </c>
      <c r="B10442" t="str">
        <f>HYPERLINK("https://twitter.com/IrfanRiansyahhh","@IrfanRiansyahhh")</f>
        <v>@IrfanRiansyahhh</v>
      </c>
      <c r="C10442" t="s">
        <v>2692</v>
      </c>
      <c r="D10442">
        <v>777</v>
      </c>
      <c r="E10442">
        <v>0</v>
      </c>
      <c r="F10442">
        <v>5658</v>
      </c>
    </row>
    <row r="10443" spans="1:6" ht="12.75">
      <c r="A10443" s="2">
        <v>43880.625196759254</v>
      </c>
      <c r="B10443" t="str">
        <f>HYPERLINK("https://twitter.com/RatihKemalaDew2","@RatihKemalaDew2")</f>
        <v>@RatihKemalaDew2</v>
      </c>
      <c r="C10443" t="s">
        <v>5996</v>
      </c>
      <c r="D10443">
        <v>0</v>
      </c>
      <c r="E10443">
        <v>0</v>
      </c>
      <c r="F10443">
        <v>98</v>
      </c>
    </row>
    <row r="10444" spans="1:6" ht="12.75">
      <c r="A10444" s="2">
        <v>43880.625092592592</v>
      </c>
      <c r="B10444" t="str">
        <f>HYPERLINK("https://twitter.com/karimasasa","@karimasasa")</f>
        <v>@karimasasa</v>
      </c>
      <c r="C10444" t="s">
        <v>2692</v>
      </c>
      <c r="D10444">
        <v>777</v>
      </c>
      <c r="E10444">
        <v>0</v>
      </c>
      <c r="F10444">
        <v>681</v>
      </c>
    </row>
    <row r="10445" spans="1:6" ht="12.75">
      <c r="A10445" s="2">
        <v>43880.625</v>
      </c>
      <c r="B10445" t="str">
        <f>HYPERLINK("https://twitter.com/MeTubeID","@MeTubeID")</f>
        <v>@MeTubeID</v>
      </c>
      <c r="C10445" t="s">
        <v>5997</v>
      </c>
      <c r="D10445">
        <v>0</v>
      </c>
      <c r="E10445">
        <v>0</v>
      </c>
      <c r="F10445">
        <v>6298</v>
      </c>
    </row>
    <row r="10446" spans="1:6" ht="12.75">
      <c r="A10446" s="2">
        <v>43880.624942129631</v>
      </c>
      <c r="B10446" t="str">
        <f>HYPERLINK("https://twitter.com/ucandoitfwends","@ucandoitfwends")</f>
        <v>@ucandoitfwends</v>
      </c>
      <c r="C10446" t="s">
        <v>1407</v>
      </c>
      <c r="D10446">
        <v>5051</v>
      </c>
      <c r="E10446">
        <v>0</v>
      </c>
      <c r="F10446">
        <v>1336</v>
      </c>
    </row>
    <row r="10447" spans="1:6" ht="12.75">
      <c r="A10447" s="2">
        <v>43880.624918981484</v>
      </c>
      <c r="B10447" t="str">
        <f>HYPERLINK("https://twitter.com/yunitaayunina","@yunitaayunina")</f>
        <v>@yunitaayunina</v>
      </c>
      <c r="C10447" t="s">
        <v>1407</v>
      </c>
      <c r="D10447">
        <v>5051</v>
      </c>
      <c r="E10447">
        <v>0</v>
      </c>
      <c r="F10447">
        <v>1212</v>
      </c>
    </row>
    <row r="10448" spans="1:6" ht="12.75">
      <c r="A10448" s="2">
        <v>43880.624895833331</v>
      </c>
      <c r="B10448" t="str">
        <f>HYPERLINK("https://twitter.com/hrvnksm","@hrvnksm")</f>
        <v>@hrvnksm</v>
      </c>
      <c r="C10448" t="s">
        <v>1407</v>
      </c>
      <c r="D10448">
        <v>5051</v>
      </c>
      <c r="E10448">
        <v>0</v>
      </c>
      <c r="F10448">
        <v>1718</v>
      </c>
    </row>
    <row r="10449" spans="1:6" ht="12.75">
      <c r="A10449" s="2">
        <v>43880.624872685185</v>
      </c>
      <c r="B10449" t="str">
        <f>HYPERLINK("https://twitter.com/thenameisdaw","@thenameisdaw")</f>
        <v>@thenameisdaw</v>
      </c>
      <c r="C10449" t="s">
        <v>5843</v>
      </c>
      <c r="D10449">
        <v>12</v>
      </c>
      <c r="E10449">
        <v>0</v>
      </c>
      <c r="F10449">
        <v>153</v>
      </c>
    </row>
    <row r="10450" spans="1:6" ht="12.75">
      <c r="A10450" s="2">
        <v>43880.624756944446</v>
      </c>
      <c r="B10450" t="str">
        <f>HYPERLINK("https://twitter.com/doyiegum","@doyiegum")</f>
        <v>@doyiegum</v>
      </c>
      <c r="C10450" t="s">
        <v>1407</v>
      </c>
      <c r="D10450">
        <v>5051</v>
      </c>
      <c r="E10450">
        <v>0</v>
      </c>
      <c r="F10450">
        <v>667</v>
      </c>
    </row>
    <row r="10451" spans="1:6" ht="12.75">
      <c r="A10451" s="2">
        <v>43880.624756944446</v>
      </c>
      <c r="B10451" t="str">
        <f>HYPERLINK("https://twitter.com/lhecigirl","@lhecigirl")</f>
        <v>@lhecigirl</v>
      </c>
      <c r="C10451" t="s">
        <v>1407</v>
      </c>
      <c r="D10451">
        <v>5051</v>
      </c>
      <c r="E10451">
        <v>0</v>
      </c>
      <c r="F10451">
        <v>32</v>
      </c>
    </row>
    <row r="10452" spans="1:6" ht="12.75">
      <c r="A10452" s="2">
        <v>43880.624606481477</v>
      </c>
      <c r="B10452" t="str">
        <f>HYPERLINK("https://twitter.com/cimouwy","@cimouwy")</f>
        <v>@cimouwy</v>
      </c>
      <c r="C10452" t="s">
        <v>2467</v>
      </c>
      <c r="D10452">
        <v>419</v>
      </c>
      <c r="E10452">
        <v>0</v>
      </c>
      <c r="F10452">
        <v>141</v>
      </c>
    </row>
    <row r="10453" spans="1:6" ht="12.75">
      <c r="A10453" s="2">
        <v>43880.624560185184</v>
      </c>
      <c r="B10453" t="str">
        <f>HYPERLINK("https://twitter.com/GBfe06","@GBfe06")</f>
        <v>@GBfe06</v>
      </c>
      <c r="C10453" t="s">
        <v>5914</v>
      </c>
      <c r="D10453">
        <v>15</v>
      </c>
      <c r="E10453">
        <v>0</v>
      </c>
      <c r="F10453">
        <v>126</v>
      </c>
    </row>
    <row r="10454" spans="1:6" ht="12.75">
      <c r="A10454" s="2">
        <v>43880.624525462961</v>
      </c>
      <c r="B10454" t="str">
        <f>HYPERLINK("https://twitter.com/S1MB4H_EN0M","@S1MB4H_EN0M")</f>
        <v>@S1MB4H_EN0M</v>
      </c>
      <c r="C10454" t="s">
        <v>5998</v>
      </c>
      <c r="D10454">
        <v>1</v>
      </c>
      <c r="E10454">
        <v>0</v>
      </c>
      <c r="F10454">
        <v>656</v>
      </c>
    </row>
    <row r="10455" spans="1:6" ht="12.75">
      <c r="A10455" s="2">
        <v>43880.624513888892</v>
      </c>
      <c r="B10455" t="str">
        <f>HYPERLINK("https://twitter.com/kemusuhan","@kemusuhan")</f>
        <v>@kemusuhan</v>
      </c>
      <c r="C10455" t="s">
        <v>2183</v>
      </c>
      <c r="D10455">
        <v>119</v>
      </c>
      <c r="E10455">
        <v>0</v>
      </c>
      <c r="F10455">
        <v>315</v>
      </c>
    </row>
    <row r="10456" spans="1:6" ht="12.75">
      <c r="A10456" s="2">
        <v>43880.624502314815</v>
      </c>
      <c r="B10456" t="str">
        <f>HYPERLINK("https://twitter.com/oktarvn","@oktarvn")</f>
        <v>@oktarvn</v>
      </c>
      <c r="C10456" t="s">
        <v>2692</v>
      </c>
      <c r="D10456">
        <v>777</v>
      </c>
      <c r="E10456">
        <v>0</v>
      </c>
      <c r="F10456">
        <v>349</v>
      </c>
    </row>
    <row r="10457" spans="1:6" ht="12.75">
      <c r="A10457" s="2">
        <v>43880.624467592592</v>
      </c>
      <c r="B10457" t="str">
        <f>HYPERLINK("https://twitter.com/kemusuhan","@kemusuhan")</f>
        <v>@kemusuhan</v>
      </c>
      <c r="C10457" t="s">
        <v>2467</v>
      </c>
      <c r="D10457">
        <v>419</v>
      </c>
      <c r="E10457">
        <v>0</v>
      </c>
      <c r="F10457">
        <v>315</v>
      </c>
    </row>
    <row r="10458" spans="1:6" ht="12.75">
      <c r="A10458" s="2">
        <v>43880.624456018515</v>
      </c>
      <c r="B10458" t="str">
        <f>HYPERLINK("https://twitter.com/rizaanisaa","@rizaanisaa")</f>
        <v>@rizaanisaa</v>
      </c>
      <c r="C10458" t="s">
        <v>1407</v>
      </c>
      <c r="D10458">
        <v>5051</v>
      </c>
      <c r="E10458">
        <v>0</v>
      </c>
      <c r="F10458">
        <v>267</v>
      </c>
    </row>
    <row r="10459" spans="1:6" ht="12.75">
      <c r="A10459" s="2">
        <v>43880.624409722222</v>
      </c>
      <c r="B10459" t="str">
        <f>HYPERLINK("https://twitter.com/GBfe06","@GBfe06")</f>
        <v>@GBfe06</v>
      </c>
      <c r="C10459" t="s">
        <v>1920</v>
      </c>
      <c r="D10459">
        <v>240</v>
      </c>
      <c r="E10459">
        <v>0</v>
      </c>
      <c r="F10459">
        <v>126</v>
      </c>
    </row>
    <row r="10460" spans="1:6" ht="12.75">
      <c r="A10460" s="2">
        <v>43880.624386574069</v>
      </c>
      <c r="B10460" t="str">
        <f>HYPERLINK("https://twitter.com/buruhmigran","@buruhmigran")</f>
        <v>@buruhmigran</v>
      </c>
      <c r="C10460" t="s">
        <v>5999</v>
      </c>
      <c r="D10460">
        <v>0</v>
      </c>
      <c r="E10460">
        <v>0</v>
      </c>
      <c r="F10460">
        <v>172</v>
      </c>
    </row>
    <row r="10461" spans="1:6" ht="12.75">
      <c r="A10461" s="2">
        <v>43880.624328703707</v>
      </c>
      <c r="B10461" t="str">
        <f>HYPERLINK("https://twitter.com/DNYLCSTE","@DNYLCSTE")</f>
        <v>@DNYLCSTE</v>
      </c>
      <c r="C10461" t="s">
        <v>1407</v>
      </c>
      <c r="D10461">
        <v>5051</v>
      </c>
      <c r="E10461">
        <v>0</v>
      </c>
      <c r="F10461">
        <v>715</v>
      </c>
    </row>
    <row r="10462" spans="1:6" ht="12.75">
      <c r="A10462" s="2">
        <v>43880.624259259261</v>
      </c>
      <c r="B10462" t="str">
        <f>HYPERLINK("https://twitter.com/kemusuhan","@kemusuhan")</f>
        <v>@kemusuhan</v>
      </c>
      <c r="C10462" t="s">
        <v>1407</v>
      </c>
      <c r="D10462">
        <v>5051</v>
      </c>
      <c r="E10462">
        <v>0</v>
      </c>
      <c r="F10462">
        <v>315</v>
      </c>
    </row>
    <row r="10463" spans="1:6" ht="12.75">
      <c r="A10463" s="2">
        <v>43880.624131944445</v>
      </c>
      <c r="B10463" t="str">
        <f>HYPERLINK("https://twitter.com/ranirslv","@ranirslv")</f>
        <v>@ranirslv</v>
      </c>
      <c r="C10463" t="s">
        <v>1407</v>
      </c>
      <c r="D10463">
        <v>5051</v>
      </c>
      <c r="E10463">
        <v>0</v>
      </c>
      <c r="F10463">
        <v>297</v>
      </c>
    </row>
    <row r="10464" spans="1:6" ht="12.75">
      <c r="A10464" s="2">
        <v>43880.624027777776</v>
      </c>
      <c r="B10464" t="str">
        <f>HYPERLINK("https://twitter.com/querenciay","@querenciay")</f>
        <v>@querenciay</v>
      </c>
      <c r="C10464" t="s">
        <v>2692</v>
      </c>
      <c r="D10464">
        <v>777</v>
      </c>
      <c r="E10464">
        <v>0</v>
      </c>
      <c r="F10464">
        <v>1127</v>
      </c>
    </row>
    <row r="10465" spans="1:6" ht="12.75">
      <c r="A10465" s="2">
        <v>43880.623958333337</v>
      </c>
      <c r="B10465" t="str">
        <f>HYPERLINK("https://twitter.com/ethereael","@ethereael")</f>
        <v>@ethereael</v>
      </c>
      <c r="C10465" t="s">
        <v>1407</v>
      </c>
      <c r="D10465">
        <v>5051</v>
      </c>
      <c r="E10465">
        <v>0</v>
      </c>
      <c r="F10465">
        <v>1622</v>
      </c>
    </row>
    <row r="10466" spans="1:6" ht="12.75">
      <c r="A10466" s="2">
        <v>43880.623958333337</v>
      </c>
      <c r="B10466" t="str">
        <f>HYPERLINK("https://twitter.com/lindaps_21","@lindaps_21")</f>
        <v>@lindaps_21</v>
      </c>
      <c r="C10466" t="s">
        <v>2692</v>
      </c>
      <c r="D10466">
        <v>777</v>
      </c>
      <c r="E10466">
        <v>0</v>
      </c>
      <c r="F10466">
        <v>418</v>
      </c>
    </row>
    <row r="10467" spans="1:6" ht="12.75">
      <c r="A10467" s="2">
        <v>43880.623935185184</v>
      </c>
      <c r="B10467" t="str">
        <f>HYPERLINK("https://twitter.com/chups_chens","@chups_chens")</f>
        <v>@chups_chens</v>
      </c>
      <c r="C10467" t="s">
        <v>6000</v>
      </c>
      <c r="D10467">
        <v>0</v>
      </c>
      <c r="E10467">
        <v>0</v>
      </c>
      <c r="F10467">
        <v>380</v>
      </c>
    </row>
    <row r="10468" spans="1:6" ht="12.75">
      <c r="A10468" s="2">
        <v>43880.623877314814</v>
      </c>
      <c r="B10468" t="str">
        <f>HYPERLINK("https://twitter.com/FraksiPKB","@FraksiPKB")</f>
        <v>@FraksiPKB</v>
      </c>
      <c r="C10468" t="s">
        <v>5951</v>
      </c>
      <c r="D10468">
        <v>1</v>
      </c>
      <c r="E10468">
        <v>0</v>
      </c>
      <c r="F10468">
        <v>27770</v>
      </c>
    </row>
    <row r="10469" spans="1:6" ht="12.75">
      <c r="A10469" s="2">
        <v>43880.623865740738</v>
      </c>
      <c r="B10469" t="str">
        <f>HYPERLINK("https://twitter.com/Siennykuskanto","@Siennykuskanto")</f>
        <v>@Siennykuskanto</v>
      </c>
      <c r="C10469" t="s">
        <v>1407</v>
      </c>
      <c r="D10469">
        <v>5051</v>
      </c>
      <c r="E10469">
        <v>0</v>
      </c>
      <c r="F10469">
        <v>264</v>
      </c>
    </row>
    <row r="10470" spans="1:6" ht="12.75">
      <c r="A10470" s="2">
        <v>43880.623819444445</v>
      </c>
      <c r="B10470" t="str">
        <f>HYPERLINK("https://twitter.com/sereyyn","@sereyyn")</f>
        <v>@sereyyn</v>
      </c>
      <c r="C10470" t="s">
        <v>2692</v>
      </c>
      <c r="D10470">
        <v>777</v>
      </c>
      <c r="E10470">
        <v>0</v>
      </c>
      <c r="F10470">
        <v>298</v>
      </c>
    </row>
    <row r="10471" spans="1:6" ht="12.75">
      <c r="A10471" s="2">
        <v>43880.623796296291</v>
      </c>
      <c r="B10471" t="str">
        <f>HYPERLINK("https://twitter.com/xokjh30","@xokjh30")</f>
        <v>@xokjh30</v>
      </c>
      <c r="C10471" t="s">
        <v>6001</v>
      </c>
      <c r="D10471">
        <v>0</v>
      </c>
      <c r="E10471">
        <v>0</v>
      </c>
      <c r="F10471">
        <v>226</v>
      </c>
    </row>
    <row r="10472" spans="1:6" ht="12.75">
      <c r="A10472" s="2">
        <v>43880.623796296291</v>
      </c>
      <c r="B10472" t="str">
        <f>HYPERLINK("https://twitter.com/belahandadaSKZ","@belahandadaSKZ")</f>
        <v>@belahandadaSKZ</v>
      </c>
      <c r="C10472" t="s">
        <v>1407</v>
      </c>
      <c r="D10472">
        <v>5051</v>
      </c>
      <c r="E10472">
        <v>0</v>
      </c>
      <c r="F10472">
        <v>450</v>
      </c>
    </row>
    <row r="10473" spans="1:6" ht="12.75">
      <c r="A10473" s="2">
        <v>43880.623784722222</v>
      </c>
      <c r="B10473" t="str">
        <f>HYPERLINK("https://twitter.com/arizaldngstr","@arizaldngstr")</f>
        <v>@arizaldngstr</v>
      </c>
      <c r="C10473" t="s">
        <v>2692</v>
      </c>
      <c r="D10473">
        <v>777</v>
      </c>
      <c r="E10473">
        <v>0</v>
      </c>
      <c r="F10473">
        <v>582</v>
      </c>
    </row>
    <row r="10474" spans="1:6" ht="12.75">
      <c r="A10474" s="2">
        <v>43880.623761574076</v>
      </c>
      <c r="B10474" t="str">
        <f>HYPERLINK("https://twitter.com/akunsambatw","@akunsambatw")</f>
        <v>@akunsambatw</v>
      </c>
      <c r="C10474" t="s">
        <v>1407</v>
      </c>
      <c r="D10474">
        <v>5051</v>
      </c>
      <c r="E10474">
        <v>0</v>
      </c>
      <c r="F10474">
        <v>142</v>
      </c>
    </row>
    <row r="10475" spans="1:6" ht="12.75">
      <c r="A10475" s="2">
        <v>43880.623749999999</v>
      </c>
      <c r="B10475" t="str">
        <f>HYPERLINK("https://twitter.com/AbdullaR_Ismail","@AbdullaR_Ismail")</f>
        <v>@AbdullaR_Ismail</v>
      </c>
      <c r="C10475" t="s">
        <v>2768</v>
      </c>
      <c r="D10475">
        <v>32</v>
      </c>
      <c r="E10475">
        <v>0</v>
      </c>
      <c r="F10475">
        <v>298</v>
      </c>
    </row>
    <row r="10476" spans="1:6" ht="12.75">
      <c r="A10476" s="2">
        <v>43880.623622685191</v>
      </c>
      <c r="B10476" t="str">
        <f>HYPERLINK("https://twitter.com/hetisuy_","@hetisuy_")</f>
        <v>@hetisuy_</v>
      </c>
      <c r="C10476" t="s">
        <v>2692</v>
      </c>
      <c r="D10476">
        <v>777</v>
      </c>
      <c r="E10476">
        <v>0</v>
      </c>
      <c r="F10476">
        <v>215</v>
      </c>
    </row>
    <row r="10477" spans="1:6" ht="12.75">
      <c r="A10477" s="2">
        <v>43880.623611111107</v>
      </c>
      <c r="B10477" t="str">
        <f>HYPERLINK("https://twitter.com/wni_jmsri","@wni_jmsri")</f>
        <v>@wni_jmsri</v>
      </c>
      <c r="C10477" t="s">
        <v>6002</v>
      </c>
      <c r="D10477">
        <v>5062</v>
      </c>
      <c r="E10477">
        <v>0</v>
      </c>
      <c r="F10477">
        <v>195</v>
      </c>
    </row>
    <row r="10478" spans="1:6" ht="12.75">
      <c r="A10478" s="2">
        <v>43880.623449074075</v>
      </c>
      <c r="B10478" t="str">
        <f>HYPERLINK("https://twitter.com/lindaltu","@lindaltu")</f>
        <v>@lindaltu</v>
      </c>
      <c r="C10478" t="s">
        <v>2692</v>
      </c>
      <c r="D10478">
        <v>777</v>
      </c>
      <c r="E10478">
        <v>0</v>
      </c>
      <c r="F10478">
        <v>274</v>
      </c>
    </row>
    <row r="10479" spans="1:6" ht="12.75">
      <c r="A10479" s="2">
        <v>43880.623402777783</v>
      </c>
      <c r="B10479" t="str">
        <f>HYPERLINK("https://twitter.com/_winnerss","@_winnerss")</f>
        <v>@_winnerss</v>
      </c>
      <c r="C10479" t="s">
        <v>6003</v>
      </c>
      <c r="D10479">
        <v>1</v>
      </c>
      <c r="E10479">
        <v>0</v>
      </c>
      <c r="F10479">
        <v>1546</v>
      </c>
    </row>
    <row r="10480" spans="1:6" ht="12.75">
      <c r="A10480" s="2">
        <v>43880.623402777783</v>
      </c>
      <c r="B10480" t="str">
        <f>HYPERLINK("https://twitter.com/berkilauan","@berkilauan")</f>
        <v>@berkilauan</v>
      </c>
      <c r="C10480" t="s">
        <v>1407</v>
      </c>
      <c r="D10480">
        <v>5051</v>
      </c>
      <c r="E10480">
        <v>0</v>
      </c>
      <c r="F10480">
        <v>3092</v>
      </c>
    </row>
    <row r="10481" spans="1:6" ht="12.75">
      <c r="A10481" s="2">
        <v>43880.623402777783</v>
      </c>
      <c r="B10481" t="str">
        <f>HYPERLINK("https://twitter.com/keSEHUNanku","@keSEHUNanku")</f>
        <v>@keSEHUNanku</v>
      </c>
      <c r="C10481" t="s">
        <v>1407</v>
      </c>
      <c r="D10481">
        <v>5051</v>
      </c>
      <c r="E10481">
        <v>0</v>
      </c>
      <c r="F10481">
        <v>650</v>
      </c>
    </row>
    <row r="10482" spans="1:6" ht="12.75">
      <c r="A10482" s="2">
        <v>43880.62336805556</v>
      </c>
      <c r="B10482" t="str">
        <f>HYPERLINK("https://twitter.com/chouwoodz","@chouwoodz")</f>
        <v>@chouwoodz</v>
      </c>
      <c r="C10482" t="s">
        <v>2692</v>
      </c>
      <c r="D10482">
        <v>777</v>
      </c>
      <c r="E10482">
        <v>0</v>
      </c>
      <c r="F10482">
        <v>924</v>
      </c>
    </row>
    <row r="10483" spans="1:6" ht="12.75">
      <c r="A10483" s="2">
        <v>43880.623310185183</v>
      </c>
      <c r="B10483" t="str">
        <f>HYPERLINK("https://twitter.com/Sky_marryland","@Sky_marryland")</f>
        <v>@Sky_marryland</v>
      </c>
      <c r="C10483" t="s">
        <v>6004</v>
      </c>
      <c r="D10483">
        <v>0</v>
      </c>
      <c r="E10483">
        <v>0</v>
      </c>
      <c r="F10483">
        <v>568</v>
      </c>
    </row>
    <row r="10484" spans="1:6" ht="12.75">
      <c r="A10484" s="2">
        <v>43880.62327546296</v>
      </c>
      <c r="B10484" t="str">
        <f>HYPERLINK("https://twitter.com/JGNHD","@JGNHD")</f>
        <v>@JGNHD</v>
      </c>
      <c r="C10484" t="s">
        <v>1407</v>
      </c>
      <c r="D10484">
        <v>5051</v>
      </c>
      <c r="E10484">
        <v>0</v>
      </c>
      <c r="F10484">
        <v>221</v>
      </c>
    </row>
    <row r="10485" spans="1:6" ht="12.75">
      <c r="A10485" s="2">
        <v>43880.623263888891</v>
      </c>
      <c r="B10485" t="str">
        <f>HYPERLINK("https://twitter.com/AzmyYayas","@AzmyYayas")</f>
        <v>@AzmyYayas</v>
      </c>
      <c r="C10485" t="s">
        <v>1407</v>
      </c>
      <c r="D10485">
        <v>5051</v>
      </c>
      <c r="E10485">
        <v>0</v>
      </c>
      <c r="F10485">
        <v>75</v>
      </c>
    </row>
    <row r="10486" spans="1:6" ht="12.75">
      <c r="A10486" s="2">
        <v>43880.623263888891</v>
      </c>
      <c r="B10486" t="str">
        <f>HYPERLINK("https://twitter.com/geelegi","@geelegi")</f>
        <v>@geelegi</v>
      </c>
      <c r="C10486" t="s">
        <v>2692</v>
      </c>
      <c r="D10486">
        <v>777</v>
      </c>
      <c r="E10486">
        <v>0</v>
      </c>
      <c r="F10486">
        <v>383</v>
      </c>
    </row>
    <row r="10487" spans="1:6" ht="12.75">
      <c r="A10487" s="2">
        <v>43880.623101851852</v>
      </c>
      <c r="B10487" t="str">
        <f>HYPERLINK("https://twitter.com/hantudoggy","@hantudoggy")</f>
        <v>@hantudoggy</v>
      </c>
      <c r="C10487" t="s">
        <v>1407</v>
      </c>
      <c r="D10487">
        <v>5051</v>
      </c>
      <c r="E10487">
        <v>0</v>
      </c>
      <c r="F10487">
        <v>286</v>
      </c>
    </row>
    <row r="10488" spans="1:6" ht="12.75">
      <c r="A10488" s="2">
        <v>43880.623090277775</v>
      </c>
      <c r="B10488" t="str">
        <f>HYPERLINK("https://twitter.com/TsTsp71","@TsTsp71")</f>
        <v>@TsTsp71</v>
      </c>
      <c r="C10488" t="s">
        <v>5203</v>
      </c>
      <c r="D10488">
        <v>47</v>
      </c>
      <c r="E10488">
        <v>0</v>
      </c>
      <c r="F10488">
        <v>554</v>
      </c>
    </row>
    <row r="10489" spans="1:6" ht="12.75">
      <c r="A10489" s="2">
        <v>43880.623078703706</v>
      </c>
      <c r="B10489" t="str">
        <f>HYPERLINK("https://twitter.com/depuccinow","@depuccinow")</f>
        <v>@depuccinow</v>
      </c>
      <c r="C10489" t="s">
        <v>1407</v>
      </c>
      <c r="D10489">
        <v>5051</v>
      </c>
      <c r="E10489">
        <v>0</v>
      </c>
      <c r="F10489">
        <v>536</v>
      </c>
    </row>
    <row r="10490" spans="1:6" ht="12.75">
      <c r="A10490" s="2">
        <v>43880.623032407406</v>
      </c>
      <c r="B10490" t="str">
        <f>HYPERLINK("https://twitter.com/gamautauuu","@gamautauuu")</f>
        <v>@gamautauuu</v>
      </c>
      <c r="C10490" t="s">
        <v>2467</v>
      </c>
      <c r="D10490">
        <v>419</v>
      </c>
      <c r="E10490">
        <v>0</v>
      </c>
      <c r="F10490">
        <v>274</v>
      </c>
    </row>
    <row r="10491" spans="1:6" ht="12.75">
      <c r="A10491" s="2">
        <v>43880.622789351852</v>
      </c>
      <c r="B10491" t="str">
        <f>HYPERLINK("https://twitter.com/JelajahLinimasa","@JelajahLinimasa")</f>
        <v>@JelajahLinimasa</v>
      </c>
      <c r="C10491" t="s">
        <v>6005</v>
      </c>
      <c r="D10491">
        <v>0</v>
      </c>
      <c r="E10491">
        <v>0</v>
      </c>
      <c r="F10491">
        <v>168</v>
      </c>
    </row>
    <row r="10492" spans="1:6" ht="12.75">
      <c r="A10492" s="2">
        <v>43880.622754629629</v>
      </c>
      <c r="B10492" t="str">
        <f>HYPERLINK("https://twitter.com/babetownvillage","@babetownvillage")</f>
        <v>@babetownvillage</v>
      </c>
      <c r="C10492" t="s">
        <v>1407</v>
      </c>
      <c r="D10492">
        <v>5051</v>
      </c>
      <c r="E10492">
        <v>0</v>
      </c>
      <c r="F10492">
        <v>131</v>
      </c>
    </row>
    <row r="10493" spans="1:6" ht="12.75">
      <c r="A10493" s="2">
        <v>43880.622743055559</v>
      </c>
      <c r="B10493" t="str">
        <f>HYPERLINK("https://twitter.com/kattberriees","@kattberriees")</f>
        <v>@kattberriees</v>
      </c>
      <c r="C10493" t="s">
        <v>1407</v>
      </c>
      <c r="D10493">
        <v>5051</v>
      </c>
      <c r="E10493">
        <v>0</v>
      </c>
      <c r="F10493">
        <v>1600</v>
      </c>
    </row>
    <row r="10494" spans="1:6" ht="12.75">
      <c r="A10494" s="2">
        <v>43880.622743055559</v>
      </c>
      <c r="B10494" t="str">
        <f t="shared" ref="B10494:B10495" si="192">HYPERLINK("https://twitter.com/ngecenggondok_","@ngecenggondok_")</f>
        <v>@ngecenggondok_</v>
      </c>
      <c r="C10494" t="s">
        <v>2467</v>
      </c>
      <c r="D10494">
        <v>419</v>
      </c>
      <c r="E10494">
        <v>0</v>
      </c>
      <c r="F10494">
        <v>267</v>
      </c>
    </row>
    <row r="10495" spans="1:6" ht="12.75">
      <c r="A10495" s="2">
        <v>43880.622708333336</v>
      </c>
      <c r="B10495" t="str">
        <f t="shared" si="192"/>
        <v>@ngecenggondok_</v>
      </c>
      <c r="C10495" t="s">
        <v>1407</v>
      </c>
      <c r="D10495">
        <v>5051</v>
      </c>
      <c r="E10495">
        <v>0</v>
      </c>
      <c r="F10495">
        <v>267</v>
      </c>
    </row>
    <row r="10496" spans="1:6" ht="12.75">
      <c r="A10496" s="2">
        <v>43880.622708333336</v>
      </c>
      <c r="B10496" t="str">
        <f>HYPERLINK("https://twitter.com/Arrsha_","@Arrsha_")</f>
        <v>@Arrsha_</v>
      </c>
      <c r="C10496" t="s">
        <v>2692</v>
      </c>
      <c r="D10496">
        <v>777</v>
      </c>
      <c r="E10496">
        <v>0</v>
      </c>
      <c r="F10496">
        <v>386</v>
      </c>
    </row>
    <row r="10497" spans="1:6" ht="12.75">
      <c r="A10497" s="2">
        <v>43880.622662037036</v>
      </c>
      <c r="B10497" t="str">
        <f>HYPERLINK("https://twitter.com/rahmawidiantii","@rahmawidiantii")</f>
        <v>@rahmawidiantii</v>
      </c>
      <c r="C10497" t="s">
        <v>5896</v>
      </c>
      <c r="D10497">
        <v>1</v>
      </c>
      <c r="E10497">
        <v>0</v>
      </c>
      <c r="F10497">
        <v>249</v>
      </c>
    </row>
    <row r="10498" spans="1:6" ht="12.75">
      <c r="A10498" s="2">
        <v>43880.622604166667</v>
      </c>
      <c r="B10498" t="str">
        <f>HYPERLINK("https://twitter.com/kamuasoo","@kamuasoo")</f>
        <v>@kamuasoo</v>
      </c>
      <c r="C10498" t="s">
        <v>1407</v>
      </c>
      <c r="D10498">
        <v>5051</v>
      </c>
      <c r="E10498">
        <v>0</v>
      </c>
      <c r="F10498">
        <v>43</v>
      </c>
    </row>
    <row r="10499" spans="1:6" ht="12.75">
      <c r="A10499" s="2">
        <v>43880.622546296298</v>
      </c>
      <c r="B10499" t="str">
        <f>HYPERLINK("https://twitter.com/raninzwa","@raninzwa")</f>
        <v>@raninzwa</v>
      </c>
      <c r="C10499" t="s">
        <v>1407</v>
      </c>
      <c r="D10499">
        <v>5051</v>
      </c>
      <c r="E10499">
        <v>0</v>
      </c>
      <c r="F10499">
        <v>54</v>
      </c>
    </row>
    <row r="10500" spans="1:6" ht="12.75">
      <c r="A10500" s="2">
        <v>43880.622534722221</v>
      </c>
      <c r="B10500" t="str">
        <f>HYPERLINK("https://twitter.com/Dianadjiemunaji","@Dianadjiemunaji")</f>
        <v>@Dianadjiemunaji</v>
      </c>
      <c r="C10500" t="s">
        <v>6006</v>
      </c>
      <c r="D10500">
        <v>0</v>
      </c>
      <c r="E10500">
        <v>1</v>
      </c>
      <c r="F10500">
        <v>1508</v>
      </c>
    </row>
    <row r="10501" spans="1:6" ht="12.75">
      <c r="A10501" s="2">
        <v>43880.622476851851</v>
      </c>
      <c r="B10501" t="str">
        <f>HYPERLINK("https://twitter.com/ddimkunge","@ddimkunge")</f>
        <v>@ddimkunge</v>
      </c>
      <c r="C10501" t="s">
        <v>2692</v>
      </c>
      <c r="D10501">
        <v>777</v>
      </c>
      <c r="E10501">
        <v>0</v>
      </c>
      <c r="F10501">
        <v>146</v>
      </c>
    </row>
    <row r="10502" spans="1:6" ht="12.75">
      <c r="A10502" s="2">
        <v>43880.622465277775</v>
      </c>
      <c r="B10502" t="str">
        <f>HYPERLINK("https://twitter.com/overdopesis","@overdopesis")</f>
        <v>@overdopesis</v>
      </c>
      <c r="C10502" t="s">
        <v>1407</v>
      </c>
      <c r="D10502">
        <v>5051</v>
      </c>
      <c r="E10502">
        <v>0</v>
      </c>
      <c r="F10502">
        <v>446</v>
      </c>
    </row>
    <row r="10503" spans="1:6" ht="12.75">
      <c r="A10503" s="2">
        <v>43880.622407407413</v>
      </c>
      <c r="B10503" t="str">
        <f>HYPERLINK("https://twitter.com/pubinform","@pubinform")</f>
        <v>@pubinform</v>
      </c>
      <c r="C10503" t="s">
        <v>6007</v>
      </c>
      <c r="D10503">
        <v>0</v>
      </c>
      <c r="E10503">
        <v>0</v>
      </c>
      <c r="F10503">
        <v>380</v>
      </c>
    </row>
    <row r="10504" spans="1:6" ht="12.75">
      <c r="A10504" s="2">
        <v>43880.622372685189</v>
      </c>
      <c r="B10504" t="str">
        <f>HYPERLINK("https://twitter.com/kryptonite1994","@kryptonite1994")</f>
        <v>@kryptonite1994</v>
      </c>
      <c r="C10504" t="s">
        <v>2692</v>
      </c>
      <c r="D10504">
        <v>777</v>
      </c>
      <c r="E10504">
        <v>0</v>
      </c>
      <c r="F10504">
        <v>520</v>
      </c>
    </row>
    <row r="10505" spans="1:6" ht="12.75">
      <c r="A10505" s="2">
        <v>43880.622303240743</v>
      </c>
      <c r="B10505" t="str">
        <f>HYPERLINK("https://twitter.com/kinederjoy","@kinederjoy")</f>
        <v>@kinederjoy</v>
      </c>
      <c r="C10505" t="s">
        <v>1407</v>
      </c>
      <c r="D10505">
        <v>5051</v>
      </c>
      <c r="E10505">
        <v>0</v>
      </c>
      <c r="F10505">
        <v>1292</v>
      </c>
    </row>
    <row r="10506" spans="1:6" ht="12.75">
      <c r="A10506" s="2">
        <v>43880.622245370367</v>
      </c>
      <c r="B10506" t="str">
        <f>HYPERLINK("https://twitter.com/muhamadunn_","@muhamadunn_")</f>
        <v>@muhamadunn_</v>
      </c>
      <c r="C10506" t="s">
        <v>6008</v>
      </c>
      <c r="D10506">
        <v>0</v>
      </c>
      <c r="E10506">
        <v>0</v>
      </c>
      <c r="F10506">
        <v>69</v>
      </c>
    </row>
    <row r="10507" spans="1:6" ht="12.75">
      <c r="A10507" s="2">
        <v>43880.622233796297</v>
      </c>
      <c r="B10507" t="str">
        <f>HYPERLINK("https://twitter.com/erikamelfa","@erikamelfa")</f>
        <v>@erikamelfa</v>
      </c>
      <c r="C10507" t="s">
        <v>6009</v>
      </c>
      <c r="D10507">
        <v>0</v>
      </c>
      <c r="E10507">
        <v>1</v>
      </c>
      <c r="F10507">
        <v>558</v>
      </c>
    </row>
    <row r="10508" spans="1:6" ht="12.75">
      <c r="A10508" s="2">
        <v>43880.622187500005</v>
      </c>
      <c r="B10508" t="str">
        <f>HYPERLINK("https://twitter.com/urarrr__","@urarrr__")</f>
        <v>@urarrr__</v>
      </c>
      <c r="C10508" t="s">
        <v>2467</v>
      </c>
      <c r="D10508">
        <v>419</v>
      </c>
      <c r="E10508">
        <v>0</v>
      </c>
      <c r="F10508">
        <v>32</v>
      </c>
    </row>
    <row r="10509" spans="1:6" ht="12.75">
      <c r="A10509" s="2">
        <v>43880.622118055559</v>
      </c>
      <c r="B10509" t="str">
        <f>HYPERLINK("https://twitter.com/nahlazil","@nahlazil")</f>
        <v>@nahlazil</v>
      </c>
      <c r="C10509" t="s">
        <v>1407</v>
      </c>
      <c r="D10509">
        <v>5051</v>
      </c>
      <c r="E10509">
        <v>0</v>
      </c>
      <c r="F10509">
        <v>1061</v>
      </c>
    </row>
    <row r="10510" spans="1:6" ht="12.75">
      <c r="A10510" s="2">
        <v>43880.622060185182</v>
      </c>
      <c r="B10510" t="str">
        <f>HYPERLINK("https://twitter.com/netijingan","@netijingan")</f>
        <v>@netijingan</v>
      </c>
      <c r="C10510" t="s">
        <v>1407</v>
      </c>
      <c r="D10510">
        <v>5051</v>
      </c>
      <c r="E10510">
        <v>0</v>
      </c>
      <c r="F10510">
        <v>119</v>
      </c>
    </row>
    <row r="10511" spans="1:6" ht="12.75">
      <c r="A10511" s="2">
        <v>43880.62195601852</v>
      </c>
      <c r="B10511" t="str">
        <f>HYPERLINK("https://twitter.com/hanoeyyy","@hanoeyyy")</f>
        <v>@hanoeyyy</v>
      </c>
      <c r="C10511" t="s">
        <v>2509</v>
      </c>
      <c r="D10511">
        <v>61</v>
      </c>
      <c r="E10511">
        <v>0</v>
      </c>
      <c r="F10511">
        <v>363</v>
      </c>
    </row>
    <row r="10512" spans="1:6" ht="12.75">
      <c r="A10512" s="2">
        <v>43880.621921296297</v>
      </c>
      <c r="B10512" t="str">
        <f>HYPERLINK("https://twitter.com/r6nana","@r6nana")</f>
        <v>@r6nana</v>
      </c>
      <c r="C10512" t="s">
        <v>1407</v>
      </c>
      <c r="D10512">
        <v>5051</v>
      </c>
      <c r="E10512">
        <v>0</v>
      </c>
      <c r="F10512">
        <v>593</v>
      </c>
    </row>
    <row r="10513" spans="1:6" ht="12.75">
      <c r="A10513" s="2">
        <v>43880.621793981481</v>
      </c>
      <c r="B10513" t="str">
        <f>HYPERLINK("https://twitter.com/xxzlingling","@xxzlingling")</f>
        <v>@xxzlingling</v>
      </c>
      <c r="C10513" t="s">
        <v>1407</v>
      </c>
      <c r="D10513">
        <v>5051</v>
      </c>
      <c r="E10513">
        <v>0</v>
      </c>
      <c r="F10513">
        <v>1085</v>
      </c>
    </row>
    <row r="10514" spans="1:6" ht="12.75">
      <c r="A10514" s="2">
        <v>43880.621724537035</v>
      </c>
      <c r="B10514" t="str">
        <f>HYPERLINK("https://twitter.com/adalahyaw","@adalahyaw")</f>
        <v>@adalahyaw</v>
      </c>
      <c r="C10514" t="s">
        <v>1407</v>
      </c>
      <c r="D10514">
        <v>5051</v>
      </c>
      <c r="E10514">
        <v>0</v>
      </c>
      <c r="F10514">
        <v>19</v>
      </c>
    </row>
    <row r="10515" spans="1:6" ht="12.75">
      <c r="A10515" s="2">
        <v>43880.621666666666</v>
      </c>
      <c r="B10515" t="str">
        <f>HYPERLINK("https://twitter.com/hanoeyyy","@hanoeyyy")</f>
        <v>@hanoeyyy</v>
      </c>
      <c r="C10515" t="s">
        <v>1407</v>
      </c>
      <c r="D10515">
        <v>5051</v>
      </c>
      <c r="E10515">
        <v>0</v>
      </c>
      <c r="F10515">
        <v>363</v>
      </c>
    </row>
    <row r="10516" spans="1:6" ht="12.75">
      <c r="A10516" s="2">
        <v>43880.621620370366</v>
      </c>
      <c r="B10516" t="str">
        <f>HYPERLINK("https://twitter.com/KiN9_James","@KiN9_James")</f>
        <v>@KiN9_James</v>
      </c>
      <c r="C10516" t="s">
        <v>1407</v>
      </c>
      <c r="D10516">
        <v>5051</v>
      </c>
      <c r="E10516">
        <v>0</v>
      </c>
      <c r="F10516">
        <v>360</v>
      </c>
    </row>
    <row r="10517" spans="1:6" ht="12.75">
      <c r="A10517" s="2">
        <v>43880.621620370366</v>
      </c>
      <c r="B10517" t="str">
        <f>HYPERLINK("https://twitter.com/msnisya","@msnisya")</f>
        <v>@msnisya</v>
      </c>
      <c r="C10517" t="s">
        <v>2692</v>
      </c>
      <c r="D10517">
        <v>777</v>
      </c>
      <c r="E10517">
        <v>0</v>
      </c>
      <c r="F10517">
        <v>189</v>
      </c>
    </row>
    <row r="10518" spans="1:6" ht="12.75">
      <c r="A10518" s="2">
        <v>43880.621597222227</v>
      </c>
      <c r="B10518" t="str">
        <f>HYPERLINK("https://twitter.com/sahrulriadi_","@sahrulriadi_")</f>
        <v>@sahrulriadi_</v>
      </c>
      <c r="C10518" t="s">
        <v>1407</v>
      </c>
      <c r="D10518">
        <v>5051</v>
      </c>
      <c r="E10518">
        <v>0</v>
      </c>
      <c r="F10518">
        <v>325</v>
      </c>
    </row>
    <row r="10519" spans="1:6" ht="12.75">
      <c r="A10519" s="2">
        <v>43880.621574074074</v>
      </c>
      <c r="B10519" t="str">
        <f>HYPERLINK("https://twitter.com/akunadnad","@akunadnad")</f>
        <v>@akunadnad</v>
      </c>
      <c r="C10519" t="s">
        <v>1407</v>
      </c>
      <c r="D10519">
        <v>5051</v>
      </c>
      <c r="E10519">
        <v>0</v>
      </c>
      <c r="F10519">
        <v>448</v>
      </c>
    </row>
    <row r="10520" spans="1:6" ht="12.75">
      <c r="A10520" s="2">
        <v>43880.621539351851</v>
      </c>
      <c r="B10520" t="str">
        <f>HYPERLINK("https://twitter.com/Nts___","@Nts___")</f>
        <v>@Nts___</v>
      </c>
      <c r="C10520" t="s">
        <v>2692</v>
      </c>
      <c r="D10520">
        <v>777</v>
      </c>
      <c r="E10520">
        <v>0</v>
      </c>
      <c r="F10520">
        <v>418</v>
      </c>
    </row>
    <row r="10521" spans="1:6" ht="12.75">
      <c r="A10521" s="2">
        <v>43880.621504629627</v>
      </c>
      <c r="B10521" t="str">
        <f>HYPERLINK("https://twitter.com/akuagelash","@akuagelash")</f>
        <v>@akuagelash</v>
      </c>
      <c r="C10521" t="s">
        <v>1407</v>
      </c>
      <c r="D10521">
        <v>5051</v>
      </c>
      <c r="E10521">
        <v>0</v>
      </c>
      <c r="F10521">
        <v>432</v>
      </c>
    </row>
    <row r="10522" spans="1:6" ht="12.75">
      <c r="A10522" s="2">
        <v>43880.584918981476</v>
      </c>
      <c r="B10522" t="str">
        <f>HYPERLINK("https://twitter.com/baejinstann","@baejinstann")</f>
        <v>@baejinstann</v>
      </c>
      <c r="C10522" t="s">
        <v>1407</v>
      </c>
      <c r="D10522">
        <v>4515</v>
      </c>
      <c r="E10522">
        <v>0</v>
      </c>
      <c r="F10522">
        <v>157</v>
      </c>
    </row>
    <row r="10523" spans="1:6" ht="12.75">
      <c r="A10523" s="2">
        <v>43880.584907407407</v>
      </c>
      <c r="B10523" t="str">
        <f>HYPERLINK("https://twitter.com/iissulastri23","@iissulastri23")</f>
        <v>@iissulastri23</v>
      </c>
      <c r="C10523" t="s">
        <v>1407</v>
      </c>
      <c r="D10523">
        <v>4515</v>
      </c>
      <c r="E10523">
        <v>0</v>
      </c>
      <c r="F10523">
        <v>1160</v>
      </c>
    </row>
    <row r="10524" spans="1:6" ht="12.75">
      <c r="A10524" s="2">
        <v>43880.584895833337</v>
      </c>
      <c r="B10524" t="str">
        <f>HYPERLINK("https://twitter.com/notnadaaa","@notnadaaa")</f>
        <v>@notnadaaa</v>
      </c>
      <c r="C10524" t="s">
        <v>2467</v>
      </c>
      <c r="D10524">
        <v>348</v>
      </c>
      <c r="E10524">
        <v>0</v>
      </c>
      <c r="F10524">
        <v>445</v>
      </c>
    </row>
    <row r="10525" spans="1:6" ht="12.75">
      <c r="A10525" s="2">
        <v>43880.584780092591</v>
      </c>
      <c r="B10525" t="str">
        <f>HYPERLINK("https://twitter.com/seungyourm","@seungyourm")</f>
        <v>@seungyourm</v>
      </c>
      <c r="C10525" t="s">
        <v>1407</v>
      </c>
      <c r="D10525">
        <v>4515</v>
      </c>
      <c r="E10525">
        <v>0</v>
      </c>
      <c r="F10525">
        <v>1137</v>
      </c>
    </row>
    <row r="10526" spans="1:6" ht="12.75">
      <c r="A10526" s="2">
        <v>43880.584768518514</v>
      </c>
      <c r="B10526" t="str">
        <f>HYPERLINK("https://twitter.com/rrnawangwulan30","@rrnawangwulan30")</f>
        <v>@rrnawangwulan30</v>
      </c>
      <c r="C10526" t="s">
        <v>1407</v>
      </c>
      <c r="D10526">
        <v>4515</v>
      </c>
      <c r="E10526">
        <v>0</v>
      </c>
      <c r="F10526">
        <v>100</v>
      </c>
    </row>
    <row r="10527" spans="1:6" ht="12.75">
      <c r="A10527" s="2">
        <v>43880.584733796291</v>
      </c>
      <c r="B10527" t="str">
        <f>HYPERLINK("https://twitter.com/Shima_ru","@Shima_ru")</f>
        <v>@Shima_ru</v>
      </c>
      <c r="C10527" t="s">
        <v>1407</v>
      </c>
      <c r="D10527">
        <v>4515</v>
      </c>
      <c r="E10527">
        <v>0</v>
      </c>
      <c r="F10527">
        <v>352</v>
      </c>
    </row>
    <row r="10528" spans="1:6" ht="12.75">
      <c r="A10528" s="2">
        <v>43880.584664351853</v>
      </c>
      <c r="B10528" t="str">
        <f>HYPERLINK("https://twitter.com/BianAgassi","@BianAgassi")</f>
        <v>@BianAgassi</v>
      </c>
      <c r="C10528" t="s">
        <v>1407</v>
      </c>
      <c r="D10528">
        <v>4515</v>
      </c>
      <c r="E10528">
        <v>0</v>
      </c>
      <c r="F10528">
        <v>319</v>
      </c>
    </row>
    <row r="10529" spans="1:6" ht="12.75">
      <c r="A10529" s="2">
        <v>43880.584629629629</v>
      </c>
      <c r="B10529" t="str">
        <f>HYPERLINK("https://twitter.com/liviastnaria","@liviastnaria")</f>
        <v>@liviastnaria</v>
      </c>
      <c r="C10529" t="s">
        <v>5939</v>
      </c>
      <c r="D10529">
        <v>12</v>
      </c>
      <c r="E10529">
        <v>0</v>
      </c>
      <c r="F10529">
        <v>802</v>
      </c>
    </row>
    <row r="10530" spans="1:6" ht="12.75">
      <c r="A10530" s="2">
        <v>43880.584606481483</v>
      </c>
      <c r="B10530" t="str">
        <f>HYPERLINK("https://twitter.com/notnadaaa","@notnadaaa")</f>
        <v>@notnadaaa</v>
      </c>
      <c r="C10530" t="s">
        <v>1407</v>
      </c>
      <c r="D10530">
        <v>4515</v>
      </c>
      <c r="E10530">
        <v>0</v>
      </c>
      <c r="F10530">
        <v>445</v>
      </c>
    </row>
    <row r="10531" spans="1:6" ht="12.75">
      <c r="A10531" s="2">
        <v>43880.58457175926</v>
      </c>
      <c r="B10531" t="str">
        <f>HYPERLINK("https://twitter.com/ahgakasik","@ahgakasik")</f>
        <v>@ahgakasik</v>
      </c>
      <c r="C10531" t="s">
        <v>1407</v>
      </c>
      <c r="D10531">
        <v>4515</v>
      </c>
      <c r="E10531">
        <v>0</v>
      </c>
      <c r="F10531">
        <v>142</v>
      </c>
    </row>
    <row r="10532" spans="1:6" ht="12.75">
      <c r="A10532" s="2">
        <v>43880.584548611107</v>
      </c>
      <c r="B10532" t="str">
        <f>HYPERLINK("https://twitter.com/Misadoraht","@Misadoraht")</f>
        <v>@Misadoraht</v>
      </c>
      <c r="C10532" t="s">
        <v>2183</v>
      </c>
      <c r="D10532">
        <v>93</v>
      </c>
      <c r="E10532">
        <v>0</v>
      </c>
      <c r="F10532">
        <v>347</v>
      </c>
    </row>
    <row r="10533" spans="1:6" ht="12.75">
      <c r="A10533" s="2">
        <v>43880.584548611107</v>
      </c>
      <c r="B10533" t="str">
        <f>HYPERLINK("https://twitter.com/raisurbae","@raisurbae")</f>
        <v>@raisurbae</v>
      </c>
      <c r="C10533" t="s">
        <v>2467</v>
      </c>
      <c r="D10533">
        <v>348</v>
      </c>
      <c r="E10533">
        <v>0</v>
      </c>
      <c r="F10533">
        <v>231</v>
      </c>
    </row>
    <row r="10534" spans="1:6" ht="12.75">
      <c r="A10534" s="2">
        <v>43880.584525462968</v>
      </c>
      <c r="B10534" t="str">
        <f>HYPERLINK("https://twitter.com/mybaymax12","@mybaymax12")</f>
        <v>@mybaymax12</v>
      </c>
      <c r="C10534" t="s">
        <v>2692</v>
      </c>
      <c r="D10534">
        <v>603</v>
      </c>
      <c r="E10534">
        <v>0</v>
      </c>
      <c r="F10534">
        <v>880</v>
      </c>
    </row>
    <row r="10535" spans="1:6" ht="12.75">
      <c r="A10535" s="2">
        <v>43880.584502314814</v>
      </c>
      <c r="B10535" t="str">
        <f>HYPERLINK("https://twitter.com/Hyeonnjun","@Hyeonnjun")</f>
        <v>@Hyeonnjun</v>
      </c>
      <c r="C10535" t="s">
        <v>1407</v>
      </c>
      <c r="D10535">
        <v>4515</v>
      </c>
      <c r="E10535">
        <v>0</v>
      </c>
      <c r="F10535">
        <v>305</v>
      </c>
    </row>
    <row r="10536" spans="1:6" ht="12.75">
      <c r="A10536" s="2">
        <v>43880.584409722222</v>
      </c>
      <c r="B10536" t="str">
        <f>HYPERLINK("https://twitter.com/raisurbae","@raisurbae")</f>
        <v>@raisurbae</v>
      </c>
      <c r="C10536" t="s">
        <v>1407</v>
      </c>
      <c r="D10536">
        <v>4515</v>
      </c>
      <c r="E10536">
        <v>0</v>
      </c>
      <c r="F10536">
        <v>231</v>
      </c>
    </row>
    <row r="10537" spans="1:6" ht="12.75">
      <c r="A10537" s="2">
        <v>43880.584386574075</v>
      </c>
      <c r="B10537" t="str">
        <f>HYPERLINK("https://twitter.com/lealeee__","@lealeee__")</f>
        <v>@lealeee__</v>
      </c>
      <c r="C10537" t="s">
        <v>1407</v>
      </c>
      <c r="D10537">
        <v>4515</v>
      </c>
      <c r="E10537">
        <v>0</v>
      </c>
      <c r="F10537">
        <v>2571</v>
      </c>
    </row>
    <row r="10538" spans="1:6" ht="12.75">
      <c r="A10538" s="2">
        <v>43880.58425925926</v>
      </c>
      <c r="B10538" t="str">
        <f>HYPERLINK("https://twitter.com/captain_kuro","@captain_kuro")</f>
        <v>@captain_kuro</v>
      </c>
      <c r="C10538" t="s">
        <v>6010</v>
      </c>
      <c r="D10538">
        <v>42</v>
      </c>
      <c r="E10538">
        <v>0</v>
      </c>
      <c r="F10538">
        <v>304</v>
      </c>
    </row>
    <row r="10539" spans="1:6" ht="12.75">
      <c r="A10539" s="2">
        <v>43880.584224537037</v>
      </c>
      <c r="B10539" t="str">
        <f>HYPERLINK("https://twitter.com/buluketekkriswu","@buluketekkriswu")</f>
        <v>@buluketekkriswu</v>
      </c>
      <c r="C10539" t="s">
        <v>2467</v>
      </c>
      <c r="D10539">
        <v>348</v>
      </c>
      <c r="E10539">
        <v>0</v>
      </c>
      <c r="F10539">
        <v>450</v>
      </c>
    </row>
    <row r="10540" spans="1:6" ht="12.75">
      <c r="A10540" s="2">
        <v>43880.584224537037</v>
      </c>
      <c r="B10540" t="str">
        <f>HYPERLINK("https://twitter.com/richyeryiy","@richyeryiy")</f>
        <v>@richyeryiy</v>
      </c>
      <c r="C10540" t="s">
        <v>2692</v>
      </c>
      <c r="D10540">
        <v>603</v>
      </c>
      <c r="E10540">
        <v>0</v>
      </c>
      <c r="F10540">
        <v>615</v>
      </c>
    </row>
    <row r="10541" spans="1:6" ht="12.75">
      <c r="A10541" s="2">
        <v>43880.58421296296</v>
      </c>
      <c r="B10541" t="str">
        <f>HYPERLINK("https://twitter.com/MalaArfiani","@MalaArfiani")</f>
        <v>@MalaArfiani</v>
      </c>
      <c r="C10541" t="s">
        <v>1407</v>
      </c>
      <c r="D10541">
        <v>4515</v>
      </c>
      <c r="E10541">
        <v>0</v>
      </c>
      <c r="F10541">
        <v>102</v>
      </c>
    </row>
    <row r="10542" spans="1:6" ht="12.75">
      <c r="A10542" s="2">
        <v>43880.584189814814</v>
      </c>
      <c r="B10542" t="str">
        <f>HYPERLINK("https://twitter.com/namiramaulidina","@namiramaulidina")</f>
        <v>@namiramaulidina</v>
      </c>
      <c r="C10542" t="s">
        <v>2692</v>
      </c>
      <c r="D10542">
        <v>603</v>
      </c>
      <c r="E10542">
        <v>0</v>
      </c>
      <c r="F10542">
        <v>423</v>
      </c>
    </row>
    <row r="10543" spans="1:6" ht="12.75">
      <c r="A10543" s="2">
        <v>43880.584189814814</v>
      </c>
      <c r="B10543" t="str">
        <f>HYPERLINK("https://twitter.com/whiteflowereu","@whiteflowereu")</f>
        <v>@whiteflowereu</v>
      </c>
      <c r="C10543" t="s">
        <v>1407</v>
      </c>
      <c r="D10543">
        <v>4515</v>
      </c>
      <c r="E10543">
        <v>0</v>
      </c>
      <c r="F10543">
        <v>427</v>
      </c>
    </row>
    <row r="10544" spans="1:6" ht="12.75">
      <c r="A10544" s="2">
        <v>43880.584178240737</v>
      </c>
      <c r="B10544" t="str">
        <f>HYPERLINK("https://twitter.com/wooyawifeu","@wooyawifeu")</f>
        <v>@wooyawifeu</v>
      </c>
      <c r="C10544" t="s">
        <v>1407</v>
      </c>
      <c r="D10544">
        <v>4515</v>
      </c>
      <c r="E10544">
        <v>0</v>
      </c>
      <c r="F10544">
        <v>549</v>
      </c>
    </row>
    <row r="10545" spans="1:6" ht="12.75">
      <c r="A10545" s="2">
        <v>43880.584108796298</v>
      </c>
      <c r="B10545" t="str">
        <f>HYPERLINK("https://twitter.com/nkdmsjy","@nkdmsjy")</f>
        <v>@nkdmsjy</v>
      </c>
      <c r="C10545" t="s">
        <v>1407</v>
      </c>
      <c r="D10545">
        <v>4515</v>
      </c>
      <c r="E10545">
        <v>0</v>
      </c>
      <c r="F10545">
        <v>564</v>
      </c>
    </row>
    <row r="10546" spans="1:6" ht="12.75">
      <c r="A10546" s="2">
        <v>43880.584074074075</v>
      </c>
      <c r="B10546" t="str">
        <f>HYPERLINK("https://twitter.com/buluketekkriswu","@buluketekkriswu")</f>
        <v>@buluketekkriswu</v>
      </c>
      <c r="C10546" t="s">
        <v>1407</v>
      </c>
      <c r="D10546">
        <v>4515</v>
      </c>
      <c r="E10546">
        <v>0</v>
      </c>
      <c r="F10546">
        <v>450</v>
      </c>
    </row>
    <row r="10547" spans="1:6" ht="12.75">
      <c r="A10547" s="2">
        <v>43880.584074074075</v>
      </c>
      <c r="B10547" t="str">
        <f t="shared" ref="B10547:B10548" si="193">HYPERLINK("https://twitter.com/Noahfebrian92","@Noahfebrian92")</f>
        <v>@Noahfebrian92</v>
      </c>
      <c r="C10547" t="s">
        <v>1407</v>
      </c>
      <c r="D10547">
        <v>4515</v>
      </c>
      <c r="E10547">
        <v>0</v>
      </c>
      <c r="F10547">
        <v>1410</v>
      </c>
    </row>
    <row r="10548" spans="1:6" ht="12.75">
      <c r="A10548" s="2">
        <v>43880.584027777775</v>
      </c>
      <c r="B10548" t="str">
        <f t="shared" si="193"/>
        <v>@Noahfebrian92</v>
      </c>
      <c r="C10548" t="s">
        <v>2467</v>
      </c>
      <c r="D10548">
        <v>348</v>
      </c>
      <c r="E10548">
        <v>0</v>
      </c>
      <c r="F10548">
        <v>1410</v>
      </c>
    </row>
    <row r="10549" spans="1:6" ht="12.75">
      <c r="A10549" s="2">
        <v>43880.584027777775</v>
      </c>
      <c r="B10549" t="str">
        <f>HYPERLINK("https://twitter.com/R13t0p","@R13t0p")</f>
        <v>@R13t0p</v>
      </c>
      <c r="C10549" t="s">
        <v>1407</v>
      </c>
      <c r="D10549">
        <v>4515</v>
      </c>
      <c r="E10549">
        <v>0</v>
      </c>
      <c r="F10549">
        <v>144</v>
      </c>
    </row>
    <row r="10550" spans="1:6" ht="12.75">
      <c r="A10550" s="2">
        <v>43880.584016203706</v>
      </c>
      <c r="B10550" t="str">
        <f>HYPERLINK("https://twitter.com/MellTanya","@MellTanya")</f>
        <v>@MellTanya</v>
      </c>
      <c r="C10550" t="s">
        <v>6011</v>
      </c>
      <c r="D10550">
        <v>0</v>
      </c>
      <c r="E10550">
        <v>0</v>
      </c>
      <c r="F10550">
        <v>20</v>
      </c>
    </row>
    <row r="10551" spans="1:6" ht="12.75">
      <c r="A10551" s="2">
        <v>43880.583993055552</v>
      </c>
      <c r="B10551" t="str">
        <f>HYPERLINK("https://twitter.com/strawtjimxxx_","@strawtjimxxx_")</f>
        <v>@strawtjimxxx_</v>
      </c>
      <c r="C10551" t="s">
        <v>1407</v>
      </c>
      <c r="D10551">
        <v>4515</v>
      </c>
      <c r="E10551">
        <v>0</v>
      </c>
      <c r="F10551">
        <v>993</v>
      </c>
    </row>
    <row r="10552" spans="1:6" ht="12.75">
      <c r="A10552" s="2">
        <v>43880.583993055552</v>
      </c>
      <c r="B10552" t="str">
        <f>HYPERLINK("https://twitter.com/Noahfebrian92","@Noahfebrian92")</f>
        <v>@Noahfebrian92</v>
      </c>
      <c r="C10552" t="s">
        <v>2183</v>
      </c>
      <c r="D10552">
        <v>93</v>
      </c>
      <c r="E10552">
        <v>0</v>
      </c>
      <c r="F10552">
        <v>1410</v>
      </c>
    </row>
    <row r="10553" spans="1:6" ht="12.75">
      <c r="A10553" s="2">
        <v>43880.583958333329</v>
      </c>
      <c r="B10553" t="str">
        <f>HYPERLINK("https://twitter.com/LissaTia","@LissaTia")</f>
        <v>@LissaTia</v>
      </c>
      <c r="C10553" t="s">
        <v>6011</v>
      </c>
      <c r="D10553">
        <v>0</v>
      </c>
      <c r="E10553">
        <v>0</v>
      </c>
      <c r="F10553">
        <v>9</v>
      </c>
    </row>
    <row r="10554" spans="1:6" ht="12.75">
      <c r="A10554" s="2">
        <v>43880.58393518519</v>
      </c>
      <c r="B10554" t="str">
        <f>HYPERLINK("https://twitter.com/melovingbtsaf","@melovingbtsaf")</f>
        <v>@melovingbtsaf</v>
      </c>
      <c r="C10554" t="s">
        <v>2692</v>
      </c>
      <c r="D10554">
        <v>603</v>
      </c>
      <c r="E10554">
        <v>0</v>
      </c>
      <c r="F10554">
        <v>99</v>
      </c>
    </row>
    <row r="10555" spans="1:6" ht="12.75">
      <c r="A10555" s="2">
        <v>43880.58393518519</v>
      </c>
      <c r="B10555" t="str">
        <f>HYPERLINK("https://twitter.com/chickenmayunais","@chickenmayunais")</f>
        <v>@chickenmayunais</v>
      </c>
      <c r="C10555" t="s">
        <v>1407</v>
      </c>
      <c r="D10555">
        <v>4515</v>
      </c>
      <c r="E10555">
        <v>0</v>
      </c>
      <c r="F10555">
        <v>101</v>
      </c>
    </row>
    <row r="10556" spans="1:6" ht="12.75">
      <c r="A10556" s="2">
        <v>43880.583912037036</v>
      </c>
      <c r="B10556" t="str">
        <f>HYPERLINK("https://twitter.com/hatemyseIfff","@hatemyseIfff")</f>
        <v>@hatemyseIfff</v>
      </c>
      <c r="C10556" t="s">
        <v>2467</v>
      </c>
      <c r="D10556">
        <v>348</v>
      </c>
      <c r="E10556">
        <v>0</v>
      </c>
      <c r="F10556">
        <v>445</v>
      </c>
    </row>
    <row r="10557" spans="1:6" ht="12.75">
      <c r="A10557" s="2">
        <v>43880.583912037036</v>
      </c>
      <c r="B10557" t="str">
        <f>HYPERLINK("https://twitter.com/lame_rame","@lame_rame")</f>
        <v>@lame_rame</v>
      </c>
      <c r="C10557" t="s">
        <v>6011</v>
      </c>
      <c r="D10557">
        <v>0</v>
      </c>
      <c r="E10557">
        <v>0</v>
      </c>
      <c r="F10557">
        <v>23</v>
      </c>
    </row>
    <row r="10558" spans="1:6" ht="12.75">
      <c r="A10558" s="2">
        <v>43880.583854166667</v>
      </c>
      <c r="B10558" t="str">
        <f>HYPERLINK("https://twitter.com/restuadiutami","@restuadiutami")</f>
        <v>@restuadiutami</v>
      </c>
      <c r="C10558" t="s">
        <v>1407</v>
      </c>
      <c r="D10558">
        <v>4515</v>
      </c>
      <c r="E10558">
        <v>0</v>
      </c>
      <c r="F10558">
        <v>404</v>
      </c>
    </row>
    <row r="10559" spans="1:6" ht="12.75">
      <c r="A10559" s="2">
        <v>43880.583854166667</v>
      </c>
      <c r="B10559" t="str">
        <f>HYPERLINK("https://twitter.com/mrsjohnnysuh","@mrsjohnnysuh")</f>
        <v>@mrsjohnnysuh</v>
      </c>
      <c r="C10559" t="s">
        <v>2183</v>
      </c>
      <c r="D10559">
        <v>93</v>
      </c>
      <c r="E10559">
        <v>0</v>
      </c>
      <c r="F10559">
        <v>3681</v>
      </c>
    </row>
    <row r="10560" spans="1:6" ht="12.75">
      <c r="A10560" s="2">
        <v>43880.58384259259</v>
      </c>
      <c r="B10560" t="str">
        <f>HYPERLINK("https://twitter.com/SioLabin","@SioLabin")</f>
        <v>@SioLabin</v>
      </c>
      <c r="C10560" t="s">
        <v>6011</v>
      </c>
      <c r="D10560">
        <v>0</v>
      </c>
      <c r="E10560">
        <v>0</v>
      </c>
      <c r="F10560">
        <v>4</v>
      </c>
    </row>
    <row r="10561" spans="1:6" ht="12.75">
      <c r="A10561" s="2">
        <v>43880.58384259259</v>
      </c>
      <c r="B10561" t="str">
        <f>HYPERLINK("https://twitter.com/babyshark45","@babyshark45")</f>
        <v>@babyshark45</v>
      </c>
      <c r="C10561" t="s">
        <v>1407</v>
      </c>
      <c r="D10561">
        <v>4515</v>
      </c>
      <c r="E10561">
        <v>0</v>
      </c>
      <c r="F10561">
        <v>17</v>
      </c>
    </row>
    <row r="10562" spans="1:6" ht="12.75">
      <c r="A10562" s="2">
        <v>43880.58384259259</v>
      </c>
      <c r="B10562" t="str">
        <f>HYPERLINK("https://twitter.com/pemawlas","@pemawlas")</f>
        <v>@pemawlas</v>
      </c>
      <c r="C10562" t="s">
        <v>1407</v>
      </c>
      <c r="D10562">
        <v>4515</v>
      </c>
      <c r="E10562">
        <v>0</v>
      </c>
      <c r="F10562">
        <v>9836</v>
      </c>
    </row>
    <row r="10563" spans="1:6" ht="12.75">
      <c r="A10563" s="2">
        <v>43880.583819444444</v>
      </c>
      <c r="B10563" t="str">
        <f>HYPERLINK("https://twitter.com/yaqiaqiyo","@yaqiaqiyo")</f>
        <v>@yaqiaqiyo</v>
      </c>
      <c r="C10563" t="s">
        <v>1407</v>
      </c>
      <c r="D10563">
        <v>4515</v>
      </c>
      <c r="E10563">
        <v>0</v>
      </c>
      <c r="F10563">
        <v>87</v>
      </c>
    </row>
    <row r="10564" spans="1:6" ht="12.75">
      <c r="A10564" s="2">
        <v>43880.583819444444</v>
      </c>
      <c r="B10564" t="str">
        <f>HYPERLINK("https://twitter.com/auliorara","@auliorara")</f>
        <v>@auliorara</v>
      </c>
      <c r="C10564" t="s">
        <v>1407</v>
      </c>
      <c r="D10564">
        <v>4515</v>
      </c>
      <c r="E10564">
        <v>0</v>
      </c>
      <c r="F10564">
        <v>748</v>
      </c>
    </row>
    <row r="10565" spans="1:6" ht="12.75">
      <c r="A10565" s="2">
        <v>43880.583807870367</v>
      </c>
      <c r="B10565" t="str">
        <f>HYPERLINK("https://twitter.com/Araiit_","@Araiit_")</f>
        <v>@Araiit_</v>
      </c>
      <c r="C10565" t="s">
        <v>1407</v>
      </c>
      <c r="D10565">
        <v>4515</v>
      </c>
      <c r="E10565">
        <v>0</v>
      </c>
      <c r="F10565">
        <v>191</v>
      </c>
    </row>
    <row r="10566" spans="1:6" ht="12.75">
      <c r="A10566" s="2">
        <v>43880.583784722221</v>
      </c>
      <c r="B10566" t="str">
        <f>HYPERLINK("https://twitter.com/ASLldomino","@ASLldomino")</f>
        <v>@ASLldomino</v>
      </c>
      <c r="C10566" t="s">
        <v>6011</v>
      </c>
      <c r="D10566">
        <v>0</v>
      </c>
      <c r="E10566">
        <v>0</v>
      </c>
      <c r="F10566">
        <v>7</v>
      </c>
    </row>
    <row r="10567" spans="1:6" ht="12.75">
      <c r="A10567" s="2">
        <v>43880.583761574075</v>
      </c>
      <c r="B10567" t="str">
        <f>HYPERLINK("https://twitter.com/megalung","@megalung")</f>
        <v>@megalung</v>
      </c>
      <c r="C10567" t="s">
        <v>1407</v>
      </c>
      <c r="D10567">
        <v>4515</v>
      </c>
      <c r="E10567">
        <v>0</v>
      </c>
      <c r="F10567">
        <v>323</v>
      </c>
    </row>
    <row r="10568" spans="1:6" ht="12.75">
      <c r="A10568" s="2">
        <v>43880.583750000005</v>
      </c>
      <c r="B10568" t="str">
        <f>HYPERLINK("https://twitter.com/KangAgungD","@KangAgungD")</f>
        <v>@KangAgungD</v>
      </c>
      <c r="C10568" t="s">
        <v>2692</v>
      </c>
      <c r="D10568">
        <v>603</v>
      </c>
      <c r="E10568">
        <v>0</v>
      </c>
      <c r="F10568">
        <v>937</v>
      </c>
    </row>
    <row r="10569" spans="1:6" ht="12.75">
      <c r="A10569" s="2">
        <v>43880.583738425921</v>
      </c>
      <c r="B10569" t="str">
        <f>HYPERLINK("https://twitter.com/NoveriaBuulolo","@NoveriaBuulolo")</f>
        <v>@NoveriaBuulolo</v>
      </c>
      <c r="C10569" t="s">
        <v>6011</v>
      </c>
      <c r="D10569">
        <v>0</v>
      </c>
      <c r="E10569">
        <v>0</v>
      </c>
      <c r="F10569">
        <v>4</v>
      </c>
    </row>
    <row r="10570" spans="1:6" ht="12.75">
      <c r="A10570" s="2">
        <v>43880.583692129629</v>
      </c>
      <c r="B10570" t="str">
        <f>HYPERLINK("https://twitter.com/MeydisyahH","@MeydisyahH")</f>
        <v>@MeydisyahH</v>
      </c>
      <c r="C10570" t="s">
        <v>2467</v>
      </c>
      <c r="D10570">
        <v>348</v>
      </c>
      <c r="E10570">
        <v>0</v>
      </c>
      <c r="F10570">
        <v>7</v>
      </c>
    </row>
    <row r="10571" spans="1:6" ht="12.75">
      <c r="A10571" s="2">
        <v>43880.583668981482</v>
      </c>
      <c r="B10571" t="str">
        <f>HYPERLINK("https://twitter.com/AslidominoPAGE","@AslidominoPAGE")</f>
        <v>@AslidominoPAGE</v>
      </c>
      <c r="C10571" t="s">
        <v>6011</v>
      </c>
      <c r="D10571">
        <v>0</v>
      </c>
      <c r="E10571">
        <v>0</v>
      </c>
      <c r="F10571">
        <v>9</v>
      </c>
    </row>
    <row r="10572" spans="1:6" ht="12.75">
      <c r="A10572" s="2">
        <v>43880.583668981482</v>
      </c>
      <c r="B10572" t="str">
        <f>HYPERLINK("https://twitter.com/wiwiwmd","@wiwiwmd")</f>
        <v>@wiwiwmd</v>
      </c>
      <c r="C10572" t="s">
        <v>1407</v>
      </c>
      <c r="D10572">
        <v>4515</v>
      </c>
      <c r="E10572">
        <v>0</v>
      </c>
      <c r="F10572">
        <v>479</v>
      </c>
    </row>
    <row r="10573" spans="1:6" ht="12.75">
      <c r="A10573" s="2">
        <v>43880.583657407406</v>
      </c>
      <c r="B10573" t="str">
        <f>HYPERLINK("https://twitter.com/mycaptain97","@mycaptain97")</f>
        <v>@mycaptain97</v>
      </c>
      <c r="C10573" t="s">
        <v>1407</v>
      </c>
      <c r="D10573">
        <v>4515</v>
      </c>
      <c r="E10573">
        <v>0</v>
      </c>
      <c r="F10573">
        <v>24</v>
      </c>
    </row>
    <row r="10574" spans="1:6" ht="12.75">
      <c r="A10574" s="2">
        <v>43880.583622685182</v>
      </c>
      <c r="B10574" t="str">
        <f>HYPERLINK("https://twitter.com/MNCNewsroom","@MNCNewsroom")</f>
        <v>@MNCNewsroom</v>
      </c>
      <c r="C10574" t="s">
        <v>6012</v>
      </c>
      <c r="D10574">
        <v>0</v>
      </c>
      <c r="E10574">
        <v>0</v>
      </c>
      <c r="F10574">
        <v>17557</v>
      </c>
    </row>
    <row r="10575" spans="1:6" ht="12.75">
      <c r="A10575" s="2">
        <v>43880.583622685182</v>
      </c>
      <c r="B10575" t="str">
        <f>HYPERLINK("https://twitter.com/LenyLois1","@LenyLois1")</f>
        <v>@LenyLois1</v>
      </c>
      <c r="C10575" t="s">
        <v>6011</v>
      </c>
      <c r="D10575">
        <v>0</v>
      </c>
      <c r="E10575">
        <v>0</v>
      </c>
      <c r="F10575">
        <v>13</v>
      </c>
    </row>
    <row r="10576" spans="1:6" ht="12.75">
      <c r="A10576" s="2">
        <v>43880.583599537036</v>
      </c>
      <c r="B10576" t="str">
        <f>HYPERLINK("https://twitter.com/YusufRahmatP","@YusufRahmatP")</f>
        <v>@YusufRahmatP</v>
      </c>
      <c r="C10576" t="s">
        <v>6013</v>
      </c>
      <c r="D10576">
        <v>0</v>
      </c>
      <c r="E10576">
        <v>0</v>
      </c>
      <c r="F10576">
        <v>158</v>
      </c>
    </row>
    <row r="10577" spans="1:6" ht="12.75">
      <c r="A10577" s="2">
        <v>43880.583564814813</v>
      </c>
      <c r="B10577" t="str">
        <f>HYPERLINK("https://twitter.com/Nusyeew","@Nusyeew")</f>
        <v>@Nusyeew</v>
      </c>
      <c r="C10577" t="s">
        <v>2183</v>
      </c>
      <c r="D10577">
        <v>93</v>
      </c>
      <c r="E10577">
        <v>0</v>
      </c>
      <c r="F10577">
        <v>1904</v>
      </c>
    </row>
    <row r="10578" spans="1:6" ht="12.75">
      <c r="A10578" s="2">
        <v>43880.583553240736</v>
      </c>
      <c r="B10578" t="str">
        <f>HYPERLINK("https://twitter.com/BuloloNovie","@BuloloNovie")</f>
        <v>@BuloloNovie</v>
      </c>
      <c r="C10578" t="s">
        <v>6011</v>
      </c>
      <c r="D10578">
        <v>0</v>
      </c>
      <c r="E10578">
        <v>0</v>
      </c>
      <c r="F10578">
        <v>6</v>
      </c>
    </row>
    <row r="10579" spans="1:6" ht="12.75">
      <c r="A10579" s="2">
        <v>43880.583553240736</v>
      </c>
      <c r="B10579" t="str">
        <f>HYPERLINK("https://twitter.com/Prajudistsa8","@Prajudistsa8")</f>
        <v>@Prajudistsa8</v>
      </c>
      <c r="C10579" t="s">
        <v>1407</v>
      </c>
      <c r="D10579">
        <v>4515</v>
      </c>
      <c r="E10579">
        <v>0</v>
      </c>
      <c r="F10579">
        <v>464</v>
      </c>
    </row>
    <row r="10580" spans="1:6" ht="12.75">
      <c r="A10580" s="2">
        <v>43880.583541666667</v>
      </c>
      <c r="B10580" t="str">
        <f>HYPERLINK("https://twitter.com/akunui2020","@akunui2020")</f>
        <v>@akunui2020</v>
      </c>
      <c r="C10580" t="s">
        <v>2692</v>
      </c>
      <c r="D10580">
        <v>603</v>
      </c>
      <c r="E10580">
        <v>0</v>
      </c>
      <c r="F10580">
        <v>38</v>
      </c>
    </row>
    <row r="10581" spans="1:6" ht="12.75">
      <c r="A10581" s="2">
        <v>43880.583530092597</v>
      </c>
      <c r="B10581" t="str">
        <f>HYPERLINK("https://twitter.com/MeydisyahH","@MeydisyahH")</f>
        <v>@MeydisyahH</v>
      </c>
      <c r="C10581" t="s">
        <v>1407</v>
      </c>
      <c r="D10581">
        <v>4515</v>
      </c>
      <c r="E10581">
        <v>0</v>
      </c>
      <c r="F10581">
        <v>7</v>
      </c>
    </row>
    <row r="10582" spans="1:6" ht="12.75">
      <c r="A10582" s="2">
        <v>43880.583495370374</v>
      </c>
      <c r="B10582" t="str">
        <f>HYPERLINK("https://twitter.com/qiucing","@qiucing")</f>
        <v>@qiucing</v>
      </c>
      <c r="C10582" t="s">
        <v>1407</v>
      </c>
      <c r="D10582">
        <v>4515</v>
      </c>
      <c r="E10582">
        <v>0</v>
      </c>
      <c r="F10582">
        <v>224</v>
      </c>
    </row>
    <row r="10583" spans="1:6" ht="12.75">
      <c r="A10583" s="2">
        <v>43880.583425925928</v>
      </c>
      <c r="B10583" t="str">
        <f>HYPERLINK("https://twitter.com/dominoasli","@dominoasli")</f>
        <v>@dominoasli</v>
      </c>
      <c r="C10583" t="s">
        <v>6011</v>
      </c>
      <c r="D10583">
        <v>0</v>
      </c>
      <c r="E10583">
        <v>0</v>
      </c>
      <c r="F10583">
        <v>7</v>
      </c>
    </row>
    <row r="10584" spans="1:6" ht="12.75">
      <c r="A10584" s="2">
        <v>43880.583379629628</v>
      </c>
      <c r="B10584" t="str">
        <f>HYPERLINK("https://twitter.com/quorkabit","@quorkabit")</f>
        <v>@quorkabit</v>
      </c>
      <c r="C10584" t="s">
        <v>2692</v>
      </c>
      <c r="D10584">
        <v>603</v>
      </c>
      <c r="E10584">
        <v>0</v>
      </c>
      <c r="F10584">
        <v>269</v>
      </c>
    </row>
    <row r="10585" spans="1:6" ht="12.75">
      <c r="A10585" s="2">
        <v>43880.583356481482</v>
      </c>
      <c r="B10585" t="str">
        <f>HYPERLINK("https://twitter.com/y_ismutarto","@y_ismutarto")</f>
        <v>@y_ismutarto</v>
      </c>
      <c r="C10585" t="s">
        <v>1407</v>
      </c>
      <c r="D10585">
        <v>4515</v>
      </c>
      <c r="E10585">
        <v>0</v>
      </c>
      <c r="F10585">
        <v>169</v>
      </c>
    </row>
    <row r="10586" spans="1:6" ht="12.75">
      <c r="A10586" s="2">
        <v>43880.583344907413</v>
      </c>
      <c r="B10586" t="str">
        <f>HYPERLINK("https://twitter.com/Banabail","@Banabail")</f>
        <v>@Banabail</v>
      </c>
      <c r="C10586" t="s">
        <v>2692</v>
      </c>
      <c r="D10586">
        <v>603</v>
      </c>
      <c r="E10586">
        <v>0</v>
      </c>
      <c r="F10586">
        <v>732</v>
      </c>
    </row>
    <row r="10587" spans="1:6" ht="12.75">
      <c r="A10587" s="2">
        <v>43880.583333333328</v>
      </c>
      <c r="B10587" t="str">
        <f>HYPERLINK("https://twitter.com/IndoAdventure","@IndoAdventure")</f>
        <v>@IndoAdventure</v>
      </c>
      <c r="C10587" t="s">
        <v>6014</v>
      </c>
      <c r="D10587">
        <v>0</v>
      </c>
      <c r="E10587">
        <v>0</v>
      </c>
      <c r="F10587">
        <v>3544</v>
      </c>
    </row>
    <row r="10588" spans="1:6" ht="12.75">
      <c r="A10588" s="2">
        <v>43880.583333333328</v>
      </c>
      <c r="B10588" t="str">
        <f>HYPERLINK("https://twitter.com/kenangansantri","@kenangansantri")</f>
        <v>@kenangansantri</v>
      </c>
      <c r="C10588" t="s">
        <v>6015</v>
      </c>
      <c r="D10588">
        <v>0</v>
      </c>
      <c r="E10588">
        <v>0</v>
      </c>
      <c r="F10588">
        <v>1500</v>
      </c>
    </row>
    <row r="10589" spans="1:6" ht="12.75">
      <c r="A10589" s="2">
        <v>43880.583298611113</v>
      </c>
      <c r="B10589" t="str">
        <f>HYPERLINK("https://twitter.com/LBalenii","@LBalenii")</f>
        <v>@LBalenii</v>
      </c>
      <c r="C10589" t="s">
        <v>6011</v>
      </c>
      <c r="D10589">
        <v>0</v>
      </c>
      <c r="E10589">
        <v>0</v>
      </c>
      <c r="F10589">
        <v>8</v>
      </c>
    </row>
    <row r="10590" spans="1:6" ht="12.75">
      <c r="A10590" s="2">
        <v>43880.583275462966</v>
      </c>
      <c r="B10590" t="str">
        <f>HYPERLINK("https://twitter.com/Nusyeew","@Nusyeew")</f>
        <v>@Nusyeew</v>
      </c>
      <c r="C10590" t="s">
        <v>2467</v>
      </c>
      <c r="D10590">
        <v>348</v>
      </c>
      <c r="E10590">
        <v>0</v>
      </c>
      <c r="F10590">
        <v>1904</v>
      </c>
    </row>
    <row r="10591" spans="1:6" ht="12.75">
      <c r="A10591" s="2">
        <v>43880.583229166667</v>
      </c>
      <c r="B10591" t="str">
        <f>HYPERLINK("https://twitter.com/alamakjanggg","@alamakjanggg")</f>
        <v>@alamakjanggg</v>
      </c>
      <c r="C10591" t="s">
        <v>6016</v>
      </c>
      <c r="D10591">
        <v>0</v>
      </c>
      <c r="E10591">
        <v>0</v>
      </c>
      <c r="F10591">
        <v>816</v>
      </c>
    </row>
    <row r="10592" spans="1:6" ht="12.75">
      <c r="A10592" s="2">
        <v>43880.583182870367</v>
      </c>
      <c r="B10592" t="str">
        <f>HYPERLINK("https://twitter.com/TwinLeny","@TwinLeny")</f>
        <v>@TwinLeny</v>
      </c>
      <c r="C10592" t="s">
        <v>6011</v>
      </c>
      <c r="D10592">
        <v>0</v>
      </c>
      <c r="E10592">
        <v>0</v>
      </c>
      <c r="F10592">
        <v>4</v>
      </c>
    </row>
    <row r="10593" spans="1:6" ht="12.75">
      <c r="A10593" s="2">
        <v>43880.583182870367</v>
      </c>
      <c r="B10593" t="str">
        <f>HYPERLINK("https://twitter.com/noturtepi","@noturtepi")</f>
        <v>@noturtepi</v>
      </c>
      <c r="C10593" t="s">
        <v>1407</v>
      </c>
      <c r="D10593">
        <v>4515</v>
      </c>
      <c r="E10593">
        <v>0</v>
      </c>
      <c r="F10593">
        <v>125</v>
      </c>
    </row>
    <row r="10594" spans="1:6" ht="12.75">
      <c r="A10594" s="2">
        <v>43880.583125000005</v>
      </c>
      <c r="B10594" t="str">
        <f>HYPERLINK("https://twitter.com/wupihsirsik","@wupihsirsik")</f>
        <v>@wupihsirsik</v>
      </c>
      <c r="C10594" t="s">
        <v>1407</v>
      </c>
      <c r="D10594">
        <v>4515</v>
      </c>
      <c r="E10594">
        <v>0</v>
      </c>
      <c r="F10594">
        <v>602</v>
      </c>
    </row>
    <row r="10595" spans="1:6" ht="12.75">
      <c r="A10595" s="2">
        <v>43880.583113425921</v>
      </c>
      <c r="B10595" t="str">
        <f>HYPERLINK("https://twitter.com/arkoww","@arkoww")</f>
        <v>@arkoww</v>
      </c>
      <c r="C10595" t="s">
        <v>1407</v>
      </c>
      <c r="D10595">
        <v>4515</v>
      </c>
      <c r="E10595">
        <v>0</v>
      </c>
      <c r="F10595">
        <v>519</v>
      </c>
    </row>
    <row r="10596" spans="1:6" ht="12.75">
      <c r="A10596" s="2">
        <v>43880.583090277782</v>
      </c>
      <c r="B10596" t="str">
        <f>HYPERLINK("https://twitter.com/SelineEveline","@SelineEveline")</f>
        <v>@SelineEveline</v>
      </c>
      <c r="C10596" t="s">
        <v>6011</v>
      </c>
      <c r="D10596">
        <v>0</v>
      </c>
      <c r="E10596">
        <v>0</v>
      </c>
      <c r="F10596">
        <v>35</v>
      </c>
    </row>
    <row r="10597" spans="1:6" ht="12.75">
      <c r="A10597" s="2">
        <v>43880.582951388889</v>
      </c>
      <c r="B10597" t="str">
        <f>HYPERLINK("https://twitter.com/athanasia_____","@athanasia_____")</f>
        <v>@athanasia_____</v>
      </c>
      <c r="C10597" t="s">
        <v>2692</v>
      </c>
      <c r="D10597">
        <v>603</v>
      </c>
      <c r="E10597">
        <v>0</v>
      </c>
      <c r="F10597">
        <v>311</v>
      </c>
    </row>
    <row r="10598" spans="1:6" ht="12.75">
      <c r="A10598" s="2">
        <v>43880.582951388889</v>
      </c>
      <c r="B10598" t="str">
        <f>HYPERLINK("https://twitter.com/SioLabine","@SioLabine")</f>
        <v>@SioLabine</v>
      </c>
      <c r="C10598" t="s">
        <v>6011</v>
      </c>
      <c r="D10598">
        <v>0</v>
      </c>
      <c r="E10598">
        <v>0</v>
      </c>
      <c r="F10598">
        <v>89</v>
      </c>
    </row>
    <row r="10599" spans="1:6" ht="12.75">
      <c r="A10599" s="2">
        <v>43880.58293981482</v>
      </c>
      <c r="B10599" t="str">
        <f>HYPERLINK("https://twitter.com/fajar_sulaksono","@fajar_sulaksono")</f>
        <v>@fajar_sulaksono</v>
      </c>
      <c r="C10599" t="s">
        <v>1407</v>
      </c>
      <c r="D10599">
        <v>4515</v>
      </c>
      <c r="E10599">
        <v>0</v>
      </c>
      <c r="F10599">
        <v>228</v>
      </c>
    </row>
    <row r="10600" spans="1:6" ht="12.75">
      <c r="A10600" s="2">
        <v>43880.582916666666</v>
      </c>
      <c r="B10600" t="str">
        <f>HYPERLINK("https://twitter.com/kikieysa_","@kikieysa_")</f>
        <v>@kikieysa_</v>
      </c>
      <c r="C10600" t="s">
        <v>1407</v>
      </c>
      <c r="D10600">
        <v>4515</v>
      </c>
      <c r="E10600">
        <v>0</v>
      </c>
      <c r="F10600">
        <v>2079</v>
      </c>
    </row>
    <row r="10601" spans="1:6" ht="12.75">
      <c r="A10601" s="2">
        <v>43880.582905092597</v>
      </c>
      <c r="B10601" t="str">
        <f>HYPERLINK("https://twitter.com/adeIIia","@adeIIia")</f>
        <v>@adeIIia</v>
      </c>
      <c r="C10601" t="s">
        <v>2467</v>
      </c>
      <c r="D10601">
        <v>348</v>
      </c>
      <c r="E10601">
        <v>0</v>
      </c>
      <c r="F10601">
        <v>309</v>
      </c>
    </row>
    <row r="10602" spans="1:6" ht="12.75">
      <c r="A10602" s="2">
        <v>43880.58289351852</v>
      </c>
      <c r="B10602" t="str">
        <f>HYPERLINK("https://twitter.com/PitoWilson99","@PitoWilson99")</f>
        <v>@PitoWilson99</v>
      </c>
      <c r="C10602" t="s">
        <v>2692</v>
      </c>
      <c r="D10602">
        <v>603</v>
      </c>
      <c r="E10602">
        <v>0</v>
      </c>
      <c r="F10602">
        <v>94</v>
      </c>
    </row>
    <row r="10603" spans="1:6" ht="12.75">
      <c r="A10603" s="2">
        <v>43880.582870370374</v>
      </c>
      <c r="B10603" t="str">
        <f>HYPERLINK("https://twitter.com/SandyMZein","@SandyMZein")</f>
        <v>@SandyMZein</v>
      </c>
      <c r="C10603" t="s">
        <v>5939</v>
      </c>
      <c r="D10603">
        <v>12</v>
      </c>
      <c r="E10603">
        <v>0</v>
      </c>
      <c r="F10603">
        <v>219</v>
      </c>
    </row>
    <row r="10604" spans="1:6" ht="12.75">
      <c r="A10604" s="2">
        <v>43880.582858796297</v>
      </c>
      <c r="B10604" t="str">
        <f>HYPERLINK("https://twitter.com/dkingdoms","@dkingdoms")</f>
        <v>@dkingdoms</v>
      </c>
      <c r="C10604" t="s">
        <v>1407</v>
      </c>
      <c r="D10604">
        <v>4515</v>
      </c>
      <c r="E10604">
        <v>0</v>
      </c>
      <c r="F10604">
        <v>781</v>
      </c>
    </row>
    <row r="10605" spans="1:6" ht="12.75">
      <c r="A10605" s="2">
        <v>43880.582789351851</v>
      </c>
      <c r="B10605" t="str">
        <f>HYPERLINK("https://twitter.com/samvelmania","@samvelmania")</f>
        <v>@samvelmania</v>
      </c>
      <c r="C10605" t="s">
        <v>5203</v>
      </c>
      <c r="D10605">
        <v>42</v>
      </c>
      <c r="E10605">
        <v>0</v>
      </c>
      <c r="F10605">
        <v>16</v>
      </c>
    </row>
    <row r="10606" spans="1:6" ht="12.75">
      <c r="A10606" s="2">
        <v>43880.582754629635</v>
      </c>
      <c r="B10606" t="str">
        <f t="shared" ref="B10606:B10607" si="194">HYPERLINK("https://twitter.com/pinkusausages","@pinkusausages")</f>
        <v>@pinkusausages</v>
      </c>
      <c r="C10606" t="s">
        <v>2467</v>
      </c>
      <c r="D10606">
        <v>348</v>
      </c>
      <c r="E10606">
        <v>0</v>
      </c>
      <c r="F10606">
        <v>356</v>
      </c>
    </row>
    <row r="10607" spans="1:6" ht="12.75">
      <c r="A10607" s="2">
        <v>43880.582743055551</v>
      </c>
      <c r="B10607" t="str">
        <f t="shared" si="194"/>
        <v>@pinkusausages</v>
      </c>
      <c r="C10607" t="s">
        <v>1407</v>
      </c>
      <c r="D10607">
        <v>4515</v>
      </c>
      <c r="E10607">
        <v>0</v>
      </c>
      <c r="F10607">
        <v>356</v>
      </c>
    </row>
    <row r="10608" spans="1:6" ht="12.75">
      <c r="A10608" s="2">
        <v>43880.582719907412</v>
      </c>
      <c r="B10608" t="str">
        <f>HYPERLINK("https://twitter.com/casromani","@casromani")</f>
        <v>@casromani</v>
      </c>
      <c r="C10608" t="s">
        <v>2692</v>
      </c>
      <c r="D10608">
        <v>603</v>
      </c>
      <c r="E10608">
        <v>0</v>
      </c>
      <c r="F10608">
        <v>197</v>
      </c>
    </row>
    <row r="10609" spans="1:6" ht="12.75">
      <c r="A10609" s="2">
        <v>43880.582685185189</v>
      </c>
      <c r="B10609" t="str">
        <f>HYPERLINK("https://twitter.com/koonghae","@koonghae")</f>
        <v>@koonghae</v>
      </c>
      <c r="C10609" t="s">
        <v>2692</v>
      </c>
      <c r="D10609">
        <v>603</v>
      </c>
      <c r="E10609">
        <v>0</v>
      </c>
      <c r="F10609">
        <v>90</v>
      </c>
    </row>
    <row r="10610" spans="1:6" ht="12.75">
      <c r="A10610" s="2">
        <v>43880.582685185189</v>
      </c>
      <c r="B10610" t="str">
        <f>HYPERLINK("https://twitter.com/hanseungish","@hanseungish")</f>
        <v>@hanseungish</v>
      </c>
      <c r="C10610" t="s">
        <v>1407</v>
      </c>
      <c r="D10610">
        <v>4515</v>
      </c>
      <c r="E10610">
        <v>0</v>
      </c>
      <c r="F10610">
        <v>416</v>
      </c>
    </row>
    <row r="10611" spans="1:6" ht="12.75">
      <c r="A10611" s="2">
        <v>43880.582662037035</v>
      </c>
      <c r="B10611" t="str">
        <f>HYPERLINK("https://twitter.com/ayamkorea","@ayamkorea")</f>
        <v>@ayamkorea</v>
      </c>
      <c r="C10611" t="s">
        <v>1407</v>
      </c>
      <c r="D10611">
        <v>4515</v>
      </c>
      <c r="E10611">
        <v>0</v>
      </c>
      <c r="F10611">
        <v>168</v>
      </c>
    </row>
    <row r="10612" spans="1:6" ht="12.75">
      <c r="A10612" s="2">
        <v>43880.582465277781</v>
      </c>
      <c r="B10612" t="str">
        <f>HYPERLINK("https://twitter.com/sylaiueoo","@sylaiueoo")</f>
        <v>@sylaiueoo</v>
      </c>
      <c r="C10612" t="s">
        <v>1407</v>
      </c>
      <c r="D10612">
        <v>4515</v>
      </c>
      <c r="E10612">
        <v>0</v>
      </c>
      <c r="F10612">
        <v>158</v>
      </c>
    </row>
    <row r="10613" spans="1:6" ht="12.75">
      <c r="A10613" s="2">
        <v>43880.582442129627</v>
      </c>
      <c r="B10613" t="str">
        <f>HYPERLINK("https://twitter.com/HarisMuhArif","@HarisMuhArif")</f>
        <v>@HarisMuhArif</v>
      </c>
      <c r="C10613" t="s">
        <v>4415</v>
      </c>
      <c r="D10613">
        <v>96</v>
      </c>
      <c r="E10613">
        <v>0</v>
      </c>
      <c r="F10613">
        <v>98</v>
      </c>
    </row>
    <row r="10614" spans="1:6" ht="12.75">
      <c r="A10614" s="2">
        <v>43880.582418981481</v>
      </c>
      <c r="B10614" t="str">
        <f>HYPERLINK("https://twitter.com/MalangPostNews","@MalangPostNews")</f>
        <v>@MalangPostNews</v>
      </c>
      <c r="C10614" t="s">
        <v>6017</v>
      </c>
      <c r="D10614">
        <v>0</v>
      </c>
      <c r="E10614">
        <v>0</v>
      </c>
      <c r="F10614">
        <v>4</v>
      </c>
    </row>
    <row r="10615" spans="1:6" ht="12.75">
      <c r="A10615" s="2">
        <v>43880.582395833335</v>
      </c>
      <c r="B10615" t="str">
        <f>HYPERLINK("https://twitter.com/fa_diyanti","@fa_diyanti")</f>
        <v>@fa_diyanti</v>
      </c>
      <c r="C10615" t="s">
        <v>1407</v>
      </c>
      <c r="D10615">
        <v>4515</v>
      </c>
      <c r="E10615">
        <v>0</v>
      </c>
      <c r="F10615">
        <v>681</v>
      </c>
    </row>
    <row r="10616" spans="1:6" ht="12.75">
      <c r="A10616" s="2">
        <v>43880.582372685181</v>
      </c>
      <c r="B10616" t="str">
        <f>HYPERLINK("https://twitter.com/pacarmerah1897","@pacarmerah1897")</f>
        <v>@pacarmerah1897</v>
      </c>
      <c r="C10616" t="s">
        <v>1407</v>
      </c>
      <c r="D10616">
        <v>4515</v>
      </c>
      <c r="E10616">
        <v>0</v>
      </c>
      <c r="F10616">
        <v>408</v>
      </c>
    </row>
    <row r="10617" spans="1:6" ht="12.75">
      <c r="A10617" s="2">
        <v>43880.582291666666</v>
      </c>
      <c r="B10617" t="str">
        <f>HYPERLINK("https://twitter.com/gakayakamu","@gakayakamu")</f>
        <v>@gakayakamu</v>
      </c>
      <c r="C10617" t="s">
        <v>1407</v>
      </c>
      <c r="D10617">
        <v>4515</v>
      </c>
      <c r="E10617">
        <v>0</v>
      </c>
      <c r="F10617">
        <v>165</v>
      </c>
    </row>
    <row r="10618" spans="1:6" ht="12.75">
      <c r="A10618" s="2">
        <v>43880.582256944443</v>
      </c>
      <c r="B10618" t="str">
        <f>HYPERLINK("https://twitter.com/tribuntimur","@tribuntimur")</f>
        <v>@tribuntimur</v>
      </c>
      <c r="C10618" t="s">
        <v>6018</v>
      </c>
      <c r="D10618">
        <v>0</v>
      </c>
      <c r="E10618">
        <v>1</v>
      </c>
      <c r="F10618">
        <v>177889</v>
      </c>
    </row>
    <row r="10619" spans="1:6" ht="12.75">
      <c r="A10619" s="2">
        <v>43880.582245370373</v>
      </c>
      <c r="B10619" t="str">
        <f>HYPERLINK("https://twitter.com/MezDoang","@MezDoang")</f>
        <v>@MezDoang</v>
      </c>
      <c r="C10619" t="s">
        <v>2692</v>
      </c>
      <c r="D10619">
        <v>603</v>
      </c>
      <c r="E10619">
        <v>0</v>
      </c>
      <c r="F10619">
        <v>592</v>
      </c>
    </row>
    <row r="10620" spans="1:6" ht="12.75">
      <c r="A10620" s="2">
        <v>43880.582233796296</v>
      </c>
      <c r="B10620" t="str">
        <f>HYPERLINK("https://twitter.com/byutifulix","@byutifulix")</f>
        <v>@byutifulix</v>
      </c>
      <c r="C10620" t="s">
        <v>2692</v>
      </c>
      <c r="D10620">
        <v>603</v>
      </c>
      <c r="E10620">
        <v>0</v>
      </c>
      <c r="F10620">
        <v>3290</v>
      </c>
    </row>
    <row r="10621" spans="1:6" ht="12.75">
      <c r="A10621" s="2">
        <v>43880.582199074073</v>
      </c>
      <c r="B10621" t="str">
        <f>HYPERLINK("https://twitter.com/mueheu","@mueheu")</f>
        <v>@mueheu</v>
      </c>
      <c r="C10621" t="s">
        <v>2467</v>
      </c>
      <c r="D10621">
        <v>348</v>
      </c>
      <c r="E10621">
        <v>0</v>
      </c>
      <c r="F10621">
        <v>633</v>
      </c>
    </row>
    <row r="10622" spans="1:6" ht="12.75">
      <c r="A10622" s="2">
        <v>43880.543263888889</v>
      </c>
      <c r="B10622" t="str">
        <f>HYPERLINK("https://twitter.com/fernandawahyu","@fernandawahyu")</f>
        <v>@fernandawahyu</v>
      </c>
      <c r="C10622" t="s">
        <v>1407</v>
      </c>
      <c r="D10622">
        <v>3795</v>
      </c>
      <c r="E10622">
        <v>0</v>
      </c>
      <c r="F10622">
        <v>341</v>
      </c>
    </row>
    <row r="10623" spans="1:6" ht="12.75">
      <c r="A10623" s="2">
        <v>43880.543229166666</v>
      </c>
      <c r="B10623" t="str">
        <f>HYPERLINK("https://twitter.com/MeidiSaputra_18","@MeidiSaputra_18")</f>
        <v>@MeidiSaputra_18</v>
      </c>
      <c r="C10623" t="s">
        <v>5769</v>
      </c>
      <c r="D10623">
        <v>12</v>
      </c>
      <c r="E10623">
        <v>0</v>
      </c>
      <c r="F10623">
        <v>351</v>
      </c>
    </row>
    <row r="10624" spans="1:6" ht="12.75">
      <c r="A10624" s="2">
        <v>43880.543171296296</v>
      </c>
      <c r="B10624" t="str">
        <f>HYPERLINK("https://twitter.com/__beritaterkini","@__beritaterkini")</f>
        <v>@__beritaterkini</v>
      </c>
      <c r="C10624" t="s">
        <v>6019</v>
      </c>
      <c r="D10624">
        <v>0</v>
      </c>
      <c r="E10624">
        <v>0</v>
      </c>
      <c r="F10624">
        <v>452</v>
      </c>
    </row>
    <row r="10625" spans="1:6" ht="12.75">
      <c r="A10625" s="2">
        <v>43880.543171296296</v>
      </c>
      <c r="B10625" t="str">
        <f>HYPERLINK("https://twitter.com/nawaangg","@nawaangg")</f>
        <v>@nawaangg</v>
      </c>
      <c r="C10625" t="s">
        <v>1407</v>
      </c>
      <c r="D10625">
        <v>3795</v>
      </c>
      <c r="E10625">
        <v>0</v>
      </c>
      <c r="F10625">
        <v>238</v>
      </c>
    </row>
    <row r="10626" spans="1:6" ht="12.75">
      <c r="A10626" s="2">
        <v>43880.543113425927</v>
      </c>
      <c r="B10626" t="str">
        <f>HYPERLINK("https://twitter.com/unpluggedzone","@unpluggedzone")</f>
        <v>@unpluggedzone</v>
      </c>
      <c r="C10626" t="s">
        <v>1407</v>
      </c>
      <c r="D10626">
        <v>3795</v>
      </c>
      <c r="E10626">
        <v>0</v>
      </c>
      <c r="F10626">
        <v>493</v>
      </c>
    </row>
    <row r="10627" spans="1:6" ht="12.75">
      <c r="A10627" s="2">
        <v>43880.543090277773</v>
      </c>
      <c r="B10627" t="str">
        <f>HYPERLINK("https://twitter.com/caesaraGP","@caesaraGP")</f>
        <v>@caesaraGP</v>
      </c>
      <c r="C10627" t="s">
        <v>1407</v>
      </c>
      <c r="D10627">
        <v>3795</v>
      </c>
      <c r="E10627">
        <v>0</v>
      </c>
      <c r="F10627">
        <v>1140</v>
      </c>
    </row>
    <row r="10628" spans="1:6" ht="12.75">
      <c r="A10628" s="2">
        <v>43880.543078703704</v>
      </c>
      <c r="B10628" t="str">
        <f>HYPERLINK("https://twitter.com/penyukagrowol","@penyukagrowol")</f>
        <v>@penyukagrowol</v>
      </c>
      <c r="C10628" t="s">
        <v>2692</v>
      </c>
      <c r="D10628">
        <v>348</v>
      </c>
      <c r="E10628">
        <v>0</v>
      </c>
      <c r="F10628">
        <v>120</v>
      </c>
    </row>
    <row r="10629" spans="1:6" ht="12.75">
      <c r="A10629" s="2">
        <v>43880.543067129634</v>
      </c>
      <c r="B10629" t="str">
        <f>HYPERLINK("https://twitter.com/hara_joko","@hara_joko")</f>
        <v>@hara_joko</v>
      </c>
      <c r="C10629" t="s">
        <v>2467</v>
      </c>
      <c r="D10629">
        <v>278</v>
      </c>
      <c r="E10629">
        <v>0</v>
      </c>
      <c r="F10629">
        <v>176</v>
      </c>
    </row>
    <row r="10630" spans="1:6" ht="12.75">
      <c r="A10630" s="2">
        <v>43880.542986111112</v>
      </c>
      <c r="B10630" t="str">
        <f>HYPERLINK("https://twitter.com/mint91_","@mint91_")</f>
        <v>@mint91_</v>
      </c>
      <c r="C10630" t="s">
        <v>1407</v>
      </c>
      <c r="D10630">
        <v>3795</v>
      </c>
      <c r="E10630">
        <v>0</v>
      </c>
      <c r="F10630">
        <v>535</v>
      </c>
    </row>
    <row r="10631" spans="1:6" ht="12.75">
      <c r="A10631" s="2">
        <v>43880.542974537035</v>
      </c>
      <c r="B10631" t="str">
        <f>HYPERLINK("https://twitter.com/hadidwell_","@hadidwell_")</f>
        <v>@hadidwell_</v>
      </c>
      <c r="C10631" t="s">
        <v>1407</v>
      </c>
      <c r="D10631">
        <v>3795</v>
      </c>
      <c r="E10631">
        <v>0</v>
      </c>
      <c r="F10631">
        <v>3894</v>
      </c>
    </row>
    <row r="10632" spans="1:6" ht="12.75">
      <c r="A10632" s="2">
        <v>43880.542962962965</v>
      </c>
      <c r="B10632" t="str">
        <f>HYPERLINK("https://twitter.com/deniyuliarman","@deniyuliarman")</f>
        <v>@deniyuliarman</v>
      </c>
      <c r="C10632" t="s">
        <v>1407</v>
      </c>
      <c r="D10632">
        <v>3795</v>
      </c>
      <c r="E10632">
        <v>0</v>
      </c>
      <c r="F10632">
        <v>442</v>
      </c>
    </row>
    <row r="10633" spans="1:6" ht="12.75">
      <c r="A10633" s="2">
        <v>43880.54283564815</v>
      </c>
      <c r="B10633" t="str">
        <f>HYPERLINK("https://twitter.com/Wowdee2","@Wowdee2")</f>
        <v>@Wowdee2</v>
      </c>
      <c r="C10633" t="s">
        <v>1407</v>
      </c>
      <c r="D10633">
        <v>3795</v>
      </c>
      <c r="E10633">
        <v>0</v>
      </c>
      <c r="F10633">
        <v>23</v>
      </c>
    </row>
    <row r="10634" spans="1:6" ht="12.75">
      <c r="A10634" s="2">
        <v>43880.54278935185</v>
      </c>
      <c r="B10634" t="str">
        <f>HYPERLINK("https://twitter.com/febridss","@febridss")</f>
        <v>@febridss</v>
      </c>
      <c r="C10634" t="s">
        <v>2692</v>
      </c>
      <c r="D10634">
        <v>348</v>
      </c>
      <c r="E10634">
        <v>0</v>
      </c>
      <c r="F10634">
        <v>463</v>
      </c>
    </row>
    <row r="10635" spans="1:6" ht="12.75">
      <c r="A10635" s="2">
        <v>43880.54277777778</v>
      </c>
      <c r="B10635" t="str">
        <f>HYPERLINK("https://twitter.com/Dheriiansyah","@Dheriiansyah")</f>
        <v>@Dheriiansyah</v>
      </c>
      <c r="C10635" t="s">
        <v>1407</v>
      </c>
      <c r="D10635">
        <v>3795</v>
      </c>
      <c r="E10635">
        <v>0</v>
      </c>
      <c r="F10635">
        <v>828</v>
      </c>
    </row>
    <row r="10636" spans="1:6" ht="12.75">
      <c r="A10636" s="2">
        <v>43880.542766203704</v>
      </c>
      <c r="B10636" t="str">
        <f>HYPERLINK("https://twitter.com/alifa_slsbla","@alifa_slsbla")</f>
        <v>@alifa_slsbla</v>
      </c>
      <c r="C10636" t="s">
        <v>1407</v>
      </c>
      <c r="D10636">
        <v>3795</v>
      </c>
      <c r="E10636">
        <v>0</v>
      </c>
      <c r="F10636">
        <v>914</v>
      </c>
    </row>
    <row r="10637" spans="1:6" ht="12.75">
      <c r="A10637" s="2">
        <v>43880.542696759258</v>
      </c>
      <c r="B10637" t="str">
        <f t="shared" ref="B10637:B10639" si="195">HYPERLINK("https://twitter.com/yellowbaze","@yellowbaze")</f>
        <v>@yellowbaze</v>
      </c>
      <c r="C10637" t="s">
        <v>2183</v>
      </c>
      <c r="D10637">
        <v>70</v>
      </c>
      <c r="E10637">
        <v>0</v>
      </c>
      <c r="F10637">
        <v>509</v>
      </c>
    </row>
    <row r="10638" spans="1:6" ht="12.75">
      <c r="A10638" s="2">
        <v>43880.542627314819</v>
      </c>
      <c r="B10638" t="str">
        <f t="shared" si="195"/>
        <v>@yellowbaze</v>
      </c>
      <c r="C10638" t="s">
        <v>2467</v>
      </c>
      <c r="D10638">
        <v>278</v>
      </c>
      <c r="E10638">
        <v>0</v>
      </c>
      <c r="F10638">
        <v>509</v>
      </c>
    </row>
    <row r="10639" spans="1:6" ht="12.75">
      <c r="A10639" s="2">
        <v>43880.542523148149</v>
      </c>
      <c r="B10639" t="str">
        <f t="shared" si="195"/>
        <v>@yellowbaze</v>
      </c>
      <c r="C10639" t="s">
        <v>1407</v>
      </c>
      <c r="D10639">
        <v>3795</v>
      </c>
      <c r="E10639">
        <v>0</v>
      </c>
      <c r="F10639">
        <v>509</v>
      </c>
    </row>
    <row r="10640" spans="1:6" ht="12.75">
      <c r="A10640" s="2">
        <v>43880.542511574073</v>
      </c>
      <c r="B10640" t="str">
        <f>HYPERLINK("https://twitter.com/Kopi_item07","@Kopi_item07")</f>
        <v>@Kopi_item07</v>
      </c>
      <c r="C10640" t="s">
        <v>1407</v>
      </c>
      <c r="D10640">
        <v>3795</v>
      </c>
      <c r="E10640">
        <v>0</v>
      </c>
      <c r="F10640">
        <v>143</v>
      </c>
    </row>
    <row r="10641" spans="1:6" ht="12.75">
      <c r="A10641" s="2">
        <v>43880.542488425926</v>
      </c>
      <c r="B10641" t="str">
        <f>HYPERLINK("https://twitter.com/koceng_koceng","@koceng_koceng")</f>
        <v>@koceng_koceng</v>
      </c>
      <c r="C10641" t="s">
        <v>2692</v>
      </c>
      <c r="D10641">
        <v>348</v>
      </c>
      <c r="E10641">
        <v>0</v>
      </c>
      <c r="F10641">
        <v>60</v>
      </c>
    </row>
    <row r="10642" spans="1:6" ht="12.75">
      <c r="A10642" s="2">
        <v>43880.542372685188</v>
      </c>
      <c r="B10642" t="str">
        <f>HYPERLINK("https://twitter.com/alfina_at","@alfina_at")</f>
        <v>@alfina_at</v>
      </c>
      <c r="C10642" t="s">
        <v>1407</v>
      </c>
      <c r="D10642">
        <v>3795</v>
      </c>
      <c r="E10642">
        <v>0</v>
      </c>
      <c r="F10642">
        <v>422</v>
      </c>
    </row>
    <row r="10643" spans="1:6" ht="12.75">
      <c r="A10643" s="2">
        <v>43880.542280092588</v>
      </c>
      <c r="B10643" t="str">
        <f>HYPERLINK("https://twitter.com/Leon__Xav","@Leon__Xav")</f>
        <v>@Leon__Xav</v>
      </c>
      <c r="C10643" t="s">
        <v>1407</v>
      </c>
      <c r="D10643">
        <v>3795</v>
      </c>
      <c r="E10643">
        <v>0</v>
      </c>
      <c r="F10643">
        <v>16</v>
      </c>
    </row>
    <row r="10644" spans="1:6" ht="12.75">
      <c r="A10644" s="2">
        <v>43880.542256944449</v>
      </c>
      <c r="B10644" t="str">
        <f>HYPERLINK("https://twitter.com/pantekanthropus","@pantekanthropus")</f>
        <v>@pantekanthropus</v>
      </c>
      <c r="C10644" t="s">
        <v>1407</v>
      </c>
      <c r="D10644">
        <v>3795</v>
      </c>
      <c r="E10644">
        <v>0</v>
      </c>
      <c r="F10644">
        <v>498</v>
      </c>
    </row>
    <row r="10645" spans="1:6" ht="12.75">
      <c r="A10645" s="2">
        <v>43880.542175925926</v>
      </c>
      <c r="B10645" t="str">
        <f>HYPERLINK("https://twitter.com/Puteriswift_","@Puteriswift_")</f>
        <v>@Puteriswift_</v>
      </c>
      <c r="C10645" t="s">
        <v>6020</v>
      </c>
      <c r="D10645">
        <v>0</v>
      </c>
      <c r="E10645">
        <v>0</v>
      </c>
      <c r="F10645">
        <v>288</v>
      </c>
    </row>
    <row r="10646" spans="1:6" ht="12.75">
      <c r="A10646" s="2">
        <v>43880.542094907403</v>
      </c>
      <c r="B10646" t="str">
        <f>HYPERLINK("https://twitter.com/angelinaqueen09","@angelinaqueen09")</f>
        <v>@angelinaqueen09</v>
      </c>
      <c r="C10646" t="s">
        <v>5701</v>
      </c>
      <c r="D10646">
        <v>7</v>
      </c>
      <c r="E10646">
        <v>0</v>
      </c>
      <c r="F10646">
        <v>1416</v>
      </c>
    </row>
    <row r="10647" spans="1:6" ht="12.75">
      <c r="A10647" s="2">
        <v>43880.542037037041</v>
      </c>
      <c r="B10647" t="str">
        <f>HYPERLINK("https://twitter.com/ketawamerem","@ketawamerem")</f>
        <v>@ketawamerem</v>
      </c>
      <c r="C10647" t="s">
        <v>2692</v>
      </c>
      <c r="D10647">
        <v>348</v>
      </c>
      <c r="E10647">
        <v>0</v>
      </c>
      <c r="F10647">
        <v>1252</v>
      </c>
    </row>
    <row r="10648" spans="1:6" ht="12.75">
      <c r="A10648" s="2">
        <v>43880.542025462964</v>
      </c>
      <c r="B10648" t="str">
        <f>HYPERLINK("https://twitter.com/aldiath","@aldiath")</f>
        <v>@aldiath</v>
      </c>
      <c r="C10648" t="s">
        <v>2692</v>
      </c>
      <c r="D10648">
        <v>348</v>
      </c>
      <c r="E10648">
        <v>0</v>
      </c>
      <c r="F10648">
        <v>337</v>
      </c>
    </row>
    <row r="10649" spans="1:6" ht="12.75">
      <c r="A10649" s="2">
        <v>43880.542002314818</v>
      </c>
      <c r="B10649" t="str">
        <f>HYPERLINK("https://twitter.com/Gnvrngrh","@Gnvrngrh")</f>
        <v>@Gnvrngrh</v>
      </c>
      <c r="C10649" t="s">
        <v>2183</v>
      </c>
      <c r="D10649">
        <v>70</v>
      </c>
      <c r="E10649">
        <v>0</v>
      </c>
      <c r="F10649">
        <v>454</v>
      </c>
    </row>
    <row r="10650" spans="1:6" ht="12.75">
      <c r="A10650" s="2">
        <v>43880.541979166665</v>
      </c>
      <c r="B10650" t="str">
        <f>HYPERLINK("https://twitter.com/chikaayumi","@chikaayumi")</f>
        <v>@chikaayumi</v>
      </c>
      <c r="C10650" t="s">
        <v>1407</v>
      </c>
      <c r="D10650">
        <v>3795</v>
      </c>
      <c r="E10650">
        <v>0</v>
      </c>
      <c r="F10650">
        <v>474</v>
      </c>
    </row>
    <row r="10651" spans="1:6" ht="12.75">
      <c r="A10651" s="2">
        <v>43880.541967592595</v>
      </c>
      <c r="B10651" t="str">
        <f>HYPERLINK("https://twitter.com/suryadarma471","@suryadarma471")</f>
        <v>@suryadarma471</v>
      </c>
      <c r="C10651" t="s">
        <v>5203</v>
      </c>
      <c r="D10651">
        <v>37</v>
      </c>
      <c r="E10651">
        <v>0</v>
      </c>
      <c r="F10651">
        <v>711</v>
      </c>
    </row>
    <row r="10652" spans="1:6" ht="12.75">
      <c r="A10652" s="2">
        <v>43880.541956018518</v>
      </c>
      <c r="B10652" t="str">
        <f>HYPERLINK("https://twitter.com/Gnvrngrh","@Gnvrngrh")</f>
        <v>@Gnvrngrh</v>
      </c>
      <c r="C10652" t="s">
        <v>2467</v>
      </c>
      <c r="D10652">
        <v>278</v>
      </c>
      <c r="E10652">
        <v>0</v>
      </c>
      <c r="F10652">
        <v>454</v>
      </c>
    </row>
    <row r="10653" spans="1:6" ht="12.75">
      <c r="A10653" s="2">
        <v>43880.541944444441</v>
      </c>
      <c r="B10653" t="str">
        <f>HYPERLINK("https://twitter.com/fdhlnadi","@fdhlnadi")</f>
        <v>@fdhlnadi</v>
      </c>
      <c r="C10653" t="s">
        <v>2692</v>
      </c>
      <c r="D10653">
        <v>348</v>
      </c>
      <c r="E10653">
        <v>0</v>
      </c>
      <c r="F10653">
        <v>137</v>
      </c>
    </row>
    <row r="10654" spans="1:6" ht="12.75">
      <c r="A10654" s="2">
        <v>43880.541909722218</v>
      </c>
      <c r="B10654" t="str">
        <f>HYPERLINK("https://twitter.com/uewyork","@uewyork")</f>
        <v>@uewyork</v>
      </c>
      <c r="C10654" t="s">
        <v>1407</v>
      </c>
      <c r="D10654">
        <v>3795</v>
      </c>
      <c r="E10654">
        <v>0</v>
      </c>
      <c r="F10654">
        <v>1436</v>
      </c>
    </row>
    <row r="10655" spans="1:6" ht="12.75">
      <c r="A10655" s="2">
        <v>43880.541886574079</v>
      </c>
      <c r="B10655" t="str">
        <f>HYPERLINK("https://twitter.com/bearbiebars","@bearbiebars")</f>
        <v>@bearbiebars</v>
      </c>
      <c r="C10655" t="s">
        <v>1407</v>
      </c>
      <c r="D10655">
        <v>3795</v>
      </c>
      <c r="E10655">
        <v>0</v>
      </c>
      <c r="F10655">
        <v>336</v>
      </c>
    </row>
    <row r="10656" spans="1:6" ht="12.75">
      <c r="A10656" s="2">
        <v>43880.541851851856</v>
      </c>
      <c r="B10656" t="str">
        <f>HYPERLINK("https://twitter.com/pepzoz","@pepzoz")</f>
        <v>@pepzoz</v>
      </c>
      <c r="C10656" t="s">
        <v>2692</v>
      </c>
      <c r="D10656">
        <v>348</v>
      </c>
      <c r="E10656">
        <v>0</v>
      </c>
      <c r="F10656">
        <v>347</v>
      </c>
    </row>
    <row r="10657" spans="1:6" ht="12.75">
      <c r="A10657" s="2">
        <v>43880.541851851856</v>
      </c>
      <c r="B10657" t="str">
        <f>HYPERLINK("https://twitter.com/rosarioroxis","@rosarioroxis")</f>
        <v>@rosarioroxis</v>
      </c>
      <c r="C10657" t="s">
        <v>2692</v>
      </c>
      <c r="D10657">
        <v>348</v>
      </c>
      <c r="E10657">
        <v>0</v>
      </c>
      <c r="F10657">
        <v>398</v>
      </c>
    </row>
    <row r="10658" spans="1:6" ht="12.75">
      <c r="A10658" s="2">
        <v>43880.541851851856</v>
      </c>
      <c r="B10658" t="str">
        <f>HYPERLINK("https://twitter.com/Ryshanaom","@Ryshanaom")</f>
        <v>@Ryshanaom</v>
      </c>
      <c r="C10658" t="s">
        <v>2692</v>
      </c>
      <c r="D10658">
        <v>348</v>
      </c>
      <c r="E10658">
        <v>0</v>
      </c>
      <c r="F10658">
        <v>530</v>
      </c>
    </row>
    <row r="10659" spans="1:6" ht="12.75">
      <c r="A10659" s="2">
        <v>43880.54184027778</v>
      </c>
      <c r="B10659" t="str">
        <f>HYPERLINK("https://twitter.com/pacarnyadahyun","@pacarnyadahyun")</f>
        <v>@pacarnyadahyun</v>
      </c>
      <c r="C10659" t="s">
        <v>1407</v>
      </c>
      <c r="D10659">
        <v>3795</v>
      </c>
      <c r="E10659">
        <v>0</v>
      </c>
      <c r="F10659">
        <v>115</v>
      </c>
    </row>
    <row r="10660" spans="1:6" ht="12.75">
      <c r="A10660" s="2">
        <v>43880.541817129633</v>
      </c>
      <c r="B10660" t="str">
        <f>HYPERLINK("https://twitter.com/Juyljuyjul","@Juyljuyjul")</f>
        <v>@Juyljuyjul</v>
      </c>
      <c r="C10660" t="s">
        <v>1407</v>
      </c>
      <c r="D10660">
        <v>3795</v>
      </c>
      <c r="E10660">
        <v>0</v>
      </c>
      <c r="F10660">
        <v>330</v>
      </c>
    </row>
    <row r="10661" spans="1:6" ht="12.75">
      <c r="A10661" s="2">
        <v>43880.54178240741</v>
      </c>
      <c r="B10661" t="str">
        <f>HYPERLINK("https://twitter.com/ditarevita","@ditarevita")</f>
        <v>@ditarevita</v>
      </c>
      <c r="C10661" t="s">
        <v>2692</v>
      </c>
      <c r="D10661">
        <v>348</v>
      </c>
      <c r="E10661">
        <v>0</v>
      </c>
      <c r="F10661">
        <v>432</v>
      </c>
    </row>
    <row r="10662" spans="1:6" ht="12.75">
      <c r="A10662" s="2">
        <v>43880.541689814811</v>
      </c>
      <c r="B10662" t="str">
        <f>HYPERLINK("https://twitter.com/ricosiswandi","@ricosiswandi")</f>
        <v>@ricosiswandi</v>
      </c>
      <c r="C10662" t="s">
        <v>2692</v>
      </c>
      <c r="D10662">
        <v>348</v>
      </c>
      <c r="E10662">
        <v>0</v>
      </c>
      <c r="F10662">
        <v>2373</v>
      </c>
    </row>
    <row r="10663" spans="1:6" ht="12.75">
      <c r="A10663" s="2">
        <v>43880.541666666672</v>
      </c>
      <c r="B10663" t="str">
        <f>HYPERLINK("https://twitter.com/Jyuchise","@Jyuchise")</f>
        <v>@Jyuchise</v>
      </c>
      <c r="C10663" t="s">
        <v>1407</v>
      </c>
      <c r="D10663">
        <v>3795</v>
      </c>
      <c r="E10663">
        <v>0</v>
      </c>
      <c r="F10663">
        <v>68</v>
      </c>
    </row>
    <row r="10664" spans="1:6" ht="12.75">
      <c r="A10664" s="2">
        <v>43880.541666666672</v>
      </c>
      <c r="B10664" t="str">
        <f>HYPERLINK("https://twitter.com/desiekowatii","@desiekowatii")</f>
        <v>@desiekowatii</v>
      </c>
      <c r="C10664" t="s">
        <v>1407</v>
      </c>
      <c r="D10664">
        <v>3795</v>
      </c>
      <c r="E10664">
        <v>0</v>
      </c>
      <c r="F10664">
        <v>390</v>
      </c>
    </row>
    <row r="10665" spans="1:6" ht="12.75">
      <c r="A10665" s="2">
        <v>43880.541643518518</v>
      </c>
      <c r="B10665" t="str">
        <f>HYPERLINK("https://twitter.com/prettyzhintak","@prettyzhintak")</f>
        <v>@prettyzhintak</v>
      </c>
      <c r="C10665" t="s">
        <v>1407</v>
      </c>
      <c r="D10665">
        <v>3795</v>
      </c>
      <c r="E10665">
        <v>0</v>
      </c>
      <c r="F10665">
        <v>53</v>
      </c>
    </row>
    <row r="10666" spans="1:6" ht="12.75">
      <c r="A10666" s="2">
        <v>43880.541574074072</v>
      </c>
      <c r="B10666" t="str">
        <f>HYPERLINK("https://twitter.com/ngwusel","@ngwusel")</f>
        <v>@ngwusel</v>
      </c>
      <c r="C10666" t="s">
        <v>1407</v>
      </c>
      <c r="D10666">
        <v>3795</v>
      </c>
      <c r="E10666">
        <v>0</v>
      </c>
      <c r="F10666">
        <v>7632</v>
      </c>
    </row>
    <row r="10667" spans="1:6" ht="12.75">
      <c r="A10667" s="2">
        <v>43880.541550925926</v>
      </c>
      <c r="B10667" t="str">
        <f>HYPERLINK("https://twitter.com/inasyapa","@inasyapa")</f>
        <v>@inasyapa</v>
      </c>
      <c r="C10667" t="s">
        <v>1407</v>
      </c>
      <c r="D10667">
        <v>3795</v>
      </c>
      <c r="E10667">
        <v>0</v>
      </c>
      <c r="F10667">
        <v>475</v>
      </c>
    </row>
    <row r="10668" spans="1:6" ht="12.75">
      <c r="A10668" s="2">
        <v>43880.541504629626</v>
      </c>
      <c r="B10668" t="str">
        <f>HYPERLINK("https://twitter.com/CpAdamsy","@CpAdamsy")</f>
        <v>@CpAdamsy</v>
      </c>
      <c r="C10668" t="s">
        <v>6021</v>
      </c>
      <c r="D10668">
        <v>0</v>
      </c>
      <c r="E10668">
        <v>0</v>
      </c>
      <c r="F10668">
        <v>372</v>
      </c>
    </row>
    <row r="10669" spans="1:6" ht="12.75">
      <c r="A10669" s="2">
        <v>43880.541481481487</v>
      </c>
      <c r="B10669" t="str">
        <f>HYPERLINK("https://twitter.com/annisyarizkia","@annisyarizkia")</f>
        <v>@annisyarizkia</v>
      </c>
      <c r="C10669" t="s">
        <v>1407</v>
      </c>
      <c r="D10669">
        <v>3795</v>
      </c>
      <c r="E10669">
        <v>0</v>
      </c>
      <c r="F10669">
        <v>897</v>
      </c>
    </row>
    <row r="10670" spans="1:6" ht="12.75">
      <c r="A10670" s="2">
        <v>43880.541469907403</v>
      </c>
      <c r="B10670" t="str">
        <f>HYPERLINK("https://twitter.com/adan_andri","@adan_andri")</f>
        <v>@adan_andri</v>
      </c>
      <c r="C10670" t="s">
        <v>2183</v>
      </c>
      <c r="D10670">
        <v>70</v>
      </c>
      <c r="E10670">
        <v>0</v>
      </c>
      <c r="F10670">
        <v>39</v>
      </c>
    </row>
    <row r="10671" spans="1:6" ht="12.75">
      <c r="A10671" s="2">
        <v>43880.541469907403</v>
      </c>
      <c r="B10671" t="str">
        <f>HYPERLINK("https://twitter.com/halssaaa","@halssaaa")</f>
        <v>@halssaaa</v>
      </c>
      <c r="C10671" t="s">
        <v>1407</v>
      </c>
      <c r="D10671">
        <v>3795</v>
      </c>
      <c r="E10671">
        <v>0</v>
      </c>
      <c r="F10671">
        <v>378</v>
      </c>
    </row>
    <row r="10672" spans="1:6" ht="12.75">
      <c r="A10672" s="2">
        <v>43880.541458333333</v>
      </c>
      <c r="B10672" t="str">
        <f>HYPERLINK("https://twitter.com/asadgvrl","@asadgvrl")</f>
        <v>@asadgvrl</v>
      </c>
      <c r="C10672" t="s">
        <v>2692</v>
      </c>
      <c r="D10672">
        <v>348</v>
      </c>
      <c r="E10672">
        <v>0</v>
      </c>
      <c r="F10672">
        <v>407</v>
      </c>
    </row>
    <row r="10673" spans="1:6" ht="12.75">
      <c r="A10673" s="2">
        <v>43880.541446759264</v>
      </c>
      <c r="B10673" t="str">
        <f>HYPERLINK("https://twitter.com/C4llM3Arra","@C4llM3Arra")</f>
        <v>@C4llM3Arra</v>
      </c>
      <c r="C10673" t="s">
        <v>6022</v>
      </c>
      <c r="D10673">
        <v>0</v>
      </c>
      <c r="E10673">
        <v>0</v>
      </c>
      <c r="F10673">
        <v>161</v>
      </c>
    </row>
    <row r="10674" spans="1:6" ht="12.75">
      <c r="A10674" s="2">
        <v>43880.541412037041</v>
      </c>
      <c r="B10674" t="str">
        <f>HYPERLINK("https://twitter.com/buttoclock","@buttoclock")</f>
        <v>@buttoclock</v>
      </c>
      <c r="C10674" t="s">
        <v>1407</v>
      </c>
      <c r="D10674">
        <v>3795</v>
      </c>
      <c r="E10674">
        <v>0</v>
      </c>
      <c r="F10674">
        <v>3372</v>
      </c>
    </row>
    <row r="10675" spans="1:6" ht="12.75">
      <c r="A10675" s="2">
        <v>43880.541412037041</v>
      </c>
      <c r="B10675" t="str">
        <f t="shared" ref="B10675:B10676" si="196">HYPERLINK("https://twitter.com/scogvrl","@scogvrl")</f>
        <v>@scogvrl</v>
      </c>
      <c r="C10675" t="s">
        <v>2183</v>
      </c>
      <c r="D10675">
        <v>70</v>
      </c>
      <c r="E10675">
        <v>0</v>
      </c>
      <c r="F10675">
        <v>554</v>
      </c>
    </row>
    <row r="10676" spans="1:6" ht="12.75">
      <c r="A10676" s="2">
        <v>43880.541377314818</v>
      </c>
      <c r="B10676" t="str">
        <f t="shared" si="196"/>
        <v>@scogvrl</v>
      </c>
      <c r="C10676" t="s">
        <v>1407</v>
      </c>
      <c r="D10676">
        <v>3795</v>
      </c>
      <c r="E10676">
        <v>0</v>
      </c>
      <c r="F10676">
        <v>554</v>
      </c>
    </row>
    <row r="10677" spans="1:6" ht="12.75">
      <c r="A10677" s="2">
        <v>43880.541377314818</v>
      </c>
      <c r="B10677" t="str">
        <f>HYPERLINK("https://twitter.com/KELIKers","@KELIKers")</f>
        <v>@KELIKers</v>
      </c>
      <c r="C10677" t="s">
        <v>2692</v>
      </c>
      <c r="D10677">
        <v>348</v>
      </c>
      <c r="E10677">
        <v>0</v>
      </c>
      <c r="F10677">
        <v>579</v>
      </c>
    </row>
    <row r="10678" spans="1:6" ht="12.75">
      <c r="A10678" s="2">
        <v>43880.541284722218</v>
      </c>
      <c r="B10678" t="str">
        <f>HYPERLINK("https://twitter.com/FajriTaufik19","@FajriTaufik19")</f>
        <v>@FajriTaufik19</v>
      </c>
      <c r="C10678" t="s">
        <v>1407</v>
      </c>
      <c r="D10678">
        <v>3795</v>
      </c>
      <c r="E10678">
        <v>0</v>
      </c>
      <c r="F10678">
        <v>223</v>
      </c>
    </row>
    <row r="10679" spans="1:6" ht="12.75">
      <c r="A10679" s="2">
        <v>43880.541273148148</v>
      </c>
      <c r="B10679" t="str">
        <f>HYPERLINK("https://twitter.com/sayouunara","@sayouunara")</f>
        <v>@sayouunara</v>
      </c>
      <c r="C10679" t="s">
        <v>1407</v>
      </c>
      <c r="D10679">
        <v>3795</v>
      </c>
      <c r="E10679">
        <v>0</v>
      </c>
      <c r="F10679">
        <v>1273</v>
      </c>
    </row>
    <row r="10680" spans="1:6" ht="12.75">
      <c r="A10680" s="2">
        <v>43880.541261574079</v>
      </c>
      <c r="B10680" t="str">
        <f>HYPERLINK("https://twitter.com/anisairf","@anisairf")</f>
        <v>@anisairf</v>
      </c>
      <c r="C10680" t="s">
        <v>2692</v>
      </c>
      <c r="D10680">
        <v>348</v>
      </c>
      <c r="E10680">
        <v>0</v>
      </c>
      <c r="F10680">
        <v>510</v>
      </c>
    </row>
    <row r="10681" spans="1:6" ht="12.75">
      <c r="A10681" s="2">
        <v>43880.541203703702</v>
      </c>
      <c r="B10681" t="str">
        <f>HYPERLINK("https://twitter.com/_kiranalara","@_kiranalara")</f>
        <v>@_kiranalara</v>
      </c>
      <c r="C10681" t="s">
        <v>2692</v>
      </c>
      <c r="D10681">
        <v>348</v>
      </c>
      <c r="E10681">
        <v>0</v>
      </c>
      <c r="F10681">
        <v>94509</v>
      </c>
    </row>
    <row r="10682" spans="1:6" ht="12.75">
      <c r="A10682" s="2">
        <v>43880.541168981479</v>
      </c>
      <c r="B10682" t="str">
        <f>HYPERLINK("https://twitter.com/bagaskkkkk","@bagaskkkkk")</f>
        <v>@bagaskkkkk</v>
      </c>
      <c r="C10682" t="s">
        <v>1407</v>
      </c>
      <c r="D10682">
        <v>3795</v>
      </c>
      <c r="E10682">
        <v>0</v>
      </c>
      <c r="F10682">
        <v>101</v>
      </c>
    </row>
    <row r="10683" spans="1:6" ht="12.75">
      <c r="A10683" s="2">
        <v>43880.541168981479</v>
      </c>
      <c r="B10683" t="str">
        <f t="shared" ref="B10683:B10684" si="197">HYPERLINK("https://twitter.com/akunsiicantik","@akunsiicantik")</f>
        <v>@akunsiicantik</v>
      </c>
      <c r="C10683" t="s">
        <v>1407</v>
      </c>
      <c r="D10683">
        <v>3795</v>
      </c>
      <c r="E10683">
        <v>0</v>
      </c>
      <c r="F10683">
        <v>600</v>
      </c>
    </row>
    <row r="10684" spans="1:6" ht="12.75">
      <c r="A10684" s="2">
        <v>43880.541134259256</v>
      </c>
      <c r="B10684" t="str">
        <f t="shared" si="197"/>
        <v>@akunsiicantik</v>
      </c>
      <c r="C10684" t="s">
        <v>2183</v>
      </c>
      <c r="D10684">
        <v>70</v>
      </c>
      <c r="E10684">
        <v>0</v>
      </c>
      <c r="F10684">
        <v>600</v>
      </c>
    </row>
    <row r="10685" spans="1:6" ht="12.75">
      <c r="A10685" s="2">
        <v>43880.541122685187</v>
      </c>
      <c r="B10685" t="str">
        <f>HYPERLINK("https://twitter.com/aliacantiq","@aliacantiq")</f>
        <v>@aliacantiq</v>
      </c>
      <c r="C10685" t="s">
        <v>2692</v>
      </c>
      <c r="D10685">
        <v>348</v>
      </c>
      <c r="E10685">
        <v>0</v>
      </c>
      <c r="F10685">
        <v>123</v>
      </c>
    </row>
    <row r="10686" spans="1:6" ht="12.75">
      <c r="A10686" s="2">
        <v>43880.54111111111</v>
      </c>
      <c r="B10686" t="str">
        <f>HYPERLINK("https://twitter.com/akunsiicantik","@akunsiicantik")</f>
        <v>@akunsiicantik</v>
      </c>
      <c r="C10686" t="s">
        <v>2467</v>
      </c>
      <c r="D10686">
        <v>278</v>
      </c>
      <c r="E10686">
        <v>0</v>
      </c>
      <c r="F10686">
        <v>600</v>
      </c>
    </row>
    <row r="10687" spans="1:6" ht="12.75">
      <c r="A10687" s="2">
        <v>43880.541099537033</v>
      </c>
      <c r="B10687" t="str">
        <f>HYPERLINK("https://twitter.com/celengz","@celengz")</f>
        <v>@celengz</v>
      </c>
      <c r="C10687" t="s">
        <v>2692</v>
      </c>
      <c r="D10687">
        <v>348</v>
      </c>
      <c r="E10687">
        <v>0</v>
      </c>
      <c r="F10687">
        <v>734</v>
      </c>
    </row>
    <row r="10688" spans="1:6" ht="12.75">
      <c r="A10688" s="2">
        <v>43880.541087962964</v>
      </c>
      <c r="B10688" t="str">
        <f>HYPERLINK("https://twitter.com/sabdaarasa","@sabdaarasa")</f>
        <v>@sabdaarasa</v>
      </c>
      <c r="C10688" t="s">
        <v>6023</v>
      </c>
      <c r="D10688">
        <v>2</v>
      </c>
      <c r="E10688">
        <v>0</v>
      </c>
      <c r="F10688">
        <v>1097</v>
      </c>
    </row>
    <row r="10689" spans="1:6" ht="12.75">
      <c r="A10689" s="2">
        <v>43880.541076388894</v>
      </c>
      <c r="B10689" t="str">
        <f>HYPERLINK("https://twitter.com/BamzTeHa","@BamzTeHa")</f>
        <v>@BamzTeHa</v>
      </c>
      <c r="C10689" t="s">
        <v>6024</v>
      </c>
      <c r="D10689">
        <v>3</v>
      </c>
      <c r="E10689">
        <v>0</v>
      </c>
      <c r="F10689">
        <v>3090</v>
      </c>
    </row>
    <row r="10690" spans="1:6" ht="12.75">
      <c r="A10690" s="2">
        <v>43880.54105324074</v>
      </c>
      <c r="B10690" t="str">
        <f>HYPERLINK("https://twitter.com/amazinkkkk","@amazinkkkk")</f>
        <v>@amazinkkkk</v>
      </c>
      <c r="C10690" t="s">
        <v>1407</v>
      </c>
      <c r="D10690">
        <v>3795</v>
      </c>
      <c r="E10690">
        <v>0</v>
      </c>
      <c r="F10690">
        <v>586</v>
      </c>
    </row>
    <row r="10691" spans="1:6" ht="12.75">
      <c r="A10691" s="2">
        <v>43880.541041666671</v>
      </c>
      <c r="B10691" t="str">
        <f>HYPERLINK("https://twitter.com/BamzTeHa","@BamzTeHa")</f>
        <v>@BamzTeHa</v>
      </c>
      <c r="C10691" t="s">
        <v>5302</v>
      </c>
      <c r="D10691">
        <v>4</v>
      </c>
      <c r="E10691">
        <v>0</v>
      </c>
      <c r="F10691">
        <v>3090</v>
      </c>
    </row>
    <row r="10692" spans="1:6" ht="12.75">
      <c r="A10692" s="2">
        <v>43880.541030092594</v>
      </c>
      <c r="B10692" t="str">
        <f>HYPERLINK("https://twitter.com/SaudaraSehun","@SaudaraSehun")</f>
        <v>@SaudaraSehun</v>
      </c>
      <c r="C10692" t="s">
        <v>1407</v>
      </c>
      <c r="D10692">
        <v>3795</v>
      </c>
      <c r="E10692">
        <v>0</v>
      </c>
      <c r="F10692">
        <v>35</v>
      </c>
    </row>
    <row r="10693" spans="1:6" ht="12.75">
      <c r="A10693" s="2">
        <v>43880.541006944448</v>
      </c>
      <c r="B10693" t="str">
        <f>HYPERLINK("https://twitter.com/BamzTeHa","@BamzTeHa")</f>
        <v>@BamzTeHa</v>
      </c>
      <c r="C10693" t="s">
        <v>6025</v>
      </c>
      <c r="D10693">
        <v>4</v>
      </c>
      <c r="E10693">
        <v>0</v>
      </c>
      <c r="F10693">
        <v>3090</v>
      </c>
    </row>
    <row r="10694" spans="1:6" ht="12.75">
      <c r="A10694" s="2">
        <v>43880.540972222225</v>
      </c>
      <c r="B10694" t="str">
        <f>HYPERLINK("https://twitter.com/YanuarKristanto","@YanuarKristanto")</f>
        <v>@YanuarKristanto</v>
      </c>
      <c r="C10694" t="s">
        <v>2692</v>
      </c>
      <c r="D10694">
        <v>348</v>
      </c>
      <c r="E10694">
        <v>0</v>
      </c>
      <c r="F10694">
        <v>531</v>
      </c>
    </row>
    <row r="10695" spans="1:6" ht="12.75">
      <c r="A10695" s="2">
        <v>43880.540960648148</v>
      </c>
      <c r="B10695" t="str">
        <f>HYPERLINK("https://twitter.com/rdindaf","@rdindaf")</f>
        <v>@rdindaf</v>
      </c>
      <c r="C10695" t="s">
        <v>1407</v>
      </c>
      <c r="D10695">
        <v>3795</v>
      </c>
      <c r="E10695">
        <v>0</v>
      </c>
      <c r="F10695">
        <v>285</v>
      </c>
    </row>
    <row r="10696" spans="1:6" ht="12.75">
      <c r="A10696" s="2">
        <v>43880.540937500002</v>
      </c>
      <c r="B10696" t="str">
        <f>HYPERLINK("https://twitter.com/awafaris","@awafaris")</f>
        <v>@awafaris</v>
      </c>
      <c r="C10696" t="s">
        <v>2692</v>
      </c>
      <c r="D10696">
        <v>348</v>
      </c>
      <c r="E10696">
        <v>0</v>
      </c>
      <c r="F10696">
        <v>758</v>
      </c>
    </row>
    <row r="10697" spans="1:6" ht="12.75">
      <c r="A10697" s="2">
        <v>43880.540914351848</v>
      </c>
      <c r="B10697" t="str">
        <f>HYPERLINK("https://twitter.com/piripit99","@piripit99")</f>
        <v>@piripit99</v>
      </c>
      <c r="C10697" t="s">
        <v>1407</v>
      </c>
      <c r="D10697">
        <v>3795</v>
      </c>
      <c r="E10697">
        <v>0</v>
      </c>
      <c r="F10697">
        <v>46</v>
      </c>
    </row>
    <row r="10698" spans="1:6" ht="12.75">
      <c r="A10698" s="2">
        <v>43880.540891203702</v>
      </c>
      <c r="B10698" t="str">
        <f>HYPERLINK("https://twitter.com/harippe","@harippe")</f>
        <v>@harippe</v>
      </c>
      <c r="C10698" t="s">
        <v>6023</v>
      </c>
      <c r="D10698">
        <v>2</v>
      </c>
      <c r="E10698">
        <v>0</v>
      </c>
      <c r="F10698">
        <v>661</v>
      </c>
    </row>
    <row r="10699" spans="1:6" ht="12.75">
      <c r="A10699" s="2">
        <v>43880.540868055556</v>
      </c>
      <c r="B10699" t="str">
        <f>HYPERLINK("https://twitter.com/ggggggirI","@ggggggirI")</f>
        <v>@ggggggirI</v>
      </c>
      <c r="C10699" t="s">
        <v>1407</v>
      </c>
      <c r="D10699">
        <v>3795</v>
      </c>
      <c r="E10699">
        <v>0</v>
      </c>
      <c r="F10699">
        <v>520</v>
      </c>
    </row>
    <row r="10700" spans="1:6" ht="12.75">
      <c r="A10700" s="2">
        <v>43880.540868055556</v>
      </c>
      <c r="B10700" t="str">
        <f>HYPERLINK("https://twitter.com/soycatha","@soycatha")</f>
        <v>@soycatha</v>
      </c>
      <c r="C10700" t="s">
        <v>1407</v>
      </c>
      <c r="D10700">
        <v>3795</v>
      </c>
      <c r="E10700">
        <v>0</v>
      </c>
      <c r="F10700">
        <v>430</v>
      </c>
    </row>
    <row r="10701" spans="1:6" ht="12.75">
      <c r="A10701" s="2">
        <v>43880.54078703704</v>
      </c>
      <c r="B10701" t="str">
        <f>HYPERLINK("https://twitter.com/ushitsukkis","@ushitsukkis")</f>
        <v>@ushitsukkis</v>
      </c>
      <c r="C10701" t="s">
        <v>2692</v>
      </c>
      <c r="D10701">
        <v>348</v>
      </c>
      <c r="E10701">
        <v>0</v>
      </c>
      <c r="F10701">
        <v>54</v>
      </c>
    </row>
    <row r="10702" spans="1:6" ht="12.75">
      <c r="A10702" s="2">
        <v>43880.540763888886</v>
      </c>
      <c r="B10702" t="str">
        <f>HYPERLINK("https://twitter.com/birgittacdp","@birgittacdp")</f>
        <v>@birgittacdp</v>
      </c>
      <c r="C10702" t="s">
        <v>1407</v>
      </c>
      <c r="D10702">
        <v>3795</v>
      </c>
      <c r="E10702">
        <v>0</v>
      </c>
      <c r="F10702">
        <v>379</v>
      </c>
    </row>
    <row r="10703" spans="1:6" ht="12.75">
      <c r="A10703" s="2">
        <v>43880.540752314817</v>
      </c>
      <c r="B10703" t="str">
        <f>HYPERLINK("https://twitter.com/AdikaraDesmon","@AdikaraDesmon")</f>
        <v>@AdikaraDesmon</v>
      </c>
      <c r="C10703" t="s">
        <v>2692</v>
      </c>
      <c r="D10703">
        <v>348</v>
      </c>
      <c r="E10703">
        <v>0</v>
      </c>
      <c r="F10703">
        <v>3</v>
      </c>
    </row>
    <row r="10704" spans="1:6" ht="12.75">
      <c r="A10704" s="2">
        <v>43880.540659722217</v>
      </c>
      <c r="B10704" t="str">
        <f>HYPERLINK("https://twitter.com/doyoulikemessi4","@doyoulikemessi4")</f>
        <v>@doyoulikemessi4</v>
      </c>
      <c r="C10704" t="s">
        <v>2692</v>
      </c>
      <c r="D10704">
        <v>348</v>
      </c>
      <c r="E10704">
        <v>0</v>
      </c>
      <c r="F10704">
        <v>181</v>
      </c>
    </row>
    <row r="10705" spans="1:6" ht="12.75">
      <c r="A10705" s="2">
        <v>43880.540659722217</v>
      </c>
      <c r="B10705" t="str">
        <f>HYPERLINK("https://twitter.com/om_wekape","@om_wekape")</f>
        <v>@om_wekape</v>
      </c>
      <c r="C10705" t="s">
        <v>1407</v>
      </c>
      <c r="D10705">
        <v>3795</v>
      </c>
      <c r="E10705">
        <v>0</v>
      </c>
      <c r="F10705">
        <v>117</v>
      </c>
    </row>
    <row r="10706" spans="1:6" ht="12.75">
      <c r="A10706" s="2">
        <v>43880.540648148148</v>
      </c>
      <c r="B10706" t="str">
        <f>HYPERLINK("https://twitter.com/kompascom","@kompascom")</f>
        <v>@kompascom</v>
      </c>
      <c r="C10706" t="s">
        <v>6026</v>
      </c>
      <c r="D10706">
        <v>2</v>
      </c>
      <c r="E10706">
        <v>2</v>
      </c>
      <c r="F10706">
        <v>7503649</v>
      </c>
    </row>
    <row r="10707" spans="1:6" ht="12.75">
      <c r="A10707" s="2">
        <v>43880.540636574078</v>
      </c>
      <c r="B10707" t="str">
        <f>HYPERLINK("https://twitter.com/CaturMoestakim","@CaturMoestakim")</f>
        <v>@CaturMoestakim</v>
      </c>
      <c r="C10707" t="s">
        <v>2692</v>
      </c>
      <c r="D10707">
        <v>348</v>
      </c>
      <c r="E10707">
        <v>0</v>
      </c>
      <c r="F10707">
        <v>37</v>
      </c>
    </row>
    <row r="10708" spans="1:6" ht="12.75">
      <c r="A10708" s="2">
        <v>43880.540590277778</v>
      </c>
      <c r="B10708" t="str">
        <f>HYPERLINK("https://twitter.com/soleh15188479","@soleh15188479")</f>
        <v>@soleh15188479</v>
      </c>
      <c r="C10708" t="s">
        <v>6027</v>
      </c>
      <c r="D10708">
        <v>3</v>
      </c>
      <c r="E10708">
        <v>0</v>
      </c>
      <c r="F10708">
        <v>83</v>
      </c>
    </row>
    <row r="10709" spans="1:6" ht="12.75">
      <c r="A10709" s="2">
        <v>43880.540578703702</v>
      </c>
      <c r="B10709" t="str">
        <f>HYPERLINK("https://twitter.com/futurenostalgia","@futurenostalgia")</f>
        <v>@futurenostalgia</v>
      </c>
      <c r="C10709" t="s">
        <v>6028</v>
      </c>
      <c r="D10709">
        <v>0</v>
      </c>
      <c r="E10709">
        <v>0</v>
      </c>
      <c r="F10709">
        <v>1119</v>
      </c>
    </row>
    <row r="10710" spans="1:6" ht="12.75">
      <c r="A10710" s="2">
        <v>43880.540555555555</v>
      </c>
      <c r="B10710" t="str">
        <f>HYPERLINK("https://twitter.com/EAEmeline","@EAEmeline")</f>
        <v>@EAEmeline</v>
      </c>
      <c r="C10710" t="s">
        <v>1407</v>
      </c>
      <c r="D10710">
        <v>3795</v>
      </c>
      <c r="E10710">
        <v>0</v>
      </c>
      <c r="F10710">
        <v>683</v>
      </c>
    </row>
    <row r="10711" spans="1:6" ht="12.75">
      <c r="A10711" s="2">
        <v>43880.540509259255</v>
      </c>
      <c r="B10711" t="str">
        <f>HYPERLINK("https://twitter.com/riskipjrs","@riskipjrs")</f>
        <v>@riskipjrs</v>
      </c>
      <c r="C10711" t="s">
        <v>1407</v>
      </c>
      <c r="D10711">
        <v>3795</v>
      </c>
      <c r="E10711">
        <v>0</v>
      </c>
      <c r="F10711">
        <v>364</v>
      </c>
    </row>
    <row r="10712" spans="1:6" ht="12.75">
      <c r="A10712" s="2">
        <v>43880.540462962963</v>
      </c>
      <c r="B10712" t="str">
        <f>HYPERLINK("https://twitter.com/AuliaMaulidah7","@AuliaMaulidah7")</f>
        <v>@AuliaMaulidah7</v>
      </c>
      <c r="C10712" t="s">
        <v>1407</v>
      </c>
      <c r="D10712">
        <v>3795</v>
      </c>
      <c r="E10712">
        <v>0</v>
      </c>
      <c r="F10712">
        <v>90</v>
      </c>
    </row>
    <row r="10713" spans="1:6" ht="12.75">
      <c r="A10713" s="2">
        <v>43880.540439814809</v>
      </c>
      <c r="B10713" t="str">
        <f>HYPERLINK("https://twitter.com/mrizkiaul","@mrizkiaul")</f>
        <v>@mrizkiaul</v>
      </c>
      <c r="C10713" t="s">
        <v>2692</v>
      </c>
      <c r="D10713">
        <v>348</v>
      </c>
      <c r="E10713">
        <v>0</v>
      </c>
      <c r="F10713">
        <v>828</v>
      </c>
    </row>
    <row r="10714" spans="1:6" ht="12.75">
      <c r="A10714" s="2">
        <v>43880.540347222224</v>
      </c>
      <c r="B10714" t="str">
        <f>HYPERLINK("https://twitter.com/mimiptaa","@mimiptaa")</f>
        <v>@mimiptaa</v>
      </c>
      <c r="C10714" t="s">
        <v>1407</v>
      </c>
      <c r="D10714">
        <v>3795</v>
      </c>
      <c r="E10714">
        <v>0</v>
      </c>
      <c r="F10714">
        <v>418</v>
      </c>
    </row>
    <row r="10715" spans="1:6" ht="12.75">
      <c r="A10715" s="2">
        <v>43880.540324074071</v>
      </c>
      <c r="B10715" t="str">
        <f>HYPERLINK("https://twitter.com/hiunique_","@hiunique_")</f>
        <v>@hiunique_</v>
      </c>
      <c r="C10715" t="s">
        <v>1407</v>
      </c>
      <c r="D10715">
        <v>3795</v>
      </c>
      <c r="E10715">
        <v>0</v>
      </c>
      <c r="F10715">
        <v>565</v>
      </c>
    </row>
    <row r="10716" spans="1:6" ht="12.75">
      <c r="A10716" s="2">
        <v>43880.540300925924</v>
      </c>
      <c r="B10716" t="str">
        <f>HYPERLINK("https://twitter.com/bee_minyoona","@bee_minyoona")</f>
        <v>@bee_minyoona</v>
      </c>
      <c r="C10716" t="s">
        <v>1407</v>
      </c>
      <c r="D10716">
        <v>3795</v>
      </c>
      <c r="E10716">
        <v>0</v>
      </c>
      <c r="F10716">
        <v>207</v>
      </c>
    </row>
    <row r="10717" spans="1:6" ht="12.75">
      <c r="A10717" s="2">
        <v>43880.540289351848</v>
      </c>
      <c r="B10717" t="str">
        <f>HYPERLINK("https://twitter.com/erlinnatawiria","@erlinnatawiria")</f>
        <v>@erlinnatawiria</v>
      </c>
      <c r="C10717" t="s">
        <v>2692</v>
      </c>
      <c r="D10717">
        <v>348</v>
      </c>
      <c r="E10717">
        <v>0</v>
      </c>
      <c r="F10717">
        <v>1132</v>
      </c>
    </row>
    <row r="10718" spans="1:6" ht="12.75">
      <c r="A10718" s="2">
        <v>43880.540277777778</v>
      </c>
      <c r="B10718" t="str">
        <f>HYPERLINK("https://twitter.com/indeathwetrust_","@indeathwetrust_")</f>
        <v>@indeathwetrust_</v>
      </c>
      <c r="C10718" t="s">
        <v>1407</v>
      </c>
      <c r="D10718">
        <v>3795</v>
      </c>
      <c r="E10718">
        <v>0</v>
      </c>
      <c r="F10718">
        <v>38</v>
      </c>
    </row>
    <row r="10719" spans="1:6" ht="12.75">
      <c r="A10719" s="2">
        <v>43880.540243055555</v>
      </c>
      <c r="B10719" t="str">
        <f>HYPERLINK("https://twitter.com/albaabsatrio","@albaabsatrio")</f>
        <v>@albaabsatrio</v>
      </c>
      <c r="C10719" t="s">
        <v>1407</v>
      </c>
      <c r="D10719">
        <v>3795</v>
      </c>
      <c r="E10719">
        <v>0</v>
      </c>
      <c r="F10719">
        <v>145</v>
      </c>
    </row>
    <row r="10720" spans="1:6" ht="12.75">
      <c r="A10720" s="2">
        <v>43880.540231481486</v>
      </c>
      <c r="B10720" t="str">
        <f>HYPERLINK("https://twitter.com/rezaaditiar","@rezaaditiar")</f>
        <v>@rezaaditiar</v>
      </c>
      <c r="C10720" t="s">
        <v>1407</v>
      </c>
      <c r="D10720">
        <v>3795</v>
      </c>
      <c r="E10720">
        <v>0</v>
      </c>
      <c r="F10720">
        <v>594</v>
      </c>
    </row>
    <row r="10721" spans="1:6" ht="12.75">
      <c r="A10721" s="2">
        <v>43880.540219907409</v>
      </c>
      <c r="B10721" t="str">
        <f>HYPERLINK("https://twitter.com/Batterinaja","@Batterinaja")</f>
        <v>@Batterinaja</v>
      </c>
      <c r="C10721" t="s">
        <v>1407</v>
      </c>
      <c r="D10721">
        <v>3795</v>
      </c>
      <c r="E10721">
        <v>0</v>
      </c>
      <c r="F10721">
        <v>1</v>
      </c>
    </row>
    <row r="10722" spans="1:6" ht="12.75">
      <c r="A10722" s="2">
        <v>43880.501585648148</v>
      </c>
      <c r="B10722" t="str">
        <f>HYPERLINK("https://twitter.com/POJOKPITU","@POJOKPITU")</f>
        <v>@POJOKPITU</v>
      </c>
      <c r="C10722" t="s">
        <v>6029</v>
      </c>
      <c r="D10722">
        <v>0</v>
      </c>
      <c r="E10722">
        <v>0</v>
      </c>
      <c r="F10722">
        <v>3925</v>
      </c>
    </row>
    <row r="10723" spans="1:6" ht="12.75">
      <c r="A10723" s="2">
        <v>43880.501562500001</v>
      </c>
      <c r="B10723" t="str">
        <f>HYPERLINK("https://twitter.com/drvnkenarez","@drvnkenarez")</f>
        <v>@drvnkenarez</v>
      </c>
      <c r="C10723" t="s">
        <v>1407</v>
      </c>
      <c r="D10723">
        <v>3117</v>
      </c>
      <c r="E10723">
        <v>0</v>
      </c>
      <c r="F10723">
        <v>159</v>
      </c>
    </row>
    <row r="10724" spans="1:6" ht="12.75">
      <c r="A10724" s="2">
        <v>43880.501527777778</v>
      </c>
      <c r="B10724" t="str">
        <f>HYPERLINK("https://twitter.com/kalewithsauce","@kalewithsauce")</f>
        <v>@kalewithsauce</v>
      </c>
      <c r="C10724" t="s">
        <v>1407</v>
      </c>
      <c r="D10724">
        <v>3117</v>
      </c>
      <c r="E10724">
        <v>0</v>
      </c>
      <c r="F10724">
        <v>328</v>
      </c>
    </row>
    <row r="10725" spans="1:6" ht="12.75">
      <c r="A10725" s="2">
        <v>43880.501481481479</v>
      </c>
      <c r="B10725" t="str">
        <f>HYPERLINK("https://twitter.com/__anggitadk__","@__anggitadk__")</f>
        <v>@__anggitadk__</v>
      </c>
      <c r="C10725" t="s">
        <v>2467</v>
      </c>
      <c r="D10725">
        <v>201</v>
      </c>
      <c r="E10725">
        <v>0</v>
      </c>
      <c r="F10725">
        <v>1985</v>
      </c>
    </row>
    <row r="10726" spans="1:6" ht="12.75">
      <c r="A10726" s="2">
        <v>43880.501469907409</v>
      </c>
      <c r="B10726" t="str">
        <f>HYPERLINK("https://twitter.com/watasiwagabe","@watasiwagabe")</f>
        <v>@watasiwagabe</v>
      </c>
      <c r="C10726" t="s">
        <v>1407</v>
      </c>
      <c r="D10726">
        <v>3117</v>
      </c>
      <c r="E10726">
        <v>0</v>
      </c>
      <c r="F10726">
        <v>630</v>
      </c>
    </row>
    <row r="10727" spans="1:6" ht="12.75">
      <c r="A10727" s="2">
        <v>43880.501388888893</v>
      </c>
      <c r="B10727" t="str">
        <f>HYPERLINK("https://twitter.com/BillTemporo","@BillTemporo")</f>
        <v>@BillTemporo</v>
      </c>
      <c r="C10727" t="s">
        <v>832</v>
      </c>
      <c r="D10727">
        <v>0</v>
      </c>
      <c r="E10727">
        <v>0</v>
      </c>
      <c r="F10727">
        <v>11</v>
      </c>
    </row>
    <row r="10728" spans="1:6" ht="12.75">
      <c r="A10728" s="2">
        <v>43880.501377314809</v>
      </c>
      <c r="B10728" t="str">
        <f>HYPERLINK("https://twitter.com/Ys_Dyb","@Ys_Dyb")</f>
        <v>@Ys_Dyb</v>
      </c>
      <c r="C10728" t="s">
        <v>1407</v>
      </c>
      <c r="D10728">
        <v>3117</v>
      </c>
      <c r="E10728">
        <v>0</v>
      </c>
      <c r="F10728">
        <v>156</v>
      </c>
    </row>
    <row r="10729" spans="1:6" ht="12.75">
      <c r="A10729" s="2">
        <v>43880.501226851848</v>
      </c>
      <c r="B10729" t="str">
        <f t="shared" ref="B10729:B10730" si="198">HYPERLINK("https://twitter.com/rebahan24jam","@rebahan24jam")</f>
        <v>@rebahan24jam</v>
      </c>
      <c r="C10729" t="s">
        <v>1407</v>
      </c>
      <c r="D10729">
        <v>3117</v>
      </c>
      <c r="E10729">
        <v>0</v>
      </c>
      <c r="F10729">
        <v>4471</v>
      </c>
    </row>
    <row r="10730" spans="1:6" ht="12.75">
      <c r="A10730" s="2">
        <v>43880.501180555555</v>
      </c>
      <c r="B10730" t="str">
        <f t="shared" si="198"/>
        <v>@rebahan24jam</v>
      </c>
      <c r="C10730" t="s">
        <v>2467</v>
      </c>
      <c r="D10730">
        <v>201</v>
      </c>
      <c r="E10730">
        <v>0</v>
      </c>
      <c r="F10730">
        <v>4471</v>
      </c>
    </row>
    <row r="10731" spans="1:6" ht="12.75">
      <c r="A10731" s="2">
        <v>43880.501180555555</v>
      </c>
      <c r="B10731" t="str">
        <f>HYPERLINK("https://twitter.com/NatsunoHima","@NatsunoHima")</f>
        <v>@NatsunoHima</v>
      </c>
      <c r="C10731" t="s">
        <v>6030</v>
      </c>
      <c r="D10731">
        <v>33</v>
      </c>
      <c r="E10731">
        <v>0</v>
      </c>
      <c r="F10731">
        <v>768</v>
      </c>
    </row>
    <row r="10732" spans="1:6" ht="12.75">
      <c r="A10732" s="2">
        <v>43880.501180555555</v>
      </c>
      <c r="B10732" t="str">
        <f>HYPERLINK("https://twitter.com/Loh_Rudy","@Loh_Rudy")</f>
        <v>@Loh_Rudy</v>
      </c>
      <c r="C10732" t="s">
        <v>1407</v>
      </c>
      <c r="D10732">
        <v>3117</v>
      </c>
      <c r="E10732">
        <v>0</v>
      </c>
      <c r="F10732">
        <v>397</v>
      </c>
    </row>
    <row r="10733" spans="1:6" ht="12.75">
      <c r="A10733" s="2">
        <v>43880.501168981486</v>
      </c>
      <c r="B10733" t="str">
        <f t="shared" ref="B10733:B10734" si="199">HYPERLINK("https://twitter.com/rebahan24jam","@rebahan24jam")</f>
        <v>@rebahan24jam</v>
      </c>
      <c r="C10733" t="s">
        <v>2183</v>
      </c>
      <c r="D10733">
        <v>39</v>
      </c>
      <c r="E10733">
        <v>0</v>
      </c>
      <c r="F10733">
        <v>4471</v>
      </c>
    </row>
    <row r="10734" spans="1:6" ht="12.75">
      <c r="A10734" s="2">
        <v>43880.501145833332</v>
      </c>
      <c r="B10734" t="str">
        <f t="shared" si="199"/>
        <v>@rebahan24jam</v>
      </c>
      <c r="C10734" t="s">
        <v>2509</v>
      </c>
      <c r="D10734">
        <v>21</v>
      </c>
      <c r="E10734">
        <v>0</v>
      </c>
      <c r="F10734">
        <v>4471</v>
      </c>
    </row>
    <row r="10735" spans="1:6" ht="12.75">
      <c r="A10735" s="2">
        <v>43880.501087962963</v>
      </c>
      <c r="B10735" t="str">
        <f>HYPERLINK("https://twitter.com/januarwahyyu","@januarwahyyu")</f>
        <v>@januarwahyyu</v>
      </c>
      <c r="C10735" t="s">
        <v>1407</v>
      </c>
      <c r="D10735">
        <v>3117</v>
      </c>
      <c r="E10735">
        <v>0</v>
      </c>
      <c r="F10735">
        <v>664</v>
      </c>
    </row>
    <row r="10736" spans="1:6" ht="12.75">
      <c r="A10736" s="2">
        <v>43880.500914351855</v>
      </c>
      <c r="B10736" t="str">
        <f>HYPERLINK("https://twitter.com/anggithaap","@anggithaap")</f>
        <v>@anggithaap</v>
      </c>
      <c r="C10736" t="s">
        <v>1407</v>
      </c>
      <c r="D10736">
        <v>3117</v>
      </c>
      <c r="E10736">
        <v>0</v>
      </c>
      <c r="F10736">
        <v>570</v>
      </c>
    </row>
    <row r="10737" spans="1:6" ht="12.75">
      <c r="A10737" s="2">
        <v>43880.500902777778</v>
      </c>
      <c r="B10737" t="str">
        <f>HYPERLINK("https://twitter.com/kbrisingapura","@kbrisingapura")</f>
        <v>@kbrisingapura</v>
      </c>
      <c r="C10737" t="s">
        <v>6031</v>
      </c>
      <c r="D10737">
        <v>0</v>
      </c>
      <c r="E10737">
        <v>0</v>
      </c>
      <c r="F10737">
        <v>4532</v>
      </c>
    </row>
    <row r="10738" spans="1:6" ht="12.75">
      <c r="A10738" s="2">
        <v>43880.500868055555</v>
      </c>
      <c r="B10738" t="str">
        <f>HYPERLINK("https://twitter.com/kaumbangsawan","@kaumbangsawan")</f>
        <v>@kaumbangsawan</v>
      </c>
      <c r="C10738" t="s">
        <v>1407</v>
      </c>
      <c r="D10738">
        <v>3117</v>
      </c>
      <c r="E10738">
        <v>0</v>
      </c>
      <c r="F10738">
        <v>99</v>
      </c>
    </row>
    <row r="10739" spans="1:6" ht="12.75">
      <c r="A10739" s="2">
        <v>43880.500833333332</v>
      </c>
      <c r="B10739" t="str">
        <f>HYPERLINK("https://twitter.com/daniabcde_","@daniabcde_")</f>
        <v>@daniabcde_</v>
      </c>
      <c r="C10739" t="s">
        <v>1407</v>
      </c>
      <c r="D10739">
        <v>3117</v>
      </c>
      <c r="E10739">
        <v>0</v>
      </c>
      <c r="F10739">
        <v>14</v>
      </c>
    </row>
    <row r="10740" spans="1:6" ht="12.75">
      <c r="A10740" s="2">
        <v>43880.500752314816</v>
      </c>
      <c r="B10740" t="str">
        <f>HYPERLINK("https://twitter.com/dnyrstn_","@dnyrstn_")</f>
        <v>@dnyrstn_</v>
      </c>
      <c r="C10740" t="s">
        <v>6032</v>
      </c>
      <c r="D10740">
        <v>897</v>
      </c>
      <c r="E10740">
        <v>0</v>
      </c>
      <c r="F10740">
        <v>272</v>
      </c>
    </row>
    <row r="10741" spans="1:6" ht="12.75">
      <c r="A10741" s="2">
        <v>43880.500717592593</v>
      </c>
      <c r="B10741" t="str">
        <f>HYPERLINK("https://twitter.com/kyundah_elf","@kyundah_elf")</f>
        <v>@kyundah_elf</v>
      </c>
      <c r="C10741" t="s">
        <v>6033</v>
      </c>
      <c r="D10741">
        <v>1</v>
      </c>
      <c r="E10741">
        <v>0</v>
      </c>
      <c r="F10741">
        <v>520</v>
      </c>
    </row>
    <row r="10742" spans="1:6" ht="12.75">
      <c r="A10742" s="2">
        <v>43880.50063657407</v>
      </c>
      <c r="B10742" t="str">
        <f>HYPERLINK("https://twitter.com/gumiwangtresna","@gumiwangtresna")</f>
        <v>@gumiwangtresna</v>
      </c>
      <c r="C10742" t="s">
        <v>1407</v>
      </c>
      <c r="D10742">
        <v>3117</v>
      </c>
      <c r="E10742">
        <v>0</v>
      </c>
      <c r="F10742">
        <v>303</v>
      </c>
    </row>
    <row r="10743" spans="1:6" ht="12.75">
      <c r="A10743" s="2">
        <v>43880.500520833331</v>
      </c>
      <c r="B10743" t="str">
        <f>HYPERLINK("https://twitter.com/CakSchalker","@CakSchalker")</f>
        <v>@CakSchalker</v>
      </c>
      <c r="C10743" t="s">
        <v>2692</v>
      </c>
      <c r="D10743">
        <v>117</v>
      </c>
      <c r="E10743">
        <v>0</v>
      </c>
      <c r="F10743">
        <v>224</v>
      </c>
    </row>
    <row r="10744" spans="1:6" ht="12.75">
      <c r="A10744" s="2">
        <v>43880.500509259262</v>
      </c>
      <c r="B10744" t="str">
        <f>HYPERLINK("https://twitter.com/akbarffs","@akbarffs")</f>
        <v>@akbarffs</v>
      </c>
      <c r="C10744" t="s">
        <v>1407</v>
      </c>
      <c r="D10744">
        <v>3117</v>
      </c>
      <c r="E10744">
        <v>0</v>
      </c>
      <c r="F10744">
        <v>60</v>
      </c>
    </row>
    <row r="10745" spans="1:6" ht="12.75">
      <c r="A10745" s="2">
        <v>43880.500474537039</v>
      </c>
      <c r="B10745" t="str">
        <f>HYPERLINK("https://twitter.com/ichibansaku","@ichibansaku")</f>
        <v>@ichibansaku</v>
      </c>
      <c r="C10745" t="s">
        <v>2692</v>
      </c>
      <c r="D10745">
        <v>117</v>
      </c>
      <c r="E10745">
        <v>0</v>
      </c>
      <c r="F10745">
        <v>36</v>
      </c>
    </row>
    <row r="10746" spans="1:6" ht="12.75">
      <c r="A10746" s="2">
        <v>43880.500439814816</v>
      </c>
      <c r="B10746" t="str">
        <f>HYPERLINK("https://twitter.com/greentrs","@greentrs")</f>
        <v>@greentrs</v>
      </c>
      <c r="C10746" t="s">
        <v>1407</v>
      </c>
      <c r="D10746">
        <v>3117</v>
      </c>
      <c r="E10746">
        <v>0</v>
      </c>
      <c r="F10746">
        <v>373</v>
      </c>
    </row>
    <row r="10747" spans="1:6" ht="12.75">
      <c r="A10747" s="2">
        <v>43880.500439814816</v>
      </c>
      <c r="B10747" t="str">
        <f>HYPERLINK("https://twitter.com/himatchas","@himatchas")</f>
        <v>@himatchas</v>
      </c>
      <c r="C10747" t="s">
        <v>2467</v>
      </c>
      <c r="D10747">
        <v>201</v>
      </c>
      <c r="E10747">
        <v>0</v>
      </c>
      <c r="F10747">
        <v>3214</v>
      </c>
    </row>
    <row r="10748" spans="1:6" ht="12.75">
      <c r="A10748" s="2">
        <v>43880.500208333338</v>
      </c>
      <c r="B10748" t="str">
        <f>HYPERLINK("https://twitter.com/dhimas_pati","@dhimas_pati")</f>
        <v>@dhimas_pati</v>
      </c>
      <c r="C10748" t="s">
        <v>6034</v>
      </c>
      <c r="D10748">
        <v>0</v>
      </c>
      <c r="E10748">
        <v>0</v>
      </c>
      <c r="F10748">
        <v>2736</v>
      </c>
    </row>
    <row r="10749" spans="1:6" ht="12.75">
      <c r="A10749" s="2">
        <v>43880.500196759254</v>
      </c>
      <c r="B10749" t="str">
        <f>HYPERLINK("https://twitter.com/himatchas","@himatchas")</f>
        <v>@himatchas</v>
      </c>
      <c r="C10749" t="s">
        <v>1407</v>
      </c>
      <c r="D10749">
        <v>3117</v>
      </c>
      <c r="E10749">
        <v>0</v>
      </c>
      <c r="F10749">
        <v>3214</v>
      </c>
    </row>
    <row r="10750" spans="1:6" ht="12.75">
      <c r="A10750" s="2">
        <v>43880.500104166669</v>
      </c>
      <c r="B10750" t="str">
        <f>HYPERLINK("https://twitter.com/EnggarHakim","@EnggarHakim")</f>
        <v>@EnggarHakim</v>
      </c>
      <c r="C10750" t="s">
        <v>1407</v>
      </c>
      <c r="D10750">
        <v>3117</v>
      </c>
      <c r="E10750">
        <v>0</v>
      </c>
      <c r="F10750">
        <v>9168</v>
      </c>
    </row>
    <row r="10751" spans="1:6" ht="12.75">
      <c r="A10751" s="2">
        <v>43880.500023148154</v>
      </c>
      <c r="B10751" t="str">
        <f>HYPERLINK("https://twitter.com/kbrisingapura","@kbrisingapura")</f>
        <v>@kbrisingapura</v>
      </c>
      <c r="C10751" t="s">
        <v>6035</v>
      </c>
      <c r="D10751">
        <v>0</v>
      </c>
      <c r="E10751">
        <v>0</v>
      </c>
      <c r="F10751">
        <v>4532</v>
      </c>
    </row>
    <row r="10752" spans="1:6" ht="12.75">
      <c r="A10752" s="2">
        <v>43880.50001157407</v>
      </c>
      <c r="B10752" t="str">
        <f>HYPERLINK("https://twitter.com/WPBergerak","@WPBergerak")</f>
        <v>@WPBergerak</v>
      </c>
      <c r="C10752" t="s">
        <v>6036</v>
      </c>
      <c r="D10752">
        <v>0</v>
      </c>
      <c r="E10752">
        <v>0</v>
      </c>
      <c r="F10752">
        <v>62</v>
      </c>
    </row>
    <row r="10753" spans="1:6" ht="12.75">
      <c r="A10753" s="2">
        <v>43880.49998842593</v>
      </c>
      <c r="B10753" t="str">
        <f>HYPERLINK("https://twitter.com/asteriots","@asteriots")</f>
        <v>@asteriots</v>
      </c>
      <c r="C10753" t="s">
        <v>1407</v>
      </c>
      <c r="D10753">
        <v>3117</v>
      </c>
      <c r="E10753">
        <v>0</v>
      </c>
      <c r="F10753">
        <v>494</v>
      </c>
    </row>
    <row r="10754" spans="1:6" ht="12.75">
      <c r="A10754" s="2">
        <v>43880.499976851846</v>
      </c>
      <c r="B10754" t="str">
        <f>HYPERLINK("https://twitter.com/dina_sour","@dina_sour")</f>
        <v>@dina_sour</v>
      </c>
      <c r="C10754" t="s">
        <v>2692</v>
      </c>
      <c r="D10754">
        <v>117</v>
      </c>
      <c r="E10754">
        <v>0</v>
      </c>
      <c r="F10754">
        <v>664</v>
      </c>
    </row>
    <row r="10755" spans="1:6" ht="12.75">
      <c r="A10755" s="2">
        <v>43880.499942129631</v>
      </c>
      <c r="B10755" t="str">
        <f>HYPERLINK("https://twitter.com/beatrice_health","@beatrice_health")</f>
        <v>@beatrice_health</v>
      </c>
      <c r="C10755" t="s">
        <v>2183</v>
      </c>
      <c r="D10755">
        <v>39</v>
      </c>
      <c r="E10755">
        <v>0</v>
      </c>
      <c r="F10755">
        <v>198</v>
      </c>
    </row>
    <row r="10756" spans="1:6" ht="12.75">
      <c r="A10756" s="2">
        <v>43880.499942129631</v>
      </c>
      <c r="B10756" t="str">
        <f>HYPERLINK("https://twitter.com/kompasiana","@kompasiana")</f>
        <v>@kompasiana</v>
      </c>
      <c r="C10756" t="s">
        <v>6037</v>
      </c>
      <c r="D10756">
        <v>1</v>
      </c>
      <c r="E10756">
        <v>0</v>
      </c>
      <c r="F10756">
        <v>928896</v>
      </c>
    </row>
    <row r="10757" spans="1:6" ht="12.75">
      <c r="A10757" s="2">
        <v>43880.499930555554</v>
      </c>
      <c r="B10757" t="str">
        <f>HYPERLINK("https://twitter.com/AliAljabar1","@AliAljabar1")</f>
        <v>@AliAljabar1</v>
      </c>
      <c r="C10757" t="s">
        <v>5203</v>
      </c>
      <c r="D10757">
        <v>26</v>
      </c>
      <c r="E10757">
        <v>0</v>
      </c>
      <c r="F10757">
        <v>343</v>
      </c>
    </row>
    <row r="10758" spans="1:6" ht="12.75">
      <c r="A10758" s="2">
        <v>43880.499895833331</v>
      </c>
      <c r="B10758" t="str">
        <f>HYPERLINK("https://twitter.com/hahlilaa","@hahlilaa")</f>
        <v>@hahlilaa</v>
      </c>
      <c r="C10758" t="s">
        <v>2183</v>
      </c>
      <c r="D10758">
        <v>39</v>
      </c>
      <c r="E10758">
        <v>0</v>
      </c>
      <c r="F10758">
        <v>261</v>
      </c>
    </row>
    <row r="10759" spans="1:6" ht="12.75">
      <c r="A10759" s="2">
        <v>43880.499849537038</v>
      </c>
      <c r="B10759" t="str">
        <f>HYPERLINK("https://twitter.com/k_zulvan","@k_zulvan")</f>
        <v>@k_zulvan</v>
      </c>
      <c r="C10759" t="s">
        <v>1407</v>
      </c>
      <c r="D10759">
        <v>3117</v>
      </c>
      <c r="E10759">
        <v>0</v>
      </c>
      <c r="F10759">
        <v>1214</v>
      </c>
    </row>
    <row r="10760" spans="1:6" ht="12.75">
      <c r="A10760" s="2">
        <v>43880.499803240746</v>
      </c>
      <c r="B10760" t="str">
        <f>HYPERLINK("https://twitter.com/FolioBergaris_","@FolioBergaris_")</f>
        <v>@FolioBergaris_</v>
      </c>
      <c r="C10760" t="s">
        <v>1407</v>
      </c>
      <c r="D10760">
        <v>3117</v>
      </c>
      <c r="E10760">
        <v>0</v>
      </c>
      <c r="F10760">
        <v>335</v>
      </c>
    </row>
    <row r="10761" spans="1:6" ht="12.75">
      <c r="A10761" s="2">
        <v>43880.4997337963</v>
      </c>
      <c r="B10761" t="str">
        <f>HYPERLINK("https://twitter.com/hahlilaa","@hahlilaa")</f>
        <v>@hahlilaa</v>
      </c>
      <c r="C10761" t="s">
        <v>1407</v>
      </c>
      <c r="D10761">
        <v>3117</v>
      </c>
      <c r="E10761">
        <v>0</v>
      </c>
      <c r="F10761">
        <v>261</v>
      </c>
    </row>
    <row r="10762" spans="1:6" ht="12.75">
      <c r="A10762" s="2">
        <v>43880.499710648146</v>
      </c>
      <c r="B10762" t="str">
        <f>HYPERLINK("https://twitter.com/desembrrr","@desembrrr")</f>
        <v>@desembrrr</v>
      </c>
      <c r="C10762" t="s">
        <v>1407</v>
      </c>
      <c r="D10762">
        <v>3117</v>
      </c>
      <c r="E10762">
        <v>0</v>
      </c>
      <c r="F10762">
        <v>497</v>
      </c>
    </row>
    <row r="10763" spans="1:6" ht="12.75">
      <c r="A10763" s="2">
        <v>43880.499710648146</v>
      </c>
      <c r="B10763" t="str">
        <f>HYPERLINK("https://twitter.com/sekenekaun","@sekenekaun")</f>
        <v>@sekenekaun</v>
      </c>
      <c r="C10763" t="s">
        <v>2692</v>
      </c>
      <c r="D10763">
        <v>117</v>
      </c>
      <c r="E10763">
        <v>0</v>
      </c>
      <c r="F10763">
        <v>75</v>
      </c>
    </row>
    <row r="10764" spans="1:6" ht="12.75">
      <c r="A10764" s="2">
        <v>43880.499710648146</v>
      </c>
      <c r="B10764" t="str">
        <f>HYPERLINK("https://twitter.com/a_krisma","@a_krisma")</f>
        <v>@a_krisma</v>
      </c>
      <c r="C10764" t="s">
        <v>5769</v>
      </c>
      <c r="D10764">
        <v>7</v>
      </c>
      <c r="E10764">
        <v>0</v>
      </c>
      <c r="F10764">
        <v>198</v>
      </c>
    </row>
    <row r="10765" spans="1:6" ht="12.75">
      <c r="A10765" s="2">
        <v>43880.499699074076</v>
      </c>
      <c r="B10765" t="str">
        <f>HYPERLINK("https://twitter.com/chatmuhilang","@chatmuhilang")</f>
        <v>@chatmuhilang</v>
      </c>
      <c r="C10765" t="s">
        <v>1407</v>
      </c>
      <c r="D10765">
        <v>3117</v>
      </c>
      <c r="E10765">
        <v>0</v>
      </c>
      <c r="F10765">
        <v>188</v>
      </c>
    </row>
    <row r="10766" spans="1:6" ht="12.75">
      <c r="A10766" s="2">
        <v>43880.499699074076</v>
      </c>
      <c r="B10766" t="str">
        <f>HYPERLINK("https://twitter.com/hahlilaa","@hahlilaa")</f>
        <v>@hahlilaa</v>
      </c>
      <c r="C10766" t="s">
        <v>2467</v>
      </c>
      <c r="D10766">
        <v>201</v>
      </c>
      <c r="E10766">
        <v>0</v>
      </c>
      <c r="F10766">
        <v>261</v>
      </c>
    </row>
    <row r="10767" spans="1:6" ht="12.75">
      <c r="A10767" s="2">
        <v>43880.499571759261</v>
      </c>
      <c r="B10767" t="str">
        <f>HYPERLINK("https://twitter.com/kindheartedbitc","@kindheartedbitc")</f>
        <v>@kindheartedbitc</v>
      </c>
      <c r="C10767" t="s">
        <v>1407</v>
      </c>
      <c r="D10767">
        <v>3117</v>
      </c>
      <c r="E10767">
        <v>0</v>
      </c>
      <c r="F10767">
        <v>664</v>
      </c>
    </row>
    <row r="10768" spans="1:6" ht="12.75">
      <c r="A10768" s="2">
        <v>43880.499386574069</v>
      </c>
      <c r="B10768" t="str">
        <f>HYPERLINK("https://twitter.com/gath24","@gath24")</f>
        <v>@gath24</v>
      </c>
      <c r="C10768" t="s">
        <v>1407</v>
      </c>
      <c r="D10768">
        <v>3117</v>
      </c>
      <c r="E10768">
        <v>0</v>
      </c>
      <c r="F10768">
        <v>890</v>
      </c>
    </row>
    <row r="10769" spans="1:6" ht="12.75">
      <c r="A10769" s="2">
        <v>43880.499050925922</v>
      </c>
      <c r="B10769" t="str">
        <f>HYPERLINK("https://twitter.com/adellees95","@adellees95")</f>
        <v>@adellees95</v>
      </c>
      <c r="C10769" t="s">
        <v>1407</v>
      </c>
      <c r="D10769">
        <v>3117</v>
      </c>
      <c r="E10769">
        <v>0</v>
      </c>
      <c r="F10769">
        <v>236</v>
      </c>
    </row>
    <row r="10770" spans="1:6" ht="12.75">
      <c r="A10770" s="2">
        <v>43880.499027777776</v>
      </c>
      <c r="B10770" t="str">
        <f>HYPERLINK("https://twitter.com/gudegnangka","@gudegnangka")</f>
        <v>@gudegnangka</v>
      </c>
      <c r="C10770" t="s">
        <v>1407</v>
      </c>
      <c r="D10770">
        <v>3117</v>
      </c>
      <c r="E10770">
        <v>0</v>
      </c>
      <c r="F10770">
        <v>2524</v>
      </c>
    </row>
    <row r="10771" spans="1:6" ht="12.75">
      <c r="A10771" s="2">
        <v>43880.499016203699</v>
      </c>
      <c r="B10771" t="str">
        <f>HYPERLINK("https://twitter.com/ayamgeprektomat","@ayamgeprektomat")</f>
        <v>@ayamgeprektomat</v>
      </c>
      <c r="C10771" t="s">
        <v>1407</v>
      </c>
      <c r="D10771">
        <v>3117</v>
      </c>
      <c r="E10771">
        <v>0</v>
      </c>
      <c r="F10771">
        <v>73</v>
      </c>
    </row>
    <row r="10772" spans="1:6" ht="12.75">
      <c r="A10772" s="2">
        <v>43880.498726851853</v>
      </c>
      <c r="B10772" t="str">
        <f>HYPERLINK("https://twitter.com/mhyhilmy","@mhyhilmy")</f>
        <v>@mhyhilmy</v>
      </c>
      <c r="C10772" t="s">
        <v>1407</v>
      </c>
      <c r="D10772">
        <v>3117</v>
      </c>
      <c r="E10772">
        <v>0</v>
      </c>
      <c r="F10772">
        <v>859</v>
      </c>
    </row>
    <row r="10773" spans="1:6" ht="12.75">
      <c r="A10773" s="2">
        <v>43880.498622685191</v>
      </c>
      <c r="B10773" t="str">
        <f>HYPERLINK("https://twitter.com/cntia02","@cntia02")</f>
        <v>@cntia02</v>
      </c>
      <c r="C10773" t="s">
        <v>2467</v>
      </c>
      <c r="D10773">
        <v>201</v>
      </c>
      <c r="E10773">
        <v>0</v>
      </c>
      <c r="F10773">
        <v>20</v>
      </c>
    </row>
    <row r="10774" spans="1:6" ht="12.75">
      <c r="A10774" s="2">
        <v>43880.498599537037</v>
      </c>
      <c r="B10774" t="str">
        <f>HYPERLINK("https://twitter.com/nadhilahrtr","@nadhilahrtr")</f>
        <v>@nadhilahrtr</v>
      </c>
      <c r="C10774" t="s">
        <v>2183</v>
      </c>
      <c r="D10774">
        <v>39</v>
      </c>
      <c r="E10774">
        <v>0</v>
      </c>
      <c r="F10774">
        <v>1504</v>
      </c>
    </row>
    <row r="10775" spans="1:6" ht="12.75">
      <c r="A10775" s="2">
        <v>43880.498553240745</v>
      </c>
      <c r="B10775" t="str">
        <f>HYPERLINK("https://twitter.com/gustooong","@gustooong")</f>
        <v>@gustooong</v>
      </c>
      <c r="C10775" t="s">
        <v>1407</v>
      </c>
      <c r="D10775">
        <v>3117</v>
      </c>
      <c r="E10775">
        <v>0</v>
      </c>
      <c r="F10775">
        <v>450</v>
      </c>
    </row>
    <row r="10776" spans="1:6" ht="12.75">
      <c r="A10776" s="2">
        <v>43880.498472222222</v>
      </c>
      <c r="B10776" t="str">
        <f>HYPERLINK("https://twitter.com/ragilcangkul","@ragilcangkul")</f>
        <v>@ragilcangkul</v>
      </c>
      <c r="C10776" t="s">
        <v>1407</v>
      </c>
      <c r="D10776">
        <v>3117</v>
      </c>
      <c r="E10776">
        <v>0</v>
      </c>
      <c r="F10776">
        <v>8</v>
      </c>
    </row>
    <row r="10777" spans="1:6" ht="12.75">
      <c r="A10777" s="2">
        <v>43880.498460648145</v>
      </c>
      <c r="B10777" t="str">
        <f>HYPERLINK("https://twitter.com/mikadouuu","@mikadouuu")</f>
        <v>@mikadouuu</v>
      </c>
      <c r="C10777" t="s">
        <v>1407</v>
      </c>
      <c r="D10777">
        <v>3117</v>
      </c>
      <c r="E10777">
        <v>0</v>
      </c>
      <c r="F10777">
        <v>357</v>
      </c>
    </row>
    <row r="10778" spans="1:6" ht="12.75">
      <c r="A10778" s="2">
        <v>43880.498263888891</v>
      </c>
      <c r="B10778" t="str">
        <f>HYPERLINK("https://twitter.com/mudha_satriya","@mudha_satriya")</f>
        <v>@mudha_satriya</v>
      </c>
      <c r="C10778" t="s">
        <v>6038</v>
      </c>
      <c r="D10778">
        <v>2</v>
      </c>
      <c r="E10778">
        <v>0</v>
      </c>
      <c r="F10778">
        <v>1874</v>
      </c>
    </row>
    <row r="10779" spans="1:6" ht="12.75">
      <c r="A10779" s="2">
        <v>43880.498159722221</v>
      </c>
      <c r="B10779" t="str">
        <f>HYPERLINK("https://twitter.com/bingung_euyyy","@bingung_euyyy")</f>
        <v>@bingung_euyyy</v>
      </c>
      <c r="C10779" t="s">
        <v>1407</v>
      </c>
      <c r="D10779">
        <v>3117</v>
      </c>
      <c r="E10779">
        <v>0</v>
      </c>
      <c r="F10779">
        <v>93</v>
      </c>
    </row>
    <row r="10780" spans="1:6" ht="12.75">
      <c r="A10780" s="2">
        <v>43880.498113425929</v>
      </c>
      <c r="B10780" t="str">
        <f>HYPERLINK("https://twitter.com/btjslyr","@btjslyr")</f>
        <v>@btjslyr</v>
      </c>
      <c r="C10780" t="s">
        <v>1407</v>
      </c>
      <c r="D10780">
        <v>3117</v>
      </c>
      <c r="E10780">
        <v>0</v>
      </c>
      <c r="F10780">
        <v>6</v>
      </c>
    </row>
    <row r="10781" spans="1:6" ht="12.75">
      <c r="A10781" s="2">
        <v>43880.498113425929</v>
      </c>
      <c r="B10781" t="str">
        <f>HYPERLINK("https://twitter.com/rrenakuma","@rrenakuma")</f>
        <v>@rrenakuma</v>
      </c>
      <c r="C10781" t="s">
        <v>1407</v>
      </c>
      <c r="D10781">
        <v>3117</v>
      </c>
      <c r="E10781">
        <v>0</v>
      </c>
      <c r="F10781">
        <v>250</v>
      </c>
    </row>
    <row r="10782" spans="1:6" ht="12.75">
      <c r="A10782" s="2">
        <v>43880.498090277775</v>
      </c>
      <c r="B10782" t="str">
        <f>HYPERLINK("https://twitter.com/danilIajpr","@danilIajpr")</f>
        <v>@danilIajpr</v>
      </c>
      <c r="C10782" t="s">
        <v>1407</v>
      </c>
      <c r="D10782">
        <v>3117</v>
      </c>
      <c r="E10782">
        <v>0</v>
      </c>
      <c r="F10782">
        <v>864</v>
      </c>
    </row>
    <row r="10783" spans="1:6" ht="12.75">
      <c r="A10783" s="2">
        <v>43880.498032407406</v>
      </c>
      <c r="B10783" t="str">
        <f>HYPERLINK("https://twitter.com/inalzaelani","@inalzaelani")</f>
        <v>@inalzaelani</v>
      </c>
      <c r="C10783" t="s">
        <v>1407</v>
      </c>
      <c r="D10783">
        <v>3117</v>
      </c>
      <c r="E10783">
        <v>0</v>
      </c>
      <c r="F10783">
        <v>97</v>
      </c>
    </row>
    <row r="10784" spans="1:6" ht="12.75">
      <c r="A10784" s="2">
        <v>43880.497986111106</v>
      </c>
      <c r="B10784" t="str">
        <f>HYPERLINK("https://twitter.com/slvnurk","@slvnurk")</f>
        <v>@slvnurk</v>
      </c>
      <c r="C10784" t="s">
        <v>1407</v>
      </c>
      <c r="D10784">
        <v>3117</v>
      </c>
      <c r="E10784">
        <v>0</v>
      </c>
      <c r="F10784">
        <v>306</v>
      </c>
    </row>
    <row r="10785" spans="1:6" ht="12.75">
      <c r="A10785" s="2">
        <v>43880.497916666667</v>
      </c>
      <c r="B10785" t="str">
        <f>HYPERLINK("https://twitter.com/gajahganteng49","@gajahganteng49")</f>
        <v>@gajahganteng49</v>
      </c>
      <c r="C10785" t="s">
        <v>1407</v>
      </c>
      <c r="D10785">
        <v>3117</v>
      </c>
      <c r="E10785">
        <v>0</v>
      </c>
      <c r="F10785">
        <v>934</v>
      </c>
    </row>
    <row r="10786" spans="1:6" ht="12.75">
      <c r="A10786" s="2">
        <v>43880.497916666667</v>
      </c>
      <c r="B10786" t="str">
        <f>HYPERLINK("https://twitter.com/csi_wulan","@csi_wulan")</f>
        <v>@csi_wulan</v>
      </c>
      <c r="C10786" t="s">
        <v>2692</v>
      </c>
      <c r="D10786">
        <v>117</v>
      </c>
      <c r="E10786">
        <v>0</v>
      </c>
      <c r="F10786">
        <v>2005</v>
      </c>
    </row>
    <row r="10787" spans="1:6" ht="12.75">
      <c r="A10787" s="2">
        <v>43880.497893518521</v>
      </c>
      <c r="B10787" t="str">
        <f>HYPERLINK("https://twitter.com/nadiaintankir","@nadiaintankir")</f>
        <v>@nadiaintankir</v>
      </c>
      <c r="C10787" t="s">
        <v>2692</v>
      </c>
      <c r="D10787">
        <v>117</v>
      </c>
      <c r="E10787">
        <v>0</v>
      </c>
      <c r="F10787">
        <v>161</v>
      </c>
    </row>
    <row r="10788" spans="1:6" ht="12.75">
      <c r="A10788" s="2">
        <v>43880.497777777782</v>
      </c>
      <c r="B10788" t="str">
        <f>HYPERLINK("https://twitter.com/AmiArdiwinata","@AmiArdiwinata")</f>
        <v>@AmiArdiwinata</v>
      </c>
      <c r="C10788" t="s">
        <v>1407</v>
      </c>
      <c r="D10788">
        <v>3117</v>
      </c>
      <c r="E10788">
        <v>0</v>
      </c>
      <c r="F10788">
        <v>345</v>
      </c>
    </row>
    <row r="10789" spans="1:6" ht="12.75">
      <c r="A10789" s="2">
        <v>43880.497708333336</v>
      </c>
      <c r="B10789" t="str">
        <f>HYPERLINK("https://twitter.com/agtriady","@agtriady")</f>
        <v>@agtriady</v>
      </c>
      <c r="C10789" t="s">
        <v>2692</v>
      </c>
      <c r="D10789">
        <v>117</v>
      </c>
      <c r="E10789">
        <v>0</v>
      </c>
      <c r="F10789">
        <v>201</v>
      </c>
    </row>
    <row r="10790" spans="1:6" ht="12.75">
      <c r="A10790" s="2">
        <v>43880.497662037036</v>
      </c>
      <c r="B10790" t="str">
        <f>HYPERLINK("https://twitter.com/mauminhee","@mauminhee")</f>
        <v>@mauminhee</v>
      </c>
      <c r="C10790" t="s">
        <v>1407</v>
      </c>
      <c r="D10790">
        <v>3117</v>
      </c>
      <c r="E10790">
        <v>0</v>
      </c>
      <c r="F10790">
        <v>454</v>
      </c>
    </row>
    <row r="10791" spans="1:6" ht="12.75">
      <c r="A10791" s="2">
        <v>43880.497650462959</v>
      </c>
      <c r="B10791" t="str">
        <f>HYPERLINK("https://twitter.com/chocoberrybaby","@chocoberrybaby")</f>
        <v>@chocoberrybaby</v>
      </c>
      <c r="C10791" t="s">
        <v>1407</v>
      </c>
      <c r="D10791">
        <v>3117</v>
      </c>
      <c r="E10791">
        <v>0</v>
      </c>
      <c r="F10791">
        <v>820</v>
      </c>
    </row>
    <row r="10792" spans="1:6" ht="12.75">
      <c r="A10792" s="2">
        <v>43880.497511574074</v>
      </c>
      <c r="B10792" t="str">
        <f>HYPERLINK("https://twitter.com/toppockiy","@toppockiy")</f>
        <v>@toppockiy</v>
      </c>
      <c r="C10792" t="s">
        <v>1407</v>
      </c>
      <c r="D10792">
        <v>3117</v>
      </c>
      <c r="E10792">
        <v>0</v>
      </c>
      <c r="F10792">
        <v>2373</v>
      </c>
    </row>
    <row r="10793" spans="1:6" ht="12.75">
      <c r="A10793" s="2">
        <v>43880.497442129628</v>
      </c>
      <c r="B10793" t="str">
        <f>HYPERLINK("https://twitter.com/autoimunn","@autoimunn")</f>
        <v>@autoimunn</v>
      </c>
      <c r="C10793" t="s">
        <v>6039</v>
      </c>
      <c r="D10793">
        <v>0</v>
      </c>
      <c r="E10793">
        <v>0</v>
      </c>
      <c r="F10793">
        <v>1404</v>
      </c>
    </row>
    <row r="10794" spans="1:6" ht="12.75">
      <c r="A10794" s="2">
        <v>43880.497337962966</v>
      </c>
      <c r="B10794" t="str">
        <f>HYPERLINK("https://twitter.com/rosegoldpasta","@rosegoldpasta")</f>
        <v>@rosegoldpasta</v>
      </c>
      <c r="C10794" t="s">
        <v>1407</v>
      </c>
      <c r="D10794">
        <v>3117</v>
      </c>
      <c r="E10794">
        <v>0</v>
      </c>
      <c r="F10794">
        <v>98</v>
      </c>
    </row>
    <row r="10795" spans="1:6" ht="12.75">
      <c r="A10795" s="2">
        <v>43880.497199074074</v>
      </c>
      <c r="B10795" t="str">
        <f>HYPERLINK("https://twitter.com/_thebitterpeach","@_thebitterpeach")</f>
        <v>@_thebitterpeach</v>
      </c>
      <c r="C10795" t="s">
        <v>1407</v>
      </c>
      <c r="D10795">
        <v>3117</v>
      </c>
      <c r="E10795">
        <v>0</v>
      </c>
      <c r="F10795">
        <v>641</v>
      </c>
    </row>
    <row r="10796" spans="1:6" ht="12.75">
      <c r="A10796" s="2">
        <v>43880.497141203705</v>
      </c>
      <c r="B10796" t="str">
        <f>HYPERLINK("https://twitter.com/izatulmarifah2","@izatulmarifah2")</f>
        <v>@izatulmarifah2</v>
      </c>
      <c r="C10796" t="s">
        <v>1407</v>
      </c>
      <c r="D10796">
        <v>3117</v>
      </c>
      <c r="E10796">
        <v>0</v>
      </c>
      <c r="F10796">
        <v>451</v>
      </c>
    </row>
    <row r="10797" spans="1:6" ht="12.75">
      <c r="A10797" s="2">
        <v>43880.497129629628</v>
      </c>
      <c r="B10797" t="str">
        <f>HYPERLINK("https://twitter.com/FARHANHLMI","@FARHANHLMI")</f>
        <v>@FARHANHLMI</v>
      </c>
      <c r="C10797" t="s">
        <v>1407</v>
      </c>
      <c r="D10797">
        <v>3117</v>
      </c>
      <c r="E10797">
        <v>0</v>
      </c>
      <c r="F10797">
        <v>282</v>
      </c>
    </row>
    <row r="10798" spans="1:6" ht="12.75">
      <c r="A10798" s="2">
        <v>43880.497106481482</v>
      </c>
      <c r="B10798" t="str">
        <f>HYPERLINK("https://twitter.com/badgaltitii","@badgaltitii")</f>
        <v>@badgaltitii</v>
      </c>
      <c r="C10798" t="s">
        <v>1407</v>
      </c>
      <c r="D10798">
        <v>3117</v>
      </c>
      <c r="E10798">
        <v>0</v>
      </c>
      <c r="F10798">
        <v>298</v>
      </c>
    </row>
    <row r="10799" spans="1:6" ht="12.75">
      <c r="A10799" s="2">
        <v>43880.497106481482</v>
      </c>
      <c r="B10799" t="str">
        <f>HYPERLINK("https://twitter.com/cikanayaa","@cikanayaa")</f>
        <v>@cikanayaa</v>
      </c>
      <c r="C10799" t="s">
        <v>1407</v>
      </c>
      <c r="D10799">
        <v>3117</v>
      </c>
      <c r="E10799">
        <v>0</v>
      </c>
      <c r="F10799">
        <v>915</v>
      </c>
    </row>
    <row r="10800" spans="1:6" ht="12.75">
      <c r="A10800" s="2">
        <v>43880.497060185182</v>
      </c>
      <c r="B10800" t="str">
        <f>HYPERLINK("https://twitter.com/_Kikoenaktau","@_Kikoenaktau")</f>
        <v>@_Kikoenaktau</v>
      </c>
      <c r="C10800" t="s">
        <v>1407</v>
      </c>
      <c r="D10800">
        <v>3117</v>
      </c>
      <c r="E10800">
        <v>0</v>
      </c>
      <c r="F10800">
        <v>101</v>
      </c>
    </row>
    <row r="10801" spans="1:6" ht="12.75">
      <c r="A10801" s="2">
        <v>43880.497037037036</v>
      </c>
      <c r="B10801" t="str">
        <f>HYPERLINK("https://twitter.com/blxckberries","@blxckberries")</f>
        <v>@blxckberries</v>
      </c>
      <c r="C10801" t="s">
        <v>1407</v>
      </c>
      <c r="D10801">
        <v>3117</v>
      </c>
      <c r="E10801">
        <v>0</v>
      </c>
      <c r="F10801">
        <v>172</v>
      </c>
    </row>
    <row r="10802" spans="1:6" ht="12.75">
      <c r="A10802" s="2">
        <v>43880.496967592597</v>
      </c>
      <c r="B10802" t="str">
        <f>HYPERLINK("https://twitter.com/Adysevenfold","@Adysevenfold")</f>
        <v>@Adysevenfold</v>
      </c>
      <c r="C10802" t="s">
        <v>1407</v>
      </c>
      <c r="D10802">
        <v>3117</v>
      </c>
      <c r="E10802">
        <v>0</v>
      </c>
      <c r="F10802">
        <v>472</v>
      </c>
    </row>
    <row r="10803" spans="1:6" ht="12.75">
      <c r="A10803" s="2">
        <v>43880.496828703705</v>
      </c>
      <c r="B10803" t="str">
        <f>HYPERLINK("https://twitter.com/fahru_fadillah","@fahru_fadillah")</f>
        <v>@fahru_fadillah</v>
      </c>
      <c r="C10803" t="s">
        <v>1407</v>
      </c>
      <c r="D10803">
        <v>3117</v>
      </c>
      <c r="E10803">
        <v>0</v>
      </c>
      <c r="F10803">
        <v>136</v>
      </c>
    </row>
    <row r="10804" spans="1:6" ht="12.75">
      <c r="A10804" s="2">
        <v>43880.496805555551</v>
      </c>
      <c r="B10804" t="str">
        <f>HYPERLINK("https://twitter.com/Udin90362152","@Udin90362152")</f>
        <v>@Udin90362152</v>
      </c>
      <c r="C10804" t="s">
        <v>6040</v>
      </c>
      <c r="D10804">
        <v>0</v>
      </c>
      <c r="E10804">
        <v>0</v>
      </c>
      <c r="F10804">
        <v>0</v>
      </c>
    </row>
    <row r="10805" spans="1:6" ht="12.75">
      <c r="A10805" s="2">
        <v>43880.496759259258</v>
      </c>
      <c r="B10805" t="str">
        <f>HYPERLINK("https://twitter.com/finerily_IX","@finerily_IX")</f>
        <v>@finerily_IX</v>
      </c>
      <c r="C10805" t="s">
        <v>2692</v>
      </c>
      <c r="D10805">
        <v>117</v>
      </c>
      <c r="E10805">
        <v>0</v>
      </c>
      <c r="F10805">
        <v>61</v>
      </c>
    </row>
    <row r="10806" spans="1:6" ht="12.75">
      <c r="A10806" s="2">
        <v>43880.496747685189</v>
      </c>
      <c r="B10806" t="str">
        <f>HYPERLINK("https://twitter.com/mudha_satriya","@mudha_satriya")</f>
        <v>@mudha_satriya</v>
      </c>
      <c r="C10806" t="s">
        <v>6041</v>
      </c>
      <c r="D10806">
        <v>4</v>
      </c>
      <c r="E10806">
        <v>0</v>
      </c>
      <c r="F10806">
        <v>1874</v>
      </c>
    </row>
    <row r="10807" spans="1:6" ht="12.75">
      <c r="A10807" s="2">
        <v>43880.496689814812</v>
      </c>
      <c r="B10807" t="str">
        <f>HYPERLINK("https://twitter.com/ptsurya","@ptsurya")</f>
        <v>@ptsurya</v>
      </c>
      <c r="C10807" t="s">
        <v>1407</v>
      </c>
      <c r="D10807">
        <v>3117</v>
      </c>
      <c r="E10807">
        <v>0</v>
      </c>
      <c r="F10807">
        <v>461</v>
      </c>
    </row>
    <row r="10808" spans="1:6" ht="12.75">
      <c r="A10808" s="2">
        <v>43880.49664351852</v>
      </c>
      <c r="B10808" t="str">
        <f>HYPERLINK("https://twitter.com/IrbahAyu_","@IrbahAyu_")</f>
        <v>@IrbahAyu_</v>
      </c>
      <c r="C10808" t="s">
        <v>1407</v>
      </c>
      <c r="D10808">
        <v>3117</v>
      </c>
      <c r="E10808">
        <v>0</v>
      </c>
      <c r="F10808">
        <v>1154</v>
      </c>
    </row>
    <row r="10809" spans="1:6" ht="12.75">
      <c r="A10809" s="2">
        <v>43880.496550925927</v>
      </c>
      <c r="B10809" t="str">
        <f>HYPERLINK("https://twitter.com/kesshobansaibou","@kesshobansaibou")</f>
        <v>@kesshobansaibou</v>
      </c>
      <c r="C10809" t="s">
        <v>1407</v>
      </c>
      <c r="D10809">
        <v>3117</v>
      </c>
      <c r="E10809">
        <v>0</v>
      </c>
      <c r="F10809">
        <v>4465</v>
      </c>
    </row>
    <row r="10810" spans="1:6" ht="12.75">
      <c r="A10810" s="2">
        <v>43880.496469907404</v>
      </c>
      <c r="B10810" t="str">
        <f>HYPERLINK("https://twitter.com/sashimiyyy","@sashimiyyy")</f>
        <v>@sashimiyyy</v>
      </c>
      <c r="C10810" t="s">
        <v>1407</v>
      </c>
      <c r="D10810">
        <v>3117</v>
      </c>
      <c r="E10810">
        <v>0</v>
      </c>
      <c r="F10810">
        <v>583</v>
      </c>
    </row>
    <row r="10811" spans="1:6" ht="12.75">
      <c r="A10811" s="2">
        <v>43880.496354166666</v>
      </c>
      <c r="B10811" t="str">
        <f>HYPERLINK("https://twitter.com/bbybiayy","@bbybiayy")</f>
        <v>@bbybiayy</v>
      </c>
      <c r="C10811" t="s">
        <v>1407</v>
      </c>
      <c r="D10811">
        <v>3117</v>
      </c>
      <c r="E10811">
        <v>0</v>
      </c>
      <c r="F10811">
        <v>5436</v>
      </c>
    </row>
    <row r="10812" spans="1:6" ht="12.75">
      <c r="A10812" s="2">
        <v>43880.496307870373</v>
      </c>
      <c r="B10812" t="str">
        <f>HYPERLINK("https://twitter.com/Ryndw_sptywn","@Ryndw_sptywn")</f>
        <v>@Ryndw_sptywn</v>
      </c>
      <c r="C10812" t="s">
        <v>1407</v>
      </c>
      <c r="D10812">
        <v>3117</v>
      </c>
      <c r="E10812">
        <v>0</v>
      </c>
      <c r="F10812">
        <v>572</v>
      </c>
    </row>
    <row r="10813" spans="1:6" ht="12.75">
      <c r="A10813" s="2">
        <v>43880.49627314815</v>
      </c>
      <c r="B10813" t="str">
        <f>HYPERLINK("https://twitter.com/Estehmadumanis","@Estehmadumanis")</f>
        <v>@Estehmadumanis</v>
      </c>
      <c r="C10813" t="s">
        <v>1407</v>
      </c>
      <c r="D10813">
        <v>3117</v>
      </c>
      <c r="E10813">
        <v>0</v>
      </c>
      <c r="F10813">
        <v>188</v>
      </c>
    </row>
    <row r="10814" spans="1:6" ht="12.75">
      <c r="A10814" s="2">
        <v>43880.496203703704</v>
      </c>
      <c r="B10814" t="str">
        <f>HYPERLINK("https://twitter.com/ndysnts","@ndysnts")</f>
        <v>@ndysnts</v>
      </c>
      <c r="C10814" t="s">
        <v>1407</v>
      </c>
      <c r="D10814">
        <v>3117</v>
      </c>
      <c r="E10814">
        <v>0</v>
      </c>
      <c r="F10814">
        <v>784</v>
      </c>
    </row>
    <row r="10815" spans="1:6" ht="12.75">
      <c r="A10815" s="2">
        <v>43880.496134259258</v>
      </c>
      <c r="B10815" t="str">
        <f>HYPERLINK("https://twitter.com/Ricky_Dr_Mwn","@Ricky_Dr_Mwn")</f>
        <v>@Ricky_Dr_Mwn</v>
      </c>
      <c r="C10815" t="s">
        <v>6042</v>
      </c>
      <c r="D10815">
        <v>0</v>
      </c>
      <c r="E10815">
        <v>0</v>
      </c>
      <c r="F10815">
        <v>276</v>
      </c>
    </row>
    <row r="10816" spans="1:6" ht="12.75">
      <c r="A10816" s="2">
        <v>43880.495995370366</v>
      </c>
      <c r="B10816" t="str">
        <f>HYPERLINK("https://twitter.com/iNadhs_","@iNadhs_")</f>
        <v>@iNadhs_</v>
      </c>
      <c r="C10816" t="s">
        <v>1407</v>
      </c>
      <c r="D10816">
        <v>3117</v>
      </c>
      <c r="E10816">
        <v>0</v>
      </c>
      <c r="F10816">
        <v>415</v>
      </c>
    </row>
    <row r="10817" spans="1:6" ht="12.75">
      <c r="A10817" s="2">
        <v>43880.495798611111</v>
      </c>
      <c r="B10817" t="str">
        <f>HYPERLINK("https://twitter.com/ashlynnnnnnnn13","@ashlynnnnnnnn13")</f>
        <v>@ashlynnnnnnnn13</v>
      </c>
      <c r="C10817" t="s">
        <v>1407</v>
      </c>
      <c r="D10817">
        <v>3117</v>
      </c>
      <c r="E10817">
        <v>0</v>
      </c>
      <c r="F10817">
        <v>272</v>
      </c>
    </row>
    <row r="10818" spans="1:6" ht="12.75">
      <c r="A10818" s="2">
        <v>43880.495787037042</v>
      </c>
      <c r="B10818" t="str">
        <f>HYPERLINK("https://twitter.com/BimataIndonesia","@BimataIndonesia")</f>
        <v>@BimataIndonesia</v>
      </c>
      <c r="C10818" t="s">
        <v>6043</v>
      </c>
      <c r="D10818">
        <v>0</v>
      </c>
      <c r="E10818">
        <v>0</v>
      </c>
      <c r="F10818">
        <v>0</v>
      </c>
    </row>
    <row r="10819" spans="1:6" ht="12.75">
      <c r="A10819" s="2">
        <v>43880.495752314819</v>
      </c>
      <c r="B10819" t="str">
        <f>HYPERLINK("https://twitter.com/beranijujur9","@beranijujur9")</f>
        <v>@beranijujur9</v>
      </c>
      <c r="C10819" t="s">
        <v>1407</v>
      </c>
      <c r="D10819">
        <v>3117</v>
      </c>
      <c r="E10819">
        <v>0</v>
      </c>
      <c r="F10819">
        <v>279</v>
      </c>
    </row>
    <row r="10820" spans="1:6" ht="12.75">
      <c r="A10820" s="2">
        <v>43880.495706018519</v>
      </c>
      <c r="B10820" t="str">
        <f>HYPERLINK("https://twitter.com/kindararitys","@kindararitys")</f>
        <v>@kindararitys</v>
      </c>
      <c r="C10820" t="s">
        <v>1407</v>
      </c>
      <c r="D10820">
        <v>3117</v>
      </c>
      <c r="E10820">
        <v>0</v>
      </c>
      <c r="F10820">
        <v>2380</v>
      </c>
    </row>
    <row r="10821" spans="1:6" ht="12.75">
      <c r="A10821" s="2">
        <v>43880.495590277773</v>
      </c>
      <c r="B10821" t="str">
        <f>HYPERLINK("https://twitter.com/revofebri","@revofebri")</f>
        <v>@revofebri</v>
      </c>
      <c r="C10821" t="s">
        <v>6044</v>
      </c>
      <c r="D10821">
        <v>0</v>
      </c>
      <c r="E10821">
        <v>0</v>
      </c>
      <c r="F10821">
        <v>622</v>
      </c>
    </row>
    <row r="10822" spans="1:6" ht="12.75">
      <c r="A10822" s="2">
        <v>43880.45993055556</v>
      </c>
      <c r="B10822" t="str">
        <f>HYPERLINK("https://twitter.com/badbois13","@badbois13")</f>
        <v>@badbois13</v>
      </c>
      <c r="C10822" t="s">
        <v>2467</v>
      </c>
      <c r="D10822">
        <v>148</v>
      </c>
      <c r="E10822">
        <v>0</v>
      </c>
      <c r="F10822">
        <v>412</v>
      </c>
    </row>
    <row r="10823" spans="1:6" ht="12.75">
      <c r="A10823" s="2">
        <v>43880.459826388891</v>
      </c>
      <c r="B10823" t="str">
        <f>HYPERLINK("https://twitter.com/azurelcz","@azurelcz")</f>
        <v>@azurelcz</v>
      </c>
      <c r="C10823" t="s">
        <v>1407</v>
      </c>
      <c r="D10823">
        <v>2629</v>
      </c>
      <c r="E10823">
        <v>0</v>
      </c>
      <c r="F10823">
        <v>340</v>
      </c>
    </row>
    <row r="10824" spans="1:6" ht="12.75">
      <c r="A10824" s="2">
        <v>43880.459814814814</v>
      </c>
      <c r="B10824" t="str">
        <f>HYPERLINK("https://twitter.com/ceritasenja_id","@ceritasenja_id")</f>
        <v>@ceritasenja_id</v>
      </c>
      <c r="C10824" t="s">
        <v>1407</v>
      </c>
      <c r="D10824">
        <v>2629</v>
      </c>
      <c r="E10824">
        <v>0</v>
      </c>
      <c r="F10824">
        <v>20</v>
      </c>
    </row>
    <row r="10825" spans="1:6" ht="12.75">
      <c r="A10825" s="2">
        <v>43880.459756944445</v>
      </c>
      <c r="B10825" t="str">
        <f>HYPERLINK("https://twitter.com/RavikaRamadhani","@RavikaRamadhani")</f>
        <v>@RavikaRamadhani</v>
      </c>
      <c r="C10825" t="s">
        <v>1407</v>
      </c>
      <c r="D10825">
        <v>2629</v>
      </c>
      <c r="E10825">
        <v>0</v>
      </c>
      <c r="F10825">
        <v>75</v>
      </c>
    </row>
    <row r="10826" spans="1:6" ht="12.75">
      <c r="A10826" s="2">
        <v>43880.459710648152</v>
      </c>
      <c r="B10826" t="str">
        <f>HYPERLINK("https://twitter.com/paybuma6","@paybuma6")</f>
        <v>@paybuma6</v>
      </c>
      <c r="C10826" t="s">
        <v>6045</v>
      </c>
      <c r="D10826">
        <v>14</v>
      </c>
      <c r="E10826">
        <v>0</v>
      </c>
      <c r="F10826">
        <v>690</v>
      </c>
    </row>
    <row r="10827" spans="1:6" ht="12.75">
      <c r="A10827" s="2">
        <v>43880.459699074076</v>
      </c>
      <c r="B10827" t="str">
        <f>HYPERLINK("https://twitter.com/faarnaf","@faarnaf")</f>
        <v>@faarnaf</v>
      </c>
      <c r="C10827" t="s">
        <v>1407</v>
      </c>
      <c r="D10827">
        <v>2629</v>
      </c>
      <c r="E10827">
        <v>0</v>
      </c>
      <c r="F10827">
        <v>2890</v>
      </c>
    </row>
    <row r="10828" spans="1:6" ht="12.75">
      <c r="A10828" s="2">
        <v>43880.459664351853</v>
      </c>
      <c r="B10828" t="str">
        <f>HYPERLINK("https://twitter.com/BillTemporo","@BillTemporo")</f>
        <v>@BillTemporo</v>
      </c>
      <c r="C10828" t="s">
        <v>889</v>
      </c>
      <c r="D10828">
        <v>0</v>
      </c>
      <c r="E10828">
        <v>0</v>
      </c>
      <c r="F10828">
        <v>11</v>
      </c>
    </row>
    <row r="10829" spans="1:6" ht="12.75">
      <c r="A10829" s="2">
        <v>43880.459560185191</v>
      </c>
      <c r="B10829" t="str">
        <f>HYPERLINK("https://twitter.com/menangese","@menangese")</f>
        <v>@menangese</v>
      </c>
      <c r="C10829" t="s">
        <v>1407</v>
      </c>
      <c r="D10829">
        <v>2629</v>
      </c>
      <c r="E10829">
        <v>0</v>
      </c>
      <c r="F10829">
        <v>586</v>
      </c>
    </row>
    <row r="10830" spans="1:6" ht="12.75">
      <c r="A10830" s="2">
        <v>43880.459513888884</v>
      </c>
      <c r="B10830" t="str">
        <f>HYPERLINK("https://twitter.com/zidzidniii","@zidzidniii")</f>
        <v>@zidzidniii</v>
      </c>
      <c r="C10830" t="s">
        <v>1407</v>
      </c>
      <c r="D10830">
        <v>2629</v>
      </c>
      <c r="E10830">
        <v>0</v>
      </c>
      <c r="F10830">
        <v>245</v>
      </c>
    </row>
    <row r="10831" spans="1:6" ht="12.75">
      <c r="A10831" s="2">
        <v>43880.459374999999</v>
      </c>
      <c r="B10831" t="str">
        <f>HYPERLINK("https://twitter.com/Jecilas","@Jecilas")</f>
        <v>@Jecilas</v>
      </c>
      <c r="C10831" t="s">
        <v>2509</v>
      </c>
      <c r="D10831">
        <v>9</v>
      </c>
      <c r="E10831">
        <v>0</v>
      </c>
      <c r="F10831">
        <v>2061</v>
      </c>
    </row>
    <row r="10832" spans="1:6" ht="12.75">
      <c r="A10832" s="2">
        <v>43880.459363425922</v>
      </c>
      <c r="B10832" t="str">
        <f>HYPERLINK("https://twitter.com/825sides","@825sides")</f>
        <v>@825sides</v>
      </c>
      <c r="C10832" t="s">
        <v>1407</v>
      </c>
      <c r="D10832">
        <v>2629</v>
      </c>
      <c r="E10832">
        <v>0</v>
      </c>
      <c r="F10832">
        <v>172</v>
      </c>
    </row>
    <row r="10833" spans="1:6" ht="12.75">
      <c r="A10833" s="2">
        <v>43880.459351851852</v>
      </c>
      <c r="B10833" t="str">
        <f>HYPERLINK("https://twitter.com/falsegoddd","@falsegoddd")</f>
        <v>@falsegoddd</v>
      </c>
      <c r="C10833" t="s">
        <v>1407</v>
      </c>
      <c r="D10833">
        <v>2629</v>
      </c>
      <c r="E10833">
        <v>0</v>
      </c>
      <c r="F10833">
        <v>90</v>
      </c>
    </row>
    <row r="10834" spans="1:6" ht="12.75">
      <c r="A10834" s="2">
        <v>43880.459340277783</v>
      </c>
      <c r="B10834" t="str">
        <f>HYPERLINK("https://twitter.com/Mrdnsyah","@Mrdnsyah")</f>
        <v>@Mrdnsyah</v>
      </c>
      <c r="C10834" t="s">
        <v>1407</v>
      </c>
      <c r="D10834">
        <v>2629</v>
      </c>
      <c r="E10834">
        <v>0</v>
      </c>
      <c r="F10834">
        <v>227</v>
      </c>
    </row>
    <row r="10835" spans="1:6" ht="12.75">
      <c r="A10835" s="2">
        <v>43880.459328703699</v>
      </c>
      <c r="B10835" t="str">
        <f>HYPERLINK("https://twitter.com/nahimunkarcom","@nahimunkarcom")</f>
        <v>@nahimunkarcom</v>
      </c>
      <c r="C10835" t="s">
        <v>6046</v>
      </c>
      <c r="D10835">
        <v>0</v>
      </c>
      <c r="E10835">
        <v>0</v>
      </c>
      <c r="F10835">
        <v>3879</v>
      </c>
    </row>
    <row r="10836" spans="1:6" ht="12.75">
      <c r="A10836" s="2">
        <v>43880.45925925926</v>
      </c>
      <c r="B10836" t="str">
        <f>HYPERLINK("https://twitter.com/raejihan","@raejihan")</f>
        <v>@raejihan</v>
      </c>
      <c r="C10836" t="s">
        <v>1407</v>
      </c>
      <c r="D10836">
        <v>2629</v>
      </c>
      <c r="E10836">
        <v>0</v>
      </c>
      <c r="F10836">
        <v>69</v>
      </c>
    </row>
    <row r="10837" spans="1:6" ht="12.75">
      <c r="A10837" s="2">
        <v>43880.459224537037</v>
      </c>
      <c r="B10837" t="str">
        <f>HYPERLINK("https://twitter.com/heyraaraa","@heyraaraa")</f>
        <v>@heyraaraa</v>
      </c>
      <c r="C10837" t="s">
        <v>1407</v>
      </c>
      <c r="D10837">
        <v>2629</v>
      </c>
      <c r="E10837">
        <v>0</v>
      </c>
      <c r="F10837">
        <v>21538</v>
      </c>
    </row>
    <row r="10838" spans="1:6" ht="12.75">
      <c r="A10838" s="2">
        <v>43880.459178240737</v>
      </c>
      <c r="B10838" t="str">
        <f>HYPERLINK("https://twitter.com/savrvs","@savrvs")</f>
        <v>@savrvs</v>
      </c>
      <c r="C10838" t="s">
        <v>1407</v>
      </c>
      <c r="D10838">
        <v>2629</v>
      </c>
      <c r="E10838">
        <v>0</v>
      </c>
      <c r="F10838">
        <v>74</v>
      </c>
    </row>
    <row r="10839" spans="1:6" ht="12.75">
      <c r="A10839" s="2">
        <v>43880.459143518514</v>
      </c>
      <c r="B10839" t="str">
        <f>HYPERLINK("https://twitter.com/cutiescatsss","@cutiescatsss")</f>
        <v>@cutiescatsss</v>
      </c>
      <c r="C10839" t="s">
        <v>1407</v>
      </c>
      <c r="D10839">
        <v>2629</v>
      </c>
      <c r="E10839">
        <v>0</v>
      </c>
      <c r="F10839">
        <v>553</v>
      </c>
    </row>
    <row r="10840" spans="1:6" ht="12.75">
      <c r="A10840" s="2">
        <v>43880.459131944444</v>
      </c>
      <c r="B10840" t="str">
        <f>HYPERLINK("https://twitter.com/AcengAngki","@AcengAngki")</f>
        <v>@AcengAngki</v>
      </c>
      <c r="C10840" t="s">
        <v>5986</v>
      </c>
      <c r="D10840">
        <v>6</v>
      </c>
      <c r="E10840">
        <v>0</v>
      </c>
      <c r="F10840">
        <v>229</v>
      </c>
    </row>
    <row r="10841" spans="1:6" ht="12.75">
      <c r="A10841" s="2">
        <v>43880.459097222221</v>
      </c>
      <c r="B10841" t="str">
        <f>HYPERLINK("https://twitter.com/jaeminrespirate","@jaeminrespirate")</f>
        <v>@jaeminrespirate</v>
      </c>
      <c r="C10841" t="s">
        <v>1407</v>
      </c>
      <c r="D10841">
        <v>2629</v>
      </c>
      <c r="E10841">
        <v>0</v>
      </c>
      <c r="F10841">
        <v>1565</v>
      </c>
    </row>
    <row r="10842" spans="1:6" ht="12.75">
      <c r="A10842" s="2">
        <v>43880.459004629629</v>
      </c>
      <c r="B10842" t="str">
        <f>HYPERLINK("https://twitter.com/sbilaanindya","@sbilaanindya")</f>
        <v>@sbilaanindya</v>
      </c>
      <c r="C10842" t="s">
        <v>1407</v>
      </c>
      <c r="D10842">
        <v>2629</v>
      </c>
      <c r="E10842">
        <v>0</v>
      </c>
      <c r="F10842">
        <v>955</v>
      </c>
    </row>
    <row r="10843" spans="1:6" ht="12.75">
      <c r="A10843" s="2">
        <v>43880.458969907406</v>
      </c>
      <c r="B10843" t="str">
        <f>HYPERLINK("https://twitter.com/tyo_RICUH","@tyo_RICUH")</f>
        <v>@tyo_RICUH</v>
      </c>
      <c r="C10843" t="s">
        <v>1407</v>
      </c>
      <c r="D10843">
        <v>2629</v>
      </c>
      <c r="E10843">
        <v>0</v>
      </c>
      <c r="F10843">
        <v>523</v>
      </c>
    </row>
    <row r="10844" spans="1:6" ht="12.75">
      <c r="A10844" s="2">
        <v>43880.458912037036</v>
      </c>
      <c r="B10844" t="str">
        <f>HYPERLINK("https://twitter.com/SaraShafira","@SaraShafira")</f>
        <v>@SaraShafira</v>
      </c>
      <c r="C10844" t="s">
        <v>1407</v>
      </c>
      <c r="D10844">
        <v>2629</v>
      </c>
      <c r="E10844">
        <v>0</v>
      </c>
      <c r="F10844">
        <v>1373</v>
      </c>
    </row>
    <row r="10845" spans="1:6" ht="12.75">
      <c r="A10845" s="2">
        <v>43880.458796296298</v>
      </c>
      <c r="B10845" t="str">
        <f>HYPERLINK("https://twitter.com/tribuntimur","@tribuntimur")</f>
        <v>@tribuntimur</v>
      </c>
      <c r="C10845" t="s">
        <v>6047</v>
      </c>
      <c r="D10845">
        <v>0</v>
      </c>
      <c r="E10845">
        <v>0</v>
      </c>
      <c r="F10845">
        <v>177892</v>
      </c>
    </row>
    <row r="10846" spans="1:6" ht="12.75">
      <c r="A10846" s="2">
        <v>43880.458657407406</v>
      </c>
      <c r="B10846" t="str">
        <f>HYPERLINK("https://twitter.com/Vikawaiiiiiiiii","@Vikawaiiiiiiiii")</f>
        <v>@Vikawaiiiiiiiii</v>
      </c>
      <c r="C10846" t="s">
        <v>1407</v>
      </c>
      <c r="D10846">
        <v>2629</v>
      </c>
      <c r="E10846">
        <v>0</v>
      </c>
      <c r="F10846">
        <v>301</v>
      </c>
    </row>
    <row r="10847" spans="1:6" ht="12.75">
      <c r="A10847" s="2">
        <v>43880.45857638889</v>
      </c>
      <c r="B10847" t="str">
        <f>HYPERLINK("https://twitter.com/ndodiyah","@ndodiyah")</f>
        <v>@ndodiyah</v>
      </c>
      <c r="C10847" t="s">
        <v>1407</v>
      </c>
      <c r="D10847">
        <v>2629</v>
      </c>
      <c r="E10847">
        <v>0</v>
      </c>
      <c r="F10847">
        <v>489</v>
      </c>
    </row>
    <row r="10848" spans="1:6" ht="12.75">
      <c r="A10848" s="2">
        <v>43880.458449074074</v>
      </c>
      <c r="B10848" t="str">
        <f>HYPERLINK("https://twitter.com/sleplesnait","@sleplesnait")</f>
        <v>@sleplesnait</v>
      </c>
      <c r="C10848" t="s">
        <v>1407</v>
      </c>
      <c r="D10848">
        <v>2629</v>
      </c>
      <c r="E10848">
        <v>0</v>
      </c>
      <c r="F10848">
        <v>559</v>
      </c>
    </row>
    <row r="10849" spans="1:6" ht="12.75">
      <c r="A10849" s="2">
        <v>43880.458449074074</v>
      </c>
      <c r="B10849" t="str">
        <f>HYPERLINK("https://twitter.com/brainwasherrrrr","@brainwasherrrrr")</f>
        <v>@brainwasherrrrr</v>
      </c>
      <c r="C10849" t="s">
        <v>1407</v>
      </c>
      <c r="D10849">
        <v>2629</v>
      </c>
      <c r="E10849">
        <v>0</v>
      </c>
      <c r="F10849">
        <v>411</v>
      </c>
    </row>
    <row r="10850" spans="1:6" ht="12.75">
      <c r="A10850" s="2">
        <v>43880.458414351851</v>
      </c>
      <c r="B10850" t="str">
        <f>HYPERLINK("https://twitter.com/umam_chaerul","@umam_chaerul")</f>
        <v>@umam_chaerul</v>
      </c>
      <c r="C10850" t="s">
        <v>5979</v>
      </c>
      <c r="D10850">
        <v>10</v>
      </c>
      <c r="E10850">
        <v>0</v>
      </c>
      <c r="F10850">
        <v>2875</v>
      </c>
    </row>
    <row r="10851" spans="1:6" ht="12.75">
      <c r="A10851" s="2">
        <v>43880.458414351851</v>
      </c>
      <c r="B10851" t="str">
        <f>HYPERLINK("https://twitter.com/TukangNy1ny1r","@TukangNy1ny1r")</f>
        <v>@TukangNy1ny1r</v>
      </c>
      <c r="C10851" t="s">
        <v>6048</v>
      </c>
      <c r="D10851">
        <v>0</v>
      </c>
      <c r="E10851">
        <v>0</v>
      </c>
      <c r="F10851">
        <v>76</v>
      </c>
    </row>
    <row r="10852" spans="1:6" ht="12.75">
      <c r="A10852" s="2">
        <v>43880.458333333328</v>
      </c>
      <c r="B10852" t="str">
        <f>HYPERLINK("https://twitter.com/poeticwitxh","@poeticwitxh")</f>
        <v>@poeticwitxh</v>
      </c>
      <c r="C10852" t="s">
        <v>1407</v>
      </c>
      <c r="D10852">
        <v>2629</v>
      </c>
      <c r="E10852">
        <v>0</v>
      </c>
      <c r="F10852">
        <v>1132</v>
      </c>
    </row>
    <row r="10853" spans="1:6" ht="12.75">
      <c r="A10853" s="2">
        <v>43880.458275462966</v>
      </c>
      <c r="B10853" t="str">
        <f>HYPERLINK("https://twitter.com/VinaEska","@VinaEska")</f>
        <v>@VinaEska</v>
      </c>
      <c r="C10853" t="s">
        <v>1407</v>
      </c>
      <c r="D10853">
        <v>2629</v>
      </c>
      <c r="E10853">
        <v>0</v>
      </c>
      <c r="F10853">
        <v>839</v>
      </c>
    </row>
    <row r="10854" spans="1:6" ht="12.75">
      <c r="A10854" s="2">
        <v>43880.45826388889</v>
      </c>
      <c r="B10854" t="str">
        <f>HYPERLINK("https://twitter.com/StrawBeeze","@StrawBeeze")</f>
        <v>@StrawBeeze</v>
      </c>
      <c r="C10854" t="s">
        <v>6049</v>
      </c>
      <c r="D10854">
        <v>0</v>
      </c>
      <c r="E10854">
        <v>1</v>
      </c>
      <c r="F10854">
        <v>1165</v>
      </c>
    </row>
    <row r="10855" spans="1:6" ht="12.75">
      <c r="A10855" s="2">
        <v>43880.458252314813</v>
      </c>
      <c r="B10855" t="str">
        <f>HYPERLINK("https://twitter.com/hiperbilirubin","@hiperbilirubin")</f>
        <v>@hiperbilirubin</v>
      </c>
      <c r="C10855" t="s">
        <v>1407</v>
      </c>
      <c r="D10855">
        <v>2629</v>
      </c>
      <c r="E10855">
        <v>0</v>
      </c>
      <c r="F10855">
        <v>19</v>
      </c>
    </row>
    <row r="10856" spans="1:6" ht="12.75">
      <c r="A10856" s="2">
        <v>43880.458067129628</v>
      </c>
      <c r="B10856" t="str">
        <f>HYPERLINK("https://twitter.com/Wansderland","@Wansderland")</f>
        <v>@Wansderland</v>
      </c>
      <c r="C10856" t="s">
        <v>1407</v>
      </c>
      <c r="D10856">
        <v>2629</v>
      </c>
      <c r="E10856">
        <v>0</v>
      </c>
      <c r="F10856">
        <v>1140</v>
      </c>
    </row>
    <row r="10857" spans="1:6" ht="12.75">
      <c r="A10857" s="2">
        <v>43880.458020833335</v>
      </c>
      <c r="B10857" t="str">
        <f>HYPERLINK("https://twitter.com/Artullah","@Artullah")</f>
        <v>@Artullah</v>
      </c>
      <c r="C10857" t="s">
        <v>1407</v>
      </c>
      <c r="D10857">
        <v>2629</v>
      </c>
      <c r="E10857">
        <v>0</v>
      </c>
      <c r="F10857">
        <v>192</v>
      </c>
    </row>
    <row r="10858" spans="1:6" ht="12.75">
      <c r="A10858" s="2">
        <v>43880.457997685182</v>
      </c>
      <c r="B10858" t="str">
        <f>HYPERLINK("https://twitter.com/xayyyubi","@xayyyubi")</f>
        <v>@xayyyubi</v>
      </c>
      <c r="C10858" t="s">
        <v>6050</v>
      </c>
      <c r="D10858">
        <v>9</v>
      </c>
      <c r="E10858">
        <v>0</v>
      </c>
      <c r="F10858">
        <v>408</v>
      </c>
    </row>
    <row r="10859" spans="1:6" ht="12.75">
      <c r="A10859" s="2">
        <v>43880.457997685182</v>
      </c>
      <c r="B10859" t="str">
        <f>HYPERLINK("https://twitter.com/Shxxcii","@Shxxcii")</f>
        <v>@Shxxcii</v>
      </c>
      <c r="C10859" t="s">
        <v>1407</v>
      </c>
      <c r="D10859">
        <v>2629</v>
      </c>
      <c r="E10859">
        <v>0</v>
      </c>
      <c r="F10859">
        <v>23</v>
      </c>
    </row>
    <row r="10860" spans="1:6" ht="12.75">
      <c r="A10860" s="2">
        <v>43880.457905092597</v>
      </c>
      <c r="B10860" t="str">
        <f>HYPERLINK("https://twitter.com/nfgtaa","@nfgtaa")</f>
        <v>@nfgtaa</v>
      </c>
      <c r="C10860" t="s">
        <v>1407</v>
      </c>
      <c r="D10860">
        <v>2629</v>
      </c>
      <c r="E10860">
        <v>0</v>
      </c>
      <c r="F10860">
        <v>660</v>
      </c>
    </row>
    <row r="10861" spans="1:6" ht="12.75">
      <c r="A10861" s="2">
        <v>43880.457430555558</v>
      </c>
      <c r="B10861" t="str">
        <f>HYPERLINK("https://twitter.com/detasyafiraa","@detasyafiraa")</f>
        <v>@detasyafiraa</v>
      </c>
      <c r="C10861" t="s">
        <v>1407</v>
      </c>
      <c r="D10861">
        <v>2629</v>
      </c>
      <c r="E10861">
        <v>0</v>
      </c>
      <c r="F10861">
        <v>532</v>
      </c>
    </row>
    <row r="10862" spans="1:6" ht="12.75">
      <c r="A10862" s="2">
        <v>43880.457407407404</v>
      </c>
      <c r="B10862" t="str">
        <f>HYPERLINK("https://twitter.com/fahmilubab","@fahmilubab")</f>
        <v>@fahmilubab</v>
      </c>
      <c r="C10862" t="s">
        <v>1407</v>
      </c>
      <c r="D10862">
        <v>2629</v>
      </c>
      <c r="E10862">
        <v>0</v>
      </c>
      <c r="F10862">
        <v>318</v>
      </c>
    </row>
    <row r="10863" spans="1:6" ht="12.75">
      <c r="A10863" s="2">
        <v>43880.457349537042</v>
      </c>
      <c r="B10863" t="str">
        <f>HYPERLINK("https://twitter.com/indrianaa121","@indrianaa121")</f>
        <v>@indrianaa121</v>
      </c>
      <c r="C10863" t="s">
        <v>6051</v>
      </c>
      <c r="D10863">
        <v>1</v>
      </c>
      <c r="E10863">
        <v>0</v>
      </c>
      <c r="F10863">
        <v>256</v>
      </c>
    </row>
    <row r="10864" spans="1:6" ht="12.75">
      <c r="A10864" s="2">
        <v>43880.457337962958</v>
      </c>
      <c r="B10864" t="str">
        <f>HYPERLINK("https://twitter.com/PenikmatLibur","@PenikmatLibur")</f>
        <v>@PenikmatLibur</v>
      </c>
      <c r="C10864" t="s">
        <v>1407</v>
      </c>
      <c r="D10864">
        <v>2629</v>
      </c>
      <c r="E10864">
        <v>0</v>
      </c>
      <c r="F10864">
        <v>788</v>
      </c>
    </row>
    <row r="10865" spans="1:6" ht="12.75">
      <c r="A10865" s="2">
        <v>43880.457326388889</v>
      </c>
      <c r="B10865" t="str">
        <f>HYPERLINK("https://twitter.com/NadilaRizky22","@NadilaRizky22")</f>
        <v>@NadilaRizky22</v>
      </c>
      <c r="C10865" t="s">
        <v>1407</v>
      </c>
      <c r="D10865">
        <v>2629</v>
      </c>
      <c r="E10865">
        <v>0</v>
      </c>
      <c r="F10865">
        <v>554</v>
      </c>
    </row>
    <row r="10866" spans="1:6" ht="12.75">
      <c r="A10866" s="2">
        <v>43880.457256944443</v>
      </c>
      <c r="B10866" t="str">
        <f>HYPERLINK("https://twitter.com/audityasari_","@audityasari_")</f>
        <v>@audityasari_</v>
      </c>
      <c r="C10866" t="s">
        <v>6052</v>
      </c>
      <c r="D10866">
        <v>79</v>
      </c>
      <c r="E10866">
        <v>0</v>
      </c>
      <c r="F10866">
        <v>842</v>
      </c>
    </row>
    <row r="10867" spans="1:6" ht="12.75">
      <c r="A10867" s="2">
        <v>43880.457233796296</v>
      </c>
      <c r="B10867" t="str">
        <f>HYPERLINK("https://twitter.com/cinderellanna","@cinderellanna")</f>
        <v>@cinderellanna</v>
      </c>
      <c r="C10867" t="s">
        <v>1407</v>
      </c>
      <c r="D10867">
        <v>2629</v>
      </c>
      <c r="E10867">
        <v>0</v>
      </c>
      <c r="F10867">
        <v>575</v>
      </c>
    </row>
    <row r="10868" spans="1:6" ht="12.75">
      <c r="A10868" s="2">
        <v>43880.45716435185</v>
      </c>
      <c r="B10868" t="str">
        <f>HYPERLINK("https://twitter.com/keziasapulete","@keziasapulete")</f>
        <v>@keziasapulete</v>
      </c>
      <c r="C10868" t="s">
        <v>1920</v>
      </c>
      <c r="D10868">
        <v>221</v>
      </c>
      <c r="E10868">
        <v>0</v>
      </c>
      <c r="F10868">
        <v>640</v>
      </c>
    </row>
    <row r="10869" spans="1:6" ht="12.75">
      <c r="A10869" s="2">
        <v>43880.457106481481</v>
      </c>
      <c r="B10869" t="str">
        <f>HYPERLINK("https://twitter.com/chatimeyuk","@chatimeyuk")</f>
        <v>@chatimeyuk</v>
      </c>
      <c r="C10869" t="s">
        <v>1407</v>
      </c>
      <c r="D10869">
        <v>2629</v>
      </c>
      <c r="E10869">
        <v>0</v>
      </c>
      <c r="F10869">
        <v>550</v>
      </c>
    </row>
    <row r="10870" spans="1:6" ht="12.75">
      <c r="A10870" s="2">
        <v>43880.457071759258</v>
      </c>
      <c r="B10870" t="str">
        <f>HYPERLINK("https://twitter.com/DhenAbie","@DhenAbie")</f>
        <v>@DhenAbie</v>
      </c>
      <c r="C10870" t="s">
        <v>4415</v>
      </c>
      <c r="D10870">
        <v>72</v>
      </c>
      <c r="E10870">
        <v>0</v>
      </c>
      <c r="F10870">
        <v>180</v>
      </c>
    </row>
    <row r="10871" spans="1:6" ht="12.75">
      <c r="A10871" s="2">
        <v>43880.457013888888</v>
      </c>
      <c r="B10871" t="str">
        <f>HYPERLINK("https://twitter.com/bungalbadri","@bungalbadri")</f>
        <v>@bungalbadri</v>
      </c>
      <c r="C10871" t="s">
        <v>2467</v>
      </c>
      <c r="D10871">
        <v>148</v>
      </c>
      <c r="E10871">
        <v>0</v>
      </c>
      <c r="F10871">
        <v>457</v>
      </c>
    </row>
    <row r="10872" spans="1:6" ht="12.75">
      <c r="A10872" s="2">
        <v>43880.456909722227</v>
      </c>
      <c r="B10872" t="str">
        <f>HYPERLINK("https://twitter.com/orangilang_","@orangilang_")</f>
        <v>@orangilang_</v>
      </c>
      <c r="C10872" t="s">
        <v>1407</v>
      </c>
      <c r="D10872">
        <v>2629</v>
      </c>
      <c r="E10872">
        <v>0</v>
      </c>
      <c r="F10872">
        <v>431</v>
      </c>
    </row>
    <row r="10873" spans="1:6" ht="12.75">
      <c r="A10873" s="2">
        <v>43880.456875000003</v>
      </c>
      <c r="B10873" t="str">
        <f>HYPERLINK("https://twitter.com/bucink0kumi","@bucink0kumi")</f>
        <v>@bucink0kumi</v>
      </c>
      <c r="C10873" t="s">
        <v>1407</v>
      </c>
      <c r="D10873">
        <v>2629</v>
      </c>
      <c r="E10873">
        <v>0</v>
      </c>
      <c r="F10873">
        <v>1200</v>
      </c>
    </row>
    <row r="10874" spans="1:6" ht="12.75">
      <c r="A10874" s="2">
        <v>43880.456817129627</v>
      </c>
      <c r="B10874" t="str">
        <f>HYPERLINK("https://twitter.com/chatimeyuk","@chatimeyuk")</f>
        <v>@chatimeyuk</v>
      </c>
      <c r="C10874" t="s">
        <v>2183</v>
      </c>
      <c r="D10874">
        <v>22</v>
      </c>
      <c r="E10874">
        <v>0</v>
      </c>
      <c r="F10874">
        <v>550</v>
      </c>
    </row>
    <row r="10875" spans="1:6" ht="12.75">
      <c r="A10875" s="2">
        <v>43880.456817129627</v>
      </c>
      <c r="B10875" t="str">
        <f>HYPERLINK("https://twitter.com/awfazrin","@awfazrin")</f>
        <v>@awfazrin</v>
      </c>
      <c r="C10875" t="s">
        <v>6053</v>
      </c>
      <c r="D10875">
        <v>0</v>
      </c>
      <c r="E10875">
        <v>0</v>
      </c>
      <c r="F10875">
        <v>137</v>
      </c>
    </row>
    <row r="10876" spans="1:6" ht="12.75">
      <c r="A10876" s="2">
        <v>43880.456805555557</v>
      </c>
      <c r="B10876" t="str">
        <f>HYPERLINK("https://twitter.com/chatimeyuk","@chatimeyuk")</f>
        <v>@chatimeyuk</v>
      </c>
      <c r="C10876" t="s">
        <v>2467</v>
      </c>
      <c r="D10876">
        <v>148</v>
      </c>
      <c r="E10876">
        <v>0</v>
      </c>
      <c r="F10876">
        <v>550</v>
      </c>
    </row>
    <row r="10877" spans="1:6" ht="12.75">
      <c r="A10877" s="2">
        <v>43880.456747685181</v>
      </c>
      <c r="B10877" t="str">
        <f>HYPERLINK("https://twitter.com/aierffandy_new","@aierffandy_new")</f>
        <v>@aierffandy_new</v>
      </c>
      <c r="C10877" t="s">
        <v>1407</v>
      </c>
      <c r="D10877">
        <v>2629</v>
      </c>
      <c r="E10877">
        <v>0</v>
      </c>
      <c r="F10877">
        <v>430</v>
      </c>
    </row>
    <row r="10878" spans="1:6" ht="12.75">
      <c r="A10878" s="2">
        <v>43880.456724537042</v>
      </c>
      <c r="B10878" t="str">
        <f>HYPERLINK("https://twitter.com/BukanPegawaiJP","@BukanPegawaiJP")</f>
        <v>@BukanPegawaiJP</v>
      </c>
      <c r="C10878" t="s">
        <v>1407</v>
      </c>
      <c r="D10878">
        <v>2629</v>
      </c>
      <c r="E10878">
        <v>0</v>
      </c>
      <c r="F10878">
        <v>1669</v>
      </c>
    </row>
    <row r="10879" spans="1:6" ht="12.75">
      <c r="A10879" s="2">
        <v>43880.456608796296</v>
      </c>
      <c r="B10879" t="str">
        <f>HYPERLINK("https://twitter.com/JoshuaGinting","@JoshuaGinting")</f>
        <v>@JoshuaGinting</v>
      </c>
      <c r="C10879" t="s">
        <v>1407</v>
      </c>
      <c r="D10879">
        <v>2629</v>
      </c>
      <c r="E10879">
        <v>0</v>
      </c>
      <c r="F10879">
        <v>81</v>
      </c>
    </row>
    <row r="10880" spans="1:6" ht="12.75">
      <c r="A10880" s="2">
        <v>43880.45648148148</v>
      </c>
      <c r="B10880" t="str">
        <f>HYPERLINK("https://twitter.com/thedumbant","@thedumbant")</f>
        <v>@thedumbant</v>
      </c>
      <c r="C10880" t="s">
        <v>1407</v>
      </c>
      <c r="D10880">
        <v>2629</v>
      </c>
      <c r="E10880">
        <v>0</v>
      </c>
      <c r="F10880">
        <v>59</v>
      </c>
    </row>
    <row r="10881" spans="1:6" ht="12.75">
      <c r="A10881" s="2">
        <v>43880.456388888888</v>
      </c>
      <c r="B10881" t="str">
        <f>HYPERLINK("https://twitter.com/hgfocsahyla","@hgfocsahyla")</f>
        <v>@hgfocsahyla</v>
      </c>
      <c r="C10881" t="s">
        <v>1407</v>
      </c>
      <c r="D10881">
        <v>2629</v>
      </c>
      <c r="E10881">
        <v>0</v>
      </c>
      <c r="F10881">
        <v>1508</v>
      </c>
    </row>
    <row r="10882" spans="1:6" ht="12.75">
      <c r="A10882" s="2">
        <v>43880.456377314811</v>
      </c>
      <c r="B10882" t="str">
        <f>HYPERLINK("https://twitter.com/MuhammadNauufal","@MuhammadNauufal")</f>
        <v>@MuhammadNauufal</v>
      </c>
      <c r="C10882" t="s">
        <v>1407</v>
      </c>
      <c r="D10882">
        <v>2629</v>
      </c>
      <c r="E10882">
        <v>0</v>
      </c>
      <c r="F10882">
        <v>606</v>
      </c>
    </row>
    <row r="10883" spans="1:6" ht="12.75">
      <c r="A10883" s="2">
        <v>43880.456319444449</v>
      </c>
      <c r="B10883" t="str">
        <f>HYPERLINK("https://twitter.com/uraysaskia","@uraysaskia")</f>
        <v>@uraysaskia</v>
      </c>
      <c r="C10883" t="s">
        <v>6032</v>
      </c>
      <c r="D10883">
        <v>891</v>
      </c>
      <c r="E10883">
        <v>0</v>
      </c>
      <c r="F10883">
        <v>580</v>
      </c>
    </row>
    <row r="10884" spans="1:6" ht="12.75">
      <c r="A10884" s="2">
        <v>43880.456192129626</v>
      </c>
      <c r="B10884" t="str">
        <f>HYPERLINK("https://twitter.com/ditaikaputeri","@ditaikaputeri")</f>
        <v>@ditaikaputeri</v>
      </c>
      <c r="C10884" t="s">
        <v>1407</v>
      </c>
      <c r="D10884">
        <v>2629</v>
      </c>
      <c r="E10884">
        <v>0</v>
      </c>
      <c r="F10884">
        <v>239</v>
      </c>
    </row>
    <row r="10885" spans="1:6" ht="12.75">
      <c r="A10885" s="2">
        <v>43880.456076388888</v>
      </c>
      <c r="B10885" t="str">
        <f>HYPERLINK("https://twitter.com/bucyinpentol","@bucyinpentol")</f>
        <v>@bucyinpentol</v>
      </c>
      <c r="C10885" t="s">
        <v>1407</v>
      </c>
      <c r="D10885">
        <v>2629</v>
      </c>
      <c r="E10885">
        <v>0</v>
      </c>
      <c r="F10885">
        <v>584</v>
      </c>
    </row>
    <row r="10886" spans="1:6" ht="12.75">
      <c r="A10886" s="2">
        <v>43880.456064814818</v>
      </c>
      <c r="B10886" t="str">
        <f>HYPERLINK("https://twitter.com/dikkybulin","@dikkybulin")</f>
        <v>@dikkybulin</v>
      </c>
      <c r="C10886" t="s">
        <v>1407</v>
      </c>
      <c r="D10886">
        <v>2629</v>
      </c>
      <c r="E10886">
        <v>0</v>
      </c>
      <c r="F10886">
        <v>342</v>
      </c>
    </row>
    <row r="10887" spans="1:6" ht="12.75">
      <c r="A10887" s="2">
        <v>43880.455983796295</v>
      </c>
      <c r="B10887" t="str">
        <f t="shared" ref="B10887:B10888" si="200">HYPERLINK("https://twitter.com/imlikeT_T","@imlikeT_T")</f>
        <v>@imlikeT_T</v>
      </c>
      <c r="C10887" t="s">
        <v>2467</v>
      </c>
      <c r="D10887">
        <v>148</v>
      </c>
      <c r="E10887">
        <v>0</v>
      </c>
      <c r="F10887">
        <v>1133</v>
      </c>
    </row>
    <row r="10888" spans="1:6" ht="12.75">
      <c r="A10888" s="2">
        <v>43880.455949074079</v>
      </c>
      <c r="B10888" t="str">
        <f t="shared" si="200"/>
        <v>@imlikeT_T</v>
      </c>
      <c r="C10888" t="s">
        <v>1407</v>
      </c>
      <c r="D10888">
        <v>2629</v>
      </c>
      <c r="E10888">
        <v>0</v>
      </c>
      <c r="F10888">
        <v>1133</v>
      </c>
    </row>
    <row r="10889" spans="1:6" ht="12.75">
      <c r="A10889" s="2">
        <v>43880.455925925926</v>
      </c>
      <c r="B10889" t="str">
        <f>HYPERLINK("https://twitter.com/awfaaaaa","@awfaaaaa")</f>
        <v>@awfaaaaa</v>
      </c>
      <c r="C10889" t="s">
        <v>2467</v>
      </c>
      <c r="D10889">
        <v>148</v>
      </c>
      <c r="E10889">
        <v>0</v>
      </c>
      <c r="F10889">
        <v>1036</v>
      </c>
    </row>
    <row r="10890" spans="1:6" ht="12.75">
      <c r="A10890" s="2">
        <v>43880.45585648148</v>
      </c>
      <c r="B10890" t="str">
        <f>HYPERLINK("https://twitter.com/manusia_jawa_1","@manusia_jawa_1")</f>
        <v>@manusia_jawa_1</v>
      </c>
      <c r="C10890" t="s">
        <v>1407</v>
      </c>
      <c r="D10890">
        <v>2629</v>
      </c>
      <c r="E10890">
        <v>0</v>
      </c>
      <c r="F10890">
        <v>279</v>
      </c>
    </row>
    <row r="10891" spans="1:6" ht="12.75">
      <c r="A10891" s="2">
        <v>43880.45584490741</v>
      </c>
      <c r="B10891" t="str">
        <f>HYPERLINK("https://twitter.com/fitriaaana_","@fitriaaana_")</f>
        <v>@fitriaaana_</v>
      </c>
      <c r="C10891" t="s">
        <v>1407</v>
      </c>
      <c r="D10891">
        <v>2629</v>
      </c>
      <c r="E10891">
        <v>0</v>
      </c>
      <c r="F10891">
        <v>240</v>
      </c>
    </row>
    <row r="10892" spans="1:6" ht="12.75">
      <c r="A10892" s="2">
        <v>43880.455775462964</v>
      </c>
      <c r="B10892" t="str">
        <f>HYPERLINK("https://twitter.com/bebasdotid","@bebasdotid")</f>
        <v>@bebasdotid</v>
      </c>
      <c r="C10892" t="s">
        <v>6054</v>
      </c>
      <c r="D10892">
        <v>0</v>
      </c>
      <c r="E10892">
        <v>0</v>
      </c>
      <c r="F10892">
        <v>2347</v>
      </c>
    </row>
    <row r="10893" spans="1:6" ht="12.75">
      <c r="A10893" s="2">
        <v>43880.455740740741</v>
      </c>
      <c r="B10893" t="str">
        <f>HYPERLINK("https://twitter.com/awfaaaaa","@awfaaaaa")</f>
        <v>@awfaaaaa</v>
      </c>
      <c r="C10893" t="s">
        <v>1407</v>
      </c>
      <c r="D10893">
        <v>2629</v>
      </c>
      <c r="E10893">
        <v>0</v>
      </c>
      <c r="F10893">
        <v>1036</v>
      </c>
    </row>
    <row r="10894" spans="1:6" ht="12.75">
      <c r="A10894" s="2">
        <v>43880.455682870372</v>
      </c>
      <c r="B10894" t="str">
        <f>HYPERLINK("https://twitter.com/kimboriii","@kimboriii")</f>
        <v>@kimboriii</v>
      </c>
      <c r="C10894" t="s">
        <v>1407</v>
      </c>
      <c r="D10894">
        <v>2629</v>
      </c>
      <c r="E10894">
        <v>0</v>
      </c>
      <c r="F10894">
        <v>435</v>
      </c>
    </row>
    <row r="10895" spans="1:6" ht="12.75">
      <c r="A10895" s="2">
        <v>43880.455659722225</v>
      </c>
      <c r="B10895" t="str">
        <f>HYPERLINK("https://twitter.com/bebasdotid","@bebasdotid")</f>
        <v>@bebasdotid</v>
      </c>
      <c r="C10895" t="s">
        <v>6055</v>
      </c>
      <c r="D10895">
        <v>0</v>
      </c>
      <c r="E10895">
        <v>0</v>
      </c>
      <c r="F10895">
        <v>2347</v>
      </c>
    </row>
    <row r="10896" spans="1:6" ht="12.75">
      <c r="A10896" s="2">
        <v>43880.455613425926</v>
      </c>
      <c r="B10896" t="str">
        <f>HYPERLINK("https://twitter.com/xarefsetiawanx","@xarefsetiawanx")</f>
        <v>@xarefsetiawanx</v>
      </c>
      <c r="C10896" t="s">
        <v>1407</v>
      </c>
      <c r="D10896">
        <v>2629</v>
      </c>
      <c r="E10896">
        <v>0</v>
      </c>
      <c r="F10896">
        <v>743</v>
      </c>
    </row>
    <row r="10897" spans="1:6" ht="12.75">
      <c r="A10897" s="2">
        <v>43880.455578703702</v>
      </c>
      <c r="B10897" t="str">
        <f>HYPERLINK("https://twitter.com/jellyakult","@jellyakult")</f>
        <v>@jellyakult</v>
      </c>
      <c r="C10897" t="s">
        <v>1407</v>
      </c>
      <c r="D10897">
        <v>2629</v>
      </c>
      <c r="E10897">
        <v>0</v>
      </c>
      <c r="F10897">
        <v>22</v>
      </c>
    </row>
    <row r="10898" spans="1:6" ht="12.75">
      <c r="A10898" s="2">
        <v>43880.455578703702</v>
      </c>
      <c r="B10898" t="str">
        <f>HYPERLINK("https://twitter.com/LamanKita_","@LamanKita_")</f>
        <v>@LamanKita_</v>
      </c>
      <c r="C10898" t="s">
        <v>6056</v>
      </c>
      <c r="D10898">
        <v>1</v>
      </c>
      <c r="E10898">
        <v>1</v>
      </c>
      <c r="F10898">
        <v>139522</v>
      </c>
    </row>
    <row r="10899" spans="1:6" ht="12.75">
      <c r="A10899" s="2">
        <v>43880.455474537041</v>
      </c>
      <c r="B10899" t="str">
        <f>HYPERLINK("https://twitter.com/cutamaharnen","@cutamaharnen")</f>
        <v>@cutamaharnen</v>
      </c>
      <c r="C10899" t="s">
        <v>6057</v>
      </c>
      <c r="D10899">
        <v>0</v>
      </c>
      <c r="E10899">
        <v>0</v>
      </c>
      <c r="F10899">
        <v>715</v>
      </c>
    </row>
    <row r="10900" spans="1:6" ht="12.75">
      <c r="A10900" s="2">
        <v>43880.455335648148</v>
      </c>
      <c r="B10900" t="str">
        <f>HYPERLINK("https://twitter.com/_danielstwn","@_danielstwn")</f>
        <v>@_danielstwn</v>
      </c>
      <c r="C10900" t="s">
        <v>1407</v>
      </c>
      <c r="D10900">
        <v>2629</v>
      </c>
      <c r="E10900">
        <v>0</v>
      </c>
      <c r="F10900">
        <v>144</v>
      </c>
    </row>
    <row r="10901" spans="1:6" ht="12.75">
      <c r="A10901" s="2">
        <v>43880.455266203702</v>
      </c>
      <c r="B10901" t="str">
        <f>HYPERLINK("https://twitter.com/khay_harapeco","@khay_harapeco")</f>
        <v>@khay_harapeco</v>
      </c>
      <c r="C10901" t="s">
        <v>1407</v>
      </c>
      <c r="D10901">
        <v>2629</v>
      </c>
      <c r="E10901">
        <v>0</v>
      </c>
      <c r="F10901">
        <v>521</v>
      </c>
    </row>
    <row r="10902" spans="1:6" ht="12.75">
      <c r="A10902" s="2">
        <v>43880.455231481479</v>
      </c>
      <c r="B10902" t="str">
        <f>HYPERLINK("https://twitter.com/tahunhijriah","@tahunhijriah")</f>
        <v>@tahunhijriah</v>
      </c>
      <c r="C10902" t="s">
        <v>1407</v>
      </c>
      <c r="D10902">
        <v>2629</v>
      </c>
      <c r="E10902">
        <v>0</v>
      </c>
      <c r="F10902">
        <v>398</v>
      </c>
    </row>
    <row r="10903" spans="1:6" ht="12.75">
      <c r="A10903" s="2">
        <v>43880.45521990741</v>
      </c>
      <c r="B10903" t="str">
        <f>HYPERLINK("https://twitter.com/iyang88","@iyang88")</f>
        <v>@iyang88</v>
      </c>
      <c r="C10903" t="s">
        <v>1407</v>
      </c>
      <c r="D10903">
        <v>2629</v>
      </c>
      <c r="E10903">
        <v>0</v>
      </c>
      <c r="F10903">
        <v>630</v>
      </c>
    </row>
    <row r="10904" spans="1:6" ht="12.75">
      <c r="A10904" s="2">
        <v>43880.455196759256</v>
      </c>
      <c r="B10904" t="str">
        <f>HYPERLINK("https://twitter.com/RDYSPTR","@RDYSPTR")</f>
        <v>@RDYSPTR</v>
      </c>
      <c r="C10904" t="s">
        <v>1407</v>
      </c>
      <c r="D10904">
        <v>2629</v>
      </c>
      <c r="E10904">
        <v>0</v>
      </c>
      <c r="F10904">
        <v>389</v>
      </c>
    </row>
    <row r="10905" spans="1:6" ht="12.75">
      <c r="A10905" s="2">
        <v>43880.45517361111</v>
      </c>
      <c r="B10905" t="str">
        <f>HYPERLINK("https://twitter.com/izzalaaliya","@izzalaaliya")</f>
        <v>@izzalaaliya</v>
      </c>
      <c r="C10905" t="s">
        <v>1407</v>
      </c>
      <c r="D10905">
        <v>2629</v>
      </c>
      <c r="E10905">
        <v>0</v>
      </c>
      <c r="F10905">
        <v>1450</v>
      </c>
    </row>
    <row r="10906" spans="1:6" ht="12.75">
      <c r="A10906" s="2">
        <v>43880.45517361111</v>
      </c>
      <c r="B10906" t="str">
        <f>HYPERLINK("https://twitter.com/trouxvaillle","@trouxvaillle")</f>
        <v>@trouxvaillle</v>
      </c>
      <c r="C10906" t="s">
        <v>1407</v>
      </c>
      <c r="D10906">
        <v>2629</v>
      </c>
      <c r="E10906">
        <v>0</v>
      </c>
      <c r="F10906">
        <v>105</v>
      </c>
    </row>
    <row r="10907" spans="1:6" ht="12.75">
      <c r="A10907" s="2">
        <v>43880.455057870371</v>
      </c>
      <c r="B10907" t="str">
        <f t="shared" ref="B10907:B10908" si="201">HYPERLINK("https://twitter.com/alreshca","@alreshca")</f>
        <v>@alreshca</v>
      </c>
      <c r="C10907" t="s">
        <v>2467</v>
      </c>
      <c r="D10907">
        <v>148</v>
      </c>
      <c r="E10907">
        <v>0</v>
      </c>
      <c r="F10907">
        <v>504</v>
      </c>
    </row>
    <row r="10908" spans="1:6" ht="12.75">
      <c r="A10908" s="2">
        <v>43880.455023148148</v>
      </c>
      <c r="B10908" t="str">
        <f t="shared" si="201"/>
        <v>@alreshca</v>
      </c>
      <c r="C10908" t="s">
        <v>1407</v>
      </c>
      <c r="D10908">
        <v>2629</v>
      </c>
      <c r="E10908">
        <v>0</v>
      </c>
      <c r="F10908">
        <v>504</v>
      </c>
    </row>
    <row r="10909" spans="1:6" ht="12.75">
      <c r="A10909" s="2">
        <v>43880.455011574071</v>
      </c>
      <c r="B10909" t="str">
        <f>HYPERLINK("https://twitter.com/desviraap","@desviraap")</f>
        <v>@desviraap</v>
      </c>
      <c r="C10909" t="s">
        <v>1407</v>
      </c>
      <c r="D10909">
        <v>2629</v>
      </c>
      <c r="E10909">
        <v>0</v>
      </c>
      <c r="F10909">
        <v>3662</v>
      </c>
    </row>
    <row r="10910" spans="1:6" ht="12.75">
      <c r="A10910" s="2">
        <v>43880.455000000002</v>
      </c>
      <c r="B10910" t="str">
        <f>HYPERLINK("https://twitter.com/internetbank_","@internetbank_")</f>
        <v>@internetbank_</v>
      </c>
      <c r="C10910" t="s">
        <v>1407</v>
      </c>
      <c r="D10910">
        <v>2629</v>
      </c>
      <c r="E10910">
        <v>0</v>
      </c>
      <c r="F10910">
        <v>342</v>
      </c>
    </row>
    <row r="10911" spans="1:6" ht="12.75">
      <c r="A10911" s="2">
        <v>43880.454965277779</v>
      </c>
      <c r="B10911" t="str">
        <f>HYPERLINK("https://twitter.com/carameIbrownie","@carameIbrownie")</f>
        <v>@carameIbrownie</v>
      </c>
      <c r="C10911" t="s">
        <v>1407</v>
      </c>
      <c r="D10911">
        <v>2629</v>
      </c>
      <c r="E10911">
        <v>0</v>
      </c>
      <c r="F10911">
        <v>1120</v>
      </c>
    </row>
    <row r="10912" spans="1:6" ht="12.75">
      <c r="A10912" s="2">
        <v>43880.454930555556</v>
      </c>
      <c r="B10912" t="str">
        <f>HYPERLINK("https://twitter.com/el_natasha","@el_natasha")</f>
        <v>@el_natasha</v>
      </c>
      <c r="C10912" t="s">
        <v>1407</v>
      </c>
      <c r="D10912">
        <v>2629</v>
      </c>
      <c r="E10912">
        <v>0</v>
      </c>
      <c r="F10912">
        <v>9</v>
      </c>
    </row>
    <row r="10913" spans="1:6" ht="12.75">
      <c r="A10913" s="2">
        <v>43880.45484953704</v>
      </c>
      <c r="B10913" t="str">
        <f>HYPERLINK("https://twitter.com/liliacamiil","@liliacamiil")</f>
        <v>@liliacamiil</v>
      </c>
      <c r="C10913" t="s">
        <v>1407</v>
      </c>
      <c r="D10913">
        <v>2629</v>
      </c>
      <c r="E10913">
        <v>0</v>
      </c>
      <c r="F10913">
        <v>354</v>
      </c>
    </row>
    <row r="10914" spans="1:6" ht="12.75">
      <c r="A10914" s="2">
        <v>43880.454791666663</v>
      </c>
      <c r="B10914" t="str">
        <f>HYPERLINK("https://twitter.com/heikafeer","@heikafeer")</f>
        <v>@heikafeer</v>
      </c>
      <c r="C10914" t="s">
        <v>1407</v>
      </c>
      <c r="D10914">
        <v>2629</v>
      </c>
      <c r="E10914">
        <v>0</v>
      </c>
      <c r="F10914">
        <v>391</v>
      </c>
    </row>
    <row r="10915" spans="1:6" ht="12.75">
      <c r="A10915" s="2">
        <v>43880.454791666663</v>
      </c>
      <c r="B10915" t="str">
        <f>HYPERLINK("https://twitter.com/Indosiar","@Indosiar")</f>
        <v>@Indosiar</v>
      </c>
      <c r="C10915" t="s">
        <v>6058</v>
      </c>
      <c r="D10915">
        <v>0</v>
      </c>
      <c r="E10915">
        <v>2</v>
      </c>
      <c r="F10915">
        <v>2003138</v>
      </c>
    </row>
    <row r="10916" spans="1:6" ht="12.75">
      <c r="A10916" s="2">
        <v>43880.454791666663</v>
      </c>
      <c r="B10916" t="str">
        <f>HYPERLINK("https://twitter.com/cookiencreamm","@cookiencreamm")</f>
        <v>@cookiencreamm</v>
      </c>
      <c r="C10916" t="s">
        <v>1407</v>
      </c>
      <c r="D10916">
        <v>2629</v>
      </c>
      <c r="E10916">
        <v>0</v>
      </c>
      <c r="F10916">
        <v>158</v>
      </c>
    </row>
    <row r="10917" spans="1:6" ht="12.75">
      <c r="A10917" s="2">
        <v>43880.454780092594</v>
      </c>
      <c r="B10917" t="str">
        <f>HYPERLINK("https://twitter.com/Eajlittlechick","@Eajlittlechick")</f>
        <v>@Eajlittlechick</v>
      </c>
      <c r="C10917" t="s">
        <v>1407</v>
      </c>
      <c r="D10917">
        <v>2629</v>
      </c>
      <c r="E10917">
        <v>0</v>
      </c>
      <c r="F10917">
        <v>1013</v>
      </c>
    </row>
    <row r="10918" spans="1:6" ht="12.75">
      <c r="A10918" s="2">
        <v>43880.454768518517</v>
      </c>
      <c r="B10918" t="str">
        <f>HYPERLINK("https://twitter.com/apipps_","@apipps_")</f>
        <v>@apipps_</v>
      </c>
      <c r="C10918" t="s">
        <v>1407</v>
      </c>
      <c r="D10918">
        <v>2629</v>
      </c>
      <c r="E10918">
        <v>0</v>
      </c>
      <c r="F10918">
        <v>168</v>
      </c>
    </row>
    <row r="10919" spans="1:6" ht="12.75">
      <c r="A10919" s="2">
        <v>43880.454687500001</v>
      </c>
      <c r="B10919" t="str">
        <f>HYPERLINK("https://twitter.com/gerry_konaedi","@gerry_konaedi")</f>
        <v>@gerry_konaedi</v>
      </c>
      <c r="C10919" t="s">
        <v>6059</v>
      </c>
      <c r="D10919">
        <v>0</v>
      </c>
      <c r="E10919">
        <v>0</v>
      </c>
      <c r="F10919">
        <v>2327</v>
      </c>
    </row>
    <row r="10920" spans="1:6" ht="12.75">
      <c r="A10920" s="2">
        <v>43880.454641203702</v>
      </c>
      <c r="B10920" t="str">
        <f>HYPERLINK("https://twitter.com/fennydw","@fennydw")</f>
        <v>@fennydw</v>
      </c>
      <c r="C10920" t="s">
        <v>1407</v>
      </c>
      <c r="D10920">
        <v>2629</v>
      </c>
      <c r="E10920">
        <v>0</v>
      </c>
      <c r="F10920">
        <v>206</v>
      </c>
    </row>
    <row r="10921" spans="1:6" ht="12.75">
      <c r="A10921" s="2">
        <v>43880.454606481479</v>
      </c>
      <c r="B10921" t="str">
        <f>HYPERLINK("https://twitter.com/AntoniussEki","@AntoniussEki")</f>
        <v>@AntoniussEki</v>
      </c>
      <c r="C10921" t="s">
        <v>1407</v>
      </c>
      <c r="D10921">
        <v>2629</v>
      </c>
      <c r="E10921">
        <v>0</v>
      </c>
      <c r="F10921">
        <v>1835</v>
      </c>
    </row>
    <row r="10922" spans="1:6" ht="12.75">
      <c r="A10922" s="2">
        <v>43880.418263888889</v>
      </c>
      <c r="B10922" t="str">
        <f>HYPERLINK("https://twitter.com/kharismaraaa","@kharismaraaa")</f>
        <v>@kharismaraaa</v>
      </c>
      <c r="C10922" t="s">
        <v>1407</v>
      </c>
      <c r="D10922">
        <v>2148</v>
      </c>
      <c r="E10922">
        <v>0</v>
      </c>
      <c r="F10922">
        <v>325</v>
      </c>
    </row>
    <row r="10923" spans="1:6" ht="12.75">
      <c r="A10923" s="2">
        <v>43880.418252314819</v>
      </c>
      <c r="B10923" t="str">
        <f>HYPERLINK("https://twitter.com/mypeppermind","@mypeppermind")</f>
        <v>@mypeppermind</v>
      </c>
      <c r="C10923" t="s">
        <v>1407</v>
      </c>
      <c r="D10923">
        <v>2148</v>
      </c>
      <c r="E10923">
        <v>0</v>
      </c>
      <c r="F10923">
        <v>71</v>
      </c>
    </row>
    <row r="10924" spans="1:6" ht="12.75">
      <c r="A10924" s="2">
        <v>43880.418009259258</v>
      </c>
      <c r="B10924" t="str">
        <f>HYPERLINK("https://twitter.com/Benantonius","@Benantonius")</f>
        <v>@Benantonius</v>
      </c>
      <c r="C10924" t="s">
        <v>1407</v>
      </c>
      <c r="D10924">
        <v>2148</v>
      </c>
      <c r="E10924">
        <v>0</v>
      </c>
      <c r="F10924">
        <v>544</v>
      </c>
    </row>
    <row r="10925" spans="1:6" ht="12.75">
      <c r="A10925" s="2">
        <v>43880.417986111112</v>
      </c>
      <c r="B10925" t="str">
        <f>HYPERLINK("https://twitter.com/arvkevin","@arvkevin")</f>
        <v>@arvkevin</v>
      </c>
      <c r="C10925" t="s">
        <v>1407</v>
      </c>
      <c r="D10925">
        <v>2148</v>
      </c>
      <c r="E10925">
        <v>0</v>
      </c>
      <c r="F10925">
        <v>410</v>
      </c>
    </row>
    <row r="10926" spans="1:6" ht="12.75">
      <c r="A10926" s="2">
        <v>43880.417974537035</v>
      </c>
      <c r="B10926" t="str">
        <f>HYPERLINK("https://twitter.com/smollbee__","@smollbee__")</f>
        <v>@smollbee__</v>
      </c>
      <c r="C10926" t="s">
        <v>1407</v>
      </c>
      <c r="D10926">
        <v>2148</v>
      </c>
      <c r="E10926">
        <v>0</v>
      </c>
      <c r="F10926">
        <v>27</v>
      </c>
    </row>
    <row r="10927" spans="1:6" ht="12.75">
      <c r="A10927" s="2">
        <v>43880.417974537035</v>
      </c>
      <c r="B10927" t="str">
        <f>HYPERLINK("https://twitter.com/alabasta_","@alabasta_")</f>
        <v>@alabasta_</v>
      </c>
      <c r="C10927" t="s">
        <v>1407</v>
      </c>
      <c r="D10927">
        <v>2148</v>
      </c>
      <c r="E10927">
        <v>0</v>
      </c>
      <c r="F10927">
        <v>320</v>
      </c>
    </row>
    <row r="10928" spans="1:6" ht="12.75">
      <c r="A10928" s="2">
        <v>43880.417951388888</v>
      </c>
      <c r="B10928" t="str">
        <f>HYPERLINK("https://twitter.com/soepeno321","@soepeno321")</f>
        <v>@soepeno321</v>
      </c>
      <c r="C10928" t="s">
        <v>1407</v>
      </c>
      <c r="D10928">
        <v>2148</v>
      </c>
      <c r="E10928">
        <v>0</v>
      </c>
      <c r="F10928">
        <v>1473</v>
      </c>
    </row>
    <row r="10929" spans="1:6" ht="12.75">
      <c r="A10929" s="2">
        <v>43880.417928240742</v>
      </c>
      <c r="B10929" t="str">
        <f>HYPERLINK("https://twitter.com/DeviNvt_","@DeviNvt_")</f>
        <v>@DeviNvt_</v>
      </c>
      <c r="C10929" t="s">
        <v>1407</v>
      </c>
      <c r="D10929">
        <v>2148</v>
      </c>
      <c r="E10929">
        <v>0</v>
      </c>
      <c r="F10929">
        <v>871</v>
      </c>
    </row>
    <row r="10930" spans="1:6" ht="12.75">
      <c r="A10930" s="2">
        <v>43880.417870370366</v>
      </c>
      <c r="B10930" t="str">
        <f>HYPERLINK("https://twitter.com/Peter_qolbinsky","@Peter_qolbinsky")</f>
        <v>@Peter_qolbinsky</v>
      </c>
      <c r="C10930" t="s">
        <v>1407</v>
      </c>
      <c r="D10930">
        <v>2148</v>
      </c>
      <c r="E10930">
        <v>0</v>
      </c>
      <c r="F10930">
        <v>43</v>
      </c>
    </row>
    <row r="10931" spans="1:6" ht="12.75">
      <c r="A10931" s="2">
        <v>43880.417858796296</v>
      </c>
      <c r="B10931" t="str">
        <f>HYPERLINK("https://twitter.com/tihermione","@tihermione")</f>
        <v>@tihermione</v>
      </c>
      <c r="C10931" t="s">
        <v>6060</v>
      </c>
      <c r="D10931">
        <v>35</v>
      </c>
      <c r="E10931">
        <v>0</v>
      </c>
      <c r="F10931">
        <v>455</v>
      </c>
    </row>
    <row r="10932" spans="1:6" ht="12.75">
      <c r="A10932" s="2">
        <v>43880.417395833334</v>
      </c>
      <c r="B10932" t="str">
        <f>HYPERLINK("https://twitter.com/Muftia","@Muftia")</f>
        <v>@Muftia</v>
      </c>
      <c r="C10932" t="s">
        <v>1407</v>
      </c>
      <c r="D10932">
        <v>2148</v>
      </c>
      <c r="E10932">
        <v>0</v>
      </c>
      <c r="F10932">
        <v>582</v>
      </c>
    </row>
    <row r="10933" spans="1:6" ht="12.75">
      <c r="A10933" s="2">
        <v>43880.417361111111</v>
      </c>
      <c r="B10933" t="str">
        <f>HYPERLINK("https://twitter.com/_hananwijdan_","@_hananwijdan_")</f>
        <v>@_hananwijdan_</v>
      </c>
      <c r="C10933" t="s">
        <v>2692</v>
      </c>
      <c r="D10933">
        <v>36</v>
      </c>
      <c r="E10933">
        <v>0</v>
      </c>
      <c r="F10933">
        <v>135</v>
      </c>
    </row>
    <row r="10934" spans="1:6" ht="12.75">
      <c r="A10934" s="2">
        <v>43880.417210648149</v>
      </c>
      <c r="B10934" t="str">
        <f>HYPERLINK("https://twitter.com/khurinaja","@khurinaja")</f>
        <v>@khurinaja</v>
      </c>
      <c r="C10934" t="s">
        <v>1407</v>
      </c>
      <c r="D10934">
        <v>2148</v>
      </c>
      <c r="E10934">
        <v>0</v>
      </c>
      <c r="F10934">
        <v>321</v>
      </c>
    </row>
    <row r="10935" spans="1:6" ht="12.75">
      <c r="A10935" s="2">
        <v>43880.417187500003</v>
      </c>
      <c r="B10935" t="str">
        <f>HYPERLINK("https://twitter.com/inshecur","@inshecur")</f>
        <v>@inshecur</v>
      </c>
      <c r="C10935" t="s">
        <v>1407</v>
      </c>
      <c r="D10935">
        <v>2148</v>
      </c>
      <c r="E10935">
        <v>0</v>
      </c>
      <c r="F10935">
        <v>853</v>
      </c>
    </row>
    <row r="10936" spans="1:6" ht="12.75">
      <c r="A10936" s="2">
        <v>43880.417187500003</v>
      </c>
      <c r="B10936" t="str">
        <f>HYPERLINK("https://twitter.com/evanjel_","@evanjel_")</f>
        <v>@evanjel_</v>
      </c>
      <c r="C10936" t="s">
        <v>6061</v>
      </c>
      <c r="D10936">
        <v>0</v>
      </c>
      <c r="E10936">
        <v>0</v>
      </c>
      <c r="F10936">
        <v>667</v>
      </c>
    </row>
    <row r="10937" spans="1:6" ht="12.75">
      <c r="A10937" s="2">
        <v>43880.417141203703</v>
      </c>
      <c r="B10937" t="str">
        <f>HYPERLINK("https://twitter.com/nrfthah_mrn","@nrfthah_mrn")</f>
        <v>@nrfthah_mrn</v>
      </c>
      <c r="C10937" t="s">
        <v>1407</v>
      </c>
      <c r="D10937">
        <v>2148</v>
      </c>
      <c r="E10937">
        <v>0</v>
      </c>
      <c r="F10937">
        <v>33558</v>
      </c>
    </row>
    <row r="10938" spans="1:6" ht="12.75">
      <c r="A10938" s="2">
        <v>43880.417118055557</v>
      </c>
      <c r="B10938" t="str">
        <f>HYPERLINK("https://twitter.com/herfinpurnama","@herfinpurnama")</f>
        <v>@herfinpurnama</v>
      </c>
      <c r="C10938" t="s">
        <v>1407</v>
      </c>
      <c r="D10938">
        <v>2148</v>
      </c>
      <c r="E10938">
        <v>0</v>
      </c>
      <c r="F10938">
        <v>653</v>
      </c>
    </row>
    <row r="10939" spans="1:6" ht="12.75">
      <c r="A10939" s="2">
        <v>43880.416956018518</v>
      </c>
      <c r="B10939" t="str">
        <f>HYPERLINK("https://twitter.com/L01Scar","@L01Scar")</f>
        <v>@L01Scar</v>
      </c>
      <c r="C10939" t="s">
        <v>1407</v>
      </c>
      <c r="D10939">
        <v>2148</v>
      </c>
      <c r="E10939">
        <v>0</v>
      </c>
      <c r="F10939">
        <v>4</v>
      </c>
    </row>
    <row r="10940" spans="1:6" ht="12.75">
      <c r="A10940" s="2">
        <v>43880.416863425926</v>
      </c>
      <c r="B10940" t="str">
        <f>HYPERLINK("https://twitter.com/LeontiosHP","@LeontiosHP")</f>
        <v>@LeontiosHP</v>
      </c>
      <c r="C10940" t="s">
        <v>1407</v>
      </c>
      <c r="D10940">
        <v>2148</v>
      </c>
      <c r="E10940">
        <v>0</v>
      </c>
      <c r="F10940">
        <v>441</v>
      </c>
    </row>
    <row r="10941" spans="1:6" ht="12.75">
      <c r="A10941" s="2">
        <v>43880.416863425926</v>
      </c>
      <c r="B10941" t="str">
        <f>HYPERLINK("https://twitter.com/moesa_jp02","@moesa_jp02")</f>
        <v>@moesa_jp02</v>
      </c>
      <c r="C10941" t="s">
        <v>6062</v>
      </c>
      <c r="D10941">
        <v>0</v>
      </c>
      <c r="E10941">
        <v>0</v>
      </c>
      <c r="F10941">
        <v>1394</v>
      </c>
    </row>
    <row r="10942" spans="1:6" ht="12.75">
      <c r="A10942" s="2">
        <v>43880.416863425926</v>
      </c>
      <c r="B10942" t="str">
        <f>HYPERLINK("https://twitter.com/Lipolipe24","@Lipolipe24")</f>
        <v>@Lipolipe24</v>
      </c>
      <c r="C10942" t="s">
        <v>1407</v>
      </c>
      <c r="D10942">
        <v>2148</v>
      </c>
      <c r="E10942">
        <v>0</v>
      </c>
      <c r="F10942">
        <v>599</v>
      </c>
    </row>
    <row r="10943" spans="1:6" ht="12.75">
      <c r="A10943" s="2">
        <v>43880.41684027778</v>
      </c>
      <c r="B10943" t="str">
        <f>HYPERLINK("https://twitter.com/momonsky264","@momonsky264")</f>
        <v>@momonsky264</v>
      </c>
      <c r="C10943" t="s">
        <v>1407</v>
      </c>
      <c r="D10943">
        <v>2148</v>
      </c>
      <c r="E10943">
        <v>0</v>
      </c>
      <c r="F10943">
        <v>151</v>
      </c>
    </row>
    <row r="10944" spans="1:6" ht="12.75">
      <c r="A10944" s="2">
        <v>43880.416689814811</v>
      </c>
      <c r="B10944" t="str">
        <f>HYPERLINK("https://twitter.com/samyangtelor","@samyangtelor")</f>
        <v>@samyangtelor</v>
      </c>
      <c r="C10944" t="s">
        <v>1407</v>
      </c>
      <c r="D10944">
        <v>2148</v>
      </c>
      <c r="E10944">
        <v>0</v>
      </c>
      <c r="F10944">
        <v>972</v>
      </c>
    </row>
    <row r="10945" spans="1:6" ht="12.75">
      <c r="A10945" s="2">
        <v>43880.416666666672</v>
      </c>
      <c r="B10945" t="str">
        <f>HYPERLINK("https://twitter.com/ndahken","@ndahken")</f>
        <v>@ndahken</v>
      </c>
      <c r="C10945" t="s">
        <v>1407</v>
      </c>
      <c r="D10945">
        <v>2148</v>
      </c>
      <c r="E10945">
        <v>0</v>
      </c>
      <c r="F10945">
        <v>263</v>
      </c>
    </row>
    <row r="10946" spans="1:6" ht="12.75">
      <c r="A10946" s="2">
        <v>43880.416458333333</v>
      </c>
      <c r="B10946" t="str">
        <f>HYPERLINK("https://twitter.com/ayuningratri5","@ayuningratri5")</f>
        <v>@ayuningratri5</v>
      </c>
      <c r="C10946" t="s">
        <v>1407</v>
      </c>
      <c r="D10946">
        <v>2148</v>
      </c>
      <c r="E10946">
        <v>0</v>
      </c>
      <c r="F10946">
        <v>15</v>
      </c>
    </row>
    <row r="10947" spans="1:6" ht="12.75">
      <c r="A10947" s="2">
        <v>43880.416446759264</v>
      </c>
      <c r="B10947" t="str">
        <f>HYPERLINK("https://twitter.com/mikybilla","@mikybilla")</f>
        <v>@mikybilla</v>
      </c>
      <c r="C10947" t="s">
        <v>6063</v>
      </c>
      <c r="D10947">
        <v>3</v>
      </c>
      <c r="E10947">
        <v>0</v>
      </c>
      <c r="F10947">
        <v>133</v>
      </c>
    </row>
    <row r="10948" spans="1:6" ht="12.75">
      <c r="A10948" s="2">
        <v>43880.416365740741</v>
      </c>
      <c r="B10948" t="str">
        <f>HYPERLINK("https://twitter.com/bagiinfolengkap","@bagiinfolengkap")</f>
        <v>@bagiinfolengkap</v>
      </c>
      <c r="C10948" t="s">
        <v>6064</v>
      </c>
      <c r="D10948">
        <v>0</v>
      </c>
      <c r="E10948">
        <v>0</v>
      </c>
      <c r="F10948">
        <v>266</v>
      </c>
    </row>
    <row r="10949" spans="1:6" ht="12.75">
      <c r="A10949" s="2">
        <v>43880.416354166664</v>
      </c>
      <c r="B10949" t="str">
        <f>HYPERLINK("https://twitter.com/hominahomminna","@hominahomminna")</f>
        <v>@hominahomminna</v>
      </c>
      <c r="C10949" t="s">
        <v>1407</v>
      </c>
      <c r="D10949">
        <v>2148</v>
      </c>
      <c r="E10949">
        <v>0</v>
      </c>
      <c r="F10949">
        <v>189</v>
      </c>
    </row>
    <row r="10950" spans="1:6" ht="12.75">
      <c r="A10950" s="2">
        <v>43880.416249999995</v>
      </c>
      <c r="B10950" t="str">
        <f>HYPERLINK("https://twitter.com/onT053no","@onT053no")</f>
        <v>@onT053no</v>
      </c>
      <c r="C10950" t="s">
        <v>6065</v>
      </c>
      <c r="D10950">
        <v>10</v>
      </c>
      <c r="E10950">
        <v>0</v>
      </c>
      <c r="F10950">
        <v>379</v>
      </c>
    </row>
    <row r="10951" spans="1:6" ht="12.75">
      <c r="A10951" s="2">
        <v>43880.41605324074</v>
      </c>
      <c r="B10951" t="str">
        <f>HYPERLINK("https://twitter.com/justtruthfully","@justtruthfully")</f>
        <v>@justtruthfully</v>
      </c>
      <c r="C10951" t="s">
        <v>1407</v>
      </c>
      <c r="D10951">
        <v>2148</v>
      </c>
      <c r="E10951">
        <v>0</v>
      </c>
      <c r="F10951">
        <v>1</v>
      </c>
    </row>
    <row r="10952" spans="1:6" ht="12.75">
      <c r="A10952" s="2">
        <v>43880.416018518517</v>
      </c>
      <c r="B10952" t="str">
        <f>HYPERLINK("https://twitter.com/fmgibran","@fmgibran")</f>
        <v>@fmgibran</v>
      </c>
      <c r="C10952" t="s">
        <v>1407</v>
      </c>
      <c r="D10952">
        <v>2148</v>
      </c>
      <c r="E10952">
        <v>0</v>
      </c>
      <c r="F10952">
        <v>66</v>
      </c>
    </row>
    <row r="10953" spans="1:6" ht="12.75">
      <c r="A10953" s="2">
        <v>43880.416006944448</v>
      </c>
      <c r="B10953" t="str">
        <f>HYPERLINK("https://twitter.com/rhmainta94__","@rhmainta94__")</f>
        <v>@rhmainta94__</v>
      </c>
      <c r="C10953" t="s">
        <v>1407</v>
      </c>
      <c r="D10953">
        <v>2148</v>
      </c>
      <c r="E10953">
        <v>0</v>
      </c>
      <c r="F10953">
        <v>426</v>
      </c>
    </row>
    <row r="10954" spans="1:6" ht="12.75">
      <c r="A10954" s="2">
        <v>43880.415925925925</v>
      </c>
      <c r="B10954" t="str">
        <f>HYPERLINK("https://twitter.com/RHGT9699","@RHGT9699")</f>
        <v>@RHGT9699</v>
      </c>
      <c r="C10954" t="s">
        <v>1407</v>
      </c>
      <c r="D10954">
        <v>2148</v>
      </c>
      <c r="E10954">
        <v>0</v>
      </c>
      <c r="F10954">
        <v>21</v>
      </c>
    </row>
    <row r="10955" spans="1:6" ht="12.75">
      <c r="A10955" s="2">
        <v>43880.415914351848</v>
      </c>
      <c r="B10955" t="str">
        <f>HYPERLINK("https://twitter.com/earth29__","@earth29__")</f>
        <v>@earth29__</v>
      </c>
      <c r="C10955" t="s">
        <v>1407</v>
      </c>
      <c r="D10955">
        <v>2148</v>
      </c>
      <c r="E10955">
        <v>0</v>
      </c>
      <c r="F10955">
        <v>343</v>
      </c>
    </row>
    <row r="10956" spans="1:6" ht="12.75">
      <c r="A10956" s="2">
        <v>43880.415902777779</v>
      </c>
      <c r="B10956" t="str">
        <f>HYPERLINK("https://twitter.com/mukhrosridho","@mukhrosridho")</f>
        <v>@mukhrosridho</v>
      </c>
      <c r="C10956" t="s">
        <v>6066</v>
      </c>
      <c r="D10956">
        <v>0</v>
      </c>
      <c r="E10956">
        <v>0</v>
      </c>
      <c r="F10956">
        <v>62</v>
      </c>
    </row>
    <row r="10957" spans="1:6" ht="12.75">
      <c r="A10957" s="2">
        <v>43880.415868055556</v>
      </c>
      <c r="B10957" t="str">
        <f>HYPERLINK("https://twitter.com/brokenbeeechh","@brokenbeeechh")</f>
        <v>@brokenbeeechh</v>
      </c>
      <c r="C10957" t="s">
        <v>1407</v>
      </c>
      <c r="D10957">
        <v>2148</v>
      </c>
      <c r="E10957">
        <v>0</v>
      </c>
      <c r="F10957">
        <v>484</v>
      </c>
    </row>
    <row r="10958" spans="1:6" ht="12.75">
      <c r="A10958" s="2">
        <v>43880.415868055556</v>
      </c>
      <c r="B10958" t="str">
        <f>HYPERLINK("https://twitter.com/xopch","@xopch")</f>
        <v>@xopch</v>
      </c>
      <c r="C10958" t="s">
        <v>1407</v>
      </c>
      <c r="D10958">
        <v>2148</v>
      </c>
      <c r="E10958">
        <v>0</v>
      </c>
      <c r="F10958">
        <v>973</v>
      </c>
    </row>
    <row r="10959" spans="1:6" ht="12.75">
      <c r="A10959" s="2">
        <v>43880.415798611109</v>
      </c>
      <c r="B10959" t="str">
        <f>HYPERLINK("https://twitter.com/jejejerapah","@jejejerapah")</f>
        <v>@jejejerapah</v>
      </c>
      <c r="C10959" t="s">
        <v>1407</v>
      </c>
      <c r="D10959">
        <v>2148</v>
      </c>
      <c r="E10959">
        <v>0</v>
      </c>
      <c r="F10959">
        <v>177</v>
      </c>
    </row>
    <row r="10960" spans="1:6" ht="12.75">
      <c r="A10960" s="2">
        <v>43880.415798611109</v>
      </c>
      <c r="B10960" t="str">
        <f>HYPERLINK("https://twitter.com/fuyungbhai","@fuyungbhai")</f>
        <v>@fuyungbhai</v>
      </c>
      <c r="C10960" t="s">
        <v>1407</v>
      </c>
      <c r="D10960">
        <v>2148</v>
      </c>
      <c r="E10960">
        <v>0</v>
      </c>
      <c r="F10960">
        <v>407</v>
      </c>
    </row>
    <row r="10961" spans="1:6" ht="12.75">
      <c r="A10961" s="2">
        <v>43880.415671296301</v>
      </c>
      <c r="B10961" t="str">
        <f>HYPERLINK("https://twitter.com/hollasayang","@hollasayang")</f>
        <v>@hollasayang</v>
      </c>
      <c r="C10961" t="s">
        <v>1407</v>
      </c>
      <c r="D10961">
        <v>2148</v>
      </c>
      <c r="E10961">
        <v>0</v>
      </c>
      <c r="F10961">
        <v>234</v>
      </c>
    </row>
    <row r="10962" spans="1:6" ht="12.75">
      <c r="A10962" s="2">
        <v>43880.415659722217</v>
      </c>
      <c r="B10962" t="str">
        <f>HYPERLINK("https://twitter.com/panembahansepuh","@panembahansepuh")</f>
        <v>@panembahansepuh</v>
      </c>
      <c r="C10962" t="s">
        <v>6067</v>
      </c>
      <c r="D10962">
        <v>15</v>
      </c>
      <c r="E10962">
        <v>0</v>
      </c>
      <c r="F10962">
        <v>366</v>
      </c>
    </row>
    <row r="10963" spans="1:6" ht="12.75">
      <c r="A10963" s="2">
        <v>43880.415659722217</v>
      </c>
      <c r="B10963" t="str">
        <f>HYPERLINK("https://twitter.com/rainnnbouw","@rainnnbouw")</f>
        <v>@rainnnbouw</v>
      </c>
      <c r="C10963" t="s">
        <v>1407</v>
      </c>
      <c r="D10963">
        <v>2148</v>
      </c>
      <c r="E10963">
        <v>0</v>
      </c>
      <c r="F10963">
        <v>298</v>
      </c>
    </row>
    <row r="10964" spans="1:6" ht="12.75">
      <c r="A10964" s="2">
        <v>43880.415636574078</v>
      </c>
      <c r="B10964" t="str">
        <f>HYPERLINK("https://twitter.com/mznugcr","@mznugcr")</f>
        <v>@mznugcr</v>
      </c>
      <c r="C10964" t="s">
        <v>2692</v>
      </c>
      <c r="D10964">
        <v>36</v>
      </c>
      <c r="E10964">
        <v>0</v>
      </c>
      <c r="F10964">
        <v>182</v>
      </c>
    </row>
    <row r="10965" spans="1:6" ht="12.75">
      <c r="A10965" s="2">
        <v>43880.415601851855</v>
      </c>
      <c r="B10965" t="str">
        <f>HYPERLINK("https://twitter.com/hay_calm","@hay_calm")</f>
        <v>@hay_calm</v>
      </c>
      <c r="C10965" t="s">
        <v>5203</v>
      </c>
      <c r="D10965">
        <v>2</v>
      </c>
      <c r="E10965">
        <v>0</v>
      </c>
      <c r="F10965">
        <v>654</v>
      </c>
    </row>
    <row r="10966" spans="1:6" ht="12.75">
      <c r="A10966" s="2">
        <v>43880.415590277778</v>
      </c>
      <c r="B10966" t="str">
        <f t="shared" ref="B10966:B10969" si="202">HYPERLINK("https://twitter.com/ChamdanSungkono","@ChamdanSungkono")</f>
        <v>@ChamdanSungkono</v>
      </c>
      <c r="C10966" t="s">
        <v>2509</v>
      </c>
      <c r="D10966">
        <v>3</v>
      </c>
      <c r="E10966">
        <v>0</v>
      </c>
      <c r="F10966">
        <v>176</v>
      </c>
    </row>
    <row r="10967" spans="1:6" ht="12.75">
      <c r="A10967" s="2">
        <v>43880.415567129632</v>
      </c>
      <c r="B10967" t="str">
        <f t="shared" si="202"/>
        <v>@ChamdanSungkono</v>
      </c>
      <c r="C10967" t="s">
        <v>2183</v>
      </c>
      <c r="D10967">
        <v>18</v>
      </c>
      <c r="E10967">
        <v>0</v>
      </c>
      <c r="F10967">
        <v>176</v>
      </c>
    </row>
    <row r="10968" spans="1:6" ht="12.75">
      <c r="A10968" s="2">
        <v>43880.415543981479</v>
      </c>
      <c r="B10968" t="str">
        <f t="shared" si="202"/>
        <v>@ChamdanSungkono</v>
      </c>
      <c r="C10968" t="s">
        <v>2467</v>
      </c>
      <c r="D10968">
        <v>108</v>
      </c>
      <c r="E10968">
        <v>0</v>
      </c>
      <c r="F10968">
        <v>176</v>
      </c>
    </row>
    <row r="10969" spans="1:6" ht="12.75">
      <c r="A10969" s="2">
        <v>43880.415509259255</v>
      </c>
      <c r="B10969" t="str">
        <f t="shared" si="202"/>
        <v>@ChamdanSungkono</v>
      </c>
      <c r="C10969" t="s">
        <v>1407</v>
      </c>
      <c r="D10969">
        <v>2148</v>
      </c>
      <c r="E10969">
        <v>0</v>
      </c>
      <c r="F10969">
        <v>176</v>
      </c>
    </row>
    <row r="10970" spans="1:6" ht="12.75">
      <c r="A10970" s="2">
        <v>43880.415243055555</v>
      </c>
      <c r="B10970" t="str">
        <f>HYPERLINK("https://twitter.com/kvin","@kvin")</f>
        <v>@kvin</v>
      </c>
      <c r="C10970" t="s">
        <v>1407</v>
      </c>
      <c r="D10970">
        <v>2148</v>
      </c>
      <c r="E10970">
        <v>0</v>
      </c>
      <c r="F10970">
        <v>474</v>
      </c>
    </row>
    <row r="10971" spans="1:6" ht="12.75">
      <c r="A10971" s="2">
        <v>43880.415208333332</v>
      </c>
      <c r="B10971" t="str">
        <f>HYPERLINK("https://twitter.com/trash33r","@trash33r")</f>
        <v>@trash33r</v>
      </c>
      <c r="C10971" t="s">
        <v>1407</v>
      </c>
      <c r="D10971">
        <v>2148</v>
      </c>
      <c r="E10971">
        <v>0</v>
      </c>
      <c r="F10971">
        <v>699</v>
      </c>
    </row>
    <row r="10972" spans="1:6" ht="12.75">
      <c r="A10972" s="2">
        <v>43880.41511574074</v>
      </c>
      <c r="B10972" t="str">
        <f>HYPERLINK("https://twitter.com/nadyanoer_","@nadyanoer_")</f>
        <v>@nadyanoer_</v>
      </c>
      <c r="C10972" t="s">
        <v>1407</v>
      </c>
      <c r="D10972">
        <v>2148</v>
      </c>
      <c r="E10972">
        <v>0</v>
      </c>
      <c r="F10972">
        <v>149</v>
      </c>
    </row>
    <row r="10973" spans="1:6" ht="12.75">
      <c r="A10973" s="2">
        <v>43880.415034722224</v>
      </c>
      <c r="B10973" t="str">
        <f>HYPERLINK("https://twitter.com/sunfko","@sunfko")</f>
        <v>@sunfko</v>
      </c>
      <c r="C10973" t="s">
        <v>1407</v>
      </c>
      <c r="D10973">
        <v>2148</v>
      </c>
      <c r="E10973">
        <v>0</v>
      </c>
      <c r="F10973">
        <v>1005</v>
      </c>
    </row>
    <row r="10974" spans="1:6" ht="12.75">
      <c r="A10974" s="2">
        <v>43880.414826388893</v>
      </c>
      <c r="B10974" t="str">
        <f>HYPERLINK("https://twitter.com/tobangaaa","@tobangaaa")</f>
        <v>@tobangaaa</v>
      </c>
      <c r="C10974" t="s">
        <v>1407</v>
      </c>
      <c r="D10974">
        <v>2148</v>
      </c>
      <c r="E10974">
        <v>0</v>
      </c>
      <c r="F10974">
        <v>2533</v>
      </c>
    </row>
    <row r="10975" spans="1:6" ht="12.75">
      <c r="A10975" s="2">
        <v>43880.414722222224</v>
      </c>
      <c r="B10975" t="str">
        <f>HYPERLINK("https://twitter.com/junyeolwifeu","@junyeolwifeu")</f>
        <v>@junyeolwifeu</v>
      </c>
      <c r="C10975" t="s">
        <v>1407</v>
      </c>
      <c r="D10975">
        <v>2148</v>
      </c>
      <c r="E10975">
        <v>0</v>
      </c>
      <c r="F10975">
        <v>65</v>
      </c>
    </row>
    <row r="10976" spans="1:6" ht="12.75">
      <c r="A10976" s="2">
        <v>43880.414629629631</v>
      </c>
      <c r="B10976" t="str">
        <f>HYPERLINK("https://twitter.com/Tribun_Solo","@Tribun_Solo")</f>
        <v>@Tribun_Solo</v>
      </c>
      <c r="C10976" t="s">
        <v>6068</v>
      </c>
      <c r="D10976">
        <v>0</v>
      </c>
      <c r="E10976">
        <v>0</v>
      </c>
      <c r="F10976">
        <v>2176</v>
      </c>
    </row>
    <row r="10977" spans="1:6" ht="12.75">
      <c r="A10977" s="2">
        <v>43880.414618055554</v>
      </c>
      <c r="B10977" t="str">
        <f>HYPERLINK("https://twitter.com/funniest_valen","@funniest_valen")</f>
        <v>@funniest_valen</v>
      </c>
      <c r="C10977" t="s">
        <v>1407</v>
      </c>
      <c r="D10977">
        <v>2148</v>
      </c>
      <c r="E10977">
        <v>0</v>
      </c>
      <c r="F10977">
        <v>164</v>
      </c>
    </row>
    <row r="10978" spans="1:6" ht="12.75">
      <c r="A10978" s="2">
        <v>43880.414606481485</v>
      </c>
      <c r="B10978" t="str">
        <f>HYPERLINK("https://twitter.com/kvin","@kvin")</f>
        <v>@kvin</v>
      </c>
      <c r="C10978" t="s">
        <v>2467</v>
      </c>
      <c r="D10978">
        <v>108</v>
      </c>
      <c r="E10978">
        <v>0</v>
      </c>
      <c r="F10978">
        <v>474</v>
      </c>
    </row>
    <row r="10979" spans="1:6" ht="12.75">
      <c r="A10979" s="2">
        <v>43880.414467592593</v>
      </c>
      <c r="B10979" t="str">
        <f>HYPERLINK("https://twitter.com/MRafiiPW","@MRafiiPW")</f>
        <v>@MRafiiPW</v>
      </c>
      <c r="C10979" t="s">
        <v>1407</v>
      </c>
      <c r="D10979">
        <v>2148</v>
      </c>
      <c r="E10979">
        <v>0</v>
      </c>
      <c r="F10979">
        <v>566</v>
      </c>
    </row>
    <row r="10980" spans="1:6" ht="12.75">
      <c r="A10980" s="2">
        <v>43880.4144212963</v>
      </c>
      <c r="B10980" t="str">
        <f>HYPERLINK("https://twitter.com/HUMAN_RES3","@HUMAN_RES3")</f>
        <v>@HUMAN_RES3</v>
      </c>
      <c r="C10980" t="s">
        <v>6069</v>
      </c>
      <c r="D10980">
        <v>1</v>
      </c>
      <c r="E10980">
        <v>0</v>
      </c>
      <c r="F10980">
        <v>87</v>
      </c>
    </row>
    <row r="10981" spans="1:6" ht="12.75">
      <c r="A10981" s="2">
        <v>43880.414363425924</v>
      </c>
      <c r="B10981" t="str">
        <f>HYPERLINK("https://twitter.com/desuwig","@desuwig")</f>
        <v>@desuwig</v>
      </c>
      <c r="C10981" t="s">
        <v>6070</v>
      </c>
      <c r="D10981">
        <v>0</v>
      </c>
      <c r="E10981">
        <v>0</v>
      </c>
      <c r="F10981">
        <v>2</v>
      </c>
    </row>
    <row r="10982" spans="1:6" ht="12.75">
      <c r="A10982" s="2">
        <v>43880.414270833338</v>
      </c>
      <c r="B10982" t="str">
        <f>HYPERLINK("https://twitter.com/cozueverything","@cozueverything")</f>
        <v>@cozueverything</v>
      </c>
      <c r="C10982" t="s">
        <v>1407</v>
      </c>
      <c r="D10982">
        <v>2148</v>
      </c>
      <c r="E10982">
        <v>0</v>
      </c>
      <c r="F10982">
        <v>720</v>
      </c>
    </row>
    <row r="10983" spans="1:6" ht="12.75">
      <c r="A10983" s="2">
        <v>43880.414224537039</v>
      </c>
      <c r="B10983" t="str">
        <f>HYPERLINK("https://twitter.com/AnggiAriyandi","@AnggiAriyandi")</f>
        <v>@AnggiAriyandi</v>
      </c>
      <c r="C10983" t="s">
        <v>1407</v>
      </c>
      <c r="D10983">
        <v>2148</v>
      </c>
      <c r="E10983">
        <v>0</v>
      </c>
      <c r="F10983">
        <v>720</v>
      </c>
    </row>
    <row r="10984" spans="1:6" ht="12.75">
      <c r="A10984" s="2">
        <v>43880.414166666669</v>
      </c>
      <c r="B10984" t="str">
        <f>HYPERLINK("https://twitter.com/hajeongdo","@hajeongdo")</f>
        <v>@hajeongdo</v>
      </c>
      <c r="C10984" t="s">
        <v>1407</v>
      </c>
      <c r="D10984">
        <v>2148</v>
      </c>
      <c r="E10984">
        <v>0</v>
      </c>
      <c r="F10984">
        <v>24</v>
      </c>
    </row>
    <row r="10985" spans="1:6" ht="12.75">
      <c r="A10985" s="2">
        <v>43880.414155092592</v>
      </c>
      <c r="B10985" t="str">
        <f>HYPERLINK("https://twitter.com/butuh_liburan","@butuh_liburan")</f>
        <v>@butuh_liburan</v>
      </c>
      <c r="C10985" t="s">
        <v>1407</v>
      </c>
      <c r="D10985">
        <v>2148</v>
      </c>
      <c r="E10985">
        <v>0</v>
      </c>
      <c r="F10985">
        <v>14</v>
      </c>
    </row>
    <row r="10986" spans="1:6" ht="12.75">
      <c r="A10986" s="2">
        <v>43880.414155092592</v>
      </c>
      <c r="B10986" t="str">
        <f>HYPERLINK("https://twitter.com/dimasanas","@dimasanas")</f>
        <v>@dimasanas</v>
      </c>
      <c r="C10986" t="s">
        <v>1407</v>
      </c>
      <c r="D10986">
        <v>2148</v>
      </c>
      <c r="E10986">
        <v>0</v>
      </c>
      <c r="F10986">
        <v>609</v>
      </c>
    </row>
    <row r="10987" spans="1:6" ht="12.75">
      <c r="A10987" s="2">
        <v>43880.414143518516</v>
      </c>
      <c r="B10987" t="str">
        <f>HYPERLINK("https://twitter.com/skuttlahh","@skuttlahh")</f>
        <v>@skuttlahh</v>
      </c>
      <c r="C10987" t="s">
        <v>6063</v>
      </c>
      <c r="D10987">
        <v>3</v>
      </c>
      <c r="E10987">
        <v>0</v>
      </c>
      <c r="F10987">
        <v>274</v>
      </c>
    </row>
    <row r="10988" spans="1:6" ht="12.75">
      <c r="A10988" s="2">
        <v>43880.414027777777</v>
      </c>
      <c r="B10988" t="str">
        <f>HYPERLINK("https://twitter.com/d_secun","@d_secun")</f>
        <v>@d_secun</v>
      </c>
      <c r="C10988" t="s">
        <v>1407</v>
      </c>
      <c r="D10988">
        <v>2148</v>
      </c>
      <c r="E10988">
        <v>0</v>
      </c>
      <c r="F10988">
        <v>80</v>
      </c>
    </row>
    <row r="10989" spans="1:6" ht="12.75">
      <c r="A10989" s="2">
        <v>43880.414016203707</v>
      </c>
      <c r="B10989" t="str">
        <f>HYPERLINK("https://twitter.com/adhityardp","@adhityardp")</f>
        <v>@adhityardp</v>
      </c>
      <c r="C10989" t="s">
        <v>1407</v>
      </c>
      <c r="D10989">
        <v>2148</v>
      </c>
      <c r="E10989">
        <v>0</v>
      </c>
      <c r="F10989">
        <v>421</v>
      </c>
    </row>
    <row r="10990" spans="1:6" ht="12.75">
      <c r="A10990" s="2">
        <v>43880.413958333331</v>
      </c>
      <c r="B10990" t="str">
        <f>HYPERLINK("https://twitter.com/emaindaeyob","@emaindaeyob")</f>
        <v>@emaindaeyob</v>
      </c>
      <c r="C10990" t="s">
        <v>2467</v>
      </c>
      <c r="D10990">
        <v>108</v>
      </c>
      <c r="E10990">
        <v>0</v>
      </c>
      <c r="F10990">
        <v>114</v>
      </c>
    </row>
    <row r="10991" spans="1:6" ht="12.75">
      <c r="A10991" s="2">
        <v>43880.413912037038</v>
      </c>
      <c r="B10991" t="str">
        <f>HYPERLINK("https://twitter.com/firdanisayuf","@firdanisayuf")</f>
        <v>@firdanisayuf</v>
      </c>
      <c r="C10991" t="s">
        <v>1407</v>
      </c>
      <c r="D10991">
        <v>2148</v>
      </c>
      <c r="E10991">
        <v>0</v>
      </c>
      <c r="F10991">
        <v>1099</v>
      </c>
    </row>
    <row r="10992" spans="1:6" ht="12.75">
      <c r="A10992" s="2">
        <v>43880.413877314815</v>
      </c>
      <c r="B10992" t="str">
        <f>HYPERLINK("https://twitter.com/AliyanM","@AliyanM")</f>
        <v>@AliyanM</v>
      </c>
      <c r="C10992" t="s">
        <v>1407</v>
      </c>
      <c r="D10992">
        <v>2148</v>
      </c>
      <c r="E10992">
        <v>0</v>
      </c>
      <c r="F10992">
        <v>406</v>
      </c>
    </row>
    <row r="10993" spans="1:6" ht="12.75">
      <c r="A10993" s="2">
        <v>43880.413854166662</v>
      </c>
      <c r="B10993" t="str">
        <f>HYPERLINK("https://twitter.com/SiswiPuji","@SiswiPuji")</f>
        <v>@SiswiPuji</v>
      </c>
      <c r="C10993" t="s">
        <v>6071</v>
      </c>
      <c r="D10993">
        <v>0</v>
      </c>
      <c r="E10993">
        <v>0</v>
      </c>
      <c r="F10993">
        <v>6</v>
      </c>
    </row>
    <row r="10994" spans="1:6" ht="12.75">
      <c r="A10994" s="2">
        <v>43880.413831018523</v>
      </c>
      <c r="B10994" t="str">
        <f>HYPERLINK("https://twitter.com/gggicel","@gggicel")</f>
        <v>@gggicel</v>
      </c>
      <c r="C10994" t="s">
        <v>1407</v>
      </c>
      <c r="D10994">
        <v>2148</v>
      </c>
      <c r="E10994">
        <v>0</v>
      </c>
      <c r="F10994">
        <v>519</v>
      </c>
    </row>
    <row r="10995" spans="1:6" ht="12.75">
      <c r="A10995" s="2">
        <v>43880.413437499999</v>
      </c>
      <c r="B10995" t="str">
        <f>HYPERLINK("https://twitter.com/rafifdzulfikar","@rafifdzulfikar")</f>
        <v>@rafifdzulfikar</v>
      </c>
      <c r="C10995" t="s">
        <v>1407</v>
      </c>
      <c r="D10995">
        <v>2148</v>
      </c>
      <c r="E10995">
        <v>0</v>
      </c>
      <c r="F10995">
        <v>380</v>
      </c>
    </row>
    <row r="10996" spans="1:6" ht="12.75">
      <c r="A10996" s="2">
        <v>43880.413414351853</v>
      </c>
      <c r="B10996" t="str">
        <f>HYPERLINK("https://twitter.com/mbuahaha","@mbuahaha")</f>
        <v>@mbuahaha</v>
      </c>
      <c r="C10996" t="s">
        <v>2692</v>
      </c>
      <c r="D10996">
        <v>36</v>
      </c>
      <c r="E10996">
        <v>0</v>
      </c>
      <c r="F10996">
        <v>167</v>
      </c>
    </row>
    <row r="10997" spans="1:6" ht="12.75">
      <c r="A10997" s="2">
        <v>43880.413414351853</v>
      </c>
      <c r="B10997" t="str">
        <f>HYPERLINK("https://twitter.com/sx_ren","@sx_ren")</f>
        <v>@sx_ren</v>
      </c>
      <c r="C10997" t="s">
        <v>1407</v>
      </c>
      <c r="D10997">
        <v>2148</v>
      </c>
      <c r="E10997">
        <v>0</v>
      </c>
      <c r="F10997">
        <v>288</v>
      </c>
    </row>
    <row r="10998" spans="1:6" ht="12.75">
      <c r="A10998" s="2">
        <v>43880.413321759261</v>
      </c>
      <c r="B10998" t="str">
        <f>HYPERLINK("https://twitter.com/zikrinury","@zikrinury")</f>
        <v>@zikrinury</v>
      </c>
      <c r="C10998" t="s">
        <v>1407</v>
      </c>
      <c r="D10998">
        <v>2148</v>
      </c>
      <c r="E10998">
        <v>0</v>
      </c>
      <c r="F10998">
        <v>101</v>
      </c>
    </row>
    <row r="10999" spans="1:6" ht="12.75">
      <c r="A10999" s="2">
        <v>43880.413321759261</v>
      </c>
      <c r="B10999" t="str">
        <f>HYPERLINK("https://twitter.com/GalihGieloof","@GalihGieloof")</f>
        <v>@GalihGieloof</v>
      </c>
      <c r="C10999" t="s">
        <v>5203</v>
      </c>
      <c r="D10999">
        <v>2</v>
      </c>
      <c r="E10999">
        <v>0</v>
      </c>
      <c r="F10999">
        <v>271</v>
      </c>
    </row>
    <row r="11000" spans="1:6" ht="12.75">
      <c r="A11000" s="2">
        <v>43880.413287037038</v>
      </c>
      <c r="B11000" t="str">
        <f>HYPERLINK("https://twitter.com/irwan_cib","@irwan_cib")</f>
        <v>@irwan_cib</v>
      </c>
      <c r="C11000" t="s">
        <v>6072</v>
      </c>
      <c r="D11000">
        <v>1</v>
      </c>
      <c r="E11000">
        <v>0</v>
      </c>
      <c r="F11000">
        <v>1246</v>
      </c>
    </row>
    <row r="11001" spans="1:6" ht="12.75">
      <c r="A11001" s="2">
        <v>43880.413217592592</v>
      </c>
      <c r="B11001" t="str">
        <f>HYPERLINK("https://twitter.com/umarakbaryusuf","@umarakbaryusuf")</f>
        <v>@umarakbaryusuf</v>
      </c>
      <c r="C11001" t="s">
        <v>1407</v>
      </c>
      <c r="D11001">
        <v>2148</v>
      </c>
      <c r="E11001">
        <v>0</v>
      </c>
      <c r="F11001">
        <v>489</v>
      </c>
    </row>
    <row r="11002" spans="1:6" ht="12.75">
      <c r="A11002" s="2">
        <v>43880.413171296299</v>
      </c>
      <c r="B11002" t="str">
        <f>HYPERLINK("https://twitter.com/sugardady__","@sugardady__")</f>
        <v>@sugardady__</v>
      </c>
      <c r="C11002" t="s">
        <v>6073</v>
      </c>
      <c r="D11002">
        <v>0</v>
      </c>
      <c r="E11002">
        <v>0</v>
      </c>
      <c r="F11002">
        <v>1167</v>
      </c>
    </row>
    <row r="11003" spans="1:6" ht="12.75">
      <c r="A11003" s="2">
        <v>43880.413078703699</v>
      </c>
      <c r="B11003" t="str">
        <f>HYPERLINK("https://twitter.com/ilysmbabybear","@ilysmbabybear")</f>
        <v>@ilysmbabybear</v>
      </c>
      <c r="C11003" t="s">
        <v>6074</v>
      </c>
      <c r="D11003">
        <v>0</v>
      </c>
      <c r="E11003">
        <v>0</v>
      </c>
      <c r="F11003">
        <v>537</v>
      </c>
    </row>
    <row r="11004" spans="1:6" ht="12.75">
      <c r="A11004" s="2">
        <v>43880.412962962961</v>
      </c>
      <c r="B11004" t="str">
        <f>HYPERLINK("https://twitter.com/sigitwid","@sigitwid")</f>
        <v>@sigitwid</v>
      </c>
      <c r="C11004" t="s">
        <v>6075</v>
      </c>
      <c r="D11004">
        <v>0</v>
      </c>
      <c r="E11004">
        <v>0</v>
      </c>
      <c r="F11004">
        <v>7928</v>
      </c>
    </row>
    <row r="11005" spans="1:6" ht="12.75">
      <c r="A11005" s="2">
        <v>43880.412754629629</v>
      </c>
      <c r="B11005" t="str">
        <f>HYPERLINK("https://twitter.com/Sulululuuu","@Sulululuuu")</f>
        <v>@Sulululuuu</v>
      </c>
      <c r="C11005" t="s">
        <v>1407</v>
      </c>
      <c r="D11005">
        <v>2148</v>
      </c>
      <c r="E11005">
        <v>0</v>
      </c>
      <c r="F11005">
        <v>344</v>
      </c>
    </row>
    <row r="11006" spans="1:6" ht="12.75">
      <c r="A11006" s="2">
        <v>43880.412743055553</v>
      </c>
      <c r="B11006" t="str">
        <f>HYPERLINK("https://twitter.com/letszeppelin69","@letszeppelin69")</f>
        <v>@letszeppelin69</v>
      </c>
      <c r="C11006" t="s">
        <v>2692</v>
      </c>
      <c r="D11006">
        <v>36</v>
      </c>
      <c r="E11006">
        <v>0</v>
      </c>
      <c r="F11006">
        <v>238</v>
      </c>
    </row>
    <row r="11007" spans="1:6" ht="12.75">
      <c r="A11007" s="2">
        <v>43880.412638888884</v>
      </c>
      <c r="B11007" t="str">
        <f>HYPERLINK("https://twitter.com/querenciash","@querenciash")</f>
        <v>@querenciash</v>
      </c>
      <c r="C11007" t="s">
        <v>1407</v>
      </c>
      <c r="D11007">
        <v>2148</v>
      </c>
      <c r="E11007">
        <v>0</v>
      </c>
      <c r="F11007">
        <v>511</v>
      </c>
    </row>
    <row r="11008" spans="1:6" ht="12.75">
      <c r="A11008" s="2">
        <v>43880.412615740745</v>
      </c>
      <c r="B11008" t="str">
        <f>HYPERLINK("https://twitter.com/katuralisme","@katuralisme")</f>
        <v>@katuralisme</v>
      </c>
      <c r="C11008" t="s">
        <v>6076</v>
      </c>
      <c r="D11008">
        <v>1</v>
      </c>
      <c r="E11008">
        <v>0</v>
      </c>
      <c r="F11008">
        <v>3004</v>
      </c>
    </row>
    <row r="11009" spans="1:6" ht="12.75">
      <c r="A11009" s="2">
        <v>43880.412546296298</v>
      </c>
      <c r="B11009" t="str">
        <f>HYPERLINK("https://twitter.com/adia311","@adia311")</f>
        <v>@adia311</v>
      </c>
      <c r="C11009" t="s">
        <v>1407</v>
      </c>
      <c r="D11009">
        <v>2148</v>
      </c>
      <c r="E11009">
        <v>0</v>
      </c>
      <c r="F11009">
        <v>3083</v>
      </c>
    </row>
    <row r="11010" spans="1:6" ht="12.75">
      <c r="A11010" s="2">
        <v>43880.412511574075</v>
      </c>
      <c r="B11010" t="str">
        <f>HYPERLINK("https://twitter.com/histagram__","@histagram__")</f>
        <v>@histagram__</v>
      </c>
      <c r="C11010" t="s">
        <v>5982</v>
      </c>
      <c r="D11010">
        <v>68</v>
      </c>
      <c r="E11010">
        <v>0</v>
      </c>
      <c r="F11010">
        <v>310</v>
      </c>
    </row>
    <row r="11011" spans="1:6" ht="12.75">
      <c r="A11011" s="2">
        <v>43880.412222222221</v>
      </c>
      <c r="B11011" t="str">
        <f>HYPERLINK("https://twitter.com/prillyr_","@prillyr_")</f>
        <v>@prillyr_</v>
      </c>
      <c r="C11011" t="s">
        <v>1407</v>
      </c>
      <c r="D11011">
        <v>2148</v>
      </c>
      <c r="E11011">
        <v>0</v>
      </c>
      <c r="F11011">
        <v>770</v>
      </c>
    </row>
    <row r="11012" spans="1:6" ht="12.75">
      <c r="A11012" s="2">
        <v>43880.412187499998</v>
      </c>
      <c r="B11012" t="str">
        <f>HYPERLINK("https://twitter.com/muliawanramzy","@muliawanramzy")</f>
        <v>@muliawanramzy</v>
      </c>
      <c r="C11012" t="s">
        <v>6077</v>
      </c>
      <c r="D11012">
        <v>1</v>
      </c>
      <c r="E11012">
        <v>1</v>
      </c>
      <c r="F11012">
        <v>586</v>
      </c>
    </row>
    <row r="11013" spans="1:6" ht="12.75">
      <c r="A11013" s="2">
        <v>43880.41207175926</v>
      </c>
      <c r="B11013" t="str">
        <f>HYPERLINK("https://twitter.com/kamto_adi","@kamto_adi")</f>
        <v>@kamto_adi</v>
      </c>
      <c r="C11013" t="s">
        <v>6078</v>
      </c>
      <c r="D11013">
        <v>1</v>
      </c>
      <c r="E11013">
        <v>0</v>
      </c>
      <c r="F11013">
        <v>14981</v>
      </c>
    </row>
    <row r="11014" spans="1:6" ht="12.75">
      <c r="A11014" s="2">
        <v>43880.41206018519</v>
      </c>
      <c r="B11014" t="str">
        <f>HYPERLINK("https://twitter.com/almafs","@almafs")</f>
        <v>@almafs</v>
      </c>
      <c r="C11014" t="s">
        <v>1407</v>
      </c>
      <c r="D11014">
        <v>2148</v>
      </c>
      <c r="E11014">
        <v>0</v>
      </c>
      <c r="F11014">
        <v>1312</v>
      </c>
    </row>
    <row r="11015" spans="1:6" ht="12.75">
      <c r="A11015" s="2">
        <v>43880.411898148144</v>
      </c>
      <c r="B11015" t="str">
        <f>HYPERLINK("https://twitter.com/elfanmdi","@elfanmdi")</f>
        <v>@elfanmdi</v>
      </c>
      <c r="C11015" t="s">
        <v>1407</v>
      </c>
      <c r="D11015">
        <v>2148</v>
      </c>
      <c r="E11015">
        <v>0</v>
      </c>
      <c r="F11015">
        <v>89</v>
      </c>
    </row>
    <row r="11016" spans="1:6" ht="12.75">
      <c r="A11016" s="2">
        <v>43880.411840277782</v>
      </c>
      <c r="B11016" t="str">
        <f>HYPERLINK("https://twitter.com/dietadit","@dietadit")</f>
        <v>@dietadit</v>
      </c>
      <c r="C11016" t="s">
        <v>1407</v>
      </c>
      <c r="D11016">
        <v>2148</v>
      </c>
      <c r="E11016">
        <v>0</v>
      </c>
      <c r="F11016">
        <v>364</v>
      </c>
    </row>
    <row r="11017" spans="1:6" ht="12.75">
      <c r="A11017" s="2">
        <v>43880.411782407406</v>
      </c>
      <c r="B11017" t="str">
        <f>HYPERLINK("https://twitter.com/ridhatobing","@ridhatobing")</f>
        <v>@ridhatobing</v>
      </c>
      <c r="C11017" t="s">
        <v>6063</v>
      </c>
      <c r="D11017">
        <v>3</v>
      </c>
      <c r="E11017">
        <v>0</v>
      </c>
      <c r="F11017">
        <v>443</v>
      </c>
    </row>
    <row r="11018" spans="1:6" ht="12.75">
      <c r="A11018" s="2">
        <v>43880.411736111113</v>
      </c>
      <c r="B11018" t="str">
        <f>HYPERLINK("https://twitter.com/mbooo_ndt","@mbooo_ndt")</f>
        <v>@mbooo_ndt</v>
      </c>
      <c r="C11018" t="s">
        <v>1407</v>
      </c>
      <c r="D11018">
        <v>2148</v>
      </c>
      <c r="E11018">
        <v>0</v>
      </c>
      <c r="F11018">
        <v>1038</v>
      </c>
    </row>
    <row r="11019" spans="1:6" ht="12.75">
      <c r="A11019" s="2">
        <v>43880.411678240736</v>
      </c>
      <c r="B11019" t="str">
        <f>HYPERLINK("https://twitter.com/NedisAD","@NedisAD")</f>
        <v>@NedisAD</v>
      </c>
      <c r="C11019" t="s">
        <v>1407</v>
      </c>
      <c r="D11019">
        <v>2148</v>
      </c>
      <c r="E11019">
        <v>0</v>
      </c>
      <c r="F11019">
        <v>3006</v>
      </c>
    </row>
    <row r="11020" spans="1:6" ht="12.75">
      <c r="A11020" s="2">
        <v>43880.411631944444</v>
      </c>
      <c r="B11020" t="str">
        <f>HYPERLINK("https://twitter.com/muftimuhamad8","@muftimuhamad8")</f>
        <v>@muftimuhamad8</v>
      </c>
      <c r="C11020" t="s">
        <v>1407</v>
      </c>
      <c r="D11020">
        <v>2148</v>
      </c>
      <c r="E11020">
        <v>0</v>
      </c>
      <c r="F11020">
        <v>72</v>
      </c>
    </row>
    <row r="11021" spans="1:6" ht="12.75">
      <c r="A11021" s="2">
        <v>43880.411608796298</v>
      </c>
      <c r="B11021" t="str">
        <f>HYPERLINK("https://twitter.com/hongurbae","@hongurbae")</f>
        <v>@hongurbae</v>
      </c>
      <c r="C11021" t="s">
        <v>2467</v>
      </c>
      <c r="D11021">
        <v>108</v>
      </c>
      <c r="E11021">
        <v>0</v>
      </c>
      <c r="F11021">
        <v>161</v>
      </c>
    </row>
    <row r="11022" spans="1:6" ht="12.75">
      <c r="A11022" s="2">
        <v>43880.376435185186</v>
      </c>
      <c r="B11022" t="str">
        <f>HYPERLINK("https://twitter.com/adzhera","@adzhera")</f>
        <v>@adzhera</v>
      </c>
      <c r="C11022" t="s">
        <v>1407</v>
      </c>
      <c r="D11022">
        <v>1713</v>
      </c>
      <c r="E11022">
        <v>0</v>
      </c>
      <c r="F11022">
        <v>778</v>
      </c>
    </row>
    <row r="11023" spans="1:6" ht="12.75">
      <c r="A11023" s="2">
        <v>43880.37635416667</v>
      </c>
      <c r="B11023" t="str">
        <f>HYPERLINK("https://twitter.com/namasaatinialdi","@namasaatinialdi")</f>
        <v>@namasaatinialdi</v>
      </c>
      <c r="C11023" t="s">
        <v>1407</v>
      </c>
      <c r="D11023">
        <v>1713</v>
      </c>
      <c r="E11023">
        <v>0</v>
      </c>
      <c r="F11023">
        <v>1095</v>
      </c>
    </row>
    <row r="11024" spans="1:6" ht="12.75">
      <c r="A11024" s="2">
        <v>43880.376192129625</v>
      </c>
      <c r="B11024" t="str">
        <f>HYPERLINK("https://twitter.com/absolutxhalal","@absolutxhalal")</f>
        <v>@absolutxhalal</v>
      </c>
      <c r="C11024" t="s">
        <v>6079</v>
      </c>
      <c r="D11024">
        <v>20</v>
      </c>
      <c r="E11024">
        <v>0</v>
      </c>
      <c r="F11024">
        <v>2256</v>
      </c>
    </row>
    <row r="11025" spans="1:6" ht="12.75">
      <c r="A11025" s="2">
        <v>43880.376145833332</v>
      </c>
      <c r="B11025" t="str">
        <f>HYPERLINK("https://twitter.com/gunsihombing","@gunsihombing")</f>
        <v>@gunsihombing</v>
      </c>
      <c r="C11025" t="s">
        <v>1407</v>
      </c>
      <c r="D11025">
        <v>1713</v>
      </c>
      <c r="E11025">
        <v>0</v>
      </c>
      <c r="F11025">
        <v>164661</v>
      </c>
    </row>
    <row r="11026" spans="1:6" ht="12.75">
      <c r="A11026" s="2">
        <v>43880.376122685186</v>
      </c>
      <c r="B11026" t="str">
        <f>HYPERLINK("https://twitter.com/prime_verdana","@prime_verdana")</f>
        <v>@prime_verdana</v>
      </c>
      <c r="C11026" t="s">
        <v>2930</v>
      </c>
      <c r="D11026">
        <v>128</v>
      </c>
      <c r="E11026">
        <v>0</v>
      </c>
      <c r="F11026">
        <v>604</v>
      </c>
    </row>
    <row r="11027" spans="1:6" ht="12.75">
      <c r="A11027" s="2">
        <v>43880.376087962963</v>
      </c>
      <c r="B11027" t="str">
        <f>HYPERLINK("https://twitter.com/PutraJaya0288","@PutraJaya0288")</f>
        <v>@PutraJaya0288</v>
      </c>
      <c r="C11027" t="s">
        <v>6080</v>
      </c>
      <c r="D11027">
        <v>0</v>
      </c>
      <c r="E11027">
        <v>0</v>
      </c>
      <c r="F11027">
        <v>0</v>
      </c>
    </row>
    <row r="11028" spans="1:6" ht="12.75">
      <c r="A11028" s="2">
        <v>43880.375856481478</v>
      </c>
      <c r="B11028" t="str">
        <f>HYPERLINK("https://twitter.com/kodoku_na_dimu","@kodoku_na_dimu")</f>
        <v>@kodoku_na_dimu</v>
      </c>
      <c r="C11028" t="s">
        <v>1407</v>
      </c>
      <c r="D11028">
        <v>1713</v>
      </c>
      <c r="E11028">
        <v>0</v>
      </c>
      <c r="F11028">
        <v>135</v>
      </c>
    </row>
    <row r="11029" spans="1:6" ht="12.75">
      <c r="A11029" s="2">
        <v>43880.375787037032</v>
      </c>
      <c r="B11029" t="str">
        <f>HYPERLINK("https://twitter.com/miegorengpagi","@miegorengpagi")</f>
        <v>@miegorengpagi</v>
      </c>
      <c r="C11029" t="s">
        <v>4415</v>
      </c>
      <c r="D11029">
        <v>39</v>
      </c>
      <c r="E11029">
        <v>0</v>
      </c>
      <c r="F11029">
        <v>120</v>
      </c>
    </row>
    <row r="11030" spans="1:6" ht="12.75">
      <c r="A11030" s="2">
        <v>43880.375775462962</v>
      </c>
      <c r="B11030" t="str">
        <f>HYPERLINK("https://twitter.com/theyeheskiel","@theyeheskiel")</f>
        <v>@theyeheskiel</v>
      </c>
      <c r="C11030" t="s">
        <v>6081</v>
      </c>
      <c r="D11030">
        <v>0</v>
      </c>
      <c r="E11030">
        <v>0</v>
      </c>
      <c r="F11030">
        <v>28</v>
      </c>
    </row>
    <row r="11031" spans="1:6" ht="12.75">
      <c r="A11031" s="2">
        <v>43880.37563657407</v>
      </c>
      <c r="B11031" t="str">
        <f>HYPERLINK("https://twitter.com/jpzyvibe","@jpzyvibe")</f>
        <v>@jpzyvibe</v>
      </c>
      <c r="C11031" t="s">
        <v>1407</v>
      </c>
      <c r="D11031">
        <v>1713</v>
      </c>
      <c r="E11031">
        <v>0</v>
      </c>
      <c r="F11031">
        <v>102</v>
      </c>
    </row>
    <row r="11032" spans="1:6" ht="12.75">
      <c r="A11032" s="2">
        <v>43880.375428240739</v>
      </c>
      <c r="B11032" t="str">
        <f>HYPERLINK("https://twitter.com/_Bakemono","@_Bakemono")</f>
        <v>@_Bakemono</v>
      </c>
      <c r="C11032" t="s">
        <v>2183</v>
      </c>
      <c r="D11032">
        <v>8</v>
      </c>
      <c r="E11032">
        <v>0</v>
      </c>
      <c r="F11032">
        <v>820</v>
      </c>
    </row>
    <row r="11033" spans="1:6" ht="12.75">
      <c r="A11033" s="2">
        <v>43880.375416666662</v>
      </c>
      <c r="B11033" t="str">
        <f>HYPERLINK("https://twitter.com/JauRidh_","@JauRidh_")</f>
        <v>@JauRidh_</v>
      </c>
      <c r="C11033" t="s">
        <v>1407</v>
      </c>
      <c r="D11033">
        <v>1713</v>
      </c>
      <c r="E11033">
        <v>0</v>
      </c>
      <c r="F11033">
        <v>494</v>
      </c>
    </row>
    <row r="11034" spans="1:6" ht="12.75">
      <c r="A11034" s="2">
        <v>43880.375416666662</v>
      </c>
      <c r="B11034" t="str">
        <f>HYPERLINK("https://twitter.com/_Bakemono","@_Bakemono")</f>
        <v>@_Bakemono</v>
      </c>
      <c r="C11034" t="s">
        <v>2467</v>
      </c>
      <c r="D11034">
        <v>84</v>
      </c>
      <c r="E11034">
        <v>0</v>
      </c>
      <c r="F11034">
        <v>820</v>
      </c>
    </row>
    <row r="11035" spans="1:6" ht="12.75">
      <c r="A11035" s="2">
        <v>43880.375347222223</v>
      </c>
      <c r="B11035" t="str">
        <f>HYPERLINK("https://twitter.com/harrydharmawann","@harrydharmawann")</f>
        <v>@harrydharmawann</v>
      </c>
      <c r="C11035" t="s">
        <v>1407</v>
      </c>
      <c r="D11035">
        <v>1713</v>
      </c>
      <c r="E11035">
        <v>0</v>
      </c>
      <c r="F11035">
        <v>114</v>
      </c>
    </row>
    <row r="11036" spans="1:6" ht="12.75">
      <c r="A11036" s="2">
        <v>43880.375347222223</v>
      </c>
      <c r="B11036" t="str">
        <f>HYPERLINK("https://twitter.com/_Bakemono","@_Bakemono")</f>
        <v>@_Bakemono</v>
      </c>
      <c r="C11036" t="s">
        <v>1407</v>
      </c>
      <c r="D11036">
        <v>1713</v>
      </c>
      <c r="E11036">
        <v>0</v>
      </c>
      <c r="F11036">
        <v>820</v>
      </c>
    </row>
    <row r="11037" spans="1:6" ht="12.75">
      <c r="A11037" s="2">
        <v>43880.375277777777</v>
      </c>
      <c r="B11037" t="str">
        <f>HYPERLINK("https://twitter.com/zupadzup","@zupadzup")</f>
        <v>@zupadzup</v>
      </c>
      <c r="C11037" t="s">
        <v>1407</v>
      </c>
      <c r="D11037">
        <v>1713</v>
      </c>
      <c r="E11037">
        <v>0</v>
      </c>
      <c r="F11037">
        <v>414</v>
      </c>
    </row>
    <row r="11038" spans="1:6" ht="12.75">
      <c r="A11038" s="2">
        <v>43880.375254629631</v>
      </c>
      <c r="B11038" t="str">
        <f>HYPERLINK("https://twitter.com/adinda3695","@adinda3695")</f>
        <v>@adinda3695</v>
      </c>
      <c r="C11038" t="s">
        <v>1407</v>
      </c>
      <c r="D11038">
        <v>1713</v>
      </c>
      <c r="E11038">
        <v>0</v>
      </c>
      <c r="F11038">
        <v>1433</v>
      </c>
    </row>
    <row r="11039" spans="1:6" ht="12.75">
      <c r="A11039" s="2">
        <v>43880.375231481477</v>
      </c>
      <c r="B11039" t="str">
        <f>HYPERLINK("https://twitter.com/aldwinrevel","@aldwinrevel")</f>
        <v>@aldwinrevel</v>
      </c>
      <c r="C11039" t="s">
        <v>1407</v>
      </c>
      <c r="D11039">
        <v>1713</v>
      </c>
      <c r="E11039">
        <v>0</v>
      </c>
      <c r="F11039">
        <v>442</v>
      </c>
    </row>
    <row r="11040" spans="1:6" ht="12.75">
      <c r="A11040" s="2">
        <v>43880.375162037039</v>
      </c>
      <c r="B11040" t="str">
        <f>HYPERLINK("https://twitter.com/fransmrt","@fransmrt")</f>
        <v>@fransmrt</v>
      </c>
      <c r="C11040" t="s">
        <v>1407</v>
      </c>
      <c r="D11040">
        <v>1713</v>
      </c>
      <c r="E11040">
        <v>0</v>
      </c>
      <c r="F11040">
        <v>269</v>
      </c>
    </row>
    <row r="11041" spans="1:6" ht="12.75">
      <c r="A11041" s="2">
        <v>43880.375138888892</v>
      </c>
      <c r="B11041" t="str">
        <f>HYPERLINK("https://twitter.com/Istyaaaa","@Istyaaaa")</f>
        <v>@Istyaaaa</v>
      </c>
      <c r="C11041" t="s">
        <v>1407</v>
      </c>
      <c r="D11041">
        <v>1713</v>
      </c>
      <c r="E11041">
        <v>0</v>
      </c>
      <c r="F11041">
        <v>750</v>
      </c>
    </row>
    <row r="11042" spans="1:6" ht="12.75">
      <c r="A11042" s="2">
        <v>43880.375081018516</v>
      </c>
      <c r="B11042" t="str">
        <f>HYPERLINK("https://twitter.com/kalderanews","@kalderanews")</f>
        <v>@kalderanews</v>
      </c>
      <c r="C11042" t="s">
        <v>6082</v>
      </c>
      <c r="D11042">
        <v>0</v>
      </c>
      <c r="E11042">
        <v>0</v>
      </c>
      <c r="F11042">
        <v>1842</v>
      </c>
    </row>
    <row r="11043" spans="1:6" ht="12.75">
      <c r="A11043" s="2">
        <v>43880.375</v>
      </c>
      <c r="B11043" t="str">
        <f>HYPERLINK("https://twitter.com/tempodotco","@tempodotco")</f>
        <v>@tempodotco</v>
      </c>
      <c r="C11043" t="s">
        <v>6083</v>
      </c>
      <c r="D11043">
        <v>0</v>
      </c>
      <c r="E11043">
        <v>1</v>
      </c>
      <c r="F11043">
        <v>1706133</v>
      </c>
    </row>
    <row r="11044" spans="1:6" ht="12.75">
      <c r="A11044" s="2">
        <v>43880.37498842593</v>
      </c>
      <c r="B11044" t="str">
        <f>HYPERLINK("https://twitter.com/dukeofmalang","@dukeofmalang")</f>
        <v>@dukeofmalang</v>
      </c>
      <c r="C11044" t="s">
        <v>1407</v>
      </c>
      <c r="D11044">
        <v>1713</v>
      </c>
      <c r="E11044">
        <v>0</v>
      </c>
      <c r="F11044">
        <v>11049</v>
      </c>
    </row>
    <row r="11045" spans="1:6" ht="12.75">
      <c r="A11045" s="2">
        <v>43880.374942129631</v>
      </c>
      <c r="B11045" t="str">
        <f>HYPERLINK("https://twitter.com/rizataza","@rizataza")</f>
        <v>@rizataza</v>
      </c>
      <c r="C11045" t="s">
        <v>1407</v>
      </c>
      <c r="D11045">
        <v>1713</v>
      </c>
      <c r="E11045">
        <v>0</v>
      </c>
      <c r="F11045">
        <v>283</v>
      </c>
    </row>
    <row r="11046" spans="1:6" ht="12.75">
      <c r="A11046" s="2">
        <v>43880.374907407408</v>
      </c>
      <c r="B11046" t="str">
        <f>HYPERLINK("https://twitter.com/NathaniaPutriPA","@NathaniaPutriPA")</f>
        <v>@NathaniaPutriPA</v>
      </c>
      <c r="C11046" t="s">
        <v>6052</v>
      </c>
      <c r="D11046">
        <v>77</v>
      </c>
      <c r="E11046">
        <v>0</v>
      </c>
      <c r="F11046">
        <v>37</v>
      </c>
    </row>
    <row r="11047" spans="1:6" ht="12.75">
      <c r="A11047" s="2">
        <v>43880.374884259261</v>
      </c>
      <c r="B11047" t="str">
        <f>HYPERLINK("https://twitter.com/min_wahab","@min_wahab")</f>
        <v>@min_wahab</v>
      </c>
      <c r="C11047" t="s">
        <v>4415</v>
      </c>
      <c r="D11047">
        <v>39</v>
      </c>
      <c r="E11047">
        <v>0</v>
      </c>
      <c r="F11047">
        <v>172</v>
      </c>
    </row>
    <row r="11048" spans="1:6" ht="12.75">
      <c r="A11048" s="2">
        <v>43880.374525462961</v>
      </c>
      <c r="B11048" t="str">
        <f>HYPERLINK("https://twitter.com/syithaw","@syithaw")</f>
        <v>@syithaw</v>
      </c>
      <c r="C11048" t="s">
        <v>1407</v>
      </c>
      <c r="D11048">
        <v>1713</v>
      </c>
      <c r="E11048">
        <v>0</v>
      </c>
      <c r="F11048">
        <v>431</v>
      </c>
    </row>
    <row r="11049" spans="1:6" ht="12.75">
      <c r="A11049" s="2">
        <v>43880.374421296292</v>
      </c>
      <c r="B11049" t="str">
        <f>HYPERLINK("https://twitter.com/kimbabmanis","@kimbabmanis")</f>
        <v>@kimbabmanis</v>
      </c>
      <c r="C11049" t="s">
        <v>1407</v>
      </c>
      <c r="D11049">
        <v>1713</v>
      </c>
      <c r="E11049">
        <v>0</v>
      </c>
      <c r="F11049">
        <v>143</v>
      </c>
    </row>
    <row r="11050" spans="1:6" ht="12.75">
      <c r="A11050" s="2">
        <v>43880.374421296292</v>
      </c>
      <c r="B11050" t="str">
        <f>HYPERLINK("https://twitter.com/sonnavy","@sonnavy")</f>
        <v>@sonnavy</v>
      </c>
      <c r="C11050" t="s">
        <v>2467</v>
      </c>
      <c r="D11050">
        <v>84</v>
      </c>
      <c r="E11050">
        <v>0</v>
      </c>
      <c r="F11050">
        <v>407</v>
      </c>
    </row>
    <row r="11051" spans="1:6" ht="12.75">
      <c r="A11051" s="2">
        <v>43880.374282407407</v>
      </c>
      <c r="B11051" t="str">
        <f>HYPERLINK("https://twitter.com/sukatanyaj","@sukatanyaj")</f>
        <v>@sukatanyaj</v>
      </c>
      <c r="C11051" t="s">
        <v>6084</v>
      </c>
      <c r="D11051">
        <v>3</v>
      </c>
      <c r="E11051">
        <v>0</v>
      </c>
      <c r="F11051">
        <v>5687</v>
      </c>
    </row>
    <row r="11052" spans="1:6" ht="12.75">
      <c r="A11052" s="2">
        <v>43880.374143518522</v>
      </c>
      <c r="B11052" t="str">
        <f>HYPERLINK("https://twitter.com/Kenta_Schecter","@Kenta_Schecter")</f>
        <v>@Kenta_Schecter</v>
      </c>
      <c r="C11052" t="s">
        <v>6085</v>
      </c>
      <c r="D11052">
        <v>0</v>
      </c>
      <c r="E11052">
        <v>0</v>
      </c>
      <c r="F11052">
        <v>327</v>
      </c>
    </row>
    <row r="11053" spans="1:6" ht="12.75">
      <c r="A11053" s="2">
        <v>43880.373715277776</v>
      </c>
      <c r="B11053" t="str">
        <f>HYPERLINK("https://twitter.com/agama_nusantara","@agama_nusantara")</f>
        <v>@agama_nusantara</v>
      </c>
      <c r="C11053" t="s">
        <v>6086</v>
      </c>
      <c r="D11053">
        <v>0</v>
      </c>
      <c r="E11053">
        <v>0</v>
      </c>
      <c r="F11053">
        <v>7346</v>
      </c>
    </row>
    <row r="11054" spans="1:6" ht="12.75">
      <c r="A11054" s="2">
        <v>43880.373703703706</v>
      </c>
      <c r="B11054" t="str">
        <f>HYPERLINK("https://twitter.com/auliiaprima","@auliiaprima")</f>
        <v>@auliiaprima</v>
      </c>
      <c r="C11054" t="s">
        <v>1407</v>
      </c>
      <c r="D11054">
        <v>1713</v>
      </c>
      <c r="E11054">
        <v>0</v>
      </c>
      <c r="F11054">
        <v>737</v>
      </c>
    </row>
    <row r="11055" spans="1:6" ht="12.75">
      <c r="A11055" s="2">
        <v>43880.373553240745</v>
      </c>
      <c r="B11055" t="str">
        <f>HYPERLINK("https://twitter.com/khairulrch","@khairulrch")</f>
        <v>@khairulrch</v>
      </c>
      <c r="C11055" t="s">
        <v>1407</v>
      </c>
      <c r="D11055">
        <v>1713</v>
      </c>
      <c r="E11055">
        <v>0</v>
      </c>
      <c r="F11055">
        <v>864</v>
      </c>
    </row>
    <row r="11056" spans="1:6" ht="12.75">
      <c r="A11056" s="2">
        <v>43880.373530092591</v>
      </c>
      <c r="B11056" t="str">
        <f>HYPERLINK("https://twitter.com/iPrasojo","@iPrasojo")</f>
        <v>@iPrasojo</v>
      </c>
      <c r="C11056" t="s">
        <v>1407</v>
      </c>
      <c r="D11056">
        <v>1713</v>
      </c>
      <c r="E11056">
        <v>0</v>
      </c>
      <c r="F11056">
        <v>500</v>
      </c>
    </row>
    <row r="11057" spans="1:6" ht="12.75">
      <c r="A11057" s="2">
        <v>43880.373483796298</v>
      </c>
      <c r="B11057" t="str">
        <f>HYPERLINK("https://twitter.com/Arddhhya","@Arddhhya")</f>
        <v>@Arddhhya</v>
      </c>
      <c r="C11057" t="s">
        <v>1407</v>
      </c>
      <c r="D11057">
        <v>1713</v>
      </c>
      <c r="E11057">
        <v>0</v>
      </c>
      <c r="F11057">
        <v>312</v>
      </c>
    </row>
    <row r="11058" spans="1:6" ht="12.75">
      <c r="A11058" s="2">
        <v>43880.373472222222</v>
      </c>
      <c r="B11058" t="str">
        <f>HYPERLINK("https://twitter.com/hallo_fa","@hallo_fa")</f>
        <v>@hallo_fa</v>
      </c>
      <c r="C11058" t="s">
        <v>1407</v>
      </c>
      <c r="D11058">
        <v>1713</v>
      </c>
      <c r="E11058">
        <v>0</v>
      </c>
      <c r="F11058">
        <v>236</v>
      </c>
    </row>
    <row r="11059" spans="1:6" ht="12.75">
      <c r="A11059" s="2">
        <v>43880.373298611114</v>
      </c>
      <c r="B11059" t="str">
        <f>HYPERLINK("https://twitter.com/pullcloser_","@pullcloser_")</f>
        <v>@pullcloser_</v>
      </c>
      <c r="C11059" t="s">
        <v>1407</v>
      </c>
      <c r="D11059">
        <v>1713</v>
      </c>
      <c r="E11059">
        <v>0</v>
      </c>
      <c r="F11059">
        <v>1880</v>
      </c>
    </row>
    <row r="11060" spans="1:6" ht="12.75">
      <c r="A11060" s="2">
        <v>43880.373252314814</v>
      </c>
      <c r="B11060" t="str">
        <f>HYPERLINK("https://twitter.com/S2PIDNESS","@S2PIDNESS")</f>
        <v>@S2PIDNESS</v>
      </c>
      <c r="C11060" t="s">
        <v>1407</v>
      </c>
      <c r="D11060">
        <v>1713</v>
      </c>
      <c r="E11060">
        <v>0</v>
      </c>
      <c r="F11060">
        <v>266</v>
      </c>
    </row>
    <row r="11061" spans="1:6" ht="12.75">
      <c r="A11061" s="2">
        <v>43880.373194444444</v>
      </c>
      <c r="B11061" t="str">
        <f>HYPERLINK("https://twitter.com/ronavioleta","@ronavioleta")</f>
        <v>@ronavioleta</v>
      </c>
      <c r="C11061" t="s">
        <v>6087</v>
      </c>
      <c r="D11061">
        <v>3</v>
      </c>
      <c r="E11061">
        <v>1</v>
      </c>
      <c r="F11061">
        <v>55834</v>
      </c>
    </row>
    <row r="11062" spans="1:6" ht="12.75">
      <c r="A11062" s="2">
        <v>43880.373090277775</v>
      </c>
      <c r="B11062" t="str">
        <f>HYPERLINK("https://twitter.com/KoecengJingga","@KoecengJingga")</f>
        <v>@KoecengJingga</v>
      </c>
      <c r="C11062" t="s">
        <v>1407</v>
      </c>
      <c r="D11062">
        <v>1713</v>
      </c>
      <c r="E11062">
        <v>0</v>
      </c>
      <c r="F11062">
        <v>183</v>
      </c>
    </row>
    <row r="11063" spans="1:6" ht="12.75">
      <c r="A11063" s="2">
        <v>43880.373090277775</v>
      </c>
      <c r="B11063" t="str">
        <f>HYPERLINK("https://twitter.com/Ongliette","@Ongliette")</f>
        <v>@Ongliette</v>
      </c>
      <c r="C11063" t="s">
        <v>6088</v>
      </c>
      <c r="D11063">
        <v>0</v>
      </c>
      <c r="E11063">
        <v>0</v>
      </c>
      <c r="F11063">
        <v>0</v>
      </c>
    </row>
    <row r="11064" spans="1:6" ht="12.75">
      <c r="A11064" s="2">
        <v>43880.373067129629</v>
      </c>
      <c r="B11064" t="str">
        <f>HYPERLINK("https://twitter.com/djodibotak","@djodibotak")</f>
        <v>@djodibotak</v>
      </c>
      <c r="C11064" t="s">
        <v>1407</v>
      </c>
      <c r="D11064">
        <v>1713</v>
      </c>
      <c r="E11064">
        <v>0</v>
      </c>
      <c r="F11064">
        <v>236</v>
      </c>
    </row>
    <row r="11065" spans="1:6" ht="12.75">
      <c r="A11065" s="2">
        <v>43880.373043981483</v>
      </c>
      <c r="B11065" t="str">
        <f>HYPERLINK("https://twitter.com/KJRIPENANG","@KJRIPENANG")</f>
        <v>@KJRIPENANG</v>
      </c>
      <c r="C11065" t="s">
        <v>2079</v>
      </c>
      <c r="D11065">
        <v>41</v>
      </c>
      <c r="E11065">
        <v>0</v>
      </c>
      <c r="F11065">
        <v>490</v>
      </c>
    </row>
    <row r="11066" spans="1:6" ht="12.75">
      <c r="A11066" s="2">
        <v>43880.37290509259</v>
      </c>
      <c r="B11066" t="str">
        <f>HYPERLINK("https://twitter.com/jeanmarthen","@jeanmarthen")</f>
        <v>@jeanmarthen</v>
      </c>
      <c r="C11066" t="s">
        <v>1407</v>
      </c>
      <c r="D11066">
        <v>1713</v>
      </c>
      <c r="E11066">
        <v>0</v>
      </c>
      <c r="F11066">
        <v>1194</v>
      </c>
    </row>
    <row r="11067" spans="1:6" ht="12.75">
      <c r="A11067" s="2">
        <v>43880.372893518521</v>
      </c>
      <c r="B11067" t="str">
        <f>HYPERLINK("https://twitter.com/oldsoulcries","@oldsoulcries")</f>
        <v>@oldsoulcries</v>
      </c>
      <c r="C11067" t="s">
        <v>1407</v>
      </c>
      <c r="D11067">
        <v>1713</v>
      </c>
      <c r="E11067">
        <v>0</v>
      </c>
      <c r="F11067">
        <v>42</v>
      </c>
    </row>
    <row r="11068" spans="1:6" ht="12.75">
      <c r="A11068" s="2">
        <v>43880.372800925921</v>
      </c>
      <c r="B11068" t="str">
        <f>HYPERLINK("https://twitter.com/HeciYeni","@HeciYeni")</f>
        <v>@HeciYeni</v>
      </c>
      <c r="C11068" t="s">
        <v>6089</v>
      </c>
      <c r="D11068">
        <v>12</v>
      </c>
      <c r="E11068">
        <v>0</v>
      </c>
      <c r="F11068">
        <v>152</v>
      </c>
    </row>
    <row r="11069" spans="1:6" ht="12.75">
      <c r="A11069" s="2">
        <v>43880.372731481482</v>
      </c>
      <c r="B11069" t="str">
        <f>HYPERLINK("https://twitter.com/_Bakemono","@_Bakemono")</f>
        <v>@_Bakemono</v>
      </c>
      <c r="C11069" t="s">
        <v>6090</v>
      </c>
      <c r="D11069">
        <v>4</v>
      </c>
      <c r="E11069">
        <v>0</v>
      </c>
      <c r="F11069">
        <v>820</v>
      </c>
    </row>
    <row r="11070" spans="1:6" ht="12.75">
      <c r="A11070" s="2">
        <v>43880.372719907406</v>
      </c>
      <c r="B11070" t="str">
        <f>HYPERLINK("https://twitter.com/biliapa","@biliapa")</f>
        <v>@biliapa</v>
      </c>
      <c r="C11070" t="s">
        <v>1407</v>
      </c>
      <c r="D11070">
        <v>1713</v>
      </c>
      <c r="E11070">
        <v>0</v>
      </c>
      <c r="F11070">
        <v>1088</v>
      </c>
    </row>
    <row r="11071" spans="1:6" ht="12.75">
      <c r="A11071" s="2">
        <v>43880.372650462959</v>
      </c>
      <c r="B11071" t="str">
        <f>HYPERLINK("https://twitter.com/PurworOjek","@PurworOjek")</f>
        <v>@PurworOjek</v>
      </c>
      <c r="C11071" t="s">
        <v>6091</v>
      </c>
      <c r="D11071">
        <v>3</v>
      </c>
      <c r="E11071">
        <v>0</v>
      </c>
      <c r="F11071">
        <v>852</v>
      </c>
    </row>
    <row r="11072" spans="1:6" ht="12.75">
      <c r="A11072" s="2">
        <v>43880.372615740736</v>
      </c>
      <c r="B11072" t="str">
        <f>HYPERLINK("https://twitter.com/egaariendra96","@egaariendra96")</f>
        <v>@egaariendra96</v>
      </c>
      <c r="C11072" t="s">
        <v>1407</v>
      </c>
      <c r="D11072">
        <v>1713</v>
      </c>
      <c r="E11072">
        <v>0</v>
      </c>
      <c r="F11072">
        <v>146</v>
      </c>
    </row>
    <row r="11073" spans="1:6" ht="12.75">
      <c r="A11073" s="2">
        <v>43880.372511574074</v>
      </c>
      <c r="B11073" t="str">
        <f>HYPERLINK("https://twitter.com/ellyandrn","@ellyandrn")</f>
        <v>@ellyandrn</v>
      </c>
      <c r="C11073" t="s">
        <v>1407</v>
      </c>
      <c r="D11073">
        <v>1713</v>
      </c>
      <c r="E11073">
        <v>0</v>
      </c>
      <c r="F11073">
        <v>536</v>
      </c>
    </row>
    <row r="11074" spans="1:6" ht="12.75">
      <c r="A11074" s="2">
        <v>43880.372499999998</v>
      </c>
      <c r="B11074" t="str">
        <f>HYPERLINK("https://twitter.com/Aprilianpratama","@Aprilianpratama")</f>
        <v>@Aprilianpratama</v>
      </c>
      <c r="C11074" t="s">
        <v>2183</v>
      </c>
      <c r="D11074">
        <v>8</v>
      </c>
      <c r="E11074">
        <v>0</v>
      </c>
      <c r="F11074">
        <v>206</v>
      </c>
    </row>
    <row r="11075" spans="1:6" ht="12.75">
      <c r="A11075" s="2">
        <v>43880.372476851851</v>
      </c>
      <c r="B11075" t="str">
        <f>HYPERLINK("https://twitter.com/aaninditaf","@aaninditaf")</f>
        <v>@aaninditaf</v>
      </c>
      <c r="C11075" t="s">
        <v>1407</v>
      </c>
      <c r="D11075">
        <v>1713</v>
      </c>
      <c r="E11075">
        <v>0</v>
      </c>
      <c r="F11075">
        <v>372</v>
      </c>
    </row>
    <row r="11076" spans="1:6" ht="12.75">
      <c r="A11076" s="2">
        <v>43880.372430555552</v>
      </c>
      <c r="B11076" t="str">
        <f>HYPERLINK("https://twitter.com/Aprilianpratama","@Aprilianpratama")</f>
        <v>@Aprilianpratama</v>
      </c>
      <c r="C11076" t="s">
        <v>2467</v>
      </c>
      <c r="D11076">
        <v>84</v>
      </c>
      <c r="E11076">
        <v>0</v>
      </c>
      <c r="F11076">
        <v>206</v>
      </c>
    </row>
    <row r="11077" spans="1:6" ht="12.75">
      <c r="A11077" s="2">
        <v>43880.372418981482</v>
      </c>
      <c r="B11077" t="str">
        <f>HYPERLINK("https://twitter.com/iqbalqmby","@iqbalqmby")</f>
        <v>@iqbalqmby</v>
      </c>
      <c r="C11077" t="s">
        <v>1407</v>
      </c>
      <c r="D11077">
        <v>1713</v>
      </c>
      <c r="E11077">
        <v>0</v>
      </c>
      <c r="F11077">
        <v>368</v>
      </c>
    </row>
    <row r="11078" spans="1:6" ht="12.75">
      <c r="A11078" s="2">
        <v>43880.372395833328</v>
      </c>
      <c r="B11078" t="str">
        <f>HYPERLINK("https://twitter.com/Aprilianpratama","@Aprilianpratama")</f>
        <v>@Aprilianpratama</v>
      </c>
      <c r="C11078" t="s">
        <v>1407</v>
      </c>
      <c r="D11078">
        <v>1713</v>
      </c>
      <c r="E11078">
        <v>0</v>
      </c>
      <c r="F11078">
        <v>206</v>
      </c>
    </row>
    <row r="11079" spans="1:6" ht="12.75">
      <c r="A11079" s="2">
        <v>43880.372118055559</v>
      </c>
      <c r="B11079" t="str">
        <f>HYPERLINK("https://twitter.com/siapaaitu","@siapaaitu")</f>
        <v>@siapaaitu</v>
      </c>
      <c r="C11079" t="s">
        <v>6032</v>
      </c>
      <c r="D11079">
        <v>883</v>
      </c>
      <c r="E11079">
        <v>0</v>
      </c>
      <c r="F11079">
        <v>72</v>
      </c>
    </row>
    <row r="11080" spans="1:6" ht="12.75">
      <c r="A11080" s="2">
        <v>43880.372013888889</v>
      </c>
      <c r="B11080" t="str">
        <f>HYPERLINK("https://twitter.com/HadiHalib","@HadiHalib")</f>
        <v>@HadiHalib</v>
      </c>
      <c r="C11080" t="s">
        <v>4415</v>
      </c>
      <c r="D11080">
        <v>39</v>
      </c>
      <c r="E11080">
        <v>0</v>
      </c>
      <c r="F11080">
        <v>458</v>
      </c>
    </row>
    <row r="11081" spans="1:6" ht="12.75">
      <c r="A11081" s="2">
        <v>43880.371967592597</v>
      </c>
      <c r="B11081" t="str">
        <f>HYPERLINK("https://twitter.com/ganjartegas","@ganjartegas")</f>
        <v>@ganjartegas</v>
      </c>
      <c r="C11081" t="s">
        <v>1407</v>
      </c>
      <c r="D11081">
        <v>1713</v>
      </c>
      <c r="E11081">
        <v>0</v>
      </c>
      <c r="F11081">
        <v>352</v>
      </c>
    </row>
    <row r="11082" spans="1:6" ht="12.75">
      <c r="A11082" s="2">
        <v>43880.371932870374</v>
      </c>
      <c r="B11082" t="str">
        <f>HYPERLINK("https://twitter.com/Kyroenna","@Kyroenna")</f>
        <v>@Kyroenna</v>
      </c>
      <c r="C11082" t="s">
        <v>1407</v>
      </c>
      <c r="D11082">
        <v>1713</v>
      </c>
      <c r="E11082">
        <v>0</v>
      </c>
      <c r="F11082">
        <v>403</v>
      </c>
    </row>
    <row r="11083" spans="1:6" ht="12.75">
      <c r="A11083" s="2">
        <v>43880.371886574074</v>
      </c>
      <c r="B11083" t="str">
        <f>HYPERLINK("https://twitter.com/Kartikasari28","@Kartikasari28")</f>
        <v>@Kartikasari28</v>
      </c>
      <c r="C11083" t="s">
        <v>6092</v>
      </c>
      <c r="D11083">
        <v>18</v>
      </c>
      <c r="E11083">
        <v>0</v>
      </c>
      <c r="F11083">
        <v>197</v>
      </c>
    </row>
    <row r="11084" spans="1:6" ht="12.75">
      <c r="A11084" s="2">
        <v>43880.371886574074</v>
      </c>
      <c r="B11084" t="str">
        <f>HYPERLINK("https://twitter.com/BintangJ48","@BintangJ48")</f>
        <v>@BintangJ48</v>
      </c>
      <c r="C11084" t="s">
        <v>1407</v>
      </c>
      <c r="D11084">
        <v>1713</v>
      </c>
      <c r="E11084">
        <v>0</v>
      </c>
      <c r="F11084">
        <v>148</v>
      </c>
    </row>
    <row r="11085" spans="1:6" ht="12.75">
      <c r="A11085" s="2">
        <v>43880.371840277774</v>
      </c>
      <c r="B11085" t="str">
        <f>HYPERLINK("https://twitter.com/xujiaoo","@xujiaoo")</f>
        <v>@xujiaoo</v>
      </c>
      <c r="C11085" t="s">
        <v>6093</v>
      </c>
      <c r="D11085">
        <v>0</v>
      </c>
      <c r="E11085">
        <v>0</v>
      </c>
      <c r="F11085">
        <v>59</v>
      </c>
    </row>
    <row r="11086" spans="1:6" ht="12.75">
      <c r="A11086" s="2">
        <v>43880.371770833328</v>
      </c>
      <c r="B11086" t="str">
        <f>HYPERLINK("https://twitter.com/Si_SesatTimur","@Si_SesatTimur")</f>
        <v>@Si_SesatTimur</v>
      </c>
      <c r="C11086" t="s">
        <v>1407</v>
      </c>
      <c r="D11086">
        <v>1713</v>
      </c>
      <c r="E11086">
        <v>0</v>
      </c>
      <c r="F11086">
        <v>107</v>
      </c>
    </row>
    <row r="11087" spans="1:6" ht="12.75">
      <c r="A11087" s="2">
        <v>43880.371655092589</v>
      </c>
      <c r="B11087" t="str">
        <f>HYPERLINK("https://twitter.com/bebeakim","@bebeakim")</f>
        <v>@bebeakim</v>
      </c>
      <c r="C11087" t="s">
        <v>1407</v>
      </c>
      <c r="D11087">
        <v>1713</v>
      </c>
      <c r="E11087">
        <v>0</v>
      </c>
      <c r="F11087">
        <v>245</v>
      </c>
    </row>
    <row r="11088" spans="1:6" ht="12.75">
      <c r="A11088" s="2">
        <v>43880.371527777781</v>
      </c>
      <c r="B11088" t="str">
        <f>HYPERLINK("https://twitter.com/pinkusupaido","@pinkusupaido")</f>
        <v>@pinkusupaido</v>
      </c>
      <c r="C11088" t="s">
        <v>1407</v>
      </c>
      <c r="D11088">
        <v>1713</v>
      </c>
      <c r="E11088">
        <v>0</v>
      </c>
      <c r="F11088">
        <v>1629</v>
      </c>
    </row>
    <row r="11089" spans="1:6" ht="12.75">
      <c r="A11089" s="2">
        <v>43880.371446759258</v>
      </c>
      <c r="B11089" t="str">
        <f>HYPERLINK("https://twitter.com/arinannns","@arinannns")</f>
        <v>@arinannns</v>
      </c>
      <c r="C11089" t="s">
        <v>1407</v>
      </c>
      <c r="D11089">
        <v>1713</v>
      </c>
      <c r="E11089">
        <v>0</v>
      </c>
      <c r="F11089">
        <v>489</v>
      </c>
    </row>
    <row r="11090" spans="1:6" ht="12.75">
      <c r="A11090" s="2">
        <v>43880.371215277773</v>
      </c>
      <c r="B11090" t="str">
        <f>HYPERLINK("https://twitter.com/alfiansyh","@alfiansyh")</f>
        <v>@alfiansyh</v>
      </c>
      <c r="C11090" t="s">
        <v>1407</v>
      </c>
      <c r="D11090">
        <v>1713</v>
      </c>
      <c r="E11090">
        <v>0</v>
      </c>
      <c r="F11090">
        <v>557</v>
      </c>
    </row>
    <row r="11091" spans="1:6" ht="12.75">
      <c r="A11091" s="2">
        <v>43880.371203703704</v>
      </c>
      <c r="B11091" t="str">
        <f>HYPERLINK("https://twitter.com/mirantiaps","@mirantiaps")</f>
        <v>@mirantiaps</v>
      </c>
      <c r="C11091" t="s">
        <v>1407</v>
      </c>
      <c r="D11091">
        <v>1713</v>
      </c>
      <c r="E11091">
        <v>0</v>
      </c>
      <c r="F11091">
        <v>707</v>
      </c>
    </row>
    <row r="11092" spans="1:6" ht="12.75">
      <c r="A11092" s="2">
        <v>43880.371134259258</v>
      </c>
      <c r="B11092" t="str">
        <f>HYPERLINK("https://twitter.com/MMJPRTM","@MMJPRTM")</f>
        <v>@MMJPRTM</v>
      </c>
      <c r="C11092" t="s">
        <v>1407</v>
      </c>
      <c r="D11092">
        <v>1713</v>
      </c>
      <c r="E11092">
        <v>0</v>
      </c>
      <c r="F11092">
        <v>118</v>
      </c>
    </row>
    <row r="11093" spans="1:6" ht="12.75">
      <c r="A11093" s="2">
        <v>43880.371087962965</v>
      </c>
      <c r="B11093" t="str">
        <f>HYPERLINK("https://twitter.com/alfitrastavares","@alfitrastavares")</f>
        <v>@alfitrastavares</v>
      </c>
      <c r="C11093" t="s">
        <v>1407</v>
      </c>
      <c r="D11093">
        <v>1713</v>
      </c>
      <c r="E11093">
        <v>0</v>
      </c>
      <c r="F11093">
        <v>147</v>
      </c>
    </row>
    <row r="11094" spans="1:6" ht="12.75">
      <c r="A11094" s="2">
        <v>43880.371018518519</v>
      </c>
      <c r="B11094" t="str">
        <f>HYPERLINK("https://twitter.com/iamuharam","@iamuharam")</f>
        <v>@iamuharam</v>
      </c>
      <c r="C11094" t="s">
        <v>1407</v>
      </c>
      <c r="D11094">
        <v>1713</v>
      </c>
      <c r="E11094">
        <v>0</v>
      </c>
      <c r="F11094">
        <v>629</v>
      </c>
    </row>
    <row r="11095" spans="1:6" ht="12.75">
      <c r="A11095" s="2">
        <v>43880.37100694445</v>
      </c>
      <c r="B11095" t="str">
        <f>HYPERLINK("https://twitter.com/PancasilankriM","@PancasilankriM")</f>
        <v>@PancasilankriM</v>
      </c>
      <c r="C11095" t="s">
        <v>6094</v>
      </c>
      <c r="D11095">
        <v>0</v>
      </c>
      <c r="E11095">
        <v>0</v>
      </c>
      <c r="F11095">
        <v>0</v>
      </c>
    </row>
    <row r="11096" spans="1:6" ht="12.75">
      <c r="A11096" s="2">
        <v>43880.370833333334</v>
      </c>
      <c r="B11096" t="str">
        <f>HYPERLINK("https://twitter.com/masrubahramoke","@masrubahramoke")</f>
        <v>@masrubahramoke</v>
      </c>
      <c r="C11096" t="s">
        <v>6095</v>
      </c>
      <c r="D11096">
        <v>5</v>
      </c>
      <c r="E11096">
        <v>0</v>
      </c>
      <c r="F11096">
        <v>1</v>
      </c>
    </row>
    <row r="11097" spans="1:6" ht="12.75">
      <c r="A11097" s="2">
        <v>43880.370833333334</v>
      </c>
      <c r="B11097" t="str">
        <f>HYPERLINK("https://twitter.com/diknams","@diknams")</f>
        <v>@diknams</v>
      </c>
      <c r="C11097" t="s">
        <v>1407</v>
      </c>
      <c r="D11097">
        <v>1713</v>
      </c>
      <c r="E11097">
        <v>0</v>
      </c>
      <c r="F11097">
        <v>729</v>
      </c>
    </row>
    <row r="11098" spans="1:6" ht="12.75">
      <c r="A11098" s="2">
        <v>43880.370798611111</v>
      </c>
      <c r="B11098" t="str">
        <f>HYPERLINK("https://twitter.com/stabilooren","@stabilooren")</f>
        <v>@stabilooren</v>
      </c>
      <c r="C11098" t="s">
        <v>1407</v>
      </c>
      <c r="D11098">
        <v>1713</v>
      </c>
      <c r="E11098">
        <v>0</v>
      </c>
      <c r="F11098">
        <v>521</v>
      </c>
    </row>
    <row r="11099" spans="1:6" ht="12.75">
      <c r="A11099" s="2">
        <v>43880.370763888888</v>
      </c>
      <c r="B11099" t="str">
        <f>HYPERLINK("https://twitter.com/baraqatax","@baraqatax")</f>
        <v>@baraqatax</v>
      </c>
      <c r="C11099" t="s">
        <v>1407</v>
      </c>
      <c r="D11099">
        <v>1713</v>
      </c>
      <c r="E11099">
        <v>0</v>
      </c>
      <c r="F11099">
        <v>469</v>
      </c>
    </row>
    <row r="11100" spans="1:6" ht="12.75">
      <c r="A11100" s="2">
        <v>43880.370717592596</v>
      </c>
      <c r="B11100" t="str">
        <f>HYPERLINK("https://twitter.com/Brytdk12","@Brytdk12")</f>
        <v>@Brytdk12</v>
      </c>
      <c r="C11100" t="s">
        <v>1407</v>
      </c>
      <c r="D11100">
        <v>1713</v>
      </c>
      <c r="E11100">
        <v>0</v>
      </c>
      <c r="F11100">
        <v>625</v>
      </c>
    </row>
    <row r="11101" spans="1:6" ht="12.75">
      <c r="A11101" s="2">
        <v>43880.370659722219</v>
      </c>
      <c r="B11101" t="str">
        <f>HYPERLINK("https://twitter.com/Katafiky","@Katafiky")</f>
        <v>@Katafiky</v>
      </c>
      <c r="C11101" t="s">
        <v>1407</v>
      </c>
      <c r="D11101">
        <v>1713</v>
      </c>
      <c r="E11101">
        <v>0</v>
      </c>
      <c r="F11101">
        <v>106</v>
      </c>
    </row>
    <row r="11102" spans="1:6" ht="12.75">
      <c r="A11102" s="2">
        <v>43880.370520833334</v>
      </c>
      <c r="B11102" t="str">
        <f>HYPERLINK("https://twitter.com/almaasnurmadina","@almaasnurmadina")</f>
        <v>@almaasnurmadina</v>
      </c>
      <c r="C11102" t="s">
        <v>1407</v>
      </c>
      <c r="D11102">
        <v>1713</v>
      </c>
      <c r="E11102">
        <v>0</v>
      </c>
      <c r="F11102">
        <v>122</v>
      </c>
    </row>
    <row r="11103" spans="1:6" ht="12.75">
      <c r="A11103" s="2">
        <v>43880.370405092588</v>
      </c>
      <c r="B11103" t="str">
        <f>HYPERLINK("https://twitter.com/Indopolitika","@Indopolitika")</f>
        <v>@Indopolitika</v>
      </c>
      <c r="C11103" t="s">
        <v>6096</v>
      </c>
      <c r="D11103">
        <v>0</v>
      </c>
      <c r="E11103">
        <v>0</v>
      </c>
      <c r="F11103">
        <v>10611</v>
      </c>
    </row>
    <row r="11104" spans="1:6" ht="12.75">
      <c r="A11104" s="2">
        <v>43880.370358796295</v>
      </c>
      <c r="B11104" t="str">
        <f>HYPERLINK("https://twitter.com/Fatimah_Ht","@Fatimah_Ht")</f>
        <v>@Fatimah_Ht</v>
      </c>
      <c r="C11104" t="s">
        <v>1407</v>
      </c>
      <c r="D11104">
        <v>1713</v>
      </c>
      <c r="E11104">
        <v>0</v>
      </c>
      <c r="F11104">
        <v>46</v>
      </c>
    </row>
    <row r="11105" spans="1:6" ht="12.75">
      <c r="A11105" s="2">
        <v>43880.370324074072</v>
      </c>
      <c r="B11105" t="str">
        <f>HYPERLINK("https://twitter.com/Indopolitika","@Indopolitika")</f>
        <v>@Indopolitika</v>
      </c>
      <c r="C11105" t="s">
        <v>6097</v>
      </c>
      <c r="D11105">
        <v>0</v>
      </c>
      <c r="E11105">
        <v>0</v>
      </c>
      <c r="F11105">
        <v>10611</v>
      </c>
    </row>
    <row r="11106" spans="1:6" ht="12.75">
      <c r="A11106" s="2">
        <v>43880.37023148148</v>
      </c>
      <c r="B11106" t="str">
        <f>HYPERLINK("https://twitter.com/KKhawarij","@KKhawarij")</f>
        <v>@KKhawarij</v>
      </c>
      <c r="C11106" t="s">
        <v>6098</v>
      </c>
      <c r="D11106">
        <v>0</v>
      </c>
      <c r="E11106">
        <v>0</v>
      </c>
      <c r="F11106">
        <v>188</v>
      </c>
    </row>
    <row r="11107" spans="1:6" ht="12.75">
      <c r="A11107" s="2">
        <v>43880.370162037041</v>
      </c>
      <c r="B11107" t="str">
        <f>HYPERLINK("https://twitter.com/delvinasascia","@delvinasascia")</f>
        <v>@delvinasascia</v>
      </c>
      <c r="C11107" t="s">
        <v>1407</v>
      </c>
      <c r="D11107">
        <v>1713</v>
      </c>
      <c r="E11107">
        <v>0</v>
      </c>
      <c r="F11107">
        <v>348</v>
      </c>
    </row>
    <row r="11108" spans="1:6" ht="12.75">
      <c r="A11108" s="2">
        <v>43880.369988425926</v>
      </c>
      <c r="B11108" t="str">
        <f>HYPERLINK("https://twitter.com/RezyFR","@RezyFR")</f>
        <v>@RezyFR</v>
      </c>
      <c r="C11108" t="s">
        <v>1407</v>
      </c>
      <c r="D11108">
        <v>1713</v>
      </c>
      <c r="E11108">
        <v>0</v>
      </c>
      <c r="F11108">
        <v>251</v>
      </c>
    </row>
    <row r="11109" spans="1:6" ht="12.75">
      <c r="A11109" s="2">
        <v>43880.36996527778</v>
      </c>
      <c r="B11109" t="str">
        <f>HYPERLINK("https://twitter.com/sigantengaduhai","@sigantengaduhai")</f>
        <v>@sigantengaduhai</v>
      </c>
      <c r="C11109" t="s">
        <v>1407</v>
      </c>
      <c r="D11109">
        <v>1713</v>
      </c>
      <c r="E11109">
        <v>0</v>
      </c>
      <c r="F11109">
        <v>421</v>
      </c>
    </row>
    <row r="11110" spans="1:6" ht="12.75">
      <c r="A11110" s="2">
        <v>43880.36990740741</v>
      </c>
      <c r="B11110" t="str">
        <f>HYPERLINK("https://twitter.com/mouchalattee","@mouchalattee")</f>
        <v>@mouchalattee</v>
      </c>
      <c r="C11110" t="s">
        <v>1407</v>
      </c>
      <c r="D11110">
        <v>1713</v>
      </c>
      <c r="E11110">
        <v>0</v>
      </c>
      <c r="F11110">
        <v>197</v>
      </c>
    </row>
    <row r="11111" spans="1:6" ht="12.75">
      <c r="A11111" s="2">
        <v>43880.369814814811</v>
      </c>
      <c r="B11111" t="str">
        <f>HYPERLINK("https://twitter.com/rizki_dianp","@rizki_dianp")</f>
        <v>@rizki_dianp</v>
      </c>
      <c r="C11111" t="s">
        <v>1407</v>
      </c>
      <c r="D11111">
        <v>1713</v>
      </c>
      <c r="E11111">
        <v>0</v>
      </c>
      <c r="F11111">
        <v>539</v>
      </c>
    </row>
    <row r="11112" spans="1:6" ht="12.75">
      <c r="A11112" s="2">
        <v>43880.369583333333</v>
      </c>
      <c r="B11112" t="str">
        <f>HYPERLINK("https://twitter.com/wiiLLda","@wiiLLda")</f>
        <v>@wiiLLda</v>
      </c>
      <c r="C11112" t="s">
        <v>1407</v>
      </c>
      <c r="D11112">
        <v>1713</v>
      </c>
      <c r="E11112">
        <v>0</v>
      </c>
      <c r="F11112">
        <v>860</v>
      </c>
    </row>
    <row r="11113" spans="1:6" ht="12.75">
      <c r="A11113" s="2">
        <v>43880.369513888887</v>
      </c>
      <c r="B11113" t="str">
        <f>HYPERLINK("https://twitter.com/pradhita07","@pradhita07")</f>
        <v>@pradhita07</v>
      </c>
      <c r="C11113" t="s">
        <v>1407</v>
      </c>
      <c r="D11113">
        <v>1713</v>
      </c>
      <c r="E11113">
        <v>0</v>
      </c>
      <c r="F11113">
        <v>396</v>
      </c>
    </row>
    <row r="11114" spans="1:6" ht="12.75">
      <c r="A11114" s="2">
        <v>43880.369421296295</v>
      </c>
      <c r="B11114" t="str">
        <f>HYPERLINK("https://twitter.com/MKF_Kelvin","@MKF_Kelvin")</f>
        <v>@MKF_Kelvin</v>
      </c>
      <c r="C11114" t="s">
        <v>1407</v>
      </c>
      <c r="D11114">
        <v>1713</v>
      </c>
      <c r="E11114">
        <v>0</v>
      </c>
      <c r="F11114">
        <v>2048</v>
      </c>
    </row>
    <row r="11115" spans="1:6" ht="12.75">
      <c r="A11115" s="2">
        <v>43880.369039351848</v>
      </c>
      <c r="B11115" t="str">
        <f>HYPERLINK("https://twitter.com/roullercouster","@roullercouster")</f>
        <v>@roullercouster</v>
      </c>
      <c r="C11115" t="s">
        <v>1407</v>
      </c>
      <c r="D11115">
        <v>1713</v>
      </c>
      <c r="E11115">
        <v>0</v>
      </c>
      <c r="F11115">
        <v>220</v>
      </c>
    </row>
    <row r="11116" spans="1:6" ht="12.75">
      <c r="A11116" s="2">
        <v>43880.369016203702</v>
      </c>
      <c r="B11116" t="str">
        <f>HYPERLINK("https://twitter.com/Gilang91089012","@Gilang91089012")</f>
        <v>@Gilang91089012</v>
      </c>
      <c r="C11116" t="s">
        <v>1407</v>
      </c>
      <c r="D11116">
        <v>1713</v>
      </c>
      <c r="E11116">
        <v>0</v>
      </c>
      <c r="F11116">
        <v>7</v>
      </c>
    </row>
    <row r="11117" spans="1:6" ht="12.75">
      <c r="A11117" s="2">
        <v>43880.368495370371</v>
      </c>
      <c r="B11117" t="str">
        <f>HYPERLINK("https://twitter.com/JoePryMan","@JoePryMan")</f>
        <v>@JoePryMan</v>
      </c>
      <c r="C11117" t="s">
        <v>1407</v>
      </c>
      <c r="D11117">
        <v>1713</v>
      </c>
      <c r="E11117">
        <v>0</v>
      </c>
      <c r="F11117">
        <v>352</v>
      </c>
    </row>
    <row r="11118" spans="1:6" ht="12.75">
      <c r="A11118" s="2">
        <v>43880.368414351848</v>
      </c>
      <c r="B11118" t="str">
        <f>HYPERLINK("https://twitter.com/yahakim19","@yahakim19")</f>
        <v>@yahakim19</v>
      </c>
      <c r="C11118" t="s">
        <v>1407</v>
      </c>
      <c r="D11118">
        <v>1713</v>
      </c>
      <c r="E11118">
        <v>0</v>
      </c>
      <c r="F11118">
        <v>494</v>
      </c>
    </row>
    <row r="11119" spans="1:6" ht="12.75">
      <c r="A11119" s="2">
        <v>43880.368414351848</v>
      </c>
      <c r="B11119" t="str">
        <f>HYPERLINK("https://twitter.com/shankawithH","@shankawithH")</f>
        <v>@shankawithH</v>
      </c>
      <c r="C11119" t="s">
        <v>2467</v>
      </c>
      <c r="D11119">
        <v>84</v>
      </c>
      <c r="E11119">
        <v>0</v>
      </c>
      <c r="F11119">
        <v>76</v>
      </c>
    </row>
    <row r="11120" spans="1:6" ht="12.75">
      <c r="A11120" s="2">
        <v>43880.368402777778</v>
      </c>
      <c r="B11120" t="str">
        <f>HYPERLINK("https://twitter.com/inginexposure","@inginexposure")</f>
        <v>@inginexposure</v>
      </c>
      <c r="C11120" t="s">
        <v>1407</v>
      </c>
      <c r="D11120">
        <v>1713</v>
      </c>
      <c r="E11120">
        <v>0</v>
      </c>
      <c r="F11120">
        <v>88</v>
      </c>
    </row>
    <row r="11121" spans="1:6" ht="12.75">
      <c r="A11121" s="2">
        <v>43880.368333333332</v>
      </c>
      <c r="B11121" t="str">
        <f>HYPERLINK("https://twitter.com/Oyo_Wismoyo","@Oyo_Wismoyo")</f>
        <v>@Oyo_Wismoyo</v>
      </c>
      <c r="C11121" t="s">
        <v>2467</v>
      </c>
      <c r="D11121">
        <v>84</v>
      </c>
      <c r="E11121">
        <v>0</v>
      </c>
      <c r="F11121">
        <v>373</v>
      </c>
    </row>
    <row r="11122" spans="1:6" ht="12.75">
      <c r="A11122" s="2">
        <v>43880.33493055556</v>
      </c>
      <c r="B11122" t="str">
        <f>HYPERLINK("https://twitter.com/rizkipawitra","@rizkipawitra")</f>
        <v>@rizkipawitra</v>
      </c>
      <c r="C11122" t="s">
        <v>1407</v>
      </c>
      <c r="D11122">
        <v>1394</v>
      </c>
      <c r="E11122">
        <v>0</v>
      </c>
      <c r="F11122">
        <v>1528</v>
      </c>
    </row>
    <row r="11123" spans="1:6" ht="12.75">
      <c r="A11123" s="2">
        <v>43880.334918981476</v>
      </c>
      <c r="B11123" t="str">
        <f>HYPERLINK("https://twitter.com/KartikoVianto","@KartikoVianto")</f>
        <v>@KartikoVianto</v>
      </c>
      <c r="C11123" t="s">
        <v>2930</v>
      </c>
      <c r="D11123">
        <v>125</v>
      </c>
      <c r="E11123">
        <v>0</v>
      </c>
      <c r="F11123">
        <v>371</v>
      </c>
    </row>
    <row r="11124" spans="1:6" ht="12.75">
      <c r="A11124" s="2">
        <v>43880.33488425926</v>
      </c>
      <c r="B11124" t="str">
        <f>HYPERLINK("https://twitter.com/DwiAnan63736642","@DwiAnan63736642")</f>
        <v>@DwiAnan63736642</v>
      </c>
      <c r="C11124" t="s">
        <v>6099</v>
      </c>
      <c r="D11124">
        <v>22</v>
      </c>
      <c r="E11124">
        <v>0</v>
      </c>
      <c r="F11124">
        <v>1</v>
      </c>
    </row>
    <row r="11125" spans="1:6" ht="12.75">
      <c r="A11125" s="2">
        <v>43880.334756944445</v>
      </c>
      <c r="B11125" t="str">
        <f>HYPERLINK("https://twitter.com/yoo_arf","@yoo_arf")</f>
        <v>@yoo_arf</v>
      </c>
      <c r="C11125" t="s">
        <v>1407</v>
      </c>
      <c r="D11125">
        <v>1394</v>
      </c>
      <c r="E11125">
        <v>0</v>
      </c>
      <c r="F11125">
        <v>643</v>
      </c>
    </row>
    <row r="11126" spans="1:6" ht="12.75">
      <c r="A11126" s="2">
        <v>43880.334756944445</v>
      </c>
      <c r="B11126" t="str">
        <f>HYPERLINK("https://twitter.com/soegaskins","@soegaskins")</f>
        <v>@soegaskins</v>
      </c>
      <c r="C11126" t="s">
        <v>6100</v>
      </c>
      <c r="D11126">
        <v>0</v>
      </c>
      <c r="E11126">
        <v>0</v>
      </c>
      <c r="F11126">
        <v>126</v>
      </c>
    </row>
    <row r="11127" spans="1:6" ht="12.75">
      <c r="A11127" s="2">
        <v>43880.334675925929</v>
      </c>
      <c r="B11127" t="str">
        <f>HYPERLINK("https://twitter.com/nisarakhmawati_","@nisarakhmawati_")</f>
        <v>@nisarakhmawati_</v>
      </c>
      <c r="C11127" t="s">
        <v>1407</v>
      </c>
      <c r="D11127">
        <v>1394</v>
      </c>
      <c r="E11127">
        <v>0</v>
      </c>
      <c r="F11127">
        <v>116</v>
      </c>
    </row>
    <row r="11128" spans="1:6" ht="12.75">
      <c r="A11128" s="2">
        <v>43880.334456018521</v>
      </c>
      <c r="B11128" t="str">
        <f>HYPERLINK("https://twitter.com/ramdpra","@ramdpra")</f>
        <v>@ramdpra</v>
      </c>
      <c r="C11128" t="s">
        <v>1407</v>
      </c>
      <c r="D11128">
        <v>1394</v>
      </c>
      <c r="E11128">
        <v>0</v>
      </c>
      <c r="F11128">
        <v>560</v>
      </c>
    </row>
    <row r="11129" spans="1:6" ht="12.75">
      <c r="A11129" s="2">
        <v>43880.33425925926</v>
      </c>
      <c r="B11129" t="str">
        <f>HYPERLINK("https://twitter.com/Febrianaruswan","@Febrianaruswan")</f>
        <v>@Febrianaruswan</v>
      </c>
      <c r="C11129" t="s">
        <v>1407</v>
      </c>
      <c r="D11129">
        <v>1394</v>
      </c>
      <c r="E11129">
        <v>0</v>
      </c>
      <c r="F11129">
        <v>203</v>
      </c>
    </row>
    <row r="11130" spans="1:6" ht="12.75">
      <c r="A11130" s="2">
        <v>43880.333796296298</v>
      </c>
      <c r="B11130" t="str">
        <f>HYPERLINK("https://twitter.com/telurdadarr","@telurdadarr")</f>
        <v>@telurdadarr</v>
      </c>
      <c r="C11130" t="s">
        <v>1407</v>
      </c>
      <c r="D11130">
        <v>1394</v>
      </c>
      <c r="E11130">
        <v>0</v>
      </c>
      <c r="F11130">
        <v>4</v>
      </c>
    </row>
    <row r="11131" spans="1:6" ht="12.75">
      <c r="A11131" s="2">
        <v>43880.333761574075</v>
      </c>
      <c r="B11131" t="str">
        <f>HYPERLINK("https://twitter.com/kanakidal","@kanakidal")</f>
        <v>@kanakidal</v>
      </c>
      <c r="C11131" t="s">
        <v>1407</v>
      </c>
      <c r="D11131">
        <v>1394</v>
      </c>
      <c r="E11131">
        <v>0</v>
      </c>
      <c r="F11131">
        <v>736</v>
      </c>
    </row>
    <row r="11132" spans="1:6" ht="12.75">
      <c r="A11132" s="2">
        <v>43880.333668981482</v>
      </c>
      <c r="B11132" t="str">
        <f>HYPERLINK("https://twitter.com/cleocatraaa","@cleocatraaa")</f>
        <v>@cleocatraaa</v>
      </c>
      <c r="C11132" t="s">
        <v>2467</v>
      </c>
      <c r="D11132">
        <v>56</v>
      </c>
      <c r="E11132">
        <v>0</v>
      </c>
      <c r="F11132">
        <v>89</v>
      </c>
    </row>
    <row r="11133" spans="1:6" ht="12.75">
      <c r="A11133" s="2">
        <v>43880.333657407406</v>
      </c>
      <c r="B11133" t="str">
        <f>HYPERLINK("https://twitter.com/BellyStretchy","@BellyStretchy")</f>
        <v>@BellyStretchy</v>
      </c>
      <c r="C11133" t="s">
        <v>6101</v>
      </c>
      <c r="D11133">
        <v>0</v>
      </c>
      <c r="E11133">
        <v>0</v>
      </c>
      <c r="F11133">
        <v>198</v>
      </c>
    </row>
    <row r="11134" spans="1:6" ht="12.75">
      <c r="A11134" s="2">
        <v>43880.333645833336</v>
      </c>
      <c r="B11134" t="str">
        <f>HYPERLINK("https://twitter.com/cleocatraaa","@cleocatraaa")</f>
        <v>@cleocatraaa</v>
      </c>
      <c r="C11134" t="s">
        <v>1407</v>
      </c>
      <c r="D11134">
        <v>1394</v>
      </c>
      <c r="E11134">
        <v>0</v>
      </c>
      <c r="F11134">
        <v>89</v>
      </c>
    </row>
    <row r="11135" spans="1:6" ht="12.75">
      <c r="A11135" s="2">
        <v>43880.333599537036</v>
      </c>
      <c r="B11135" t="str">
        <f>HYPERLINK("https://twitter.com/UrangResepKuli","@UrangResepKuli")</f>
        <v>@UrangResepKuli</v>
      </c>
      <c r="C11135" t="s">
        <v>6102</v>
      </c>
      <c r="D11135">
        <v>0</v>
      </c>
      <c r="E11135">
        <v>0</v>
      </c>
      <c r="F11135">
        <v>968</v>
      </c>
    </row>
    <row r="11136" spans="1:6" ht="12.75">
      <c r="A11136" s="2">
        <v>43880.333541666667</v>
      </c>
      <c r="B11136" t="str">
        <f>HYPERLINK("https://twitter.com/syanyazka","@syanyazka")</f>
        <v>@syanyazka</v>
      </c>
      <c r="C11136" t="s">
        <v>1407</v>
      </c>
      <c r="D11136">
        <v>1394</v>
      </c>
      <c r="E11136">
        <v>0</v>
      </c>
      <c r="F11136">
        <v>317</v>
      </c>
    </row>
    <row r="11137" spans="1:6" ht="12.75">
      <c r="A11137" s="2">
        <v>43880.333472222221</v>
      </c>
      <c r="B11137" t="str">
        <f>HYPERLINK("https://twitter.com/luthf_","@luthf_")</f>
        <v>@luthf_</v>
      </c>
      <c r="C11137" t="s">
        <v>1407</v>
      </c>
      <c r="D11137">
        <v>1394</v>
      </c>
      <c r="E11137">
        <v>0</v>
      </c>
      <c r="F11137">
        <v>651</v>
      </c>
    </row>
    <row r="11138" spans="1:6" ht="12.75">
      <c r="A11138" s="2">
        <v>43880.333275462966</v>
      </c>
      <c r="B11138" t="str">
        <f>HYPERLINK("https://twitter.com/Metrobatam_com","@Metrobatam_com")</f>
        <v>@Metrobatam_com</v>
      </c>
      <c r="C11138" t="s">
        <v>6103</v>
      </c>
      <c r="D11138">
        <v>0</v>
      </c>
      <c r="E11138">
        <v>0</v>
      </c>
      <c r="F11138">
        <v>118</v>
      </c>
    </row>
    <row r="11139" spans="1:6" ht="12.75">
      <c r="A11139" s="2">
        <v>43880.333078703705</v>
      </c>
      <c r="B11139" t="str">
        <f>HYPERLINK("https://twitter.com/hay_yusse","@hay_yusse")</f>
        <v>@hay_yusse</v>
      </c>
      <c r="C11139" t="s">
        <v>1407</v>
      </c>
      <c r="D11139">
        <v>1394</v>
      </c>
      <c r="E11139">
        <v>0</v>
      </c>
      <c r="F11139">
        <v>3155</v>
      </c>
    </row>
    <row r="11140" spans="1:6" ht="12.75">
      <c r="A11140" s="2">
        <v>43880.333032407405</v>
      </c>
      <c r="B11140" t="str">
        <f>HYPERLINK("https://twitter.com/diabetherb","@diabetherb")</f>
        <v>@diabetherb</v>
      </c>
      <c r="C11140" t="s">
        <v>6104</v>
      </c>
      <c r="D11140">
        <v>0</v>
      </c>
      <c r="E11140">
        <v>0</v>
      </c>
      <c r="F11140">
        <v>46</v>
      </c>
    </row>
    <row r="11141" spans="1:6" ht="12.75">
      <c r="A11141" s="2">
        <v>43880.332627314812</v>
      </c>
      <c r="B11141" t="str">
        <f>HYPERLINK("https://twitter.com/elstfndpr","@elstfndpr")</f>
        <v>@elstfndpr</v>
      </c>
      <c r="C11141" t="s">
        <v>1407</v>
      </c>
      <c r="D11141">
        <v>1394</v>
      </c>
      <c r="E11141">
        <v>0</v>
      </c>
      <c r="F11141">
        <v>327</v>
      </c>
    </row>
    <row r="11142" spans="1:6" ht="12.75">
      <c r="A11142" s="2">
        <v>43880.332372685181</v>
      </c>
      <c r="B11142" t="str">
        <f>HYPERLINK("https://twitter.com/haibondi","@haibondi")</f>
        <v>@haibondi</v>
      </c>
      <c r="C11142" t="s">
        <v>1407</v>
      </c>
      <c r="D11142">
        <v>1394</v>
      </c>
      <c r="E11142">
        <v>0</v>
      </c>
      <c r="F11142">
        <v>482</v>
      </c>
    </row>
    <row r="11143" spans="1:6" ht="12.75">
      <c r="A11143" s="2">
        <v>43880.332256944443</v>
      </c>
      <c r="B11143" t="str">
        <f>HYPERLINK("https://twitter.com/antarajatimcom","@antarajatimcom")</f>
        <v>@antarajatimcom</v>
      </c>
      <c r="C11143" t="s">
        <v>6105</v>
      </c>
      <c r="D11143">
        <v>0</v>
      </c>
      <c r="E11143">
        <v>0</v>
      </c>
      <c r="F11143">
        <v>833</v>
      </c>
    </row>
    <row r="11144" spans="1:6" ht="12.75">
      <c r="A11144" s="2">
        <v>43880.332083333335</v>
      </c>
      <c r="B11144" t="str">
        <f>HYPERLINK("https://twitter.com/artomofeb","@artomofeb")</f>
        <v>@artomofeb</v>
      </c>
      <c r="C11144" t="s">
        <v>1407</v>
      </c>
      <c r="D11144">
        <v>1394</v>
      </c>
      <c r="E11144">
        <v>0</v>
      </c>
      <c r="F11144">
        <v>688</v>
      </c>
    </row>
    <row r="11145" spans="1:6" ht="12.75">
      <c r="A11145" s="2">
        <v>43880.332071759258</v>
      </c>
      <c r="B11145" t="str">
        <f>HYPERLINK("https://twitter.com/khairanish_","@khairanish_")</f>
        <v>@khairanish_</v>
      </c>
      <c r="C11145" t="s">
        <v>1407</v>
      </c>
      <c r="D11145">
        <v>1394</v>
      </c>
      <c r="E11145">
        <v>0</v>
      </c>
      <c r="F11145">
        <v>776</v>
      </c>
    </row>
    <row r="11146" spans="1:6" ht="12.75">
      <c r="A11146" s="2">
        <v>43880.331921296296</v>
      </c>
      <c r="B11146" t="str">
        <f>HYPERLINK("https://twitter.com/amandheaa","@amandheaa")</f>
        <v>@amandheaa</v>
      </c>
      <c r="C11146" t="s">
        <v>1407</v>
      </c>
      <c r="D11146">
        <v>1394</v>
      </c>
      <c r="E11146">
        <v>0</v>
      </c>
      <c r="F11146">
        <v>607</v>
      </c>
    </row>
    <row r="11147" spans="1:6" ht="12.75">
      <c r="A11147" s="2">
        <v>43880.331678240742</v>
      </c>
      <c r="B11147" t="str">
        <f>HYPERLINK("https://twitter.com/alientapir","@alientapir")</f>
        <v>@alientapir</v>
      </c>
      <c r="C11147" t="s">
        <v>1407</v>
      </c>
      <c r="D11147">
        <v>1394</v>
      </c>
      <c r="E11147">
        <v>0</v>
      </c>
      <c r="F11147">
        <v>607</v>
      </c>
    </row>
    <row r="11148" spans="1:6" ht="12.75">
      <c r="A11148" s="2">
        <v>43880.331666666665</v>
      </c>
      <c r="B11148" t="str">
        <f>HYPERLINK("https://twitter.com/dsetgui","@dsetgui")</f>
        <v>@dsetgui</v>
      </c>
      <c r="C11148" t="s">
        <v>1407</v>
      </c>
      <c r="D11148">
        <v>1394</v>
      </c>
      <c r="E11148">
        <v>0</v>
      </c>
      <c r="F11148">
        <v>160</v>
      </c>
    </row>
    <row r="11149" spans="1:6" ht="12.75">
      <c r="A11149" s="2">
        <v>43880.331608796296</v>
      </c>
      <c r="B11149" t="str">
        <f>HYPERLINK("https://twitter.com/__beritaterkini","@__beritaterkini")</f>
        <v>@__beritaterkini</v>
      </c>
      <c r="C11149" t="s">
        <v>6106</v>
      </c>
      <c r="D11149">
        <v>0</v>
      </c>
      <c r="E11149">
        <v>0</v>
      </c>
      <c r="F11149">
        <v>451</v>
      </c>
    </row>
    <row r="11150" spans="1:6" ht="12.75">
      <c r="A11150" s="2">
        <v>43880.331597222219</v>
      </c>
      <c r="B11150" t="str">
        <f>HYPERLINK("https://twitter.com/KakakMail","@KakakMail")</f>
        <v>@KakakMail</v>
      </c>
      <c r="C11150" t="s">
        <v>1407</v>
      </c>
      <c r="D11150">
        <v>1394</v>
      </c>
      <c r="E11150">
        <v>0</v>
      </c>
      <c r="F11150">
        <v>235</v>
      </c>
    </row>
    <row r="11151" spans="1:6" ht="12.75">
      <c r="A11151" s="2">
        <v>43880.331446759257</v>
      </c>
      <c r="B11151" t="str">
        <f t="shared" ref="B11151:B11152" si="203">HYPERLINK("https://twitter.com/ainyoong","@ainyoong")</f>
        <v>@ainyoong</v>
      </c>
      <c r="C11151" t="s">
        <v>2467</v>
      </c>
      <c r="D11151">
        <v>56</v>
      </c>
      <c r="E11151">
        <v>0</v>
      </c>
      <c r="F11151">
        <v>967</v>
      </c>
    </row>
    <row r="11152" spans="1:6" ht="12.75">
      <c r="A11152" s="2">
        <v>43880.331284722226</v>
      </c>
      <c r="B11152" t="str">
        <f t="shared" si="203"/>
        <v>@ainyoong</v>
      </c>
      <c r="C11152" t="s">
        <v>1407</v>
      </c>
      <c r="D11152">
        <v>1394</v>
      </c>
      <c r="E11152">
        <v>0</v>
      </c>
      <c r="F11152">
        <v>967</v>
      </c>
    </row>
    <row r="11153" spans="1:6" ht="12.75">
      <c r="A11153" s="2">
        <v>43880.331250000003</v>
      </c>
      <c r="B11153" t="str">
        <f>HYPERLINK("https://twitter.com/GesuriID","@GesuriID")</f>
        <v>@GesuriID</v>
      </c>
      <c r="C11153" t="s">
        <v>6107</v>
      </c>
      <c r="D11153">
        <v>0</v>
      </c>
      <c r="E11153">
        <v>0</v>
      </c>
      <c r="F11153">
        <v>197391</v>
      </c>
    </row>
    <row r="11154" spans="1:6" ht="12.75">
      <c r="A11154" s="2">
        <v>43880.331238425926</v>
      </c>
      <c r="B11154" t="str">
        <f>HYPERLINK("https://twitter.com/pockystik","@pockystik")</f>
        <v>@pockystik</v>
      </c>
      <c r="C11154" t="s">
        <v>1407</v>
      </c>
      <c r="D11154">
        <v>1394</v>
      </c>
      <c r="E11154">
        <v>0</v>
      </c>
      <c r="F11154">
        <v>421</v>
      </c>
    </row>
    <row r="11155" spans="1:6" ht="12.75">
      <c r="A11155" s="2">
        <v>43880.330914351856</v>
      </c>
      <c r="B11155" t="str">
        <f>HYPERLINK("https://twitter.com/FerdinandHaean2","@FerdinandHaean2")</f>
        <v>@FerdinandHaean2</v>
      </c>
      <c r="C11155" t="s">
        <v>5880</v>
      </c>
      <c r="D11155">
        <v>2</v>
      </c>
      <c r="E11155">
        <v>0</v>
      </c>
      <c r="F11155">
        <v>46204</v>
      </c>
    </row>
    <row r="11156" spans="1:6" ht="12.75">
      <c r="A11156" s="2">
        <v>43880.330474537041</v>
      </c>
      <c r="B11156" t="str">
        <f>HYPERLINK("https://twitter.com/HafidArkan","@HafidArkan")</f>
        <v>@HafidArkan</v>
      </c>
      <c r="C11156" t="s">
        <v>1407</v>
      </c>
      <c r="D11156">
        <v>1394</v>
      </c>
      <c r="E11156">
        <v>0</v>
      </c>
      <c r="F11156">
        <v>568</v>
      </c>
    </row>
    <row r="11157" spans="1:6" ht="12.75">
      <c r="A11157" s="2">
        <v>43880.330474537041</v>
      </c>
      <c r="B11157" t="str">
        <f>HYPERLINK("https://twitter.com/shrewdmind","@shrewdmind")</f>
        <v>@shrewdmind</v>
      </c>
      <c r="C11157" t="s">
        <v>6079</v>
      </c>
      <c r="D11157">
        <v>18</v>
      </c>
      <c r="E11157">
        <v>0</v>
      </c>
      <c r="F11157">
        <v>345</v>
      </c>
    </row>
    <row r="11158" spans="1:6" ht="12.75">
      <c r="A11158" s="2">
        <v>43880.330462962964</v>
      </c>
      <c r="B11158" t="str">
        <f>HYPERLINK("https://twitter.com/BadjaNuswantara","@BadjaNuswantara")</f>
        <v>@BadjaNuswantara</v>
      </c>
      <c r="C11158" t="s">
        <v>6108</v>
      </c>
      <c r="D11158">
        <v>1</v>
      </c>
      <c r="E11158">
        <v>0</v>
      </c>
      <c r="F11158">
        <v>42659</v>
      </c>
    </row>
    <row r="11159" spans="1:6" ht="12.75">
      <c r="A11159" s="2">
        <v>43880.330347222218</v>
      </c>
      <c r="B11159" t="str">
        <f>HYPERLINK("https://twitter.com/adeeetio","@adeeetio")</f>
        <v>@adeeetio</v>
      </c>
      <c r="C11159" t="s">
        <v>1407</v>
      </c>
      <c r="D11159">
        <v>1394</v>
      </c>
      <c r="E11159">
        <v>0</v>
      </c>
      <c r="F11159">
        <v>345</v>
      </c>
    </row>
    <row r="11160" spans="1:6" ht="12.75">
      <c r="A11160" s="2">
        <v>43880.330324074079</v>
      </c>
      <c r="B11160" t="str">
        <f>HYPERLINK("https://twitter.com/yorindaputri","@yorindaputri")</f>
        <v>@yorindaputri</v>
      </c>
      <c r="C11160" t="s">
        <v>1407</v>
      </c>
      <c r="D11160">
        <v>1394</v>
      </c>
      <c r="E11160">
        <v>0</v>
      </c>
      <c r="F11160">
        <v>568</v>
      </c>
    </row>
    <row r="11161" spans="1:6" ht="12.75">
      <c r="A11161" s="2">
        <v>43880.330231481479</v>
      </c>
      <c r="B11161" t="str">
        <f>HYPERLINK("https://twitter.com/lawjusticeco","@lawjusticeco")</f>
        <v>@lawjusticeco</v>
      </c>
      <c r="C11161" t="s">
        <v>6109</v>
      </c>
      <c r="D11161">
        <v>0</v>
      </c>
      <c r="E11161">
        <v>0</v>
      </c>
      <c r="F11161">
        <v>4928</v>
      </c>
    </row>
    <row r="11162" spans="1:6" ht="12.75">
      <c r="A11162" s="2">
        <v>43880.33012731481</v>
      </c>
      <c r="B11162" t="str">
        <f>HYPERLINK("https://twitter.com/Jae_Zaenab","@Jae_Zaenab")</f>
        <v>@Jae_Zaenab</v>
      </c>
      <c r="C11162" t="s">
        <v>4415</v>
      </c>
      <c r="D11162">
        <v>20</v>
      </c>
      <c r="E11162">
        <v>0</v>
      </c>
      <c r="F11162">
        <v>344</v>
      </c>
    </row>
    <row r="11163" spans="1:6" ht="12.75">
      <c r="A11163" s="2">
        <v>43880.330046296294</v>
      </c>
      <c r="B11163" t="str">
        <f>HYPERLINK("https://twitter.com/princessgre","@princessgre")</f>
        <v>@princessgre</v>
      </c>
      <c r="C11163" t="s">
        <v>1407</v>
      </c>
      <c r="D11163">
        <v>1394</v>
      </c>
      <c r="E11163">
        <v>0</v>
      </c>
      <c r="F11163">
        <v>377</v>
      </c>
    </row>
    <row r="11164" spans="1:6" ht="12.75">
      <c r="A11164" s="2">
        <v>43880.329884259263</v>
      </c>
      <c r="B11164" t="str">
        <f>HYPERLINK("https://twitter.com/rmol_id","@rmol_id")</f>
        <v>@rmol_id</v>
      </c>
      <c r="C11164" t="s">
        <v>6110</v>
      </c>
      <c r="D11164">
        <v>0</v>
      </c>
      <c r="E11164">
        <v>0</v>
      </c>
      <c r="F11164">
        <v>162998</v>
      </c>
    </row>
    <row r="11165" spans="1:6" ht="12.75">
      <c r="A11165" s="2">
        <v>43880.329733796301</v>
      </c>
      <c r="B11165" t="str">
        <f>HYPERLINK("https://twitter.com/madeferry","@madeferry")</f>
        <v>@madeferry</v>
      </c>
      <c r="C11165" t="s">
        <v>6111</v>
      </c>
      <c r="D11165">
        <v>12</v>
      </c>
      <c r="E11165">
        <v>0</v>
      </c>
      <c r="F11165">
        <v>120</v>
      </c>
    </row>
    <row r="11166" spans="1:6" ht="12.75">
      <c r="A11166" s="2">
        <v>43880.329641203702</v>
      </c>
      <c r="B11166" t="str">
        <f>HYPERLINK("https://twitter.com/SSyuban","@SSyuban")</f>
        <v>@SSyuban</v>
      </c>
      <c r="C11166" t="s">
        <v>6067</v>
      </c>
      <c r="D11166">
        <v>14</v>
      </c>
      <c r="E11166">
        <v>0</v>
      </c>
      <c r="F11166">
        <v>580</v>
      </c>
    </row>
    <row r="11167" spans="1:6" ht="12.75">
      <c r="A11167" s="2">
        <v>43880.329583333332</v>
      </c>
      <c r="B11167" t="str">
        <f>HYPERLINK("https://twitter.com/hujandayo","@hujandayo")</f>
        <v>@hujandayo</v>
      </c>
      <c r="C11167" t="s">
        <v>1407</v>
      </c>
      <c r="D11167">
        <v>1394</v>
      </c>
      <c r="E11167">
        <v>0</v>
      </c>
      <c r="F11167">
        <v>104</v>
      </c>
    </row>
    <row r="11168" spans="1:6" ht="12.75">
      <c r="A11168" s="2">
        <v>43880.329409722224</v>
      </c>
      <c r="B11168" t="str">
        <f>HYPERLINK("https://twitter.com/Zira2310","@Zira2310")</f>
        <v>@Zira2310</v>
      </c>
      <c r="C11168" t="s">
        <v>2768</v>
      </c>
      <c r="D11168">
        <v>12</v>
      </c>
      <c r="E11168">
        <v>0</v>
      </c>
      <c r="F11168">
        <v>86</v>
      </c>
    </row>
    <row r="11169" spans="1:6" ht="12.75">
      <c r="A11169" s="2">
        <v>43880.329375000001</v>
      </c>
      <c r="B11169" t="str">
        <f>HYPERLINK("https://twitter.com/mediaindonesia","@mediaindonesia")</f>
        <v>@mediaindonesia</v>
      </c>
      <c r="C11169" t="s">
        <v>6112</v>
      </c>
      <c r="D11169">
        <v>1</v>
      </c>
      <c r="E11169">
        <v>2</v>
      </c>
      <c r="F11169">
        <v>1417039</v>
      </c>
    </row>
    <row r="11170" spans="1:6" ht="12.75">
      <c r="A11170" s="2">
        <v>43880.329212962963</v>
      </c>
      <c r="B11170" t="str">
        <f>HYPERLINK("https://twitter.com/inas_nee","@inas_nee")</f>
        <v>@inas_nee</v>
      </c>
      <c r="C11170" t="s">
        <v>1407</v>
      </c>
      <c r="D11170">
        <v>1394</v>
      </c>
      <c r="E11170">
        <v>0</v>
      </c>
      <c r="F11170">
        <v>167</v>
      </c>
    </row>
    <row r="11171" spans="1:6" ht="12.75">
      <c r="A11171" s="2">
        <v>43880.329201388886</v>
      </c>
      <c r="B11171" t="str">
        <f>HYPERLINK("https://twitter.com/hacheeze","@hacheeze")</f>
        <v>@hacheeze</v>
      </c>
      <c r="C11171" t="s">
        <v>1407</v>
      </c>
      <c r="D11171">
        <v>1394</v>
      </c>
      <c r="E11171">
        <v>0</v>
      </c>
      <c r="F11171">
        <v>882</v>
      </c>
    </row>
    <row r="11172" spans="1:6" ht="12.75">
      <c r="A11172" s="2">
        <v>43880.329097222224</v>
      </c>
      <c r="B11172" t="str">
        <f>HYPERLINK("https://twitter.com/salsabila0307","@salsabila0307")</f>
        <v>@salsabila0307</v>
      </c>
      <c r="C11172" t="s">
        <v>6113</v>
      </c>
      <c r="D11172">
        <v>0</v>
      </c>
      <c r="E11172">
        <v>0</v>
      </c>
      <c r="F11172">
        <v>4330</v>
      </c>
    </row>
    <row r="11173" spans="1:6" ht="12.75">
      <c r="A11173" s="2">
        <v>43880.328993055555</v>
      </c>
      <c r="B11173" t="str">
        <f>HYPERLINK("https://twitter.com/bobbyranggarez1","@bobbyranggarez1")</f>
        <v>@bobbyranggarez1</v>
      </c>
      <c r="C11173" t="s">
        <v>3474</v>
      </c>
      <c r="D11173">
        <v>24</v>
      </c>
      <c r="E11173">
        <v>0</v>
      </c>
      <c r="F11173">
        <v>23</v>
      </c>
    </row>
    <row r="11174" spans="1:6" ht="12.75">
      <c r="A11174" s="2">
        <v>43880.328796296293</v>
      </c>
      <c r="B11174" t="str">
        <f>HYPERLINK("https://twitter.com/Antara_Jabar","@Antara_Jabar")</f>
        <v>@Antara_Jabar</v>
      </c>
      <c r="C11174" t="s">
        <v>6114</v>
      </c>
      <c r="D11174">
        <v>0</v>
      </c>
      <c r="E11174">
        <v>0</v>
      </c>
      <c r="F11174">
        <v>1554</v>
      </c>
    </row>
    <row r="11175" spans="1:6" ht="12.75">
      <c r="A11175" s="2">
        <v>43880.328784722224</v>
      </c>
      <c r="B11175" t="str">
        <f>HYPERLINK("https://twitter.com/dpur7","@dpur7")</f>
        <v>@dpur7</v>
      </c>
      <c r="C11175" t="s">
        <v>2930</v>
      </c>
      <c r="D11175">
        <v>125</v>
      </c>
      <c r="E11175">
        <v>0</v>
      </c>
      <c r="F11175">
        <v>92</v>
      </c>
    </row>
    <row r="11176" spans="1:6" ht="12.75">
      <c r="A11176" s="2">
        <v>43880.328750000001</v>
      </c>
      <c r="B11176" t="str">
        <f>HYPERLINK("https://twitter.com/donosrom","@donosrom")</f>
        <v>@donosrom</v>
      </c>
      <c r="C11176" t="s">
        <v>6115</v>
      </c>
      <c r="D11176">
        <v>1</v>
      </c>
      <c r="E11176">
        <v>0</v>
      </c>
      <c r="F11176">
        <v>354</v>
      </c>
    </row>
    <row r="11177" spans="1:6" ht="12.75">
      <c r="A11177" s="2">
        <v>43880.328611111108</v>
      </c>
      <c r="B11177" t="str">
        <f>HYPERLINK("https://twitter.com/SophiaMasyani","@SophiaMasyani")</f>
        <v>@SophiaMasyani</v>
      </c>
      <c r="C11177" t="s">
        <v>1407</v>
      </c>
      <c r="D11177">
        <v>1394</v>
      </c>
      <c r="E11177">
        <v>0</v>
      </c>
      <c r="F11177">
        <v>386</v>
      </c>
    </row>
    <row r="11178" spans="1:6" ht="12.75">
      <c r="A11178" s="2">
        <v>43880.328576388885</v>
      </c>
      <c r="B11178" t="str">
        <f>HYPERLINK("https://twitter.com/idpenamini","@idpenamini")</f>
        <v>@idpenamini</v>
      </c>
      <c r="C11178" t="s">
        <v>6116</v>
      </c>
      <c r="D11178">
        <v>0</v>
      </c>
      <c r="E11178">
        <v>0</v>
      </c>
      <c r="F11178">
        <v>169</v>
      </c>
    </row>
    <row r="11179" spans="1:6" ht="12.75">
      <c r="A11179" s="2">
        <v>43880.328553240739</v>
      </c>
      <c r="B11179" t="str">
        <f>HYPERLINK("https://twitter.com/kyotoast","@kyotoast")</f>
        <v>@kyotoast</v>
      </c>
      <c r="C11179" t="s">
        <v>1407</v>
      </c>
      <c r="D11179">
        <v>1394</v>
      </c>
      <c r="E11179">
        <v>0</v>
      </c>
      <c r="F11179">
        <v>8</v>
      </c>
    </row>
    <row r="11180" spans="1:6" ht="12.75">
      <c r="A11180" s="2">
        <v>43880.328506944439</v>
      </c>
      <c r="B11180" t="str">
        <f>HYPERLINK("https://twitter.com/kkxxtt_","@kkxxtt_")</f>
        <v>@kkxxtt_</v>
      </c>
      <c r="C11180" t="s">
        <v>1407</v>
      </c>
      <c r="D11180">
        <v>1394</v>
      </c>
      <c r="E11180">
        <v>0</v>
      </c>
      <c r="F11180">
        <v>40</v>
      </c>
    </row>
    <row r="11181" spans="1:6" ht="12.75">
      <c r="A11181" s="2">
        <v>43880.328472222223</v>
      </c>
      <c r="B11181" t="str">
        <f>HYPERLINK("https://twitter.com/tayaahehe","@tayaahehe")</f>
        <v>@tayaahehe</v>
      </c>
      <c r="C11181" t="s">
        <v>1407</v>
      </c>
      <c r="D11181">
        <v>1394</v>
      </c>
      <c r="E11181">
        <v>0</v>
      </c>
      <c r="F11181">
        <v>201</v>
      </c>
    </row>
    <row r="11182" spans="1:6" ht="12.75">
      <c r="A11182" s="2">
        <v>43880.3284375</v>
      </c>
      <c r="B11182" t="str">
        <f>HYPERLINK("https://twitter.com/Warrior764","@Warrior764")</f>
        <v>@Warrior764</v>
      </c>
      <c r="C11182" t="s">
        <v>6117</v>
      </c>
      <c r="D11182">
        <v>1</v>
      </c>
      <c r="E11182">
        <v>1</v>
      </c>
      <c r="F11182">
        <v>2442</v>
      </c>
    </row>
    <row r="11183" spans="1:6" ht="12.75">
      <c r="A11183" s="2">
        <v>43880.328333333338</v>
      </c>
      <c r="B11183" t="str">
        <f>HYPERLINK("https://twitter.com/stabilooren","@stabilooren")</f>
        <v>@stabilooren</v>
      </c>
      <c r="C11183" t="s">
        <v>6118</v>
      </c>
      <c r="D11183">
        <v>0</v>
      </c>
      <c r="E11183">
        <v>0</v>
      </c>
      <c r="F11183">
        <v>521</v>
      </c>
    </row>
    <row r="11184" spans="1:6" ht="12.75">
      <c r="A11184" s="2">
        <v>43880.328310185185</v>
      </c>
      <c r="B11184" t="str">
        <f>HYPERLINK("https://twitter.com/republikaonline","@republikaonline")</f>
        <v>@republikaonline</v>
      </c>
      <c r="C11184" t="s">
        <v>6119</v>
      </c>
      <c r="D11184">
        <v>1</v>
      </c>
      <c r="E11184">
        <v>6</v>
      </c>
      <c r="F11184">
        <v>1211271</v>
      </c>
    </row>
    <row r="11185" spans="1:6" ht="12.75">
      <c r="A11185" s="2">
        <v>43880.328182870369</v>
      </c>
      <c r="B11185" t="str">
        <f>HYPERLINK("https://twitter.com/mamik_SN","@mamik_SN")</f>
        <v>@mamik_SN</v>
      </c>
      <c r="C11185" t="s">
        <v>1407</v>
      </c>
      <c r="D11185">
        <v>1394</v>
      </c>
      <c r="E11185">
        <v>0</v>
      </c>
      <c r="F11185">
        <v>800</v>
      </c>
    </row>
    <row r="11186" spans="1:6" ht="12.75">
      <c r="A11186" s="2">
        <v>43880.327974537038</v>
      </c>
      <c r="B11186" t="str">
        <f>HYPERLINK("https://twitter.com/Joungsanang","@Joungsanang")</f>
        <v>@Joungsanang</v>
      </c>
      <c r="C11186" t="s">
        <v>6089</v>
      </c>
      <c r="D11186">
        <v>10</v>
      </c>
      <c r="E11186">
        <v>0</v>
      </c>
      <c r="F11186">
        <v>214</v>
      </c>
    </row>
    <row r="11187" spans="1:6" ht="12.75">
      <c r="A11187" s="2">
        <v>43880.327905092592</v>
      </c>
      <c r="B11187" t="str">
        <f>HYPERLINK("https://twitter.com/Sarahrtn","@Sarahrtn")</f>
        <v>@Sarahrtn</v>
      </c>
      <c r="C11187" t="s">
        <v>1407</v>
      </c>
      <c r="D11187">
        <v>1394</v>
      </c>
      <c r="E11187">
        <v>0</v>
      </c>
      <c r="F11187">
        <v>645</v>
      </c>
    </row>
    <row r="11188" spans="1:6" ht="12.75">
      <c r="A11188" s="2">
        <v>43880.327800925923</v>
      </c>
      <c r="B11188" t="str">
        <f>HYPERLINK("https://twitter.com/Viananda26","@Viananda26")</f>
        <v>@Viananda26</v>
      </c>
      <c r="C11188" t="s">
        <v>1407</v>
      </c>
      <c r="D11188">
        <v>1394</v>
      </c>
      <c r="E11188">
        <v>0</v>
      </c>
      <c r="F11188">
        <v>46</v>
      </c>
    </row>
    <row r="11189" spans="1:6" ht="12.75">
      <c r="A11189" s="2">
        <v>43880.327696759261</v>
      </c>
      <c r="B11189" t="str">
        <f>HYPERLINK("https://twitter.com/Walyati12","@Walyati12")</f>
        <v>@Walyati12</v>
      </c>
      <c r="C11189" t="s">
        <v>513</v>
      </c>
      <c r="D11189">
        <v>23159</v>
      </c>
      <c r="E11189">
        <v>0</v>
      </c>
      <c r="F11189">
        <v>0</v>
      </c>
    </row>
    <row r="11190" spans="1:6" ht="12.75">
      <c r="A11190" s="2">
        <v>43880.327604166669</v>
      </c>
      <c r="B11190" t="str">
        <f>HYPERLINK("https://twitter.com/SundaeKiss0921","@SundaeKiss0921")</f>
        <v>@SundaeKiss0921</v>
      </c>
      <c r="C11190" t="s">
        <v>6120</v>
      </c>
      <c r="D11190">
        <v>0</v>
      </c>
      <c r="E11190">
        <v>0</v>
      </c>
      <c r="F11190">
        <v>1696</v>
      </c>
    </row>
    <row r="11191" spans="1:6" ht="12.75">
      <c r="A11191" s="2">
        <v>43880.327407407407</v>
      </c>
      <c r="B11191" t="str">
        <f>HYPERLINK("https://twitter.com/BadrulMuhaimmin","@BadrulMuhaimmin")</f>
        <v>@BadrulMuhaimmin</v>
      </c>
      <c r="C11191" t="s">
        <v>6079</v>
      </c>
      <c r="D11191">
        <v>18</v>
      </c>
      <c r="E11191">
        <v>0</v>
      </c>
      <c r="F11191">
        <v>597</v>
      </c>
    </row>
    <row r="11192" spans="1:6" ht="12.75">
      <c r="A11192" s="2">
        <v>43880.327256944445</v>
      </c>
      <c r="B11192" t="str">
        <f>HYPERLINK("https://twitter.com/amyeonia","@amyeonia")</f>
        <v>@amyeonia</v>
      </c>
      <c r="C11192" t="s">
        <v>1407</v>
      </c>
      <c r="D11192">
        <v>1394</v>
      </c>
      <c r="E11192">
        <v>0</v>
      </c>
      <c r="F11192">
        <v>63</v>
      </c>
    </row>
    <row r="11193" spans="1:6" ht="12.75">
      <c r="A11193" s="2">
        <v>43880.327048611114</v>
      </c>
      <c r="B11193" t="str">
        <f>HYPERLINK("https://twitter.com/cagubnyinyir2","@cagubnyinyir2")</f>
        <v>@cagubnyinyir2</v>
      </c>
      <c r="C11193" t="s">
        <v>6121</v>
      </c>
      <c r="D11193">
        <v>0</v>
      </c>
      <c r="E11193">
        <v>1</v>
      </c>
      <c r="F11193">
        <v>4293</v>
      </c>
    </row>
    <row r="11194" spans="1:6" ht="12.75">
      <c r="A11194" s="2">
        <v>43880.327048611114</v>
      </c>
      <c r="B11194" t="str">
        <f>HYPERLINK("https://twitter.com/nurlinaism_","@nurlinaism_")</f>
        <v>@nurlinaism_</v>
      </c>
      <c r="C11194" t="s">
        <v>1407</v>
      </c>
      <c r="D11194">
        <v>1394</v>
      </c>
      <c r="E11194">
        <v>0</v>
      </c>
      <c r="F11194">
        <v>139</v>
      </c>
    </row>
    <row r="11195" spans="1:6" ht="12.75">
      <c r="A11195" s="2">
        <v>43880.326967592591</v>
      </c>
      <c r="B11195" t="str">
        <f>HYPERLINK("https://twitter.com/stanrim","@stanrim")</f>
        <v>@stanrim</v>
      </c>
      <c r="C11195" t="s">
        <v>1407</v>
      </c>
      <c r="D11195">
        <v>1394</v>
      </c>
      <c r="E11195">
        <v>0</v>
      </c>
      <c r="F11195">
        <v>360</v>
      </c>
    </row>
    <row r="11196" spans="1:6" ht="12.75">
      <c r="A11196" s="2">
        <v>43880.32675925926</v>
      </c>
      <c r="B11196" t="str">
        <f>HYPERLINK("https://twitter.com/faristarx_","@faristarx_")</f>
        <v>@faristarx_</v>
      </c>
      <c r="C11196" t="s">
        <v>4415</v>
      </c>
      <c r="D11196">
        <v>20</v>
      </c>
      <c r="E11196">
        <v>0</v>
      </c>
      <c r="F11196">
        <v>39</v>
      </c>
    </row>
    <row r="11197" spans="1:6" ht="12.75">
      <c r="A11197" s="2">
        <v>43880.326655092591</v>
      </c>
      <c r="B11197" t="str">
        <f>HYPERLINK("https://twitter.com/masdeeeen","@masdeeeen")</f>
        <v>@masdeeeen</v>
      </c>
      <c r="C11197" t="s">
        <v>1407</v>
      </c>
      <c r="D11197">
        <v>1394</v>
      </c>
      <c r="E11197">
        <v>0</v>
      </c>
      <c r="F11197">
        <v>75</v>
      </c>
    </row>
    <row r="11198" spans="1:6" ht="12.75">
      <c r="A11198" s="2">
        <v>43880.326655092591</v>
      </c>
      <c r="B11198" t="str">
        <f>HYPERLINK("https://twitter.com/PutriDK_","@PutriDK_")</f>
        <v>@PutriDK_</v>
      </c>
      <c r="C11198" t="s">
        <v>1407</v>
      </c>
      <c r="D11198">
        <v>1394</v>
      </c>
      <c r="E11198">
        <v>0</v>
      </c>
      <c r="F11198">
        <v>847</v>
      </c>
    </row>
    <row r="11199" spans="1:6" ht="12.75">
      <c r="A11199" s="2">
        <v>43880.326527777783</v>
      </c>
      <c r="B11199" t="str">
        <f>HYPERLINK("https://twitter.com/laysseaweedchip","@laysseaweedchip")</f>
        <v>@laysseaweedchip</v>
      </c>
      <c r="C11199" t="s">
        <v>1407</v>
      </c>
      <c r="D11199">
        <v>1394</v>
      </c>
      <c r="E11199">
        <v>0</v>
      </c>
      <c r="F11199">
        <v>444</v>
      </c>
    </row>
    <row r="11200" spans="1:6" ht="12.75">
      <c r="A11200" s="2">
        <v>43880.326458333337</v>
      </c>
      <c r="B11200" t="str">
        <f>HYPERLINK("https://twitter.com/Syaitoonn","@Syaitoonn")</f>
        <v>@Syaitoonn</v>
      </c>
      <c r="C11200" t="s">
        <v>1407</v>
      </c>
      <c r="D11200">
        <v>1394</v>
      </c>
      <c r="E11200">
        <v>0</v>
      </c>
      <c r="F11200">
        <v>496</v>
      </c>
    </row>
    <row r="11201" spans="1:6" ht="12.75">
      <c r="A11201" s="2">
        <v>43880.326423611114</v>
      </c>
      <c r="B11201" t="str">
        <f>HYPERLINK("https://twitter.com/satriodimasm","@satriodimasm")</f>
        <v>@satriodimasm</v>
      </c>
      <c r="C11201" t="s">
        <v>1407</v>
      </c>
      <c r="D11201">
        <v>1394</v>
      </c>
      <c r="E11201">
        <v>0</v>
      </c>
      <c r="F11201">
        <v>293</v>
      </c>
    </row>
    <row r="11202" spans="1:6" ht="12.75">
      <c r="A11202" s="2">
        <v>43880.326203703706</v>
      </c>
      <c r="B11202" t="str">
        <f>HYPERLINK("https://twitter.com/SatriaDvvi","@SatriaDvvi")</f>
        <v>@SatriaDvvi</v>
      </c>
      <c r="C11202" t="s">
        <v>1407</v>
      </c>
      <c r="D11202">
        <v>1394</v>
      </c>
      <c r="E11202">
        <v>0</v>
      </c>
      <c r="F11202">
        <v>494</v>
      </c>
    </row>
    <row r="11203" spans="1:6" ht="12.75">
      <c r="A11203" s="2">
        <v>43880.326099537036</v>
      </c>
      <c r="B11203" t="str">
        <f>HYPERLINK("https://twitter.com/Dinanrl028","@Dinanrl028")</f>
        <v>@Dinanrl028</v>
      </c>
      <c r="C11203" t="s">
        <v>6122</v>
      </c>
      <c r="D11203">
        <v>0</v>
      </c>
      <c r="E11203">
        <v>0</v>
      </c>
      <c r="F11203">
        <v>263</v>
      </c>
    </row>
    <row r="11204" spans="1:6" ht="12.75">
      <c r="A11204" s="2">
        <v>43880.325960648144</v>
      </c>
      <c r="B11204" t="str">
        <f>HYPERLINK("https://twitter.com/deupikx","@deupikx")</f>
        <v>@deupikx</v>
      </c>
      <c r="C11204" t="s">
        <v>5914</v>
      </c>
      <c r="D11204">
        <v>13</v>
      </c>
      <c r="E11204">
        <v>0</v>
      </c>
      <c r="F11204">
        <v>555</v>
      </c>
    </row>
    <row r="11205" spans="1:6" ht="12.75">
      <c r="A11205" s="2">
        <v>43880.325879629629</v>
      </c>
      <c r="B11205" t="str">
        <f>HYPERLINK("https://twitter.com/Lathe_biosas_","@Lathe_biosas_")</f>
        <v>@Lathe_biosas_</v>
      </c>
      <c r="C11205" t="s">
        <v>1407</v>
      </c>
      <c r="D11205">
        <v>1394</v>
      </c>
      <c r="E11205">
        <v>0</v>
      </c>
      <c r="F11205">
        <v>103</v>
      </c>
    </row>
    <row r="11206" spans="1:6" ht="12.75">
      <c r="A11206" s="2">
        <v>43880.325879629629</v>
      </c>
      <c r="B11206" t="str">
        <f>HYPERLINK("https://twitter.com/stronggurl24h","@stronggurl24h")</f>
        <v>@stronggurl24h</v>
      </c>
      <c r="C11206" t="s">
        <v>1407</v>
      </c>
      <c r="D11206">
        <v>1394</v>
      </c>
      <c r="E11206">
        <v>0</v>
      </c>
      <c r="F11206">
        <v>3032</v>
      </c>
    </row>
    <row r="11207" spans="1:6" ht="12.75">
      <c r="A11207" s="2">
        <v>43880.325798611113</v>
      </c>
      <c r="B11207" t="str">
        <f>HYPERLINK("https://twitter.com/jee_creepers","@jee_creepers")</f>
        <v>@jee_creepers</v>
      </c>
      <c r="C11207" t="s">
        <v>6123</v>
      </c>
      <c r="D11207">
        <v>0</v>
      </c>
      <c r="E11207">
        <v>0</v>
      </c>
      <c r="F11207">
        <v>703</v>
      </c>
    </row>
    <row r="11208" spans="1:6" ht="12.75">
      <c r="A11208" s="2">
        <v>43880.325590277775</v>
      </c>
      <c r="B11208" t="str">
        <f>HYPERLINK("https://twitter.com/nianrapr","@nianrapr")</f>
        <v>@nianrapr</v>
      </c>
      <c r="C11208" t="s">
        <v>1407</v>
      </c>
      <c r="D11208">
        <v>1394</v>
      </c>
      <c r="E11208">
        <v>0</v>
      </c>
      <c r="F11208">
        <v>572</v>
      </c>
    </row>
    <row r="11209" spans="1:6" ht="12.75">
      <c r="A11209" s="2">
        <v>43880.325497685189</v>
      </c>
      <c r="B11209" t="str">
        <f>HYPERLINK("https://twitter.com/Albert_Ega","@Albert_Ega")</f>
        <v>@Albert_Ega</v>
      </c>
      <c r="C11209" t="s">
        <v>1407</v>
      </c>
      <c r="D11209">
        <v>1394</v>
      </c>
      <c r="E11209">
        <v>0</v>
      </c>
      <c r="F11209">
        <v>589</v>
      </c>
    </row>
    <row r="11210" spans="1:6" ht="12.75">
      <c r="A11210" s="2">
        <v>43880.325497685189</v>
      </c>
      <c r="B11210" t="str">
        <f>HYPERLINK("https://twitter.com/sy_azhari","@sy_azhari")</f>
        <v>@sy_azhari</v>
      </c>
      <c r="C11210" t="s">
        <v>1407</v>
      </c>
      <c r="D11210">
        <v>1394</v>
      </c>
      <c r="E11210">
        <v>0</v>
      </c>
      <c r="F11210">
        <v>985</v>
      </c>
    </row>
    <row r="11211" spans="1:6" ht="12.75">
      <c r="A11211" s="2">
        <v>43880.32534722222</v>
      </c>
      <c r="B11211" t="str">
        <f>HYPERLINK("https://twitter.com/deupikx","@deupikx")</f>
        <v>@deupikx</v>
      </c>
      <c r="C11211" t="s">
        <v>1920</v>
      </c>
      <c r="D11211">
        <v>203</v>
      </c>
      <c r="E11211">
        <v>0</v>
      </c>
      <c r="F11211">
        <v>555</v>
      </c>
    </row>
    <row r="11212" spans="1:6" ht="12.75">
      <c r="A11212" s="2">
        <v>43880.325300925921</v>
      </c>
      <c r="B11212" t="str">
        <f>HYPERLINK("https://twitter.com/dikawann","@dikawann")</f>
        <v>@dikawann</v>
      </c>
      <c r="C11212" t="s">
        <v>1407</v>
      </c>
      <c r="D11212">
        <v>1394</v>
      </c>
      <c r="E11212">
        <v>0</v>
      </c>
      <c r="F11212">
        <v>279</v>
      </c>
    </row>
    <row r="11213" spans="1:6" ht="12.75">
      <c r="A11213" s="2">
        <v>43880.325185185182</v>
      </c>
      <c r="B11213" t="str">
        <f>HYPERLINK("https://twitter.com/spdsltk","@spdsltk")</f>
        <v>@spdsltk</v>
      </c>
      <c r="C11213" t="s">
        <v>1407</v>
      </c>
      <c r="D11213">
        <v>1394</v>
      </c>
      <c r="E11213">
        <v>0</v>
      </c>
      <c r="F11213">
        <v>810</v>
      </c>
    </row>
    <row r="11214" spans="1:6" ht="12.75">
      <c r="A11214" s="2">
        <v>43880.325092592597</v>
      </c>
      <c r="B11214" t="str">
        <f>HYPERLINK("https://twitter.com/vaihua9","@vaihua9")</f>
        <v>@vaihua9</v>
      </c>
      <c r="C11214" t="s">
        <v>1407</v>
      </c>
      <c r="D11214">
        <v>1394</v>
      </c>
      <c r="E11214">
        <v>0</v>
      </c>
      <c r="F11214">
        <v>736</v>
      </c>
    </row>
    <row r="11215" spans="1:6" ht="12.75">
      <c r="A11215" s="2">
        <v>43880.325092592597</v>
      </c>
      <c r="B11215" t="str">
        <f>HYPERLINK("https://twitter.com/armen_araya","@armen_araya")</f>
        <v>@armen_araya</v>
      </c>
      <c r="C11215" t="s">
        <v>6111</v>
      </c>
      <c r="D11215">
        <v>12</v>
      </c>
      <c r="E11215">
        <v>0</v>
      </c>
      <c r="F11215">
        <v>135</v>
      </c>
    </row>
    <row r="11216" spans="1:6" ht="12.75">
      <c r="A11216" s="2">
        <v>43880.324641203704</v>
      </c>
      <c r="B11216" t="str">
        <f>HYPERLINK("https://twitter.com/ahmad_saif48","@ahmad_saif48")</f>
        <v>@ahmad_saif48</v>
      </c>
      <c r="C11216" t="s">
        <v>6124</v>
      </c>
      <c r="D11216">
        <v>0</v>
      </c>
      <c r="E11216">
        <v>0</v>
      </c>
      <c r="F11216">
        <v>62</v>
      </c>
    </row>
    <row r="11217" spans="1:6" ht="12.75">
      <c r="A11217" s="2">
        <v>43880.324479166666</v>
      </c>
      <c r="B11217" t="str">
        <f>HYPERLINK("https://twitter.com/rr_zahra","@rr_zahra")</f>
        <v>@rr_zahra</v>
      </c>
      <c r="C11217" t="s">
        <v>2467</v>
      </c>
      <c r="D11217">
        <v>56</v>
      </c>
      <c r="E11217">
        <v>0</v>
      </c>
      <c r="F11217">
        <v>543</v>
      </c>
    </row>
    <row r="11218" spans="1:6" ht="12.75">
      <c r="A11218" s="2">
        <v>43880.324479166666</v>
      </c>
      <c r="B11218" t="str">
        <f>HYPERLINK("https://twitter.com/stannnic","@stannnic")</f>
        <v>@stannnic</v>
      </c>
      <c r="C11218" t="s">
        <v>1407</v>
      </c>
      <c r="D11218">
        <v>1394</v>
      </c>
      <c r="E11218">
        <v>0</v>
      </c>
      <c r="F11218">
        <v>234</v>
      </c>
    </row>
    <row r="11219" spans="1:6" ht="12.75">
      <c r="A11219" s="2">
        <v>43880.324374999997</v>
      </c>
      <c r="B11219" t="str">
        <f>HYPERLINK("https://twitter.com/rr_zahra","@rr_zahra")</f>
        <v>@rr_zahra</v>
      </c>
      <c r="C11219" t="s">
        <v>1407</v>
      </c>
      <c r="D11219">
        <v>1394</v>
      </c>
      <c r="E11219">
        <v>0</v>
      </c>
      <c r="F11219">
        <v>543</v>
      </c>
    </row>
    <row r="11220" spans="1:6" ht="12.75">
      <c r="A11220" s="2">
        <v>43880.324374999997</v>
      </c>
      <c r="B11220" t="str">
        <f>HYPERLINK("https://twitter.com/Firaranisa","@Firaranisa")</f>
        <v>@Firaranisa</v>
      </c>
      <c r="C11220" t="s">
        <v>1407</v>
      </c>
      <c r="D11220">
        <v>1394</v>
      </c>
      <c r="E11220">
        <v>0</v>
      </c>
      <c r="F11220">
        <v>408</v>
      </c>
    </row>
    <row r="11221" spans="1:6" ht="12.75">
      <c r="A11221" s="2">
        <v>43880.324108796296</v>
      </c>
      <c r="B11221" t="str">
        <f>HYPERLINK("https://twitter.com/ZoneVenomWar","@ZoneVenomWar")</f>
        <v>@ZoneVenomWar</v>
      </c>
      <c r="C11221" t="s">
        <v>4415</v>
      </c>
      <c r="D11221">
        <v>20</v>
      </c>
      <c r="E11221">
        <v>0</v>
      </c>
      <c r="F11221">
        <v>1626</v>
      </c>
    </row>
    <row r="11222" spans="1:6" ht="12.75">
      <c r="A11222" s="2">
        <v>43880.29314814815</v>
      </c>
      <c r="B11222" t="str">
        <f>HYPERLINK("https://twitter.com/sari_april81","@sari_april81")</f>
        <v>@sari_april81</v>
      </c>
      <c r="C11222" t="s">
        <v>1407</v>
      </c>
      <c r="D11222">
        <v>1145</v>
      </c>
      <c r="E11222">
        <v>0</v>
      </c>
      <c r="F11222">
        <v>45</v>
      </c>
    </row>
    <row r="11223" spans="1:6" ht="12.75">
      <c r="A11223" s="2">
        <v>43880.29314814815</v>
      </c>
      <c r="B11223" t="str">
        <f>HYPERLINK("https://twitter.com/sirahkumumet","@sirahkumumet")</f>
        <v>@sirahkumumet</v>
      </c>
      <c r="C11223" t="s">
        <v>4415</v>
      </c>
      <c r="D11223">
        <v>9</v>
      </c>
      <c r="E11223">
        <v>0</v>
      </c>
      <c r="F11223">
        <v>481</v>
      </c>
    </row>
    <row r="11224" spans="1:6" ht="12.75">
      <c r="A11224" s="2">
        <v>43880.293136574073</v>
      </c>
      <c r="B11224" t="str">
        <f>HYPERLINK("https://twitter.com/srswts","@srswts")</f>
        <v>@srswts</v>
      </c>
      <c r="C11224" t="s">
        <v>1407</v>
      </c>
      <c r="D11224">
        <v>1145</v>
      </c>
      <c r="E11224">
        <v>0</v>
      </c>
      <c r="F11224">
        <v>1404</v>
      </c>
    </row>
    <row r="11225" spans="1:6" ht="12.75">
      <c r="A11225" s="2">
        <v>43880.292916666665</v>
      </c>
      <c r="B11225" t="str">
        <f>HYPERLINK("https://twitter.com/liyundiraaa","@liyundiraaa")</f>
        <v>@liyundiraaa</v>
      </c>
      <c r="C11225" t="s">
        <v>1407</v>
      </c>
      <c r="D11225">
        <v>1145</v>
      </c>
      <c r="E11225">
        <v>0</v>
      </c>
      <c r="F11225">
        <v>283</v>
      </c>
    </row>
    <row r="11226" spans="1:6" ht="12.75">
      <c r="A11226" s="2">
        <v>43880.292592592596</v>
      </c>
      <c r="B11226" t="str">
        <f>HYPERLINK("https://twitter.com/shiraumi_","@shiraumi_")</f>
        <v>@shiraumi_</v>
      </c>
      <c r="C11226" t="s">
        <v>1407</v>
      </c>
      <c r="D11226">
        <v>1145</v>
      </c>
      <c r="E11226">
        <v>0</v>
      </c>
      <c r="F11226">
        <v>371</v>
      </c>
    </row>
    <row r="11227" spans="1:6" ht="12.75">
      <c r="A11227" s="2">
        <v>43880.292453703703</v>
      </c>
      <c r="B11227" t="str">
        <f>HYPERLINK("https://twitter.com/fangirlsby07","@fangirlsby07")</f>
        <v>@fangirlsby07</v>
      </c>
      <c r="C11227" t="s">
        <v>1407</v>
      </c>
      <c r="D11227">
        <v>1145</v>
      </c>
      <c r="E11227">
        <v>0</v>
      </c>
      <c r="F11227">
        <v>15</v>
      </c>
    </row>
    <row r="11228" spans="1:6" ht="12.75">
      <c r="A11228" s="2">
        <v>43880.292442129634</v>
      </c>
      <c r="B11228" t="str">
        <f>HYPERLINK("https://twitter.com/raflifadillah26","@raflifadillah26")</f>
        <v>@raflifadillah26</v>
      </c>
      <c r="C11228" t="s">
        <v>6125</v>
      </c>
      <c r="D11228">
        <v>9</v>
      </c>
      <c r="E11228">
        <v>0</v>
      </c>
      <c r="F11228">
        <v>13</v>
      </c>
    </row>
    <row r="11229" spans="1:6" ht="12.75">
      <c r="A11229" s="2">
        <v>43880.292141203703</v>
      </c>
      <c r="B11229" t="str">
        <f>HYPERLINK("https://twitter.com/ccpsugiono","@ccpsugiono")</f>
        <v>@ccpsugiono</v>
      </c>
      <c r="C11229" t="s">
        <v>5989</v>
      </c>
      <c r="D11229">
        <v>72</v>
      </c>
      <c r="E11229">
        <v>0</v>
      </c>
      <c r="F11229">
        <v>672</v>
      </c>
    </row>
    <row r="11230" spans="1:6" ht="12.75">
      <c r="A11230" s="2">
        <v>43880.292094907403</v>
      </c>
      <c r="B11230" t="str">
        <f>HYPERLINK("https://twitter.com/satsuyurami","@satsuyurami")</f>
        <v>@satsuyurami</v>
      </c>
      <c r="C11230" t="s">
        <v>1407</v>
      </c>
      <c r="D11230">
        <v>1145</v>
      </c>
      <c r="E11230">
        <v>0</v>
      </c>
      <c r="F11230">
        <v>472</v>
      </c>
    </row>
    <row r="11231" spans="1:6" ht="12.75">
      <c r="A11231" s="2">
        <v>43880.292094907403</v>
      </c>
      <c r="B11231" t="str">
        <f>HYPERLINK("https://twitter.com/syibuk","@syibuk")</f>
        <v>@syibuk</v>
      </c>
      <c r="C11231" t="s">
        <v>1407</v>
      </c>
      <c r="D11231">
        <v>1145</v>
      </c>
      <c r="E11231">
        <v>0</v>
      </c>
      <c r="F11231">
        <v>5120</v>
      </c>
    </row>
    <row r="11232" spans="1:6" ht="12.75">
      <c r="A11232" s="2">
        <v>43880.292013888888</v>
      </c>
      <c r="B11232" t="str">
        <f>HYPERLINK("https://twitter.com/FDSR_","@FDSR_")</f>
        <v>@FDSR_</v>
      </c>
      <c r="C11232" t="s">
        <v>1407</v>
      </c>
      <c r="D11232">
        <v>1145</v>
      </c>
      <c r="E11232">
        <v>0</v>
      </c>
      <c r="F11232">
        <v>320</v>
      </c>
    </row>
    <row r="11233" spans="1:6" ht="12.75">
      <c r="A11233" s="2">
        <v>43880.291759259257</v>
      </c>
      <c r="B11233" t="str">
        <f>HYPERLINK("https://twitter.com/naiskumara","@naiskumara")</f>
        <v>@naiskumara</v>
      </c>
      <c r="C11233" t="s">
        <v>1407</v>
      </c>
      <c r="D11233">
        <v>1145</v>
      </c>
      <c r="E11233">
        <v>0</v>
      </c>
      <c r="F11233">
        <v>240</v>
      </c>
    </row>
    <row r="11234" spans="1:6" ht="12.75">
      <c r="A11234" s="2">
        <v>43880.291666666672</v>
      </c>
      <c r="B11234" t="str">
        <f>HYPERLINK("https://twitter.com/OfficialiNewsTV","@OfficialiNewsTV")</f>
        <v>@OfficialiNewsTV</v>
      </c>
      <c r="C11234" t="s">
        <v>6126</v>
      </c>
      <c r="D11234">
        <v>0</v>
      </c>
      <c r="E11234">
        <v>0</v>
      </c>
      <c r="F11234">
        <v>96013</v>
      </c>
    </row>
    <row r="11235" spans="1:6" ht="12.75">
      <c r="A11235" s="2">
        <v>43880.291585648149</v>
      </c>
      <c r="B11235" t="str">
        <f>HYPERLINK("https://twitter.com/astruophile","@astruophile")</f>
        <v>@astruophile</v>
      </c>
      <c r="C11235" t="s">
        <v>1407</v>
      </c>
      <c r="D11235">
        <v>1145</v>
      </c>
      <c r="E11235">
        <v>0</v>
      </c>
      <c r="F11235">
        <v>336</v>
      </c>
    </row>
    <row r="11236" spans="1:6" ht="12.75">
      <c r="A11236" s="2">
        <v>43880.291550925926</v>
      </c>
      <c r="B11236" t="str">
        <f>HYPERLINK("https://twitter.com/beliinwkentang","@beliinwkentang")</f>
        <v>@beliinwkentang</v>
      </c>
      <c r="C11236" t="s">
        <v>6127</v>
      </c>
      <c r="D11236">
        <v>557</v>
      </c>
      <c r="E11236">
        <v>0</v>
      </c>
      <c r="F11236">
        <v>10</v>
      </c>
    </row>
    <row r="11237" spans="1:6" ht="12.75">
      <c r="A11237" s="2">
        <v>43880.291516203702</v>
      </c>
      <c r="B11237" t="str">
        <f>HYPERLINK("https://twitter.com/HevramiKEzdiK","@HevramiKEzdiK")</f>
        <v>@HevramiKEzdiK</v>
      </c>
      <c r="C11237" t="s">
        <v>6128</v>
      </c>
      <c r="D11237">
        <v>0</v>
      </c>
      <c r="E11237">
        <v>0</v>
      </c>
      <c r="F11237">
        <v>458</v>
      </c>
    </row>
    <row r="11238" spans="1:6" ht="12.75">
      <c r="A11238" s="2">
        <v>43880.291435185187</v>
      </c>
      <c r="B11238" t="str">
        <f>HYPERLINK("https://twitter.com/vandaINJFT","@vandaINJFT")</f>
        <v>@vandaINJFT</v>
      </c>
      <c r="C11238" t="s">
        <v>4415</v>
      </c>
      <c r="D11238">
        <v>9</v>
      </c>
      <c r="E11238">
        <v>0</v>
      </c>
      <c r="F11238">
        <v>163</v>
      </c>
    </row>
    <row r="11239" spans="1:6" ht="12.75">
      <c r="A11239" s="2">
        <v>43880.291273148148</v>
      </c>
      <c r="B11239" t="str">
        <f>HYPERLINK("https://twitter.com/malikadilaftr","@malikadilaftr")</f>
        <v>@malikadilaftr</v>
      </c>
      <c r="C11239" t="s">
        <v>1407</v>
      </c>
      <c r="D11239">
        <v>1145</v>
      </c>
      <c r="E11239">
        <v>0</v>
      </c>
      <c r="F11239">
        <v>539</v>
      </c>
    </row>
    <row r="11240" spans="1:6" ht="12.75">
      <c r="A11240" s="2">
        <v>43880.291041666671</v>
      </c>
      <c r="B11240" t="str">
        <f>HYPERLINK("https://twitter.com/oxaquarians","@oxaquarians")</f>
        <v>@oxaquarians</v>
      </c>
      <c r="C11240" t="s">
        <v>1407</v>
      </c>
      <c r="D11240">
        <v>1145</v>
      </c>
      <c r="E11240">
        <v>0</v>
      </c>
      <c r="F11240">
        <v>1147</v>
      </c>
    </row>
    <row r="11241" spans="1:6" ht="12.75">
      <c r="A11241" s="2">
        <v>43880.290833333333</v>
      </c>
      <c r="B11241" t="str">
        <f>HYPERLINK("https://twitter.com/paenahjoe","@paenahjoe")</f>
        <v>@paenahjoe</v>
      </c>
      <c r="C11241" t="s">
        <v>1407</v>
      </c>
      <c r="D11241">
        <v>1145</v>
      </c>
      <c r="E11241">
        <v>0</v>
      </c>
      <c r="F11241">
        <v>60</v>
      </c>
    </row>
    <row r="11242" spans="1:6" ht="12.75">
      <c r="A11242" s="2">
        <v>43880.290486111116</v>
      </c>
      <c r="B11242" t="str">
        <f>HYPERLINK("https://twitter.com/lanunatuna","@lanunatuna")</f>
        <v>@lanunatuna</v>
      </c>
      <c r="C11242" t="s">
        <v>5702</v>
      </c>
      <c r="D11242">
        <v>210</v>
      </c>
      <c r="E11242">
        <v>0</v>
      </c>
      <c r="F11242">
        <v>2961</v>
      </c>
    </row>
    <row r="11243" spans="1:6" ht="12.75">
      <c r="A11243" s="2">
        <v>43880.290393518517</v>
      </c>
      <c r="B11243" t="str">
        <f>HYPERLINK("https://twitter.com/gideonandi","@gideonandi")</f>
        <v>@gideonandi</v>
      </c>
      <c r="C11243" t="s">
        <v>6129</v>
      </c>
      <c r="D11243">
        <v>0</v>
      </c>
      <c r="E11243">
        <v>0</v>
      </c>
      <c r="F11243">
        <v>2343</v>
      </c>
    </row>
    <row r="11244" spans="1:6" ht="12.75">
      <c r="A11244" s="2">
        <v>43880.290347222224</v>
      </c>
      <c r="B11244" t="str">
        <f>HYPERLINK("https://twitter.com/so_rayaaa","@so_rayaaa")</f>
        <v>@so_rayaaa</v>
      </c>
      <c r="C11244" t="s">
        <v>1407</v>
      </c>
      <c r="D11244">
        <v>1145</v>
      </c>
      <c r="E11244">
        <v>0</v>
      </c>
      <c r="F11244">
        <v>986</v>
      </c>
    </row>
    <row r="11245" spans="1:6" ht="12.75">
      <c r="A11245" s="2">
        <v>43880.290266203709</v>
      </c>
      <c r="B11245" t="str">
        <f>HYPERLINK("https://twitter.com/S0N_2000","@S0N_2000")</f>
        <v>@S0N_2000</v>
      </c>
      <c r="C11245" t="s">
        <v>6111</v>
      </c>
      <c r="D11245">
        <v>6</v>
      </c>
      <c r="E11245">
        <v>0</v>
      </c>
      <c r="F11245">
        <v>1724</v>
      </c>
    </row>
    <row r="11246" spans="1:6" ht="12.75">
      <c r="A11246" s="2">
        <v>43880.289930555555</v>
      </c>
      <c r="B11246" t="str">
        <f>HYPERLINK("https://twitter.com/jabalsaladin","@jabalsaladin")</f>
        <v>@jabalsaladin</v>
      </c>
      <c r="C11246" t="s">
        <v>1407</v>
      </c>
      <c r="D11246">
        <v>1145</v>
      </c>
      <c r="E11246">
        <v>0</v>
      </c>
      <c r="F11246">
        <v>317</v>
      </c>
    </row>
    <row r="11247" spans="1:6" ht="12.75">
      <c r="A11247" s="2">
        <v>43880.28979166667</v>
      </c>
      <c r="B11247" t="str">
        <f>HYPERLINK("https://twitter.com/Antonbegitu","@Antonbegitu")</f>
        <v>@Antonbegitu</v>
      </c>
      <c r="C11247" t="s">
        <v>6130</v>
      </c>
      <c r="D11247">
        <v>1</v>
      </c>
      <c r="E11247">
        <v>0</v>
      </c>
      <c r="F11247">
        <v>229</v>
      </c>
    </row>
    <row r="11248" spans="1:6" ht="12.75">
      <c r="A11248" s="2">
        <v>43880.289571759262</v>
      </c>
      <c r="B11248" t="str">
        <f>HYPERLINK("https://twitter.com/cinemaxxiu","@cinemaxxiu")</f>
        <v>@cinemaxxiu</v>
      </c>
      <c r="C11248" t="s">
        <v>6010</v>
      </c>
      <c r="D11248">
        <v>39</v>
      </c>
      <c r="E11248">
        <v>0</v>
      </c>
      <c r="F11248">
        <v>515</v>
      </c>
    </row>
    <row r="11249" spans="1:6" ht="12.75">
      <c r="A11249" s="2">
        <v>43880.289571759262</v>
      </c>
      <c r="B11249" t="str">
        <f>HYPERLINK("https://twitter.com/hemaviton99","@hemaviton99")</f>
        <v>@hemaviton99</v>
      </c>
      <c r="C11249" t="s">
        <v>6111</v>
      </c>
      <c r="D11249">
        <v>6</v>
      </c>
      <c r="E11249">
        <v>0</v>
      </c>
      <c r="F11249">
        <v>4069</v>
      </c>
    </row>
    <row r="11250" spans="1:6" ht="12.75">
      <c r="A11250" s="2">
        <v>43880.289490740739</v>
      </c>
      <c r="B11250" t="str">
        <f>HYPERLINK("https://twitter.com/belindch","@belindch")</f>
        <v>@belindch</v>
      </c>
      <c r="C11250" t="s">
        <v>5987</v>
      </c>
      <c r="D11250">
        <v>1</v>
      </c>
      <c r="E11250">
        <v>0</v>
      </c>
      <c r="F11250">
        <v>6445</v>
      </c>
    </row>
    <row r="11251" spans="1:6" ht="12.75">
      <c r="A11251" s="2">
        <v>43880.289409722223</v>
      </c>
      <c r="B11251" t="str">
        <f>HYPERLINK("https://twitter.com/Bartolo13001581","@Bartolo13001581")</f>
        <v>@Bartolo13001581</v>
      </c>
      <c r="C11251" t="s">
        <v>6131</v>
      </c>
      <c r="D11251">
        <v>1</v>
      </c>
      <c r="E11251">
        <v>0</v>
      </c>
      <c r="F11251">
        <v>13</v>
      </c>
    </row>
    <row r="11252" spans="1:6" ht="12.75">
      <c r="A11252" s="2">
        <v>43880.289409722223</v>
      </c>
      <c r="B11252" t="str">
        <f>HYPERLINK("https://twitter.com/belindch","@belindch")</f>
        <v>@belindch</v>
      </c>
      <c r="C11252" t="s">
        <v>5989</v>
      </c>
      <c r="D11252">
        <v>72</v>
      </c>
      <c r="E11252">
        <v>0</v>
      </c>
      <c r="F11252">
        <v>6445</v>
      </c>
    </row>
    <row r="11253" spans="1:6" ht="12.75">
      <c r="A11253" s="2">
        <v>43880.2887962963</v>
      </c>
      <c r="B11253" t="str">
        <f>HYPERLINK("https://twitter.com/hugopramono","@hugopramono")</f>
        <v>@hugopramono</v>
      </c>
      <c r="C11253" t="s">
        <v>1407</v>
      </c>
      <c r="D11253">
        <v>1145</v>
      </c>
      <c r="E11253">
        <v>0</v>
      </c>
      <c r="F11253">
        <v>334</v>
      </c>
    </row>
    <row r="11254" spans="1:6" ht="12.75">
      <c r="A11254" s="2">
        <v>43880.288726851853</v>
      </c>
      <c r="B11254" t="str">
        <f>HYPERLINK("https://twitter.com/A_FaiJKT49","@A_FaiJKT49")</f>
        <v>@A_FaiJKT49</v>
      </c>
      <c r="C11254" t="s">
        <v>1407</v>
      </c>
      <c r="D11254">
        <v>1145</v>
      </c>
      <c r="E11254">
        <v>0</v>
      </c>
      <c r="F11254">
        <v>62</v>
      </c>
    </row>
    <row r="11255" spans="1:6" ht="12.75">
      <c r="A11255" s="2">
        <v>43880.288726851853</v>
      </c>
      <c r="B11255" t="str">
        <f>HYPERLINK("https://twitter.com/AndyPrawira5","@AndyPrawira5")</f>
        <v>@AndyPrawira5</v>
      </c>
      <c r="C11255" t="s">
        <v>1407</v>
      </c>
      <c r="D11255">
        <v>1145</v>
      </c>
      <c r="E11255">
        <v>0</v>
      </c>
      <c r="F11255">
        <v>55</v>
      </c>
    </row>
    <row r="11256" spans="1:6" ht="12.75">
      <c r="A11256" s="2">
        <v>43880.288564814815</v>
      </c>
      <c r="B11256" t="str">
        <f>HYPERLINK("https://twitter.com/kevinfransen","@kevinfransen")</f>
        <v>@kevinfransen</v>
      </c>
      <c r="C11256" t="s">
        <v>1407</v>
      </c>
      <c r="D11256">
        <v>1145</v>
      </c>
      <c r="E11256">
        <v>0</v>
      </c>
      <c r="F11256">
        <v>971</v>
      </c>
    </row>
    <row r="11257" spans="1:6" ht="12.75">
      <c r="A11257" s="2">
        <v>43880.288530092592</v>
      </c>
      <c r="B11257" t="str">
        <f>HYPERLINK("https://twitter.com/nofearcareup","@nofearcareup")</f>
        <v>@nofearcareup</v>
      </c>
      <c r="C11257" t="s">
        <v>2155</v>
      </c>
      <c r="D11257">
        <v>491</v>
      </c>
      <c r="E11257">
        <v>0</v>
      </c>
      <c r="F11257">
        <v>304</v>
      </c>
    </row>
    <row r="11258" spans="1:6" ht="12.75">
      <c r="A11258" s="2">
        <v>43880.288472222222</v>
      </c>
      <c r="B11258" t="str">
        <f>HYPERLINK("https://twitter.com/eindomiegoreng","@eindomiegoreng")</f>
        <v>@eindomiegoreng</v>
      </c>
      <c r="C11258" t="s">
        <v>6032</v>
      </c>
      <c r="D11258">
        <v>868</v>
      </c>
      <c r="E11258">
        <v>0</v>
      </c>
      <c r="F11258">
        <v>3683</v>
      </c>
    </row>
    <row r="11259" spans="1:6" ht="12.75">
      <c r="A11259" s="2">
        <v>43880.288368055553</v>
      </c>
      <c r="B11259" t="str">
        <f>HYPERLINK("https://twitter.com/tanhanna_","@tanhanna_")</f>
        <v>@tanhanna_</v>
      </c>
      <c r="C11259" t="s">
        <v>1407</v>
      </c>
      <c r="D11259">
        <v>1145</v>
      </c>
      <c r="E11259">
        <v>0</v>
      </c>
      <c r="F11259">
        <v>24</v>
      </c>
    </row>
    <row r="11260" spans="1:6" ht="12.75">
      <c r="A11260" s="2">
        <v>43880.288310185184</v>
      </c>
      <c r="B11260" t="str">
        <f>HYPERLINK("https://twitter.com/kamto_adi","@kamto_adi")</f>
        <v>@kamto_adi</v>
      </c>
      <c r="C11260" t="s">
        <v>6132</v>
      </c>
      <c r="D11260">
        <v>1</v>
      </c>
      <c r="E11260">
        <v>1</v>
      </c>
      <c r="F11260">
        <v>14975</v>
      </c>
    </row>
    <row r="11261" spans="1:6" ht="12.75">
      <c r="A11261" s="2">
        <v>43880.288310185184</v>
      </c>
      <c r="B11261" t="str">
        <f>HYPERLINK("https://twitter.com/sonnyalvian","@sonnyalvian")</f>
        <v>@sonnyalvian</v>
      </c>
      <c r="C11261" t="s">
        <v>1407</v>
      </c>
      <c r="D11261">
        <v>1145</v>
      </c>
      <c r="E11261">
        <v>0</v>
      </c>
      <c r="F11261">
        <v>514</v>
      </c>
    </row>
    <row r="11262" spans="1:6" ht="12.75">
      <c r="A11262" s="2">
        <v>43880.288078703699</v>
      </c>
      <c r="B11262" t="str">
        <f>HYPERLINK("https://twitter.com/didie_soeharto","@didie_soeharto")</f>
        <v>@didie_soeharto</v>
      </c>
      <c r="C11262" t="s">
        <v>6133</v>
      </c>
      <c r="D11262">
        <v>0</v>
      </c>
      <c r="E11262">
        <v>3</v>
      </c>
      <c r="F11262">
        <v>1220</v>
      </c>
    </row>
    <row r="11263" spans="1:6" ht="12.75">
      <c r="A11263" s="2">
        <v>43880.287870370375</v>
      </c>
      <c r="B11263" t="str">
        <f>HYPERLINK("https://twitter.com/daelyshit","@daelyshit")</f>
        <v>@daelyshit</v>
      </c>
      <c r="C11263" t="s">
        <v>1407</v>
      </c>
      <c r="D11263">
        <v>1145</v>
      </c>
      <c r="E11263">
        <v>0</v>
      </c>
      <c r="F11263">
        <v>157</v>
      </c>
    </row>
    <row r="11264" spans="1:6" ht="12.75">
      <c r="A11264" s="2">
        <v>43880.287777777776</v>
      </c>
      <c r="B11264" t="str">
        <f>HYPERLINK("https://twitter.com/sudahmiskin","@sudahmiskin")</f>
        <v>@sudahmiskin</v>
      </c>
      <c r="C11264" t="s">
        <v>1407</v>
      </c>
      <c r="D11264">
        <v>1145</v>
      </c>
      <c r="E11264">
        <v>0</v>
      </c>
      <c r="F11264">
        <v>620</v>
      </c>
    </row>
    <row r="11265" spans="1:6" ht="12.75">
      <c r="A11265" s="2">
        <v>43880.28733796296</v>
      </c>
      <c r="B11265" t="str">
        <f>HYPERLINK("https://twitter.com/Isis_cardoso16","@Isis_cardoso16")</f>
        <v>@Isis_cardoso16</v>
      </c>
      <c r="C11265" t="s">
        <v>6134</v>
      </c>
      <c r="D11265">
        <v>7</v>
      </c>
      <c r="E11265">
        <v>0</v>
      </c>
      <c r="F11265">
        <v>816</v>
      </c>
    </row>
    <row r="11266" spans="1:6" ht="12.75">
      <c r="A11266" s="2">
        <v>43880.286840277782</v>
      </c>
      <c r="B11266" t="str">
        <f>HYPERLINK("https://twitter.com/MoonMacaroon27","@MoonMacaroon27")</f>
        <v>@MoonMacaroon27</v>
      </c>
      <c r="C11266" t="s">
        <v>6111</v>
      </c>
      <c r="D11266">
        <v>6</v>
      </c>
      <c r="E11266">
        <v>0</v>
      </c>
      <c r="F11266">
        <v>104</v>
      </c>
    </row>
    <row r="11267" spans="1:6" ht="12.75">
      <c r="A11267" s="2">
        <v>43880.28670138889</v>
      </c>
      <c r="B11267" t="str">
        <f>HYPERLINK("https://twitter.com/kuroikyun","@kuroikyun")</f>
        <v>@kuroikyun</v>
      </c>
      <c r="C11267" t="s">
        <v>6135</v>
      </c>
      <c r="D11267">
        <v>5</v>
      </c>
      <c r="E11267">
        <v>0</v>
      </c>
      <c r="F11267">
        <v>3625</v>
      </c>
    </row>
    <row r="11268" spans="1:6" ht="12.75">
      <c r="A11268" s="2">
        <v>43880.286493055552</v>
      </c>
      <c r="B11268" t="str">
        <f>HYPERLINK("https://twitter.com/raflifadillah26","@raflifadillah26")</f>
        <v>@raflifadillah26</v>
      </c>
      <c r="C11268" t="s">
        <v>6092</v>
      </c>
      <c r="D11268">
        <v>17</v>
      </c>
      <c r="E11268">
        <v>0</v>
      </c>
      <c r="F11268">
        <v>13</v>
      </c>
    </row>
    <row r="11269" spans="1:6" ht="12.75">
      <c r="A11269" s="2">
        <v>43880.286469907413</v>
      </c>
      <c r="B11269" t="str">
        <f>HYPERLINK("https://twitter.com/nanazwa_","@nanazwa_")</f>
        <v>@nanazwa_</v>
      </c>
      <c r="C11269" t="s">
        <v>1407</v>
      </c>
      <c r="D11269">
        <v>1145</v>
      </c>
      <c r="E11269">
        <v>0</v>
      </c>
      <c r="F11269">
        <v>13</v>
      </c>
    </row>
    <row r="11270" spans="1:6" ht="12.75">
      <c r="A11270" s="2">
        <v>43880.286203703705</v>
      </c>
      <c r="B11270" t="str">
        <f>HYPERLINK("https://twitter.com/Rkhsnee_","@Rkhsnee_")</f>
        <v>@Rkhsnee_</v>
      </c>
      <c r="C11270" t="s">
        <v>1407</v>
      </c>
      <c r="D11270">
        <v>1145</v>
      </c>
      <c r="E11270">
        <v>0</v>
      </c>
      <c r="F11270">
        <v>92</v>
      </c>
    </row>
    <row r="11271" spans="1:6" ht="12.75">
      <c r="A11271" s="2">
        <v>43880.286168981482</v>
      </c>
      <c r="B11271" t="str">
        <f>HYPERLINK("https://twitter.com/didie_soeharto","@didie_soeharto")</f>
        <v>@didie_soeharto</v>
      </c>
      <c r="C11271" t="s">
        <v>6089</v>
      </c>
      <c r="D11271">
        <v>9</v>
      </c>
      <c r="E11271">
        <v>0</v>
      </c>
      <c r="F11271">
        <v>1220</v>
      </c>
    </row>
    <row r="11272" spans="1:6" ht="12.75">
      <c r="A11272" s="2">
        <v>43880.286111111112</v>
      </c>
      <c r="B11272" t="str">
        <f>HYPERLINK("https://twitter.com/fadilrhman","@fadilrhman")</f>
        <v>@fadilrhman</v>
      </c>
      <c r="C11272" t="s">
        <v>1407</v>
      </c>
      <c r="D11272">
        <v>1145</v>
      </c>
      <c r="E11272">
        <v>0</v>
      </c>
      <c r="F11272">
        <v>1149</v>
      </c>
    </row>
    <row r="11273" spans="1:6" ht="12.75">
      <c r="A11273" s="2">
        <v>43880.286087962959</v>
      </c>
      <c r="B11273" t="str">
        <f>HYPERLINK("https://twitter.com/velsiana","@velsiana")</f>
        <v>@velsiana</v>
      </c>
      <c r="C11273" t="s">
        <v>1407</v>
      </c>
      <c r="D11273">
        <v>1145</v>
      </c>
      <c r="E11273">
        <v>0</v>
      </c>
      <c r="F11273">
        <v>2424</v>
      </c>
    </row>
    <row r="11274" spans="1:6" ht="12.75">
      <c r="A11274" s="2">
        <v>43880.285983796297</v>
      </c>
      <c r="B11274" t="str">
        <f>HYPERLINK("https://twitter.com/dizatanzira","@dizatanzira")</f>
        <v>@dizatanzira</v>
      </c>
      <c r="C11274" t="s">
        <v>1407</v>
      </c>
      <c r="D11274">
        <v>1145</v>
      </c>
      <c r="E11274">
        <v>0</v>
      </c>
      <c r="F11274">
        <v>169</v>
      </c>
    </row>
    <row r="11275" spans="1:6" ht="12.75">
      <c r="A11275" s="2">
        <v>43880.285983796297</v>
      </c>
      <c r="B11275" t="str">
        <f>HYPERLINK("https://twitter.com/1_devout","@1_devout")</f>
        <v>@1_devout</v>
      </c>
      <c r="C11275" t="s">
        <v>6136</v>
      </c>
      <c r="D11275">
        <v>0</v>
      </c>
      <c r="E11275">
        <v>0</v>
      </c>
      <c r="F11275">
        <v>26</v>
      </c>
    </row>
    <row r="11276" spans="1:6" ht="12.75">
      <c r="A11276" s="2">
        <v>43880.285937499997</v>
      </c>
      <c r="B11276" t="str">
        <f>HYPERLINK("https://twitter.com/tasynap","@tasynap")</f>
        <v>@tasynap</v>
      </c>
      <c r="C11276" t="s">
        <v>6137</v>
      </c>
      <c r="D11276">
        <v>1</v>
      </c>
      <c r="E11276">
        <v>0</v>
      </c>
      <c r="F11276">
        <v>193</v>
      </c>
    </row>
    <row r="11277" spans="1:6" ht="12.75">
      <c r="A11277" s="2">
        <v>43880.285891203705</v>
      </c>
      <c r="B11277" t="str">
        <f>HYPERLINK("https://twitter.com/ChenKaKui","@ChenKaKui")</f>
        <v>@ChenKaKui</v>
      </c>
      <c r="C11277" t="s">
        <v>1407</v>
      </c>
      <c r="D11277">
        <v>1145</v>
      </c>
      <c r="E11277">
        <v>0</v>
      </c>
      <c r="F11277">
        <v>138</v>
      </c>
    </row>
    <row r="11278" spans="1:6" ht="12.75">
      <c r="A11278" s="2">
        <v>43880.285810185189</v>
      </c>
      <c r="B11278" t="str">
        <f>HYPERLINK("https://twitter.com/syakirasyakir","@syakirasyakir")</f>
        <v>@syakirasyakir</v>
      </c>
      <c r="C11278" t="s">
        <v>6138</v>
      </c>
      <c r="D11278">
        <v>0</v>
      </c>
      <c r="E11278">
        <v>0</v>
      </c>
      <c r="F11278">
        <v>679</v>
      </c>
    </row>
    <row r="11279" spans="1:6" ht="12.75">
      <c r="A11279" s="2">
        <v>43880.285798611112</v>
      </c>
      <c r="B11279" t="str">
        <f>HYPERLINK("https://twitter.com/coklatglaze","@coklatglaze")</f>
        <v>@coklatglaze</v>
      </c>
      <c r="C11279" t="s">
        <v>1407</v>
      </c>
      <c r="D11279">
        <v>1145</v>
      </c>
      <c r="E11279">
        <v>0</v>
      </c>
      <c r="F11279">
        <v>51</v>
      </c>
    </row>
    <row r="11280" spans="1:6" ht="12.75">
      <c r="A11280" s="2">
        <v>43880.285462962958</v>
      </c>
      <c r="B11280" t="str">
        <f>HYPERLINK("https://twitter.com/kompascom","@kompascom")</f>
        <v>@kompascom</v>
      </c>
      <c r="C11280" t="s">
        <v>6139</v>
      </c>
      <c r="D11280">
        <v>6</v>
      </c>
      <c r="E11280">
        <v>19</v>
      </c>
      <c r="F11280">
        <v>7503225</v>
      </c>
    </row>
    <row r="11281" spans="1:6" ht="12.75">
      <c r="A11281" s="2">
        <v>43880.285451388889</v>
      </c>
      <c r="B11281" t="str">
        <f>HYPERLINK("https://twitter.com/zkdelinn","@zkdelinn")</f>
        <v>@zkdelinn</v>
      </c>
      <c r="C11281" t="s">
        <v>1407</v>
      </c>
      <c r="D11281">
        <v>1145</v>
      </c>
      <c r="E11281">
        <v>0</v>
      </c>
      <c r="F11281">
        <v>126</v>
      </c>
    </row>
    <row r="11282" spans="1:6" ht="12.75">
      <c r="A11282" s="2">
        <v>43880.285196759258</v>
      </c>
      <c r="B11282" t="str">
        <f>HYPERLINK("https://twitter.com/bendaritonang","@bendaritonang")</f>
        <v>@bendaritonang</v>
      </c>
      <c r="C11282" t="s">
        <v>3474</v>
      </c>
      <c r="D11282">
        <v>23</v>
      </c>
      <c r="E11282">
        <v>0</v>
      </c>
      <c r="F11282">
        <v>202</v>
      </c>
    </row>
    <row r="11283" spans="1:6" ht="12.75">
      <c r="A11283" s="2">
        <v>43880.284745370373</v>
      </c>
      <c r="B11283" t="str">
        <f>HYPERLINK("https://twitter.com/mutajir_mohamat","@mutajir_mohamat")</f>
        <v>@mutajir_mohamat</v>
      </c>
      <c r="C11283" t="s">
        <v>6140</v>
      </c>
      <c r="D11283">
        <v>4</v>
      </c>
      <c r="E11283">
        <v>0</v>
      </c>
      <c r="F11283">
        <v>268</v>
      </c>
    </row>
    <row r="11284" spans="1:6" ht="12.75">
      <c r="A11284" s="2">
        <v>43880.284687499996</v>
      </c>
      <c r="B11284" t="str">
        <f>HYPERLINK("https://twitter.com/shellsshh","@shellsshh")</f>
        <v>@shellsshh</v>
      </c>
      <c r="C11284" t="s">
        <v>1407</v>
      </c>
      <c r="D11284">
        <v>1145</v>
      </c>
      <c r="E11284">
        <v>0</v>
      </c>
      <c r="F11284">
        <v>570</v>
      </c>
    </row>
    <row r="11285" spans="1:6" ht="12.75">
      <c r="A11285" s="2">
        <v>43880.284652777773</v>
      </c>
      <c r="B11285" t="str">
        <f>HYPERLINK("https://twitter.com/inyoureia","@inyoureia")</f>
        <v>@inyoureia</v>
      </c>
      <c r="C11285" t="s">
        <v>2467</v>
      </c>
      <c r="D11285">
        <v>46</v>
      </c>
      <c r="E11285">
        <v>0</v>
      </c>
      <c r="F11285">
        <v>530</v>
      </c>
    </row>
    <row r="11286" spans="1:6" ht="12.75">
      <c r="A11286" s="2">
        <v>43880.284502314811</v>
      </c>
      <c r="B11286" t="str">
        <f>HYPERLINK("https://twitter.com/RainaRain24","@RainaRain24")</f>
        <v>@RainaRain24</v>
      </c>
      <c r="C11286" t="s">
        <v>4415</v>
      </c>
      <c r="D11286">
        <v>9</v>
      </c>
      <c r="E11286">
        <v>0</v>
      </c>
      <c r="F11286">
        <v>1202</v>
      </c>
    </row>
    <row r="11287" spans="1:6" ht="12.75">
      <c r="A11287" s="2">
        <v>43880.284363425926</v>
      </c>
      <c r="B11287" t="str">
        <f>HYPERLINK("https://twitter.com/sbilaanindya","@sbilaanindya")</f>
        <v>@sbilaanindya</v>
      </c>
      <c r="C11287" t="s">
        <v>6032</v>
      </c>
      <c r="D11287">
        <v>868</v>
      </c>
      <c r="E11287">
        <v>0</v>
      </c>
      <c r="F11287">
        <v>954</v>
      </c>
    </row>
    <row r="11288" spans="1:6" ht="12.75">
      <c r="A11288" s="2">
        <v>43880.284097222218</v>
      </c>
      <c r="B11288" t="str">
        <f>HYPERLINK("https://twitter.com/windyadp","@windyadp")</f>
        <v>@windyadp</v>
      </c>
      <c r="C11288" t="s">
        <v>1920</v>
      </c>
      <c r="D11288">
        <v>197</v>
      </c>
      <c r="E11288">
        <v>0</v>
      </c>
      <c r="F11288">
        <v>481</v>
      </c>
    </row>
    <row r="11289" spans="1:6" ht="12.75">
      <c r="A11289" s="2">
        <v>43880.283634259264</v>
      </c>
      <c r="B11289" t="str">
        <f>HYPERLINK("https://twitter.com/aggidilimanto","@aggidilimanto")</f>
        <v>@aggidilimanto</v>
      </c>
      <c r="C11289" t="s">
        <v>6141</v>
      </c>
      <c r="D11289">
        <v>0</v>
      </c>
      <c r="E11289">
        <v>0</v>
      </c>
      <c r="F11289">
        <v>1456</v>
      </c>
    </row>
    <row r="11290" spans="1:6" ht="12.75">
      <c r="A11290" s="2">
        <v>43880.283634259264</v>
      </c>
      <c r="B11290" t="str">
        <f>HYPERLINK("https://twitter.com/diomandala","@diomandala")</f>
        <v>@diomandala</v>
      </c>
      <c r="C11290" t="s">
        <v>1407</v>
      </c>
      <c r="D11290">
        <v>1145</v>
      </c>
      <c r="E11290">
        <v>0</v>
      </c>
      <c r="F11290">
        <v>973</v>
      </c>
    </row>
    <row r="11291" spans="1:6" ht="12.75">
      <c r="A11291" s="2">
        <v>43880.283425925925</v>
      </c>
      <c r="B11291" t="str">
        <f>HYPERLINK("https://twitter.com/KasanMulyono","@KasanMulyono")</f>
        <v>@KasanMulyono</v>
      </c>
      <c r="C11291" t="s">
        <v>5702</v>
      </c>
      <c r="D11291">
        <v>210</v>
      </c>
      <c r="E11291">
        <v>0</v>
      </c>
      <c r="F11291">
        <v>15193</v>
      </c>
    </row>
    <row r="11292" spans="1:6" ht="12.75">
      <c r="A11292" s="2">
        <v>43880.283425925925</v>
      </c>
      <c r="B11292" t="str">
        <f>HYPERLINK("https://twitter.com/aktualofficial","@aktualofficial")</f>
        <v>@aktualofficial</v>
      </c>
      <c r="C11292" t="s">
        <v>6142</v>
      </c>
      <c r="D11292">
        <v>0</v>
      </c>
      <c r="E11292">
        <v>0</v>
      </c>
      <c r="F11292">
        <v>129</v>
      </c>
    </row>
    <row r="11293" spans="1:6" ht="12.75">
      <c r="A11293" s="2">
        <v>43880.283182870371</v>
      </c>
      <c r="B11293" t="str">
        <f>HYPERLINK("https://twitter.com/nabungdosa","@nabungdosa")</f>
        <v>@nabungdosa</v>
      </c>
      <c r="C11293" t="s">
        <v>1407</v>
      </c>
      <c r="D11293">
        <v>1145</v>
      </c>
      <c r="E11293">
        <v>0</v>
      </c>
      <c r="F11293">
        <v>438</v>
      </c>
    </row>
    <row r="11294" spans="1:6" ht="12.75">
      <c r="A11294" s="2">
        <v>43880.283159722225</v>
      </c>
      <c r="B11294" t="str">
        <f>HYPERLINK("https://twitter.com/lightwaAater","@lightwaAater")</f>
        <v>@lightwaAater</v>
      </c>
      <c r="C11294" t="s">
        <v>1407</v>
      </c>
      <c r="D11294">
        <v>1145</v>
      </c>
      <c r="E11294">
        <v>0</v>
      </c>
      <c r="F11294">
        <v>296</v>
      </c>
    </row>
    <row r="11295" spans="1:6" ht="12.75">
      <c r="A11295" s="2">
        <v>43880.282939814817</v>
      </c>
      <c r="B11295" t="str">
        <f>HYPERLINK("https://twitter.com/Fiqhu","@Fiqhu")</f>
        <v>@Fiqhu</v>
      </c>
      <c r="C11295" t="s">
        <v>1407</v>
      </c>
      <c r="D11295">
        <v>1145</v>
      </c>
      <c r="E11295">
        <v>0</v>
      </c>
      <c r="F11295">
        <v>508</v>
      </c>
    </row>
    <row r="11296" spans="1:6" ht="12.75">
      <c r="A11296" s="2">
        <v>43880.282106481478</v>
      </c>
      <c r="B11296" t="str">
        <f>HYPERLINK("https://twitter.com/anugrahpeem","@anugrahpeem")</f>
        <v>@anugrahpeem</v>
      </c>
      <c r="C11296" t="s">
        <v>1407</v>
      </c>
      <c r="D11296">
        <v>1145</v>
      </c>
      <c r="E11296">
        <v>0</v>
      </c>
      <c r="F11296">
        <v>238</v>
      </c>
    </row>
    <row r="11297" spans="1:6" ht="12.75">
      <c r="A11297" s="2">
        <v>43880.282094907408</v>
      </c>
      <c r="B11297" t="str">
        <f>HYPERLINK("https://twitter.com/fajar14dzani","@fajar14dzani")</f>
        <v>@fajar14dzani</v>
      </c>
      <c r="C11297" t="s">
        <v>1407</v>
      </c>
      <c r="D11297">
        <v>1145</v>
      </c>
      <c r="E11297">
        <v>0</v>
      </c>
      <c r="F11297">
        <v>35</v>
      </c>
    </row>
    <row r="11298" spans="1:6" ht="12.75">
      <c r="A11298" s="2">
        <v>43880.282071759255</v>
      </c>
      <c r="B11298" t="str">
        <f>HYPERLINK("https://twitter.com/erfinsyam","@erfinsyam")</f>
        <v>@erfinsyam</v>
      </c>
      <c r="C11298" t="s">
        <v>1407</v>
      </c>
      <c r="D11298">
        <v>1145</v>
      </c>
      <c r="E11298">
        <v>0</v>
      </c>
      <c r="F11298">
        <v>818</v>
      </c>
    </row>
    <row r="11299" spans="1:6" ht="12.75">
      <c r="A11299" s="2">
        <v>43880.282002314816</v>
      </c>
      <c r="B11299" t="str">
        <f>HYPERLINK("https://twitter.com/rheyputation","@rheyputation")</f>
        <v>@rheyputation</v>
      </c>
      <c r="C11299" t="s">
        <v>1407</v>
      </c>
      <c r="D11299">
        <v>1145</v>
      </c>
      <c r="E11299">
        <v>0</v>
      </c>
      <c r="F11299">
        <v>682</v>
      </c>
    </row>
    <row r="11300" spans="1:6" ht="12.75">
      <c r="A11300" s="2">
        <v>43880.281921296293</v>
      </c>
      <c r="B11300" t="str">
        <f>HYPERLINK("https://twitter.com/windynovitaazh","@windynovitaazh")</f>
        <v>@windynovitaazh</v>
      </c>
      <c r="C11300" t="s">
        <v>1407</v>
      </c>
      <c r="D11300">
        <v>1145</v>
      </c>
      <c r="E11300">
        <v>0</v>
      </c>
      <c r="F11300">
        <v>930</v>
      </c>
    </row>
    <row r="11301" spans="1:6" ht="12.75">
      <c r="A11301" s="2">
        <v>43880.281840277778</v>
      </c>
      <c r="B11301" t="str">
        <f>HYPERLINK("https://twitter.com/lightsaiba","@lightsaiba")</f>
        <v>@lightsaiba</v>
      </c>
      <c r="C11301" t="s">
        <v>2467</v>
      </c>
      <c r="D11301">
        <v>46</v>
      </c>
      <c r="E11301">
        <v>0</v>
      </c>
      <c r="F11301">
        <v>907</v>
      </c>
    </row>
    <row r="11302" spans="1:6" ht="12.75">
      <c r="A11302" s="2">
        <v>43880.281782407408</v>
      </c>
      <c r="B11302" t="str">
        <f>HYPERLINK("https://twitter.com/sando_julio","@sando_julio")</f>
        <v>@sando_julio</v>
      </c>
      <c r="C11302" t="s">
        <v>1407</v>
      </c>
      <c r="D11302">
        <v>1145</v>
      </c>
      <c r="E11302">
        <v>0</v>
      </c>
      <c r="F11302">
        <v>370</v>
      </c>
    </row>
    <row r="11303" spans="1:6" ht="12.75">
      <c r="A11303" s="2">
        <v>43880.281770833331</v>
      </c>
      <c r="B11303" t="str">
        <f>HYPERLINK("https://twitter.com/lightsaiba","@lightsaiba")</f>
        <v>@lightsaiba</v>
      </c>
      <c r="C11303" t="s">
        <v>1407</v>
      </c>
      <c r="D11303">
        <v>1145</v>
      </c>
      <c r="E11303">
        <v>0</v>
      </c>
      <c r="F11303">
        <v>907</v>
      </c>
    </row>
    <row r="11304" spans="1:6" ht="12.75">
      <c r="A11304" s="2">
        <v>43880.281736111108</v>
      </c>
      <c r="B11304" t="str">
        <f>HYPERLINK("https://twitter.com/auliaaldjawa","@auliaaldjawa")</f>
        <v>@auliaaldjawa</v>
      </c>
      <c r="C11304" t="s">
        <v>1407</v>
      </c>
      <c r="D11304">
        <v>1145</v>
      </c>
      <c r="E11304">
        <v>0</v>
      </c>
      <c r="F11304">
        <v>387</v>
      </c>
    </row>
    <row r="11305" spans="1:6" ht="12.75">
      <c r="A11305" s="2">
        <v>43880.281631944439</v>
      </c>
      <c r="B11305" t="str">
        <f>HYPERLINK("https://twitter.com/hhhhhalu","@hhhhhalu")</f>
        <v>@hhhhhalu</v>
      </c>
      <c r="C11305" t="s">
        <v>1407</v>
      </c>
      <c r="D11305">
        <v>1145</v>
      </c>
      <c r="E11305">
        <v>0</v>
      </c>
      <c r="F11305">
        <v>480</v>
      </c>
    </row>
    <row r="11306" spans="1:6" ht="12.75">
      <c r="A11306" s="2">
        <v>43880.28162037037</v>
      </c>
      <c r="B11306" t="str">
        <f>HYPERLINK("https://twitter.com/mamaian9353","@mamaian9353")</f>
        <v>@mamaian9353</v>
      </c>
      <c r="C11306" t="s">
        <v>1407</v>
      </c>
      <c r="D11306">
        <v>1145</v>
      </c>
      <c r="E11306">
        <v>0</v>
      </c>
      <c r="F11306">
        <v>129</v>
      </c>
    </row>
    <row r="11307" spans="1:6" ht="12.75">
      <c r="A11307" s="2">
        <v>43880.281388888892</v>
      </c>
      <c r="B11307" t="str">
        <f>HYPERLINK("https://twitter.com/AffanKan","@AffanKan")</f>
        <v>@AffanKan</v>
      </c>
      <c r="C11307" t="s">
        <v>1407</v>
      </c>
      <c r="D11307">
        <v>1145</v>
      </c>
      <c r="E11307">
        <v>0</v>
      </c>
      <c r="F11307">
        <v>38</v>
      </c>
    </row>
    <row r="11308" spans="1:6" ht="12.75">
      <c r="A11308" s="2">
        <v>43880.281331018516</v>
      </c>
      <c r="B11308" t="str">
        <f>HYPERLINK("https://twitter.com/akugapapak","@akugapapak")</f>
        <v>@akugapapak</v>
      </c>
      <c r="C11308" t="s">
        <v>1407</v>
      </c>
      <c r="D11308">
        <v>1145</v>
      </c>
      <c r="E11308">
        <v>0</v>
      </c>
      <c r="F11308">
        <v>423</v>
      </c>
    </row>
    <row r="11309" spans="1:6" ht="12.75">
      <c r="A11309" s="2">
        <v>43880.281099537038</v>
      </c>
      <c r="B11309" t="str">
        <f>HYPERLINK("https://twitter.com/MinyakWangi8","@MinyakWangi8")</f>
        <v>@MinyakWangi8</v>
      </c>
      <c r="C11309" t="s">
        <v>4415</v>
      </c>
      <c r="D11309">
        <v>9</v>
      </c>
      <c r="E11309">
        <v>0</v>
      </c>
      <c r="F11309">
        <v>7</v>
      </c>
    </row>
    <row r="11310" spans="1:6" ht="12.75">
      <c r="A11310" s="2">
        <v>43880.281064814815</v>
      </c>
      <c r="B11310" t="str">
        <f>HYPERLINK("https://twitter.com/_soshibee","@_soshibee")</f>
        <v>@_soshibee</v>
      </c>
      <c r="C11310" t="s">
        <v>1407</v>
      </c>
      <c r="D11310">
        <v>1145</v>
      </c>
      <c r="E11310">
        <v>0</v>
      </c>
      <c r="F11310">
        <v>15</v>
      </c>
    </row>
    <row r="11311" spans="1:6" ht="12.75">
      <c r="A11311" s="2">
        <v>43880.2808912037</v>
      </c>
      <c r="B11311" t="str">
        <f>HYPERLINK("https://twitter.com/AufThanos","@AufThanos")</f>
        <v>@AufThanos</v>
      </c>
      <c r="C11311" t="s">
        <v>1407</v>
      </c>
      <c r="D11311">
        <v>1145</v>
      </c>
      <c r="E11311">
        <v>0</v>
      </c>
      <c r="F11311">
        <v>243</v>
      </c>
    </row>
    <row r="11312" spans="1:6" ht="12.75">
      <c r="A11312" s="2">
        <v>43880.280856481477</v>
      </c>
      <c r="B11312" t="str">
        <f>HYPERLINK("https://twitter.com/tasetiadarma","@tasetiadarma")</f>
        <v>@tasetiadarma</v>
      </c>
      <c r="C11312" t="s">
        <v>1407</v>
      </c>
      <c r="D11312">
        <v>1145</v>
      </c>
      <c r="E11312">
        <v>0</v>
      </c>
      <c r="F11312">
        <v>322</v>
      </c>
    </row>
    <row r="11313" spans="1:6" ht="12.75">
      <c r="A11313" s="2">
        <v>43880.280775462961</v>
      </c>
      <c r="B11313" t="str">
        <f>HYPERLINK("https://twitter.com/graciellaolvn","@graciellaolvn")</f>
        <v>@graciellaolvn</v>
      </c>
      <c r="C11313" t="s">
        <v>1407</v>
      </c>
      <c r="D11313">
        <v>1145</v>
      </c>
      <c r="E11313">
        <v>0</v>
      </c>
      <c r="F11313">
        <v>1451</v>
      </c>
    </row>
    <row r="11314" spans="1:6" ht="12.75">
      <c r="A11314" s="2">
        <v>43880.279907407406</v>
      </c>
      <c r="B11314" t="str">
        <f>HYPERLINK("https://twitter.com/babycantikajp","@babycantikajp")</f>
        <v>@babycantikajp</v>
      </c>
      <c r="C11314" t="s">
        <v>1920</v>
      </c>
      <c r="D11314">
        <v>197</v>
      </c>
      <c r="E11314">
        <v>0</v>
      </c>
      <c r="F11314">
        <v>292</v>
      </c>
    </row>
    <row r="11315" spans="1:6" ht="12.75">
      <c r="A11315" s="2">
        <v>43880.279699074075</v>
      </c>
      <c r="B11315" t="str">
        <f>HYPERLINK("https://twitter.com/WidiarsoKris","@WidiarsoKris")</f>
        <v>@WidiarsoKris</v>
      </c>
      <c r="C11315" t="s">
        <v>6143</v>
      </c>
      <c r="D11315">
        <v>0</v>
      </c>
      <c r="E11315">
        <v>0</v>
      </c>
      <c r="F11315">
        <v>109</v>
      </c>
    </row>
    <row r="11316" spans="1:6" ht="12.75">
      <c r="A11316" s="2">
        <v>43880.279606481483</v>
      </c>
      <c r="B11316" t="str">
        <f>HYPERLINK("https://twitter.com/vandaINJFT","@vandaINJFT")</f>
        <v>@vandaINJFT</v>
      </c>
      <c r="C11316" t="s">
        <v>6144</v>
      </c>
      <c r="D11316">
        <v>1</v>
      </c>
      <c r="E11316">
        <v>0</v>
      </c>
      <c r="F11316">
        <v>163</v>
      </c>
    </row>
    <row r="11317" spans="1:6" ht="12.75">
      <c r="A11317" s="2">
        <v>43880.279583333337</v>
      </c>
      <c r="B11317" t="str">
        <f>HYPERLINK("https://twitter.com/RichardAgustant","@RichardAgustant")</f>
        <v>@RichardAgustant</v>
      </c>
      <c r="C11317" t="s">
        <v>1407</v>
      </c>
      <c r="D11317">
        <v>1145</v>
      </c>
      <c r="E11317">
        <v>0</v>
      </c>
      <c r="F11317">
        <v>140</v>
      </c>
    </row>
    <row r="11318" spans="1:6" ht="12.75">
      <c r="A11318" s="2">
        <v>43880.279270833329</v>
      </c>
      <c r="B11318" t="str">
        <f>HYPERLINK("https://twitter.com/ozymandias2020X","@ozymandias2020X")</f>
        <v>@ozymandias2020X</v>
      </c>
      <c r="C11318" t="s">
        <v>6145</v>
      </c>
      <c r="D11318">
        <v>1</v>
      </c>
      <c r="E11318">
        <v>0</v>
      </c>
      <c r="F11318">
        <v>2637</v>
      </c>
    </row>
    <row r="11319" spans="1:6" ht="12.75">
      <c r="A11319" s="2">
        <v>43880.27924768519</v>
      </c>
      <c r="B11319" t="str">
        <f>HYPERLINK("https://twitter.com/buayanungging","@buayanungging")</f>
        <v>@buayanungging</v>
      </c>
      <c r="C11319" t="s">
        <v>6032</v>
      </c>
      <c r="D11319">
        <v>868</v>
      </c>
      <c r="E11319">
        <v>0</v>
      </c>
      <c r="F11319">
        <v>340</v>
      </c>
    </row>
    <row r="11320" spans="1:6" ht="12.75">
      <c r="A11320" s="2">
        <v>43880.27920138889</v>
      </c>
      <c r="B11320" t="str">
        <f>HYPERLINK("https://twitter.com/ilailabby","@ilailabby")</f>
        <v>@ilailabby</v>
      </c>
      <c r="C11320" t="s">
        <v>1407</v>
      </c>
      <c r="D11320">
        <v>1145</v>
      </c>
      <c r="E11320">
        <v>0</v>
      </c>
      <c r="F11320">
        <v>386</v>
      </c>
    </row>
    <row r="11321" spans="1:6" ht="12.75">
      <c r="A11321" s="2">
        <v>43880.27920138889</v>
      </c>
      <c r="B11321" t="str">
        <f>HYPERLINK("https://twitter.com/Riz__Ayu","@Riz__Ayu")</f>
        <v>@Riz__Ayu</v>
      </c>
      <c r="C11321" t="s">
        <v>5979</v>
      </c>
      <c r="D11321">
        <v>3</v>
      </c>
      <c r="E11321">
        <v>0</v>
      </c>
      <c r="F11321">
        <v>3228</v>
      </c>
    </row>
    <row r="11322" spans="1:6" ht="12.75">
      <c r="A11322" s="2">
        <v>43880.251446759255</v>
      </c>
      <c r="B11322" t="str">
        <f>HYPERLINK("https://twitter.com/ptrmobara","@ptrmobara")</f>
        <v>@ptrmobara</v>
      </c>
      <c r="C11322" t="s">
        <v>2467</v>
      </c>
      <c r="D11322">
        <v>40</v>
      </c>
      <c r="E11322">
        <v>0</v>
      </c>
      <c r="F11322">
        <v>384</v>
      </c>
    </row>
    <row r="11323" spans="1:6" ht="12.75">
      <c r="A11323" s="2">
        <v>43880.251423611116</v>
      </c>
      <c r="B11323" t="str">
        <f>HYPERLINK("https://twitter.com/MadingIndonesia","@MadingIndonesia")</f>
        <v>@MadingIndonesia</v>
      </c>
      <c r="C11323" t="s">
        <v>6146</v>
      </c>
      <c r="D11323">
        <v>0</v>
      </c>
      <c r="E11323">
        <v>0</v>
      </c>
      <c r="F11323">
        <v>8</v>
      </c>
    </row>
    <row r="11324" spans="1:6" ht="12.75">
      <c r="A11324" s="2">
        <v>43880.250844907408</v>
      </c>
      <c r="B11324" t="str">
        <f>HYPERLINK("https://twitter.com/wal_lie","@wal_lie")</f>
        <v>@wal_lie</v>
      </c>
      <c r="C11324" t="s">
        <v>1407</v>
      </c>
      <c r="D11324">
        <v>992</v>
      </c>
      <c r="E11324">
        <v>0</v>
      </c>
      <c r="F11324">
        <v>766</v>
      </c>
    </row>
    <row r="11325" spans="1:6" ht="12.75">
      <c r="A11325" s="2">
        <v>43880.250601851847</v>
      </c>
      <c r="B11325" t="str">
        <f>HYPERLINK("https://twitter.com/keunduran","@keunduran")</f>
        <v>@keunduran</v>
      </c>
      <c r="C11325" t="s">
        <v>1407</v>
      </c>
      <c r="D11325">
        <v>992</v>
      </c>
      <c r="E11325">
        <v>0</v>
      </c>
      <c r="F11325">
        <v>83</v>
      </c>
    </row>
    <row r="11326" spans="1:6" ht="12.75">
      <c r="A11326" s="2">
        <v>43880.250428240739</v>
      </c>
      <c r="B11326" t="str">
        <f>HYPERLINK("https://twitter.com/bedasikit","@bedasikit")</f>
        <v>@bedasikit</v>
      </c>
      <c r="C11326" t="s">
        <v>1407</v>
      </c>
      <c r="D11326">
        <v>992</v>
      </c>
      <c r="E11326">
        <v>0</v>
      </c>
      <c r="F11326">
        <v>617</v>
      </c>
    </row>
    <row r="11327" spans="1:6" ht="12.75">
      <c r="A11327" s="2">
        <v>43880.250405092593</v>
      </c>
      <c r="B11327" t="str">
        <f>HYPERLINK("https://twitter.com/dmwsdq","@dmwsdq")</f>
        <v>@dmwsdq</v>
      </c>
      <c r="C11327" t="s">
        <v>1407</v>
      </c>
      <c r="D11327">
        <v>992</v>
      </c>
      <c r="E11327">
        <v>0</v>
      </c>
      <c r="F11327">
        <v>904</v>
      </c>
    </row>
    <row r="11328" spans="1:6" ht="12.75">
      <c r="A11328" s="2">
        <v>43880.25037037037</v>
      </c>
      <c r="B11328" t="str">
        <f>HYPERLINK("https://twitter.com/ibnuXrevy","@ibnuXrevy")</f>
        <v>@ibnuXrevy</v>
      </c>
      <c r="C11328" t="s">
        <v>6032</v>
      </c>
      <c r="D11328">
        <v>859</v>
      </c>
      <c r="E11328">
        <v>0</v>
      </c>
      <c r="F11328">
        <v>344</v>
      </c>
    </row>
    <row r="11329" spans="1:6" ht="12.75">
      <c r="A11329" s="2">
        <v>43880.25</v>
      </c>
      <c r="B11329" t="str">
        <f>HYPERLINK("https://twitter.com/EricMorgan66","@EricMorgan66")</f>
        <v>@EricMorgan66</v>
      </c>
      <c r="C11329" t="s">
        <v>6147</v>
      </c>
      <c r="D11329">
        <v>2</v>
      </c>
      <c r="E11329">
        <v>0</v>
      </c>
      <c r="F11329">
        <v>559</v>
      </c>
    </row>
    <row r="11330" spans="1:6" ht="12.75">
      <c r="A11330" s="2">
        <v>43880.249826388885</v>
      </c>
      <c r="B11330" t="str">
        <f t="shared" ref="B11330:B11331" si="204">HYPERLINK("https://twitter.com/CanadaSpecialA1","@CanadaSpecialA1")</f>
        <v>@CanadaSpecialA1</v>
      </c>
      <c r="C11330" t="s">
        <v>6147</v>
      </c>
      <c r="D11330">
        <v>2</v>
      </c>
      <c r="E11330">
        <v>0</v>
      </c>
      <c r="F11330">
        <v>4051</v>
      </c>
    </row>
    <row r="11331" spans="1:6" ht="12.75">
      <c r="A11331" s="2">
        <v>43880.2497337963</v>
      </c>
      <c r="B11331" t="str">
        <f t="shared" si="204"/>
        <v>@CanadaSpecialA1</v>
      </c>
      <c r="C11331" t="s">
        <v>6148</v>
      </c>
      <c r="D11331">
        <v>2</v>
      </c>
      <c r="E11331">
        <v>2</v>
      </c>
      <c r="F11331">
        <v>4051</v>
      </c>
    </row>
    <row r="11332" spans="1:6" ht="12.75">
      <c r="A11332" s="2">
        <v>43880.249236111107</v>
      </c>
      <c r="B11332" t="str">
        <f>HYPERLINK("https://twitter.com/Parjo48789369","@Parjo48789369")</f>
        <v>@Parjo48789369</v>
      </c>
      <c r="C11332" t="s">
        <v>6067</v>
      </c>
      <c r="D11332">
        <v>10</v>
      </c>
      <c r="E11332">
        <v>0</v>
      </c>
      <c r="F11332">
        <v>245</v>
      </c>
    </row>
    <row r="11333" spans="1:6" ht="12.75">
      <c r="A11333" s="2">
        <v>43880.249039351853</v>
      </c>
      <c r="B11333" t="str">
        <f>HYPERLINK("https://twitter.com/hitheoo","@hitheoo")</f>
        <v>@hitheoo</v>
      </c>
      <c r="C11333" t="s">
        <v>1407</v>
      </c>
      <c r="D11333">
        <v>992</v>
      </c>
      <c r="E11333">
        <v>0</v>
      </c>
      <c r="F11333">
        <v>347</v>
      </c>
    </row>
    <row r="11334" spans="1:6" ht="12.75">
      <c r="A11334" s="2">
        <v>43880.24900462963</v>
      </c>
      <c r="B11334" t="str">
        <f>HYPERLINK("https://twitter.com/keruwetan","@keruwetan")</f>
        <v>@keruwetan</v>
      </c>
      <c r="C11334" t="s">
        <v>1407</v>
      </c>
      <c r="D11334">
        <v>992</v>
      </c>
      <c r="E11334">
        <v>0</v>
      </c>
      <c r="F11334">
        <v>1410</v>
      </c>
    </row>
    <row r="11335" spans="1:6" ht="12.75">
      <c r="A11335" s="2">
        <v>43880.248518518521</v>
      </c>
      <c r="B11335" t="str">
        <f>HYPERLINK("https://twitter.com/krystalweed","@krystalweed")</f>
        <v>@krystalweed</v>
      </c>
      <c r="C11335" t="s">
        <v>1407</v>
      </c>
      <c r="D11335">
        <v>992</v>
      </c>
      <c r="E11335">
        <v>0</v>
      </c>
      <c r="F11335">
        <v>87</v>
      </c>
    </row>
    <row r="11336" spans="1:6" ht="12.75">
      <c r="A11336" s="2">
        <v>43880.248449074075</v>
      </c>
      <c r="B11336" t="str">
        <f>HYPERLINK("https://twitter.com/aisyahtyass","@aisyahtyass")</f>
        <v>@aisyahtyass</v>
      </c>
      <c r="C11336" t="s">
        <v>5644</v>
      </c>
      <c r="D11336">
        <v>339</v>
      </c>
      <c r="E11336">
        <v>0</v>
      </c>
      <c r="F11336">
        <v>111</v>
      </c>
    </row>
    <row r="11337" spans="1:6" ht="12.75">
      <c r="A11337" s="2">
        <v>43880.248217592598</v>
      </c>
      <c r="B11337" t="str">
        <f>HYPERLINK("https://twitter.com/RiskaSusiP","@RiskaSusiP")</f>
        <v>@RiskaSusiP</v>
      </c>
      <c r="C11337" t="s">
        <v>1407</v>
      </c>
      <c r="D11337">
        <v>992</v>
      </c>
      <c r="E11337">
        <v>0</v>
      </c>
      <c r="F11337">
        <v>505</v>
      </c>
    </row>
    <row r="11338" spans="1:6" ht="12.75">
      <c r="A11338" s="2">
        <v>43880.247592592597</v>
      </c>
      <c r="B11338" t="str">
        <f>HYPERLINK("https://twitter.com/WoNgids97","@WoNgids97")</f>
        <v>@WoNgids97</v>
      </c>
      <c r="C11338" t="s">
        <v>1407</v>
      </c>
      <c r="D11338">
        <v>992</v>
      </c>
      <c r="E11338">
        <v>0</v>
      </c>
      <c r="F11338">
        <v>9</v>
      </c>
    </row>
    <row r="11339" spans="1:6" ht="12.75">
      <c r="A11339" s="2">
        <v>43880.247581018513</v>
      </c>
      <c r="B11339" t="str">
        <f>HYPERLINK("https://twitter.com/riz_kh4n","@riz_kh4n")</f>
        <v>@riz_kh4n</v>
      </c>
      <c r="C11339" t="s">
        <v>6149</v>
      </c>
      <c r="D11339">
        <v>0</v>
      </c>
      <c r="E11339">
        <v>0</v>
      </c>
      <c r="F11339">
        <v>80</v>
      </c>
    </row>
    <row r="11340" spans="1:6" ht="12.75">
      <c r="A11340" s="2">
        <v>43880.247523148151</v>
      </c>
      <c r="B11340" t="str">
        <f>HYPERLINK("https://twitter.com/Inosetya","@Inosetya")</f>
        <v>@Inosetya</v>
      </c>
      <c r="C11340" t="s">
        <v>1407</v>
      </c>
      <c r="D11340">
        <v>992</v>
      </c>
      <c r="E11340">
        <v>0</v>
      </c>
      <c r="F11340">
        <v>343</v>
      </c>
    </row>
    <row r="11341" spans="1:6" ht="12.75">
      <c r="A11341" s="2">
        <v>43880.247314814813</v>
      </c>
      <c r="B11341" t="str">
        <f>HYPERLINK("https://twitter.com/ndisanss","@ndisanss")</f>
        <v>@ndisanss</v>
      </c>
      <c r="C11341" t="s">
        <v>1407</v>
      </c>
      <c r="D11341">
        <v>992</v>
      </c>
      <c r="E11341">
        <v>0</v>
      </c>
      <c r="F11341">
        <v>183</v>
      </c>
    </row>
    <row r="11342" spans="1:6" ht="12.75">
      <c r="A11342" s="2">
        <v>43880.247291666667</v>
      </c>
      <c r="B11342" t="str">
        <f>HYPERLINK("https://twitter.com/AldoDamaiPatria","@AldoDamaiPatria")</f>
        <v>@AldoDamaiPatria</v>
      </c>
      <c r="C11342" t="s">
        <v>1920</v>
      </c>
      <c r="D11342">
        <v>195</v>
      </c>
      <c r="E11342">
        <v>0</v>
      </c>
      <c r="F11342">
        <v>371</v>
      </c>
    </row>
    <row r="11343" spans="1:6" ht="12.75">
      <c r="A11343" s="2">
        <v>43880.246921296297</v>
      </c>
      <c r="B11343" t="str">
        <f>HYPERLINK("https://twitter.com/SelopKi","@SelopKi")</f>
        <v>@SelopKi</v>
      </c>
      <c r="C11343" t="s">
        <v>6150</v>
      </c>
      <c r="D11343">
        <v>2</v>
      </c>
      <c r="E11343">
        <v>0</v>
      </c>
      <c r="F11343">
        <v>184</v>
      </c>
    </row>
    <row r="11344" spans="1:6" ht="12.75">
      <c r="A11344" s="2">
        <v>43880.245381944449</v>
      </c>
      <c r="B11344" t="str">
        <f>HYPERLINK("https://twitter.com/saveady","@saveady")</f>
        <v>@saveady</v>
      </c>
      <c r="C11344" t="s">
        <v>1407</v>
      </c>
      <c r="D11344">
        <v>992</v>
      </c>
      <c r="E11344">
        <v>0</v>
      </c>
      <c r="F11344">
        <v>620</v>
      </c>
    </row>
    <row r="11345" spans="1:6" ht="12.75">
      <c r="A11345" s="2">
        <v>43880.245104166665</v>
      </c>
      <c r="B11345" t="str">
        <f>HYPERLINK("https://twitter.com/bwgade1","@bwgade1")</f>
        <v>@bwgade1</v>
      </c>
      <c r="C11345" t="s">
        <v>6151</v>
      </c>
      <c r="D11345">
        <v>24</v>
      </c>
      <c r="E11345">
        <v>0</v>
      </c>
      <c r="F11345">
        <v>8</v>
      </c>
    </row>
    <row r="11346" spans="1:6" ht="12.75">
      <c r="A11346" s="2">
        <v>43880.244826388887</v>
      </c>
      <c r="B11346" t="str">
        <f>HYPERLINK("https://twitter.com/Dadu39423173","@Dadu39423173")</f>
        <v>@Dadu39423173</v>
      </c>
      <c r="C11346" t="s">
        <v>5702</v>
      </c>
      <c r="D11346">
        <v>204</v>
      </c>
      <c r="E11346">
        <v>0</v>
      </c>
      <c r="F11346">
        <v>63</v>
      </c>
    </row>
    <row r="11347" spans="1:6" ht="12.75">
      <c r="A11347" s="2">
        <v>43880.244583333333</v>
      </c>
      <c r="B11347" t="str">
        <f>HYPERLINK("https://twitter.com/syarahdf","@syarahdf")</f>
        <v>@syarahdf</v>
      </c>
      <c r="C11347" t="s">
        <v>5982</v>
      </c>
      <c r="D11347">
        <v>67</v>
      </c>
      <c r="E11347">
        <v>0</v>
      </c>
      <c r="F11347">
        <v>28</v>
      </c>
    </row>
    <row r="11348" spans="1:6" ht="12.75">
      <c r="A11348" s="2">
        <v>43880.244201388894</v>
      </c>
      <c r="B11348" t="str">
        <f>HYPERLINK("https://twitter.com/_Monik92","@_Monik92")</f>
        <v>@_Monik92</v>
      </c>
      <c r="C11348" t="s">
        <v>1407</v>
      </c>
      <c r="D11348">
        <v>992</v>
      </c>
      <c r="E11348">
        <v>0</v>
      </c>
      <c r="F11348">
        <v>438</v>
      </c>
    </row>
    <row r="11349" spans="1:6" ht="12.75">
      <c r="A11349" s="2">
        <v>43880.244131944448</v>
      </c>
      <c r="B11349" t="str">
        <f>HYPERLINK("https://twitter.com/nosyaaninditya","@nosyaaninditya")</f>
        <v>@nosyaaninditya</v>
      </c>
      <c r="C11349" t="s">
        <v>1407</v>
      </c>
      <c r="D11349">
        <v>992</v>
      </c>
      <c r="E11349">
        <v>0</v>
      </c>
      <c r="F11349">
        <v>1263</v>
      </c>
    </row>
    <row r="11350" spans="1:6" ht="12.75">
      <c r="A11350" s="2">
        <v>43880.244016203702</v>
      </c>
      <c r="B11350" t="str">
        <f>HYPERLINK("https://twitter.com/michinfree","@michinfree")</f>
        <v>@michinfree</v>
      </c>
      <c r="C11350" t="s">
        <v>1407</v>
      </c>
      <c r="D11350">
        <v>992</v>
      </c>
      <c r="E11350">
        <v>0</v>
      </c>
      <c r="F11350">
        <v>247</v>
      </c>
    </row>
    <row r="11351" spans="1:6" ht="12.75">
      <c r="A11351" s="2">
        <v>43880.243506944447</v>
      </c>
      <c r="B11351" t="str">
        <f>HYPERLINK("https://twitter.com/tafdillah","@tafdillah")</f>
        <v>@tafdillah</v>
      </c>
      <c r="C11351" t="s">
        <v>6032</v>
      </c>
      <c r="D11351">
        <v>859</v>
      </c>
      <c r="E11351">
        <v>0</v>
      </c>
      <c r="F11351">
        <v>292</v>
      </c>
    </row>
    <row r="11352" spans="1:6" ht="12.75">
      <c r="A11352" s="2">
        <v>43880.243460648147</v>
      </c>
      <c r="B11352" t="str">
        <f>HYPERLINK("https://twitter.com/cokulatkeju","@cokulatkeju")</f>
        <v>@cokulatkeju</v>
      </c>
      <c r="C11352" t="s">
        <v>1407</v>
      </c>
      <c r="D11352">
        <v>992</v>
      </c>
      <c r="E11352">
        <v>0</v>
      </c>
      <c r="F11352">
        <v>448</v>
      </c>
    </row>
    <row r="11353" spans="1:6" ht="12.75">
      <c r="A11353" s="2">
        <v>43880.243425925924</v>
      </c>
      <c r="B11353" t="str">
        <f>HYPERLINK("https://twitter.com/RasamSuheni","@RasamSuheni")</f>
        <v>@RasamSuheni</v>
      </c>
      <c r="C11353" t="s">
        <v>5702</v>
      </c>
      <c r="D11353">
        <v>204</v>
      </c>
      <c r="E11353">
        <v>0</v>
      </c>
      <c r="F11353">
        <v>12</v>
      </c>
    </row>
    <row r="11354" spans="1:6" ht="12.75">
      <c r="A11354" s="2">
        <v>43880.24291666667</v>
      </c>
      <c r="B11354" t="str">
        <f>HYPERLINK("https://twitter.com/DrOtoy","@DrOtoy")</f>
        <v>@DrOtoy</v>
      </c>
      <c r="C11354" t="s">
        <v>6152</v>
      </c>
      <c r="D11354">
        <v>0</v>
      </c>
      <c r="E11354">
        <v>0</v>
      </c>
      <c r="F11354">
        <v>228</v>
      </c>
    </row>
    <row r="11355" spans="1:6" ht="12.75">
      <c r="A11355" s="2">
        <v>43880.242754629631</v>
      </c>
      <c r="B11355" t="str">
        <f>HYPERLINK("https://twitter.com/raharjoprasetyo","@raharjoprasetyo")</f>
        <v>@raharjoprasetyo</v>
      </c>
      <c r="C11355" t="s">
        <v>1407</v>
      </c>
      <c r="D11355">
        <v>992</v>
      </c>
      <c r="E11355">
        <v>0</v>
      </c>
      <c r="F11355">
        <v>380</v>
      </c>
    </row>
    <row r="11356" spans="1:6" ht="12.75">
      <c r="A11356" s="2">
        <v>43880.241967592592</v>
      </c>
      <c r="B11356" t="str">
        <f>HYPERLINK("https://twitter.com/victorpangkey","@victorpangkey")</f>
        <v>@victorpangkey</v>
      </c>
      <c r="C11356" t="s">
        <v>3799</v>
      </c>
      <c r="D11356">
        <v>3655</v>
      </c>
      <c r="E11356">
        <v>0</v>
      </c>
      <c r="F11356">
        <v>169</v>
      </c>
    </row>
    <row r="11357" spans="1:6" ht="12.75">
      <c r="A11357" s="2">
        <v>43880.241793981477</v>
      </c>
      <c r="B11357" t="str">
        <f>HYPERLINK("https://twitter.com/k0pitanpagula","@k0pitanpagula")</f>
        <v>@k0pitanpagula</v>
      </c>
      <c r="C11357" t="s">
        <v>6032</v>
      </c>
      <c r="D11357">
        <v>859</v>
      </c>
      <c r="E11357">
        <v>0</v>
      </c>
      <c r="F11357">
        <v>674</v>
      </c>
    </row>
    <row r="11358" spans="1:6" ht="12.75">
      <c r="A11358" s="2">
        <v>43880.241747685184</v>
      </c>
      <c r="B11358" t="str">
        <f>HYPERLINK("https://twitter.com/widhum","@widhum")</f>
        <v>@widhum</v>
      </c>
      <c r="C11358" t="s">
        <v>1407</v>
      </c>
      <c r="D11358">
        <v>992</v>
      </c>
      <c r="E11358">
        <v>0</v>
      </c>
      <c r="F11358">
        <v>606</v>
      </c>
    </row>
    <row r="11359" spans="1:6" ht="12.75">
      <c r="A11359" s="2">
        <v>43880.240972222222</v>
      </c>
      <c r="B11359" t="str">
        <f>HYPERLINK("https://twitter.com/abu_syfa","@abu_syfa")</f>
        <v>@abu_syfa</v>
      </c>
      <c r="C11359" t="s">
        <v>6153</v>
      </c>
      <c r="D11359">
        <v>0</v>
      </c>
      <c r="E11359">
        <v>0</v>
      </c>
      <c r="F11359">
        <v>935</v>
      </c>
    </row>
    <row r="11360" spans="1:6" ht="12.75">
      <c r="A11360" s="2">
        <v>43880.240798611107</v>
      </c>
      <c r="B11360" t="str">
        <f>HYPERLINK("https://twitter.com/bagusnugroho11","@bagusnugroho11")</f>
        <v>@bagusnugroho11</v>
      </c>
      <c r="C11360" t="s">
        <v>2930</v>
      </c>
      <c r="D11360">
        <v>115</v>
      </c>
      <c r="E11360">
        <v>0</v>
      </c>
      <c r="F11360">
        <v>489</v>
      </c>
    </row>
    <row r="11361" spans="1:6" ht="12.75">
      <c r="A11361" s="2">
        <v>43880.240648148145</v>
      </c>
      <c r="B11361" t="str">
        <f>HYPERLINK("https://twitter.com/HSyamsulhadi","@HSyamsulhadi")</f>
        <v>@HSyamsulhadi</v>
      </c>
      <c r="C11361" t="s">
        <v>6095</v>
      </c>
      <c r="D11361">
        <v>4</v>
      </c>
      <c r="E11361">
        <v>0</v>
      </c>
      <c r="F11361">
        <v>17</v>
      </c>
    </row>
    <row r="11362" spans="1:6" ht="12.75">
      <c r="A11362" s="2">
        <v>43880.239675925928</v>
      </c>
      <c r="B11362" t="str">
        <f>HYPERLINK("https://twitter.com/kevincehaaa","@kevincehaaa")</f>
        <v>@kevincehaaa</v>
      </c>
      <c r="C11362" t="s">
        <v>1407</v>
      </c>
      <c r="D11362">
        <v>992</v>
      </c>
      <c r="E11362">
        <v>0</v>
      </c>
      <c r="F11362">
        <v>71</v>
      </c>
    </row>
    <row r="11363" spans="1:6" ht="12.75">
      <c r="A11363" s="2">
        <v>43880.239502314813</v>
      </c>
      <c r="B11363" t="str">
        <f>HYPERLINK("https://twitter.com/dhiodmp","@dhiodmp")</f>
        <v>@dhiodmp</v>
      </c>
      <c r="C11363" t="s">
        <v>1407</v>
      </c>
      <c r="D11363">
        <v>992</v>
      </c>
      <c r="E11363">
        <v>0</v>
      </c>
      <c r="F11363">
        <v>536</v>
      </c>
    </row>
    <row r="11364" spans="1:6" ht="12.75">
      <c r="A11364" s="2">
        <v>43880.239351851851</v>
      </c>
      <c r="B11364" t="str">
        <f>HYPERLINK("https://twitter.com/dindacnisa","@dindacnisa")</f>
        <v>@dindacnisa</v>
      </c>
      <c r="C11364" t="s">
        <v>1407</v>
      </c>
      <c r="D11364">
        <v>992</v>
      </c>
      <c r="E11364">
        <v>0</v>
      </c>
      <c r="F11364">
        <v>574</v>
      </c>
    </row>
    <row r="11365" spans="1:6" ht="12.75">
      <c r="A11365" s="2">
        <v>43880.239259259259</v>
      </c>
      <c r="B11365" t="str">
        <f>HYPERLINK("https://twitter.com/robyantiw_","@robyantiw_")</f>
        <v>@robyantiw_</v>
      </c>
      <c r="C11365" t="s">
        <v>1407</v>
      </c>
      <c r="D11365">
        <v>992</v>
      </c>
      <c r="E11365">
        <v>0</v>
      </c>
      <c r="F11365">
        <v>337</v>
      </c>
    </row>
    <row r="11366" spans="1:6" ht="12.75">
      <c r="A11366" s="2">
        <v>43880.23846064815</v>
      </c>
      <c r="B11366" t="str">
        <f>HYPERLINK("https://twitter.com/fadelgnugraha","@fadelgnugraha")</f>
        <v>@fadelgnugraha</v>
      </c>
      <c r="C11366" t="s">
        <v>1407</v>
      </c>
      <c r="D11366">
        <v>992</v>
      </c>
      <c r="E11366">
        <v>0</v>
      </c>
      <c r="F11366">
        <v>216</v>
      </c>
    </row>
    <row r="11367" spans="1:6" ht="12.75">
      <c r="A11367" s="2">
        <v>43880.238437499997</v>
      </c>
      <c r="B11367" t="str">
        <f>HYPERLINK("https://twitter.com/KBRIMexicoCity","@KBRIMexicoCity")</f>
        <v>@KBRIMexicoCity</v>
      </c>
      <c r="C11367" t="s">
        <v>2079</v>
      </c>
      <c r="D11367">
        <v>38</v>
      </c>
      <c r="E11367">
        <v>0</v>
      </c>
      <c r="F11367">
        <v>1315</v>
      </c>
    </row>
    <row r="11368" spans="1:6" ht="12.75">
      <c r="A11368" s="2">
        <v>43880.238229166665</v>
      </c>
      <c r="B11368" t="str">
        <f>HYPERLINK("https://twitter.com/theodoggy17","@theodoggy17")</f>
        <v>@theodoggy17</v>
      </c>
      <c r="C11368" t="s">
        <v>1407</v>
      </c>
      <c r="D11368">
        <v>992</v>
      </c>
      <c r="E11368">
        <v>0</v>
      </c>
      <c r="F11368">
        <v>277</v>
      </c>
    </row>
    <row r="11369" spans="1:6" ht="12.75">
      <c r="A11369" s="2">
        <v>43880.237766203703</v>
      </c>
      <c r="B11369" t="str">
        <f>HYPERLINK("https://twitter.com/Medan_fisting","@Medan_fisting")</f>
        <v>@Medan_fisting</v>
      </c>
      <c r="C11369" t="s">
        <v>1407</v>
      </c>
      <c r="D11369">
        <v>992</v>
      </c>
      <c r="E11369">
        <v>0</v>
      </c>
      <c r="F11369">
        <v>453</v>
      </c>
    </row>
    <row r="11370" spans="1:6" ht="12.75">
      <c r="A11370" s="2">
        <v>43880.237719907411</v>
      </c>
      <c r="B11370" t="str">
        <f>HYPERLINK("https://twitter.com/Sir__md","@Sir__md")</f>
        <v>@Sir__md</v>
      </c>
      <c r="C11370" t="s">
        <v>6154</v>
      </c>
      <c r="D11370">
        <v>0</v>
      </c>
      <c r="E11370">
        <v>0</v>
      </c>
      <c r="F11370">
        <v>21940</v>
      </c>
    </row>
    <row r="11371" spans="1:6" ht="12.75">
      <c r="A11371" s="2">
        <v>43880.237662037034</v>
      </c>
      <c r="B11371" t="str">
        <f>HYPERLINK("https://twitter.com/febrx","@febrx")</f>
        <v>@febrx</v>
      </c>
      <c r="C11371" t="s">
        <v>1407</v>
      </c>
      <c r="D11371">
        <v>992</v>
      </c>
      <c r="E11371">
        <v>0</v>
      </c>
      <c r="F11371">
        <v>15</v>
      </c>
    </row>
    <row r="11372" spans="1:6" ht="12.75">
      <c r="A11372" s="2">
        <v>43880.237500000003</v>
      </c>
      <c r="B11372" t="str">
        <f>HYPERLINK("https://twitter.com/dobbyuhuy","@dobbyuhuy")</f>
        <v>@dobbyuhuy</v>
      </c>
      <c r="C11372" t="s">
        <v>1407</v>
      </c>
      <c r="D11372">
        <v>992</v>
      </c>
      <c r="E11372">
        <v>0</v>
      </c>
      <c r="F11372">
        <v>141</v>
      </c>
    </row>
    <row r="11373" spans="1:6" ht="12.75">
      <c r="A11373" s="2">
        <v>43880.237280092595</v>
      </c>
      <c r="B11373" t="str">
        <f>HYPERLINK("https://twitter.com/wibowodwicahyo","@wibowodwicahyo")</f>
        <v>@wibowodwicahyo</v>
      </c>
      <c r="C11373" t="s">
        <v>3799</v>
      </c>
      <c r="D11373">
        <v>3655</v>
      </c>
      <c r="E11373">
        <v>0</v>
      </c>
      <c r="F11373">
        <v>553</v>
      </c>
    </row>
    <row r="11374" spans="1:6" ht="12.75">
      <c r="A11374" s="2">
        <v>43880.237025462964</v>
      </c>
      <c r="B11374" t="str">
        <f>HYPERLINK("https://twitter.com/bud1_f1","@bud1_f1")</f>
        <v>@bud1_f1</v>
      </c>
      <c r="C11374" t="s">
        <v>6089</v>
      </c>
      <c r="D11374">
        <v>7</v>
      </c>
      <c r="E11374">
        <v>0</v>
      </c>
      <c r="F11374">
        <v>1731</v>
      </c>
    </row>
    <row r="11375" spans="1:6" ht="12.75">
      <c r="A11375" s="2">
        <v>43880.236979166672</v>
      </c>
      <c r="B11375" t="str">
        <f>HYPERLINK("https://twitter.com/destiwie8","@destiwie8")</f>
        <v>@destiwie8</v>
      </c>
      <c r="C11375" t="s">
        <v>2930</v>
      </c>
      <c r="D11375">
        <v>115</v>
      </c>
      <c r="E11375">
        <v>0</v>
      </c>
      <c r="F11375">
        <v>156</v>
      </c>
    </row>
    <row r="11376" spans="1:6" ht="12.75">
      <c r="A11376" s="2">
        <v>43880.236400462964</v>
      </c>
      <c r="B11376" t="str">
        <f>HYPERLINK("https://twitter.com/yaudahiyaa","@yaudahiyaa")</f>
        <v>@yaudahiyaa</v>
      </c>
      <c r="C11376" t="s">
        <v>1407</v>
      </c>
      <c r="D11376">
        <v>992</v>
      </c>
      <c r="E11376">
        <v>0</v>
      </c>
      <c r="F11376">
        <v>1254</v>
      </c>
    </row>
    <row r="11377" spans="1:6" ht="12.75">
      <c r="A11377" s="2">
        <v>43880.236134259263</v>
      </c>
      <c r="B11377" t="str">
        <f>HYPERLINK("https://twitter.com/polocorner","@polocorner")</f>
        <v>@polocorner</v>
      </c>
      <c r="C11377" t="s">
        <v>3799</v>
      </c>
      <c r="D11377">
        <v>3655</v>
      </c>
      <c r="E11377">
        <v>0</v>
      </c>
      <c r="F11377">
        <v>1644</v>
      </c>
    </row>
    <row r="11378" spans="1:6" ht="12.75">
      <c r="A11378" s="2">
        <v>43880.236030092594</v>
      </c>
      <c r="B11378" t="str">
        <f>HYPERLINK("https://twitter.com/berbarebears","@berbarebears")</f>
        <v>@berbarebears</v>
      </c>
      <c r="C11378" t="s">
        <v>1407</v>
      </c>
      <c r="D11378">
        <v>992</v>
      </c>
      <c r="E11378">
        <v>0</v>
      </c>
      <c r="F11378">
        <v>106</v>
      </c>
    </row>
    <row r="11379" spans="1:6" ht="12.75">
      <c r="A11379" s="2">
        <v>43880.235636574071</v>
      </c>
      <c r="B11379" t="str">
        <f>HYPERLINK("https://twitter.com/bastiansianipar","@bastiansianipar")</f>
        <v>@bastiansianipar</v>
      </c>
      <c r="C11379" t="s">
        <v>6155</v>
      </c>
      <c r="D11379">
        <v>1</v>
      </c>
      <c r="E11379">
        <v>0</v>
      </c>
      <c r="F11379">
        <v>419</v>
      </c>
    </row>
    <row r="11380" spans="1:6" ht="12.75">
      <c r="A11380" s="2">
        <v>43880.235578703709</v>
      </c>
      <c r="B11380" t="str">
        <f>HYPERLINK("https://twitter.com/Rizki_Fahreza","@Rizki_Fahreza")</f>
        <v>@Rizki_Fahreza</v>
      </c>
      <c r="C11380" t="s">
        <v>3799</v>
      </c>
      <c r="D11380">
        <v>3655</v>
      </c>
      <c r="E11380">
        <v>0</v>
      </c>
      <c r="F11380">
        <v>151</v>
      </c>
    </row>
    <row r="11381" spans="1:6" ht="12.75">
      <c r="A11381" s="2">
        <v>43880.235266203701</v>
      </c>
      <c r="B11381" t="str">
        <f>HYPERLINK("https://twitter.com/rusdian01796366","@rusdian01796366")</f>
        <v>@rusdian01796366</v>
      </c>
      <c r="C11381" t="s">
        <v>6067</v>
      </c>
      <c r="D11381">
        <v>10</v>
      </c>
      <c r="E11381">
        <v>0</v>
      </c>
      <c r="F11381">
        <v>682</v>
      </c>
    </row>
    <row r="11382" spans="1:6" ht="12.75">
      <c r="A11382" s="2">
        <v>43880.235254629632</v>
      </c>
      <c r="B11382" t="str">
        <f>HYPERLINK("https://twitter.com/isnacrh","@isnacrh")</f>
        <v>@isnacrh</v>
      </c>
      <c r="C11382" t="s">
        <v>1407</v>
      </c>
      <c r="D11382">
        <v>992</v>
      </c>
      <c r="E11382">
        <v>0</v>
      </c>
      <c r="F11382">
        <v>192</v>
      </c>
    </row>
    <row r="11383" spans="1:6" ht="12.75">
      <c r="A11383" s="2">
        <v>43880.235150462962</v>
      </c>
      <c r="B11383" t="str">
        <f>HYPERLINK("https://twitter.com/rifqiikhsann","@rifqiikhsann")</f>
        <v>@rifqiikhsann</v>
      </c>
      <c r="C11383" t="s">
        <v>1407</v>
      </c>
      <c r="D11383">
        <v>992</v>
      </c>
      <c r="E11383">
        <v>0</v>
      </c>
      <c r="F11383">
        <v>565</v>
      </c>
    </row>
    <row r="11384" spans="1:6" ht="12.75">
      <c r="A11384" s="2">
        <v>43880.235092592593</v>
      </c>
      <c r="B11384" t="str">
        <f>HYPERLINK("https://twitter.com/liputan6dotcom","@liputan6dotcom")</f>
        <v>@liputan6dotcom</v>
      </c>
      <c r="C11384" t="s">
        <v>6156</v>
      </c>
      <c r="D11384">
        <v>0</v>
      </c>
      <c r="E11384">
        <v>4</v>
      </c>
      <c r="F11384">
        <v>3626312</v>
      </c>
    </row>
    <row r="11385" spans="1:6" ht="12.75">
      <c r="A11385" s="2">
        <v>43880.235081018516</v>
      </c>
      <c r="B11385" t="str">
        <f>HYPERLINK("https://twitter.com/GNotopriyanto","@GNotopriyanto")</f>
        <v>@GNotopriyanto</v>
      </c>
      <c r="C11385" t="s">
        <v>4975</v>
      </c>
      <c r="D11385">
        <v>201</v>
      </c>
      <c r="E11385">
        <v>0</v>
      </c>
      <c r="F11385">
        <v>29</v>
      </c>
    </row>
    <row r="11386" spans="1:6" ht="12.75">
      <c r="A11386" s="2">
        <v>43880.234722222223</v>
      </c>
      <c r="B11386" t="str">
        <f>HYPERLINK("https://twitter.com/Wardianaa_","@Wardianaa_")</f>
        <v>@Wardianaa_</v>
      </c>
      <c r="C11386" t="s">
        <v>1407</v>
      </c>
      <c r="D11386">
        <v>992</v>
      </c>
      <c r="E11386">
        <v>0</v>
      </c>
      <c r="F11386">
        <v>608</v>
      </c>
    </row>
    <row r="11387" spans="1:6" ht="12.75">
      <c r="A11387" s="2">
        <v>43880.234270833331</v>
      </c>
      <c r="B11387" t="str">
        <f>HYPERLINK("https://twitter.com/menolakluput","@menolakluput")</f>
        <v>@menolakluput</v>
      </c>
      <c r="C11387" t="s">
        <v>1407</v>
      </c>
      <c r="D11387">
        <v>992</v>
      </c>
      <c r="E11387">
        <v>0</v>
      </c>
      <c r="F11387">
        <v>521</v>
      </c>
    </row>
    <row r="11388" spans="1:6" ht="12.75">
      <c r="A11388" s="2">
        <v>43880.234236111108</v>
      </c>
      <c r="B11388" t="str">
        <f>HYPERLINK("https://twitter.com/Guinevere55","@Guinevere55")</f>
        <v>@Guinevere55</v>
      </c>
      <c r="C11388" t="s">
        <v>2127</v>
      </c>
      <c r="D11388">
        <v>0</v>
      </c>
      <c r="E11388">
        <v>0</v>
      </c>
      <c r="F11388">
        <v>754</v>
      </c>
    </row>
    <row r="11389" spans="1:6" ht="12.75">
      <c r="A11389" s="2">
        <v>43880.234224537038</v>
      </c>
      <c r="B11389" t="str">
        <f>HYPERLINK("https://twitter.com/novssky19","@novssky19")</f>
        <v>@novssky19</v>
      </c>
      <c r="C11389" t="s">
        <v>1407</v>
      </c>
      <c r="D11389">
        <v>992</v>
      </c>
      <c r="E11389">
        <v>0</v>
      </c>
      <c r="F11389">
        <v>382</v>
      </c>
    </row>
    <row r="11390" spans="1:6" ht="12.75">
      <c r="A11390" s="2">
        <v>43880.233935185184</v>
      </c>
      <c r="B11390" t="str">
        <f>HYPERLINK("https://twitter.com/FebriPratama","@FebriPratama")</f>
        <v>@FebriPratama</v>
      </c>
      <c r="C11390" t="s">
        <v>6157</v>
      </c>
      <c r="D11390">
        <v>0</v>
      </c>
      <c r="E11390">
        <v>0</v>
      </c>
      <c r="F11390">
        <v>406</v>
      </c>
    </row>
    <row r="11391" spans="1:6" ht="12.75">
      <c r="A11391" s="2">
        <v>43880.233842592592</v>
      </c>
      <c r="B11391" t="str">
        <f>HYPERLINK("https://twitter.com/LudiroMadu","@LudiroMadu")</f>
        <v>@LudiroMadu</v>
      </c>
      <c r="C11391" t="s">
        <v>1407</v>
      </c>
      <c r="D11391">
        <v>992</v>
      </c>
      <c r="E11391">
        <v>0</v>
      </c>
      <c r="F11391">
        <v>571</v>
      </c>
    </row>
    <row r="11392" spans="1:6" ht="12.75">
      <c r="A11392" s="2">
        <v>43880.233726851853</v>
      </c>
      <c r="B11392" t="str">
        <f>HYPERLINK("https://twitter.com/kompascom","@kompascom")</f>
        <v>@kompascom</v>
      </c>
      <c r="C11392" t="s">
        <v>6158</v>
      </c>
      <c r="D11392">
        <v>1</v>
      </c>
      <c r="E11392">
        <v>0</v>
      </c>
      <c r="F11392">
        <v>7503163</v>
      </c>
    </row>
    <row r="11393" spans="1:6" ht="12.75">
      <c r="A11393" s="2">
        <v>43880.233518518522</v>
      </c>
      <c r="B11393" t="str">
        <f>HYPERLINK("https://twitter.com/rasyidkwkwkw","@rasyidkwkwkw")</f>
        <v>@rasyidkwkwkw</v>
      </c>
      <c r="C11393" t="s">
        <v>1407</v>
      </c>
      <c r="D11393">
        <v>992</v>
      </c>
      <c r="E11393">
        <v>0</v>
      </c>
      <c r="F11393">
        <v>154</v>
      </c>
    </row>
    <row r="11394" spans="1:6" ht="12.75">
      <c r="A11394" s="2">
        <v>43880.23336805556</v>
      </c>
      <c r="B11394" t="str">
        <f>HYPERLINK("https://twitter.com/kompasiana","@kompasiana")</f>
        <v>@kompasiana</v>
      </c>
      <c r="C11394" t="s">
        <v>6159</v>
      </c>
      <c r="D11394">
        <v>1</v>
      </c>
      <c r="E11394">
        <v>2</v>
      </c>
      <c r="F11394">
        <v>928815</v>
      </c>
    </row>
    <row r="11395" spans="1:6" ht="12.75">
      <c r="A11395" s="2">
        <v>43880.232986111107</v>
      </c>
      <c r="B11395" t="str">
        <f>HYPERLINK("https://twitter.com/lavillediver","@lavillediver")</f>
        <v>@lavillediver</v>
      </c>
      <c r="C11395" t="s">
        <v>1407</v>
      </c>
      <c r="D11395">
        <v>992</v>
      </c>
      <c r="E11395">
        <v>0</v>
      </c>
      <c r="F11395">
        <v>899</v>
      </c>
    </row>
    <row r="11396" spans="1:6" ht="12.75">
      <c r="A11396" s="2">
        <v>43880.232557870375</v>
      </c>
      <c r="B11396" t="str">
        <f>HYPERLINK("https://twitter.com/elmamalana_","@elmamalana_")</f>
        <v>@elmamalana_</v>
      </c>
      <c r="C11396" t="s">
        <v>1407</v>
      </c>
      <c r="D11396">
        <v>992</v>
      </c>
      <c r="E11396">
        <v>0</v>
      </c>
      <c r="F11396">
        <v>1196</v>
      </c>
    </row>
    <row r="11397" spans="1:6" ht="12.75">
      <c r="A11397" s="2">
        <v>43880.232453703706</v>
      </c>
      <c r="B11397" t="str">
        <f>HYPERLINK("https://twitter.com/ardias_as","@ardias_as")</f>
        <v>@ardias_as</v>
      </c>
      <c r="C11397" t="s">
        <v>1407</v>
      </c>
      <c r="D11397">
        <v>992</v>
      </c>
      <c r="E11397">
        <v>0</v>
      </c>
      <c r="F11397">
        <v>245</v>
      </c>
    </row>
    <row r="11398" spans="1:6" ht="12.75">
      <c r="A11398" s="2">
        <v>43880.232303240744</v>
      </c>
      <c r="B11398" t="str">
        <f>HYPERLINK("https://twitter.com/fxtstc","@fxtstc")</f>
        <v>@fxtstc</v>
      </c>
      <c r="C11398" t="s">
        <v>1407</v>
      </c>
      <c r="D11398">
        <v>992</v>
      </c>
      <c r="E11398">
        <v>0</v>
      </c>
      <c r="F11398">
        <v>1228</v>
      </c>
    </row>
    <row r="11399" spans="1:6" ht="12.75">
      <c r="A11399" s="2">
        <v>43880.232256944444</v>
      </c>
      <c r="B11399" t="str">
        <f>HYPERLINK("https://twitter.com/wurifbrynt","@wurifbrynt")</f>
        <v>@wurifbrynt</v>
      </c>
      <c r="C11399" t="s">
        <v>1407</v>
      </c>
      <c r="D11399">
        <v>992</v>
      </c>
      <c r="E11399">
        <v>0</v>
      </c>
      <c r="F11399">
        <v>1601</v>
      </c>
    </row>
    <row r="11400" spans="1:6" ht="12.75">
      <c r="A11400" s="2">
        <v>43880.232233796298</v>
      </c>
      <c r="B11400" t="str">
        <f>HYPERLINK("https://twitter.com/cia_abdul","@cia_abdul")</f>
        <v>@cia_abdul</v>
      </c>
      <c r="C11400" t="s">
        <v>5702</v>
      </c>
      <c r="D11400">
        <v>204</v>
      </c>
      <c r="E11400">
        <v>0</v>
      </c>
      <c r="F11400">
        <v>1410</v>
      </c>
    </row>
    <row r="11401" spans="1:6" ht="12.75">
      <c r="A11401" s="2">
        <v>43880.231956018513</v>
      </c>
      <c r="B11401" t="str">
        <f>HYPERLINK("https://twitter.com/republikaonline","@republikaonline")</f>
        <v>@republikaonline</v>
      </c>
      <c r="C11401" t="s">
        <v>6160</v>
      </c>
      <c r="D11401">
        <v>1</v>
      </c>
      <c r="E11401">
        <v>2</v>
      </c>
      <c r="F11401">
        <v>1211257</v>
      </c>
    </row>
    <row r="11402" spans="1:6" ht="12.75">
      <c r="A11402" s="2">
        <v>43880.231956018513</v>
      </c>
      <c r="B11402" t="str">
        <f>HYPERLINK("https://twitter.com/mbakninid","@mbakninid")</f>
        <v>@mbakninid</v>
      </c>
      <c r="C11402" t="s">
        <v>1407</v>
      </c>
      <c r="D11402">
        <v>992</v>
      </c>
      <c r="E11402">
        <v>0</v>
      </c>
      <c r="F11402">
        <v>744</v>
      </c>
    </row>
    <row r="11403" spans="1:6" ht="12.75">
      <c r="A11403" s="2">
        <v>43880.23133101852</v>
      </c>
      <c r="B11403" t="str">
        <f>HYPERLINK("https://twitter.com/Anggi_han2","@Anggi_han2")</f>
        <v>@Anggi_han2</v>
      </c>
      <c r="C11403" t="s">
        <v>1407</v>
      </c>
      <c r="D11403">
        <v>992</v>
      </c>
      <c r="E11403">
        <v>0</v>
      </c>
      <c r="F11403">
        <v>236</v>
      </c>
    </row>
    <row r="11404" spans="1:6" ht="12.75">
      <c r="A11404" s="2">
        <v>43880.230995370366</v>
      </c>
      <c r="B11404" t="str">
        <f>HYPERLINK("https://twitter.com/arsennavois","@arsennavois")</f>
        <v>@arsennavois</v>
      </c>
      <c r="C11404" t="s">
        <v>1407</v>
      </c>
      <c r="D11404">
        <v>992</v>
      </c>
      <c r="E11404">
        <v>0</v>
      </c>
      <c r="F11404">
        <v>420</v>
      </c>
    </row>
    <row r="11405" spans="1:6" ht="12.75">
      <c r="A11405" s="2">
        <v>43880.230972222227</v>
      </c>
      <c r="B11405" t="str">
        <f>HYPERLINK("https://twitter.com/imannn_97","@imannn_97")</f>
        <v>@imannn_97</v>
      </c>
      <c r="C11405" t="s">
        <v>1407</v>
      </c>
      <c r="D11405">
        <v>992</v>
      </c>
      <c r="E11405">
        <v>0</v>
      </c>
      <c r="F11405">
        <v>663</v>
      </c>
    </row>
    <row r="11406" spans="1:6" ht="12.75">
      <c r="A11406" s="2">
        <v>43880.230925925927</v>
      </c>
      <c r="B11406" t="str">
        <f>HYPERLINK("https://twitter.com/KDonghyun_","@KDonghyun_")</f>
        <v>@KDonghyun_</v>
      </c>
      <c r="C11406" t="s">
        <v>1407</v>
      </c>
      <c r="D11406">
        <v>992</v>
      </c>
      <c r="E11406">
        <v>0</v>
      </c>
      <c r="F11406">
        <v>752</v>
      </c>
    </row>
    <row r="11407" spans="1:6" ht="12.75">
      <c r="A11407" s="2">
        <v>43880.230671296296</v>
      </c>
      <c r="B11407" t="str">
        <f>HYPERLINK("https://twitter.com/retnoayi","@retnoayi")</f>
        <v>@retnoayi</v>
      </c>
      <c r="C11407" t="s">
        <v>1407</v>
      </c>
      <c r="D11407">
        <v>992</v>
      </c>
      <c r="E11407">
        <v>0</v>
      </c>
      <c r="F11407">
        <v>864</v>
      </c>
    </row>
    <row r="11408" spans="1:6" ht="12.75">
      <c r="A11408" s="2">
        <v>43880.230162037042</v>
      </c>
      <c r="B11408" t="str">
        <f>HYPERLINK("https://twitter.com/Nurulbona","@Nurulbona")</f>
        <v>@Nurulbona</v>
      </c>
      <c r="C11408" t="s">
        <v>1407</v>
      </c>
      <c r="D11408">
        <v>992</v>
      </c>
      <c r="E11408">
        <v>0</v>
      </c>
      <c r="F11408">
        <v>340</v>
      </c>
    </row>
    <row r="11409" spans="1:6" ht="12.75">
      <c r="A11409" s="2">
        <v>43880.229861111111</v>
      </c>
      <c r="B11409" t="str">
        <f>HYPERLINK("https://twitter.com/rfnurdiansyah","@rfnurdiansyah")</f>
        <v>@rfnurdiansyah</v>
      </c>
      <c r="C11409" t="s">
        <v>1407</v>
      </c>
      <c r="D11409">
        <v>992</v>
      </c>
      <c r="E11409">
        <v>0</v>
      </c>
      <c r="F11409">
        <v>776</v>
      </c>
    </row>
    <row r="11410" spans="1:6" ht="12.75">
      <c r="A11410" s="2">
        <v>43880.229618055557</v>
      </c>
      <c r="B11410" t="str">
        <f>HYPERLINK("https://twitter.com/SahertianDaisy","@SahertianDaisy")</f>
        <v>@SahertianDaisy</v>
      </c>
      <c r="C11410" t="s">
        <v>6161</v>
      </c>
      <c r="D11410">
        <v>364</v>
      </c>
      <c r="E11410">
        <v>0</v>
      </c>
      <c r="F11410">
        <v>51</v>
      </c>
    </row>
    <row r="11411" spans="1:6" ht="12.75">
      <c r="A11411" s="2">
        <v>43880.229178240741</v>
      </c>
      <c r="B11411" t="str">
        <f>HYPERLINK("https://twitter.com/ocheandari","@ocheandari")</f>
        <v>@ocheandari</v>
      </c>
      <c r="C11411" t="s">
        <v>5644</v>
      </c>
      <c r="D11411">
        <v>339</v>
      </c>
      <c r="E11411">
        <v>0</v>
      </c>
      <c r="F11411">
        <v>150</v>
      </c>
    </row>
    <row r="11412" spans="1:6" ht="12.75">
      <c r="A11412" s="2">
        <v>43880.228495370371</v>
      </c>
      <c r="B11412" t="str">
        <f>HYPERLINK("https://twitter.com/duhgyul","@duhgyul")</f>
        <v>@duhgyul</v>
      </c>
      <c r="C11412" t="s">
        <v>1407</v>
      </c>
      <c r="D11412">
        <v>992</v>
      </c>
      <c r="E11412">
        <v>0</v>
      </c>
      <c r="F11412">
        <v>1962</v>
      </c>
    </row>
    <row r="11413" spans="1:6" ht="12.75">
      <c r="A11413" s="2">
        <v>43880.228402777779</v>
      </c>
      <c r="B11413" t="str">
        <f>HYPERLINK("https://twitter.com/reintabolla","@reintabolla")</f>
        <v>@reintabolla</v>
      </c>
      <c r="C11413" t="s">
        <v>1407</v>
      </c>
      <c r="D11413">
        <v>992</v>
      </c>
      <c r="E11413">
        <v>0</v>
      </c>
      <c r="F11413">
        <v>683</v>
      </c>
    </row>
    <row r="11414" spans="1:6" ht="12.75">
      <c r="A11414" s="2">
        <v>43880.227337962962</v>
      </c>
      <c r="B11414" t="str">
        <f>HYPERLINK("https://twitter.com/andhikard","@andhikard")</f>
        <v>@andhikard</v>
      </c>
      <c r="C11414" t="s">
        <v>1407</v>
      </c>
      <c r="D11414">
        <v>992</v>
      </c>
      <c r="E11414">
        <v>0</v>
      </c>
      <c r="F11414">
        <v>850</v>
      </c>
    </row>
    <row r="11415" spans="1:6" ht="12.75">
      <c r="A11415" s="2">
        <v>43880.227187500001</v>
      </c>
      <c r="B11415" t="str">
        <f>HYPERLINK("https://twitter.com/Ivan23683770","@Ivan23683770")</f>
        <v>@Ivan23683770</v>
      </c>
      <c r="C11415" t="s">
        <v>6162</v>
      </c>
      <c r="D11415">
        <v>0</v>
      </c>
      <c r="E11415">
        <v>0</v>
      </c>
      <c r="F11415">
        <v>766</v>
      </c>
    </row>
    <row r="11416" spans="1:6" ht="12.75">
      <c r="A11416" s="2">
        <v>43880.227060185185</v>
      </c>
      <c r="B11416" t="str">
        <f>HYPERLINK("https://twitter.com/0P0cuk","@0P0cuk")</f>
        <v>@0P0cuk</v>
      </c>
      <c r="C11416" t="s">
        <v>2930</v>
      </c>
      <c r="D11416">
        <v>115</v>
      </c>
      <c r="E11416">
        <v>0</v>
      </c>
      <c r="F11416">
        <v>1059</v>
      </c>
    </row>
    <row r="11417" spans="1:6" ht="12.75">
      <c r="A11417" s="2">
        <v>43880.226898148147</v>
      </c>
      <c r="B11417" t="str">
        <f>HYPERLINK("https://twitter.com/KuroBovenover","@KuroBovenover")</f>
        <v>@KuroBovenover</v>
      </c>
      <c r="C11417" t="s">
        <v>6163</v>
      </c>
      <c r="D11417">
        <v>0</v>
      </c>
      <c r="E11417">
        <v>0</v>
      </c>
      <c r="F11417">
        <v>2439</v>
      </c>
    </row>
    <row r="11418" spans="1:6" ht="12.75">
      <c r="A11418" s="2">
        <v>43880.2268287037</v>
      </c>
      <c r="B11418" t="str">
        <f>HYPERLINK("https://twitter.com/cancergvrl","@cancergvrl")</f>
        <v>@cancergvrl</v>
      </c>
      <c r="C11418" t="s">
        <v>1407</v>
      </c>
      <c r="D11418">
        <v>992</v>
      </c>
      <c r="E11418">
        <v>0</v>
      </c>
      <c r="F11418">
        <v>823</v>
      </c>
    </row>
    <row r="11419" spans="1:6" ht="12.75">
      <c r="A11419" s="2">
        <v>43880.2262962963</v>
      </c>
      <c r="B11419" t="str">
        <f>HYPERLINK("https://twitter.com/dhee_dood","@dhee_dood")</f>
        <v>@dhee_dood</v>
      </c>
      <c r="C11419" t="s">
        <v>6090</v>
      </c>
      <c r="D11419">
        <v>2</v>
      </c>
      <c r="E11419">
        <v>0</v>
      </c>
      <c r="F11419">
        <v>44</v>
      </c>
    </row>
    <row r="11420" spans="1:6" ht="12.75">
      <c r="A11420" s="2">
        <v>43880.225601851853</v>
      </c>
      <c r="B11420" t="str">
        <f>HYPERLINK("https://twitter.com/Rsi_Suwardana","@Rsi_Suwardana")</f>
        <v>@Rsi_Suwardana</v>
      </c>
      <c r="C11420" t="s">
        <v>1407</v>
      </c>
      <c r="D11420">
        <v>992</v>
      </c>
      <c r="E11420">
        <v>0</v>
      </c>
      <c r="F11420">
        <v>276</v>
      </c>
    </row>
    <row r="11421" spans="1:6" ht="12.75">
      <c r="A11421" s="2">
        <v>43880.225127314814</v>
      </c>
      <c r="B11421" t="str">
        <f>HYPERLINK("https://twitter.com/wahyujkt73","@wahyujkt73")</f>
        <v>@wahyujkt73</v>
      </c>
      <c r="C11421" t="s">
        <v>2930</v>
      </c>
      <c r="D11421">
        <v>115</v>
      </c>
      <c r="E11421">
        <v>0</v>
      </c>
      <c r="F11421">
        <v>306</v>
      </c>
    </row>
    <row r="11422" spans="1:6" ht="12.75">
      <c r="A11422" s="2">
        <v>43880.209745370375</v>
      </c>
      <c r="B11422" t="str">
        <f>HYPERLINK("https://twitter.com/agni_wii","@agni_wii")</f>
        <v>@agni_wii</v>
      </c>
      <c r="C11422" t="s">
        <v>1407</v>
      </c>
      <c r="D11422">
        <v>902</v>
      </c>
      <c r="E11422">
        <v>0</v>
      </c>
      <c r="F11422">
        <v>193</v>
      </c>
    </row>
    <row r="11423" spans="1:6" ht="12.75">
      <c r="A11423" s="2">
        <v>43880.209340277783</v>
      </c>
      <c r="B11423" t="str">
        <f>HYPERLINK("https://twitter.com/mollynyan12","@mollynyan12")</f>
        <v>@mollynyan12</v>
      </c>
      <c r="C11423" t="s">
        <v>1407</v>
      </c>
      <c r="D11423">
        <v>902</v>
      </c>
      <c r="E11423">
        <v>0</v>
      </c>
      <c r="F11423">
        <v>38</v>
      </c>
    </row>
    <row r="11424" spans="1:6" ht="12.75">
      <c r="A11424" s="2">
        <v>43880.208958333329</v>
      </c>
      <c r="B11424" t="str">
        <f>HYPERLINK("https://twitter.com/DewiMas61312173","@DewiMas61312173")</f>
        <v>@DewiMas61312173</v>
      </c>
      <c r="C11424" t="s">
        <v>5702</v>
      </c>
      <c r="D11424">
        <v>197</v>
      </c>
      <c r="E11424">
        <v>0</v>
      </c>
      <c r="F11424">
        <v>150</v>
      </c>
    </row>
    <row r="11425" spans="1:6" ht="12.75">
      <c r="A11425" s="2">
        <v>43880.208784722221</v>
      </c>
      <c r="B11425" t="str">
        <f>HYPERLINK("https://twitter.com/Ln1885","@Ln1885")</f>
        <v>@Ln1885</v>
      </c>
      <c r="C11425" t="s">
        <v>6164</v>
      </c>
      <c r="D11425">
        <v>1</v>
      </c>
      <c r="E11425">
        <v>0</v>
      </c>
      <c r="F11425">
        <v>859</v>
      </c>
    </row>
    <row r="11426" spans="1:6" ht="12.75">
      <c r="A11426" s="2">
        <v>43880.208310185189</v>
      </c>
      <c r="B11426" t="str">
        <f>HYPERLINK("https://twitter.com/viasyafiqa","@viasyafiqa")</f>
        <v>@viasyafiqa</v>
      </c>
      <c r="C11426" t="s">
        <v>1407</v>
      </c>
      <c r="D11426">
        <v>902</v>
      </c>
      <c r="E11426">
        <v>0</v>
      </c>
      <c r="F11426">
        <v>194</v>
      </c>
    </row>
    <row r="11427" spans="1:6" ht="12.75">
      <c r="A11427" s="2">
        <v>43880.208171296297</v>
      </c>
      <c r="B11427" t="str">
        <f>HYPERLINK("https://twitter.com/IrfanRiansyahhh","@IrfanRiansyahhh")</f>
        <v>@IrfanRiansyahhh</v>
      </c>
      <c r="C11427" t="s">
        <v>6165</v>
      </c>
      <c r="D11427">
        <v>0</v>
      </c>
      <c r="E11427">
        <v>0</v>
      </c>
      <c r="F11427">
        <v>5643</v>
      </c>
    </row>
    <row r="11428" spans="1:6" ht="12.75">
      <c r="A11428" s="2">
        <v>43880.207812499997</v>
      </c>
      <c r="B11428" t="str">
        <f>HYPERLINK("https://twitter.com/0130Sat","@0130Sat")</f>
        <v>@0130Sat</v>
      </c>
      <c r="C11428" t="s">
        <v>1407</v>
      </c>
      <c r="D11428">
        <v>902</v>
      </c>
      <c r="E11428">
        <v>0</v>
      </c>
      <c r="F11428">
        <v>45</v>
      </c>
    </row>
    <row r="11429" spans="1:6" ht="12.75">
      <c r="A11429" s="2">
        <v>43880.207615740743</v>
      </c>
      <c r="B11429" t="str">
        <f>HYPERLINK("https://twitter.com/hariankompas","@hariankompas")</f>
        <v>@hariankompas</v>
      </c>
      <c r="C11429" t="s">
        <v>6166</v>
      </c>
      <c r="D11429">
        <v>1</v>
      </c>
      <c r="E11429">
        <v>0</v>
      </c>
      <c r="F11429">
        <v>786400</v>
      </c>
    </row>
    <row r="11430" spans="1:6" ht="12.75">
      <c r="A11430" s="2">
        <v>43880.206631944442</v>
      </c>
      <c r="B11430" t="str">
        <f>HYPERLINK("https://twitter.com/SharkRadioNet","@SharkRadioNet")</f>
        <v>@SharkRadioNet</v>
      </c>
      <c r="C11430" t="s">
        <v>6167</v>
      </c>
      <c r="D11430">
        <v>1</v>
      </c>
      <c r="E11430">
        <v>0</v>
      </c>
      <c r="F11430">
        <v>173</v>
      </c>
    </row>
    <row r="11431" spans="1:6" ht="12.75">
      <c r="A11431" s="2">
        <v>43880.20616898148</v>
      </c>
      <c r="B11431" t="str">
        <f>HYPERLINK("https://twitter.com/ksopkendari","@ksopkendari")</f>
        <v>@ksopkendari</v>
      </c>
      <c r="C11431" t="s">
        <v>6168</v>
      </c>
      <c r="D11431">
        <v>4</v>
      </c>
      <c r="E11431">
        <v>0</v>
      </c>
      <c r="F11431">
        <v>12</v>
      </c>
    </row>
    <row r="11432" spans="1:6" ht="12.75">
      <c r="A11432" s="2">
        <v>43880.205925925926</v>
      </c>
      <c r="B11432" t="str">
        <f>HYPERLINK("https://twitter.com/TamBrewer1","@TamBrewer1")</f>
        <v>@TamBrewer1</v>
      </c>
      <c r="C11432" t="s">
        <v>6169</v>
      </c>
      <c r="D11432">
        <v>1</v>
      </c>
      <c r="E11432">
        <v>0</v>
      </c>
      <c r="F11432">
        <v>867</v>
      </c>
    </row>
    <row r="11433" spans="1:6" ht="12.75">
      <c r="A11433" s="2">
        <v>43880.205358796295</v>
      </c>
      <c r="B11433" t="str">
        <f>HYPERLINK("https://twitter.com/maulinapuspita_","@maulinapuspita_")</f>
        <v>@maulinapuspita_</v>
      </c>
      <c r="C11433" t="s">
        <v>6032</v>
      </c>
      <c r="D11433">
        <v>851</v>
      </c>
      <c r="E11433">
        <v>0</v>
      </c>
      <c r="F11433">
        <v>135</v>
      </c>
    </row>
    <row r="11434" spans="1:6" ht="12.75">
      <c r="A11434" s="2">
        <v>43880.205185185187</v>
      </c>
      <c r="B11434" t="str">
        <f>HYPERLINK("https://twitter.com/nurkhafidhi","@nurkhafidhi")</f>
        <v>@nurkhafidhi</v>
      </c>
      <c r="C11434" t="s">
        <v>5702</v>
      </c>
      <c r="D11434">
        <v>197</v>
      </c>
      <c r="E11434">
        <v>0</v>
      </c>
      <c r="F11434">
        <v>160</v>
      </c>
    </row>
    <row r="11435" spans="1:6" ht="12.75">
      <c r="A11435" s="2">
        <v>43880.204780092594</v>
      </c>
      <c r="B11435" t="str">
        <f>HYPERLINK("https://twitter.com/sofia_sudarma","@sofia_sudarma")</f>
        <v>@sofia_sudarma</v>
      </c>
      <c r="C11435" t="s">
        <v>2079</v>
      </c>
      <c r="D11435">
        <v>36</v>
      </c>
      <c r="E11435">
        <v>0</v>
      </c>
      <c r="F11435">
        <v>853</v>
      </c>
    </row>
    <row r="11436" spans="1:6" ht="12.75">
      <c r="A11436" s="2">
        <v>43880.204583333332</v>
      </c>
      <c r="B11436" t="str">
        <f>HYPERLINK("https://twitter.com/qbayyinah91","@qbayyinah91")</f>
        <v>@qbayyinah91</v>
      </c>
      <c r="C11436" t="s">
        <v>6170</v>
      </c>
      <c r="D11436">
        <v>15</v>
      </c>
      <c r="E11436">
        <v>0</v>
      </c>
      <c r="F11436">
        <v>804</v>
      </c>
    </row>
    <row r="11437" spans="1:6" ht="12.75">
      <c r="A11437" s="2">
        <v>43880.203958333332</v>
      </c>
      <c r="B11437" t="str">
        <f>HYPERLINK("https://twitter.com/kristhiankevin","@kristhiankevin")</f>
        <v>@kristhiankevin</v>
      </c>
      <c r="C11437" t="s">
        <v>1407</v>
      </c>
      <c r="D11437">
        <v>902</v>
      </c>
      <c r="E11437">
        <v>0</v>
      </c>
      <c r="F11437">
        <v>425</v>
      </c>
    </row>
    <row r="11438" spans="1:6" ht="12.75">
      <c r="A11438" s="2">
        <v>43880.203946759255</v>
      </c>
      <c r="B11438" t="str">
        <f>HYPERLINK("https://twitter.com/ghfrlwn","@ghfrlwn")</f>
        <v>@ghfrlwn</v>
      </c>
      <c r="C11438" t="s">
        <v>6171</v>
      </c>
      <c r="D11438">
        <v>0</v>
      </c>
      <c r="E11438">
        <v>0</v>
      </c>
      <c r="F11438">
        <v>260</v>
      </c>
    </row>
    <row r="11439" spans="1:6" ht="12.75">
      <c r="A11439" s="2">
        <v>43880.203912037032</v>
      </c>
      <c r="B11439" t="str">
        <f>HYPERLINK("https://twitter.com/qyotte","@qyotte")</f>
        <v>@qyotte</v>
      </c>
      <c r="C11439" t="s">
        <v>6032</v>
      </c>
      <c r="D11439">
        <v>851</v>
      </c>
      <c r="E11439">
        <v>0</v>
      </c>
      <c r="F11439">
        <v>562</v>
      </c>
    </row>
    <row r="11440" spans="1:6" ht="12.75">
      <c r="A11440" s="2">
        <v>43880.203668981485</v>
      </c>
      <c r="B11440" t="str">
        <f>HYPERLINK("https://twitter.com/Fahmifarid17","@Fahmifarid17")</f>
        <v>@Fahmifarid17</v>
      </c>
      <c r="C11440" t="s">
        <v>1407</v>
      </c>
      <c r="D11440">
        <v>902</v>
      </c>
      <c r="E11440">
        <v>0</v>
      </c>
      <c r="F11440">
        <v>31</v>
      </c>
    </row>
    <row r="11441" spans="1:6" ht="12.75">
      <c r="A11441" s="2">
        <v>43880.203217592592</v>
      </c>
      <c r="B11441" t="str">
        <f>HYPERLINK("https://twitter.com/Gobang09791575","@Gobang09791575")</f>
        <v>@Gobang09791575</v>
      </c>
      <c r="C11441" t="s">
        <v>6172</v>
      </c>
      <c r="D11441">
        <v>44</v>
      </c>
      <c r="E11441">
        <v>0</v>
      </c>
      <c r="F11441">
        <v>1232</v>
      </c>
    </row>
    <row r="11442" spans="1:6" ht="12.75">
      <c r="A11442" s="2">
        <v>43880.201967592591</v>
      </c>
      <c r="B11442" t="str">
        <f>HYPERLINK("https://twitter.com/Far_away90","@Far_away90")</f>
        <v>@Far_away90</v>
      </c>
      <c r="C11442" t="s">
        <v>6030</v>
      </c>
      <c r="D11442">
        <v>28</v>
      </c>
      <c r="E11442">
        <v>0</v>
      </c>
      <c r="F11442">
        <v>373</v>
      </c>
    </row>
    <row r="11443" spans="1:6" ht="12.75">
      <c r="A11443" s="2">
        <v>43880.200636574074</v>
      </c>
      <c r="B11443" t="str">
        <f>HYPERLINK("https://twitter.com/bzee_why","@bzee_why")</f>
        <v>@bzee_why</v>
      </c>
      <c r="C11443" t="s">
        <v>5644</v>
      </c>
      <c r="D11443">
        <v>334</v>
      </c>
      <c r="E11443">
        <v>0</v>
      </c>
      <c r="F11443">
        <v>688</v>
      </c>
    </row>
    <row r="11444" spans="1:6" ht="12.75">
      <c r="A11444" s="2">
        <v>43880.199108796296</v>
      </c>
      <c r="B11444" t="str">
        <f>HYPERLINK("https://twitter.com/hazmianzhari","@hazmianzhari")</f>
        <v>@hazmianzhari</v>
      </c>
      <c r="C11444" t="s">
        <v>5644</v>
      </c>
      <c r="D11444">
        <v>334</v>
      </c>
      <c r="E11444">
        <v>0</v>
      </c>
      <c r="F11444">
        <v>282</v>
      </c>
    </row>
    <row r="11445" spans="1:6" ht="12.75">
      <c r="A11445" s="2">
        <v>43880.198749999996</v>
      </c>
      <c r="B11445" t="str">
        <f>HYPERLINK("https://twitter.com/cakradara20","@cakradara20")</f>
        <v>@cakradara20</v>
      </c>
      <c r="C11445" t="s">
        <v>6173</v>
      </c>
      <c r="D11445">
        <v>6</v>
      </c>
      <c r="E11445">
        <v>0</v>
      </c>
      <c r="F11445">
        <v>74</v>
      </c>
    </row>
    <row r="11446" spans="1:6" ht="12.75">
      <c r="A11446" s="2">
        <v>43880.198287037041</v>
      </c>
      <c r="B11446" t="str">
        <f>HYPERLINK("https://twitter.com/amesoraya","@amesoraya")</f>
        <v>@amesoraya</v>
      </c>
      <c r="C11446" t="s">
        <v>1407</v>
      </c>
      <c r="D11446">
        <v>902</v>
      </c>
      <c r="E11446">
        <v>0</v>
      </c>
      <c r="F11446">
        <v>876</v>
      </c>
    </row>
    <row r="11447" spans="1:6" ht="12.75">
      <c r="A11447" s="2">
        <v>43880.198136574079</v>
      </c>
      <c r="B11447" t="str">
        <f>HYPERLINK("https://twitter.com/egen47","@egen47")</f>
        <v>@egen47</v>
      </c>
      <c r="C11447" t="s">
        <v>1407</v>
      </c>
      <c r="D11447">
        <v>902</v>
      </c>
      <c r="E11447">
        <v>0</v>
      </c>
      <c r="F11447">
        <v>28</v>
      </c>
    </row>
    <row r="11448" spans="1:6" ht="12.75">
      <c r="A11448" s="2">
        <v>43880.198055555556</v>
      </c>
      <c r="B11448" t="str">
        <f>HYPERLINK("https://twitter.com/idntimes","@idntimes")</f>
        <v>@idntimes</v>
      </c>
      <c r="C11448" t="s">
        <v>6174</v>
      </c>
      <c r="D11448">
        <v>0</v>
      </c>
      <c r="E11448">
        <v>1</v>
      </c>
      <c r="F11448">
        <v>393002</v>
      </c>
    </row>
    <row r="11449" spans="1:6" ht="12.75">
      <c r="A11449" s="2">
        <v>43880.196597222224</v>
      </c>
      <c r="B11449" t="str">
        <f>HYPERLINK("https://twitter.com/ozymandias2020X","@ozymandias2020X")</f>
        <v>@ozymandias2020X</v>
      </c>
      <c r="C11449" t="s">
        <v>6145</v>
      </c>
      <c r="D11449">
        <v>1</v>
      </c>
      <c r="E11449">
        <v>0</v>
      </c>
      <c r="F11449">
        <v>2637</v>
      </c>
    </row>
    <row r="11450" spans="1:6" ht="12.75">
      <c r="A11450" s="2">
        <v>43880.196435185186</v>
      </c>
      <c r="B11450" t="str">
        <f>HYPERLINK("https://twitter.com/ennyelf2","@ennyelf2")</f>
        <v>@ennyelf2</v>
      </c>
      <c r="C11450" t="s">
        <v>6140</v>
      </c>
      <c r="D11450">
        <v>3</v>
      </c>
      <c r="E11450">
        <v>0</v>
      </c>
      <c r="F11450">
        <v>336</v>
      </c>
    </row>
    <row r="11451" spans="1:6" ht="12.75">
      <c r="A11451" s="2">
        <v>43880.193738425922</v>
      </c>
      <c r="B11451" t="str">
        <f>HYPERLINK("https://twitter.com/balakutakdewa","@balakutakdewa")</f>
        <v>@balakutakdewa</v>
      </c>
      <c r="C11451" t="s">
        <v>6175</v>
      </c>
      <c r="D11451">
        <v>46</v>
      </c>
      <c r="E11451">
        <v>0</v>
      </c>
      <c r="F11451">
        <v>221</v>
      </c>
    </row>
    <row r="11452" spans="1:6" ht="12.75">
      <c r="A11452" s="2">
        <v>43880.192349537036</v>
      </c>
      <c r="B11452" t="str">
        <f>HYPERLINK("https://twitter.com/Inkafbrn","@Inkafbrn")</f>
        <v>@Inkafbrn</v>
      </c>
      <c r="C11452" t="s">
        <v>1407</v>
      </c>
      <c r="D11452">
        <v>902</v>
      </c>
      <c r="E11452">
        <v>0</v>
      </c>
      <c r="F11452">
        <v>2066</v>
      </c>
    </row>
    <row r="11453" spans="1:6" ht="12.75">
      <c r="A11453" s="2">
        <v>43880.191805555558</v>
      </c>
      <c r="B11453" t="str">
        <f>HYPERLINK("https://twitter.com/CaptYudi","@CaptYudi")</f>
        <v>@CaptYudi</v>
      </c>
      <c r="C11453" t="s">
        <v>2930</v>
      </c>
      <c r="D11453">
        <v>108</v>
      </c>
      <c r="E11453">
        <v>0</v>
      </c>
      <c r="F11453">
        <v>1756</v>
      </c>
    </row>
    <row r="11454" spans="1:6" ht="12.75">
      <c r="A11454" s="2">
        <v>43880.19121527778</v>
      </c>
      <c r="B11454" t="str">
        <f>HYPERLINK("https://twitter.com/daskentang","@daskentang")</f>
        <v>@daskentang</v>
      </c>
      <c r="C11454" t="s">
        <v>1407</v>
      </c>
      <c r="D11454">
        <v>902</v>
      </c>
      <c r="E11454">
        <v>0</v>
      </c>
      <c r="F11454">
        <v>306</v>
      </c>
    </row>
    <row r="11455" spans="1:6" ht="12.75">
      <c r="A11455" s="2">
        <v>43880.191168981481</v>
      </c>
      <c r="B11455" t="str">
        <f>HYPERLINK("https://twitter.com/gilangmfg","@gilangmfg")</f>
        <v>@gilangmfg</v>
      </c>
      <c r="C11455" t="s">
        <v>1407</v>
      </c>
      <c r="D11455">
        <v>902</v>
      </c>
      <c r="E11455">
        <v>0</v>
      </c>
      <c r="F11455">
        <v>70</v>
      </c>
    </row>
    <row r="11456" spans="1:6" ht="12.75">
      <c r="A11456" s="2">
        <v>43880.190659722226</v>
      </c>
      <c r="B11456" t="str">
        <f>HYPERLINK("https://twitter.com/Evialfa20","@Evialfa20")</f>
        <v>@Evialfa20</v>
      </c>
      <c r="C11456" t="s">
        <v>2930</v>
      </c>
      <c r="D11456">
        <v>108</v>
      </c>
      <c r="E11456">
        <v>0</v>
      </c>
      <c r="F11456">
        <v>2719</v>
      </c>
    </row>
    <row r="11457" spans="1:6" ht="12.75">
      <c r="A11457" s="2">
        <v>43880.189907407403</v>
      </c>
      <c r="B11457" t="str">
        <f>HYPERLINK("https://twitter.com/me_zhu__Yusra","@me_zhu__Yusra")</f>
        <v>@me_zhu__Yusra</v>
      </c>
      <c r="C11457" t="s">
        <v>6176</v>
      </c>
      <c r="D11457">
        <v>0</v>
      </c>
      <c r="E11457">
        <v>0</v>
      </c>
      <c r="F11457">
        <v>3081</v>
      </c>
    </row>
    <row r="11458" spans="1:6" ht="12.75">
      <c r="A11458" s="2">
        <v>43880.189513888894</v>
      </c>
      <c r="B11458" t="str">
        <f>HYPERLINK("https://twitter.com/Anam08S","@Anam08S")</f>
        <v>@Anam08S</v>
      </c>
      <c r="C11458" t="s">
        <v>6177</v>
      </c>
      <c r="D11458">
        <v>1</v>
      </c>
      <c r="E11458">
        <v>0</v>
      </c>
      <c r="F11458">
        <v>712</v>
      </c>
    </row>
    <row r="11459" spans="1:6" ht="12.75">
      <c r="A11459" s="2">
        <v>43880.189062500001</v>
      </c>
      <c r="B11459" t="str">
        <f>HYPERLINK("https://twitter.com/Wayang67913537","@Wayang67913537")</f>
        <v>@Wayang67913537</v>
      </c>
      <c r="C11459" t="s">
        <v>5702</v>
      </c>
      <c r="D11459">
        <v>197</v>
      </c>
      <c r="E11459">
        <v>0</v>
      </c>
      <c r="F11459">
        <v>6</v>
      </c>
    </row>
    <row r="11460" spans="1:6" ht="12.75">
      <c r="A11460" s="2">
        <v>43880.18787037037</v>
      </c>
      <c r="B11460" t="str">
        <f>HYPERLINK("https://twitter.com/brendha_hilario","@brendha_hilario")</f>
        <v>@brendha_hilario</v>
      </c>
      <c r="C11460" t="s">
        <v>6178</v>
      </c>
      <c r="D11460">
        <v>0</v>
      </c>
      <c r="E11460">
        <v>0</v>
      </c>
      <c r="F11460">
        <v>436</v>
      </c>
    </row>
    <row r="11461" spans="1:6" ht="12.75">
      <c r="A11461" s="2">
        <v>43880.187789351854</v>
      </c>
      <c r="B11461" t="str">
        <f>HYPERLINK("https://twitter.com/ravenclawmate","@ravenclawmate")</f>
        <v>@ravenclawmate</v>
      </c>
      <c r="C11461" t="s">
        <v>6179</v>
      </c>
      <c r="D11461">
        <v>0</v>
      </c>
      <c r="E11461">
        <v>1</v>
      </c>
      <c r="F11461">
        <v>543</v>
      </c>
    </row>
    <row r="11462" spans="1:6" ht="12.75">
      <c r="A11462" s="2">
        <v>43880.186828703707</v>
      </c>
      <c r="B11462" t="str">
        <f>HYPERLINK("https://twitter.com/K3muning_1","@K3muning_1")</f>
        <v>@K3muning_1</v>
      </c>
      <c r="C11462" t="s">
        <v>6180</v>
      </c>
      <c r="D11462">
        <v>1</v>
      </c>
      <c r="E11462">
        <v>1</v>
      </c>
      <c r="F11462">
        <v>2400</v>
      </c>
    </row>
    <row r="11463" spans="1:6" ht="12.75">
      <c r="A11463" s="2">
        <v>43880.186331018514</v>
      </c>
      <c r="B11463" t="str">
        <f>HYPERLINK("https://twitter.com/RahmanRadya","@RahmanRadya")</f>
        <v>@RahmanRadya</v>
      </c>
      <c r="C11463" t="s">
        <v>6181</v>
      </c>
      <c r="D11463">
        <v>0</v>
      </c>
      <c r="E11463">
        <v>0</v>
      </c>
      <c r="F11463">
        <v>95</v>
      </c>
    </row>
    <row r="11464" spans="1:6" ht="12.75">
      <c r="A11464" s="2">
        <v>43880.185949074075</v>
      </c>
      <c r="B11464" t="str">
        <f>HYPERLINK("https://twitter.com/ChusnulKhadija2","@ChusnulKhadija2")</f>
        <v>@ChusnulKhadija2</v>
      </c>
      <c r="C11464" t="s">
        <v>2444</v>
      </c>
      <c r="D11464">
        <v>4585</v>
      </c>
      <c r="E11464">
        <v>0</v>
      </c>
      <c r="F11464">
        <v>1</v>
      </c>
    </row>
    <row r="11465" spans="1:6" ht="12.75">
      <c r="A11465" s="2">
        <v>43880.184421296297</v>
      </c>
      <c r="B11465" t="str">
        <f>HYPERLINK("https://twitter.com/gunoto7","@gunoto7")</f>
        <v>@gunoto7</v>
      </c>
      <c r="C11465" t="s">
        <v>6182</v>
      </c>
      <c r="D11465">
        <v>5</v>
      </c>
      <c r="E11465">
        <v>0</v>
      </c>
      <c r="F11465">
        <v>2775</v>
      </c>
    </row>
    <row r="11466" spans="1:6" ht="12.75">
      <c r="A11466" s="2">
        <v>43880.184062500004</v>
      </c>
      <c r="B11466" t="str">
        <f>HYPERLINK("https://twitter.com/abdulloh2015","@abdulloh2015")</f>
        <v>@abdulloh2015</v>
      </c>
      <c r="C11466" t="s">
        <v>2123</v>
      </c>
      <c r="D11466">
        <v>0</v>
      </c>
      <c r="E11466">
        <v>0</v>
      </c>
      <c r="F11466">
        <v>61</v>
      </c>
    </row>
    <row r="11467" spans="1:6" ht="12.75">
      <c r="A11467" s="2">
        <v>43880.183032407411</v>
      </c>
      <c r="B11467" t="str">
        <f>HYPERLINK("https://twitter.com/ravenclawmate","@ravenclawmate")</f>
        <v>@ravenclawmate</v>
      </c>
      <c r="C11467" t="s">
        <v>1407</v>
      </c>
      <c r="D11467">
        <v>902</v>
      </c>
      <c r="E11467">
        <v>0</v>
      </c>
      <c r="F11467">
        <v>543</v>
      </c>
    </row>
    <row r="11468" spans="1:6" ht="12.75">
      <c r="A11468" s="2">
        <v>43880.181134259255</v>
      </c>
      <c r="B11468" t="str">
        <f>HYPERLINK("https://twitter.com/kbriwina","@kbriwina")</f>
        <v>@kbriwina</v>
      </c>
      <c r="C11468" t="s">
        <v>2079</v>
      </c>
      <c r="D11468">
        <v>36</v>
      </c>
      <c r="E11468">
        <v>0</v>
      </c>
      <c r="F11468">
        <v>1902</v>
      </c>
    </row>
    <row r="11469" spans="1:6" ht="12.75">
      <c r="A11469" s="2">
        <v>43880.179791666669</v>
      </c>
      <c r="B11469" t="str">
        <f>HYPERLINK("https://twitter.com/olgakoswanurfan","@olgakoswanurfan")</f>
        <v>@olgakoswanurfan</v>
      </c>
      <c r="C11469" t="s">
        <v>6095</v>
      </c>
      <c r="D11469">
        <v>3</v>
      </c>
      <c r="E11469">
        <v>0</v>
      </c>
      <c r="F11469">
        <v>26</v>
      </c>
    </row>
    <row r="11470" spans="1:6" ht="12.75">
      <c r="A11470" s="2">
        <v>43880.178854166668</v>
      </c>
      <c r="B11470" t="str">
        <f>HYPERLINK("https://twitter.com/Mahouine","@Mahouine")</f>
        <v>@Mahouine</v>
      </c>
      <c r="C11470" t="s">
        <v>6183</v>
      </c>
      <c r="D11470">
        <v>0</v>
      </c>
      <c r="E11470">
        <v>0</v>
      </c>
      <c r="F11470">
        <v>300</v>
      </c>
    </row>
    <row r="11471" spans="1:6" ht="12.75">
      <c r="A11471" s="2">
        <v>43880.178819444445</v>
      </c>
      <c r="B11471" t="str">
        <f>HYPERLINK("https://twitter.com/Atissue5","@Atissue5")</f>
        <v>@Atissue5</v>
      </c>
      <c r="C11471" t="s">
        <v>6184</v>
      </c>
      <c r="D11471">
        <v>3</v>
      </c>
      <c r="E11471">
        <v>0</v>
      </c>
      <c r="F11471">
        <v>784</v>
      </c>
    </row>
    <row r="11472" spans="1:6" ht="12.75">
      <c r="A11472" s="2">
        <v>43880.178344907406</v>
      </c>
      <c r="B11472" t="str">
        <f>HYPERLINK("https://twitter.com/pyrenesscastle","@pyrenesscastle")</f>
        <v>@pyrenesscastle</v>
      </c>
      <c r="C11472" t="s">
        <v>2079</v>
      </c>
      <c r="D11472">
        <v>36</v>
      </c>
      <c r="E11472">
        <v>0</v>
      </c>
      <c r="F11472">
        <v>58</v>
      </c>
    </row>
    <row r="11473" spans="1:6" ht="12.75">
      <c r="A11473" s="2">
        <v>43880.178148148145</v>
      </c>
      <c r="B11473" t="str">
        <f>HYPERLINK("https://twitter.com/nabillayust","@nabillayust")</f>
        <v>@nabillayust</v>
      </c>
      <c r="C11473" t="s">
        <v>1407</v>
      </c>
      <c r="D11473">
        <v>902</v>
      </c>
      <c r="E11473">
        <v>0</v>
      </c>
      <c r="F11473">
        <v>946</v>
      </c>
    </row>
    <row r="11474" spans="1:6" ht="12.75">
      <c r="A11474" s="2">
        <v>43880.177789351852</v>
      </c>
      <c r="B11474" t="str">
        <f>HYPERLINK("https://twitter.com/MaliqueMuhzahri","@MaliqueMuhzahri")</f>
        <v>@MaliqueMuhzahri</v>
      </c>
      <c r="C11474" t="s">
        <v>1407</v>
      </c>
      <c r="D11474">
        <v>902</v>
      </c>
      <c r="E11474">
        <v>0</v>
      </c>
      <c r="F11474">
        <v>13</v>
      </c>
    </row>
    <row r="11475" spans="1:6" ht="12.75">
      <c r="A11475" s="2">
        <v>43880.177395833336</v>
      </c>
      <c r="B11475" t="str">
        <f>HYPERLINK("https://twitter.com/berlidiawaty","@berlidiawaty")</f>
        <v>@berlidiawaty</v>
      </c>
      <c r="C11475" t="s">
        <v>6185</v>
      </c>
      <c r="D11475">
        <v>0</v>
      </c>
      <c r="E11475">
        <v>0</v>
      </c>
      <c r="F11475">
        <v>420</v>
      </c>
    </row>
    <row r="11476" spans="1:6" ht="12.75">
      <c r="A11476" s="2">
        <v>43880.175717592589</v>
      </c>
      <c r="B11476" t="str">
        <f>HYPERLINK("https://twitter.com/ucikuki","@ucikuki")</f>
        <v>@ucikuki</v>
      </c>
      <c r="C11476" t="s">
        <v>1407</v>
      </c>
      <c r="D11476">
        <v>902</v>
      </c>
      <c r="E11476">
        <v>0</v>
      </c>
      <c r="F11476">
        <v>3724</v>
      </c>
    </row>
    <row r="11477" spans="1:6" ht="12.75">
      <c r="A11477" s="2">
        <v>43880.17564814815</v>
      </c>
      <c r="B11477" t="str">
        <f>HYPERLINK("https://twitter.com/LawabidingIndia","@LawabidingIndia")</f>
        <v>@LawabidingIndia</v>
      </c>
      <c r="C11477" t="s">
        <v>6186</v>
      </c>
      <c r="D11477">
        <v>6</v>
      </c>
      <c r="E11477">
        <v>0</v>
      </c>
      <c r="F11477">
        <v>266</v>
      </c>
    </row>
    <row r="11478" spans="1:6" ht="12.75">
      <c r="A11478" s="2">
        <v>43880.175520833334</v>
      </c>
      <c r="B11478" t="str">
        <f>HYPERLINK("https://twitter.com/ucikuki","@ucikuki")</f>
        <v>@ucikuki</v>
      </c>
      <c r="C11478" t="s">
        <v>2467</v>
      </c>
      <c r="D11478">
        <v>39</v>
      </c>
      <c r="E11478">
        <v>0</v>
      </c>
      <c r="F11478">
        <v>3724</v>
      </c>
    </row>
    <row r="11479" spans="1:6" ht="12.75">
      <c r="A11479" s="2">
        <v>43880.17454861111</v>
      </c>
      <c r="B11479" t="str">
        <f>HYPERLINK("https://twitter.com/archabandung","@archabandung")</f>
        <v>@archabandung</v>
      </c>
      <c r="C11479" t="s">
        <v>6187</v>
      </c>
      <c r="D11479">
        <v>0</v>
      </c>
      <c r="E11479">
        <v>0</v>
      </c>
      <c r="F11479">
        <v>876</v>
      </c>
    </row>
    <row r="11480" spans="1:6" ht="12.75">
      <c r="A11480" s="2">
        <v>43880.174074074079</v>
      </c>
      <c r="B11480" t="str">
        <f>HYPERLINK("https://twitter.com/aakanjengdimas","@aakanjengdimas")</f>
        <v>@aakanjengdimas</v>
      </c>
      <c r="C11480" t="s">
        <v>6188</v>
      </c>
      <c r="D11480">
        <v>0</v>
      </c>
      <c r="E11480">
        <v>0</v>
      </c>
      <c r="F11480">
        <v>22</v>
      </c>
    </row>
    <row r="11481" spans="1:6" ht="12.75">
      <c r="A11481" s="2">
        <v>43880.17396990741</v>
      </c>
      <c r="B11481" t="str">
        <f>HYPERLINK("https://twitter.com/kopikirpikir","@kopikirpikir")</f>
        <v>@kopikirpikir</v>
      </c>
      <c r="C11481" t="s">
        <v>6189</v>
      </c>
      <c r="D11481">
        <v>1</v>
      </c>
      <c r="E11481">
        <v>0</v>
      </c>
      <c r="F11481">
        <v>1914</v>
      </c>
    </row>
    <row r="11482" spans="1:6" ht="12.75">
      <c r="A11482" s="2">
        <v>43880.172800925924</v>
      </c>
      <c r="B11482" t="str">
        <f>HYPERLINK("https://twitter.com/lndsptn","@lndsptn")</f>
        <v>@lndsptn</v>
      </c>
      <c r="C11482" t="s">
        <v>2467</v>
      </c>
      <c r="D11482">
        <v>39</v>
      </c>
      <c r="E11482">
        <v>0</v>
      </c>
      <c r="F11482">
        <v>2994</v>
      </c>
    </row>
    <row r="11483" spans="1:6" ht="12.75">
      <c r="A11483" s="2">
        <v>43880.172731481478</v>
      </c>
      <c r="B11483" t="str">
        <f>HYPERLINK("https://twitter.com/safarahfalih","@safarahfalih")</f>
        <v>@safarahfalih</v>
      </c>
      <c r="C11483" t="s">
        <v>1407</v>
      </c>
      <c r="D11483">
        <v>902</v>
      </c>
      <c r="E11483">
        <v>0</v>
      </c>
      <c r="F11483">
        <v>898</v>
      </c>
    </row>
    <row r="11484" spans="1:6" ht="12.75">
      <c r="A11484" s="2">
        <v>43880.172534722224</v>
      </c>
      <c r="B11484" t="str">
        <f>HYPERLINK("https://twitter.com/lndsptn","@lndsptn")</f>
        <v>@lndsptn</v>
      </c>
      <c r="C11484" t="s">
        <v>1407</v>
      </c>
      <c r="D11484">
        <v>902</v>
      </c>
      <c r="E11484">
        <v>0</v>
      </c>
      <c r="F11484">
        <v>2994</v>
      </c>
    </row>
    <row r="11485" spans="1:6" ht="12.75">
      <c r="A11485" s="2">
        <v>43880.171805555554</v>
      </c>
      <c r="B11485" t="str">
        <f>HYPERLINK("https://twitter.com/ciciliaeunike","@ciciliaeunike")</f>
        <v>@ciciliaeunike</v>
      </c>
      <c r="C11485" t="s">
        <v>1407</v>
      </c>
      <c r="D11485">
        <v>902</v>
      </c>
      <c r="E11485">
        <v>0</v>
      </c>
      <c r="F11485">
        <v>66</v>
      </c>
    </row>
    <row r="11486" spans="1:6" ht="12.75">
      <c r="A11486" s="2">
        <v>43880.17119212963</v>
      </c>
      <c r="B11486" t="str">
        <f>HYPERLINK("https://twitter.com/zuperkruuunch","@zuperkruuunch")</f>
        <v>@zuperkruuunch</v>
      </c>
      <c r="C11486" t="s">
        <v>1407</v>
      </c>
      <c r="D11486">
        <v>902</v>
      </c>
      <c r="E11486">
        <v>0</v>
      </c>
      <c r="F11486">
        <v>1717</v>
      </c>
    </row>
    <row r="11487" spans="1:6" ht="12.75">
      <c r="A11487" s="2">
        <v>43880.171030092592</v>
      </c>
      <c r="B11487" t="str">
        <f>HYPERLINK("https://twitter.com/_isis_caldeira_","@_isis_caldeira_")</f>
        <v>@_isis_caldeira_</v>
      </c>
      <c r="C11487" t="s">
        <v>6190</v>
      </c>
      <c r="D11487">
        <v>0</v>
      </c>
      <c r="E11487">
        <v>0</v>
      </c>
      <c r="F11487">
        <v>76</v>
      </c>
    </row>
    <row r="11488" spans="1:6" ht="12.75">
      <c r="A11488" s="2">
        <v>43880.170682870375</v>
      </c>
      <c r="B11488" t="str">
        <f>HYPERLINK("https://twitter.com/Forza_Bashar","@Forza_Bashar")</f>
        <v>@Forza_Bashar</v>
      </c>
      <c r="C11488" t="s">
        <v>6191</v>
      </c>
      <c r="D11488">
        <v>1</v>
      </c>
      <c r="E11488">
        <v>0</v>
      </c>
      <c r="F11488">
        <v>1138</v>
      </c>
    </row>
    <row r="11489" spans="1:6" ht="12.75">
      <c r="A11489" s="2">
        <v>43880.170428240745</v>
      </c>
      <c r="B11489" t="str">
        <f>HYPERLINK("https://twitter.com/XIII_kamp","@XIII_kamp")</f>
        <v>@XIII_kamp</v>
      </c>
      <c r="C11489" t="s">
        <v>6192</v>
      </c>
      <c r="D11489">
        <v>0</v>
      </c>
      <c r="E11489">
        <v>0</v>
      </c>
      <c r="F11489">
        <v>169</v>
      </c>
    </row>
    <row r="11490" spans="1:6" ht="12.75">
      <c r="A11490" s="2">
        <v>43880.168564814812</v>
      </c>
      <c r="B11490" t="str">
        <f>HYPERLINK("https://twitter.com/Percyathena","@Percyathena")</f>
        <v>@Percyathena</v>
      </c>
      <c r="C11490" t="s">
        <v>1407</v>
      </c>
      <c r="D11490">
        <v>902</v>
      </c>
      <c r="E11490">
        <v>0</v>
      </c>
      <c r="F11490">
        <v>848</v>
      </c>
    </row>
    <row r="11491" spans="1:6" ht="12.75">
      <c r="A11491" s="2">
        <v>43880.168414351851</v>
      </c>
      <c r="B11491" t="str">
        <f>HYPERLINK("https://twitter.com/Locrian13","@Locrian13")</f>
        <v>@Locrian13</v>
      </c>
      <c r="C11491" t="s">
        <v>6193</v>
      </c>
      <c r="D11491">
        <v>1</v>
      </c>
      <c r="E11491">
        <v>2</v>
      </c>
      <c r="F11491">
        <v>102</v>
      </c>
    </row>
    <row r="11492" spans="1:6" ht="12.75">
      <c r="A11492" s="2">
        <v>43880.168321759258</v>
      </c>
      <c r="B11492" t="str">
        <f>HYPERLINK("https://twitter.com/eroseathana","@eroseathana")</f>
        <v>@eroseathana</v>
      </c>
      <c r="C11492" t="s">
        <v>5982</v>
      </c>
      <c r="D11492">
        <v>65</v>
      </c>
      <c r="E11492">
        <v>0</v>
      </c>
      <c r="F11492">
        <v>32</v>
      </c>
    </row>
    <row r="11493" spans="1:6" ht="12.75">
      <c r="A11493" s="2">
        <v>43880.166689814811</v>
      </c>
      <c r="B11493" t="str">
        <f>HYPERLINK("https://twitter.com/TribunNew5","@TribunNew5")</f>
        <v>@TribunNew5</v>
      </c>
      <c r="C11493" t="s">
        <v>6194</v>
      </c>
      <c r="D11493">
        <v>0</v>
      </c>
      <c r="E11493">
        <v>0</v>
      </c>
      <c r="F11493">
        <v>520</v>
      </c>
    </row>
    <row r="11494" spans="1:6" ht="12.75">
      <c r="A11494" s="2">
        <v>43880.166666666672</v>
      </c>
      <c r="B11494" t="str">
        <f>HYPERLINK("https://twitter.com/GTVID_News","@GTVID_News")</f>
        <v>@GTVID_News</v>
      </c>
      <c r="C11494" t="s">
        <v>6195</v>
      </c>
      <c r="D11494">
        <v>0</v>
      </c>
      <c r="E11494">
        <v>0</v>
      </c>
      <c r="F11494">
        <v>10811</v>
      </c>
    </row>
    <row r="11495" spans="1:6" ht="12.75">
      <c r="A11495" s="2">
        <v>43880.164618055554</v>
      </c>
      <c r="B11495" t="str">
        <f>HYPERLINK("https://twitter.com/SyabMed","@SyabMed")</f>
        <v>@SyabMed</v>
      </c>
      <c r="C11495" t="s">
        <v>5644</v>
      </c>
      <c r="D11495">
        <v>332</v>
      </c>
      <c r="E11495">
        <v>0</v>
      </c>
      <c r="F11495">
        <v>803</v>
      </c>
    </row>
    <row r="11496" spans="1:6" ht="12.75">
      <c r="A11496" s="2">
        <v>43880.163148148145</v>
      </c>
      <c r="B11496" t="str">
        <f>HYPERLINK("https://twitter.com/banasspatiii","@banasspatiii")</f>
        <v>@banasspatiii</v>
      </c>
      <c r="C11496" t="s">
        <v>1407</v>
      </c>
      <c r="D11496">
        <v>878</v>
      </c>
      <c r="E11496">
        <v>0</v>
      </c>
      <c r="F11496">
        <v>552</v>
      </c>
    </row>
    <row r="11497" spans="1:6" ht="12.75">
      <c r="A11497" s="2">
        <v>43880.16128472222</v>
      </c>
      <c r="B11497" t="str">
        <f>HYPERLINK("https://twitter.com/BJZweir","@BJZweir")</f>
        <v>@BJZweir</v>
      </c>
      <c r="C11497" t="s">
        <v>2930</v>
      </c>
      <c r="D11497">
        <v>106</v>
      </c>
      <c r="E11497">
        <v>0</v>
      </c>
      <c r="F11497">
        <v>1101</v>
      </c>
    </row>
    <row r="11498" spans="1:6" ht="12.75">
      <c r="A11498" s="2">
        <v>43880.160011574073</v>
      </c>
      <c r="B11498" t="str">
        <f>HYPERLINK("https://twitter.com/ARISVIA","@ARISVIA")</f>
        <v>@ARISVIA</v>
      </c>
      <c r="C11498" t="s">
        <v>1407</v>
      </c>
      <c r="D11498">
        <v>878</v>
      </c>
      <c r="E11498">
        <v>0</v>
      </c>
      <c r="F11498">
        <v>1252</v>
      </c>
    </row>
    <row r="11499" spans="1:6" ht="12.75">
      <c r="A11499" s="2">
        <v>43880.159270833334</v>
      </c>
      <c r="B11499" t="str">
        <f>HYPERLINK("https://twitter.com/Wafa_Sofwan","@Wafa_Sofwan")</f>
        <v>@Wafa_Sofwan</v>
      </c>
      <c r="C11499" t="s">
        <v>6182</v>
      </c>
      <c r="D11499">
        <v>4</v>
      </c>
      <c r="E11499">
        <v>0</v>
      </c>
      <c r="F11499">
        <v>586</v>
      </c>
    </row>
    <row r="11500" spans="1:6" ht="12.75">
      <c r="A11500" s="2">
        <v>43880.158831018518</v>
      </c>
      <c r="B11500" t="str">
        <f>HYPERLINK("https://twitter.com/wisanggeni_084","@wisanggeni_084")</f>
        <v>@wisanggeni_084</v>
      </c>
      <c r="C11500" t="s">
        <v>6182</v>
      </c>
      <c r="D11500">
        <v>4</v>
      </c>
      <c r="E11500">
        <v>0</v>
      </c>
      <c r="F11500">
        <v>16111</v>
      </c>
    </row>
    <row r="11501" spans="1:6" ht="12.75">
      <c r="A11501" s="2">
        <v>43880.156956018516</v>
      </c>
      <c r="B11501" t="str">
        <f>HYPERLINK("https://twitter.com/Zhadainaa","@Zhadainaa")</f>
        <v>@Zhadainaa</v>
      </c>
      <c r="C11501" t="s">
        <v>1407</v>
      </c>
      <c r="D11501">
        <v>878</v>
      </c>
      <c r="E11501">
        <v>0</v>
      </c>
      <c r="F11501">
        <v>53</v>
      </c>
    </row>
    <row r="11502" spans="1:6" ht="12.75">
      <c r="A11502" s="2">
        <v>43880.156134259261</v>
      </c>
      <c r="B11502" t="str">
        <f>HYPERLINK("https://twitter.com/StalistS","@StalistS")</f>
        <v>@StalistS</v>
      </c>
      <c r="C11502" t="s">
        <v>6067</v>
      </c>
      <c r="D11502">
        <v>6</v>
      </c>
      <c r="E11502">
        <v>0</v>
      </c>
      <c r="F11502">
        <v>1802</v>
      </c>
    </row>
    <row r="11503" spans="1:6" ht="12.75">
      <c r="A11503" s="2">
        <v>43880.153645833328</v>
      </c>
      <c r="B11503" t="str">
        <f>HYPERLINK("https://twitter.com/baksotnpbalung","@baksotnpbalung")</f>
        <v>@baksotnpbalung</v>
      </c>
      <c r="C11503" t="s">
        <v>6032</v>
      </c>
      <c r="D11503">
        <v>849</v>
      </c>
      <c r="E11503">
        <v>0</v>
      </c>
      <c r="F11503">
        <v>80</v>
      </c>
    </row>
    <row r="11504" spans="1:6" ht="12.75">
      <c r="A11504" s="2">
        <v>43880.152847222227</v>
      </c>
      <c r="B11504" t="str">
        <f>HYPERLINK("https://twitter.com/Th_Genda","@Th_Genda")</f>
        <v>@Th_Genda</v>
      </c>
      <c r="C11504" t="s">
        <v>5644</v>
      </c>
      <c r="D11504">
        <v>332</v>
      </c>
      <c r="E11504">
        <v>0</v>
      </c>
      <c r="F11504">
        <v>250</v>
      </c>
    </row>
    <row r="11505" spans="1:6" ht="12.75">
      <c r="A11505" s="2">
        <v>43880.152731481481</v>
      </c>
      <c r="B11505" t="str">
        <f>HYPERLINK("https://twitter.com/EryKusuma4","@EryKusuma4")</f>
        <v>@EryKusuma4</v>
      </c>
      <c r="C11505" t="s">
        <v>5702</v>
      </c>
      <c r="D11505">
        <v>193</v>
      </c>
      <c r="E11505">
        <v>0</v>
      </c>
      <c r="F11505">
        <v>1094</v>
      </c>
    </row>
    <row r="11506" spans="1:6" ht="12.75">
      <c r="A11506" s="2">
        <v>43880.150057870371</v>
      </c>
      <c r="B11506" t="str">
        <f>HYPERLINK("https://twitter.com/MamaLegend1","@MamaLegend1")</f>
        <v>@MamaLegend1</v>
      </c>
      <c r="C11506" t="s">
        <v>6196</v>
      </c>
      <c r="D11506">
        <v>0</v>
      </c>
      <c r="E11506">
        <v>0</v>
      </c>
      <c r="F11506">
        <v>15</v>
      </c>
    </row>
    <row r="11507" spans="1:6" ht="12.75">
      <c r="A11507" s="2">
        <v>43880.149560185186</v>
      </c>
      <c r="B11507" t="str">
        <f>HYPERLINK("https://twitter.com/medcom_id","@medcom_id")</f>
        <v>@medcom_id</v>
      </c>
      <c r="C11507" t="s">
        <v>6197</v>
      </c>
      <c r="D11507">
        <v>0</v>
      </c>
      <c r="E11507">
        <v>0</v>
      </c>
      <c r="F11507">
        <v>18252</v>
      </c>
    </row>
    <row r="11508" spans="1:6" ht="12.75">
      <c r="A11508" s="2">
        <v>43880.149398148147</v>
      </c>
      <c r="B11508" t="str">
        <f>HYPERLINK("https://twitter.com/gulf_surfer","@gulf_surfer")</f>
        <v>@gulf_surfer</v>
      </c>
      <c r="C11508" t="s">
        <v>6198</v>
      </c>
      <c r="D11508">
        <v>0</v>
      </c>
      <c r="E11508">
        <v>0</v>
      </c>
      <c r="F11508">
        <v>75</v>
      </c>
    </row>
    <row r="11509" spans="1:6" ht="12.75">
      <c r="A11509" s="2">
        <v>43880.148726851854</v>
      </c>
      <c r="B11509" t="str">
        <f>HYPERLINK("https://twitter.com/oktorinaldoo","@oktorinaldoo")</f>
        <v>@oktorinaldoo</v>
      </c>
      <c r="C11509" t="s">
        <v>6032</v>
      </c>
      <c r="D11509">
        <v>849</v>
      </c>
      <c r="E11509">
        <v>0</v>
      </c>
      <c r="F11509">
        <v>65</v>
      </c>
    </row>
    <row r="11510" spans="1:6" ht="12.75">
      <c r="A11510" s="2">
        <v>43880.148113425923</v>
      </c>
      <c r="B11510" t="str">
        <f>HYPERLINK("https://twitter.com/riorudolf","@riorudolf")</f>
        <v>@riorudolf</v>
      </c>
      <c r="C11510" t="s">
        <v>2467</v>
      </c>
      <c r="D11510">
        <v>35</v>
      </c>
      <c r="E11510">
        <v>0</v>
      </c>
      <c r="F11510">
        <v>360</v>
      </c>
    </row>
    <row r="11511" spans="1:6" ht="12.75">
      <c r="A11511" s="2">
        <v>43880.147986111115</v>
      </c>
      <c r="B11511" t="str">
        <f>HYPERLINK("https://twitter.com/shaalmeiedm","@shaalmeiedm")</f>
        <v>@shaalmeiedm</v>
      </c>
      <c r="C11511" t="s">
        <v>2768</v>
      </c>
      <c r="D11511">
        <v>11</v>
      </c>
      <c r="E11511">
        <v>0</v>
      </c>
      <c r="F11511">
        <v>115</v>
      </c>
    </row>
    <row r="11512" spans="1:6" ht="12.75">
      <c r="A11512" s="2">
        <v>43880.147337962961</v>
      </c>
      <c r="B11512" t="str">
        <f>HYPERLINK("https://twitter.com/nlmprmt","@nlmprmt")</f>
        <v>@nlmprmt</v>
      </c>
      <c r="C11512" t="s">
        <v>2467</v>
      </c>
      <c r="D11512">
        <v>35</v>
      </c>
      <c r="E11512">
        <v>0</v>
      </c>
      <c r="F11512">
        <v>834</v>
      </c>
    </row>
    <row r="11513" spans="1:6" ht="12.75">
      <c r="A11513" s="2">
        <v>43880.144699074073</v>
      </c>
      <c r="B11513" t="str">
        <f>HYPERLINK("https://twitter.com/NumeroUnos86","@NumeroUnos86")</f>
        <v>@NumeroUnos86</v>
      </c>
      <c r="C11513" t="s">
        <v>6199</v>
      </c>
      <c r="D11513">
        <v>0</v>
      </c>
      <c r="E11513">
        <v>0</v>
      </c>
      <c r="F11513">
        <v>9</v>
      </c>
    </row>
    <row r="11514" spans="1:6" ht="12.75">
      <c r="A11514" s="2">
        <v>43880.142962962964</v>
      </c>
      <c r="B11514" t="str">
        <f>HYPERLINK("https://twitter.com/shevogues","@shevogues")</f>
        <v>@shevogues</v>
      </c>
      <c r="C11514" t="s">
        <v>6200</v>
      </c>
      <c r="D11514">
        <v>0</v>
      </c>
      <c r="E11514">
        <v>0</v>
      </c>
      <c r="F11514">
        <v>313</v>
      </c>
    </row>
    <row r="11515" spans="1:6" ht="12.75">
      <c r="A11515" s="2">
        <v>43880.141342592593</v>
      </c>
      <c r="B11515" t="str">
        <f>HYPERLINK("https://twitter.com/petitlalune","@petitlalune")</f>
        <v>@petitlalune</v>
      </c>
      <c r="C11515" t="s">
        <v>1407</v>
      </c>
      <c r="D11515">
        <v>878</v>
      </c>
      <c r="E11515">
        <v>0</v>
      </c>
      <c r="F11515">
        <v>39</v>
      </c>
    </row>
    <row r="11516" spans="1:6" ht="12.75">
      <c r="A11516" s="2">
        <v>43880.140393518523</v>
      </c>
      <c r="B11516" t="str">
        <f>HYPERLINK("https://twitter.com/sikecilmarmut","@sikecilmarmut")</f>
        <v>@sikecilmarmut</v>
      </c>
      <c r="C11516" t="s">
        <v>6201</v>
      </c>
      <c r="D11516">
        <v>565</v>
      </c>
      <c r="E11516">
        <v>0</v>
      </c>
      <c r="F11516">
        <v>2230</v>
      </c>
    </row>
    <row r="11517" spans="1:6" ht="12.75">
      <c r="A11517" s="2">
        <v>43880.1403125</v>
      </c>
      <c r="B11517" t="str">
        <f>HYPERLINK("https://twitter.com/BekasiBanget","@BekasiBanget")</f>
        <v>@BekasiBanget</v>
      </c>
      <c r="C11517" t="s">
        <v>6202</v>
      </c>
      <c r="D11517">
        <v>0</v>
      </c>
      <c r="E11517">
        <v>1</v>
      </c>
      <c r="F11517">
        <v>32520</v>
      </c>
    </row>
    <row r="11518" spans="1:6" ht="12.75">
      <c r="A11518" s="2">
        <v>43880.137685185182</v>
      </c>
      <c r="B11518" t="str">
        <f>HYPERLINK("https://twitter.com/MoImSh","@MoImSh")</f>
        <v>@MoImSh</v>
      </c>
      <c r="C11518" t="s">
        <v>2768</v>
      </c>
      <c r="D11518">
        <v>11</v>
      </c>
      <c r="E11518">
        <v>0</v>
      </c>
      <c r="F11518">
        <v>203</v>
      </c>
    </row>
    <row r="11519" spans="1:6" ht="12.75">
      <c r="A11519" s="2">
        <v>43880.13758101852</v>
      </c>
      <c r="B11519" t="str">
        <f>HYPERLINK("https://twitter.com/Rahmaan2019","@Rahmaan2019")</f>
        <v>@Rahmaan2019</v>
      </c>
      <c r="C11519" t="s">
        <v>2768</v>
      </c>
      <c r="D11519">
        <v>11</v>
      </c>
      <c r="E11519">
        <v>0</v>
      </c>
      <c r="F11519">
        <v>24</v>
      </c>
    </row>
    <row r="11520" spans="1:6" ht="12.75">
      <c r="A11520" s="2">
        <v>43880.137337962966</v>
      </c>
      <c r="B11520" t="str">
        <f>HYPERLINK("https://twitter.com/mayank1999s","@mayank1999s")</f>
        <v>@mayank1999s</v>
      </c>
      <c r="C11520" t="s">
        <v>6203</v>
      </c>
      <c r="D11520">
        <v>1</v>
      </c>
      <c r="E11520">
        <v>0</v>
      </c>
      <c r="F11520">
        <v>429</v>
      </c>
    </row>
    <row r="11521" spans="1:6" ht="12.75">
      <c r="A11521" s="2">
        <v>43880.137256944443</v>
      </c>
      <c r="B11521" t="str">
        <f t="shared" ref="B11521:B11522" si="205">HYPERLINK("https://twitter.com/justapootato","@justapootato")</f>
        <v>@justapootato</v>
      </c>
      <c r="C11521" t="s">
        <v>2467</v>
      </c>
      <c r="D11521">
        <v>35</v>
      </c>
      <c r="E11521">
        <v>0</v>
      </c>
      <c r="F11521">
        <v>69</v>
      </c>
    </row>
    <row r="11522" spans="1:6" ht="12.75">
      <c r="A11522" s="2">
        <v>43880.137199074074</v>
      </c>
      <c r="B11522" t="str">
        <f t="shared" si="205"/>
        <v>@justapootato</v>
      </c>
      <c r="C11522" t="s">
        <v>1407</v>
      </c>
      <c r="D11522">
        <v>878</v>
      </c>
      <c r="E11522">
        <v>0</v>
      </c>
      <c r="F11522">
        <v>69</v>
      </c>
    </row>
    <row r="11523" spans="1:6" ht="12.75">
      <c r="A11523" s="2">
        <v>43880.137175925927</v>
      </c>
      <c r="B11523" t="str">
        <f>HYPERLINK("https://twitter.com/halimprtm","@halimprtm")</f>
        <v>@halimprtm</v>
      </c>
      <c r="C11523" t="s">
        <v>1407</v>
      </c>
      <c r="D11523">
        <v>878</v>
      </c>
      <c r="E11523">
        <v>0</v>
      </c>
      <c r="F11523">
        <v>15</v>
      </c>
    </row>
    <row r="11524" spans="1:6" ht="12.75">
      <c r="A11524" s="2">
        <v>43880.13449074074</v>
      </c>
      <c r="B11524" t="str">
        <f>HYPERLINK("https://twitter.com/jeydi___","@jeydi___")</f>
        <v>@jeydi___</v>
      </c>
      <c r="C11524" t="s">
        <v>5644</v>
      </c>
      <c r="D11524">
        <v>332</v>
      </c>
      <c r="E11524">
        <v>0</v>
      </c>
      <c r="F11524">
        <v>208</v>
      </c>
    </row>
    <row r="11525" spans="1:6" ht="12.75">
      <c r="A11525" s="2">
        <v>43880.134155092594</v>
      </c>
      <c r="B11525" t="str">
        <f>HYPERLINK("https://twitter.com/sschviper","@sschviper")</f>
        <v>@sschviper</v>
      </c>
      <c r="C11525" t="s">
        <v>2768</v>
      </c>
      <c r="D11525">
        <v>11</v>
      </c>
      <c r="E11525">
        <v>0</v>
      </c>
      <c r="F11525">
        <v>232</v>
      </c>
    </row>
    <row r="11526" spans="1:6" ht="12.75">
      <c r="A11526" s="2">
        <v>43880.133796296301</v>
      </c>
      <c r="B11526" t="str">
        <f>HYPERLINK("https://twitter.com/Bentir16","@Bentir16")</f>
        <v>@Bentir16</v>
      </c>
      <c r="C11526" t="s">
        <v>6204</v>
      </c>
      <c r="D11526">
        <v>1</v>
      </c>
      <c r="E11526">
        <v>0</v>
      </c>
      <c r="F11526">
        <v>533</v>
      </c>
    </row>
    <row r="11527" spans="1:6" ht="12.75">
      <c r="A11527" s="2">
        <v>43880.133611111116</v>
      </c>
      <c r="B11527" t="str">
        <f>HYPERLINK("https://twitter.com/saefudin_zuhrii","@saefudin_zuhrii")</f>
        <v>@saefudin_zuhrii</v>
      </c>
      <c r="C11527" t="s">
        <v>6032</v>
      </c>
      <c r="D11527">
        <v>849</v>
      </c>
      <c r="E11527">
        <v>0</v>
      </c>
      <c r="F11527">
        <v>194</v>
      </c>
    </row>
    <row r="11528" spans="1:6" ht="12.75">
      <c r="A11528" s="2">
        <v>43880.132615740746</v>
      </c>
      <c r="B11528" t="str">
        <f>HYPERLINK("https://twitter.com/dodypambudhi","@dodypambudhi")</f>
        <v>@dodypambudhi</v>
      </c>
      <c r="C11528" t="s">
        <v>2467</v>
      </c>
      <c r="D11528">
        <v>35</v>
      </c>
      <c r="E11528">
        <v>0</v>
      </c>
      <c r="F11528">
        <v>560</v>
      </c>
    </row>
    <row r="11529" spans="1:6" ht="12.75">
      <c r="A11529" s="2">
        <v>43880.132187499999</v>
      </c>
      <c r="B11529" t="str">
        <f>HYPERLINK("https://twitter.com/rakayuswanda","@rakayuswanda")</f>
        <v>@rakayuswanda</v>
      </c>
      <c r="C11529" t="s">
        <v>5642</v>
      </c>
      <c r="D11529">
        <v>251</v>
      </c>
      <c r="E11529">
        <v>0</v>
      </c>
      <c r="F11529">
        <v>519</v>
      </c>
    </row>
    <row r="11530" spans="1:6" ht="12.75">
      <c r="A11530" s="2">
        <v>43880.130682870367</v>
      </c>
      <c r="B11530" t="str">
        <f>HYPERLINK("https://twitter.com/BrandenBernabeu","@BrandenBernabeu")</f>
        <v>@BrandenBernabeu</v>
      </c>
      <c r="C11530" t="s">
        <v>5702</v>
      </c>
      <c r="D11530">
        <v>193</v>
      </c>
      <c r="E11530">
        <v>0</v>
      </c>
      <c r="F11530">
        <v>1280</v>
      </c>
    </row>
    <row r="11531" spans="1:6" ht="12.75">
      <c r="A11531" s="2">
        <v>43880.129780092597</v>
      </c>
      <c r="B11531" t="str">
        <f>HYPERLINK("https://twitter.com/YohanesAndrePe1","@YohanesAndrePe1")</f>
        <v>@YohanesAndrePe1</v>
      </c>
      <c r="C11531" t="s">
        <v>1407</v>
      </c>
      <c r="D11531">
        <v>878</v>
      </c>
      <c r="E11531">
        <v>0</v>
      </c>
      <c r="F11531">
        <v>9</v>
      </c>
    </row>
    <row r="11532" spans="1:6" ht="12.75">
      <c r="A11532" s="2">
        <v>43880.127291666664</v>
      </c>
      <c r="B11532" t="str">
        <f>HYPERLINK("https://twitter.com/TjengSylvia","@TjengSylvia")</f>
        <v>@TjengSylvia</v>
      </c>
      <c r="C11532" t="s">
        <v>6205</v>
      </c>
      <c r="D11532">
        <v>0</v>
      </c>
      <c r="E11532">
        <v>0</v>
      </c>
      <c r="F11532">
        <v>104</v>
      </c>
    </row>
    <row r="11533" spans="1:6" ht="12.75">
      <c r="A11533" s="2">
        <v>43880.12663194444</v>
      </c>
      <c r="B11533" t="str">
        <f>HYPERLINK("https://twitter.com/andriiiy_","@andriiiy_")</f>
        <v>@andriiiy_</v>
      </c>
      <c r="C11533" t="s">
        <v>1407</v>
      </c>
      <c r="D11533">
        <v>878</v>
      </c>
      <c r="E11533">
        <v>0</v>
      </c>
      <c r="F11533">
        <v>112</v>
      </c>
    </row>
    <row r="11534" spans="1:6" ht="12.75">
      <c r="A11534" s="2">
        <v>43880.126296296294</v>
      </c>
      <c r="B11534" t="str">
        <f>HYPERLINK("https://twitter.com/RumahJokowi","@RumahJokowi")</f>
        <v>@RumahJokowi</v>
      </c>
      <c r="C11534" t="s">
        <v>6206</v>
      </c>
      <c r="D11534">
        <v>43</v>
      </c>
      <c r="E11534">
        <v>0</v>
      </c>
      <c r="F11534">
        <v>6895</v>
      </c>
    </row>
    <row r="11535" spans="1:6" ht="12.75">
      <c r="A11535" s="2">
        <v>43880.126215277778</v>
      </c>
      <c r="B11535" t="str">
        <f>HYPERLINK("https://twitter.com/dinierikaaa","@dinierikaaa")</f>
        <v>@dinierikaaa</v>
      </c>
      <c r="C11535" t="s">
        <v>6207</v>
      </c>
      <c r="D11535">
        <v>55</v>
      </c>
      <c r="E11535">
        <v>0</v>
      </c>
      <c r="F11535">
        <v>48</v>
      </c>
    </row>
    <row r="11536" spans="1:6" ht="12.75">
      <c r="A11536" s="2">
        <v>43880.126018518524</v>
      </c>
      <c r="B11536" t="str">
        <f>HYPERLINK("https://twitter.com/RivaldoTrisandi","@RivaldoTrisandi")</f>
        <v>@RivaldoTrisandi</v>
      </c>
      <c r="C11536" t="s">
        <v>1407</v>
      </c>
      <c r="D11536">
        <v>867</v>
      </c>
      <c r="E11536">
        <v>0</v>
      </c>
      <c r="F11536">
        <v>328</v>
      </c>
    </row>
    <row r="11537" spans="1:6" ht="12.75">
      <c r="A11537" s="2">
        <v>43880.125578703708</v>
      </c>
      <c r="B11537" t="str">
        <f>HYPERLINK("https://twitter.com/shintaeffendi","@shintaeffendi")</f>
        <v>@shintaeffendi</v>
      </c>
      <c r="C11537" t="s">
        <v>5644</v>
      </c>
      <c r="D11537">
        <v>327</v>
      </c>
      <c r="E11537">
        <v>0</v>
      </c>
      <c r="F11537">
        <v>7871</v>
      </c>
    </row>
    <row r="11538" spans="1:6" ht="12.75">
      <c r="A11538" s="2">
        <v>43880.1253587963</v>
      </c>
      <c r="B11538" t="str">
        <f>HYPERLINK("https://twitter.com/agung_nusanjaya","@agung_nusanjaya")</f>
        <v>@agung_nusanjaya</v>
      </c>
      <c r="C11538" t="s">
        <v>6208</v>
      </c>
      <c r="D11538">
        <v>0</v>
      </c>
      <c r="E11538">
        <v>0</v>
      </c>
      <c r="F11538">
        <v>755</v>
      </c>
    </row>
    <row r="11539" spans="1:6" ht="12.75">
      <c r="A11539" s="2">
        <v>43880.125162037039</v>
      </c>
      <c r="B11539" t="str">
        <f>HYPERLINK("https://twitter.com/RumahJokowi","@RumahJokowi")</f>
        <v>@RumahJokowi</v>
      </c>
      <c r="C11539" t="s">
        <v>6151</v>
      </c>
      <c r="D11539">
        <v>22</v>
      </c>
      <c r="E11539">
        <v>0</v>
      </c>
      <c r="F11539">
        <v>6895</v>
      </c>
    </row>
    <row r="11540" spans="1:6" ht="12.75">
      <c r="A11540" s="2">
        <v>43880.125046296293</v>
      </c>
      <c r="B11540" t="str">
        <f>HYPERLINK("https://twitter.com/TribunNew5","@TribunNew5")</f>
        <v>@TribunNew5</v>
      </c>
      <c r="C11540" t="s">
        <v>6209</v>
      </c>
      <c r="D11540">
        <v>0</v>
      </c>
      <c r="E11540">
        <v>0</v>
      </c>
      <c r="F11540">
        <v>520</v>
      </c>
    </row>
    <row r="11541" spans="1:6" ht="12.75">
      <c r="A11541" s="2">
        <v>43880.124699074076</v>
      </c>
      <c r="B11541" t="str">
        <f>HYPERLINK("https://twitter.com/ahmed7adnan","@ahmed7adnan")</f>
        <v>@ahmed7adnan</v>
      </c>
      <c r="C11541" t="s">
        <v>2768</v>
      </c>
      <c r="D11541">
        <v>7</v>
      </c>
      <c r="E11541">
        <v>0</v>
      </c>
      <c r="F11541">
        <v>139</v>
      </c>
    </row>
    <row r="11542" spans="1:6" ht="12.75">
      <c r="A11542" s="2">
        <v>43880.124178240745</v>
      </c>
      <c r="B11542" t="str">
        <f>HYPERLINK("https://twitter.com/cendoldawetxger","@cendoldawetxger")</f>
        <v>@cendoldawetxger</v>
      </c>
      <c r="C11542" t="s">
        <v>6210</v>
      </c>
      <c r="D11542">
        <v>0</v>
      </c>
      <c r="E11542">
        <v>0</v>
      </c>
      <c r="F11542">
        <v>90</v>
      </c>
    </row>
    <row r="11543" spans="1:6" ht="12.75">
      <c r="A11543" s="2">
        <v>43880.124016203699</v>
      </c>
      <c r="B11543" t="str">
        <f>HYPERLINK("https://twitter.com/milkykookiss","@milkykookiss")</f>
        <v>@milkykookiss</v>
      </c>
      <c r="C11543" t="s">
        <v>6030</v>
      </c>
      <c r="D11543">
        <v>27</v>
      </c>
      <c r="E11543">
        <v>0</v>
      </c>
      <c r="F11543">
        <v>662</v>
      </c>
    </row>
    <row r="11544" spans="1:6" ht="12.75">
      <c r="A11544" s="2">
        <v>43880.123912037037</v>
      </c>
      <c r="B11544" t="str">
        <f>HYPERLINK("https://twitter.com/bravobroer25","@bravobroer25")</f>
        <v>@bravobroer25</v>
      </c>
      <c r="C11544" t="s">
        <v>3604</v>
      </c>
      <c r="D11544">
        <v>424</v>
      </c>
      <c r="E11544">
        <v>0</v>
      </c>
      <c r="F11544">
        <v>54</v>
      </c>
    </row>
    <row r="11545" spans="1:6" ht="12.75">
      <c r="A11545" s="2">
        <v>43880.122800925921</v>
      </c>
      <c r="B11545" t="str">
        <f>HYPERLINK("https://twitter.com/jailamshah","@jailamshah")</f>
        <v>@jailamshah</v>
      </c>
      <c r="C11545" t="s">
        <v>2768</v>
      </c>
      <c r="D11545">
        <v>7</v>
      </c>
      <c r="E11545">
        <v>0</v>
      </c>
      <c r="F11545">
        <v>174</v>
      </c>
    </row>
    <row r="11546" spans="1:6" ht="12.75">
      <c r="A11546" s="2">
        <v>43880.121979166666</v>
      </c>
      <c r="B11546" t="str">
        <f>HYPERLINK("https://twitter.com/NHSStaffNoDeal","@NHSStaffNoDeal")</f>
        <v>@NHSStaffNoDeal</v>
      </c>
      <c r="C11546" t="s">
        <v>6184</v>
      </c>
      <c r="D11546">
        <v>2</v>
      </c>
      <c r="E11546">
        <v>0</v>
      </c>
      <c r="F11546">
        <v>225</v>
      </c>
    </row>
    <row r="11547" spans="1:6" ht="12.75">
      <c r="A11547" s="2">
        <v>43880.121493055558</v>
      </c>
      <c r="B11547" t="str">
        <f>HYPERLINK("https://twitter.com/estehpanasss","@estehpanasss")</f>
        <v>@estehpanasss</v>
      </c>
      <c r="C11547" t="s">
        <v>1407</v>
      </c>
      <c r="D11547">
        <v>867</v>
      </c>
      <c r="E11547">
        <v>0</v>
      </c>
      <c r="F11547">
        <v>320</v>
      </c>
    </row>
    <row r="11548" spans="1:6" ht="12.75">
      <c r="A11548" s="2">
        <v>43880.121238425927</v>
      </c>
      <c r="B11548" t="str">
        <f>HYPERLINK("https://twitter.com/TheRayBellamy","@TheRayBellamy")</f>
        <v>@TheRayBellamy</v>
      </c>
      <c r="C11548" t="s">
        <v>1407</v>
      </c>
      <c r="D11548">
        <v>867</v>
      </c>
      <c r="E11548">
        <v>0</v>
      </c>
      <c r="F11548">
        <v>225</v>
      </c>
    </row>
    <row r="11549" spans="1:6" ht="12.75">
      <c r="A11549" s="2">
        <v>43880.121168981481</v>
      </c>
      <c r="B11549" t="str">
        <f>HYPERLINK("https://twitter.com/MissDerpDark","@MissDerpDark")</f>
        <v>@MissDerpDark</v>
      </c>
      <c r="C11549" t="s">
        <v>1920</v>
      </c>
      <c r="D11549">
        <v>194</v>
      </c>
      <c r="E11549">
        <v>0</v>
      </c>
      <c r="F11549">
        <v>550</v>
      </c>
    </row>
    <row r="11550" spans="1:6" ht="12.75">
      <c r="A11550" s="2">
        <v>43880.118877314817</v>
      </c>
      <c r="B11550" t="str">
        <f>HYPERLINK("https://twitter.com/prayogaal45","@prayogaal45")</f>
        <v>@prayogaal45</v>
      </c>
      <c r="C11550" t="s">
        <v>6211</v>
      </c>
      <c r="D11550">
        <v>0</v>
      </c>
      <c r="E11550">
        <v>0</v>
      </c>
      <c r="F11550">
        <v>0</v>
      </c>
    </row>
    <row r="11551" spans="1:6" ht="12.75">
      <c r="A11551" s="2">
        <v>43880.117766203708</v>
      </c>
      <c r="B11551" t="str">
        <f>HYPERLINK("https://twitter.com/MissDerpDark","@MissDerpDark")</f>
        <v>@MissDerpDark</v>
      </c>
      <c r="C11551" t="s">
        <v>6212</v>
      </c>
      <c r="D11551">
        <v>23</v>
      </c>
      <c r="E11551">
        <v>0</v>
      </c>
      <c r="F11551">
        <v>550</v>
      </c>
    </row>
    <row r="11552" spans="1:6" ht="12.75">
      <c r="A11552" s="2">
        <v>43880.117210648154</v>
      </c>
      <c r="B11552" t="str">
        <f>HYPERLINK("https://twitter.com/Concern09205764","@Concern09205764")</f>
        <v>@Concern09205764</v>
      </c>
      <c r="C11552" t="s">
        <v>2768</v>
      </c>
      <c r="D11552">
        <v>7</v>
      </c>
      <c r="E11552">
        <v>0</v>
      </c>
      <c r="F11552">
        <v>10</v>
      </c>
    </row>
    <row r="11553" spans="1:6" ht="12.75">
      <c r="A11553" s="2">
        <v>43880.114293981482</v>
      </c>
      <c r="B11553" t="str">
        <f>HYPERLINK("https://twitter.com/Disuruangel","@Disuruangel")</f>
        <v>@Disuruangel</v>
      </c>
      <c r="C11553" t="s">
        <v>6213</v>
      </c>
      <c r="D11553">
        <v>0</v>
      </c>
      <c r="E11553">
        <v>0</v>
      </c>
      <c r="F11553">
        <v>412</v>
      </c>
    </row>
    <row r="11554" spans="1:6" ht="12.75">
      <c r="A11554" s="2">
        <v>43880.114062499997</v>
      </c>
      <c r="B11554" t="str">
        <f>HYPERLINK("https://twitter.com/filleyo","@filleyo")</f>
        <v>@filleyo</v>
      </c>
      <c r="C11554" t="s">
        <v>2768</v>
      </c>
      <c r="D11554">
        <v>7</v>
      </c>
      <c r="E11554">
        <v>0</v>
      </c>
      <c r="F11554">
        <v>8</v>
      </c>
    </row>
    <row r="11555" spans="1:6" ht="12.75">
      <c r="A11555" s="2">
        <v>43880.113449074073</v>
      </c>
      <c r="B11555" t="str">
        <f>HYPERLINK("https://twitter.com/ryfryk","@ryfryk")</f>
        <v>@ryfryk</v>
      </c>
      <c r="C11555" t="s">
        <v>2768</v>
      </c>
      <c r="D11555">
        <v>7</v>
      </c>
      <c r="E11555">
        <v>0</v>
      </c>
      <c r="F11555">
        <v>1207</v>
      </c>
    </row>
    <row r="11556" spans="1:6" ht="12.75">
      <c r="A11556" s="2">
        <v>43880.112986111111</v>
      </c>
      <c r="B11556" t="str">
        <f>HYPERLINK("https://twitter.com/SarifS20","@SarifS20")</f>
        <v>@SarifS20</v>
      </c>
      <c r="C11556" t="s">
        <v>6214</v>
      </c>
      <c r="D11556">
        <v>0</v>
      </c>
      <c r="E11556">
        <v>0</v>
      </c>
      <c r="F11556">
        <v>0</v>
      </c>
    </row>
    <row r="11557" spans="1:6" ht="12.75">
      <c r="A11557" s="2">
        <v>43880.112361111111</v>
      </c>
      <c r="B11557" t="str">
        <f>HYPERLINK("https://twitter.com/libshitslayer","@libshitslayer")</f>
        <v>@libshitslayer</v>
      </c>
      <c r="C11557" t="s">
        <v>2768</v>
      </c>
      <c r="D11557">
        <v>7</v>
      </c>
      <c r="E11557">
        <v>0</v>
      </c>
      <c r="F11557">
        <v>1229</v>
      </c>
    </row>
    <row r="11558" spans="1:6" ht="12.75">
      <c r="A11558" s="2">
        <v>43880.109571759254</v>
      </c>
      <c r="B11558" t="str">
        <f>HYPERLINK("https://twitter.com/sscomp32","@sscomp32")</f>
        <v>@sscomp32</v>
      </c>
      <c r="C11558" t="s">
        <v>6186</v>
      </c>
      <c r="D11558">
        <v>4</v>
      </c>
      <c r="E11558">
        <v>0</v>
      </c>
      <c r="F11558">
        <v>661</v>
      </c>
    </row>
    <row r="11559" spans="1:6" ht="12.75">
      <c r="A11559" s="2">
        <v>43880.108912037038</v>
      </c>
      <c r="B11559" t="str">
        <f>HYPERLINK("https://twitter.com/AlokJai65975914","@AlokJai65975914")</f>
        <v>@AlokJai65975914</v>
      </c>
      <c r="C11559" t="s">
        <v>6186</v>
      </c>
      <c r="D11559">
        <v>4</v>
      </c>
      <c r="E11559">
        <v>0</v>
      </c>
      <c r="F11559">
        <v>368</v>
      </c>
    </row>
    <row r="11560" spans="1:6" ht="12.75">
      <c r="A11560" s="2">
        <v>43880.108773148153</v>
      </c>
      <c r="B11560" t="str">
        <f>HYPERLINK("https://twitter.com/Aabhas24","@Aabhas24")</f>
        <v>@Aabhas24</v>
      </c>
      <c r="C11560" t="s">
        <v>6186</v>
      </c>
      <c r="D11560">
        <v>4</v>
      </c>
      <c r="E11560">
        <v>0</v>
      </c>
      <c r="F11560">
        <v>28391</v>
      </c>
    </row>
    <row r="11561" spans="1:6" ht="12.75">
      <c r="A11561" s="2">
        <v>43880.107141203705</v>
      </c>
      <c r="B11561" t="str">
        <f>HYPERLINK("https://twitter.com/azkhmrun","@azkhmrun")</f>
        <v>@azkhmrun</v>
      </c>
      <c r="C11561" t="s">
        <v>6215</v>
      </c>
      <c r="D11561">
        <v>0</v>
      </c>
      <c r="E11561">
        <v>0</v>
      </c>
      <c r="F11561">
        <v>1</v>
      </c>
    </row>
    <row r="11562" spans="1:6" ht="12.75">
      <c r="A11562" s="2">
        <v>43880.106805555552</v>
      </c>
      <c r="B11562" t="str">
        <f>HYPERLINK("https://twitter.com/spiedspy","@spiedspy")</f>
        <v>@spiedspy</v>
      </c>
      <c r="C11562" t="s">
        <v>1407</v>
      </c>
      <c r="D11562">
        <v>867</v>
      </c>
      <c r="E11562">
        <v>0</v>
      </c>
      <c r="F11562">
        <v>239</v>
      </c>
    </row>
    <row r="11563" spans="1:6" ht="12.75">
      <c r="A11563" s="2">
        <v>43880.105960648143</v>
      </c>
      <c r="B11563" t="str">
        <f>HYPERLINK("https://twitter.com/surya_kan","@surya_kan")</f>
        <v>@surya_kan</v>
      </c>
      <c r="C11563" t="s">
        <v>6216</v>
      </c>
      <c r="D11563">
        <v>4</v>
      </c>
      <c r="E11563">
        <v>8</v>
      </c>
      <c r="F11563">
        <v>15</v>
      </c>
    </row>
    <row r="11564" spans="1:6" ht="12.75">
      <c r="A11564" s="2">
        <v>43880.105833333335</v>
      </c>
      <c r="B11564" t="str">
        <f>HYPERLINK("https://twitter.com/ahmedsawaad","@ahmedsawaad")</f>
        <v>@ahmedsawaad</v>
      </c>
      <c r="C11564" t="s">
        <v>2768</v>
      </c>
      <c r="D11564">
        <v>7</v>
      </c>
      <c r="E11564">
        <v>0</v>
      </c>
      <c r="F11564">
        <v>598</v>
      </c>
    </row>
    <row r="11565" spans="1:6" ht="12.75">
      <c r="A11565" s="2">
        <v>43880.105682870373</v>
      </c>
      <c r="B11565" t="str">
        <f>HYPERLINK("https://twitter.com/RahmatAshari1","@RahmatAshari1")</f>
        <v>@RahmatAshari1</v>
      </c>
      <c r="C11565" t="s">
        <v>2467</v>
      </c>
      <c r="D11565">
        <v>29</v>
      </c>
      <c r="E11565">
        <v>0</v>
      </c>
      <c r="F11565">
        <v>484</v>
      </c>
    </row>
    <row r="11566" spans="1:6" ht="12.75">
      <c r="A11566" s="2">
        <v>43880.105439814812</v>
      </c>
      <c r="B11566" t="str">
        <f>HYPERLINK("https://twitter.com/nurulshanti","@nurulshanti")</f>
        <v>@nurulshanti</v>
      </c>
      <c r="C11566" t="s">
        <v>6067</v>
      </c>
      <c r="D11566">
        <v>4</v>
      </c>
      <c r="E11566">
        <v>0</v>
      </c>
      <c r="F11566">
        <v>2095</v>
      </c>
    </row>
    <row r="11567" spans="1:6" ht="12.75">
      <c r="A11567" s="2">
        <v>43880.105173611111</v>
      </c>
      <c r="B11567" t="str">
        <f>HYPERLINK("https://twitter.com/fuckriminal","@fuckriminal")</f>
        <v>@fuckriminal</v>
      </c>
      <c r="C11567" t="s">
        <v>6217</v>
      </c>
      <c r="D11567">
        <v>0</v>
      </c>
      <c r="E11567">
        <v>0</v>
      </c>
      <c r="F11567">
        <v>77</v>
      </c>
    </row>
    <row r="11568" spans="1:6" ht="12.75">
      <c r="A11568" s="2">
        <v>43880.105115740742</v>
      </c>
      <c r="B11568" t="str">
        <f>HYPERLINK("https://twitter.com/MoosaShifau","@MoosaShifau")</f>
        <v>@MoosaShifau</v>
      </c>
      <c r="C11568" t="s">
        <v>6218</v>
      </c>
      <c r="D11568">
        <v>7</v>
      </c>
      <c r="E11568">
        <v>14</v>
      </c>
      <c r="F11568">
        <v>2859</v>
      </c>
    </row>
    <row r="11569" spans="1:6" ht="12.75">
      <c r="A11569" s="2">
        <v>43880.104849537034</v>
      </c>
      <c r="B11569" t="str">
        <f>HYPERLINK("https://twitter.com/ZainalAriefin15","@ZainalAriefin15")</f>
        <v>@ZainalAriefin15</v>
      </c>
      <c r="C11569" t="s">
        <v>6219</v>
      </c>
      <c r="D11569">
        <v>0</v>
      </c>
      <c r="E11569">
        <v>0</v>
      </c>
      <c r="F11569">
        <v>143</v>
      </c>
    </row>
    <row r="11570" spans="1:6" ht="12.75">
      <c r="A11570" s="2">
        <v>43880.104247685187</v>
      </c>
      <c r="B11570" t="str">
        <f>HYPERLINK("https://twitter.com/duqunberanaq","@duqunberanaq")</f>
        <v>@duqunberanaq</v>
      </c>
      <c r="C11570" t="s">
        <v>1407</v>
      </c>
      <c r="D11570">
        <v>867</v>
      </c>
      <c r="E11570">
        <v>0</v>
      </c>
      <c r="F11570">
        <v>487</v>
      </c>
    </row>
    <row r="11571" spans="1:6" ht="12.75">
      <c r="A11571" s="2">
        <v>43880.10355324074</v>
      </c>
      <c r="B11571" t="str">
        <f>HYPERLINK("https://twitter.com/hasarasyid","@hasarasyid")</f>
        <v>@hasarasyid</v>
      </c>
      <c r="C11571" t="s">
        <v>1407</v>
      </c>
      <c r="D11571">
        <v>867</v>
      </c>
      <c r="E11571">
        <v>0</v>
      </c>
      <c r="F11571">
        <v>414</v>
      </c>
    </row>
    <row r="11572" spans="1:6" ht="12.75">
      <c r="A11572" s="2">
        <v>43880.102013888885</v>
      </c>
      <c r="B11572" t="str">
        <f>HYPERLINK("https://twitter.com/dausinne","@dausinne")</f>
        <v>@dausinne</v>
      </c>
      <c r="C11572" t="s">
        <v>6220</v>
      </c>
      <c r="D11572">
        <v>0</v>
      </c>
      <c r="E11572">
        <v>0</v>
      </c>
      <c r="F11572">
        <v>611</v>
      </c>
    </row>
    <row r="11573" spans="1:6" ht="12.75">
      <c r="A11573" s="2">
        <v>43880.101469907408</v>
      </c>
      <c r="B11573" t="str">
        <f>HYPERLINK("https://twitter.com/Bamin_Achmad","@Bamin_Achmad")</f>
        <v>@Bamin_Achmad</v>
      </c>
      <c r="C11573" t="s">
        <v>6221</v>
      </c>
      <c r="D11573">
        <v>15</v>
      </c>
      <c r="E11573">
        <v>0</v>
      </c>
      <c r="F11573">
        <v>2773</v>
      </c>
    </row>
    <row r="11574" spans="1:6" ht="12.75">
      <c r="A11574" s="2">
        <v>43880.100486111114</v>
      </c>
      <c r="B11574" t="str">
        <f>HYPERLINK("https://twitter.com/boctosz","@boctosz")</f>
        <v>@boctosz</v>
      </c>
      <c r="C11574" t="s">
        <v>6032</v>
      </c>
      <c r="D11574">
        <v>846</v>
      </c>
      <c r="E11574">
        <v>0</v>
      </c>
      <c r="F11574">
        <v>348</v>
      </c>
    </row>
    <row r="11575" spans="1:6" ht="12.75">
      <c r="A11575" s="2">
        <v>43880.098587962959</v>
      </c>
      <c r="B11575" t="str">
        <f>HYPERLINK("https://twitter.com/Riskiturrahman","@Riskiturrahman")</f>
        <v>@Riskiturrahman</v>
      </c>
      <c r="C11575" t="s">
        <v>6032</v>
      </c>
      <c r="D11575">
        <v>846</v>
      </c>
      <c r="E11575">
        <v>0</v>
      </c>
      <c r="F11575">
        <v>38</v>
      </c>
    </row>
    <row r="11576" spans="1:6" ht="12.75">
      <c r="A11576" s="2">
        <v>43880.09778935185</v>
      </c>
      <c r="B11576" t="str">
        <f>HYPERLINK("https://twitter.com/owlettee","@owlettee")</f>
        <v>@owlettee</v>
      </c>
      <c r="C11576" t="s">
        <v>6222</v>
      </c>
      <c r="D11576">
        <v>1</v>
      </c>
      <c r="E11576">
        <v>0</v>
      </c>
      <c r="F11576">
        <v>405</v>
      </c>
    </row>
    <row r="11577" spans="1:6" ht="12.75">
      <c r="A11577" s="2">
        <v>43880.095173611116</v>
      </c>
      <c r="B11577" t="str">
        <f>HYPERLINK("https://twitter.com/IvanRT05","@IvanRT05")</f>
        <v>@IvanRT05</v>
      </c>
      <c r="C11577" t="s">
        <v>6223</v>
      </c>
      <c r="D11577">
        <v>0</v>
      </c>
      <c r="E11577">
        <v>0</v>
      </c>
      <c r="F11577">
        <v>650</v>
      </c>
    </row>
    <row r="11578" spans="1:6" ht="12.75">
      <c r="A11578" s="2">
        <v>43880.094548611116</v>
      </c>
      <c r="B11578" t="str">
        <f>HYPERLINK("https://twitter.com/csi_wulan","@csi_wulan")</f>
        <v>@csi_wulan</v>
      </c>
      <c r="C11578" t="s">
        <v>5644</v>
      </c>
      <c r="D11578">
        <v>327</v>
      </c>
      <c r="E11578">
        <v>0</v>
      </c>
      <c r="F11578">
        <v>2006</v>
      </c>
    </row>
    <row r="11579" spans="1:6" ht="12.75">
      <c r="A11579" s="2">
        <v>43880.094317129631</v>
      </c>
      <c r="B11579" t="str">
        <f>HYPERLINK("https://twitter.com/sectumsempray","@sectumsempray")</f>
        <v>@sectumsempray</v>
      </c>
      <c r="C11579" t="s">
        <v>1407</v>
      </c>
      <c r="D11579">
        <v>867</v>
      </c>
      <c r="E11579">
        <v>0</v>
      </c>
      <c r="F11579">
        <v>20</v>
      </c>
    </row>
    <row r="11580" spans="1:6" ht="12.75">
      <c r="A11580" s="2">
        <v>43880.092650462961</v>
      </c>
      <c r="B11580" t="str">
        <f>HYPERLINK("https://twitter.com/Realitarakyat01","@Realitarakyat01")</f>
        <v>@Realitarakyat01</v>
      </c>
      <c r="C11580" t="s">
        <v>6224</v>
      </c>
      <c r="D11580">
        <v>0</v>
      </c>
      <c r="E11580">
        <v>0</v>
      </c>
      <c r="F11580">
        <v>125</v>
      </c>
    </row>
    <row r="11581" spans="1:6" ht="12.75">
      <c r="A11581" s="2">
        <v>43880.090821759259</v>
      </c>
      <c r="B11581" t="str">
        <f>HYPERLINK("https://twitter.com/nungkiib","@nungkiib")</f>
        <v>@nungkiib</v>
      </c>
      <c r="C11581" t="s">
        <v>1407</v>
      </c>
      <c r="D11581">
        <v>867</v>
      </c>
      <c r="E11581">
        <v>0</v>
      </c>
      <c r="F11581">
        <v>418</v>
      </c>
    </row>
    <row r="11582" spans="1:6" ht="12.75">
      <c r="A11582" s="2">
        <v>43880.089895833335</v>
      </c>
      <c r="B11582" t="str">
        <f>HYPERLINK("https://twitter.com/leo_sarta","@leo_sarta")</f>
        <v>@leo_sarta</v>
      </c>
      <c r="C11582" t="s">
        <v>4975</v>
      </c>
      <c r="D11582">
        <v>200</v>
      </c>
      <c r="E11582">
        <v>0</v>
      </c>
      <c r="F11582">
        <v>30</v>
      </c>
    </row>
    <row r="11583" spans="1:6" ht="12.75">
      <c r="A11583" s="2">
        <v>43880.089780092589</v>
      </c>
      <c r="B11583" t="str">
        <f>HYPERLINK("https://twitter.com/tiarkris","@tiarkris")</f>
        <v>@tiarkris</v>
      </c>
      <c r="C11583" t="s">
        <v>1407</v>
      </c>
      <c r="D11583">
        <v>867</v>
      </c>
      <c r="E11583">
        <v>0</v>
      </c>
      <c r="F11583">
        <v>716</v>
      </c>
    </row>
    <row r="11584" spans="1:6" ht="12.75">
      <c r="A11584" s="2">
        <v>43880.088784722218</v>
      </c>
      <c r="B11584" t="str">
        <f>HYPERLINK("https://twitter.com/fans_ayanami","@fans_ayanami")</f>
        <v>@fans_ayanami</v>
      </c>
      <c r="C11584" t="s">
        <v>5702</v>
      </c>
      <c r="D11584">
        <v>190</v>
      </c>
      <c r="E11584">
        <v>0</v>
      </c>
      <c r="F11584">
        <v>454</v>
      </c>
    </row>
    <row r="11585" spans="1:6" ht="12.75">
      <c r="A11585" s="2">
        <v>43880.088263888887</v>
      </c>
      <c r="B11585" t="str">
        <f>HYPERLINK("https://twitter.com/daniel_umbex","@daniel_umbex")</f>
        <v>@daniel_umbex</v>
      </c>
      <c r="C11585" t="s">
        <v>6225</v>
      </c>
      <c r="D11585">
        <v>6</v>
      </c>
      <c r="E11585">
        <v>0</v>
      </c>
      <c r="F11585">
        <v>3688</v>
      </c>
    </row>
    <row r="11586" spans="1:6" ht="12.75">
      <c r="A11586" s="2">
        <v>43880.087384259255</v>
      </c>
      <c r="B11586" t="str">
        <f>HYPERLINK("https://twitter.com/ikadamaaa","@ikadamaaa")</f>
        <v>@ikadamaaa</v>
      </c>
      <c r="C11586" t="s">
        <v>5642</v>
      </c>
      <c r="D11586">
        <v>250</v>
      </c>
      <c r="E11586">
        <v>0</v>
      </c>
      <c r="F11586">
        <v>29</v>
      </c>
    </row>
    <row r="11587" spans="1:6" ht="12.75">
      <c r="A11587" s="2">
        <v>43880.08693287037</v>
      </c>
      <c r="B11587" t="str">
        <f>HYPERLINK("https://twitter.com/lannisacow","@lannisacow")</f>
        <v>@lannisacow</v>
      </c>
      <c r="C11587" t="s">
        <v>1407</v>
      </c>
      <c r="D11587">
        <v>867</v>
      </c>
      <c r="E11587">
        <v>0</v>
      </c>
      <c r="F11587">
        <v>391</v>
      </c>
    </row>
    <row r="11588" spans="1:6" ht="12.75">
      <c r="A11588" s="2">
        <v>43880.084108796298</v>
      </c>
      <c r="B11588" t="str">
        <f>HYPERLINK("https://twitter.com/berawalanu","@berawalanu")</f>
        <v>@berawalanu</v>
      </c>
      <c r="C11588" t="s">
        <v>1407</v>
      </c>
      <c r="D11588">
        <v>842</v>
      </c>
      <c r="E11588">
        <v>0</v>
      </c>
      <c r="F11588">
        <v>9</v>
      </c>
    </row>
    <row r="11589" spans="1:6" ht="12.75">
      <c r="A11589" s="2">
        <v>43880.084085648152</v>
      </c>
      <c r="B11589" t="str">
        <f>HYPERLINK("https://twitter.com/AbolichdZ","@AbolichdZ")</f>
        <v>@AbolichdZ</v>
      </c>
      <c r="C11589" t="s">
        <v>6067</v>
      </c>
      <c r="D11589">
        <v>3</v>
      </c>
      <c r="E11589">
        <v>0</v>
      </c>
      <c r="F11589">
        <v>804</v>
      </c>
    </row>
    <row r="11590" spans="1:6" ht="12.75">
      <c r="A11590" s="2">
        <v>43880.08321759259</v>
      </c>
      <c r="B11590" t="str">
        <f>HYPERLINK("https://twitter.com/elmahfudzi","@elmahfudzi")</f>
        <v>@elmahfudzi</v>
      </c>
      <c r="C11590" t="s">
        <v>2079</v>
      </c>
      <c r="D11590">
        <v>33</v>
      </c>
      <c r="E11590">
        <v>0</v>
      </c>
      <c r="F11590">
        <v>107</v>
      </c>
    </row>
    <row r="11591" spans="1:6" ht="12.75">
      <c r="A11591" s="2">
        <v>43880.082800925928</v>
      </c>
      <c r="B11591" t="str">
        <f>HYPERLINK("https://twitter.com/ratih_as","@ratih_as")</f>
        <v>@ratih_as</v>
      </c>
      <c r="C11591" t="s">
        <v>1407</v>
      </c>
      <c r="D11591">
        <v>842</v>
      </c>
      <c r="E11591">
        <v>0</v>
      </c>
      <c r="F11591">
        <v>179</v>
      </c>
    </row>
    <row r="11592" spans="1:6" ht="12.75">
      <c r="A11592" s="2">
        <v>43880.081990740742</v>
      </c>
      <c r="B11592" t="str">
        <f>HYPERLINK("https://twitter.com/MustofaAri463","@MustofaAri463")</f>
        <v>@MustofaAri463</v>
      </c>
      <c r="C11592" t="s">
        <v>6226</v>
      </c>
      <c r="D11592">
        <v>0</v>
      </c>
      <c r="E11592">
        <v>0</v>
      </c>
      <c r="F11592">
        <v>2</v>
      </c>
    </row>
    <row r="11593" spans="1:6" ht="12.75">
      <c r="A11593" s="2">
        <v>43880.081458333334</v>
      </c>
      <c r="B11593" t="str">
        <f>HYPERLINK("https://twitter.com/softwareaddict","@softwareaddict")</f>
        <v>@softwareaddict</v>
      </c>
      <c r="C11593" t="s">
        <v>6227</v>
      </c>
      <c r="D11593">
        <v>0</v>
      </c>
      <c r="E11593">
        <v>0</v>
      </c>
      <c r="F11593">
        <v>1172</v>
      </c>
    </row>
    <row r="11594" spans="1:6" ht="12.75">
      <c r="A11594" s="2">
        <v>43880.081354166672</v>
      </c>
      <c r="B11594" t="str">
        <f>HYPERLINK("https://twitter.com/sandy_apps","@sandy_apps")</f>
        <v>@sandy_apps</v>
      </c>
      <c r="C11594" t="s">
        <v>5644</v>
      </c>
      <c r="D11594">
        <v>324</v>
      </c>
      <c r="E11594">
        <v>0</v>
      </c>
      <c r="F11594">
        <v>399</v>
      </c>
    </row>
    <row r="11595" spans="1:6" ht="12.75">
      <c r="A11595" s="2">
        <v>43880.080428240741</v>
      </c>
      <c r="B11595" t="str">
        <f>HYPERLINK("https://twitter.com/ShennaAriendr","@ShennaAriendr")</f>
        <v>@ShennaAriendr</v>
      </c>
      <c r="C11595" t="s">
        <v>1407</v>
      </c>
      <c r="D11595">
        <v>842</v>
      </c>
      <c r="E11595">
        <v>0</v>
      </c>
      <c r="F11595">
        <v>1014</v>
      </c>
    </row>
    <row r="11596" spans="1:6" ht="12.75">
      <c r="A11596" s="2">
        <v>43880.080324074079</v>
      </c>
      <c r="B11596" t="str">
        <f>HYPERLINK("https://twitter.com/Leoagunghendra1","@Leoagunghendra1")</f>
        <v>@Leoagunghendra1</v>
      </c>
      <c r="C11596" t="s">
        <v>6228</v>
      </c>
      <c r="D11596">
        <v>0</v>
      </c>
      <c r="E11596">
        <v>0</v>
      </c>
      <c r="F11596">
        <v>17</v>
      </c>
    </row>
    <row r="11597" spans="1:6" ht="12.75">
      <c r="A11597" s="2">
        <v>43880.080138888894</v>
      </c>
      <c r="B11597" t="str">
        <f>HYPERLINK("https://twitter.com/mudha_satriya","@mudha_satriya")</f>
        <v>@mudha_satriya</v>
      </c>
      <c r="C11597" t="s">
        <v>6229</v>
      </c>
      <c r="D11597">
        <v>3</v>
      </c>
      <c r="E11597">
        <v>0</v>
      </c>
      <c r="F11597">
        <v>1874</v>
      </c>
    </row>
    <row r="11598" spans="1:6" ht="12.75">
      <c r="A11598" s="2">
        <v>43880.079930555556</v>
      </c>
      <c r="B11598" t="str">
        <f>HYPERLINK("https://twitter.com/nona_oifat","@nona_oifat")</f>
        <v>@nona_oifat</v>
      </c>
      <c r="C11598" t="s">
        <v>2930</v>
      </c>
      <c r="D11598">
        <v>104</v>
      </c>
      <c r="E11598">
        <v>0</v>
      </c>
      <c r="F11598">
        <v>464</v>
      </c>
    </row>
    <row r="11599" spans="1:6" ht="12.75">
      <c r="A11599" s="2">
        <v>43880.078344907408</v>
      </c>
      <c r="B11599" t="str">
        <f>HYPERLINK("https://twitter.com/korr__","@korr__")</f>
        <v>@korr__</v>
      </c>
      <c r="C11599" t="s">
        <v>1407</v>
      </c>
      <c r="D11599">
        <v>842</v>
      </c>
      <c r="E11599">
        <v>0</v>
      </c>
      <c r="F11599">
        <v>157</v>
      </c>
    </row>
    <row r="11600" spans="1:6" ht="12.75">
      <c r="A11600" s="2">
        <v>43880.077418981484</v>
      </c>
      <c r="B11600" t="str">
        <f>HYPERLINK("https://twitter.com/OposisiCerdas","@OposisiCerdas")</f>
        <v>@OposisiCerdas</v>
      </c>
      <c r="C11600" t="s">
        <v>6230</v>
      </c>
      <c r="D11600">
        <v>3</v>
      </c>
      <c r="E11600">
        <v>4</v>
      </c>
      <c r="F11600">
        <v>16308</v>
      </c>
    </row>
    <row r="11601" spans="1:6" ht="12.75">
      <c r="A11601" s="2">
        <v>43880.077106481476</v>
      </c>
      <c r="B11601" t="str">
        <f>HYPERLINK("https://twitter.com/syadoch","@syadoch")</f>
        <v>@syadoch</v>
      </c>
      <c r="C11601" t="s">
        <v>1407</v>
      </c>
      <c r="D11601">
        <v>842</v>
      </c>
      <c r="E11601">
        <v>0</v>
      </c>
      <c r="F11601">
        <v>997</v>
      </c>
    </row>
    <row r="11602" spans="1:6" ht="12.75">
      <c r="A11602" s="2">
        <v>43880.076319444444</v>
      </c>
      <c r="B11602" t="str">
        <f>HYPERLINK("https://twitter.com/Indian23506933","@Indian23506933")</f>
        <v>@Indian23506933</v>
      </c>
      <c r="C11602" t="s">
        <v>6231</v>
      </c>
      <c r="D11602">
        <v>0</v>
      </c>
      <c r="E11602">
        <v>0</v>
      </c>
      <c r="F11602">
        <v>17</v>
      </c>
    </row>
    <row r="11603" spans="1:6" ht="12.75">
      <c r="A11603" s="2">
        <v>43880.075902777782</v>
      </c>
      <c r="B11603" t="str">
        <f>HYPERLINK("https://twitter.com/arifkargin_arif","@arifkargin_arif")</f>
        <v>@arifkargin_arif</v>
      </c>
      <c r="C11603" t="s">
        <v>6232</v>
      </c>
      <c r="D11603">
        <v>0</v>
      </c>
      <c r="E11603">
        <v>0</v>
      </c>
      <c r="F11603">
        <v>11</v>
      </c>
    </row>
    <row r="11604" spans="1:6" ht="12.75">
      <c r="A11604" s="2">
        <v>43880.075231481482</v>
      </c>
      <c r="B11604" t="str">
        <f>HYPERLINK("https://twitter.com/wawancuyyy","@wawancuyyy")</f>
        <v>@wawancuyyy</v>
      </c>
      <c r="C11604" t="s">
        <v>6233</v>
      </c>
      <c r="D11604">
        <v>13</v>
      </c>
      <c r="E11604">
        <v>0</v>
      </c>
      <c r="F11604">
        <v>414</v>
      </c>
    </row>
    <row r="11605" spans="1:6" ht="12.75">
      <c r="A11605" s="2">
        <v>43880.074953703705</v>
      </c>
      <c r="B11605" t="str">
        <f>HYPERLINK("https://twitter.com/adloq","@adloq")</f>
        <v>@adloq</v>
      </c>
      <c r="C11605" t="s">
        <v>1407</v>
      </c>
      <c r="D11605">
        <v>842</v>
      </c>
      <c r="E11605">
        <v>0</v>
      </c>
      <c r="F11605">
        <v>315</v>
      </c>
    </row>
    <row r="11606" spans="1:6" ht="12.75">
      <c r="A11606" s="2">
        <v>43880.074629629627</v>
      </c>
      <c r="B11606" t="str">
        <f>HYPERLINK("https://twitter.com/fyaipi","@fyaipi")</f>
        <v>@fyaipi</v>
      </c>
      <c r="C11606" t="s">
        <v>1407</v>
      </c>
      <c r="D11606">
        <v>842</v>
      </c>
      <c r="E11606">
        <v>0</v>
      </c>
      <c r="F11606">
        <v>52</v>
      </c>
    </row>
    <row r="11607" spans="1:6" ht="12.75">
      <c r="A11607" s="2">
        <v>43880.074583333335</v>
      </c>
      <c r="B11607" t="str">
        <f>HYPERLINK("https://twitter.com/_Rrin","@_Rrin")</f>
        <v>@_Rrin</v>
      </c>
      <c r="C11607" t="s">
        <v>1407</v>
      </c>
      <c r="D11607">
        <v>842</v>
      </c>
      <c r="E11607">
        <v>0</v>
      </c>
      <c r="F11607">
        <v>258</v>
      </c>
    </row>
    <row r="11608" spans="1:6" ht="12.75">
      <c r="A11608" s="2">
        <v>43880.073807870373</v>
      </c>
      <c r="B11608" t="str">
        <f>HYPERLINK("https://twitter.com/sofyanaghfar","@sofyanaghfar")</f>
        <v>@sofyanaghfar</v>
      </c>
      <c r="C11608" t="s">
        <v>1407</v>
      </c>
      <c r="D11608">
        <v>842</v>
      </c>
      <c r="E11608">
        <v>0</v>
      </c>
      <c r="F11608">
        <v>226</v>
      </c>
    </row>
    <row r="11609" spans="1:6" ht="12.75">
      <c r="A11609" s="2">
        <v>43880.073703703703</v>
      </c>
      <c r="B11609" t="str">
        <f>HYPERLINK("https://twitter.com/adibssiraj","@adibssiraj")</f>
        <v>@adibssiraj</v>
      </c>
      <c r="C11609" t="s">
        <v>6234</v>
      </c>
      <c r="D11609">
        <v>0</v>
      </c>
      <c r="E11609">
        <v>0</v>
      </c>
      <c r="F11609">
        <v>737</v>
      </c>
    </row>
    <row r="11610" spans="1:6" ht="12.75">
      <c r="A11610" s="2">
        <v>43880.073020833333</v>
      </c>
      <c r="B11610" t="str">
        <f>HYPERLINK("https://twitter.com/nasnesnay","@nasnesnay")</f>
        <v>@nasnesnay</v>
      </c>
      <c r="C11610" t="s">
        <v>2930</v>
      </c>
      <c r="D11610">
        <v>104</v>
      </c>
      <c r="E11610">
        <v>0</v>
      </c>
      <c r="F11610">
        <v>190</v>
      </c>
    </row>
    <row r="11611" spans="1:6" ht="12.75">
      <c r="A11611" s="2">
        <v>43880.072731481487</v>
      </c>
      <c r="B11611" t="str">
        <f>HYPERLINK("https://twitter.com/cemaragunung","@cemaragunung")</f>
        <v>@cemaragunung</v>
      </c>
      <c r="C11611" t="s">
        <v>6182</v>
      </c>
      <c r="D11611">
        <v>2</v>
      </c>
      <c r="E11611">
        <v>0</v>
      </c>
      <c r="F11611">
        <v>1537</v>
      </c>
    </row>
    <row r="11612" spans="1:6" ht="12.75">
      <c r="A11612" s="2">
        <v>43880.072662037041</v>
      </c>
      <c r="B11612" t="str">
        <f>HYPERLINK("https://twitter.com/keziasapulete","@keziasapulete")</f>
        <v>@keziasapulete</v>
      </c>
      <c r="C11612" t="s">
        <v>1407</v>
      </c>
      <c r="D11612">
        <v>842</v>
      </c>
      <c r="E11612">
        <v>0</v>
      </c>
      <c r="F11612">
        <v>640</v>
      </c>
    </row>
    <row r="11613" spans="1:6" ht="12.75">
      <c r="A11613" s="2">
        <v>43880.071342592593</v>
      </c>
      <c r="B11613" t="str">
        <f>HYPERLINK("https://twitter.com/heyataa","@heyataa")</f>
        <v>@heyataa</v>
      </c>
      <c r="C11613" t="s">
        <v>1407</v>
      </c>
      <c r="D11613">
        <v>842</v>
      </c>
      <c r="E11613">
        <v>0</v>
      </c>
      <c r="F11613">
        <v>469</v>
      </c>
    </row>
    <row r="11614" spans="1:6" ht="12.75">
      <c r="A11614" s="2">
        <v>43880.071145833332</v>
      </c>
      <c r="B11614" t="str">
        <f>HYPERLINK("https://twitter.com/Taryn165","@Taryn165")</f>
        <v>@Taryn165</v>
      </c>
      <c r="C11614" t="s">
        <v>2930</v>
      </c>
      <c r="D11614">
        <v>104</v>
      </c>
      <c r="E11614">
        <v>0</v>
      </c>
      <c r="F11614">
        <v>831</v>
      </c>
    </row>
    <row r="11615" spans="1:6" ht="12.75">
      <c r="A11615" s="2">
        <v>43880.069803240738</v>
      </c>
      <c r="B11615" t="str">
        <f>HYPERLINK("https://twitter.com/tirtaannas","@tirtaannas")</f>
        <v>@tirtaannas</v>
      </c>
      <c r="C11615" t="s">
        <v>1407</v>
      </c>
      <c r="D11615">
        <v>842</v>
      </c>
      <c r="E11615">
        <v>0</v>
      </c>
      <c r="F11615">
        <v>297</v>
      </c>
    </row>
    <row r="11616" spans="1:6" ht="12.75">
      <c r="A11616" s="2">
        <v>43880.069189814814</v>
      </c>
      <c r="B11616" t="str">
        <f>HYPERLINK("https://twitter.com/buruhmigran","@buruhmigran")</f>
        <v>@buruhmigran</v>
      </c>
      <c r="C11616" t="s">
        <v>6235</v>
      </c>
      <c r="D11616">
        <v>0</v>
      </c>
      <c r="E11616">
        <v>0</v>
      </c>
      <c r="F11616">
        <v>171</v>
      </c>
    </row>
    <row r="11617" spans="1:6" ht="12.75">
      <c r="A11617" s="2">
        <v>43880.068611111114</v>
      </c>
      <c r="B11617" t="str">
        <f>HYPERLINK("https://twitter.com/HajiNoorUllah7","@HajiNoorUllah7")</f>
        <v>@HajiNoorUllah7</v>
      </c>
      <c r="C11617" t="s">
        <v>6236</v>
      </c>
      <c r="D11617">
        <v>66</v>
      </c>
      <c r="E11617">
        <v>0</v>
      </c>
      <c r="F11617">
        <v>238</v>
      </c>
    </row>
    <row r="11618" spans="1:6" ht="12.75">
      <c r="A11618" s="2">
        <v>43880.068506944444</v>
      </c>
      <c r="B11618" t="str">
        <f>HYPERLINK("https://twitter.com/rossyrsdn","@rossyrsdn")</f>
        <v>@rossyrsdn</v>
      </c>
      <c r="C11618" t="s">
        <v>1407</v>
      </c>
      <c r="D11618">
        <v>842</v>
      </c>
      <c r="E11618">
        <v>0</v>
      </c>
      <c r="F11618">
        <v>227</v>
      </c>
    </row>
    <row r="11619" spans="1:6" ht="12.75">
      <c r="A11619" s="2">
        <v>43880.067569444444</v>
      </c>
      <c r="B11619" t="str">
        <f>HYPERLINK("https://twitter.com/KJRI_Vancouver","@KJRI_Vancouver")</f>
        <v>@KJRI_Vancouver</v>
      </c>
      <c r="C11619" t="s">
        <v>5756</v>
      </c>
      <c r="D11619">
        <v>21</v>
      </c>
      <c r="E11619">
        <v>0</v>
      </c>
      <c r="F11619">
        <v>2332</v>
      </c>
    </row>
    <row r="11620" spans="1:6" ht="12.75">
      <c r="A11620" s="2">
        <v>43880.067384259259</v>
      </c>
      <c r="B11620" t="str">
        <f>HYPERLINK("https://twitter.com/arrizki_hafizh","@arrizki_hafizh")</f>
        <v>@arrizki_hafizh</v>
      </c>
      <c r="C11620" t="s">
        <v>5702</v>
      </c>
      <c r="D11620">
        <v>189</v>
      </c>
      <c r="E11620">
        <v>0</v>
      </c>
      <c r="F11620">
        <v>80</v>
      </c>
    </row>
    <row r="11621" spans="1:6" ht="12.75">
      <c r="A11621" s="2">
        <v>43880.06627314815</v>
      </c>
      <c r="B11621" t="str">
        <f>HYPERLINK("https://twitter.com/kosongduaempatt","@kosongduaempatt")</f>
        <v>@kosongduaempatt</v>
      </c>
      <c r="C11621" t="s">
        <v>6229</v>
      </c>
      <c r="D11621">
        <v>3</v>
      </c>
      <c r="E11621">
        <v>0</v>
      </c>
      <c r="F11621">
        <v>111</v>
      </c>
    </row>
    <row r="11622" spans="1:6" ht="12.75">
      <c r="A11622" s="2">
        <v>43880.066192129627</v>
      </c>
      <c r="B11622" t="str">
        <f>HYPERLINK("https://twitter.com/Ln1885","@Ln1885")</f>
        <v>@Ln1885</v>
      </c>
      <c r="C11622" t="s">
        <v>6229</v>
      </c>
      <c r="D11622">
        <v>3</v>
      </c>
      <c r="E11622">
        <v>0</v>
      </c>
      <c r="F11622">
        <v>859</v>
      </c>
    </row>
    <row r="11623" spans="1:6" ht="12.75">
      <c r="A11623" s="2">
        <v>43880.065451388888</v>
      </c>
      <c r="B11623" t="str">
        <f>HYPERLINK("https://twitter.com/PijanHamdani","@PijanHamdani")</f>
        <v>@PijanHamdani</v>
      </c>
      <c r="C11623" t="s">
        <v>1407</v>
      </c>
      <c r="D11623">
        <v>842</v>
      </c>
      <c r="E11623">
        <v>0</v>
      </c>
      <c r="F11623">
        <v>419</v>
      </c>
    </row>
    <row r="11624" spans="1:6" ht="12.75">
      <c r="A11624" s="2">
        <v>43880.065185185187</v>
      </c>
      <c r="B11624" t="str">
        <f>HYPERLINK("https://twitter.com/tsxxj","@tsxxj")</f>
        <v>@tsxxj</v>
      </c>
      <c r="C11624" t="s">
        <v>1407</v>
      </c>
      <c r="D11624">
        <v>842</v>
      </c>
      <c r="E11624">
        <v>0</v>
      </c>
      <c r="F11624">
        <v>392</v>
      </c>
    </row>
    <row r="11625" spans="1:6" ht="12.75">
      <c r="A11625" s="2">
        <v>43880.065115740741</v>
      </c>
      <c r="B11625" t="str">
        <f>HYPERLINK("https://twitter.com/sagerumanispait","@sagerumanispait")</f>
        <v>@sagerumanispait</v>
      </c>
      <c r="C11625" t="s">
        <v>1407</v>
      </c>
      <c r="D11625">
        <v>842</v>
      </c>
      <c r="E11625">
        <v>0</v>
      </c>
      <c r="F11625">
        <v>350</v>
      </c>
    </row>
    <row r="11626" spans="1:6" ht="12.75">
      <c r="A11626" s="2">
        <v>43880.06287037037</v>
      </c>
      <c r="B11626" t="str">
        <f>HYPERLINK("https://twitter.com/KompasTV","@KompasTV")</f>
        <v>@KompasTV</v>
      </c>
      <c r="C11626" t="s">
        <v>6237</v>
      </c>
      <c r="D11626">
        <v>3</v>
      </c>
      <c r="E11626">
        <v>1</v>
      </c>
      <c r="F11626">
        <v>2943942</v>
      </c>
    </row>
    <row r="11627" spans="1:6" ht="12.75">
      <c r="A11627" s="2">
        <v>43880.062048611115</v>
      </c>
      <c r="B11627" t="str">
        <f>HYPERLINK("https://twitter.com/dowere","@dowere")</f>
        <v>@dowere</v>
      </c>
      <c r="C11627" t="s">
        <v>1407</v>
      </c>
      <c r="D11627">
        <v>842</v>
      </c>
      <c r="E11627">
        <v>0</v>
      </c>
      <c r="F11627">
        <v>520</v>
      </c>
    </row>
    <row r="11628" spans="1:6" ht="12.75">
      <c r="A11628" s="2">
        <v>43880.062002314815</v>
      </c>
      <c r="B11628" t="str">
        <f>HYPERLINK("https://twitter.com/shadiqfaishal","@shadiqfaishal")</f>
        <v>@shadiqfaishal</v>
      </c>
      <c r="C11628" t="s">
        <v>1920</v>
      </c>
      <c r="D11628">
        <v>192</v>
      </c>
      <c r="E11628">
        <v>0</v>
      </c>
      <c r="F11628">
        <v>432</v>
      </c>
    </row>
    <row r="11629" spans="1:6" ht="12.75">
      <c r="A11629" s="2">
        <v>43880.061608796299</v>
      </c>
      <c r="B11629" t="str">
        <f>HYPERLINK("https://twitter.com/fyaipi","@fyaipi")</f>
        <v>@fyaipi</v>
      </c>
      <c r="C11629" t="s">
        <v>1920</v>
      </c>
      <c r="D11629">
        <v>192</v>
      </c>
      <c r="E11629">
        <v>0</v>
      </c>
      <c r="F11629">
        <v>52</v>
      </c>
    </row>
    <row r="11630" spans="1:6" ht="12.75">
      <c r="A11630" s="2">
        <v>43880.060208333336</v>
      </c>
      <c r="B11630" t="str">
        <f>HYPERLINK("https://twitter.com/leilyai","@leilyai")</f>
        <v>@leilyai</v>
      </c>
      <c r="C11630" t="s">
        <v>1407</v>
      </c>
      <c r="D11630">
        <v>842</v>
      </c>
      <c r="E11630">
        <v>0</v>
      </c>
      <c r="F11630">
        <v>1286</v>
      </c>
    </row>
    <row r="11631" spans="1:6" ht="12.75">
      <c r="A11631" s="2">
        <v>43880.059687500005</v>
      </c>
      <c r="B11631" t="str">
        <f>HYPERLINK("https://twitter.com/Arif_Bijksn","@Arif_Bijksn")</f>
        <v>@Arif_Bijksn</v>
      </c>
      <c r="C11631" t="s">
        <v>6151</v>
      </c>
      <c r="D11631">
        <v>21</v>
      </c>
      <c r="E11631">
        <v>0</v>
      </c>
      <c r="F11631">
        <v>1525</v>
      </c>
    </row>
    <row r="11632" spans="1:6" ht="12.75">
      <c r="A11632" s="2">
        <v>43880.059641203705</v>
      </c>
      <c r="B11632" t="str">
        <f>HYPERLINK("https://twitter.com/MKMuriawan","@MKMuriawan")</f>
        <v>@MKMuriawan</v>
      </c>
      <c r="C11632" t="s">
        <v>6032</v>
      </c>
      <c r="D11632">
        <v>843</v>
      </c>
      <c r="E11632">
        <v>0</v>
      </c>
      <c r="F11632">
        <v>119</v>
      </c>
    </row>
    <row r="11633" spans="1:6" ht="12.75">
      <c r="A11633" s="2">
        <v>43880.059594907405</v>
      </c>
      <c r="B11633" t="str">
        <f>HYPERLINK("https://twitter.com/shadiqfaishal","@shadiqfaishal")</f>
        <v>@shadiqfaishal</v>
      </c>
      <c r="C11633" t="s">
        <v>6238</v>
      </c>
      <c r="D11633">
        <v>0</v>
      </c>
      <c r="E11633">
        <v>0</v>
      </c>
      <c r="F11633">
        <v>432</v>
      </c>
    </row>
    <row r="11634" spans="1:6" ht="12.75">
      <c r="A11634" s="2">
        <v>43880.059178240743</v>
      </c>
      <c r="B11634" t="str">
        <f>HYPERLINK("https://twitter.com/fakhriyaan","@fakhriyaan")</f>
        <v>@fakhriyaan</v>
      </c>
      <c r="C11634" t="s">
        <v>2659</v>
      </c>
      <c r="D11634">
        <v>17</v>
      </c>
      <c r="E11634">
        <v>0</v>
      </c>
      <c r="F11634">
        <v>363</v>
      </c>
    </row>
    <row r="11635" spans="1:6" ht="12.75">
      <c r="A11635" s="2">
        <v>43880.058599537035</v>
      </c>
      <c r="B11635" t="str">
        <f>HYPERLINK("https://twitter.com/AbolichdZ","@AbolichdZ")</f>
        <v>@AbolichdZ</v>
      </c>
      <c r="C11635" t="s">
        <v>2930</v>
      </c>
      <c r="D11635">
        <v>104</v>
      </c>
      <c r="E11635">
        <v>0</v>
      </c>
      <c r="F11635">
        <v>804</v>
      </c>
    </row>
    <row r="11636" spans="1:6" ht="12.75">
      <c r="A11636" s="2">
        <v>43880.057303240741</v>
      </c>
      <c r="B11636" t="str">
        <f>HYPERLINK("https://twitter.com/BADKID47","@BADKID47")</f>
        <v>@BADKID47</v>
      </c>
      <c r="C11636" t="s">
        <v>1407</v>
      </c>
      <c r="D11636">
        <v>842</v>
      </c>
      <c r="E11636">
        <v>0</v>
      </c>
      <c r="F11636">
        <v>809</v>
      </c>
    </row>
    <row r="11637" spans="1:6" ht="12.75">
      <c r="A11637" s="2">
        <v>43880.056620370371</v>
      </c>
      <c r="B11637" t="str">
        <f>HYPERLINK("https://twitter.com/nek_unak","@nek_unak")</f>
        <v>@nek_unak</v>
      </c>
      <c r="C11637" t="s">
        <v>1407</v>
      </c>
      <c r="D11637">
        <v>842</v>
      </c>
      <c r="E11637">
        <v>0</v>
      </c>
      <c r="F11637">
        <v>743</v>
      </c>
    </row>
    <row r="11638" spans="1:6" ht="12.75">
      <c r="A11638" s="2">
        <v>43880.056620370371</v>
      </c>
      <c r="B11638" t="str">
        <f>HYPERLINK("https://twitter.com/heyndrik","@heyndrik")</f>
        <v>@heyndrik</v>
      </c>
      <c r="C11638" t="s">
        <v>1407</v>
      </c>
      <c r="D11638">
        <v>842</v>
      </c>
      <c r="E11638">
        <v>0</v>
      </c>
      <c r="F11638">
        <v>583</v>
      </c>
    </row>
    <row r="11639" spans="1:6" ht="12.75">
      <c r="A11639" s="2">
        <v>43880.056527777779</v>
      </c>
      <c r="B11639" t="str">
        <f>HYPERLINK("https://twitter.com/seathezen","@seathezen")</f>
        <v>@seathezen</v>
      </c>
      <c r="C11639" t="s">
        <v>1407</v>
      </c>
      <c r="D11639">
        <v>842</v>
      </c>
      <c r="E11639">
        <v>0</v>
      </c>
      <c r="F11639">
        <v>56</v>
      </c>
    </row>
    <row r="11640" spans="1:6" ht="12.75">
      <c r="A11640" s="2">
        <v>43880.05641203704</v>
      </c>
      <c r="B11640" t="str">
        <f>HYPERLINK("https://twitter.com/shly25898","@shly25898")</f>
        <v>@shly25898</v>
      </c>
      <c r="C11640" t="s">
        <v>1920</v>
      </c>
      <c r="D11640">
        <v>192</v>
      </c>
      <c r="E11640">
        <v>0</v>
      </c>
      <c r="F11640">
        <v>214</v>
      </c>
    </row>
    <row r="11641" spans="1:6" ht="12.75">
      <c r="A11641" s="2">
        <v>43880.05631944444</v>
      </c>
      <c r="B11641" t="str">
        <f>HYPERLINK("https://twitter.com/no_freedoms","@no_freedoms")</f>
        <v>@no_freedoms</v>
      </c>
      <c r="C11641" t="s">
        <v>1407</v>
      </c>
      <c r="D11641">
        <v>842</v>
      </c>
      <c r="E11641">
        <v>0</v>
      </c>
      <c r="F11641">
        <v>217</v>
      </c>
    </row>
    <row r="11642" spans="1:6" ht="12.75">
      <c r="A11642" s="2">
        <v>43880.056215277778</v>
      </c>
      <c r="B11642" t="str">
        <f>HYPERLINK("https://twitter.com/RizkyAlhameed","@RizkyAlhameed")</f>
        <v>@RizkyAlhameed</v>
      </c>
      <c r="C11642" t="s">
        <v>5702</v>
      </c>
      <c r="D11642">
        <v>189</v>
      </c>
      <c r="E11642">
        <v>0</v>
      </c>
      <c r="F11642">
        <v>296</v>
      </c>
    </row>
    <row r="11643" spans="1:6" ht="12.75">
      <c r="A11643" s="2">
        <v>43880.055011574077</v>
      </c>
      <c r="B11643" t="str">
        <f>HYPERLINK("https://twitter.com/whu_hurt_u","@whu_hurt_u")</f>
        <v>@whu_hurt_u</v>
      </c>
      <c r="C11643" t="s">
        <v>1407</v>
      </c>
      <c r="D11643">
        <v>842</v>
      </c>
      <c r="E11643">
        <v>0</v>
      </c>
      <c r="F11643">
        <v>105</v>
      </c>
    </row>
    <row r="11644" spans="1:6" ht="12.75">
      <c r="A11644" s="2">
        <v>43880.054606481484</v>
      </c>
      <c r="B11644" t="str">
        <f>HYPERLINK("https://twitter.com/Kakapertama8","@Kakapertama8")</f>
        <v>@Kakapertama8</v>
      </c>
      <c r="C11644" t="s">
        <v>6239</v>
      </c>
      <c r="D11644">
        <v>0</v>
      </c>
      <c r="E11644">
        <v>0</v>
      </c>
      <c r="F11644">
        <v>81</v>
      </c>
    </row>
    <row r="11645" spans="1:6" ht="12.75">
      <c r="A11645" s="2">
        <v>43880.053067129629</v>
      </c>
      <c r="B11645" t="str">
        <f>HYPERLINK("https://twitter.com/evdnrsm","@evdnrsm")</f>
        <v>@evdnrsm</v>
      </c>
      <c r="C11645" t="s">
        <v>1407</v>
      </c>
      <c r="D11645">
        <v>842</v>
      </c>
      <c r="E11645">
        <v>0</v>
      </c>
      <c r="F11645">
        <v>493</v>
      </c>
    </row>
    <row r="11646" spans="1:6" ht="12.75">
      <c r="A11646" s="2">
        <v>43880.05268518519</v>
      </c>
      <c r="B11646" t="str">
        <f>HYPERLINK("https://twitter.com/shadiqfaishal","@shadiqfaishal")</f>
        <v>@shadiqfaishal</v>
      </c>
      <c r="C11646" t="s">
        <v>6240</v>
      </c>
      <c r="D11646">
        <v>0</v>
      </c>
      <c r="E11646">
        <v>0</v>
      </c>
      <c r="F11646">
        <v>432</v>
      </c>
    </row>
    <row r="11647" spans="1:6" ht="12.75">
      <c r="A11647" s="2">
        <v>43880.051516203705</v>
      </c>
      <c r="B11647" t="str">
        <f>HYPERLINK("https://twitter.com/arframaa","@arframaa")</f>
        <v>@arframaa</v>
      </c>
      <c r="C11647" t="s">
        <v>1407</v>
      </c>
      <c r="D11647">
        <v>842</v>
      </c>
      <c r="E11647">
        <v>0</v>
      </c>
      <c r="F11647">
        <v>385</v>
      </c>
    </row>
    <row r="11648" spans="1:6" ht="12.75">
      <c r="A11648" s="2">
        <v>43880.049942129626</v>
      </c>
      <c r="B11648" t="str">
        <f>HYPERLINK("https://twitter.com/ernisirait30","@ernisirait30")</f>
        <v>@ernisirait30</v>
      </c>
      <c r="C11648" t="s">
        <v>6241</v>
      </c>
      <c r="D11648">
        <v>0</v>
      </c>
      <c r="E11648">
        <v>0</v>
      </c>
      <c r="F11648">
        <v>376</v>
      </c>
    </row>
    <row r="11649" spans="1:6" ht="12.75">
      <c r="A11649" s="2">
        <v>43880.049837962964</v>
      </c>
      <c r="B11649" t="str">
        <f>HYPERLINK("https://twitter.com/Haharyo","@Haharyo")</f>
        <v>@Haharyo</v>
      </c>
      <c r="C11649" t="s">
        <v>1407</v>
      </c>
      <c r="D11649">
        <v>842</v>
      </c>
      <c r="E11649">
        <v>0</v>
      </c>
      <c r="F11649">
        <v>241</v>
      </c>
    </row>
    <row r="11650" spans="1:6" ht="12.75">
      <c r="A11650" s="2">
        <v>43880.047361111108</v>
      </c>
      <c r="B11650" t="str">
        <f>HYPERLINK("https://twitter.com/ernisirait30","@ernisirait30")</f>
        <v>@ernisirait30</v>
      </c>
      <c r="C11650" t="s">
        <v>6242</v>
      </c>
      <c r="D11650">
        <v>0</v>
      </c>
      <c r="E11650">
        <v>0</v>
      </c>
      <c r="F11650">
        <v>376</v>
      </c>
    </row>
    <row r="11651" spans="1:6" ht="12.75">
      <c r="A11651" s="2">
        <v>43880.047060185185</v>
      </c>
      <c r="B11651" t="str">
        <f>HYPERLINK("https://twitter.com/insomlight_RI","@insomlight_RI")</f>
        <v>@insomlight_RI</v>
      </c>
      <c r="C11651" t="s">
        <v>6243</v>
      </c>
      <c r="D11651">
        <v>0</v>
      </c>
      <c r="E11651">
        <v>0</v>
      </c>
      <c r="F11651">
        <v>121</v>
      </c>
    </row>
    <row r="11652" spans="1:6" ht="12.75">
      <c r="A11652" s="2">
        <v>43880.046493055561</v>
      </c>
      <c r="B11652" t="str">
        <f>HYPERLINK("https://twitter.com/MohamadBondan","@MohamadBondan")</f>
        <v>@MohamadBondan</v>
      </c>
      <c r="C11652" t="s">
        <v>1407</v>
      </c>
      <c r="D11652">
        <v>842</v>
      </c>
      <c r="E11652">
        <v>0</v>
      </c>
      <c r="F11652">
        <v>393</v>
      </c>
    </row>
    <row r="11653" spans="1:6" ht="12.75">
      <c r="A11653" s="2">
        <v>43880.04552083333</v>
      </c>
      <c r="B11653" t="str">
        <f>HYPERLINK("https://twitter.com/voaindonesia","@voaindonesia")</f>
        <v>@voaindonesia</v>
      </c>
      <c r="C11653" t="s">
        <v>6244</v>
      </c>
      <c r="D11653">
        <v>0</v>
      </c>
      <c r="E11653">
        <v>1</v>
      </c>
      <c r="F11653">
        <v>307706</v>
      </c>
    </row>
    <row r="11654" spans="1:6" ht="12.75">
      <c r="A11654" s="2">
        <v>43880.045405092591</v>
      </c>
      <c r="B11654" t="str">
        <f>HYPERLINK("https://twitter.com/DESENFIRMAN","@DESENFIRMAN")</f>
        <v>@DESENFIRMAN</v>
      </c>
      <c r="C11654" t="s">
        <v>1407</v>
      </c>
      <c r="D11654">
        <v>842</v>
      </c>
      <c r="E11654">
        <v>0</v>
      </c>
      <c r="F11654">
        <v>388</v>
      </c>
    </row>
    <row r="11655" spans="1:6" ht="12.75">
      <c r="A11655" s="2">
        <v>43880.04487268519</v>
      </c>
      <c r="B11655" t="str">
        <f t="shared" ref="B11655:B11656" si="206">HYPERLINK("https://twitter.com/Tetehcici12","@Tetehcici12")</f>
        <v>@Tetehcici12</v>
      </c>
      <c r="C11655" t="s">
        <v>2467</v>
      </c>
      <c r="D11655">
        <v>27</v>
      </c>
      <c r="E11655">
        <v>0</v>
      </c>
      <c r="F11655">
        <v>251</v>
      </c>
    </row>
    <row r="11656" spans="1:6" ht="12.75">
      <c r="A11656" s="2">
        <v>43880.044409722221</v>
      </c>
      <c r="B11656" t="str">
        <f t="shared" si="206"/>
        <v>@Tetehcici12</v>
      </c>
      <c r="C11656" t="s">
        <v>1407</v>
      </c>
      <c r="D11656">
        <v>842</v>
      </c>
      <c r="E11656">
        <v>0</v>
      </c>
      <c r="F11656">
        <v>251</v>
      </c>
    </row>
    <row r="11657" spans="1:6" ht="12.75">
      <c r="A11657" s="2">
        <v>43880.043194444443</v>
      </c>
      <c r="B11657" t="str">
        <f>HYPERLINK("https://twitter.com/temensetan","@temensetan")</f>
        <v>@temensetan</v>
      </c>
      <c r="C11657" t="s">
        <v>1407</v>
      </c>
      <c r="D11657">
        <v>803</v>
      </c>
      <c r="E11657">
        <v>0</v>
      </c>
      <c r="F11657">
        <v>117</v>
      </c>
    </row>
    <row r="11658" spans="1:6" ht="12.75">
      <c r="A11658" s="2">
        <v>43880.04277777778</v>
      </c>
      <c r="B11658" t="str">
        <f>HYPERLINK("https://twitter.com/Rendra09489746","@Rendra09489746")</f>
        <v>@Rendra09489746</v>
      </c>
      <c r="C11658" t="s">
        <v>5835</v>
      </c>
      <c r="D11658">
        <v>18</v>
      </c>
      <c r="E11658">
        <v>0</v>
      </c>
      <c r="F11658">
        <v>2</v>
      </c>
    </row>
    <row r="11659" spans="1:6" ht="12.75">
      <c r="A11659" s="2">
        <v>43880.042361111111</v>
      </c>
      <c r="B11659" t="str">
        <f>HYPERLINK("https://twitter.com/Andiniyunitais","@Andiniyunitais")</f>
        <v>@Andiniyunitais</v>
      </c>
      <c r="C11659" t="s">
        <v>1407</v>
      </c>
      <c r="D11659">
        <v>803</v>
      </c>
      <c r="E11659">
        <v>0</v>
      </c>
      <c r="F11659">
        <v>1118</v>
      </c>
    </row>
    <row r="11660" spans="1:6" ht="12.75">
      <c r="A11660" s="2">
        <v>43880.04179398148</v>
      </c>
      <c r="B11660" t="str">
        <f t="shared" ref="B11660:B11661" si="207">HYPERLINK("https://twitter.com/Amirmasoom131","@Amirmasoom131")</f>
        <v>@Amirmasoom131</v>
      </c>
      <c r="C11660" t="s">
        <v>6245</v>
      </c>
      <c r="D11660">
        <v>1</v>
      </c>
      <c r="E11660">
        <v>0</v>
      </c>
      <c r="F11660">
        <v>394</v>
      </c>
    </row>
    <row r="11661" spans="1:6" ht="12.75">
      <c r="A11661" s="2">
        <v>43880.041585648149</v>
      </c>
      <c r="B11661" t="str">
        <f t="shared" si="207"/>
        <v>@Amirmasoom131</v>
      </c>
      <c r="C11661" t="s">
        <v>6246</v>
      </c>
      <c r="D11661">
        <v>1</v>
      </c>
      <c r="E11661">
        <v>0</v>
      </c>
      <c r="F11661">
        <v>394</v>
      </c>
    </row>
    <row r="11662" spans="1:6" ht="12.75">
      <c r="A11662" s="2">
        <v>43880.041203703702</v>
      </c>
      <c r="B11662" t="str">
        <f>HYPERLINK("https://twitter.com/thesabc","@thesabc")</f>
        <v>@thesabc</v>
      </c>
      <c r="C11662" t="s">
        <v>1407</v>
      </c>
      <c r="D11662">
        <v>803</v>
      </c>
      <c r="E11662">
        <v>0</v>
      </c>
      <c r="F11662">
        <v>272</v>
      </c>
    </row>
    <row r="11663" spans="1:6" ht="12.75">
      <c r="A11663" s="2">
        <v>43880.040925925925</v>
      </c>
      <c r="B11663" t="str">
        <f>HYPERLINK("https://twitter.com/NannyAlexendry","@NannyAlexendry")</f>
        <v>@NannyAlexendry</v>
      </c>
      <c r="C11663" t="s">
        <v>6247</v>
      </c>
      <c r="D11663">
        <v>2</v>
      </c>
      <c r="E11663">
        <v>0</v>
      </c>
      <c r="F11663">
        <v>2904</v>
      </c>
    </row>
    <row r="11664" spans="1:6" ht="12.75">
      <c r="A11664" s="2">
        <v>43880.040729166663</v>
      </c>
      <c r="B11664" t="str">
        <f>HYPERLINK("https://twitter.com/ajimunican","@ajimunican")</f>
        <v>@ajimunican</v>
      </c>
      <c r="C11664" t="s">
        <v>1407</v>
      </c>
      <c r="D11664">
        <v>803</v>
      </c>
      <c r="E11664">
        <v>0</v>
      </c>
      <c r="F11664">
        <v>43</v>
      </c>
    </row>
    <row r="11665" spans="1:6" ht="12.75">
      <c r="A11665" s="2">
        <v>43880.039965277778</v>
      </c>
      <c r="B11665" t="str">
        <f>HYPERLINK("https://twitter.com/yemimasr","@yemimasr")</f>
        <v>@yemimasr</v>
      </c>
      <c r="C11665" t="s">
        <v>1407</v>
      </c>
      <c r="D11665">
        <v>803</v>
      </c>
      <c r="E11665">
        <v>0</v>
      </c>
      <c r="F11665">
        <v>1081</v>
      </c>
    </row>
    <row r="11666" spans="1:6" ht="12.75">
      <c r="A11666" s="2">
        <v>43880.039548611108</v>
      </c>
      <c r="B11666" t="str">
        <f>HYPERLINK("https://twitter.com/radikalhumoris","@radikalhumoris")</f>
        <v>@radikalhumoris</v>
      </c>
      <c r="C11666" t="s">
        <v>1407</v>
      </c>
      <c r="D11666">
        <v>803</v>
      </c>
      <c r="E11666">
        <v>0</v>
      </c>
      <c r="F11666">
        <v>310</v>
      </c>
    </row>
    <row r="11667" spans="1:6" ht="12.75">
      <c r="A11667" s="2">
        <v>43880.039317129631</v>
      </c>
      <c r="B11667" t="str">
        <f>HYPERLINK("https://twitter.com/sigiter15","@sigiter15")</f>
        <v>@sigiter15</v>
      </c>
      <c r="C11667" t="s">
        <v>6248</v>
      </c>
      <c r="D11667">
        <v>0</v>
      </c>
      <c r="E11667">
        <v>0</v>
      </c>
      <c r="F11667">
        <v>53</v>
      </c>
    </row>
    <row r="11668" spans="1:6" ht="12.75">
      <c r="A11668" s="2">
        <v>43880.038854166662</v>
      </c>
      <c r="B11668" t="str">
        <f>HYPERLINK("https://twitter.com/ngersoolo","@ngersoolo")</f>
        <v>@ngersoolo</v>
      </c>
      <c r="C11668" t="s">
        <v>1407</v>
      </c>
      <c r="D11668">
        <v>803</v>
      </c>
      <c r="E11668">
        <v>0</v>
      </c>
      <c r="F11668">
        <v>42</v>
      </c>
    </row>
    <row r="11669" spans="1:6" ht="12.75">
      <c r="A11669" s="2">
        <v>43880.038437499999</v>
      </c>
      <c r="B11669" t="str">
        <f>HYPERLINK("https://twitter.com/c00lz_now","@c00lz_now")</f>
        <v>@c00lz_now</v>
      </c>
      <c r="C11669" t="s">
        <v>6249</v>
      </c>
      <c r="D11669">
        <v>8</v>
      </c>
      <c r="E11669">
        <v>0</v>
      </c>
      <c r="F11669">
        <v>5</v>
      </c>
    </row>
    <row r="11670" spans="1:6" ht="12.75">
      <c r="A11670" s="2">
        <v>43880.036655092597</v>
      </c>
      <c r="B11670" t="str">
        <f>HYPERLINK("https://twitter.com/guitarloid","@guitarloid")</f>
        <v>@guitarloid</v>
      </c>
      <c r="C11670" t="s">
        <v>6052</v>
      </c>
      <c r="D11670">
        <v>75</v>
      </c>
      <c r="E11670">
        <v>0</v>
      </c>
      <c r="F11670">
        <v>106</v>
      </c>
    </row>
    <row r="11671" spans="1:6" ht="12.75">
      <c r="A11671" s="2">
        <v>43880.036562499998</v>
      </c>
      <c r="B11671" t="str">
        <f>HYPERLINK("https://twitter.com/ZahidJagirdar","@ZahidJagirdar")</f>
        <v>@ZahidJagirdar</v>
      </c>
      <c r="C11671" t="s">
        <v>2147</v>
      </c>
      <c r="D11671">
        <v>569</v>
      </c>
      <c r="E11671">
        <v>0</v>
      </c>
      <c r="F11671">
        <v>2072</v>
      </c>
    </row>
    <row r="11672" spans="1:6" ht="12.75">
      <c r="A11672" s="2">
        <v>43880.036319444444</v>
      </c>
      <c r="B11672" t="str">
        <f>HYPERLINK("https://twitter.com/adx123456","@adx123456")</f>
        <v>@adx123456</v>
      </c>
      <c r="C11672" t="s">
        <v>2467</v>
      </c>
      <c r="D11672">
        <v>26</v>
      </c>
      <c r="E11672">
        <v>0</v>
      </c>
      <c r="F11672">
        <v>56</v>
      </c>
    </row>
    <row r="11673" spans="1:6" ht="12.75">
      <c r="A11673" s="2">
        <v>43880.034895833334</v>
      </c>
      <c r="B11673" t="str">
        <f>HYPERLINK("https://twitter.com/wrznrdn","@wrznrdn")</f>
        <v>@wrznrdn</v>
      </c>
      <c r="C11673" t="s">
        <v>1407</v>
      </c>
      <c r="D11673">
        <v>803</v>
      </c>
      <c r="E11673">
        <v>0</v>
      </c>
      <c r="F11673">
        <v>401</v>
      </c>
    </row>
    <row r="11674" spans="1:6" ht="12.75">
      <c r="A11674" s="2">
        <v>43880.034652777773</v>
      </c>
      <c r="B11674" t="str">
        <f>HYPERLINK("https://twitter.com/zialfarizi","@zialfarizi")</f>
        <v>@zialfarizi</v>
      </c>
      <c r="C11674" t="s">
        <v>1407</v>
      </c>
      <c r="D11674">
        <v>803</v>
      </c>
      <c r="E11674">
        <v>0</v>
      </c>
      <c r="F11674">
        <v>400</v>
      </c>
    </row>
    <row r="11675" spans="1:6" ht="12.75">
      <c r="A11675" s="2">
        <v>43880.034351851849</v>
      </c>
      <c r="B11675" t="str">
        <f>HYPERLINK("https://twitter.com/AdiPermanaBS","@AdiPermanaBS")</f>
        <v>@AdiPermanaBS</v>
      </c>
      <c r="C11675" t="s">
        <v>1407</v>
      </c>
      <c r="D11675">
        <v>803</v>
      </c>
      <c r="E11675">
        <v>0</v>
      </c>
      <c r="F11675">
        <v>249</v>
      </c>
    </row>
    <row r="11676" spans="1:6" ht="12.75">
      <c r="A11676" s="2">
        <v>43880.03329861111</v>
      </c>
      <c r="B11676" t="str">
        <f>HYPERLINK("https://twitter.com/januarfonti","@januarfonti")</f>
        <v>@januarfonti</v>
      </c>
      <c r="C11676" t="s">
        <v>1407</v>
      </c>
      <c r="D11676">
        <v>803</v>
      </c>
      <c r="E11676">
        <v>0</v>
      </c>
      <c r="F11676">
        <v>570</v>
      </c>
    </row>
    <row r="11677" spans="1:6" ht="12.75">
      <c r="A11677" s="2">
        <v>43880.033113425925</v>
      </c>
      <c r="B11677" t="str">
        <f>HYPERLINK("https://twitter.com/ahmadharyanto","@ahmadharyanto")</f>
        <v>@ahmadharyanto</v>
      </c>
      <c r="C11677" t="s">
        <v>6250</v>
      </c>
      <c r="D11677">
        <v>2</v>
      </c>
      <c r="E11677">
        <v>0</v>
      </c>
      <c r="F11677">
        <v>334</v>
      </c>
    </row>
    <row r="11678" spans="1:6" ht="12.75">
      <c r="A11678" s="2">
        <v>43880.03297453704</v>
      </c>
      <c r="B11678" t="str">
        <f>HYPERLINK("https://twitter.com/tayusani","@tayusani")</f>
        <v>@tayusani</v>
      </c>
      <c r="C11678" t="s">
        <v>2467</v>
      </c>
      <c r="D11678">
        <v>26</v>
      </c>
      <c r="E11678">
        <v>0</v>
      </c>
      <c r="F11678">
        <v>2601</v>
      </c>
    </row>
    <row r="11679" spans="1:6" ht="12.75">
      <c r="A11679" s="2">
        <v>43880.032372685186</v>
      </c>
      <c r="B11679" t="str">
        <f>HYPERLINK("https://twitter.com/MellaLie","@MellaLie")</f>
        <v>@MellaLie</v>
      </c>
      <c r="C11679" t="s">
        <v>1407</v>
      </c>
      <c r="D11679">
        <v>803</v>
      </c>
      <c r="E11679">
        <v>0</v>
      </c>
      <c r="F11679">
        <v>339</v>
      </c>
    </row>
    <row r="11680" spans="1:6" ht="12.75">
      <c r="A11680" s="2">
        <v>43880.031412037039</v>
      </c>
      <c r="B11680" t="str">
        <f>HYPERLINK("https://twitter.com/alvaryo","@alvaryo")</f>
        <v>@alvaryo</v>
      </c>
      <c r="C11680" t="s">
        <v>6251</v>
      </c>
      <c r="D11680">
        <v>0</v>
      </c>
      <c r="E11680">
        <v>0</v>
      </c>
      <c r="F11680">
        <v>81</v>
      </c>
    </row>
    <row r="11681" spans="1:6" ht="12.75">
      <c r="A11681" s="2">
        <v>43880.03052083333</v>
      </c>
      <c r="B11681" t="str">
        <f>HYPERLINK("https://twitter.com/Kangdisen2","@Kangdisen2")</f>
        <v>@Kangdisen2</v>
      </c>
      <c r="C11681" t="s">
        <v>6089</v>
      </c>
      <c r="D11681">
        <v>5</v>
      </c>
      <c r="E11681">
        <v>0</v>
      </c>
      <c r="F11681">
        <v>182</v>
      </c>
    </row>
    <row r="11682" spans="1:6" ht="12.75">
      <c r="A11682" s="2">
        <v>43880.030370370368</v>
      </c>
      <c r="B11682" t="str">
        <f>HYPERLINK("https://twitter.com/faridLH_","@faridLH_")</f>
        <v>@faridLH_</v>
      </c>
      <c r="C11682" t="s">
        <v>1407</v>
      </c>
      <c r="D11682">
        <v>803</v>
      </c>
      <c r="E11682">
        <v>0</v>
      </c>
      <c r="F11682">
        <v>45</v>
      </c>
    </row>
    <row r="11683" spans="1:6" ht="12.75">
      <c r="A11683" s="2">
        <v>43880.029942129629</v>
      </c>
      <c r="B11683" t="str">
        <f>HYPERLINK("https://twitter.com/junregar30","@junregar30")</f>
        <v>@junregar30</v>
      </c>
      <c r="C11683" t="s">
        <v>6252</v>
      </c>
      <c r="D11683">
        <v>0</v>
      </c>
      <c r="E11683">
        <v>0</v>
      </c>
      <c r="F11683">
        <v>186</v>
      </c>
    </row>
    <row r="11684" spans="1:6" ht="12.75">
      <c r="A11684" s="2">
        <v>43880.029490740737</v>
      </c>
      <c r="B11684" t="str">
        <f>HYPERLINK("https://twitter.com/0120a5d5c4dd411","@0120a5d5c4dd411")</f>
        <v>@0120a5d5c4dd411</v>
      </c>
      <c r="C11684" t="s">
        <v>1407</v>
      </c>
      <c r="D11684">
        <v>803</v>
      </c>
      <c r="E11684">
        <v>0</v>
      </c>
      <c r="F11684">
        <v>44</v>
      </c>
    </row>
    <row r="11685" spans="1:6" ht="12.75">
      <c r="A11685" s="2">
        <v>43880.029143518521</v>
      </c>
      <c r="B11685" t="str">
        <f>HYPERLINK("https://twitter.com/junregar30","@junregar30")</f>
        <v>@junregar30</v>
      </c>
      <c r="C11685" t="s">
        <v>6253</v>
      </c>
      <c r="D11685">
        <v>0</v>
      </c>
      <c r="E11685">
        <v>0</v>
      </c>
      <c r="F11685">
        <v>186</v>
      </c>
    </row>
    <row r="11686" spans="1:6" ht="12.75">
      <c r="A11686" s="2">
        <v>43880.028912037036</v>
      </c>
      <c r="B11686" t="str">
        <f>HYPERLINK("https://twitter.com/hasbihasly","@hasbihasly")</f>
        <v>@hasbihasly</v>
      </c>
      <c r="C11686" t="s">
        <v>1407</v>
      </c>
      <c r="D11686">
        <v>803</v>
      </c>
      <c r="E11686">
        <v>0</v>
      </c>
      <c r="F11686">
        <v>547</v>
      </c>
    </row>
    <row r="11687" spans="1:6" ht="12.75">
      <c r="A11687" s="2">
        <v>43880.027939814812</v>
      </c>
      <c r="B11687" t="str">
        <f>HYPERLINK("https://twitter.com/Denisrnld","@Denisrnld")</f>
        <v>@Denisrnld</v>
      </c>
      <c r="C11687" t="s">
        <v>1407</v>
      </c>
      <c r="D11687">
        <v>803</v>
      </c>
      <c r="E11687">
        <v>0</v>
      </c>
      <c r="F11687">
        <v>637</v>
      </c>
    </row>
    <row r="11688" spans="1:6" ht="12.75">
      <c r="A11688" s="2">
        <v>43880.026979166665</v>
      </c>
      <c r="B11688" t="str">
        <f>HYPERLINK("https://twitter.com/mudha_satriya","@mudha_satriya")</f>
        <v>@mudha_satriya</v>
      </c>
      <c r="C11688" t="s">
        <v>6254</v>
      </c>
      <c r="D11688">
        <v>4</v>
      </c>
      <c r="E11688">
        <v>0</v>
      </c>
      <c r="F11688">
        <v>1874</v>
      </c>
    </row>
    <row r="11689" spans="1:6" ht="12.75">
      <c r="A11689" s="2">
        <v>43880.026967592596</v>
      </c>
      <c r="B11689" t="str">
        <f>HYPERLINK("https://twitter.com/vrendim29_","@vrendim29_")</f>
        <v>@vrendim29_</v>
      </c>
      <c r="C11689" t="s">
        <v>2930</v>
      </c>
      <c r="D11689">
        <v>100</v>
      </c>
      <c r="E11689">
        <v>0</v>
      </c>
      <c r="F11689">
        <v>1900</v>
      </c>
    </row>
    <row r="11690" spans="1:6" ht="12.75">
      <c r="A11690" s="2">
        <v>43880.026446759264</v>
      </c>
      <c r="B11690" t="str">
        <f>HYPERLINK("https://twitter.com/fahmi_nurohman_","@fahmi_nurohman_")</f>
        <v>@fahmi_nurohman_</v>
      </c>
      <c r="C11690" t="s">
        <v>6255</v>
      </c>
      <c r="D11690">
        <v>15</v>
      </c>
      <c r="E11690">
        <v>0</v>
      </c>
      <c r="F11690">
        <v>397</v>
      </c>
    </row>
    <row r="11691" spans="1:6" ht="12.75">
      <c r="A11691" s="2">
        <v>43880.02553240741</v>
      </c>
      <c r="B11691" t="str">
        <f>HYPERLINK("https://twitter.com/amakizuh","@amakizuh")</f>
        <v>@amakizuh</v>
      </c>
      <c r="C11691" t="s">
        <v>1407</v>
      </c>
      <c r="D11691">
        <v>803</v>
      </c>
      <c r="E11691">
        <v>0</v>
      </c>
      <c r="F11691">
        <v>562</v>
      </c>
    </row>
    <row r="11692" spans="1:6" ht="12.75">
      <c r="A11692" s="2">
        <v>43880.025462962964</v>
      </c>
      <c r="B11692" t="str">
        <f>HYPERLINK("https://twitter.com/kopisanger","@kopisanger")</f>
        <v>@kopisanger</v>
      </c>
      <c r="C11692" t="s">
        <v>6256</v>
      </c>
      <c r="D11692">
        <v>25</v>
      </c>
      <c r="E11692">
        <v>0</v>
      </c>
      <c r="F11692">
        <v>510</v>
      </c>
    </row>
    <row r="11693" spans="1:6" ht="12.75">
      <c r="A11693" s="2">
        <v>43880.025254629625</v>
      </c>
      <c r="B11693" t="str">
        <f>HYPERLINK("https://twitter.com/FransAlosius","@FransAlosius")</f>
        <v>@FransAlosius</v>
      </c>
      <c r="C11693" t="s">
        <v>6257</v>
      </c>
      <c r="D11693">
        <v>0</v>
      </c>
      <c r="E11693">
        <v>0</v>
      </c>
      <c r="F11693">
        <v>1825</v>
      </c>
    </row>
    <row r="11694" spans="1:6" ht="12.75">
      <c r="A11694" s="2">
        <v>43880.025127314817</v>
      </c>
      <c r="B11694" t="str">
        <f>HYPERLINK("https://twitter.com/sugarfaddy","@sugarfaddy")</f>
        <v>@sugarfaddy</v>
      </c>
      <c r="C11694" t="s">
        <v>2467</v>
      </c>
      <c r="D11694">
        <v>26</v>
      </c>
      <c r="E11694">
        <v>0</v>
      </c>
      <c r="F11694">
        <v>3172</v>
      </c>
    </row>
    <row r="11695" spans="1:6" ht="12.75">
      <c r="A11695" s="2">
        <v>43880.024502314816</v>
      </c>
      <c r="B11695" t="str">
        <f>HYPERLINK("https://twitter.com/agistars","@agistars")</f>
        <v>@agistars</v>
      </c>
      <c r="C11695" t="s">
        <v>1407</v>
      </c>
      <c r="D11695">
        <v>803</v>
      </c>
      <c r="E11695">
        <v>0</v>
      </c>
      <c r="F11695">
        <v>543</v>
      </c>
    </row>
    <row r="11696" spans="1:6" ht="12.75">
      <c r="A11696" s="2">
        <v>43880.024398148147</v>
      </c>
      <c r="B11696" t="str">
        <f>HYPERLINK("https://twitter.com/asusilowati27","@asusilowati27")</f>
        <v>@asusilowati27</v>
      </c>
      <c r="C11696" t="s">
        <v>1407</v>
      </c>
      <c r="D11696">
        <v>803</v>
      </c>
      <c r="E11696">
        <v>0</v>
      </c>
      <c r="F11696">
        <v>466</v>
      </c>
    </row>
    <row r="11697" spans="1:6" ht="12.75">
      <c r="A11697" s="2">
        <v>43880.024004629631</v>
      </c>
      <c r="B11697" t="str">
        <f>HYPERLINK("https://twitter.com/muhammadsamudr8","@muhammadsamudr8")</f>
        <v>@muhammadsamudr8</v>
      </c>
      <c r="C11697" t="s">
        <v>1407</v>
      </c>
      <c r="D11697">
        <v>803</v>
      </c>
      <c r="E11697">
        <v>0</v>
      </c>
      <c r="F11697">
        <v>287</v>
      </c>
    </row>
    <row r="11698" spans="1:6" ht="12.75">
      <c r="A11698" s="2">
        <v>43880.023784722223</v>
      </c>
      <c r="B11698" t="str">
        <f>HYPERLINK("https://twitter.com/jedngry","@jedngry")</f>
        <v>@jedngry</v>
      </c>
      <c r="C11698" t="s">
        <v>6258</v>
      </c>
      <c r="D11698">
        <v>0</v>
      </c>
      <c r="E11698">
        <v>0</v>
      </c>
      <c r="F11698">
        <v>220</v>
      </c>
    </row>
    <row r="11699" spans="1:6" ht="12.75">
      <c r="A11699" s="2">
        <v>43880.023738425924</v>
      </c>
      <c r="B11699" t="str">
        <f>HYPERLINK("https://twitter.com/uncontrolly","@uncontrolly")</f>
        <v>@uncontrolly</v>
      </c>
      <c r="C11699" t="s">
        <v>2467</v>
      </c>
      <c r="D11699">
        <v>26</v>
      </c>
      <c r="E11699">
        <v>0</v>
      </c>
      <c r="F11699">
        <v>307</v>
      </c>
    </row>
    <row r="11700" spans="1:6" ht="12.75">
      <c r="A11700" s="2">
        <v>43880.023356481484</v>
      </c>
      <c r="B11700" t="str">
        <f>HYPERLINK("https://twitter.com/fadilakbaar","@fadilakbaar")</f>
        <v>@fadilakbaar</v>
      </c>
      <c r="C11700" t="s">
        <v>1407</v>
      </c>
      <c r="D11700">
        <v>803</v>
      </c>
      <c r="E11700">
        <v>0</v>
      </c>
      <c r="F11700">
        <v>823</v>
      </c>
    </row>
    <row r="11701" spans="1:6" ht="12.75">
      <c r="A11701" s="2">
        <v>43880.023263888885</v>
      </c>
      <c r="B11701" t="str">
        <f>HYPERLINK("https://twitter.com/Ozie96036369","@Ozie96036369")</f>
        <v>@Ozie96036369</v>
      </c>
      <c r="C11701" t="s">
        <v>5702</v>
      </c>
      <c r="D11701">
        <v>187</v>
      </c>
      <c r="E11701">
        <v>0</v>
      </c>
      <c r="F11701">
        <v>95</v>
      </c>
    </row>
    <row r="11702" spans="1:6" ht="12.75">
      <c r="A11702" s="2">
        <v>43880.022673611107</v>
      </c>
      <c r="B11702" t="str">
        <f>HYPERLINK("https://twitter.com/AqidaJamal","@AqidaJamal")</f>
        <v>@AqidaJamal</v>
      </c>
      <c r="C11702" t="s">
        <v>6255</v>
      </c>
      <c r="D11702">
        <v>15</v>
      </c>
      <c r="E11702">
        <v>0</v>
      </c>
      <c r="F11702">
        <v>365</v>
      </c>
    </row>
    <row r="11703" spans="1:6" ht="12.75">
      <c r="A11703" s="2">
        <v>43880.022303240738</v>
      </c>
      <c r="B11703" t="str">
        <f>HYPERLINK("https://twitter.com/Rfrzktfdla","@Rfrzktfdla")</f>
        <v>@Rfrzktfdla</v>
      </c>
      <c r="C11703" t="s">
        <v>1407</v>
      </c>
      <c r="D11703">
        <v>803</v>
      </c>
      <c r="E11703">
        <v>0</v>
      </c>
      <c r="F11703">
        <v>1704</v>
      </c>
    </row>
    <row r="11704" spans="1:6" ht="12.75">
      <c r="A11704" s="2">
        <v>43880.021932870368</v>
      </c>
      <c r="B11704" t="str">
        <f>HYPERLINK("https://twitter.com/ShalehMahrus","@ShalehMahrus")</f>
        <v>@ShalehMahrus</v>
      </c>
      <c r="C11704" t="s">
        <v>5665</v>
      </c>
      <c r="D11704">
        <v>71</v>
      </c>
      <c r="E11704">
        <v>0</v>
      </c>
      <c r="F11704">
        <v>37</v>
      </c>
    </row>
    <row r="11705" spans="1:6" ht="12.75">
      <c r="A11705" s="2">
        <v>43880.021666666667</v>
      </c>
      <c r="B11705" t="str">
        <f>HYPERLINK("https://twitter.com/WarganetNetizen","@WarganetNetizen")</f>
        <v>@WarganetNetizen</v>
      </c>
      <c r="C11705" t="s">
        <v>6259</v>
      </c>
      <c r="D11705">
        <v>0</v>
      </c>
      <c r="E11705">
        <v>0</v>
      </c>
      <c r="F11705">
        <v>0</v>
      </c>
    </row>
    <row r="11706" spans="1:6" ht="12.75">
      <c r="A11706" s="2">
        <v>43880.021574074075</v>
      </c>
      <c r="B11706" t="str">
        <f>HYPERLINK("https://twitter.com/Orapatiopinter","@Orapatiopinter")</f>
        <v>@Orapatiopinter</v>
      </c>
      <c r="C11706" t="s">
        <v>6260</v>
      </c>
      <c r="D11706">
        <v>0</v>
      </c>
      <c r="E11706">
        <v>0</v>
      </c>
      <c r="F11706">
        <v>86</v>
      </c>
    </row>
    <row r="11707" spans="1:6" ht="12.75">
      <c r="A11707" s="2">
        <v>43880.020856481482</v>
      </c>
      <c r="B11707" t="str">
        <f>HYPERLINK("https://twitter.com/republikaonline","@republikaonline")</f>
        <v>@republikaonline</v>
      </c>
      <c r="C11707" t="s">
        <v>6261</v>
      </c>
      <c r="D11707">
        <v>0</v>
      </c>
      <c r="E11707">
        <v>6</v>
      </c>
      <c r="F11707">
        <v>1211221</v>
      </c>
    </row>
    <row r="11708" spans="1:6" ht="12.75">
      <c r="A11708" s="2">
        <v>43880.020185185189</v>
      </c>
      <c r="B11708" t="str">
        <f>HYPERLINK("https://twitter.com/hobisambattt","@hobisambattt")</f>
        <v>@hobisambattt</v>
      </c>
      <c r="C11708" t="s">
        <v>1407</v>
      </c>
      <c r="D11708">
        <v>803</v>
      </c>
      <c r="E11708">
        <v>0</v>
      </c>
      <c r="F11708">
        <v>188</v>
      </c>
    </row>
    <row r="11709" spans="1:6" ht="12.75">
      <c r="A11709" s="2">
        <v>43880.019907407404</v>
      </c>
      <c r="B11709" t="str">
        <f>HYPERLINK("https://twitter.com/wawat_kurniawan","@wawat_kurniawan")</f>
        <v>@wawat_kurniawan</v>
      </c>
      <c r="C11709" t="s">
        <v>6262</v>
      </c>
      <c r="D11709">
        <v>0</v>
      </c>
      <c r="E11709">
        <v>1</v>
      </c>
      <c r="F11709">
        <v>3595</v>
      </c>
    </row>
    <row r="11710" spans="1:6" ht="12.75">
      <c r="A11710" s="2">
        <v>43880.019363425927</v>
      </c>
      <c r="B11710" t="str">
        <f>HYPERLINK("https://twitter.com/dabenone2","@dabenone2")</f>
        <v>@dabenone2</v>
      </c>
      <c r="C11710" t="s">
        <v>2930</v>
      </c>
      <c r="D11710">
        <v>100</v>
      </c>
      <c r="E11710">
        <v>0</v>
      </c>
      <c r="F11710">
        <v>46</v>
      </c>
    </row>
    <row r="11711" spans="1:6" ht="12.75">
      <c r="A11711" s="2">
        <v>43880.019282407404</v>
      </c>
      <c r="B11711" t="str">
        <f>HYPERLINK("https://twitter.com/nayeowe","@nayeowe")</f>
        <v>@nayeowe</v>
      </c>
      <c r="C11711" t="s">
        <v>1407</v>
      </c>
      <c r="D11711">
        <v>803</v>
      </c>
      <c r="E11711">
        <v>0</v>
      </c>
      <c r="F11711">
        <v>12</v>
      </c>
    </row>
    <row r="11712" spans="1:6" ht="12.75">
      <c r="A11712" s="2">
        <v>43880.018032407403</v>
      </c>
      <c r="B11712" t="str">
        <f>HYPERLINK("https://twitter.com/AniesSubianto","@AniesSubianto")</f>
        <v>@AniesSubianto</v>
      </c>
      <c r="C11712" t="s">
        <v>6263</v>
      </c>
      <c r="D11712">
        <v>3</v>
      </c>
      <c r="E11712">
        <v>0</v>
      </c>
      <c r="F11712">
        <v>251</v>
      </c>
    </row>
    <row r="11713" spans="1:6" ht="12.75">
      <c r="A11713" s="2">
        <v>43880.01798611111</v>
      </c>
      <c r="B11713" t="str">
        <f>HYPERLINK("https://twitter.com/chece271","@chece271")</f>
        <v>@chece271</v>
      </c>
      <c r="C11713" t="s">
        <v>1407</v>
      </c>
      <c r="D11713">
        <v>803</v>
      </c>
      <c r="E11713">
        <v>0</v>
      </c>
      <c r="F11713">
        <v>610</v>
      </c>
    </row>
    <row r="11714" spans="1:6" ht="12.75">
      <c r="A11714" s="2">
        <v>43880.01730324074</v>
      </c>
      <c r="B11714" t="str">
        <f>HYPERLINK("https://twitter.com/aintbasicgurl","@aintbasicgurl")</f>
        <v>@aintbasicgurl</v>
      </c>
      <c r="C11714" t="s">
        <v>2467</v>
      </c>
      <c r="D11714">
        <v>26</v>
      </c>
      <c r="E11714">
        <v>0</v>
      </c>
      <c r="F11714">
        <v>2497</v>
      </c>
    </row>
    <row r="11715" spans="1:6" ht="12.75">
      <c r="A11715" s="2">
        <v>43880.01730324074</v>
      </c>
      <c r="B11715" t="str">
        <f>HYPERLINK("https://twitter.com/LaodeMSyarif","@LaodeMSyarif")</f>
        <v>@LaodeMSyarif</v>
      </c>
      <c r="C11715" t="s">
        <v>6264</v>
      </c>
      <c r="D11715">
        <v>5</v>
      </c>
      <c r="E11715">
        <v>0</v>
      </c>
      <c r="F11715">
        <v>16038</v>
      </c>
    </row>
    <row r="11716" spans="1:6" ht="12.75">
      <c r="A11716" s="2">
        <v>43880.017118055555</v>
      </c>
      <c r="B11716" t="str">
        <f>HYPERLINK("https://twitter.com/BlackRednBlue","@BlackRednBlue")</f>
        <v>@BlackRednBlue</v>
      </c>
      <c r="C11716" t="s">
        <v>6265</v>
      </c>
      <c r="D11716">
        <v>1</v>
      </c>
      <c r="E11716">
        <v>0</v>
      </c>
      <c r="F11716">
        <v>608</v>
      </c>
    </row>
    <row r="11717" spans="1:6" ht="12.75">
      <c r="A11717" s="2">
        <v>43880.016516203701</v>
      </c>
      <c r="B11717" t="str">
        <f>HYPERLINK("https://twitter.com/UrubingDilah","@UrubingDilah")</f>
        <v>@UrubingDilah</v>
      </c>
      <c r="C11717" t="s">
        <v>6089</v>
      </c>
      <c r="D11717">
        <v>5</v>
      </c>
      <c r="E11717">
        <v>0</v>
      </c>
      <c r="F11717">
        <v>1343</v>
      </c>
    </row>
    <row r="11718" spans="1:6" ht="12.75">
      <c r="A11718" s="2">
        <v>43880.016504629632</v>
      </c>
      <c r="B11718" t="str">
        <f>HYPERLINK("https://twitter.com/MasTrimo9","@MasTrimo9")</f>
        <v>@MasTrimo9</v>
      </c>
      <c r="C11718" t="s">
        <v>6256</v>
      </c>
      <c r="D11718">
        <v>25</v>
      </c>
      <c r="E11718">
        <v>0</v>
      </c>
      <c r="F11718">
        <v>289</v>
      </c>
    </row>
    <row r="11719" spans="1:6" ht="12.75">
      <c r="A11719" s="2">
        <v>43880.01635416667</v>
      </c>
      <c r="B11719" t="str">
        <f>HYPERLINK("https://twitter.com/meliasindyy","@meliasindyy")</f>
        <v>@meliasindyy</v>
      </c>
      <c r="C11719" t="s">
        <v>1407</v>
      </c>
      <c r="D11719">
        <v>803</v>
      </c>
      <c r="E11719">
        <v>0</v>
      </c>
      <c r="F11719">
        <v>473</v>
      </c>
    </row>
    <row r="11720" spans="1:6" ht="12.75">
      <c r="A11720" s="2">
        <v>43880.016145833331</v>
      </c>
      <c r="B11720" t="str">
        <f>HYPERLINK("https://twitter.com/asriwini","@asriwini")</f>
        <v>@asriwini</v>
      </c>
      <c r="C11720" t="s">
        <v>6032</v>
      </c>
      <c r="D11720">
        <v>841</v>
      </c>
      <c r="E11720">
        <v>0</v>
      </c>
      <c r="F11720">
        <v>708</v>
      </c>
    </row>
    <row r="11721" spans="1:6" ht="12.75">
      <c r="A11721" s="2">
        <v>43880.015474537038</v>
      </c>
      <c r="B11721" t="str">
        <f>HYPERLINK("https://twitter.com/fendisyarif","@fendisyarif")</f>
        <v>@fendisyarif</v>
      </c>
      <c r="C11721" t="s">
        <v>6250</v>
      </c>
      <c r="D11721">
        <v>2</v>
      </c>
      <c r="E11721">
        <v>0</v>
      </c>
      <c r="F11721">
        <v>282</v>
      </c>
    </row>
    <row r="11722" spans="1:6" ht="12.75">
      <c r="A11722" s="2">
        <v>43880.015462962961</v>
      </c>
      <c r="B11722" t="str">
        <f>HYPERLINK("https://twitter.com/KJRI_Vancouver","@KJRI_Vancouver")</f>
        <v>@KJRI_Vancouver</v>
      </c>
      <c r="C11722" t="s">
        <v>2079</v>
      </c>
      <c r="D11722">
        <v>31</v>
      </c>
      <c r="E11722">
        <v>0</v>
      </c>
      <c r="F11722">
        <v>2332</v>
      </c>
    </row>
    <row r="11723" spans="1:6" ht="12.75">
      <c r="A11723" s="2">
        <v>43880.015231481477</v>
      </c>
      <c r="B11723" t="str">
        <f>HYPERLINK("https://twitter.com/pujaays","@pujaays")</f>
        <v>@pujaays</v>
      </c>
      <c r="C11723" t="s">
        <v>1407</v>
      </c>
      <c r="D11723">
        <v>803</v>
      </c>
      <c r="E11723">
        <v>0</v>
      </c>
      <c r="F11723">
        <v>1736</v>
      </c>
    </row>
    <row r="11724" spans="1:6" ht="12.75">
      <c r="A11724" s="2">
        <v>43880.015081018515</v>
      </c>
      <c r="B11724" t="str">
        <f>HYPERLINK("https://twitter.com/Anang_rif1717","@Anang_rif1717")</f>
        <v>@Anang_rif1717</v>
      </c>
      <c r="C11724" t="s">
        <v>2155</v>
      </c>
      <c r="D11724">
        <v>488</v>
      </c>
      <c r="E11724">
        <v>0</v>
      </c>
      <c r="F11724">
        <v>10</v>
      </c>
    </row>
    <row r="11725" spans="1:6" ht="12.75">
      <c r="A11725" s="2">
        <v>43880.014351851853</v>
      </c>
      <c r="B11725" t="str">
        <f>HYPERLINK("https://twitter.com/Petrus_Inc","@Petrus_Inc")</f>
        <v>@Petrus_Inc</v>
      </c>
      <c r="C11725" t="s">
        <v>1407</v>
      </c>
      <c r="D11725">
        <v>803</v>
      </c>
      <c r="E11725">
        <v>0</v>
      </c>
      <c r="F11725">
        <v>250</v>
      </c>
    </row>
    <row r="11726" spans="1:6" ht="12.75">
      <c r="A11726" s="2">
        <v>43880.01425925926</v>
      </c>
      <c r="B11726" t="str">
        <f>HYPERLINK("https://twitter.com/YasminEliana19","@YasminEliana19")</f>
        <v>@YasminEliana19</v>
      </c>
      <c r="C11726" t="s">
        <v>6266</v>
      </c>
      <c r="D11726">
        <v>0</v>
      </c>
      <c r="E11726">
        <v>0</v>
      </c>
      <c r="F11726">
        <v>1117</v>
      </c>
    </row>
    <row r="11727" spans="1:6" ht="12.75">
      <c r="A11727" s="2">
        <v>43880.014050925922</v>
      </c>
      <c r="B11727" t="str">
        <f>HYPERLINK("https://twitter.com/ayodigoyang","@ayodigoyang")</f>
        <v>@ayodigoyang</v>
      </c>
      <c r="C11727" t="s">
        <v>1407</v>
      </c>
      <c r="D11727">
        <v>803</v>
      </c>
      <c r="E11727">
        <v>0</v>
      </c>
      <c r="F11727">
        <v>467</v>
      </c>
    </row>
    <row r="11728" spans="1:6" ht="12.75">
      <c r="A11728" s="2">
        <v>43880.013935185183</v>
      </c>
      <c r="B11728" t="str">
        <f>HYPERLINK("https://twitter.com/moccafloat___","@moccafloat___")</f>
        <v>@moccafloat___</v>
      </c>
      <c r="C11728" t="s">
        <v>1407</v>
      </c>
      <c r="D11728">
        <v>803</v>
      </c>
      <c r="E11728">
        <v>0</v>
      </c>
      <c r="F11728">
        <v>176</v>
      </c>
    </row>
    <row r="11729" spans="1:6" ht="12.75">
      <c r="A11729" s="2">
        <v>43880.013842592598</v>
      </c>
      <c r="B11729" t="str">
        <f>HYPERLINK("https://twitter.com/segfhyaaa","@segfhyaaa")</f>
        <v>@segfhyaaa</v>
      </c>
      <c r="C11729" t="s">
        <v>1407</v>
      </c>
      <c r="D11729">
        <v>803</v>
      </c>
      <c r="E11729">
        <v>0</v>
      </c>
      <c r="F11729">
        <v>788</v>
      </c>
    </row>
    <row r="11730" spans="1:6" ht="12.75">
      <c r="A11730" s="2">
        <v>43880.013506944444</v>
      </c>
      <c r="B11730" t="str">
        <f>HYPERLINK("https://twitter.com/vitacascata","@vitacascata")</f>
        <v>@vitacascata</v>
      </c>
      <c r="C11730" t="s">
        <v>1407</v>
      </c>
      <c r="D11730">
        <v>803</v>
      </c>
      <c r="E11730">
        <v>0</v>
      </c>
      <c r="F11730">
        <v>2973</v>
      </c>
    </row>
    <row r="11731" spans="1:6" ht="12.75">
      <c r="A11731" s="2">
        <v>43880.013414351852</v>
      </c>
      <c r="B11731" t="str">
        <f>HYPERLINK("https://twitter.com/fIcal85360324","@fIcal85360324")</f>
        <v>@fIcal85360324</v>
      </c>
      <c r="C11731" t="s">
        <v>5702</v>
      </c>
      <c r="D11731">
        <v>187</v>
      </c>
      <c r="E11731">
        <v>0</v>
      </c>
      <c r="F11731">
        <v>520</v>
      </c>
    </row>
    <row r="11732" spans="1:6" ht="12.75">
      <c r="A11732" s="2">
        <v>43880.012916666667</v>
      </c>
      <c r="B11732" t="str">
        <f>HYPERLINK("https://twitter.com/swamedium","@swamedium")</f>
        <v>@swamedium</v>
      </c>
      <c r="C11732" t="s">
        <v>6267</v>
      </c>
      <c r="D11732">
        <v>2</v>
      </c>
      <c r="E11732">
        <v>0</v>
      </c>
      <c r="F11732">
        <v>3346</v>
      </c>
    </row>
    <row r="11733" spans="1:6" ht="12.75">
      <c r="A11733" s="2">
        <v>43880.012349537035</v>
      </c>
      <c r="B11733" t="str">
        <f>HYPERLINK("https://twitter.com/pasapumonca","@pasapumonca")</f>
        <v>@pasapumonca</v>
      </c>
      <c r="C11733" t="s">
        <v>1407</v>
      </c>
      <c r="D11733">
        <v>803</v>
      </c>
      <c r="E11733">
        <v>0</v>
      </c>
      <c r="F11733">
        <v>385</v>
      </c>
    </row>
    <row r="11734" spans="1:6" ht="12.75">
      <c r="A11734" s="2">
        <v>43880.012210648143</v>
      </c>
      <c r="B11734" t="str">
        <f>HYPERLINK("https://twitter.com/heartle555","@heartle555")</f>
        <v>@heartle555</v>
      </c>
      <c r="C11734" t="s">
        <v>1407</v>
      </c>
      <c r="D11734">
        <v>803</v>
      </c>
      <c r="E11734">
        <v>0</v>
      </c>
      <c r="F11734">
        <v>1240</v>
      </c>
    </row>
    <row r="11735" spans="1:6" ht="12.75">
      <c r="A11735" s="2">
        <v>43880.011874999997</v>
      </c>
      <c r="B11735" t="str">
        <f>HYPERLINK("https://twitter.com/UrubingDilah","@UrubingDilah")</f>
        <v>@UrubingDilah</v>
      </c>
      <c r="C11735" t="s">
        <v>6268</v>
      </c>
      <c r="D11735">
        <v>3</v>
      </c>
      <c r="E11735">
        <v>0</v>
      </c>
      <c r="F11735">
        <v>1343</v>
      </c>
    </row>
    <row r="11736" spans="1:6" ht="12.75">
      <c r="A11736" s="2">
        <v>43880.011192129634</v>
      </c>
      <c r="B11736" t="str">
        <f>HYPERLINK("https://twitter.com/falyhah","@falyhah")</f>
        <v>@falyhah</v>
      </c>
      <c r="C11736" t="s">
        <v>6269</v>
      </c>
      <c r="D11736">
        <v>0</v>
      </c>
      <c r="E11736">
        <v>0</v>
      </c>
      <c r="F11736">
        <v>442</v>
      </c>
    </row>
    <row r="11737" spans="1:6" ht="12.75">
      <c r="A11737" s="2">
        <v>43880.011180555557</v>
      </c>
      <c r="B11737" t="str">
        <f>HYPERLINK("https://twitter.com/i_Pras","@i_Pras")</f>
        <v>@i_Pras</v>
      </c>
      <c r="C11737" t="s">
        <v>1407</v>
      </c>
      <c r="D11737">
        <v>803</v>
      </c>
      <c r="E11737">
        <v>0</v>
      </c>
      <c r="F11737">
        <v>1049</v>
      </c>
    </row>
    <row r="11738" spans="1:6" ht="12.75">
      <c r="A11738" s="2">
        <v>43880.011145833334</v>
      </c>
      <c r="B11738" t="str">
        <f>HYPERLINK("https://twitter.com/nindaanindhytap","@nindaanindhytap")</f>
        <v>@nindaanindhytap</v>
      </c>
      <c r="C11738" t="s">
        <v>1407</v>
      </c>
      <c r="D11738">
        <v>803</v>
      </c>
      <c r="E11738">
        <v>0</v>
      </c>
      <c r="F11738">
        <v>1840</v>
      </c>
    </row>
    <row r="11739" spans="1:6" ht="12.75">
      <c r="A11739" s="2">
        <v>43880.010972222226</v>
      </c>
      <c r="B11739" t="str">
        <f>HYPERLINK("https://twitter.com/CiuGlempang","@CiuGlempang")</f>
        <v>@CiuGlempang</v>
      </c>
      <c r="C11739" t="s">
        <v>1407</v>
      </c>
      <c r="D11739">
        <v>803</v>
      </c>
      <c r="E11739">
        <v>0</v>
      </c>
      <c r="F11739">
        <v>91</v>
      </c>
    </row>
    <row r="11740" spans="1:6" ht="12.75">
      <c r="A11740" s="2">
        <v>43880.010601851856</v>
      </c>
      <c r="B11740" t="str">
        <f>HYPERLINK("https://twitter.com/Syamsud41732201","@Syamsud41732201")</f>
        <v>@Syamsud41732201</v>
      </c>
      <c r="C11740" t="s">
        <v>5644</v>
      </c>
      <c r="D11740">
        <v>323</v>
      </c>
      <c r="E11740">
        <v>0</v>
      </c>
      <c r="F11740">
        <v>733</v>
      </c>
    </row>
    <row r="11741" spans="1:6" ht="12.75">
      <c r="A11741" s="2">
        <v>43880.010405092587</v>
      </c>
      <c r="B11741" t="str">
        <f>HYPERLINK("https://twitter.com/Woyrob__","@Woyrob__")</f>
        <v>@Woyrob__</v>
      </c>
      <c r="C11741" t="s">
        <v>3340</v>
      </c>
      <c r="D11741">
        <v>339</v>
      </c>
      <c r="E11741">
        <v>0</v>
      </c>
      <c r="F11741">
        <v>971</v>
      </c>
    </row>
    <row r="11742" spans="1:6" ht="12.75">
      <c r="A11742" s="2">
        <v>43880.010347222225</v>
      </c>
      <c r="B11742" t="str">
        <f>HYPERLINK("https://twitter.com/spic4ster","@spic4ster")</f>
        <v>@spic4ster</v>
      </c>
      <c r="C11742" t="s">
        <v>2467</v>
      </c>
      <c r="D11742">
        <v>26</v>
      </c>
      <c r="E11742">
        <v>0</v>
      </c>
      <c r="F11742">
        <v>399</v>
      </c>
    </row>
    <row r="11743" spans="1:6" ht="12.75">
      <c r="A11743" s="2">
        <v>43880.010324074072</v>
      </c>
      <c r="B11743" t="str">
        <f>HYPERLINK("https://twitter.com/iam_lil_jojo","@iam_lil_jojo")</f>
        <v>@iam_lil_jojo</v>
      </c>
      <c r="C11743" t="s">
        <v>6270</v>
      </c>
      <c r="D11743">
        <v>1</v>
      </c>
      <c r="E11743">
        <v>0</v>
      </c>
      <c r="F11743">
        <v>1585</v>
      </c>
    </row>
    <row r="11744" spans="1:6" ht="12.75">
      <c r="A11744" s="2">
        <v>43880.009675925925</v>
      </c>
      <c r="B11744" t="str">
        <f>HYPERLINK("https://twitter.com/Isis_Dirr","@Isis_Dirr")</f>
        <v>@Isis_Dirr</v>
      </c>
      <c r="C11744" t="s">
        <v>6271</v>
      </c>
      <c r="D11744">
        <v>0</v>
      </c>
      <c r="E11744">
        <v>1</v>
      </c>
      <c r="F11744">
        <v>357</v>
      </c>
    </row>
    <row r="11745" spans="1:6" ht="12.75">
      <c r="A11745" s="2">
        <v>43880.009560185186</v>
      </c>
      <c r="B11745" t="str">
        <f>HYPERLINK("https://twitter.com/Sandi_22april","@Sandi_22april")</f>
        <v>@Sandi_22april</v>
      </c>
      <c r="C11745" t="s">
        <v>6201</v>
      </c>
      <c r="D11745">
        <v>563</v>
      </c>
      <c r="E11745">
        <v>0</v>
      </c>
      <c r="F11745">
        <v>692</v>
      </c>
    </row>
    <row r="11746" spans="1:6" ht="12.75">
      <c r="A11746" s="2">
        <v>43880.009143518517</v>
      </c>
      <c r="B11746" t="str">
        <f>HYPERLINK("https://twitter.com/cat_iskucing","@cat_iskucing")</f>
        <v>@cat_iskucing</v>
      </c>
      <c r="C11746" t="s">
        <v>2467</v>
      </c>
      <c r="D11746">
        <v>26</v>
      </c>
      <c r="E11746">
        <v>0</v>
      </c>
      <c r="F11746">
        <v>20</v>
      </c>
    </row>
    <row r="11747" spans="1:6" ht="12.75">
      <c r="A11747" s="2">
        <v>43880.009097222224</v>
      </c>
      <c r="B11747" t="str">
        <f>HYPERLINK("https://twitter.com/kepoaedah","@kepoaedah")</f>
        <v>@kepoaedah</v>
      </c>
      <c r="C11747" t="s">
        <v>6272</v>
      </c>
      <c r="D11747">
        <v>0</v>
      </c>
      <c r="E11747">
        <v>0</v>
      </c>
      <c r="F11747">
        <v>136</v>
      </c>
    </row>
    <row r="11748" spans="1:6" ht="12.75">
      <c r="A11748" s="2">
        <v>43880.009050925924</v>
      </c>
      <c r="B11748" t="str">
        <f>HYPERLINK("https://twitter.com/ezasinagaa","@ezasinagaa")</f>
        <v>@ezasinagaa</v>
      </c>
      <c r="C11748" t="s">
        <v>1407</v>
      </c>
      <c r="D11748">
        <v>803</v>
      </c>
      <c r="E11748">
        <v>0</v>
      </c>
      <c r="F11748">
        <v>391</v>
      </c>
    </row>
    <row r="11749" spans="1:6" ht="12.75">
      <c r="A11749" s="2">
        <v>43880.008715277778</v>
      </c>
      <c r="B11749" t="str">
        <f>HYPERLINK("https://twitter.com/ivanchristi3","@ivanchristi3")</f>
        <v>@ivanchristi3</v>
      </c>
      <c r="C11749" t="s">
        <v>6268</v>
      </c>
      <c r="D11749">
        <v>3</v>
      </c>
      <c r="E11749">
        <v>0</v>
      </c>
      <c r="F11749">
        <v>1645</v>
      </c>
    </row>
    <row r="11750" spans="1:6" ht="12.75">
      <c r="A11750" s="2">
        <v>43880.008564814816</v>
      </c>
      <c r="B11750" t="str">
        <f>HYPERLINK("https://twitter.com/sweetchocopink","@sweetchocopink")</f>
        <v>@sweetchocopink</v>
      </c>
      <c r="C11750" t="s">
        <v>1407</v>
      </c>
      <c r="D11750">
        <v>803</v>
      </c>
      <c r="E11750">
        <v>0</v>
      </c>
      <c r="F11750">
        <v>76</v>
      </c>
    </row>
    <row r="11751" spans="1:6" ht="12.75">
      <c r="A11751" s="2">
        <v>43880.0081712963</v>
      </c>
      <c r="B11751" t="str">
        <f>HYPERLINK("https://twitter.com/telltalefeliks","@telltalefeliks")</f>
        <v>@telltalefeliks</v>
      </c>
      <c r="C11751" t="s">
        <v>6273</v>
      </c>
      <c r="D11751">
        <v>4</v>
      </c>
      <c r="E11751">
        <v>0</v>
      </c>
      <c r="F11751">
        <v>152</v>
      </c>
    </row>
    <row r="11752" spans="1:6" ht="12.75">
      <c r="A11752" s="2">
        <v>43880.0080787037</v>
      </c>
      <c r="B11752" t="str">
        <f>HYPERLINK("https://twitter.com/ivanchristi3","@ivanchristi3")</f>
        <v>@ivanchristi3</v>
      </c>
      <c r="C11752" t="s">
        <v>6274</v>
      </c>
      <c r="D11752">
        <v>3</v>
      </c>
      <c r="E11752">
        <v>1</v>
      </c>
      <c r="F11752">
        <v>1645</v>
      </c>
    </row>
    <row r="11753" spans="1:6" ht="12.75">
      <c r="A11753" s="2">
        <v>43880.008009259254</v>
      </c>
      <c r="B11753" t="str">
        <f>HYPERLINK("https://twitter.com/Paul_Agusta","@Paul_Agusta")</f>
        <v>@Paul_Agusta</v>
      </c>
      <c r="C11753" t="s">
        <v>1407</v>
      </c>
      <c r="D11753">
        <v>803</v>
      </c>
      <c r="E11753">
        <v>0</v>
      </c>
      <c r="F11753">
        <v>7284</v>
      </c>
    </row>
    <row r="11754" spans="1:6" ht="12.75">
      <c r="A11754" s="2">
        <v>43880.007881944446</v>
      </c>
      <c r="B11754" t="str">
        <f>HYPERLINK("https://twitter.com/botol___kosong","@botol___kosong")</f>
        <v>@botol___kosong</v>
      </c>
      <c r="C11754" t="s">
        <v>6089</v>
      </c>
      <c r="D11754">
        <v>5</v>
      </c>
      <c r="E11754">
        <v>0</v>
      </c>
      <c r="F11754">
        <v>218</v>
      </c>
    </row>
    <row r="11755" spans="1:6" ht="12.75">
      <c r="A11755" s="2">
        <v>43880.007858796293</v>
      </c>
      <c r="B11755" t="str">
        <f>HYPERLINK("https://twitter.com/kjrikuching","@kjrikuching")</f>
        <v>@kjrikuching</v>
      </c>
      <c r="C11755" t="s">
        <v>6275</v>
      </c>
      <c r="D11755">
        <v>0</v>
      </c>
      <c r="E11755">
        <v>1</v>
      </c>
      <c r="F11755">
        <v>145</v>
      </c>
    </row>
    <row r="11756" spans="1:6" ht="12.75">
      <c r="A11756" s="2">
        <v>43880.007847222223</v>
      </c>
      <c r="B11756" t="str">
        <f>HYPERLINK("https://twitter.com/sazzahra98","@sazzahra98")</f>
        <v>@sazzahra98</v>
      </c>
      <c r="C11756" t="s">
        <v>6032</v>
      </c>
      <c r="D11756">
        <v>841</v>
      </c>
      <c r="E11756">
        <v>0</v>
      </c>
      <c r="F11756">
        <v>381</v>
      </c>
    </row>
    <row r="11757" spans="1:6" ht="12.75">
      <c r="A11757" s="2">
        <v>43880.001516203702</v>
      </c>
      <c r="B11757" t="str">
        <f>HYPERLINK("https://twitter.com/bernardoes","@bernardoes")</f>
        <v>@bernardoes</v>
      </c>
      <c r="C11757" t="s">
        <v>1407</v>
      </c>
      <c r="D11757">
        <v>737</v>
      </c>
      <c r="E11757">
        <v>0</v>
      </c>
      <c r="F11757">
        <v>60</v>
      </c>
    </row>
    <row r="11758" spans="1:6" ht="12.75">
      <c r="A11758" s="2">
        <v>43880.001064814816</v>
      </c>
      <c r="B11758" t="str">
        <f>HYPERLINK("https://twitter.com/windiarahmatika","@windiarahmatika")</f>
        <v>@windiarahmatika</v>
      </c>
      <c r="C11758" t="s">
        <v>6032</v>
      </c>
      <c r="D11758">
        <v>839</v>
      </c>
      <c r="E11758">
        <v>0</v>
      </c>
      <c r="F11758">
        <v>741</v>
      </c>
    </row>
    <row r="11759" spans="1:6" ht="12.75">
      <c r="A11759" s="2">
        <v>43880.000833333332</v>
      </c>
      <c r="B11759" t="str">
        <f>HYPERLINK("https://twitter.com/Holyso0_","@Holyso0_")</f>
        <v>@Holyso0_</v>
      </c>
      <c r="C11759" t="s">
        <v>1407</v>
      </c>
      <c r="D11759">
        <v>737</v>
      </c>
      <c r="E11759">
        <v>0</v>
      </c>
      <c r="F11759">
        <v>640</v>
      </c>
    </row>
    <row r="11760" spans="1:6" ht="12.75">
      <c r="A11760" s="2">
        <v>43880.00068287037</v>
      </c>
      <c r="B11760" t="str">
        <f>HYPERLINK("https://twitter.com/titinrrusmana","@titinrrusmana")</f>
        <v>@titinrrusmana</v>
      </c>
      <c r="C11760" t="s">
        <v>1407</v>
      </c>
      <c r="D11760">
        <v>737</v>
      </c>
      <c r="E11760">
        <v>0</v>
      </c>
      <c r="F11760">
        <v>259</v>
      </c>
    </row>
    <row r="11761" spans="1:6" ht="12.75">
      <c r="A11761" s="2">
        <v>43880.0003587963</v>
      </c>
      <c r="B11761" t="str">
        <f>HYPERLINK("https://twitter.com/hae_hb","@hae_hb")</f>
        <v>@hae_hb</v>
      </c>
      <c r="C11761" t="s">
        <v>1407</v>
      </c>
      <c r="D11761">
        <v>737</v>
      </c>
      <c r="E11761">
        <v>0</v>
      </c>
      <c r="F11761">
        <v>338</v>
      </c>
    </row>
    <row r="11762" spans="1:6" ht="12.75">
      <c r="A11762" s="2">
        <v>43879.999652777777</v>
      </c>
      <c r="B11762" t="str">
        <f>HYPERLINK("https://twitter.com/naomirayy","@naomirayy")</f>
        <v>@naomirayy</v>
      </c>
      <c r="C11762" t="s">
        <v>1407</v>
      </c>
      <c r="D11762">
        <v>737</v>
      </c>
      <c r="E11762">
        <v>0</v>
      </c>
      <c r="F11762">
        <v>349</v>
      </c>
    </row>
    <row r="11763" spans="1:6" ht="12.75">
      <c r="A11763" s="2">
        <v>43879.999467592592</v>
      </c>
      <c r="B11763" t="str">
        <f>HYPERLINK("https://twitter.com/sariichan93","@sariichan93")</f>
        <v>@sariichan93</v>
      </c>
      <c r="C11763" t="s">
        <v>1407</v>
      </c>
      <c r="D11763">
        <v>737</v>
      </c>
      <c r="E11763">
        <v>0</v>
      </c>
      <c r="F11763">
        <v>545</v>
      </c>
    </row>
    <row r="11764" spans="1:6" ht="12.75">
      <c r="A11764" s="2">
        <v>43879.998587962968</v>
      </c>
      <c r="B11764" t="str">
        <f>HYPERLINK("https://twitter.com/wajahsolehah","@wajahsolehah")</f>
        <v>@wajahsolehah</v>
      </c>
      <c r="C11764" t="s">
        <v>6276</v>
      </c>
      <c r="D11764">
        <v>46</v>
      </c>
      <c r="E11764">
        <v>0</v>
      </c>
      <c r="F11764">
        <v>15</v>
      </c>
    </row>
    <row r="11765" spans="1:6" ht="12.75">
      <c r="A11765" s="2">
        <v>43879.998136574075</v>
      </c>
      <c r="B11765" t="str">
        <f>HYPERLINK("https://twitter.com/indozonemedia","@indozonemedia")</f>
        <v>@indozonemedia</v>
      </c>
      <c r="C11765" t="s">
        <v>6277</v>
      </c>
      <c r="D11765">
        <v>0</v>
      </c>
      <c r="E11765">
        <v>0</v>
      </c>
      <c r="F11765">
        <v>1787950</v>
      </c>
    </row>
    <row r="11766" spans="1:6" ht="12.75">
      <c r="A11766" s="2">
        <v>43879.998090277775</v>
      </c>
      <c r="B11766" t="str">
        <f>HYPERLINK("https://twitter.com/zipsvisz","@zipsvisz")</f>
        <v>@zipsvisz</v>
      </c>
      <c r="C11766" t="s">
        <v>6278</v>
      </c>
      <c r="D11766">
        <v>0</v>
      </c>
      <c r="E11766">
        <v>0</v>
      </c>
      <c r="F11766">
        <v>4</v>
      </c>
    </row>
    <row r="11767" spans="1:6" ht="12.75">
      <c r="A11767" s="2">
        <v>43879.997986111106</v>
      </c>
      <c r="B11767" t="str">
        <f>HYPERLINK("https://twitter.com/lilfreaksss","@lilfreaksss")</f>
        <v>@lilfreaksss</v>
      </c>
      <c r="C11767" t="s">
        <v>1407</v>
      </c>
      <c r="D11767">
        <v>737</v>
      </c>
      <c r="E11767">
        <v>0</v>
      </c>
      <c r="F11767">
        <v>2644</v>
      </c>
    </row>
    <row r="11768" spans="1:6" ht="12.75">
      <c r="A11768" s="2">
        <v>43879.99790509259</v>
      </c>
      <c r="B11768" t="str">
        <f>HYPERLINK("https://twitter.com/sirajapadoha","@sirajapadoha")</f>
        <v>@sirajapadoha</v>
      </c>
      <c r="C11768" t="s">
        <v>6279</v>
      </c>
      <c r="D11768">
        <v>5</v>
      </c>
      <c r="E11768">
        <v>0</v>
      </c>
      <c r="F11768">
        <v>2434</v>
      </c>
    </row>
    <row r="11769" spans="1:6" ht="12.75">
      <c r="A11769" s="2">
        <v>43879.997557870374</v>
      </c>
      <c r="B11769" t="str">
        <f>HYPERLINK("https://twitter.com/xrbtntkloud","@xrbtntkloud")</f>
        <v>@xrbtntkloud</v>
      </c>
      <c r="C11769" t="s">
        <v>1407</v>
      </c>
      <c r="D11769">
        <v>737</v>
      </c>
      <c r="E11769">
        <v>0</v>
      </c>
      <c r="F11769">
        <v>535</v>
      </c>
    </row>
    <row r="11770" spans="1:6" ht="12.75">
      <c r="A11770" s="2">
        <v>43879.997233796297</v>
      </c>
      <c r="B11770" t="str">
        <f>HYPERLINK("https://twitter.com/1hsan","@1hsan")</f>
        <v>@1hsan</v>
      </c>
      <c r="C11770" t="s">
        <v>6273</v>
      </c>
      <c r="D11770">
        <v>3</v>
      </c>
      <c r="E11770">
        <v>0</v>
      </c>
      <c r="F11770">
        <v>235</v>
      </c>
    </row>
    <row r="11771" spans="1:6" ht="12.75">
      <c r="A11771" s="2">
        <v>43879.996944444443</v>
      </c>
      <c r="B11771" t="str">
        <f>HYPERLINK("https://twitter.com/cay612","@cay612")</f>
        <v>@cay612</v>
      </c>
      <c r="C11771" t="s">
        <v>6280</v>
      </c>
      <c r="D11771">
        <v>0</v>
      </c>
      <c r="E11771">
        <v>0</v>
      </c>
      <c r="F11771">
        <v>76</v>
      </c>
    </row>
    <row r="11772" spans="1:6" ht="12.75">
      <c r="A11772" s="2">
        <v>43879.996921296297</v>
      </c>
      <c r="B11772" t="str">
        <f>HYPERLINK("https://twitter.com/AlexanderGantos","@AlexanderGantos")</f>
        <v>@AlexanderGantos</v>
      </c>
      <c r="C11772" t="s">
        <v>6281</v>
      </c>
      <c r="D11772">
        <v>0</v>
      </c>
      <c r="E11772">
        <v>0</v>
      </c>
      <c r="F11772">
        <v>231</v>
      </c>
    </row>
    <row r="11773" spans="1:6" ht="12.75">
      <c r="A11773" s="2">
        <v>43879.996874999997</v>
      </c>
      <c r="B11773" t="str">
        <f>HYPERLINK("https://twitter.com/ennyelf2","@ennyelf2")</f>
        <v>@ennyelf2</v>
      </c>
      <c r="C11773" t="s">
        <v>5702</v>
      </c>
      <c r="D11773">
        <v>184</v>
      </c>
      <c r="E11773">
        <v>0</v>
      </c>
      <c r="F11773">
        <v>333</v>
      </c>
    </row>
    <row r="11774" spans="1:6" ht="12.75">
      <c r="A11774" s="2">
        <v>43879.996840277774</v>
      </c>
      <c r="B11774" t="str">
        <f>HYPERLINK("https://twitter.com/ramadhanSoe","@ramadhanSoe")</f>
        <v>@ramadhanSoe</v>
      </c>
      <c r="C11774" t="s">
        <v>2930</v>
      </c>
      <c r="D11774">
        <v>97</v>
      </c>
      <c r="E11774">
        <v>0</v>
      </c>
      <c r="F11774">
        <v>41</v>
      </c>
    </row>
    <row r="11775" spans="1:6" ht="12.75">
      <c r="A11775" s="2">
        <v>43879.996331018519</v>
      </c>
      <c r="B11775" t="str">
        <f>HYPERLINK("https://twitter.com/LamriaMS","@LamriaMS")</f>
        <v>@LamriaMS</v>
      </c>
      <c r="C11775" t="s">
        <v>5644</v>
      </c>
      <c r="D11775">
        <v>320</v>
      </c>
      <c r="E11775">
        <v>0</v>
      </c>
      <c r="F11775">
        <v>985</v>
      </c>
    </row>
    <row r="11776" spans="1:6" ht="12.75">
      <c r="A11776" s="2">
        <v>43879.996319444443</v>
      </c>
      <c r="B11776" t="str">
        <f>HYPERLINK("https://twitter.com/cukadapur","@cukadapur")</f>
        <v>@cukadapur</v>
      </c>
      <c r="C11776" t="s">
        <v>1407</v>
      </c>
      <c r="D11776">
        <v>737</v>
      </c>
      <c r="E11776">
        <v>0</v>
      </c>
      <c r="F11776">
        <v>1543</v>
      </c>
    </row>
    <row r="11777" spans="1:6" ht="12.75">
      <c r="A11777" s="2">
        <v>43879.996307870373</v>
      </c>
      <c r="B11777" t="str">
        <f>HYPERLINK("https://twitter.com/logarrixma","@logarrixma")</f>
        <v>@logarrixma</v>
      </c>
      <c r="C11777" t="s">
        <v>6032</v>
      </c>
      <c r="D11777">
        <v>839</v>
      </c>
      <c r="E11777">
        <v>0</v>
      </c>
      <c r="F11777">
        <v>681</v>
      </c>
    </row>
    <row r="11778" spans="1:6" ht="12.75">
      <c r="A11778" s="2">
        <v>43879.99628472222</v>
      </c>
      <c r="B11778" t="str">
        <f>HYPERLINK("https://twitter.com/jelukdalemonte","@jelukdalemonte")</f>
        <v>@jelukdalemonte</v>
      </c>
      <c r="C11778" t="s">
        <v>1407</v>
      </c>
      <c r="D11778">
        <v>737</v>
      </c>
      <c r="E11778">
        <v>0</v>
      </c>
      <c r="F11778">
        <v>50</v>
      </c>
    </row>
    <row r="11779" spans="1:6" ht="12.75">
      <c r="A11779" s="2">
        <v>43879.996215277773</v>
      </c>
      <c r="B11779" t="str">
        <f>HYPERLINK("https://twitter.com/baguslag","@baguslag")</f>
        <v>@baguslag</v>
      </c>
      <c r="C11779" t="s">
        <v>1407</v>
      </c>
      <c r="D11779">
        <v>737</v>
      </c>
      <c r="E11779">
        <v>0</v>
      </c>
      <c r="F11779">
        <v>595</v>
      </c>
    </row>
    <row r="11780" spans="1:6" ht="12.75">
      <c r="A11780" s="2">
        <v>43879.996192129634</v>
      </c>
      <c r="B11780" t="str">
        <f>HYPERLINK("https://twitter.com/akibaryou","@akibaryou")</f>
        <v>@akibaryou</v>
      </c>
      <c r="C11780" t="s">
        <v>1407</v>
      </c>
      <c r="D11780">
        <v>737</v>
      </c>
      <c r="E11780">
        <v>0</v>
      </c>
      <c r="F11780">
        <v>1245</v>
      </c>
    </row>
    <row r="11781" spans="1:6" ht="12.75">
      <c r="A11781" s="2">
        <v>43879.995659722219</v>
      </c>
      <c r="B11781" t="str">
        <f>HYPERLINK("https://twitter.com/deelamuhammad","@deelamuhammad")</f>
        <v>@deelamuhammad</v>
      </c>
      <c r="C11781" t="s">
        <v>6282</v>
      </c>
      <c r="D11781">
        <v>0</v>
      </c>
      <c r="E11781">
        <v>2</v>
      </c>
      <c r="F11781">
        <v>1325</v>
      </c>
    </row>
    <row r="11782" spans="1:6" ht="12.75">
      <c r="A11782" s="2">
        <v>43879.995636574073</v>
      </c>
      <c r="B11782" t="str">
        <f>HYPERLINK("https://twitter.com/fachrifatah_","@fachrifatah_")</f>
        <v>@fachrifatah_</v>
      </c>
      <c r="C11782" t="s">
        <v>6283</v>
      </c>
      <c r="D11782">
        <v>2</v>
      </c>
      <c r="E11782">
        <v>0</v>
      </c>
      <c r="F11782">
        <v>82</v>
      </c>
    </row>
    <row r="11783" spans="1:6" ht="12.75">
      <c r="A11783" s="2">
        <v>43879.995636574073</v>
      </c>
      <c r="B11783" t="str">
        <f>HYPERLINK("https://twitter.com/illuminationkey","@illuminationkey")</f>
        <v>@illuminationkey</v>
      </c>
      <c r="C11783" t="s">
        <v>5644</v>
      </c>
      <c r="D11783">
        <v>320</v>
      </c>
      <c r="E11783">
        <v>0</v>
      </c>
      <c r="F11783">
        <v>577</v>
      </c>
    </row>
    <row r="11784" spans="1:6" ht="12.75">
      <c r="A11784" s="2">
        <v>43879.995624999996</v>
      </c>
      <c r="B11784" t="str">
        <f>HYPERLINK("https://twitter.com/bukankakang","@bukankakang")</f>
        <v>@bukankakang</v>
      </c>
      <c r="C11784" t="s">
        <v>6032</v>
      </c>
      <c r="D11784">
        <v>839</v>
      </c>
      <c r="E11784">
        <v>0</v>
      </c>
      <c r="F11784">
        <v>88</v>
      </c>
    </row>
    <row r="11785" spans="1:6" ht="12.75">
      <c r="A11785" s="2">
        <v>43879.995509259257</v>
      </c>
      <c r="B11785" t="str">
        <f>HYPERLINK("https://twitter.com/wbtvportal","@wbtvportal")</f>
        <v>@wbtvportal</v>
      </c>
      <c r="C11785" t="s">
        <v>6284</v>
      </c>
      <c r="D11785">
        <v>0</v>
      </c>
      <c r="E11785">
        <v>0</v>
      </c>
      <c r="F11785">
        <v>198</v>
      </c>
    </row>
    <row r="11786" spans="1:6" ht="12.75">
      <c r="A11786" s="2">
        <v>43879.995358796295</v>
      </c>
      <c r="B11786" t="str">
        <f>HYPERLINK("https://twitter.com/ekiekiko","@ekiekiko")</f>
        <v>@ekiekiko</v>
      </c>
      <c r="C11786" t="s">
        <v>1407</v>
      </c>
      <c r="D11786">
        <v>737</v>
      </c>
      <c r="E11786">
        <v>0</v>
      </c>
      <c r="F11786">
        <v>1205</v>
      </c>
    </row>
    <row r="11787" spans="1:6" ht="12.75">
      <c r="A11787" s="2">
        <v>43879.995150462964</v>
      </c>
      <c r="B11787" t="str">
        <f>HYPERLINK("https://twitter.com/May_amafarr","@May_amafarr")</f>
        <v>@May_amafarr</v>
      </c>
      <c r="C11787" t="s">
        <v>1407</v>
      </c>
      <c r="D11787">
        <v>737</v>
      </c>
      <c r="E11787">
        <v>0</v>
      </c>
      <c r="F11787">
        <v>8</v>
      </c>
    </row>
    <row r="11788" spans="1:6" ht="12.75">
      <c r="A11788" s="2">
        <v>43879.995057870372</v>
      </c>
      <c r="B11788" t="str">
        <f>HYPERLINK("https://twitter.com/dpradigdoutomo","@dpradigdoutomo")</f>
        <v>@dpradigdoutomo</v>
      </c>
      <c r="C11788" t="s">
        <v>1407</v>
      </c>
      <c r="D11788">
        <v>737</v>
      </c>
      <c r="E11788">
        <v>0</v>
      </c>
      <c r="F11788">
        <v>102</v>
      </c>
    </row>
    <row r="11789" spans="1:6" ht="12.75">
      <c r="A11789" s="2">
        <v>43879.994988425926</v>
      </c>
      <c r="B11789" t="str">
        <f>HYPERLINK("https://twitter.com/infoajus","@infoajus")</f>
        <v>@infoajus</v>
      </c>
      <c r="C11789" t="s">
        <v>1407</v>
      </c>
      <c r="D11789">
        <v>737</v>
      </c>
      <c r="E11789">
        <v>0</v>
      </c>
      <c r="F11789">
        <v>742</v>
      </c>
    </row>
    <row r="11790" spans="1:6" ht="12.75">
      <c r="A11790" s="2">
        <v>43879.99486111111</v>
      </c>
      <c r="B11790" t="str">
        <f>HYPERLINK("https://twitter.com/drunkhys","@drunkhys")</f>
        <v>@drunkhys</v>
      </c>
      <c r="C11790" t="s">
        <v>1407</v>
      </c>
      <c r="D11790">
        <v>737</v>
      </c>
      <c r="E11790">
        <v>0</v>
      </c>
      <c r="F11790">
        <v>1020</v>
      </c>
    </row>
    <row r="11791" spans="1:6" ht="12.75">
      <c r="A11791" s="2">
        <v>43879.994560185187</v>
      </c>
      <c r="B11791" t="str">
        <f>HYPERLINK("https://twitter.com/anfadhila_","@anfadhila_")</f>
        <v>@anfadhila_</v>
      </c>
      <c r="C11791" t="s">
        <v>6207</v>
      </c>
      <c r="D11791">
        <v>54</v>
      </c>
      <c r="E11791">
        <v>0</v>
      </c>
      <c r="F11791">
        <v>267</v>
      </c>
    </row>
    <row r="11792" spans="1:6" ht="12.75">
      <c r="A11792" s="2">
        <v>43879.994490740741</v>
      </c>
      <c r="B11792" t="str">
        <f>HYPERLINK("https://twitter.com/claudyawest","@claudyawest")</f>
        <v>@claudyawest</v>
      </c>
      <c r="C11792" t="s">
        <v>5644</v>
      </c>
      <c r="D11792">
        <v>320</v>
      </c>
      <c r="E11792">
        <v>0</v>
      </c>
      <c r="F11792">
        <v>847</v>
      </c>
    </row>
    <row r="11793" spans="1:6" ht="12.75">
      <c r="A11793" s="2">
        <v>43879.994328703702</v>
      </c>
      <c r="B11793" t="str">
        <f>HYPERLINK("https://twitter.com/Robiulfadli1","@Robiulfadli1")</f>
        <v>@Robiulfadli1</v>
      </c>
      <c r="C11793" t="s">
        <v>2930</v>
      </c>
      <c r="D11793">
        <v>97</v>
      </c>
      <c r="E11793">
        <v>0</v>
      </c>
      <c r="F11793">
        <v>4</v>
      </c>
    </row>
    <row r="11794" spans="1:6" ht="12.75">
      <c r="A11794" s="2">
        <v>43879.993877314817</v>
      </c>
      <c r="B11794" t="str">
        <f>HYPERLINK("https://twitter.com/BaffaBashir2","@BaffaBashir2")</f>
        <v>@BaffaBashir2</v>
      </c>
      <c r="C11794" t="s">
        <v>6285</v>
      </c>
      <c r="D11794">
        <v>0</v>
      </c>
      <c r="E11794">
        <v>1</v>
      </c>
      <c r="F11794">
        <v>781</v>
      </c>
    </row>
    <row r="11795" spans="1:6" ht="12.75">
      <c r="A11795" s="2">
        <v>43879.992962962962</v>
      </c>
      <c r="B11795" t="str">
        <f>HYPERLINK("https://twitter.com/sleephead_","@sleephead_")</f>
        <v>@sleephead_</v>
      </c>
      <c r="C11795" t="s">
        <v>1407</v>
      </c>
      <c r="D11795">
        <v>737</v>
      </c>
      <c r="E11795">
        <v>0</v>
      </c>
      <c r="F11795">
        <v>3</v>
      </c>
    </row>
    <row r="11796" spans="1:6" ht="12.75">
      <c r="A11796" s="2">
        <v>43879.992800925931</v>
      </c>
      <c r="B11796" t="str">
        <f>HYPERLINK("https://twitter.com/syadzdhira","@syadzdhira")</f>
        <v>@syadzdhira</v>
      </c>
      <c r="C11796" t="s">
        <v>1407</v>
      </c>
      <c r="D11796">
        <v>737</v>
      </c>
      <c r="E11796">
        <v>0</v>
      </c>
      <c r="F11796">
        <v>245</v>
      </c>
    </row>
    <row r="11797" spans="1:6" ht="12.75">
      <c r="A11797" s="2">
        <v>43879.992673611108</v>
      </c>
      <c r="B11797" t="str">
        <f>HYPERLINK("https://twitter.com/akmalsofiandy","@akmalsofiandy")</f>
        <v>@akmalsofiandy</v>
      </c>
      <c r="C11797" t="s">
        <v>6286</v>
      </c>
      <c r="D11797">
        <v>0</v>
      </c>
      <c r="E11797">
        <v>0</v>
      </c>
      <c r="F11797">
        <v>821</v>
      </c>
    </row>
    <row r="11798" spans="1:6" ht="12.75">
      <c r="A11798" s="2">
        <v>43879.991990740746</v>
      </c>
      <c r="B11798" t="str">
        <f>HYPERLINK("https://twitter.com/httphiraeth","@httphiraeth")</f>
        <v>@httphiraeth</v>
      </c>
      <c r="C11798" t="s">
        <v>1407</v>
      </c>
      <c r="D11798">
        <v>737</v>
      </c>
      <c r="E11798">
        <v>0</v>
      </c>
      <c r="F11798">
        <v>113</v>
      </c>
    </row>
    <row r="11799" spans="1:6" ht="12.75">
      <c r="A11799" s="2">
        <v>43879.9919212963</v>
      </c>
      <c r="B11799" t="str">
        <f>HYPERLINK("https://twitter.com/claraipe","@claraipe")</f>
        <v>@claraipe</v>
      </c>
      <c r="C11799" t="s">
        <v>1407</v>
      </c>
      <c r="D11799">
        <v>737</v>
      </c>
      <c r="E11799">
        <v>0</v>
      </c>
      <c r="F11799">
        <v>478</v>
      </c>
    </row>
    <row r="11800" spans="1:6" ht="12.75">
      <c r="A11800" s="2">
        <v>43879.991319444445</v>
      </c>
      <c r="B11800" t="str">
        <f>HYPERLINK("https://twitter.com/calvinyounglee","@calvinyounglee")</f>
        <v>@calvinyounglee</v>
      </c>
      <c r="C11800" t="s">
        <v>6287</v>
      </c>
      <c r="D11800">
        <v>11</v>
      </c>
      <c r="E11800">
        <v>0</v>
      </c>
      <c r="F11800">
        <v>385</v>
      </c>
    </row>
    <row r="11801" spans="1:6" ht="12.75">
      <c r="A11801" s="2">
        <v>43879.991238425922</v>
      </c>
      <c r="B11801" t="str">
        <f>HYPERLINK("https://twitter.com/KilljoyYadi","@KilljoyYadi")</f>
        <v>@KilljoyYadi</v>
      </c>
      <c r="C11801" t="s">
        <v>6288</v>
      </c>
      <c r="D11801">
        <v>0</v>
      </c>
      <c r="E11801">
        <v>0</v>
      </c>
      <c r="F11801">
        <v>194</v>
      </c>
    </row>
    <row r="11802" spans="1:6" ht="12.75">
      <c r="A11802" s="2">
        <v>43879.990925925929</v>
      </c>
      <c r="B11802" t="str">
        <f>HYPERLINK("https://twitter.com/rinoasquall_","@rinoasquall_")</f>
        <v>@rinoasquall_</v>
      </c>
      <c r="C11802" t="s">
        <v>6289</v>
      </c>
      <c r="D11802">
        <v>2</v>
      </c>
      <c r="E11802">
        <v>0</v>
      </c>
      <c r="F11802">
        <v>531</v>
      </c>
    </row>
    <row r="11803" spans="1:6" ht="12.75">
      <c r="A11803" s="2">
        <v>43879.990775462968</v>
      </c>
      <c r="B11803" t="str">
        <f>HYPERLINK("https://twitter.com/nandaprtiwi","@nandaprtiwi")</f>
        <v>@nandaprtiwi</v>
      </c>
      <c r="C11803" t="s">
        <v>6032</v>
      </c>
      <c r="D11803">
        <v>839</v>
      </c>
      <c r="E11803">
        <v>0</v>
      </c>
      <c r="F11803">
        <v>290</v>
      </c>
    </row>
    <row r="11804" spans="1:6" ht="12.75">
      <c r="A11804" s="2">
        <v>43879.990752314814</v>
      </c>
      <c r="B11804" t="str">
        <f>HYPERLINK("https://twitter.com/ichachasanofa","@ichachasanofa")</f>
        <v>@ichachasanofa</v>
      </c>
      <c r="C11804" t="s">
        <v>5702</v>
      </c>
      <c r="D11804">
        <v>184</v>
      </c>
      <c r="E11804">
        <v>0</v>
      </c>
      <c r="F11804">
        <v>173</v>
      </c>
    </row>
    <row r="11805" spans="1:6" ht="12.75">
      <c r="A11805" s="2">
        <v>43879.99013888889</v>
      </c>
      <c r="B11805" t="str">
        <f>HYPERLINK("https://twitter.com/MaritaNRS","@MaritaNRS")</f>
        <v>@MaritaNRS</v>
      </c>
      <c r="C11805" t="s">
        <v>1407</v>
      </c>
      <c r="D11805">
        <v>737</v>
      </c>
      <c r="E11805">
        <v>0</v>
      </c>
      <c r="F11805">
        <v>404</v>
      </c>
    </row>
    <row r="11806" spans="1:6" ht="12.75">
      <c r="A11806" s="2">
        <v>43879.990115740744</v>
      </c>
      <c r="B11806" t="str">
        <f>HYPERLINK("https://twitter.com/Muhammad_Ridlo","@Muhammad_Ridlo")</f>
        <v>@Muhammad_Ridlo</v>
      </c>
      <c r="C11806" t="s">
        <v>1407</v>
      </c>
      <c r="D11806">
        <v>737</v>
      </c>
      <c r="E11806">
        <v>0</v>
      </c>
      <c r="F11806">
        <v>554</v>
      </c>
    </row>
    <row r="11807" spans="1:6" ht="12.75">
      <c r="A11807" s="2">
        <v>43879.98946759259</v>
      </c>
      <c r="B11807" t="str">
        <f>HYPERLINK("https://twitter.com/rinoasquall_","@rinoasquall_")</f>
        <v>@rinoasquall_</v>
      </c>
      <c r="C11807" t="s">
        <v>6264</v>
      </c>
      <c r="D11807">
        <v>2</v>
      </c>
      <c r="E11807">
        <v>0</v>
      </c>
      <c r="F11807">
        <v>531</v>
      </c>
    </row>
    <row r="11808" spans="1:6" ht="12.75">
      <c r="A11808" s="2">
        <v>43879.989386574074</v>
      </c>
      <c r="B11808" t="str">
        <f>HYPERLINK("https://twitter.com/real_gooddd","@real_gooddd")</f>
        <v>@real_gooddd</v>
      </c>
      <c r="C11808" t="s">
        <v>1407</v>
      </c>
      <c r="D11808">
        <v>737</v>
      </c>
      <c r="E11808">
        <v>0</v>
      </c>
      <c r="F11808">
        <v>23</v>
      </c>
    </row>
    <row r="11809" spans="1:6" ht="12.75">
      <c r="A11809" s="2">
        <v>43879.989212962959</v>
      </c>
      <c r="B11809" t="str">
        <f>HYPERLINK("https://twitter.com/EuisAkbana","@EuisAkbana")</f>
        <v>@EuisAkbana</v>
      </c>
      <c r="C11809" t="s">
        <v>1407</v>
      </c>
      <c r="D11809">
        <v>737</v>
      </c>
      <c r="E11809">
        <v>0</v>
      </c>
      <c r="F11809">
        <v>1002</v>
      </c>
    </row>
    <row r="11810" spans="1:6" ht="12.75">
      <c r="A11810" s="2">
        <v>43879.989120370374</v>
      </c>
      <c r="B11810" t="str">
        <f>HYPERLINK("https://twitter.com/Cumimozarela","@Cumimozarela")</f>
        <v>@Cumimozarela</v>
      </c>
      <c r="C11810" t="s">
        <v>1407</v>
      </c>
      <c r="D11810">
        <v>737</v>
      </c>
      <c r="E11810">
        <v>0</v>
      </c>
      <c r="F11810">
        <v>329</v>
      </c>
    </row>
    <row r="11811" spans="1:6" ht="12.75">
      <c r="A11811" s="2">
        <v>43879.989108796297</v>
      </c>
      <c r="B11811" t="str">
        <f>HYPERLINK("https://twitter.com/windxstorm","@windxstorm")</f>
        <v>@windxstorm</v>
      </c>
      <c r="C11811" t="s">
        <v>1407</v>
      </c>
      <c r="D11811">
        <v>737</v>
      </c>
      <c r="E11811">
        <v>0</v>
      </c>
      <c r="F11811">
        <v>152</v>
      </c>
    </row>
    <row r="11812" spans="1:6" ht="12.75">
      <c r="A11812" s="2">
        <v>43879.989039351851</v>
      </c>
      <c r="B11812" t="str">
        <f>HYPERLINK("https://twitter.com/chesaryudha","@chesaryudha")</f>
        <v>@chesaryudha</v>
      </c>
      <c r="C11812" t="s">
        <v>5702</v>
      </c>
      <c r="D11812">
        <v>184</v>
      </c>
      <c r="E11812">
        <v>0</v>
      </c>
      <c r="F11812">
        <v>639</v>
      </c>
    </row>
    <row r="11813" spans="1:6" ht="12.75">
      <c r="A11813" s="2">
        <v>43879.988969907412</v>
      </c>
      <c r="B11813" t="str">
        <f>HYPERLINK("https://twitter.com/idpenamini","@idpenamini")</f>
        <v>@idpenamini</v>
      </c>
      <c r="C11813" t="s">
        <v>6290</v>
      </c>
      <c r="D11813">
        <v>0</v>
      </c>
      <c r="E11813">
        <v>0</v>
      </c>
      <c r="F11813">
        <v>169</v>
      </c>
    </row>
    <row r="11814" spans="1:6" ht="12.75">
      <c r="A11814" s="2">
        <v>43879.988668981481</v>
      </c>
      <c r="B11814" t="str">
        <f>HYPERLINK("https://twitter.com/divinelilacsky","@divinelilacsky")</f>
        <v>@divinelilacsky</v>
      </c>
      <c r="C11814" t="s">
        <v>1407</v>
      </c>
      <c r="D11814">
        <v>737</v>
      </c>
      <c r="E11814">
        <v>0</v>
      </c>
      <c r="F11814">
        <v>804</v>
      </c>
    </row>
    <row r="11815" spans="1:6" ht="12.75">
      <c r="A11815" s="2">
        <v>43879.988356481481</v>
      </c>
      <c r="B11815" t="str">
        <f>HYPERLINK("https://twitter.com/ISIS_Balik_NO","@ISIS_Balik_NO")</f>
        <v>@ISIS_Balik_NO</v>
      </c>
      <c r="C11815" t="s">
        <v>6291</v>
      </c>
      <c r="D11815">
        <v>0</v>
      </c>
      <c r="E11815">
        <v>0</v>
      </c>
      <c r="F11815">
        <v>6040</v>
      </c>
    </row>
    <row r="11816" spans="1:6" ht="12.75">
      <c r="A11816" s="2">
        <v>43879.988310185188</v>
      </c>
      <c r="B11816" t="str">
        <f>HYPERLINK("https://twitter.com/sepertitombol","@sepertitombol")</f>
        <v>@sepertitombol</v>
      </c>
      <c r="C11816" t="s">
        <v>1407</v>
      </c>
      <c r="D11816">
        <v>737</v>
      </c>
      <c r="E11816">
        <v>0</v>
      </c>
      <c r="F11816">
        <v>262</v>
      </c>
    </row>
    <row r="11817" spans="1:6" ht="12.75">
      <c r="A11817" s="2">
        <v>43879.988310185188</v>
      </c>
      <c r="B11817" t="str">
        <f>HYPERLINK("https://twitter.com/vinnaRiz","@vinnaRiz")</f>
        <v>@vinnaRiz</v>
      </c>
      <c r="C11817" t="s">
        <v>1407</v>
      </c>
      <c r="D11817">
        <v>737</v>
      </c>
      <c r="E11817">
        <v>0</v>
      </c>
      <c r="F11817">
        <v>1074</v>
      </c>
    </row>
    <row r="11818" spans="1:6" ht="12.75">
      <c r="A11818" s="2">
        <v>43879.987881944442</v>
      </c>
      <c r="B11818" t="str">
        <f>HYPERLINK("https://twitter.com/cay612","@cay612")</f>
        <v>@cay612</v>
      </c>
      <c r="C11818" t="s">
        <v>6292</v>
      </c>
      <c r="D11818">
        <v>0</v>
      </c>
      <c r="E11818">
        <v>0</v>
      </c>
      <c r="F11818">
        <v>76</v>
      </c>
    </row>
    <row r="11819" spans="1:6" ht="12.75">
      <c r="A11819" s="2">
        <v>43879.987858796296</v>
      </c>
      <c r="B11819" t="str">
        <f>HYPERLINK("https://twitter.com/awanxbaia","@awanxbaia")</f>
        <v>@awanxbaia</v>
      </c>
      <c r="C11819" t="s">
        <v>6293</v>
      </c>
      <c r="D11819">
        <v>0</v>
      </c>
      <c r="E11819">
        <v>0</v>
      </c>
      <c r="F11819">
        <v>1042</v>
      </c>
    </row>
    <row r="11820" spans="1:6" ht="12.75">
      <c r="A11820" s="2">
        <v>43879.987303240741</v>
      </c>
      <c r="B11820" t="str">
        <f>HYPERLINK("https://twitter.com/d0n_yayak","@d0n_yayak")</f>
        <v>@d0n_yayak</v>
      </c>
      <c r="C11820" t="s">
        <v>6294</v>
      </c>
      <c r="D11820">
        <v>2</v>
      </c>
      <c r="E11820">
        <v>0</v>
      </c>
      <c r="F11820">
        <v>1053</v>
      </c>
    </row>
    <row r="11821" spans="1:6" ht="12.75">
      <c r="A11821" s="2">
        <v>43879.986666666664</v>
      </c>
      <c r="B11821" t="str">
        <f>HYPERLINK("https://twitter.com/francescology_","@francescology_")</f>
        <v>@francescology_</v>
      </c>
      <c r="C11821" t="s">
        <v>1407</v>
      </c>
      <c r="D11821">
        <v>737</v>
      </c>
      <c r="E11821">
        <v>0</v>
      </c>
      <c r="F11821">
        <v>346</v>
      </c>
    </row>
    <row r="11822" spans="1:6" ht="12.75">
      <c r="A11822" s="2">
        <v>43879.986435185187</v>
      </c>
      <c r="B11822" t="str">
        <f>HYPERLINK("https://twitter.com/latannnsa","@latannnsa")</f>
        <v>@latannnsa</v>
      </c>
      <c r="C11822" t="s">
        <v>1407</v>
      </c>
      <c r="D11822">
        <v>737</v>
      </c>
      <c r="E11822">
        <v>0</v>
      </c>
      <c r="F11822">
        <v>312</v>
      </c>
    </row>
    <row r="11823" spans="1:6" ht="12.75">
      <c r="A11823" s="2">
        <v>43879.986400462964</v>
      </c>
      <c r="B11823" t="str">
        <f>HYPERLINK("https://twitter.com/ISIS_Balik_NO","@ISIS_Balik_NO")</f>
        <v>@ISIS_Balik_NO</v>
      </c>
      <c r="C11823" t="s">
        <v>6295</v>
      </c>
      <c r="D11823">
        <v>0</v>
      </c>
      <c r="E11823">
        <v>0</v>
      </c>
      <c r="F11823">
        <v>6040</v>
      </c>
    </row>
    <row r="11824" spans="1:6" ht="12.75">
      <c r="A11824" s="2">
        <v>43879.986238425925</v>
      </c>
      <c r="B11824" t="str">
        <f>HYPERLINK("https://twitter.com/ayanaonnn","@ayanaonnn")</f>
        <v>@ayanaonnn</v>
      </c>
      <c r="C11824" t="s">
        <v>1407</v>
      </c>
      <c r="D11824">
        <v>737</v>
      </c>
      <c r="E11824">
        <v>0</v>
      </c>
      <c r="F11824">
        <v>55</v>
      </c>
    </row>
    <row r="11825" spans="1:6" ht="12.75">
      <c r="A11825" s="2">
        <v>43879.986157407402</v>
      </c>
      <c r="B11825" t="str">
        <f>HYPERLINK("https://twitter.com/istiqomah_26","@istiqomah_26")</f>
        <v>@istiqomah_26</v>
      </c>
      <c r="C11825" t="s">
        <v>5982</v>
      </c>
      <c r="D11825">
        <v>64</v>
      </c>
      <c r="E11825">
        <v>0</v>
      </c>
      <c r="F11825">
        <v>400</v>
      </c>
    </row>
    <row r="11826" spans="1:6" ht="12.75">
      <c r="A11826" s="2">
        <v>43879.986041666663</v>
      </c>
      <c r="B11826" t="str">
        <f>HYPERLINK("https://twitter.com/hemaviton99","@hemaviton99")</f>
        <v>@hemaviton99</v>
      </c>
      <c r="C11826" t="s">
        <v>6273</v>
      </c>
      <c r="D11826">
        <v>3</v>
      </c>
      <c r="E11826">
        <v>0</v>
      </c>
      <c r="F11826">
        <v>4061</v>
      </c>
    </row>
    <row r="11827" spans="1:6" ht="12.75">
      <c r="A11827" s="2">
        <v>43879.985578703709</v>
      </c>
      <c r="B11827" t="str">
        <f>HYPERLINK("https://twitter.com/gidry3","@gidry3")</f>
        <v>@gidry3</v>
      </c>
      <c r="C11827" t="s">
        <v>6296</v>
      </c>
      <c r="D11827">
        <v>0</v>
      </c>
      <c r="E11827">
        <v>0</v>
      </c>
      <c r="F11827">
        <v>33</v>
      </c>
    </row>
    <row r="11828" spans="1:6" ht="12.75">
      <c r="A11828" s="2">
        <v>43879.985486111109</v>
      </c>
      <c r="B11828" t="str">
        <f>HYPERLINK("https://twitter.com/kompascom","@kompascom")</f>
        <v>@kompascom</v>
      </c>
      <c r="C11828" t="s">
        <v>6297</v>
      </c>
      <c r="D11828">
        <v>3</v>
      </c>
      <c r="E11828">
        <v>14</v>
      </c>
      <c r="F11828">
        <v>7503020</v>
      </c>
    </row>
    <row r="11829" spans="1:6" ht="12.75">
      <c r="A11829" s="2">
        <v>43879.985439814816</v>
      </c>
      <c r="B11829" t="str">
        <f>HYPERLINK("https://twitter.com/littlel8ght","@littlel8ght")</f>
        <v>@littlel8ght</v>
      </c>
      <c r="C11829" t="s">
        <v>1407</v>
      </c>
      <c r="D11829">
        <v>737</v>
      </c>
      <c r="E11829">
        <v>0</v>
      </c>
      <c r="F11829">
        <v>423</v>
      </c>
    </row>
    <row r="11830" spans="1:6" ht="12.75">
      <c r="A11830" s="2">
        <v>43879.984664351854</v>
      </c>
      <c r="B11830" t="str">
        <f>HYPERLINK("https://twitter.com/mutmarnut","@mutmarnut")</f>
        <v>@mutmarnut</v>
      </c>
      <c r="C11830" t="s">
        <v>6256</v>
      </c>
      <c r="D11830">
        <v>23</v>
      </c>
      <c r="E11830">
        <v>0</v>
      </c>
      <c r="F11830">
        <v>60</v>
      </c>
    </row>
    <row r="11831" spans="1:6" ht="12.75">
      <c r="A11831" s="2">
        <v>43879.984652777777</v>
      </c>
      <c r="B11831" t="str">
        <f>HYPERLINK("https://twitter.com/Nalzr_","@Nalzr_")</f>
        <v>@Nalzr_</v>
      </c>
      <c r="C11831" t="s">
        <v>1407</v>
      </c>
      <c r="D11831">
        <v>737</v>
      </c>
      <c r="E11831">
        <v>0</v>
      </c>
      <c r="F11831">
        <v>10534</v>
      </c>
    </row>
    <row r="11832" spans="1:6" ht="12.75">
      <c r="A11832" s="2">
        <v>43879.9840625</v>
      </c>
      <c r="B11832" t="str">
        <f>HYPERLINK("https://twitter.com/__beritaterkini","@__beritaterkini")</f>
        <v>@__beritaterkini</v>
      </c>
      <c r="C11832" t="s">
        <v>6298</v>
      </c>
      <c r="D11832">
        <v>0</v>
      </c>
      <c r="E11832">
        <v>0</v>
      </c>
      <c r="F11832">
        <v>448</v>
      </c>
    </row>
    <row r="11833" spans="1:6" ht="12.75">
      <c r="A11833" s="2">
        <v>43879.983912037038</v>
      </c>
      <c r="B11833" t="str">
        <f>HYPERLINK("https://twitter.com/rhamseycha","@rhamseycha")</f>
        <v>@rhamseycha</v>
      </c>
      <c r="C11833" t="s">
        <v>5702</v>
      </c>
      <c r="D11833">
        <v>184</v>
      </c>
      <c r="E11833">
        <v>0</v>
      </c>
      <c r="F11833">
        <v>269</v>
      </c>
    </row>
    <row r="11834" spans="1:6" ht="12.75">
      <c r="A11834" s="2">
        <v>43879.983715277776</v>
      </c>
      <c r="B11834" t="str">
        <f>HYPERLINK("https://twitter.com/ISIS_Balik_NO","@ISIS_Balik_NO")</f>
        <v>@ISIS_Balik_NO</v>
      </c>
      <c r="C11834" t="s">
        <v>6299</v>
      </c>
      <c r="D11834">
        <v>0</v>
      </c>
      <c r="E11834">
        <v>1</v>
      </c>
      <c r="F11834">
        <v>6040</v>
      </c>
    </row>
    <row r="11835" spans="1:6" ht="12.75">
      <c r="A11835" s="2">
        <v>43879.983553240745</v>
      </c>
      <c r="B11835" t="str">
        <f>HYPERLINK("https://twitter.com/dewo0789","@dewo0789")</f>
        <v>@dewo0789</v>
      </c>
      <c r="C11835" t="s">
        <v>6300</v>
      </c>
      <c r="D11835">
        <v>0</v>
      </c>
      <c r="E11835">
        <v>0</v>
      </c>
      <c r="F11835">
        <v>138</v>
      </c>
    </row>
    <row r="11836" spans="1:6" ht="12.75">
      <c r="A11836" s="2">
        <v>43879.983530092592</v>
      </c>
      <c r="B11836" t="str">
        <f>HYPERLINK("https://twitter.com/sowieich_","@sowieich_")</f>
        <v>@sowieich_</v>
      </c>
      <c r="C11836" t="s">
        <v>1407</v>
      </c>
      <c r="D11836">
        <v>737</v>
      </c>
      <c r="E11836">
        <v>0</v>
      </c>
      <c r="F11836">
        <v>502</v>
      </c>
    </row>
    <row r="11837" spans="1:6" ht="12.75">
      <c r="A11837" s="2">
        <v>43879.983506944445</v>
      </c>
      <c r="B11837" t="str">
        <f>HYPERLINK("https://twitter.com/YourMiracleGirl","@YourMiracleGirl")</f>
        <v>@YourMiracleGirl</v>
      </c>
      <c r="C11837" t="s">
        <v>1407</v>
      </c>
      <c r="D11837">
        <v>737</v>
      </c>
      <c r="E11837">
        <v>0</v>
      </c>
      <c r="F11837">
        <v>686</v>
      </c>
    </row>
    <row r="11838" spans="1:6" ht="12.75">
      <c r="A11838" s="2">
        <v>43879.983472222222</v>
      </c>
      <c r="B11838" t="str">
        <f>HYPERLINK("https://twitter.com/inithella","@inithella")</f>
        <v>@inithella</v>
      </c>
      <c r="C11838" t="s">
        <v>2467</v>
      </c>
      <c r="D11838">
        <v>18</v>
      </c>
      <c r="E11838">
        <v>0</v>
      </c>
      <c r="F11838">
        <v>3902</v>
      </c>
    </row>
    <row r="11839" spans="1:6" ht="12.75">
      <c r="A11839" s="2">
        <v>43879.983240740738</v>
      </c>
      <c r="B11839" t="str">
        <f>HYPERLINK("https://twitter.com/raudhatulll","@raudhatulll")</f>
        <v>@raudhatulll</v>
      </c>
      <c r="C11839" t="s">
        <v>1407</v>
      </c>
      <c r="D11839">
        <v>737</v>
      </c>
      <c r="E11839">
        <v>0</v>
      </c>
      <c r="F11839">
        <v>646</v>
      </c>
    </row>
    <row r="11840" spans="1:6" ht="12.75">
      <c r="A11840" s="2">
        <v>43879.983043981483</v>
      </c>
      <c r="B11840" t="str">
        <f>HYPERLINK("https://twitter.com/CangAbas","@CangAbas")</f>
        <v>@CangAbas</v>
      </c>
      <c r="C11840" t="s">
        <v>6301</v>
      </c>
      <c r="D11840">
        <v>6</v>
      </c>
      <c r="E11840">
        <v>0</v>
      </c>
      <c r="F11840">
        <v>96</v>
      </c>
    </row>
    <row r="11841" spans="1:6" ht="12.75">
      <c r="A11841" s="2">
        <v>43879.982905092591</v>
      </c>
      <c r="B11841" t="str">
        <f>HYPERLINK("https://twitter.com/3Imanuel","@3Imanuel")</f>
        <v>@3Imanuel</v>
      </c>
      <c r="C11841" t="s">
        <v>6302</v>
      </c>
      <c r="D11841">
        <v>0</v>
      </c>
      <c r="E11841">
        <v>0</v>
      </c>
      <c r="F11841">
        <v>462</v>
      </c>
    </row>
    <row r="11842" spans="1:6" ht="12.75">
      <c r="A11842" s="2">
        <v>43879.982893518521</v>
      </c>
      <c r="B11842" t="str">
        <f>HYPERLINK("https://twitter.com/mbak_mace","@mbak_mace")</f>
        <v>@mbak_mace</v>
      </c>
      <c r="C11842" t="s">
        <v>6255</v>
      </c>
      <c r="D11842">
        <v>12</v>
      </c>
      <c r="E11842">
        <v>0</v>
      </c>
      <c r="F11842">
        <v>121</v>
      </c>
    </row>
    <row r="11843" spans="1:6" ht="12.75">
      <c r="A11843" s="2">
        <v>43879.982893518521</v>
      </c>
      <c r="B11843" t="str">
        <f>HYPERLINK("https://twitter.com/medcom_id","@medcom_id")</f>
        <v>@medcom_id</v>
      </c>
      <c r="C11843" t="s">
        <v>6303</v>
      </c>
      <c r="D11843">
        <v>0</v>
      </c>
      <c r="E11843">
        <v>0</v>
      </c>
      <c r="F11843">
        <v>18249</v>
      </c>
    </row>
    <row r="11844" spans="1:6" ht="12.75">
      <c r="A11844" s="2">
        <v>43879.982731481483</v>
      </c>
      <c r="B11844" t="str">
        <f>HYPERLINK("https://twitter.com/nityachnd_","@nityachnd_")</f>
        <v>@nityachnd_</v>
      </c>
      <c r="C11844" t="s">
        <v>1407</v>
      </c>
      <c r="D11844">
        <v>737</v>
      </c>
      <c r="E11844">
        <v>0</v>
      </c>
      <c r="F11844">
        <v>437</v>
      </c>
    </row>
    <row r="11845" spans="1:6" ht="12.75">
      <c r="A11845" s="2">
        <v>43879.982708333337</v>
      </c>
      <c r="B11845" t="str">
        <f>HYPERLINK("https://twitter.com/forddyce92","@forddyce92")</f>
        <v>@forddyce92</v>
      </c>
      <c r="C11845" t="s">
        <v>6304</v>
      </c>
      <c r="D11845">
        <v>0</v>
      </c>
      <c r="E11845">
        <v>0</v>
      </c>
      <c r="F11845">
        <v>25</v>
      </c>
    </row>
    <row r="11846" spans="1:6" ht="12.75">
      <c r="A11846" s="2">
        <v>43879.98269675926</v>
      </c>
      <c r="B11846" t="str">
        <f>HYPERLINK("https://twitter.com/ferinamuslim","@ferinamuslim")</f>
        <v>@ferinamuslim</v>
      </c>
      <c r="C11846" t="s">
        <v>5644</v>
      </c>
      <c r="D11846">
        <v>320</v>
      </c>
      <c r="E11846">
        <v>0</v>
      </c>
      <c r="F11846">
        <v>689</v>
      </c>
    </row>
    <row r="11847" spans="1:6" ht="12.75">
      <c r="A11847" s="2">
        <v>43879.982638888891</v>
      </c>
      <c r="B11847" t="str">
        <f>HYPERLINK("https://twitter.com/kompascom","@kompascom")</f>
        <v>@kompascom</v>
      </c>
      <c r="C11847" t="s">
        <v>6305</v>
      </c>
      <c r="D11847">
        <v>2</v>
      </c>
      <c r="E11847">
        <v>16</v>
      </c>
      <c r="F11847">
        <v>7503020</v>
      </c>
    </row>
    <row r="11848" spans="1:6" ht="12.75">
      <c r="A11848" s="2">
        <v>43879.982627314814</v>
      </c>
      <c r="B11848" t="str">
        <f>HYPERLINK("https://twitter.com/_f00dporn","@_f00dporn")</f>
        <v>@_f00dporn</v>
      </c>
      <c r="C11848" t="s">
        <v>1407</v>
      </c>
      <c r="D11848">
        <v>737</v>
      </c>
      <c r="E11848">
        <v>0</v>
      </c>
      <c r="F11848">
        <v>533</v>
      </c>
    </row>
    <row r="11849" spans="1:6" ht="12.75">
      <c r="A11849" s="2">
        <v>43879.982627314814</v>
      </c>
      <c r="B11849" t="str">
        <f>HYPERLINK("https://twitter.com/Suryapr37700870","@Suryapr37700870")</f>
        <v>@Suryapr37700870</v>
      </c>
      <c r="C11849" t="s">
        <v>5702</v>
      </c>
      <c r="D11849">
        <v>184</v>
      </c>
      <c r="E11849">
        <v>0</v>
      </c>
      <c r="F11849">
        <v>666</v>
      </c>
    </row>
    <row r="11850" spans="1:6" ht="12.75">
      <c r="A11850" s="2">
        <v>43879.982569444444</v>
      </c>
      <c r="B11850" t="str">
        <f>HYPERLINK("https://twitter.com/calvinyounglee","@calvinyounglee")</f>
        <v>@calvinyounglee</v>
      </c>
      <c r="C11850" t="s">
        <v>6255</v>
      </c>
      <c r="D11850">
        <v>12</v>
      </c>
      <c r="E11850">
        <v>0</v>
      </c>
      <c r="F11850">
        <v>385</v>
      </c>
    </row>
    <row r="11851" spans="1:6" ht="12.75">
      <c r="A11851" s="2">
        <v>43879.982256944444</v>
      </c>
      <c r="B11851" t="str">
        <f>HYPERLINK("https://twitter.com/WarganetNetizen","@WarganetNetizen")</f>
        <v>@WarganetNetizen</v>
      </c>
      <c r="C11851" t="s">
        <v>6306</v>
      </c>
      <c r="D11851">
        <v>0</v>
      </c>
      <c r="E11851">
        <v>0</v>
      </c>
      <c r="F11851">
        <v>0</v>
      </c>
    </row>
    <row r="11852" spans="1:6" ht="12.75">
      <c r="A11852" s="2">
        <v>43879.982233796298</v>
      </c>
      <c r="B11852" t="str">
        <f>HYPERLINK("https://twitter.com/zamrud02","@zamrud02")</f>
        <v>@zamrud02</v>
      </c>
      <c r="C11852" t="s">
        <v>6307</v>
      </c>
      <c r="D11852">
        <v>16</v>
      </c>
      <c r="E11852">
        <v>0</v>
      </c>
      <c r="F11852">
        <v>180</v>
      </c>
    </row>
    <row r="11853" spans="1:6" ht="12.75">
      <c r="A11853" s="2">
        <v>43879.982129629629</v>
      </c>
      <c r="B11853" t="str">
        <f>HYPERLINK("https://twitter.com/uncontrolly","@uncontrolly")</f>
        <v>@uncontrolly</v>
      </c>
      <c r="C11853" t="s">
        <v>1407</v>
      </c>
      <c r="D11853">
        <v>737</v>
      </c>
      <c r="E11853">
        <v>0</v>
      </c>
      <c r="F11853">
        <v>307</v>
      </c>
    </row>
    <row r="11854" spans="1:6" ht="12.75">
      <c r="A11854" s="2">
        <v>43879.982048611113</v>
      </c>
      <c r="B11854" t="str">
        <f>HYPERLINK("https://twitter.com/Yuzri_Andrean","@Yuzri_Andrean")</f>
        <v>@Yuzri_Andrean</v>
      </c>
      <c r="C11854" t="s">
        <v>2079</v>
      </c>
      <c r="D11854">
        <v>30</v>
      </c>
      <c r="E11854">
        <v>0</v>
      </c>
      <c r="F11854">
        <v>733</v>
      </c>
    </row>
    <row r="11855" spans="1:6" ht="12.75">
      <c r="A11855" s="2">
        <v>43879.981909722221</v>
      </c>
      <c r="B11855" t="str">
        <f>HYPERLINK("https://twitter.com/Nas_King1","@Nas_King1")</f>
        <v>@Nas_King1</v>
      </c>
      <c r="C11855" t="s">
        <v>5642</v>
      </c>
      <c r="D11855">
        <v>248</v>
      </c>
      <c r="E11855">
        <v>0</v>
      </c>
      <c r="F11855">
        <v>42</v>
      </c>
    </row>
    <row r="11856" spans="1:6" ht="12.75">
      <c r="A11856" s="2">
        <v>43879.981539351851</v>
      </c>
      <c r="B11856" t="str">
        <f>HYPERLINK("https://twitter.com/RaishaDiamar","@RaishaDiamar")</f>
        <v>@RaishaDiamar</v>
      </c>
      <c r="C11856" t="s">
        <v>1407</v>
      </c>
      <c r="D11856">
        <v>737</v>
      </c>
      <c r="E11856">
        <v>0</v>
      </c>
      <c r="F11856">
        <v>501</v>
      </c>
    </row>
    <row r="11857" spans="1:6" ht="12.75">
      <c r="A11857" s="2">
        <v>43879.959907407407</v>
      </c>
      <c r="B11857" t="str">
        <f>HYPERLINK("https://twitter.com/dianitamega","@dianitamega")</f>
        <v>@dianitamega</v>
      </c>
      <c r="C11857" t="s">
        <v>5982</v>
      </c>
      <c r="D11857">
        <v>62</v>
      </c>
      <c r="E11857">
        <v>0</v>
      </c>
      <c r="F11857">
        <v>695</v>
      </c>
    </row>
    <row r="11858" spans="1:6" ht="12.75">
      <c r="A11858" s="2">
        <v>43879.959745370375</v>
      </c>
      <c r="B11858" t="str">
        <f>HYPERLINK("https://twitter.com/devmigod","@devmigod")</f>
        <v>@devmigod</v>
      </c>
      <c r="C11858" t="s">
        <v>6308</v>
      </c>
      <c r="D11858">
        <v>0</v>
      </c>
      <c r="E11858">
        <v>0</v>
      </c>
      <c r="F11858">
        <v>146</v>
      </c>
    </row>
    <row r="11859" spans="1:6" ht="12.75">
      <c r="A11859" s="2">
        <v>43879.959467592591</v>
      </c>
      <c r="B11859" t="str">
        <f>HYPERLINK("https://twitter.com/KatiYoewono","@KatiYoewono")</f>
        <v>@KatiYoewono</v>
      </c>
      <c r="C11859" t="s">
        <v>1407</v>
      </c>
      <c r="D11859">
        <v>624</v>
      </c>
      <c r="E11859">
        <v>0</v>
      </c>
      <c r="F11859">
        <v>350</v>
      </c>
    </row>
    <row r="11860" spans="1:6" ht="12.75">
      <c r="A11860" s="2">
        <v>43879.959328703699</v>
      </c>
      <c r="B11860" t="str">
        <f>HYPERLINK("https://twitter.com/BurhanU05351976","@BurhanU05351976")</f>
        <v>@BurhanU05351976</v>
      </c>
      <c r="C11860" t="s">
        <v>5642</v>
      </c>
      <c r="D11860">
        <v>247</v>
      </c>
      <c r="E11860">
        <v>0</v>
      </c>
      <c r="F11860">
        <v>97</v>
      </c>
    </row>
    <row r="11861" spans="1:6" ht="12.75">
      <c r="A11861" s="2">
        <v>43879.959085648152</v>
      </c>
      <c r="B11861" t="str">
        <f>HYPERLINK("https://twitter.com/Hex_Black_Jhex","@Hex_Black_Jhex")</f>
        <v>@Hex_Black_Jhex</v>
      </c>
      <c r="C11861" t="s">
        <v>5702</v>
      </c>
      <c r="D11861">
        <v>174</v>
      </c>
      <c r="E11861">
        <v>0</v>
      </c>
      <c r="F11861">
        <v>1682</v>
      </c>
    </row>
    <row r="11862" spans="1:6" ht="12.75">
      <c r="A11862" s="2">
        <v>43879.958865740744</v>
      </c>
      <c r="B11862" t="str">
        <f>HYPERLINK("https://twitter.com/kipasangjn","@kipasangjn")</f>
        <v>@kipasangjn</v>
      </c>
      <c r="C11862" t="s">
        <v>1407</v>
      </c>
      <c r="D11862">
        <v>624</v>
      </c>
      <c r="E11862">
        <v>0</v>
      </c>
      <c r="F11862">
        <v>70</v>
      </c>
    </row>
    <row r="11863" spans="1:6" ht="12.75">
      <c r="A11863" s="2">
        <v>43879.958773148144</v>
      </c>
      <c r="B11863" t="str">
        <f>HYPERLINK("https://twitter.com/infactwespeak","@infactwespeak")</f>
        <v>@infactwespeak</v>
      </c>
      <c r="C11863" t="s">
        <v>1407</v>
      </c>
      <c r="D11863">
        <v>624</v>
      </c>
      <c r="E11863">
        <v>0</v>
      </c>
      <c r="F11863">
        <v>325</v>
      </c>
    </row>
    <row r="11864" spans="1:6" ht="12.75">
      <c r="A11864" s="2">
        <v>43879.958715277782</v>
      </c>
      <c r="B11864" t="str">
        <f>HYPERLINK("https://twitter.com/qronoz","@qronoz")</f>
        <v>@qronoz</v>
      </c>
      <c r="C11864" t="s">
        <v>5644</v>
      </c>
      <c r="D11864">
        <v>312</v>
      </c>
      <c r="E11864">
        <v>0</v>
      </c>
      <c r="F11864">
        <v>16327</v>
      </c>
    </row>
    <row r="11865" spans="1:6" ht="12.75">
      <c r="A11865" s="2">
        <v>43879.958692129629</v>
      </c>
      <c r="B11865" t="str">
        <f>HYPERLINK("https://twitter.com/darrelrund","@darrelrund")</f>
        <v>@darrelrund</v>
      </c>
      <c r="C11865" t="s">
        <v>1407</v>
      </c>
      <c r="D11865">
        <v>624</v>
      </c>
      <c r="E11865">
        <v>0</v>
      </c>
      <c r="F11865">
        <v>20</v>
      </c>
    </row>
    <row r="11866" spans="1:6" ht="12.75">
      <c r="A11866" s="2">
        <v>43879.958402777775</v>
      </c>
      <c r="B11866" t="str">
        <f>HYPERLINK("https://twitter.com/lsjm22","@lsjm22")</f>
        <v>@lsjm22</v>
      </c>
      <c r="C11866" t="s">
        <v>6249</v>
      </c>
      <c r="D11866">
        <v>6</v>
      </c>
      <c r="E11866">
        <v>0</v>
      </c>
      <c r="F11866">
        <v>322</v>
      </c>
    </row>
    <row r="11867" spans="1:6" ht="12.75">
      <c r="A11867" s="2">
        <v>43879.958333333328</v>
      </c>
      <c r="B11867" t="str">
        <f>HYPERLINK("https://twitter.com/MeTubeID","@MeTubeID")</f>
        <v>@MeTubeID</v>
      </c>
      <c r="C11867" t="s">
        <v>6309</v>
      </c>
      <c r="D11867">
        <v>0</v>
      </c>
      <c r="E11867">
        <v>0</v>
      </c>
      <c r="F11867">
        <v>6300</v>
      </c>
    </row>
    <row r="11868" spans="1:6" ht="12.75">
      <c r="A11868" s="2">
        <v>43879.958298611113</v>
      </c>
      <c r="B11868" t="str">
        <f>HYPERLINK("https://twitter.com/Lvckiestbastard","@Lvckiestbastard")</f>
        <v>@Lvckiestbastard</v>
      </c>
      <c r="C11868" t="s">
        <v>1407</v>
      </c>
      <c r="D11868">
        <v>624</v>
      </c>
      <c r="E11868">
        <v>0</v>
      </c>
      <c r="F11868">
        <v>448</v>
      </c>
    </row>
    <row r="11869" spans="1:6" ht="12.75">
      <c r="A11869" s="2">
        <v>43879.958113425921</v>
      </c>
      <c r="B11869" t="str">
        <f>HYPERLINK("https://twitter.com/baoons_","@baoons_")</f>
        <v>@baoons_</v>
      </c>
      <c r="C11869" t="s">
        <v>1407</v>
      </c>
      <c r="D11869">
        <v>624</v>
      </c>
      <c r="E11869">
        <v>0</v>
      </c>
      <c r="F11869">
        <v>652</v>
      </c>
    </row>
    <row r="11870" spans="1:6" ht="12.75">
      <c r="A11870" s="2">
        <v>43879.956828703704</v>
      </c>
      <c r="B11870" t="str">
        <f>HYPERLINK("https://twitter.com/derekhalewh0","@derekhalewh0")</f>
        <v>@derekhalewh0</v>
      </c>
      <c r="C11870" t="s">
        <v>1407</v>
      </c>
      <c r="D11870">
        <v>624</v>
      </c>
      <c r="E11870">
        <v>0</v>
      </c>
      <c r="F11870">
        <v>7</v>
      </c>
    </row>
    <row r="11871" spans="1:6" ht="12.75">
      <c r="A11871" s="2">
        <v>43879.956655092596</v>
      </c>
      <c r="B11871" t="str">
        <f>HYPERLINK("https://twitter.com/Apriyaldi19","@Apriyaldi19")</f>
        <v>@Apriyaldi19</v>
      </c>
      <c r="C11871" t="s">
        <v>6310</v>
      </c>
      <c r="D11871">
        <v>1</v>
      </c>
      <c r="E11871">
        <v>0</v>
      </c>
      <c r="F11871">
        <v>1168</v>
      </c>
    </row>
    <row r="11872" spans="1:6" ht="12.75">
      <c r="A11872" s="2">
        <v>43879.956620370373</v>
      </c>
      <c r="B11872" t="str">
        <f>HYPERLINK("https://twitter.com/anton_bangka","@anton_bangka")</f>
        <v>@anton_bangka</v>
      </c>
      <c r="C11872" t="s">
        <v>6207</v>
      </c>
      <c r="D11872">
        <v>52</v>
      </c>
      <c r="E11872">
        <v>0</v>
      </c>
      <c r="F11872">
        <v>736</v>
      </c>
    </row>
    <row r="11873" spans="1:6" ht="12.75">
      <c r="A11873" s="2">
        <v>43879.956446759257</v>
      </c>
      <c r="B11873" t="str">
        <f>HYPERLINK("https://twitter.com/muktitrio_","@muktitrio_")</f>
        <v>@muktitrio_</v>
      </c>
      <c r="C11873" t="s">
        <v>1407</v>
      </c>
      <c r="D11873">
        <v>624</v>
      </c>
      <c r="E11873">
        <v>0</v>
      </c>
      <c r="F11873">
        <v>806</v>
      </c>
    </row>
    <row r="11874" spans="1:6" ht="12.75">
      <c r="A11874" s="2">
        <v>43879.956157407403</v>
      </c>
      <c r="B11874" t="str">
        <f>HYPERLINK("https://twitter.com/ramadhantiya","@ramadhantiya")</f>
        <v>@ramadhantiya</v>
      </c>
      <c r="C11874" t="s">
        <v>1407</v>
      </c>
      <c r="D11874">
        <v>624</v>
      </c>
      <c r="E11874">
        <v>0</v>
      </c>
      <c r="F11874">
        <v>740</v>
      </c>
    </row>
    <row r="11875" spans="1:6" ht="12.75">
      <c r="A11875" s="2">
        <v>43879.955960648149</v>
      </c>
      <c r="B11875" t="str">
        <f>HYPERLINK("https://twitter.com/aninday","@aninday")</f>
        <v>@aninday</v>
      </c>
      <c r="C11875" t="s">
        <v>6311</v>
      </c>
      <c r="D11875">
        <v>0</v>
      </c>
      <c r="E11875">
        <v>0</v>
      </c>
      <c r="F11875">
        <v>876</v>
      </c>
    </row>
    <row r="11876" spans="1:6" ht="12.75">
      <c r="A11876" s="2">
        <v>43879.955763888887</v>
      </c>
      <c r="B11876" t="str">
        <f>HYPERLINK("https://twitter.com/nalar2019","@nalar2019")</f>
        <v>@nalar2019</v>
      </c>
      <c r="C11876" t="s">
        <v>6312</v>
      </c>
      <c r="D11876">
        <v>1</v>
      </c>
      <c r="E11876">
        <v>1</v>
      </c>
      <c r="F11876">
        <v>541</v>
      </c>
    </row>
    <row r="11877" spans="1:6" ht="12.75">
      <c r="A11877" s="2">
        <v>43879.955706018518</v>
      </c>
      <c r="B11877" t="str">
        <f>HYPERLINK("https://twitter.com/tiiarafebrianti","@tiiarafebrianti")</f>
        <v>@tiiarafebrianti</v>
      </c>
      <c r="C11877" t="s">
        <v>1407</v>
      </c>
      <c r="D11877">
        <v>624</v>
      </c>
      <c r="E11877">
        <v>0</v>
      </c>
      <c r="F11877">
        <v>731</v>
      </c>
    </row>
    <row r="11878" spans="1:6" ht="12.75">
      <c r="A11878" s="2">
        <v>43879.955694444448</v>
      </c>
      <c r="B11878" t="str">
        <f>HYPERLINK("https://twitter.com/DavidSachio","@DavidSachio")</f>
        <v>@DavidSachio</v>
      </c>
      <c r="C11878" t="s">
        <v>6313</v>
      </c>
      <c r="D11878">
        <v>2</v>
      </c>
      <c r="E11878">
        <v>0</v>
      </c>
      <c r="F11878">
        <v>623</v>
      </c>
    </row>
    <row r="11879" spans="1:6" ht="12.75">
      <c r="A11879" s="2">
        <v>43879.955150462964</v>
      </c>
      <c r="B11879" t="str">
        <f>HYPERLINK("https://twitter.com/MFAlfath","@MFAlfath")</f>
        <v>@MFAlfath</v>
      </c>
      <c r="C11879" t="s">
        <v>1920</v>
      </c>
      <c r="D11879">
        <v>187</v>
      </c>
      <c r="E11879">
        <v>0</v>
      </c>
      <c r="F11879">
        <v>320</v>
      </c>
    </row>
    <row r="11880" spans="1:6" ht="12.75">
      <c r="A11880" s="2">
        <v>43879.955069444448</v>
      </c>
      <c r="B11880" t="str">
        <f>HYPERLINK("https://twitter.com/si3positif","@si3positif")</f>
        <v>@si3positif</v>
      </c>
      <c r="C11880" t="s">
        <v>5644</v>
      </c>
      <c r="D11880">
        <v>312</v>
      </c>
      <c r="E11880">
        <v>0</v>
      </c>
      <c r="F11880">
        <v>159</v>
      </c>
    </row>
    <row r="11881" spans="1:6" ht="12.75">
      <c r="A11881" s="2">
        <v>43879.954930555556</v>
      </c>
      <c r="B11881" t="str">
        <f>HYPERLINK("https://twitter.com/colourlez","@colourlez")</f>
        <v>@colourlez</v>
      </c>
      <c r="C11881" t="s">
        <v>6032</v>
      </c>
      <c r="D11881">
        <v>826</v>
      </c>
      <c r="E11881">
        <v>0</v>
      </c>
      <c r="F11881">
        <v>152</v>
      </c>
    </row>
    <row r="11882" spans="1:6" ht="12.75">
      <c r="A11882" s="2">
        <v>43879.954537037032</v>
      </c>
      <c r="B11882" t="str">
        <f>HYPERLINK("https://twitter.com/ReallJennie","@ReallJennie")</f>
        <v>@ReallJennie</v>
      </c>
      <c r="C11882" t="s">
        <v>6314</v>
      </c>
      <c r="D11882">
        <v>0</v>
      </c>
      <c r="E11882">
        <v>0</v>
      </c>
      <c r="F11882">
        <v>128</v>
      </c>
    </row>
    <row r="11883" spans="1:6" ht="12.75">
      <c r="A11883" s="2">
        <v>43879.954224537039</v>
      </c>
      <c r="B11883" t="str">
        <f>HYPERLINK("https://twitter.com/JurnalNews_ID","@JurnalNews_ID")</f>
        <v>@JurnalNews_ID</v>
      </c>
      <c r="C11883" t="s">
        <v>6315</v>
      </c>
      <c r="D11883">
        <v>0</v>
      </c>
      <c r="E11883">
        <v>0</v>
      </c>
      <c r="F11883">
        <v>732</v>
      </c>
    </row>
    <row r="11884" spans="1:6" ht="12.75">
      <c r="A11884" s="2">
        <v>43879.954201388886</v>
      </c>
      <c r="B11884" t="str">
        <f>HYPERLINK("https://twitter.com/iNewsID","@iNewsID")</f>
        <v>@iNewsID</v>
      </c>
      <c r="C11884" t="s">
        <v>6316</v>
      </c>
      <c r="D11884">
        <v>0</v>
      </c>
      <c r="E11884">
        <v>0</v>
      </c>
      <c r="F11884">
        <v>1273</v>
      </c>
    </row>
    <row r="11885" spans="1:6" ht="12.75">
      <c r="A11885" s="2">
        <v>43879.954143518524</v>
      </c>
      <c r="B11885" t="str">
        <f>HYPERLINK("https://twitter.com/rwin_lole","@rwin_lole")</f>
        <v>@rwin_lole</v>
      </c>
      <c r="C11885" t="s">
        <v>6317</v>
      </c>
      <c r="D11885">
        <v>25</v>
      </c>
      <c r="E11885">
        <v>0</v>
      </c>
      <c r="F11885">
        <v>154</v>
      </c>
    </row>
    <row r="11886" spans="1:6" ht="12.75">
      <c r="A11886" s="2">
        <v>43879.954097222224</v>
      </c>
      <c r="B11886" t="str">
        <f>HYPERLINK("https://twitter.com/hamzahsyahputra","@hamzahsyahputra")</f>
        <v>@hamzahsyahputra</v>
      </c>
      <c r="C11886" t="s">
        <v>5644</v>
      </c>
      <c r="D11886">
        <v>312</v>
      </c>
      <c r="E11886">
        <v>0</v>
      </c>
      <c r="F11886">
        <v>736</v>
      </c>
    </row>
    <row r="11887" spans="1:6" ht="12.75">
      <c r="A11887" s="2">
        <v>43879.953530092593</v>
      </c>
      <c r="B11887" t="str">
        <f>HYPERLINK("https://twitter.com/kompascom","@kompascom")</f>
        <v>@kompascom</v>
      </c>
      <c r="C11887" t="s">
        <v>6318</v>
      </c>
      <c r="D11887">
        <v>1</v>
      </c>
      <c r="E11887">
        <v>2</v>
      </c>
      <c r="F11887">
        <v>7503039</v>
      </c>
    </row>
    <row r="11888" spans="1:6" ht="12.75">
      <c r="A11888" s="2">
        <v>43879.953460648147</v>
      </c>
      <c r="B11888" t="str">
        <f>HYPERLINK("https://twitter.com/triharjuni","@triharjuni")</f>
        <v>@triharjuni</v>
      </c>
      <c r="C11888" t="s">
        <v>6319</v>
      </c>
      <c r="D11888">
        <v>0</v>
      </c>
      <c r="E11888">
        <v>0</v>
      </c>
      <c r="F11888">
        <v>308</v>
      </c>
    </row>
    <row r="11889" spans="1:6" ht="12.75">
      <c r="A11889" s="2">
        <v>43879.9534375</v>
      </c>
      <c r="B11889" t="str">
        <f>HYPERLINK("https://twitter.com/Adiyasag","@Adiyasag")</f>
        <v>@Adiyasag</v>
      </c>
      <c r="C11889" t="s">
        <v>1407</v>
      </c>
      <c r="D11889">
        <v>624</v>
      </c>
      <c r="E11889">
        <v>0</v>
      </c>
      <c r="F11889">
        <v>24</v>
      </c>
    </row>
    <row r="11890" spans="1:6" ht="12.75">
      <c r="A11890" s="2">
        <v>43879.953125</v>
      </c>
      <c r="B11890" t="str">
        <f>HYPERLINK("https://twitter.com/aguzts_","@aguzts_")</f>
        <v>@aguzts_</v>
      </c>
      <c r="C11890" t="s">
        <v>6320</v>
      </c>
      <c r="D11890">
        <v>2</v>
      </c>
      <c r="E11890">
        <v>0</v>
      </c>
      <c r="F11890">
        <v>660</v>
      </c>
    </row>
    <row r="11891" spans="1:6" ht="12.75">
      <c r="A11891" s="2">
        <v>43879.95311342593</v>
      </c>
      <c r="B11891" t="str">
        <f>HYPERLINK("https://twitter.com/AlvianAce8","@AlvianAce8")</f>
        <v>@AlvianAce8</v>
      </c>
      <c r="C11891" t="s">
        <v>1407</v>
      </c>
      <c r="D11891">
        <v>624</v>
      </c>
      <c r="E11891">
        <v>0</v>
      </c>
      <c r="F11891">
        <v>321</v>
      </c>
    </row>
    <row r="11892" spans="1:6" ht="12.75">
      <c r="A11892" s="2">
        <v>43879.952997685185</v>
      </c>
      <c r="B11892" t="str">
        <f>HYPERLINK("https://twitter.com/oreologyc","@oreologyc")</f>
        <v>@oreologyc</v>
      </c>
      <c r="C11892" t="s">
        <v>6052</v>
      </c>
      <c r="D11892">
        <v>74</v>
      </c>
      <c r="E11892">
        <v>0</v>
      </c>
      <c r="F11892">
        <v>284</v>
      </c>
    </row>
    <row r="11893" spans="1:6" ht="12.75">
      <c r="A11893" s="2">
        <v>43879.952835648146</v>
      </c>
      <c r="B11893" t="str">
        <f>HYPERLINK("https://twitter.com/pandaluthu","@pandaluthu")</f>
        <v>@pandaluthu</v>
      </c>
      <c r="C11893" t="s">
        <v>1407</v>
      </c>
      <c r="D11893">
        <v>624</v>
      </c>
      <c r="E11893">
        <v>0</v>
      </c>
      <c r="F11893">
        <v>207</v>
      </c>
    </row>
    <row r="11894" spans="1:6" ht="12.75">
      <c r="A11894" s="2">
        <v>43879.952453703707</v>
      </c>
      <c r="B11894" t="str">
        <f>HYPERLINK("https://twitter.com/hendi_setiadi","@hendi_setiadi")</f>
        <v>@hendi_setiadi</v>
      </c>
      <c r="C11894" t="s">
        <v>1407</v>
      </c>
      <c r="D11894">
        <v>624</v>
      </c>
      <c r="E11894">
        <v>0</v>
      </c>
      <c r="F11894">
        <v>537</v>
      </c>
    </row>
    <row r="11895" spans="1:6" ht="12.75">
      <c r="A11895" s="2">
        <v>43879.952418981484</v>
      </c>
      <c r="B11895" t="str">
        <f>HYPERLINK("https://twitter.com/anxietuyy","@anxietuyy")</f>
        <v>@anxietuyy</v>
      </c>
      <c r="C11895" t="s">
        <v>6321</v>
      </c>
      <c r="D11895">
        <v>0</v>
      </c>
      <c r="E11895">
        <v>0</v>
      </c>
      <c r="F11895">
        <v>500</v>
      </c>
    </row>
    <row r="11896" spans="1:6" ht="12.75">
      <c r="A11896" s="2">
        <v>43879.95239583333</v>
      </c>
      <c r="B11896" t="str">
        <f>HYPERLINK("https://twitter.com/wsrswt","@wsrswt")</f>
        <v>@wsrswt</v>
      </c>
      <c r="C11896" t="s">
        <v>1407</v>
      </c>
      <c r="D11896">
        <v>624</v>
      </c>
      <c r="E11896">
        <v>0</v>
      </c>
      <c r="F11896">
        <v>255</v>
      </c>
    </row>
    <row r="11897" spans="1:6" ht="12.75">
      <c r="A11897" s="2">
        <v>43879.952384259261</v>
      </c>
      <c r="B11897" t="str">
        <f>HYPERLINK("https://twitter.com/nadiadng","@nadiadng")</f>
        <v>@nadiadng</v>
      </c>
      <c r="C11897" t="s">
        <v>1407</v>
      </c>
      <c r="D11897">
        <v>624</v>
      </c>
      <c r="E11897">
        <v>0</v>
      </c>
      <c r="F11897">
        <v>645</v>
      </c>
    </row>
    <row r="11898" spans="1:6" ht="12.75">
      <c r="A11898" s="2">
        <v>43879.952291666668</v>
      </c>
      <c r="B11898" t="str">
        <f>HYPERLINK("https://twitter.com/hemaviton99","@hemaviton99")</f>
        <v>@hemaviton99</v>
      </c>
      <c r="C11898" t="s">
        <v>6313</v>
      </c>
      <c r="D11898">
        <v>2</v>
      </c>
      <c r="E11898">
        <v>0</v>
      </c>
      <c r="F11898">
        <v>4060</v>
      </c>
    </row>
    <row r="11899" spans="1:6" ht="12.75">
      <c r="A11899" s="2">
        <v>43879.95212962963</v>
      </c>
      <c r="B11899" t="str">
        <f>HYPERLINK("https://twitter.com/_Scodbell","@_Scodbell")</f>
        <v>@_Scodbell</v>
      </c>
      <c r="C11899" t="s">
        <v>1407</v>
      </c>
      <c r="D11899">
        <v>624</v>
      </c>
      <c r="E11899">
        <v>0</v>
      </c>
      <c r="F11899">
        <v>1051</v>
      </c>
    </row>
    <row r="11900" spans="1:6" ht="12.75">
      <c r="A11900" s="2">
        <v>43879.951863425929</v>
      </c>
      <c r="B11900" t="str">
        <f>HYPERLINK("https://twitter.com/vannymoonti","@vannymoonti")</f>
        <v>@vannymoonti</v>
      </c>
      <c r="C11900" t="s">
        <v>1407</v>
      </c>
      <c r="D11900">
        <v>624</v>
      </c>
      <c r="E11900">
        <v>0</v>
      </c>
      <c r="F11900">
        <v>386</v>
      </c>
    </row>
    <row r="11901" spans="1:6" ht="12.75">
      <c r="A11901" s="2">
        <v>43879.951793981483</v>
      </c>
      <c r="B11901" t="str">
        <f>HYPERLINK("https://twitter.com/kantungtehijau","@kantungtehijau")</f>
        <v>@kantungtehijau</v>
      </c>
      <c r="C11901" t="s">
        <v>1407</v>
      </c>
      <c r="D11901">
        <v>624</v>
      </c>
      <c r="E11901">
        <v>0</v>
      </c>
      <c r="F11901">
        <v>869</v>
      </c>
    </row>
    <row r="11902" spans="1:6" ht="12.75">
      <c r="A11902" s="2">
        <v>43879.951701388884</v>
      </c>
      <c r="B11902" t="str">
        <f>HYPERLINK("https://twitter.com/novapermana8","@novapermana8")</f>
        <v>@novapermana8</v>
      </c>
      <c r="C11902" t="s">
        <v>6322</v>
      </c>
      <c r="D11902">
        <v>0</v>
      </c>
      <c r="E11902">
        <v>0</v>
      </c>
      <c r="F11902">
        <v>644</v>
      </c>
    </row>
    <row r="11903" spans="1:6" ht="12.75">
      <c r="A11903" s="2">
        <v>43879.951585648145</v>
      </c>
      <c r="B11903" t="str">
        <f>HYPERLINK("https://twitter.com/chessung","@chessung")</f>
        <v>@chessung</v>
      </c>
      <c r="C11903" t="s">
        <v>1407</v>
      </c>
      <c r="D11903">
        <v>624</v>
      </c>
      <c r="E11903">
        <v>0</v>
      </c>
      <c r="F11903">
        <v>185</v>
      </c>
    </row>
    <row r="11904" spans="1:6" ht="12.75">
      <c r="A11904" s="2">
        <v>43879.951435185183</v>
      </c>
      <c r="B11904" t="str">
        <f>HYPERLINK("https://twitter.com/toranaga3000","@toranaga3000")</f>
        <v>@toranaga3000</v>
      </c>
      <c r="C11904" t="s">
        <v>6317</v>
      </c>
      <c r="D11904">
        <v>25</v>
      </c>
      <c r="E11904">
        <v>0</v>
      </c>
      <c r="F11904">
        <v>2420</v>
      </c>
    </row>
    <row r="11905" spans="1:6" ht="12.75">
      <c r="A11905" s="2">
        <v>43879.95107638889</v>
      </c>
      <c r="B11905" t="str">
        <f>HYPERLINK("https://twitter.com/hepigurles","@hepigurles")</f>
        <v>@hepigurles</v>
      </c>
      <c r="C11905" t="s">
        <v>6323</v>
      </c>
      <c r="D11905">
        <v>0</v>
      </c>
      <c r="E11905">
        <v>1</v>
      </c>
      <c r="F11905">
        <v>3384</v>
      </c>
    </row>
    <row r="11906" spans="1:6" ht="12.75">
      <c r="A11906" s="2">
        <v>43879.951064814813</v>
      </c>
      <c r="B11906" t="str">
        <f>HYPERLINK("https://twitter.com/ardafahleVI","@ardafahleVI")</f>
        <v>@ardafahleVI</v>
      </c>
      <c r="C11906" t="s">
        <v>1407</v>
      </c>
      <c r="D11906">
        <v>624</v>
      </c>
      <c r="E11906">
        <v>0</v>
      </c>
      <c r="F11906">
        <v>480</v>
      </c>
    </row>
    <row r="11907" spans="1:6" ht="12.75">
      <c r="A11907" s="2">
        <v>43879.950914351852</v>
      </c>
      <c r="B11907" t="str">
        <f>HYPERLINK("https://twitter.com/MUHAMMADBATUR16","@MUHAMMADBATUR16")</f>
        <v>@MUHAMMADBATUR16</v>
      </c>
      <c r="C11907" t="s">
        <v>6324</v>
      </c>
      <c r="D11907">
        <v>0</v>
      </c>
      <c r="E11907">
        <v>0</v>
      </c>
      <c r="F11907">
        <v>353</v>
      </c>
    </row>
    <row r="11908" spans="1:6" ht="12.75">
      <c r="A11908" s="2">
        <v>43879.950833333336</v>
      </c>
      <c r="B11908" t="str">
        <f>HYPERLINK("https://twitter.com/K83_TheCoffee","@K83_TheCoffee")</f>
        <v>@K83_TheCoffee</v>
      </c>
      <c r="C11908" t="s">
        <v>6256</v>
      </c>
      <c r="D11908">
        <v>19</v>
      </c>
      <c r="E11908">
        <v>0</v>
      </c>
      <c r="F11908">
        <v>5750</v>
      </c>
    </row>
    <row r="11909" spans="1:6" ht="12.75">
      <c r="A11909" s="2">
        <v>43879.950601851851</v>
      </c>
      <c r="B11909" t="str">
        <f>HYPERLINK("https://twitter.com/Madun___","@Madun___")</f>
        <v>@Madun___</v>
      </c>
      <c r="C11909" t="s">
        <v>1407</v>
      </c>
      <c r="D11909">
        <v>624</v>
      </c>
      <c r="E11909">
        <v>0</v>
      </c>
      <c r="F11909">
        <v>106</v>
      </c>
    </row>
    <row r="11910" spans="1:6" ht="12.75">
      <c r="A11910" s="2">
        <v>43879.95034722222</v>
      </c>
      <c r="B11910" t="str">
        <f>HYPERLINK("https://twitter.com/esteredence","@esteredence")</f>
        <v>@esteredence</v>
      </c>
      <c r="C11910" t="s">
        <v>5702</v>
      </c>
      <c r="D11910">
        <v>174</v>
      </c>
      <c r="E11910">
        <v>0</v>
      </c>
      <c r="F11910">
        <v>388</v>
      </c>
    </row>
    <row r="11911" spans="1:6" ht="12.75">
      <c r="A11911" s="2">
        <v>43879.950185185182</v>
      </c>
      <c r="B11911" t="str">
        <f>HYPERLINK("https://twitter.com/ganar_afin","@ganar_afin")</f>
        <v>@ganar_afin</v>
      </c>
      <c r="C11911" t="s">
        <v>5644</v>
      </c>
      <c r="D11911">
        <v>312</v>
      </c>
      <c r="E11911">
        <v>0</v>
      </c>
      <c r="F11911">
        <v>219</v>
      </c>
    </row>
    <row r="11912" spans="1:6" ht="12.75">
      <c r="A11912" s="2">
        <v>43879.950104166666</v>
      </c>
      <c r="B11912" t="str">
        <f>HYPERLINK("https://twitter.com/bucinfreya","@bucinfreya")</f>
        <v>@bucinfreya</v>
      </c>
      <c r="C11912" t="s">
        <v>1407</v>
      </c>
      <c r="D11912">
        <v>624</v>
      </c>
      <c r="E11912">
        <v>0</v>
      </c>
      <c r="F11912">
        <v>929</v>
      </c>
    </row>
    <row r="11913" spans="1:6" ht="12.75">
      <c r="A11913" s="2">
        <v>43879.950057870374</v>
      </c>
      <c r="B11913" t="str">
        <f>HYPERLINK("https://twitter.com/salsarens","@salsarens")</f>
        <v>@salsarens</v>
      </c>
      <c r="C11913" t="s">
        <v>6325</v>
      </c>
      <c r="D11913">
        <v>0</v>
      </c>
      <c r="E11913">
        <v>0</v>
      </c>
      <c r="F11913">
        <v>51</v>
      </c>
    </row>
    <row r="11914" spans="1:6" ht="12.75">
      <c r="A11914" s="2">
        <v>43879.950046296297</v>
      </c>
      <c r="B11914" t="str">
        <f>HYPERLINK("https://twitter.com/faradilaanisa51","@faradilaanisa51")</f>
        <v>@faradilaanisa51</v>
      </c>
      <c r="C11914" t="s">
        <v>6325</v>
      </c>
      <c r="D11914">
        <v>0</v>
      </c>
      <c r="E11914">
        <v>0</v>
      </c>
      <c r="F11914">
        <v>155</v>
      </c>
    </row>
    <row r="11915" spans="1:6" ht="12.75">
      <c r="A11915" s="2">
        <v>43879.950046296297</v>
      </c>
      <c r="B11915" t="str">
        <f>HYPERLINK("https://twitter.com/News_Analysis21","@News_Analysis21")</f>
        <v>@News_Analysis21</v>
      </c>
      <c r="C11915" t="s">
        <v>6325</v>
      </c>
      <c r="D11915">
        <v>0</v>
      </c>
      <c r="E11915">
        <v>0</v>
      </c>
      <c r="F11915">
        <v>17</v>
      </c>
    </row>
    <row r="11916" spans="1:6" ht="12.75">
      <c r="A11916" s="2">
        <v>43879.950046296297</v>
      </c>
      <c r="B11916" t="str">
        <f>HYPERLINK("https://twitter.com/jamansyril","@jamansyril")</f>
        <v>@jamansyril</v>
      </c>
      <c r="C11916" t="s">
        <v>6325</v>
      </c>
      <c r="D11916">
        <v>0</v>
      </c>
      <c r="E11916">
        <v>0</v>
      </c>
      <c r="F11916">
        <v>56</v>
      </c>
    </row>
    <row r="11917" spans="1:6" ht="12.75">
      <c r="A11917" s="2">
        <v>43879.950046296297</v>
      </c>
      <c r="B11917" t="str">
        <f>HYPERLINK("https://twitter.com/sitifadilah73","@sitifadilah73")</f>
        <v>@sitifadilah73</v>
      </c>
      <c r="C11917" t="s">
        <v>6325</v>
      </c>
      <c r="D11917">
        <v>0</v>
      </c>
      <c r="E11917">
        <v>0</v>
      </c>
      <c r="F11917">
        <v>50</v>
      </c>
    </row>
    <row r="11918" spans="1:6" ht="12.75">
      <c r="A11918" s="2">
        <v>43879.95003472222</v>
      </c>
      <c r="B11918" t="str">
        <f>HYPERLINK("https://twitter.com/dhanangrputro","@dhanangrputro")</f>
        <v>@dhanangrputro</v>
      </c>
      <c r="C11918" t="s">
        <v>1407</v>
      </c>
      <c r="D11918">
        <v>624</v>
      </c>
      <c r="E11918">
        <v>0</v>
      </c>
      <c r="F11918">
        <v>723</v>
      </c>
    </row>
    <row r="11919" spans="1:6" ht="12.75">
      <c r="A11919" s="2">
        <v>43879.95003472222</v>
      </c>
      <c r="B11919" t="str">
        <f>HYPERLINK("https://twitter.com/ahmadzulfian83","@ahmadzulfian83")</f>
        <v>@ahmadzulfian83</v>
      </c>
      <c r="C11919" t="s">
        <v>6325</v>
      </c>
      <c r="D11919">
        <v>2</v>
      </c>
      <c r="E11919">
        <v>2</v>
      </c>
      <c r="F11919">
        <v>72</v>
      </c>
    </row>
    <row r="11920" spans="1:6" ht="12.75">
      <c r="A11920" s="2">
        <v>43879.95003472222</v>
      </c>
      <c r="B11920" t="str">
        <f>HYPERLINK("https://twitter.com/revitasans","@revitasans")</f>
        <v>@revitasans</v>
      </c>
      <c r="C11920" t="s">
        <v>6325</v>
      </c>
      <c r="D11920">
        <v>0</v>
      </c>
      <c r="E11920">
        <v>0</v>
      </c>
      <c r="F11920">
        <v>80</v>
      </c>
    </row>
    <row r="11921" spans="1:6" ht="12.75">
      <c r="A11921" s="2">
        <v>43879.949965277774</v>
      </c>
      <c r="B11921" t="str">
        <f>HYPERLINK("https://twitter.com/Riceliv1","@Riceliv1")</f>
        <v>@Riceliv1</v>
      </c>
      <c r="C11921" t="s">
        <v>1407</v>
      </c>
      <c r="D11921">
        <v>624</v>
      </c>
      <c r="E11921">
        <v>0</v>
      </c>
      <c r="F11921">
        <v>0</v>
      </c>
    </row>
    <row r="11922" spans="1:6" ht="12.75">
      <c r="A11922" s="2">
        <v>43879.949837962966</v>
      </c>
      <c r="B11922" t="str">
        <f>HYPERLINK("https://twitter.com/nurulizeddin","@nurulizeddin")</f>
        <v>@nurulizeddin</v>
      </c>
      <c r="C11922" t="s">
        <v>1407</v>
      </c>
      <c r="D11922">
        <v>624</v>
      </c>
      <c r="E11922">
        <v>0</v>
      </c>
      <c r="F11922">
        <v>3358</v>
      </c>
    </row>
    <row r="11923" spans="1:6" ht="12.75">
      <c r="A11923" s="2">
        <v>43879.949178240742</v>
      </c>
      <c r="B11923" t="str">
        <f>HYPERLINK("https://twitter.com/zhibung","@zhibung")</f>
        <v>@zhibung</v>
      </c>
      <c r="C11923" t="s">
        <v>6326</v>
      </c>
      <c r="D11923">
        <v>0</v>
      </c>
      <c r="E11923">
        <v>0</v>
      </c>
      <c r="F11923">
        <v>1066</v>
      </c>
    </row>
    <row r="11924" spans="1:6" ht="12.75">
      <c r="A11924" s="2">
        <v>43879.949155092589</v>
      </c>
      <c r="B11924" t="str">
        <f>HYPERLINK("https://twitter.com/0120a5d5c4dd411","@0120a5d5c4dd411")</f>
        <v>@0120a5d5c4dd411</v>
      </c>
      <c r="C11924" t="s">
        <v>5702</v>
      </c>
      <c r="D11924">
        <v>174</v>
      </c>
      <c r="E11924">
        <v>0</v>
      </c>
      <c r="F11924">
        <v>44</v>
      </c>
    </row>
    <row r="11925" spans="1:6" ht="12.75">
      <c r="A11925" s="2">
        <v>43879.949097222227</v>
      </c>
      <c r="B11925" t="str">
        <f>HYPERLINK("https://twitter.com/WeeaSandra","@WeeaSandra")</f>
        <v>@WeeaSandra</v>
      </c>
      <c r="C11925" t="s">
        <v>1407</v>
      </c>
      <c r="D11925">
        <v>624</v>
      </c>
      <c r="E11925">
        <v>0</v>
      </c>
      <c r="F11925">
        <v>615</v>
      </c>
    </row>
    <row r="11926" spans="1:6" ht="12.75">
      <c r="A11926" s="2">
        <v>43879.94902777778</v>
      </c>
      <c r="B11926" t="str">
        <f>HYPERLINK("https://twitter.com/100Edelweiss","@100Edelweiss")</f>
        <v>@100Edelweiss</v>
      </c>
      <c r="C11926" t="s">
        <v>6256</v>
      </c>
      <c r="D11926">
        <v>19</v>
      </c>
      <c r="E11926">
        <v>0</v>
      </c>
      <c r="F11926">
        <v>1091</v>
      </c>
    </row>
    <row r="11927" spans="1:6" ht="12.75">
      <c r="A11927" s="2">
        <v>43879.948819444442</v>
      </c>
      <c r="B11927" t="str">
        <f>HYPERLINK("https://twitter.com/claraevsirait","@claraevsirait")</f>
        <v>@claraevsirait</v>
      </c>
      <c r="C11927" t="s">
        <v>1407</v>
      </c>
      <c r="D11927">
        <v>624</v>
      </c>
      <c r="E11927">
        <v>0</v>
      </c>
      <c r="F11927">
        <v>696</v>
      </c>
    </row>
    <row r="11928" spans="1:6" ht="12.75">
      <c r="A11928" s="2">
        <v>43879.948726851857</v>
      </c>
      <c r="B11928" t="str">
        <f>HYPERLINK("https://twitter.com/akmalarif90","@akmalarif90")</f>
        <v>@akmalarif90</v>
      </c>
      <c r="C11928" t="s">
        <v>6254</v>
      </c>
      <c r="D11928">
        <v>3</v>
      </c>
      <c r="E11928">
        <v>0</v>
      </c>
      <c r="F11928">
        <v>1011</v>
      </c>
    </row>
    <row r="11929" spans="1:6" ht="12.75">
      <c r="A11929" s="2">
        <v>43879.948622685188</v>
      </c>
      <c r="B11929" t="str">
        <f>HYPERLINK("https://twitter.com/nimasokka","@nimasokka")</f>
        <v>@nimasokka</v>
      </c>
      <c r="C11929" t="s">
        <v>1407</v>
      </c>
      <c r="D11929">
        <v>624</v>
      </c>
      <c r="E11929">
        <v>0</v>
      </c>
      <c r="F11929">
        <v>670</v>
      </c>
    </row>
    <row r="11930" spans="1:6" ht="12.75">
      <c r="A11930" s="2">
        <v>43879.948229166665</v>
      </c>
      <c r="B11930" t="str">
        <f>HYPERLINK("https://twitter.com/revestrangers","@revestrangers")</f>
        <v>@revestrangers</v>
      </c>
      <c r="C11930" t="s">
        <v>6327</v>
      </c>
      <c r="D11930">
        <v>0</v>
      </c>
      <c r="E11930">
        <v>0</v>
      </c>
      <c r="F11930">
        <v>68</v>
      </c>
    </row>
    <row r="11931" spans="1:6" ht="12.75">
      <c r="A11931" s="2">
        <v>43879.948020833333</v>
      </c>
      <c r="B11931" t="str">
        <f>HYPERLINK("https://twitter.com/wndkhrns","@wndkhrns")</f>
        <v>@wndkhrns</v>
      </c>
      <c r="C11931" t="s">
        <v>1407</v>
      </c>
      <c r="D11931">
        <v>624</v>
      </c>
      <c r="E11931">
        <v>0</v>
      </c>
      <c r="F11931">
        <v>323</v>
      </c>
    </row>
    <row r="11932" spans="1:6" ht="12.75">
      <c r="A11932" s="2">
        <v>43879.947916666672</v>
      </c>
      <c r="B11932" t="str">
        <f>HYPERLINK("https://twitter.com/idetopia","@idetopia")</f>
        <v>@idetopia</v>
      </c>
      <c r="C11932" t="s">
        <v>6328</v>
      </c>
      <c r="D11932">
        <v>0</v>
      </c>
      <c r="E11932">
        <v>0</v>
      </c>
      <c r="F11932">
        <v>88322</v>
      </c>
    </row>
    <row r="11933" spans="1:6" ht="12.75">
      <c r="A11933" s="2">
        <v>43879.947858796295</v>
      </c>
      <c r="B11933" t="str">
        <f>HYPERLINK("https://twitter.com/daniyahasn","@daniyahasn")</f>
        <v>@daniyahasn</v>
      </c>
      <c r="C11933" t="s">
        <v>1407</v>
      </c>
      <c r="D11933">
        <v>624</v>
      </c>
      <c r="E11933">
        <v>0</v>
      </c>
      <c r="F11933">
        <v>23</v>
      </c>
    </row>
    <row r="11934" spans="1:6" ht="12.75">
      <c r="A11934" s="2">
        <v>43879.947835648149</v>
      </c>
      <c r="B11934" t="str">
        <f>HYPERLINK("https://twitter.com/sxbila","@sxbila")</f>
        <v>@sxbila</v>
      </c>
      <c r="C11934" t="s">
        <v>1407</v>
      </c>
      <c r="D11934">
        <v>624</v>
      </c>
      <c r="E11934">
        <v>0</v>
      </c>
      <c r="F11934">
        <v>1720</v>
      </c>
    </row>
    <row r="11935" spans="1:6" ht="12.75">
      <c r="A11935" s="2">
        <v>43879.947384259256</v>
      </c>
      <c r="B11935" t="str">
        <f>HYPERLINK("https://twitter.com/shfjri","@shfjri")</f>
        <v>@shfjri</v>
      </c>
      <c r="C11935" t="s">
        <v>1407</v>
      </c>
      <c r="D11935">
        <v>624</v>
      </c>
      <c r="E11935">
        <v>0</v>
      </c>
      <c r="F11935">
        <v>146</v>
      </c>
    </row>
    <row r="11936" spans="1:6" ht="12.75">
      <c r="A11936" s="2">
        <v>43879.947175925925</v>
      </c>
      <c r="B11936" t="str">
        <f>HYPERLINK("https://twitter.com/buluudel","@buluudel")</f>
        <v>@buluudel</v>
      </c>
      <c r="C11936" t="s">
        <v>6329</v>
      </c>
      <c r="D11936">
        <v>0</v>
      </c>
      <c r="E11936">
        <v>0</v>
      </c>
      <c r="F11936">
        <v>6</v>
      </c>
    </row>
    <row r="11937" spans="1:6" ht="12.75">
      <c r="A11937" s="2">
        <v>43879.946932870371</v>
      </c>
      <c r="B11937" t="str">
        <f>HYPERLINK("https://twitter.com/saqtian","@saqtian")</f>
        <v>@saqtian</v>
      </c>
      <c r="C11937" t="s">
        <v>1407</v>
      </c>
      <c r="D11937">
        <v>624</v>
      </c>
      <c r="E11937">
        <v>0</v>
      </c>
      <c r="F11937">
        <v>431</v>
      </c>
    </row>
    <row r="11938" spans="1:6" ht="12.75">
      <c r="A11938" s="2">
        <v>43879.946412037039</v>
      </c>
      <c r="B11938" t="str">
        <f>HYPERLINK("https://twitter.com/PradityaBeni","@PradityaBeni")</f>
        <v>@PradityaBeni</v>
      </c>
      <c r="C11938" t="s">
        <v>6330</v>
      </c>
      <c r="D11938">
        <v>10</v>
      </c>
      <c r="E11938">
        <v>0</v>
      </c>
      <c r="F11938">
        <v>1289</v>
      </c>
    </row>
    <row r="11939" spans="1:6" ht="12.75">
      <c r="A11939" s="2">
        <v>43879.946296296301</v>
      </c>
      <c r="B11939" t="str">
        <f>HYPERLINK("https://twitter.com/HarianInhua","@HarianInhua")</f>
        <v>@HarianInhua</v>
      </c>
      <c r="C11939" t="s">
        <v>6331</v>
      </c>
      <c r="D11939">
        <v>0</v>
      </c>
      <c r="E11939">
        <v>0</v>
      </c>
      <c r="F11939">
        <v>87</v>
      </c>
    </row>
    <row r="11940" spans="1:6" ht="12.75">
      <c r="A11940" s="2">
        <v>43879.946238425924</v>
      </c>
      <c r="B11940" t="str">
        <f>HYPERLINK("https://twitter.com/seliyos","@seliyos")</f>
        <v>@seliyos</v>
      </c>
      <c r="C11940" t="s">
        <v>6032</v>
      </c>
      <c r="D11940">
        <v>826</v>
      </c>
      <c r="E11940">
        <v>0</v>
      </c>
      <c r="F11940">
        <v>820</v>
      </c>
    </row>
    <row r="11941" spans="1:6" ht="12.75">
      <c r="A11941" s="2">
        <v>43879.946111111116</v>
      </c>
      <c r="B11941" t="str">
        <f>HYPERLINK("https://twitter.com/Mhunnn","@Mhunnn")</f>
        <v>@Mhunnn</v>
      </c>
      <c r="C11941" t="s">
        <v>1407</v>
      </c>
      <c r="D11941">
        <v>624</v>
      </c>
      <c r="E11941">
        <v>0</v>
      </c>
      <c r="F11941">
        <v>480</v>
      </c>
    </row>
    <row r="11942" spans="1:6" ht="12.75">
      <c r="A11942" s="2">
        <v>43879.946030092593</v>
      </c>
      <c r="B11942" t="str">
        <f>HYPERLINK("https://twitter.com/JohnIrwan4","@JohnIrwan4")</f>
        <v>@JohnIrwan4</v>
      </c>
      <c r="C11942" t="s">
        <v>6320</v>
      </c>
      <c r="D11942">
        <v>2</v>
      </c>
      <c r="E11942">
        <v>0</v>
      </c>
      <c r="F11942">
        <v>2291</v>
      </c>
    </row>
    <row r="11943" spans="1:6" ht="12.75">
      <c r="A11943" s="2">
        <v>43879.945879629631</v>
      </c>
      <c r="B11943" t="str">
        <f>HYPERLINK("https://twitter.com/voaindonesia","@voaindonesia")</f>
        <v>@voaindonesia</v>
      </c>
      <c r="C11943" t="s">
        <v>6332</v>
      </c>
      <c r="D11943">
        <v>1</v>
      </c>
      <c r="E11943">
        <v>8</v>
      </c>
      <c r="F11943">
        <v>307703</v>
      </c>
    </row>
    <row r="11944" spans="1:6" ht="12.75">
      <c r="A11944" s="2">
        <v>43879.945821759262</v>
      </c>
      <c r="B11944" t="str">
        <f>HYPERLINK("https://twitter.com/chocoocheese","@chocoocheese")</f>
        <v>@chocoocheese</v>
      </c>
      <c r="C11944" t="s">
        <v>6287</v>
      </c>
      <c r="D11944">
        <v>10</v>
      </c>
      <c r="E11944">
        <v>0</v>
      </c>
      <c r="F11944">
        <v>122</v>
      </c>
    </row>
    <row r="11945" spans="1:6" ht="12.75">
      <c r="A11945" s="2">
        <v>43879.945729166662</v>
      </c>
      <c r="B11945" t="str">
        <f>HYPERLINK("https://twitter.com/CANDAdanBISNIS","@CANDAdanBISNIS")</f>
        <v>@CANDAdanBISNIS</v>
      </c>
      <c r="C11945" t="s">
        <v>6333</v>
      </c>
      <c r="D11945">
        <v>2</v>
      </c>
      <c r="E11945">
        <v>2</v>
      </c>
      <c r="F11945">
        <v>12180</v>
      </c>
    </row>
    <row r="11946" spans="1:6" ht="12.75">
      <c r="A11946" s="2">
        <v>43879.945659722223</v>
      </c>
      <c r="B11946" t="str">
        <f>HYPERLINK("https://twitter.com/devilmamii6","@devilmamii6")</f>
        <v>@devilmamii6</v>
      </c>
      <c r="C11946" t="s">
        <v>3551</v>
      </c>
      <c r="D11946">
        <v>2</v>
      </c>
      <c r="E11946">
        <v>0</v>
      </c>
      <c r="F11946">
        <v>4690</v>
      </c>
    </row>
    <row r="11947" spans="1:6" ht="12.75">
      <c r="A11947" s="2">
        <v>43879.945474537039</v>
      </c>
      <c r="B11947" t="str">
        <f>HYPERLINK("https://twitter.com/thompsonesia","@thompsonesia")</f>
        <v>@thompsonesia</v>
      </c>
      <c r="C11947" t="s">
        <v>6334</v>
      </c>
      <c r="D11947">
        <v>0</v>
      </c>
      <c r="E11947">
        <v>0</v>
      </c>
      <c r="F11947">
        <v>96</v>
      </c>
    </row>
    <row r="11948" spans="1:6" ht="12.75">
      <c r="A11948" s="2">
        <v>43879.945416666669</v>
      </c>
      <c r="B11948" t="str">
        <f>HYPERLINK("https://twitter.com/mogisastrawan__","@mogisastrawan__")</f>
        <v>@mogisastrawan__</v>
      </c>
      <c r="C11948" t="s">
        <v>6032</v>
      </c>
      <c r="D11948">
        <v>826</v>
      </c>
      <c r="E11948">
        <v>0</v>
      </c>
      <c r="F11948">
        <v>324</v>
      </c>
    </row>
    <row r="11949" spans="1:6" ht="12.75">
      <c r="A11949" s="2">
        <v>43879.945023148146</v>
      </c>
      <c r="B11949" t="str">
        <f>HYPERLINK("https://twitter.com/stevemnayer","@stevemnayer")</f>
        <v>@stevemnayer</v>
      </c>
      <c r="C11949" t="s">
        <v>3551</v>
      </c>
      <c r="D11949">
        <v>2</v>
      </c>
      <c r="E11949">
        <v>0</v>
      </c>
      <c r="F11949">
        <v>357</v>
      </c>
    </row>
    <row r="11950" spans="1:6" ht="12.75">
      <c r="A11950" s="2">
        <v>43879.944872685184</v>
      </c>
      <c r="B11950" t="str">
        <f>HYPERLINK("https://twitter.com/ndps__","@ndps__")</f>
        <v>@ndps__</v>
      </c>
      <c r="C11950" t="s">
        <v>1407</v>
      </c>
      <c r="D11950">
        <v>624</v>
      </c>
      <c r="E11950">
        <v>0</v>
      </c>
      <c r="F11950">
        <v>64</v>
      </c>
    </row>
    <row r="11951" spans="1:6" ht="12.75">
      <c r="A11951" s="2">
        <v>43879.944861111115</v>
      </c>
      <c r="B11951" t="str">
        <f>HYPERLINK("https://twitter.com/garrccaa","@garrccaa")</f>
        <v>@garrccaa</v>
      </c>
      <c r="C11951" t="s">
        <v>1407</v>
      </c>
      <c r="D11951">
        <v>624</v>
      </c>
      <c r="E11951">
        <v>0</v>
      </c>
      <c r="F11951">
        <v>3115</v>
      </c>
    </row>
    <row r="11952" spans="1:6" ht="12.75">
      <c r="A11952" s="2">
        <v>43879.944803240738</v>
      </c>
      <c r="B11952" t="str">
        <f>HYPERLINK("https://twitter.com/IROGNIK","@IROGNIK")</f>
        <v>@IROGNIK</v>
      </c>
      <c r="C11952" t="s">
        <v>6335</v>
      </c>
      <c r="D11952">
        <v>0</v>
      </c>
      <c r="E11952">
        <v>0</v>
      </c>
      <c r="F11952">
        <v>126</v>
      </c>
    </row>
    <row r="11953" spans="1:6" ht="12.75">
      <c r="A11953" s="2">
        <v>43879.944756944446</v>
      </c>
      <c r="B11953" t="str">
        <f>HYPERLINK("https://twitter.com/bambangsuseno67","@bambangsuseno67")</f>
        <v>@bambangsuseno67</v>
      </c>
      <c r="C11953" t="s">
        <v>6256</v>
      </c>
      <c r="D11953">
        <v>19</v>
      </c>
      <c r="E11953">
        <v>0</v>
      </c>
      <c r="F11953">
        <v>281</v>
      </c>
    </row>
    <row r="11954" spans="1:6" ht="12.75">
      <c r="A11954" s="2">
        <v>43879.944560185184</v>
      </c>
      <c r="B11954" t="str">
        <f>HYPERLINK("https://twitter.com/b3twe3n5tar5","@b3twe3n5tar5")</f>
        <v>@b3twe3n5tar5</v>
      </c>
      <c r="C11954" t="s">
        <v>6256</v>
      </c>
      <c r="D11954">
        <v>19</v>
      </c>
      <c r="E11954">
        <v>0</v>
      </c>
      <c r="F11954">
        <v>356</v>
      </c>
    </row>
    <row r="11955" spans="1:6" ht="12.75">
      <c r="A11955" s="2">
        <v>43879.944560185184</v>
      </c>
      <c r="B11955" t="str">
        <f>HYPERLINK("https://twitter.com/SigitWtj","@SigitWtj")</f>
        <v>@SigitWtj</v>
      </c>
      <c r="C11955" t="s">
        <v>2079</v>
      </c>
      <c r="D11955">
        <v>27</v>
      </c>
      <c r="E11955">
        <v>0</v>
      </c>
      <c r="F11955">
        <v>1639</v>
      </c>
    </row>
    <row r="11956" spans="1:6" ht="12.75">
      <c r="A11956" s="2">
        <v>43879.94430555556</v>
      </c>
      <c r="B11956" t="str">
        <f>HYPERLINK("https://twitter.com/callunavlgris","@callunavlgris")</f>
        <v>@callunavlgris</v>
      </c>
      <c r="C11956" t="s">
        <v>1407</v>
      </c>
      <c r="D11956">
        <v>624</v>
      </c>
      <c r="E11956">
        <v>0</v>
      </c>
      <c r="F11956">
        <v>334</v>
      </c>
    </row>
    <row r="11957" spans="1:6" ht="12.75">
      <c r="A11957" s="2">
        <v>43879.918090277773</v>
      </c>
      <c r="B11957" t="str">
        <f>HYPERLINK("https://twitter.com/BillTemporo","@BillTemporo")</f>
        <v>@BillTemporo</v>
      </c>
      <c r="C11957" t="s">
        <v>832</v>
      </c>
      <c r="D11957">
        <v>0</v>
      </c>
      <c r="E11957">
        <v>0</v>
      </c>
      <c r="F11957">
        <v>11</v>
      </c>
    </row>
    <row r="11958" spans="1:6" ht="12.75">
      <c r="A11958" s="2">
        <v>43879.918067129634</v>
      </c>
      <c r="B11958" t="str">
        <f>HYPERLINK("https://twitter.com/kachungqkichung","@kachungqkichung")</f>
        <v>@kachungqkichung</v>
      </c>
      <c r="C11958" t="s">
        <v>6336</v>
      </c>
      <c r="D11958">
        <v>11</v>
      </c>
      <c r="E11958">
        <v>0</v>
      </c>
      <c r="F11958">
        <v>179</v>
      </c>
    </row>
    <row r="11959" spans="1:6" ht="12.75">
      <c r="A11959" s="2">
        <v>43879.917962962965</v>
      </c>
      <c r="B11959" t="str">
        <f>HYPERLINK("https://twitter.com/4nd103125330","@4nd103125330")</f>
        <v>@4nd103125330</v>
      </c>
      <c r="C11959" t="s">
        <v>6256</v>
      </c>
      <c r="D11959">
        <v>11</v>
      </c>
      <c r="E11959">
        <v>0</v>
      </c>
      <c r="F11959">
        <v>1473</v>
      </c>
    </row>
    <row r="11960" spans="1:6" ht="12.75">
      <c r="A11960" s="2">
        <v>43879.917951388888</v>
      </c>
      <c r="B11960" t="str">
        <f>HYPERLINK("https://twitter.com/anakenyakbabeh","@anakenyakbabeh")</f>
        <v>@anakenyakbabeh</v>
      </c>
      <c r="C11960" t="s">
        <v>1407</v>
      </c>
      <c r="D11960">
        <v>509</v>
      </c>
      <c r="E11960">
        <v>0</v>
      </c>
      <c r="F11960">
        <v>8</v>
      </c>
    </row>
    <row r="11961" spans="1:6" ht="12.75">
      <c r="A11961" s="2">
        <v>43879.917800925927</v>
      </c>
      <c r="B11961" t="str">
        <f>HYPERLINK("https://twitter.com/movicgu","@movicgu")</f>
        <v>@movicgu</v>
      </c>
      <c r="C11961" t="s">
        <v>5644</v>
      </c>
      <c r="D11961">
        <v>304</v>
      </c>
      <c r="E11961">
        <v>0</v>
      </c>
      <c r="F11961">
        <v>92</v>
      </c>
    </row>
    <row r="11962" spans="1:6" ht="12.75">
      <c r="A11962" s="2">
        <v>43879.917546296296</v>
      </c>
      <c r="B11962" t="str">
        <f>HYPERLINK("https://twitter.com/Cocolatbadboy","@Cocolatbadboy")</f>
        <v>@Cocolatbadboy</v>
      </c>
      <c r="C11962" t="s">
        <v>6337</v>
      </c>
      <c r="D11962">
        <v>0</v>
      </c>
      <c r="E11962">
        <v>0</v>
      </c>
      <c r="F11962">
        <v>30</v>
      </c>
    </row>
    <row r="11963" spans="1:6" ht="12.75">
      <c r="A11963" s="2">
        <v>43879.917534722219</v>
      </c>
      <c r="B11963" t="str">
        <f>HYPERLINK("https://twitter.com/BuchoriSutrisno","@BuchoriSutrisno")</f>
        <v>@BuchoriSutrisno</v>
      </c>
      <c r="C11963" t="s">
        <v>5644</v>
      </c>
      <c r="D11963">
        <v>304</v>
      </c>
      <c r="E11963">
        <v>0</v>
      </c>
      <c r="F11963">
        <v>291</v>
      </c>
    </row>
    <row r="11964" spans="1:6" ht="12.75">
      <c r="A11964" s="2">
        <v>43879.917361111111</v>
      </c>
      <c r="B11964" t="str">
        <f>HYPERLINK("https://twitter.com/thaiteafremilt","@thaiteafremilt")</f>
        <v>@thaiteafremilt</v>
      </c>
      <c r="C11964" t="s">
        <v>1407</v>
      </c>
      <c r="D11964">
        <v>509</v>
      </c>
      <c r="E11964">
        <v>0</v>
      </c>
      <c r="F11964">
        <v>1016</v>
      </c>
    </row>
    <row r="11965" spans="1:6" ht="12.75">
      <c r="A11965" s="2">
        <v>43879.917199074072</v>
      </c>
      <c r="B11965" t="str">
        <f>HYPERLINK("https://twitter.com/bukuberbagi100","@bukuberbagi100")</f>
        <v>@bukuberbagi100</v>
      </c>
      <c r="C11965" t="s">
        <v>6045</v>
      </c>
      <c r="D11965">
        <v>10</v>
      </c>
      <c r="E11965">
        <v>0</v>
      </c>
      <c r="F11965">
        <v>127</v>
      </c>
    </row>
    <row r="11966" spans="1:6" ht="12.75">
      <c r="A11966" s="2">
        <v>43879.916990740741</v>
      </c>
      <c r="B11966" t="str">
        <f>HYPERLINK("https://twitter.com/abglawas","@abglawas")</f>
        <v>@abglawas</v>
      </c>
      <c r="C11966" t="s">
        <v>6338</v>
      </c>
      <c r="D11966">
        <v>796</v>
      </c>
      <c r="E11966">
        <v>0</v>
      </c>
      <c r="F11966">
        <v>104</v>
      </c>
    </row>
    <row r="11967" spans="1:6" ht="12.75">
      <c r="A11967" s="2">
        <v>43879.916886574079</v>
      </c>
      <c r="B11967" t="str">
        <f>HYPERLINK("https://twitter.com/Prawitraazhari","@Prawitraazhari")</f>
        <v>@Prawitraazhari</v>
      </c>
      <c r="C11967" t="s">
        <v>6339</v>
      </c>
      <c r="D11967">
        <v>2</v>
      </c>
      <c r="E11967">
        <v>0</v>
      </c>
      <c r="F11967">
        <v>207</v>
      </c>
    </row>
    <row r="11968" spans="1:6" ht="12.75">
      <c r="A11968" s="2">
        <v>43879.916666666672</v>
      </c>
      <c r="B11968" t="str">
        <f>HYPERLINK("https://twitter.com/MeTubeID","@MeTubeID")</f>
        <v>@MeTubeID</v>
      </c>
      <c r="C11968" t="s">
        <v>6340</v>
      </c>
      <c r="D11968">
        <v>0</v>
      </c>
      <c r="E11968">
        <v>0</v>
      </c>
      <c r="F11968">
        <v>6300</v>
      </c>
    </row>
    <row r="11969" spans="1:6" ht="12.75">
      <c r="A11969" s="2">
        <v>43879.916493055556</v>
      </c>
      <c r="B11969" t="str">
        <f>HYPERLINK("https://twitter.com/Galeh_Yuniar","@Galeh_Yuniar")</f>
        <v>@Galeh_Yuniar</v>
      </c>
      <c r="C11969" t="s">
        <v>6341</v>
      </c>
      <c r="D11969">
        <v>3</v>
      </c>
      <c r="E11969">
        <v>0</v>
      </c>
      <c r="F11969">
        <v>266</v>
      </c>
    </row>
    <row r="11970" spans="1:6" ht="12.75">
      <c r="A11970" s="2">
        <v>43879.916400462964</v>
      </c>
      <c r="B11970" t="str">
        <f>HYPERLINK("https://twitter.com/ariefirsyad15","@ariefirsyad15")</f>
        <v>@ariefirsyad15</v>
      </c>
      <c r="C11970" t="s">
        <v>5644</v>
      </c>
      <c r="D11970">
        <v>304</v>
      </c>
      <c r="E11970">
        <v>0</v>
      </c>
      <c r="F11970">
        <v>416</v>
      </c>
    </row>
    <row r="11971" spans="1:6" ht="12.75">
      <c r="A11971" s="2">
        <v>43879.916296296295</v>
      </c>
      <c r="B11971" t="str">
        <f>HYPERLINK("https://twitter.com/wahyugendut39","@wahyugendut39")</f>
        <v>@wahyugendut39</v>
      </c>
      <c r="C11971" t="s">
        <v>5644</v>
      </c>
      <c r="D11971">
        <v>304</v>
      </c>
      <c r="E11971">
        <v>0</v>
      </c>
      <c r="F11971">
        <v>964</v>
      </c>
    </row>
    <row r="11972" spans="1:6" ht="12.75">
      <c r="A11972" s="2">
        <v>43879.916215277779</v>
      </c>
      <c r="B11972" t="str">
        <f>HYPERLINK("https://twitter.com/HMuffie","@HMuffie")</f>
        <v>@HMuffie</v>
      </c>
      <c r="C11972" t="s">
        <v>6342</v>
      </c>
      <c r="D11972">
        <v>1</v>
      </c>
      <c r="E11972">
        <v>0</v>
      </c>
      <c r="F11972">
        <v>23</v>
      </c>
    </row>
    <row r="11973" spans="1:6" ht="12.75">
      <c r="A11973" s="2">
        <v>43879.916180555556</v>
      </c>
      <c r="B11973" t="str">
        <f>HYPERLINK("https://twitter.com/FadelAdhwyn","@FadelAdhwyn")</f>
        <v>@FadelAdhwyn</v>
      </c>
      <c r="C11973" t="s">
        <v>1407</v>
      </c>
      <c r="D11973">
        <v>509</v>
      </c>
      <c r="E11973">
        <v>0</v>
      </c>
      <c r="F11973">
        <v>231</v>
      </c>
    </row>
    <row r="11974" spans="1:6" ht="12.75">
      <c r="A11974" s="2">
        <v>43879.915879629625</v>
      </c>
      <c r="B11974" t="str">
        <f>HYPERLINK("https://twitter.com/hartanto_mas","@hartanto_mas")</f>
        <v>@hartanto_mas</v>
      </c>
      <c r="C11974" t="s">
        <v>5702</v>
      </c>
      <c r="D11974">
        <v>160</v>
      </c>
      <c r="E11974">
        <v>0</v>
      </c>
      <c r="F11974">
        <v>1053</v>
      </c>
    </row>
    <row r="11975" spans="1:6" ht="12.75">
      <c r="A11975" s="2">
        <v>43879.915462962963</v>
      </c>
      <c r="B11975" t="str">
        <f>HYPERLINK("https://twitter.com/ixiaodejun","@ixiaodejun")</f>
        <v>@ixiaodejun</v>
      </c>
      <c r="C11975" t="s">
        <v>6343</v>
      </c>
      <c r="D11975">
        <v>0</v>
      </c>
      <c r="E11975">
        <v>0</v>
      </c>
      <c r="F11975">
        <v>844</v>
      </c>
    </row>
    <row r="11976" spans="1:6" ht="12.75">
      <c r="A11976" s="2">
        <v>43879.915289351848</v>
      </c>
      <c r="B11976" t="str">
        <f>HYPERLINK("https://twitter.com/ulfzaar","@ulfzaar")</f>
        <v>@ulfzaar</v>
      </c>
      <c r="C11976" t="s">
        <v>6052</v>
      </c>
      <c r="D11976">
        <v>72</v>
      </c>
      <c r="E11976">
        <v>0</v>
      </c>
      <c r="F11976">
        <v>158</v>
      </c>
    </row>
    <row r="11977" spans="1:6" ht="12.75">
      <c r="A11977" s="2">
        <v>43879.915266203709</v>
      </c>
      <c r="B11977" t="str">
        <f>HYPERLINK("https://twitter.com/Adysaurus","@Adysaurus")</f>
        <v>@Adysaurus</v>
      </c>
      <c r="C11977" t="s">
        <v>1407</v>
      </c>
      <c r="D11977">
        <v>509</v>
      </c>
      <c r="E11977">
        <v>0</v>
      </c>
      <c r="F11977">
        <v>5848</v>
      </c>
    </row>
    <row r="11978" spans="1:6" ht="12.75">
      <c r="A11978" s="2">
        <v>43879.915254629625</v>
      </c>
      <c r="B11978" t="str">
        <f>HYPERLINK("https://twitter.com/alwi_ML","@alwi_ML")</f>
        <v>@alwi_ML</v>
      </c>
      <c r="C11978" t="s">
        <v>5702</v>
      </c>
      <c r="D11978">
        <v>160</v>
      </c>
      <c r="E11978">
        <v>0</v>
      </c>
      <c r="F11978">
        <v>126</v>
      </c>
    </row>
    <row r="11979" spans="1:6" ht="12.75">
      <c r="A11979" s="2">
        <v>43879.914953703701</v>
      </c>
      <c r="B11979" t="str">
        <f>HYPERLINK("https://twitter.com/ocin71","@ocin71")</f>
        <v>@ocin71</v>
      </c>
      <c r="C11979" t="s">
        <v>5702</v>
      </c>
      <c r="D11979">
        <v>160</v>
      </c>
      <c r="E11979">
        <v>0</v>
      </c>
      <c r="F11979">
        <v>319</v>
      </c>
    </row>
    <row r="11980" spans="1:6" ht="12.75">
      <c r="A11980" s="2">
        <v>43879.914375</v>
      </c>
      <c r="B11980" t="str">
        <f>HYPERLINK("https://twitter.com/tasyaalpe","@tasyaalpe")</f>
        <v>@tasyaalpe</v>
      </c>
      <c r="C11980" t="s">
        <v>1407</v>
      </c>
      <c r="D11980">
        <v>509</v>
      </c>
      <c r="E11980">
        <v>0</v>
      </c>
      <c r="F11980">
        <v>592</v>
      </c>
    </row>
    <row r="11981" spans="1:6" ht="12.75">
      <c r="A11981" s="2">
        <v>43879.914247685185</v>
      </c>
      <c r="B11981" t="str">
        <f>HYPERLINK("https://twitter.com/barsono","@barsono")</f>
        <v>@barsono</v>
      </c>
      <c r="C11981" t="s">
        <v>6344</v>
      </c>
      <c r="D11981">
        <v>2</v>
      </c>
      <c r="E11981">
        <v>0</v>
      </c>
      <c r="F11981">
        <v>574</v>
      </c>
    </row>
    <row r="11982" spans="1:6" ht="12.75">
      <c r="A11982" s="2">
        <v>43879.913807870369</v>
      </c>
      <c r="B11982" t="str">
        <f>HYPERLINK("https://twitter.com/_clovvn","@_clovvn")</f>
        <v>@_clovvn</v>
      </c>
      <c r="C11982" t="s">
        <v>1407</v>
      </c>
      <c r="D11982">
        <v>509</v>
      </c>
      <c r="E11982">
        <v>0</v>
      </c>
      <c r="F11982">
        <v>70</v>
      </c>
    </row>
    <row r="11983" spans="1:6" ht="12.75">
      <c r="A11983" s="2">
        <v>43879.9137962963</v>
      </c>
      <c r="B11983" t="str">
        <f>HYPERLINK("https://twitter.com/rerenggan","@rerenggan")</f>
        <v>@rerenggan</v>
      </c>
      <c r="C11983" t="s">
        <v>1407</v>
      </c>
      <c r="D11983">
        <v>509</v>
      </c>
      <c r="E11983">
        <v>0</v>
      </c>
      <c r="F11983">
        <v>26</v>
      </c>
    </row>
    <row r="11984" spans="1:6" ht="12.75">
      <c r="A11984" s="2">
        <v>43879.913449074069</v>
      </c>
      <c r="B11984" t="str">
        <f>HYPERLINK("https://twitter.com/BrdKelima","@BrdKelima")</f>
        <v>@BrdKelima</v>
      </c>
      <c r="C11984" t="s">
        <v>6345</v>
      </c>
      <c r="D11984">
        <v>0</v>
      </c>
      <c r="E11984">
        <v>0</v>
      </c>
      <c r="F11984">
        <v>3573</v>
      </c>
    </row>
    <row r="11985" spans="1:6" ht="12.75">
      <c r="A11985" s="2">
        <v>43879.913414351853</v>
      </c>
      <c r="B11985" t="str">
        <f>HYPERLINK("https://twitter.com/ObaiIdon","@ObaiIdon")</f>
        <v>@ObaiIdon</v>
      </c>
      <c r="C11985" t="s">
        <v>6346</v>
      </c>
      <c r="D11985">
        <v>0</v>
      </c>
      <c r="E11985">
        <v>0</v>
      </c>
      <c r="F11985">
        <v>179</v>
      </c>
    </row>
    <row r="11986" spans="1:6" ht="12.75">
      <c r="A11986" s="2">
        <v>43879.913368055553</v>
      </c>
      <c r="B11986" t="str">
        <f>HYPERLINK("https://twitter.com/Cahkuwut","@Cahkuwut")</f>
        <v>@Cahkuwut</v>
      </c>
      <c r="C11986" t="s">
        <v>6221</v>
      </c>
      <c r="D11986">
        <v>13</v>
      </c>
      <c r="E11986">
        <v>0</v>
      </c>
      <c r="F11986">
        <v>663</v>
      </c>
    </row>
    <row r="11987" spans="1:6" ht="12.75">
      <c r="A11987" s="2">
        <v>43879.913344907407</v>
      </c>
      <c r="B11987" t="str">
        <f>HYPERLINK("https://twitter.com/TukangNy1ny1r","@TukangNy1ny1r")</f>
        <v>@TukangNy1ny1r</v>
      </c>
      <c r="C11987" t="s">
        <v>6347</v>
      </c>
      <c r="D11987">
        <v>0</v>
      </c>
      <c r="E11987">
        <v>0</v>
      </c>
      <c r="F11987">
        <v>76</v>
      </c>
    </row>
    <row r="11988" spans="1:6" ht="12.75">
      <c r="A11988" s="2">
        <v>43879.91333333333</v>
      </c>
      <c r="B11988" t="str">
        <f>HYPERLINK("https://twitter.com/ravelsam","@ravelsam")</f>
        <v>@ravelsam</v>
      </c>
      <c r="C11988" t="s">
        <v>1407</v>
      </c>
      <c r="D11988">
        <v>509</v>
      </c>
      <c r="E11988">
        <v>0</v>
      </c>
      <c r="F11988">
        <v>183</v>
      </c>
    </row>
    <row r="11989" spans="1:6" ht="12.75">
      <c r="A11989" s="2">
        <v>43879.913148148145</v>
      </c>
      <c r="B11989" t="str">
        <f>HYPERLINK("https://twitter.com/Se_Tia_23","@Se_Tia_23")</f>
        <v>@Se_Tia_23</v>
      </c>
      <c r="C11989" t="s">
        <v>6170</v>
      </c>
      <c r="D11989">
        <v>14</v>
      </c>
      <c r="E11989">
        <v>0</v>
      </c>
      <c r="F11989">
        <v>3446</v>
      </c>
    </row>
    <row r="11990" spans="1:6" ht="12.75">
      <c r="A11990" s="2">
        <v>43879.913090277776</v>
      </c>
      <c r="B11990" t="str">
        <f>HYPERLINK("https://twitter.com/preciosasum","@preciosasum")</f>
        <v>@preciosasum</v>
      </c>
      <c r="C11990" t="s">
        <v>1407</v>
      </c>
      <c r="D11990">
        <v>509</v>
      </c>
      <c r="E11990">
        <v>0</v>
      </c>
      <c r="F11990">
        <v>351</v>
      </c>
    </row>
    <row r="11991" spans="1:6" ht="12.75">
      <c r="A11991" s="2">
        <v>43879.912974537037</v>
      </c>
      <c r="B11991" t="str">
        <f>HYPERLINK("https://twitter.com/tujuhlipa","@tujuhlipa")</f>
        <v>@tujuhlipa</v>
      </c>
      <c r="C11991" t="s">
        <v>6172</v>
      </c>
      <c r="D11991">
        <v>41</v>
      </c>
      <c r="E11991">
        <v>0</v>
      </c>
      <c r="F11991">
        <v>1522</v>
      </c>
    </row>
    <row r="11992" spans="1:6" ht="12.75">
      <c r="A11992" s="2">
        <v>43879.912974537037</v>
      </c>
      <c r="B11992" t="str">
        <f>HYPERLINK("https://twitter.com/AstriedMyr","@AstriedMyr")</f>
        <v>@AstriedMyr</v>
      </c>
      <c r="C11992" t="s">
        <v>1407</v>
      </c>
      <c r="D11992">
        <v>509</v>
      </c>
      <c r="E11992">
        <v>0</v>
      </c>
      <c r="F11992">
        <v>620</v>
      </c>
    </row>
    <row r="11993" spans="1:6" ht="12.75">
      <c r="A11993" s="2">
        <v>43879.912615740745</v>
      </c>
      <c r="B11993" t="str">
        <f>HYPERLINK("https://twitter.com/iyzunk","@iyzunk")</f>
        <v>@iyzunk</v>
      </c>
      <c r="C11993" t="s">
        <v>6256</v>
      </c>
      <c r="D11993">
        <v>11</v>
      </c>
      <c r="E11993">
        <v>0</v>
      </c>
      <c r="F11993">
        <v>1692</v>
      </c>
    </row>
    <row r="11994" spans="1:6" ht="12.75">
      <c r="A11994" s="2">
        <v>43879.912303240737</v>
      </c>
      <c r="B11994" t="str">
        <f>HYPERLINK("https://twitter.com/Syamsud41732201","@Syamsud41732201")</f>
        <v>@Syamsud41732201</v>
      </c>
      <c r="C11994" t="s">
        <v>5702</v>
      </c>
      <c r="D11994">
        <v>160</v>
      </c>
      <c r="E11994">
        <v>0</v>
      </c>
      <c r="F11994">
        <v>732</v>
      </c>
    </row>
    <row r="11995" spans="1:6" ht="12.75">
      <c r="A11995" s="2">
        <v>43879.911851851852</v>
      </c>
      <c r="B11995" t="str">
        <f>HYPERLINK("https://twitter.com/babymarkIee","@babymarkIee")</f>
        <v>@babymarkIee</v>
      </c>
      <c r="C11995" t="s">
        <v>6032</v>
      </c>
      <c r="D11995">
        <v>807</v>
      </c>
      <c r="E11995">
        <v>0</v>
      </c>
      <c r="F11995">
        <v>1032</v>
      </c>
    </row>
    <row r="11996" spans="1:6" ht="12.75">
      <c r="A11996" s="2">
        <v>43879.911724537036</v>
      </c>
      <c r="B11996" t="str">
        <f>HYPERLINK("https://twitter.com/harutoforlyf","@harutoforlyf")</f>
        <v>@harutoforlyf</v>
      </c>
      <c r="C11996" t="s">
        <v>6348</v>
      </c>
      <c r="D11996">
        <v>0</v>
      </c>
      <c r="E11996">
        <v>0</v>
      </c>
      <c r="F11996">
        <v>278</v>
      </c>
    </row>
    <row r="11997" spans="1:6" ht="12.75">
      <c r="A11997" s="2">
        <v>43879.911539351851</v>
      </c>
      <c r="B11997" t="str">
        <f>HYPERLINK("https://twitter.com/maxaghie","@maxaghie")</f>
        <v>@maxaghie</v>
      </c>
      <c r="C11997" t="s">
        <v>6170</v>
      </c>
      <c r="D11997">
        <v>14</v>
      </c>
      <c r="E11997">
        <v>0</v>
      </c>
      <c r="F11997">
        <v>57</v>
      </c>
    </row>
    <row r="11998" spans="1:6" ht="12.75">
      <c r="A11998" s="2">
        <v>43879.911319444444</v>
      </c>
      <c r="B11998" t="str">
        <f>HYPERLINK("https://twitter.com/kaamiliaaa","@kaamiliaaa")</f>
        <v>@kaamiliaaa</v>
      </c>
      <c r="C11998" t="s">
        <v>1407</v>
      </c>
      <c r="D11998">
        <v>509</v>
      </c>
      <c r="E11998">
        <v>0</v>
      </c>
      <c r="F11998">
        <v>296</v>
      </c>
    </row>
    <row r="11999" spans="1:6" ht="12.75">
      <c r="A11999" s="2">
        <v>43879.911226851851</v>
      </c>
      <c r="B11999" t="str">
        <f>HYPERLINK("https://twitter.com/YCH7168","@YCH7168")</f>
        <v>@YCH7168</v>
      </c>
      <c r="C11999" t="s">
        <v>6349</v>
      </c>
      <c r="D11999">
        <v>0</v>
      </c>
      <c r="E11999">
        <v>0</v>
      </c>
      <c r="F11999">
        <v>7625</v>
      </c>
    </row>
    <row r="12000" spans="1:6" ht="12.75">
      <c r="A12000" s="2">
        <v>43879.911099537036</v>
      </c>
      <c r="B12000" t="str">
        <f>HYPERLINK("https://twitter.com/LuthfiiAhmad","@LuthfiiAhmad")</f>
        <v>@LuthfiiAhmad</v>
      </c>
      <c r="C12000" t="s">
        <v>1407</v>
      </c>
      <c r="D12000">
        <v>509</v>
      </c>
      <c r="E12000">
        <v>0</v>
      </c>
      <c r="F12000">
        <v>615</v>
      </c>
    </row>
    <row r="12001" spans="1:6" ht="12.75">
      <c r="A12001" s="2">
        <v>43879.910949074074</v>
      </c>
      <c r="B12001" t="str">
        <f>HYPERLINK("https://twitter.com/putra_bisma12","@putra_bisma12")</f>
        <v>@putra_bisma12</v>
      </c>
      <c r="C12001" t="s">
        <v>6350</v>
      </c>
      <c r="D12001">
        <v>0</v>
      </c>
      <c r="E12001">
        <v>1</v>
      </c>
      <c r="F12001">
        <v>4196</v>
      </c>
    </row>
    <row r="12002" spans="1:6" ht="12.75">
      <c r="A12002" s="2">
        <v>43879.910416666666</v>
      </c>
      <c r="B12002" t="str">
        <f>HYPERLINK("https://twitter.com/zakidisini_","@zakidisini_")</f>
        <v>@zakidisini_</v>
      </c>
      <c r="C12002" t="s">
        <v>6351</v>
      </c>
      <c r="D12002">
        <v>0</v>
      </c>
      <c r="E12002">
        <v>0</v>
      </c>
      <c r="F12002">
        <v>1012</v>
      </c>
    </row>
    <row r="12003" spans="1:6" ht="12.75">
      <c r="A12003" s="2">
        <v>43879.910127314812</v>
      </c>
      <c r="B12003" t="str">
        <f>HYPERLINK("https://twitter.com/fmgibran","@fmgibran")</f>
        <v>@fmgibran</v>
      </c>
      <c r="C12003" t="s">
        <v>6352</v>
      </c>
      <c r="D12003">
        <v>0</v>
      </c>
      <c r="E12003">
        <v>0</v>
      </c>
      <c r="F12003">
        <v>66</v>
      </c>
    </row>
    <row r="12004" spans="1:6" ht="12.75">
      <c r="A12004" s="2">
        <v>43879.90996527778</v>
      </c>
      <c r="B12004" t="str">
        <f>HYPERLINK("https://twitter.com/DsSupriyady","@DsSupriyady")</f>
        <v>@DsSupriyady</v>
      </c>
      <c r="C12004" t="s">
        <v>5914</v>
      </c>
      <c r="D12004">
        <v>11</v>
      </c>
      <c r="E12004">
        <v>0</v>
      </c>
      <c r="F12004">
        <v>3861</v>
      </c>
    </row>
    <row r="12005" spans="1:6" ht="12.75">
      <c r="A12005" s="2">
        <v>43879.909872685181</v>
      </c>
      <c r="B12005" t="str">
        <f>HYPERLINK("https://twitter.com/rachmaddian96","@rachmaddian96")</f>
        <v>@rachmaddian96</v>
      </c>
      <c r="C12005" t="s">
        <v>2444</v>
      </c>
      <c r="D12005">
        <v>4582</v>
      </c>
      <c r="E12005">
        <v>0</v>
      </c>
      <c r="F12005">
        <v>310</v>
      </c>
    </row>
    <row r="12006" spans="1:6" ht="12.75">
      <c r="A12006" s="2">
        <v>43879.909814814819</v>
      </c>
      <c r="B12006" t="str">
        <f>HYPERLINK("https://twitter.com/Cahyadi_refa","@Cahyadi_refa")</f>
        <v>@Cahyadi_refa</v>
      </c>
      <c r="C12006" t="s">
        <v>6045</v>
      </c>
      <c r="D12006">
        <v>10</v>
      </c>
      <c r="E12006">
        <v>0</v>
      </c>
      <c r="F12006">
        <v>828</v>
      </c>
    </row>
    <row r="12007" spans="1:6" ht="12.75">
      <c r="A12007" s="2">
        <v>43879.909803240742</v>
      </c>
      <c r="B12007" t="str">
        <f>HYPERLINK("https://twitter.com/AwanParutang","@AwanParutang")</f>
        <v>@AwanParutang</v>
      </c>
      <c r="C12007" t="s">
        <v>3474</v>
      </c>
      <c r="D12007">
        <v>22</v>
      </c>
      <c r="E12007">
        <v>0</v>
      </c>
      <c r="F12007">
        <v>310</v>
      </c>
    </row>
    <row r="12008" spans="1:6" ht="12.75">
      <c r="A12008" s="2">
        <v>43879.909571759257</v>
      </c>
      <c r="B12008" t="str">
        <f>HYPERLINK("https://twitter.com/fahrizaalif","@fahrizaalif")</f>
        <v>@fahrizaalif</v>
      </c>
      <c r="C12008" t="s">
        <v>6173</v>
      </c>
      <c r="D12008">
        <v>5</v>
      </c>
      <c r="E12008">
        <v>0</v>
      </c>
      <c r="F12008">
        <v>200</v>
      </c>
    </row>
    <row r="12009" spans="1:6" ht="12.75">
      <c r="A12009" s="2">
        <v>43879.909513888888</v>
      </c>
      <c r="B12009" t="str">
        <f>HYPERLINK("https://twitter.com/opiktaufik23","@opiktaufik23")</f>
        <v>@opiktaufik23</v>
      </c>
      <c r="C12009" t="s">
        <v>2930</v>
      </c>
      <c r="D12009">
        <v>76</v>
      </c>
      <c r="E12009">
        <v>0</v>
      </c>
      <c r="F12009">
        <v>31</v>
      </c>
    </row>
    <row r="12010" spans="1:6" ht="12.75">
      <c r="A12010" s="2">
        <v>43879.90929398148</v>
      </c>
      <c r="B12010" t="str">
        <f>HYPERLINK("https://twitter.com/ObaiIdon","@ObaiIdon")</f>
        <v>@ObaiIdon</v>
      </c>
      <c r="C12010" t="s">
        <v>6353</v>
      </c>
      <c r="D12010">
        <v>0</v>
      </c>
      <c r="E12010">
        <v>0</v>
      </c>
      <c r="F12010">
        <v>179</v>
      </c>
    </row>
    <row r="12011" spans="1:6" ht="12.75">
      <c r="A12011" s="2">
        <v>43879.909212962964</v>
      </c>
      <c r="B12011" t="str">
        <f>HYPERLINK("https://twitter.com/DsSupriyady","@DsSupriyady")</f>
        <v>@DsSupriyady</v>
      </c>
      <c r="C12011" t="s">
        <v>1920</v>
      </c>
      <c r="D12011">
        <v>178</v>
      </c>
      <c r="E12011">
        <v>0</v>
      </c>
      <c r="F12011">
        <v>3861</v>
      </c>
    </row>
    <row r="12012" spans="1:6" ht="12.75">
      <c r="A12012" s="2">
        <v>43879.909143518518</v>
      </c>
      <c r="B12012" t="str">
        <f>HYPERLINK("https://twitter.com/revytasalsabila","@revytasalsabila")</f>
        <v>@revytasalsabila</v>
      </c>
      <c r="C12012" t="s">
        <v>1407</v>
      </c>
      <c r="D12012">
        <v>509</v>
      </c>
      <c r="E12012">
        <v>0</v>
      </c>
      <c r="F12012">
        <v>859</v>
      </c>
    </row>
    <row r="12013" spans="1:6" ht="12.75">
      <c r="A12013" s="2">
        <v>43879.909050925926</v>
      </c>
      <c r="B12013" t="str">
        <f>HYPERLINK("https://twitter.com/ZupersoepriE","@ZupersoepriE")</f>
        <v>@ZupersoepriE</v>
      </c>
      <c r="C12013" t="s">
        <v>2930</v>
      </c>
      <c r="D12013">
        <v>76</v>
      </c>
      <c r="E12013">
        <v>0</v>
      </c>
      <c r="F12013">
        <v>79</v>
      </c>
    </row>
    <row r="12014" spans="1:6" ht="12.75">
      <c r="A12014" s="2">
        <v>43879.908761574072</v>
      </c>
      <c r="B12014" t="str">
        <f>HYPERLINK("https://twitter.com/EdisonSihombi15","@EdisonSihombi15")</f>
        <v>@EdisonSihombi15</v>
      </c>
      <c r="C12014" t="s">
        <v>5644</v>
      </c>
      <c r="D12014">
        <v>304</v>
      </c>
      <c r="E12014">
        <v>0</v>
      </c>
      <c r="F12014">
        <v>1326</v>
      </c>
    </row>
    <row r="12015" spans="1:6" ht="12.75">
      <c r="A12015" s="2">
        <v>43879.908750000002</v>
      </c>
      <c r="B12015" t="str">
        <f>HYPERLINK("https://twitter.com/Masdjodi1","@Masdjodi1")</f>
        <v>@Masdjodi1</v>
      </c>
      <c r="C12015" t="s">
        <v>6170</v>
      </c>
      <c r="D12015">
        <v>14</v>
      </c>
      <c r="E12015">
        <v>0</v>
      </c>
      <c r="F12015">
        <v>684</v>
      </c>
    </row>
    <row r="12016" spans="1:6" ht="12.75">
      <c r="A12016" s="2">
        <v>43879.908726851849</v>
      </c>
      <c r="B12016" t="str">
        <f>HYPERLINK("https://twitter.com/nebalion","@nebalion")</f>
        <v>@nebalion</v>
      </c>
      <c r="C12016" t="s">
        <v>5644</v>
      </c>
      <c r="D12016">
        <v>304</v>
      </c>
      <c r="E12016">
        <v>0</v>
      </c>
      <c r="F12016">
        <v>716</v>
      </c>
    </row>
    <row r="12017" spans="1:6" ht="12.75">
      <c r="A12017" s="2">
        <v>43879.908622685187</v>
      </c>
      <c r="B12017" t="str">
        <f>HYPERLINK("https://twitter.com/membranplasma","@membranplasma")</f>
        <v>@membranplasma</v>
      </c>
      <c r="C12017" t="s">
        <v>1407</v>
      </c>
      <c r="D12017">
        <v>509</v>
      </c>
      <c r="E12017">
        <v>0</v>
      </c>
      <c r="F12017">
        <v>51</v>
      </c>
    </row>
    <row r="12018" spans="1:6" ht="12.75">
      <c r="A12018" s="2">
        <v>43879.908483796295</v>
      </c>
      <c r="B12018" t="str">
        <f>HYPERLINK("https://twitter.com/ojsubuck","@ojsubuck")</f>
        <v>@ojsubuck</v>
      </c>
      <c r="C12018" t="s">
        <v>1407</v>
      </c>
      <c r="D12018">
        <v>509</v>
      </c>
      <c r="E12018">
        <v>0</v>
      </c>
      <c r="F12018">
        <v>47</v>
      </c>
    </row>
    <row r="12019" spans="1:6" ht="12.75">
      <c r="A12019" s="2">
        <v>43879.908333333333</v>
      </c>
      <c r="B12019" t="str">
        <f>HYPERLINK("https://twitter.com/danayaas","@danayaas")</f>
        <v>@danayaas</v>
      </c>
      <c r="C12019" t="s">
        <v>1407</v>
      </c>
      <c r="D12019">
        <v>509</v>
      </c>
      <c r="E12019">
        <v>0</v>
      </c>
      <c r="F12019">
        <v>812</v>
      </c>
    </row>
    <row r="12020" spans="1:6" ht="12.75">
      <c r="A12020" s="2">
        <v>43879.90825231481</v>
      </c>
      <c r="B12020" t="str">
        <f>HYPERLINK("https://twitter.com/rhezaprawira","@rhezaprawira")</f>
        <v>@rhezaprawira</v>
      </c>
      <c r="C12020" t="s">
        <v>2467</v>
      </c>
      <c r="D12020">
        <v>5</v>
      </c>
      <c r="E12020">
        <v>0</v>
      </c>
      <c r="F12020">
        <v>53</v>
      </c>
    </row>
    <row r="12021" spans="1:6" ht="12.75">
      <c r="A12021" s="2">
        <v>43879.907951388886</v>
      </c>
      <c r="B12021" t="str">
        <f>HYPERLINK("https://twitter.com/ghembuk","@ghembuk")</f>
        <v>@ghembuk</v>
      </c>
      <c r="C12021" t="s">
        <v>1407</v>
      </c>
      <c r="D12021">
        <v>509</v>
      </c>
      <c r="E12021">
        <v>0</v>
      </c>
      <c r="F12021">
        <v>185</v>
      </c>
    </row>
    <row r="12022" spans="1:6" ht="12.75">
      <c r="A12022" s="2">
        <v>43879.907905092594</v>
      </c>
      <c r="B12022" t="str">
        <f>HYPERLINK("https://twitter.com/mofujuul","@mofujuul")</f>
        <v>@mofujuul</v>
      </c>
      <c r="C12022" t="s">
        <v>5039</v>
      </c>
      <c r="D12022">
        <v>5</v>
      </c>
      <c r="E12022">
        <v>0</v>
      </c>
      <c r="F12022">
        <v>0</v>
      </c>
    </row>
    <row r="12023" spans="1:6" ht="12.75">
      <c r="A12023" s="2">
        <v>43879.907534722224</v>
      </c>
      <c r="B12023" t="str">
        <f>HYPERLINK("https://twitter.com/NaenWan","@NaenWan")</f>
        <v>@NaenWan</v>
      </c>
      <c r="C12023" t="s">
        <v>491</v>
      </c>
      <c r="D12023">
        <v>4735</v>
      </c>
      <c r="E12023">
        <v>0</v>
      </c>
      <c r="F12023">
        <v>1476</v>
      </c>
    </row>
    <row r="12024" spans="1:6" ht="12.75">
      <c r="A12024" s="2">
        <v>43879.907488425924</v>
      </c>
      <c r="B12024" t="str">
        <f>HYPERLINK("https://twitter.com/AchmadyaniAy70","@AchmadyaniAy70")</f>
        <v>@AchmadyaniAy70</v>
      </c>
      <c r="C12024" t="s">
        <v>5644</v>
      </c>
      <c r="D12024">
        <v>304</v>
      </c>
      <c r="E12024">
        <v>0</v>
      </c>
      <c r="F12024">
        <v>4261</v>
      </c>
    </row>
    <row r="12025" spans="1:6" ht="12.75">
      <c r="A12025" s="2">
        <v>43879.907326388886</v>
      </c>
      <c r="B12025" t="str">
        <f>HYPERLINK("https://twitter.com/JordiHawk","@JordiHawk")</f>
        <v>@JordiHawk</v>
      </c>
      <c r="C12025" t="s">
        <v>6354</v>
      </c>
      <c r="D12025">
        <v>43</v>
      </c>
      <c r="E12025">
        <v>0</v>
      </c>
      <c r="F12025">
        <v>160</v>
      </c>
    </row>
    <row r="12026" spans="1:6" ht="12.75">
      <c r="A12026" s="2">
        <v>43879.907280092593</v>
      </c>
      <c r="B12026" t="str">
        <f>HYPERLINK("https://twitter.com/Cahyadi_refa","@Cahyadi_refa")</f>
        <v>@Cahyadi_refa</v>
      </c>
      <c r="C12026" t="s">
        <v>6355</v>
      </c>
      <c r="D12026">
        <v>240</v>
      </c>
      <c r="E12026">
        <v>0</v>
      </c>
      <c r="F12026">
        <v>828</v>
      </c>
    </row>
    <row r="12027" spans="1:6" ht="12.75">
      <c r="A12027" s="2">
        <v>43879.907268518524</v>
      </c>
      <c r="B12027" t="str">
        <f>HYPERLINK("https://twitter.com/mofujuul","@mofujuul")</f>
        <v>@mofujuul</v>
      </c>
      <c r="C12027" t="s">
        <v>2145</v>
      </c>
      <c r="D12027">
        <v>4</v>
      </c>
      <c r="E12027">
        <v>0</v>
      </c>
      <c r="F12027">
        <v>0</v>
      </c>
    </row>
    <row r="12028" spans="1:6" ht="12.75">
      <c r="A12028" s="2">
        <v>43879.907210648147</v>
      </c>
      <c r="B12028" t="str">
        <f>HYPERLINK("https://twitter.com/camaraeka","@camaraeka")</f>
        <v>@camaraeka</v>
      </c>
      <c r="C12028" t="s">
        <v>1407</v>
      </c>
      <c r="D12028">
        <v>509</v>
      </c>
      <c r="E12028">
        <v>0</v>
      </c>
      <c r="F12028">
        <v>661</v>
      </c>
    </row>
    <row r="12029" spans="1:6" ht="12.75">
      <c r="A12029" s="2">
        <v>43879.907164351855</v>
      </c>
      <c r="B12029" t="str">
        <f>HYPERLINK("https://twitter.com/bayuauliahakim","@bayuauliahakim")</f>
        <v>@bayuauliahakim</v>
      </c>
      <c r="C12029" t="s">
        <v>6032</v>
      </c>
      <c r="D12029">
        <v>807</v>
      </c>
      <c r="E12029">
        <v>0</v>
      </c>
      <c r="F12029">
        <v>316</v>
      </c>
    </row>
    <row r="12030" spans="1:6" ht="12.75">
      <c r="A12030" s="2">
        <v>43879.907094907408</v>
      </c>
      <c r="B12030" t="str">
        <f>HYPERLINK("https://twitter.com/vaniazzhr","@vaniazzhr")</f>
        <v>@vaniazzhr</v>
      </c>
      <c r="C12030" t="s">
        <v>6032</v>
      </c>
      <c r="D12030">
        <v>807</v>
      </c>
      <c r="E12030">
        <v>0</v>
      </c>
      <c r="F12030">
        <v>491</v>
      </c>
    </row>
    <row r="12031" spans="1:6" ht="12.75">
      <c r="A12031" s="2">
        <v>43879.906967592593</v>
      </c>
      <c r="B12031" t="str">
        <f>HYPERLINK("https://twitter.com/Bin_Syam7","@Bin_Syam7")</f>
        <v>@Bin_Syam7</v>
      </c>
      <c r="C12031" t="s">
        <v>6301</v>
      </c>
      <c r="D12031">
        <v>4</v>
      </c>
      <c r="E12031">
        <v>0</v>
      </c>
      <c r="F12031">
        <v>646</v>
      </c>
    </row>
    <row r="12032" spans="1:6" ht="12.75">
      <c r="A12032" s="2">
        <v>43879.906724537039</v>
      </c>
      <c r="B12032" t="str">
        <f>HYPERLINK("https://twitter.com/____t_pd_2_1__","@____t_pd_2_1__")</f>
        <v>@____t_pd_2_1__</v>
      </c>
      <c r="C12032" t="s">
        <v>6256</v>
      </c>
      <c r="D12032">
        <v>11</v>
      </c>
      <c r="E12032">
        <v>0</v>
      </c>
      <c r="F12032">
        <v>4114</v>
      </c>
    </row>
    <row r="12033" spans="1:6" ht="12.75">
      <c r="A12033" s="2">
        <v>43879.906585648147</v>
      </c>
      <c r="B12033" t="str">
        <f>HYPERLINK("https://twitter.com/D_m3chy","@D_m3chy")</f>
        <v>@D_m3chy</v>
      </c>
      <c r="C12033" t="s">
        <v>6301</v>
      </c>
      <c r="D12033">
        <v>4</v>
      </c>
      <c r="E12033">
        <v>0</v>
      </c>
      <c r="F12033">
        <v>19254</v>
      </c>
    </row>
    <row r="12034" spans="1:6" ht="12.75">
      <c r="A12034" s="2">
        <v>43879.906469907408</v>
      </c>
      <c r="B12034" t="str">
        <f>HYPERLINK("https://twitter.com/riamiliaputri","@riamiliaputri")</f>
        <v>@riamiliaputri</v>
      </c>
      <c r="C12034" t="s">
        <v>6032</v>
      </c>
      <c r="D12034">
        <v>807</v>
      </c>
      <c r="E12034">
        <v>0</v>
      </c>
      <c r="F12034">
        <v>274</v>
      </c>
    </row>
    <row r="12035" spans="1:6" ht="12.75">
      <c r="A12035" s="2">
        <v>43879.906354166669</v>
      </c>
      <c r="B12035" t="str">
        <f>HYPERLINK("https://twitter.com/idetopia","@idetopia")</f>
        <v>@idetopia</v>
      </c>
      <c r="C12035" t="s">
        <v>6356</v>
      </c>
      <c r="D12035">
        <v>0</v>
      </c>
      <c r="E12035">
        <v>2</v>
      </c>
      <c r="F12035">
        <v>88322</v>
      </c>
    </row>
    <row r="12036" spans="1:6" ht="12.75">
      <c r="A12036" s="2">
        <v>43879.906284722223</v>
      </c>
      <c r="B12036" t="str">
        <f>HYPERLINK("https://twitter.com/onlyaidee","@onlyaidee")</f>
        <v>@onlyaidee</v>
      </c>
      <c r="C12036" t="s">
        <v>5644</v>
      </c>
      <c r="D12036">
        <v>304</v>
      </c>
      <c r="E12036">
        <v>0</v>
      </c>
      <c r="F12036">
        <v>778</v>
      </c>
    </row>
    <row r="12037" spans="1:6" ht="12.75">
      <c r="A12037" s="2">
        <v>43879.90626157407</v>
      </c>
      <c r="B12037" t="str">
        <f>HYPERLINK("https://twitter.com/pei_prillie","@pei_prillie")</f>
        <v>@pei_prillie</v>
      </c>
      <c r="C12037" t="s">
        <v>6357</v>
      </c>
      <c r="D12037">
        <v>5</v>
      </c>
      <c r="E12037">
        <v>0</v>
      </c>
      <c r="F12037">
        <v>29</v>
      </c>
    </row>
    <row r="12038" spans="1:6" ht="12.75">
      <c r="A12038" s="2">
        <v>43879.906087962961</v>
      </c>
      <c r="B12038" t="str">
        <f>HYPERLINK("https://twitter.com/henyiddung","@henyiddung")</f>
        <v>@henyiddung</v>
      </c>
      <c r="C12038" t="s">
        <v>6212</v>
      </c>
      <c r="D12038">
        <v>21</v>
      </c>
      <c r="E12038">
        <v>0</v>
      </c>
      <c r="F12038">
        <v>631</v>
      </c>
    </row>
    <row r="12039" spans="1:6" ht="12.75">
      <c r="A12039" s="2">
        <v>43879.906053240746</v>
      </c>
      <c r="B12039" t="str">
        <f>HYPERLINK("https://twitter.com/CahayaBaktiGraf","@CahayaBaktiGraf")</f>
        <v>@CahayaBaktiGraf</v>
      </c>
      <c r="C12039" t="s">
        <v>6358</v>
      </c>
      <c r="D12039">
        <v>0</v>
      </c>
      <c r="E12039">
        <v>0</v>
      </c>
      <c r="F12039">
        <v>950</v>
      </c>
    </row>
    <row r="12040" spans="1:6" ht="12.75">
      <c r="A12040" s="2">
        <v>43879.905972222223</v>
      </c>
      <c r="B12040" t="str">
        <f>HYPERLINK("https://twitter.com/putragaruda27","@putragaruda27")</f>
        <v>@putragaruda27</v>
      </c>
      <c r="C12040" t="s">
        <v>6344</v>
      </c>
      <c r="D12040">
        <v>2</v>
      </c>
      <c r="E12040">
        <v>0</v>
      </c>
      <c r="F12040">
        <v>5746</v>
      </c>
    </row>
    <row r="12041" spans="1:6" ht="12.75">
      <c r="A12041" s="2">
        <v>43879.905775462961</v>
      </c>
      <c r="B12041" t="str">
        <f>HYPERLINK("https://twitter.com/dini_oktaviani","@dini_oktaviani")</f>
        <v>@dini_oktaviani</v>
      </c>
      <c r="C12041" t="s">
        <v>1407</v>
      </c>
      <c r="D12041">
        <v>509</v>
      </c>
      <c r="E12041">
        <v>0</v>
      </c>
      <c r="F12041">
        <v>707</v>
      </c>
    </row>
    <row r="12042" spans="1:6" ht="12.75">
      <c r="A12042" s="2">
        <v>43879.905740740738</v>
      </c>
      <c r="B12042" t="str">
        <f>HYPERLINK("https://twitter.com/cHa____uNk","@cHa____uNk")</f>
        <v>@cHa____uNk</v>
      </c>
      <c r="C12042" t="s">
        <v>6301</v>
      </c>
      <c r="D12042">
        <v>4</v>
      </c>
      <c r="E12042">
        <v>0</v>
      </c>
      <c r="F12042">
        <v>7422</v>
      </c>
    </row>
    <row r="12043" spans="1:6" ht="12.75">
      <c r="A12043" s="2">
        <v>43879.905636574069</v>
      </c>
      <c r="B12043" t="str">
        <f>HYPERLINK("https://twitter.com/ajimubarak","@ajimubarak")</f>
        <v>@ajimubarak</v>
      </c>
      <c r="C12043" t="s">
        <v>1407</v>
      </c>
      <c r="D12043">
        <v>509</v>
      </c>
      <c r="E12043">
        <v>0</v>
      </c>
      <c r="F12043">
        <v>506</v>
      </c>
    </row>
    <row r="12044" spans="1:6" ht="12.75">
      <c r="A12044" s="2">
        <v>43879.90556712963</v>
      </c>
      <c r="B12044" t="str">
        <f>HYPERLINK("https://twitter.com/MTarutung","@MTarutung")</f>
        <v>@MTarutung</v>
      </c>
      <c r="C12044" t="s">
        <v>2930</v>
      </c>
      <c r="D12044">
        <v>76</v>
      </c>
      <c r="E12044">
        <v>0</v>
      </c>
      <c r="F12044">
        <v>321</v>
      </c>
    </row>
    <row r="12045" spans="1:6" ht="12.75">
      <c r="A12045" s="2">
        <v>43879.905543981484</v>
      </c>
      <c r="B12045" t="str">
        <f>HYPERLINK("https://twitter.com/kinahahah","@kinahahah")</f>
        <v>@kinahahah</v>
      </c>
      <c r="C12045" t="s">
        <v>6032</v>
      </c>
      <c r="D12045">
        <v>807</v>
      </c>
      <c r="E12045">
        <v>0</v>
      </c>
      <c r="F12045">
        <v>329</v>
      </c>
    </row>
    <row r="12046" spans="1:6" ht="12.75">
      <c r="A12046" s="2">
        <v>43879.904814814814</v>
      </c>
      <c r="B12046" t="str">
        <f>HYPERLINK("https://twitter.com/ElinKristiaa","@ElinKristiaa")</f>
        <v>@ElinKristiaa</v>
      </c>
      <c r="C12046" t="s">
        <v>1407</v>
      </c>
      <c r="D12046">
        <v>509</v>
      </c>
      <c r="E12046">
        <v>0</v>
      </c>
      <c r="F12046">
        <v>697</v>
      </c>
    </row>
    <row r="12047" spans="1:6" ht="12.75">
      <c r="A12047" s="2">
        <v>43879.904722222222</v>
      </c>
      <c r="B12047" t="str">
        <f>HYPERLINK("https://twitter.com/redo43214292","@redo43214292")</f>
        <v>@redo43214292</v>
      </c>
      <c r="C12047" t="s">
        <v>6045</v>
      </c>
      <c r="D12047">
        <v>10</v>
      </c>
      <c r="E12047">
        <v>0</v>
      </c>
      <c r="F12047">
        <v>309</v>
      </c>
    </row>
    <row r="12048" spans="1:6" ht="12.75">
      <c r="A12048" s="2">
        <v>43879.904687499999</v>
      </c>
      <c r="B12048" t="str">
        <f>HYPERLINK("https://twitter.com/jasminumsambat","@jasminumsambat")</f>
        <v>@jasminumsambat</v>
      </c>
      <c r="C12048" t="s">
        <v>6359</v>
      </c>
      <c r="D12048">
        <v>0</v>
      </c>
      <c r="E12048">
        <v>1</v>
      </c>
      <c r="F12048">
        <v>47</v>
      </c>
    </row>
    <row r="12049" spans="1:6" ht="12.75">
      <c r="A12049" s="2">
        <v>43879.904513888891</v>
      </c>
      <c r="B12049" t="str">
        <f>HYPERLINK("https://twitter.com/destyakk","@destyakk")</f>
        <v>@destyakk</v>
      </c>
      <c r="C12049" t="s">
        <v>1407</v>
      </c>
      <c r="D12049">
        <v>509</v>
      </c>
      <c r="E12049">
        <v>0</v>
      </c>
      <c r="F12049">
        <v>607</v>
      </c>
    </row>
    <row r="12050" spans="1:6" ht="12.75">
      <c r="A12050" s="2">
        <v>43879.904467592598</v>
      </c>
      <c r="B12050" t="str">
        <f>HYPERLINK("https://twitter.com/ahmad_husn1","@ahmad_husn1")</f>
        <v>@ahmad_husn1</v>
      </c>
      <c r="C12050" t="s">
        <v>6301</v>
      </c>
      <c r="D12050">
        <v>4</v>
      </c>
      <c r="E12050">
        <v>0</v>
      </c>
      <c r="F12050">
        <v>2449</v>
      </c>
    </row>
    <row r="12051" spans="1:6" ht="12.75">
      <c r="A12051" s="2">
        <v>43879.904444444444</v>
      </c>
      <c r="B12051" t="str">
        <f>HYPERLINK("https://twitter.com/ferisaragi1","@ferisaragi1")</f>
        <v>@ferisaragi1</v>
      </c>
      <c r="C12051" t="s">
        <v>6360</v>
      </c>
      <c r="D12051">
        <v>0</v>
      </c>
      <c r="E12051">
        <v>0</v>
      </c>
      <c r="F12051">
        <v>675</v>
      </c>
    </row>
    <row r="12052" spans="1:6" ht="12.75">
      <c r="A12052" s="2">
        <v>43879.904398148152</v>
      </c>
      <c r="B12052" t="str">
        <f>HYPERLINK("https://twitter.com/purplemilody","@purplemilody")</f>
        <v>@purplemilody</v>
      </c>
      <c r="C12052" t="s">
        <v>1407</v>
      </c>
      <c r="D12052">
        <v>509</v>
      </c>
      <c r="E12052">
        <v>0</v>
      </c>
      <c r="F12052">
        <v>9</v>
      </c>
    </row>
    <row r="12053" spans="1:6" ht="12.75">
      <c r="A12053" s="2">
        <v>43879.903958333336</v>
      </c>
      <c r="B12053" t="str">
        <f>HYPERLINK("https://twitter.com/hamsterpuyow","@hamsterpuyow")</f>
        <v>@hamsterpuyow</v>
      </c>
      <c r="C12053" t="s">
        <v>6032</v>
      </c>
      <c r="D12053">
        <v>807</v>
      </c>
      <c r="E12053">
        <v>0</v>
      </c>
      <c r="F12053">
        <v>59</v>
      </c>
    </row>
    <row r="12054" spans="1:6" ht="12.75">
      <c r="A12054" s="2">
        <v>43879.903877314813</v>
      </c>
      <c r="B12054" t="str">
        <f>HYPERLINK("https://twitter.com/riskafh","@riskafh")</f>
        <v>@riskafh</v>
      </c>
      <c r="C12054" t="s">
        <v>6207</v>
      </c>
      <c r="D12054">
        <v>51</v>
      </c>
      <c r="E12054">
        <v>0</v>
      </c>
      <c r="F12054">
        <v>314</v>
      </c>
    </row>
    <row r="12055" spans="1:6" ht="12.75">
      <c r="A12055" s="2">
        <v>43879.903842592597</v>
      </c>
      <c r="B12055" t="str">
        <f>HYPERLINK("https://twitter.com/Parstoday_Ind","@Parstoday_Ind")</f>
        <v>@Parstoday_Ind</v>
      </c>
      <c r="C12055" t="s">
        <v>6361</v>
      </c>
      <c r="D12055">
        <v>0</v>
      </c>
      <c r="E12055">
        <v>0</v>
      </c>
      <c r="F12055">
        <v>67</v>
      </c>
    </row>
    <row r="12056" spans="1:6" ht="12.75">
      <c r="A12056" s="2">
        <v>43879.903668981482</v>
      </c>
      <c r="B12056" t="str">
        <f>HYPERLINK("https://twitter.com/miasharii","@miasharii")</f>
        <v>@miasharii</v>
      </c>
      <c r="C12056" t="s">
        <v>6362</v>
      </c>
      <c r="D12056">
        <v>0</v>
      </c>
      <c r="E12056">
        <v>0</v>
      </c>
      <c r="F12056">
        <v>142</v>
      </c>
    </row>
    <row r="12057" spans="1:6" ht="12.75">
      <c r="A12057" s="2">
        <v>43879.876527777778</v>
      </c>
      <c r="B12057" t="str">
        <f>HYPERLINK("https://twitter.com/firdausmaulanaa","@firdausmaulanaa")</f>
        <v>@firdausmaulanaa</v>
      </c>
      <c r="C12057" t="s">
        <v>5642</v>
      </c>
      <c r="D12057">
        <v>243</v>
      </c>
      <c r="E12057">
        <v>0</v>
      </c>
      <c r="F12057">
        <v>412</v>
      </c>
    </row>
    <row r="12058" spans="1:6" ht="12.75">
      <c r="A12058" s="2">
        <v>43879.876493055555</v>
      </c>
      <c r="B12058" t="str">
        <f>HYPERLINK("https://twitter.com/kamilborkan","@kamilborkan")</f>
        <v>@kamilborkan</v>
      </c>
      <c r="C12058" t="s">
        <v>6363</v>
      </c>
      <c r="D12058">
        <v>0</v>
      </c>
      <c r="E12058">
        <v>0</v>
      </c>
      <c r="F12058">
        <v>486</v>
      </c>
    </row>
    <row r="12059" spans="1:6" ht="12.75">
      <c r="A12059" s="2">
        <v>43879.876388888893</v>
      </c>
      <c r="B12059" t="str">
        <f>HYPERLINK("https://twitter.com/BillTemporo","@BillTemporo")</f>
        <v>@BillTemporo</v>
      </c>
      <c r="C12059" t="s">
        <v>889</v>
      </c>
      <c r="D12059">
        <v>0</v>
      </c>
      <c r="E12059">
        <v>0</v>
      </c>
      <c r="F12059">
        <v>11</v>
      </c>
    </row>
    <row r="12060" spans="1:6" ht="12.75">
      <c r="A12060" s="2">
        <v>43879.875972222224</v>
      </c>
      <c r="B12060" t="str">
        <f>HYPERLINK("https://twitter.com/MNCNewsroom","@MNCNewsroom")</f>
        <v>@MNCNewsroom</v>
      </c>
      <c r="C12060" t="s">
        <v>6364</v>
      </c>
      <c r="D12060">
        <v>0</v>
      </c>
      <c r="E12060">
        <v>0</v>
      </c>
      <c r="F12060">
        <v>17556</v>
      </c>
    </row>
    <row r="12061" spans="1:6" ht="12.75">
      <c r="A12061" s="2">
        <v>43879.875844907408</v>
      </c>
      <c r="B12061" t="str">
        <f>HYPERLINK("https://twitter.com/mandaogel","@mandaogel")</f>
        <v>@mandaogel</v>
      </c>
      <c r="C12061" t="s">
        <v>6365</v>
      </c>
      <c r="D12061">
        <v>0</v>
      </c>
      <c r="E12061">
        <v>0</v>
      </c>
      <c r="F12061">
        <v>194</v>
      </c>
    </row>
    <row r="12062" spans="1:6" ht="12.75">
      <c r="A12062" s="2">
        <v>43879.875844907408</v>
      </c>
      <c r="B12062" t="str">
        <f>HYPERLINK("https://twitter.com/nasyaedwina","@nasyaedwina")</f>
        <v>@nasyaedwina</v>
      </c>
      <c r="C12062" t="s">
        <v>1407</v>
      </c>
      <c r="D12062">
        <v>406</v>
      </c>
      <c r="E12062">
        <v>0</v>
      </c>
      <c r="F12062">
        <v>865</v>
      </c>
    </row>
    <row r="12063" spans="1:6" ht="12.75">
      <c r="A12063" s="2">
        <v>43879.875555555554</v>
      </c>
      <c r="B12063" t="str">
        <f>HYPERLINK("https://twitter.com/septian1398","@septian1398")</f>
        <v>@septian1398</v>
      </c>
      <c r="C12063" t="s">
        <v>5642</v>
      </c>
      <c r="D12063">
        <v>243</v>
      </c>
      <c r="E12063">
        <v>0</v>
      </c>
      <c r="F12063">
        <v>298</v>
      </c>
    </row>
    <row r="12064" spans="1:6" ht="12.75">
      <c r="A12064" s="2">
        <v>43879.875532407408</v>
      </c>
      <c r="B12064" t="str">
        <f>HYPERLINK("https://twitter.com/kbrisantiago","@kbrisantiago")</f>
        <v>@kbrisantiago</v>
      </c>
      <c r="C12064" t="s">
        <v>2079</v>
      </c>
      <c r="D12064">
        <v>26</v>
      </c>
      <c r="E12064">
        <v>0</v>
      </c>
      <c r="F12064">
        <v>1756</v>
      </c>
    </row>
    <row r="12065" spans="1:6" ht="12.75">
      <c r="A12065" s="2">
        <v>43879.875520833331</v>
      </c>
      <c r="B12065" t="str">
        <f>HYPERLINK("https://twitter.com/Leel310","@Leel310")</f>
        <v>@Leel310</v>
      </c>
      <c r="C12065" t="s">
        <v>6366</v>
      </c>
      <c r="D12065">
        <v>0</v>
      </c>
      <c r="E12065">
        <v>0</v>
      </c>
      <c r="F12065">
        <v>1</v>
      </c>
    </row>
    <row r="12066" spans="1:6" ht="12.75">
      <c r="A12066" s="2">
        <v>43879.875405092593</v>
      </c>
      <c r="B12066" t="str">
        <f>HYPERLINK("https://twitter.com/madodoni_","@madodoni_")</f>
        <v>@madodoni_</v>
      </c>
      <c r="C12066" t="s">
        <v>6367</v>
      </c>
      <c r="D12066">
        <v>0</v>
      </c>
      <c r="E12066">
        <v>0</v>
      </c>
      <c r="F12066">
        <v>390</v>
      </c>
    </row>
    <row r="12067" spans="1:6" ht="12.75">
      <c r="A12067" s="2">
        <v>43879.875277777777</v>
      </c>
      <c r="B12067" t="str">
        <f>HYPERLINK("https://twitter.com/miraperma","@miraperma")</f>
        <v>@miraperma</v>
      </c>
      <c r="C12067" t="s">
        <v>6032</v>
      </c>
      <c r="D12067">
        <v>783</v>
      </c>
      <c r="E12067">
        <v>0</v>
      </c>
      <c r="F12067">
        <v>230</v>
      </c>
    </row>
    <row r="12068" spans="1:6" ht="12.75">
      <c r="A12068" s="2">
        <v>43879.875081018516</v>
      </c>
      <c r="B12068" t="str">
        <f>HYPERLINK("https://twitter.com/1hsan","@1hsan")</f>
        <v>@1hsan</v>
      </c>
      <c r="C12068" t="s">
        <v>6368</v>
      </c>
      <c r="D12068">
        <v>1</v>
      </c>
      <c r="E12068">
        <v>0</v>
      </c>
      <c r="F12068">
        <v>235</v>
      </c>
    </row>
    <row r="12069" spans="1:6" ht="12.75">
      <c r="A12069" s="2">
        <v>43879.875081018516</v>
      </c>
      <c r="B12069" t="str">
        <f>HYPERLINK("https://twitter.com/Inlander21","@Inlander21")</f>
        <v>@Inlander21</v>
      </c>
      <c r="C12069" t="s">
        <v>2134</v>
      </c>
      <c r="D12069">
        <v>995</v>
      </c>
      <c r="E12069">
        <v>0</v>
      </c>
      <c r="F12069">
        <v>665</v>
      </c>
    </row>
    <row r="12070" spans="1:6" ht="12.75">
      <c r="A12070" s="2">
        <v>43879.87501157407</v>
      </c>
      <c r="B12070" t="str">
        <f>HYPERLINK("https://twitter.com/1hsan","@1hsan")</f>
        <v>@1hsan</v>
      </c>
      <c r="C12070" t="s">
        <v>5914</v>
      </c>
      <c r="D12070">
        <v>10</v>
      </c>
      <c r="E12070">
        <v>0</v>
      </c>
      <c r="F12070">
        <v>235</v>
      </c>
    </row>
    <row r="12071" spans="1:6" ht="12.75">
      <c r="A12071" s="2">
        <v>43879.874884259261</v>
      </c>
      <c r="B12071" t="str">
        <f>HYPERLINK("https://twitter.com/azmiazizaah","@azmiazizaah")</f>
        <v>@azmiazizaah</v>
      </c>
      <c r="C12071" t="s">
        <v>6369</v>
      </c>
      <c r="D12071">
        <v>0</v>
      </c>
      <c r="E12071">
        <v>0</v>
      </c>
      <c r="F12071">
        <v>1301</v>
      </c>
    </row>
    <row r="12072" spans="1:6" ht="12.75">
      <c r="A12072" s="2">
        <v>43879.874606481477</v>
      </c>
      <c r="B12072" t="str">
        <f>HYPERLINK("https://twitter.com/danlkgf","@danlkgf")</f>
        <v>@danlkgf</v>
      </c>
      <c r="C12072" t="s">
        <v>1407</v>
      </c>
      <c r="D12072">
        <v>406</v>
      </c>
      <c r="E12072">
        <v>0</v>
      </c>
      <c r="F12072">
        <v>1976</v>
      </c>
    </row>
    <row r="12073" spans="1:6" ht="12.75">
      <c r="A12073" s="2">
        <v>43879.874548611115</v>
      </c>
      <c r="B12073" t="str">
        <f>HYPERLINK("https://twitter.com/RyuukaTamae","@RyuukaTamae")</f>
        <v>@RyuukaTamae</v>
      </c>
      <c r="C12073" t="s">
        <v>1407</v>
      </c>
      <c r="D12073">
        <v>406</v>
      </c>
      <c r="E12073">
        <v>0</v>
      </c>
      <c r="F12073">
        <v>260</v>
      </c>
    </row>
    <row r="12074" spans="1:6" ht="12.75">
      <c r="A12074" s="2">
        <v>43879.874525462961</v>
      </c>
      <c r="B12074" t="str">
        <f>HYPERLINK("https://twitter.com/pindainews","@pindainews")</f>
        <v>@pindainews</v>
      </c>
      <c r="C12074" t="s">
        <v>6370</v>
      </c>
      <c r="D12074">
        <v>0</v>
      </c>
      <c r="E12074">
        <v>0</v>
      </c>
      <c r="F12074">
        <v>93</v>
      </c>
    </row>
    <row r="12075" spans="1:6" ht="12.75">
      <c r="A12075" s="2">
        <v>43879.874502314815</v>
      </c>
      <c r="B12075" t="str">
        <f>HYPERLINK("https://twitter.com/1hsan","@1hsan")</f>
        <v>@1hsan</v>
      </c>
      <c r="C12075" t="s">
        <v>1920</v>
      </c>
      <c r="D12075">
        <v>171</v>
      </c>
      <c r="E12075">
        <v>0</v>
      </c>
      <c r="F12075">
        <v>235</v>
      </c>
    </row>
    <row r="12076" spans="1:6" ht="12.75">
      <c r="A12076" s="2">
        <v>43879.874479166669</v>
      </c>
      <c r="B12076" t="str">
        <f>HYPERLINK("https://twitter.com/bangkitriambada","@bangkitriambada")</f>
        <v>@bangkitriambada</v>
      </c>
      <c r="C12076" t="s">
        <v>6371</v>
      </c>
      <c r="D12076">
        <v>2</v>
      </c>
      <c r="E12076">
        <v>0</v>
      </c>
      <c r="F12076">
        <v>197</v>
      </c>
    </row>
    <row r="12077" spans="1:6" ht="12.75">
      <c r="A12077" s="2">
        <v>43879.874282407407</v>
      </c>
      <c r="B12077" t="str">
        <f>HYPERLINK("https://twitter.com/SiskaIndriarsih","@SiskaIndriarsih")</f>
        <v>@SiskaIndriarsih</v>
      </c>
      <c r="C12077" t="s">
        <v>1407</v>
      </c>
      <c r="D12077">
        <v>406</v>
      </c>
      <c r="E12077">
        <v>0</v>
      </c>
      <c r="F12077">
        <v>252</v>
      </c>
    </row>
    <row r="12078" spans="1:6" ht="12.75">
      <c r="A12078" s="2">
        <v>43879.874259259261</v>
      </c>
      <c r="B12078" t="str">
        <f>HYPERLINK("https://twitter.com/haidiraliyev","@haidiraliyev")</f>
        <v>@haidiraliyev</v>
      </c>
      <c r="C12078" t="s">
        <v>1407</v>
      </c>
      <c r="D12078">
        <v>406</v>
      </c>
      <c r="E12078">
        <v>0</v>
      </c>
      <c r="F12078">
        <v>275</v>
      </c>
    </row>
    <row r="12079" spans="1:6" ht="12.75">
      <c r="A12079" s="2">
        <v>43879.874074074076</v>
      </c>
      <c r="B12079" t="str">
        <f>HYPERLINK("https://twitter.com/autsumnn","@autsumnn")</f>
        <v>@autsumnn</v>
      </c>
      <c r="C12079" t="s">
        <v>1407</v>
      </c>
      <c r="D12079">
        <v>406</v>
      </c>
      <c r="E12079">
        <v>0</v>
      </c>
      <c r="F12079">
        <v>4048</v>
      </c>
    </row>
    <row r="12080" spans="1:6" ht="12.75">
      <c r="A12080" s="2">
        <v>43879.87300925926</v>
      </c>
      <c r="B12080" t="str">
        <f>HYPERLINK("https://twitter.com/angginazarudin","@angginazarudin")</f>
        <v>@angginazarudin</v>
      </c>
      <c r="C12080" t="s">
        <v>1407</v>
      </c>
      <c r="D12080">
        <v>406</v>
      </c>
      <c r="E12080">
        <v>0</v>
      </c>
      <c r="F12080">
        <v>403</v>
      </c>
    </row>
    <row r="12081" spans="1:6" ht="12.75">
      <c r="A12081" s="2">
        <v>43879.872916666667</v>
      </c>
      <c r="B12081" t="str">
        <f>HYPERLINK("https://twitter.com/Nusanta124","@Nusanta124")</f>
        <v>@Nusanta124</v>
      </c>
      <c r="C12081" t="s">
        <v>6372</v>
      </c>
      <c r="D12081">
        <v>1</v>
      </c>
      <c r="E12081">
        <v>0</v>
      </c>
      <c r="F12081">
        <v>413</v>
      </c>
    </row>
    <row r="12082" spans="1:6" ht="12.75">
      <c r="A12082" s="2">
        <v>43879.872488425928</v>
      </c>
      <c r="B12082" t="str">
        <f>HYPERLINK("https://twitter.com/mutiaratesani28","@mutiaratesani28")</f>
        <v>@mutiaratesani28</v>
      </c>
      <c r="C12082" t="s">
        <v>6373</v>
      </c>
      <c r="D12082">
        <v>0</v>
      </c>
      <c r="E12082">
        <v>0</v>
      </c>
      <c r="F12082">
        <v>335</v>
      </c>
    </row>
    <row r="12083" spans="1:6" ht="12.75">
      <c r="A12083" s="2">
        <v>43879.872430555552</v>
      </c>
      <c r="B12083" t="str">
        <f>HYPERLINK("https://twitter.com/Respati721","@Respati721")</f>
        <v>@Respati721</v>
      </c>
      <c r="C12083" t="s">
        <v>5644</v>
      </c>
      <c r="D12083">
        <v>281</v>
      </c>
      <c r="E12083">
        <v>0</v>
      </c>
      <c r="F12083">
        <v>91</v>
      </c>
    </row>
    <row r="12084" spans="1:6" ht="12.75">
      <c r="A12084" s="2">
        <v>43879.872337962966</v>
      </c>
      <c r="B12084" t="str">
        <f>HYPERLINK("https://twitter.com/Anissasint","@Anissasint")</f>
        <v>@Anissasint</v>
      </c>
      <c r="C12084" t="s">
        <v>6374</v>
      </c>
      <c r="D12084">
        <v>2</v>
      </c>
      <c r="E12084">
        <v>0</v>
      </c>
      <c r="F12084">
        <v>164</v>
      </c>
    </row>
    <row r="12085" spans="1:6" ht="12.75">
      <c r="A12085" s="2">
        <v>43879.87226851852</v>
      </c>
      <c r="B12085" t="str">
        <f>HYPERLINK("https://twitter.com/k4ng_batag0r","@k4ng_batag0r")</f>
        <v>@k4ng_batag0r</v>
      </c>
      <c r="C12085" t="s">
        <v>6375</v>
      </c>
      <c r="D12085">
        <v>0</v>
      </c>
      <c r="E12085">
        <v>0</v>
      </c>
      <c r="F12085">
        <v>1643</v>
      </c>
    </row>
    <row r="12086" spans="1:6" ht="12.75">
      <c r="A12086" s="2">
        <v>43879.871886574074</v>
      </c>
      <c r="B12086" t="str">
        <f>HYPERLINK("https://twitter.com/expeliarmuse","@expeliarmuse")</f>
        <v>@expeliarmuse</v>
      </c>
      <c r="C12086" t="s">
        <v>6032</v>
      </c>
      <c r="D12086">
        <v>783</v>
      </c>
      <c r="E12086">
        <v>0</v>
      </c>
      <c r="F12086">
        <v>1036</v>
      </c>
    </row>
    <row r="12087" spans="1:6" ht="12.75">
      <c r="A12087" s="2">
        <v>43879.871840277774</v>
      </c>
      <c r="B12087" t="str">
        <f t="shared" ref="B12087:B12088" si="208">HYPERLINK("https://twitter.com/kjrijohorbahru","@kjrijohorbahru")</f>
        <v>@kjrijohorbahru</v>
      </c>
      <c r="C12087" t="s">
        <v>6376</v>
      </c>
      <c r="D12087">
        <v>0</v>
      </c>
      <c r="E12087">
        <v>0</v>
      </c>
      <c r="F12087">
        <v>646</v>
      </c>
    </row>
    <row r="12088" spans="1:6" ht="12.75">
      <c r="A12088" s="2">
        <v>43879.871828703705</v>
      </c>
      <c r="B12088" t="str">
        <f t="shared" si="208"/>
        <v>@kjrijohorbahru</v>
      </c>
      <c r="C12088" t="s">
        <v>6377</v>
      </c>
      <c r="D12088">
        <v>0</v>
      </c>
      <c r="E12088">
        <v>0</v>
      </c>
      <c r="F12088">
        <v>646</v>
      </c>
    </row>
    <row r="12089" spans="1:6" ht="12.75">
      <c r="A12089" s="2">
        <v>43879.871736111112</v>
      </c>
      <c r="B12089" t="str">
        <f>HYPERLINK("https://twitter.com/cecillcecill","@cecillcecill")</f>
        <v>@cecillcecill</v>
      </c>
      <c r="C12089" t="s">
        <v>1407</v>
      </c>
      <c r="D12089">
        <v>406</v>
      </c>
      <c r="E12089">
        <v>0</v>
      </c>
      <c r="F12089">
        <v>829</v>
      </c>
    </row>
    <row r="12090" spans="1:6" ht="12.75">
      <c r="A12090" s="2">
        <v>43879.871469907404</v>
      </c>
      <c r="B12090" t="str">
        <f>HYPERLINK("https://twitter.com/rizkirandom199","@rizkirandom199")</f>
        <v>@rizkirandom199</v>
      </c>
      <c r="C12090" t="s">
        <v>1407</v>
      </c>
      <c r="D12090">
        <v>406</v>
      </c>
      <c r="E12090">
        <v>0</v>
      </c>
      <c r="F12090">
        <v>19</v>
      </c>
    </row>
    <row r="12091" spans="1:6" ht="12.75">
      <c r="A12091" s="2">
        <v>43879.871168981481</v>
      </c>
      <c r="B12091" t="str">
        <f>HYPERLINK("https://twitter.com/faisalramdani23","@faisalramdani23")</f>
        <v>@faisalramdani23</v>
      </c>
      <c r="C12091" t="s">
        <v>6032</v>
      </c>
      <c r="D12091">
        <v>783</v>
      </c>
      <c r="E12091">
        <v>0</v>
      </c>
      <c r="F12091">
        <v>447</v>
      </c>
    </row>
    <row r="12092" spans="1:6" ht="12.75">
      <c r="A12092" s="2">
        <v>43879.871087962965</v>
      </c>
      <c r="B12092" t="str">
        <f>HYPERLINK("https://twitter.com/splendidowoon","@splendidowoon")</f>
        <v>@splendidowoon</v>
      </c>
      <c r="C12092" t="s">
        <v>6378</v>
      </c>
      <c r="D12092">
        <v>0</v>
      </c>
      <c r="E12092">
        <v>0</v>
      </c>
      <c r="F12092">
        <v>55</v>
      </c>
    </row>
    <row r="12093" spans="1:6" ht="12.75">
      <c r="A12093" s="2">
        <v>43879.871076388888</v>
      </c>
      <c r="B12093" t="str">
        <f>HYPERLINK("https://twitter.com/tembolokpitek","@tembolokpitek")</f>
        <v>@tembolokpitek</v>
      </c>
      <c r="C12093" t="s">
        <v>6379</v>
      </c>
      <c r="D12093">
        <v>0</v>
      </c>
      <c r="E12093">
        <v>0</v>
      </c>
      <c r="F12093">
        <v>18</v>
      </c>
    </row>
    <row r="12094" spans="1:6" ht="12.75">
      <c r="A12094" s="2">
        <v>43879.871076388888</v>
      </c>
      <c r="B12094" t="str">
        <f>HYPERLINK("https://twitter.com/AndreMeihan","@AndreMeihan")</f>
        <v>@AndreMeihan</v>
      </c>
      <c r="C12094" t="s">
        <v>6287</v>
      </c>
      <c r="D12094">
        <v>5</v>
      </c>
      <c r="E12094">
        <v>0</v>
      </c>
      <c r="F12094">
        <v>134</v>
      </c>
    </row>
    <row r="12095" spans="1:6" ht="12.75">
      <c r="A12095" s="2">
        <v>43879.871064814812</v>
      </c>
      <c r="B12095" t="str">
        <f>HYPERLINK("https://twitter.com/Mertosari","@Mertosari")</f>
        <v>@Mertosari</v>
      </c>
      <c r="C12095" t="s">
        <v>6380</v>
      </c>
      <c r="D12095">
        <v>0</v>
      </c>
      <c r="E12095">
        <v>0</v>
      </c>
      <c r="F12095">
        <v>188</v>
      </c>
    </row>
    <row r="12096" spans="1:6" ht="12.75">
      <c r="A12096" s="2">
        <v>43879.87100694445</v>
      </c>
      <c r="B12096" t="str">
        <f>HYPERLINK("https://twitter.com/xxyyuki","@xxyyuki")</f>
        <v>@xxyyuki</v>
      </c>
      <c r="C12096" t="s">
        <v>1407</v>
      </c>
      <c r="D12096">
        <v>406</v>
      </c>
      <c r="E12096">
        <v>0</v>
      </c>
      <c r="F12096">
        <v>47</v>
      </c>
    </row>
    <row r="12097" spans="1:6" ht="12.75">
      <c r="A12097" s="2">
        <v>43879.870636574073</v>
      </c>
      <c r="B12097" t="str">
        <f>HYPERLINK("https://twitter.com/vicharea","@vicharea")</f>
        <v>@vicharea</v>
      </c>
      <c r="C12097" t="s">
        <v>1407</v>
      </c>
      <c r="D12097">
        <v>406</v>
      </c>
      <c r="E12097">
        <v>0</v>
      </c>
      <c r="F12097">
        <v>917</v>
      </c>
    </row>
    <row r="12098" spans="1:6" ht="12.75">
      <c r="A12098" s="2">
        <v>43879.870624999996</v>
      </c>
      <c r="B12098" t="str">
        <f>HYPERLINK("https://twitter.com/jussyasha","@jussyasha")</f>
        <v>@jussyasha</v>
      </c>
      <c r="C12098" t="s">
        <v>6287</v>
      </c>
      <c r="D12098">
        <v>5</v>
      </c>
      <c r="E12098">
        <v>0</v>
      </c>
      <c r="F12098">
        <v>77</v>
      </c>
    </row>
    <row r="12099" spans="1:6" ht="12.75">
      <c r="A12099" s="2">
        <v>43879.870578703703</v>
      </c>
      <c r="B12099" t="str">
        <f>HYPERLINK("https://twitter.com/id_aksi","@id_aksi")</f>
        <v>@id_aksi</v>
      </c>
      <c r="C12099" t="s">
        <v>6381</v>
      </c>
      <c r="D12099">
        <v>0</v>
      </c>
      <c r="E12099">
        <v>0</v>
      </c>
      <c r="F12099">
        <v>79</v>
      </c>
    </row>
    <row r="12100" spans="1:6" ht="12.75">
      <c r="A12100" s="2">
        <v>43879.870335648149</v>
      </c>
      <c r="B12100" t="str">
        <f>HYPERLINK("https://twitter.com/akmalarif90","@akmalarif90")</f>
        <v>@akmalarif90</v>
      </c>
      <c r="C12100" t="s">
        <v>6287</v>
      </c>
      <c r="D12100">
        <v>5</v>
      </c>
      <c r="E12100">
        <v>0</v>
      </c>
      <c r="F12100">
        <v>1010</v>
      </c>
    </row>
    <row r="12101" spans="1:6" ht="12.75">
      <c r="A12101" s="2">
        <v>43879.870081018518</v>
      </c>
      <c r="B12101" t="str">
        <f>HYPERLINK("https://twitter.com/hodriariev","@hodriariev")</f>
        <v>@hodriariev</v>
      </c>
      <c r="C12101" t="s">
        <v>6221</v>
      </c>
      <c r="D12101">
        <v>10</v>
      </c>
      <c r="E12101">
        <v>0</v>
      </c>
      <c r="F12101">
        <v>797</v>
      </c>
    </row>
    <row r="12102" spans="1:6" ht="12.75">
      <c r="A12102" s="2">
        <v>43879.869976851856</v>
      </c>
      <c r="B12102" t="str">
        <f>HYPERLINK("https://twitter.com/fckyhgalv","@fckyhgalv")</f>
        <v>@fckyhgalv</v>
      </c>
      <c r="C12102" t="s">
        <v>1407</v>
      </c>
      <c r="D12102">
        <v>406</v>
      </c>
      <c r="E12102">
        <v>0</v>
      </c>
      <c r="F12102">
        <v>3118</v>
      </c>
    </row>
    <row r="12103" spans="1:6" ht="12.75">
      <c r="A12103" s="2">
        <v>43879.869675925926</v>
      </c>
      <c r="B12103" t="str">
        <f>HYPERLINK("https://twitter.com/binbinnnnnn_","@binbinnnnnn_")</f>
        <v>@binbinnnnnn_</v>
      </c>
      <c r="C12103" t="s">
        <v>6032</v>
      </c>
      <c r="D12103">
        <v>783</v>
      </c>
      <c r="E12103">
        <v>0</v>
      </c>
      <c r="F12103">
        <v>860</v>
      </c>
    </row>
    <row r="12104" spans="1:6" ht="12.75">
      <c r="A12104" s="2">
        <v>43879.869629629626</v>
      </c>
      <c r="B12104" t="str">
        <f>HYPERLINK("https://twitter.com/KevinAksama","@KevinAksama")</f>
        <v>@KevinAksama</v>
      </c>
      <c r="C12104" t="s">
        <v>6032</v>
      </c>
      <c r="D12104">
        <v>783</v>
      </c>
      <c r="E12104">
        <v>0</v>
      </c>
      <c r="F12104">
        <v>373</v>
      </c>
    </row>
    <row r="12105" spans="1:6" ht="12.75">
      <c r="A12105" s="2">
        <v>43879.869317129633</v>
      </c>
      <c r="B12105" t="str">
        <f>HYPERLINK("https://twitter.com/Sagemuly","@Sagemuly")</f>
        <v>@Sagemuly</v>
      </c>
      <c r="C12105" t="s">
        <v>2930</v>
      </c>
      <c r="D12105">
        <v>63</v>
      </c>
      <c r="E12105">
        <v>0</v>
      </c>
      <c r="F12105">
        <v>86</v>
      </c>
    </row>
    <row r="12106" spans="1:6" ht="12.75">
      <c r="A12106" s="2">
        <v>43879.869120370371</v>
      </c>
      <c r="B12106" t="str">
        <f>HYPERLINK("https://twitter.com/danikediri1908","@danikediri1908")</f>
        <v>@danikediri1908</v>
      </c>
      <c r="C12106" t="s">
        <v>6382</v>
      </c>
      <c r="D12106">
        <v>1</v>
      </c>
      <c r="E12106">
        <v>0</v>
      </c>
      <c r="F12106">
        <v>4940</v>
      </c>
    </row>
    <row r="12107" spans="1:6" ht="12.75">
      <c r="A12107" s="2">
        <v>43879.868969907402</v>
      </c>
      <c r="B12107" t="str">
        <f>HYPERLINK("https://twitter.com/preman_tobatt","@preman_tobatt")</f>
        <v>@preman_tobatt</v>
      </c>
      <c r="C12107" t="s">
        <v>2930</v>
      </c>
      <c r="D12107">
        <v>63</v>
      </c>
      <c r="E12107">
        <v>0</v>
      </c>
      <c r="F12107">
        <v>305</v>
      </c>
    </row>
    <row r="12108" spans="1:6" ht="12.75">
      <c r="A12108" s="2">
        <v>43879.868680555555</v>
      </c>
      <c r="B12108" t="str">
        <f>HYPERLINK("https://twitter.com/bayusw16","@bayusw16")</f>
        <v>@bayusw16</v>
      </c>
      <c r="C12108" t="s">
        <v>5756</v>
      </c>
      <c r="D12108">
        <v>18</v>
      </c>
      <c r="E12108">
        <v>0</v>
      </c>
      <c r="F12108">
        <v>756</v>
      </c>
    </row>
    <row r="12109" spans="1:6" ht="12.75">
      <c r="A12109" s="2">
        <v>43879.86854166667</v>
      </c>
      <c r="B12109" t="str">
        <f>HYPERLINK("https://twitter.com/nvdyajkt48","@nvdyajkt48")</f>
        <v>@nvdyajkt48</v>
      </c>
      <c r="C12109" t="s">
        <v>1407</v>
      </c>
      <c r="D12109">
        <v>406</v>
      </c>
      <c r="E12109">
        <v>0</v>
      </c>
      <c r="F12109">
        <v>30</v>
      </c>
    </row>
    <row r="12110" spans="1:6" ht="12.75">
      <c r="A12110" s="2">
        <v>43879.868206018524</v>
      </c>
      <c r="B12110" t="str">
        <f>HYPERLINK("https://twitter.com/agusboy_1973","@agusboy_1973")</f>
        <v>@agusboy_1973</v>
      </c>
      <c r="C12110" t="s">
        <v>6317</v>
      </c>
      <c r="D12110">
        <v>19</v>
      </c>
      <c r="E12110">
        <v>0</v>
      </c>
      <c r="F12110">
        <v>4790</v>
      </c>
    </row>
    <row r="12111" spans="1:6" ht="12.75">
      <c r="A12111" s="2">
        <v>43879.867986111116</v>
      </c>
      <c r="B12111" t="str">
        <f>HYPERLINK("https://twitter.com/kieyeowo","@kieyeowo")</f>
        <v>@kieyeowo</v>
      </c>
      <c r="C12111" t="s">
        <v>6010</v>
      </c>
      <c r="D12111">
        <v>32</v>
      </c>
      <c r="E12111">
        <v>0</v>
      </c>
      <c r="F12111">
        <v>2139</v>
      </c>
    </row>
    <row r="12112" spans="1:6" ht="12.75">
      <c r="A12112" s="2">
        <v>43879.86791666667</v>
      </c>
      <c r="B12112" t="str">
        <f>HYPERLINK("https://twitter.com/katatodaycom","@katatodaycom")</f>
        <v>@katatodaycom</v>
      </c>
      <c r="C12112" t="s">
        <v>6383</v>
      </c>
      <c r="D12112">
        <v>1</v>
      </c>
      <c r="E12112">
        <v>0</v>
      </c>
      <c r="F12112">
        <v>978</v>
      </c>
    </row>
    <row r="12113" spans="1:6" ht="12.75">
      <c r="A12113" s="2">
        <v>43879.867881944447</v>
      </c>
      <c r="B12113" t="str">
        <f>HYPERLINK("https://twitter.com/kieyeowo","@kieyeowo")</f>
        <v>@kieyeowo</v>
      </c>
      <c r="C12113" t="s">
        <v>6032</v>
      </c>
      <c r="D12113">
        <v>783</v>
      </c>
      <c r="E12113">
        <v>0</v>
      </c>
      <c r="F12113">
        <v>2139</v>
      </c>
    </row>
    <row r="12114" spans="1:6" ht="12.75">
      <c r="A12114" s="2">
        <v>43879.867685185185</v>
      </c>
      <c r="B12114" t="str">
        <f>HYPERLINK("https://twitter.com/sismustassem","@sismustassem")</f>
        <v>@sismustassem</v>
      </c>
      <c r="C12114" t="s">
        <v>1920</v>
      </c>
      <c r="D12114">
        <v>171</v>
      </c>
      <c r="E12114">
        <v>0</v>
      </c>
      <c r="F12114">
        <v>182</v>
      </c>
    </row>
    <row r="12115" spans="1:6" ht="12.75">
      <c r="A12115" s="2">
        <v>43879.867314814815</v>
      </c>
      <c r="B12115" t="str">
        <f>HYPERLINK("https://twitter.com/Ranger_Hilmy","@Ranger_Hilmy")</f>
        <v>@Ranger_Hilmy</v>
      </c>
      <c r="C12115" t="s">
        <v>6287</v>
      </c>
      <c r="D12115">
        <v>5</v>
      </c>
      <c r="E12115">
        <v>0</v>
      </c>
      <c r="F12115">
        <v>829</v>
      </c>
    </row>
    <row r="12116" spans="1:6" ht="12.75">
      <c r="A12116" s="2">
        <v>43879.86717592593</v>
      </c>
      <c r="B12116" t="str">
        <f>HYPERLINK("https://twitter.com/Mybestlit","@Mybestlit")</f>
        <v>@Mybestlit</v>
      </c>
      <c r="C12116" t="s">
        <v>1407</v>
      </c>
      <c r="D12116">
        <v>406</v>
      </c>
      <c r="E12116">
        <v>0</v>
      </c>
      <c r="F12116">
        <v>93</v>
      </c>
    </row>
    <row r="12117" spans="1:6" ht="12.75">
      <c r="A12117" s="2">
        <v>43879.86717592593</v>
      </c>
      <c r="B12117" t="str">
        <f>HYPERLINK("https://twitter.com/denyspam","@denyspam")</f>
        <v>@denyspam</v>
      </c>
      <c r="C12117" t="s">
        <v>6384</v>
      </c>
      <c r="D12117">
        <v>1</v>
      </c>
      <c r="E12117">
        <v>0</v>
      </c>
      <c r="F12117">
        <v>200</v>
      </c>
    </row>
    <row r="12118" spans="1:6" ht="12.75">
      <c r="A12118" s="2">
        <v>43879.867071759261</v>
      </c>
      <c r="B12118" t="str">
        <f>HYPERLINK("https://twitter.com/taessicas","@taessicas")</f>
        <v>@taessicas</v>
      </c>
      <c r="C12118" t="s">
        <v>6385</v>
      </c>
      <c r="D12118">
        <v>0</v>
      </c>
      <c r="E12118">
        <v>0</v>
      </c>
      <c r="F12118">
        <v>182</v>
      </c>
    </row>
    <row r="12119" spans="1:6" ht="12.75">
      <c r="A12119" s="2">
        <v>43879.866736111115</v>
      </c>
      <c r="B12119" t="str">
        <f>HYPERLINK("https://twitter.com/vonbronbiru","@vonbronbiru")</f>
        <v>@vonbronbiru</v>
      </c>
      <c r="C12119" t="s">
        <v>6336</v>
      </c>
      <c r="D12119">
        <v>10</v>
      </c>
      <c r="E12119">
        <v>0</v>
      </c>
      <c r="F12119">
        <v>1039</v>
      </c>
    </row>
    <row r="12120" spans="1:6" ht="12.75">
      <c r="A12120" s="2">
        <v>43879.866064814814</v>
      </c>
      <c r="B12120" t="str">
        <f>HYPERLINK("https://twitter.com/BagusDenTea","@BagusDenTea")</f>
        <v>@BagusDenTea</v>
      </c>
      <c r="C12120" t="s">
        <v>6386</v>
      </c>
      <c r="D12120">
        <v>2</v>
      </c>
      <c r="E12120">
        <v>0</v>
      </c>
      <c r="F12120">
        <v>104</v>
      </c>
    </row>
    <row r="12121" spans="1:6" ht="12.75">
      <c r="A12121" s="2">
        <v>43879.866030092591</v>
      </c>
      <c r="B12121" t="str">
        <f>HYPERLINK("https://twitter.com/KompasTV","@KompasTV")</f>
        <v>@KompasTV</v>
      </c>
      <c r="C12121" t="s">
        <v>6387</v>
      </c>
      <c r="D12121">
        <v>5</v>
      </c>
      <c r="E12121">
        <v>9</v>
      </c>
      <c r="F12121">
        <v>2943840</v>
      </c>
    </row>
    <row r="12122" spans="1:6" ht="12.75">
      <c r="A12122" s="2">
        <v>43879.865937499999</v>
      </c>
      <c r="B12122" t="str">
        <f>HYPERLINK("https://twitter.com/gasukapedess","@gasukapedess")</f>
        <v>@gasukapedess</v>
      </c>
      <c r="C12122" t="s">
        <v>6032</v>
      </c>
      <c r="D12122">
        <v>783</v>
      </c>
      <c r="E12122">
        <v>0</v>
      </c>
      <c r="F12122">
        <v>352</v>
      </c>
    </row>
    <row r="12123" spans="1:6" ht="12.75">
      <c r="A12123" s="2">
        <v>43879.865706018521</v>
      </c>
      <c r="B12123" t="str">
        <f>HYPERLINK("https://twitter.com/Laifizsak","@Laifizsak")</f>
        <v>@Laifizsak</v>
      </c>
      <c r="C12123" t="s">
        <v>6032</v>
      </c>
      <c r="D12123">
        <v>783</v>
      </c>
      <c r="E12123">
        <v>0</v>
      </c>
      <c r="F12123">
        <v>74</v>
      </c>
    </row>
    <row r="12124" spans="1:6" ht="12.75">
      <c r="A12124" s="2">
        <v>43879.865428240737</v>
      </c>
      <c r="B12124" t="str">
        <f>HYPERLINK("https://twitter.com/buenochps","@buenochps")</f>
        <v>@buenochps</v>
      </c>
      <c r="C12124" t="s">
        <v>1407</v>
      </c>
      <c r="D12124">
        <v>406</v>
      </c>
      <c r="E12124">
        <v>0</v>
      </c>
      <c r="F12124">
        <v>2640</v>
      </c>
    </row>
    <row r="12125" spans="1:6" ht="12.75">
      <c r="A12125" s="2">
        <v>43879.865428240737</v>
      </c>
      <c r="B12125" t="str">
        <f>HYPERLINK("https://twitter.com/DEE_DHEN","@DEE_DHEN")</f>
        <v>@DEE_DHEN</v>
      </c>
      <c r="C12125" t="s">
        <v>1407</v>
      </c>
      <c r="D12125">
        <v>406</v>
      </c>
      <c r="E12125">
        <v>0</v>
      </c>
      <c r="F12125">
        <v>18</v>
      </c>
    </row>
    <row r="12126" spans="1:6" ht="12.75">
      <c r="A12126" s="2">
        <v>43879.865428240737</v>
      </c>
      <c r="B12126" t="str">
        <f>HYPERLINK("https://twitter.com/hemaviton99","@hemaviton99")</f>
        <v>@hemaviton99</v>
      </c>
      <c r="C12126" t="s">
        <v>6273</v>
      </c>
      <c r="D12126">
        <v>2</v>
      </c>
      <c r="E12126">
        <v>0</v>
      </c>
      <c r="F12126">
        <v>4047</v>
      </c>
    </row>
    <row r="12127" spans="1:6" ht="12.75">
      <c r="A12127" s="2">
        <v>43879.865219907406</v>
      </c>
      <c r="B12127" t="str">
        <f>HYPERLINK("https://twitter.com/votrepeaux","@votrepeaux")</f>
        <v>@votrepeaux</v>
      </c>
      <c r="C12127" t="s">
        <v>1407</v>
      </c>
      <c r="D12127">
        <v>406</v>
      </c>
      <c r="E12127">
        <v>0</v>
      </c>
      <c r="F12127">
        <v>894</v>
      </c>
    </row>
    <row r="12128" spans="1:6" ht="12.75">
      <c r="A12128" s="2">
        <v>43879.864965277782</v>
      </c>
      <c r="B12128" t="str">
        <f>HYPERLINK("https://twitter.com/aneleheka","@aneleheka")</f>
        <v>@aneleheka</v>
      </c>
      <c r="C12128" t="s">
        <v>6032</v>
      </c>
      <c r="D12128">
        <v>783</v>
      </c>
      <c r="E12128">
        <v>0</v>
      </c>
      <c r="F12128">
        <v>876</v>
      </c>
    </row>
    <row r="12129" spans="1:6" ht="12.75">
      <c r="A12129" s="2">
        <v>43879.864884259259</v>
      </c>
      <c r="B12129" t="str">
        <f>HYPERLINK("https://twitter.com/bnbeys","@bnbeys")</f>
        <v>@bnbeys</v>
      </c>
      <c r="C12129" t="s">
        <v>6032</v>
      </c>
      <c r="D12129">
        <v>783</v>
      </c>
      <c r="E12129">
        <v>0</v>
      </c>
      <c r="F12129">
        <v>425</v>
      </c>
    </row>
    <row r="12130" spans="1:6" ht="12.75">
      <c r="A12130" s="2">
        <v>43879.864375000005</v>
      </c>
      <c r="B12130" t="str">
        <f>HYPERLINK("https://twitter.com/odd_iel","@odd_iel")</f>
        <v>@odd_iel</v>
      </c>
      <c r="C12130" t="s">
        <v>6032</v>
      </c>
      <c r="D12130">
        <v>783</v>
      </c>
      <c r="E12130">
        <v>0</v>
      </c>
      <c r="F12130">
        <v>316</v>
      </c>
    </row>
    <row r="12131" spans="1:6" ht="12.75">
      <c r="A12131" s="2">
        <v>43879.864375000005</v>
      </c>
      <c r="B12131" t="str">
        <f>HYPERLINK("https://twitter.com/utarioep","@utarioep")</f>
        <v>@utarioep</v>
      </c>
      <c r="C12131" t="s">
        <v>6388</v>
      </c>
      <c r="D12131">
        <v>0</v>
      </c>
      <c r="E12131">
        <v>0</v>
      </c>
      <c r="F12131">
        <v>401</v>
      </c>
    </row>
    <row r="12132" spans="1:6" ht="12.75">
      <c r="A12132" s="2">
        <v>43879.864236111112</v>
      </c>
      <c r="B12132" t="str">
        <f>HYPERLINK("https://twitter.com/Wal_Ashr_","@Wal_Ashr_")</f>
        <v>@Wal_Ashr_</v>
      </c>
      <c r="C12132" t="s">
        <v>2930</v>
      </c>
      <c r="D12132">
        <v>63</v>
      </c>
      <c r="E12132">
        <v>0</v>
      </c>
      <c r="F12132">
        <v>1272</v>
      </c>
    </row>
    <row r="12133" spans="1:6" ht="12.75">
      <c r="A12133" s="2">
        <v>43879.864201388889</v>
      </c>
      <c r="B12133" t="str">
        <f>HYPERLINK("https://twitter.com/kim_jong_unch","@kim_jong_unch")</f>
        <v>@kim_jong_unch</v>
      </c>
      <c r="C12133" t="s">
        <v>1407</v>
      </c>
      <c r="D12133">
        <v>406</v>
      </c>
      <c r="E12133">
        <v>0</v>
      </c>
      <c r="F12133">
        <v>187</v>
      </c>
    </row>
    <row r="12134" spans="1:6" ht="12.75">
      <c r="A12134" s="2">
        <v>43879.864085648151</v>
      </c>
      <c r="B12134" t="str">
        <f>HYPERLINK("https://twitter.com/Menik","@Menik")</f>
        <v>@Menik</v>
      </c>
      <c r="C12134" t="s">
        <v>1407</v>
      </c>
      <c r="D12134">
        <v>406</v>
      </c>
      <c r="E12134">
        <v>0</v>
      </c>
      <c r="F12134">
        <v>350</v>
      </c>
    </row>
    <row r="12135" spans="1:6" ht="12.75">
      <c r="A12135" s="2">
        <v>43879.863981481481</v>
      </c>
      <c r="B12135" t="str">
        <f>HYPERLINK("https://twitter.com/bubunisu","@bubunisu")</f>
        <v>@bubunisu</v>
      </c>
      <c r="C12135" t="s">
        <v>6032</v>
      </c>
      <c r="D12135">
        <v>783</v>
      </c>
      <c r="E12135">
        <v>0</v>
      </c>
      <c r="F12135">
        <v>154</v>
      </c>
    </row>
    <row r="12136" spans="1:6" ht="12.75">
      <c r="A12136" s="2">
        <v>43879.863900462966</v>
      </c>
      <c r="B12136" t="str">
        <f>HYPERLINK("https://twitter.com/muhfarisanwar","@muhfarisanwar")</f>
        <v>@muhfarisanwar</v>
      </c>
      <c r="C12136" t="s">
        <v>1920</v>
      </c>
      <c r="D12136">
        <v>171</v>
      </c>
      <c r="E12136">
        <v>0</v>
      </c>
      <c r="F12136">
        <v>242</v>
      </c>
    </row>
    <row r="12137" spans="1:6" ht="12.75">
      <c r="A12137" s="2">
        <v>43879.863703703704</v>
      </c>
      <c r="B12137" t="str">
        <f>HYPERLINK("https://twitter.com/iantrucker","@iantrucker")</f>
        <v>@iantrucker</v>
      </c>
      <c r="C12137" t="s">
        <v>6207</v>
      </c>
      <c r="D12137">
        <v>48</v>
      </c>
      <c r="E12137">
        <v>0</v>
      </c>
      <c r="F12137">
        <v>342</v>
      </c>
    </row>
    <row r="12138" spans="1:6" ht="12.75">
      <c r="A12138" s="2">
        <v>43879.863622685181</v>
      </c>
      <c r="B12138" t="str">
        <f>HYPERLINK("https://twitter.com/mediaindonesia","@mediaindonesia")</f>
        <v>@mediaindonesia</v>
      </c>
      <c r="C12138" t="s">
        <v>6389</v>
      </c>
      <c r="D12138">
        <v>0</v>
      </c>
      <c r="E12138">
        <v>1</v>
      </c>
      <c r="F12138">
        <v>1416912</v>
      </c>
    </row>
    <row r="12139" spans="1:6" ht="12.75">
      <c r="A12139" s="2">
        <v>43879.863541666666</v>
      </c>
      <c r="B12139" t="str">
        <f>HYPERLINK("https://twitter.com/kondekturbus_","@kondekturbus_")</f>
        <v>@kondekturbus_</v>
      </c>
      <c r="C12139" t="s">
        <v>6390</v>
      </c>
      <c r="D12139">
        <v>12</v>
      </c>
      <c r="E12139">
        <v>0</v>
      </c>
      <c r="F12139">
        <v>14128</v>
      </c>
    </row>
    <row r="12140" spans="1:6" ht="12.75">
      <c r="A12140" s="2">
        <v>43879.863518518519</v>
      </c>
      <c r="B12140" t="str">
        <f>HYPERLINK("https://twitter.com/almondoughnuts","@almondoughnuts")</f>
        <v>@almondoughnuts</v>
      </c>
      <c r="C12140" t="s">
        <v>5644</v>
      </c>
      <c r="D12140">
        <v>281</v>
      </c>
      <c r="E12140">
        <v>0</v>
      </c>
      <c r="F12140">
        <v>749</v>
      </c>
    </row>
    <row r="12141" spans="1:6" ht="12.75">
      <c r="A12141" s="2">
        <v>43879.863379629634</v>
      </c>
      <c r="B12141" t="str">
        <f>HYPERLINK("https://twitter.com/Wieds76","@Wieds76")</f>
        <v>@Wieds76</v>
      </c>
      <c r="C12141" t="s">
        <v>6391</v>
      </c>
      <c r="D12141">
        <v>0</v>
      </c>
      <c r="E12141">
        <v>0</v>
      </c>
      <c r="F12141">
        <v>160</v>
      </c>
    </row>
    <row r="12142" spans="1:6" ht="12.75">
      <c r="A12142" s="2">
        <v>43879.863229166665</v>
      </c>
      <c r="B12142" t="str">
        <f>HYPERLINK("https://twitter.com/TelikSandiID","@TelikSandiID")</f>
        <v>@TelikSandiID</v>
      </c>
      <c r="C12142" t="s">
        <v>6392</v>
      </c>
      <c r="D12142">
        <v>0</v>
      </c>
      <c r="E12142">
        <v>0</v>
      </c>
      <c r="F12142">
        <v>6678</v>
      </c>
    </row>
    <row r="12143" spans="1:6" ht="12.75">
      <c r="A12143" s="2">
        <v>43879.863229166665</v>
      </c>
      <c r="B12143" t="str">
        <f>HYPERLINK("https://twitter.com/Menara62com","@Menara62com")</f>
        <v>@Menara62com</v>
      </c>
      <c r="C12143" t="s">
        <v>6392</v>
      </c>
      <c r="D12143">
        <v>0</v>
      </c>
      <c r="E12143">
        <v>0</v>
      </c>
      <c r="F12143">
        <v>1417</v>
      </c>
    </row>
    <row r="12144" spans="1:6" ht="12.75">
      <c r="A12144" s="2">
        <v>43879.863229166665</v>
      </c>
      <c r="B12144" t="str">
        <f>HYPERLINK("https://twitter.com/kangDed18255164","@kangDed18255164")</f>
        <v>@kangDed18255164</v>
      </c>
      <c r="C12144" t="s">
        <v>6392</v>
      </c>
      <c r="D12144">
        <v>0</v>
      </c>
      <c r="E12144">
        <v>0</v>
      </c>
      <c r="F12144">
        <v>35</v>
      </c>
    </row>
    <row r="12145" spans="1:6" ht="12.75">
      <c r="A12145" s="2">
        <v>43879.863032407404</v>
      </c>
      <c r="B12145" t="str">
        <f>HYPERLINK("https://twitter.com/BN4everTN5O","@BN4everTN5O")</f>
        <v>@BN4everTN5O</v>
      </c>
      <c r="C12145" t="s">
        <v>6079</v>
      </c>
      <c r="D12145">
        <v>7</v>
      </c>
      <c r="E12145">
        <v>0</v>
      </c>
      <c r="F12145">
        <v>592</v>
      </c>
    </row>
    <row r="12146" spans="1:6" ht="12.75">
      <c r="A12146" s="2">
        <v>43879.862881944442</v>
      </c>
      <c r="B12146" t="str">
        <f>HYPERLINK("https://twitter.com/kompascom","@kompascom")</f>
        <v>@kompascom</v>
      </c>
      <c r="C12146" t="s">
        <v>6297</v>
      </c>
      <c r="D12146">
        <v>2</v>
      </c>
      <c r="E12146">
        <v>10</v>
      </c>
      <c r="F12146">
        <v>7502893</v>
      </c>
    </row>
    <row r="12147" spans="1:6" ht="12.75">
      <c r="A12147" s="2">
        <v>43879.862824074073</v>
      </c>
      <c r="B12147" t="str">
        <f>HYPERLINK("https://twitter.com/OckiFals","@OckiFals")</f>
        <v>@OckiFals</v>
      </c>
      <c r="C12147" t="s">
        <v>6393</v>
      </c>
      <c r="D12147">
        <v>0</v>
      </c>
      <c r="E12147">
        <v>0</v>
      </c>
      <c r="F12147">
        <v>309</v>
      </c>
    </row>
    <row r="12148" spans="1:6" ht="12.75">
      <c r="A12148" s="2">
        <v>43879.862592592588</v>
      </c>
      <c r="B12148" t="str">
        <f>HYPERLINK("https://twitter.com/iklanraja","@iklanraja")</f>
        <v>@iklanraja</v>
      </c>
      <c r="C12148" t="s">
        <v>2930</v>
      </c>
      <c r="D12148">
        <v>63</v>
      </c>
      <c r="E12148">
        <v>0</v>
      </c>
      <c r="F12148">
        <v>1162</v>
      </c>
    </row>
    <row r="12149" spans="1:6" ht="12.75">
      <c r="A12149" s="2">
        <v>43879.862453703703</v>
      </c>
      <c r="B12149" t="str">
        <f>HYPERLINK("https://twitter.com/downxcow","@downxcow")</f>
        <v>@downxcow</v>
      </c>
      <c r="C12149" t="s">
        <v>5702</v>
      </c>
      <c r="D12149">
        <v>144</v>
      </c>
      <c r="E12149">
        <v>0</v>
      </c>
      <c r="F12149">
        <v>3102</v>
      </c>
    </row>
    <row r="12150" spans="1:6" ht="12.75">
      <c r="A12150" s="2">
        <v>43879.86241898148</v>
      </c>
      <c r="B12150" t="str">
        <f>HYPERLINK("https://twitter.com/prawotoaji24","@prawotoaji24")</f>
        <v>@prawotoaji24</v>
      </c>
      <c r="C12150" t="s">
        <v>5702</v>
      </c>
      <c r="D12150">
        <v>144</v>
      </c>
      <c r="E12150">
        <v>0</v>
      </c>
      <c r="F12150">
        <v>164</v>
      </c>
    </row>
    <row r="12151" spans="1:6" ht="12.75">
      <c r="A12151" s="2">
        <v>43879.86237268518</v>
      </c>
      <c r="B12151" t="str">
        <f>HYPERLINK("https://twitter.com/karavelll","@karavelll")</f>
        <v>@karavelll</v>
      </c>
      <c r="C12151" t="s">
        <v>6394</v>
      </c>
      <c r="D12151">
        <v>0</v>
      </c>
      <c r="E12151">
        <v>0</v>
      </c>
      <c r="F12151">
        <v>73</v>
      </c>
    </row>
    <row r="12152" spans="1:6" ht="12.75">
      <c r="A12152" s="2">
        <v>43879.862210648149</v>
      </c>
      <c r="B12152" t="str">
        <f>HYPERLINK("https://twitter.com/helosusi","@helosusi")</f>
        <v>@helosusi</v>
      </c>
      <c r="C12152" t="s">
        <v>1407</v>
      </c>
      <c r="D12152">
        <v>406</v>
      </c>
      <c r="E12152">
        <v>0</v>
      </c>
      <c r="F12152">
        <v>924</v>
      </c>
    </row>
    <row r="12153" spans="1:6" ht="12.75">
      <c r="A12153" s="2">
        <v>43879.862002314811</v>
      </c>
      <c r="B12153" t="str">
        <f>HYPERLINK("https://twitter.com/marwanalatas","@marwanalatas")</f>
        <v>@marwanalatas</v>
      </c>
      <c r="C12153" t="s">
        <v>2930</v>
      </c>
      <c r="D12153">
        <v>63</v>
      </c>
      <c r="E12153">
        <v>0</v>
      </c>
      <c r="F12153">
        <v>48</v>
      </c>
    </row>
    <row r="12154" spans="1:6" ht="12.75">
      <c r="A12154" s="2">
        <v>43879.861898148149</v>
      </c>
      <c r="B12154" t="str">
        <f>HYPERLINK("https://twitter.com/KompasTV","@KompasTV")</f>
        <v>@KompasTV</v>
      </c>
      <c r="C12154" t="s">
        <v>6395</v>
      </c>
      <c r="D12154">
        <v>0</v>
      </c>
      <c r="E12154">
        <v>2</v>
      </c>
      <c r="F12154">
        <v>2943840</v>
      </c>
    </row>
    <row r="12155" spans="1:6" ht="12.75">
      <c r="A12155" s="2">
        <v>43879.861782407403</v>
      </c>
      <c r="B12155" t="str">
        <f>HYPERLINK("https://twitter.com/juleehee","@juleehee")</f>
        <v>@juleehee</v>
      </c>
      <c r="C12155" t="s">
        <v>6032</v>
      </c>
      <c r="D12155">
        <v>783</v>
      </c>
      <c r="E12155">
        <v>0</v>
      </c>
      <c r="F12155">
        <v>221</v>
      </c>
    </row>
    <row r="12156" spans="1:6" ht="12.75">
      <c r="A12156" s="2">
        <v>43879.861678240741</v>
      </c>
      <c r="B12156" t="str">
        <f>HYPERLINK("https://twitter.com/PNA9506","@PNA9506")</f>
        <v>@PNA9506</v>
      </c>
      <c r="C12156" t="s">
        <v>5644</v>
      </c>
      <c r="D12156">
        <v>281</v>
      </c>
      <c r="E12156">
        <v>0</v>
      </c>
      <c r="F12156">
        <v>149</v>
      </c>
    </row>
    <row r="12157" spans="1:6" ht="12.75">
      <c r="A12157" s="2">
        <v>43879.83493055556</v>
      </c>
      <c r="B12157" t="str">
        <f>HYPERLINK("https://twitter.com/HaloKBR","@HaloKBR")</f>
        <v>@HaloKBR</v>
      </c>
      <c r="C12157" t="s">
        <v>6396</v>
      </c>
      <c r="D12157">
        <v>1</v>
      </c>
      <c r="E12157">
        <v>0</v>
      </c>
      <c r="F12157">
        <v>58536</v>
      </c>
    </row>
    <row r="12158" spans="1:6" ht="12.75">
      <c r="A12158" s="2">
        <v>43879.834756944445</v>
      </c>
      <c r="B12158" t="str">
        <f>HYPERLINK("https://twitter.com/HAMBAAL31689329","@HAMBAAL31689329")</f>
        <v>@HAMBAAL31689329</v>
      </c>
      <c r="C12158" t="s">
        <v>2930</v>
      </c>
      <c r="D12158">
        <v>36</v>
      </c>
      <c r="E12158">
        <v>0</v>
      </c>
      <c r="F12158">
        <v>268</v>
      </c>
    </row>
    <row r="12159" spans="1:6" ht="12.75">
      <c r="A12159" s="2">
        <v>43879.834537037037</v>
      </c>
      <c r="B12159" t="str">
        <f>HYPERLINK("https://twitter.com/bil_gem","@bil_gem")</f>
        <v>@bil_gem</v>
      </c>
      <c r="C12159" t="s">
        <v>1407</v>
      </c>
      <c r="D12159">
        <v>317</v>
      </c>
      <c r="E12159">
        <v>0</v>
      </c>
      <c r="F12159">
        <v>639</v>
      </c>
    </row>
    <row r="12160" spans="1:6" ht="12.75">
      <c r="A12160" s="2">
        <v>43879.834062499998</v>
      </c>
      <c r="B12160" t="str">
        <f>HYPERLINK("https://twitter.com/mayutumn","@mayutumn")</f>
        <v>@mayutumn</v>
      </c>
      <c r="C12160" t="s">
        <v>5702</v>
      </c>
      <c r="D12160">
        <v>126</v>
      </c>
      <c r="E12160">
        <v>0</v>
      </c>
      <c r="F12160">
        <v>3144</v>
      </c>
    </row>
    <row r="12161" spans="1:6" ht="12.75">
      <c r="A12161" s="2">
        <v>43879.834062499998</v>
      </c>
      <c r="B12161" t="str">
        <f>HYPERLINK("https://twitter.com/AksesorisN","@AksesorisN")</f>
        <v>@AksesorisN</v>
      </c>
      <c r="C12161" t="s">
        <v>6317</v>
      </c>
      <c r="D12161">
        <v>18</v>
      </c>
      <c r="E12161">
        <v>0</v>
      </c>
      <c r="F12161">
        <v>709</v>
      </c>
    </row>
    <row r="12162" spans="1:6" ht="12.75">
      <c r="A12162" s="2">
        <v>43879.833958333329</v>
      </c>
      <c r="B12162" t="str">
        <f>HYPERLINK("https://twitter.com/wamarif","@wamarif")</f>
        <v>@wamarif</v>
      </c>
      <c r="C12162" t="s">
        <v>2131</v>
      </c>
      <c r="D12162">
        <v>0</v>
      </c>
      <c r="E12162">
        <v>0</v>
      </c>
      <c r="F12162">
        <v>11158</v>
      </c>
    </row>
    <row r="12163" spans="1:6" ht="12.75">
      <c r="A12163" s="2">
        <v>43879.833622685182</v>
      </c>
      <c r="B12163" t="str">
        <f>HYPERLINK("https://twitter.com/milkycoffe","@milkycoffe")</f>
        <v>@milkycoffe</v>
      </c>
      <c r="C12163" t="s">
        <v>5982</v>
      </c>
      <c r="D12163">
        <v>50</v>
      </c>
      <c r="E12163">
        <v>0</v>
      </c>
      <c r="F12163">
        <v>34</v>
      </c>
    </row>
    <row r="12164" spans="1:6" ht="12.75">
      <c r="A12164" s="2">
        <v>43879.833553240736</v>
      </c>
      <c r="B12164" t="str">
        <f>HYPERLINK("https://twitter.com/skorindonesia","@skorindonesia")</f>
        <v>@skorindonesia</v>
      </c>
      <c r="C12164" t="s">
        <v>6397</v>
      </c>
      <c r="D12164">
        <v>1</v>
      </c>
      <c r="E12164">
        <v>0</v>
      </c>
      <c r="F12164">
        <v>735</v>
      </c>
    </row>
    <row r="12165" spans="1:6" ht="12.75">
      <c r="A12165" s="2">
        <v>43879.833483796298</v>
      </c>
      <c r="B12165" t="str">
        <f>HYPERLINK("https://twitter.com/Arrad86","@Arrad86")</f>
        <v>@Arrad86</v>
      </c>
      <c r="C12165" t="s">
        <v>1920</v>
      </c>
      <c r="D12165">
        <v>163</v>
      </c>
      <c r="E12165">
        <v>0</v>
      </c>
      <c r="F12165">
        <v>279</v>
      </c>
    </row>
    <row r="12166" spans="1:6" ht="12.75">
      <c r="A12166" s="2">
        <v>43879.833483796298</v>
      </c>
      <c r="B12166" t="str">
        <f>HYPERLINK("https://twitter.com/naeyyoo","@naeyyoo")</f>
        <v>@naeyyoo</v>
      </c>
      <c r="C12166" t="s">
        <v>6398</v>
      </c>
      <c r="D12166">
        <v>0</v>
      </c>
      <c r="E12166">
        <v>0</v>
      </c>
      <c r="F12166">
        <v>488</v>
      </c>
    </row>
    <row r="12167" spans="1:6" ht="12.75">
      <c r="A12167" s="2">
        <v>43879.833344907413</v>
      </c>
      <c r="B12167" t="str">
        <f>HYPERLINK("https://twitter.com/tempodotco","@tempodotco")</f>
        <v>@tempodotco</v>
      </c>
      <c r="C12167" t="s">
        <v>6083</v>
      </c>
      <c r="D12167">
        <v>0</v>
      </c>
      <c r="E12167">
        <v>2</v>
      </c>
      <c r="F12167">
        <v>1705710</v>
      </c>
    </row>
    <row r="12168" spans="1:6" ht="12.75">
      <c r="A12168" s="2">
        <v>43879.832916666666</v>
      </c>
      <c r="B12168" t="str">
        <f>HYPERLINK("https://twitter.com/RIKIInteristi12","@RIKIInteristi12")</f>
        <v>@RIKIInteristi12</v>
      </c>
      <c r="C12168" t="s">
        <v>6399</v>
      </c>
      <c r="D12168">
        <v>4</v>
      </c>
      <c r="E12168">
        <v>0</v>
      </c>
      <c r="F12168">
        <v>321</v>
      </c>
    </row>
    <row r="12169" spans="1:6" ht="12.75">
      <c r="A12169" s="2">
        <v>43879.832569444443</v>
      </c>
      <c r="B12169" t="str">
        <f>HYPERLINK("https://twitter.com/vvillma","@vvillma")</f>
        <v>@vvillma</v>
      </c>
      <c r="C12169" t="s">
        <v>1407</v>
      </c>
      <c r="D12169">
        <v>316</v>
      </c>
      <c r="E12169">
        <v>0</v>
      </c>
      <c r="F12169">
        <v>372</v>
      </c>
    </row>
    <row r="12170" spans="1:6" ht="12.75">
      <c r="A12170" s="2">
        <v>43879.832418981481</v>
      </c>
      <c r="B12170" t="str">
        <f>HYPERLINK("https://twitter.com/attraversiamo_A","@attraversiamo_A")</f>
        <v>@attraversiamo_A</v>
      </c>
      <c r="C12170" t="s">
        <v>6032</v>
      </c>
      <c r="D12170">
        <v>745</v>
      </c>
      <c r="E12170">
        <v>0</v>
      </c>
      <c r="F12170">
        <v>366</v>
      </c>
    </row>
    <row r="12171" spans="1:6" ht="12.75">
      <c r="A12171" s="2">
        <v>43879.832407407404</v>
      </c>
      <c r="B12171" t="str">
        <f>HYPERLINK("https://twitter.com/Martabakspesyal","@Martabakspesyal")</f>
        <v>@Martabakspesyal</v>
      </c>
      <c r="C12171" t="s">
        <v>6032</v>
      </c>
      <c r="D12171">
        <v>745</v>
      </c>
      <c r="E12171">
        <v>0</v>
      </c>
      <c r="F12171">
        <v>1167</v>
      </c>
    </row>
    <row r="12172" spans="1:6" ht="12.75">
      <c r="A12172" s="2">
        <v>43879.832280092596</v>
      </c>
      <c r="B12172" t="str">
        <f>HYPERLINK("https://twitter.com/BiyaSabrina1","@BiyaSabrina1")</f>
        <v>@BiyaSabrina1</v>
      </c>
      <c r="C12172" t="s">
        <v>6400</v>
      </c>
      <c r="D12172">
        <v>0</v>
      </c>
      <c r="E12172">
        <v>0</v>
      </c>
      <c r="F12172">
        <v>18</v>
      </c>
    </row>
    <row r="12173" spans="1:6" ht="12.75">
      <c r="A12173" s="2">
        <v>43879.832199074073</v>
      </c>
      <c r="B12173" t="str">
        <f>HYPERLINK("https://twitter.com/MAlexandriet","@MAlexandriet")</f>
        <v>@MAlexandriet</v>
      </c>
      <c r="C12173" t="s">
        <v>5975</v>
      </c>
      <c r="D12173">
        <v>3</v>
      </c>
      <c r="E12173">
        <v>0</v>
      </c>
      <c r="F12173">
        <v>196</v>
      </c>
    </row>
    <row r="12174" spans="1:6" ht="12.75">
      <c r="A12174" s="2">
        <v>43879.832129629634</v>
      </c>
      <c r="B12174" t="str">
        <f>HYPERLINK("https://twitter.com/rlhrley","@rlhrley")</f>
        <v>@rlhrley</v>
      </c>
      <c r="C12174" t="s">
        <v>6401</v>
      </c>
      <c r="D12174">
        <v>0</v>
      </c>
      <c r="E12174">
        <v>0</v>
      </c>
      <c r="F12174">
        <v>9927</v>
      </c>
    </row>
    <row r="12175" spans="1:6" ht="12.75">
      <c r="A12175" s="2">
        <v>43879.83211805555</v>
      </c>
      <c r="B12175" t="str">
        <f>HYPERLINK("https://twitter.com/GateJannah","@GateJannah")</f>
        <v>@GateJannah</v>
      </c>
      <c r="C12175" t="s">
        <v>5702</v>
      </c>
      <c r="D12175">
        <v>126</v>
      </c>
      <c r="E12175">
        <v>0</v>
      </c>
      <c r="F12175">
        <v>799</v>
      </c>
    </row>
    <row r="12176" spans="1:6" ht="12.75">
      <c r="A12176" s="2">
        <v>43879.832106481481</v>
      </c>
      <c r="B12176" t="str">
        <f t="shared" ref="B12176:B12177" si="209">HYPERLINK("https://twitter.com/MAlexandriet","@MAlexandriet")</f>
        <v>@MAlexandriet</v>
      </c>
      <c r="C12176" t="s">
        <v>6233</v>
      </c>
      <c r="D12176">
        <v>8</v>
      </c>
      <c r="E12176">
        <v>0</v>
      </c>
      <c r="F12176">
        <v>196</v>
      </c>
    </row>
    <row r="12177" spans="1:6" ht="12.75">
      <c r="A12177" s="2">
        <v>43879.832037037035</v>
      </c>
      <c r="B12177" t="str">
        <f t="shared" si="209"/>
        <v>@MAlexandriet</v>
      </c>
      <c r="C12177" t="s">
        <v>6125</v>
      </c>
      <c r="D12177">
        <v>6</v>
      </c>
      <c r="E12177">
        <v>0</v>
      </c>
      <c r="F12177">
        <v>196</v>
      </c>
    </row>
    <row r="12178" spans="1:6" ht="12.75">
      <c r="A12178" s="2">
        <v>43879.832037037035</v>
      </c>
      <c r="B12178" t="str">
        <f>HYPERLINK("https://twitter.com/Ferdians_syah","@Ferdians_syah")</f>
        <v>@Ferdians_syah</v>
      </c>
      <c r="C12178" t="s">
        <v>1407</v>
      </c>
      <c r="D12178">
        <v>317</v>
      </c>
      <c r="E12178">
        <v>0</v>
      </c>
      <c r="F12178">
        <v>223</v>
      </c>
    </row>
    <row r="12179" spans="1:6" ht="12.75">
      <c r="A12179" s="2">
        <v>43879.831747685181</v>
      </c>
      <c r="B12179" t="str">
        <f>HYPERLINK("https://twitter.com/damianusdalita6","@damianusdalita6")</f>
        <v>@damianusdalita6</v>
      </c>
      <c r="C12179" t="s">
        <v>6336</v>
      </c>
      <c r="D12179">
        <v>8</v>
      </c>
      <c r="E12179">
        <v>0</v>
      </c>
      <c r="F12179">
        <v>2207</v>
      </c>
    </row>
    <row r="12180" spans="1:6" ht="12.75">
      <c r="A12180" s="2">
        <v>43879.831574074073</v>
      </c>
      <c r="B12180" t="str">
        <f>HYPERLINK("https://twitter.com/sukabayam","@sukabayam")</f>
        <v>@sukabayam</v>
      </c>
      <c r="C12180" t="s">
        <v>1407</v>
      </c>
      <c r="D12180">
        <v>317</v>
      </c>
      <c r="E12180">
        <v>0</v>
      </c>
      <c r="F12180">
        <v>66</v>
      </c>
    </row>
    <row r="12181" spans="1:6" ht="12.75">
      <c r="A12181" s="2">
        <v>43879.831377314811</v>
      </c>
      <c r="B12181" t="str">
        <f>HYPERLINK("https://twitter.com/giogemb","@giogemb")</f>
        <v>@giogemb</v>
      </c>
      <c r="C12181" t="s">
        <v>1407</v>
      </c>
      <c r="D12181">
        <v>317</v>
      </c>
      <c r="E12181">
        <v>0</v>
      </c>
      <c r="F12181">
        <v>503</v>
      </c>
    </row>
    <row r="12182" spans="1:6" ht="12.75">
      <c r="A12182" s="2">
        <v>43879.831296296295</v>
      </c>
      <c r="B12182" t="str">
        <f>HYPERLINK("https://twitter.com/siaaapaaja","@siaaapaaja")</f>
        <v>@siaaapaaja</v>
      </c>
      <c r="C12182" t="s">
        <v>6032</v>
      </c>
      <c r="D12182">
        <v>745</v>
      </c>
      <c r="E12182">
        <v>0</v>
      </c>
      <c r="F12182">
        <v>56</v>
      </c>
    </row>
    <row r="12183" spans="1:6" ht="12.75">
      <c r="A12183" s="2">
        <v>43879.83090277778</v>
      </c>
      <c r="B12183" t="str">
        <f>HYPERLINK("https://twitter.com/iNewsID","@iNewsID")</f>
        <v>@iNewsID</v>
      </c>
      <c r="C12183" t="s">
        <v>6402</v>
      </c>
      <c r="D12183">
        <v>0</v>
      </c>
      <c r="E12183">
        <v>0</v>
      </c>
      <c r="F12183">
        <v>1273</v>
      </c>
    </row>
    <row r="12184" spans="1:6" ht="12.75">
      <c r="A12184" s="2">
        <v>43879.830833333333</v>
      </c>
      <c r="B12184" t="str">
        <f>HYPERLINK("https://twitter.com/pesonalami","@pesonalami")</f>
        <v>@pesonalami</v>
      </c>
      <c r="C12184" t="s">
        <v>2930</v>
      </c>
      <c r="D12184">
        <v>36</v>
      </c>
      <c r="E12184">
        <v>0</v>
      </c>
      <c r="F12184">
        <v>1363</v>
      </c>
    </row>
    <row r="12185" spans="1:6" ht="12.75">
      <c r="A12185" s="2">
        <v>43879.830833333333</v>
      </c>
      <c r="B12185" t="str">
        <f>HYPERLINK("https://twitter.com/caknarko","@caknarko")</f>
        <v>@caknarko</v>
      </c>
      <c r="C12185" t="s">
        <v>1407</v>
      </c>
      <c r="D12185">
        <v>317</v>
      </c>
      <c r="E12185">
        <v>0</v>
      </c>
      <c r="F12185">
        <v>326</v>
      </c>
    </row>
    <row r="12186" spans="1:6" ht="12.75">
      <c r="A12186" s="2">
        <v>43879.830532407403</v>
      </c>
      <c r="B12186" t="str">
        <f>HYPERLINK("https://twitter.com/Tri_Suzanty","@Tri_Suzanty")</f>
        <v>@Tri_Suzanty</v>
      </c>
      <c r="C12186" t="s">
        <v>6032</v>
      </c>
      <c r="D12186">
        <v>745</v>
      </c>
      <c r="E12186">
        <v>0</v>
      </c>
      <c r="F12186">
        <v>145</v>
      </c>
    </row>
    <row r="12187" spans="1:6" ht="12.75">
      <c r="A12187" s="2">
        <v>43879.830300925925</v>
      </c>
      <c r="B12187" t="str">
        <f>HYPERLINK("https://twitter.com/manusiyaonline","@manusiyaonline")</f>
        <v>@manusiyaonline</v>
      </c>
      <c r="C12187" t="s">
        <v>6032</v>
      </c>
      <c r="D12187">
        <v>745</v>
      </c>
      <c r="E12187">
        <v>0</v>
      </c>
      <c r="F12187">
        <v>3413</v>
      </c>
    </row>
    <row r="12188" spans="1:6" ht="12.75">
      <c r="A12188" s="2">
        <v>43879.830266203702</v>
      </c>
      <c r="B12188" t="str">
        <f>HYPERLINK("https://twitter.com/nonakups","@nonakups")</f>
        <v>@nonakups</v>
      </c>
      <c r="C12188" t="s">
        <v>2079</v>
      </c>
      <c r="D12188">
        <v>22</v>
      </c>
      <c r="E12188">
        <v>0</v>
      </c>
      <c r="F12188">
        <v>809</v>
      </c>
    </row>
    <row r="12189" spans="1:6" ht="12.75">
      <c r="A12189" s="2">
        <v>43879.830069444448</v>
      </c>
      <c r="B12189" t="str">
        <f>HYPERLINK("https://twitter.com/risunipr","@risunipr")</f>
        <v>@risunipr</v>
      </c>
      <c r="C12189" t="s">
        <v>6403</v>
      </c>
      <c r="D12189">
        <v>0</v>
      </c>
      <c r="E12189">
        <v>0</v>
      </c>
      <c r="F12189">
        <v>304</v>
      </c>
    </row>
    <row r="12190" spans="1:6" ht="12.75">
      <c r="A12190" s="2">
        <v>43879.82980324074</v>
      </c>
      <c r="B12190" t="str">
        <f>HYPERLINK("https://twitter.com/GateJannah","@GateJannah")</f>
        <v>@GateJannah</v>
      </c>
      <c r="C12190" t="s">
        <v>2930</v>
      </c>
      <c r="D12190">
        <v>36</v>
      </c>
      <c r="E12190">
        <v>0</v>
      </c>
      <c r="F12190">
        <v>799</v>
      </c>
    </row>
    <row r="12191" spans="1:6" ht="12.75">
      <c r="A12191" s="2">
        <v>43879.82975694444</v>
      </c>
      <c r="B12191" t="str">
        <f>HYPERLINK("https://twitter.com/ImamKisnanto","@ImamKisnanto")</f>
        <v>@ImamKisnanto</v>
      </c>
      <c r="C12191" t="s">
        <v>6092</v>
      </c>
      <c r="D12191">
        <v>14</v>
      </c>
      <c r="E12191">
        <v>0</v>
      </c>
      <c r="F12191">
        <v>2</v>
      </c>
    </row>
    <row r="12192" spans="1:6" ht="12.75">
      <c r="A12192" s="2">
        <v>43879.829710648148</v>
      </c>
      <c r="B12192" t="str">
        <f>HYPERLINK("https://twitter.com/IBTimesID","@IBTimesID")</f>
        <v>@IBTimesID</v>
      </c>
      <c r="C12192" t="s">
        <v>6404</v>
      </c>
      <c r="D12192">
        <v>0</v>
      </c>
      <c r="E12192">
        <v>0</v>
      </c>
      <c r="F12192">
        <v>2729</v>
      </c>
    </row>
    <row r="12193" spans="1:6" ht="12.75">
      <c r="A12193" s="2">
        <v>43879.828564814816</v>
      </c>
      <c r="B12193" t="str">
        <f>HYPERLINK("https://twitter.com/Gazali05387868","@Gazali05387868")</f>
        <v>@Gazali05387868</v>
      </c>
      <c r="C12193" t="s">
        <v>2930</v>
      </c>
      <c r="D12193">
        <v>36</v>
      </c>
      <c r="E12193">
        <v>0</v>
      </c>
      <c r="F12193">
        <v>12</v>
      </c>
    </row>
    <row r="12194" spans="1:6" ht="12.75">
      <c r="A12194" s="2">
        <v>43879.828333333338</v>
      </c>
      <c r="B12194" t="str">
        <f>HYPERLINK("https://twitter.com/diponegros","@diponegros")</f>
        <v>@diponegros</v>
      </c>
      <c r="C12194" t="s">
        <v>2930</v>
      </c>
      <c r="D12194">
        <v>36</v>
      </c>
      <c r="E12194">
        <v>0</v>
      </c>
      <c r="F12194">
        <v>598</v>
      </c>
    </row>
    <row r="12195" spans="1:6" ht="12.75">
      <c r="A12195" s="2">
        <v>43879.828310185185</v>
      </c>
      <c r="B12195" t="str">
        <f>HYPERLINK("https://twitter.com/i_oneprast","@i_oneprast")</f>
        <v>@i_oneprast</v>
      </c>
      <c r="C12195" t="s">
        <v>6405</v>
      </c>
      <c r="D12195">
        <v>0</v>
      </c>
      <c r="E12195">
        <v>0</v>
      </c>
      <c r="F12195">
        <v>60</v>
      </c>
    </row>
    <row r="12196" spans="1:6" ht="12.75">
      <c r="A12196" s="2">
        <v>43879.82811342593</v>
      </c>
      <c r="B12196" t="str">
        <f>HYPERLINK("https://twitter.com/Abankgera999","@Abankgera999")</f>
        <v>@Abankgera999</v>
      </c>
      <c r="C12196" t="s">
        <v>6151</v>
      </c>
      <c r="D12196">
        <v>17</v>
      </c>
      <c r="E12196">
        <v>0</v>
      </c>
      <c r="F12196">
        <v>491</v>
      </c>
    </row>
    <row r="12197" spans="1:6" ht="12.75">
      <c r="A12197" s="2">
        <v>43879.828101851846</v>
      </c>
      <c r="B12197" t="str">
        <f>HYPERLINK("https://twitter.com/aldy_mw","@aldy_mw")</f>
        <v>@aldy_mw</v>
      </c>
      <c r="C12197" t="s">
        <v>2930</v>
      </c>
      <c r="D12197">
        <v>36</v>
      </c>
      <c r="E12197">
        <v>0</v>
      </c>
      <c r="F12197">
        <v>1307</v>
      </c>
    </row>
    <row r="12198" spans="1:6" ht="12.75">
      <c r="A12198" s="2">
        <v>43879.8278125</v>
      </c>
      <c r="B12198" t="str">
        <f>HYPERLINK("https://twitter.com/wennice8","@wennice8")</f>
        <v>@wennice8</v>
      </c>
      <c r="C12198" t="s">
        <v>6032</v>
      </c>
      <c r="D12198">
        <v>745</v>
      </c>
      <c r="E12198">
        <v>0</v>
      </c>
      <c r="F12198">
        <v>308</v>
      </c>
    </row>
    <row r="12199" spans="1:6" ht="12.75">
      <c r="A12199" s="2">
        <v>43879.827777777777</v>
      </c>
      <c r="B12199" t="str">
        <f>HYPERLINK("https://twitter.com/DuanePutra","@DuanePutra")</f>
        <v>@DuanePutra</v>
      </c>
      <c r="C12199" t="s">
        <v>6406</v>
      </c>
      <c r="D12199">
        <v>0</v>
      </c>
      <c r="E12199">
        <v>0</v>
      </c>
      <c r="F12199">
        <v>1606</v>
      </c>
    </row>
    <row r="12200" spans="1:6" ht="12.75">
      <c r="A12200" s="2">
        <v>43879.827372685184</v>
      </c>
      <c r="B12200" t="str">
        <f>HYPERLINK("https://twitter.com/kuzril420","@kuzril420")</f>
        <v>@kuzril420</v>
      </c>
      <c r="C12200" t="s">
        <v>6079</v>
      </c>
      <c r="D12200">
        <v>4</v>
      </c>
      <c r="E12200">
        <v>0</v>
      </c>
      <c r="F12200">
        <v>234</v>
      </c>
    </row>
    <row r="12201" spans="1:6" ht="12.75">
      <c r="A12201" s="2">
        <v>43879.827337962968</v>
      </c>
      <c r="B12201" t="str">
        <f>HYPERLINK("https://twitter.com/cjakaa","@cjakaa")</f>
        <v>@cjakaa</v>
      </c>
      <c r="C12201" t="s">
        <v>1407</v>
      </c>
      <c r="D12201">
        <v>317</v>
      </c>
      <c r="E12201">
        <v>0</v>
      </c>
      <c r="F12201">
        <v>1482</v>
      </c>
    </row>
    <row r="12202" spans="1:6" ht="12.75">
      <c r="A12202" s="2">
        <v>43879.827326388884</v>
      </c>
      <c r="B12202" t="str">
        <f>HYPERLINK("https://twitter.com/InfoRiau_ID","@InfoRiau_ID")</f>
        <v>@InfoRiau_ID</v>
      </c>
      <c r="C12202" t="s">
        <v>6407</v>
      </c>
      <c r="D12202">
        <v>0</v>
      </c>
      <c r="E12202">
        <v>0</v>
      </c>
      <c r="F12202">
        <v>143</v>
      </c>
    </row>
    <row r="12203" spans="1:6" ht="12.75">
      <c r="A12203" s="2">
        <v>43879.827291666668</v>
      </c>
      <c r="B12203" t="str">
        <f>HYPERLINK("https://twitter.com/nicholasspr","@nicholasspr")</f>
        <v>@nicholasspr</v>
      </c>
      <c r="C12203" t="s">
        <v>1407</v>
      </c>
      <c r="D12203">
        <v>317</v>
      </c>
      <c r="E12203">
        <v>0</v>
      </c>
      <c r="F12203">
        <v>129</v>
      </c>
    </row>
    <row r="12204" spans="1:6" ht="12.75">
      <c r="A12204" s="2">
        <v>43879.827256944445</v>
      </c>
      <c r="B12204" t="str">
        <f>HYPERLINK("https://twitter.com/ArkaNe08","@ArkaNe08")</f>
        <v>@ArkaNe08</v>
      </c>
      <c r="C12204" t="s">
        <v>6408</v>
      </c>
      <c r="D12204">
        <v>1</v>
      </c>
      <c r="E12204">
        <v>0</v>
      </c>
      <c r="F12204">
        <v>480</v>
      </c>
    </row>
    <row r="12205" spans="1:6" ht="12.75">
      <c r="A12205" s="2">
        <v>43879.827256944445</v>
      </c>
      <c r="B12205" t="str">
        <f>HYPERLINK("https://twitter.com/chatimers","@chatimers")</f>
        <v>@chatimers</v>
      </c>
      <c r="C12205" t="s">
        <v>6032</v>
      </c>
      <c r="D12205">
        <v>745</v>
      </c>
      <c r="E12205">
        <v>0</v>
      </c>
      <c r="F12205">
        <v>608</v>
      </c>
    </row>
    <row r="12206" spans="1:6" ht="12.75">
      <c r="A12206" s="2">
        <v>43879.827106481476</v>
      </c>
      <c r="B12206" t="str">
        <f>HYPERLINK("https://twitter.com/DhimasAM","@DhimasAM")</f>
        <v>@DhimasAM</v>
      </c>
      <c r="C12206" t="s">
        <v>2930</v>
      </c>
      <c r="D12206">
        <v>36</v>
      </c>
      <c r="E12206">
        <v>0</v>
      </c>
      <c r="F12206">
        <v>462</v>
      </c>
    </row>
    <row r="12207" spans="1:6" ht="12.75">
      <c r="A12207" s="2">
        <v>43879.826967592591</v>
      </c>
      <c r="B12207" t="str">
        <f>HYPERLINK("https://twitter.com/Paklek_286Army","@Paklek_286Army")</f>
        <v>@Paklek_286Army</v>
      </c>
      <c r="C12207" t="s">
        <v>5702</v>
      </c>
      <c r="D12207">
        <v>126</v>
      </c>
      <c r="E12207">
        <v>0</v>
      </c>
      <c r="F12207">
        <v>662</v>
      </c>
    </row>
    <row r="12208" spans="1:6" ht="12.75">
      <c r="A12208" s="2">
        <v>43879.826886574076</v>
      </c>
      <c r="B12208" t="str">
        <f>HYPERLINK("https://twitter.com/rifqi_rich99","@rifqi_rich99")</f>
        <v>@rifqi_rich99</v>
      </c>
      <c r="C12208" t="s">
        <v>6052</v>
      </c>
      <c r="D12208">
        <v>69</v>
      </c>
      <c r="E12208">
        <v>0</v>
      </c>
      <c r="F12208">
        <v>158</v>
      </c>
    </row>
    <row r="12209" spans="1:6" ht="12.75">
      <c r="A12209" s="2">
        <v>43879.826666666668</v>
      </c>
      <c r="B12209" t="str">
        <f>HYPERLINK("https://twitter.com/jypguise","@jypguise")</f>
        <v>@jypguise</v>
      </c>
      <c r="C12209" t="s">
        <v>6032</v>
      </c>
      <c r="D12209">
        <v>745</v>
      </c>
      <c r="E12209">
        <v>0</v>
      </c>
      <c r="F12209">
        <v>976</v>
      </c>
    </row>
    <row r="12210" spans="1:6" ht="12.75">
      <c r="A12210" s="2">
        <v>43879.826203703706</v>
      </c>
      <c r="B12210" t="str">
        <f>HYPERLINK("https://twitter.com/Bagas36406270","@Bagas36406270")</f>
        <v>@Bagas36406270</v>
      </c>
      <c r="C12210" t="s">
        <v>5702</v>
      </c>
      <c r="D12210">
        <v>126</v>
      </c>
      <c r="E12210">
        <v>0</v>
      </c>
      <c r="F12210">
        <v>1191</v>
      </c>
    </row>
    <row r="12211" spans="1:6" ht="12.75">
      <c r="A12211" s="2">
        <v>43879.825636574074</v>
      </c>
      <c r="B12211" t="str">
        <f>HYPERLINK("https://twitter.com/HYJLR","@HYJLR")</f>
        <v>@HYJLR</v>
      </c>
      <c r="C12211" t="s">
        <v>2930</v>
      </c>
      <c r="D12211">
        <v>36</v>
      </c>
      <c r="E12211">
        <v>0</v>
      </c>
      <c r="F12211">
        <v>208</v>
      </c>
    </row>
    <row r="12212" spans="1:6" ht="12.75">
      <c r="A12212" s="2">
        <v>43879.825509259259</v>
      </c>
      <c r="B12212" t="str">
        <f>HYPERLINK("https://twitter.com/KARISAxJUNGKOOK","@KARISAxJUNGKOOK")</f>
        <v>@KARISAxJUNGKOOK</v>
      </c>
      <c r="C12212" t="s">
        <v>5702</v>
      </c>
      <c r="D12212">
        <v>126</v>
      </c>
      <c r="E12212">
        <v>0</v>
      </c>
      <c r="F12212">
        <v>127</v>
      </c>
    </row>
    <row r="12213" spans="1:6" ht="12.75">
      <c r="A12213" s="2">
        <v>43879.825497685189</v>
      </c>
      <c r="B12213" t="str">
        <f>HYPERLINK("https://twitter.com/mugiya_wardhany","@mugiya_wardhany")</f>
        <v>@mugiya_wardhany</v>
      </c>
      <c r="C12213" t="s">
        <v>2930</v>
      </c>
      <c r="D12213">
        <v>36</v>
      </c>
      <c r="E12213">
        <v>0</v>
      </c>
      <c r="F12213">
        <v>1644</v>
      </c>
    </row>
    <row r="12214" spans="1:6" ht="12.75">
      <c r="A12214" s="2">
        <v>43879.825138888889</v>
      </c>
      <c r="B12214" t="str">
        <f>HYPERLINK("https://twitter.com/Datuakpanduko2","@Datuakpanduko2")</f>
        <v>@Datuakpanduko2</v>
      </c>
      <c r="C12214" t="s">
        <v>6409</v>
      </c>
      <c r="D12214">
        <v>0</v>
      </c>
      <c r="E12214">
        <v>0</v>
      </c>
      <c r="F12214">
        <v>1607</v>
      </c>
    </row>
    <row r="12215" spans="1:6" ht="12.75">
      <c r="A12215" s="2">
        <v>43879.825104166666</v>
      </c>
      <c r="B12215" t="str">
        <f>HYPERLINK("https://twitter.com/Adhe94834060","@Adhe94834060")</f>
        <v>@Adhe94834060</v>
      </c>
      <c r="C12215" t="s">
        <v>5702</v>
      </c>
      <c r="D12215">
        <v>126</v>
      </c>
      <c r="E12215">
        <v>0</v>
      </c>
      <c r="F12215">
        <v>37</v>
      </c>
    </row>
    <row r="12216" spans="1:6" ht="12.75">
      <c r="A12216" s="2">
        <v>43879.82508101852</v>
      </c>
      <c r="B12216" t="str">
        <f>HYPERLINK("https://twitter.com/khoirulin","@khoirulin")</f>
        <v>@khoirulin</v>
      </c>
      <c r="C12216" t="s">
        <v>6052</v>
      </c>
      <c r="D12216">
        <v>69</v>
      </c>
      <c r="E12216">
        <v>0</v>
      </c>
      <c r="F12216">
        <v>21</v>
      </c>
    </row>
    <row r="12217" spans="1:6" ht="12.75">
      <c r="A12217" s="2">
        <v>43879.825023148151</v>
      </c>
      <c r="B12217" t="str">
        <f>HYPERLINK("https://twitter.com/nidyafadhilah1","@nidyafadhilah1")</f>
        <v>@nidyafadhilah1</v>
      </c>
      <c r="C12217" t="s">
        <v>6032</v>
      </c>
      <c r="D12217">
        <v>745</v>
      </c>
      <c r="E12217">
        <v>0</v>
      </c>
      <c r="F12217">
        <v>90</v>
      </c>
    </row>
    <row r="12218" spans="1:6" ht="12.75">
      <c r="A12218" s="2">
        <v>43879.824710648143</v>
      </c>
      <c r="B12218" t="str">
        <f>HYPERLINK("https://twitter.com/BackSayur","@BackSayur")</f>
        <v>@BackSayur</v>
      </c>
      <c r="C12218" t="s">
        <v>2930</v>
      </c>
      <c r="D12218">
        <v>36</v>
      </c>
      <c r="E12218">
        <v>0</v>
      </c>
      <c r="F12218">
        <v>984</v>
      </c>
    </row>
    <row r="12219" spans="1:6" ht="12.75">
      <c r="A12219" s="2">
        <v>43879.824664351851</v>
      </c>
      <c r="B12219" t="str">
        <f>HYPERLINK("https://twitter.com/opik_hid01","@opik_hid01")</f>
        <v>@opik_hid01</v>
      </c>
      <c r="C12219" t="s">
        <v>6410</v>
      </c>
      <c r="D12219">
        <v>0</v>
      </c>
      <c r="E12219">
        <v>0</v>
      </c>
      <c r="F12219">
        <v>62</v>
      </c>
    </row>
    <row r="12220" spans="1:6" ht="12.75">
      <c r="A12220" s="2">
        <v>43879.824432870373</v>
      </c>
      <c r="B12220" t="str">
        <f>HYPERLINK("https://twitter.com/aahh_____","@aahh_____")</f>
        <v>@aahh_____</v>
      </c>
      <c r="C12220" t="s">
        <v>6411</v>
      </c>
      <c r="D12220">
        <v>0</v>
      </c>
      <c r="E12220">
        <v>0</v>
      </c>
      <c r="F12220">
        <v>4549</v>
      </c>
    </row>
    <row r="12221" spans="1:6" ht="12.75">
      <c r="A12221" s="2">
        <v>43879.824155092589</v>
      </c>
      <c r="B12221" t="str">
        <f>HYPERLINK("https://twitter.com/Tommy_Martanto","@Tommy_Martanto")</f>
        <v>@Tommy_Martanto</v>
      </c>
      <c r="C12221" t="s">
        <v>1407</v>
      </c>
      <c r="D12221">
        <v>317</v>
      </c>
      <c r="E12221">
        <v>0</v>
      </c>
      <c r="F12221">
        <v>40</v>
      </c>
    </row>
    <row r="12222" spans="1:6" ht="12.75">
      <c r="A12222" s="2">
        <v>43879.824143518519</v>
      </c>
      <c r="B12222" t="str">
        <f>HYPERLINK("https://twitter.com/g4suk4_pinokio","@g4suk4_pinokio")</f>
        <v>@g4suk4_pinokio</v>
      </c>
      <c r="C12222" t="s">
        <v>6412</v>
      </c>
      <c r="D12222">
        <v>0</v>
      </c>
      <c r="E12222">
        <v>1</v>
      </c>
      <c r="F12222">
        <v>1897</v>
      </c>
    </row>
    <row r="12223" spans="1:6" ht="12.75">
      <c r="A12223" s="2">
        <v>43879.823993055557</v>
      </c>
      <c r="B12223" t="str">
        <f>HYPERLINK("https://twitter.com/indischka","@indischka")</f>
        <v>@indischka</v>
      </c>
      <c r="C12223" t="s">
        <v>6032</v>
      </c>
      <c r="D12223">
        <v>745</v>
      </c>
      <c r="E12223">
        <v>0</v>
      </c>
      <c r="F12223">
        <v>101</v>
      </c>
    </row>
    <row r="12224" spans="1:6" ht="12.75">
      <c r="A12224" s="2">
        <v>43879.823877314819</v>
      </c>
      <c r="B12224" t="str">
        <f>HYPERLINK("https://twitter.com/nabungdosa","@nabungdosa")</f>
        <v>@nabungdosa</v>
      </c>
      <c r="C12224" t="s">
        <v>6032</v>
      </c>
      <c r="D12224">
        <v>745</v>
      </c>
      <c r="E12224">
        <v>0</v>
      </c>
      <c r="F12224">
        <v>437</v>
      </c>
    </row>
    <row r="12225" spans="1:6" ht="12.75">
      <c r="A12225" s="2">
        <v>43879.823680555557</v>
      </c>
      <c r="B12225" t="str">
        <f>HYPERLINK("https://twitter.com/SangKelana_70","@SangKelana_70")</f>
        <v>@SangKelana_70</v>
      </c>
      <c r="C12225" t="s">
        <v>6413</v>
      </c>
      <c r="D12225">
        <v>0</v>
      </c>
      <c r="E12225">
        <v>0</v>
      </c>
      <c r="F12225">
        <v>2996</v>
      </c>
    </row>
    <row r="12226" spans="1:6" ht="12.75">
      <c r="A12226" s="2">
        <v>43879.823657407411</v>
      </c>
      <c r="B12226" t="str">
        <f>HYPERLINK("https://twitter.com/funoo","@funoo")</f>
        <v>@funoo</v>
      </c>
      <c r="C12226" t="s">
        <v>1407</v>
      </c>
      <c r="D12226">
        <v>317</v>
      </c>
      <c r="E12226">
        <v>0</v>
      </c>
      <c r="F12226">
        <v>990</v>
      </c>
    </row>
    <row r="12227" spans="1:6" ht="12.75">
      <c r="A12227" s="2">
        <v>43879.823611111111</v>
      </c>
      <c r="B12227" t="str">
        <f>HYPERLINK("https://twitter.com/ranggavega","@ranggavega")</f>
        <v>@ranggavega</v>
      </c>
      <c r="C12227" t="s">
        <v>5982</v>
      </c>
      <c r="D12227">
        <v>50</v>
      </c>
      <c r="E12227">
        <v>0</v>
      </c>
      <c r="F12227">
        <v>1436</v>
      </c>
    </row>
    <row r="12228" spans="1:6" ht="12.75">
      <c r="A12228" s="2">
        <v>43879.823518518519</v>
      </c>
      <c r="B12228" t="str">
        <f>HYPERLINK("https://twitter.com/muftimuhamad8","@muftimuhamad8")</f>
        <v>@muftimuhamad8</v>
      </c>
      <c r="C12228" t="s">
        <v>6032</v>
      </c>
      <c r="D12228">
        <v>745</v>
      </c>
      <c r="E12228">
        <v>0</v>
      </c>
      <c r="F12228">
        <v>72</v>
      </c>
    </row>
    <row r="12229" spans="1:6" ht="12.75">
      <c r="A12229" s="2">
        <v>43879.823391203703</v>
      </c>
      <c r="B12229" t="str">
        <f>HYPERLINK("https://twitter.com/Reyvanza_","@Reyvanza_")</f>
        <v>@Reyvanza_</v>
      </c>
      <c r="C12229" t="s">
        <v>1407</v>
      </c>
      <c r="D12229">
        <v>317</v>
      </c>
      <c r="E12229">
        <v>0</v>
      </c>
      <c r="F12229">
        <v>90</v>
      </c>
    </row>
    <row r="12230" spans="1:6" ht="12.75">
      <c r="A12230" s="2">
        <v>43879.823333333334</v>
      </c>
      <c r="B12230" t="str">
        <f>HYPERLINK("https://twitter.com/sejak_1988","@sejak_1988")</f>
        <v>@sejak_1988</v>
      </c>
      <c r="C12230" t="s">
        <v>6032</v>
      </c>
      <c r="D12230">
        <v>745</v>
      </c>
      <c r="E12230">
        <v>0</v>
      </c>
      <c r="F12230">
        <v>349</v>
      </c>
    </row>
    <row r="12231" spans="1:6" ht="12.75">
      <c r="A12231" s="2">
        <v>43879.823298611111</v>
      </c>
      <c r="B12231" t="str">
        <f>HYPERLINK("https://twitter.com/SriNeng70160486","@SriNeng70160486")</f>
        <v>@SriNeng70160486</v>
      </c>
      <c r="C12231" t="s">
        <v>5702</v>
      </c>
      <c r="D12231">
        <v>126</v>
      </c>
      <c r="E12231">
        <v>0</v>
      </c>
      <c r="F12231">
        <v>543</v>
      </c>
    </row>
    <row r="12232" spans="1:6" ht="12.75">
      <c r="A12232" s="2">
        <v>43879.823159722218</v>
      </c>
      <c r="B12232" t="str">
        <f>HYPERLINK("https://twitter.com/wellfinetoday","@wellfinetoday")</f>
        <v>@wellfinetoday</v>
      </c>
      <c r="C12232" t="s">
        <v>5644</v>
      </c>
      <c r="D12232">
        <v>268</v>
      </c>
      <c r="E12232">
        <v>0</v>
      </c>
      <c r="F12232">
        <v>1041</v>
      </c>
    </row>
    <row r="12233" spans="1:6" ht="12.75">
      <c r="A12233" s="2">
        <v>43879.82303240741</v>
      </c>
      <c r="B12233" t="str">
        <f>HYPERLINK("https://twitter.com/SmarterHealthID","@SmarterHealthID")</f>
        <v>@SmarterHealthID</v>
      </c>
      <c r="C12233" t="s">
        <v>6414</v>
      </c>
      <c r="D12233">
        <v>0</v>
      </c>
      <c r="E12233">
        <v>0</v>
      </c>
      <c r="F12233">
        <v>18</v>
      </c>
    </row>
    <row r="12234" spans="1:6" ht="12.75">
      <c r="A12234" s="2">
        <v>43879.823020833333</v>
      </c>
      <c r="B12234" t="str">
        <f>HYPERLINK("https://twitter.com/sherlisoktviani","@sherlisoktviani")</f>
        <v>@sherlisoktviani</v>
      </c>
      <c r="C12234" t="s">
        <v>1407</v>
      </c>
      <c r="D12234">
        <v>317</v>
      </c>
      <c r="E12234">
        <v>0</v>
      </c>
      <c r="F12234">
        <v>1068</v>
      </c>
    </row>
    <row r="12235" spans="1:6" ht="12.75">
      <c r="A12235" s="2">
        <v>43879.822974537034</v>
      </c>
      <c r="B12235" t="str">
        <f>HYPERLINK("https://twitter.com/MunandarLinda","@MunandarLinda")</f>
        <v>@MunandarLinda</v>
      </c>
      <c r="C12235" t="s">
        <v>5644</v>
      </c>
      <c r="D12235">
        <v>268</v>
      </c>
      <c r="E12235">
        <v>0</v>
      </c>
      <c r="F12235">
        <v>448</v>
      </c>
    </row>
    <row r="12236" spans="1:6" ht="12.75">
      <c r="A12236" s="2">
        <v>43879.822731481487</v>
      </c>
      <c r="B12236" t="str">
        <f>HYPERLINK("https://twitter.com/iqbalbalf","@iqbalbalf")</f>
        <v>@iqbalbalf</v>
      </c>
      <c r="C12236" t="s">
        <v>1407</v>
      </c>
      <c r="D12236">
        <v>317</v>
      </c>
      <c r="E12236">
        <v>0</v>
      </c>
      <c r="F12236">
        <v>261</v>
      </c>
    </row>
    <row r="12237" spans="1:6" ht="12.75">
      <c r="A12237" s="2">
        <v>43879.822604166664</v>
      </c>
      <c r="B12237" t="str">
        <f>HYPERLINK("https://twitter.com/bonihargens_","@bonihargens_")</f>
        <v>@bonihargens_</v>
      </c>
      <c r="C12237" t="s">
        <v>6415</v>
      </c>
      <c r="D12237">
        <v>1</v>
      </c>
      <c r="E12237">
        <v>0</v>
      </c>
      <c r="F12237">
        <v>18971</v>
      </c>
    </row>
    <row r="12238" spans="1:6" ht="12.75">
      <c r="A12238" s="2">
        <v>43879.822581018518</v>
      </c>
      <c r="B12238" t="str">
        <f>HYPERLINK("https://twitter.com/Indra_Cebz","@Indra_Cebz")</f>
        <v>@Indra_Cebz</v>
      </c>
      <c r="C12238" t="s">
        <v>6032</v>
      </c>
      <c r="D12238">
        <v>745</v>
      </c>
      <c r="E12238">
        <v>0</v>
      </c>
      <c r="F12238">
        <v>371</v>
      </c>
    </row>
    <row r="12239" spans="1:6" ht="12.75">
      <c r="A12239" s="2">
        <v>43879.822523148148</v>
      </c>
      <c r="B12239" t="str">
        <f>HYPERLINK("https://twitter.com/neonapacih","@neonapacih")</f>
        <v>@neonapacih</v>
      </c>
      <c r="C12239" t="s">
        <v>5702</v>
      </c>
      <c r="D12239">
        <v>126</v>
      </c>
      <c r="E12239">
        <v>0</v>
      </c>
      <c r="F12239">
        <v>135</v>
      </c>
    </row>
    <row r="12240" spans="1:6" ht="12.75">
      <c r="A12240" s="2">
        <v>43879.822442129633</v>
      </c>
      <c r="B12240" t="str">
        <f>HYPERLINK("https://twitter.com/Antolala4","@Antolala4")</f>
        <v>@Antolala4</v>
      </c>
      <c r="C12240" t="s">
        <v>5702</v>
      </c>
      <c r="D12240">
        <v>126</v>
      </c>
      <c r="E12240">
        <v>0</v>
      </c>
      <c r="F12240">
        <v>3517</v>
      </c>
    </row>
    <row r="12241" spans="1:6" ht="12.75">
      <c r="A12241" s="2">
        <v>43879.822222222225</v>
      </c>
      <c r="B12241" t="str">
        <f>HYPERLINK("https://twitter.com/rzkrinda","@rzkrinda")</f>
        <v>@rzkrinda</v>
      </c>
      <c r="C12241" t="s">
        <v>1407</v>
      </c>
      <c r="D12241">
        <v>317</v>
      </c>
      <c r="E12241">
        <v>0</v>
      </c>
      <c r="F12241">
        <v>380</v>
      </c>
    </row>
    <row r="12242" spans="1:6" ht="12.75">
      <c r="A12242" s="2">
        <v>43879.822141203702</v>
      </c>
      <c r="B12242" t="str">
        <f>HYPERLINK("https://twitter.com/Arianto10427511","@Arianto10427511")</f>
        <v>@Arianto10427511</v>
      </c>
      <c r="C12242" t="s">
        <v>2930</v>
      </c>
      <c r="D12242">
        <v>36</v>
      </c>
      <c r="E12242">
        <v>0</v>
      </c>
      <c r="F12242">
        <v>428</v>
      </c>
    </row>
    <row r="12243" spans="1:6" ht="12.75">
      <c r="A12243" s="2">
        <v>43879.822106481486</v>
      </c>
      <c r="B12243" t="str">
        <f>HYPERLINK("https://twitter.com/jasjusrasasalak","@jasjusrasasalak")</f>
        <v>@jasjusrasasalak</v>
      </c>
      <c r="C12243" t="s">
        <v>1407</v>
      </c>
      <c r="D12243">
        <v>317</v>
      </c>
      <c r="E12243">
        <v>0</v>
      </c>
      <c r="F12243">
        <v>519</v>
      </c>
    </row>
    <row r="12244" spans="1:6" ht="12.75">
      <c r="A12244" s="2">
        <v>43879.822071759263</v>
      </c>
      <c r="B12244" t="str">
        <f>HYPERLINK("https://twitter.com/enoandamari","@enoandamari")</f>
        <v>@enoandamari</v>
      </c>
      <c r="C12244" t="s">
        <v>1407</v>
      </c>
      <c r="D12244">
        <v>317</v>
      </c>
      <c r="E12244">
        <v>0</v>
      </c>
      <c r="F12244">
        <v>354</v>
      </c>
    </row>
    <row r="12245" spans="1:6" ht="12.75">
      <c r="A12245" s="2">
        <v>43879.821979166663</v>
      </c>
      <c r="B12245" t="str">
        <f>HYPERLINK("https://twitter.com/reizafarah","@reizafarah")</f>
        <v>@reizafarah</v>
      </c>
      <c r="C12245" t="s">
        <v>6212</v>
      </c>
      <c r="D12245">
        <v>21</v>
      </c>
      <c r="E12245">
        <v>0</v>
      </c>
      <c r="F12245">
        <v>109</v>
      </c>
    </row>
    <row r="12246" spans="1:6" ht="12.75">
      <c r="A12246" s="2">
        <v>43879.821828703702</v>
      </c>
      <c r="B12246" t="str">
        <f>HYPERLINK("https://twitter.com/opelopple","@opelopple")</f>
        <v>@opelopple</v>
      </c>
      <c r="C12246" t="s">
        <v>6032</v>
      </c>
      <c r="D12246">
        <v>745</v>
      </c>
      <c r="E12246">
        <v>0</v>
      </c>
      <c r="F12246">
        <v>464</v>
      </c>
    </row>
    <row r="12247" spans="1:6" ht="12.75">
      <c r="A12247" s="2">
        <v>43879.82130787037</v>
      </c>
      <c r="B12247" t="str">
        <f>HYPERLINK("https://twitter.com/Risdiyan","@Risdiyan")</f>
        <v>@Risdiyan</v>
      </c>
      <c r="C12247" t="s">
        <v>6416</v>
      </c>
      <c r="D12247">
        <v>0</v>
      </c>
      <c r="E12247">
        <v>0</v>
      </c>
      <c r="F12247">
        <v>162</v>
      </c>
    </row>
    <row r="12248" spans="1:6" ht="12.75">
      <c r="A12248" s="2">
        <v>43879.820844907408</v>
      </c>
      <c r="B12248" t="str">
        <f>HYPERLINK("https://twitter.com/yusufimronn","@yusufimronn")</f>
        <v>@yusufimronn</v>
      </c>
      <c r="C12248" t="s">
        <v>1407</v>
      </c>
      <c r="D12248">
        <v>317</v>
      </c>
      <c r="E12248">
        <v>0</v>
      </c>
      <c r="F12248">
        <v>66</v>
      </c>
    </row>
    <row r="12249" spans="1:6" ht="12.75">
      <c r="A12249" s="2">
        <v>43879.820381944446</v>
      </c>
      <c r="B12249" t="str">
        <f>HYPERLINK("https://twitter.com/Agusta_515","@Agusta_515")</f>
        <v>@Agusta_515</v>
      </c>
      <c r="C12249" t="s">
        <v>6417</v>
      </c>
      <c r="D12249">
        <v>0</v>
      </c>
      <c r="E12249">
        <v>1</v>
      </c>
      <c r="F12249">
        <v>602</v>
      </c>
    </row>
    <row r="12250" spans="1:6" ht="12.75">
      <c r="A12250" s="2">
        <v>43879.820069444446</v>
      </c>
      <c r="B12250" t="str">
        <f>HYPERLINK("https://twitter.com/ahmnorman","@ahmnorman")</f>
        <v>@ahmnorman</v>
      </c>
      <c r="C12250" t="s">
        <v>6079</v>
      </c>
      <c r="D12250">
        <v>4</v>
      </c>
      <c r="E12250">
        <v>0</v>
      </c>
      <c r="F12250">
        <v>897</v>
      </c>
    </row>
    <row r="12251" spans="1:6" ht="12.75">
      <c r="A12251" s="2">
        <v>43879.819826388892</v>
      </c>
      <c r="B12251" t="str">
        <f>HYPERLINK("https://twitter.com/ayusumedi","@ayusumedi")</f>
        <v>@ayusumedi</v>
      </c>
      <c r="C12251" t="s">
        <v>6307</v>
      </c>
      <c r="D12251">
        <v>15</v>
      </c>
      <c r="E12251">
        <v>0</v>
      </c>
      <c r="F12251">
        <v>2013</v>
      </c>
    </row>
    <row r="12252" spans="1:6" ht="12.75">
      <c r="A12252" s="2">
        <v>43879.819814814815</v>
      </c>
      <c r="B12252" t="str">
        <f>HYPERLINK("https://twitter.com/95jooo","@95jooo")</f>
        <v>@95jooo</v>
      </c>
      <c r="C12252" t="s">
        <v>1407</v>
      </c>
      <c r="D12252">
        <v>317</v>
      </c>
      <c r="E12252">
        <v>0</v>
      </c>
      <c r="F12252">
        <v>183</v>
      </c>
    </row>
    <row r="12253" spans="1:6" ht="12.75">
      <c r="A12253" s="2">
        <v>43879.819768518515</v>
      </c>
      <c r="B12253" t="str">
        <f>HYPERLINK("https://twitter.com/SaryAp27","@SaryAp27")</f>
        <v>@SaryAp27</v>
      </c>
      <c r="C12253" t="s">
        <v>5702</v>
      </c>
      <c r="D12253">
        <v>126</v>
      </c>
      <c r="E12253">
        <v>0</v>
      </c>
      <c r="F12253">
        <v>162</v>
      </c>
    </row>
    <row r="12254" spans="1:6" ht="12.75">
      <c r="A12254" s="2">
        <v>43879.819652777776</v>
      </c>
      <c r="B12254" t="str">
        <f>HYPERLINK("https://twitter.com/soksiibuk","@soksiibuk")</f>
        <v>@soksiibuk</v>
      </c>
      <c r="C12254" t="s">
        <v>5702</v>
      </c>
      <c r="D12254">
        <v>126</v>
      </c>
      <c r="E12254">
        <v>0</v>
      </c>
      <c r="F12254">
        <v>309</v>
      </c>
    </row>
    <row r="12255" spans="1:6" ht="12.75">
      <c r="A12255" s="2">
        <v>43879.819421296299</v>
      </c>
      <c r="B12255" t="str">
        <f>HYPERLINK("https://twitter.com/RobertBerto2","@RobertBerto2")</f>
        <v>@RobertBerto2</v>
      </c>
      <c r="C12255" t="s">
        <v>5642</v>
      </c>
      <c r="D12255">
        <v>237</v>
      </c>
      <c r="E12255">
        <v>0</v>
      </c>
      <c r="F12255">
        <v>35</v>
      </c>
    </row>
    <row r="12256" spans="1:6" ht="12.75">
      <c r="A12256" s="2">
        <v>43879.819374999999</v>
      </c>
      <c r="B12256" t="str">
        <f>HYPERLINK("https://twitter.com/AdityaRahayu76","@AdityaRahayu76")</f>
        <v>@AdityaRahayu76</v>
      </c>
      <c r="C12256" t="s">
        <v>6418</v>
      </c>
      <c r="D12256">
        <v>0</v>
      </c>
      <c r="E12256">
        <v>0</v>
      </c>
      <c r="F12256">
        <v>631</v>
      </c>
    </row>
    <row r="12257" spans="1:6" ht="12.75">
      <c r="A12257" s="2">
        <v>43879.751458333332</v>
      </c>
      <c r="B12257" t="str">
        <f>HYPERLINK("https://twitter.com/nana040461","@nana040461")</f>
        <v>@nana040461</v>
      </c>
      <c r="C12257" t="s">
        <v>6317</v>
      </c>
      <c r="D12257">
        <v>10</v>
      </c>
      <c r="E12257">
        <v>0</v>
      </c>
      <c r="F12257">
        <v>1832</v>
      </c>
    </row>
    <row r="12258" spans="1:6" ht="12.75">
      <c r="A12258" s="2">
        <v>43879.751446759255</v>
      </c>
      <c r="B12258" t="str">
        <f>HYPERLINK("https://twitter.com/makanlaron","@makanlaron")</f>
        <v>@makanlaron</v>
      </c>
      <c r="C12258" t="s">
        <v>6419</v>
      </c>
      <c r="D12258">
        <v>5</v>
      </c>
      <c r="E12258">
        <v>0</v>
      </c>
      <c r="F12258">
        <v>215</v>
      </c>
    </row>
    <row r="12259" spans="1:6" ht="12.75">
      <c r="A12259" s="2">
        <v>43879.751215277778</v>
      </c>
      <c r="B12259" t="str">
        <f>HYPERLINK("https://twitter.com/dhirapuspitac","@dhirapuspitac")</f>
        <v>@dhirapuspitac</v>
      </c>
      <c r="C12259" t="s">
        <v>6420</v>
      </c>
      <c r="D12259">
        <v>0</v>
      </c>
      <c r="E12259">
        <v>0</v>
      </c>
      <c r="F12259">
        <v>40</v>
      </c>
    </row>
    <row r="12260" spans="1:6" ht="12.75">
      <c r="A12260" s="2">
        <v>43879.751192129625</v>
      </c>
      <c r="B12260" t="str">
        <f>HYPERLINK("https://twitter.com/AB_Pamela","@AB_Pamela")</f>
        <v>@AB_Pamela</v>
      </c>
      <c r="C12260" t="s">
        <v>1920</v>
      </c>
      <c r="D12260">
        <v>136</v>
      </c>
      <c r="E12260">
        <v>0</v>
      </c>
      <c r="F12260">
        <v>307</v>
      </c>
    </row>
    <row r="12261" spans="1:6" ht="12.75">
      <c r="A12261" s="2">
        <v>43879.751076388886</v>
      </c>
      <c r="B12261" t="str">
        <f>HYPERLINK("https://twitter.com/RakyatB72107070","@RakyatB72107070")</f>
        <v>@RakyatB72107070</v>
      </c>
      <c r="C12261" t="s">
        <v>5702</v>
      </c>
      <c r="D12261">
        <v>74</v>
      </c>
      <c r="E12261">
        <v>0</v>
      </c>
      <c r="F12261">
        <v>342</v>
      </c>
    </row>
    <row r="12262" spans="1:6" ht="12.75">
      <c r="A12262" s="2">
        <v>43879.75105324074</v>
      </c>
      <c r="B12262" t="str">
        <f>HYPERLINK("https://twitter.com/billymlydi","@billymlydi")</f>
        <v>@billymlydi</v>
      </c>
      <c r="C12262" t="s">
        <v>6032</v>
      </c>
      <c r="D12262">
        <v>631</v>
      </c>
      <c r="E12262">
        <v>0</v>
      </c>
      <c r="F12262">
        <v>580</v>
      </c>
    </row>
    <row r="12263" spans="1:6" ht="12.75">
      <c r="A12263" s="2">
        <v>43879.75037037037</v>
      </c>
      <c r="B12263" t="str">
        <f>HYPERLINK("https://twitter.com/Galayudhaisme","@Galayudhaisme")</f>
        <v>@Galayudhaisme</v>
      </c>
      <c r="C12263" t="s">
        <v>6421</v>
      </c>
      <c r="D12263">
        <v>0</v>
      </c>
      <c r="E12263">
        <v>0</v>
      </c>
      <c r="F12263">
        <v>63</v>
      </c>
    </row>
    <row r="12264" spans="1:6" ht="12.75">
      <c r="A12264" s="2">
        <v>43879.750219907408</v>
      </c>
      <c r="B12264" t="str">
        <f>HYPERLINK("https://twitter.com/alfinsarisky_","@alfinsarisky_")</f>
        <v>@alfinsarisky_</v>
      </c>
      <c r="C12264" t="s">
        <v>6032</v>
      </c>
      <c r="D12264">
        <v>631</v>
      </c>
      <c r="E12264">
        <v>0</v>
      </c>
      <c r="F12264">
        <v>136</v>
      </c>
    </row>
    <row r="12265" spans="1:6" ht="12.75">
      <c r="A12265" s="2">
        <v>43879.750046296293</v>
      </c>
      <c r="B12265" t="str">
        <f>HYPERLINK("https://twitter.com/elichapr","@elichapr")</f>
        <v>@elichapr</v>
      </c>
      <c r="C12265" t="s">
        <v>6207</v>
      </c>
      <c r="D12265">
        <v>40</v>
      </c>
      <c r="E12265">
        <v>0</v>
      </c>
      <c r="F12265">
        <v>222</v>
      </c>
    </row>
    <row r="12266" spans="1:6" ht="12.75">
      <c r="A12266" s="2">
        <v>43879.749745370369</v>
      </c>
      <c r="B12266" t="str">
        <f>HYPERLINK("https://twitter.com/H3ndricX","@H3ndricX")</f>
        <v>@H3ndricX</v>
      </c>
      <c r="C12266" t="s">
        <v>2155</v>
      </c>
      <c r="D12266">
        <v>482</v>
      </c>
      <c r="E12266">
        <v>0</v>
      </c>
      <c r="F12266">
        <v>206</v>
      </c>
    </row>
    <row r="12267" spans="1:6" ht="12.75">
      <c r="A12267" s="2">
        <v>43879.74962962963</v>
      </c>
      <c r="B12267" t="str">
        <f>HYPERLINK("https://twitter.com/pisceshiney","@pisceshiney")</f>
        <v>@pisceshiney</v>
      </c>
      <c r="C12267" t="s">
        <v>5702</v>
      </c>
      <c r="D12267">
        <v>74</v>
      </c>
      <c r="E12267">
        <v>0</v>
      </c>
      <c r="F12267">
        <v>253</v>
      </c>
    </row>
    <row r="12268" spans="1:6" ht="12.75">
      <c r="A12268" s="2">
        <v>43879.749594907407</v>
      </c>
      <c r="B12268" t="str">
        <f>HYPERLINK("https://twitter.com/ghiffarisulhan","@ghiffarisulhan")</f>
        <v>@ghiffarisulhan</v>
      </c>
      <c r="C12268" t="s">
        <v>6032</v>
      </c>
      <c r="D12268">
        <v>631</v>
      </c>
      <c r="E12268">
        <v>0</v>
      </c>
      <c r="F12268">
        <v>423</v>
      </c>
    </row>
    <row r="12269" spans="1:6" ht="12.75">
      <c r="A12269" s="2">
        <v>43879.749513888892</v>
      </c>
      <c r="B12269" t="str">
        <f>HYPERLINK("https://twitter.com/hartanto_mas","@hartanto_mas")</f>
        <v>@hartanto_mas</v>
      </c>
      <c r="C12269" t="s">
        <v>6317</v>
      </c>
      <c r="D12269">
        <v>10</v>
      </c>
      <c r="E12269">
        <v>0</v>
      </c>
      <c r="F12269">
        <v>1053</v>
      </c>
    </row>
    <row r="12270" spans="1:6" ht="12.75">
      <c r="A12270" s="2">
        <v>43879.749444444446</v>
      </c>
      <c r="B12270" t="str">
        <f>HYPERLINK("https://twitter.com/oryjone","@oryjone")</f>
        <v>@oryjone</v>
      </c>
      <c r="C12270" t="s">
        <v>6422</v>
      </c>
      <c r="D12270">
        <v>0</v>
      </c>
      <c r="E12270">
        <v>0</v>
      </c>
      <c r="F12270">
        <v>257</v>
      </c>
    </row>
    <row r="12271" spans="1:6" ht="12.75">
      <c r="A12271" s="2">
        <v>43879.748726851853</v>
      </c>
      <c r="B12271" t="str">
        <f>HYPERLINK("https://twitter.com/Bisniscom","@Bisniscom")</f>
        <v>@Bisniscom</v>
      </c>
      <c r="C12271" t="s">
        <v>6423</v>
      </c>
      <c r="D12271">
        <v>0</v>
      </c>
      <c r="E12271">
        <v>0</v>
      </c>
      <c r="F12271">
        <v>992894</v>
      </c>
    </row>
    <row r="12272" spans="1:6" ht="12.75">
      <c r="A12272" s="2">
        <v>43879.748657407406</v>
      </c>
      <c r="B12272" t="str">
        <f>HYPERLINK("https://twitter.com/luthfizenius","@luthfizenius")</f>
        <v>@luthfizenius</v>
      </c>
      <c r="C12272" t="s">
        <v>6424</v>
      </c>
      <c r="D12272">
        <v>0</v>
      </c>
      <c r="E12272">
        <v>0</v>
      </c>
      <c r="F12272">
        <v>161</v>
      </c>
    </row>
    <row r="12273" spans="1:6" ht="12.75">
      <c r="A12273" s="2">
        <v>43879.74863425926</v>
      </c>
      <c r="B12273" t="str">
        <f>HYPERLINK("https://twitter.com/febrico10","@febrico10")</f>
        <v>@febrico10</v>
      </c>
      <c r="C12273" t="s">
        <v>1407</v>
      </c>
      <c r="D12273">
        <v>152</v>
      </c>
      <c r="E12273">
        <v>0</v>
      </c>
      <c r="F12273">
        <v>221</v>
      </c>
    </row>
    <row r="12274" spans="1:6" ht="12.75">
      <c r="A12274" s="2">
        <v>43879.748622685191</v>
      </c>
      <c r="B12274" t="str">
        <f>HYPERLINK("https://twitter.com/liseey_","@liseey_")</f>
        <v>@liseey_</v>
      </c>
      <c r="C12274" t="s">
        <v>6425</v>
      </c>
      <c r="D12274">
        <v>1</v>
      </c>
      <c r="E12274">
        <v>0</v>
      </c>
      <c r="F12274">
        <v>556</v>
      </c>
    </row>
    <row r="12275" spans="1:6" ht="12.75">
      <c r="A12275" s="2">
        <v>43879.748553240745</v>
      </c>
      <c r="B12275" t="str">
        <f>HYPERLINK("https://twitter.com/alsfrrr","@alsfrrr")</f>
        <v>@alsfrrr</v>
      </c>
      <c r="C12275" t="s">
        <v>5644</v>
      </c>
      <c r="D12275">
        <v>242</v>
      </c>
      <c r="E12275">
        <v>0</v>
      </c>
      <c r="F12275">
        <v>548</v>
      </c>
    </row>
    <row r="12276" spans="1:6" ht="12.75">
      <c r="A12276" s="2">
        <v>43879.748449074075</v>
      </c>
      <c r="B12276" t="str">
        <f>HYPERLINK("https://twitter.com/fajdroel","@fajdroel")</f>
        <v>@fajdroel</v>
      </c>
      <c r="C12276" t="s">
        <v>6426</v>
      </c>
      <c r="D12276">
        <v>0</v>
      </c>
      <c r="E12276">
        <v>0</v>
      </c>
      <c r="F12276">
        <v>1167</v>
      </c>
    </row>
    <row r="12277" spans="1:6" ht="12.75">
      <c r="A12277" s="2">
        <v>43879.748437499999</v>
      </c>
      <c r="B12277" t="str">
        <f>HYPERLINK("https://twitter.com/katarinelia","@katarinelia")</f>
        <v>@katarinelia</v>
      </c>
      <c r="C12277" t="s">
        <v>1407</v>
      </c>
      <c r="D12277">
        <v>152</v>
      </c>
      <c r="E12277">
        <v>0</v>
      </c>
      <c r="F12277">
        <v>842</v>
      </c>
    </row>
    <row r="12278" spans="1:6" ht="12.75">
      <c r="A12278" s="2">
        <v>43879.748206018514</v>
      </c>
      <c r="B12278" t="str">
        <f>HYPERLINK("https://twitter.com/MariaAndromeda","@MariaAndromeda")</f>
        <v>@MariaAndromeda</v>
      </c>
      <c r="C12278" t="s">
        <v>6032</v>
      </c>
      <c r="D12278">
        <v>631</v>
      </c>
      <c r="E12278">
        <v>0</v>
      </c>
      <c r="F12278">
        <v>2607</v>
      </c>
    </row>
    <row r="12279" spans="1:6" ht="12.75">
      <c r="A12279" s="2">
        <v>43879.748159722221</v>
      </c>
      <c r="B12279" t="str">
        <f>HYPERLINK("https://twitter.com/Novirana1","@Novirana1")</f>
        <v>@Novirana1</v>
      </c>
      <c r="C12279" t="s">
        <v>5702</v>
      </c>
      <c r="D12279">
        <v>74</v>
      </c>
      <c r="E12279">
        <v>0</v>
      </c>
      <c r="F12279">
        <v>528</v>
      </c>
    </row>
    <row r="12280" spans="1:6" ht="12.75">
      <c r="A12280" s="2">
        <v>43879.748124999998</v>
      </c>
      <c r="B12280" t="str">
        <f>HYPERLINK("https://twitter.com/Seraphicwater","@Seraphicwater")</f>
        <v>@Seraphicwater</v>
      </c>
      <c r="C12280" t="s">
        <v>1407</v>
      </c>
      <c r="D12280">
        <v>152</v>
      </c>
      <c r="E12280">
        <v>0</v>
      </c>
      <c r="F12280">
        <v>276</v>
      </c>
    </row>
    <row r="12281" spans="1:6" ht="12.75">
      <c r="A12281" s="2">
        <v>43879.748101851852</v>
      </c>
      <c r="B12281" t="str">
        <f>HYPERLINK("https://twitter.com/snotcoping","@snotcoping")</f>
        <v>@snotcoping</v>
      </c>
      <c r="C12281" t="s">
        <v>6010</v>
      </c>
      <c r="D12281">
        <v>25</v>
      </c>
      <c r="E12281">
        <v>0</v>
      </c>
      <c r="F12281">
        <v>20</v>
      </c>
    </row>
    <row r="12282" spans="1:6" ht="12.75">
      <c r="A12282" s="2">
        <v>43879.74800925926</v>
      </c>
      <c r="B12282" t="str">
        <f>HYPERLINK("https://twitter.com/ferdians59","@ferdians59")</f>
        <v>@ferdians59</v>
      </c>
      <c r="C12282" t="s">
        <v>6427</v>
      </c>
      <c r="D12282">
        <v>0</v>
      </c>
      <c r="E12282">
        <v>0</v>
      </c>
      <c r="F12282">
        <v>109</v>
      </c>
    </row>
    <row r="12283" spans="1:6" ht="12.75">
      <c r="A12283" s="2">
        <v>43879.747916666667</v>
      </c>
      <c r="B12283" t="str">
        <f>HYPERLINK("https://twitter.com/abugosokh","@abugosokh")</f>
        <v>@abugosokh</v>
      </c>
      <c r="C12283" t="s">
        <v>6428</v>
      </c>
      <c r="D12283">
        <v>1</v>
      </c>
      <c r="E12283">
        <v>0</v>
      </c>
      <c r="F12283">
        <v>5846</v>
      </c>
    </row>
    <row r="12284" spans="1:6" ht="12.75">
      <c r="A12284" s="2">
        <v>43879.74763888889</v>
      </c>
      <c r="B12284" t="str">
        <f>HYPERLINK("https://twitter.com/CeciliaSuwanda1","@CeciliaSuwanda1")</f>
        <v>@CeciliaSuwanda1</v>
      </c>
      <c r="C12284" t="s">
        <v>2155</v>
      </c>
      <c r="D12284">
        <v>482</v>
      </c>
      <c r="E12284">
        <v>0</v>
      </c>
      <c r="F12284">
        <v>4878</v>
      </c>
    </row>
    <row r="12285" spans="1:6" ht="12.75">
      <c r="A12285" s="2">
        <v>43879.747569444444</v>
      </c>
      <c r="B12285" t="str">
        <f>HYPERLINK("https://twitter.com/LuphKira","@LuphKira")</f>
        <v>@LuphKira</v>
      </c>
      <c r="C12285" t="s">
        <v>1407</v>
      </c>
      <c r="D12285">
        <v>152</v>
      </c>
      <c r="E12285">
        <v>0</v>
      </c>
      <c r="F12285">
        <v>310</v>
      </c>
    </row>
    <row r="12286" spans="1:6" ht="12.75">
      <c r="A12286" s="2">
        <v>43879.747476851851</v>
      </c>
      <c r="B12286" t="str">
        <f>HYPERLINK("https://twitter.com/khrlxnm","@khrlxnm")</f>
        <v>@khrlxnm</v>
      </c>
      <c r="C12286" t="s">
        <v>6032</v>
      </c>
      <c r="D12286">
        <v>631</v>
      </c>
      <c r="E12286">
        <v>0</v>
      </c>
      <c r="F12286">
        <v>1304</v>
      </c>
    </row>
    <row r="12287" spans="1:6" ht="12.75">
      <c r="A12287" s="2">
        <v>43879.747372685189</v>
      </c>
      <c r="B12287" t="str">
        <f>HYPERLINK("https://twitter.com/saidmuhidin16","@saidmuhidin16")</f>
        <v>@saidmuhidin16</v>
      </c>
      <c r="C12287" t="s">
        <v>6263</v>
      </c>
      <c r="D12287">
        <v>2</v>
      </c>
      <c r="E12287">
        <v>0</v>
      </c>
      <c r="F12287">
        <v>4</v>
      </c>
    </row>
    <row r="12288" spans="1:6" ht="12.75">
      <c r="A12288" s="2">
        <v>43879.74726851852</v>
      </c>
      <c r="B12288" t="str">
        <f>HYPERLINK("https://twitter.com/urgalaxies","@urgalaxies")</f>
        <v>@urgalaxies</v>
      </c>
      <c r="C12288" t="s">
        <v>1920</v>
      </c>
      <c r="D12288">
        <v>136</v>
      </c>
      <c r="E12288">
        <v>0</v>
      </c>
      <c r="F12288">
        <v>715</v>
      </c>
    </row>
    <row r="12289" spans="1:6" ht="12.75">
      <c r="A12289" s="2">
        <v>43879.747256944444</v>
      </c>
      <c r="B12289" t="str">
        <f>HYPERLINK("https://twitter.com/khardew","@khardew")</f>
        <v>@khardew</v>
      </c>
      <c r="C12289" t="s">
        <v>5644</v>
      </c>
      <c r="D12289">
        <v>242</v>
      </c>
      <c r="E12289">
        <v>0</v>
      </c>
      <c r="F12289">
        <v>724</v>
      </c>
    </row>
    <row r="12290" spans="1:6" ht="12.75">
      <c r="A12290" s="2">
        <v>43879.747141203705</v>
      </c>
      <c r="B12290" t="str">
        <f>HYPERLINK("https://twitter.com/WiratamaJody","@WiratamaJody")</f>
        <v>@WiratamaJody</v>
      </c>
      <c r="C12290" t="s">
        <v>5644</v>
      </c>
      <c r="D12290">
        <v>242</v>
      </c>
      <c r="E12290">
        <v>0</v>
      </c>
      <c r="F12290">
        <v>700</v>
      </c>
    </row>
    <row r="12291" spans="1:6" ht="12.75">
      <c r="A12291" s="2">
        <v>43879.747083333335</v>
      </c>
      <c r="B12291" t="str">
        <f>HYPERLINK("https://twitter.com/pdipbandingan","@pdipbandingan")</f>
        <v>@pdipbandingan</v>
      </c>
      <c r="C12291" t="s">
        <v>6429</v>
      </c>
      <c r="D12291">
        <v>0</v>
      </c>
      <c r="E12291">
        <v>0</v>
      </c>
      <c r="F12291">
        <v>1511</v>
      </c>
    </row>
    <row r="12292" spans="1:6" ht="12.75">
      <c r="A12292" s="2">
        <v>43879.746886574074</v>
      </c>
      <c r="B12292" t="str">
        <f>HYPERLINK("https://twitter.com/devitaoedijono","@devitaoedijono")</f>
        <v>@devitaoedijono</v>
      </c>
      <c r="C12292" t="s">
        <v>1407</v>
      </c>
      <c r="D12292">
        <v>152</v>
      </c>
      <c r="E12292">
        <v>0</v>
      </c>
      <c r="F12292">
        <v>68</v>
      </c>
    </row>
    <row r="12293" spans="1:6" ht="12.75">
      <c r="A12293" s="2">
        <v>43879.746539351851</v>
      </c>
      <c r="B12293" t="str">
        <f>HYPERLINK("https://twitter.com/luckyunicornx","@luckyunicornx")</f>
        <v>@luckyunicornx</v>
      </c>
      <c r="C12293" t="s">
        <v>6032</v>
      </c>
      <c r="D12293">
        <v>631</v>
      </c>
      <c r="E12293">
        <v>0</v>
      </c>
      <c r="F12293">
        <v>189</v>
      </c>
    </row>
    <row r="12294" spans="1:6" ht="12.75">
      <c r="A12294" s="2">
        <v>43879.746388888889</v>
      </c>
      <c r="B12294" t="str">
        <f>HYPERLINK("https://twitter.com/Morisaki34","@Morisaki34")</f>
        <v>@Morisaki34</v>
      </c>
      <c r="C12294" t="s">
        <v>6032</v>
      </c>
      <c r="D12294">
        <v>631</v>
      </c>
      <c r="E12294">
        <v>0</v>
      </c>
      <c r="F12294">
        <v>399</v>
      </c>
    </row>
    <row r="12295" spans="1:6" ht="12.75">
      <c r="A12295" s="2">
        <v>43879.746365740742</v>
      </c>
      <c r="B12295" t="str">
        <f>HYPERLINK("https://twitter.com/berasaptebal","@berasaptebal")</f>
        <v>@berasaptebal</v>
      </c>
      <c r="C12295" t="s">
        <v>6430</v>
      </c>
      <c r="D12295">
        <v>0</v>
      </c>
      <c r="E12295">
        <v>0</v>
      </c>
      <c r="F12295">
        <v>131</v>
      </c>
    </row>
    <row r="12296" spans="1:6" ht="12.75">
      <c r="A12296" s="2">
        <v>43879.746319444443</v>
      </c>
      <c r="B12296" t="str">
        <f>HYPERLINK("https://twitter.com/Bellatrix_Lees","@Bellatrix_Lees")</f>
        <v>@Bellatrix_Lees</v>
      </c>
      <c r="C12296" t="s">
        <v>1407</v>
      </c>
      <c r="D12296">
        <v>152</v>
      </c>
      <c r="E12296">
        <v>0</v>
      </c>
      <c r="F12296">
        <v>7076</v>
      </c>
    </row>
    <row r="12297" spans="1:6" ht="12.75">
      <c r="A12297" s="2">
        <v>43879.746168981481</v>
      </c>
      <c r="B12297" t="str">
        <f>HYPERLINK("https://twitter.com/bubblygongju","@bubblygongju")</f>
        <v>@bubblygongju</v>
      </c>
      <c r="C12297" t="s">
        <v>6431</v>
      </c>
      <c r="D12297">
        <v>16</v>
      </c>
      <c r="E12297">
        <v>0</v>
      </c>
      <c r="F12297">
        <v>176</v>
      </c>
    </row>
    <row r="12298" spans="1:6" ht="12.75">
      <c r="A12298" s="2">
        <v>43879.746145833335</v>
      </c>
      <c r="B12298" t="str">
        <f>HYPERLINK("https://twitter.com/niorbleu","@niorbleu")</f>
        <v>@niorbleu</v>
      </c>
      <c r="C12298" t="s">
        <v>1407</v>
      </c>
      <c r="D12298">
        <v>152</v>
      </c>
      <c r="E12298">
        <v>0</v>
      </c>
      <c r="F12298">
        <v>10</v>
      </c>
    </row>
    <row r="12299" spans="1:6" ht="12.75">
      <c r="A12299" s="2">
        <v>43879.746064814812</v>
      </c>
      <c r="B12299" t="str">
        <f>HYPERLINK("https://twitter.com/delaaks_","@delaaks_")</f>
        <v>@delaaks_</v>
      </c>
      <c r="C12299" t="s">
        <v>5644</v>
      </c>
      <c r="D12299">
        <v>242</v>
      </c>
      <c r="E12299">
        <v>0</v>
      </c>
      <c r="F12299">
        <v>735</v>
      </c>
    </row>
    <row r="12300" spans="1:6" ht="12.75">
      <c r="A12300" s="2">
        <v>43879.74596064815</v>
      </c>
      <c r="B12300" t="str">
        <f>HYPERLINK("https://twitter.com/indahnesia30","@indahnesia30")</f>
        <v>@indahnesia30</v>
      </c>
      <c r="C12300" t="s">
        <v>6432</v>
      </c>
      <c r="D12300">
        <v>0</v>
      </c>
      <c r="E12300">
        <v>0</v>
      </c>
      <c r="F12300">
        <v>1088</v>
      </c>
    </row>
    <row r="12301" spans="1:6" ht="12.75">
      <c r="A12301" s="2">
        <v>43879.745821759258</v>
      </c>
      <c r="B12301" t="str">
        <f>HYPERLINK("https://twitter.com/mediaindonesia","@mediaindonesia")</f>
        <v>@mediaindonesia</v>
      </c>
      <c r="C12301" t="s">
        <v>6433</v>
      </c>
      <c r="D12301">
        <v>0</v>
      </c>
      <c r="E12301">
        <v>2</v>
      </c>
      <c r="F12301">
        <v>1416847</v>
      </c>
    </row>
    <row r="12302" spans="1:6" ht="12.75">
      <c r="A12302" s="2">
        <v>43879.745659722219</v>
      </c>
      <c r="B12302" t="str">
        <f>HYPERLINK("https://twitter.com/iyang88","@iyang88")</f>
        <v>@iyang88</v>
      </c>
      <c r="C12302" t="s">
        <v>5702</v>
      </c>
      <c r="D12302">
        <v>74</v>
      </c>
      <c r="E12302">
        <v>0</v>
      </c>
      <c r="F12302">
        <v>632</v>
      </c>
    </row>
    <row r="12303" spans="1:6" ht="12.75">
      <c r="A12303" s="2">
        <v>43879.745509259257</v>
      </c>
      <c r="B12303" t="str">
        <f>HYPERLINK("https://twitter.com/evereeze","@evereeze")</f>
        <v>@evereeze</v>
      </c>
      <c r="C12303" t="s">
        <v>6207</v>
      </c>
      <c r="D12303">
        <v>40</v>
      </c>
      <c r="E12303">
        <v>0</v>
      </c>
      <c r="F12303">
        <v>293</v>
      </c>
    </row>
    <row r="12304" spans="1:6" ht="12.75">
      <c r="A12304" s="2">
        <v>43879.745405092588</v>
      </c>
      <c r="B12304" t="str">
        <f>HYPERLINK("https://twitter.com/d_deehk","@d_deehk")</f>
        <v>@d_deehk</v>
      </c>
      <c r="C12304" t="s">
        <v>6434</v>
      </c>
      <c r="D12304">
        <v>124</v>
      </c>
      <c r="E12304">
        <v>0</v>
      </c>
      <c r="F12304">
        <v>78</v>
      </c>
    </row>
    <row r="12305" spans="1:6" ht="12.75">
      <c r="A12305" s="2">
        <v>43879.745219907403</v>
      </c>
      <c r="B12305" t="str">
        <f>HYPERLINK("https://twitter.com/naufalrna1","@naufalrna1")</f>
        <v>@naufalrna1</v>
      </c>
      <c r="C12305" t="s">
        <v>5702</v>
      </c>
      <c r="D12305">
        <v>74</v>
      </c>
      <c r="E12305">
        <v>0</v>
      </c>
      <c r="F12305">
        <v>8</v>
      </c>
    </row>
    <row r="12306" spans="1:6" ht="12.75">
      <c r="A12306" s="2">
        <v>43879.745057870372</v>
      </c>
      <c r="B12306" t="str">
        <f>HYPERLINK("https://twitter.com/banglintas","@banglintas")</f>
        <v>@banglintas</v>
      </c>
      <c r="C12306" t="s">
        <v>6435</v>
      </c>
      <c r="D12306">
        <v>0</v>
      </c>
      <c r="E12306">
        <v>0</v>
      </c>
      <c r="F12306">
        <v>54</v>
      </c>
    </row>
    <row r="12307" spans="1:6" ht="12.75">
      <c r="A12307" s="2">
        <v>43879.745034722218</v>
      </c>
      <c r="B12307" t="str">
        <f>HYPERLINK("https://twitter.com/_single_parent","@_single_parent")</f>
        <v>@_single_parent</v>
      </c>
      <c r="C12307" t="s">
        <v>6207</v>
      </c>
      <c r="D12307">
        <v>40</v>
      </c>
      <c r="E12307">
        <v>0</v>
      </c>
      <c r="F12307">
        <v>320</v>
      </c>
    </row>
    <row r="12308" spans="1:6" ht="12.75">
      <c r="A12308" s="2">
        <v>43879.744976851856</v>
      </c>
      <c r="B12308" t="str">
        <f>HYPERLINK("https://twitter.com/tribunnews","@tribunnews")</f>
        <v>@tribunnews</v>
      </c>
      <c r="C12308" t="s">
        <v>6436</v>
      </c>
      <c r="D12308">
        <v>0</v>
      </c>
      <c r="E12308">
        <v>0</v>
      </c>
      <c r="F12308">
        <v>876014</v>
      </c>
    </row>
    <row r="12309" spans="1:6" ht="12.75">
      <c r="A12309" s="2">
        <v>43879.744849537034</v>
      </c>
      <c r="B12309" t="str">
        <f>HYPERLINK("https://twitter.com/anjunyoanjun","@anjunyoanjun")</f>
        <v>@anjunyoanjun</v>
      </c>
      <c r="C12309" t="s">
        <v>6437</v>
      </c>
      <c r="D12309">
        <v>0</v>
      </c>
      <c r="E12309">
        <v>1</v>
      </c>
      <c r="F12309">
        <v>2342</v>
      </c>
    </row>
    <row r="12310" spans="1:6" ht="12.75">
      <c r="A12310" s="2">
        <v>43879.744687500002</v>
      </c>
      <c r="B12310" t="str">
        <f>HYPERLINK("https://twitter.com/serendipani","@serendipani")</f>
        <v>@serendipani</v>
      </c>
      <c r="C12310" t="s">
        <v>1920</v>
      </c>
      <c r="D12310">
        <v>136</v>
      </c>
      <c r="E12310">
        <v>0</v>
      </c>
      <c r="F12310">
        <v>491</v>
      </c>
    </row>
    <row r="12311" spans="1:6" ht="12.75">
      <c r="A12311" s="2">
        <v>43879.744571759264</v>
      </c>
      <c r="B12311" t="str">
        <f>HYPERLINK("https://twitter.com/plotwst","@plotwst")</f>
        <v>@plotwst</v>
      </c>
      <c r="C12311" t="s">
        <v>6032</v>
      </c>
      <c r="D12311">
        <v>631</v>
      </c>
      <c r="E12311">
        <v>0</v>
      </c>
      <c r="F12311">
        <v>6046</v>
      </c>
    </row>
    <row r="12312" spans="1:6" ht="12.75">
      <c r="A12312" s="2">
        <v>43879.744502314818</v>
      </c>
      <c r="B12312" t="str">
        <f t="shared" ref="B12312:B12313" si="210">HYPERLINK("https://twitter.com/AryPrasetyo_85","@AryPrasetyo_85")</f>
        <v>@AryPrasetyo_85</v>
      </c>
      <c r="C12312" t="s">
        <v>6438</v>
      </c>
      <c r="D12312">
        <v>5</v>
      </c>
      <c r="E12312">
        <v>0</v>
      </c>
      <c r="F12312">
        <v>5449</v>
      </c>
    </row>
    <row r="12313" spans="1:6" ht="12.75">
      <c r="A12313" s="2">
        <v>43879.744398148148</v>
      </c>
      <c r="B12313" t="str">
        <f t="shared" si="210"/>
        <v>@AryPrasetyo_85</v>
      </c>
      <c r="C12313" t="s">
        <v>6439</v>
      </c>
      <c r="D12313">
        <v>4</v>
      </c>
      <c r="E12313">
        <v>0</v>
      </c>
      <c r="F12313">
        <v>5449</v>
      </c>
    </row>
    <row r="12314" spans="1:6" ht="12.75">
      <c r="A12314" s="2">
        <v>43879.744340277779</v>
      </c>
      <c r="B12314" t="str">
        <f>HYPERLINK("https://twitter.com/yusiwisinar","@yusiwisinar")</f>
        <v>@yusiwisinar</v>
      </c>
      <c r="C12314" t="s">
        <v>5702</v>
      </c>
      <c r="D12314">
        <v>74</v>
      </c>
      <c r="E12314">
        <v>0</v>
      </c>
      <c r="F12314">
        <v>511</v>
      </c>
    </row>
    <row r="12315" spans="1:6" ht="12.75">
      <c r="A12315" s="2">
        <v>43879.744270833333</v>
      </c>
      <c r="B12315" t="str">
        <f t="shared" ref="B12315:B12317" si="211">HYPERLINK("https://twitter.com/AryPrasetyo_85","@AryPrasetyo_85")</f>
        <v>@AryPrasetyo_85</v>
      </c>
      <c r="C12315" t="s">
        <v>6440</v>
      </c>
      <c r="D12315">
        <v>3</v>
      </c>
      <c r="E12315">
        <v>0</v>
      </c>
      <c r="F12315">
        <v>5449</v>
      </c>
    </row>
    <row r="12316" spans="1:6" ht="12.75">
      <c r="A12316" s="2">
        <v>43879.744247685187</v>
      </c>
      <c r="B12316" t="str">
        <f t="shared" si="211"/>
        <v>@AryPrasetyo_85</v>
      </c>
      <c r="C12316" t="s">
        <v>6441</v>
      </c>
      <c r="D12316">
        <v>3</v>
      </c>
      <c r="E12316">
        <v>0</v>
      </c>
      <c r="F12316">
        <v>5449</v>
      </c>
    </row>
    <row r="12317" spans="1:6" ht="12.75">
      <c r="A12317" s="2">
        <v>43879.744212962964</v>
      </c>
      <c r="B12317" t="str">
        <f t="shared" si="211"/>
        <v>@AryPrasetyo_85</v>
      </c>
      <c r="C12317" t="s">
        <v>6442</v>
      </c>
      <c r="D12317">
        <v>3</v>
      </c>
      <c r="E12317">
        <v>0</v>
      </c>
      <c r="F12317">
        <v>5449</v>
      </c>
    </row>
    <row r="12318" spans="1:6" ht="12.75">
      <c r="A12318" s="2">
        <v>43879.743969907402</v>
      </c>
      <c r="B12318" t="str">
        <f>HYPERLINK("https://twitter.com/chalidherdy","@chalidherdy")</f>
        <v>@chalidherdy</v>
      </c>
      <c r="C12318" t="s">
        <v>5644</v>
      </c>
      <c r="D12318">
        <v>242</v>
      </c>
      <c r="E12318">
        <v>0</v>
      </c>
      <c r="F12318">
        <v>424</v>
      </c>
    </row>
    <row r="12319" spans="1:6" ht="12.75">
      <c r="A12319" s="2">
        <v>43879.743946759263</v>
      </c>
      <c r="B12319" t="str">
        <f>HYPERLINK("https://twitter.com/AryPrasetyo_85","@AryPrasetyo_85")</f>
        <v>@AryPrasetyo_85</v>
      </c>
      <c r="C12319" t="s">
        <v>6206</v>
      </c>
      <c r="D12319">
        <v>42</v>
      </c>
      <c r="E12319">
        <v>0</v>
      </c>
      <c r="F12319">
        <v>5449</v>
      </c>
    </row>
    <row r="12320" spans="1:6" ht="12.75">
      <c r="A12320" s="2">
        <v>43879.743854166663</v>
      </c>
      <c r="B12320" t="str">
        <f>HYPERLINK("https://twitter.com/irdatnh","@irdatnh")</f>
        <v>@irdatnh</v>
      </c>
      <c r="C12320" t="s">
        <v>5982</v>
      </c>
      <c r="D12320">
        <v>38</v>
      </c>
      <c r="E12320">
        <v>0</v>
      </c>
      <c r="F12320">
        <v>194</v>
      </c>
    </row>
    <row r="12321" spans="1:6" ht="12.75">
      <c r="A12321" s="2">
        <v>43879.743842592594</v>
      </c>
      <c r="B12321" t="str">
        <f>HYPERLINK("https://twitter.com/EmbungAmat","@EmbungAmat")</f>
        <v>@EmbungAmat</v>
      </c>
      <c r="C12321" t="s">
        <v>6443</v>
      </c>
      <c r="D12321">
        <v>0</v>
      </c>
      <c r="E12321">
        <v>0</v>
      </c>
      <c r="F12321">
        <v>7</v>
      </c>
    </row>
    <row r="12322" spans="1:6" ht="12.75">
      <c r="A12322" s="2">
        <v>43879.743842592594</v>
      </c>
      <c r="B12322" t="str">
        <f>HYPERLINK("https://twitter.com/ritranissardyt","@ritranissardyt")</f>
        <v>@ritranissardyt</v>
      </c>
      <c r="C12322" t="s">
        <v>6032</v>
      </c>
      <c r="D12322">
        <v>631</v>
      </c>
      <c r="E12322">
        <v>0</v>
      </c>
      <c r="F12322">
        <v>337</v>
      </c>
    </row>
    <row r="12323" spans="1:6" ht="12.75">
      <c r="A12323" s="2">
        <v>43879.743831018517</v>
      </c>
      <c r="B12323" t="str">
        <f>HYPERLINK("https://twitter.com/afrizalasli","@afrizalasli")</f>
        <v>@afrizalasli</v>
      </c>
      <c r="C12323" t="s">
        <v>1920</v>
      </c>
      <c r="D12323">
        <v>136</v>
      </c>
      <c r="E12323">
        <v>0</v>
      </c>
      <c r="F12323">
        <v>183</v>
      </c>
    </row>
    <row r="12324" spans="1:6" ht="12.75">
      <c r="A12324" s="2">
        <v>43879.743657407409</v>
      </c>
      <c r="B12324" t="str">
        <f>HYPERLINK("https://twitter.com/irdatnh","@irdatnh")</f>
        <v>@irdatnh</v>
      </c>
      <c r="C12324" t="s">
        <v>6052</v>
      </c>
      <c r="D12324">
        <v>65</v>
      </c>
      <c r="E12324">
        <v>0</v>
      </c>
      <c r="F12324">
        <v>194</v>
      </c>
    </row>
    <row r="12325" spans="1:6" ht="12.75">
      <c r="A12325" s="2">
        <v>43879.743460648147</v>
      </c>
      <c r="B12325" t="str">
        <f>HYPERLINK("https://twitter.com/Derri_dayen","@Derri_dayen")</f>
        <v>@Derri_dayen</v>
      </c>
      <c r="C12325" t="s">
        <v>6307</v>
      </c>
      <c r="D12325">
        <v>12</v>
      </c>
      <c r="E12325">
        <v>0</v>
      </c>
      <c r="F12325">
        <v>665</v>
      </c>
    </row>
    <row r="12326" spans="1:6" ht="12.75">
      <c r="A12326" s="2">
        <v>43879.743437500001</v>
      </c>
      <c r="B12326" t="str">
        <f>HYPERLINK("https://twitter.com/textroverto","@textroverto")</f>
        <v>@textroverto</v>
      </c>
      <c r="C12326" t="s">
        <v>5982</v>
      </c>
      <c r="D12326">
        <v>38</v>
      </c>
      <c r="E12326">
        <v>0</v>
      </c>
      <c r="F12326">
        <v>61</v>
      </c>
    </row>
    <row r="12327" spans="1:6" ht="12.75">
      <c r="A12327" s="2">
        <v>43879.743414351848</v>
      </c>
      <c r="B12327" t="str">
        <f>HYPERLINK("https://twitter.com/Gilarisme","@Gilarisme")</f>
        <v>@Gilarisme</v>
      </c>
      <c r="C12327" t="s">
        <v>6444</v>
      </c>
      <c r="D12327">
        <v>0</v>
      </c>
      <c r="E12327">
        <v>0</v>
      </c>
      <c r="F12327">
        <v>647</v>
      </c>
    </row>
    <row r="12328" spans="1:6" ht="12.75">
      <c r="A12328" s="2">
        <v>43879.743368055555</v>
      </c>
      <c r="B12328" t="str">
        <f>HYPERLINK("https://twitter.com/pumpkinpuddin9","@pumpkinpuddin9")</f>
        <v>@pumpkinpuddin9</v>
      </c>
      <c r="C12328" t="s">
        <v>1407</v>
      </c>
      <c r="D12328">
        <v>152</v>
      </c>
      <c r="E12328">
        <v>0</v>
      </c>
      <c r="F12328">
        <v>79</v>
      </c>
    </row>
    <row r="12329" spans="1:6" ht="12.75">
      <c r="A12329" s="2">
        <v>43879.743333333332</v>
      </c>
      <c r="B12329" t="str">
        <f>HYPERLINK("https://twitter.com/vdjuw","@vdjuw")</f>
        <v>@vdjuw</v>
      </c>
      <c r="C12329" t="s">
        <v>6032</v>
      </c>
      <c r="D12329">
        <v>631</v>
      </c>
      <c r="E12329">
        <v>0</v>
      </c>
      <c r="F12329">
        <v>655</v>
      </c>
    </row>
    <row r="12330" spans="1:6" ht="12.75">
      <c r="A12330" s="2">
        <v>43879.743321759262</v>
      </c>
      <c r="B12330" t="str">
        <f>HYPERLINK("https://twitter.com/endoe21","@endoe21")</f>
        <v>@endoe21</v>
      </c>
      <c r="C12330" t="s">
        <v>2155</v>
      </c>
      <c r="D12330">
        <v>482</v>
      </c>
      <c r="E12330">
        <v>0</v>
      </c>
      <c r="F12330">
        <v>2017</v>
      </c>
    </row>
    <row r="12331" spans="1:6" ht="12.75">
      <c r="A12331" s="2">
        <v>43879.743078703701</v>
      </c>
      <c r="B12331" t="str">
        <f>HYPERLINK("https://twitter.com/rmol_id","@rmol_id")</f>
        <v>@rmol_id</v>
      </c>
      <c r="C12331" t="s">
        <v>6445</v>
      </c>
      <c r="D12331">
        <v>1</v>
      </c>
      <c r="E12331">
        <v>4</v>
      </c>
      <c r="F12331">
        <v>162769</v>
      </c>
    </row>
    <row r="12332" spans="1:6" ht="12.75">
      <c r="A12332" s="2">
        <v>43879.742962962962</v>
      </c>
      <c r="B12332" t="str">
        <f>HYPERLINK("https://twitter.com/TweetSyarif","@TweetSyarif")</f>
        <v>@TweetSyarif</v>
      </c>
      <c r="C12332" t="s">
        <v>2155</v>
      </c>
      <c r="D12332">
        <v>482</v>
      </c>
      <c r="E12332">
        <v>0</v>
      </c>
      <c r="F12332">
        <v>3637</v>
      </c>
    </row>
    <row r="12333" spans="1:6" ht="12.75">
      <c r="A12333" s="2">
        <v>43879.74282407407</v>
      </c>
      <c r="B12333" t="str">
        <f>HYPERLINK("https://twitter.com/bubububos","@bubububos")</f>
        <v>@bubububos</v>
      </c>
      <c r="C12333" t="s">
        <v>6032</v>
      </c>
      <c r="D12333">
        <v>631</v>
      </c>
      <c r="E12333">
        <v>0</v>
      </c>
      <c r="F12333">
        <v>124</v>
      </c>
    </row>
    <row r="12334" spans="1:6" ht="12.75">
      <c r="A12334" s="2">
        <v>43879.742743055554</v>
      </c>
      <c r="B12334" t="str">
        <f>HYPERLINK("https://twitter.com/Macan4sia","@Macan4sia")</f>
        <v>@Macan4sia</v>
      </c>
      <c r="C12334" t="s">
        <v>6446</v>
      </c>
      <c r="D12334">
        <v>0</v>
      </c>
      <c r="E12334">
        <v>0</v>
      </c>
      <c r="F12334">
        <v>184</v>
      </c>
    </row>
    <row r="12335" spans="1:6" ht="12.75">
      <c r="A12335" s="2">
        <v>43879.7425</v>
      </c>
      <c r="B12335" t="str">
        <f>HYPERLINK("https://twitter.com/R_ishon","@R_ishon")</f>
        <v>@R_ishon</v>
      </c>
      <c r="C12335" t="s">
        <v>6032</v>
      </c>
      <c r="D12335">
        <v>631</v>
      </c>
      <c r="E12335">
        <v>0</v>
      </c>
      <c r="F12335">
        <v>524</v>
      </c>
    </row>
    <row r="12336" spans="1:6" ht="12.75">
      <c r="A12336" s="2">
        <v>43879.742407407408</v>
      </c>
      <c r="B12336" t="str">
        <f>HYPERLINK("https://twitter.com/Maznga_jmikel","@Maznga_jmikel")</f>
        <v>@Maznga_jmikel</v>
      </c>
      <c r="C12336" t="s">
        <v>6151</v>
      </c>
      <c r="D12336">
        <v>14</v>
      </c>
      <c r="E12336">
        <v>0</v>
      </c>
      <c r="F12336">
        <v>548</v>
      </c>
    </row>
    <row r="12337" spans="1:6" ht="12.75">
      <c r="A12337" s="2">
        <v>43879.742303240739</v>
      </c>
      <c r="B12337" t="str">
        <f>HYPERLINK("https://twitter.com/tribunnews","@tribunnews")</f>
        <v>@tribunnews</v>
      </c>
      <c r="C12337" t="s">
        <v>6447</v>
      </c>
      <c r="D12337">
        <v>0</v>
      </c>
      <c r="E12337">
        <v>1</v>
      </c>
      <c r="F12337">
        <v>876014</v>
      </c>
    </row>
    <row r="12338" spans="1:6" ht="12.75">
      <c r="A12338" s="2">
        <v>43879.742164351846</v>
      </c>
      <c r="B12338" t="str">
        <f>HYPERLINK("https://twitter.com/evereeze","@evereeze")</f>
        <v>@evereeze</v>
      </c>
      <c r="C12338" t="s">
        <v>5702</v>
      </c>
      <c r="D12338">
        <v>74</v>
      </c>
      <c r="E12338">
        <v>0</v>
      </c>
      <c r="F12338">
        <v>293</v>
      </c>
    </row>
    <row r="12339" spans="1:6" ht="12.75">
      <c r="A12339" s="2">
        <v>43879.742152777777</v>
      </c>
      <c r="B12339" t="str">
        <f>HYPERLINK("https://twitter.com/AmstrongBiring","@AmstrongBiring")</f>
        <v>@AmstrongBiring</v>
      </c>
      <c r="C12339" t="s">
        <v>3398</v>
      </c>
      <c r="D12339">
        <v>98</v>
      </c>
      <c r="E12339">
        <v>0</v>
      </c>
      <c r="F12339">
        <v>1960</v>
      </c>
    </row>
    <row r="12340" spans="1:6" ht="12.75">
      <c r="A12340" s="2">
        <v>43879.741990740746</v>
      </c>
      <c r="B12340" t="str">
        <f>HYPERLINK("https://twitter.com/AryPrasetyo_85","@AryPrasetyo_85")</f>
        <v>@AryPrasetyo_85</v>
      </c>
      <c r="C12340" t="s">
        <v>6448</v>
      </c>
      <c r="D12340">
        <v>3</v>
      </c>
      <c r="E12340">
        <v>0</v>
      </c>
      <c r="F12340">
        <v>5449</v>
      </c>
    </row>
    <row r="12341" spans="1:6" ht="12.75">
      <c r="A12341" s="2">
        <v>43879.741689814815</v>
      </c>
      <c r="B12341" t="str">
        <f>HYPERLINK("https://twitter.com/XugarDedi","@XugarDedi")</f>
        <v>@XugarDedi</v>
      </c>
      <c r="C12341" t="s">
        <v>6449</v>
      </c>
      <c r="D12341">
        <v>0</v>
      </c>
      <c r="E12341">
        <v>0</v>
      </c>
      <c r="F12341">
        <v>10</v>
      </c>
    </row>
    <row r="12342" spans="1:6" ht="12.75">
      <c r="A12342" s="2">
        <v>43879.741655092592</v>
      </c>
      <c r="B12342" t="str">
        <f>HYPERLINK("https://twitter.com/idakus_dhae","@idakus_dhae")</f>
        <v>@idakus_dhae</v>
      </c>
      <c r="C12342" t="s">
        <v>6099</v>
      </c>
      <c r="D12342">
        <v>19</v>
      </c>
      <c r="E12342">
        <v>0</v>
      </c>
      <c r="F12342">
        <v>425</v>
      </c>
    </row>
    <row r="12343" spans="1:6" ht="12.75">
      <c r="A12343" s="2">
        <v>43879.741493055553</v>
      </c>
      <c r="B12343" t="str">
        <f>HYPERLINK("https://twitter.com/textroverto","@textroverto")</f>
        <v>@textroverto</v>
      </c>
      <c r="C12343" t="s">
        <v>1920</v>
      </c>
      <c r="D12343">
        <v>136</v>
      </c>
      <c r="E12343">
        <v>0</v>
      </c>
      <c r="F12343">
        <v>61</v>
      </c>
    </row>
    <row r="12344" spans="1:6" ht="12.75">
      <c r="A12344" s="2">
        <v>43879.741423611107</v>
      </c>
      <c r="B12344" t="str">
        <f>HYPERLINK("https://twitter.com/rachirfan","@rachirfan")</f>
        <v>@rachirfan</v>
      </c>
      <c r="C12344" t="s">
        <v>1407</v>
      </c>
      <c r="D12344">
        <v>152</v>
      </c>
      <c r="E12344">
        <v>0</v>
      </c>
      <c r="F12344">
        <v>170</v>
      </c>
    </row>
    <row r="12345" spans="1:6" ht="12.75">
      <c r="A12345" s="2">
        <v>43879.741342592592</v>
      </c>
      <c r="B12345" t="str">
        <f>HYPERLINK("https://twitter.com/DjamanMuliadi","@DjamanMuliadi")</f>
        <v>@DjamanMuliadi</v>
      </c>
      <c r="C12345" t="s">
        <v>6207</v>
      </c>
      <c r="D12345">
        <v>40</v>
      </c>
      <c r="E12345">
        <v>0</v>
      </c>
      <c r="F12345">
        <v>323</v>
      </c>
    </row>
    <row r="12346" spans="1:6" ht="12.75">
      <c r="A12346" s="2">
        <v>43879.741273148145</v>
      </c>
      <c r="B12346" t="str">
        <f>HYPERLINK("https://twitter.com/arigathanksx","@arigathanksx")</f>
        <v>@arigathanksx</v>
      </c>
      <c r="C12346" t="s">
        <v>1920</v>
      </c>
      <c r="D12346">
        <v>136</v>
      </c>
      <c r="E12346">
        <v>0</v>
      </c>
      <c r="F12346">
        <v>339</v>
      </c>
    </row>
    <row r="12347" spans="1:6" ht="12.75">
      <c r="A12347" s="2">
        <v>43879.74118055556</v>
      </c>
      <c r="B12347" t="str">
        <f>HYPERLINK("https://twitter.com/markleenct127","@markleenct127")</f>
        <v>@markleenct127</v>
      </c>
      <c r="C12347" t="s">
        <v>6450</v>
      </c>
      <c r="D12347">
        <v>0</v>
      </c>
      <c r="E12347">
        <v>0</v>
      </c>
      <c r="F12347">
        <v>693</v>
      </c>
    </row>
    <row r="12348" spans="1:6" ht="12.75">
      <c r="A12348" s="2">
        <v>43879.741099537037</v>
      </c>
      <c r="B12348" t="str">
        <f>HYPERLINK("https://twitter.com/buruhmigran","@buruhmigran")</f>
        <v>@buruhmigran</v>
      </c>
      <c r="C12348" t="s">
        <v>6407</v>
      </c>
      <c r="D12348">
        <v>0</v>
      </c>
      <c r="E12348">
        <v>0</v>
      </c>
      <c r="F12348">
        <v>171</v>
      </c>
    </row>
    <row r="12349" spans="1:6" ht="12.75">
      <c r="A12349" s="2">
        <v>43879.741041666668</v>
      </c>
      <c r="B12349" t="str">
        <f>HYPERLINK("https://twitter.com/xxyyuki","@xxyyuki")</f>
        <v>@xxyyuki</v>
      </c>
      <c r="C12349" t="s">
        <v>6451</v>
      </c>
      <c r="D12349">
        <v>0</v>
      </c>
      <c r="E12349">
        <v>0</v>
      </c>
      <c r="F12349">
        <v>47</v>
      </c>
    </row>
    <row r="12350" spans="1:6" ht="12.75">
      <c r="A12350" s="2">
        <v>43879.740972222222</v>
      </c>
      <c r="B12350" t="str">
        <f>HYPERLINK("https://twitter.com/sarimeylinda","@sarimeylinda")</f>
        <v>@sarimeylinda</v>
      </c>
      <c r="C12350" t="s">
        <v>1920</v>
      </c>
      <c r="D12350">
        <v>136</v>
      </c>
      <c r="E12350">
        <v>0</v>
      </c>
      <c r="F12350">
        <v>204</v>
      </c>
    </row>
    <row r="12351" spans="1:6" ht="12.75">
      <c r="A12351" s="2">
        <v>43879.740717592591</v>
      </c>
      <c r="B12351" t="str">
        <f>HYPERLINK("https://twitter.com/yeeoppooo__","@yeeoppooo__")</f>
        <v>@yeeoppooo__</v>
      </c>
      <c r="C12351" t="s">
        <v>5644</v>
      </c>
      <c r="D12351">
        <v>242</v>
      </c>
      <c r="E12351">
        <v>0</v>
      </c>
      <c r="F12351">
        <v>127</v>
      </c>
    </row>
    <row r="12352" spans="1:6" ht="12.75">
      <c r="A12352" s="2">
        <v>43879.740590277783</v>
      </c>
      <c r="B12352" t="str">
        <f>HYPERLINK("https://twitter.com/FVeekong","@FVeekong")</f>
        <v>@FVeekong</v>
      </c>
      <c r="C12352" t="s">
        <v>6452</v>
      </c>
      <c r="D12352">
        <v>2</v>
      </c>
      <c r="E12352">
        <v>0</v>
      </c>
      <c r="F12352">
        <v>187</v>
      </c>
    </row>
    <row r="12353" spans="1:6" ht="12.75">
      <c r="A12353" s="2">
        <v>43879.740474537037</v>
      </c>
      <c r="B12353" t="str">
        <f>HYPERLINK("https://twitter.com/subisaja","@subisaja")</f>
        <v>@subisaja</v>
      </c>
      <c r="C12353" t="s">
        <v>6453</v>
      </c>
      <c r="D12353">
        <v>1</v>
      </c>
      <c r="E12353">
        <v>0</v>
      </c>
      <c r="F12353">
        <v>764</v>
      </c>
    </row>
    <row r="12354" spans="1:6" ht="12.75">
      <c r="A12354" s="2">
        <v>43879.740451388891</v>
      </c>
      <c r="B12354" t="str">
        <f>HYPERLINK("https://twitter.com/g4suk4_pinokio","@g4suk4_pinokio")</f>
        <v>@g4suk4_pinokio</v>
      </c>
      <c r="C12354" t="s">
        <v>6454</v>
      </c>
      <c r="D12354">
        <v>2</v>
      </c>
      <c r="E12354">
        <v>0</v>
      </c>
      <c r="F12354">
        <v>1897</v>
      </c>
    </row>
    <row r="12355" spans="1:6" ht="12.75">
      <c r="A12355" s="2">
        <v>43879.740289351852</v>
      </c>
      <c r="B12355" t="str">
        <f>HYPERLINK("https://twitter.com/gandabustomi","@gandabustomi")</f>
        <v>@gandabustomi</v>
      </c>
      <c r="C12355" t="s">
        <v>6431</v>
      </c>
      <c r="D12355">
        <v>16</v>
      </c>
      <c r="E12355">
        <v>0</v>
      </c>
      <c r="F12355">
        <v>502</v>
      </c>
    </row>
    <row r="12356" spans="1:6" ht="12.75">
      <c r="A12356" s="2">
        <v>43879.740254629629</v>
      </c>
      <c r="B12356" t="str">
        <f>HYPERLINK("https://twitter.com/AEPishere","@AEPishere")</f>
        <v>@AEPishere</v>
      </c>
      <c r="C12356" t="s">
        <v>6452</v>
      </c>
      <c r="D12356">
        <v>2</v>
      </c>
      <c r="E12356">
        <v>0</v>
      </c>
      <c r="F12356">
        <v>3012</v>
      </c>
    </row>
    <row r="12357" spans="1:6" ht="12.75">
      <c r="A12357" s="2">
        <v>43879.709907407407</v>
      </c>
      <c r="B12357" t="str">
        <f>HYPERLINK("https://twitter.com/tr4velcompass","@tr4velcompass")</f>
        <v>@tr4velcompass</v>
      </c>
      <c r="C12357" t="s">
        <v>6455</v>
      </c>
      <c r="D12357">
        <v>0</v>
      </c>
      <c r="E12357">
        <v>0</v>
      </c>
      <c r="F12357">
        <v>551</v>
      </c>
    </row>
    <row r="12358" spans="1:6" ht="12.75">
      <c r="A12358" s="2">
        <v>43879.709837962961</v>
      </c>
      <c r="B12358" t="str">
        <f>HYPERLINK("https://twitter.com/drumwoony","@drumwoony")</f>
        <v>@drumwoony</v>
      </c>
      <c r="C12358" t="s">
        <v>6032</v>
      </c>
      <c r="D12358">
        <v>546</v>
      </c>
      <c r="E12358">
        <v>0</v>
      </c>
      <c r="F12358">
        <v>121</v>
      </c>
    </row>
    <row r="12359" spans="1:6" ht="12.75">
      <c r="A12359" s="2">
        <v>43879.709756944445</v>
      </c>
      <c r="B12359" t="str">
        <f>HYPERLINK("https://twitter.com/kekekapriana","@kekekapriana")</f>
        <v>@kekekapriana</v>
      </c>
      <c r="C12359" t="s">
        <v>6456</v>
      </c>
      <c r="D12359">
        <v>0</v>
      </c>
      <c r="E12359">
        <v>0</v>
      </c>
      <c r="F12359">
        <v>1590</v>
      </c>
    </row>
    <row r="12360" spans="1:6" ht="12.75">
      <c r="A12360" s="2">
        <v>43879.709675925929</v>
      </c>
      <c r="B12360" t="str">
        <f>HYPERLINK("https://twitter.com/blacksshine","@blacksshine")</f>
        <v>@blacksshine</v>
      </c>
      <c r="C12360" t="s">
        <v>6052</v>
      </c>
      <c r="D12360">
        <v>60</v>
      </c>
      <c r="E12360">
        <v>0</v>
      </c>
      <c r="F12360">
        <v>720</v>
      </c>
    </row>
    <row r="12361" spans="1:6" ht="12.75">
      <c r="A12361" s="2">
        <v>43879.709652777776</v>
      </c>
      <c r="B12361" t="str">
        <f>HYPERLINK("https://twitter.com/fatamawata","@fatamawata")</f>
        <v>@fatamawata</v>
      </c>
      <c r="C12361" t="s">
        <v>6032</v>
      </c>
      <c r="D12361">
        <v>546</v>
      </c>
      <c r="E12361">
        <v>0</v>
      </c>
      <c r="F12361">
        <v>417</v>
      </c>
    </row>
    <row r="12362" spans="1:6" ht="12.75">
      <c r="A12362" s="2">
        <v>43879.709594907406</v>
      </c>
      <c r="B12362" t="str">
        <f>HYPERLINK("https://twitter.com/tribunkaltim","@tribunkaltim")</f>
        <v>@tribunkaltim</v>
      </c>
      <c r="C12362" t="s">
        <v>6457</v>
      </c>
      <c r="D12362">
        <v>0</v>
      </c>
      <c r="E12362">
        <v>0</v>
      </c>
      <c r="F12362">
        <v>28678</v>
      </c>
    </row>
    <row r="12363" spans="1:6" ht="12.75">
      <c r="A12363" s="2">
        <v>43879.709594907406</v>
      </c>
      <c r="B12363" t="str">
        <f>HYPERLINK("https://twitter.com/blacksshine","@blacksshine")</f>
        <v>@blacksshine</v>
      </c>
      <c r="C12363" t="s">
        <v>5702</v>
      </c>
      <c r="D12363">
        <v>45</v>
      </c>
      <c r="E12363">
        <v>0</v>
      </c>
      <c r="F12363">
        <v>720</v>
      </c>
    </row>
    <row r="12364" spans="1:6" ht="12.75">
      <c r="A12364" s="2">
        <v>43879.709479166668</v>
      </c>
      <c r="B12364" t="str">
        <f>HYPERLINK("https://twitter.com/Balistta","@Balistta")</f>
        <v>@Balistta</v>
      </c>
      <c r="C12364" t="s">
        <v>6458</v>
      </c>
      <c r="D12364">
        <v>0</v>
      </c>
      <c r="E12364">
        <v>1</v>
      </c>
      <c r="F12364">
        <v>252</v>
      </c>
    </row>
    <row r="12365" spans="1:6" ht="12.75">
      <c r="A12365" s="2">
        <v>43879.709189814814</v>
      </c>
      <c r="B12365" t="str">
        <f>HYPERLINK("https://twitter.com/wifeqi","@wifeqi")</f>
        <v>@wifeqi</v>
      </c>
      <c r="C12365" t="s">
        <v>6459</v>
      </c>
      <c r="D12365">
        <v>1</v>
      </c>
      <c r="E12365">
        <v>0</v>
      </c>
      <c r="F12365">
        <v>237</v>
      </c>
    </row>
    <row r="12366" spans="1:6" ht="12.75">
      <c r="A12366" s="2">
        <v>43879.709108796298</v>
      </c>
      <c r="B12366" t="str">
        <f>HYPERLINK("https://twitter.com/renaykraP","@renaykraP")</f>
        <v>@renaykraP</v>
      </c>
      <c r="C12366" t="s">
        <v>6052</v>
      </c>
      <c r="D12366">
        <v>60</v>
      </c>
      <c r="E12366">
        <v>0</v>
      </c>
      <c r="F12366">
        <v>312</v>
      </c>
    </row>
    <row r="12367" spans="1:6" ht="12.75">
      <c r="A12367" s="2">
        <v>43879.709050925929</v>
      </c>
      <c r="B12367" t="str">
        <f>HYPERLINK("https://twitter.com/BatamPos","@BatamPos")</f>
        <v>@BatamPos</v>
      </c>
      <c r="C12367" t="s">
        <v>6460</v>
      </c>
      <c r="D12367">
        <v>0</v>
      </c>
      <c r="E12367">
        <v>0</v>
      </c>
      <c r="F12367">
        <v>67375</v>
      </c>
    </row>
    <row r="12368" spans="1:6" ht="12.75">
      <c r="A12368" s="2">
        <v>43879.708981481483</v>
      </c>
      <c r="B12368" t="str">
        <f>HYPERLINK("https://twitter.com/Karmiilaa2","@Karmiilaa2")</f>
        <v>@Karmiilaa2</v>
      </c>
      <c r="C12368" t="s">
        <v>6461</v>
      </c>
      <c r="D12368">
        <v>1</v>
      </c>
      <c r="E12368">
        <v>0</v>
      </c>
      <c r="F12368">
        <v>25</v>
      </c>
    </row>
    <row r="12369" spans="1:6" ht="12.75">
      <c r="A12369" s="2">
        <v>43879.708912037036</v>
      </c>
      <c r="B12369" t="str">
        <f>HYPERLINK("https://twitter.com/nisrinaapputri","@nisrinaapputri")</f>
        <v>@nisrinaapputri</v>
      </c>
      <c r="C12369" t="s">
        <v>5644</v>
      </c>
      <c r="D12369">
        <v>218</v>
      </c>
      <c r="E12369">
        <v>0</v>
      </c>
      <c r="F12369">
        <v>275</v>
      </c>
    </row>
    <row r="12370" spans="1:6" ht="12.75">
      <c r="A12370" s="2">
        <v>43879.708831018521</v>
      </c>
      <c r="B12370" t="str">
        <f t="shared" ref="B12370:B12371" si="212">HYPERLINK("https://twitter.com/Oktafianiesp","@Oktafianiesp")</f>
        <v>@Oktafianiesp</v>
      </c>
      <c r="C12370" t="s">
        <v>1920</v>
      </c>
      <c r="D12370">
        <v>104</v>
      </c>
      <c r="E12370">
        <v>0</v>
      </c>
      <c r="F12370">
        <v>738</v>
      </c>
    </row>
    <row r="12371" spans="1:6" ht="12.75">
      <c r="A12371" s="2">
        <v>43879.708703703705</v>
      </c>
      <c r="B12371" t="str">
        <f t="shared" si="212"/>
        <v>@Oktafianiesp</v>
      </c>
      <c r="C12371" t="s">
        <v>5702</v>
      </c>
      <c r="D12371">
        <v>45</v>
      </c>
      <c r="E12371">
        <v>0</v>
      </c>
      <c r="F12371">
        <v>738</v>
      </c>
    </row>
    <row r="12372" spans="1:6" ht="12.75">
      <c r="A12372" s="2">
        <v>43879.708668981482</v>
      </c>
      <c r="B12372" t="str">
        <f>HYPERLINK("https://twitter.com/oak_math_lee_91","@oak_math_lee_91")</f>
        <v>@oak_math_lee_91</v>
      </c>
      <c r="C12372" t="s">
        <v>6462</v>
      </c>
      <c r="D12372">
        <v>0</v>
      </c>
      <c r="E12372">
        <v>0</v>
      </c>
      <c r="F12372">
        <v>100</v>
      </c>
    </row>
    <row r="12373" spans="1:6" ht="12.75">
      <c r="A12373" s="2">
        <v>43879.708506944444</v>
      </c>
      <c r="B12373" t="str">
        <f>HYPERLINK("https://twitter.com/LokadataID","@LokadataID")</f>
        <v>@LokadataID</v>
      </c>
      <c r="C12373" t="s">
        <v>6463</v>
      </c>
      <c r="D12373">
        <v>0</v>
      </c>
      <c r="E12373">
        <v>0</v>
      </c>
      <c r="F12373">
        <v>512760</v>
      </c>
    </row>
    <row r="12374" spans="1:6" ht="12.75">
      <c r="A12374" s="2">
        <v>43879.708414351851</v>
      </c>
      <c r="B12374" t="str">
        <f>HYPERLINK("https://twitter.com/wni_jmsri","@wni_jmsri")</f>
        <v>@wni_jmsri</v>
      </c>
      <c r="C12374" t="s">
        <v>6464</v>
      </c>
      <c r="D12374">
        <v>907</v>
      </c>
      <c r="E12374">
        <v>0</v>
      </c>
      <c r="F12374">
        <v>194</v>
      </c>
    </row>
    <row r="12375" spans="1:6" ht="12.75">
      <c r="A12375" s="2">
        <v>43879.708344907413</v>
      </c>
      <c r="B12375" t="str">
        <f>HYPERLINK("https://twitter.com/jon1_14","@jon1_14")</f>
        <v>@jon1_14</v>
      </c>
      <c r="C12375" t="s">
        <v>6465</v>
      </c>
      <c r="D12375">
        <v>0</v>
      </c>
      <c r="E12375">
        <v>0</v>
      </c>
      <c r="F12375">
        <v>139</v>
      </c>
    </row>
    <row r="12376" spans="1:6" ht="12.75">
      <c r="A12376" s="2">
        <v>43879.708321759259</v>
      </c>
      <c r="B12376" t="str">
        <f>HYPERLINK("https://twitter.com/JajangPakeJ","@JajangPakeJ")</f>
        <v>@JajangPakeJ</v>
      </c>
      <c r="C12376" t="s">
        <v>6466</v>
      </c>
      <c r="D12376">
        <v>1</v>
      </c>
      <c r="E12376">
        <v>0</v>
      </c>
      <c r="F12376">
        <v>46</v>
      </c>
    </row>
    <row r="12377" spans="1:6" ht="12.75">
      <c r="A12377" s="2">
        <v>43879.70826388889</v>
      </c>
      <c r="B12377" t="str">
        <f>HYPERLINK("https://twitter.com/indrianaa121","@indrianaa121")</f>
        <v>@indrianaa121</v>
      </c>
      <c r="C12377" t="s">
        <v>6467</v>
      </c>
      <c r="D12377">
        <v>1</v>
      </c>
      <c r="E12377">
        <v>0</v>
      </c>
      <c r="F12377">
        <v>256</v>
      </c>
    </row>
    <row r="12378" spans="1:6" ht="12.75">
      <c r="A12378" s="2">
        <v>43879.708182870367</v>
      </c>
      <c r="B12378" t="str">
        <f>HYPERLINK("https://twitter.com/indahpaiq","@indahpaiq")</f>
        <v>@indahpaiq</v>
      </c>
      <c r="C12378" t="s">
        <v>6468</v>
      </c>
      <c r="D12378">
        <v>1</v>
      </c>
      <c r="E12378">
        <v>0</v>
      </c>
      <c r="F12378">
        <v>14</v>
      </c>
    </row>
    <row r="12379" spans="1:6" ht="12.75">
      <c r="A12379" s="2">
        <v>43879.708182870367</v>
      </c>
      <c r="B12379" t="str">
        <f>HYPERLINK("https://twitter.com/bica1595","@bica1595")</f>
        <v>@bica1595</v>
      </c>
      <c r="C12379" t="s">
        <v>6469</v>
      </c>
      <c r="D12379">
        <v>1</v>
      </c>
      <c r="E12379">
        <v>0</v>
      </c>
      <c r="F12379">
        <v>216</v>
      </c>
    </row>
    <row r="12380" spans="1:6" ht="12.75">
      <c r="A12380" s="2">
        <v>43879.708113425921</v>
      </c>
      <c r="B12380" t="str">
        <f>HYPERLINK("https://twitter.com/endang_ano","@endang_ano")</f>
        <v>@endang_ano</v>
      </c>
      <c r="C12380" t="s">
        <v>6470</v>
      </c>
      <c r="D12380">
        <v>1</v>
      </c>
      <c r="E12380">
        <v>0</v>
      </c>
      <c r="F12380">
        <v>71</v>
      </c>
    </row>
    <row r="12381" spans="1:6" ht="12.75">
      <c r="A12381" s="2">
        <v>43879.707824074074</v>
      </c>
      <c r="B12381" t="str">
        <f>HYPERLINK("https://twitter.com/mhmdfkrie","@mhmdfkrie")</f>
        <v>@mhmdfkrie</v>
      </c>
      <c r="C12381" t="s">
        <v>6471</v>
      </c>
      <c r="D12381">
        <v>0</v>
      </c>
      <c r="E12381">
        <v>0</v>
      </c>
      <c r="F12381">
        <v>114</v>
      </c>
    </row>
    <row r="12382" spans="1:6" ht="12.75">
      <c r="A12382" s="2">
        <v>43879.707743055551</v>
      </c>
      <c r="B12382" t="str">
        <f>HYPERLINK("https://twitter.com/KompasTV","@KompasTV")</f>
        <v>@KompasTV</v>
      </c>
      <c r="C12382" t="s">
        <v>6472</v>
      </c>
      <c r="D12382">
        <v>1</v>
      </c>
      <c r="E12382">
        <v>2</v>
      </c>
      <c r="F12382">
        <v>2943695</v>
      </c>
    </row>
    <row r="12383" spans="1:6" ht="12.75">
      <c r="A12383" s="2">
        <v>43879.707523148143</v>
      </c>
      <c r="B12383" t="str">
        <f>HYPERLINK("https://twitter.com/yoojungmu","@yoojungmu")</f>
        <v>@yoojungmu</v>
      </c>
      <c r="C12383" t="s">
        <v>6473</v>
      </c>
      <c r="D12383">
        <v>0</v>
      </c>
      <c r="E12383">
        <v>0</v>
      </c>
      <c r="F12383">
        <v>8640</v>
      </c>
    </row>
    <row r="12384" spans="1:6" ht="12.75">
      <c r="A12384" s="2">
        <v>43879.707361111112</v>
      </c>
      <c r="B12384" t="str">
        <f>HYPERLINK("https://twitter.com/anaesterlin","@anaesterlin")</f>
        <v>@anaesterlin</v>
      </c>
      <c r="C12384" t="s">
        <v>6474</v>
      </c>
      <c r="D12384">
        <v>5</v>
      </c>
      <c r="E12384">
        <v>0</v>
      </c>
      <c r="F12384">
        <v>1723</v>
      </c>
    </row>
    <row r="12385" spans="1:6" ht="12.75">
      <c r="A12385" s="2">
        <v>43879.707303240742</v>
      </c>
      <c r="B12385" t="str">
        <f>HYPERLINK("https://twitter.com/blxters","@blxters")</f>
        <v>@blxters</v>
      </c>
      <c r="C12385" t="s">
        <v>1407</v>
      </c>
      <c r="D12385">
        <v>91</v>
      </c>
      <c r="E12385">
        <v>0</v>
      </c>
      <c r="F12385">
        <v>373</v>
      </c>
    </row>
    <row r="12386" spans="1:6" ht="12.75">
      <c r="A12386" s="2">
        <v>43879.707233796296</v>
      </c>
      <c r="B12386" t="str">
        <f>HYPERLINK("https://twitter.com/alsinkqy","@alsinkqy")</f>
        <v>@alsinkqy</v>
      </c>
      <c r="C12386" t="s">
        <v>2079</v>
      </c>
      <c r="D12386">
        <v>11</v>
      </c>
      <c r="E12386">
        <v>0</v>
      </c>
      <c r="F12386">
        <v>59</v>
      </c>
    </row>
    <row r="12387" spans="1:6" ht="12.75">
      <c r="A12387" s="2">
        <v>43879.70722222222</v>
      </c>
      <c r="B12387" t="str">
        <f>HYPERLINK("https://twitter.com/TRANS7","@TRANS7")</f>
        <v>@TRANS7</v>
      </c>
      <c r="C12387" t="s">
        <v>6475</v>
      </c>
      <c r="D12387">
        <v>1</v>
      </c>
      <c r="E12387">
        <v>0</v>
      </c>
      <c r="F12387">
        <v>5570185</v>
      </c>
    </row>
    <row r="12388" spans="1:6" ht="12.75">
      <c r="A12388" s="2">
        <v>43879.707129629634</v>
      </c>
      <c r="B12388" t="str">
        <f>HYPERLINK("https://twitter.com/Ismalyaa","@Ismalyaa")</f>
        <v>@Ismalyaa</v>
      </c>
      <c r="C12388" t="s">
        <v>5982</v>
      </c>
      <c r="D12388">
        <v>26</v>
      </c>
      <c r="E12388">
        <v>0</v>
      </c>
      <c r="F12388">
        <v>359</v>
      </c>
    </row>
    <row r="12389" spans="1:6" ht="12.75">
      <c r="A12389" s="2">
        <v>43879.707129629634</v>
      </c>
      <c r="B12389" t="str">
        <f>HYPERLINK("https://twitter.com/dessyDMP","@dessyDMP")</f>
        <v>@dessyDMP</v>
      </c>
      <c r="C12389" t="s">
        <v>6032</v>
      </c>
      <c r="D12389">
        <v>546</v>
      </c>
      <c r="E12389">
        <v>0</v>
      </c>
      <c r="F12389">
        <v>349</v>
      </c>
    </row>
    <row r="12390" spans="1:6" ht="12.75">
      <c r="A12390" s="2">
        <v>43879.707083333335</v>
      </c>
      <c r="B12390" t="str">
        <f>HYPERLINK("https://twitter.com/Rudiwaluyo11","@Rudiwaluyo11")</f>
        <v>@Rudiwaluyo11</v>
      </c>
      <c r="C12390" t="s">
        <v>6476</v>
      </c>
      <c r="D12390">
        <v>1</v>
      </c>
      <c r="E12390">
        <v>0</v>
      </c>
      <c r="F12390">
        <v>38</v>
      </c>
    </row>
    <row r="12391" spans="1:6" ht="12.75">
      <c r="A12391" s="2">
        <v>43879.706990740742</v>
      </c>
      <c r="B12391" t="str">
        <f>HYPERLINK("https://twitter.com/siduuul","@siduuul")</f>
        <v>@siduuul</v>
      </c>
      <c r="C12391" t="s">
        <v>5756</v>
      </c>
      <c r="D12391">
        <v>13</v>
      </c>
      <c r="E12391">
        <v>0</v>
      </c>
      <c r="F12391">
        <v>769</v>
      </c>
    </row>
    <row r="12392" spans="1:6" ht="12.75">
      <c r="A12392" s="2">
        <v>43879.706979166665</v>
      </c>
      <c r="B12392" t="str">
        <f>HYPERLINK("https://twitter.com/AAPurba1","@AAPurba1")</f>
        <v>@AAPurba1</v>
      </c>
      <c r="C12392" t="s">
        <v>6477</v>
      </c>
      <c r="D12392">
        <v>0</v>
      </c>
      <c r="E12392">
        <v>0</v>
      </c>
      <c r="F12392">
        <v>14</v>
      </c>
    </row>
    <row r="12393" spans="1:6" ht="12.75">
      <c r="A12393" s="2">
        <v>43879.706921296296</v>
      </c>
      <c r="B12393" t="str">
        <f>HYPERLINK("https://twitter.com/GoTotheJek","@GoTotheJek")</f>
        <v>@GoTotheJek</v>
      </c>
      <c r="C12393" t="s">
        <v>6478</v>
      </c>
      <c r="D12393">
        <v>2</v>
      </c>
      <c r="E12393">
        <v>0</v>
      </c>
      <c r="F12393">
        <v>775</v>
      </c>
    </row>
    <row r="12394" spans="1:6" ht="12.75">
      <c r="A12394" s="2">
        <v>43879.706863425927</v>
      </c>
      <c r="B12394" t="str">
        <f>HYPERLINK("https://twitter.com/taessicas","@taessicas")</f>
        <v>@taessicas</v>
      </c>
      <c r="C12394" t="s">
        <v>6479</v>
      </c>
      <c r="D12394">
        <v>0</v>
      </c>
      <c r="E12394">
        <v>0</v>
      </c>
      <c r="F12394">
        <v>182</v>
      </c>
    </row>
    <row r="12395" spans="1:6" ht="12.75">
      <c r="A12395" s="2">
        <v>43879.706666666665</v>
      </c>
      <c r="B12395" t="str">
        <f>HYPERLINK("https://twitter.com/iehfkhanz","@iehfkhanz")</f>
        <v>@iehfkhanz</v>
      </c>
      <c r="C12395" t="s">
        <v>6480</v>
      </c>
      <c r="D12395">
        <v>0</v>
      </c>
      <c r="E12395">
        <v>0</v>
      </c>
      <c r="F12395">
        <v>1347</v>
      </c>
    </row>
    <row r="12396" spans="1:6" ht="12.75">
      <c r="A12396" s="2">
        <v>43879.706493055557</v>
      </c>
      <c r="B12396" t="str">
        <f>HYPERLINK("https://twitter.com/ViandraStefani","@ViandraStefani")</f>
        <v>@ViandraStefani</v>
      </c>
      <c r="C12396" t="s">
        <v>6481</v>
      </c>
      <c r="D12396">
        <v>0</v>
      </c>
      <c r="E12396">
        <v>0</v>
      </c>
      <c r="F12396">
        <v>62</v>
      </c>
    </row>
    <row r="12397" spans="1:6" ht="12.75">
      <c r="A12397" s="2">
        <v>43879.706400462965</v>
      </c>
      <c r="B12397" t="str">
        <f>HYPERLINK("https://twitter.com/DenaHandayani2","@DenaHandayani2")</f>
        <v>@DenaHandayani2</v>
      </c>
      <c r="C12397" t="s">
        <v>6207</v>
      </c>
      <c r="D12397">
        <v>29</v>
      </c>
      <c r="E12397">
        <v>0</v>
      </c>
      <c r="F12397">
        <v>277</v>
      </c>
    </row>
    <row r="12398" spans="1:6" ht="12.75">
      <c r="A12398" s="2">
        <v>43879.706342592588</v>
      </c>
      <c r="B12398" t="str">
        <f>HYPERLINK("https://twitter.com/fachri_kh","@fachri_kh")</f>
        <v>@fachri_kh</v>
      </c>
      <c r="C12398" t="s">
        <v>6307</v>
      </c>
      <c r="D12398">
        <v>7</v>
      </c>
      <c r="E12398">
        <v>0</v>
      </c>
      <c r="F12398">
        <v>4068</v>
      </c>
    </row>
    <row r="12399" spans="1:6" ht="12.75">
      <c r="A12399" s="2">
        <v>43879.706342592588</v>
      </c>
      <c r="B12399" t="str">
        <f>HYPERLINK("https://twitter.com/bilal1878","@bilal1878")</f>
        <v>@bilal1878</v>
      </c>
      <c r="C12399" t="s">
        <v>6032</v>
      </c>
      <c r="D12399">
        <v>546</v>
      </c>
      <c r="E12399">
        <v>0</v>
      </c>
      <c r="F12399">
        <v>559</v>
      </c>
    </row>
    <row r="12400" spans="1:6" ht="12.75">
      <c r="A12400" s="2">
        <v>43879.706307870365</v>
      </c>
      <c r="B12400" t="str">
        <f>HYPERLINK("https://twitter.com/susidiansafitri","@susidiansafitri")</f>
        <v>@susidiansafitri</v>
      </c>
      <c r="C12400" t="s">
        <v>5702</v>
      </c>
      <c r="D12400">
        <v>45</v>
      </c>
      <c r="E12400">
        <v>0</v>
      </c>
      <c r="F12400">
        <v>1896</v>
      </c>
    </row>
    <row r="12401" spans="1:6" ht="12.75">
      <c r="A12401" s="2">
        <v>43879.706192129626</v>
      </c>
      <c r="B12401" t="str">
        <f>HYPERLINK("https://twitter.com/gamason6","@gamason6")</f>
        <v>@gamason6</v>
      </c>
      <c r="C12401" t="s">
        <v>6482</v>
      </c>
      <c r="D12401">
        <v>0</v>
      </c>
      <c r="E12401">
        <v>0</v>
      </c>
      <c r="F12401">
        <v>6</v>
      </c>
    </row>
    <row r="12402" spans="1:6" ht="12.75">
      <c r="A12402" s="2">
        <v>43879.706145833334</v>
      </c>
      <c r="B12402" t="str">
        <f>HYPERLINK("https://twitter.com/fachri_kh","@fachri_kh")</f>
        <v>@fachri_kh</v>
      </c>
      <c r="C12402" t="s">
        <v>6483</v>
      </c>
      <c r="D12402">
        <v>1</v>
      </c>
      <c r="E12402">
        <v>0</v>
      </c>
      <c r="F12402">
        <v>4068</v>
      </c>
    </row>
    <row r="12403" spans="1:6" ht="12.75">
      <c r="A12403" s="2">
        <v>43879.705983796295</v>
      </c>
      <c r="B12403" t="str">
        <f>HYPERLINK("https://twitter.com/lojsius","@lojsius")</f>
        <v>@lojsius</v>
      </c>
      <c r="C12403" t="s">
        <v>6032</v>
      </c>
      <c r="D12403">
        <v>546</v>
      </c>
      <c r="E12403">
        <v>0</v>
      </c>
      <c r="F12403">
        <v>430</v>
      </c>
    </row>
    <row r="12404" spans="1:6" ht="12.75">
      <c r="A12404" s="2">
        <v>43879.705821759257</v>
      </c>
      <c r="B12404" t="str">
        <f>HYPERLINK("https://twitter.com/m_rinandar","@m_rinandar")</f>
        <v>@m_rinandar</v>
      </c>
      <c r="C12404" t="s">
        <v>6032</v>
      </c>
      <c r="D12404">
        <v>546</v>
      </c>
      <c r="E12404">
        <v>0</v>
      </c>
      <c r="F12404">
        <v>1089</v>
      </c>
    </row>
    <row r="12405" spans="1:6" ht="12.75">
      <c r="A12405" s="2">
        <v>43879.705659722225</v>
      </c>
      <c r="B12405" t="str">
        <f>HYPERLINK("https://twitter.com/pfftttcot","@pfftttcot")</f>
        <v>@pfftttcot</v>
      </c>
      <c r="C12405" t="s">
        <v>6030</v>
      </c>
      <c r="D12405">
        <v>14</v>
      </c>
      <c r="E12405">
        <v>0</v>
      </c>
      <c r="F12405">
        <v>89</v>
      </c>
    </row>
    <row r="12406" spans="1:6" ht="12.75">
      <c r="A12406" s="2">
        <v>43879.705648148149</v>
      </c>
      <c r="B12406" t="str">
        <f>HYPERLINK("https://twitter.com/BilychristianS","@BilychristianS")</f>
        <v>@BilychristianS</v>
      </c>
      <c r="C12406" t="s">
        <v>3474</v>
      </c>
      <c r="D12406">
        <v>19</v>
      </c>
      <c r="E12406">
        <v>0</v>
      </c>
      <c r="F12406">
        <v>234</v>
      </c>
    </row>
    <row r="12407" spans="1:6" ht="12.75">
      <c r="A12407" s="2">
        <v>43879.705613425926</v>
      </c>
      <c r="B12407" t="str">
        <f>HYPERLINK("https://twitter.com/Haluan_","@Haluan_")</f>
        <v>@Haluan_</v>
      </c>
      <c r="C12407" t="s">
        <v>6484</v>
      </c>
      <c r="D12407">
        <v>0</v>
      </c>
      <c r="E12407">
        <v>1</v>
      </c>
      <c r="F12407">
        <v>1469</v>
      </c>
    </row>
    <row r="12408" spans="1:6" ht="12.75">
      <c r="A12408" s="2">
        <v>43879.705532407403</v>
      </c>
      <c r="B12408" t="str">
        <f>HYPERLINK("https://twitter.com/Slash074","@Slash074")</f>
        <v>@Slash074</v>
      </c>
      <c r="C12408" t="s">
        <v>6485</v>
      </c>
      <c r="D12408">
        <v>8</v>
      </c>
      <c r="E12408">
        <v>0</v>
      </c>
      <c r="F12408">
        <v>98</v>
      </c>
    </row>
    <row r="12409" spans="1:6" ht="12.75">
      <c r="A12409" s="2">
        <v>43879.705520833333</v>
      </c>
      <c r="B12409" t="str">
        <f>HYPERLINK("https://twitter.com/Queenofyume","@Queenofyume")</f>
        <v>@Queenofyume</v>
      </c>
      <c r="C12409" t="s">
        <v>1407</v>
      </c>
      <c r="D12409">
        <v>91</v>
      </c>
      <c r="E12409">
        <v>0</v>
      </c>
      <c r="F12409">
        <v>379</v>
      </c>
    </row>
    <row r="12410" spans="1:6" ht="12.75">
      <c r="A12410" s="2">
        <v>43879.70548611111</v>
      </c>
      <c r="B12410" t="str">
        <f>HYPERLINK("https://twitter.com/sally_rw","@sally_rw")</f>
        <v>@sally_rw</v>
      </c>
      <c r="C12410" t="s">
        <v>5644</v>
      </c>
      <c r="D12410">
        <v>218</v>
      </c>
      <c r="E12410">
        <v>0</v>
      </c>
      <c r="F12410">
        <v>830</v>
      </c>
    </row>
    <row r="12411" spans="1:6" ht="12.75">
      <c r="A12411" s="2">
        <v>43879.705451388887</v>
      </c>
      <c r="B12411" t="str">
        <f>HYPERLINK("https://twitter.com/sunandmoonz","@sunandmoonz")</f>
        <v>@sunandmoonz</v>
      </c>
      <c r="C12411" t="s">
        <v>2659</v>
      </c>
      <c r="D12411">
        <v>6</v>
      </c>
      <c r="E12411">
        <v>0</v>
      </c>
      <c r="F12411">
        <v>117</v>
      </c>
    </row>
    <row r="12412" spans="1:6" ht="12.75">
      <c r="A12412" s="2">
        <v>43879.705358796295</v>
      </c>
      <c r="B12412" t="str">
        <f>HYPERLINK("https://twitter.com/Slash074","@Slash074")</f>
        <v>@Slash074</v>
      </c>
      <c r="C12412" t="s">
        <v>6486</v>
      </c>
      <c r="D12412">
        <v>4</v>
      </c>
      <c r="E12412">
        <v>0</v>
      </c>
      <c r="F12412">
        <v>98</v>
      </c>
    </row>
    <row r="12413" spans="1:6" ht="12.75">
      <c r="A12413" s="2">
        <v>43879.70517361111</v>
      </c>
      <c r="B12413" t="str">
        <f>HYPERLINK("https://twitter.com/medcom_id","@medcom_id")</f>
        <v>@medcom_id</v>
      </c>
      <c r="C12413" t="s">
        <v>6487</v>
      </c>
      <c r="D12413">
        <v>0</v>
      </c>
      <c r="E12413">
        <v>0</v>
      </c>
      <c r="F12413">
        <v>18236</v>
      </c>
    </row>
    <row r="12414" spans="1:6" ht="12.75">
      <c r="A12414" s="2">
        <v>43879.70517361111</v>
      </c>
      <c r="B12414" t="str">
        <f>HYPERLINK("https://twitter.com/trans7club","@trans7club")</f>
        <v>@trans7club</v>
      </c>
      <c r="C12414" t="s">
        <v>6488</v>
      </c>
      <c r="D12414">
        <v>1</v>
      </c>
      <c r="E12414">
        <v>1</v>
      </c>
      <c r="F12414">
        <v>109450</v>
      </c>
    </row>
    <row r="12415" spans="1:6" ht="12.75">
      <c r="A12415" s="2">
        <v>43879.705092592594</v>
      </c>
      <c r="B12415" t="str">
        <f>HYPERLINK("https://twitter.com/wni_jmsri","@wni_jmsri")</f>
        <v>@wni_jmsri</v>
      </c>
      <c r="C12415" t="s">
        <v>6489</v>
      </c>
      <c r="D12415">
        <v>26</v>
      </c>
      <c r="E12415">
        <v>0</v>
      </c>
      <c r="F12415">
        <v>194</v>
      </c>
    </row>
    <row r="12416" spans="1:6" ht="12.75">
      <c r="A12416" s="2">
        <v>43879.705057870371</v>
      </c>
      <c r="B12416" t="str">
        <f>HYPERLINK("https://twitter.com/lutfanrifqi","@lutfanrifqi")</f>
        <v>@lutfanrifqi</v>
      </c>
      <c r="C12416" t="s">
        <v>6032</v>
      </c>
      <c r="D12416">
        <v>546</v>
      </c>
      <c r="E12416">
        <v>0</v>
      </c>
      <c r="F12416">
        <v>179</v>
      </c>
    </row>
    <row r="12417" spans="1:6" ht="12.75">
      <c r="A12417" s="2">
        <v>43879.705034722225</v>
      </c>
      <c r="B12417" t="str">
        <f>HYPERLINK("https://twitter.com/dannisaps","@dannisaps")</f>
        <v>@dannisaps</v>
      </c>
      <c r="C12417" t="s">
        <v>5982</v>
      </c>
      <c r="D12417">
        <v>26</v>
      </c>
      <c r="E12417">
        <v>0</v>
      </c>
      <c r="F12417">
        <v>34</v>
      </c>
    </row>
    <row r="12418" spans="1:6" ht="12.75">
      <c r="A12418" s="2">
        <v>43879.704861111109</v>
      </c>
      <c r="B12418" t="str">
        <f>HYPERLINK("https://twitter.com/almaujudy","@almaujudy")</f>
        <v>@almaujudy</v>
      </c>
      <c r="C12418" t="s">
        <v>5644</v>
      </c>
      <c r="D12418">
        <v>218</v>
      </c>
      <c r="E12418">
        <v>0</v>
      </c>
      <c r="F12418">
        <v>6252</v>
      </c>
    </row>
    <row r="12419" spans="1:6" ht="12.75">
      <c r="A12419" s="2">
        <v>43879.704861111109</v>
      </c>
      <c r="B12419" t="str">
        <f>HYPERLINK("https://twitter.com/kodokpangeran5","@kodokpangeran5")</f>
        <v>@kodokpangeran5</v>
      </c>
      <c r="C12419" t="s">
        <v>6490</v>
      </c>
      <c r="D12419">
        <v>1</v>
      </c>
      <c r="E12419">
        <v>0</v>
      </c>
      <c r="F12419">
        <v>98</v>
      </c>
    </row>
    <row r="12420" spans="1:6" ht="12.75">
      <c r="A12420" s="2">
        <v>43879.704861111109</v>
      </c>
      <c r="B12420" t="str">
        <f>HYPERLINK("https://twitter.com/fuaaaadss","@fuaaaadss")</f>
        <v>@fuaaaadss</v>
      </c>
      <c r="C12420" t="s">
        <v>5702</v>
      </c>
      <c r="D12420">
        <v>45</v>
      </c>
      <c r="E12420">
        <v>0</v>
      </c>
      <c r="F12420">
        <v>633</v>
      </c>
    </row>
    <row r="12421" spans="1:6" ht="12.75">
      <c r="A12421" s="2">
        <v>43879.70480324074</v>
      </c>
      <c r="B12421" t="str">
        <f>HYPERLINK("https://twitter.com/puchasua","@puchasua")</f>
        <v>@puchasua</v>
      </c>
      <c r="C12421" t="s">
        <v>6032</v>
      </c>
      <c r="D12421">
        <v>546</v>
      </c>
      <c r="E12421">
        <v>0</v>
      </c>
      <c r="F12421">
        <v>912</v>
      </c>
    </row>
    <row r="12422" spans="1:6" ht="12.75">
      <c r="A12422" s="2">
        <v>43879.704722222217</v>
      </c>
      <c r="B12422" t="str">
        <f>HYPERLINK("https://twitter.com/dekpido","@dekpido")</f>
        <v>@dekpido</v>
      </c>
      <c r="C12422" t="s">
        <v>6032</v>
      </c>
      <c r="D12422">
        <v>546</v>
      </c>
      <c r="E12422">
        <v>0</v>
      </c>
      <c r="F12422">
        <v>377</v>
      </c>
    </row>
    <row r="12423" spans="1:6" ht="12.75">
      <c r="A12423" s="2">
        <v>43879.704629629632</v>
      </c>
      <c r="B12423" t="str">
        <f>HYPERLINK("https://twitter.com/yoojungmu","@yoojungmu")</f>
        <v>@yoojungmu</v>
      </c>
      <c r="C12423" t="s">
        <v>6491</v>
      </c>
      <c r="D12423">
        <v>0</v>
      </c>
      <c r="E12423">
        <v>0</v>
      </c>
      <c r="F12423">
        <v>8640</v>
      </c>
    </row>
    <row r="12424" spans="1:6" ht="12.75">
      <c r="A12424" s="2">
        <v>43879.704583333332</v>
      </c>
      <c r="B12424" t="str">
        <f>HYPERLINK("https://twitter.com/fiomssad","@fiomssad")</f>
        <v>@fiomssad</v>
      </c>
      <c r="C12424" t="s">
        <v>5644</v>
      </c>
      <c r="D12424">
        <v>218</v>
      </c>
      <c r="E12424">
        <v>0</v>
      </c>
      <c r="F12424">
        <v>561</v>
      </c>
    </row>
    <row r="12425" spans="1:6" ht="12.75">
      <c r="A12425" s="2">
        <v>43879.704513888893</v>
      </c>
      <c r="B12425" t="str">
        <f>HYPERLINK("https://twitter.com/mrsiregarr","@mrsiregarr")</f>
        <v>@mrsiregarr</v>
      </c>
      <c r="C12425" t="s">
        <v>6032</v>
      </c>
      <c r="D12425">
        <v>546</v>
      </c>
      <c r="E12425">
        <v>0</v>
      </c>
      <c r="F12425">
        <v>585</v>
      </c>
    </row>
    <row r="12426" spans="1:6" ht="12.75">
      <c r="A12426" s="2">
        <v>43879.704409722224</v>
      </c>
      <c r="B12426" t="str">
        <f>HYPERLINK("https://twitter.com/WinarsihParis","@WinarsihParis")</f>
        <v>@WinarsihParis</v>
      </c>
      <c r="C12426" t="s">
        <v>6492</v>
      </c>
      <c r="D12426">
        <v>1</v>
      </c>
      <c r="E12426">
        <v>0</v>
      </c>
      <c r="F12426">
        <v>95</v>
      </c>
    </row>
    <row r="12427" spans="1:6" ht="12.75">
      <c r="A12427" s="2">
        <v>43879.704340277778</v>
      </c>
      <c r="B12427" t="str">
        <f>HYPERLINK("https://twitter.com/KurioID","@KurioID")</f>
        <v>@KurioID</v>
      </c>
      <c r="C12427" t="s">
        <v>6493</v>
      </c>
      <c r="D12427">
        <v>0</v>
      </c>
      <c r="E12427">
        <v>0</v>
      </c>
      <c r="F12427">
        <v>7982</v>
      </c>
    </row>
    <row r="12428" spans="1:6" ht="12.75">
      <c r="A12428" s="2">
        <v>43879.704259259262</v>
      </c>
      <c r="B12428" t="str">
        <f>HYPERLINK("https://twitter.com/ayambakarkerta","@ayambakarkerta")</f>
        <v>@ayambakarkerta</v>
      </c>
      <c r="C12428" t="s">
        <v>1407</v>
      </c>
      <c r="D12428">
        <v>91</v>
      </c>
      <c r="E12428">
        <v>0</v>
      </c>
      <c r="F12428">
        <v>47</v>
      </c>
    </row>
    <row r="12429" spans="1:6" ht="12.75">
      <c r="A12429" s="2">
        <v>43879.70412037037</v>
      </c>
      <c r="B12429" t="str">
        <f>HYPERLINK("https://twitter.com/Sitimunayah12","@Sitimunayah12")</f>
        <v>@Sitimunayah12</v>
      </c>
      <c r="C12429" t="s">
        <v>6494</v>
      </c>
      <c r="D12429">
        <v>0</v>
      </c>
      <c r="E12429">
        <v>0</v>
      </c>
      <c r="F12429">
        <v>42</v>
      </c>
    </row>
    <row r="12430" spans="1:6" ht="12.75">
      <c r="A12430" s="2">
        <v>43879.704097222224</v>
      </c>
      <c r="B12430" t="str">
        <f>HYPERLINK("https://twitter.com/RAHUL9262514","@RAHUL9262514")</f>
        <v>@RAHUL9262514</v>
      </c>
      <c r="C12430" t="s">
        <v>6495</v>
      </c>
      <c r="D12430">
        <v>1</v>
      </c>
      <c r="E12430">
        <v>0</v>
      </c>
      <c r="F12430">
        <v>21026</v>
      </c>
    </row>
    <row r="12431" spans="1:6" ht="12.75">
      <c r="A12431" s="2">
        <v>43879.704085648147</v>
      </c>
      <c r="B12431" t="str">
        <f>HYPERLINK("https://twitter.com/HeriawanAdiwan2","@HeriawanAdiwan2")</f>
        <v>@HeriawanAdiwan2</v>
      </c>
      <c r="C12431" t="s">
        <v>5702</v>
      </c>
      <c r="D12431">
        <v>45</v>
      </c>
      <c r="E12431">
        <v>0</v>
      </c>
      <c r="F12431">
        <v>2856</v>
      </c>
    </row>
    <row r="12432" spans="1:6" ht="12.75">
      <c r="A12432" s="2">
        <v>43879.703900462962</v>
      </c>
      <c r="B12432" t="str">
        <f>HYPERLINK("https://twitter.com/MeongEmpus","@MeongEmpus")</f>
        <v>@MeongEmpus</v>
      </c>
      <c r="C12432" t="s">
        <v>6207</v>
      </c>
      <c r="D12432">
        <v>29</v>
      </c>
      <c r="E12432">
        <v>0</v>
      </c>
      <c r="F12432">
        <v>629</v>
      </c>
    </row>
    <row r="12433" spans="1:6" ht="12.75">
      <c r="A12433" s="2">
        <v>43879.703877314816</v>
      </c>
      <c r="B12433" t="str">
        <f>HYPERLINK("https://twitter.com/KimArsyad","@KimArsyad")</f>
        <v>@KimArsyad</v>
      </c>
      <c r="C12433" t="s">
        <v>6099</v>
      </c>
      <c r="D12433">
        <v>17</v>
      </c>
      <c r="E12433">
        <v>0</v>
      </c>
      <c r="F12433">
        <v>2</v>
      </c>
    </row>
    <row r="12434" spans="1:6" ht="12.75">
      <c r="A12434" s="2">
        <v>43879.70376157407</v>
      </c>
      <c r="B12434" t="str">
        <f>HYPERLINK("https://twitter.com/nadiaafiff","@nadiaafiff")</f>
        <v>@nadiaafiff</v>
      </c>
      <c r="C12434" t="s">
        <v>1407</v>
      </c>
      <c r="D12434">
        <v>91</v>
      </c>
      <c r="E12434">
        <v>0</v>
      </c>
      <c r="F12434">
        <v>830</v>
      </c>
    </row>
    <row r="12435" spans="1:6" ht="12.75">
      <c r="A12435" s="2">
        <v>43879.703726851847</v>
      </c>
      <c r="B12435" t="str">
        <f>HYPERLINK("https://twitter.com/pandapudlian","@pandapudlian")</f>
        <v>@pandapudlian</v>
      </c>
      <c r="C12435" t="s">
        <v>6496</v>
      </c>
      <c r="D12435">
        <v>1</v>
      </c>
      <c r="E12435">
        <v>0</v>
      </c>
      <c r="F12435">
        <v>159</v>
      </c>
    </row>
    <row r="12436" spans="1:6" ht="12.75">
      <c r="A12436" s="2">
        <v>43879.703703703708</v>
      </c>
      <c r="B12436" t="str">
        <f>HYPERLINK("https://twitter.com/jehandikad","@jehandikad")</f>
        <v>@jehandikad</v>
      </c>
      <c r="C12436" t="s">
        <v>6032</v>
      </c>
      <c r="D12436">
        <v>546</v>
      </c>
      <c r="E12436">
        <v>0</v>
      </c>
      <c r="F12436">
        <v>427</v>
      </c>
    </row>
    <row r="12437" spans="1:6" ht="12.75">
      <c r="A12437" s="2">
        <v>43879.703692129631</v>
      </c>
      <c r="B12437" t="str">
        <f>HYPERLINK("https://twitter.com/RaeeAkram","@RaeeAkram")</f>
        <v>@RaeeAkram</v>
      </c>
      <c r="C12437" t="s">
        <v>6497</v>
      </c>
      <c r="D12437">
        <v>11</v>
      </c>
      <c r="E12437">
        <v>0</v>
      </c>
      <c r="F12437">
        <v>15086</v>
      </c>
    </row>
    <row r="12438" spans="1:6" ht="12.75">
      <c r="A12438" s="2">
        <v>43879.703657407408</v>
      </c>
      <c r="B12438" t="str">
        <f>HYPERLINK("https://twitter.com/gus_tyo","@gus_tyo")</f>
        <v>@gus_tyo</v>
      </c>
      <c r="C12438" t="s">
        <v>1920</v>
      </c>
      <c r="D12438">
        <v>104</v>
      </c>
      <c r="E12438">
        <v>0</v>
      </c>
      <c r="F12438">
        <v>105</v>
      </c>
    </row>
    <row r="12439" spans="1:6" ht="12.75">
      <c r="A12439" s="2">
        <v>43879.703622685185</v>
      </c>
      <c r="B12439" t="str">
        <f>HYPERLINK("https://twitter.com/auliasoebardi","@auliasoebardi")</f>
        <v>@auliasoebardi</v>
      </c>
      <c r="C12439" t="s">
        <v>1407</v>
      </c>
      <c r="D12439">
        <v>91</v>
      </c>
      <c r="E12439">
        <v>0</v>
      </c>
      <c r="F12439">
        <v>1575</v>
      </c>
    </row>
    <row r="12440" spans="1:6" ht="12.75">
      <c r="A12440" s="2">
        <v>43879.7034837963</v>
      </c>
      <c r="B12440" t="str">
        <f>HYPERLINK("https://twitter.com/yelyahwilliasm","@yelyahwilliasm")</f>
        <v>@yelyahwilliasm</v>
      </c>
      <c r="C12440" t="s">
        <v>6498</v>
      </c>
      <c r="D12440">
        <v>0</v>
      </c>
      <c r="E12440">
        <v>0</v>
      </c>
      <c r="F12440">
        <v>334</v>
      </c>
    </row>
    <row r="12441" spans="1:6" ht="12.75">
      <c r="A12441" s="2">
        <v>43879.703472222223</v>
      </c>
      <c r="B12441" t="str">
        <f>HYPERLINK("https://twitter.com/mostradio1058fm","@mostradio1058fm")</f>
        <v>@mostradio1058fm</v>
      </c>
      <c r="C12441" t="s">
        <v>6499</v>
      </c>
      <c r="D12441">
        <v>1</v>
      </c>
      <c r="E12441">
        <v>0</v>
      </c>
      <c r="F12441">
        <v>75409</v>
      </c>
    </row>
    <row r="12442" spans="1:6" ht="12.75">
      <c r="A12442" s="2">
        <v>43879.703310185185</v>
      </c>
      <c r="B12442" t="str">
        <f>HYPERLINK("https://twitter.com/kbri_kyiv","@kbri_kyiv")</f>
        <v>@kbri_kyiv</v>
      </c>
      <c r="C12442" t="s">
        <v>5756</v>
      </c>
      <c r="D12442">
        <v>13</v>
      </c>
      <c r="E12442">
        <v>0</v>
      </c>
      <c r="F12442">
        <v>551</v>
      </c>
    </row>
    <row r="12443" spans="1:6" ht="12.75">
      <c r="A12443" s="2">
        <v>43879.703275462962</v>
      </c>
      <c r="B12443" t="str">
        <f>HYPERLINK("https://twitter.com/GregPudya","@GregPudya")</f>
        <v>@GregPudya</v>
      </c>
      <c r="C12443" t="s">
        <v>1920</v>
      </c>
      <c r="D12443">
        <v>104</v>
      </c>
      <c r="E12443">
        <v>0</v>
      </c>
      <c r="F12443">
        <v>399</v>
      </c>
    </row>
    <row r="12444" spans="1:6" ht="12.75">
      <c r="A12444" s="2">
        <v>43879.703275462962</v>
      </c>
      <c r="B12444" t="str">
        <f>HYPERLINK("https://twitter.com/sally_rw","@sally_rw")</f>
        <v>@sally_rw</v>
      </c>
      <c r="C12444" t="s">
        <v>6500</v>
      </c>
      <c r="D12444">
        <v>0</v>
      </c>
      <c r="E12444">
        <v>0</v>
      </c>
      <c r="F12444">
        <v>830</v>
      </c>
    </row>
    <row r="12445" spans="1:6" ht="12.75">
      <c r="A12445" s="2">
        <v>43879.703148148154</v>
      </c>
      <c r="B12445" t="str">
        <f>HYPERLINK("https://twitter.com/about2sleep","@about2sleep")</f>
        <v>@about2sleep</v>
      </c>
      <c r="C12445" t="s">
        <v>1920</v>
      </c>
      <c r="D12445">
        <v>104</v>
      </c>
      <c r="E12445">
        <v>0</v>
      </c>
      <c r="F12445">
        <v>267</v>
      </c>
    </row>
    <row r="12446" spans="1:6" ht="12.75">
      <c r="A12446" s="2">
        <v>43879.703032407408</v>
      </c>
      <c r="B12446" t="str">
        <f>HYPERLINK("https://twitter.com/prijopan","@prijopan")</f>
        <v>@prijopan</v>
      </c>
      <c r="C12446" t="s">
        <v>6099</v>
      </c>
      <c r="D12446">
        <v>17</v>
      </c>
      <c r="E12446">
        <v>0</v>
      </c>
      <c r="F12446">
        <v>564</v>
      </c>
    </row>
    <row r="12447" spans="1:6" ht="12.75">
      <c r="A12447" s="2">
        <v>43879.702986111108</v>
      </c>
      <c r="B12447" t="str">
        <f>HYPERLINK("https://twitter.com/kbri_kyiv","@kbri_kyiv")</f>
        <v>@kbri_kyiv</v>
      </c>
      <c r="C12447" t="s">
        <v>2079</v>
      </c>
      <c r="D12447">
        <v>11</v>
      </c>
      <c r="E12447">
        <v>0</v>
      </c>
      <c r="F12447">
        <v>551</v>
      </c>
    </row>
    <row r="12448" spans="1:6" ht="12.75">
      <c r="A12448" s="2">
        <v>43879.702951388885</v>
      </c>
      <c r="B12448" t="str">
        <f>HYPERLINK("https://twitter.com/Aleifuu","@Aleifuu")</f>
        <v>@Aleifuu</v>
      </c>
      <c r="C12448" t="s">
        <v>5914</v>
      </c>
      <c r="D12448">
        <v>4</v>
      </c>
      <c r="E12448">
        <v>0</v>
      </c>
      <c r="F12448">
        <v>103</v>
      </c>
    </row>
    <row r="12449" spans="1:6" ht="12.75">
      <c r="A12449" s="2">
        <v>43879.702916666662</v>
      </c>
      <c r="B12449" t="str">
        <f>HYPERLINK("https://twitter.com/giogemb","@giogemb")</f>
        <v>@giogemb</v>
      </c>
      <c r="C12449" t="s">
        <v>5644</v>
      </c>
      <c r="D12449">
        <v>218</v>
      </c>
      <c r="E12449">
        <v>0</v>
      </c>
      <c r="F12449">
        <v>503</v>
      </c>
    </row>
    <row r="12450" spans="1:6" ht="12.75">
      <c r="A12450" s="2">
        <v>43879.702893518523</v>
      </c>
      <c r="B12450" t="str">
        <f>HYPERLINK("https://twitter.com/bimo_tanto","@bimo_tanto")</f>
        <v>@bimo_tanto</v>
      </c>
      <c r="C12450" t="s">
        <v>6501</v>
      </c>
      <c r="D12450">
        <v>0</v>
      </c>
      <c r="E12450">
        <v>0</v>
      </c>
      <c r="F12450">
        <v>6012</v>
      </c>
    </row>
    <row r="12451" spans="1:6" ht="12.75">
      <c r="A12451" s="2">
        <v>43879.702870370369</v>
      </c>
      <c r="B12451" t="str">
        <f>HYPERLINK("https://twitter.com/ramotgun","@ramotgun")</f>
        <v>@ramotgun</v>
      </c>
      <c r="C12451" t="s">
        <v>1407</v>
      </c>
      <c r="D12451">
        <v>91</v>
      </c>
      <c r="E12451">
        <v>0</v>
      </c>
      <c r="F12451">
        <v>1691</v>
      </c>
    </row>
    <row r="12452" spans="1:6" ht="12.75">
      <c r="A12452" s="2">
        <v>43879.702719907407</v>
      </c>
      <c r="B12452" t="str">
        <f>HYPERLINK("https://twitter.com/Irving_Kho","@Irving_Kho")</f>
        <v>@Irving_Kho</v>
      </c>
      <c r="C12452" t="s">
        <v>6502</v>
      </c>
      <c r="D12452">
        <v>0</v>
      </c>
      <c r="E12452">
        <v>0</v>
      </c>
      <c r="F12452">
        <v>20</v>
      </c>
    </row>
    <row r="12453" spans="1:6" ht="12.75">
      <c r="A12453" s="2">
        <v>43879.702650462961</v>
      </c>
      <c r="B12453" t="str">
        <f>HYPERLINK("https://twitter.com/fznLR","@fznLR")</f>
        <v>@fznLR</v>
      </c>
      <c r="C12453" t="s">
        <v>2217</v>
      </c>
      <c r="D12453">
        <v>10</v>
      </c>
      <c r="E12453">
        <v>0</v>
      </c>
      <c r="F12453">
        <v>247</v>
      </c>
    </row>
    <row r="12454" spans="1:6" ht="12.75">
      <c r="A12454" s="2">
        <v>43879.702604166669</v>
      </c>
      <c r="B12454" t="str">
        <f>HYPERLINK("https://twitter.com/Pertiwi_vivi2","@Pertiwi_vivi2")</f>
        <v>@Pertiwi_vivi2</v>
      </c>
      <c r="C12454" t="s">
        <v>1407</v>
      </c>
      <c r="D12454">
        <v>91</v>
      </c>
      <c r="E12454">
        <v>0</v>
      </c>
      <c r="F12454">
        <v>275</v>
      </c>
    </row>
    <row r="12455" spans="1:6" ht="12.75">
      <c r="A12455" s="2">
        <v>43879.702592592592</v>
      </c>
      <c r="B12455" t="str">
        <f>HYPERLINK("https://twitter.com/iwansetya","@iwansetya")</f>
        <v>@iwansetya</v>
      </c>
      <c r="C12455" t="s">
        <v>1920</v>
      </c>
      <c r="D12455">
        <v>104</v>
      </c>
      <c r="E12455">
        <v>0</v>
      </c>
      <c r="F12455">
        <v>457</v>
      </c>
    </row>
    <row r="12456" spans="1:6" ht="12.75">
      <c r="A12456" s="2">
        <v>43879.702245370368</v>
      </c>
      <c r="B12456" t="str">
        <f>HYPERLINK("https://twitter.com/halim______","@halim______")</f>
        <v>@halim______</v>
      </c>
      <c r="C12456" t="s">
        <v>6032</v>
      </c>
      <c r="D12456">
        <v>546</v>
      </c>
      <c r="E12456">
        <v>0</v>
      </c>
      <c r="F12456">
        <v>1332</v>
      </c>
    </row>
    <row r="12457" spans="1:6" ht="12.75">
      <c r="A12457" s="2">
        <v>43879.668252314819</v>
      </c>
      <c r="B12457" t="str">
        <f>HYPERLINK("https://twitter.com/BossRini","@BossRini")</f>
        <v>@BossRini</v>
      </c>
      <c r="C12457" t="s">
        <v>6503</v>
      </c>
      <c r="D12457">
        <v>1</v>
      </c>
      <c r="E12457">
        <v>0</v>
      </c>
      <c r="F12457">
        <v>552</v>
      </c>
    </row>
    <row r="12458" spans="1:6" ht="12.75">
      <c r="A12458" s="2">
        <v>43879.668206018519</v>
      </c>
      <c r="B12458" t="str">
        <f>HYPERLINK("https://twitter.com/romyhael","@romyhael")</f>
        <v>@romyhael</v>
      </c>
      <c r="C12458" t="s">
        <v>1920</v>
      </c>
      <c r="D12458">
        <v>28</v>
      </c>
      <c r="E12458">
        <v>0</v>
      </c>
      <c r="F12458">
        <v>409</v>
      </c>
    </row>
    <row r="12459" spans="1:6" ht="12.75">
      <c r="A12459" s="2">
        <v>43879.66815972222</v>
      </c>
      <c r="B12459" t="str">
        <f>HYPERLINK("https://twitter.com/rizalief","@rizalief")</f>
        <v>@rizalief</v>
      </c>
      <c r="C12459" t="s">
        <v>6032</v>
      </c>
      <c r="D12459">
        <v>447</v>
      </c>
      <c r="E12459">
        <v>0</v>
      </c>
      <c r="F12459">
        <v>205</v>
      </c>
    </row>
    <row r="12460" spans="1:6" ht="12.75">
      <c r="A12460" s="2">
        <v>43879.668009259258</v>
      </c>
      <c r="B12460" t="str">
        <f>HYPERLINK("https://twitter.com/yanuava","@yanuava")</f>
        <v>@yanuava</v>
      </c>
      <c r="C12460" t="s">
        <v>6504</v>
      </c>
      <c r="D12460">
        <v>21</v>
      </c>
      <c r="E12460">
        <v>0</v>
      </c>
      <c r="F12460">
        <v>333</v>
      </c>
    </row>
    <row r="12461" spans="1:6" ht="12.75">
      <c r="A12461" s="2">
        <v>43879.667939814812</v>
      </c>
      <c r="B12461" t="str">
        <f>HYPERLINK("https://twitter.com/mujjtahidah","@mujjtahidah")</f>
        <v>@mujjtahidah</v>
      </c>
      <c r="C12461" t="s">
        <v>5982</v>
      </c>
      <c r="D12461">
        <v>12</v>
      </c>
      <c r="E12461">
        <v>0</v>
      </c>
      <c r="F12461">
        <v>225</v>
      </c>
    </row>
    <row r="12462" spans="1:6" ht="12.75">
      <c r="A12462" s="2">
        <v>43879.66788194445</v>
      </c>
      <c r="B12462" t="str">
        <f>HYPERLINK("https://twitter.com/Jume99_","@Jume99_")</f>
        <v>@Jume99_</v>
      </c>
      <c r="C12462" t="s">
        <v>1407</v>
      </c>
      <c r="D12462">
        <v>53</v>
      </c>
      <c r="E12462">
        <v>0</v>
      </c>
      <c r="F12462">
        <v>212</v>
      </c>
    </row>
    <row r="12463" spans="1:6" ht="12.75">
      <c r="A12463" s="2">
        <v>43879.667870370366</v>
      </c>
      <c r="B12463" t="str">
        <f>HYPERLINK("https://twitter.com/andi9muhamad","@andi9muhamad")</f>
        <v>@andi9muhamad</v>
      </c>
      <c r="C12463" t="s">
        <v>3474</v>
      </c>
      <c r="D12463">
        <v>15</v>
      </c>
      <c r="E12463">
        <v>0</v>
      </c>
      <c r="F12463">
        <v>519</v>
      </c>
    </row>
    <row r="12464" spans="1:6" ht="12.75">
      <c r="A12464" s="2">
        <v>43879.667800925927</v>
      </c>
      <c r="B12464" t="str">
        <f>HYPERLINK("https://twitter.com/tvOneNews","@tvOneNews")</f>
        <v>@tvOneNews</v>
      </c>
      <c r="C12464" t="s">
        <v>6505</v>
      </c>
      <c r="D12464">
        <v>1</v>
      </c>
      <c r="E12464">
        <v>0</v>
      </c>
      <c r="F12464">
        <v>8716709</v>
      </c>
    </row>
    <row r="12465" spans="1:6" ht="12.75">
      <c r="A12465" s="2">
        <v>43879.66777777778</v>
      </c>
      <c r="B12465" t="str">
        <f>HYPERLINK("https://twitter.com/Syahidan_az","@Syahidan_az")</f>
        <v>@Syahidan_az</v>
      </c>
      <c r="C12465" t="s">
        <v>6032</v>
      </c>
      <c r="D12465">
        <v>447</v>
      </c>
      <c r="E12465">
        <v>0</v>
      </c>
      <c r="F12465">
        <v>41</v>
      </c>
    </row>
    <row r="12466" spans="1:6" ht="12.75">
      <c r="A12466" s="2">
        <v>43879.667685185181</v>
      </c>
      <c r="B12466" t="str">
        <f>HYPERLINK("https://twitter.com/hi_yooneesa","@hi_yooneesa")</f>
        <v>@hi_yooneesa</v>
      </c>
      <c r="C12466" t="s">
        <v>6032</v>
      </c>
      <c r="D12466">
        <v>447</v>
      </c>
      <c r="E12466">
        <v>0</v>
      </c>
      <c r="F12466">
        <v>207</v>
      </c>
    </row>
    <row r="12467" spans="1:6" ht="12.75">
      <c r="A12467" s="2">
        <v>43879.667673611111</v>
      </c>
      <c r="B12467" t="str">
        <f>HYPERLINK("https://twitter.com/manager_5am","@manager_5am")</f>
        <v>@manager_5am</v>
      </c>
      <c r="C12467" t="s">
        <v>6307</v>
      </c>
      <c r="D12467">
        <v>1</v>
      </c>
      <c r="E12467">
        <v>0</v>
      </c>
      <c r="F12467">
        <v>7151</v>
      </c>
    </row>
    <row r="12468" spans="1:6" ht="12.75">
      <c r="A12468" s="2">
        <v>43879.667662037042</v>
      </c>
      <c r="B12468" t="str">
        <f>HYPERLINK("https://twitter.com/weendees","@weendees")</f>
        <v>@weendees</v>
      </c>
      <c r="C12468" t="s">
        <v>6175</v>
      </c>
      <c r="D12468">
        <v>36</v>
      </c>
      <c r="E12468">
        <v>0</v>
      </c>
      <c r="F12468">
        <v>495</v>
      </c>
    </row>
    <row r="12469" spans="1:6" ht="12.75">
      <c r="A12469" s="2">
        <v>43879.667638888888</v>
      </c>
      <c r="B12469" t="str">
        <f>HYPERLINK("https://twitter.com/haniicold","@haniicold")</f>
        <v>@haniicold</v>
      </c>
      <c r="C12469" t="s">
        <v>6010</v>
      </c>
      <c r="D12469">
        <v>16</v>
      </c>
      <c r="E12469">
        <v>0</v>
      </c>
      <c r="F12469">
        <v>236</v>
      </c>
    </row>
    <row r="12470" spans="1:6" ht="12.75">
      <c r="A12470" s="2">
        <v>43879.667499999996</v>
      </c>
      <c r="B12470" t="str">
        <f>HYPERLINK("https://twitter.com/Dandhy_Laksono","@Dandhy_Laksono")</f>
        <v>@Dandhy_Laksono</v>
      </c>
      <c r="C12470" t="s">
        <v>1920</v>
      </c>
      <c r="D12470">
        <v>28</v>
      </c>
      <c r="E12470">
        <v>0</v>
      </c>
      <c r="F12470">
        <v>130651</v>
      </c>
    </row>
    <row r="12471" spans="1:6" ht="12.75">
      <c r="A12471" s="2">
        <v>43879.667488425926</v>
      </c>
      <c r="B12471" t="str">
        <f>HYPERLINK("https://twitter.com/XLD76622839","@XLD76622839")</f>
        <v>@XLD76622839</v>
      </c>
      <c r="C12471" t="s">
        <v>5702</v>
      </c>
      <c r="D12471">
        <v>14</v>
      </c>
      <c r="E12471">
        <v>0</v>
      </c>
      <c r="F12471">
        <v>568</v>
      </c>
    </row>
    <row r="12472" spans="1:6" ht="12.75">
      <c r="A12472" s="2">
        <v>43879.667372685188</v>
      </c>
      <c r="B12472" t="str">
        <f>HYPERLINK("https://twitter.com/pricrity_","@pricrity_")</f>
        <v>@pricrity_</v>
      </c>
      <c r="C12472" t="s">
        <v>6032</v>
      </c>
      <c r="D12472">
        <v>447</v>
      </c>
      <c r="E12472">
        <v>0</v>
      </c>
      <c r="F12472">
        <v>829</v>
      </c>
    </row>
    <row r="12473" spans="1:6" ht="12.75">
      <c r="A12473" s="2">
        <v>43879.667361111111</v>
      </c>
      <c r="B12473" t="str">
        <f>HYPERLINK("https://twitter.com/Buyuang13841239","@Buyuang13841239")</f>
        <v>@Buyuang13841239</v>
      </c>
      <c r="C12473" t="s">
        <v>6506</v>
      </c>
      <c r="D12473">
        <v>0</v>
      </c>
      <c r="E12473">
        <v>0</v>
      </c>
      <c r="F12473">
        <v>9</v>
      </c>
    </row>
    <row r="12474" spans="1:6" ht="12.75">
      <c r="A12474" s="2">
        <v>43879.667349537034</v>
      </c>
      <c r="B12474" t="str">
        <f>HYPERLINK("https://twitter.com/afqzmbr","@afqzmbr")</f>
        <v>@afqzmbr</v>
      </c>
      <c r="C12474" t="s">
        <v>6507</v>
      </c>
      <c r="D12474">
        <v>0</v>
      </c>
      <c r="E12474">
        <v>0</v>
      </c>
      <c r="F12474">
        <v>117</v>
      </c>
    </row>
    <row r="12475" spans="1:6" ht="12.75">
      <c r="A12475" s="2">
        <v>43879.667245370365</v>
      </c>
      <c r="B12475" t="str">
        <f>HYPERLINK("https://twitter.com/eedarmawan","@eedarmawan")</f>
        <v>@eedarmawan</v>
      </c>
      <c r="C12475" t="s">
        <v>6508</v>
      </c>
      <c r="D12475">
        <v>24</v>
      </c>
      <c r="E12475">
        <v>0</v>
      </c>
      <c r="F12475">
        <v>192</v>
      </c>
    </row>
    <row r="12476" spans="1:6" ht="12.75">
      <c r="A12476" s="2">
        <v>43879.667129629626</v>
      </c>
      <c r="B12476" t="str">
        <f>HYPERLINK("https://twitter.com/emogibran","@emogibran")</f>
        <v>@emogibran</v>
      </c>
      <c r="C12476" t="s">
        <v>6032</v>
      </c>
      <c r="D12476">
        <v>447</v>
      </c>
      <c r="E12476">
        <v>0</v>
      </c>
      <c r="F12476">
        <v>679</v>
      </c>
    </row>
    <row r="12477" spans="1:6" ht="12.75">
      <c r="A12477" s="2">
        <v>43879.667013888888</v>
      </c>
      <c r="B12477" t="str">
        <f>HYPERLINK("https://twitter.com/giftengs","@giftengs")</f>
        <v>@giftengs</v>
      </c>
      <c r="C12477" t="s">
        <v>1407</v>
      </c>
      <c r="D12477">
        <v>53</v>
      </c>
      <c r="E12477">
        <v>0</v>
      </c>
      <c r="F12477">
        <v>113</v>
      </c>
    </row>
    <row r="12478" spans="1:6" ht="12.75">
      <c r="A12478" s="2">
        <v>43879.667002314818</v>
      </c>
      <c r="B12478" t="str">
        <f>HYPERLINK("https://twitter.com/blue_facez","@blue_facez")</f>
        <v>@blue_facez</v>
      </c>
      <c r="C12478" t="s">
        <v>5702</v>
      </c>
      <c r="D12478">
        <v>14</v>
      </c>
      <c r="E12478">
        <v>0</v>
      </c>
      <c r="F12478">
        <v>1198</v>
      </c>
    </row>
    <row r="12479" spans="1:6" ht="12.75">
      <c r="A12479" s="2">
        <v>43879.666990740741</v>
      </c>
      <c r="B12479" t="str">
        <f>HYPERLINK("https://twitter.com/NurulFtrni","@NurulFtrni")</f>
        <v>@NurulFtrni</v>
      </c>
      <c r="C12479" t="s">
        <v>1407</v>
      </c>
      <c r="D12479">
        <v>53</v>
      </c>
      <c r="E12479">
        <v>0</v>
      </c>
      <c r="F12479">
        <v>242</v>
      </c>
    </row>
    <row r="12480" spans="1:6" ht="12.75">
      <c r="A12480" s="2">
        <v>43879.666956018518</v>
      </c>
      <c r="B12480" t="str">
        <f>HYPERLINK("https://twitter.com/BenZah6","@BenZah6")</f>
        <v>@BenZah6</v>
      </c>
      <c r="C12480" t="s">
        <v>5702</v>
      </c>
      <c r="D12480">
        <v>14</v>
      </c>
      <c r="E12480">
        <v>0</v>
      </c>
      <c r="F12480">
        <v>57</v>
      </c>
    </row>
    <row r="12481" spans="1:6" ht="12.75">
      <c r="A12481" s="2">
        <v>43879.666898148149</v>
      </c>
      <c r="B12481" t="str">
        <f>HYPERLINK("https://twitter.com/soffel84103944","@soffel84103944")</f>
        <v>@soffel84103944</v>
      </c>
      <c r="C12481" t="s">
        <v>6509</v>
      </c>
      <c r="D12481">
        <v>0</v>
      </c>
      <c r="E12481">
        <v>0</v>
      </c>
      <c r="F12481">
        <v>487</v>
      </c>
    </row>
    <row r="12482" spans="1:6" ht="12.75">
      <c r="A12482" s="2">
        <v>43879.66684027778</v>
      </c>
      <c r="B12482" t="str">
        <f>HYPERLINK("https://twitter.com/SuramaduJingga","@SuramaduJingga")</f>
        <v>@SuramaduJingga</v>
      </c>
      <c r="C12482" t="s">
        <v>6510</v>
      </c>
      <c r="D12482">
        <v>0</v>
      </c>
      <c r="E12482">
        <v>0</v>
      </c>
      <c r="F12482">
        <v>588</v>
      </c>
    </row>
    <row r="12483" spans="1:6" ht="12.75">
      <c r="A12483" s="2">
        <v>43879.666712962964</v>
      </c>
      <c r="B12483" t="str">
        <f>HYPERLINK("https://twitter.com/vidyvii","@vidyvii")</f>
        <v>@vidyvii</v>
      </c>
      <c r="C12483" t="s">
        <v>6511</v>
      </c>
      <c r="D12483">
        <v>1</v>
      </c>
      <c r="E12483">
        <v>0</v>
      </c>
      <c r="F12483">
        <v>404</v>
      </c>
    </row>
    <row r="12484" spans="1:6" ht="12.75">
      <c r="A12484" s="2">
        <v>43879.666701388887</v>
      </c>
      <c r="B12484" t="str">
        <f>HYPERLINK("https://twitter.com/perepet","@perepet")</f>
        <v>@perepet</v>
      </c>
      <c r="C12484" t="s">
        <v>6512</v>
      </c>
      <c r="D12484">
        <v>25</v>
      </c>
      <c r="E12484">
        <v>0</v>
      </c>
      <c r="F12484">
        <v>87</v>
      </c>
    </row>
    <row r="12485" spans="1:6" ht="12.75">
      <c r="A12485" s="2">
        <v>43879.666689814811</v>
      </c>
      <c r="B12485" t="str">
        <f>HYPERLINK("https://twitter.com/mujjtahidah","@mujjtahidah")</f>
        <v>@mujjtahidah</v>
      </c>
      <c r="C12485" t="s">
        <v>6032</v>
      </c>
      <c r="D12485">
        <v>447</v>
      </c>
      <c r="E12485">
        <v>0</v>
      </c>
      <c r="F12485">
        <v>225</v>
      </c>
    </row>
    <row r="12486" spans="1:6" ht="12.75">
      <c r="A12486" s="2">
        <v>43879.666643518518</v>
      </c>
      <c r="B12486" t="str">
        <f>HYPERLINK("https://twitter.com/chocogreentea_","@chocogreentea_")</f>
        <v>@chocogreentea_</v>
      </c>
      <c r="C12486" t="s">
        <v>6030</v>
      </c>
      <c r="D12486">
        <v>8</v>
      </c>
      <c r="E12486">
        <v>0</v>
      </c>
      <c r="F12486">
        <v>129</v>
      </c>
    </row>
    <row r="12487" spans="1:6" ht="12.75">
      <c r="A12487" s="2">
        <v>43879.666597222225</v>
      </c>
      <c r="B12487" t="str">
        <f>HYPERLINK("https://twitter.com/xgembelningrat","@xgembelningrat")</f>
        <v>@xgembelningrat</v>
      </c>
      <c r="C12487" t="s">
        <v>6513</v>
      </c>
      <c r="D12487">
        <v>0</v>
      </c>
      <c r="E12487">
        <v>0</v>
      </c>
      <c r="F12487">
        <v>56</v>
      </c>
    </row>
    <row r="12488" spans="1:6" ht="12.75">
      <c r="A12488" s="2">
        <v>43879.666597222225</v>
      </c>
      <c r="B12488" t="str">
        <f>HYPERLINK("https://twitter.com/fatimahdenalian","@fatimahdenalian")</f>
        <v>@fatimahdenalian</v>
      </c>
      <c r="C12488" t="s">
        <v>6032</v>
      </c>
      <c r="D12488">
        <v>447</v>
      </c>
      <c r="E12488">
        <v>0</v>
      </c>
      <c r="F12488">
        <v>402</v>
      </c>
    </row>
    <row r="12489" spans="1:6" ht="12.75">
      <c r="A12489" s="2">
        <v>43879.666562500002</v>
      </c>
      <c r="B12489" t="str">
        <f>HYPERLINK("https://twitter.com/boyfery85","@boyfery85")</f>
        <v>@boyfery85</v>
      </c>
      <c r="C12489" t="s">
        <v>6506</v>
      </c>
      <c r="D12489">
        <v>0</v>
      </c>
      <c r="E12489">
        <v>1</v>
      </c>
      <c r="F12489">
        <v>124</v>
      </c>
    </row>
    <row r="12490" spans="1:6" ht="12.75">
      <c r="A12490" s="2">
        <v>43879.666550925926</v>
      </c>
      <c r="B12490" t="str">
        <f t="shared" ref="B12490:B12491" si="213">HYPERLINK("https://twitter.com/ratu_adil","@ratu_adil")</f>
        <v>@ratu_adil</v>
      </c>
      <c r="C12490" t="s">
        <v>6486</v>
      </c>
      <c r="D12490">
        <v>3</v>
      </c>
      <c r="E12490">
        <v>0</v>
      </c>
      <c r="F12490">
        <v>52878</v>
      </c>
    </row>
    <row r="12491" spans="1:6" ht="12.75">
      <c r="A12491" s="2">
        <v>43879.666516203702</v>
      </c>
      <c r="B12491" t="str">
        <f t="shared" si="213"/>
        <v>@ratu_adil</v>
      </c>
      <c r="C12491" t="s">
        <v>6485</v>
      </c>
      <c r="D12491">
        <v>5</v>
      </c>
      <c r="E12491">
        <v>0</v>
      </c>
      <c r="F12491">
        <v>52878</v>
      </c>
    </row>
    <row r="12492" spans="1:6" ht="12.75">
      <c r="A12492" s="2">
        <v>43879.666284722218</v>
      </c>
      <c r="B12492" t="str">
        <f>HYPERLINK("https://twitter.com/pinkychr","@pinkychr")</f>
        <v>@pinkychr</v>
      </c>
      <c r="C12492" t="s">
        <v>6514</v>
      </c>
      <c r="D12492">
        <v>13</v>
      </c>
      <c r="E12492">
        <v>0</v>
      </c>
      <c r="F12492">
        <v>1063</v>
      </c>
    </row>
    <row r="12493" spans="1:6" ht="12.75">
      <c r="A12493" s="2">
        <v>43879.666203703702</v>
      </c>
      <c r="B12493" t="str">
        <f>HYPERLINK("https://twitter.com/junimina17","@junimina17")</f>
        <v>@junimina17</v>
      </c>
      <c r="C12493" t="s">
        <v>6515</v>
      </c>
      <c r="D12493">
        <v>0</v>
      </c>
      <c r="E12493">
        <v>0</v>
      </c>
      <c r="F12493">
        <v>282</v>
      </c>
    </row>
    <row r="12494" spans="1:6" ht="12.75">
      <c r="A12494" s="2">
        <v>43879.66611111111</v>
      </c>
      <c r="B12494" t="str">
        <f>HYPERLINK("https://twitter.com/twinklenbubbles","@twinklenbubbles")</f>
        <v>@twinklenbubbles</v>
      </c>
      <c r="C12494" t="s">
        <v>1407</v>
      </c>
      <c r="D12494">
        <v>53</v>
      </c>
      <c r="E12494">
        <v>0</v>
      </c>
      <c r="F12494">
        <v>46</v>
      </c>
    </row>
    <row r="12495" spans="1:6" ht="12.75">
      <c r="A12495" s="2">
        <v>43879.666041666671</v>
      </c>
      <c r="B12495" t="str">
        <f>HYPERLINK("https://twitter.com/FitriaNafisa","@FitriaNafisa")</f>
        <v>@FitriaNafisa</v>
      </c>
      <c r="C12495" t="s">
        <v>6207</v>
      </c>
      <c r="D12495">
        <v>3</v>
      </c>
      <c r="E12495">
        <v>0</v>
      </c>
      <c r="F12495">
        <v>1029</v>
      </c>
    </row>
    <row r="12496" spans="1:6" ht="12.75">
      <c r="A12496" s="2">
        <v>43879.666018518517</v>
      </c>
      <c r="B12496" t="str">
        <f>HYPERLINK("https://twitter.com/Mirwan3b","@Mirwan3b")</f>
        <v>@Mirwan3b</v>
      </c>
      <c r="C12496" t="s">
        <v>5702</v>
      </c>
      <c r="D12496">
        <v>14</v>
      </c>
      <c r="E12496">
        <v>0</v>
      </c>
      <c r="F12496">
        <v>763</v>
      </c>
    </row>
    <row r="12497" spans="1:6" ht="12.75">
      <c r="A12497" s="2">
        <v>43879.665960648148</v>
      </c>
      <c r="B12497" t="str">
        <f>HYPERLINK("https://twitter.com/zmunazzah_","@zmunazzah_")</f>
        <v>@zmunazzah_</v>
      </c>
      <c r="C12497" t="s">
        <v>1407</v>
      </c>
      <c r="D12497">
        <v>53</v>
      </c>
      <c r="E12497">
        <v>0</v>
      </c>
      <c r="F12497">
        <v>451</v>
      </c>
    </row>
    <row r="12498" spans="1:6" ht="12.75">
      <c r="A12498" s="2">
        <v>43879.665937500002</v>
      </c>
      <c r="B12498" t="str">
        <f>HYPERLINK("https://twitter.com/ddharnandaLagi","@ddharnandaLagi")</f>
        <v>@ddharnandaLagi</v>
      </c>
      <c r="C12498" t="s">
        <v>1920</v>
      </c>
      <c r="D12498">
        <v>28</v>
      </c>
      <c r="E12498">
        <v>0</v>
      </c>
      <c r="F12498">
        <v>273</v>
      </c>
    </row>
    <row r="12499" spans="1:6" ht="12.75">
      <c r="A12499" s="2">
        <v>43879.665798611109</v>
      </c>
      <c r="B12499" t="str">
        <f>HYPERLINK("https://twitter.com/uushmeida","@uushmeida")</f>
        <v>@uushmeida</v>
      </c>
      <c r="C12499" t="s">
        <v>6504</v>
      </c>
      <c r="D12499">
        <v>21</v>
      </c>
      <c r="E12499">
        <v>0</v>
      </c>
      <c r="F12499">
        <v>380</v>
      </c>
    </row>
    <row r="12500" spans="1:6" ht="12.75">
      <c r="A12500" s="2">
        <v>43879.665706018517</v>
      </c>
      <c r="B12500" t="str">
        <f>HYPERLINK("https://twitter.com/Dawiibibir","@Dawiibibir")</f>
        <v>@Dawiibibir</v>
      </c>
      <c r="C12500" t="s">
        <v>6512</v>
      </c>
      <c r="D12500">
        <v>25</v>
      </c>
      <c r="E12500">
        <v>0</v>
      </c>
      <c r="F12500">
        <v>268</v>
      </c>
    </row>
    <row r="12501" spans="1:6" ht="12.75">
      <c r="A12501" s="2">
        <v>43879.665659722217</v>
      </c>
      <c r="B12501" t="str">
        <f>HYPERLINK("https://twitter.com/carrolla491","@carrolla491")</f>
        <v>@carrolla491</v>
      </c>
      <c r="C12501" t="s">
        <v>3150</v>
      </c>
      <c r="D12501">
        <v>430</v>
      </c>
      <c r="E12501">
        <v>0</v>
      </c>
      <c r="F12501">
        <v>1652</v>
      </c>
    </row>
    <row r="12502" spans="1:6" ht="12.75">
      <c r="A12502" s="2">
        <v>43879.665625000001</v>
      </c>
      <c r="B12502" t="str">
        <f>HYPERLINK("https://twitter.com/titowskji","@titowskji")</f>
        <v>@titowskji</v>
      </c>
      <c r="C12502" t="s">
        <v>6032</v>
      </c>
      <c r="D12502">
        <v>447</v>
      </c>
      <c r="E12502">
        <v>0</v>
      </c>
      <c r="F12502">
        <v>260</v>
      </c>
    </row>
    <row r="12503" spans="1:6" ht="12.75">
      <c r="A12503" s="2">
        <v>43879.66542824074</v>
      </c>
      <c r="B12503" t="str">
        <f>HYPERLINK("https://twitter.com/tempodotco","@tempodotco")</f>
        <v>@tempodotco</v>
      </c>
      <c r="C12503" t="s">
        <v>6516</v>
      </c>
      <c r="D12503">
        <v>0</v>
      </c>
      <c r="E12503">
        <v>1</v>
      </c>
      <c r="F12503">
        <v>1705535</v>
      </c>
    </row>
    <row r="12504" spans="1:6" ht="12.75">
      <c r="A12504" s="2">
        <v>43879.665347222224</v>
      </c>
      <c r="B12504" t="str">
        <f>HYPERLINK("https://twitter.com/prettywuisan","@prettywuisan")</f>
        <v>@prettywuisan</v>
      </c>
      <c r="C12504" t="s">
        <v>6032</v>
      </c>
      <c r="D12504">
        <v>447</v>
      </c>
      <c r="E12504">
        <v>0</v>
      </c>
      <c r="F12504">
        <v>830</v>
      </c>
    </row>
    <row r="12505" spans="1:6" ht="12.75">
      <c r="A12505" s="2">
        <v>43879.665300925924</v>
      </c>
      <c r="B12505" t="str">
        <f>HYPERLINK("https://twitter.com/kompascom","@kompascom")</f>
        <v>@kompascom</v>
      </c>
      <c r="C12505" t="s">
        <v>6207</v>
      </c>
      <c r="D12505">
        <v>3</v>
      </c>
      <c r="E12505">
        <v>0</v>
      </c>
      <c r="F12505">
        <v>7502463</v>
      </c>
    </row>
    <row r="12506" spans="1:6" ht="12.75">
      <c r="A12506" s="2">
        <v>43879.665289351848</v>
      </c>
      <c r="B12506" t="str">
        <f>HYPERLINK("https://twitter.com/thearenata11","@thearenata11")</f>
        <v>@thearenata11</v>
      </c>
      <c r="C12506" t="s">
        <v>3474</v>
      </c>
      <c r="D12506">
        <v>15</v>
      </c>
      <c r="E12506">
        <v>0</v>
      </c>
      <c r="F12506">
        <v>337</v>
      </c>
    </row>
    <row r="12507" spans="1:6" ht="12.75">
      <c r="A12507" s="2">
        <v>43879.665277777778</v>
      </c>
      <c r="B12507" t="str">
        <f>HYPERLINK("https://twitter.com/DrGatikrishna","@DrGatikrishna")</f>
        <v>@DrGatikrishna</v>
      </c>
      <c r="C12507" t="s">
        <v>6517</v>
      </c>
      <c r="D12507">
        <v>0</v>
      </c>
      <c r="E12507">
        <v>0</v>
      </c>
      <c r="F12507">
        <v>132</v>
      </c>
    </row>
    <row r="12508" spans="1:6" ht="12.75">
      <c r="A12508" s="2">
        <v>43879.665254629625</v>
      </c>
      <c r="B12508" t="str">
        <f>HYPERLINK("https://twitter.com/aripinkturtle","@aripinkturtle")</f>
        <v>@aripinkturtle</v>
      </c>
      <c r="C12508" t="s">
        <v>3474</v>
      </c>
      <c r="D12508">
        <v>15</v>
      </c>
      <c r="E12508">
        <v>0</v>
      </c>
      <c r="F12508">
        <v>138</v>
      </c>
    </row>
    <row r="12509" spans="1:6" ht="12.75">
      <c r="A12509" s="2">
        <v>43879.665162037039</v>
      </c>
      <c r="B12509" t="str">
        <f>HYPERLINK("https://twitter.com/hermana_t","@hermana_t")</f>
        <v>@hermana_t</v>
      </c>
      <c r="C12509" t="s">
        <v>6518</v>
      </c>
      <c r="D12509">
        <v>1</v>
      </c>
      <c r="E12509">
        <v>0</v>
      </c>
      <c r="F12509">
        <v>10513</v>
      </c>
    </row>
    <row r="12510" spans="1:6" ht="12.75">
      <c r="A12510" s="2">
        <v>43879.664976851855</v>
      </c>
      <c r="B12510" t="str">
        <f>HYPERLINK("https://twitter.com/aprizilio","@aprizilio")</f>
        <v>@aprizilio</v>
      </c>
      <c r="C12510" t="s">
        <v>6032</v>
      </c>
      <c r="D12510">
        <v>447</v>
      </c>
      <c r="E12510">
        <v>0</v>
      </c>
      <c r="F12510">
        <v>139</v>
      </c>
    </row>
    <row r="12511" spans="1:6" ht="12.75">
      <c r="A12511" s="2">
        <v>43879.664965277778</v>
      </c>
      <c r="B12511" t="str">
        <f>HYPERLINK("https://twitter.com/Redyadiv","@Redyadiv")</f>
        <v>@Redyadiv</v>
      </c>
      <c r="C12511" t="s">
        <v>6519</v>
      </c>
      <c r="D12511">
        <v>0</v>
      </c>
      <c r="E12511">
        <v>0</v>
      </c>
      <c r="F12511">
        <v>51</v>
      </c>
    </row>
    <row r="12512" spans="1:6" ht="12.75">
      <c r="A12512" s="2">
        <v>43879.664953703701</v>
      </c>
      <c r="B12512" t="str">
        <f>HYPERLINK("https://twitter.com/kompasiana","@kompasiana")</f>
        <v>@kompasiana</v>
      </c>
      <c r="C12512" t="s">
        <v>5560</v>
      </c>
      <c r="D12512">
        <v>3</v>
      </c>
      <c r="E12512">
        <v>0</v>
      </c>
      <c r="F12512">
        <v>928695</v>
      </c>
    </row>
    <row r="12513" spans="1:6" ht="12.75">
      <c r="A12513" s="2">
        <v>43879.664918981478</v>
      </c>
      <c r="B12513" t="str">
        <f>HYPERLINK("https://twitter.com/NMoekijat","@NMoekijat")</f>
        <v>@NMoekijat</v>
      </c>
      <c r="C12513" t="s">
        <v>6520</v>
      </c>
      <c r="D12513">
        <v>0</v>
      </c>
      <c r="E12513">
        <v>0</v>
      </c>
      <c r="F12513">
        <v>9157</v>
      </c>
    </row>
    <row r="12514" spans="1:6" ht="12.75">
      <c r="A12514" s="2">
        <v>43879.664872685185</v>
      </c>
      <c r="B12514" t="str">
        <f>HYPERLINK("https://twitter.com/MNCsindoweekly","@MNCsindoweekly")</f>
        <v>@MNCsindoweekly</v>
      </c>
      <c r="C12514" t="s">
        <v>6521</v>
      </c>
      <c r="D12514">
        <v>0</v>
      </c>
      <c r="E12514">
        <v>0</v>
      </c>
      <c r="F12514">
        <v>109029</v>
      </c>
    </row>
    <row r="12515" spans="1:6" ht="12.75">
      <c r="A12515" s="2">
        <v>43879.664756944447</v>
      </c>
      <c r="B12515" t="str">
        <f>HYPERLINK("https://twitter.com/liebe_areeca","@liebe_areeca")</f>
        <v>@liebe_areeca</v>
      </c>
      <c r="C12515" t="s">
        <v>5644</v>
      </c>
      <c r="D12515">
        <v>179</v>
      </c>
      <c r="E12515">
        <v>0</v>
      </c>
      <c r="F12515">
        <v>1129</v>
      </c>
    </row>
    <row r="12516" spans="1:6" ht="12.75">
      <c r="A12516" s="2">
        <v>43879.664756944447</v>
      </c>
      <c r="B12516" t="str">
        <f>HYPERLINK("https://twitter.com/rosaphire","@rosaphire")</f>
        <v>@rosaphire</v>
      </c>
      <c r="C12516" t="s">
        <v>1407</v>
      </c>
      <c r="D12516">
        <v>53</v>
      </c>
      <c r="E12516">
        <v>0</v>
      </c>
      <c r="F12516">
        <v>230</v>
      </c>
    </row>
    <row r="12517" spans="1:6" ht="12.75">
      <c r="A12517" s="2">
        <v>43879.664722222224</v>
      </c>
      <c r="B12517" t="str">
        <f>HYPERLINK("https://twitter.com/quthoytho","@quthoytho")</f>
        <v>@quthoytho</v>
      </c>
      <c r="C12517" t="s">
        <v>1407</v>
      </c>
      <c r="D12517">
        <v>53</v>
      </c>
      <c r="E12517">
        <v>0</v>
      </c>
      <c r="F12517">
        <v>171</v>
      </c>
    </row>
    <row r="12518" spans="1:6" ht="12.75">
      <c r="A12518" s="2">
        <v>43879.664687500001</v>
      </c>
      <c r="B12518" t="str">
        <f>HYPERLINK("https://twitter.com/RahmaAy86090311","@RahmaAy86090311")</f>
        <v>@RahmaAy86090311</v>
      </c>
      <c r="C12518" t="s">
        <v>6522</v>
      </c>
      <c r="D12518">
        <v>0</v>
      </c>
      <c r="E12518">
        <v>0</v>
      </c>
      <c r="F12518">
        <v>1220</v>
      </c>
    </row>
    <row r="12519" spans="1:6" ht="12.75">
      <c r="A12519" s="2">
        <v>43879.664594907408</v>
      </c>
      <c r="B12519" t="str">
        <f>HYPERLINK("https://twitter.com/smatemsa","@smatemsa")</f>
        <v>@smatemsa</v>
      </c>
      <c r="C12519" t="s">
        <v>5702</v>
      </c>
      <c r="D12519">
        <v>14</v>
      </c>
      <c r="E12519">
        <v>0</v>
      </c>
      <c r="F12519">
        <v>1283</v>
      </c>
    </row>
    <row r="12520" spans="1:6" ht="12.75">
      <c r="A12520" s="2">
        <v>43879.664537037039</v>
      </c>
      <c r="B12520" t="str">
        <f>HYPERLINK("https://twitter.com/BrisikId","@BrisikId")</f>
        <v>@BrisikId</v>
      </c>
      <c r="C12520" t="s">
        <v>6523</v>
      </c>
      <c r="D12520">
        <v>0</v>
      </c>
      <c r="E12520">
        <v>1</v>
      </c>
      <c r="F12520">
        <v>8</v>
      </c>
    </row>
    <row r="12521" spans="1:6" ht="12.75">
      <c r="A12521" s="2">
        <v>43879.664386574077</v>
      </c>
      <c r="B12521" t="str">
        <f>HYPERLINK("https://twitter.com/todetodD","@todetodD")</f>
        <v>@todetodD</v>
      </c>
      <c r="C12521" t="s">
        <v>6032</v>
      </c>
      <c r="D12521">
        <v>447</v>
      </c>
      <c r="E12521">
        <v>0</v>
      </c>
      <c r="F12521">
        <v>1325</v>
      </c>
    </row>
    <row r="12522" spans="1:6" ht="12.75">
      <c r="A12522" s="2">
        <v>43879.664340277777</v>
      </c>
      <c r="B12522" t="str">
        <f>HYPERLINK("https://twitter.com/GajahNata","@GajahNata")</f>
        <v>@GajahNata</v>
      </c>
      <c r="C12522" t="s">
        <v>5702</v>
      </c>
      <c r="D12522">
        <v>14</v>
      </c>
      <c r="E12522">
        <v>0</v>
      </c>
      <c r="F12522">
        <v>1216</v>
      </c>
    </row>
    <row r="12523" spans="1:6" ht="12.75">
      <c r="A12523" s="2">
        <v>43879.664201388892</v>
      </c>
      <c r="B12523" t="str">
        <f>HYPERLINK("https://twitter.com/v_yudhistira","@v_yudhistira")</f>
        <v>@v_yudhistira</v>
      </c>
      <c r="C12523" t="s">
        <v>6032</v>
      </c>
      <c r="D12523">
        <v>447</v>
      </c>
      <c r="E12523">
        <v>0</v>
      </c>
      <c r="F12523">
        <v>492</v>
      </c>
    </row>
    <row r="12524" spans="1:6" ht="12.75">
      <c r="A12524" s="2">
        <v>43879.664108796293</v>
      </c>
      <c r="B12524" t="str">
        <f>HYPERLINK("https://twitter.com/shayyytan","@shayyytan")</f>
        <v>@shayyytan</v>
      </c>
      <c r="C12524" t="s">
        <v>1407</v>
      </c>
      <c r="D12524">
        <v>53</v>
      </c>
      <c r="E12524">
        <v>0</v>
      </c>
      <c r="F12524">
        <v>24</v>
      </c>
    </row>
    <row r="12525" spans="1:6" ht="12.75">
      <c r="A12525" s="2">
        <v>43879.664085648154</v>
      </c>
      <c r="B12525" t="str">
        <f>HYPERLINK("https://twitter.com/tribunnews","@tribunnews")</f>
        <v>@tribunnews</v>
      </c>
      <c r="C12525" t="s">
        <v>6524</v>
      </c>
      <c r="D12525">
        <v>0</v>
      </c>
      <c r="E12525">
        <v>2</v>
      </c>
      <c r="F12525">
        <v>875961</v>
      </c>
    </row>
    <row r="12526" spans="1:6" ht="12.75">
      <c r="A12526" s="2">
        <v>43879.66407407407</v>
      </c>
      <c r="B12526" t="str">
        <f>HYPERLINK("https://twitter.com/Abraham91108815","@Abraham91108815")</f>
        <v>@Abraham91108815</v>
      </c>
      <c r="C12526" t="s">
        <v>5702</v>
      </c>
      <c r="D12526">
        <v>14</v>
      </c>
      <c r="E12526">
        <v>0</v>
      </c>
      <c r="F12526">
        <v>42</v>
      </c>
    </row>
    <row r="12527" spans="1:6" ht="12.75">
      <c r="A12527" s="2">
        <v>43879.663958333331</v>
      </c>
      <c r="B12527" t="str">
        <f>HYPERLINK("https://twitter.com/BilalPANSEL","@BilalPANSEL")</f>
        <v>@BilalPANSEL</v>
      </c>
      <c r="C12527" t="s">
        <v>5702</v>
      </c>
      <c r="D12527">
        <v>14</v>
      </c>
      <c r="E12527">
        <v>0</v>
      </c>
      <c r="F12527">
        <v>548</v>
      </c>
    </row>
    <row r="12528" spans="1:6" ht="12.75">
      <c r="A12528" s="2">
        <v>43879.663888888885</v>
      </c>
      <c r="B12528" t="str">
        <f>HYPERLINK("https://twitter.com/RahmaAy86090311","@RahmaAy86090311")</f>
        <v>@RahmaAy86090311</v>
      </c>
      <c r="C12528" t="s">
        <v>5702</v>
      </c>
      <c r="D12528">
        <v>14</v>
      </c>
      <c r="E12528">
        <v>0</v>
      </c>
      <c r="F12528">
        <v>1220</v>
      </c>
    </row>
    <row r="12529" spans="1:6" ht="12.75">
      <c r="A12529" s="2">
        <v>43879.663877314815</v>
      </c>
      <c r="B12529" t="str">
        <f>HYPERLINK("https://twitter.com/shortieunji","@shortieunji")</f>
        <v>@shortieunji</v>
      </c>
      <c r="C12529" t="s">
        <v>6010</v>
      </c>
      <c r="D12529">
        <v>16</v>
      </c>
      <c r="E12529">
        <v>0</v>
      </c>
      <c r="F12529">
        <v>509</v>
      </c>
    </row>
    <row r="12530" spans="1:6" ht="12.75">
      <c r="A12530" s="2">
        <v>43879.663842592592</v>
      </c>
      <c r="B12530" t="str">
        <f>HYPERLINK("https://twitter.com/FrankyTts","@FrankyTts")</f>
        <v>@FrankyTts</v>
      </c>
      <c r="C12530" t="s">
        <v>6525</v>
      </c>
      <c r="D12530">
        <v>0</v>
      </c>
      <c r="E12530">
        <v>0</v>
      </c>
      <c r="F12530">
        <v>19</v>
      </c>
    </row>
    <row r="12531" spans="1:6" ht="12.75">
      <c r="A12531" s="2">
        <v>43879.663819444446</v>
      </c>
      <c r="B12531" t="str">
        <f>HYPERLINK("https://twitter.com/BlackisBlackMSS","@BlackisBlackMSS")</f>
        <v>@BlackisBlackMSS</v>
      </c>
      <c r="C12531" t="s">
        <v>2155</v>
      </c>
      <c r="D12531">
        <v>474</v>
      </c>
      <c r="E12531">
        <v>0</v>
      </c>
      <c r="F12531">
        <v>4484</v>
      </c>
    </row>
    <row r="12532" spans="1:6" ht="12.75">
      <c r="A12532" s="2">
        <v>43879.663773148146</v>
      </c>
      <c r="B12532" t="str">
        <f>HYPERLINK("https://twitter.com/hasurungan","@hasurungan")</f>
        <v>@hasurungan</v>
      </c>
      <c r="C12532" t="s">
        <v>1407</v>
      </c>
      <c r="D12532">
        <v>53</v>
      </c>
      <c r="E12532">
        <v>0</v>
      </c>
      <c r="F12532">
        <v>306</v>
      </c>
    </row>
    <row r="12533" spans="1:6" ht="12.75">
      <c r="A12533" s="2">
        <v>43879.663715277777</v>
      </c>
      <c r="B12533" t="str">
        <f>HYPERLINK("https://twitter.com/shortieunji","@shortieunji")</f>
        <v>@shortieunji</v>
      </c>
      <c r="C12533" t="s">
        <v>6032</v>
      </c>
      <c r="D12533">
        <v>447</v>
      </c>
      <c r="E12533">
        <v>0</v>
      </c>
      <c r="F12533">
        <v>509</v>
      </c>
    </row>
    <row r="12534" spans="1:6" ht="12.75">
      <c r="A12534" s="2">
        <v>43879.663668981477</v>
      </c>
      <c r="B12534" t="str">
        <f>HYPERLINK("https://twitter.com/mesinketikrusak","@mesinketikrusak")</f>
        <v>@mesinketikrusak</v>
      </c>
      <c r="C12534" t="s">
        <v>6032</v>
      </c>
      <c r="D12534">
        <v>447</v>
      </c>
      <c r="E12534">
        <v>0</v>
      </c>
      <c r="F12534">
        <v>506</v>
      </c>
    </row>
    <row r="12535" spans="1:6" ht="12.75">
      <c r="A12535" s="2">
        <v>43879.663576388892</v>
      </c>
      <c r="B12535" t="str">
        <f>HYPERLINK("https://twitter.com/hasurungan","@hasurungan")</f>
        <v>@hasurungan</v>
      </c>
      <c r="C12535" t="s">
        <v>6514</v>
      </c>
      <c r="D12535">
        <v>13</v>
      </c>
      <c r="E12535">
        <v>0</v>
      </c>
      <c r="F12535">
        <v>306</v>
      </c>
    </row>
    <row r="12536" spans="1:6" ht="12.75">
      <c r="A12536" s="2">
        <v>43879.663553240738</v>
      </c>
      <c r="B12536" t="str">
        <f>HYPERLINK("https://twitter.com/beatrice_health","@beatrice_health")</f>
        <v>@beatrice_health</v>
      </c>
      <c r="C12536" t="s">
        <v>5702</v>
      </c>
      <c r="D12536">
        <v>14</v>
      </c>
      <c r="E12536">
        <v>0</v>
      </c>
      <c r="F12536">
        <v>186</v>
      </c>
    </row>
    <row r="12537" spans="1:6" ht="12.75">
      <c r="A12537" s="2">
        <v>43879.663506944446</v>
      </c>
      <c r="B12537" t="str">
        <f>HYPERLINK("https://twitter.com/en_setiawan","@en_setiawan")</f>
        <v>@en_setiawan</v>
      </c>
      <c r="C12537" t="s">
        <v>5702</v>
      </c>
      <c r="D12537">
        <v>14</v>
      </c>
      <c r="E12537">
        <v>0</v>
      </c>
      <c r="F12537">
        <v>938</v>
      </c>
    </row>
    <row r="12538" spans="1:6" ht="12.75">
      <c r="A12538" s="2">
        <v>43879.663101851853</v>
      </c>
      <c r="B12538" t="str">
        <f>HYPERLINK("https://twitter.com/hime_star_","@hime_star_")</f>
        <v>@hime_star_</v>
      </c>
      <c r="C12538" t="s">
        <v>6032</v>
      </c>
      <c r="D12538">
        <v>447</v>
      </c>
      <c r="E12538">
        <v>0</v>
      </c>
      <c r="F12538">
        <v>323</v>
      </c>
    </row>
    <row r="12539" spans="1:6" ht="12.75">
      <c r="A12539" s="2">
        <v>43879.662974537037</v>
      </c>
      <c r="B12539" t="str">
        <f>HYPERLINK("https://twitter.com/Asriniani","@Asriniani")</f>
        <v>@Asriniani</v>
      </c>
      <c r="C12539" t="s">
        <v>6032</v>
      </c>
      <c r="D12539">
        <v>447</v>
      </c>
      <c r="E12539">
        <v>0</v>
      </c>
      <c r="F12539">
        <v>699</v>
      </c>
    </row>
    <row r="12540" spans="1:6" ht="12.75">
      <c r="A12540" s="2">
        <v>43879.662870370375</v>
      </c>
      <c r="B12540" t="str">
        <f>HYPERLINK("https://twitter.com/kresnagerih","@kresnagerih")</f>
        <v>@kresnagerih</v>
      </c>
      <c r="C12540" t="s">
        <v>6032</v>
      </c>
      <c r="D12540">
        <v>447</v>
      </c>
      <c r="E12540">
        <v>0</v>
      </c>
      <c r="F12540">
        <v>310</v>
      </c>
    </row>
    <row r="12541" spans="1:6" ht="12.75">
      <c r="A12541" s="2">
        <v>43879.662569444445</v>
      </c>
      <c r="B12541" t="str">
        <f>HYPERLINK("https://twitter.com/dewewes","@dewewes")</f>
        <v>@dewewes</v>
      </c>
      <c r="C12541" t="s">
        <v>1407</v>
      </c>
      <c r="D12541">
        <v>53</v>
      </c>
      <c r="E12541">
        <v>0</v>
      </c>
      <c r="F12541">
        <v>269</v>
      </c>
    </row>
    <row r="12542" spans="1:6" ht="12.75">
      <c r="A12542" s="2">
        <v>43879.662523148145</v>
      </c>
      <c r="B12542" t="str">
        <f>HYPERLINK("https://twitter.com/aqfiazfan","@aqfiazfan")</f>
        <v>@aqfiazfan</v>
      </c>
      <c r="C12542" t="s">
        <v>6526</v>
      </c>
      <c r="D12542">
        <v>0</v>
      </c>
      <c r="E12542">
        <v>0</v>
      </c>
      <c r="F12542">
        <v>5480</v>
      </c>
    </row>
    <row r="12543" spans="1:6" ht="12.75">
      <c r="A12543" s="2">
        <v>43879.662442129629</v>
      </c>
      <c r="B12543" t="str">
        <f>HYPERLINK("https://twitter.com/Demokrat_TV","@Demokrat_TV")</f>
        <v>@Demokrat_TV</v>
      </c>
      <c r="C12543" t="s">
        <v>6527</v>
      </c>
      <c r="D12543">
        <v>1</v>
      </c>
      <c r="E12543">
        <v>0</v>
      </c>
      <c r="F12543">
        <v>6177764</v>
      </c>
    </row>
    <row r="12544" spans="1:6" ht="12.75">
      <c r="A12544" s="2">
        <v>43879.662349537037</v>
      </c>
      <c r="B12544" t="str">
        <f>HYPERLINK("https://twitter.com/varshasalsaa","@varshasalsaa")</f>
        <v>@varshasalsaa</v>
      </c>
      <c r="C12544" t="s">
        <v>6032</v>
      </c>
      <c r="D12544">
        <v>447</v>
      </c>
      <c r="E12544">
        <v>0</v>
      </c>
      <c r="F12544">
        <v>806</v>
      </c>
    </row>
    <row r="12545" spans="1:6" ht="12.75">
      <c r="A12545" s="2">
        <v>43879.662326388891</v>
      </c>
      <c r="B12545" t="str">
        <f>HYPERLINK("https://twitter.com/sitimaysarohxix","@sitimaysarohxix")</f>
        <v>@sitimaysarohxix</v>
      </c>
      <c r="C12545" t="s">
        <v>5644</v>
      </c>
      <c r="D12545">
        <v>179</v>
      </c>
      <c r="E12545">
        <v>0</v>
      </c>
      <c r="F12545">
        <v>623</v>
      </c>
    </row>
    <row r="12546" spans="1:6" ht="12.75">
      <c r="A12546" s="2">
        <v>43879.662245370375</v>
      </c>
      <c r="B12546" t="str">
        <f>HYPERLINK("https://twitter.com/candradevik","@candradevik")</f>
        <v>@candradevik</v>
      </c>
      <c r="C12546" t="s">
        <v>6032</v>
      </c>
      <c r="D12546">
        <v>447</v>
      </c>
      <c r="E12546">
        <v>0</v>
      </c>
      <c r="F12546">
        <v>620</v>
      </c>
    </row>
    <row r="12547" spans="1:6" ht="12.75">
      <c r="A12547" s="2">
        <v>43879.661944444444</v>
      </c>
      <c r="B12547" t="str">
        <f>HYPERLINK("https://twitter.com/ninisaisyah","@ninisaisyah")</f>
        <v>@ninisaisyah</v>
      </c>
      <c r="C12547" t="s">
        <v>6032</v>
      </c>
      <c r="D12547">
        <v>447</v>
      </c>
      <c r="E12547">
        <v>0</v>
      </c>
      <c r="F12547">
        <v>401</v>
      </c>
    </row>
    <row r="12548" spans="1:6" ht="12.75">
      <c r="A12548" s="2">
        <v>43879.661921296298</v>
      </c>
      <c r="B12548" t="str">
        <f>HYPERLINK("https://twitter.com/rasnugros","@rasnugros")</f>
        <v>@rasnugros</v>
      </c>
      <c r="C12548" t="s">
        <v>6528</v>
      </c>
      <c r="D12548">
        <v>0</v>
      </c>
      <c r="E12548">
        <v>0</v>
      </c>
      <c r="F12548">
        <v>51</v>
      </c>
    </row>
    <row r="12549" spans="1:6" ht="12.75">
      <c r="A12549" s="2">
        <v>43879.661817129629</v>
      </c>
      <c r="B12549" t="str">
        <f>HYPERLINK("https://twitter.com/Rudiati03","@Rudiati03")</f>
        <v>@Rudiati03</v>
      </c>
      <c r="C12549" t="s">
        <v>5982</v>
      </c>
      <c r="D12549">
        <v>12</v>
      </c>
      <c r="E12549">
        <v>0</v>
      </c>
      <c r="F12549">
        <v>228</v>
      </c>
    </row>
    <row r="12550" spans="1:6" ht="12.75">
      <c r="A12550" s="2">
        <v>43879.661805555559</v>
      </c>
      <c r="B12550" t="str">
        <f>HYPERLINK("https://twitter.com/snflwrrrrrrrr","@snflwrrrrrrrr")</f>
        <v>@snflwrrrrrrrr</v>
      </c>
      <c r="C12550" t="s">
        <v>1407</v>
      </c>
      <c r="D12550">
        <v>53</v>
      </c>
      <c r="E12550">
        <v>0</v>
      </c>
      <c r="F12550">
        <v>837</v>
      </c>
    </row>
    <row r="12551" spans="1:6" ht="12.75">
      <c r="A12551" s="2">
        <v>43879.661782407406</v>
      </c>
      <c r="B12551" t="str">
        <f>HYPERLINK("https://twitter.com/sjarafina","@sjarafina")</f>
        <v>@sjarafina</v>
      </c>
      <c r="C12551" t="s">
        <v>6032</v>
      </c>
      <c r="D12551">
        <v>447</v>
      </c>
      <c r="E12551">
        <v>0</v>
      </c>
      <c r="F12551">
        <v>429</v>
      </c>
    </row>
    <row r="12552" spans="1:6" ht="12.75">
      <c r="A12552" s="2">
        <v>43879.661782407406</v>
      </c>
      <c r="B12552" t="str">
        <f>HYPERLINK("https://twitter.com/obatcoldeanflu","@obatcoldeanflu")</f>
        <v>@obatcoldeanflu</v>
      </c>
      <c r="C12552" t="s">
        <v>6529</v>
      </c>
      <c r="D12552">
        <v>0</v>
      </c>
      <c r="E12552">
        <v>0</v>
      </c>
      <c r="F12552">
        <v>462</v>
      </c>
    </row>
    <row r="12553" spans="1:6" ht="12.75">
      <c r="A12553" s="2">
        <v>43879.661712962959</v>
      </c>
      <c r="B12553" t="str">
        <f>HYPERLINK("https://twitter.com/whitelotus_flow","@whitelotus_flow")</f>
        <v>@whitelotus_flow</v>
      </c>
      <c r="C12553" t="s">
        <v>6512</v>
      </c>
      <c r="D12553">
        <v>25</v>
      </c>
      <c r="E12553">
        <v>0</v>
      </c>
      <c r="F12553">
        <v>170</v>
      </c>
    </row>
    <row r="12554" spans="1:6" ht="12.75">
      <c r="A12554" s="2">
        <v>43879.661608796298</v>
      </c>
      <c r="B12554" t="str">
        <f>HYPERLINK("https://twitter.com/octoberfllore","@octoberfllore")</f>
        <v>@octoberfllore</v>
      </c>
      <c r="C12554" t="s">
        <v>6032</v>
      </c>
      <c r="D12554">
        <v>447</v>
      </c>
      <c r="E12554">
        <v>0</v>
      </c>
      <c r="F12554">
        <v>136</v>
      </c>
    </row>
    <row r="12555" spans="1:6" ht="12.75">
      <c r="A12555" s="2">
        <v>43879.661550925928</v>
      </c>
      <c r="B12555" t="str">
        <f>HYPERLINK("https://twitter.com/nyzam921","@nyzam921")</f>
        <v>@nyzam921</v>
      </c>
      <c r="C12555" t="s">
        <v>6530</v>
      </c>
      <c r="D12555">
        <v>0</v>
      </c>
      <c r="E12555">
        <v>1</v>
      </c>
      <c r="F12555">
        <v>458</v>
      </c>
    </row>
    <row r="12556" spans="1:6" ht="12.75">
      <c r="A12556" s="2">
        <v>43879.661539351851</v>
      </c>
      <c r="B12556" t="str">
        <f>HYPERLINK("https://twitter.com/jaehyunnuklir__","@jaehyunnuklir__")</f>
        <v>@jaehyunnuklir__</v>
      </c>
      <c r="C12556" t="s">
        <v>6531</v>
      </c>
      <c r="D12556">
        <v>2</v>
      </c>
      <c r="E12556">
        <v>0</v>
      </c>
      <c r="F12556">
        <v>2329</v>
      </c>
    </row>
    <row r="12557" spans="1:6" ht="12.75">
      <c r="A12557" s="2">
        <v>43879.626608796301</v>
      </c>
      <c r="B12557" t="str">
        <f>HYPERLINK("https://twitter.com/makaronimangad","@makaronimangad")</f>
        <v>@makaronimangad</v>
      </c>
      <c r="C12557" t="s">
        <v>6532</v>
      </c>
      <c r="D12557">
        <v>2</v>
      </c>
      <c r="E12557">
        <v>0</v>
      </c>
      <c r="F12557">
        <v>71</v>
      </c>
    </row>
    <row r="12558" spans="1:6" ht="12.75">
      <c r="A12558" s="2">
        <v>43879.626539351855</v>
      </c>
      <c r="B12558" t="str">
        <f>HYPERLINK("https://twitter.com/KeromanSinus","@KeromanSinus")</f>
        <v>@KeromanSinus</v>
      </c>
      <c r="C12558" t="s">
        <v>6032</v>
      </c>
      <c r="D12558">
        <v>160</v>
      </c>
      <c r="E12558">
        <v>0</v>
      </c>
      <c r="F12558">
        <v>23</v>
      </c>
    </row>
    <row r="12559" spans="1:6" ht="12.75">
      <c r="A12559" s="2">
        <v>43879.626527777778</v>
      </c>
      <c r="B12559" t="str">
        <f>HYPERLINK("https://twitter.com/gtmlyc","@gtmlyc")</f>
        <v>@gtmlyc</v>
      </c>
      <c r="C12559" t="s">
        <v>5644</v>
      </c>
      <c r="D12559">
        <v>126</v>
      </c>
      <c r="E12559">
        <v>0</v>
      </c>
      <c r="F12559">
        <v>311</v>
      </c>
    </row>
    <row r="12560" spans="1:6" ht="12.75">
      <c r="A12560" s="2">
        <v>43879.626504629632</v>
      </c>
      <c r="B12560" t="str">
        <f>HYPERLINK("https://twitter.com/tutor_otodidak","@tutor_otodidak")</f>
        <v>@tutor_otodidak</v>
      </c>
      <c r="C12560" t="s">
        <v>6533</v>
      </c>
      <c r="D12560">
        <v>0</v>
      </c>
      <c r="E12560">
        <v>0</v>
      </c>
      <c r="F12560">
        <v>219</v>
      </c>
    </row>
    <row r="12561" spans="1:6" ht="12.75">
      <c r="A12561" s="2">
        <v>43879.626400462963</v>
      </c>
      <c r="B12561" t="str">
        <f>HYPERLINK("https://twitter.com/sadewasulung","@sadewasulung")</f>
        <v>@sadewasulung</v>
      </c>
      <c r="C12561" t="s">
        <v>6032</v>
      </c>
      <c r="D12561">
        <v>160</v>
      </c>
      <c r="E12561">
        <v>0</v>
      </c>
      <c r="F12561">
        <v>802</v>
      </c>
    </row>
    <row r="12562" spans="1:6" ht="12.75">
      <c r="A12562" s="2">
        <v>43879.626203703709</v>
      </c>
      <c r="B12562" t="str">
        <f>HYPERLINK("https://twitter.com/Bayu_99091","@Bayu_99091")</f>
        <v>@Bayu_99091</v>
      </c>
      <c r="C12562" t="s">
        <v>5644</v>
      </c>
      <c r="D12562">
        <v>126</v>
      </c>
      <c r="E12562">
        <v>0</v>
      </c>
      <c r="F12562">
        <v>591</v>
      </c>
    </row>
    <row r="12563" spans="1:6" ht="12.75">
      <c r="A12563" s="2">
        <v>43879.626192129625</v>
      </c>
      <c r="B12563" t="str">
        <f>HYPERLINK("https://twitter.com/___iamkay","@___iamkay")</f>
        <v>@___iamkay</v>
      </c>
      <c r="C12563" t="s">
        <v>6052</v>
      </c>
      <c r="D12563">
        <v>38</v>
      </c>
      <c r="E12563">
        <v>0</v>
      </c>
      <c r="F12563">
        <v>315</v>
      </c>
    </row>
    <row r="12564" spans="1:6" ht="12.75">
      <c r="A12564" s="2">
        <v>43879.626111111109</v>
      </c>
      <c r="B12564" t="str">
        <f>HYPERLINK("https://twitter.com/happydelightea","@happydelightea")</f>
        <v>@happydelightea</v>
      </c>
      <c r="C12564" t="s">
        <v>6032</v>
      </c>
      <c r="D12564">
        <v>160</v>
      </c>
      <c r="E12564">
        <v>0</v>
      </c>
      <c r="F12564">
        <v>424</v>
      </c>
    </row>
    <row r="12565" spans="1:6" ht="12.75">
      <c r="A12565" s="2">
        <v>43879.626076388886</v>
      </c>
      <c r="B12565" t="str">
        <f>HYPERLINK("https://twitter.com/syifn","@syifn")</f>
        <v>@syifn</v>
      </c>
      <c r="C12565" t="s">
        <v>6032</v>
      </c>
      <c r="D12565">
        <v>160</v>
      </c>
      <c r="E12565">
        <v>0</v>
      </c>
      <c r="F12565">
        <v>173</v>
      </c>
    </row>
    <row r="12566" spans="1:6" ht="12.75">
      <c r="A12566" s="2">
        <v>43879.625972222224</v>
      </c>
      <c r="B12566" t="str">
        <f>HYPERLINK("https://twitter.com/viinilattae","@viinilattae")</f>
        <v>@viinilattae</v>
      </c>
      <c r="C12566" t="s">
        <v>6032</v>
      </c>
      <c r="D12566">
        <v>160</v>
      </c>
      <c r="E12566">
        <v>0</v>
      </c>
      <c r="F12566">
        <v>359</v>
      </c>
    </row>
    <row r="12567" spans="1:6" ht="12.75">
      <c r="A12567" s="2">
        <v>43879.625902777778</v>
      </c>
      <c r="B12567" t="str">
        <f>HYPERLINK("https://twitter.com/isminundor","@isminundor")</f>
        <v>@isminundor</v>
      </c>
      <c r="C12567" t="s">
        <v>6032</v>
      </c>
      <c r="D12567">
        <v>160</v>
      </c>
      <c r="E12567">
        <v>0</v>
      </c>
      <c r="F12567">
        <v>316</v>
      </c>
    </row>
    <row r="12568" spans="1:6" ht="12.75">
      <c r="A12568" s="2">
        <v>43879.625787037032</v>
      </c>
      <c r="B12568" t="str">
        <f>HYPERLINK("https://twitter.com/ManLukmaan","@ManLukmaan")</f>
        <v>@ManLukmaan</v>
      </c>
      <c r="C12568" t="s">
        <v>6032</v>
      </c>
      <c r="D12568">
        <v>160</v>
      </c>
      <c r="E12568">
        <v>0</v>
      </c>
      <c r="F12568">
        <v>259</v>
      </c>
    </row>
    <row r="12569" spans="1:6" ht="12.75">
      <c r="A12569" s="2">
        <v>43879.625763888893</v>
      </c>
      <c r="B12569" t="str">
        <f>HYPERLINK("https://twitter.com/jantuk","@jantuk")</f>
        <v>@jantuk</v>
      </c>
      <c r="C12569" t="s">
        <v>6032</v>
      </c>
      <c r="D12569">
        <v>160</v>
      </c>
      <c r="E12569">
        <v>0</v>
      </c>
      <c r="F12569">
        <v>546</v>
      </c>
    </row>
    <row r="12570" spans="1:6" ht="12.75">
      <c r="A12570" s="2">
        <v>43879.625752314816</v>
      </c>
      <c r="B12570" t="str">
        <f>HYPERLINK("https://twitter.com/Bravaradio","@Bravaradio")</f>
        <v>@Bravaradio</v>
      </c>
      <c r="C12570" t="s">
        <v>6534</v>
      </c>
      <c r="D12570">
        <v>0</v>
      </c>
      <c r="E12570">
        <v>0</v>
      </c>
      <c r="F12570">
        <v>8575</v>
      </c>
    </row>
    <row r="12571" spans="1:6" ht="12.75">
      <c r="A12571" s="2">
        <v>43879.625752314816</v>
      </c>
      <c r="B12571" t="str">
        <f>HYPERLINK("https://twitter.com/Frans_Priyo","@Frans_Priyo")</f>
        <v>@Frans_Priyo</v>
      </c>
      <c r="C12571" t="s">
        <v>6535</v>
      </c>
      <c r="D12571">
        <v>2</v>
      </c>
      <c r="E12571">
        <v>0</v>
      </c>
      <c r="F12571">
        <v>2914</v>
      </c>
    </row>
    <row r="12572" spans="1:6" ht="12.75">
      <c r="A12572" s="2">
        <v>43879.625740740739</v>
      </c>
      <c r="B12572" t="str">
        <f>HYPERLINK("https://twitter.com/suci_nuzul","@suci_nuzul")</f>
        <v>@suci_nuzul</v>
      </c>
      <c r="C12572" t="s">
        <v>6032</v>
      </c>
      <c r="D12572">
        <v>160</v>
      </c>
      <c r="E12572">
        <v>0</v>
      </c>
      <c r="F12572">
        <v>333</v>
      </c>
    </row>
    <row r="12573" spans="1:6" ht="12.75">
      <c r="A12573" s="2">
        <v>43879.62572916667</v>
      </c>
      <c r="B12573" t="str">
        <f>HYPERLINK("https://twitter.com/awwwmlubngt","@awwwmlubngt")</f>
        <v>@awwwmlubngt</v>
      </c>
      <c r="C12573" t="s">
        <v>6032</v>
      </c>
      <c r="D12573">
        <v>160</v>
      </c>
      <c r="E12573">
        <v>0</v>
      </c>
      <c r="F12573">
        <v>333</v>
      </c>
    </row>
    <row r="12574" spans="1:6" ht="12.75">
      <c r="A12574" s="2">
        <v>43879.625694444447</v>
      </c>
      <c r="B12574" t="str">
        <f>HYPERLINK("https://twitter.com/shohirasei","@shohirasei")</f>
        <v>@shohirasei</v>
      </c>
      <c r="C12574" t="s">
        <v>6032</v>
      </c>
      <c r="D12574">
        <v>160</v>
      </c>
      <c r="E12574">
        <v>0</v>
      </c>
      <c r="F12574">
        <v>260</v>
      </c>
    </row>
    <row r="12575" spans="1:6" ht="12.75">
      <c r="A12575" s="2">
        <v>43879.62568287037</v>
      </c>
      <c r="B12575" t="str">
        <f>HYPERLINK("https://twitter.com/Nitafauzia_","@Nitafauzia_")</f>
        <v>@Nitafauzia_</v>
      </c>
      <c r="C12575" t="s">
        <v>6032</v>
      </c>
      <c r="D12575">
        <v>160</v>
      </c>
      <c r="E12575">
        <v>0</v>
      </c>
      <c r="F12575">
        <v>147</v>
      </c>
    </row>
    <row r="12576" spans="1:6" ht="12.75">
      <c r="A12576" s="2">
        <v>43879.625659722224</v>
      </c>
      <c r="B12576" t="str">
        <f>HYPERLINK("https://twitter.com/johnLembong","@johnLembong")</f>
        <v>@johnLembong</v>
      </c>
      <c r="C12576" t="s">
        <v>6172</v>
      </c>
      <c r="D12576">
        <v>21</v>
      </c>
      <c r="E12576">
        <v>0</v>
      </c>
      <c r="F12576">
        <v>828</v>
      </c>
    </row>
    <row r="12577" spans="1:6" ht="12.75">
      <c r="A12577" s="2">
        <v>43879.625648148147</v>
      </c>
      <c r="B12577" t="str">
        <f>HYPERLINK("https://twitter.com/cnbcindonesia","@cnbcindonesia")</f>
        <v>@cnbcindonesia</v>
      </c>
      <c r="C12577" t="s">
        <v>6536</v>
      </c>
      <c r="D12577">
        <v>2</v>
      </c>
      <c r="E12577">
        <v>0</v>
      </c>
      <c r="F12577">
        <v>30269</v>
      </c>
    </row>
    <row r="12578" spans="1:6" ht="12.75">
      <c r="A12578" s="2">
        <v>43879.625543981485</v>
      </c>
      <c r="B12578" t="str">
        <f>HYPERLINK("https://twitter.com/utamimrthn","@utamimrthn")</f>
        <v>@utamimrthn</v>
      </c>
      <c r="C12578" t="s">
        <v>5644</v>
      </c>
      <c r="D12578">
        <v>126</v>
      </c>
      <c r="E12578">
        <v>0</v>
      </c>
      <c r="F12578">
        <v>575</v>
      </c>
    </row>
    <row r="12579" spans="1:6" ht="12.75">
      <c r="A12579" s="2">
        <v>43879.625520833331</v>
      </c>
      <c r="B12579" t="str">
        <f>HYPERLINK("https://twitter.com/anisaajeng","@anisaajeng")</f>
        <v>@anisaajeng</v>
      </c>
      <c r="C12579" t="s">
        <v>5644</v>
      </c>
      <c r="D12579">
        <v>126</v>
      </c>
      <c r="E12579">
        <v>0</v>
      </c>
      <c r="F12579">
        <v>613</v>
      </c>
    </row>
    <row r="12580" spans="1:6" ht="12.75">
      <c r="A12580" s="2">
        <v>43879.625509259262</v>
      </c>
      <c r="B12580" t="str">
        <f>HYPERLINK("https://twitter.com/kusukajamur","@kusukajamur")</f>
        <v>@kusukajamur</v>
      </c>
      <c r="C12580" t="s">
        <v>6032</v>
      </c>
      <c r="D12580">
        <v>160</v>
      </c>
      <c r="E12580">
        <v>0</v>
      </c>
      <c r="F12580">
        <v>260</v>
      </c>
    </row>
    <row r="12581" spans="1:6" ht="12.75">
      <c r="A12581" s="2">
        <v>43879.625474537039</v>
      </c>
      <c r="B12581" t="str">
        <f>HYPERLINK("https://twitter.com/Marufamin22","@Marufamin22")</f>
        <v>@Marufamin22</v>
      </c>
      <c r="C12581" t="s">
        <v>6032</v>
      </c>
      <c r="D12581">
        <v>160</v>
      </c>
      <c r="E12581">
        <v>0</v>
      </c>
      <c r="F12581">
        <v>127</v>
      </c>
    </row>
    <row r="12582" spans="1:6" ht="12.75">
      <c r="A12582" s="2">
        <v>43879.625289351854</v>
      </c>
      <c r="B12582" t="str">
        <f>HYPERLINK("https://twitter.com/ranggazainalm","@ranggazainalm")</f>
        <v>@ranggazainalm</v>
      </c>
      <c r="C12582" t="s">
        <v>6032</v>
      </c>
      <c r="D12582">
        <v>160</v>
      </c>
      <c r="E12582">
        <v>0</v>
      </c>
      <c r="F12582">
        <v>10027</v>
      </c>
    </row>
    <row r="12583" spans="1:6" ht="12.75">
      <c r="A12583" s="2">
        <v>43879.625277777777</v>
      </c>
      <c r="B12583" t="str">
        <f>HYPERLINK("https://twitter.com/renggapramula","@renggapramula")</f>
        <v>@renggapramula</v>
      </c>
      <c r="C12583" t="s">
        <v>6032</v>
      </c>
      <c r="D12583">
        <v>160</v>
      </c>
      <c r="E12583">
        <v>0</v>
      </c>
      <c r="F12583">
        <v>366</v>
      </c>
    </row>
    <row r="12584" spans="1:6" ht="12.75">
      <c r="A12584" s="2">
        <v>43879.625185185185</v>
      </c>
      <c r="B12584" t="str">
        <f>HYPERLINK("https://twitter.com/GitaZet","@GitaZet")</f>
        <v>@GitaZet</v>
      </c>
      <c r="C12584" t="s">
        <v>6052</v>
      </c>
      <c r="D12584">
        <v>38</v>
      </c>
      <c r="E12584">
        <v>0</v>
      </c>
      <c r="F12584">
        <v>577</v>
      </c>
    </row>
    <row r="12585" spans="1:6" ht="12.75">
      <c r="A12585" s="2">
        <v>43879.625092592592</v>
      </c>
      <c r="B12585" t="str">
        <f>HYPERLINK("https://twitter.com/ipanMalika","@ipanMalika")</f>
        <v>@ipanMalika</v>
      </c>
      <c r="C12585" t="s">
        <v>6032</v>
      </c>
      <c r="D12585">
        <v>160</v>
      </c>
      <c r="E12585">
        <v>0</v>
      </c>
      <c r="F12585">
        <v>393</v>
      </c>
    </row>
    <row r="12586" spans="1:6" ht="12.75">
      <c r="A12586" s="2">
        <v>43879.625034722223</v>
      </c>
      <c r="B12586" t="str">
        <f>HYPERLINK("https://twitter.com/weirdaniar_","@weirdaniar_")</f>
        <v>@weirdaniar_</v>
      </c>
      <c r="C12586" t="s">
        <v>6175</v>
      </c>
      <c r="D12586">
        <v>23</v>
      </c>
      <c r="E12586">
        <v>0</v>
      </c>
      <c r="F12586">
        <v>60</v>
      </c>
    </row>
    <row r="12587" spans="1:6" ht="12.75">
      <c r="A12587" s="2">
        <v>43879.624930555554</v>
      </c>
      <c r="B12587" t="str">
        <f>HYPERLINK("https://twitter.com/Rido_mr8","@Rido_mr8")</f>
        <v>@Rido_mr8</v>
      </c>
      <c r="C12587" t="s">
        <v>6537</v>
      </c>
      <c r="D12587">
        <v>0</v>
      </c>
      <c r="E12587">
        <v>0</v>
      </c>
      <c r="F12587">
        <v>1</v>
      </c>
    </row>
    <row r="12588" spans="1:6" ht="12.75">
      <c r="A12588" s="2">
        <v>43879.624930555554</v>
      </c>
      <c r="B12588" t="str">
        <f>HYPERLINK("https://twitter.com/maddyfatya","@maddyfatya")</f>
        <v>@maddyfatya</v>
      </c>
      <c r="C12588" t="s">
        <v>5644</v>
      </c>
      <c r="D12588">
        <v>126</v>
      </c>
      <c r="E12588">
        <v>0</v>
      </c>
      <c r="F12588">
        <v>685</v>
      </c>
    </row>
    <row r="12589" spans="1:6" ht="12.75">
      <c r="A12589" s="2">
        <v>43879.624710648146</v>
      </c>
      <c r="B12589" t="str">
        <f>HYPERLINK("https://twitter.com/midgard369","@midgard369")</f>
        <v>@midgard369</v>
      </c>
      <c r="C12589" t="s">
        <v>6052</v>
      </c>
      <c r="D12589">
        <v>38</v>
      </c>
      <c r="E12589">
        <v>0</v>
      </c>
      <c r="F12589">
        <v>2529</v>
      </c>
    </row>
    <row r="12590" spans="1:6" ht="12.75">
      <c r="A12590" s="2">
        <v>43879.624525462961</v>
      </c>
      <c r="B12590" t="str">
        <f>HYPERLINK("https://twitter.com/Gus_Raharjo","@Gus_Raharjo")</f>
        <v>@Gus_Raharjo</v>
      </c>
      <c r="C12590" t="s">
        <v>6206</v>
      </c>
      <c r="D12590">
        <v>37</v>
      </c>
      <c r="E12590">
        <v>0</v>
      </c>
      <c r="F12590">
        <v>65076</v>
      </c>
    </row>
    <row r="12591" spans="1:6" ht="12.75">
      <c r="A12591" s="2">
        <v>43879.624479166669</v>
      </c>
      <c r="B12591" t="str">
        <f>HYPERLINK("https://twitter.com/amrudinnejad_","@amrudinnejad_")</f>
        <v>@amrudinnejad_</v>
      </c>
      <c r="C12591" t="s">
        <v>6538</v>
      </c>
      <c r="D12591">
        <v>0</v>
      </c>
      <c r="E12591">
        <v>1</v>
      </c>
      <c r="F12591">
        <v>7809</v>
      </c>
    </row>
    <row r="12592" spans="1:6" ht="12.75">
      <c r="A12592" s="2">
        <v>43879.624432870369</v>
      </c>
      <c r="B12592" t="str">
        <f>HYPERLINK("https://twitter.com/ryeongvi9","@ryeongvi9")</f>
        <v>@ryeongvi9</v>
      </c>
      <c r="C12592" t="s">
        <v>6032</v>
      </c>
      <c r="D12592">
        <v>160</v>
      </c>
      <c r="E12592">
        <v>0</v>
      </c>
      <c r="F12592">
        <v>1015</v>
      </c>
    </row>
    <row r="12593" spans="1:6" ht="12.75">
      <c r="A12593" s="2">
        <v>43879.624374999999</v>
      </c>
      <c r="B12593" t="str">
        <f>HYPERLINK("https://twitter.com/Harian_Jogja","@Harian_Jogja")</f>
        <v>@Harian_Jogja</v>
      </c>
      <c r="C12593" t="s">
        <v>6539</v>
      </c>
      <c r="D12593">
        <v>0</v>
      </c>
      <c r="E12593">
        <v>1</v>
      </c>
      <c r="F12593">
        <v>153536</v>
      </c>
    </row>
    <row r="12594" spans="1:6" ht="12.75">
      <c r="A12594" s="2">
        <v>43879.624351851853</v>
      </c>
      <c r="B12594" t="str">
        <f>HYPERLINK("https://twitter.com/dwiktvnt","@dwiktvnt")</f>
        <v>@dwiktvnt</v>
      </c>
      <c r="C12594" t="s">
        <v>5644</v>
      </c>
      <c r="D12594">
        <v>126</v>
      </c>
      <c r="E12594">
        <v>0</v>
      </c>
      <c r="F12594">
        <v>79</v>
      </c>
    </row>
    <row r="12595" spans="1:6" ht="12.75">
      <c r="A12595" s="2">
        <v>43879.624340277776</v>
      </c>
      <c r="B12595" t="str">
        <f>HYPERLINK("https://twitter.com/novemberm0m","@novemberm0m")</f>
        <v>@novemberm0m</v>
      </c>
      <c r="C12595" t="s">
        <v>6032</v>
      </c>
      <c r="D12595">
        <v>160</v>
      </c>
      <c r="E12595">
        <v>0</v>
      </c>
      <c r="F12595">
        <v>59</v>
      </c>
    </row>
    <row r="12596" spans="1:6" ht="12.75">
      <c r="A12596" s="2">
        <v>43879.624305555553</v>
      </c>
      <c r="B12596" t="str">
        <f>HYPERLINK("https://twitter.com/yusufimronn","@yusufimronn")</f>
        <v>@yusufimronn</v>
      </c>
      <c r="C12596" t="s">
        <v>6032</v>
      </c>
      <c r="D12596">
        <v>160</v>
      </c>
      <c r="E12596">
        <v>0</v>
      </c>
      <c r="F12596">
        <v>66</v>
      </c>
    </row>
    <row r="12597" spans="1:6" ht="12.75">
      <c r="A12597" s="2">
        <v>43879.624212962968</v>
      </c>
      <c r="B12597" t="str">
        <f>HYPERLINK("https://twitter.com/dindanoa","@dindanoa")</f>
        <v>@dindanoa</v>
      </c>
      <c r="C12597" t="s">
        <v>6032</v>
      </c>
      <c r="D12597">
        <v>160</v>
      </c>
      <c r="E12597">
        <v>0</v>
      </c>
      <c r="F12597">
        <v>595</v>
      </c>
    </row>
    <row r="12598" spans="1:6" ht="12.75">
      <c r="A12598" s="2">
        <v>43879.624201388884</v>
      </c>
      <c r="B12598" t="str">
        <f>HYPERLINK("https://twitter.com/afraamalia","@afraamalia")</f>
        <v>@afraamalia</v>
      </c>
      <c r="C12598" t="s">
        <v>6032</v>
      </c>
      <c r="D12598">
        <v>160</v>
      </c>
      <c r="E12598">
        <v>0</v>
      </c>
      <c r="F12598">
        <v>409</v>
      </c>
    </row>
    <row r="12599" spans="1:6" ht="12.75">
      <c r="A12599" s="2">
        <v>43879.624178240745</v>
      </c>
      <c r="B12599" t="str">
        <f>HYPERLINK("https://twitter.com/antarajateng","@antarajateng")</f>
        <v>@antarajateng</v>
      </c>
      <c r="C12599" t="s">
        <v>6540</v>
      </c>
      <c r="D12599">
        <v>0</v>
      </c>
      <c r="E12599">
        <v>0</v>
      </c>
      <c r="F12599">
        <v>853</v>
      </c>
    </row>
    <row r="12600" spans="1:6" ht="12.75">
      <c r="A12600" s="2">
        <v>43879.624155092592</v>
      </c>
      <c r="B12600" t="str">
        <f>HYPERLINK("https://twitter.com/Media_sumutku","@Media_sumutku")</f>
        <v>@Media_sumutku</v>
      </c>
      <c r="C12600" t="s">
        <v>6541</v>
      </c>
      <c r="D12600">
        <v>0</v>
      </c>
      <c r="E12600">
        <v>0</v>
      </c>
      <c r="F12600">
        <v>23</v>
      </c>
    </row>
    <row r="12601" spans="1:6" ht="12.75">
      <c r="A12601" s="2">
        <v>43879.624143518522</v>
      </c>
      <c r="B12601" t="str">
        <f>HYPERLINK("https://twitter.com/klasiaf","@klasiaf")</f>
        <v>@klasiaf</v>
      </c>
      <c r="C12601" t="s">
        <v>6542</v>
      </c>
      <c r="D12601">
        <v>21</v>
      </c>
      <c r="E12601">
        <v>0</v>
      </c>
      <c r="F12601">
        <v>381</v>
      </c>
    </row>
    <row r="12602" spans="1:6" ht="12.75">
      <c r="A12602" s="2">
        <v>43879.624097222222</v>
      </c>
      <c r="B12602" t="str">
        <f>HYPERLINK("https://twitter.com/sundaruu","@sundaruu")</f>
        <v>@sundaruu</v>
      </c>
      <c r="C12602" t="s">
        <v>5642</v>
      </c>
      <c r="D12602">
        <v>220</v>
      </c>
      <c r="E12602">
        <v>0</v>
      </c>
      <c r="F12602">
        <v>93</v>
      </c>
    </row>
    <row r="12603" spans="1:6" ht="12.75">
      <c r="A12603" s="2">
        <v>43879.624062499999</v>
      </c>
      <c r="B12603" t="str">
        <f>HYPERLINK("https://twitter.com/GojekinOm","@GojekinOm")</f>
        <v>@GojekinOm</v>
      </c>
      <c r="C12603" t="s">
        <v>6032</v>
      </c>
      <c r="D12603">
        <v>160</v>
      </c>
      <c r="E12603">
        <v>0</v>
      </c>
      <c r="F12603">
        <v>849</v>
      </c>
    </row>
    <row r="12604" spans="1:6" ht="12.75">
      <c r="A12604" s="2">
        <v>43879.623981481476</v>
      </c>
      <c r="B12604" t="str">
        <f>HYPERLINK("https://twitter.com/PurbawanS","@PurbawanS")</f>
        <v>@PurbawanS</v>
      </c>
      <c r="C12604" t="s">
        <v>6032</v>
      </c>
      <c r="D12604">
        <v>160</v>
      </c>
      <c r="E12604">
        <v>0</v>
      </c>
      <c r="F12604">
        <v>272</v>
      </c>
    </row>
    <row r="12605" spans="1:6" ht="12.75">
      <c r="A12605" s="2">
        <v>43879.623923611114</v>
      </c>
      <c r="B12605" t="str">
        <f>HYPERLINK("https://twitter.com/ayuarsymel","@ayuarsymel")</f>
        <v>@ayuarsymel</v>
      </c>
      <c r="C12605" t="s">
        <v>6543</v>
      </c>
      <c r="D12605">
        <v>0</v>
      </c>
      <c r="E12605">
        <v>0</v>
      </c>
      <c r="F12605">
        <v>399</v>
      </c>
    </row>
    <row r="12606" spans="1:6" ht="12.75">
      <c r="A12606" s="2">
        <v>43879.623912037037</v>
      </c>
      <c r="B12606" t="str">
        <f>HYPERLINK("https://twitter.com/amlrrndr","@amlrrndr")</f>
        <v>@amlrrndr</v>
      </c>
      <c r="C12606" t="s">
        <v>6032</v>
      </c>
      <c r="D12606">
        <v>160</v>
      </c>
      <c r="E12606">
        <v>0</v>
      </c>
      <c r="F12606">
        <v>1118</v>
      </c>
    </row>
    <row r="12607" spans="1:6" ht="12.75">
      <c r="A12607" s="2">
        <v>43879.623900462961</v>
      </c>
      <c r="B12607" t="str">
        <f>HYPERLINK("https://twitter.com/jomaisvu","@jomaisvu")</f>
        <v>@jomaisvu</v>
      </c>
      <c r="C12607" t="s">
        <v>6032</v>
      </c>
      <c r="D12607">
        <v>160</v>
      </c>
      <c r="E12607">
        <v>0</v>
      </c>
      <c r="F12607">
        <v>977</v>
      </c>
    </row>
    <row r="12608" spans="1:6" ht="12.75">
      <c r="A12608" s="2">
        <v>43879.623819444445</v>
      </c>
      <c r="B12608" t="str">
        <f>HYPERLINK("https://twitter.com/antarasumbar","@antarasumbar")</f>
        <v>@antarasumbar</v>
      </c>
      <c r="C12608" t="s">
        <v>6544</v>
      </c>
      <c r="D12608">
        <v>0</v>
      </c>
      <c r="E12608">
        <v>0</v>
      </c>
      <c r="F12608">
        <v>9056</v>
      </c>
    </row>
    <row r="12609" spans="1:6" ht="12.75">
      <c r="A12609" s="2">
        <v>43879.623784722222</v>
      </c>
      <c r="B12609" t="str">
        <f>HYPERLINK("https://twitter.com/lalaaldillaa","@lalaaldillaa")</f>
        <v>@lalaaldillaa</v>
      </c>
      <c r="C12609" t="s">
        <v>6032</v>
      </c>
      <c r="D12609">
        <v>160</v>
      </c>
      <c r="E12609">
        <v>0</v>
      </c>
      <c r="F12609">
        <v>348</v>
      </c>
    </row>
    <row r="12610" spans="1:6" ht="12.75">
      <c r="A12610" s="2">
        <v>43879.623784722222</v>
      </c>
      <c r="B12610" t="str">
        <f>HYPERLINK("https://twitter.com/oak_math_lee_91","@oak_math_lee_91")</f>
        <v>@oak_math_lee_91</v>
      </c>
      <c r="C12610" t="s">
        <v>6545</v>
      </c>
      <c r="D12610">
        <v>0</v>
      </c>
      <c r="E12610">
        <v>0</v>
      </c>
      <c r="F12610">
        <v>100</v>
      </c>
    </row>
    <row r="12611" spans="1:6" ht="12.75">
      <c r="A12611" s="2">
        <v>43879.623773148152</v>
      </c>
      <c r="B12611" t="str">
        <f>HYPERLINK("https://twitter.com/argumenku","@argumenku")</f>
        <v>@argumenku</v>
      </c>
      <c r="C12611" t="s">
        <v>6546</v>
      </c>
      <c r="D12611">
        <v>0</v>
      </c>
      <c r="E12611">
        <v>0</v>
      </c>
      <c r="F12611">
        <v>22</v>
      </c>
    </row>
    <row r="12612" spans="1:6" ht="12.75">
      <c r="A12612" s="2">
        <v>43879.623761574076</v>
      </c>
      <c r="B12612" t="str">
        <f>HYPERLINK("https://twitter.com/jiaref","@jiaref")</f>
        <v>@jiaref</v>
      </c>
      <c r="C12612" t="s">
        <v>5644</v>
      </c>
      <c r="D12612">
        <v>126</v>
      </c>
      <c r="E12612">
        <v>0</v>
      </c>
      <c r="F12612">
        <v>140</v>
      </c>
    </row>
    <row r="12613" spans="1:6" ht="12.75">
      <c r="A12613" s="2">
        <v>43879.623749999999</v>
      </c>
      <c r="B12613" t="str">
        <f>HYPERLINK("https://twitter.com/dhrxkvlfk","@dhrxkvlfk")</f>
        <v>@dhrxkvlfk</v>
      </c>
      <c r="C12613" t="s">
        <v>6052</v>
      </c>
      <c r="D12613">
        <v>38</v>
      </c>
      <c r="E12613">
        <v>0</v>
      </c>
      <c r="F12613">
        <v>32</v>
      </c>
    </row>
    <row r="12614" spans="1:6" ht="12.75">
      <c r="A12614" s="2">
        <v>43879.623715277776</v>
      </c>
      <c r="B12614" t="str">
        <f>HYPERLINK("https://twitter.com/hey_701","@hey_701")</f>
        <v>@hey_701</v>
      </c>
      <c r="C12614" t="s">
        <v>5644</v>
      </c>
      <c r="D12614">
        <v>126</v>
      </c>
      <c r="E12614">
        <v>0</v>
      </c>
      <c r="F12614">
        <v>231</v>
      </c>
    </row>
    <row r="12615" spans="1:6" ht="12.75">
      <c r="A12615" s="2">
        <v>43879.623692129629</v>
      </c>
      <c r="B12615" t="str">
        <f>HYPERLINK("https://twitter.com/aldillanr","@aldillanr")</f>
        <v>@aldillanr</v>
      </c>
      <c r="C12615" t="s">
        <v>6032</v>
      </c>
      <c r="D12615">
        <v>160</v>
      </c>
      <c r="E12615">
        <v>0</v>
      </c>
      <c r="F12615">
        <v>96</v>
      </c>
    </row>
    <row r="12616" spans="1:6" ht="12.75">
      <c r="A12616" s="2">
        <v>43879.623680555553</v>
      </c>
      <c r="B12616" t="str">
        <f>HYPERLINK("https://twitter.com/AriskiSardi","@AriskiSardi")</f>
        <v>@AriskiSardi</v>
      </c>
      <c r="C12616" t="s">
        <v>6225</v>
      </c>
      <c r="D12616">
        <v>13</v>
      </c>
      <c r="E12616">
        <v>0</v>
      </c>
      <c r="F12616">
        <v>123</v>
      </c>
    </row>
    <row r="12617" spans="1:6" ht="12.75">
      <c r="A12617" s="2">
        <v>43879.623657407406</v>
      </c>
      <c r="B12617" t="str">
        <f>HYPERLINK("https://twitter.com/rezaabdia","@rezaabdia")</f>
        <v>@rezaabdia</v>
      </c>
      <c r="C12617" t="s">
        <v>5644</v>
      </c>
      <c r="D12617">
        <v>126</v>
      </c>
      <c r="E12617">
        <v>0</v>
      </c>
      <c r="F12617">
        <v>236</v>
      </c>
    </row>
    <row r="12618" spans="1:6" ht="12.75">
      <c r="A12618" s="2">
        <v>43879.623587962968</v>
      </c>
      <c r="B12618" t="str">
        <f>HYPERLINK("https://twitter.com/echoPiR","@echoPiR")</f>
        <v>@echoPiR</v>
      </c>
      <c r="C12618" t="s">
        <v>6032</v>
      </c>
      <c r="D12618">
        <v>160</v>
      </c>
      <c r="E12618">
        <v>0</v>
      </c>
      <c r="F12618">
        <v>155</v>
      </c>
    </row>
    <row r="12619" spans="1:6" ht="12.75">
      <c r="A12619" s="2">
        <v>43879.623530092591</v>
      </c>
      <c r="B12619" t="str">
        <f>HYPERLINK("https://twitter.com/soumo_glebod","@soumo_glebod")</f>
        <v>@soumo_glebod</v>
      </c>
      <c r="C12619" t="s">
        <v>6032</v>
      </c>
      <c r="D12619">
        <v>160</v>
      </c>
      <c r="E12619">
        <v>0</v>
      </c>
      <c r="F12619">
        <v>478</v>
      </c>
    </row>
    <row r="12620" spans="1:6" ht="12.75">
      <c r="A12620" s="2">
        <v>43879.623495370368</v>
      </c>
      <c r="B12620" t="str">
        <f>HYPERLINK("https://twitter.com/echoPiR","@echoPiR")</f>
        <v>@echoPiR</v>
      </c>
      <c r="C12620" t="s">
        <v>6547</v>
      </c>
      <c r="D12620">
        <v>0</v>
      </c>
      <c r="E12620">
        <v>0</v>
      </c>
      <c r="F12620">
        <v>155</v>
      </c>
    </row>
    <row r="12621" spans="1:6" ht="12.75">
      <c r="A12621" s="2">
        <v>43879.623483796298</v>
      </c>
      <c r="B12621" t="str">
        <f>HYPERLINK("https://twitter.com/FananyAnny","@FananyAnny")</f>
        <v>@FananyAnny</v>
      </c>
      <c r="C12621" t="s">
        <v>6548</v>
      </c>
      <c r="D12621">
        <v>2</v>
      </c>
      <c r="E12621">
        <v>0</v>
      </c>
      <c r="F12621">
        <v>1962</v>
      </c>
    </row>
    <row r="12622" spans="1:6" ht="12.75">
      <c r="A12622" s="2">
        <v>43879.623449074075</v>
      </c>
      <c r="B12622" t="str">
        <f>HYPERLINK("https://twitter.com/whysky96","@whysky96")</f>
        <v>@whysky96</v>
      </c>
      <c r="C12622" t="s">
        <v>6032</v>
      </c>
      <c r="D12622">
        <v>160</v>
      </c>
      <c r="E12622">
        <v>0</v>
      </c>
      <c r="F12622">
        <v>3197</v>
      </c>
    </row>
    <row r="12623" spans="1:6" ht="12.75">
      <c r="A12623" s="2">
        <v>43879.623437499999</v>
      </c>
      <c r="B12623" t="str">
        <f>HYPERLINK("https://twitter.com/uyudsp","@uyudsp")</f>
        <v>@uyudsp</v>
      </c>
      <c r="C12623" t="s">
        <v>6032</v>
      </c>
      <c r="D12623">
        <v>160</v>
      </c>
      <c r="E12623">
        <v>0</v>
      </c>
      <c r="F12623">
        <v>593</v>
      </c>
    </row>
    <row r="12624" spans="1:6" ht="12.75">
      <c r="A12624" s="2">
        <v>43879.623402777783</v>
      </c>
      <c r="B12624" t="str">
        <f>HYPERLINK("https://twitter.com/KongReds","@KongReds")</f>
        <v>@KongReds</v>
      </c>
      <c r="C12624" t="s">
        <v>6172</v>
      </c>
      <c r="D12624">
        <v>21</v>
      </c>
      <c r="E12624">
        <v>0</v>
      </c>
      <c r="F12624">
        <v>1095</v>
      </c>
    </row>
    <row r="12625" spans="1:6" ht="12.75">
      <c r="A12625" s="2">
        <v>43879.623391203699</v>
      </c>
      <c r="B12625" t="str">
        <f>HYPERLINK("https://twitter.com/cnn__dy","@cnn__dy")</f>
        <v>@cnn__dy</v>
      </c>
      <c r="C12625" t="s">
        <v>6032</v>
      </c>
      <c r="D12625">
        <v>160</v>
      </c>
      <c r="E12625">
        <v>0</v>
      </c>
      <c r="F12625">
        <v>449</v>
      </c>
    </row>
    <row r="12626" spans="1:6" ht="12.75">
      <c r="A12626" s="2">
        <v>43879.623379629629</v>
      </c>
      <c r="B12626" t="str">
        <f>HYPERLINK("https://twitter.com/Mybestlit","@Mybestlit")</f>
        <v>@Mybestlit</v>
      </c>
      <c r="C12626" t="s">
        <v>6032</v>
      </c>
      <c r="D12626">
        <v>160</v>
      </c>
      <c r="E12626">
        <v>0</v>
      </c>
      <c r="F12626">
        <v>90</v>
      </c>
    </row>
    <row r="12627" spans="1:6" ht="12.75">
      <c r="A12627" s="2">
        <v>43879.62327546296</v>
      </c>
      <c r="B12627" t="str">
        <f>HYPERLINK("https://twitter.com/bleuvoir","@bleuvoir")</f>
        <v>@bleuvoir</v>
      </c>
      <c r="C12627" t="s">
        <v>6032</v>
      </c>
      <c r="D12627">
        <v>160</v>
      </c>
      <c r="E12627">
        <v>0</v>
      </c>
      <c r="F12627">
        <v>554</v>
      </c>
    </row>
    <row r="12628" spans="1:6" ht="12.75">
      <c r="A12628" s="2">
        <v>43879.623240740737</v>
      </c>
      <c r="B12628" t="str">
        <f>HYPERLINK("https://twitter.com/iNewsID","@iNewsID")</f>
        <v>@iNewsID</v>
      </c>
      <c r="C12628" t="s">
        <v>6549</v>
      </c>
      <c r="D12628">
        <v>0</v>
      </c>
      <c r="E12628">
        <v>0</v>
      </c>
      <c r="F12628">
        <v>1272</v>
      </c>
    </row>
    <row r="12629" spans="1:6" ht="12.75">
      <c r="A12629" s="2">
        <v>43879.623159722221</v>
      </c>
      <c r="B12629" t="str">
        <f>HYPERLINK("https://twitter.com/BLac__4n6eL6","@BLac__4n6eL6")</f>
        <v>@BLac__4n6eL6</v>
      </c>
      <c r="C12629" t="s">
        <v>6550</v>
      </c>
      <c r="D12629">
        <v>3</v>
      </c>
      <c r="E12629">
        <v>0</v>
      </c>
      <c r="F12629">
        <v>1295</v>
      </c>
    </row>
    <row r="12630" spans="1:6" ht="12.75">
      <c r="A12630" s="2">
        <v>43879.623113425929</v>
      </c>
      <c r="B12630" t="str">
        <f>HYPERLINK("https://twitter.com/crispschicken","@crispschicken")</f>
        <v>@crispschicken</v>
      </c>
      <c r="C12630" t="s">
        <v>6010</v>
      </c>
      <c r="D12630">
        <v>3</v>
      </c>
      <c r="E12630">
        <v>0</v>
      </c>
      <c r="F12630">
        <v>788</v>
      </c>
    </row>
    <row r="12631" spans="1:6" ht="12.75">
      <c r="A12631" s="2">
        <v>43879.623078703706</v>
      </c>
      <c r="B12631" t="str">
        <f>HYPERLINK("https://twitter.com/HirdaaNov","@HirdaaNov")</f>
        <v>@HirdaaNov</v>
      </c>
      <c r="C12631" t="s">
        <v>6032</v>
      </c>
      <c r="D12631">
        <v>160</v>
      </c>
      <c r="E12631">
        <v>0</v>
      </c>
      <c r="F12631">
        <v>709</v>
      </c>
    </row>
    <row r="12632" spans="1:6" ht="12.75">
      <c r="A12632" s="2">
        <v>43879.623067129629</v>
      </c>
      <c r="B12632" t="str">
        <f>HYPERLINK("https://twitter.com/24O6s","@24O6s")</f>
        <v>@24O6s</v>
      </c>
      <c r="C12632" t="s">
        <v>6551</v>
      </c>
      <c r="D12632">
        <v>0</v>
      </c>
      <c r="E12632">
        <v>0</v>
      </c>
      <c r="F12632">
        <v>309</v>
      </c>
    </row>
    <row r="12633" spans="1:6" ht="12.75">
      <c r="A12633" s="2">
        <v>43879.623055555552</v>
      </c>
      <c r="B12633" t="str">
        <f>HYPERLINK("https://twitter.com/batshitcap","@batshitcap")</f>
        <v>@batshitcap</v>
      </c>
      <c r="C12633" t="s">
        <v>6010</v>
      </c>
      <c r="D12633">
        <v>3</v>
      </c>
      <c r="E12633">
        <v>0</v>
      </c>
      <c r="F12633">
        <v>492</v>
      </c>
    </row>
    <row r="12634" spans="1:6" ht="12.75">
      <c r="A12634" s="2">
        <v>43879.623043981483</v>
      </c>
      <c r="B12634" t="str">
        <f>HYPERLINK("https://twitter.com/xxhyujx","@xxhyujx")</f>
        <v>@xxhyujx</v>
      </c>
      <c r="C12634" t="s">
        <v>6032</v>
      </c>
      <c r="D12634">
        <v>160</v>
      </c>
      <c r="E12634">
        <v>0</v>
      </c>
      <c r="F12634">
        <v>886</v>
      </c>
    </row>
    <row r="12635" spans="1:6" ht="12.75">
      <c r="A12635" s="2">
        <v>43879.62300925926</v>
      </c>
      <c r="B12635" t="str">
        <f>HYPERLINK("https://twitter.com/Agamajinasi","@Agamajinasi")</f>
        <v>@Agamajinasi</v>
      </c>
      <c r="C12635" t="s">
        <v>6552</v>
      </c>
      <c r="D12635">
        <v>0</v>
      </c>
      <c r="E12635">
        <v>0</v>
      </c>
      <c r="F12635">
        <v>27240</v>
      </c>
    </row>
    <row r="12636" spans="1:6" ht="12.75">
      <c r="A12636" s="2">
        <v>43879.622835648144</v>
      </c>
      <c r="B12636" t="str">
        <f>HYPERLINK("https://twitter.com/ufaruq1190","@ufaruq1190")</f>
        <v>@ufaruq1190</v>
      </c>
      <c r="C12636" t="s">
        <v>6553</v>
      </c>
      <c r="D12636">
        <v>0</v>
      </c>
      <c r="E12636">
        <v>0</v>
      </c>
      <c r="F12636">
        <v>2294</v>
      </c>
    </row>
    <row r="12637" spans="1:6" ht="12.75">
      <c r="A12637" s="2">
        <v>43879.622766203705</v>
      </c>
      <c r="B12637" t="str">
        <f>HYPERLINK("https://twitter.com/kkaguyaa","@kkaguyaa")</f>
        <v>@kkaguyaa</v>
      </c>
      <c r="C12637" t="s">
        <v>6032</v>
      </c>
      <c r="D12637">
        <v>160</v>
      </c>
      <c r="E12637">
        <v>0</v>
      </c>
      <c r="F12637">
        <v>1419</v>
      </c>
    </row>
    <row r="12638" spans="1:6" ht="12.75">
      <c r="A12638" s="2">
        <v>43879.622754629629</v>
      </c>
      <c r="B12638" t="str">
        <f>HYPERLINK("https://twitter.com/Merinda_D","@Merinda_D")</f>
        <v>@Merinda_D</v>
      </c>
      <c r="C12638" t="s">
        <v>5644</v>
      </c>
      <c r="D12638">
        <v>126</v>
      </c>
      <c r="E12638">
        <v>0</v>
      </c>
      <c r="F12638">
        <v>151</v>
      </c>
    </row>
    <row r="12639" spans="1:6" ht="12.75">
      <c r="A12639" s="2">
        <v>43879.622731481482</v>
      </c>
      <c r="B12639" t="str">
        <f>HYPERLINK("https://twitter.com/wsbli","@wsbli")</f>
        <v>@wsbli</v>
      </c>
      <c r="C12639" t="s">
        <v>6032</v>
      </c>
      <c r="D12639">
        <v>160</v>
      </c>
      <c r="E12639">
        <v>0</v>
      </c>
      <c r="F12639">
        <v>103</v>
      </c>
    </row>
    <row r="12640" spans="1:6" ht="12.75">
      <c r="A12640" s="2">
        <v>43879.622604166667</v>
      </c>
      <c r="B12640" t="str">
        <f>HYPERLINK("https://twitter.com/tutor_otodidak","@tutor_otodidak")</f>
        <v>@tutor_otodidak</v>
      </c>
      <c r="C12640" t="s">
        <v>6175</v>
      </c>
      <c r="D12640">
        <v>23</v>
      </c>
      <c r="E12640">
        <v>0</v>
      </c>
      <c r="F12640">
        <v>219</v>
      </c>
    </row>
    <row r="12641" spans="1:6" ht="12.75">
      <c r="A12641" s="2">
        <v>43879.622511574074</v>
      </c>
      <c r="B12641" t="str">
        <f>HYPERLINK("https://twitter.com/potatolap","@potatolap")</f>
        <v>@potatolap</v>
      </c>
      <c r="C12641" t="s">
        <v>6032</v>
      </c>
      <c r="D12641">
        <v>160</v>
      </c>
      <c r="E12641">
        <v>0</v>
      </c>
      <c r="F12641">
        <v>151</v>
      </c>
    </row>
    <row r="12642" spans="1:6" ht="12.75">
      <c r="A12642" s="2">
        <v>43879.622488425928</v>
      </c>
      <c r="B12642" t="str">
        <f>HYPERLINK("https://twitter.com/dody_rochadi","@dody_rochadi")</f>
        <v>@dody_rochadi</v>
      </c>
      <c r="C12642" t="s">
        <v>6032</v>
      </c>
      <c r="D12642">
        <v>160</v>
      </c>
      <c r="E12642">
        <v>0</v>
      </c>
      <c r="F12642">
        <v>611</v>
      </c>
    </row>
    <row r="12643" spans="1:6" ht="12.75">
      <c r="A12643" s="2">
        <v>43879.622453703705</v>
      </c>
      <c r="B12643" t="str">
        <f>HYPERLINK("https://twitter.com/darrrraah","@darrrraah")</f>
        <v>@darrrraah</v>
      </c>
      <c r="C12643" t="s">
        <v>6032</v>
      </c>
      <c r="D12643">
        <v>160</v>
      </c>
      <c r="E12643">
        <v>0</v>
      </c>
      <c r="F12643">
        <v>273</v>
      </c>
    </row>
    <row r="12644" spans="1:6" ht="12.75">
      <c r="A12644" s="2">
        <v>43879.622395833328</v>
      </c>
      <c r="B12644" t="str">
        <f>HYPERLINK("https://twitter.com/audenhadley","@audenhadley")</f>
        <v>@audenhadley</v>
      </c>
      <c r="C12644" t="s">
        <v>6032</v>
      </c>
      <c r="D12644">
        <v>160</v>
      </c>
      <c r="E12644">
        <v>0</v>
      </c>
      <c r="F12644">
        <v>42</v>
      </c>
    </row>
    <row r="12645" spans="1:6" ht="12.75">
      <c r="A12645" s="2">
        <v>43879.622372685189</v>
      </c>
      <c r="B12645" t="str">
        <f>HYPERLINK("https://twitter.com/dionduren","@dionduren")</f>
        <v>@dionduren</v>
      </c>
      <c r="C12645" t="s">
        <v>5644</v>
      </c>
      <c r="D12645">
        <v>126</v>
      </c>
      <c r="E12645">
        <v>0</v>
      </c>
      <c r="F12645">
        <v>853</v>
      </c>
    </row>
    <row r="12646" spans="1:6" ht="12.75">
      <c r="A12646" s="2">
        <v>43879.622337962966</v>
      </c>
      <c r="B12646" t="str">
        <f>HYPERLINK("https://twitter.com/kehabisanide","@kehabisanide")</f>
        <v>@kehabisanide</v>
      </c>
      <c r="C12646" t="s">
        <v>6554</v>
      </c>
      <c r="D12646">
        <v>0</v>
      </c>
      <c r="E12646">
        <v>0</v>
      </c>
      <c r="F12646">
        <v>648</v>
      </c>
    </row>
    <row r="12647" spans="1:6" ht="12.75">
      <c r="A12647" s="2">
        <v>43879.622118055559</v>
      </c>
      <c r="B12647" t="str">
        <f>HYPERLINK("https://twitter.com/taegakaumas","@taegakaumas")</f>
        <v>@taegakaumas</v>
      </c>
      <c r="C12647" t="s">
        <v>6032</v>
      </c>
      <c r="D12647">
        <v>160</v>
      </c>
      <c r="E12647">
        <v>0</v>
      </c>
      <c r="F12647">
        <v>36</v>
      </c>
    </row>
    <row r="12648" spans="1:6" ht="12.75">
      <c r="A12648" s="2">
        <v>43879.622071759259</v>
      </c>
      <c r="B12648" t="str">
        <f>HYPERLINK("https://twitter.com/Powerpapgirl","@Powerpapgirl")</f>
        <v>@Powerpapgirl</v>
      </c>
      <c r="C12648" t="s">
        <v>6555</v>
      </c>
      <c r="D12648">
        <v>3</v>
      </c>
      <c r="E12648">
        <v>0</v>
      </c>
      <c r="F12648">
        <v>483</v>
      </c>
    </row>
    <row r="12649" spans="1:6" ht="12.75">
      <c r="A12649" s="2">
        <v>43879.622060185182</v>
      </c>
      <c r="B12649" t="str">
        <f>HYPERLINK("https://twitter.com/sushicalifronia","@sushicalifronia")</f>
        <v>@sushicalifronia</v>
      </c>
      <c r="C12649" t="s">
        <v>6032</v>
      </c>
      <c r="D12649">
        <v>160</v>
      </c>
      <c r="E12649">
        <v>0</v>
      </c>
      <c r="F12649">
        <v>355</v>
      </c>
    </row>
    <row r="12650" spans="1:6" ht="12.75">
      <c r="A12650" s="2">
        <v>43879.621990740736</v>
      </c>
      <c r="B12650" t="str">
        <f>HYPERLINK("https://twitter.com/scciaIist","@scciaIist")</f>
        <v>@scciaIist</v>
      </c>
      <c r="C12650" t="s">
        <v>6032</v>
      </c>
      <c r="D12650">
        <v>160</v>
      </c>
      <c r="E12650">
        <v>0</v>
      </c>
      <c r="F12650">
        <v>906</v>
      </c>
    </row>
    <row r="12651" spans="1:6" ht="12.75">
      <c r="A12651" s="2">
        <v>43879.621979166666</v>
      </c>
      <c r="B12651" t="str">
        <f>HYPERLINK("https://twitter.com/zeedn_a","@zeedn_a")</f>
        <v>@zeedn_a</v>
      </c>
      <c r="C12651" t="s">
        <v>6032</v>
      </c>
      <c r="D12651">
        <v>160</v>
      </c>
      <c r="E12651">
        <v>0</v>
      </c>
      <c r="F12651">
        <v>349</v>
      </c>
    </row>
    <row r="12652" spans="1:6" ht="12.75">
      <c r="A12652" s="2">
        <v>43879.621932870374</v>
      </c>
      <c r="B12652" t="str">
        <f>HYPERLINK("https://twitter.com/melovingbtsaf","@melovingbtsaf")</f>
        <v>@melovingbtsaf</v>
      </c>
      <c r="C12652" t="s">
        <v>5644</v>
      </c>
      <c r="D12652">
        <v>126</v>
      </c>
      <c r="E12652">
        <v>0</v>
      </c>
      <c r="F12652">
        <v>98</v>
      </c>
    </row>
    <row r="12653" spans="1:6" ht="12.75">
      <c r="A12653" s="2">
        <v>43879.621921296297</v>
      </c>
      <c r="B12653" t="str">
        <f>HYPERLINK("https://twitter.com/juarsanrolanda","@juarsanrolanda")</f>
        <v>@juarsanrolanda</v>
      </c>
      <c r="C12653" t="s">
        <v>6032</v>
      </c>
      <c r="D12653">
        <v>160</v>
      </c>
      <c r="E12653">
        <v>0</v>
      </c>
      <c r="F12653">
        <v>159</v>
      </c>
    </row>
    <row r="12654" spans="1:6" ht="12.75">
      <c r="A12654" s="2">
        <v>43879.62190972222</v>
      </c>
      <c r="B12654" t="str">
        <f>HYPERLINK("https://twitter.com/ananda_marvian","@ananda_marvian")</f>
        <v>@ananda_marvian</v>
      </c>
      <c r="C12654" t="s">
        <v>6032</v>
      </c>
      <c r="D12654">
        <v>160</v>
      </c>
      <c r="E12654">
        <v>0</v>
      </c>
      <c r="F12654">
        <v>318</v>
      </c>
    </row>
    <row r="12655" spans="1:6" ht="12.75">
      <c r="A12655" s="2">
        <v>43879.621828703705</v>
      </c>
      <c r="B12655" t="str">
        <f>HYPERLINK("https://twitter.com/shellyafrisca","@shellyafrisca")</f>
        <v>@shellyafrisca</v>
      </c>
      <c r="C12655" t="s">
        <v>5644</v>
      </c>
      <c r="D12655">
        <v>126</v>
      </c>
      <c r="E12655">
        <v>0</v>
      </c>
      <c r="F12655">
        <v>415</v>
      </c>
    </row>
    <row r="12656" spans="1:6" ht="12.75">
      <c r="A12656" s="2">
        <v>43879.621770833328</v>
      </c>
      <c r="B12656" t="str">
        <f>HYPERLINK("https://twitter.com/langkasekali","@langkasekali")</f>
        <v>@langkasekali</v>
      </c>
      <c r="C12656" t="s">
        <v>6032</v>
      </c>
      <c r="D12656">
        <v>160</v>
      </c>
      <c r="E12656">
        <v>0</v>
      </c>
      <c r="F12656">
        <v>103</v>
      </c>
    </row>
    <row r="12657" spans="1:6" ht="12.75">
      <c r="A12657" s="2">
        <v>43879.584837962961</v>
      </c>
      <c r="B12657" t="str">
        <f>HYPERLINK("https://twitter.com/Ruli_Candra","@Ruli_Candra")</f>
        <v>@Ruli_Candra</v>
      </c>
      <c r="C12657" t="s">
        <v>6556</v>
      </c>
      <c r="D12657">
        <v>0</v>
      </c>
      <c r="E12657">
        <v>0</v>
      </c>
      <c r="F12657">
        <v>231</v>
      </c>
    </row>
    <row r="12658" spans="1:6" ht="12.75">
      <c r="A12658" s="2">
        <v>43879.584293981483</v>
      </c>
      <c r="B12658" t="str">
        <f>HYPERLINK("https://twitter.com/Adolf2004","@Adolf2004")</f>
        <v>@Adolf2004</v>
      </c>
      <c r="C12658" t="s">
        <v>6542</v>
      </c>
      <c r="D12658">
        <v>7</v>
      </c>
      <c r="E12658">
        <v>0</v>
      </c>
      <c r="F12658">
        <v>272</v>
      </c>
    </row>
    <row r="12659" spans="1:6" ht="12.75">
      <c r="A12659" s="2">
        <v>43879.583738425921</v>
      </c>
      <c r="B12659" t="str">
        <f>HYPERLINK("https://twitter.com/CallOfDutyRI","@CallOfDutyRI")</f>
        <v>@CallOfDutyRI</v>
      </c>
      <c r="C12659" t="s">
        <v>3474</v>
      </c>
      <c r="D12659">
        <v>7</v>
      </c>
      <c r="E12659">
        <v>0</v>
      </c>
      <c r="F12659">
        <v>395</v>
      </c>
    </row>
    <row r="12660" spans="1:6" ht="12.75">
      <c r="A12660" s="2">
        <v>43879.583703703705</v>
      </c>
      <c r="B12660" t="str">
        <f>HYPERLINK("https://twitter.com/Julia_Zeed","@Julia_Zeed")</f>
        <v>@Julia_Zeed</v>
      </c>
      <c r="C12660" t="s">
        <v>6557</v>
      </c>
      <c r="D12660">
        <v>0</v>
      </c>
      <c r="E12660">
        <v>0</v>
      </c>
      <c r="F12660">
        <v>2626</v>
      </c>
    </row>
    <row r="12661" spans="1:6" ht="12.75">
      <c r="A12661" s="2">
        <v>43879.583634259259</v>
      </c>
      <c r="B12661" t="str">
        <f>HYPERLINK("https://twitter.com/quretaorg","@quretaorg")</f>
        <v>@quretaorg</v>
      </c>
      <c r="C12661" t="s">
        <v>6328</v>
      </c>
      <c r="D12661">
        <v>0</v>
      </c>
      <c r="E12661">
        <v>0</v>
      </c>
      <c r="F12661">
        <v>1485</v>
      </c>
    </row>
    <row r="12662" spans="1:6" ht="12.75">
      <c r="A12662" s="2">
        <v>43879.583518518513</v>
      </c>
      <c r="B12662" t="str">
        <f>HYPERLINK("https://twitter.com/Mentimoen","@Mentimoen")</f>
        <v>@Mentimoen</v>
      </c>
      <c r="C12662" t="s">
        <v>6558</v>
      </c>
      <c r="D12662">
        <v>0</v>
      </c>
      <c r="E12662">
        <v>0</v>
      </c>
      <c r="F12662">
        <v>30011</v>
      </c>
    </row>
    <row r="12663" spans="1:6" ht="12.75">
      <c r="A12663" s="2">
        <v>43879.583495370374</v>
      </c>
      <c r="B12663" t="str">
        <f>HYPERLINK("https://twitter.com/bv_cho","@bv_cho")</f>
        <v>@bv_cho</v>
      </c>
      <c r="C12663" t="s">
        <v>3474</v>
      </c>
      <c r="D12663">
        <v>7</v>
      </c>
      <c r="E12663">
        <v>0</v>
      </c>
      <c r="F12663">
        <v>213</v>
      </c>
    </row>
    <row r="12664" spans="1:6" ht="12.75">
      <c r="A12664" s="2">
        <v>43879.583240740743</v>
      </c>
      <c r="B12664" t="str">
        <f>HYPERLINK("https://twitter.com/Bileriosnpr","@Bileriosnpr")</f>
        <v>@Bileriosnpr</v>
      </c>
      <c r="C12664" t="s">
        <v>3474</v>
      </c>
      <c r="D12664">
        <v>7</v>
      </c>
      <c r="E12664">
        <v>0</v>
      </c>
      <c r="F12664">
        <v>399</v>
      </c>
    </row>
    <row r="12665" spans="1:6" ht="12.75">
      <c r="A12665" s="2">
        <v>43879.583009259259</v>
      </c>
      <c r="B12665" t="str">
        <f>HYPERLINK("https://twitter.com/FaktaNew5","@FaktaNew5")</f>
        <v>@FaktaNew5</v>
      </c>
      <c r="C12665" t="s">
        <v>6435</v>
      </c>
      <c r="D12665">
        <v>0</v>
      </c>
      <c r="E12665">
        <v>0</v>
      </c>
      <c r="F12665">
        <v>176</v>
      </c>
    </row>
    <row r="12666" spans="1:6" ht="12.75">
      <c r="A12666" s="2">
        <v>43879.582685185189</v>
      </c>
      <c r="B12666" t="str">
        <f>HYPERLINK("https://twitter.com/bisnisindgroup","@bisnisindgroup")</f>
        <v>@bisnisindgroup</v>
      </c>
      <c r="C12666" t="s">
        <v>6559</v>
      </c>
      <c r="D12666">
        <v>0</v>
      </c>
      <c r="E12666">
        <v>0</v>
      </c>
      <c r="F12666">
        <v>7323</v>
      </c>
    </row>
    <row r="12667" spans="1:6" ht="12.75">
      <c r="A12667" s="2">
        <v>43879.582662037035</v>
      </c>
      <c r="B12667" t="str">
        <f>HYPERLINK("https://twitter.com/Bisniscom","@Bisniscom")</f>
        <v>@Bisniscom</v>
      </c>
      <c r="C12667" t="s">
        <v>6559</v>
      </c>
      <c r="D12667">
        <v>0</v>
      </c>
      <c r="E12667">
        <v>0</v>
      </c>
      <c r="F12667">
        <v>992869</v>
      </c>
    </row>
    <row r="12668" spans="1:6" ht="12.75">
      <c r="A12668" s="2">
        <v>43879.581655092596</v>
      </c>
      <c r="B12668" t="str">
        <f>HYPERLINK("https://twitter.com/okezonenews","@okezonenews")</f>
        <v>@okezonenews</v>
      </c>
      <c r="C12668" t="s">
        <v>6560</v>
      </c>
      <c r="D12668">
        <v>0</v>
      </c>
      <c r="E12668">
        <v>0</v>
      </c>
      <c r="F12668">
        <v>1744064</v>
      </c>
    </row>
    <row r="12669" spans="1:6" ht="12.75">
      <c r="A12669" s="2">
        <v>43879.581446759257</v>
      </c>
      <c r="B12669" t="str">
        <f>HYPERLINK("https://twitter.com/dyastt","@dyastt")</f>
        <v>@dyastt</v>
      </c>
      <c r="C12669" t="s">
        <v>6561</v>
      </c>
      <c r="D12669">
        <v>0</v>
      </c>
      <c r="E12669">
        <v>0</v>
      </c>
      <c r="F12669">
        <v>104</v>
      </c>
    </row>
    <row r="12670" spans="1:6" ht="12.75">
      <c r="A12670" s="2">
        <v>43879.581250000003</v>
      </c>
      <c r="B12670" t="str">
        <f>HYPERLINK("https://twitter.com/hedinark","@hedinark")</f>
        <v>@hedinark</v>
      </c>
      <c r="C12670" t="s">
        <v>6562</v>
      </c>
      <c r="D12670">
        <v>2</v>
      </c>
      <c r="E12670">
        <v>0</v>
      </c>
      <c r="F12670">
        <v>1103</v>
      </c>
    </row>
    <row r="12671" spans="1:6" ht="12.75">
      <c r="A12671" s="2">
        <v>43879.581076388888</v>
      </c>
      <c r="B12671" t="str">
        <f>HYPERLINK("https://twitter.com/RealPbum","@RealPbum")</f>
        <v>@RealPbum</v>
      </c>
      <c r="C12671" t="s">
        <v>6563</v>
      </c>
      <c r="D12671">
        <v>0</v>
      </c>
      <c r="E12671">
        <v>0</v>
      </c>
      <c r="F12671">
        <v>35</v>
      </c>
    </row>
    <row r="12672" spans="1:6" ht="12.75">
      <c r="A12672" s="2">
        <v>43879.580706018518</v>
      </c>
      <c r="B12672" t="str">
        <f>HYPERLINK("https://twitter.com/ridhoaditya188","@ridhoaditya188")</f>
        <v>@ridhoaditya188</v>
      </c>
      <c r="C12672" t="s">
        <v>6564</v>
      </c>
      <c r="D12672">
        <v>3</v>
      </c>
      <c r="E12672">
        <v>0</v>
      </c>
      <c r="F12672">
        <v>456</v>
      </c>
    </row>
    <row r="12673" spans="1:6" ht="12.75">
      <c r="A12673" s="2">
        <v>43879.580312499995</v>
      </c>
      <c r="B12673" t="str">
        <f>HYPERLINK("https://twitter.com/nailasolihah","@nailasolihah")</f>
        <v>@nailasolihah</v>
      </c>
      <c r="C12673" t="s">
        <v>6542</v>
      </c>
      <c r="D12673">
        <v>7</v>
      </c>
      <c r="E12673">
        <v>0</v>
      </c>
      <c r="F12673">
        <v>238</v>
      </c>
    </row>
    <row r="12674" spans="1:6" ht="12.75">
      <c r="A12674" s="2">
        <v>43879.579791666663</v>
      </c>
      <c r="B12674" t="str">
        <f>HYPERLINK("https://twitter.com/Metro_TV","@Metro_TV")</f>
        <v>@Metro_TV</v>
      </c>
      <c r="C12674" t="s">
        <v>6565</v>
      </c>
      <c r="D12674">
        <v>0</v>
      </c>
      <c r="E12674">
        <v>1</v>
      </c>
      <c r="F12674">
        <v>10510461</v>
      </c>
    </row>
    <row r="12675" spans="1:6" ht="12.75">
      <c r="A12675" s="2">
        <v>43879.57975694444</v>
      </c>
      <c r="B12675" t="str">
        <f>HYPERLINK("https://twitter.com/Psps60900875","@Psps60900875")</f>
        <v>@Psps60900875</v>
      </c>
      <c r="C12675" t="s">
        <v>6562</v>
      </c>
      <c r="D12675">
        <v>2</v>
      </c>
      <c r="E12675">
        <v>0</v>
      </c>
      <c r="F12675">
        <v>19</v>
      </c>
    </row>
    <row r="12676" spans="1:6" ht="12.75">
      <c r="A12676" s="2">
        <v>43879.579652777778</v>
      </c>
      <c r="B12676" t="str">
        <f>HYPERLINK("https://twitter.com/andyhumaidy","@andyhumaidy")</f>
        <v>@andyhumaidy</v>
      </c>
      <c r="C12676" t="s">
        <v>6566</v>
      </c>
      <c r="D12676">
        <v>0</v>
      </c>
      <c r="E12676">
        <v>0</v>
      </c>
      <c r="F12676">
        <v>2196</v>
      </c>
    </row>
    <row r="12677" spans="1:6" ht="12.75">
      <c r="A12677" s="2">
        <v>43879.579444444447</v>
      </c>
      <c r="B12677" t="str">
        <f>HYPERLINK("https://twitter.com/gambarjagad1926","@gambarjagad1926")</f>
        <v>@gambarjagad1926</v>
      </c>
      <c r="C12677" t="s">
        <v>6542</v>
      </c>
      <c r="D12677">
        <v>7</v>
      </c>
      <c r="E12677">
        <v>0</v>
      </c>
      <c r="F12677">
        <v>332</v>
      </c>
    </row>
    <row r="12678" spans="1:6" ht="12.75">
      <c r="A12678" s="2">
        <v>43879.579259259262</v>
      </c>
      <c r="B12678" t="str">
        <f>HYPERLINK("https://twitter.com/bangkitriambada","@bangkitriambada")</f>
        <v>@bangkitriambada</v>
      </c>
      <c r="C12678" t="s">
        <v>6542</v>
      </c>
      <c r="D12678">
        <v>7</v>
      </c>
      <c r="E12678">
        <v>0</v>
      </c>
      <c r="F12678">
        <v>197</v>
      </c>
    </row>
    <row r="12679" spans="1:6" ht="12.75">
      <c r="A12679" s="2">
        <v>43879.57917824074</v>
      </c>
      <c r="B12679" t="str">
        <f>HYPERLINK("https://twitter.com/septian","@septian")</f>
        <v>@septian</v>
      </c>
      <c r="C12679" t="s">
        <v>6567</v>
      </c>
      <c r="D12679">
        <v>0</v>
      </c>
      <c r="E12679">
        <v>0</v>
      </c>
      <c r="F12679">
        <v>1046</v>
      </c>
    </row>
    <row r="12680" spans="1:6" ht="12.75">
      <c r="A12680" s="2">
        <v>43879.579097222224</v>
      </c>
      <c r="B12680" t="str">
        <f>HYPERLINK("https://twitter.com/aewin86","@aewin86")</f>
        <v>@aewin86</v>
      </c>
      <c r="C12680" t="s">
        <v>6568</v>
      </c>
      <c r="D12680">
        <v>0</v>
      </c>
      <c r="E12680">
        <v>8</v>
      </c>
      <c r="F12680">
        <v>15940</v>
      </c>
    </row>
    <row r="12681" spans="1:6" ht="12.75">
      <c r="A12681" s="2">
        <v>43879.579027777778</v>
      </c>
      <c r="B12681" t="str">
        <f>HYPERLINK("https://twitter.com/AmanatIndo","@AmanatIndo")</f>
        <v>@AmanatIndo</v>
      </c>
      <c r="C12681" t="s">
        <v>6548</v>
      </c>
      <c r="D12681">
        <v>1</v>
      </c>
      <c r="E12681">
        <v>0</v>
      </c>
      <c r="F12681">
        <v>2477</v>
      </c>
    </row>
    <row r="12682" spans="1:6" ht="12.75">
      <c r="A12682" s="2">
        <v>43879.57885416667</v>
      </c>
      <c r="B12682" t="str">
        <f>HYPERLINK("https://twitter.com/Metro_TV","@Metro_TV")</f>
        <v>@Metro_TV</v>
      </c>
      <c r="C12682" t="s">
        <v>6569</v>
      </c>
      <c r="D12682">
        <v>2</v>
      </c>
      <c r="E12682">
        <v>2</v>
      </c>
      <c r="F12682">
        <v>10510461</v>
      </c>
    </row>
    <row r="12683" spans="1:6" ht="12.75">
      <c r="A12683" s="2">
        <v>43879.5784837963</v>
      </c>
      <c r="B12683" t="str">
        <f>HYPERLINK("https://twitter.com/dwirama89009610","@dwirama89009610")</f>
        <v>@dwirama89009610</v>
      </c>
      <c r="C12683" t="s">
        <v>6570</v>
      </c>
      <c r="D12683">
        <v>1</v>
      </c>
      <c r="E12683">
        <v>0</v>
      </c>
      <c r="F12683">
        <v>188</v>
      </c>
    </row>
    <row r="12684" spans="1:6" ht="12.75">
      <c r="A12684" s="2">
        <v>43879.578460648147</v>
      </c>
      <c r="B12684" t="str">
        <f>HYPERLINK("https://twitter.com/Anie_TT99","@Anie_TT99")</f>
        <v>@Anie_TT99</v>
      </c>
      <c r="C12684" t="s">
        <v>6571</v>
      </c>
      <c r="D12684">
        <v>0</v>
      </c>
      <c r="E12684">
        <v>0</v>
      </c>
      <c r="F12684">
        <v>1475</v>
      </c>
    </row>
    <row r="12685" spans="1:6" ht="12.75">
      <c r="A12685" s="2">
        <v>43879.578379629631</v>
      </c>
      <c r="B12685" t="str">
        <f>HYPERLINK("https://twitter.com/cnbcindonesia","@cnbcindonesia")</f>
        <v>@cnbcindonesia</v>
      </c>
      <c r="C12685" t="s">
        <v>6572</v>
      </c>
      <c r="D12685">
        <v>7</v>
      </c>
      <c r="E12685">
        <v>3</v>
      </c>
      <c r="F12685">
        <v>30261</v>
      </c>
    </row>
    <row r="12686" spans="1:6" ht="12.75">
      <c r="A12686" s="2">
        <v>43879.578217592592</v>
      </c>
      <c r="B12686" t="str">
        <f>HYPERLINK("https://twitter.com/AisSyariif","@AisSyariif")</f>
        <v>@AisSyariif</v>
      </c>
      <c r="C12686" t="s">
        <v>5642</v>
      </c>
      <c r="D12686">
        <v>214</v>
      </c>
      <c r="E12686">
        <v>0</v>
      </c>
      <c r="F12686">
        <v>874</v>
      </c>
    </row>
    <row r="12687" spans="1:6" ht="12.75">
      <c r="A12687" s="2">
        <v>43879.578078703707</v>
      </c>
      <c r="B12687" t="str">
        <f>HYPERLINK("https://twitter.com/amaliasafitrias","@amaliasafitrias")</f>
        <v>@amaliasafitrias</v>
      </c>
      <c r="C12687" t="s">
        <v>6573</v>
      </c>
      <c r="D12687">
        <v>1</v>
      </c>
      <c r="E12687">
        <v>1</v>
      </c>
      <c r="F12687">
        <v>31</v>
      </c>
    </row>
    <row r="12688" spans="1:6" ht="12.75">
      <c r="A12688" s="2">
        <v>43879.577523148153</v>
      </c>
      <c r="B12688" t="str">
        <f>HYPERLINK("https://twitter.com/adellaaldionita","@adellaaldionita")</f>
        <v>@adellaaldionita</v>
      </c>
      <c r="C12688" t="s">
        <v>2217</v>
      </c>
      <c r="D12688">
        <v>9</v>
      </c>
      <c r="E12688">
        <v>0</v>
      </c>
      <c r="F12688">
        <v>204</v>
      </c>
    </row>
    <row r="12689" spans="1:6" ht="12.75">
      <c r="A12689" s="2">
        <v>43879.575891203705</v>
      </c>
      <c r="B12689" t="str">
        <f>HYPERLINK("https://twitter.com/DiartonoSapto","@DiartonoSapto")</f>
        <v>@DiartonoSapto</v>
      </c>
      <c r="C12689" t="s">
        <v>4975</v>
      </c>
      <c r="D12689">
        <v>195</v>
      </c>
      <c r="E12689">
        <v>0</v>
      </c>
      <c r="F12689">
        <v>477</v>
      </c>
    </row>
    <row r="12690" spans="1:6" ht="12.75">
      <c r="A12690" s="2">
        <v>43879.575636574074</v>
      </c>
      <c r="B12690" t="str">
        <f>HYPERLINK("https://twitter.com/mbahpoetrie","@mbahpoetrie")</f>
        <v>@mbahpoetrie</v>
      </c>
      <c r="C12690" t="s">
        <v>6574</v>
      </c>
      <c r="D12690">
        <v>1</v>
      </c>
      <c r="E12690">
        <v>0</v>
      </c>
      <c r="F12690">
        <v>12</v>
      </c>
    </row>
    <row r="12691" spans="1:6" ht="12.75">
      <c r="A12691" s="2">
        <v>43879.575324074074</v>
      </c>
      <c r="B12691" t="str">
        <f>HYPERLINK("https://twitter.com/kjrihkg","@kjrihkg")</f>
        <v>@kjrihkg</v>
      </c>
      <c r="C12691" t="s">
        <v>6575</v>
      </c>
      <c r="D12691">
        <v>0</v>
      </c>
      <c r="E12691">
        <v>0</v>
      </c>
      <c r="F12691">
        <v>338</v>
      </c>
    </row>
    <row r="12692" spans="1:6" ht="12.75">
      <c r="A12692" s="2">
        <v>43879.575300925921</v>
      </c>
      <c r="B12692" t="str">
        <f>HYPERLINK("https://twitter.com/mbahpoetrie","@mbahpoetrie")</f>
        <v>@mbahpoetrie</v>
      </c>
      <c r="C12692" t="s">
        <v>6576</v>
      </c>
      <c r="D12692">
        <v>2</v>
      </c>
      <c r="E12692">
        <v>0</v>
      </c>
      <c r="F12692">
        <v>12</v>
      </c>
    </row>
    <row r="12693" spans="1:6" ht="12.75">
      <c r="A12693" s="2">
        <v>43879.57435185185</v>
      </c>
      <c r="B12693" t="str">
        <f>HYPERLINK("https://twitter.com/99garislucu","@99garislucu")</f>
        <v>@99garislucu</v>
      </c>
      <c r="C12693" t="s">
        <v>6564</v>
      </c>
      <c r="D12693">
        <v>3</v>
      </c>
      <c r="E12693">
        <v>0</v>
      </c>
      <c r="F12693">
        <v>962</v>
      </c>
    </row>
    <row r="12694" spans="1:6" ht="12.75">
      <c r="A12694" s="2">
        <v>43879.574293981481</v>
      </c>
      <c r="B12694" t="str">
        <f>HYPERLINK("https://twitter.com/sofians","@sofians")</f>
        <v>@sofians</v>
      </c>
      <c r="C12694" t="s">
        <v>6577</v>
      </c>
      <c r="D12694">
        <v>1</v>
      </c>
      <c r="E12694">
        <v>0</v>
      </c>
      <c r="F12694">
        <v>2406</v>
      </c>
    </row>
    <row r="12695" spans="1:6" ht="12.75">
      <c r="A12695" s="2">
        <v>43879.574259259258</v>
      </c>
      <c r="B12695" t="str">
        <f>HYPERLINK("https://twitter.com/Imrana_auta","@Imrana_auta")</f>
        <v>@Imrana_auta</v>
      </c>
      <c r="C12695" t="s">
        <v>6578</v>
      </c>
      <c r="D12695">
        <v>0</v>
      </c>
      <c r="E12695">
        <v>0</v>
      </c>
      <c r="F12695">
        <v>570</v>
      </c>
    </row>
    <row r="12696" spans="1:6" ht="12.75">
      <c r="A12696" s="2">
        <v>43879.574247685188</v>
      </c>
      <c r="B12696" t="str">
        <f>HYPERLINK("https://twitter.com/MarthinTampubol","@MarthinTampubol")</f>
        <v>@MarthinTampubol</v>
      </c>
      <c r="C12696" t="s">
        <v>2155</v>
      </c>
      <c r="D12696">
        <v>472</v>
      </c>
      <c r="E12696">
        <v>0</v>
      </c>
      <c r="F12696">
        <v>14</v>
      </c>
    </row>
    <row r="12697" spans="1:6" ht="12.75">
      <c r="A12697" s="2">
        <v>43879.574155092589</v>
      </c>
      <c r="B12697" t="str">
        <f>HYPERLINK("https://twitter.com/tatazhn","@tatazhn")</f>
        <v>@tatazhn</v>
      </c>
      <c r="C12697" t="s">
        <v>3474</v>
      </c>
      <c r="D12697">
        <v>7</v>
      </c>
      <c r="E12697">
        <v>0</v>
      </c>
      <c r="F12697">
        <v>650</v>
      </c>
    </row>
    <row r="12698" spans="1:6" ht="12.75">
      <c r="A12698" s="2">
        <v>43879.573865740742</v>
      </c>
      <c r="B12698" t="str">
        <f>HYPERLINK("https://twitter.com/Rullyyanto8","@Rullyyanto8")</f>
        <v>@Rullyyanto8</v>
      </c>
      <c r="C12698" t="s">
        <v>6579</v>
      </c>
      <c r="D12698">
        <v>1</v>
      </c>
      <c r="E12698">
        <v>2</v>
      </c>
      <c r="F12698">
        <v>8</v>
      </c>
    </row>
    <row r="12699" spans="1:6" ht="12.75">
      <c r="A12699" s="2">
        <v>43879.573796296296</v>
      </c>
      <c r="B12699" t="str">
        <f>HYPERLINK("https://twitter.com/defr4g","@defr4g")</f>
        <v>@defr4g</v>
      </c>
      <c r="C12699" t="s">
        <v>6580</v>
      </c>
      <c r="D12699">
        <v>1</v>
      </c>
      <c r="E12699">
        <v>0</v>
      </c>
      <c r="F12699">
        <v>125</v>
      </c>
    </row>
    <row r="12700" spans="1:6" ht="12.75">
      <c r="A12700" s="2">
        <v>43879.573692129634</v>
      </c>
      <c r="B12700" t="str">
        <f>HYPERLINK("https://twitter.com/anwarmasruro","@anwarmasruro")</f>
        <v>@anwarmasruro</v>
      </c>
      <c r="C12700" t="s">
        <v>6581</v>
      </c>
      <c r="D12700">
        <v>0</v>
      </c>
      <c r="E12700">
        <v>0</v>
      </c>
      <c r="F12700">
        <v>160</v>
      </c>
    </row>
    <row r="12701" spans="1:6" ht="12.75">
      <c r="A12701" s="2">
        <v>43879.573298611111</v>
      </c>
      <c r="B12701" t="str">
        <f>HYPERLINK("https://twitter.com/otomotif62","@otomotif62")</f>
        <v>@otomotif62</v>
      </c>
      <c r="C12701" t="s">
        <v>6284</v>
      </c>
      <c r="D12701">
        <v>0</v>
      </c>
      <c r="E12701">
        <v>0</v>
      </c>
      <c r="F12701">
        <v>137</v>
      </c>
    </row>
    <row r="12702" spans="1:6" ht="12.75">
      <c r="A12702" s="2">
        <v>43879.573298611111</v>
      </c>
      <c r="B12702" t="str">
        <f>HYPERLINK("https://twitter.com/sporthealthyID","@sporthealthyID")</f>
        <v>@sporthealthyID</v>
      </c>
      <c r="C12702" t="s">
        <v>6284</v>
      </c>
      <c r="D12702">
        <v>0</v>
      </c>
      <c r="E12702">
        <v>0</v>
      </c>
      <c r="F12702">
        <v>205</v>
      </c>
    </row>
    <row r="12703" spans="1:6" ht="12.75">
      <c r="A12703" s="2">
        <v>43879.573113425926</v>
      </c>
      <c r="B12703" t="str">
        <f>HYPERLINK("https://twitter.com/hans_tbn","@hans_tbn")</f>
        <v>@hans_tbn</v>
      </c>
      <c r="C12703" t="s">
        <v>2130</v>
      </c>
      <c r="D12703">
        <v>11</v>
      </c>
      <c r="E12703">
        <v>0</v>
      </c>
      <c r="F12703">
        <v>370</v>
      </c>
    </row>
    <row r="12704" spans="1:6" ht="12.75">
      <c r="A12704" s="2">
        <v>43879.572997685187</v>
      </c>
      <c r="B12704" t="str">
        <f>HYPERLINK("https://twitter.com/mbahpoetrie","@mbahpoetrie")</f>
        <v>@mbahpoetrie</v>
      </c>
      <c r="C12704" t="s">
        <v>6582</v>
      </c>
      <c r="D12704">
        <v>1</v>
      </c>
      <c r="E12704">
        <v>0</v>
      </c>
      <c r="F12704">
        <v>12</v>
      </c>
    </row>
    <row r="12705" spans="1:6" ht="12.75">
      <c r="A12705" s="2">
        <v>43879.572488425925</v>
      </c>
      <c r="B12705" t="str">
        <f>HYPERLINK("https://twitter.com/ysksr2","@ysksr2")</f>
        <v>@ysksr2</v>
      </c>
      <c r="C12705" t="s">
        <v>3340</v>
      </c>
      <c r="D12705">
        <v>334</v>
      </c>
      <c r="E12705">
        <v>0</v>
      </c>
      <c r="F12705">
        <v>39</v>
      </c>
    </row>
    <row r="12706" spans="1:6" ht="12.75">
      <c r="A12706" s="2">
        <v>43879.571782407409</v>
      </c>
      <c r="B12706" t="str">
        <f>HYPERLINK("https://twitter.com/RangCebol","@RangCebol")</f>
        <v>@RangCebol</v>
      </c>
      <c r="C12706" t="s">
        <v>6564</v>
      </c>
      <c r="D12706">
        <v>3</v>
      </c>
      <c r="E12706">
        <v>0</v>
      </c>
      <c r="F12706">
        <v>14</v>
      </c>
    </row>
    <row r="12707" spans="1:6" ht="12.75">
      <c r="A12707" s="2">
        <v>43879.571712962963</v>
      </c>
      <c r="B12707" t="str">
        <f>HYPERLINK("https://twitter.com/senorjoey","@senorjoey")</f>
        <v>@senorjoey</v>
      </c>
      <c r="C12707" t="s">
        <v>6583</v>
      </c>
      <c r="D12707">
        <v>0</v>
      </c>
      <c r="E12707">
        <v>0</v>
      </c>
      <c r="F12707">
        <v>2058</v>
      </c>
    </row>
    <row r="12708" spans="1:6" ht="12.75">
      <c r="A12708" s="2">
        <v>43879.571620370371</v>
      </c>
      <c r="B12708" t="str">
        <f>HYPERLINK("https://twitter.com/gracegrosse","@gracegrosse")</f>
        <v>@gracegrosse</v>
      </c>
      <c r="C12708" t="s">
        <v>6584</v>
      </c>
      <c r="D12708">
        <v>2</v>
      </c>
      <c r="E12708">
        <v>0</v>
      </c>
      <c r="F12708">
        <v>67</v>
      </c>
    </row>
    <row r="12709" spans="1:6" ht="12.75">
      <c r="A12709" s="2">
        <v>43879.571574074071</v>
      </c>
      <c r="B12709" t="str">
        <f>HYPERLINK("https://twitter.com/faridwinart","@faridwinart")</f>
        <v>@faridwinart</v>
      </c>
      <c r="C12709" t="s">
        <v>6585</v>
      </c>
      <c r="D12709">
        <v>0</v>
      </c>
      <c r="E12709">
        <v>0</v>
      </c>
      <c r="F12709">
        <v>121</v>
      </c>
    </row>
    <row r="12710" spans="1:6" ht="12.75">
      <c r="A12710" s="2">
        <v>43879.570717592593</v>
      </c>
      <c r="B12710" t="str">
        <f>HYPERLINK("https://twitter.com/Buntoroch","@Buntoroch")</f>
        <v>@Buntoroch</v>
      </c>
      <c r="C12710" t="s">
        <v>6586</v>
      </c>
      <c r="D12710">
        <v>0</v>
      </c>
      <c r="E12710">
        <v>1</v>
      </c>
      <c r="F12710">
        <v>388</v>
      </c>
    </row>
    <row r="12711" spans="1:6" ht="12.75">
      <c r="A12711" s="2">
        <v>43879.5706712963</v>
      </c>
      <c r="B12711" t="str">
        <f>HYPERLINK("https://twitter.com/Ramai71257020","@Ramai71257020")</f>
        <v>@Ramai71257020</v>
      </c>
      <c r="C12711" t="s">
        <v>175</v>
      </c>
      <c r="D12711">
        <v>5397</v>
      </c>
      <c r="E12711">
        <v>0</v>
      </c>
      <c r="F12711">
        <v>8</v>
      </c>
    </row>
    <row r="12712" spans="1:6" ht="12.75">
      <c r="A12712" s="2">
        <v>43879.570150462961</v>
      </c>
      <c r="B12712" t="str">
        <f>HYPERLINK("https://twitter.com/evagustavini","@evagustavini")</f>
        <v>@evagustavini</v>
      </c>
      <c r="C12712" t="s">
        <v>6587</v>
      </c>
      <c r="D12712">
        <v>2</v>
      </c>
      <c r="E12712">
        <v>1</v>
      </c>
      <c r="F12712">
        <v>623</v>
      </c>
    </row>
    <row r="12713" spans="1:6" ht="12.75">
      <c r="A12713" s="2">
        <v>43879.569398148145</v>
      </c>
      <c r="B12713" t="str">
        <f>HYPERLINK("https://twitter.com/FPD_DPR","@FPD_DPR")</f>
        <v>@FPD_DPR</v>
      </c>
      <c r="C12713" t="s">
        <v>6588</v>
      </c>
      <c r="D12713">
        <v>0</v>
      </c>
      <c r="E12713">
        <v>4</v>
      </c>
      <c r="F12713">
        <v>17878</v>
      </c>
    </row>
    <row r="12714" spans="1:6" ht="12.75">
      <c r="A12714" s="2">
        <v>43879.569178240738</v>
      </c>
      <c r="B12714" t="str">
        <f>HYPERLINK("https://twitter.com/lelegurame","@lelegurame")</f>
        <v>@lelegurame</v>
      </c>
      <c r="C12714" t="s">
        <v>6589</v>
      </c>
      <c r="D12714">
        <v>0</v>
      </c>
      <c r="E12714">
        <v>0</v>
      </c>
      <c r="F12714">
        <v>1392</v>
      </c>
    </row>
    <row r="12715" spans="1:6" ht="12.75">
      <c r="A12715" s="2">
        <v>43879.56858796296</v>
      </c>
      <c r="B12715" t="str">
        <f>HYPERLINK("https://twitter.com/vandaINJFT","@vandaINJFT")</f>
        <v>@vandaINJFT</v>
      </c>
      <c r="C12715" t="s">
        <v>6590</v>
      </c>
      <c r="D12715">
        <v>0</v>
      </c>
      <c r="E12715">
        <v>0</v>
      </c>
      <c r="F12715">
        <v>162</v>
      </c>
    </row>
    <row r="12716" spans="1:6" ht="12.75">
      <c r="A12716" s="2">
        <v>43879.568159722221</v>
      </c>
      <c r="B12716" t="str">
        <f>HYPERLINK("https://twitter.com/SuburBur","@SuburBur")</f>
        <v>@SuburBur</v>
      </c>
      <c r="C12716" t="s">
        <v>6591</v>
      </c>
      <c r="D12716">
        <v>3</v>
      </c>
      <c r="E12716">
        <v>2</v>
      </c>
      <c r="F12716">
        <v>5960</v>
      </c>
    </row>
    <row r="12717" spans="1:6" ht="12.75">
      <c r="A12717" s="2">
        <v>43879.567939814813</v>
      </c>
      <c r="B12717" t="str">
        <f>HYPERLINK("https://twitter.com/susiloandrianto","@susiloandrianto")</f>
        <v>@susiloandrianto</v>
      </c>
      <c r="C12717" t="s">
        <v>5642</v>
      </c>
      <c r="D12717">
        <v>214</v>
      </c>
      <c r="E12717">
        <v>0</v>
      </c>
      <c r="F12717">
        <v>38</v>
      </c>
    </row>
    <row r="12718" spans="1:6" ht="12.75">
      <c r="A12718" s="2">
        <v>43879.567418981482</v>
      </c>
      <c r="B12718" t="str">
        <f>HYPERLINK("https://twitter.com/501Crusader","@501Crusader")</f>
        <v>@501Crusader</v>
      </c>
      <c r="C12718" t="s">
        <v>6236</v>
      </c>
      <c r="D12718">
        <v>62</v>
      </c>
      <c r="E12718">
        <v>0</v>
      </c>
      <c r="F12718">
        <v>3</v>
      </c>
    </row>
    <row r="12719" spans="1:6" ht="12.75">
      <c r="A12719" s="2">
        <v>43879.567233796297</v>
      </c>
      <c r="B12719" t="str">
        <f>HYPERLINK("https://twitter.com/modijikahath","@modijikahath")</f>
        <v>@modijikahath</v>
      </c>
      <c r="C12719" t="s">
        <v>6236</v>
      </c>
      <c r="D12719">
        <v>62</v>
      </c>
      <c r="E12719">
        <v>0</v>
      </c>
      <c r="F12719">
        <v>5</v>
      </c>
    </row>
    <row r="12720" spans="1:6" ht="12.75">
      <c r="A12720" s="2">
        <v>43879.566099537042</v>
      </c>
      <c r="B12720" t="str">
        <f>HYPERLINK("https://twitter.com/Sentjoko","@Sentjoko")</f>
        <v>@Sentjoko</v>
      </c>
      <c r="C12720" t="s">
        <v>6592</v>
      </c>
      <c r="D12720">
        <v>0</v>
      </c>
      <c r="E12720">
        <v>0</v>
      </c>
      <c r="F12720">
        <v>1488</v>
      </c>
    </row>
    <row r="12721" spans="1:6" ht="12.75">
      <c r="A12721" s="2">
        <v>43879.566076388888</v>
      </c>
      <c r="B12721" t="str">
        <f>HYPERLINK("https://twitter.com/asnug_id","@asnug_id")</f>
        <v>@asnug_id</v>
      </c>
      <c r="C12721" t="s">
        <v>6206</v>
      </c>
      <c r="D12721">
        <v>36</v>
      </c>
      <c r="E12721">
        <v>0</v>
      </c>
      <c r="F12721">
        <v>3324</v>
      </c>
    </row>
    <row r="12722" spans="1:6" ht="12.75">
      <c r="A12722" s="2">
        <v>43879.565960648149</v>
      </c>
      <c r="B12722" t="str">
        <f>HYPERLINK("https://twitter.com/dhemit_official","@dhemit_official")</f>
        <v>@dhemit_official</v>
      </c>
      <c r="C12722" t="s">
        <v>6593</v>
      </c>
      <c r="D12722">
        <v>0</v>
      </c>
      <c r="E12722">
        <v>0</v>
      </c>
      <c r="F12722">
        <v>17</v>
      </c>
    </row>
    <row r="12723" spans="1:6" ht="12.75">
      <c r="A12723" s="2">
        <v>43879.565289351856</v>
      </c>
      <c r="B12723" t="str">
        <f>HYPERLINK("https://twitter.com/ISIS_Balik_NO","@ISIS_Balik_NO")</f>
        <v>@ISIS_Balik_NO</v>
      </c>
      <c r="C12723" t="s">
        <v>6594</v>
      </c>
      <c r="D12723">
        <v>0</v>
      </c>
      <c r="E12723">
        <v>2</v>
      </c>
      <c r="F12723">
        <v>6012</v>
      </c>
    </row>
    <row r="12724" spans="1:6" ht="12.75">
      <c r="A12724" s="2">
        <v>43879.565289351856</v>
      </c>
      <c r="B12724" t="str">
        <f>HYPERLINK("https://twitter.com/deniirawan","@deniirawan")</f>
        <v>@deniirawan</v>
      </c>
      <c r="C12724" t="s">
        <v>6595</v>
      </c>
      <c r="D12724">
        <v>0</v>
      </c>
      <c r="E12724">
        <v>0</v>
      </c>
      <c r="F12724">
        <v>132</v>
      </c>
    </row>
    <row r="12725" spans="1:6" ht="12.75">
      <c r="A12725" s="2">
        <v>43879.564201388886</v>
      </c>
      <c r="B12725" t="str">
        <f>HYPERLINK("https://twitter.com/hajinewsonline","@hajinewsonline")</f>
        <v>@hajinewsonline</v>
      </c>
      <c r="C12725" t="s">
        <v>6596</v>
      </c>
      <c r="D12725">
        <v>0</v>
      </c>
      <c r="E12725">
        <v>0</v>
      </c>
      <c r="F12725">
        <v>21</v>
      </c>
    </row>
    <row r="12726" spans="1:6" ht="12.75">
      <c r="A12726" s="2">
        <v>43879.564050925925</v>
      </c>
      <c r="B12726" t="str">
        <f>HYPERLINK("https://twitter.com/ISIS_Balik_NO","@ISIS_Balik_NO")</f>
        <v>@ISIS_Balik_NO</v>
      </c>
      <c r="C12726" t="s">
        <v>6597</v>
      </c>
      <c r="D12726">
        <v>0</v>
      </c>
      <c r="E12726">
        <v>0</v>
      </c>
      <c r="F12726">
        <v>6012</v>
      </c>
    </row>
    <row r="12727" spans="1:6" ht="12.75">
      <c r="A12727" s="2">
        <v>43879.563750000001</v>
      </c>
      <c r="B12727" t="str">
        <f>HYPERLINK("https://twitter.com/gromoable","@gromoable")</f>
        <v>@gromoable</v>
      </c>
      <c r="C12727" t="s">
        <v>5642</v>
      </c>
      <c r="D12727">
        <v>214</v>
      </c>
      <c r="E12727">
        <v>0</v>
      </c>
      <c r="F12727">
        <v>143</v>
      </c>
    </row>
    <row r="12728" spans="1:6" ht="12.75">
      <c r="A12728" s="2">
        <v>43879.563692129625</v>
      </c>
      <c r="B12728" t="str">
        <f>HYPERLINK("https://twitter.com/putri_lior4","@putri_lior4")</f>
        <v>@putri_lior4</v>
      </c>
      <c r="C12728" t="s">
        <v>6598</v>
      </c>
      <c r="D12728">
        <v>0</v>
      </c>
      <c r="E12728">
        <v>0</v>
      </c>
      <c r="F12728">
        <v>4454</v>
      </c>
    </row>
    <row r="12729" spans="1:6" ht="12.75">
      <c r="A12729" s="2">
        <v>43879.562951388885</v>
      </c>
      <c r="B12729" t="str">
        <f>HYPERLINK("https://twitter.com/tribunnews","@tribunnews")</f>
        <v>@tribunnews</v>
      </c>
      <c r="C12729" t="s">
        <v>5357</v>
      </c>
      <c r="D12729">
        <v>0</v>
      </c>
      <c r="E12729">
        <v>1</v>
      </c>
      <c r="F12729">
        <v>875907</v>
      </c>
    </row>
    <row r="12730" spans="1:6" ht="12.75">
      <c r="A12730" s="2">
        <v>43879.5625</v>
      </c>
      <c r="B12730" t="str">
        <f>HYPERLINK("https://twitter.com/Jhonson44870169","@Jhonson44870169")</f>
        <v>@Jhonson44870169</v>
      </c>
      <c r="C12730" t="s">
        <v>6599</v>
      </c>
      <c r="D12730">
        <v>0</v>
      </c>
      <c r="E12730">
        <v>0</v>
      </c>
      <c r="F12730">
        <v>55</v>
      </c>
    </row>
    <row r="12731" spans="1:6" ht="12.75">
      <c r="A12731" s="2">
        <v>43879.562291666662</v>
      </c>
      <c r="B12731" t="str">
        <f>HYPERLINK("https://twitter.com/Isis_Frazier","@Isis_Frazier")</f>
        <v>@Isis_Frazier</v>
      </c>
      <c r="C12731" t="s">
        <v>6600</v>
      </c>
      <c r="D12731">
        <v>15422</v>
      </c>
      <c r="E12731">
        <v>0</v>
      </c>
      <c r="F12731">
        <v>1473</v>
      </c>
    </row>
    <row r="12732" spans="1:6" ht="12.75">
      <c r="A12732" s="2">
        <v>43879.562164351853</v>
      </c>
      <c r="B12732" t="str">
        <f>HYPERLINK("https://twitter.com/Jhonson44870169","@Jhonson44870169")</f>
        <v>@Jhonson44870169</v>
      </c>
      <c r="C12732" t="s">
        <v>6601</v>
      </c>
      <c r="D12732">
        <v>0</v>
      </c>
      <c r="E12732">
        <v>0</v>
      </c>
      <c r="F12732">
        <v>55</v>
      </c>
    </row>
    <row r="12733" spans="1:6" ht="12.75">
      <c r="A12733" s="2">
        <v>43879.562048611115</v>
      </c>
      <c r="B12733" t="str">
        <f>HYPERLINK("https://twitter.com/ZubinRIrani1","@ZubinRIrani1")</f>
        <v>@ZubinRIrani1</v>
      </c>
      <c r="C12733" t="s">
        <v>6236</v>
      </c>
      <c r="D12733">
        <v>62</v>
      </c>
      <c r="E12733">
        <v>0</v>
      </c>
      <c r="F12733">
        <v>17</v>
      </c>
    </row>
    <row r="12734" spans="1:6" ht="12.75">
      <c r="A12734" s="2">
        <v>43879.562037037038</v>
      </c>
      <c r="B12734" t="str">
        <f>HYPERLINK("https://twitter.com/2020Didid","@2020Didid")</f>
        <v>@2020Didid</v>
      </c>
      <c r="C12734" t="s">
        <v>6602</v>
      </c>
      <c r="D12734">
        <v>0</v>
      </c>
      <c r="E12734">
        <v>0</v>
      </c>
      <c r="F12734">
        <v>1</v>
      </c>
    </row>
    <row r="12735" spans="1:6" ht="12.75">
      <c r="A12735" s="2">
        <v>43879.561851851853</v>
      </c>
      <c r="B12735" t="str">
        <f>HYPERLINK("https://twitter.com/AMassardhi","@AMassardhi")</f>
        <v>@AMassardhi</v>
      </c>
      <c r="C12735" t="s">
        <v>5642</v>
      </c>
      <c r="D12735">
        <v>214</v>
      </c>
      <c r="E12735">
        <v>0</v>
      </c>
      <c r="F12735">
        <v>58</v>
      </c>
    </row>
    <row r="12736" spans="1:6" ht="12.75">
      <c r="A12736" s="2">
        <v>43879.561724537038</v>
      </c>
      <c r="B12736" t="str">
        <f>HYPERLINK("https://twitter.com/Gilang_Mahesa","@Gilang_Mahesa")</f>
        <v>@Gilang_Mahesa</v>
      </c>
      <c r="C12736" t="s">
        <v>6603</v>
      </c>
      <c r="D12736">
        <v>2</v>
      </c>
      <c r="E12736">
        <v>0</v>
      </c>
      <c r="F12736">
        <v>16866</v>
      </c>
    </row>
    <row r="12737" spans="1:6" ht="12.75">
      <c r="A12737" s="2">
        <v>43879.56150462963</v>
      </c>
      <c r="B12737" t="str">
        <f>HYPERLINK("https://twitter.com/vivrepourmour","@vivrepourmour")</f>
        <v>@vivrepourmour</v>
      </c>
      <c r="C12737" t="s">
        <v>2217</v>
      </c>
      <c r="D12737">
        <v>9</v>
      </c>
      <c r="E12737">
        <v>0</v>
      </c>
      <c r="F12737">
        <v>423</v>
      </c>
    </row>
    <row r="12738" spans="1:6" ht="12.75">
      <c r="A12738" s="2">
        <v>43879.56149305556</v>
      </c>
      <c r="B12738" t="str">
        <f>HYPERLINK("https://twitter.com/averageahjussi","@averageahjussi")</f>
        <v>@averageahjussi</v>
      </c>
      <c r="C12738" t="s">
        <v>6604</v>
      </c>
      <c r="D12738">
        <v>0</v>
      </c>
      <c r="E12738">
        <v>0</v>
      </c>
      <c r="F12738">
        <v>454</v>
      </c>
    </row>
    <row r="12739" spans="1:6" ht="12.75">
      <c r="A12739" s="2">
        <v>43879.560486111106</v>
      </c>
      <c r="B12739" t="str">
        <f>HYPERLINK("https://twitter.com/wow_keren","@wow_keren")</f>
        <v>@wow_keren</v>
      </c>
      <c r="C12739" t="s">
        <v>6605</v>
      </c>
      <c r="D12739">
        <v>0</v>
      </c>
      <c r="E12739">
        <v>0</v>
      </c>
      <c r="F12739">
        <v>32006</v>
      </c>
    </row>
    <row r="12740" spans="1:6" ht="12.75">
      <c r="A12740" s="2">
        <v>43879.560104166667</v>
      </c>
      <c r="B12740" t="str">
        <f>HYPERLINK("https://twitter.com/solotrustcom","@solotrustcom")</f>
        <v>@solotrustcom</v>
      </c>
      <c r="C12740" t="s">
        <v>6606</v>
      </c>
      <c r="D12740">
        <v>0</v>
      </c>
      <c r="E12740">
        <v>0</v>
      </c>
      <c r="F12740">
        <v>129</v>
      </c>
    </row>
    <row r="12741" spans="1:6" ht="12.75">
      <c r="A12741" s="2">
        <v>43879.559803240743</v>
      </c>
      <c r="B12741" t="str">
        <f>HYPERLINK("https://twitter.com/slametpardosi","@slametpardosi")</f>
        <v>@slametpardosi</v>
      </c>
      <c r="C12741" t="s">
        <v>3474</v>
      </c>
      <c r="D12741">
        <v>7</v>
      </c>
      <c r="E12741">
        <v>0</v>
      </c>
      <c r="F12741">
        <v>157</v>
      </c>
    </row>
    <row r="12742" spans="1:6" ht="12.75">
      <c r="A12742" s="2">
        <v>43879.559756944444</v>
      </c>
      <c r="B12742" t="str">
        <f>HYPERLINK("https://twitter.com/hildaarstt","@hildaarstt")</f>
        <v>@hildaarstt</v>
      </c>
      <c r="C12742" t="s">
        <v>3474</v>
      </c>
      <c r="D12742">
        <v>7</v>
      </c>
      <c r="E12742">
        <v>0</v>
      </c>
      <c r="F12742">
        <v>352</v>
      </c>
    </row>
    <row r="12743" spans="1:6" ht="12.75">
      <c r="A12743" s="2">
        <v>43879.559594907405</v>
      </c>
      <c r="B12743" t="str">
        <f>HYPERLINK("https://twitter.com/Jhonson44870169","@Jhonson44870169")</f>
        <v>@Jhonson44870169</v>
      </c>
      <c r="C12743" t="s">
        <v>6607</v>
      </c>
      <c r="D12743">
        <v>0</v>
      </c>
      <c r="E12743">
        <v>2</v>
      </c>
      <c r="F12743">
        <v>55</v>
      </c>
    </row>
    <row r="12744" spans="1:6" ht="12.75">
      <c r="A12744" s="2">
        <v>43879.559398148151</v>
      </c>
      <c r="B12744" t="str">
        <f>HYPERLINK("https://twitter.com/ISIS_Balik_NO","@ISIS_Balik_NO")</f>
        <v>@ISIS_Balik_NO</v>
      </c>
      <c r="C12744" t="s">
        <v>6608</v>
      </c>
      <c r="D12744">
        <v>0</v>
      </c>
      <c r="E12744">
        <v>1</v>
      </c>
      <c r="F12744">
        <v>6012</v>
      </c>
    </row>
    <row r="12745" spans="1:6" ht="12.75">
      <c r="A12745" s="2">
        <v>43879.558831018519</v>
      </c>
      <c r="B12745" t="str">
        <f>HYPERLINK("https://twitter.com/Jhonson44870169","@Jhonson44870169")</f>
        <v>@Jhonson44870169</v>
      </c>
      <c r="C12745" t="s">
        <v>6609</v>
      </c>
      <c r="D12745">
        <v>0</v>
      </c>
      <c r="E12745">
        <v>0</v>
      </c>
      <c r="F12745">
        <v>55</v>
      </c>
    </row>
    <row r="12746" spans="1:6" ht="12.75">
      <c r="A12746" s="2">
        <v>43879.558807870373</v>
      </c>
      <c r="B12746" t="str">
        <f>HYPERLINK("https://twitter.com/5Y5_one_70","@5Y5_one_70")</f>
        <v>@5Y5_one_70</v>
      </c>
      <c r="C12746" t="s">
        <v>6610</v>
      </c>
      <c r="D12746">
        <v>10</v>
      </c>
      <c r="E12746">
        <v>0</v>
      </c>
      <c r="F12746">
        <v>6649</v>
      </c>
    </row>
    <row r="12747" spans="1:6" ht="12.75">
      <c r="A12747" s="2">
        <v>43879.558645833335</v>
      </c>
      <c r="B12747" t="str">
        <f t="shared" ref="B12747:B12748" si="214">HYPERLINK("https://twitter.com/ISIS_Balik_NO","@ISIS_Balik_NO")</f>
        <v>@ISIS_Balik_NO</v>
      </c>
      <c r="C12747" t="s">
        <v>6611</v>
      </c>
      <c r="D12747">
        <v>3</v>
      </c>
      <c r="E12747">
        <v>0</v>
      </c>
      <c r="F12747">
        <v>6012</v>
      </c>
    </row>
    <row r="12748" spans="1:6" ht="12.75">
      <c r="A12748" s="2">
        <v>43879.558587962965</v>
      </c>
      <c r="B12748" t="str">
        <f t="shared" si="214"/>
        <v>@ISIS_Balik_NO</v>
      </c>
      <c r="C12748" t="s">
        <v>6612</v>
      </c>
      <c r="D12748">
        <v>4</v>
      </c>
      <c r="E12748">
        <v>0</v>
      </c>
      <c r="F12748">
        <v>6012</v>
      </c>
    </row>
    <row r="12749" spans="1:6" ht="12.75">
      <c r="A12749" s="2">
        <v>43879.558437500003</v>
      </c>
      <c r="B12749" t="str">
        <f>HYPERLINK("https://twitter.com/beritaKBR","@beritaKBR")</f>
        <v>@beritaKBR</v>
      </c>
      <c r="C12749" t="s">
        <v>6613</v>
      </c>
      <c r="D12749">
        <v>0</v>
      </c>
      <c r="E12749">
        <v>0</v>
      </c>
      <c r="F12749">
        <v>137227</v>
      </c>
    </row>
    <row r="12750" spans="1:6" ht="12.75">
      <c r="A12750" s="2">
        <v>43879.55840277778</v>
      </c>
      <c r="B12750" t="str">
        <f>HYPERLINK("https://twitter.com/SonHaji57795944","@SonHaji57795944")</f>
        <v>@SonHaji57795944</v>
      </c>
      <c r="C12750" t="s">
        <v>6161</v>
      </c>
      <c r="D12750">
        <v>358</v>
      </c>
      <c r="E12750">
        <v>0</v>
      </c>
      <c r="F12750">
        <v>130</v>
      </c>
    </row>
    <row r="12751" spans="1:6" ht="12.75">
      <c r="A12751" s="2">
        <v>43879.558194444442</v>
      </c>
      <c r="B12751" t="str">
        <f>HYPERLINK("https://twitter.com/ISIS_Balik_NO","@ISIS_Balik_NO")</f>
        <v>@ISIS_Balik_NO</v>
      </c>
      <c r="C12751" t="s">
        <v>6614</v>
      </c>
      <c r="D12751">
        <v>0</v>
      </c>
      <c r="E12751">
        <v>0</v>
      </c>
      <c r="F12751">
        <v>6012</v>
      </c>
    </row>
    <row r="12752" spans="1:6" ht="12.75">
      <c r="A12752" s="2">
        <v>43879.558194444442</v>
      </c>
      <c r="B12752" t="str">
        <f>HYPERLINK("https://twitter.com/HarSastropawiro","@HarSastropawiro")</f>
        <v>@HarSastropawiro</v>
      </c>
      <c r="C12752" t="s">
        <v>6330</v>
      </c>
      <c r="D12752">
        <v>7</v>
      </c>
      <c r="E12752">
        <v>0</v>
      </c>
      <c r="F12752">
        <v>84</v>
      </c>
    </row>
    <row r="12753" spans="1:6" ht="12.75">
      <c r="A12753" s="2">
        <v>43879.557592592595</v>
      </c>
      <c r="B12753" t="str">
        <f>HYPERLINK("https://twitter.com/KienAnd_","@KienAnd_")</f>
        <v>@KienAnd_</v>
      </c>
      <c r="C12753" t="s">
        <v>6615</v>
      </c>
      <c r="D12753">
        <v>7</v>
      </c>
      <c r="E12753">
        <v>21</v>
      </c>
      <c r="F12753">
        <v>11464</v>
      </c>
    </row>
    <row r="12754" spans="1:6" ht="12.75">
      <c r="A12754" s="2">
        <v>43879.55704861111</v>
      </c>
      <c r="B12754" t="str">
        <f>HYPERLINK("https://twitter.com/HumasTebing","@HumasTebing")</f>
        <v>@HumasTebing</v>
      </c>
      <c r="C12754" t="s">
        <v>6616</v>
      </c>
      <c r="D12754">
        <v>0</v>
      </c>
      <c r="E12754">
        <v>0</v>
      </c>
      <c r="F12754">
        <v>10</v>
      </c>
    </row>
    <row r="12755" spans="1:6" ht="12.75">
      <c r="A12755" s="2">
        <v>43879.556990740741</v>
      </c>
      <c r="B12755" t="str">
        <f>HYPERLINK("https://twitter.com/Tandaseru_id","@Tandaseru_id")</f>
        <v>@Tandaseru_id</v>
      </c>
      <c r="C12755" t="s">
        <v>6617</v>
      </c>
      <c r="D12755">
        <v>0</v>
      </c>
      <c r="E12755">
        <v>0</v>
      </c>
      <c r="F12755">
        <v>554</v>
      </c>
    </row>
    <row r="12756" spans="1:6" ht="12.75">
      <c r="A12756" s="2">
        <v>43879.556840277779</v>
      </c>
      <c r="B12756" t="str">
        <f>HYPERLINK("https://twitter.com/TJumiat","@TJumiat")</f>
        <v>@TJumiat</v>
      </c>
      <c r="C12756" t="s">
        <v>2155</v>
      </c>
      <c r="D12756">
        <v>472</v>
      </c>
      <c r="E12756">
        <v>0</v>
      </c>
      <c r="F12756">
        <v>153</v>
      </c>
    </row>
    <row r="12757" spans="1:6" ht="12.75">
      <c r="A12757" s="2">
        <v>43879.543113425927</v>
      </c>
      <c r="B12757" t="str">
        <f>HYPERLINK("https://twitter.com/petrichoryan","@petrichoryan")</f>
        <v>@petrichoryan</v>
      </c>
      <c r="C12757" t="s">
        <v>6618</v>
      </c>
      <c r="D12757">
        <v>10</v>
      </c>
      <c r="E12757">
        <v>0</v>
      </c>
      <c r="F12757">
        <v>1756</v>
      </c>
    </row>
    <row r="12758" spans="1:6" ht="12.75">
      <c r="A12758" s="2">
        <v>43879.542905092589</v>
      </c>
      <c r="B12758" t="str">
        <f>HYPERLINK("https://twitter.com/kakategar","@kakategar")</f>
        <v>@kakategar</v>
      </c>
      <c r="C12758" t="s">
        <v>6619</v>
      </c>
      <c r="D12758">
        <v>0</v>
      </c>
      <c r="E12758">
        <v>0</v>
      </c>
      <c r="F12758">
        <v>205</v>
      </c>
    </row>
    <row r="12759" spans="1:6" ht="12.75">
      <c r="A12759" s="2">
        <v>43879.54173611111</v>
      </c>
      <c r="B12759" t="str">
        <f>HYPERLINK("https://twitter.com/antio888","@antio888")</f>
        <v>@antio888</v>
      </c>
      <c r="C12759" t="s">
        <v>6620</v>
      </c>
      <c r="D12759">
        <v>0</v>
      </c>
      <c r="E12759">
        <v>0</v>
      </c>
      <c r="F12759">
        <v>70</v>
      </c>
    </row>
    <row r="12760" spans="1:6" ht="12.75">
      <c r="A12760" s="2">
        <v>43879.541620370372</v>
      </c>
      <c r="B12760" t="str">
        <f>HYPERLINK("https://twitter.com/jr_kw19","@jr_kw19")</f>
        <v>@jr_kw19</v>
      </c>
      <c r="C12760" t="s">
        <v>6621</v>
      </c>
      <c r="D12760">
        <v>9</v>
      </c>
      <c r="E12760">
        <v>0</v>
      </c>
      <c r="F12760">
        <v>39788</v>
      </c>
    </row>
    <row r="12761" spans="1:6" ht="12.75">
      <c r="A12761" s="2">
        <v>43879.541562500002</v>
      </c>
      <c r="B12761" t="str">
        <f>HYPERLINK("https://twitter.com/ronirustamadji","@ronirustamadji")</f>
        <v>@ronirustamadji</v>
      </c>
      <c r="C12761" t="s">
        <v>6161</v>
      </c>
      <c r="D12761">
        <v>357</v>
      </c>
      <c r="E12761">
        <v>0</v>
      </c>
      <c r="F12761">
        <v>3188</v>
      </c>
    </row>
    <row r="12762" spans="1:6" ht="12.75">
      <c r="A12762" s="2">
        <v>43879.541331018518</v>
      </c>
      <c r="B12762" t="str">
        <f>HYPERLINK("https://twitter.com/eddyssuryass","@eddyssuryass")</f>
        <v>@eddyssuryass</v>
      </c>
      <c r="C12762" t="s">
        <v>5642</v>
      </c>
      <c r="D12762">
        <v>206</v>
      </c>
      <c r="E12762">
        <v>0</v>
      </c>
      <c r="F12762">
        <v>376</v>
      </c>
    </row>
    <row r="12763" spans="1:6" ht="12.75">
      <c r="A12763" s="2">
        <v>43879.541319444441</v>
      </c>
      <c r="B12763" t="str">
        <f>HYPERLINK("https://twitter.com/sirodjudin01","@sirodjudin01")</f>
        <v>@sirodjudin01</v>
      </c>
      <c r="C12763" t="s">
        <v>6622</v>
      </c>
      <c r="D12763">
        <v>0</v>
      </c>
      <c r="E12763">
        <v>0</v>
      </c>
      <c r="F12763">
        <v>8063</v>
      </c>
    </row>
    <row r="12764" spans="1:6" ht="12.75">
      <c r="A12764" s="2">
        <v>43879.540393518517</v>
      </c>
      <c r="B12764" t="str">
        <f>HYPERLINK("https://twitter.com/YohanesPatty2","@YohanesPatty2")</f>
        <v>@YohanesPatty2</v>
      </c>
      <c r="C12764" t="s">
        <v>6623</v>
      </c>
      <c r="D12764">
        <v>0</v>
      </c>
      <c r="E12764">
        <v>1</v>
      </c>
      <c r="F12764">
        <v>5595</v>
      </c>
    </row>
    <row r="12765" spans="1:6" ht="12.75">
      <c r="A12765" s="2">
        <v>43879.540150462963</v>
      </c>
      <c r="B12765" t="str">
        <f>HYPERLINK("https://twitter.com/VeryNiceNews","@VeryNiceNews")</f>
        <v>@VeryNiceNews</v>
      </c>
      <c r="C12765" t="s">
        <v>5642</v>
      </c>
      <c r="D12765">
        <v>206</v>
      </c>
      <c r="E12765">
        <v>0</v>
      </c>
      <c r="F12765">
        <v>57</v>
      </c>
    </row>
    <row r="12766" spans="1:6" ht="12.75">
      <c r="A12766" s="2">
        <v>43879.539872685185</v>
      </c>
      <c r="B12766" t="str">
        <f>HYPERLINK("https://twitter.com/ManumpakM","@ManumpakM")</f>
        <v>@ManumpakM</v>
      </c>
      <c r="C12766" t="s">
        <v>2155</v>
      </c>
      <c r="D12766">
        <v>469</v>
      </c>
      <c r="E12766">
        <v>0</v>
      </c>
      <c r="F12766">
        <v>11131</v>
      </c>
    </row>
    <row r="12767" spans="1:6" ht="12.75">
      <c r="A12767" s="2">
        <v>43879.539826388893</v>
      </c>
      <c r="B12767" t="str">
        <f>HYPERLINK("https://twitter.com/mudha_satriya","@mudha_satriya")</f>
        <v>@mudha_satriya</v>
      </c>
      <c r="C12767" t="s">
        <v>6624</v>
      </c>
      <c r="D12767">
        <v>1</v>
      </c>
      <c r="E12767">
        <v>0</v>
      </c>
      <c r="F12767">
        <v>1875</v>
      </c>
    </row>
    <row r="12768" spans="1:6" ht="12.75">
      <c r="A12768" s="2">
        <v>43879.538935185185</v>
      </c>
      <c r="B12768" t="str">
        <f>HYPERLINK("https://twitter.com/ning_jova","@ning_jova")</f>
        <v>@ning_jova</v>
      </c>
      <c r="C12768" t="s">
        <v>6625</v>
      </c>
      <c r="D12768">
        <v>17</v>
      </c>
      <c r="E12768">
        <v>0</v>
      </c>
      <c r="F12768">
        <v>137</v>
      </c>
    </row>
    <row r="12769" spans="1:6" ht="12.75">
      <c r="A12769" s="2">
        <v>43879.538877314815</v>
      </c>
      <c r="B12769" t="str">
        <f>HYPERLINK("https://twitter.com/kakategar","@kakategar")</f>
        <v>@kakategar</v>
      </c>
      <c r="C12769" t="s">
        <v>6626</v>
      </c>
      <c r="D12769">
        <v>0</v>
      </c>
      <c r="E12769">
        <v>0</v>
      </c>
      <c r="F12769">
        <v>205</v>
      </c>
    </row>
    <row r="12770" spans="1:6" ht="12.75">
      <c r="A12770" s="2">
        <v>43879.5387962963</v>
      </c>
      <c r="B12770" t="str">
        <f>HYPERLINK("https://twitter.com/adadisopay","@adadisopay")</f>
        <v>@adadisopay</v>
      </c>
      <c r="C12770" t="s">
        <v>6627</v>
      </c>
      <c r="D12770">
        <v>0</v>
      </c>
      <c r="E12770">
        <v>0</v>
      </c>
      <c r="F12770">
        <v>2812</v>
      </c>
    </row>
    <row r="12771" spans="1:6" ht="12.75">
      <c r="A12771" s="2">
        <v>43879.53833333333</v>
      </c>
      <c r="B12771" t="str">
        <f t="shared" ref="B12771:B12772" si="215">HYPERLINK("https://twitter.com/andy_nomicin","@andy_nomicin")</f>
        <v>@andy_nomicin</v>
      </c>
      <c r="C12771" t="s">
        <v>6628</v>
      </c>
      <c r="D12771">
        <v>5</v>
      </c>
      <c r="E12771">
        <v>0</v>
      </c>
      <c r="F12771">
        <v>7274</v>
      </c>
    </row>
    <row r="12772" spans="1:6" ht="12.75">
      <c r="A12772" s="2">
        <v>43879.538194444445</v>
      </c>
      <c r="B12772" t="str">
        <f t="shared" si="215"/>
        <v>@andy_nomicin</v>
      </c>
      <c r="C12772" t="s">
        <v>6629</v>
      </c>
      <c r="D12772">
        <v>5</v>
      </c>
      <c r="E12772">
        <v>0</v>
      </c>
      <c r="F12772">
        <v>7274</v>
      </c>
    </row>
    <row r="12773" spans="1:6" ht="12.75">
      <c r="A12773" s="2">
        <v>43879.538078703699</v>
      </c>
      <c r="B12773" t="str">
        <f>HYPERLINK("https://twitter.com/Baracuda077","@Baracuda077")</f>
        <v>@Baracuda077</v>
      </c>
      <c r="C12773" t="s">
        <v>6630</v>
      </c>
      <c r="D12773">
        <v>0</v>
      </c>
      <c r="E12773">
        <v>0</v>
      </c>
      <c r="F12773">
        <v>104</v>
      </c>
    </row>
    <row r="12774" spans="1:6" ht="12.75">
      <c r="A12774" s="2">
        <v>43879.537997685184</v>
      </c>
      <c r="B12774" t="str">
        <f t="shared" ref="B12774:B12776" si="216">HYPERLINK("https://twitter.com/andy_nomicin","@andy_nomicin")</f>
        <v>@andy_nomicin</v>
      </c>
      <c r="C12774" t="s">
        <v>6631</v>
      </c>
      <c r="D12774">
        <v>4</v>
      </c>
      <c r="E12774">
        <v>0</v>
      </c>
      <c r="F12774">
        <v>7274</v>
      </c>
    </row>
    <row r="12775" spans="1:6" ht="12.75">
      <c r="A12775" s="2">
        <v>43879.537835648152</v>
      </c>
      <c r="B12775" t="str">
        <f t="shared" si="216"/>
        <v>@andy_nomicin</v>
      </c>
      <c r="C12775" t="s">
        <v>6632</v>
      </c>
      <c r="D12775">
        <v>5</v>
      </c>
      <c r="E12775">
        <v>0</v>
      </c>
      <c r="F12775">
        <v>7274</v>
      </c>
    </row>
    <row r="12776" spans="1:6" ht="12.75">
      <c r="A12776" s="2">
        <v>43879.537824074076</v>
      </c>
      <c r="B12776" t="str">
        <f t="shared" si="216"/>
        <v>@andy_nomicin</v>
      </c>
      <c r="C12776" t="s">
        <v>6610</v>
      </c>
      <c r="D12776">
        <v>9</v>
      </c>
      <c r="E12776">
        <v>0</v>
      </c>
      <c r="F12776">
        <v>7274</v>
      </c>
    </row>
    <row r="12777" spans="1:6" ht="12.75">
      <c r="A12777" s="2">
        <v>43879.537800925929</v>
      </c>
      <c r="B12777" t="str">
        <f>HYPERLINK("https://twitter.com/kakategar","@kakategar")</f>
        <v>@kakategar</v>
      </c>
      <c r="C12777" t="s">
        <v>6633</v>
      </c>
      <c r="D12777">
        <v>0</v>
      </c>
      <c r="E12777">
        <v>0</v>
      </c>
      <c r="F12777">
        <v>205</v>
      </c>
    </row>
    <row r="12778" spans="1:6" ht="12.75">
      <c r="A12778" s="2">
        <v>43879.537743055553</v>
      </c>
      <c r="B12778" t="str">
        <f>HYPERLINK("https://twitter.com/paulhqq","@paulhqq")</f>
        <v>@paulhqq</v>
      </c>
      <c r="C12778" t="s">
        <v>6618</v>
      </c>
      <c r="D12778">
        <v>10</v>
      </c>
      <c r="E12778">
        <v>0</v>
      </c>
      <c r="F12778">
        <v>39</v>
      </c>
    </row>
    <row r="12779" spans="1:6" ht="12.75">
      <c r="A12779" s="2">
        <v>43879.537511574075</v>
      </c>
      <c r="B12779" t="str">
        <f>HYPERLINK("https://twitter.com/thanatosaragoto","@thanatosaragoto")</f>
        <v>@thanatosaragoto</v>
      </c>
      <c r="C12779" t="s">
        <v>6634</v>
      </c>
      <c r="D12779">
        <v>0</v>
      </c>
      <c r="E12779">
        <v>0</v>
      </c>
      <c r="F12779">
        <v>471</v>
      </c>
    </row>
    <row r="12780" spans="1:6" ht="12.75">
      <c r="A12780" s="2">
        <v>43879.537222222221</v>
      </c>
      <c r="B12780" t="str">
        <f>HYPERLINK("https://twitter.com/NCahyo51","@NCahyo51")</f>
        <v>@NCahyo51</v>
      </c>
      <c r="C12780" t="s">
        <v>6621</v>
      </c>
      <c r="D12780">
        <v>9</v>
      </c>
      <c r="E12780">
        <v>0</v>
      </c>
      <c r="F12780">
        <v>84</v>
      </c>
    </row>
    <row r="12781" spans="1:6" ht="12.75">
      <c r="A12781" s="2">
        <v>43879.536886574075</v>
      </c>
      <c r="B12781" t="str">
        <f>HYPERLINK("https://twitter.com/kakategar","@kakategar")</f>
        <v>@kakategar</v>
      </c>
      <c r="C12781" t="s">
        <v>6635</v>
      </c>
      <c r="D12781">
        <v>0</v>
      </c>
      <c r="E12781">
        <v>0</v>
      </c>
      <c r="F12781">
        <v>205</v>
      </c>
    </row>
    <row r="12782" spans="1:6" ht="12.75">
      <c r="A12782" s="2">
        <v>43879.536712962959</v>
      </c>
      <c r="B12782" t="str">
        <f>HYPERLINK("https://twitter.com/AnakKolong___","@AnakKolong___")</f>
        <v>@AnakKolong___</v>
      </c>
      <c r="C12782" t="s">
        <v>6636</v>
      </c>
      <c r="D12782">
        <v>1</v>
      </c>
      <c r="E12782">
        <v>0</v>
      </c>
      <c r="F12782">
        <v>6163</v>
      </c>
    </row>
    <row r="12783" spans="1:6" ht="12.75">
      <c r="A12783" s="2">
        <v>43879.536192129628</v>
      </c>
      <c r="B12783" t="str">
        <f>HYPERLINK("https://twitter.com/renegad19207887","@renegad19207887")</f>
        <v>@renegad19207887</v>
      </c>
      <c r="C12783" t="s">
        <v>6637</v>
      </c>
      <c r="D12783">
        <v>0</v>
      </c>
      <c r="E12783">
        <v>0</v>
      </c>
      <c r="F12783">
        <v>1264</v>
      </c>
    </row>
    <row r="12784" spans="1:6" ht="12.75">
      <c r="A12784" s="2">
        <v>43879.535937499997</v>
      </c>
      <c r="B12784" t="str">
        <f>HYPERLINK("https://twitter.com/ArjunaFreddy","@ArjunaFreddy")</f>
        <v>@ArjunaFreddy</v>
      </c>
      <c r="C12784" t="s">
        <v>6638</v>
      </c>
      <c r="D12784">
        <v>1</v>
      </c>
      <c r="E12784">
        <v>2</v>
      </c>
      <c r="F12784">
        <v>2855</v>
      </c>
    </row>
    <row r="12785" spans="1:6" ht="12.75">
      <c r="A12785" s="2">
        <v>43879.535659722227</v>
      </c>
      <c r="B12785" t="str">
        <f>HYPERLINK("https://twitter.com/kakategar","@kakategar")</f>
        <v>@kakategar</v>
      </c>
      <c r="C12785" t="s">
        <v>6639</v>
      </c>
      <c r="D12785">
        <v>0</v>
      </c>
      <c r="E12785">
        <v>0</v>
      </c>
      <c r="F12785">
        <v>205</v>
      </c>
    </row>
    <row r="12786" spans="1:6" ht="12.75">
      <c r="A12786" s="2">
        <v>43879.535428240742</v>
      </c>
      <c r="B12786" t="str">
        <f>HYPERLINK("https://twitter.com/Gilang_Mahesa","@Gilang_Mahesa")</f>
        <v>@Gilang_Mahesa</v>
      </c>
      <c r="C12786" t="s">
        <v>6640</v>
      </c>
      <c r="D12786">
        <v>0</v>
      </c>
      <c r="E12786">
        <v>1</v>
      </c>
      <c r="F12786">
        <v>16866</v>
      </c>
    </row>
    <row r="12787" spans="1:6" ht="12.75">
      <c r="A12787" s="2">
        <v>43879.534768518519</v>
      </c>
      <c r="B12787" t="str">
        <f>HYPERLINK("https://twitter.com/FitriNurIslami4","@FitriNurIslami4")</f>
        <v>@FitriNurIslami4</v>
      </c>
      <c r="C12787" t="s">
        <v>4873</v>
      </c>
      <c r="D12787">
        <v>1793</v>
      </c>
      <c r="E12787">
        <v>0</v>
      </c>
      <c r="F12787">
        <v>3</v>
      </c>
    </row>
    <row r="12788" spans="1:6" ht="12.75">
      <c r="A12788" s="2">
        <v>43879.534618055557</v>
      </c>
      <c r="B12788" t="str">
        <f>HYPERLINK("https://twitter.com/YotamKlot","@YotamKlot")</f>
        <v>@YotamKlot</v>
      </c>
      <c r="C12788" t="s">
        <v>6641</v>
      </c>
      <c r="D12788">
        <v>0</v>
      </c>
      <c r="E12788">
        <v>0</v>
      </c>
      <c r="F12788">
        <v>135</v>
      </c>
    </row>
    <row r="12789" spans="1:6" ht="12.75">
      <c r="A12789" s="2">
        <v>43879.534490740742</v>
      </c>
      <c r="B12789" t="str">
        <f>HYPERLINK("https://twitter.com/Ezz2305","@Ezz2305")</f>
        <v>@Ezz2305</v>
      </c>
      <c r="C12789" t="s">
        <v>6642</v>
      </c>
      <c r="D12789">
        <v>0</v>
      </c>
      <c r="E12789">
        <v>0</v>
      </c>
      <c r="F12789">
        <v>76</v>
      </c>
    </row>
    <row r="12790" spans="1:6" ht="12.75">
      <c r="A12790" s="2">
        <v>43879.533946759257</v>
      </c>
      <c r="B12790" t="str">
        <f>HYPERLINK("https://twitter.com/CNNIDdaily","@CNNIDdaily")</f>
        <v>@CNNIDdaily</v>
      </c>
      <c r="C12790" t="s">
        <v>6643</v>
      </c>
      <c r="D12790">
        <v>1</v>
      </c>
      <c r="E12790">
        <v>2</v>
      </c>
      <c r="F12790">
        <v>116548</v>
      </c>
    </row>
    <row r="12791" spans="1:6" ht="12.75">
      <c r="A12791" s="2">
        <v>43879.532152777778</v>
      </c>
      <c r="B12791" t="str">
        <f t="shared" ref="B12791:B12792" si="217">HYPERLINK("https://twitter.com/Sadewazero","@Sadewazero")</f>
        <v>@Sadewazero</v>
      </c>
      <c r="C12791" t="s">
        <v>6644</v>
      </c>
      <c r="D12791">
        <v>0</v>
      </c>
      <c r="E12791">
        <v>0</v>
      </c>
      <c r="F12791">
        <v>149</v>
      </c>
    </row>
    <row r="12792" spans="1:6" ht="12.75">
      <c r="A12792" s="2">
        <v>43879.532152777778</v>
      </c>
      <c r="B12792" t="str">
        <f t="shared" si="217"/>
        <v>@Sadewazero</v>
      </c>
      <c r="C12792" t="s">
        <v>6645</v>
      </c>
      <c r="D12792">
        <v>0</v>
      </c>
      <c r="E12792">
        <v>0</v>
      </c>
      <c r="F12792">
        <v>149</v>
      </c>
    </row>
    <row r="12793" spans="1:6" ht="12.75">
      <c r="A12793" s="2">
        <v>43879.532013888893</v>
      </c>
      <c r="B12793" t="str">
        <f>HYPERLINK("https://twitter.com/idntimes","@idntimes")</f>
        <v>@idntimes</v>
      </c>
      <c r="C12793" t="s">
        <v>6646</v>
      </c>
      <c r="D12793">
        <v>0</v>
      </c>
      <c r="E12793">
        <v>0</v>
      </c>
      <c r="F12793">
        <v>392939</v>
      </c>
    </row>
    <row r="12794" spans="1:6" ht="12.75">
      <c r="A12794" s="2">
        <v>43879.53126157407</v>
      </c>
      <c r="B12794" t="str">
        <f>HYPERLINK("https://twitter.com/idetopia","@idetopia")</f>
        <v>@idetopia</v>
      </c>
      <c r="C12794" t="s">
        <v>1391</v>
      </c>
      <c r="D12794">
        <v>0</v>
      </c>
      <c r="E12794">
        <v>0</v>
      </c>
      <c r="F12794">
        <v>88321</v>
      </c>
    </row>
    <row r="12795" spans="1:6" ht="12.75">
      <c r="A12795" s="2">
        <v>43879.531053240746</v>
      </c>
      <c r="B12795" t="str">
        <f>HYPERLINK("https://twitter.com/Jkt_Networks","@Jkt_Networks")</f>
        <v>@Jkt_Networks</v>
      </c>
      <c r="C12795" t="s">
        <v>5642</v>
      </c>
      <c r="D12795">
        <v>206</v>
      </c>
      <c r="E12795">
        <v>0</v>
      </c>
      <c r="F12795">
        <v>97</v>
      </c>
    </row>
    <row r="12796" spans="1:6" ht="12.75">
      <c r="A12796" s="2">
        <v>43879.530810185184</v>
      </c>
      <c r="B12796" t="str">
        <f>HYPERLINK("https://twitter.com/sangper04344291","@sangper04344291")</f>
        <v>@sangper04344291</v>
      </c>
      <c r="C12796" t="s">
        <v>6618</v>
      </c>
      <c r="D12796">
        <v>10</v>
      </c>
      <c r="E12796">
        <v>0</v>
      </c>
      <c r="F12796">
        <v>488</v>
      </c>
    </row>
    <row r="12797" spans="1:6" ht="12.75">
      <c r="A12797" s="2">
        <v>43879.530358796299</v>
      </c>
      <c r="B12797" t="str">
        <f>HYPERLINK("https://twitter.com/LamanKita_","@LamanKita_")</f>
        <v>@LamanKita_</v>
      </c>
      <c r="C12797" t="s">
        <v>6647</v>
      </c>
      <c r="D12797">
        <v>0</v>
      </c>
      <c r="E12797">
        <v>0</v>
      </c>
      <c r="F12797">
        <v>139631</v>
      </c>
    </row>
    <row r="12798" spans="1:6" ht="12.75">
      <c r="A12798" s="2">
        <v>43879.529560185183</v>
      </c>
      <c r="B12798" t="str">
        <f>HYPERLINK("https://twitter.com/areztojeng","@areztojeng")</f>
        <v>@areztojeng</v>
      </c>
      <c r="C12798" t="s">
        <v>6618</v>
      </c>
      <c r="D12798">
        <v>10</v>
      </c>
      <c r="E12798">
        <v>0</v>
      </c>
      <c r="F12798">
        <v>715</v>
      </c>
    </row>
    <row r="12799" spans="1:6" ht="12.75">
      <c r="A12799" s="2">
        <v>43879.528912037036</v>
      </c>
      <c r="B12799" t="str">
        <f>HYPERLINK("https://twitter.com/Corona47575261","@Corona47575261")</f>
        <v>@Corona47575261</v>
      </c>
      <c r="C12799" t="s">
        <v>2155</v>
      </c>
      <c r="D12799">
        <v>469</v>
      </c>
      <c r="E12799">
        <v>0</v>
      </c>
      <c r="F12799">
        <v>53</v>
      </c>
    </row>
    <row r="12800" spans="1:6" ht="12.75">
      <c r="A12800" s="2">
        <v>43879.528842592597</v>
      </c>
      <c r="B12800" t="str">
        <f>HYPERLINK("https://twitter.com/jaldayat","@jaldayat")</f>
        <v>@jaldayat</v>
      </c>
      <c r="C12800" t="s">
        <v>3340</v>
      </c>
      <c r="D12800">
        <v>333</v>
      </c>
      <c r="E12800">
        <v>0</v>
      </c>
      <c r="F12800">
        <v>4458</v>
      </c>
    </row>
    <row r="12801" spans="1:6" ht="12.75">
      <c r="A12801" s="2">
        <v>43879.52825231482</v>
      </c>
      <c r="B12801" t="str">
        <f>HYPERLINK("https://twitter.com/IndonesiaRAW","@IndonesiaRAW")</f>
        <v>@IndonesiaRAW</v>
      </c>
      <c r="C12801" t="s">
        <v>6648</v>
      </c>
      <c r="D12801">
        <v>0</v>
      </c>
      <c r="E12801">
        <v>0</v>
      </c>
      <c r="F12801">
        <v>201830</v>
      </c>
    </row>
    <row r="12802" spans="1:6" ht="12.75">
      <c r="A12802" s="2">
        <v>43879.52820601852</v>
      </c>
      <c r="B12802" t="str">
        <f>HYPERLINK("https://twitter.com/blanceline","@blanceline")</f>
        <v>@blanceline</v>
      </c>
      <c r="C12802" t="s">
        <v>6618</v>
      </c>
      <c r="D12802">
        <v>10</v>
      </c>
      <c r="E12802">
        <v>0</v>
      </c>
      <c r="F12802">
        <v>86</v>
      </c>
    </row>
    <row r="12803" spans="1:6" ht="12.75">
      <c r="A12803" s="2">
        <v>43879.527662037042</v>
      </c>
      <c r="B12803" t="str">
        <f>HYPERLINK("https://twitter.com/sujonda37116800","@sujonda37116800")</f>
        <v>@sujonda37116800</v>
      </c>
      <c r="C12803" t="s">
        <v>2143</v>
      </c>
      <c r="D12803">
        <v>6</v>
      </c>
      <c r="E12803">
        <v>0</v>
      </c>
      <c r="F12803">
        <v>0</v>
      </c>
    </row>
    <row r="12804" spans="1:6" ht="12.75">
      <c r="A12804" s="2">
        <v>43879.52753472222</v>
      </c>
      <c r="B12804" t="str">
        <f>HYPERLINK("https://twitter.com/notminded","@notminded")</f>
        <v>@notminded</v>
      </c>
      <c r="C12804" t="s">
        <v>6508</v>
      </c>
      <c r="D12804">
        <v>22</v>
      </c>
      <c r="E12804">
        <v>0</v>
      </c>
      <c r="F12804">
        <v>275</v>
      </c>
    </row>
    <row r="12805" spans="1:6" ht="12.75">
      <c r="A12805" s="2">
        <v>43879.526701388888</v>
      </c>
      <c r="B12805" t="str">
        <f>HYPERLINK("https://twitter.com/gombang","@gombang")</f>
        <v>@gombang</v>
      </c>
      <c r="C12805" t="s">
        <v>6618</v>
      </c>
      <c r="D12805">
        <v>10</v>
      </c>
      <c r="E12805">
        <v>0</v>
      </c>
      <c r="F12805">
        <v>1495</v>
      </c>
    </row>
    <row r="12806" spans="1:6" ht="12.75">
      <c r="A12806" s="2">
        <v>43879.526469907403</v>
      </c>
      <c r="B12806" t="str">
        <f>HYPERLINK("https://twitter.com/agussari","@agussari")</f>
        <v>@agussari</v>
      </c>
      <c r="C12806" t="s">
        <v>6618</v>
      </c>
      <c r="D12806">
        <v>10</v>
      </c>
      <c r="E12806">
        <v>0</v>
      </c>
      <c r="F12806">
        <v>19754</v>
      </c>
    </row>
    <row r="12807" spans="1:6" ht="12.75">
      <c r="A12807" s="2">
        <v>43879.526307870372</v>
      </c>
      <c r="B12807" t="str">
        <f>HYPERLINK("https://twitter.com/anditoaja","@anditoaja")</f>
        <v>@anditoaja</v>
      </c>
      <c r="C12807" t="s">
        <v>6649</v>
      </c>
      <c r="D12807">
        <v>0</v>
      </c>
      <c r="E12807">
        <v>2</v>
      </c>
      <c r="F12807">
        <v>1419</v>
      </c>
    </row>
    <row r="12808" spans="1:6" ht="12.75">
      <c r="A12808" s="2">
        <v>43879.525856481487</v>
      </c>
      <c r="B12808" t="str">
        <f>HYPERLINK("https://twitter.com/EsensiBicara","@EsensiBicara")</f>
        <v>@EsensiBicara</v>
      </c>
      <c r="C12808" t="s">
        <v>6650</v>
      </c>
      <c r="D12808">
        <v>0</v>
      </c>
      <c r="E12808">
        <v>0</v>
      </c>
      <c r="F12808">
        <v>11</v>
      </c>
    </row>
    <row r="12809" spans="1:6" ht="12.75">
      <c r="A12809" s="2">
        <v>43879.525578703702</v>
      </c>
      <c r="B12809" t="str">
        <f>HYPERLINK("https://twitter.com/tall_prawn","@tall_prawn")</f>
        <v>@tall_prawn</v>
      </c>
      <c r="C12809" t="s">
        <v>6651</v>
      </c>
      <c r="D12809">
        <v>0</v>
      </c>
      <c r="E12809">
        <v>0</v>
      </c>
      <c r="F12809">
        <v>115</v>
      </c>
    </row>
    <row r="12810" spans="1:6" ht="12.75">
      <c r="A12810" s="2">
        <v>43879.524826388893</v>
      </c>
      <c r="B12810" t="str">
        <f>HYPERLINK("https://twitter.com/slekahena","@slekahena")</f>
        <v>@slekahena</v>
      </c>
      <c r="C12810" t="s">
        <v>6618</v>
      </c>
      <c r="D12810">
        <v>10</v>
      </c>
      <c r="E12810">
        <v>0</v>
      </c>
      <c r="F12810">
        <v>1230</v>
      </c>
    </row>
    <row r="12811" spans="1:6" ht="12.75">
      <c r="A12811" s="2">
        <v>43879.523923611108</v>
      </c>
      <c r="B12811" t="str">
        <f>HYPERLINK("https://twitter.com/BisnisJatengDIY","@BisnisJatengDIY")</f>
        <v>@BisnisJatengDIY</v>
      </c>
      <c r="C12811" t="s">
        <v>6652</v>
      </c>
      <c r="D12811">
        <v>0</v>
      </c>
      <c r="E12811">
        <v>0</v>
      </c>
      <c r="F12811">
        <v>2634</v>
      </c>
    </row>
    <row r="12812" spans="1:6" ht="12.75">
      <c r="A12812" s="2">
        <v>43879.523356481484</v>
      </c>
      <c r="B12812" t="str">
        <f>HYPERLINK("https://twitter.com/sweethellena","@sweethellena")</f>
        <v>@sweethellena</v>
      </c>
      <c r="C12812" t="s">
        <v>6653</v>
      </c>
      <c r="D12812">
        <v>10</v>
      </c>
      <c r="E12812">
        <v>3</v>
      </c>
      <c r="F12812">
        <v>6144</v>
      </c>
    </row>
    <row r="12813" spans="1:6" ht="12.75">
      <c r="A12813" s="2">
        <v>43879.523125</v>
      </c>
      <c r="B12813" t="str">
        <f>HYPERLINK("https://twitter.com/agama_nusantara","@agama_nusantara")</f>
        <v>@agama_nusantara</v>
      </c>
      <c r="C12813" t="s">
        <v>6654</v>
      </c>
      <c r="D12813">
        <v>1</v>
      </c>
      <c r="E12813">
        <v>0</v>
      </c>
      <c r="F12813">
        <v>7340</v>
      </c>
    </row>
    <row r="12814" spans="1:6" ht="12.75">
      <c r="A12814" s="2">
        <v>43879.522546296299</v>
      </c>
      <c r="B12814" t="str">
        <f>HYPERLINK("https://twitter.com/nadrayanti","@nadrayanti")</f>
        <v>@nadrayanti</v>
      </c>
      <c r="C12814" t="s">
        <v>4975</v>
      </c>
      <c r="D12814">
        <v>194</v>
      </c>
      <c r="E12814">
        <v>0</v>
      </c>
      <c r="F12814">
        <v>30</v>
      </c>
    </row>
    <row r="12815" spans="1:6" ht="12.75">
      <c r="A12815" s="2">
        <v>43879.522002314814</v>
      </c>
      <c r="B12815" t="str">
        <f>HYPERLINK("https://twitter.com/hikam_husnul","@hikam_husnul")</f>
        <v>@hikam_husnul</v>
      </c>
      <c r="C12815" t="s">
        <v>6655</v>
      </c>
      <c r="D12815">
        <v>0</v>
      </c>
      <c r="E12815">
        <v>0</v>
      </c>
      <c r="F12815">
        <v>35</v>
      </c>
    </row>
    <row r="12816" spans="1:6" ht="12.75">
      <c r="A12816" s="2">
        <v>43879.521747685183</v>
      </c>
      <c r="B12816" t="str">
        <f>HYPERLINK("https://twitter.com/El_eliyanti","@El_eliyanti")</f>
        <v>@El_eliyanti</v>
      </c>
      <c r="C12816" t="s">
        <v>6161</v>
      </c>
      <c r="D12816">
        <v>357</v>
      </c>
      <c r="E12816">
        <v>0</v>
      </c>
      <c r="F12816">
        <v>66</v>
      </c>
    </row>
    <row r="12817" spans="1:6" ht="12.75">
      <c r="A12817" s="2">
        <v>43879.520775462966</v>
      </c>
      <c r="B12817" t="str">
        <f>HYPERLINK("https://twitter.com/kemenhub151","@kemenhub151")</f>
        <v>@kemenhub151</v>
      </c>
      <c r="C12817" t="s">
        <v>6656</v>
      </c>
      <c r="D12817">
        <v>1</v>
      </c>
      <c r="E12817">
        <v>4</v>
      </c>
      <c r="F12817">
        <v>301323</v>
      </c>
    </row>
    <row r="12818" spans="1:6" ht="12.75">
      <c r="A12818" s="2">
        <v>43879.520752314813</v>
      </c>
      <c r="B12818" t="str">
        <f>HYPERLINK("https://twitter.com/aryacokronegoro","@aryacokronegoro")</f>
        <v>@aryacokronegoro</v>
      </c>
      <c r="C12818" t="s">
        <v>6657</v>
      </c>
      <c r="D12818">
        <v>5</v>
      </c>
      <c r="E12818">
        <v>0</v>
      </c>
      <c r="F12818">
        <v>423</v>
      </c>
    </row>
    <row r="12819" spans="1:6" ht="12.75">
      <c r="A12819" s="2">
        <v>43879.520520833335</v>
      </c>
      <c r="B12819" t="str">
        <f>HYPERLINK("https://twitter.com/kholiq486","@kholiq486")</f>
        <v>@kholiq486</v>
      </c>
      <c r="C12819" t="s">
        <v>6658</v>
      </c>
      <c r="D12819">
        <v>0</v>
      </c>
      <c r="E12819">
        <v>0</v>
      </c>
      <c r="F12819">
        <v>394</v>
      </c>
    </row>
    <row r="12820" spans="1:6" ht="12.75">
      <c r="A12820" s="2">
        <v>43879.519097222219</v>
      </c>
      <c r="B12820" t="str">
        <f>HYPERLINK("https://twitter.com/kemenhub151","@kemenhub151")</f>
        <v>@kemenhub151</v>
      </c>
      <c r="C12820" t="s">
        <v>6659</v>
      </c>
      <c r="D12820">
        <v>0</v>
      </c>
      <c r="E12820">
        <v>1</v>
      </c>
      <c r="F12820">
        <v>301323</v>
      </c>
    </row>
    <row r="12821" spans="1:6" ht="12.75">
      <c r="A12821" s="2">
        <v>43879.517847222218</v>
      </c>
      <c r="B12821" t="str">
        <f>HYPERLINK("https://twitter.com/ibabknup","@ibabknup")</f>
        <v>@ibabknup</v>
      </c>
      <c r="C12821" t="s">
        <v>6660</v>
      </c>
      <c r="D12821">
        <v>1</v>
      </c>
      <c r="E12821">
        <v>0</v>
      </c>
      <c r="F12821">
        <v>444</v>
      </c>
    </row>
    <row r="12822" spans="1:6" ht="12.75">
      <c r="A12822" s="2">
        <v>43879.517743055556</v>
      </c>
      <c r="B12822" t="str">
        <f>HYPERLINK("https://twitter.com/Cherul16","@Cherul16")</f>
        <v>@Cherul16</v>
      </c>
      <c r="C12822" t="s">
        <v>6621</v>
      </c>
      <c r="D12822">
        <v>9</v>
      </c>
      <c r="E12822">
        <v>0</v>
      </c>
      <c r="F12822">
        <v>1204</v>
      </c>
    </row>
    <row r="12823" spans="1:6" ht="12.75">
      <c r="A12823" s="2">
        <v>43879.517604166671</v>
      </c>
      <c r="B12823" t="str">
        <f>HYPERLINK("https://twitter.com/yazid_fadhlan","@yazid_fadhlan")</f>
        <v>@yazid_fadhlan</v>
      </c>
      <c r="C12823" t="s">
        <v>5642</v>
      </c>
      <c r="D12823">
        <v>206</v>
      </c>
      <c r="E12823">
        <v>0</v>
      </c>
      <c r="F12823">
        <v>619</v>
      </c>
    </row>
    <row r="12824" spans="1:6" ht="12.75">
      <c r="A12824" s="2">
        <v>43879.517488425925</v>
      </c>
      <c r="B12824" t="str">
        <f>HYPERLINK("https://twitter.com/jonach27","@jonach27")</f>
        <v>@jonach27</v>
      </c>
      <c r="C12824" t="s">
        <v>6661</v>
      </c>
      <c r="D12824">
        <v>0</v>
      </c>
      <c r="E12824">
        <v>0</v>
      </c>
      <c r="F12824">
        <v>338</v>
      </c>
    </row>
    <row r="12825" spans="1:6" ht="12.75">
      <c r="A12825" s="2">
        <v>43879.517418981486</v>
      </c>
      <c r="B12825" t="str">
        <f>HYPERLINK("https://twitter.com/ndaru_wardani","@ndaru_wardani")</f>
        <v>@ndaru_wardani</v>
      </c>
      <c r="C12825" t="s">
        <v>5642</v>
      </c>
      <c r="D12825">
        <v>206</v>
      </c>
      <c r="E12825">
        <v>0</v>
      </c>
      <c r="F12825">
        <v>263</v>
      </c>
    </row>
    <row r="12826" spans="1:6" ht="12.75">
      <c r="A12826" s="2">
        <v>43879.517037037032</v>
      </c>
      <c r="B12826" t="str">
        <f>HYPERLINK("https://twitter.com/juyeonesia","@juyeonesia")</f>
        <v>@juyeonesia</v>
      </c>
      <c r="C12826" t="s">
        <v>3340</v>
      </c>
      <c r="D12826">
        <v>333</v>
      </c>
      <c r="E12826">
        <v>0</v>
      </c>
      <c r="F12826">
        <v>329</v>
      </c>
    </row>
    <row r="12827" spans="1:6" ht="12.75">
      <c r="A12827" s="2">
        <v>43879.516527777778</v>
      </c>
      <c r="B12827" t="str">
        <f>HYPERLINK("https://twitter.com/kodokpangeran5","@kodokpangeran5")</f>
        <v>@kodokpangeran5</v>
      </c>
      <c r="C12827" t="s">
        <v>6662</v>
      </c>
      <c r="D12827">
        <v>1</v>
      </c>
      <c r="E12827">
        <v>0</v>
      </c>
      <c r="F12827">
        <v>98</v>
      </c>
    </row>
    <row r="12828" spans="1:6" ht="12.75">
      <c r="A12828" s="2">
        <v>43879.516481481478</v>
      </c>
      <c r="B12828" t="str">
        <f>HYPERLINK("https://twitter.com/m_yanto_baemo","@m_yanto_baemo")</f>
        <v>@m_yanto_baemo</v>
      </c>
      <c r="C12828" t="s">
        <v>6621</v>
      </c>
      <c r="D12828">
        <v>9</v>
      </c>
      <c r="E12828">
        <v>0</v>
      </c>
      <c r="F12828">
        <v>3282</v>
      </c>
    </row>
    <row r="12829" spans="1:6" ht="12.75">
      <c r="A12829" s="2">
        <v>43879.516481481478</v>
      </c>
      <c r="B12829" t="str">
        <f>HYPERLINK("https://twitter.com/IdamanNegri","@IdamanNegri")</f>
        <v>@IdamanNegri</v>
      </c>
      <c r="C12829" t="s">
        <v>6663</v>
      </c>
      <c r="D12829">
        <v>1</v>
      </c>
      <c r="E12829">
        <v>0</v>
      </c>
      <c r="F12829">
        <v>12</v>
      </c>
    </row>
    <row r="12830" spans="1:6" ht="12.75">
      <c r="A12830" s="2">
        <v>43879.516435185185</v>
      </c>
      <c r="B12830" t="str">
        <f>HYPERLINK("https://twitter.com/HyugaHyu","@HyugaHyu")</f>
        <v>@HyugaHyu</v>
      </c>
      <c r="C12830" t="s">
        <v>6664</v>
      </c>
      <c r="D12830">
        <v>1</v>
      </c>
      <c r="E12830">
        <v>0</v>
      </c>
      <c r="F12830">
        <v>28</v>
      </c>
    </row>
    <row r="12831" spans="1:6" ht="12.75">
      <c r="A12831" s="2">
        <v>43879.516342592593</v>
      </c>
      <c r="B12831" t="str">
        <f>HYPERLINK("https://twitter.com/RepzoneMorowali","@RepzoneMorowali")</f>
        <v>@RepzoneMorowali</v>
      </c>
      <c r="C12831" t="s">
        <v>6665</v>
      </c>
      <c r="D12831">
        <v>0</v>
      </c>
      <c r="E12831">
        <v>0</v>
      </c>
      <c r="F12831">
        <v>33</v>
      </c>
    </row>
    <row r="12832" spans="1:6" ht="12.75">
      <c r="A12832" s="2">
        <v>43879.516226851847</v>
      </c>
      <c r="B12832" t="str">
        <f>HYPERLINK("https://twitter.com/fakboycoy","@fakboycoy")</f>
        <v>@fakboycoy</v>
      </c>
      <c r="C12832" t="s">
        <v>6666</v>
      </c>
      <c r="D12832">
        <v>1</v>
      </c>
      <c r="E12832">
        <v>0</v>
      </c>
      <c r="F12832">
        <v>34</v>
      </c>
    </row>
    <row r="12833" spans="1:6" ht="12.75">
      <c r="A12833" s="2">
        <v>43879.516030092593</v>
      </c>
      <c r="B12833" t="str">
        <f>HYPERLINK("https://twitter.com/AgustinaAruan4","@AgustinaAruan4")</f>
        <v>@AgustinaAruan4</v>
      </c>
      <c r="C12833" t="s">
        <v>6629</v>
      </c>
      <c r="D12833">
        <v>5</v>
      </c>
      <c r="E12833">
        <v>0</v>
      </c>
      <c r="F12833">
        <v>58</v>
      </c>
    </row>
    <row r="12834" spans="1:6" ht="12.75">
      <c r="A12834" s="2">
        <v>43879.5158912037</v>
      </c>
      <c r="B12834" t="str">
        <f>HYPERLINK("https://twitter.com/spirit_1945","@spirit_1945")</f>
        <v>@spirit_1945</v>
      </c>
      <c r="C12834" t="s">
        <v>6667</v>
      </c>
      <c r="D12834">
        <v>0</v>
      </c>
      <c r="E12834">
        <v>0</v>
      </c>
      <c r="F12834">
        <v>119</v>
      </c>
    </row>
    <row r="12835" spans="1:6" ht="12.75">
      <c r="A12835" s="2">
        <v>43879.5158912037</v>
      </c>
      <c r="B12835" t="str">
        <f>HYPERLINK("https://twitter.com/SaatTobat","@SaatTobat")</f>
        <v>@SaatTobat</v>
      </c>
      <c r="C12835" t="s">
        <v>5642</v>
      </c>
      <c r="D12835">
        <v>206</v>
      </c>
      <c r="E12835">
        <v>0</v>
      </c>
      <c r="F12835">
        <v>268</v>
      </c>
    </row>
    <row r="12836" spans="1:6" ht="12.75">
      <c r="A12836" s="2">
        <v>43879.51525462963</v>
      </c>
      <c r="B12836" t="str">
        <f>HYPERLINK("https://twitter.com/SebastianBara4","@SebastianBara4")</f>
        <v>@SebastianBara4</v>
      </c>
      <c r="C12836" t="s">
        <v>6667</v>
      </c>
      <c r="D12836">
        <v>0</v>
      </c>
      <c r="E12836">
        <v>0</v>
      </c>
      <c r="F12836">
        <v>1</v>
      </c>
    </row>
    <row r="12837" spans="1:6" ht="12.75">
      <c r="A12837" s="2">
        <v>43879.515185185184</v>
      </c>
      <c r="B12837" t="str">
        <f>HYPERLINK("https://twitter.com/AbdullahMujeed","@AbdullahMujeed")</f>
        <v>@AbdullahMujeed</v>
      </c>
      <c r="C12837" t="s">
        <v>6667</v>
      </c>
      <c r="D12837">
        <v>0</v>
      </c>
      <c r="E12837">
        <v>0</v>
      </c>
      <c r="F12837">
        <v>3</v>
      </c>
    </row>
    <row r="12838" spans="1:6" ht="12.75">
      <c r="A12838" s="2">
        <v>43879.515138888892</v>
      </c>
      <c r="B12838" t="str">
        <f>HYPERLINK("https://twitter.com/bensutasoma","@bensutasoma")</f>
        <v>@bensutasoma</v>
      </c>
      <c r="C12838" t="s">
        <v>6667</v>
      </c>
      <c r="D12838">
        <v>0</v>
      </c>
      <c r="E12838">
        <v>0</v>
      </c>
      <c r="F12838">
        <v>1</v>
      </c>
    </row>
    <row r="12839" spans="1:6" ht="12.75">
      <c r="A12839" s="2">
        <v>43879.51494212963</v>
      </c>
      <c r="B12839" t="str">
        <f>HYPERLINK("https://twitter.com/rustandi821","@rustandi821")</f>
        <v>@rustandi821</v>
      </c>
      <c r="C12839" t="s">
        <v>2147</v>
      </c>
      <c r="D12839">
        <v>568</v>
      </c>
      <c r="E12839">
        <v>0</v>
      </c>
      <c r="F12839">
        <v>4</v>
      </c>
    </row>
    <row r="12840" spans="1:6" ht="12.75">
      <c r="A12840" s="2">
        <v>43879.514930555553</v>
      </c>
      <c r="B12840" t="str">
        <f>HYPERLINK("https://twitter.com/Gus_Raharjo","@Gus_Raharjo")</f>
        <v>@Gus_Raharjo</v>
      </c>
      <c r="C12840" t="s">
        <v>6621</v>
      </c>
      <c r="D12840">
        <v>9</v>
      </c>
      <c r="E12840">
        <v>0</v>
      </c>
      <c r="F12840">
        <v>65073</v>
      </c>
    </row>
    <row r="12841" spans="1:6" ht="12.75">
      <c r="A12841" s="2">
        <v>43879.514780092592</v>
      </c>
      <c r="B12841" t="str">
        <f>HYPERLINK("https://twitter.com/indonesiawan","@indonesiawan")</f>
        <v>@indonesiawan</v>
      </c>
      <c r="C12841" t="s">
        <v>6668</v>
      </c>
      <c r="D12841">
        <v>0</v>
      </c>
      <c r="E12841">
        <v>0</v>
      </c>
      <c r="F12841">
        <v>434</v>
      </c>
    </row>
    <row r="12842" spans="1:6" ht="12.75">
      <c r="A12842" s="2">
        <v>43879.51399305556</v>
      </c>
      <c r="B12842" t="str">
        <f>HYPERLINK("https://twitter.com/garisdepannkri","@garisdepannkri")</f>
        <v>@garisdepannkri</v>
      </c>
      <c r="C12842" t="s">
        <v>6667</v>
      </c>
      <c r="D12842">
        <v>0</v>
      </c>
      <c r="E12842">
        <v>0</v>
      </c>
      <c r="F12842">
        <v>7</v>
      </c>
    </row>
    <row r="12843" spans="1:6" ht="12.75">
      <c r="A12843" s="2">
        <v>43879.513715277775</v>
      </c>
      <c r="B12843" t="str">
        <f>HYPERLINK("https://twitter.com/yoojungmu","@yoojungmu")</f>
        <v>@yoojungmu</v>
      </c>
      <c r="C12843" t="s">
        <v>6669</v>
      </c>
      <c r="D12843">
        <v>2</v>
      </c>
      <c r="E12843">
        <v>0</v>
      </c>
      <c r="F12843">
        <v>8638</v>
      </c>
    </row>
    <row r="12844" spans="1:6" ht="12.75">
      <c r="A12844" s="2">
        <v>43879.513657407406</v>
      </c>
      <c r="B12844" t="str">
        <f>HYPERLINK("https://twitter.com/rkselvia","@rkselvia")</f>
        <v>@rkselvia</v>
      </c>
      <c r="C12844" t="s">
        <v>6669</v>
      </c>
      <c r="D12844">
        <v>2</v>
      </c>
      <c r="E12844">
        <v>0</v>
      </c>
      <c r="F12844">
        <v>43</v>
      </c>
    </row>
    <row r="12845" spans="1:6" ht="12.75">
      <c r="A12845" s="2">
        <v>43879.513541666667</v>
      </c>
      <c r="B12845" t="str">
        <f>HYPERLINK("https://twitter.com/yoojungmu","@yoojungmu")</f>
        <v>@yoojungmu</v>
      </c>
      <c r="C12845" t="s">
        <v>6670</v>
      </c>
      <c r="D12845">
        <v>2</v>
      </c>
      <c r="E12845">
        <v>0</v>
      </c>
      <c r="F12845">
        <v>8638</v>
      </c>
    </row>
    <row r="12846" spans="1:6" ht="12.75">
      <c r="A12846" s="2">
        <v>43879.513518518521</v>
      </c>
      <c r="B12846" t="str">
        <f>HYPERLINK("https://twitter.com/rkselvia","@rkselvia")</f>
        <v>@rkselvia</v>
      </c>
      <c r="C12846" t="s">
        <v>6670</v>
      </c>
      <c r="D12846">
        <v>2</v>
      </c>
      <c r="E12846">
        <v>0</v>
      </c>
      <c r="F12846">
        <v>43</v>
      </c>
    </row>
    <row r="12847" spans="1:6" ht="12.75">
      <c r="A12847" s="2">
        <v>43879.513368055559</v>
      </c>
      <c r="B12847" t="str">
        <f>HYPERLINK("https://twitter.com/cadarmerah","@cadarmerah")</f>
        <v>@cadarmerah</v>
      </c>
      <c r="C12847" t="s">
        <v>6671</v>
      </c>
      <c r="D12847">
        <v>1</v>
      </c>
      <c r="E12847">
        <v>0</v>
      </c>
      <c r="F12847">
        <v>5653</v>
      </c>
    </row>
    <row r="12848" spans="1:6" ht="12.75">
      <c r="A12848" s="2">
        <v>43879.513043981482</v>
      </c>
      <c r="B12848" t="str">
        <f>HYPERLINK("https://twitter.com/Nuraji19am","@Nuraji19am")</f>
        <v>@Nuraji19am</v>
      </c>
      <c r="C12848" t="s">
        <v>6672</v>
      </c>
      <c r="D12848">
        <v>5</v>
      </c>
      <c r="E12848">
        <v>0</v>
      </c>
      <c r="F12848">
        <v>256</v>
      </c>
    </row>
    <row r="12849" spans="1:6" ht="12.75">
      <c r="A12849" s="2">
        <v>43879.512939814813</v>
      </c>
      <c r="B12849" t="str">
        <f>HYPERLINK("https://twitter.com/Atha879","@Atha879")</f>
        <v>@Atha879</v>
      </c>
      <c r="C12849" t="s">
        <v>5642</v>
      </c>
      <c r="D12849">
        <v>206</v>
      </c>
      <c r="E12849">
        <v>0</v>
      </c>
      <c r="F12849">
        <v>1408</v>
      </c>
    </row>
    <row r="12850" spans="1:6" ht="12.75">
      <c r="A12850" s="2">
        <v>43879.512685185182</v>
      </c>
      <c r="B12850" t="str">
        <f>HYPERLINK("https://twitter.com/amandatap92","@amandatap92")</f>
        <v>@amandatap92</v>
      </c>
      <c r="C12850" t="s">
        <v>6673</v>
      </c>
      <c r="D12850">
        <v>4</v>
      </c>
      <c r="E12850">
        <v>0</v>
      </c>
      <c r="F12850">
        <v>449</v>
      </c>
    </row>
    <row r="12851" spans="1:6" ht="12.75">
      <c r="A12851" s="2">
        <v>43879.512569444443</v>
      </c>
      <c r="B12851" t="str">
        <f>HYPERLINK("https://twitter.com/voeusctal","@voeusctal")</f>
        <v>@voeusctal</v>
      </c>
      <c r="C12851" t="s">
        <v>6674</v>
      </c>
      <c r="D12851">
        <v>2</v>
      </c>
      <c r="E12851">
        <v>0</v>
      </c>
      <c r="F12851">
        <v>4644</v>
      </c>
    </row>
    <row r="12852" spans="1:6" ht="12.75">
      <c r="A12852" s="2">
        <v>43879.512546296297</v>
      </c>
      <c r="B12852" t="str">
        <f>HYPERLINK("https://twitter.com/minhyunsc","@minhyunsc")</f>
        <v>@minhyunsc</v>
      </c>
      <c r="C12852" t="s">
        <v>6674</v>
      </c>
      <c r="D12852">
        <v>2</v>
      </c>
      <c r="E12852">
        <v>0</v>
      </c>
      <c r="F12852">
        <v>7530</v>
      </c>
    </row>
    <row r="12853" spans="1:6" ht="12.75">
      <c r="A12853" s="2">
        <v>43879.512222222227</v>
      </c>
      <c r="B12853" t="str">
        <f>HYPERLINK("https://twitter.com/Donie248","@Donie248")</f>
        <v>@Donie248</v>
      </c>
      <c r="C12853" t="s">
        <v>5642</v>
      </c>
      <c r="D12853">
        <v>206</v>
      </c>
      <c r="E12853">
        <v>0</v>
      </c>
      <c r="F12853">
        <v>225</v>
      </c>
    </row>
    <row r="12854" spans="1:6" ht="12.75">
      <c r="A12854" s="2">
        <v>43879.51153935185</v>
      </c>
      <c r="B12854" t="str">
        <f>HYPERLINK("https://twitter.com/yusuf_dumdum","@yusuf_dumdum")</f>
        <v>@yusuf_dumdum</v>
      </c>
      <c r="C12854" t="s">
        <v>5642</v>
      </c>
      <c r="D12854">
        <v>206</v>
      </c>
      <c r="E12854">
        <v>0</v>
      </c>
      <c r="F12854">
        <v>60973</v>
      </c>
    </row>
    <row r="12855" spans="1:6" ht="12.75">
      <c r="A12855" s="2">
        <v>43879.511041666672</v>
      </c>
      <c r="B12855" t="str">
        <f>HYPERLINK("https://twitter.com/IndonesiaRAW","@IndonesiaRAW")</f>
        <v>@IndonesiaRAW</v>
      </c>
      <c r="C12855" t="s">
        <v>6675</v>
      </c>
      <c r="D12855">
        <v>2</v>
      </c>
      <c r="E12855">
        <v>2</v>
      </c>
      <c r="F12855">
        <v>201830</v>
      </c>
    </row>
    <row r="12856" spans="1:6" ht="12.75">
      <c r="A12856" s="2">
        <v>43879.510925925926</v>
      </c>
      <c r="B12856" t="str">
        <f>HYPERLINK("https://twitter.com/robyflr","@robyflr")</f>
        <v>@robyflr</v>
      </c>
      <c r="C12856" t="s">
        <v>6676</v>
      </c>
      <c r="D12856">
        <v>0</v>
      </c>
      <c r="E12856">
        <v>1</v>
      </c>
      <c r="F12856">
        <v>13</v>
      </c>
    </row>
    <row r="12857" spans="1:6" ht="12.75">
      <c r="A12857" s="2">
        <v>43879.501608796301</v>
      </c>
      <c r="B12857" t="str">
        <f>HYPERLINK("https://twitter.com/TukangUlo","@TukangUlo")</f>
        <v>@TukangUlo</v>
      </c>
      <c r="C12857" t="s">
        <v>6677</v>
      </c>
      <c r="D12857">
        <v>0</v>
      </c>
      <c r="E12857">
        <v>0</v>
      </c>
      <c r="F12857">
        <v>1197</v>
      </c>
    </row>
    <row r="12858" spans="1:6" ht="12.75">
      <c r="A12858" s="2">
        <v>43879.501458333332</v>
      </c>
      <c r="B12858" t="str">
        <f>HYPERLINK("https://twitter.com/kalong9669","@kalong9669")</f>
        <v>@kalong9669</v>
      </c>
      <c r="C12858" t="s">
        <v>6678</v>
      </c>
      <c r="D12858">
        <v>0</v>
      </c>
      <c r="E12858">
        <v>0</v>
      </c>
      <c r="F12858">
        <v>380</v>
      </c>
    </row>
    <row r="12859" spans="1:6" ht="12.75">
      <c r="A12859" s="2">
        <v>43879.501435185186</v>
      </c>
      <c r="B12859" t="str">
        <f>HYPERLINK("https://twitter.com/urhoneeybaee","@urhoneeybaee")</f>
        <v>@urhoneeybaee</v>
      </c>
      <c r="C12859" t="s">
        <v>6679</v>
      </c>
      <c r="D12859">
        <v>0</v>
      </c>
      <c r="E12859">
        <v>0</v>
      </c>
      <c r="F12859">
        <v>110</v>
      </c>
    </row>
    <row r="12860" spans="1:6" ht="12.75">
      <c r="A12860" s="2">
        <v>43879.500752314816</v>
      </c>
      <c r="B12860" t="str">
        <f>HYPERLINK("https://twitter.com/HaloBCA","@HaloBCA")</f>
        <v>@HaloBCA</v>
      </c>
      <c r="C12860" t="s">
        <v>6680</v>
      </c>
      <c r="D12860">
        <v>0</v>
      </c>
      <c r="E12860">
        <v>0</v>
      </c>
      <c r="F12860">
        <v>230823</v>
      </c>
    </row>
    <row r="12861" spans="1:6" ht="12.75">
      <c r="A12861" s="2">
        <v>43879.50068287037</v>
      </c>
      <c r="B12861" t="str">
        <f>HYPERLINK("https://twitter.com/GujjarAshok20","@GujjarAshok20")</f>
        <v>@GujjarAshok20</v>
      </c>
      <c r="C12861" t="s">
        <v>6681</v>
      </c>
      <c r="D12861">
        <v>0</v>
      </c>
      <c r="E12861">
        <v>0</v>
      </c>
      <c r="F12861">
        <v>258</v>
      </c>
    </row>
    <row r="12862" spans="1:6" ht="12.75">
      <c r="A12862" s="2">
        <v>43879.500462962962</v>
      </c>
      <c r="B12862" t="str">
        <f>HYPERLINK("https://twitter.com/AEPishere","@AEPishere")</f>
        <v>@AEPishere</v>
      </c>
      <c r="C12862" t="s">
        <v>6682</v>
      </c>
      <c r="D12862">
        <v>3</v>
      </c>
      <c r="E12862">
        <v>0</v>
      </c>
      <c r="F12862">
        <v>3013</v>
      </c>
    </row>
    <row r="12863" spans="1:6" ht="12.75">
      <c r="A12863" s="2">
        <v>43879.500092592592</v>
      </c>
      <c r="B12863" t="str">
        <f>HYPERLINK("https://twitter.com/kafara666","@kafara666")</f>
        <v>@kafara666</v>
      </c>
      <c r="C12863" t="s">
        <v>6683</v>
      </c>
      <c r="D12863">
        <v>0</v>
      </c>
      <c r="E12863">
        <v>0</v>
      </c>
      <c r="F12863">
        <v>65</v>
      </c>
    </row>
    <row r="12864" spans="1:6" ht="12.75">
      <c r="A12864" s="2">
        <v>43879.500046296293</v>
      </c>
      <c r="B12864" t="str">
        <f>HYPERLINK("https://twitter.com/quretaorg","@quretaorg")</f>
        <v>@quretaorg</v>
      </c>
      <c r="C12864" t="s">
        <v>6356</v>
      </c>
      <c r="D12864">
        <v>0</v>
      </c>
      <c r="E12864">
        <v>0</v>
      </c>
      <c r="F12864">
        <v>1485</v>
      </c>
    </row>
    <row r="12865" spans="1:6" ht="12.75">
      <c r="A12865" s="2">
        <v>43879.499884259261</v>
      </c>
      <c r="B12865" t="str">
        <f>HYPERLINK("https://twitter.com/AEPishere","@AEPishere")</f>
        <v>@AEPishere</v>
      </c>
      <c r="C12865" t="s">
        <v>6657</v>
      </c>
      <c r="D12865">
        <v>4</v>
      </c>
      <c r="E12865">
        <v>0</v>
      </c>
      <c r="F12865">
        <v>3013</v>
      </c>
    </row>
    <row r="12866" spans="1:6" ht="12.75">
      <c r="A12866" s="2">
        <v>43879.499421296292</v>
      </c>
      <c r="B12866" t="str">
        <f>HYPERLINK("https://twitter.com/amarilis_ayu","@amarilis_ayu")</f>
        <v>@amarilis_ayu</v>
      </c>
      <c r="C12866" t="s">
        <v>6684</v>
      </c>
      <c r="D12866">
        <v>0</v>
      </c>
      <c r="E12866">
        <v>0</v>
      </c>
      <c r="F12866">
        <v>1368</v>
      </c>
    </row>
    <row r="12867" spans="1:6" ht="12.75">
      <c r="A12867" s="2">
        <v>43879.49927083333</v>
      </c>
      <c r="B12867" t="str">
        <f>HYPERLINK("https://twitter.com/IvanRT05","@IvanRT05")</f>
        <v>@IvanRT05</v>
      </c>
      <c r="C12867" t="s">
        <v>6682</v>
      </c>
      <c r="D12867">
        <v>3</v>
      </c>
      <c r="E12867">
        <v>0</v>
      </c>
      <c r="F12867">
        <v>650</v>
      </c>
    </row>
    <row r="12868" spans="1:6" ht="12.75">
      <c r="A12868" s="2">
        <v>43879.499247685184</v>
      </c>
      <c r="B12868" t="str">
        <f>HYPERLINK("https://twitter.com/Pay_06","@Pay_06")</f>
        <v>@Pay_06</v>
      </c>
      <c r="C12868" t="s">
        <v>6685</v>
      </c>
      <c r="D12868">
        <v>0</v>
      </c>
      <c r="E12868">
        <v>0</v>
      </c>
      <c r="F12868">
        <v>588</v>
      </c>
    </row>
    <row r="12869" spans="1:6" ht="12.75">
      <c r="A12869" s="2">
        <v>43879.499155092592</v>
      </c>
      <c r="B12869" t="str">
        <f>HYPERLINK("https://twitter.com/BebasVisaID","@BebasVisaID")</f>
        <v>@BebasVisaID</v>
      </c>
      <c r="C12869" t="s">
        <v>6682</v>
      </c>
      <c r="D12869">
        <v>3</v>
      </c>
      <c r="E12869">
        <v>0</v>
      </c>
      <c r="F12869">
        <v>7898</v>
      </c>
    </row>
    <row r="12870" spans="1:6" ht="12.75">
      <c r="A12870" s="2">
        <v>43879.498148148152</v>
      </c>
      <c r="B12870" t="str">
        <f>HYPERLINK("https://twitter.com/YRadianto","@YRadianto")</f>
        <v>@YRadianto</v>
      </c>
      <c r="C12870" t="s">
        <v>6621</v>
      </c>
      <c r="D12870">
        <v>1</v>
      </c>
      <c r="E12870">
        <v>0</v>
      </c>
      <c r="F12870">
        <v>27933</v>
      </c>
    </row>
    <row r="12871" spans="1:6" ht="12.75">
      <c r="A12871" s="2">
        <v>43879.49800925926</v>
      </c>
      <c r="B12871" t="str">
        <f>HYPERLINK("https://twitter.com/oak_math_lee_91","@oak_math_lee_91")</f>
        <v>@oak_math_lee_91</v>
      </c>
      <c r="C12871" t="s">
        <v>6686</v>
      </c>
      <c r="D12871">
        <v>3</v>
      </c>
      <c r="E12871">
        <v>4</v>
      </c>
      <c r="F12871">
        <v>100</v>
      </c>
    </row>
    <row r="12872" spans="1:6" ht="12.75">
      <c r="A12872" s="2">
        <v>43879.49800925926</v>
      </c>
      <c r="B12872" t="str">
        <f>HYPERLINK("https://twitter.com/terserah_dia","@terserah_dia")</f>
        <v>@terserah_dia</v>
      </c>
      <c r="C12872" t="s">
        <v>4534</v>
      </c>
      <c r="D12872">
        <v>2</v>
      </c>
      <c r="E12872">
        <v>0</v>
      </c>
      <c r="F12872">
        <v>5</v>
      </c>
    </row>
    <row r="12873" spans="1:6" ht="12.75">
      <c r="A12873" s="2">
        <v>43879.49722222222</v>
      </c>
      <c r="B12873" t="str">
        <f>HYPERLINK("https://twitter.com/venesasha","@venesasha")</f>
        <v>@venesasha</v>
      </c>
      <c r="C12873" t="s">
        <v>6687</v>
      </c>
      <c r="D12873">
        <v>1</v>
      </c>
      <c r="E12873">
        <v>0</v>
      </c>
      <c r="F12873">
        <v>581</v>
      </c>
    </row>
    <row r="12874" spans="1:6" ht="12.75">
      <c r="A12874" s="2">
        <v>43879.497199074074</v>
      </c>
      <c r="B12874" t="str">
        <f t="shared" ref="B12874:B12875" si="218">HYPERLINK("https://twitter.com/LamanKita_","@LamanKita_")</f>
        <v>@LamanKita_</v>
      </c>
      <c r="C12874" t="s">
        <v>6688</v>
      </c>
      <c r="D12874">
        <v>0</v>
      </c>
      <c r="E12874">
        <v>0</v>
      </c>
      <c r="F12874">
        <v>139630</v>
      </c>
    </row>
    <row r="12875" spans="1:6" ht="12.75">
      <c r="A12875" s="2">
        <v>43879.497187500005</v>
      </c>
      <c r="B12875" t="str">
        <f t="shared" si="218"/>
        <v>@LamanKita_</v>
      </c>
      <c r="C12875" t="s">
        <v>6689</v>
      </c>
      <c r="D12875">
        <v>0</v>
      </c>
      <c r="E12875">
        <v>0</v>
      </c>
      <c r="F12875">
        <v>139630</v>
      </c>
    </row>
    <row r="12876" spans="1:6" ht="12.75">
      <c r="A12876" s="2">
        <v>43879.496516203704</v>
      </c>
      <c r="B12876" t="str">
        <f>HYPERLINK("https://twitter.com/rhidayat160316","@rhidayat160316")</f>
        <v>@rhidayat160316</v>
      </c>
      <c r="C12876" t="s">
        <v>6690</v>
      </c>
      <c r="D12876">
        <v>5</v>
      </c>
      <c r="E12876">
        <v>0</v>
      </c>
      <c r="F12876">
        <v>1978</v>
      </c>
    </row>
    <row r="12877" spans="1:6" ht="12.75">
      <c r="A12877" s="2">
        <v>43879.496516203704</v>
      </c>
      <c r="B12877" t="str">
        <f>HYPERLINK("https://twitter.com/03__nakula","@03__nakula")</f>
        <v>@03__nakula</v>
      </c>
      <c r="C12877" t="s">
        <v>6691</v>
      </c>
      <c r="D12877">
        <v>1</v>
      </c>
      <c r="E12877">
        <v>5</v>
      </c>
      <c r="F12877">
        <v>11412</v>
      </c>
    </row>
    <row r="12878" spans="1:6" ht="12.75">
      <c r="A12878" s="2">
        <v>43879.496458333335</v>
      </c>
      <c r="B12878" t="str">
        <f>HYPERLINK("https://twitter.com/EtekewerSepuh","@EtekewerSepuh")</f>
        <v>@EtekewerSepuh</v>
      </c>
      <c r="C12878" t="s">
        <v>6690</v>
      </c>
      <c r="D12878">
        <v>5</v>
      </c>
      <c r="E12878">
        <v>0</v>
      </c>
      <c r="F12878">
        <v>12385</v>
      </c>
    </row>
    <row r="12879" spans="1:6" ht="12.75">
      <c r="A12879" s="2">
        <v>43879.496203703704</v>
      </c>
      <c r="B12879" t="str">
        <f>HYPERLINK("https://twitter.com/WinarsihParis","@WinarsihParis")</f>
        <v>@WinarsihParis</v>
      </c>
      <c r="C12879" t="s">
        <v>6692</v>
      </c>
      <c r="D12879">
        <v>0</v>
      </c>
      <c r="E12879">
        <v>0</v>
      </c>
      <c r="F12879">
        <v>93</v>
      </c>
    </row>
    <row r="12880" spans="1:6" ht="12.75">
      <c r="A12880" s="2">
        <v>43879.495833333334</v>
      </c>
      <c r="B12880" t="str">
        <f>HYPERLINK("https://twitter.com/YusniaMukaromah","@YusniaMukaromah")</f>
        <v>@YusniaMukaromah</v>
      </c>
      <c r="C12880" t="s">
        <v>5642</v>
      </c>
      <c r="D12880">
        <v>195</v>
      </c>
      <c r="E12880">
        <v>0</v>
      </c>
      <c r="F12880">
        <v>272</v>
      </c>
    </row>
    <row r="12881" spans="1:6" ht="12.75">
      <c r="A12881" s="2">
        <v>43879.495694444442</v>
      </c>
      <c r="B12881" t="str">
        <f>HYPERLINK("https://twitter.com/Anditeman_","@Anditeman_")</f>
        <v>@Anditeman_</v>
      </c>
      <c r="C12881" t="s">
        <v>6693</v>
      </c>
      <c r="D12881">
        <v>0</v>
      </c>
      <c r="E12881">
        <v>0</v>
      </c>
      <c r="F12881">
        <v>1112</v>
      </c>
    </row>
    <row r="12882" spans="1:6" ht="12.75">
      <c r="A12882" s="2">
        <v>43879.495636574073</v>
      </c>
      <c r="B12882" t="str">
        <f>HYPERLINK("https://twitter.com/Rudiwaluyo11","@Rudiwaluyo11")</f>
        <v>@Rudiwaluyo11</v>
      </c>
      <c r="C12882" t="s">
        <v>6694</v>
      </c>
      <c r="D12882">
        <v>0</v>
      </c>
      <c r="E12882">
        <v>0</v>
      </c>
      <c r="F12882">
        <v>38</v>
      </c>
    </row>
    <row r="12883" spans="1:6" ht="12.75">
      <c r="A12883" s="2">
        <v>43879.495347222226</v>
      </c>
      <c r="B12883" t="str">
        <f>HYPERLINK("https://twitter.com/karinakarinyu","@karinakarinyu")</f>
        <v>@karinakarinyu</v>
      </c>
      <c r="C12883" t="s">
        <v>6695</v>
      </c>
      <c r="D12883">
        <v>0</v>
      </c>
      <c r="E12883">
        <v>0</v>
      </c>
      <c r="F12883">
        <v>25</v>
      </c>
    </row>
    <row r="12884" spans="1:6" ht="12.75">
      <c r="A12884" s="2">
        <v>43879.495243055557</v>
      </c>
      <c r="B12884" t="str">
        <f>HYPERLINK("https://twitter.com/dendiayahalbarr","@dendiayahalbarr")</f>
        <v>@dendiayahalbarr</v>
      </c>
      <c r="C12884" t="s">
        <v>6696</v>
      </c>
      <c r="D12884">
        <v>1</v>
      </c>
      <c r="E12884">
        <v>0</v>
      </c>
      <c r="F12884">
        <v>241</v>
      </c>
    </row>
    <row r="12885" spans="1:6" ht="12.75">
      <c r="A12885" s="2">
        <v>43879.495081018518</v>
      </c>
      <c r="B12885" t="str">
        <f>HYPERLINK("https://twitter.com/oak_math_lee_91","@oak_math_lee_91")</f>
        <v>@oak_math_lee_91</v>
      </c>
      <c r="C12885" t="s">
        <v>6657</v>
      </c>
      <c r="D12885">
        <v>4</v>
      </c>
      <c r="E12885">
        <v>0</v>
      </c>
      <c r="F12885">
        <v>100</v>
      </c>
    </row>
    <row r="12886" spans="1:6" ht="12.75">
      <c r="A12886" s="2">
        <v>43879.494756944448</v>
      </c>
      <c r="B12886" t="str">
        <f>HYPERLINK("https://twitter.com/punkerokan","@punkerokan")</f>
        <v>@punkerokan</v>
      </c>
      <c r="C12886" t="s">
        <v>6697</v>
      </c>
      <c r="D12886">
        <v>0</v>
      </c>
      <c r="E12886">
        <v>0</v>
      </c>
      <c r="F12886">
        <v>14</v>
      </c>
    </row>
    <row r="12887" spans="1:6" ht="12.75">
      <c r="A12887" s="2">
        <v>43879.494594907403</v>
      </c>
      <c r="B12887" t="str">
        <f>HYPERLINK("https://twitter.com/IreumiKimmy","@IreumiKimmy")</f>
        <v>@IreumiKimmy</v>
      </c>
      <c r="C12887" t="s">
        <v>6690</v>
      </c>
      <c r="D12887">
        <v>5</v>
      </c>
      <c r="E12887">
        <v>0</v>
      </c>
      <c r="F12887">
        <v>2196</v>
      </c>
    </row>
    <row r="12888" spans="1:6" ht="12.75">
      <c r="A12888" s="2">
        <v>43879.494201388894</v>
      </c>
      <c r="B12888" t="str">
        <f>HYPERLINK("https://twitter.com/rifkipjg","@rifkipjg")</f>
        <v>@rifkipjg</v>
      </c>
      <c r="C12888" t="s">
        <v>6698</v>
      </c>
      <c r="D12888">
        <v>0</v>
      </c>
      <c r="E12888">
        <v>0</v>
      </c>
      <c r="F12888">
        <v>40</v>
      </c>
    </row>
    <row r="12889" spans="1:6" ht="12.75">
      <c r="A12889" s="2">
        <v>43879.493993055556</v>
      </c>
      <c r="B12889" t="str">
        <f>HYPERLINK("https://twitter.com/TahuPedas7","@TahuPedas7")</f>
        <v>@TahuPedas7</v>
      </c>
      <c r="C12889" t="s">
        <v>6699</v>
      </c>
      <c r="D12889">
        <v>0</v>
      </c>
      <c r="E12889">
        <v>0</v>
      </c>
      <c r="F12889">
        <v>91</v>
      </c>
    </row>
    <row r="12890" spans="1:6" ht="12.75">
      <c r="A12890" s="2">
        <v>43879.493726851855</v>
      </c>
      <c r="B12890" t="str">
        <f>HYPERLINK("https://twitter.com/kodokpangeran5","@kodokpangeran5")</f>
        <v>@kodokpangeran5</v>
      </c>
      <c r="C12890" t="s">
        <v>6697</v>
      </c>
      <c r="D12890">
        <v>0</v>
      </c>
      <c r="E12890">
        <v>0</v>
      </c>
      <c r="F12890">
        <v>98</v>
      </c>
    </row>
    <row r="12891" spans="1:6" ht="12.75">
      <c r="A12891" s="2">
        <v>43879.493634259255</v>
      </c>
      <c r="B12891" t="str">
        <f>HYPERLINK("https://twitter.com/rasacarrebianut","@rasacarrebianut")</f>
        <v>@rasacarrebianut</v>
      </c>
      <c r="C12891" t="s">
        <v>6657</v>
      </c>
      <c r="D12891">
        <v>4</v>
      </c>
      <c r="E12891">
        <v>0</v>
      </c>
      <c r="F12891">
        <v>322</v>
      </c>
    </row>
    <row r="12892" spans="1:6" ht="12.75">
      <c r="A12892" s="2">
        <v>43879.493449074071</v>
      </c>
      <c r="B12892" t="str">
        <f t="shared" ref="B12892:B12896" si="219">HYPERLINK("https://twitter.com/LamanKita_","@LamanKita_")</f>
        <v>@LamanKita_</v>
      </c>
      <c r="C12892" t="s">
        <v>6700</v>
      </c>
      <c r="D12892">
        <v>0</v>
      </c>
      <c r="E12892">
        <v>1</v>
      </c>
      <c r="F12892">
        <v>139630</v>
      </c>
    </row>
    <row r="12893" spans="1:6" ht="12.75">
      <c r="A12893" s="2">
        <v>43879.493437500001</v>
      </c>
      <c r="B12893" t="str">
        <f t="shared" si="219"/>
        <v>@LamanKita_</v>
      </c>
      <c r="C12893" t="s">
        <v>6701</v>
      </c>
      <c r="D12893">
        <v>0</v>
      </c>
      <c r="E12893">
        <v>0</v>
      </c>
      <c r="F12893">
        <v>139630</v>
      </c>
    </row>
    <row r="12894" spans="1:6" ht="12.75">
      <c r="A12894" s="2">
        <v>43879.493437500001</v>
      </c>
      <c r="B12894" t="str">
        <f t="shared" si="219"/>
        <v>@LamanKita_</v>
      </c>
      <c r="C12894" t="s">
        <v>6702</v>
      </c>
      <c r="D12894">
        <v>0</v>
      </c>
      <c r="E12894">
        <v>0</v>
      </c>
      <c r="F12894">
        <v>139630</v>
      </c>
    </row>
    <row r="12895" spans="1:6" ht="12.75">
      <c r="A12895" s="2">
        <v>43879.493425925924</v>
      </c>
      <c r="B12895" t="str">
        <f t="shared" si="219"/>
        <v>@LamanKita_</v>
      </c>
      <c r="C12895" t="s">
        <v>6703</v>
      </c>
      <c r="D12895">
        <v>0</v>
      </c>
      <c r="E12895">
        <v>0</v>
      </c>
      <c r="F12895">
        <v>139630</v>
      </c>
    </row>
    <row r="12896" spans="1:6" ht="12.75">
      <c r="A12896" s="2">
        <v>43879.493425925924</v>
      </c>
      <c r="B12896" t="str">
        <f t="shared" si="219"/>
        <v>@LamanKita_</v>
      </c>
      <c r="C12896" t="s">
        <v>6704</v>
      </c>
      <c r="D12896">
        <v>0</v>
      </c>
      <c r="E12896">
        <v>0</v>
      </c>
      <c r="F12896">
        <v>139630</v>
      </c>
    </row>
    <row r="12897" spans="1:6" ht="12.75">
      <c r="A12897" s="2">
        <v>43879.493229166663</v>
      </c>
      <c r="B12897" t="str">
        <f>HYPERLINK("https://twitter.com/WinarsihParis","@WinarsihParis")</f>
        <v>@WinarsihParis</v>
      </c>
      <c r="C12897" t="s">
        <v>6697</v>
      </c>
      <c r="D12897">
        <v>0</v>
      </c>
      <c r="E12897">
        <v>0</v>
      </c>
      <c r="F12897">
        <v>93</v>
      </c>
    </row>
    <row r="12898" spans="1:6" ht="12.75">
      <c r="A12898" s="2">
        <v>43879.493125000001</v>
      </c>
      <c r="B12898" t="str">
        <f>HYPERLINK("https://twitter.com/yoojungmu","@yoojungmu")</f>
        <v>@yoojungmu</v>
      </c>
      <c r="C12898" t="s">
        <v>6705</v>
      </c>
      <c r="D12898">
        <v>0</v>
      </c>
      <c r="E12898">
        <v>0</v>
      </c>
      <c r="F12898">
        <v>8637</v>
      </c>
    </row>
    <row r="12899" spans="1:6" ht="12.75">
      <c r="A12899" s="2">
        <v>43879.49282407407</v>
      </c>
      <c r="B12899" t="str">
        <f>HYPERLINK("https://twitter.com/kodokpangeran5","@kodokpangeran5")</f>
        <v>@kodokpangeran5</v>
      </c>
      <c r="C12899" t="s">
        <v>6694</v>
      </c>
      <c r="D12899">
        <v>0</v>
      </c>
      <c r="E12899">
        <v>0</v>
      </c>
      <c r="F12899">
        <v>98</v>
      </c>
    </row>
    <row r="12900" spans="1:6" ht="12.75">
      <c r="A12900" s="2">
        <v>43879.492777777778</v>
      </c>
      <c r="B12900" t="str">
        <f>HYPERLINK("https://twitter.com/g14_ts","@g14_ts")</f>
        <v>@g14_ts</v>
      </c>
      <c r="C12900" t="s">
        <v>6706</v>
      </c>
      <c r="D12900">
        <v>9</v>
      </c>
      <c r="E12900">
        <v>0</v>
      </c>
      <c r="F12900">
        <v>19</v>
      </c>
    </row>
    <row r="12901" spans="1:6" ht="12.75">
      <c r="A12901" s="2">
        <v>43879.492777777778</v>
      </c>
      <c r="B12901" t="str">
        <f>HYPERLINK("https://twitter.com/seastarlight_","@seastarlight_")</f>
        <v>@seastarlight_</v>
      </c>
      <c r="C12901" t="s">
        <v>6707</v>
      </c>
      <c r="D12901">
        <v>0</v>
      </c>
      <c r="E12901">
        <v>0</v>
      </c>
      <c r="F12901">
        <v>6</v>
      </c>
    </row>
    <row r="12902" spans="1:6" ht="12.75">
      <c r="A12902" s="2">
        <v>43879.492650462962</v>
      </c>
      <c r="B12902" t="str">
        <f>HYPERLINK("https://twitter.com/i_SandeepNikam","@i_SandeepNikam")</f>
        <v>@i_SandeepNikam</v>
      </c>
      <c r="C12902" t="s">
        <v>6236</v>
      </c>
      <c r="D12902">
        <v>58</v>
      </c>
      <c r="E12902">
        <v>0</v>
      </c>
      <c r="F12902">
        <v>63</v>
      </c>
    </row>
    <row r="12903" spans="1:6" ht="12.75">
      <c r="A12903" s="2">
        <v>43879.492650462962</v>
      </c>
      <c r="B12903" t="str">
        <f>HYPERLINK("https://twitter.com/voaislam","@voaislam")</f>
        <v>@voaislam</v>
      </c>
      <c r="C12903" t="s">
        <v>4974</v>
      </c>
      <c r="D12903">
        <v>0</v>
      </c>
      <c r="E12903">
        <v>0</v>
      </c>
      <c r="F12903">
        <v>87884</v>
      </c>
    </row>
    <row r="12904" spans="1:6" ht="12.75">
      <c r="A12904" s="2">
        <v>43879.4925462963</v>
      </c>
      <c r="B12904" t="str">
        <f>HYPERLINK("https://twitter.com/RidwanRoti","@RidwanRoti")</f>
        <v>@RidwanRoti</v>
      </c>
      <c r="C12904" t="s">
        <v>6692</v>
      </c>
      <c r="D12904">
        <v>0</v>
      </c>
      <c r="E12904">
        <v>0</v>
      </c>
      <c r="F12904">
        <v>124</v>
      </c>
    </row>
    <row r="12905" spans="1:6" ht="12.75">
      <c r="A12905" s="2">
        <v>43879.492534722223</v>
      </c>
      <c r="B12905" t="str">
        <f>HYPERLINK("https://twitter.com/SartonoHutomo","@SartonoHutomo")</f>
        <v>@SartonoHutomo</v>
      </c>
      <c r="C12905" t="s">
        <v>6330</v>
      </c>
      <c r="D12905">
        <v>5</v>
      </c>
      <c r="E12905">
        <v>0</v>
      </c>
      <c r="F12905">
        <v>4101</v>
      </c>
    </row>
    <row r="12906" spans="1:6" ht="12.75">
      <c r="A12906" s="2">
        <v>43879.492442129631</v>
      </c>
      <c r="B12906" t="str">
        <f>HYPERLINK("https://twitter.com/minhyunsc","@minhyunsc")</f>
        <v>@minhyunsc</v>
      </c>
      <c r="C12906" t="s">
        <v>6708</v>
      </c>
      <c r="D12906">
        <v>0</v>
      </c>
      <c r="E12906">
        <v>0</v>
      </c>
      <c r="F12906">
        <v>7530</v>
      </c>
    </row>
    <row r="12907" spans="1:6" ht="12.75">
      <c r="A12907" s="2">
        <v>43879.492372685185</v>
      </c>
      <c r="B12907" t="str">
        <f>HYPERLINK("https://twitter.com/QueenTulkiyem__","@QueenTulkiyem__")</f>
        <v>@QueenTulkiyem__</v>
      </c>
      <c r="C12907" t="s">
        <v>6690</v>
      </c>
      <c r="D12907">
        <v>5</v>
      </c>
      <c r="E12907">
        <v>0</v>
      </c>
      <c r="F12907">
        <v>1585</v>
      </c>
    </row>
    <row r="12908" spans="1:6" ht="12.75">
      <c r="A12908" s="2">
        <v>43879.492268518516</v>
      </c>
      <c r="B12908" t="str">
        <f>HYPERLINK("https://twitter.com/dirhand","@dirhand")</f>
        <v>@dirhand</v>
      </c>
      <c r="C12908" t="s">
        <v>2217</v>
      </c>
      <c r="D12908">
        <v>7</v>
      </c>
      <c r="E12908">
        <v>0</v>
      </c>
      <c r="F12908">
        <v>320</v>
      </c>
    </row>
    <row r="12909" spans="1:6" ht="12.75">
      <c r="A12909" s="2">
        <v>43879.492210648154</v>
      </c>
      <c r="B12909" t="str">
        <f>HYPERLINK("https://twitter.com/minhyunsc","@minhyunsc")</f>
        <v>@minhyunsc</v>
      </c>
      <c r="C12909" t="s">
        <v>6709</v>
      </c>
      <c r="D12909">
        <v>0</v>
      </c>
      <c r="E12909">
        <v>0</v>
      </c>
      <c r="F12909">
        <v>7530</v>
      </c>
    </row>
    <row r="12910" spans="1:6" ht="12.75">
      <c r="A12910" s="2">
        <v>43879.492094907408</v>
      </c>
      <c r="B12910" t="str">
        <f>HYPERLINK("https://twitter.com/liBAIry","@liBAIry")</f>
        <v>@liBAIry</v>
      </c>
      <c r="C12910" t="s">
        <v>6710</v>
      </c>
      <c r="D12910">
        <v>1</v>
      </c>
      <c r="E12910">
        <v>1</v>
      </c>
      <c r="F12910">
        <v>17</v>
      </c>
    </row>
    <row r="12911" spans="1:6" ht="12.75">
      <c r="A12911" s="2">
        <v>43879.492025462961</v>
      </c>
      <c r="B12911" t="str">
        <f>HYPERLINK("https://twitter.com/WinarsihParis","@WinarsihParis")</f>
        <v>@WinarsihParis</v>
      </c>
      <c r="C12911" t="s">
        <v>6711</v>
      </c>
      <c r="D12911">
        <v>0</v>
      </c>
      <c r="E12911">
        <v>0</v>
      </c>
      <c r="F12911">
        <v>93</v>
      </c>
    </row>
    <row r="12912" spans="1:6" ht="12.75">
      <c r="A12912" s="2">
        <v>43879.491875</v>
      </c>
      <c r="B12912" t="str">
        <f>HYPERLINK("https://twitter.com/ranggazainalm","@ranggazainalm")</f>
        <v>@ranggazainalm</v>
      </c>
      <c r="C12912" t="s">
        <v>2217</v>
      </c>
      <c r="D12912">
        <v>7</v>
      </c>
      <c r="E12912">
        <v>0</v>
      </c>
      <c r="F12912">
        <v>10020</v>
      </c>
    </row>
    <row r="12913" spans="1:6" ht="12.75">
      <c r="A12913" s="2">
        <v>43879.491168981476</v>
      </c>
      <c r="B12913" t="str">
        <f>HYPERLINK("https://twitter.com/LixCLrt","@LixCLrt")</f>
        <v>@LixCLrt</v>
      </c>
      <c r="C12913" t="s">
        <v>6712</v>
      </c>
      <c r="D12913">
        <v>0</v>
      </c>
      <c r="E12913">
        <v>0</v>
      </c>
      <c r="F12913">
        <v>6</v>
      </c>
    </row>
    <row r="12914" spans="1:6" ht="12.75">
      <c r="A12914" s="2">
        <v>43879.491018518514</v>
      </c>
      <c r="B12914" t="str">
        <f>HYPERLINK("https://twitter.com/TatanFarhatani","@TatanFarhatani")</f>
        <v>@TatanFarhatani</v>
      </c>
      <c r="C12914" t="s">
        <v>6713</v>
      </c>
      <c r="D12914">
        <v>0</v>
      </c>
      <c r="E12914">
        <v>0</v>
      </c>
      <c r="F12914">
        <v>1335</v>
      </c>
    </row>
    <row r="12915" spans="1:6" ht="12.75">
      <c r="A12915" s="2">
        <v>43879.490868055553</v>
      </c>
      <c r="B12915" t="str">
        <f>HYPERLINK("https://twitter.com/binsbirowo","@binsbirowo")</f>
        <v>@binsbirowo</v>
      </c>
      <c r="C12915" t="s">
        <v>6690</v>
      </c>
      <c r="D12915">
        <v>5</v>
      </c>
      <c r="E12915">
        <v>0</v>
      </c>
      <c r="F12915">
        <v>2169</v>
      </c>
    </row>
    <row r="12916" spans="1:6" ht="12.75">
      <c r="A12916" s="2">
        <v>43879.490752314814</v>
      </c>
      <c r="B12916" t="str">
        <f>HYPERLINK("https://twitter.com/Shiinooobi","@Shiinooobi")</f>
        <v>@Shiinooobi</v>
      </c>
      <c r="C12916" t="s">
        <v>6714</v>
      </c>
      <c r="D12916">
        <v>0</v>
      </c>
      <c r="E12916">
        <v>0</v>
      </c>
      <c r="F12916">
        <v>5</v>
      </c>
    </row>
    <row r="12917" spans="1:6" ht="12.75">
      <c r="A12917" s="2">
        <v>43879.489641203705</v>
      </c>
      <c r="B12917" t="str">
        <f>HYPERLINK("https://twitter.com/Hando84330075","@Hando84330075")</f>
        <v>@Hando84330075</v>
      </c>
      <c r="C12917" t="s">
        <v>2155</v>
      </c>
      <c r="D12917">
        <v>465</v>
      </c>
      <c r="E12917">
        <v>0</v>
      </c>
      <c r="F12917">
        <v>1</v>
      </c>
    </row>
    <row r="12918" spans="1:6" ht="12.75">
      <c r="A12918" s="2">
        <v>43879.489618055552</v>
      </c>
      <c r="B12918" t="str">
        <f>HYPERLINK("https://twitter.com/MNCNewsroom","@MNCNewsroom")</f>
        <v>@MNCNewsroom</v>
      </c>
      <c r="C12918" t="s">
        <v>6715</v>
      </c>
      <c r="D12918">
        <v>0</v>
      </c>
      <c r="E12918">
        <v>0</v>
      </c>
      <c r="F12918">
        <v>17557</v>
      </c>
    </row>
    <row r="12919" spans="1:6" ht="12.75">
      <c r="A12919" s="2">
        <v>43879.489490740743</v>
      </c>
      <c r="B12919" t="str">
        <f>HYPERLINK("https://twitter.com/HedwigAjeng","@HedwigAjeng")</f>
        <v>@HedwigAjeng</v>
      </c>
      <c r="C12919" t="s">
        <v>2217</v>
      </c>
      <c r="D12919">
        <v>7</v>
      </c>
      <c r="E12919">
        <v>0</v>
      </c>
      <c r="F12919">
        <v>269</v>
      </c>
    </row>
    <row r="12920" spans="1:6" ht="12.75">
      <c r="A12920" s="2">
        <v>43879.489351851851</v>
      </c>
      <c r="B12920" t="str">
        <f>HYPERLINK("https://twitter.com/BebasVisaID","@BebasVisaID")</f>
        <v>@BebasVisaID</v>
      </c>
      <c r="C12920" t="s">
        <v>6657</v>
      </c>
      <c r="D12920">
        <v>4</v>
      </c>
      <c r="E12920">
        <v>0</v>
      </c>
      <c r="F12920">
        <v>7898</v>
      </c>
    </row>
    <row r="12921" spans="1:6" ht="12.75">
      <c r="A12921" s="2">
        <v>43879.488715277781</v>
      </c>
      <c r="B12921" t="str">
        <f>HYPERLINK("https://twitter.com/damianusdalita6","@damianusdalita6")</f>
        <v>@damianusdalita6</v>
      </c>
      <c r="C12921" t="s">
        <v>6716</v>
      </c>
      <c r="D12921">
        <v>0</v>
      </c>
      <c r="E12921">
        <v>0</v>
      </c>
      <c r="F12921">
        <v>2194</v>
      </c>
    </row>
    <row r="12922" spans="1:6" ht="12.75">
      <c r="A12922" s="2">
        <v>43879.488495370373</v>
      </c>
      <c r="B12922" t="str">
        <f>HYPERLINK("https://twitter.com/leonsys0305","@leonsys0305")</f>
        <v>@leonsys0305</v>
      </c>
      <c r="C12922" t="s">
        <v>6717</v>
      </c>
      <c r="D12922">
        <v>0</v>
      </c>
      <c r="E12922">
        <v>2</v>
      </c>
      <c r="F12922">
        <v>1433</v>
      </c>
    </row>
    <row r="12923" spans="1:6" ht="12.75">
      <c r="A12923" s="2">
        <v>43879.488240740742</v>
      </c>
      <c r="B12923" t="str">
        <f>HYPERLINK("https://twitter.com/TangerangHits","@TangerangHits")</f>
        <v>@TangerangHits</v>
      </c>
      <c r="C12923" t="s">
        <v>6718</v>
      </c>
      <c r="D12923">
        <v>0</v>
      </c>
      <c r="E12923">
        <v>0</v>
      </c>
      <c r="F12923">
        <v>89</v>
      </c>
    </row>
    <row r="12924" spans="1:6" ht="12.75">
      <c r="A12924" s="2">
        <v>43879.486828703702</v>
      </c>
      <c r="B12924" t="str">
        <f>HYPERLINK("https://twitter.com/rprt___","@rprt___")</f>
        <v>@rprt___</v>
      </c>
      <c r="C12924" t="s">
        <v>4534</v>
      </c>
      <c r="D12924">
        <v>2</v>
      </c>
      <c r="E12924">
        <v>0</v>
      </c>
      <c r="F12924">
        <v>119</v>
      </c>
    </row>
    <row r="12925" spans="1:6" ht="12.75">
      <c r="A12925" s="2">
        <v>43879.486111111109</v>
      </c>
      <c r="B12925" t="str">
        <f>HYPERLINK("https://twitter.com/Delta_FM","@Delta_FM")</f>
        <v>@Delta_FM</v>
      </c>
      <c r="C12925" t="s">
        <v>6719</v>
      </c>
      <c r="D12925">
        <v>0</v>
      </c>
      <c r="E12925">
        <v>0</v>
      </c>
      <c r="F12925">
        <v>267511</v>
      </c>
    </row>
    <row r="12926" spans="1:6" ht="12.75">
      <c r="A12926" s="2">
        <v>43879.485208333332</v>
      </c>
      <c r="B12926" t="str">
        <f>HYPERLINK("https://twitter.com/mbah_nDoel","@mbah_nDoel")</f>
        <v>@mbah_nDoel</v>
      </c>
      <c r="C12926" t="s">
        <v>6720</v>
      </c>
      <c r="D12926">
        <v>0</v>
      </c>
      <c r="E12926">
        <v>1</v>
      </c>
      <c r="F12926">
        <v>18575</v>
      </c>
    </row>
    <row r="12927" spans="1:6" ht="12.75">
      <c r="A12927" s="2">
        <v>43879.484432870369</v>
      </c>
      <c r="B12927" t="str">
        <f>HYPERLINK("https://twitter.com/bode_talumewo","@bode_talumewo")</f>
        <v>@bode_talumewo</v>
      </c>
      <c r="C12927" t="s">
        <v>6721</v>
      </c>
      <c r="D12927">
        <v>390</v>
      </c>
      <c r="E12927">
        <v>0</v>
      </c>
      <c r="F12927">
        <v>373</v>
      </c>
    </row>
    <row r="12928" spans="1:6" ht="12.75">
      <c r="A12928" s="2">
        <v>43879.484317129631</v>
      </c>
      <c r="B12928" t="str">
        <f>HYPERLINK("https://twitter.com/SeijiNobel","@SeijiNobel")</f>
        <v>@SeijiNobel</v>
      </c>
      <c r="C12928" t="s">
        <v>6722</v>
      </c>
      <c r="D12928">
        <v>0</v>
      </c>
      <c r="E12928">
        <v>0</v>
      </c>
      <c r="F12928">
        <v>64</v>
      </c>
    </row>
    <row r="12929" spans="1:6" ht="12.75">
      <c r="A12929" s="2">
        <v>43879.484236111108</v>
      </c>
      <c r="B12929" t="str">
        <f>HYPERLINK("https://twitter.com/ziggystardawn","@ziggystardawn")</f>
        <v>@ziggystardawn</v>
      </c>
      <c r="C12929" t="s">
        <v>6723</v>
      </c>
      <c r="D12929">
        <v>0</v>
      </c>
      <c r="E12929">
        <v>0</v>
      </c>
      <c r="F12929">
        <v>763</v>
      </c>
    </row>
    <row r="12930" spans="1:6" ht="12.75">
      <c r="A12930" s="2">
        <v>43879.483900462961</v>
      </c>
      <c r="B12930" t="str">
        <f>HYPERLINK("https://twitter.com/dodi_ahmad07","@dodi_ahmad07")</f>
        <v>@dodi_ahmad07</v>
      </c>
      <c r="C12930" t="s">
        <v>6610</v>
      </c>
      <c r="D12930">
        <v>5</v>
      </c>
      <c r="E12930">
        <v>0</v>
      </c>
      <c r="F12930">
        <v>621</v>
      </c>
    </row>
    <row r="12931" spans="1:6" ht="12.75">
      <c r="A12931" s="2">
        <v>43879.483437499999</v>
      </c>
      <c r="B12931" t="str">
        <f>HYPERLINK("https://twitter.com/Naoliviea","@Naoliviea")</f>
        <v>@Naoliviea</v>
      </c>
      <c r="C12931" t="s">
        <v>6724</v>
      </c>
      <c r="D12931">
        <v>5</v>
      </c>
      <c r="E12931">
        <v>9</v>
      </c>
      <c r="F12931">
        <v>14903</v>
      </c>
    </row>
    <row r="12932" spans="1:6" ht="12.75">
      <c r="A12932" s="2">
        <v>43879.482418981483</v>
      </c>
      <c r="B12932" t="str">
        <f>HYPERLINK("https://twitter.com/beatrice_health","@beatrice_health")</f>
        <v>@beatrice_health</v>
      </c>
      <c r="C12932" t="s">
        <v>6725</v>
      </c>
      <c r="D12932">
        <v>1</v>
      </c>
      <c r="E12932">
        <v>0</v>
      </c>
      <c r="F12932">
        <v>180</v>
      </c>
    </row>
    <row r="12933" spans="1:6" ht="12.75">
      <c r="A12933" s="2">
        <v>43879.482291666667</v>
      </c>
      <c r="B12933" t="str">
        <f>HYPERLINK("https://twitter.com/idntimes","@idntimes")</f>
        <v>@idntimes</v>
      </c>
      <c r="C12933" t="s">
        <v>6726</v>
      </c>
      <c r="D12933">
        <v>1</v>
      </c>
      <c r="E12933">
        <v>2</v>
      </c>
      <c r="F12933">
        <v>392934</v>
      </c>
    </row>
    <row r="12934" spans="1:6" ht="12.75">
      <c r="A12934" s="2">
        <v>43879.482164351852</v>
      </c>
      <c r="B12934" t="str">
        <f>HYPERLINK("https://twitter.com/bode_talumewo","@bode_talumewo")</f>
        <v>@bode_talumewo</v>
      </c>
      <c r="C12934" t="s">
        <v>6727</v>
      </c>
      <c r="D12934">
        <v>35</v>
      </c>
      <c r="E12934">
        <v>0</v>
      </c>
      <c r="F12934">
        <v>373</v>
      </c>
    </row>
    <row r="12935" spans="1:6" ht="12.75">
      <c r="A12935" s="2">
        <v>43879.48164351852</v>
      </c>
      <c r="B12935" t="str">
        <f t="shared" ref="B12935:B12939" si="220">HYPERLINK("https://twitter.com/arjuno_ireng01","@arjuno_ireng01")</f>
        <v>@arjuno_ireng01</v>
      </c>
      <c r="C12935" t="s">
        <v>6628</v>
      </c>
      <c r="D12935">
        <v>2</v>
      </c>
      <c r="E12935">
        <v>0</v>
      </c>
      <c r="F12935">
        <v>10241</v>
      </c>
    </row>
    <row r="12936" spans="1:6" ht="12.75">
      <c r="A12936" s="2">
        <v>43879.481539351851</v>
      </c>
      <c r="B12936" t="str">
        <f t="shared" si="220"/>
        <v>@arjuno_ireng01</v>
      </c>
      <c r="C12936" t="s">
        <v>6629</v>
      </c>
      <c r="D12936">
        <v>2</v>
      </c>
      <c r="E12936">
        <v>0</v>
      </c>
      <c r="F12936">
        <v>10241</v>
      </c>
    </row>
    <row r="12937" spans="1:6" ht="12.75">
      <c r="A12937" s="2">
        <v>43879.481435185182</v>
      </c>
      <c r="B12937" t="str">
        <f t="shared" si="220"/>
        <v>@arjuno_ireng01</v>
      </c>
      <c r="C12937" t="s">
        <v>6631</v>
      </c>
      <c r="D12937">
        <v>2</v>
      </c>
      <c r="E12937">
        <v>0</v>
      </c>
      <c r="F12937">
        <v>10241</v>
      </c>
    </row>
    <row r="12938" spans="1:6" ht="12.75">
      <c r="A12938" s="2">
        <v>43879.481365740736</v>
      </c>
      <c r="B12938" t="str">
        <f t="shared" si="220"/>
        <v>@arjuno_ireng01</v>
      </c>
      <c r="C12938" t="s">
        <v>6632</v>
      </c>
      <c r="D12938">
        <v>3</v>
      </c>
      <c r="E12938">
        <v>0</v>
      </c>
      <c r="F12938">
        <v>10241</v>
      </c>
    </row>
    <row r="12939" spans="1:6" ht="12.75">
      <c r="A12939" s="2">
        <v>43879.481307870374</v>
      </c>
      <c r="B12939" t="str">
        <f t="shared" si="220"/>
        <v>@arjuno_ireng01</v>
      </c>
      <c r="C12939" t="s">
        <v>6610</v>
      </c>
      <c r="D12939">
        <v>5</v>
      </c>
      <c r="E12939">
        <v>0</v>
      </c>
      <c r="F12939">
        <v>10241</v>
      </c>
    </row>
    <row r="12940" spans="1:6" ht="12.75">
      <c r="A12940" s="2">
        <v>43879.480671296296</v>
      </c>
      <c r="B12940" t="str">
        <f>HYPERLINK("https://twitter.com/bode_talumewo","@bode_talumewo")</f>
        <v>@bode_talumewo</v>
      </c>
      <c r="C12940" t="s">
        <v>2217</v>
      </c>
      <c r="D12940">
        <v>7</v>
      </c>
      <c r="E12940">
        <v>0</v>
      </c>
      <c r="F12940">
        <v>373</v>
      </c>
    </row>
    <row r="12941" spans="1:6" ht="12.75">
      <c r="A12941" s="2">
        <v>43879.480219907404</v>
      </c>
      <c r="B12941" t="str">
        <f>HYPERLINK("https://twitter.com/helmifr","@helmifr")</f>
        <v>@helmifr</v>
      </c>
      <c r="C12941" t="s">
        <v>5642</v>
      </c>
      <c r="D12941">
        <v>195</v>
      </c>
      <c r="E12941">
        <v>0</v>
      </c>
      <c r="F12941">
        <v>231</v>
      </c>
    </row>
    <row r="12942" spans="1:6" ht="12.75">
      <c r="A12942" s="2">
        <v>43879.479791666672</v>
      </c>
      <c r="B12942" t="str">
        <f t="shared" ref="B12942:B12946" si="221">HYPERLINK("https://twitter.com/BadjaNuswantara","@BadjaNuswantara")</f>
        <v>@BadjaNuswantara</v>
      </c>
      <c r="C12942" t="s">
        <v>6628</v>
      </c>
      <c r="D12942">
        <v>2</v>
      </c>
      <c r="E12942">
        <v>0</v>
      </c>
      <c r="F12942">
        <v>42588</v>
      </c>
    </row>
    <row r="12943" spans="1:6" ht="12.75">
      <c r="A12943" s="2">
        <v>43879.479710648149</v>
      </c>
      <c r="B12943" t="str">
        <f t="shared" si="221"/>
        <v>@BadjaNuswantara</v>
      </c>
      <c r="C12943" t="s">
        <v>6629</v>
      </c>
      <c r="D12943">
        <v>2</v>
      </c>
      <c r="E12943">
        <v>0</v>
      </c>
      <c r="F12943">
        <v>42588</v>
      </c>
    </row>
    <row r="12944" spans="1:6" ht="12.75">
      <c r="A12944" s="2">
        <v>43879.479618055557</v>
      </c>
      <c r="B12944" t="str">
        <f t="shared" si="221"/>
        <v>@BadjaNuswantara</v>
      </c>
      <c r="C12944" t="s">
        <v>6631</v>
      </c>
      <c r="D12944">
        <v>2</v>
      </c>
      <c r="E12944">
        <v>0</v>
      </c>
      <c r="F12944">
        <v>42588</v>
      </c>
    </row>
    <row r="12945" spans="1:6" ht="12.75">
      <c r="A12945" s="2">
        <v>43879.479525462964</v>
      </c>
      <c r="B12945" t="str">
        <f t="shared" si="221"/>
        <v>@BadjaNuswantara</v>
      </c>
      <c r="C12945" t="s">
        <v>6632</v>
      </c>
      <c r="D12945">
        <v>3</v>
      </c>
      <c r="E12945">
        <v>0</v>
      </c>
      <c r="F12945">
        <v>42588</v>
      </c>
    </row>
    <row r="12946" spans="1:6" ht="12.75">
      <c r="A12946" s="2">
        <v>43879.479479166665</v>
      </c>
      <c r="B12946" t="str">
        <f t="shared" si="221"/>
        <v>@BadjaNuswantara</v>
      </c>
      <c r="C12946" t="s">
        <v>6610</v>
      </c>
      <c r="D12946">
        <v>5</v>
      </c>
      <c r="E12946">
        <v>0</v>
      </c>
      <c r="F12946">
        <v>42588</v>
      </c>
    </row>
    <row r="12947" spans="1:6" ht="12.75">
      <c r="A12947" s="2">
        <v>43879.478495370371</v>
      </c>
      <c r="B12947" t="str">
        <f>HYPERLINK("https://twitter.com/Boyzneboyzone","@Boyzneboyzone")</f>
        <v>@Boyzneboyzone</v>
      </c>
      <c r="C12947" t="s">
        <v>6728</v>
      </c>
      <c r="D12947">
        <v>1</v>
      </c>
      <c r="E12947">
        <v>2</v>
      </c>
      <c r="F12947">
        <v>1790</v>
      </c>
    </row>
    <row r="12948" spans="1:6" ht="12.75">
      <c r="A12948" s="2">
        <v>43879.477731481486</v>
      </c>
      <c r="B12948" t="str">
        <f>HYPERLINK("https://twitter.com/hemaviton99","@hemaviton99")</f>
        <v>@hemaviton99</v>
      </c>
      <c r="C12948" t="s">
        <v>6729</v>
      </c>
      <c r="D12948">
        <v>2</v>
      </c>
      <c r="E12948">
        <v>0</v>
      </c>
      <c r="F12948">
        <v>4009</v>
      </c>
    </row>
    <row r="12949" spans="1:6" ht="12.75">
      <c r="A12949" s="2">
        <v>43879.477546296301</v>
      </c>
      <c r="B12949" t="str">
        <f>HYPERLINK("https://twitter.com/didiklpambudi","@didiklpambudi")</f>
        <v>@didiklpambudi</v>
      </c>
      <c r="C12949" t="s">
        <v>6330</v>
      </c>
      <c r="D12949">
        <v>5</v>
      </c>
      <c r="E12949">
        <v>0</v>
      </c>
      <c r="F12949">
        <v>4386</v>
      </c>
    </row>
    <row r="12950" spans="1:6" ht="12.75">
      <c r="A12950" s="2">
        <v>43879.477395833332</v>
      </c>
      <c r="B12950" t="str">
        <f>HYPERLINK("https://twitter.com/udit_kh","@udit_kh")</f>
        <v>@udit_kh</v>
      </c>
      <c r="C12950" t="s">
        <v>6730</v>
      </c>
      <c r="D12950">
        <v>1</v>
      </c>
      <c r="E12950">
        <v>0</v>
      </c>
      <c r="F12950">
        <v>163</v>
      </c>
    </row>
    <row r="12951" spans="1:6" ht="12.75">
      <c r="A12951" s="2">
        <v>43879.477326388893</v>
      </c>
      <c r="B12951" t="str">
        <f>HYPERLINK("https://twitter.com/acchunko","@acchunko")</f>
        <v>@acchunko</v>
      </c>
      <c r="C12951" t="s">
        <v>6330</v>
      </c>
      <c r="D12951">
        <v>5</v>
      </c>
      <c r="E12951">
        <v>0</v>
      </c>
      <c r="F12951">
        <v>134</v>
      </c>
    </row>
    <row r="12952" spans="1:6" ht="12.75">
      <c r="A12952" s="2">
        <v>43879.477233796293</v>
      </c>
      <c r="B12952" t="str">
        <f>HYPERLINK("https://twitter.com/MOCHAMADIWAN5","@MOCHAMADIWAN5")</f>
        <v>@MOCHAMADIWAN5</v>
      </c>
      <c r="C12952" t="s">
        <v>2155</v>
      </c>
      <c r="D12952">
        <v>465</v>
      </c>
      <c r="E12952">
        <v>0</v>
      </c>
      <c r="F12952">
        <v>101</v>
      </c>
    </row>
    <row r="12953" spans="1:6" ht="12.75">
      <c r="A12953" s="2">
        <v>43879.477141203708</v>
      </c>
      <c r="B12953" t="str">
        <f>HYPERLINK("https://twitter.com/SaputraBerman","@SaputraBerman")</f>
        <v>@SaputraBerman</v>
      </c>
      <c r="C12953" t="s">
        <v>6161</v>
      </c>
      <c r="D12953">
        <v>354</v>
      </c>
      <c r="E12953">
        <v>0</v>
      </c>
      <c r="F12953">
        <v>7</v>
      </c>
    </row>
    <row r="12954" spans="1:6" ht="12.75">
      <c r="A12954" s="2">
        <v>43879.477129629631</v>
      </c>
      <c r="B12954" t="str">
        <f>HYPERLINK("https://twitter.com/senjabaratdaya","@senjabaratdaya")</f>
        <v>@senjabaratdaya</v>
      </c>
      <c r="C12954" t="s">
        <v>6731</v>
      </c>
      <c r="D12954">
        <v>0</v>
      </c>
      <c r="E12954">
        <v>0</v>
      </c>
      <c r="F12954">
        <v>226</v>
      </c>
    </row>
    <row r="12955" spans="1:6" ht="12.75">
      <c r="A12955" s="2">
        <v>43879.476875</v>
      </c>
      <c r="B12955" t="str">
        <f>HYPERLINK("https://twitter.com/GishellaFebria1","@GishellaFebria1")</f>
        <v>@GishellaFebria1</v>
      </c>
      <c r="C12955" t="s">
        <v>6732</v>
      </c>
      <c r="D12955">
        <v>0</v>
      </c>
      <c r="E12955">
        <v>0</v>
      </c>
      <c r="F12955">
        <v>44</v>
      </c>
    </row>
    <row r="12956" spans="1:6" ht="12.75">
      <c r="A12956" s="2">
        <v>43879.476527777777</v>
      </c>
      <c r="B12956" t="str">
        <f>HYPERLINK("https://twitter.com/yclaude","@yclaude")</f>
        <v>@yclaude</v>
      </c>
      <c r="C12956" t="s">
        <v>6733</v>
      </c>
      <c r="D12956">
        <v>19</v>
      </c>
      <c r="E12956">
        <v>0</v>
      </c>
      <c r="F12956">
        <v>1620</v>
      </c>
    </row>
    <row r="12957" spans="1:6" ht="12.75">
      <c r="A12957" s="2">
        <v>43879.459837962961</v>
      </c>
      <c r="B12957" t="str">
        <f>HYPERLINK("https://twitter.com/Hanifah933","@Hanifah933")</f>
        <v>@Hanifah933</v>
      </c>
      <c r="C12957" t="s">
        <v>6734</v>
      </c>
      <c r="D12957">
        <v>0</v>
      </c>
      <c r="E12957">
        <v>0</v>
      </c>
      <c r="F12957">
        <v>6897</v>
      </c>
    </row>
    <row r="12958" spans="1:6" ht="12.75">
      <c r="A12958" s="2">
        <v>43879.45957175926</v>
      </c>
      <c r="B12958" t="str">
        <f>HYPERLINK("https://twitter.com/Rei13657419","@Rei13657419")</f>
        <v>@Rei13657419</v>
      </c>
      <c r="C12958" t="s">
        <v>2155</v>
      </c>
      <c r="D12958">
        <v>463</v>
      </c>
      <c r="E12958">
        <v>0</v>
      </c>
      <c r="F12958">
        <v>57</v>
      </c>
    </row>
    <row r="12959" spans="1:6" ht="12.75">
      <c r="A12959" s="2">
        <v>43879.459479166668</v>
      </c>
      <c r="B12959" t="str">
        <f>HYPERLINK("https://twitter.com/dularips","@dularips")</f>
        <v>@dularips</v>
      </c>
      <c r="C12959" t="s">
        <v>6735</v>
      </c>
      <c r="D12959">
        <v>0</v>
      </c>
      <c r="E12959">
        <v>1</v>
      </c>
      <c r="F12959">
        <v>182</v>
      </c>
    </row>
    <row r="12960" spans="1:6" ht="12.75">
      <c r="A12960" s="2">
        <v>43879.459097222221</v>
      </c>
      <c r="B12960" t="str">
        <f>HYPERLINK("https://twitter.com/tempodotco","@tempodotco")</f>
        <v>@tempodotco</v>
      </c>
      <c r="C12960" t="s">
        <v>6736</v>
      </c>
      <c r="D12960">
        <v>0</v>
      </c>
      <c r="E12960">
        <v>2</v>
      </c>
      <c r="F12960">
        <v>1705332</v>
      </c>
    </row>
    <row r="12961" spans="1:6" ht="12.75">
      <c r="A12961" s="2">
        <v>43879.458333333328</v>
      </c>
      <c r="B12961" t="str">
        <f>HYPERLINK("https://twitter.com/TirtoID","@TirtoID")</f>
        <v>@TirtoID</v>
      </c>
      <c r="C12961" t="s">
        <v>6737</v>
      </c>
      <c r="D12961">
        <v>0</v>
      </c>
      <c r="E12961">
        <v>3</v>
      </c>
      <c r="F12961">
        <v>480405</v>
      </c>
    </row>
    <row r="12962" spans="1:6" ht="12.75">
      <c r="A12962" s="2">
        <v>43879.458125000005</v>
      </c>
      <c r="B12962" t="str">
        <f>HYPERLINK("https://twitter.com/pyrenesscastle","@pyrenesscastle")</f>
        <v>@pyrenesscastle</v>
      </c>
      <c r="C12962" t="s">
        <v>6738</v>
      </c>
      <c r="D12962">
        <v>2</v>
      </c>
      <c r="E12962">
        <v>0</v>
      </c>
      <c r="F12962">
        <v>58</v>
      </c>
    </row>
    <row r="12963" spans="1:6" ht="12.75">
      <c r="A12963" s="2">
        <v>43879.458020833335</v>
      </c>
      <c r="B12963" t="str">
        <f>HYPERLINK("https://twitter.com/Hanifah933","@Hanifah933")</f>
        <v>@Hanifah933</v>
      </c>
      <c r="C12963" t="s">
        <v>6739</v>
      </c>
      <c r="D12963">
        <v>0</v>
      </c>
      <c r="E12963">
        <v>1</v>
      </c>
      <c r="F12963">
        <v>6897</v>
      </c>
    </row>
    <row r="12964" spans="1:6" ht="12.75">
      <c r="A12964" s="2">
        <v>43879.458009259259</v>
      </c>
      <c r="B12964" t="str">
        <f>HYPERLINK("https://twitter.com/News24Xx","@News24Xx")</f>
        <v>@News24Xx</v>
      </c>
      <c r="C12964" t="s">
        <v>6740</v>
      </c>
      <c r="D12964">
        <v>0</v>
      </c>
      <c r="E12964">
        <v>0</v>
      </c>
      <c r="F12964">
        <v>140</v>
      </c>
    </row>
    <row r="12965" spans="1:6" ht="12.75">
      <c r="A12965" s="2">
        <v>43879.456284722226</v>
      </c>
      <c r="B12965" t="str">
        <f>HYPERLINK("https://twitter.com/danielgintingm","@danielgintingm")</f>
        <v>@danielgintingm</v>
      </c>
      <c r="C12965" t="s">
        <v>6741</v>
      </c>
      <c r="D12965">
        <v>0</v>
      </c>
      <c r="E12965">
        <v>0</v>
      </c>
      <c r="F12965">
        <v>999</v>
      </c>
    </row>
    <row r="12966" spans="1:6" ht="12.75">
      <c r="A12966" s="2">
        <v>43879.456157407403</v>
      </c>
      <c r="B12966" t="str">
        <f>HYPERLINK("https://twitter.com/3rnyyy","@3rnyyy")</f>
        <v>@3rnyyy</v>
      </c>
      <c r="C12966" t="s">
        <v>2155</v>
      </c>
      <c r="D12966">
        <v>463</v>
      </c>
      <c r="E12966">
        <v>0</v>
      </c>
      <c r="F12966">
        <v>159</v>
      </c>
    </row>
    <row r="12967" spans="1:6" ht="12.75">
      <c r="A12967" s="2">
        <v>43879.455821759257</v>
      </c>
      <c r="B12967" t="str">
        <f>HYPERLINK("https://twitter.com/lfahrurizal","@lfahrurizal")</f>
        <v>@lfahrurizal</v>
      </c>
      <c r="C12967" t="s">
        <v>6742</v>
      </c>
      <c r="D12967">
        <v>0</v>
      </c>
      <c r="E12967">
        <v>0</v>
      </c>
      <c r="F12967">
        <v>97</v>
      </c>
    </row>
    <row r="12968" spans="1:6" ht="12.75">
      <c r="A12968" s="2">
        <v>43879.455520833333</v>
      </c>
      <c r="B12968" t="str">
        <f>HYPERLINK("https://twitter.com/JalilGun","@JalilGun")</f>
        <v>@JalilGun</v>
      </c>
      <c r="C12968" t="s">
        <v>6743</v>
      </c>
      <c r="D12968">
        <v>0</v>
      </c>
      <c r="E12968">
        <v>0</v>
      </c>
      <c r="F12968">
        <v>2</v>
      </c>
    </row>
    <row r="12969" spans="1:6" ht="12.75">
      <c r="A12969" s="2">
        <v>43879.455451388887</v>
      </c>
      <c r="B12969" t="str">
        <f>HYPERLINK("https://twitter.com/hanselgretel0","@hanselgretel0")</f>
        <v>@hanselgretel0</v>
      </c>
      <c r="C12969" t="s">
        <v>6744</v>
      </c>
      <c r="D12969">
        <v>0</v>
      </c>
      <c r="E12969">
        <v>0</v>
      </c>
      <c r="F12969">
        <v>35</v>
      </c>
    </row>
    <row r="12970" spans="1:6" ht="12.75">
      <c r="A12970" s="2">
        <v>43879.455405092594</v>
      </c>
      <c r="B12970" t="str">
        <f>HYPERLINK("https://twitter.com/cyberbangsa","@cyberbangsa")</f>
        <v>@cyberbangsa</v>
      </c>
      <c r="C12970" t="s">
        <v>6745</v>
      </c>
      <c r="D12970">
        <v>0</v>
      </c>
      <c r="E12970">
        <v>0</v>
      </c>
      <c r="F12970">
        <v>109</v>
      </c>
    </row>
    <row r="12971" spans="1:6" ht="12.75">
      <c r="A12971" s="2">
        <v>43879.454837962963</v>
      </c>
      <c r="B12971" t="str">
        <f>HYPERLINK("https://twitter.com/MudasirRomini","@MudasirRomini")</f>
        <v>@MudasirRomini</v>
      </c>
      <c r="C12971" t="s">
        <v>6746</v>
      </c>
      <c r="D12971">
        <v>0</v>
      </c>
      <c r="E12971">
        <v>0</v>
      </c>
      <c r="F12971">
        <v>7460</v>
      </c>
    </row>
    <row r="12972" spans="1:6" ht="12.75">
      <c r="A12972" s="2">
        <v>43879.452696759261</v>
      </c>
      <c r="B12972" t="str">
        <f>HYPERLINK("https://twitter.com/SoloSuara","@SoloSuara")</f>
        <v>@SoloSuara</v>
      </c>
      <c r="C12972" t="s">
        <v>6747</v>
      </c>
      <c r="D12972">
        <v>0</v>
      </c>
      <c r="E12972">
        <v>0</v>
      </c>
      <c r="F12972">
        <v>79</v>
      </c>
    </row>
    <row r="12973" spans="1:6" ht="12.75">
      <c r="A12973" s="2">
        <v>43879.452696759261</v>
      </c>
      <c r="B12973" t="str">
        <f>HYPERLINK("https://twitter.com/RandyD_S","@RandyD_S")</f>
        <v>@RandyD_S</v>
      </c>
      <c r="C12973" t="s">
        <v>6748</v>
      </c>
      <c r="D12973">
        <v>0</v>
      </c>
      <c r="E12973">
        <v>0</v>
      </c>
      <c r="F12973">
        <v>311</v>
      </c>
    </row>
    <row r="12974" spans="1:6" ht="12.75">
      <c r="A12974" s="2">
        <v>43879.45239583333</v>
      </c>
      <c r="B12974" t="str">
        <f>HYPERLINK("https://twitter.com/Namaku_Mei","@Namaku_Mei")</f>
        <v>@Namaku_Mei</v>
      </c>
      <c r="C12974" t="s">
        <v>6749</v>
      </c>
      <c r="D12974">
        <v>0</v>
      </c>
      <c r="E12974">
        <v>1</v>
      </c>
      <c r="F12974">
        <v>33865</v>
      </c>
    </row>
    <row r="12975" spans="1:6" ht="12.75">
      <c r="A12975" s="2">
        <v>43879.451979166668</v>
      </c>
      <c r="B12975" t="str">
        <f>HYPERLINK("https://twitter.com/johans034","@johans034")</f>
        <v>@johans034</v>
      </c>
      <c r="C12975" t="s">
        <v>5642</v>
      </c>
      <c r="D12975">
        <v>191</v>
      </c>
      <c r="E12975">
        <v>0</v>
      </c>
      <c r="F12975">
        <v>512</v>
      </c>
    </row>
    <row r="12976" spans="1:6" ht="12.75">
      <c r="A12976" s="2">
        <v>43879.45177083333</v>
      </c>
      <c r="B12976" t="str">
        <f>HYPERLINK("https://twitter.com/Gunadi84380182","@Gunadi84380182")</f>
        <v>@Gunadi84380182</v>
      </c>
      <c r="C12976" t="s">
        <v>2130</v>
      </c>
      <c r="D12976">
        <v>10</v>
      </c>
      <c r="E12976">
        <v>0</v>
      </c>
      <c r="F12976">
        <v>71</v>
      </c>
    </row>
    <row r="12977" spans="1:6" ht="12.75">
      <c r="A12977" s="2">
        <v>43879.451678240745</v>
      </c>
      <c r="B12977" t="str">
        <f>HYPERLINK("https://twitter.com/tempodotco","@tempodotco")</f>
        <v>@tempodotco</v>
      </c>
      <c r="C12977" t="s">
        <v>6750</v>
      </c>
      <c r="D12977">
        <v>0</v>
      </c>
      <c r="E12977">
        <v>4</v>
      </c>
      <c r="F12977">
        <v>1705332</v>
      </c>
    </row>
    <row r="12978" spans="1:6" ht="12.75">
      <c r="A12978" s="2">
        <v>43879.451666666668</v>
      </c>
      <c r="B12978" t="str">
        <f>HYPERLINK("https://twitter.com/K_505Sho","@K_505Sho")</f>
        <v>@K_505Sho</v>
      </c>
      <c r="C12978" t="s">
        <v>6751</v>
      </c>
      <c r="D12978">
        <v>0</v>
      </c>
      <c r="E12978">
        <v>0</v>
      </c>
      <c r="F12978">
        <v>24</v>
      </c>
    </row>
    <row r="12979" spans="1:6" ht="12.75">
      <c r="A12979" s="2">
        <v>43879.450624999998</v>
      </c>
      <c r="B12979" t="str">
        <f>HYPERLINK("https://twitter.com/Erickgeopolitic","@Erickgeopolitic")</f>
        <v>@Erickgeopolitic</v>
      </c>
      <c r="C12979" t="s">
        <v>6733</v>
      </c>
      <c r="D12979">
        <v>17</v>
      </c>
      <c r="E12979">
        <v>0</v>
      </c>
      <c r="F12979">
        <v>992</v>
      </c>
    </row>
    <row r="12980" spans="1:6" ht="12.75">
      <c r="A12980" s="2">
        <v>43879.450324074074</v>
      </c>
      <c r="B12980" t="str">
        <f>HYPERLINK("https://twitter.com/D_o_d_Ronin","@D_o_d_Ronin")</f>
        <v>@D_o_d_Ronin</v>
      </c>
      <c r="C12980" t="s">
        <v>6752</v>
      </c>
      <c r="D12980">
        <v>0</v>
      </c>
      <c r="E12980">
        <v>0</v>
      </c>
      <c r="F12980">
        <v>297</v>
      </c>
    </row>
    <row r="12981" spans="1:6" ht="12.75">
      <c r="A12981" s="2">
        <v>43879.448657407411</v>
      </c>
      <c r="B12981" t="str">
        <f>HYPERLINK("https://twitter.com/msyarofudin5","@msyarofudin5")</f>
        <v>@msyarofudin5</v>
      </c>
      <c r="C12981" t="s">
        <v>175</v>
      </c>
      <c r="D12981">
        <v>5398</v>
      </c>
      <c r="E12981">
        <v>0</v>
      </c>
      <c r="F12981">
        <v>1</v>
      </c>
    </row>
    <row r="12982" spans="1:6" ht="12.75">
      <c r="A12982" s="2">
        <v>43879.446956018517</v>
      </c>
      <c r="B12982" t="str">
        <f>HYPERLINK("https://twitter.com/Rezarecehajaa","@Rezarecehajaa")</f>
        <v>@Rezarecehajaa</v>
      </c>
      <c r="C12982" t="s">
        <v>5642</v>
      </c>
      <c r="D12982">
        <v>191</v>
      </c>
      <c r="E12982">
        <v>0</v>
      </c>
      <c r="F12982">
        <v>23</v>
      </c>
    </row>
    <row r="12983" spans="1:6" ht="12.75">
      <c r="A12983" s="2">
        <v>43879.446134259255</v>
      </c>
      <c r="B12983" t="str">
        <f>HYPERLINK("https://twitter.com/K_505Sho","@K_505Sho")</f>
        <v>@K_505Sho</v>
      </c>
      <c r="C12983" t="s">
        <v>6753</v>
      </c>
      <c r="D12983">
        <v>0</v>
      </c>
      <c r="E12983">
        <v>0</v>
      </c>
      <c r="F12983">
        <v>24</v>
      </c>
    </row>
    <row r="12984" spans="1:6" ht="12.75">
      <c r="A12984" s="2">
        <v>43879.446030092593</v>
      </c>
      <c r="B12984" t="str">
        <f>HYPERLINK("https://twitter.com/prateekamr","@prateekamr")</f>
        <v>@prateekamr</v>
      </c>
      <c r="C12984" t="s">
        <v>6236</v>
      </c>
      <c r="D12984">
        <v>55</v>
      </c>
      <c r="E12984">
        <v>0</v>
      </c>
      <c r="F12984">
        <v>69</v>
      </c>
    </row>
    <row r="12985" spans="1:6" ht="12.75">
      <c r="A12985" s="2">
        <v>43879.446018518516</v>
      </c>
      <c r="B12985" t="str">
        <f>HYPERLINK("https://twitter.com/DannyPriambono","@DannyPriambono")</f>
        <v>@DannyPriambono</v>
      </c>
      <c r="C12985" t="s">
        <v>6754</v>
      </c>
      <c r="D12985">
        <v>0</v>
      </c>
      <c r="E12985">
        <v>0</v>
      </c>
      <c r="F12985">
        <v>35</v>
      </c>
    </row>
    <row r="12986" spans="1:6" ht="12.75">
      <c r="A12986" s="2">
        <v>43879.444699074069</v>
      </c>
      <c r="B12986" t="str">
        <f>HYPERLINK("https://twitter.com/ILHAMMuhilham19","@ILHAMMuhilham19")</f>
        <v>@ILHAMMuhilham19</v>
      </c>
      <c r="C12986" t="s">
        <v>4975</v>
      </c>
      <c r="D12986">
        <v>192</v>
      </c>
      <c r="E12986">
        <v>0</v>
      </c>
      <c r="F12986">
        <v>122</v>
      </c>
    </row>
    <row r="12987" spans="1:6" ht="12.75">
      <c r="A12987" s="2">
        <v>43879.444027777776</v>
      </c>
      <c r="B12987" t="str">
        <f>HYPERLINK("https://twitter.com/Maerisk53","@Maerisk53")</f>
        <v>@Maerisk53</v>
      </c>
      <c r="C12987" t="s">
        <v>5642</v>
      </c>
      <c r="D12987">
        <v>191</v>
      </c>
      <c r="E12987">
        <v>0</v>
      </c>
      <c r="F12987">
        <v>317</v>
      </c>
    </row>
    <row r="12988" spans="1:6" ht="12.75">
      <c r="A12988" s="2">
        <v>43879.443726851852</v>
      </c>
      <c r="B12988" t="str">
        <f>HYPERLINK("https://twitter.com/MikhailOsherov","@MikhailOsherov")</f>
        <v>@MikhailOsherov</v>
      </c>
      <c r="C12988" t="s">
        <v>6733</v>
      </c>
      <c r="D12988">
        <v>17</v>
      </c>
      <c r="E12988">
        <v>0</v>
      </c>
      <c r="F12988">
        <v>49</v>
      </c>
    </row>
    <row r="12989" spans="1:6" ht="12.75">
      <c r="A12989" s="2">
        <v>43879.44363425926</v>
      </c>
      <c r="B12989" t="str">
        <f>HYPERLINK("https://twitter.com/UrangResepKuli","@UrangResepKuli")</f>
        <v>@UrangResepKuli</v>
      </c>
      <c r="C12989" t="s">
        <v>6755</v>
      </c>
      <c r="D12989">
        <v>0</v>
      </c>
      <c r="E12989">
        <v>0</v>
      </c>
      <c r="F12989">
        <v>966</v>
      </c>
    </row>
    <row r="12990" spans="1:6" ht="12.75">
      <c r="A12990" s="2">
        <v>43879.443379629629</v>
      </c>
      <c r="B12990" t="str">
        <f>HYPERLINK("https://twitter.com/SaidNedai","@SaidNedai")</f>
        <v>@SaidNedai</v>
      </c>
      <c r="C12990" t="s">
        <v>6733</v>
      </c>
      <c r="D12990">
        <v>17</v>
      </c>
      <c r="E12990">
        <v>0</v>
      </c>
      <c r="F12990">
        <v>6</v>
      </c>
    </row>
    <row r="12991" spans="1:6" ht="12.75">
      <c r="A12991" s="2">
        <v>43879.441944444443</v>
      </c>
      <c r="B12991" t="str">
        <f>HYPERLINK("https://twitter.com/Sandeep03630867","@Sandeep03630867")</f>
        <v>@Sandeep03630867</v>
      </c>
      <c r="C12991" t="s">
        <v>6756</v>
      </c>
      <c r="D12991">
        <v>0</v>
      </c>
      <c r="E12991">
        <v>3</v>
      </c>
      <c r="F12991">
        <v>359</v>
      </c>
    </row>
    <row r="12992" spans="1:6" ht="12.75">
      <c r="A12992" s="2">
        <v>43879.441851851851</v>
      </c>
      <c r="B12992" t="str">
        <f>HYPERLINK("https://twitter.com/gluteusmaxim_","@gluteusmaxim_")</f>
        <v>@gluteusmaxim_</v>
      </c>
      <c r="C12992" t="s">
        <v>3340</v>
      </c>
      <c r="D12992">
        <v>331</v>
      </c>
      <c r="E12992">
        <v>0</v>
      </c>
      <c r="F12992">
        <v>251</v>
      </c>
    </row>
    <row r="12993" spans="1:6" ht="12.75">
      <c r="A12993" s="2">
        <v>43879.43917824074</v>
      </c>
      <c r="B12993" t="str">
        <f>HYPERLINK("https://twitter.com/koekoeh","@koekoeh")</f>
        <v>@koekoeh</v>
      </c>
      <c r="C12993" t="s">
        <v>6757</v>
      </c>
      <c r="D12993">
        <v>0</v>
      </c>
      <c r="E12993">
        <v>0</v>
      </c>
      <c r="F12993">
        <v>3231</v>
      </c>
    </row>
    <row r="12994" spans="1:6" ht="12.75">
      <c r="A12994" s="2">
        <v>43879.43818287037</v>
      </c>
      <c r="B12994" t="str">
        <f>HYPERLINK("https://twitter.com/outrotointro","@outrotointro")</f>
        <v>@outrotointro</v>
      </c>
      <c r="C12994" t="s">
        <v>6758</v>
      </c>
      <c r="D12994">
        <v>0</v>
      </c>
      <c r="E12994">
        <v>0</v>
      </c>
      <c r="F12994">
        <v>211</v>
      </c>
    </row>
    <row r="12995" spans="1:6" ht="12.75">
      <c r="A12995" s="2">
        <v>43879.438032407408</v>
      </c>
      <c r="B12995" t="str">
        <f>HYPERLINK("https://twitter.com/vibizmediacom","@vibizmediacom")</f>
        <v>@vibizmediacom</v>
      </c>
      <c r="C12995" t="s">
        <v>6759</v>
      </c>
      <c r="D12995">
        <v>0</v>
      </c>
      <c r="E12995">
        <v>0</v>
      </c>
      <c r="F12995">
        <v>419</v>
      </c>
    </row>
    <row r="12996" spans="1:6" ht="12.75">
      <c r="A12996" s="2">
        <v>43879.437916666662</v>
      </c>
      <c r="B12996" t="str">
        <f>HYPERLINK("https://twitter.com/abufauzan1924","@abufauzan1924")</f>
        <v>@abufauzan1924</v>
      </c>
      <c r="C12996" t="s">
        <v>6760</v>
      </c>
      <c r="D12996">
        <v>0</v>
      </c>
      <c r="E12996">
        <v>0</v>
      </c>
      <c r="F12996">
        <v>3279</v>
      </c>
    </row>
    <row r="12997" spans="1:6" ht="12.75">
      <c r="A12997" s="2">
        <v>43879.437905092593</v>
      </c>
      <c r="B12997" t="str">
        <f>HYPERLINK("https://twitter.com/NamakuBony_","@NamakuBony_")</f>
        <v>@NamakuBony_</v>
      </c>
      <c r="C12997" t="s">
        <v>6761</v>
      </c>
      <c r="D12997">
        <v>0</v>
      </c>
      <c r="E12997">
        <v>0</v>
      </c>
      <c r="F12997">
        <v>899</v>
      </c>
    </row>
    <row r="12998" spans="1:6" ht="12.75">
      <c r="A12998" s="2">
        <v>43879.437395833331</v>
      </c>
      <c r="B12998" t="str">
        <f>HYPERLINK("https://twitter.com/ardiyansyah1407","@ardiyansyah1407")</f>
        <v>@ardiyansyah1407</v>
      </c>
      <c r="C12998" t="s">
        <v>2155</v>
      </c>
      <c r="D12998">
        <v>463</v>
      </c>
      <c r="E12998">
        <v>0</v>
      </c>
      <c r="F12998">
        <v>521</v>
      </c>
    </row>
    <row r="12999" spans="1:6" ht="12.75">
      <c r="A12999" s="2">
        <v>43879.43677083333</v>
      </c>
      <c r="B12999" t="str">
        <f>HYPERLINK("https://twitter.com/ratu_adil","@ratu_adil")</f>
        <v>@ratu_adil</v>
      </c>
      <c r="C12999" t="s">
        <v>6762</v>
      </c>
      <c r="D12999">
        <v>1</v>
      </c>
      <c r="E12999">
        <v>0</v>
      </c>
      <c r="F12999">
        <v>52878</v>
      </c>
    </row>
    <row r="13000" spans="1:6" ht="12.75">
      <c r="A13000" s="2">
        <v>43879.436539351853</v>
      </c>
      <c r="B13000" t="str">
        <f>HYPERLINK("https://twitter.com/gwdatanglagih","@gwdatanglagih")</f>
        <v>@gwdatanglagih</v>
      </c>
      <c r="C13000" t="s">
        <v>6763</v>
      </c>
      <c r="D13000">
        <v>0</v>
      </c>
      <c r="E13000">
        <v>1</v>
      </c>
      <c r="F13000">
        <v>442</v>
      </c>
    </row>
    <row r="13001" spans="1:6" ht="12.75">
      <c r="A13001" s="2">
        <v>43879.43614583333</v>
      </c>
      <c r="B13001" t="str">
        <f>HYPERLINK("https://twitter.com/alif__id","@alif__id")</f>
        <v>@alif__id</v>
      </c>
      <c r="C13001" t="s">
        <v>6764</v>
      </c>
      <c r="D13001">
        <v>0</v>
      </c>
      <c r="E13001">
        <v>1</v>
      </c>
      <c r="F13001">
        <v>13949</v>
      </c>
    </row>
    <row r="13002" spans="1:6" ht="12.75">
      <c r="A13002" s="2">
        <v>43879.435752314814</v>
      </c>
      <c r="B13002" t="str">
        <f>HYPERLINK("https://twitter.com/EndahArdiansya1","@EndahArdiansya1")</f>
        <v>@EndahArdiansya1</v>
      </c>
      <c r="C13002" t="s">
        <v>5642</v>
      </c>
      <c r="D13002">
        <v>191</v>
      </c>
      <c r="E13002">
        <v>0</v>
      </c>
      <c r="F13002">
        <v>665</v>
      </c>
    </row>
    <row r="13003" spans="1:6" ht="12.75">
      <c r="A13003" s="2">
        <v>43879.434710648144</v>
      </c>
      <c r="B13003" t="str">
        <f>HYPERLINK("https://twitter.com/Jackelkotjo","@Jackelkotjo")</f>
        <v>@Jackelkotjo</v>
      </c>
      <c r="C13003" t="s">
        <v>5406</v>
      </c>
      <c r="D13003">
        <v>24</v>
      </c>
      <c r="E13003">
        <v>0</v>
      </c>
      <c r="F13003">
        <v>609</v>
      </c>
    </row>
    <row r="13004" spans="1:6" ht="12.75">
      <c r="A13004" s="2">
        <v>43879.434270833328</v>
      </c>
      <c r="B13004" t="str">
        <f>HYPERLINK("https://twitter.com/coldthem","@coldthem")</f>
        <v>@coldthem</v>
      </c>
      <c r="C13004" t="s">
        <v>5642</v>
      </c>
      <c r="D13004">
        <v>191</v>
      </c>
      <c r="E13004">
        <v>0</v>
      </c>
      <c r="F13004">
        <v>2530</v>
      </c>
    </row>
    <row r="13005" spans="1:6" ht="12.75">
      <c r="A13005" s="2">
        <v>43879.433645833335</v>
      </c>
      <c r="B13005" t="str">
        <f>HYPERLINK("https://twitter.com/Ulama_Sangean","@Ulama_Sangean")</f>
        <v>@Ulama_Sangean</v>
      </c>
      <c r="C13005" t="s">
        <v>6765</v>
      </c>
      <c r="D13005">
        <v>0</v>
      </c>
      <c r="E13005">
        <v>1</v>
      </c>
      <c r="F13005">
        <v>683</v>
      </c>
    </row>
    <row r="13006" spans="1:6" ht="12.75">
      <c r="A13006" s="2">
        <v>43879.432870370365</v>
      </c>
      <c r="B13006" t="str">
        <f>HYPERLINK("https://twitter.com/AmstrongBiring","@AmstrongBiring")</f>
        <v>@AmstrongBiring</v>
      </c>
      <c r="C13006" t="s">
        <v>6766</v>
      </c>
      <c r="D13006">
        <v>3</v>
      </c>
      <c r="E13006">
        <v>0</v>
      </c>
      <c r="F13006">
        <v>1962</v>
      </c>
    </row>
    <row r="13007" spans="1:6" ht="12.75">
      <c r="A13007" s="2">
        <v>43879.431770833333</v>
      </c>
      <c r="B13007" t="str">
        <f>HYPERLINK("https://twitter.com/adiaqa","@adiaqa")</f>
        <v>@adiaqa</v>
      </c>
      <c r="C13007" t="s">
        <v>6767</v>
      </c>
      <c r="D13007">
        <v>0</v>
      </c>
      <c r="E13007">
        <v>0</v>
      </c>
      <c r="F13007">
        <v>181</v>
      </c>
    </row>
    <row r="13008" spans="1:6" ht="12.75">
      <c r="A13008" s="2">
        <v>43879.431377314817</v>
      </c>
      <c r="B13008" t="str">
        <f>HYPERLINK("https://twitter.com/aulia2199","@aulia2199")</f>
        <v>@aulia2199</v>
      </c>
      <c r="C13008" t="s">
        <v>5642</v>
      </c>
      <c r="D13008">
        <v>191</v>
      </c>
      <c r="E13008">
        <v>0</v>
      </c>
      <c r="F13008">
        <v>121</v>
      </c>
    </row>
    <row r="13009" spans="1:6" ht="12.75">
      <c r="A13009" s="2">
        <v>43879.430810185186</v>
      </c>
      <c r="B13009" t="str">
        <f>HYPERLINK("https://twitter.com/AmstrongBiring","@AmstrongBiring")</f>
        <v>@AmstrongBiring</v>
      </c>
      <c r="C13009" t="s">
        <v>6768</v>
      </c>
      <c r="D13009">
        <v>1</v>
      </c>
      <c r="E13009">
        <v>0</v>
      </c>
      <c r="F13009">
        <v>1962</v>
      </c>
    </row>
    <row r="13010" spans="1:6" ht="12.75">
      <c r="A13010" s="2">
        <v>43879.430393518516</v>
      </c>
      <c r="B13010" t="str">
        <f>HYPERLINK("https://twitter.com/rullyjoo27","@rullyjoo27")</f>
        <v>@rullyjoo27</v>
      </c>
      <c r="C13010" t="s">
        <v>6769</v>
      </c>
      <c r="D13010">
        <v>0</v>
      </c>
      <c r="E13010">
        <v>0</v>
      </c>
      <c r="F13010">
        <v>2054</v>
      </c>
    </row>
    <row r="13011" spans="1:6" ht="12.75">
      <c r="A13011" s="2">
        <v>43879.430335648147</v>
      </c>
      <c r="B13011" t="str">
        <f>HYPERLINK("https://twitter.com/hwi_wijaya_ke2","@hwi_wijaya_ke2")</f>
        <v>@hwi_wijaya_ke2</v>
      </c>
      <c r="C13011" t="s">
        <v>6770</v>
      </c>
      <c r="D13011">
        <v>9</v>
      </c>
      <c r="E13011">
        <v>0</v>
      </c>
      <c r="F13011">
        <v>3430</v>
      </c>
    </row>
    <row r="13012" spans="1:6" ht="12.75">
      <c r="A13012" s="2">
        <v>43879.430312500001</v>
      </c>
      <c r="B13012" t="str">
        <f>HYPERLINK("https://twitter.com/Jurnal79662474","@Jurnal79662474")</f>
        <v>@Jurnal79662474</v>
      </c>
      <c r="C13012" t="s">
        <v>4975</v>
      </c>
      <c r="D13012">
        <v>192</v>
      </c>
      <c r="E13012">
        <v>0</v>
      </c>
      <c r="F13012">
        <v>31</v>
      </c>
    </row>
    <row r="13013" spans="1:6" ht="12.75">
      <c r="A13013" s="2">
        <v>43879.429768518516</v>
      </c>
      <c r="B13013" t="str">
        <f>HYPERLINK("https://twitter.com/MohSyfri","@MohSyfri")</f>
        <v>@MohSyfri</v>
      </c>
      <c r="C13013" t="s">
        <v>5642</v>
      </c>
      <c r="D13013">
        <v>191</v>
      </c>
      <c r="E13013">
        <v>0</v>
      </c>
      <c r="F13013">
        <v>535</v>
      </c>
    </row>
    <row r="13014" spans="1:6" ht="12.75">
      <c r="A13014" s="2">
        <v>43879.428819444445</v>
      </c>
      <c r="B13014" t="str">
        <f>HYPERLINK("https://twitter.com/Budzar_Algifari","@Budzar_Algifari")</f>
        <v>@Budzar_Algifari</v>
      </c>
      <c r="C13014" t="s">
        <v>6771</v>
      </c>
      <c r="D13014">
        <v>78</v>
      </c>
      <c r="E13014">
        <v>0</v>
      </c>
      <c r="F13014">
        <v>1221</v>
      </c>
    </row>
    <row r="13015" spans="1:6" ht="12.75">
      <c r="A13015" s="2">
        <v>43879.428495370375</v>
      </c>
      <c r="B13015" t="str">
        <f>HYPERLINK("https://twitter.com/faridwinart","@faridwinart")</f>
        <v>@faridwinart</v>
      </c>
      <c r="C13015" t="s">
        <v>6772</v>
      </c>
      <c r="D13015">
        <v>0</v>
      </c>
      <c r="E13015">
        <v>0</v>
      </c>
      <c r="F13015">
        <v>121</v>
      </c>
    </row>
    <row r="13016" spans="1:6" ht="12.75">
      <c r="A13016" s="2">
        <v>43879.428078703699</v>
      </c>
      <c r="B13016" t="str">
        <f>HYPERLINK("https://twitter.com/erenzst","@erenzst")</f>
        <v>@erenzst</v>
      </c>
      <c r="C13016" t="s">
        <v>6161</v>
      </c>
      <c r="D13016">
        <v>352</v>
      </c>
      <c r="E13016">
        <v>0</v>
      </c>
      <c r="F13016">
        <v>226</v>
      </c>
    </row>
    <row r="13017" spans="1:6" ht="12.75">
      <c r="A13017" s="2">
        <v>43879.426759259259</v>
      </c>
      <c r="B13017" t="str">
        <f>HYPERLINK("https://twitter.com/rullyjoo27","@rullyjoo27")</f>
        <v>@rullyjoo27</v>
      </c>
      <c r="C13017" t="s">
        <v>6773</v>
      </c>
      <c r="D13017">
        <v>0</v>
      </c>
      <c r="E13017">
        <v>0</v>
      </c>
      <c r="F13017">
        <v>2054</v>
      </c>
    </row>
    <row r="13018" spans="1:6" ht="12.75">
      <c r="A13018" s="2">
        <v>43879.426400462966</v>
      </c>
      <c r="B13018" t="str">
        <f>HYPERLINK("https://twitter.com/kopikirpikir","@kopikirpikir")</f>
        <v>@kopikirpikir</v>
      </c>
      <c r="C13018" t="s">
        <v>2155</v>
      </c>
      <c r="D13018">
        <v>463</v>
      </c>
      <c r="E13018">
        <v>0</v>
      </c>
      <c r="F13018">
        <v>1911</v>
      </c>
    </row>
    <row r="13019" spans="1:6" ht="12.75">
      <c r="A13019" s="2">
        <v>43879.426377314812</v>
      </c>
      <c r="B13019" t="str">
        <f>HYPERLINK("https://twitter.com/cathcatha00","@cathcatha00")</f>
        <v>@cathcatha00</v>
      </c>
      <c r="C13019" t="s">
        <v>6338</v>
      </c>
      <c r="D13019">
        <v>795</v>
      </c>
      <c r="E13019">
        <v>0</v>
      </c>
      <c r="F13019">
        <v>1437</v>
      </c>
    </row>
    <row r="13020" spans="1:6" ht="12.75">
      <c r="A13020" s="2">
        <v>43879.42591435185</v>
      </c>
      <c r="B13020" t="str">
        <f>HYPERLINK("https://twitter.com/Radenjegeg_AG","@Radenjegeg_AG")</f>
        <v>@Radenjegeg_AG</v>
      </c>
      <c r="C13020" t="s">
        <v>2155</v>
      </c>
      <c r="D13020">
        <v>463</v>
      </c>
      <c r="E13020">
        <v>0</v>
      </c>
      <c r="F13020">
        <v>218</v>
      </c>
    </row>
    <row r="13021" spans="1:6" ht="12.75">
      <c r="A13021" s="2">
        <v>43879.425798611112</v>
      </c>
      <c r="B13021" t="str">
        <f>HYPERLINK("https://twitter.com/faridwinart","@faridwinart")</f>
        <v>@faridwinart</v>
      </c>
      <c r="C13021" t="s">
        <v>6774</v>
      </c>
      <c r="D13021">
        <v>0</v>
      </c>
      <c r="E13021">
        <v>0</v>
      </c>
      <c r="F13021">
        <v>121</v>
      </c>
    </row>
    <row r="13022" spans="1:6" ht="12.75">
      <c r="A13022" s="2">
        <v>43879.42569444445</v>
      </c>
      <c r="B13022" t="str">
        <f>HYPERLINK("https://twitter.com/HenkMizell","@HenkMizell")</f>
        <v>@HenkMizell</v>
      </c>
      <c r="C13022" t="s">
        <v>6775</v>
      </c>
      <c r="D13022">
        <v>0</v>
      </c>
      <c r="E13022">
        <v>0</v>
      </c>
      <c r="F13022">
        <v>19</v>
      </c>
    </row>
    <row r="13023" spans="1:6" ht="12.75">
      <c r="A13023" s="2">
        <v>43879.425277777773</v>
      </c>
      <c r="B13023" t="str">
        <f>HYPERLINK("https://twitter.com/Ulama_Sangean","@Ulama_Sangean")</f>
        <v>@Ulama_Sangean</v>
      </c>
      <c r="C13023" t="s">
        <v>6776</v>
      </c>
      <c r="D13023">
        <v>0</v>
      </c>
      <c r="E13023">
        <v>1</v>
      </c>
      <c r="F13023">
        <v>683</v>
      </c>
    </row>
    <row r="13024" spans="1:6" ht="12.75">
      <c r="A13024" s="2">
        <v>43879.425219907411</v>
      </c>
      <c r="B13024" t="str">
        <f>HYPERLINK("https://twitter.com/zulfikarzana","@zulfikarzana")</f>
        <v>@zulfikarzana</v>
      </c>
      <c r="C13024" t="s">
        <v>4975</v>
      </c>
      <c r="D13024">
        <v>192</v>
      </c>
      <c r="E13024">
        <v>0</v>
      </c>
      <c r="F13024">
        <v>58</v>
      </c>
    </row>
    <row r="13025" spans="1:6" ht="12.75">
      <c r="A13025" s="2">
        <v>43879.425000000003</v>
      </c>
      <c r="B13025" t="str">
        <f>HYPERLINK("https://twitter.com/AsmaulH88159124","@AsmaulH88159124")</f>
        <v>@AsmaulH88159124</v>
      </c>
      <c r="C13025" t="s">
        <v>619</v>
      </c>
      <c r="D13025">
        <v>1298</v>
      </c>
      <c r="E13025">
        <v>0</v>
      </c>
      <c r="F13025">
        <v>3</v>
      </c>
    </row>
    <row r="13026" spans="1:6" ht="12.75">
      <c r="A13026" s="2">
        <v>43879.424942129626</v>
      </c>
      <c r="B13026" t="str">
        <f>HYPERLINK("https://twitter.com/Sayangaqhue","@Sayangaqhue")</f>
        <v>@Sayangaqhue</v>
      </c>
      <c r="C13026" t="s">
        <v>6338</v>
      </c>
      <c r="D13026">
        <v>795</v>
      </c>
      <c r="E13026">
        <v>0</v>
      </c>
      <c r="F13026">
        <v>2439</v>
      </c>
    </row>
    <row r="13027" spans="1:6" ht="12.75">
      <c r="A13027" s="2">
        <v>43879.424722222218</v>
      </c>
      <c r="B13027" t="str">
        <f>HYPERLINK("https://twitter.com/ksop_kumai","@ksop_kumai")</f>
        <v>@ksop_kumai</v>
      </c>
      <c r="C13027" t="s">
        <v>6168</v>
      </c>
      <c r="D13027">
        <v>3</v>
      </c>
      <c r="E13027">
        <v>0</v>
      </c>
      <c r="F13027">
        <v>145</v>
      </c>
    </row>
    <row r="13028" spans="1:6" ht="12.75">
      <c r="A13028" s="2">
        <v>43879.424618055556</v>
      </c>
      <c r="B13028" t="str">
        <f>HYPERLINK("https://twitter.com/tempodotco","@tempodotco")</f>
        <v>@tempodotco</v>
      </c>
      <c r="C13028" t="s">
        <v>6777</v>
      </c>
      <c r="D13028">
        <v>1</v>
      </c>
      <c r="E13028">
        <v>3</v>
      </c>
      <c r="F13028">
        <v>1705332</v>
      </c>
    </row>
    <row r="13029" spans="1:6" ht="12.75">
      <c r="A13029" s="2">
        <v>43879.42459490741</v>
      </c>
      <c r="B13029" t="str">
        <f>HYPERLINK("https://twitter.com/wasathiyyah","@wasathiyyah")</f>
        <v>@wasathiyyah</v>
      </c>
      <c r="C13029" t="s">
        <v>6778</v>
      </c>
      <c r="D13029">
        <v>0</v>
      </c>
      <c r="E13029">
        <v>0</v>
      </c>
      <c r="F13029">
        <v>129</v>
      </c>
    </row>
    <row r="13030" spans="1:6" ht="12.75">
      <c r="A13030" s="2">
        <v>43879.424490740741</v>
      </c>
      <c r="B13030" t="str">
        <f>HYPERLINK("https://twitter.com/bird_paradise86","@bird_paradise86")</f>
        <v>@bird_paradise86</v>
      </c>
      <c r="C13030" t="s">
        <v>6779</v>
      </c>
      <c r="D13030">
        <v>0</v>
      </c>
      <c r="E13030">
        <v>0</v>
      </c>
      <c r="F13030">
        <v>5</v>
      </c>
    </row>
    <row r="13031" spans="1:6" ht="12.75">
      <c r="A13031" s="2">
        <v>43879.424050925925</v>
      </c>
      <c r="B13031" t="str">
        <f>HYPERLINK("https://twitter.com/AnnisaLuthfiya","@AnnisaLuthfiya")</f>
        <v>@AnnisaLuthfiya</v>
      </c>
      <c r="C13031" t="s">
        <v>3340</v>
      </c>
      <c r="D13031">
        <v>331</v>
      </c>
      <c r="E13031">
        <v>0</v>
      </c>
      <c r="F13031">
        <v>871</v>
      </c>
    </row>
    <row r="13032" spans="1:6" ht="12.75">
      <c r="A13032" s="2">
        <v>43879.423715277779</v>
      </c>
      <c r="B13032" t="str">
        <f>HYPERLINK("https://twitter.com/rullyjoo27","@rullyjoo27")</f>
        <v>@rullyjoo27</v>
      </c>
      <c r="C13032" t="s">
        <v>6780</v>
      </c>
      <c r="D13032">
        <v>0</v>
      </c>
      <c r="E13032">
        <v>0</v>
      </c>
      <c r="F13032">
        <v>2054</v>
      </c>
    </row>
    <row r="13033" spans="1:6" ht="12.75">
      <c r="A13033" s="2">
        <v>43879.423680555556</v>
      </c>
      <c r="B13033" t="str">
        <f>HYPERLINK("https://twitter.com/okyonline","@okyonline")</f>
        <v>@okyonline</v>
      </c>
      <c r="C13033" t="s">
        <v>6781</v>
      </c>
      <c r="D13033">
        <v>0</v>
      </c>
      <c r="E13033">
        <v>0</v>
      </c>
      <c r="F13033">
        <v>552</v>
      </c>
    </row>
    <row r="13034" spans="1:6" ht="12.75">
      <c r="A13034" s="2">
        <v>43879.423611111109</v>
      </c>
      <c r="B13034" t="str">
        <f>HYPERLINK("https://twitter.com/indonesiana","@indonesiana")</f>
        <v>@indonesiana</v>
      </c>
      <c r="C13034" t="s">
        <v>6782</v>
      </c>
      <c r="D13034">
        <v>0</v>
      </c>
      <c r="E13034">
        <v>0</v>
      </c>
      <c r="F13034">
        <v>49564</v>
      </c>
    </row>
    <row r="13035" spans="1:6" ht="12.75">
      <c r="A13035" s="2">
        <v>43879.423333333332</v>
      </c>
      <c r="B13035" t="str">
        <f>HYPERLINK("https://twitter.com/batam_kata","@batam_kata")</f>
        <v>@batam_kata</v>
      </c>
      <c r="C13035" t="s">
        <v>6783</v>
      </c>
      <c r="D13035">
        <v>0</v>
      </c>
      <c r="E13035">
        <v>0</v>
      </c>
      <c r="F13035">
        <v>80</v>
      </c>
    </row>
    <row r="13036" spans="1:6" ht="12.75">
      <c r="A13036" s="2">
        <v>43879.423333333332</v>
      </c>
      <c r="B13036" t="str">
        <f>HYPERLINK("https://twitter.com/Tribun_Solo","@Tribun_Solo")</f>
        <v>@Tribun_Solo</v>
      </c>
      <c r="C13036" t="s">
        <v>6784</v>
      </c>
      <c r="D13036">
        <v>0</v>
      </c>
      <c r="E13036">
        <v>0</v>
      </c>
      <c r="F13036">
        <v>2175</v>
      </c>
    </row>
    <row r="13037" spans="1:6" ht="12.75">
      <c r="A13037" s="2">
        <v>43879.423101851848</v>
      </c>
      <c r="B13037" t="str">
        <f>HYPERLINK("https://twitter.com/LukmanHariant11","@LukmanHariant11")</f>
        <v>@LukmanHariant11</v>
      </c>
      <c r="C13037" t="s">
        <v>6161</v>
      </c>
      <c r="D13037">
        <v>352</v>
      </c>
      <c r="E13037">
        <v>0</v>
      </c>
      <c r="F13037">
        <v>268</v>
      </c>
    </row>
    <row r="13038" spans="1:6" ht="12.75">
      <c r="A13038" s="2">
        <v>43879.423043981486</v>
      </c>
      <c r="B13038" t="str">
        <f>HYPERLINK("https://twitter.com/Trii_setyawan","@Trii_setyawan")</f>
        <v>@Trii_setyawan</v>
      </c>
      <c r="C13038" t="s">
        <v>5642</v>
      </c>
      <c r="D13038">
        <v>191</v>
      </c>
      <c r="E13038">
        <v>0</v>
      </c>
      <c r="F13038">
        <v>352</v>
      </c>
    </row>
    <row r="13039" spans="1:6" ht="12.75">
      <c r="A13039" s="2">
        <v>43879.422777777778</v>
      </c>
      <c r="B13039" t="str">
        <f>HYPERLINK("https://twitter.com/anyw0ne","@anyw0ne")</f>
        <v>@anyw0ne</v>
      </c>
      <c r="C13039" t="s">
        <v>6338</v>
      </c>
      <c r="D13039">
        <v>795</v>
      </c>
      <c r="E13039">
        <v>0</v>
      </c>
      <c r="F13039">
        <v>1005</v>
      </c>
    </row>
    <row r="13040" spans="1:6" ht="12.75">
      <c r="A13040" s="2">
        <v>43879.421817129631</v>
      </c>
      <c r="B13040" t="str">
        <f>HYPERLINK("https://twitter.com/handy_tanuw","@handy_tanuw")</f>
        <v>@handy_tanuw</v>
      </c>
      <c r="C13040" t="s">
        <v>6785</v>
      </c>
      <c r="D13040">
        <v>0</v>
      </c>
      <c r="E13040">
        <v>0</v>
      </c>
      <c r="F13040">
        <v>59</v>
      </c>
    </row>
    <row r="13041" spans="1:6" ht="12.75">
      <c r="A13041" s="2">
        <v>43879.421805555554</v>
      </c>
      <c r="B13041" t="str">
        <f>HYPERLINK("https://twitter.com/isis_osbourne","@isis_osbourne")</f>
        <v>@isis_osbourne</v>
      </c>
      <c r="C13041" t="s">
        <v>6786</v>
      </c>
      <c r="D13041">
        <v>142</v>
      </c>
      <c r="E13041">
        <v>0</v>
      </c>
      <c r="F13041">
        <v>107</v>
      </c>
    </row>
    <row r="13042" spans="1:6" ht="12.75">
      <c r="A13042" s="2">
        <v>43879.421435185184</v>
      </c>
      <c r="B13042" t="str">
        <f>HYPERLINK("https://twitter.com/okezonenews","@okezonenews")</f>
        <v>@okezonenews</v>
      </c>
      <c r="C13042" t="s">
        <v>6787</v>
      </c>
      <c r="D13042">
        <v>0</v>
      </c>
      <c r="E13042">
        <v>0</v>
      </c>
      <c r="F13042">
        <v>1744050</v>
      </c>
    </row>
    <row r="13043" spans="1:6" ht="12.75">
      <c r="A13043" s="2">
        <v>43879.421331018515</v>
      </c>
      <c r="B13043" t="str">
        <f>HYPERLINK("https://twitter.com/b4nganto","@b4nganto")</f>
        <v>@b4nganto</v>
      </c>
      <c r="C13043" t="s">
        <v>6788</v>
      </c>
      <c r="D13043">
        <v>0</v>
      </c>
      <c r="E13043">
        <v>0</v>
      </c>
      <c r="F13043">
        <v>192</v>
      </c>
    </row>
    <row r="13044" spans="1:6" ht="12.75">
      <c r="A13044" s="2">
        <v>43879.421261574069</v>
      </c>
      <c r="B13044" t="str">
        <f>HYPERLINK("https://twitter.com/faridwinart","@faridwinart")</f>
        <v>@faridwinart</v>
      </c>
      <c r="C13044" t="s">
        <v>6789</v>
      </c>
      <c r="D13044">
        <v>0</v>
      </c>
      <c r="E13044">
        <v>0</v>
      </c>
      <c r="F13044">
        <v>121</v>
      </c>
    </row>
    <row r="13045" spans="1:6" ht="12.75">
      <c r="A13045" s="2">
        <v>43879.420543981483</v>
      </c>
      <c r="B13045" t="str">
        <f>HYPERLINK("https://twitter.com/bumilautlangit","@bumilautlangit")</f>
        <v>@bumilautlangit</v>
      </c>
      <c r="C13045" t="s">
        <v>6790</v>
      </c>
      <c r="D13045">
        <v>0</v>
      </c>
      <c r="E13045">
        <v>0</v>
      </c>
      <c r="F13045">
        <v>1796</v>
      </c>
    </row>
    <row r="13046" spans="1:6" ht="12.75">
      <c r="A13046" s="2">
        <v>43879.420312499999</v>
      </c>
      <c r="B13046" t="str">
        <f>HYPERLINK("https://twitter.com/Ulama_Sangean","@Ulama_Sangean")</f>
        <v>@Ulama_Sangean</v>
      </c>
      <c r="C13046" t="s">
        <v>6791</v>
      </c>
      <c r="D13046">
        <v>1</v>
      </c>
      <c r="E13046">
        <v>2</v>
      </c>
      <c r="F13046">
        <v>683</v>
      </c>
    </row>
    <row r="13047" spans="1:6" ht="12.75">
      <c r="A13047" s="2">
        <v>43879.420277777783</v>
      </c>
      <c r="B13047" t="str">
        <f>HYPERLINK("https://twitter.com/John_Muhan","@John_Muhan")</f>
        <v>@John_Muhan</v>
      </c>
      <c r="C13047" t="s">
        <v>6792</v>
      </c>
      <c r="D13047">
        <v>2</v>
      </c>
      <c r="E13047">
        <v>0</v>
      </c>
      <c r="F13047">
        <v>793</v>
      </c>
    </row>
    <row r="13048" spans="1:6" ht="12.75">
      <c r="A13048" s="2">
        <v>43879.419953703706</v>
      </c>
      <c r="B13048" t="str">
        <f>HYPERLINK("https://twitter.com/HenkMizell","@HenkMizell")</f>
        <v>@HenkMizell</v>
      </c>
      <c r="C13048" t="s">
        <v>6793</v>
      </c>
      <c r="D13048">
        <v>0</v>
      </c>
      <c r="E13048">
        <v>0</v>
      </c>
      <c r="F13048">
        <v>19</v>
      </c>
    </row>
    <row r="13049" spans="1:6" ht="12.75">
      <c r="A13049" s="2">
        <v>43879.419606481482</v>
      </c>
      <c r="B13049" t="str">
        <f>HYPERLINK("https://twitter.com/LaporGub_","@LaporGub_")</f>
        <v>@LaporGub_</v>
      </c>
      <c r="C13049" t="s">
        <v>5642</v>
      </c>
      <c r="D13049">
        <v>191</v>
      </c>
      <c r="E13049">
        <v>0</v>
      </c>
      <c r="F13049">
        <v>1267</v>
      </c>
    </row>
    <row r="13050" spans="1:6" ht="12.75">
      <c r="A13050" s="2">
        <v>43879.419525462959</v>
      </c>
      <c r="B13050" t="str">
        <f>HYPERLINK("https://twitter.com/Bilanabilah28","@Bilanabilah28")</f>
        <v>@Bilanabilah28</v>
      </c>
      <c r="C13050" t="s">
        <v>6794</v>
      </c>
      <c r="D13050">
        <v>1</v>
      </c>
      <c r="E13050">
        <v>0</v>
      </c>
      <c r="F13050">
        <v>3</v>
      </c>
    </row>
    <row r="13051" spans="1:6" ht="12.75">
      <c r="A13051" s="2">
        <v>43879.419050925921</v>
      </c>
      <c r="B13051" t="str">
        <f>HYPERLINK("https://twitter.com/gunoto7","@gunoto7")</f>
        <v>@gunoto7</v>
      </c>
      <c r="C13051" t="s">
        <v>6795</v>
      </c>
      <c r="D13051">
        <v>1</v>
      </c>
      <c r="E13051">
        <v>0</v>
      </c>
      <c r="F13051">
        <v>2747</v>
      </c>
    </row>
    <row r="13052" spans="1:6" ht="12.75">
      <c r="A13052" s="2">
        <v>43879.418842592597</v>
      </c>
      <c r="B13052" t="str">
        <f>HYPERLINK("https://twitter.com/MediaDayak","@MediaDayak")</f>
        <v>@MediaDayak</v>
      </c>
      <c r="C13052" t="s">
        <v>2621</v>
      </c>
      <c r="D13052">
        <v>0</v>
      </c>
      <c r="E13052">
        <v>0</v>
      </c>
      <c r="F13052">
        <v>29</v>
      </c>
    </row>
    <row r="13053" spans="1:6" ht="12.75">
      <c r="A13053" s="2">
        <v>43879.418680555551</v>
      </c>
      <c r="B13053" t="str">
        <f>HYPERLINK("https://twitter.com/Bilanabilah28","@Bilanabilah28")</f>
        <v>@Bilanabilah28</v>
      </c>
      <c r="C13053" t="s">
        <v>6796</v>
      </c>
      <c r="D13053">
        <v>2</v>
      </c>
      <c r="E13053">
        <v>0</v>
      </c>
      <c r="F13053">
        <v>3</v>
      </c>
    </row>
    <row r="13054" spans="1:6" ht="12.75">
      <c r="A13054" s="2">
        <v>43879.418657407412</v>
      </c>
      <c r="B13054" t="str">
        <f>HYPERLINK("https://twitter.com/tani_suara","@tani_suara")</f>
        <v>@tani_suara</v>
      </c>
      <c r="C13054" t="s">
        <v>6797</v>
      </c>
      <c r="D13054">
        <v>0</v>
      </c>
      <c r="E13054">
        <v>0</v>
      </c>
      <c r="F13054">
        <v>73</v>
      </c>
    </row>
    <row r="13055" spans="1:6" ht="12.75">
      <c r="A13055" s="2">
        <v>43879.418576388889</v>
      </c>
      <c r="B13055" t="str">
        <f>HYPERLINK("https://twitter.com/AgusAwe","@AgusAwe")</f>
        <v>@AgusAwe</v>
      </c>
      <c r="C13055" t="s">
        <v>6798</v>
      </c>
      <c r="D13055">
        <v>0</v>
      </c>
      <c r="E13055">
        <v>1</v>
      </c>
      <c r="F13055">
        <v>2000</v>
      </c>
    </row>
    <row r="13056" spans="1:6" ht="12.75">
      <c r="A13056" s="2">
        <v>43879.418356481481</v>
      </c>
      <c r="B13056" t="str">
        <f>HYPERLINK("https://twitter.com/Ismailsonny1","@Ismailsonny1")</f>
        <v>@Ismailsonny1</v>
      </c>
      <c r="C13056" t="s">
        <v>6799</v>
      </c>
      <c r="D13056">
        <v>0</v>
      </c>
      <c r="E13056">
        <v>0</v>
      </c>
      <c r="F13056">
        <v>10</v>
      </c>
    </row>
    <row r="13057" spans="1:6" ht="12.75">
      <c r="A13057" s="2">
        <v>43879.417800925927</v>
      </c>
      <c r="B13057" t="str">
        <f>HYPERLINK("https://twitter.com/senjabaratdaya","@senjabaratdaya")</f>
        <v>@senjabaratdaya</v>
      </c>
      <c r="C13057" t="s">
        <v>6800</v>
      </c>
      <c r="D13057">
        <v>0</v>
      </c>
      <c r="E13057">
        <v>0</v>
      </c>
      <c r="F13057">
        <v>226</v>
      </c>
    </row>
    <row r="13058" spans="1:6" ht="12.75">
      <c r="A13058" s="2">
        <v>43879.417557870373</v>
      </c>
      <c r="B13058" t="str">
        <f>HYPERLINK("https://twitter.com/tnilovers18","@tnilovers18")</f>
        <v>@tnilovers18</v>
      </c>
      <c r="C13058" t="s">
        <v>6801</v>
      </c>
      <c r="D13058">
        <v>0</v>
      </c>
      <c r="E13058">
        <v>1</v>
      </c>
      <c r="F13058">
        <v>89</v>
      </c>
    </row>
    <row r="13059" spans="1:6" ht="12.75">
      <c r="A13059" s="2">
        <v>43879.417442129634</v>
      </c>
      <c r="B13059" t="str">
        <f>HYPERLINK("https://twitter.com/faridwinart","@faridwinart")</f>
        <v>@faridwinart</v>
      </c>
      <c r="C13059" t="s">
        <v>6802</v>
      </c>
      <c r="D13059">
        <v>0</v>
      </c>
      <c r="E13059">
        <v>0</v>
      </c>
      <c r="F13059">
        <v>121</v>
      </c>
    </row>
    <row r="13060" spans="1:6" ht="12.75">
      <c r="A13060" s="2">
        <v>43879.41741898148</v>
      </c>
      <c r="B13060" t="str">
        <f>HYPERLINK("https://twitter.com/FrankyTts","@FrankyTts")</f>
        <v>@FrankyTts</v>
      </c>
      <c r="C13060" t="s">
        <v>6803</v>
      </c>
      <c r="D13060">
        <v>0</v>
      </c>
      <c r="E13060">
        <v>0</v>
      </c>
      <c r="F13060">
        <v>19</v>
      </c>
    </row>
    <row r="13061" spans="1:6" ht="12.75">
      <c r="A13061" s="2">
        <v>43879.417037037041</v>
      </c>
      <c r="B13061" t="str">
        <f>HYPERLINK("https://twitter.com/OmarTara_2","@OmarTara_2")</f>
        <v>@OmarTara_2</v>
      </c>
      <c r="C13061" t="s">
        <v>6804</v>
      </c>
      <c r="D13061">
        <v>3</v>
      </c>
      <c r="E13061">
        <v>0</v>
      </c>
      <c r="F13061">
        <v>240</v>
      </c>
    </row>
    <row r="13062" spans="1:6" ht="12.75">
      <c r="A13062" s="2">
        <v>43879.416666666672</v>
      </c>
      <c r="B13062" t="str">
        <f>HYPERLINK("https://twitter.com/korantempo","@korantempo")</f>
        <v>@korantempo</v>
      </c>
      <c r="C13062" t="s">
        <v>6805</v>
      </c>
      <c r="D13062">
        <v>0</v>
      </c>
      <c r="E13062">
        <v>0</v>
      </c>
      <c r="F13062">
        <v>1746220</v>
      </c>
    </row>
    <row r="13063" spans="1:6" ht="12.75">
      <c r="A13063" s="2">
        <v>43879.416493055556</v>
      </c>
      <c r="B13063" t="str">
        <f>HYPERLINK("https://twitter.com/Alviyan76","@Alviyan76")</f>
        <v>@Alviyan76</v>
      </c>
      <c r="C13063" t="s">
        <v>5642</v>
      </c>
      <c r="D13063">
        <v>180</v>
      </c>
      <c r="E13063">
        <v>0</v>
      </c>
      <c r="F13063">
        <v>81</v>
      </c>
    </row>
    <row r="13064" spans="1:6" ht="12.75">
      <c r="A13064" s="2">
        <v>43879.415914351848</v>
      </c>
      <c r="B13064" t="str">
        <f>HYPERLINK("https://twitter.com/rullyjoo27","@rullyjoo27")</f>
        <v>@rullyjoo27</v>
      </c>
      <c r="C13064" t="s">
        <v>6806</v>
      </c>
      <c r="D13064">
        <v>0</v>
      </c>
      <c r="E13064">
        <v>0</v>
      </c>
      <c r="F13064">
        <v>2056</v>
      </c>
    </row>
    <row r="13065" spans="1:6" ht="12.75">
      <c r="A13065" s="2">
        <v>43879.415821759263</v>
      </c>
      <c r="B13065" t="str">
        <f>HYPERLINK("https://twitter.com/Dewisusanto7","@Dewisusanto7")</f>
        <v>@Dewisusanto7</v>
      </c>
      <c r="C13065" t="s">
        <v>6161</v>
      </c>
      <c r="D13065">
        <v>350</v>
      </c>
      <c r="E13065">
        <v>0</v>
      </c>
      <c r="F13065">
        <v>523</v>
      </c>
    </row>
    <row r="13066" spans="1:6" ht="12.75">
      <c r="A13066" s="2">
        <v>43879.415775462963</v>
      </c>
      <c r="B13066" t="str">
        <f>HYPERLINK("https://twitter.com/MNCsindoweekly","@MNCsindoweekly")</f>
        <v>@MNCsindoweekly</v>
      </c>
      <c r="C13066" t="s">
        <v>6807</v>
      </c>
      <c r="D13066">
        <v>0</v>
      </c>
      <c r="E13066">
        <v>0</v>
      </c>
      <c r="F13066">
        <v>109025</v>
      </c>
    </row>
    <row r="13067" spans="1:6" ht="12.75">
      <c r="A13067" s="2">
        <v>43879.415752314817</v>
      </c>
      <c r="B13067" t="str">
        <f>HYPERLINK("https://twitter.com/IlmaFatima10","@IlmaFatima10")</f>
        <v>@IlmaFatima10</v>
      </c>
      <c r="C13067" t="s">
        <v>6808</v>
      </c>
      <c r="D13067">
        <v>0</v>
      </c>
      <c r="E13067">
        <v>0</v>
      </c>
      <c r="F13067">
        <v>8</v>
      </c>
    </row>
    <row r="13068" spans="1:6" ht="12.75">
      <c r="A13068" s="2">
        <v>43879.415474537032</v>
      </c>
      <c r="B13068" t="str">
        <f>HYPERLINK("https://twitter.com/faridwinart","@faridwinart")</f>
        <v>@faridwinart</v>
      </c>
      <c r="C13068" t="s">
        <v>6809</v>
      </c>
      <c r="D13068">
        <v>0</v>
      </c>
      <c r="E13068">
        <v>0</v>
      </c>
      <c r="F13068">
        <v>121</v>
      </c>
    </row>
    <row r="13069" spans="1:6" ht="12.75">
      <c r="A13069" s="2">
        <v>43879.41541666667</v>
      </c>
      <c r="B13069" t="str">
        <f>HYPERLINK("https://twitter.com/Terarini1","@Terarini1")</f>
        <v>@Terarini1</v>
      </c>
      <c r="C13069" t="s">
        <v>2155</v>
      </c>
      <c r="D13069">
        <v>457</v>
      </c>
      <c r="E13069">
        <v>0</v>
      </c>
      <c r="F13069">
        <v>140</v>
      </c>
    </row>
    <row r="13070" spans="1:6" ht="12.75">
      <c r="A13070" s="2">
        <v>43879.414965277778</v>
      </c>
      <c r="B13070" t="str">
        <f>HYPERLINK("https://twitter.com/meow_leader","@meow_leader")</f>
        <v>@meow_leader</v>
      </c>
      <c r="C13070" t="s">
        <v>6161</v>
      </c>
      <c r="D13070">
        <v>350</v>
      </c>
      <c r="E13070">
        <v>0</v>
      </c>
      <c r="F13070">
        <v>3695</v>
      </c>
    </row>
    <row r="13071" spans="1:6" ht="12.75">
      <c r="A13071" s="2">
        <v>43879.41479166667</v>
      </c>
      <c r="B13071" t="str">
        <f>HYPERLINK("https://twitter.com/SutrisnoPradja","@SutrisnoPradja")</f>
        <v>@SutrisnoPradja</v>
      </c>
      <c r="C13071" t="s">
        <v>6161</v>
      </c>
      <c r="D13071">
        <v>350</v>
      </c>
      <c r="E13071">
        <v>0</v>
      </c>
      <c r="F13071">
        <v>258</v>
      </c>
    </row>
    <row r="13072" spans="1:6" ht="12.75">
      <c r="A13072" s="2">
        <v>43879.413819444446</v>
      </c>
      <c r="B13072" t="str">
        <f>HYPERLINK("https://twitter.com/bangkitriambada","@bangkitriambada")</f>
        <v>@bangkitriambada</v>
      </c>
      <c r="C13072" t="s">
        <v>6810</v>
      </c>
      <c r="D13072">
        <v>2</v>
      </c>
      <c r="E13072">
        <v>0</v>
      </c>
      <c r="F13072">
        <v>196</v>
      </c>
    </row>
    <row r="13073" spans="1:6" ht="12.75">
      <c r="A13073" s="2">
        <v>43879.413541666669</v>
      </c>
      <c r="B13073" t="str">
        <f>HYPERLINK("https://twitter.com/Tere_one34","@Tere_one34")</f>
        <v>@Tere_one34</v>
      </c>
      <c r="C13073" t="s">
        <v>6161</v>
      </c>
      <c r="D13073">
        <v>350</v>
      </c>
      <c r="E13073">
        <v>0</v>
      </c>
      <c r="F13073">
        <v>4528</v>
      </c>
    </row>
    <row r="13074" spans="1:6" ht="12.75">
      <c r="A13074" s="2">
        <v>43879.41337962963</v>
      </c>
      <c r="B13074" t="str">
        <f>HYPERLINK("https://twitter.com/IndonesiaDhaka","@IndonesiaDhaka")</f>
        <v>@IndonesiaDhaka</v>
      </c>
      <c r="C13074" t="s">
        <v>6811</v>
      </c>
      <c r="D13074">
        <v>0</v>
      </c>
      <c r="E13074">
        <v>0</v>
      </c>
      <c r="F13074">
        <v>3048</v>
      </c>
    </row>
    <row r="13075" spans="1:6" ht="12.75">
      <c r="A13075" s="2">
        <v>43879.413240740745</v>
      </c>
      <c r="B13075" t="str">
        <f>HYPERLINK("https://twitter.com/KontanNews","@KontanNews")</f>
        <v>@KontanNews</v>
      </c>
      <c r="C13075" t="s">
        <v>6812</v>
      </c>
      <c r="D13075">
        <v>2</v>
      </c>
      <c r="E13075">
        <v>1</v>
      </c>
      <c r="F13075">
        <v>316603</v>
      </c>
    </row>
    <row r="13076" spans="1:6" ht="12.75">
      <c r="A13076" s="2">
        <v>43879.411944444444</v>
      </c>
      <c r="B13076" t="str">
        <f>HYPERLINK("https://twitter.com/lostindystopia","@lostindystopia")</f>
        <v>@lostindystopia</v>
      </c>
      <c r="C13076" t="s">
        <v>6813</v>
      </c>
      <c r="D13076">
        <v>624</v>
      </c>
      <c r="E13076">
        <v>0</v>
      </c>
      <c r="F13076">
        <v>21</v>
      </c>
    </row>
    <row r="13077" spans="1:6" ht="12.75">
      <c r="A13077" s="2">
        <v>43879.411655092597</v>
      </c>
      <c r="B13077" t="str">
        <f>HYPERLINK("https://twitter.com/ridho_denz","@ridho_denz")</f>
        <v>@ridho_denz</v>
      </c>
      <c r="C13077" t="s">
        <v>6814</v>
      </c>
      <c r="D13077">
        <v>0</v>
      </c>
      <c r="E13077">
        <v>0</v>
      </c>
      <c r="F13077">
        <v>44</v>
      </c>
    </row>
    <row r="13078" spans="1:6" ht="12.75">
      <c r="A13078" s="2">
        <v>43879.411412037036</v>
      </c>
      <c r="B13078" t="str">
        <f>HYPERLINK("https://twitter.com/rullyjoo27","@rullyjoo27")</f>
        <v>@rullyjoo27</v>
      </c>
      <c r="C13078" t="s">
        <v>6815</v>
      </c>
      <c r="D13078">
        <v>3</v>
      </c>
      <c r="E13078">
        <v>0</v>
      </c>
      <c r="F13078">
        <v>2056</v>
      </c>
    </row>
    <row r="13079" spans="1:6" ht="12.75">
      <c r="A13079" s="2">
        <v>43879.411180555559</v>
      </c>
      <c r="B13079" t="str">
        <f>HYPERLINK("https://twitter.com/Dewisusanto7","@Dewisusanto7")</f>
        <v>@Dewisusanto7</v>
      </c>
      <c r="C13079" t="s">
        <v>2155</v>
      </c>
      <c r="D13079">
        <v>457</v>
      </c>
      <c r="E13079">
        <v>0</v>
      </c>
      <c r="F13079">
        <v>523</v>
      </c>
    </row>
    <row r="13080" spans="1:6" ht="12.75">
      <c r="A13080" s="2">
        <v>43879.41106481482</v>
      </c>
      <c r="B13080" t="str">
        <f>HYPERLINK("https://twitter.com/Basha0114","@Basha0114")</f>
        <v>@Basha0114</v>
      </c>
      <c r="C13080" t="s">
        <v>6161</v>
      </c>
      <c r="D13080">
        <v>350</v>
      </c>
      <c r="E13080">
        <v>0</v>
      </c>
      <c r="F13080">
        <v>621</v>
      </c>
    </row>
    <row r="13081" spans="1:6" ht="12.75">
      <c r="A13081" s="2">
        <v>43879.410960648151</v>
      </c>
      <c r="B13081" t="str">
        <f>HYPERLINK("https://twitter.com/jade_isis_","@jade_isis_")</f>
        <v>@jade_isis_</v>
      </c>
      <c r="C13081" t="s">
        <v>6816</v>
      </c>
      <c r="D13081">
        <v>674</v>
      </c>
      <c r="E13081">
        <v>0</v>
      </c>
      <c r="F13081">
        <v>233</v>
      </c>
    </row>
    <row r="13082" spans="1:6" ht="12.75">
      <c r="A13082" s="2">
        <v>43879.410775462966</v>
      </c>
      <c r="B13082" t="str">
        <f>HYPERLINK("https://twitter.com/rullyjoo27","@rullyjoo27")</f>
        <v>@rullyjoo27</v>
      </c>
      <c r="C13082" t="s">
        <v>6161</v>
      </c>
      <c r="D13082">
        <v>350</v>
      </c>
      <c r="E13082">
        <v>0</v>
      </c>
      <c r="F13082">
        <v>2056</v>
      </c>
    </row>
    <row r="13083" spans="1:6" ht="12.75">
      <c r="A13083" s="2">
        <v>43879.409375000003</v>
      </c>
      <c r="B13083" t="str">
        <f>HYPERLINK("https://twitter.com/Kenzu_KPTB","@Kenzu_KPTB")</f>
        <v>@Kenzu_KPTB</v>
      </c>
      <c r="C13083" t="s">
        <v>6817</v>
      </c>
      <c r="D13083">
        <v>1</v>
      </c>
      <c r="E13083">
        <v>0</v>
      </c>
      <c r="F13083">
        <v>1933</v>
      </c>
    </row>
    <row r="13084" spans="1:6" ht="12.75">
      <c r="A13084" s="2">
        <v>43879.407824074078</v>
      </c>
      <c r="B13084" t="str">
        <f>HYPERLINK("https://twitter.com/EkaNsari","@EkaNsari")</f>
        <v>@EkaNsari</v>
      </c>
      <c r="C13084" t="s">
        <v>6721</v>
      </c>
      <c r="D13084">
        <v>388</v>
      </c>
      <c r="E13084">
        <v>0</v>
      </c>
      <c r="F13084">
        <v>863</v>
      </c>
    </row>
    <row r="13085" spans="1:6" ht="12.75">
      <c r="A13085" s="2">
        <v>43879.407685185186</v>
      </c>
      <c r="B13085" t="str">
        <f>HYPERLINK("https://twitter.com/himawannk","@himawannk")</f>
        <v>@himawannk</v>
      </c>
      <c r="C13085" t="s">
        <v>6818</v>
      </c>
      <c r="D13085">
        <v>1</v>
      </c>
      <c r="E13085">
        <v>1</v>
      </c>
      <c r="F13085">
        <v>12293</v>
      </c>
    </row>
    <row r="13086" spans="1:6" ht="12.75">
      <c r="A13086" s="2">
        <v>43879.407476851848</v>
      </c>
      <c r="B13086" t="str">
        <f>HYPERLINK("https://twitter.com/Julia_Zeed","@Julia_Zeed")</f>
        <v>@Julia_Zeed</v>
      </c>
      <c r="C13086" t="s">
        <v>6161</v>
      </c>
      <c r="D13086">
        <v>350</v>
      </c>
      <c r="E13086">
        <v>0</v>
      </c>
      <c r="F13086">
        <v>2623</v>
      </c>
    </row>
    <row r="13087" spans="1:6" ht="12.75">
      <c r="A13087" s="2">
        <v>43879.407106481478</v>
      </c>
      <c r="B13087" t="str">
        <f>HYPERLINK("https://twitter.com/Psheoran2","@Psheoran2")</f>
        <v>@Psheoran2</v>
      </c>
      <c r="C13087" t="s">
        <v>6236</v>
      </c>
      <c r="D13087">
        <v>54</v>
      </c>
      <c r="E13087">
        <v>0</v>
      </c>
      <c r="F13087">
        <v>791</v>
      </c>
    </row>
    <row r="13088" spans="1:6" ht="12.75">
      <c r="A13088" s="2">
        <v>43879.40693287037</v>
      </c>
      <c r="B13088" t="str">
        <f>HYPERLINK("https://twitter.com/eizanfolks","@eizanfolks")</f>
        <v>@eizanfolks</v>
      </c>
      <c r="C13088" t="s">
        <v>6729</v>
      </c>
      <c r="D13088">
        <v>1</v>
      </c>
      <c r="E13088">
        <v>0</v>
      </c>
      <c r="F13088">
        <v>7905</v>
      </c>
    </row>
    <row r="13089" spans="1:6" ht="12.75">
      <c r="A13089" s="2">
        <v>43879.40625</v>
      </c>
      <c r="B13089" t="str">
        <f>HYPERLINK("https://twitter.com/korantempo","@korantempo")</f>
        <v>@korantempo</v>
      </c>
      <c r="C13089" t="s">
        <v>6819</v>
      </c>
      <c r="D13089">
        <v>0</v>
      </c>
      <c r="E13089">
        <v>0</v>
      </c>
      <c r="F13089">
        <v>1746220</v>
      </c>
    </row>
    <row r="13090" spans="1:6" ht="12.75">
      <c r="A13090" s="2">
        <v>43879.406180555554</v>
      </c>
      <c r="B13090" t="str">
        <f>HYPERLINK("https://twitter.com/djukshavin","@djukshavin")</f>
        <v>@djukshavin</v>
      </c>
      <c r="C13090" t="s">
        <v>6820</v>
      </c>
      <c r="D13090">
        <v>1</v>
      </c>
      <c r="E13090">
        <v>0</v>
      </c>
      <c r="F13090">
        <v>5329</v>
      </c>
    </row>
    <row r="13091" spans="1:6" ht="12.75">
      <c r="A13091" s="2">
        <v>43879.405868055561</v>
      </c>
      <c r="B13091" t="str">
        <f>HYPERLINK("https://twitter.com/katatodaycom","@katatodaycom")</f>
        <v>@katatodaycom</v>
      </c>
      <c r="C13091" t="s">
        <v>6821</v>
      </c>
      <c r="D13091">
        <v>0</v>
      </c>
      <c r="E13091">
        <v>0</v>
      </c>
      <c r="F13091">
        <v>952</v>
      </c>
    </row>
    <row r="13092" spans="1:6" ht="12.75">
      <c r="A13092" s="2">
        <v>43879.405266203699</v>
      </c>
      <c r="B13092" t="str">
        <f>HYPERLINK("https://twitter.com/mama65rocket","@mama65rocket")</f>
        <v>@mama65rocket</v>
      </c>
      <c r="C13092" t="s">
        <v>2155</v>
      </c>
      <c r="D13092">
        <v>457</v>
      </c>
      <c r="E13092">
        <v>0</v>
      </c>
      <c r="F13092">
        <v>1032</v>
      </c>
    </row>
    <row r="13093" spans="1:6" ht="12.75">
      <c r="A13093" s="2">
        <v>43879.40452546296</v>
      </c>
      <c r="B13093" t="str">
        <f>HYPERLINK("https://twitter.com/QuadrupleJ_","@QuadrupleJ_")</f>
        <v>@QuadrupleJ_</v>
      </c>
      <c r="C13093" t="s">
        <v>3340</v>
      </c>
      <c r="D13093">
        <v>329</v>
      </c>
      <c r="E13093">
        <v>0</v>
      </c>
      <c r="F13093">
        <v>193</v>
      </c>
    </row>
    <row r="13094" spans="1:6" ht="12.75">
      <c r="A13094" s="2">
        <v>43879.404050925921</v>
      </c>
      <c r="B13094" t="str">
        <f>HYPERLINK("https://twitter.com/elHurryKoRn","@elHurryKoRn")</f>
        <v>@elHurryKoRn</v>
      </c>
      <c r="C13094" t="s">
        <v>6822</v>
      </c>
      <c r="D13094">
        <v>0</v>
      </c>
      <c r="E13094">
        <v>5</v>
      </c>
      <c r="F13094">
        <v>19258</v>
      </c>
    </row>
    <row r="13095" spans="1:6" ht="12.75">
      <c r="A13095" s="2">
        <v>43879.403958333336</v>
      </c>
      <c r="B13095" t="str">
        <f>HYPERLINK("https://twitter.com/meryharison","@meryharison")</f>
        <v>@meryharison</v>
      </c>
      <c r="C13095" t="s">
        <v>6823</v>
      </c>
      <c r="D13095">
        <v>2</v>
      </c>
      <c r="E13095">
        <v>0</v>
      </c>
      <c r="F13095">
        <v>1188</v>
      </c>
    </row>
    <row r="13096" spans="1:6" ht="12.75">
      <c r="A13096" s="2">
        <v>43879.403634259259</v>
      </c>
      <c r="B13096" t="str">
        <f>HYPERLINK("https://twitter.com/safariariska","@safariariska")</f>
        <v>@safariariska</v>
      </c>
      <c r="C13096" t="s">
        <v>3340</v>
      </c>
      <c r="D13096">
        <v>329</v>
      </c>
      <c r="E13096">
        <v>0</v>
      </c>
      <c r="F13096">
        <v>439</v>
      </c>
    </row>
    <row r="13097" spans="1:6" ht="12.75">
      <c r="A13097" s="2">
        <v>43879.403564814813</v>
      </c>
      <c r="B13097" t="str">
        <f>HYPERLINK("https://twitter.com/fazasn","@fazasn")</f>
        <v>@fazasn</v>
      </c>
      <c r="C13097" t="s">
        <v>6173</v>
      </c>
      <c r="D13097">
        <v>4</v>
      </c>
      <c r="E13097">
        <v>0</v>
      </c>
      <c r="F13097">
        <v>299</v>
      </c>
    </row>
    <row r="13098" spans="1:6" ht="12.75">
      <c r="A13098" s="2">
        <v>43879.402511574073</v>
      </c>
      <c r="B13098" t="str">
        <f>HYPERLINK("https://twitter.com/GqZ6HoLcyITrJcK","@GqZ6HoLcyITrJcK")</f>
        <v>@GqZ6HoLcyITrJcK</v>
      </c>
      <c r="C13098" t="s">
        <v>6824</v>
      </c>
      <c r="D13098">
        <v>0</v>
      </c>
      <c r="E13098">
        <v>0</v>
      </c>
      <c r="F13098">
        <v>89</v>
      </c>
    </row>
    <row r="13099" spans="1:6" ht="12.75">
      <c r="A13099" s="2">
        <v>43879.402384259258</v>
      </c>
      <c r="B13099" t="str">
        <f>HYPERLINK("https://twitter.com/i_Pras","@i_Pras")</f>
        <v>@i_Pras</v>
      </c>
      <c r="C13099" t="s">
        <v>2155</v>
      </c>
      <c r="D13099">
        <v>457</v>
      </c>
      <c r="E13099">
        <v>0</v>
      </c>
      <c r="F13099">
        <v>1045</v>
      </c>
    </row>
    <row r="13100" spans="1:6" ht="12.75">
      <c r="A13100" s="2">
        <v>43879.401886574073</v>
      </c>
      <c r="B13100" t="str">
        <f>HYPERLINK("https://twitter.com/SaatTobat","@SaatTobat")</f>
        <v>@SaatTobat</v>
      </c>
      <c r="C13100" t="s">
        <v>6825</v>
      </c>
      <c r="D13100">
        <v>26</v>
      </c>
      <c r="E13100">
        <v>0</v>
      </c>
      <c r="F13100">
        <v>248</v>
      </c>
    </row>
    <row r="13101" spans="1:6" ht="12.75">
      <c r="A13101" s="2">
        <v>43879.401747685188</v>
      </c>
      <c r="B13101" t="str">
        <f>HYPERLINK("https://twitter.com/mirazh_me","@mirazh_me")</f>
        <v>@mirazh_me</v>
      </c>
      <c r="C13101" t="s">
        <v>6826</v>
      </c>
      <c r="D13101">
        <v>0</v>
      </c>
      <c r="E13101">
        <v>0</v>
      </c>
      <c r="F13101">
        <v>6187</v>
      </c>
    </row>
    <row r="13102" spans="1:6" ht="12.75">
      <c r="A13102" s="2">
        <v>43879.401307870372</v>
      </c>
      <c r="B13102" t="str">
        <f>HYPERLINK("https://twitter.com/1hsan","@1hsan")</f>
        <v>@1hsan</v>
      </c>
      <c r="C13102" t="s">
        <v>6827</v>
      </c>
      <c r="D13102">
        <v>17</v>
      </c>
      <c r="E13102">
        <v>0</v>
      </c>
      <c r="F13102">
        <v>235</v>
      </c>
    </row>
    <row r="13103" spans="1:6" ht="12.75">
      <c r="A13103" s="2">
        <v>43879.400682870371</v>
      </c>
      <c r="B13103" t="str">
        <f>HYPERLINK("https://twitter.com/5adja","@5adja")</f>
        <v>@5adja</v>
      </c>
      <c r="C13103" t="s">
        <v>6161</v>
      </c>
      <c r="D13103">
        <v>350</v>
      </c>
      <c r="E13103">
        <v>0</v>
      </c>
      <c r="F13103">
        <v>40102</v>
      </c>
    </row>
    <row r="13104" spans="1:6" ht="12.75">
      <c r="A13104" s="2">
        <v>43879.400509259256</v>
      </c>
      <c r="B13104" t="str">
        <f>HYPERLINK("https://twitter.com/FC201173","@FC201173")</f>
        <v>@FC201173</v>
      </c>
      <c r="C13104" t="s">
        <v>6770</v>
      </c>
      <c r="D13104">
        <v>6</v>
      </c>
      <c r="E13104">
        <v>0</v>
      </c>
      <c r="F13104">
        <v>79</v>
      </c>
    </row>
    <row r="13105" spans="1:6" ht="12.75">
      <c r="A13105" s="2">
        <v>43879.400046296301</v>
      </c>
      <c r="B13105" t="str">
        <f>HYPERLINK("https://twitter.com/noDUB3","@noDUB3")</f>
        <v>@noDUB3</v>
      </c>
      <c r="C13105" t="s">
        <v>6508</v>
      </c>
      <c r="D13105">
        <v>20</v>
      </c>
      <c r="E13105">
        <v>0</v>
      </c>
      <c r="F13105">
        <v>113</v>
      </c>
    </row>
    <row r="13106" spans="1:6" ht="12.75">
      <c r="A13106" s="2">
        <v>43879.399189814816</v>
      </c>
      <c r="B13106" t="str">
        <f>HYPERLINK("https://twitter.com/uwitbesiar","@uwitbesiar")</f>
        <v>@uwitbesiar</v>
      </c>
      <c r="C13106" t="s">
        <v>6828</v>
      </c>
      <c r="D13106">
        <v>0</v>
      </c>
      <c r="E13106">
        <v>1</v>
      </c>
      <c r="F13106">
        <v>141</v>
      </c>
    </row>
    <row r="13107" spans="1:6" ht="12.75">
      <c r="A13107" s="2">
        <v>43879.399004629631</v>
      </c>
      <c r="B13107" t="str">
        <f>HYPERLINK("https://twitter.com/SinggalangBoyke","@SinggalangBoyke")</f>
        <v>@SinggalangBoyke</v>
      </c>
      <c r="C13107" t="s">
        <v>5642</v>
      </c>
      <c r="D13107">
        <v>180</v>
      </c>
      <c r="E13107">
        <v>0</v>
      </c>
      <c r="F13107">
        <v>251</v>
      </c>
    </row>
    <row r="13108" spans="1:6" ht="12.75">
      <c r="A13108" s="2">
        <v>43879.398587962962</v>
      </c>
      <c r="B13108" t="str">
        <f>HYPERLINK("https://twitter.com/desuwig","@desuwig")</f>
        <v>@desuwig</v>
      </c>
      <c r="C13108" t="s">
        <v>6829</v>
      </c>
      <c r="D13108">
        <v>0</v>
      </c>
      <c r="E13108">
        <v>0</v>
      </c>
      <c r="F13108">
        <v>2</v>
      </c>
    </row>
    <row r="13109" spans="1:6" ht="12.75">
      <c r="A13109" s="2">
        <v>43879.397939814815</v>
      </c>
      <c r="B13109" t="str">
        <f>HYPERLINK("https://twitter.com/KartelEgo","@KartelEgo")</f>
        <v>@KartelEgo</v>
      </c>
      <c r="C13109" t="s">
        <v>6830</v>
      </c>
      <c r="D13109">
        <v>1</v>
      </c>
      <c r="E13109">
        <v>3</v>
      </c>
      <c r="F13109">
        <v>1532</v>
      </c>
    </row>
    <row r="13110" spans="1:6" ht="12.75">
      <c r="A13110" s="2">
        <v>43879.397592592592</v>
      </c>
      <c r="B13110" t="str">
        <f>HYPERLINK("https://twitter.com/Brondong1995","@Brondong1995")</f>
        <v>@Brondong1995</v>
      </c>
      <c r="C13110" t="s">
        <v>513</v>
      </c>
      <c r="D13110">
        <v>23173</v>
      </c>
      <c r="E13110">
        <v>0</v>
      </c>
      <c r="F13110">
        <v>121</v>
      </c>
    </row>
    <row r="13111" spans="1:6" ht="12.75">
      <c r="A13111" s="2">
        <v>43879.397303240738</v>
      </c>
      <c r="B13111" t="str">
        <f>HYPERLINK("https://twitter.com/ziggystardawn","@ziggystardawn")</f>
        <v>@ziggystardawn</v>
      </c>
      <c r="C13111" t="s">
        <v>6831</v>
      </c>
      <c r="D13111">
        <v>0</v>
      </c>
      <c r="E13111">
        <v>0</v>
      </c>
      <c r="F13111">
        <v>763</v>
      </c>
    </row>
    <row r="13112" spans="1:6" ht="12.75">
      <c r="A13112" s="2">
        <v>43879.397175925929</v>
      </c>
      <c r="B13112" t="str">
        <f>HYPERLINK("https://twitter.com/baishenglu","@baishenglu")</f>
        <v>@baishenglu</v>
      </c>
      <c r="C13112" t="s">
        <v>6832</v>
      </c>
      <c r="D13112">
        <v>0</v>
      </c>
      <c r="E13112">
        <v>0</v>
      </c>
      <c r="F13112">
        <v>863</v>
      </c>
    </row>
    <row r="13113" spans="1:6" ht="12.75">
      <c r="A13113" s="2">
        <v>43879.396932870368</v>
      </c>
      <c r="B13113" t="str">
        <f>HYPERLINK("https://twitter.com/enaqtauq","@enaqtauq")</f>
        <v>@enaqtauq</v>
      </c>
      <c r="C13113" t="s">
        <v>6833</v>
      </c>
      <c r="D13113">
        <v>0</v>
      </c>
      <c r="E13113">
        <v>0</v>
      </c>
      <c r="F13113">
        <v>2552</v>
      </c>
    </row>
    <row r="13114" spans="1:6" ht="12.75">
      <c r="A13114" s="2">
        <v>43879.396226851852</v>
      </c>
      <c r="B13114" t="str">
        <f>HYPERLINK("https://twitter.com/b781046c6cfa43d","@b781046c6cfa43d")</f>
        <v>@b781046c6cfa43d</v>
      </c>
      <c r="C13114" t="s">
        <v>175</v>
      </c>
      <c r="D13114">
        <v>5397</v>
      </c>
      <c r="E13114">
        <v>0</v>
      </c>
      <c r="F13114">
        <v>1</v>
      </c>
    </row>
    <row r="13115" spans="1:6" ht="12.75">
      <c r="A13115" s="2">
        <v>43879.396030092597</v>
      </c>
      <c r="B13115" t="str">
        <f t="shared" ref="B13115:B13116" si="222">HYPERLINK("https://twitter.com/MaliqueRyu","@MaliqueRyu")</f>
        <v>@MaliqueRyu</v>
      </c>
      <c r="C13115" t="s">
        <v>6834</v>
      </c>
      <c r="D13115">
        <v>22</v>
      </c>
      <c r="E13115">
        <v>0</v>
      </c>
      <c r="F13115">
        <v>21</v>
      </c>
    </row>
    <row r="13116" spans="1:6" ht="12.75">
      <c r="A13116" s="2">
        <v>43879.395960648151</v>
      </c>
      <c r="B13116" t="str">
        <f t="shared" si="222"/>
        <v>@MaliqueRyu</v>
      </c>
      <c r="C13116" t="s">
        <v>3038</v>
      </c>
      <c r="D13116">
        <v>117</v>
      </c>
      <c r="E13116">
        <v>0</v>
      </c>
      <c r="F13116">
        <v>21</v>
      </c>
    </row>
    <row r="13117" spans="1:6" ht="12.75">
      <c r="A13117" s="2">
        <v>43879.395868055552</v>
      </c>
      <c r="B13117" t="str">
        <f>HYPERLINK("https://twitter.com/MNCNewsroom","@MNCNewsroom")</f>
        <v>@MNCNewsroom</v>
      </c>
      <c r="C13117" t="s">
        <v>6835</v>
      </c>
      <c r="D13117">
        <v>0</v>
      </c>
      <c r="E13117">
        <v>0</v>
      </c>
      <c r="F13117">
        <v>17554</v>
      </c>
    </row>
    <row r="13118" spans="1:6" ht="12.75">
      <c r="A13118" s="2">
        <v>43879.395856481482</v>
      </c>
      <c r="B13118" t="str">
        <f>HYPERLINK("https://twitter.com/rmol_id","@rmol_id")</f>
        <v>@rmol_id</v>
      </c>
      <c r="C13118" t="s">
        <v>6836</v>
      </c>
      <c r="D13118">
        <v>0</v>
      </c>
      <c r="E13118">
        <v>2</v>
      </c>
      <c r="F13118">
        <v>162604</v>
      </c>
    </row>
    <row r="13119" spans="1:6" ht="12.75">
      <c r="A13119" s="2">
        <v>43879.395856481482</v>
      </c>
      <c r="B13119" t="str">
        <f>HYPERLINK("https://twitter.com/MaliqueRyu","@MaliqueRyu")</f>
        <v>@MaliqueRyu</v>
      </c>
      <c r="C13119" t="s">
        <v>6837</v>
      </c>
      <c r="D13119">
        <v>14</v>
      </c>
      <c r="E13119">
        <v>0</v>
      </c>
      <c r="F13119">
        <v>21</v>
      </c>
    </row>
    <row r="13120" spans="1:6" ht="12.75">
      <c r="A13120" s="2">
        <v>43879.395682870367</v>
      </c>
      <c r="B13120" t="str">
        <f>HYPERLINK("https://twitter.com/ewin8923","@ewin8923")</f>
        <v>@ewin8923</v>
      </c>
      <c r="C13120" t="s">
        <v>6206</v>
      </c>
      <c r="D13120">
        <v>34</v>
      </c>
      <c r="E13120">
        <v>0</v>
      </c>
      <c r="F13120">
        <v>1004</v>
      </c>
    </row>
    <row r="13121" spans="1:6" ht="12.75">
      <c r="A13121" s="2">
        <v>43879.395335648151</v>
      </c>
      <c r="B13121" t="str">
        <f>HYPERLINK("https://twitter.com/kaumrisau","@kaumrisau")</f>
        <v>@kaumrisau</v>
      </c>
      <c r="C13121" t="s">
        <v>6838</v>
      </c>
      <c r="D13121">
        <v>0</v>
      </c>
      <c r="E13121">
        <v>0</v>
      </c>
      <c r="F13121">
        <v>251261</v>
      </c>
    </row>
    <row r="13122" spans="1:6" ht="12.75">
      <c r="A13122" s="2">
        <v>43879.395335648151</v>
      </c>
      <c r="B13122" t="str">
        <f>HYPERLINK("https://twitter.com/NidhiRa71564472","@NidhiRa71564472")</f>
        <v>@NidhiRa71564472</v>
      </c>
      <c r="C13122" t="s">
        <v>6839</v>
      </c>
      <c r="D13122">
        <v>2</v>
      </c>
      <c r="E13122">
        <v>0</v>
      </c>
      <c r="F13122">
        <v>27</v>
      </c>
    </row>
    <row r="13123" spans="1:6" ht="12.75">
      <c r="A13123" s="2">
        <v>43879.395324074074</v>
      </c>
      <c r="B13123" t="str">
        <f>HYPERLINK("https://twitter.com/abirekso","@abirekso")</f>
        <v>@abirekso</v>
      </c>
      <c r="C13123" t="s">
        <v>6770</v>
      </c>
      <c r="D13123">
        <v>6</v>
      </c>
      <c r="E13123">
        <v>0</v>
      </c>
      <c r="F13123">
        <v>25525</v>
      </c>
    </row>
    <row r="13124" spans="1:6" ht="12.75">
      <c r="A13124" s="2">
        <v>43879.394814814819</v>
      </c>
      <c r="B13124" t="str">
        <f>HYPERLINK("https://twitter.com/ebongBOY","@ebongBOY")</f>
        <v>@ebongBOY</v>
      </c>
      <c r="C13124" t="s">
        <v>6840</v>
      </c>
      <c r="D13124">
        <v>0</v>
      </c>
      <c r="E13124">
        <v>1</v>
      </c>
      <c r="F13124">
        <v>3602</v>
      </c>
    </row>
    <row r="13125" spans="1:6" ht="12.75">
      <c r="A13125" s="2">
        <v>43879.39439814815</v>
      </c>
      <c r="B13125" t="str">
        <f>HYPERLINK("https://twitter.com/raninaramsa","@raninaramsa")</f>
        <v>@raninaramsa</v>
      </c>
      <c r="C13125" t="s">
        <v>6841</v>
      </c>
      <c r="D13125">
        <v>0</v>
      </c>
      <c r="E13125">
        <v>0</v>
      </c>
      <c r="F13125">
        <v>2183</v>
      </c>
    </row>
    <row r="13126" spans="1:6" ht="12.75">
      <c r="A13126" s="2">
        <v>43879.394108796296</v>
      </c>
      <c r="B13126" t="str">
        <f>HYPERLINK("https://twitter.com/AkromUrbane","@AkromUrbane")</f>
        <v>@AkromUrbane</v>
      </c>
      <c r="C13126" t="s">
        <v>6842</v>
      </c>
      <c r="D13126">
        <v>26</v>
      </c>
      <c r="E13126">
        <v>0</v>
      </c>
      <c r="F13126">
        <v>2</v>
      </c>
    </row>
    <row r="13127" spans="1:6" ht="12.75">
      <c r="A13127" s="2">
        <v>43879.393993055557</v>
      </c>
      <c r="B13127" t="str">
        <f>HYPERLINK("https://twitter.com/mintchocok","@mintchocok")</f>
        <v>@mintchocok</v>
      </c>
      <c r="C13127" t="s">
        <v>3340</v>
      </c>
      <c r="D13127">
        <v>329</v>
      </c>
      <c r="E13127">
        <v>0</v>
      </c>
      <c r="F13127">
        <v>1273</v>
      </c>
    </row>
    <row r="13128" spans="1:6" ht="12.75">
      <c r="A13128" s="2">
        <v>43879.393634259264</v>
      </c>
      <c r="B13128" t="str">
        <f>HYPERLINK("https://twitter.com/DwxghtShrxwd","@DwxghtShrxwd")</f>
        <v>@DwxghtShrxwd</v>
      </c>
      <c r="C13128" t="s">
        <v>6843</v>
      </c>
      <c r="D13128">
        <v>2</v>
      </c>
      <c r="E13128">
        <v>0</v>
      </c>
      <c r="F13128">
        <v>48</v>
      </c>
    </row>
    <row r="13129" spans="1:6" ht="12.75">
      <c r="A13129" s="2">
        <v>43879.393194444448</v>
      </c>
      <c r="B13129" t="str">
        <f>HYPERLINK("https://twitter.com/mohamma51227783","@mohamma51227783")</f>
        <v>@mohamma51227783</v>
      </c>
      <c r="C13129" t="s">
        <v>5406</v>
      </c>
      <c r="D13129">
        <v>23</v>
      </c>
      <c r="E13129">
        <v>0</v>
      </c>
      <c r="F13129">
        <v>169</v>
      </c>
    </row>
    <row r="13130" spans="1:6" ht="12.75">
      <c r="A13130" s="2">
        <v>43879.392951388887</v>
      </c>
      <c r="B13130" t="str">
        <f>HYPERLINK("https://twitter.com/beatrice_health","@beatrice_health")</f>
        <v>@beatrice_health</v>
      </c>
      <c r="C13130" t="s">
        <v>6804</v>
      </c>
      <c r="D13130">
        <v>3</v>
      </c>
      <c r="E13130">
        <v>0</v>
      </c>
      <c r="F13130">
        <v>179</v>
      </c>
    </row>
    <row r="13131" spans="1:6" ht="12.75">
      <c r="A13131" s="2">
        <v>43879.392916666664</v>
      </c>
      <c r="B13131" t="str">
        <f>HYPERLINK("https://twitter.com/si_ntaYunia96","@si_ntaYunia96")</f>
        <v>@si_ntaYunia96</v>
      </c>
      <c r="C13131" t="s">
        <v>6804</v>
      </c>
      <c r="D13131">
        <v>3</v>
      </c>
      <c r="E13131">
        <v>0</v>
      </c>
      <c r="F13131">
        <v>350</v>
      </c>
    </row>
    <row r="13132" spans="1:6" ht="12.75">
      <c r="A13132" s="2">
        <v>43879.392118055555</v>
      </c>
      <c r="B13132" t="str">
        <f>HYPERLINK("https://twitter.com/wawointano","@wawointano")</f>
        <v>@wawointano</v>
      </c>
      <c r="C13132" t="s">
        <v>6844</v>
      </c>
      <c r="D13132">
        <v>0</v>
      </c>
      <c r="E13132">
        <v>0</v>
      </c>
      <c r="F13132">
        <v>71</v>
      </c>
    </row>
    <row r="13133" spans="1:6" ht="12.75">
      <c r="A13133" s="2">
        <v>43879.39162037037</v>
      </c>
      <c r="B13133" t="str">
        <f>HYPERLINK("https://twitter.com/IbnuAirlangga","@IbnuAirlangga")</f>
        <v>@IbnuAirlangga</v>
      </c>
      <c r="C13133" t="s">
        <v>6770</v>
      </c>
      <c r="D13133">
        <v>6</v>
      </c>
      <c r="E13133">
        <v>0</v>
      </c>
      <c r="F13133">
        <v>78</v>
      </c>
    </row>
    <row r="13134" spans="1:6" ht="12.75">
      <c r="A13134" s="2">
        <v>43879.391539351855</v>
      </c>
      <c r="B13134" t="str">
        <f>HYPERLINK("https://twitter.com/tempodotco","@tempodotco")</f>
        <v>@tempodotco</v>
      </c>
      <c r="C13134" t="s">
        <v>6845</v>
      </c>
      <c r="D13134">
        <v>2</v>
      </c>
      <c r="E13134">
        <v>4</v>
      </c>
      <c r="F13134">
        <v>1705303</v>
      </c>
    </row>
    <row r="13135" spans="1:6" ht="12.75">
      <c r="A13135" s="2">
        <v>43879.391122685185</v>
      </c>
      <c r="B13135" t="str">
        <f>HYPERLINK("https://twitter.com/midnightsommar","@midnightsommar")</f>
        <v>@midnightsommar</v>
      </c>
      <c r="C13135" t="s">
        <v>6846</v>
      </c>
      <c r="D13135">
        <v>0</v>
      </c>
      <c r="E13135">
        <v>0</v>
      </c>
      <c r="F13135">
        <v>38</v>
      </c>
    </row>
    <row r="13136" spans="1:6" ht="12.75">
      <c r="A13136" s="2">
        <v>43879.390902777777</v>
      </c>
      <c r="B13136" t="str">
        <f>HYPERLINK("https://twitter.com/fxhsya","@fxhsya")</f>
        <v>@fxhsya</v>
      </c>
      <c r="C13136" t="s">
        <v>2373</v>
      </c>
      <c r="D13136">
        <v>279</v>
      </c>
      <c r="E13136">
        <v>0</v>
      </c>
      <c r="F13136">
        <v>37</v>
      </c>
    </row>
    <row r="13137" spans="1:6" ht="12.75">
      <c r="A13137" s="2">
        <v>43879.390879629631</v>
      </c>
      <c r="B13137" t="str">
        <f>HYPERLINK("https://twitter.com/Tono_apa_tonie","@Tono_apa_tonie")</f>
        <v>@Tono_apa_tonie</v>
      </c>
      <c r="C13137" t="s">
        <v>6847</v>
      </c>
      <c r="D13137">
        <v>0</v>
      </c>
      <c r="E13137">
        <v>0</v>
      </c>
      <c r="F13137">
        <v>34</v>
      </c>
    </row>
    <row r="13138" spans="1:6" ht="12.75">
      <c r="A13138" s="2">
        <v>43879.390173611115</v>
      </c>
      <c r="B13138" t="str">
        <f>HYPERLINK("https://twitter.com/arinugrs","@arinugrs")</f>
        <v>@arinugrs</v>
      </c>
      <c r="C13138" t="s">
        <v>6848</v>
      </c>
      <c r="D13138">
        <v>0</v>
      </c>
      <c r="E13138">
        <v>0</v>
      </c>
      <c r="F13138">
        <v>397</v>
      </c>
    </row>
    <row r="13139" spans="1:6" ht="12.75">
      <c r="A13139" s="2">
        <v>43879.389953703707</v>
      </c>
      <c r="B13139" t="str">
        <f>HYPERLINK("https://twitter.com/ebongBOY","@ebongBOY")</f>
        <v>@ebongBOY</v>
      </c>
      <c r="C13139" t="s">
        <v>6849</v>
      </c>
      <c r="D13139">
        <v>0</v>
      </c>
      <c r="E13139">
        <v>0</v>
      </c>
      <c r="F13139">
        <v>3602</v>
      </c>
    </row>
    <row r="13140" spans="1:6" ht="12.75">
      <c r="A13140" s="2">
        <v>43879.389189814814</v>
      </c>
      <c r="B13140" t="str">
        <f>HYPERLINK("https://twitter.com/Ilmaa088","@Ilmaa088")</f>
        <v>@Ilmaa088</v>
      </c>
      <c r="C13140" t="s">
        <v>5642</v>
      </c>
      <c r="D13140">
        <v>180</v>
      </c>
      <c r="E13140">
        <v>0</v>
      </c>
      <c r="F13140">
        <v>363</v>
      </c>
    </row>
    <row r="13141" spans="1:6" ht="12.75">
      <c r="A13141" s="2">
        <v>43879.388831018514</v>
      </c>
      <c r="B13141" t="str">
        <f>HYPERLINK("https://twitter.com/silabandolok7","@silabandolok7")</f>
        <v>@silabandolok7</v>
      </c>
      <c r="C13141" t="s">
        <v>2155</v>
      </c>
      <c r="D13141">
        <v>457</v>
      </c>
      <c r="E13141">
        <v>0</v>
      </c>
      <c r="F13141">
        <v>13</v>
      </c>
    </row>
    <row r="13142" spans="1:6" ht="12.75">
      <c r="A13142" s="2">
        <v>43879.388796296298</v>
      </c>
      <c r="B13142" t="str">
        <f>HYPERLINK("https://twitter.com/republikaonline","@republikaonline")</f>
        <v>@republikaonline</v>
      </c>
      <c r="C13142" t="s">
        <v>6850</v>
      </c>
      <c r="D13142">
        <v>3</v>
      </c>
      <c r="E13142">
        <v>6</v>
      </c>
      <c r="F13142">
        <v>1211052</v>
      </c>
    </row>
    <row r="13143" spans="1:6" ht="12.75">
      <c r="A13143" s="2">
        <v>43879.388298611113</v>
      </c>
      <c r="B13143" t="str">
        <f>HYPERLINK("https://twitter.com/RedReddex","@RedReddex")</f>
        <v>@RedReddex</v>
      </c>
      <c r="C13143" t="s">
        <v>2155</v>
      </c>
      <c r="D13143">
        <v>457</v>
      </c>
      <c r="E13143">
        <v>0</v>
      </c>
      <c r="F13143">
        <v>538</v>
      </c>
    </row>
    <row r="13144" spans="1:6" ht="12.75">
      <c r="A13144" s="2">
        <v>43879.388113425928</v>
      </c>
      <c r="B13144" t="str">
        <f>HYPERLINK("https://twitter.com/RivaldiZakie","@RivaldiZakie")</f>
        <v>@RivaldiZakie</v>
      </c>
      <c r="C13144" t="s">
        <v>6263</v>
      </c>
      <c r="D13144">
        <v>1</v>
      </c>
      <c r="E13144">
        <v>0</v>
      </c>
      <c r="F13144">
        <v>15</v>
      </c>
    </row>
    <row r="13145" spans="1:6" ht="12.75">
      <c r="A13145" s="2">
        <v>43879.387962962966</v>
      </c>
      <c r="B13145" t="str">
        <f>HYPERLINK("https://twitter.com/DetaqDenny","@DetaqDenny")</f>
        <v>@DetaqDenny</v>
      </c>
      <c r="C13145" t="s">
        <v>6851</v>
      </c>
      <c r="D13145">
        <v>2</v>
      </c>
      <c r="E13145">
        <v>0</v>
      </c>
      <c r="F13145">
        <v>570</v>
      </c>
    </row>
    <row r="13146" spans="1:6" ht="12.75">
      <c r="A13146" s="2">
        <v>43879.38784722222</v>
      </c>
      <c r="B13146" t="str">
        <f>HYPERLINK("https://twitter.com/ImanezStovia","@ImanezStovia")</f>
        <v>@ImanezStovia</v>
      </c>
      <c r="C13146" t="s">
        <v>2155</v>
      </c>
      <c r="D13146">
        <v>457</v>
      </c>
      <c r="E13146">
        <v>0</v>
      </c>
      <c r="F13146">
        <v>806</v>
      </c>
    </row>
    <row r="13147" spans="1:6" ht="12.75">
      <c r="A13147" s="2">
        <v>43879.38758101852</v>
      </c>
      <c r="B13147" t="str">
        <f>HYPERLINK("https://twitter.com/HHambalo","@HHambalo")</f>
        <v>@HHambalo</v>
      </c>
      <c r="C13147" t="s">
        <v>2134</v>
      </c>
      <c r="D13147">
        <v>994</v>
      </c>
      <c r="E13147">
        <v>0</v>
      </c>
      <c r="F13147">
        <v>68</v>
      </c>
    </row>
    <row r="13148" spans="1:6" ht="12.75">
      <c r="A13148" s="2">
        <v>43879.387002314819</v>
      </c>
      <c r="B13148" t="str">
        <f>HYPERLINK("https://twitter.com/cadarmerah","@cadarmerah")</f>
        <v>@cadarmerah</v>
      </c>
      <c r="C13148" t="s">
        <v>6851</v>
      </c>
      <c r="D13148">
        <v>2</v>
      </c>
      <c r="E13148">
        <v>0</v>
      </c>
      <c r="F13148">
        <v>5654</v>
      </c>
    </row>
    <row r="13149" spans="1:6" ht="12.75">
      <c r="A13149" s="2">
        <v>43879.386655092589</v>
      </c>
      <c r="B13149" t="str">
        <f>HYPERLINK("https://twitter.com/HantoSuwono","@HantoSuwono")</f>
        <v>@HantoSuwono</v>
      </c>
      <c r="C13149" t="s">
        <v>6770</v>
      </c>
      <c r="D13149">
        <v>6</v>
      </c>
      <c r="E13149">
        <v>0</v>
      </c>
      <c r="F13149">
        <v>306</v>
      </c>
    </row>
    <row r="13150" spans="1:6" ht="12.75">
      <c r="A13150" s="2">
        <v>43879.386226851857</v>
      </c>
      <c r="B13150" t="str">
        <f>HYPERLINK("https://twitter.com/Rayvita","@Rayvita")</f>
        <v>@Rayvita</v>
      </c>
      <c r="C13150" t="s">
        <v>6206</v>
      </c>
      <c r="D13150">
        <v>34</v>
      </c>
      <c r="E13150">
        <v>0</v>
      </c>
      <c r="F13150">
        <v>329</v>
      </c>
    </row>
    <row r="13151" spans="1:6" ht="12.75">
      <c r="A13151" s="2">
        <v>43879.386111111111</v>
      </c>
      <c r="B13151" t="str">
        <f>HYPERLINK("https://twitter.com/nu_online","@nu_online")</f>
        <v>@nu_online</v>
      </c>
      <c r="C13151" t="s">
        <v>6852</v>
      </c>
      <c r="D13151">
        <v>6</v>
      </c>
      <c r="E13151">
        <v>15</v>
      </c>
      <c r="F13151">
        <v>491219</v>
      </c>
    </row>
    <row r="13152" spans="1:6" ht="12.75">
      <c r="A13152" s="2">
        <v>43879.385335648149</v>
      </c>
      <c r="B13152" t="str">
        <f>HYPERLINK("https://twitter.com/setiawanh46","@setiawanh46")</f>
        <v>@setiawanh46</v>
      </c>
      <c r="C13152" t="s">
        <v>2130</v>
      </c>
      <c r="D13152">
        <v>9</v>
      </c>
      <c r="E13152">
        <v>0</v>
      </c>
      <c r="F13152">
        <v>1815</v>
      </c>
    </row>
    <row r="13153" spans="1:6" ht="12.75">
      <c r="A13153" s="2">
        <v>43879.383321759262</v>
      </c>
      <c r="B13153" t="str">
        <f t="shared" ref="B13153:B13154" si="223">HYPERLINK("https://twitter.com/_wahyuprakoso","@_wahyuprakoso")</f>
        <v>@_wahyuprakoso</v>
      </c>
      <c r="C13153" t="s">
        <v>6853</v>
      </c>
      <c r="D13153">
        <v>0</v>
      </c>
      <c r="E13153">
        <v>0</v>
      </c>
      <c r="F13153">
        <v>262</v>
      </c>
    </row>
    <row r="13154" spans="1:6" ht="12.75">
      <c r="A13154" s="2">
        <v>43879.383194444439</v>
      </c>
      <c r="B13154" t="str">
        <f t="shared" si="223"/>
        <v>@_wahyuprakoso</v>
      </c>
      <c r="C13154" t="s">
        <v>6854</v>
      </c>
      <c r="D13154">
        <v>0</v>
      </c>
      <c r="E13154">
        <v>0</v>
      </c>
      <c r="F13154">
        <v>262</v>
      </c>
    </row>
    <row r="13155" spans="1:6" ht="12.75">
      <c r="A13155" s="2">
        <v>43879.383194444439</v>
      </c>
      <c r="B13155" t="str">
        <f>HYPERLINK("https://twitter.com/djahari_djeri","@djahari_djeri")</f>
        <v>@djahari_djeri</v>
      </c>
      <c r="C13155" t="s">
        <v>6855</v>
      </c>
      <c r="D13155">
        <v>6</v>
      </c>
      <c r="E13155">
        <v>0</v>
      </c>
      <c r="F13155">
        <v>12</v>
      </c>
    </row>
    <row r="13156" spans="1:6" ht="12.75">
      <c r="A13156" s="2">
        <v>43879.382511574076</v>
      </c>
      <c r="B13156" t="str">
        <f>HYPERLINK("https://twitter.com/Mahboeb5","@Mahboeb5")</f>
        <v>@Mahboeb5</v>
      </c>
      <c r="C13156" t="s">
        <v>6856</v>
      </c>
      <c r="D13156">
        <v>0</v>
      </c>
      <c r="E13156">
        <v>0</v>
      </c>
      <c r="F13156">
        <v>4</v>
      </c>
    </row>
    <row r="13157" spans="1:6" ht="12.75">
      <c r="A13157" s="2">
        <v>43879.376076388886</v>
      </c>
      <c r="B13157" t="str">
        <f>HYPERLINK("https://twitter.com/FaktaNew5","@FaktaNew5")</f>
        <v>@FaktaNew5</v>
      </c>
      <c r="C13157" t="s">
        <v>6857</v>
      </c>
      <c r="D13157">
        <v>0</v>
      </c>
      <c r="E13157">
        <v>0</v>
      </c>
      <c r="F13157">
        <v>176</v>
      </c>
    </row>
    <row r="13158" spans="1:6" ht="12.75">
      <c r="A13158" s="2">
        <v>43879.374039351853</v>
      </c>
      <c r="B13158" t="str">
        <f>HYPERLINK("https://twitter.com/hhsahal","@hhsahal")</f>
        <v>@hhsahal</v>
      </c>
      <c r="C13158" t="s">
        <v>6858</v>
      </c>
      <c r="D13158">
        <v>0</v>
      </c>
      <c r="E13158">
        <v>0</v>
      </c>
      <c r="F13158">
        <v>10822</v>
      </c>
    </row>
    <row r="13159" spans="1:6" ht="12.75">
      <c r="A13159" s="2">
        <v>43879.373865740738</v>
      </c>
      <c r="B13159" t="str">
        <f>HYPERLINK("https://twitter.com/lomin89190245","@lomin89190245")</f>
        <v>@lomin89190245</v>
      </c>
      <c r="C13159" t="s">
        <v>2117</v>
      </c>
      <c r="D13159">
        <v>4</v>
      </c>
      <c r="E13159">
        <v>0</v>
      </c>
      <c r="F13159">
        <v>1</v>
      </c>
    </row>
    <row r="13160" spans="1:6" ht="12.75">
      <c r="A13160" s="2">
        <v>43879.373726851853</v>
      </c>
      <c r="B13160" t="str">
        <f>HYPERLINK("https://twitter.com/EL_Atheos","@EL_Atheos")</f>
        <v>@EL_Atheos</v>
      </c>
      <c r="C13160" t="s">
        <v>6766</v>
      </c>
      <c r="D13160">
        <v>2</v>
      </c>
      <c r="E13160">
        <v>0</v>
      </c>
      <c r="F13160">
        <v>2464</v>
      </c>
    </row>
    <row r="13161" spans="1:6" ht="12.75">
      <c r="A13161" s="2">
        <v>43879.372986111106</v>
      </c>
      <c r="B13161" t="str">
        <f>HYPERLINK("https://twitter.com/nahaengbokhae","@nahaengbokhae")</f>
        <v>@nahaengbokhae</v>
      </c>
      <c r="C13161" t="s">
        <v>3340</v>
      </c>
      <c r="D13161">
        <v>326</v>
      </c>
      <c r="E13161">
        <v>0</v>
      </c>
      <c r="F13161">
        <v>16</v>
      </c>
    </row>
    <row r="13162" spans="1:6" ht="12.75">
      <c r="A13162" s="2">
        <v>43879.372696759259</v>
      </c>
      <c r="B13162" t="str">
        <f>HYPERLINK("https://twitter.com/Musyafaah_94","@Musyafaah_94")</f>
        <v>@Musyafaah_94</v>
      </c>
      <c r="C13162" t="s">
        <v>6859</v>
      </c>
      <c r="D13162">
        <v>0</v>
      </c>
      <c r="E13162">
        <v>0</v>
      </c>
      <c r="F13162">
        <v>11</v>
      </c>
    </row>
    <row r="13163" spans="1:6" ht="12.75">
      <c r="A13163" s="2">
        <v>43879.371574074074</v>
      </c>
      <c r="B13163" t="str">
        <f>HYPERLINK("https://twitter.com/kompasiana","@kompasiana")</f>
        <v>@kompasiana</v>
      </c>
      <c r="C13163" t="s">
        <v>6860</v>
      </c>
      <c r="D13163">
        <v>0</v>
      </c>
      <c r="E13163">
        <v>1</v>
      </c>
      <c r="F13163">
        <v>928631</v>
      </c>
    </row>
    <row r="13164" spans="1:6" ht="12.75">
      <c r="A13164" s="2">
        <v>43879.371550925927</v>
      </c>
      <c r="B13164" t="str">
        <f>HYPERLINK("https://twitter.com/Ine_Dwine","@Ine_Dwine")</f>
        <v>@Ine_Dwine</v>
      </c>
      <c r="C13164" t="s">
        <v>6861</v>
      </c>
      <c r="D13164">
        <v>0</v>
      </c>
      <c r="E13164">
        <v>0</v>
      </c>
      <c r="F13164">
        <v>586</v>
      </c>
    </row>
    <row r="13165" spans="1:6" ht="12.75">
      <c r="A13165" s="2">
        <v>43879.371423611112</v>
      </c>
      <c r="B13165" t="str">
        <f>HYPERLINK("https://twitter.com/rahminova2","@rahminova2")</f>
        <v>@rahminova2</v>
      </c>
      <c r="C13165" t="s">
        <v>6827</v>
      </c>
      <c r="D13165">
        <v>16</v>
      </c>
      <c r="E13165">
        <v>0</v>
      </c>
      <c r="F13165">
        <v>1298</v>
      </c>
    </row>
    <row r="13166" spans="1:6" ht="12.75">
      <c r="A13166" s="2">
        <v>43879.371412037042</v>
      </c>
      <c r="B13166" t="str">
        <f>HYPERLINK("https://twitter.com/AdaAn502","@AdaAn502")</f>
        <v>@AdaAn502</v>
      </c>
      <c r="C13166" t="s">
        <v>6161</v>
      </c>
      <c r="D13166">
        <v>342</v>
      </c>
      <c r="E13166">
        <v>0</v>
      </c>
      <c r="F13166">
        <v>27</v>
      </c>
    </row>
    <row r="13167" spans="1:6" ht="12.75">
      <c r="A13167" s="2">
        <v>43879.370648148149</v>
      </c>
      <c r="B13167" t="str">
        <f>HYPERLINK("https://twitter.com/agama_nusantara","@agama_nusantara")</f>
        <v>@agama_nusantara</v>
      </c>
      <c r="C13167" t="s">
        <v>6862</v>
      </c>
      <c r="D13167">
        <v>0</v>
      </c>
      <c r="E13167">
        <v>2</v>
      </c>
      <c r="F13167">
        <v>7343</v>
      </c>
    </row>
    <row r="13168" spans="1:6" ht="12.75">
      <c r="A13168" s="2">
        <v>43879.370486111111</v>
      </c>
      <c r="B13168" t="str">
        <f>HYPERLINK("https://twitter.com/Felixsinaga","@Felixsinaga")</f>
        <v>@Felixsinaga</v>
      </c>
      <c r="C13168" t="s">
        <v>6766</v>
      </c>
      <c r="D13168">
        <v>2</v>
      </c>
      <c r="E13168">
        <v>0</v>
      </c>
      <c r="F13168">
        <v>304</v>
      </c>
    </row>
    <row r="13169" spans="1:6" ht="12.75">
      <c r="A13169" s="2">
        <v>43879.37018518518</v>
      </c>
      <c r="B13169" t="str">
        <f>HYPERLINK("https://twitter.com/Sinor39421836","@Sinor39421836")</f>
        <v>@Sinor39421836</v>
      </c>
      <c r="C13169" t="s">
        <v>4873</v>
      </c>
      <c r="D13169">
        <v>1792</v>
      </c>
      <c r="E13169">
        <v>0</v>
      </c>
      <c r="F13169">
        <v>0</v>
      </c>
    </row>
    <row r="13170" spans="1:6" ht="12.75">
      <c r="A13170" s="2">
        <v>43879.369525462964</v>
      </c>
      <c r="B13170" t="str">
        <f>HYPERLINK("https://twitter.com/cintada17","@cintada17")</f>
        <v>@cintada17</v>
      </c>
      <c r="C13170" t="s">
        <v>6206</v>
      </c>
      <c r="D13170">
        <v>32</v>
      </c>
      <c r="E13170">
        <v>0</v>
      </c>
      <c r="F13170">
        <v>7463</v>
      </c>
    </row>
    <row r="13171" spans="1:6" ht="12.75">
      <c r="A13171" s="2">
        <v>43879.368969907402</v>
      </c>
      <c r="B13171" t="str">
        <f>HYPERLINK("https://twitter.com/BustamyKarmen","@BustamyKarmen")</f>
        <v>@BustamyKarmen</v>
      </c>
      <c r="C13171" t="s">
        <v>6863</v>
      </c>
      <c r="D13171">
        <v>0</v>
      </c>
      <c r="E13171">
        <v>0</v>
      </c>
      <c r="F13171">
        <v>0</v>
      </c>
    </row>
    <row r="13172" spans="1:6" ht="12.75">
      <c r="A13172" s="2">
        <v>43879.368368055555</v>
      </c>
      <c r="B13172" t="str">
        <f>HYPERLINK("https://twitter.com/moesa_jp02","@moesa_jp02")</f>
        <v>@moesa_jp02</v>
      </c>
      <c r="C13172" t="s">
        <v>6864</v>
      </c>
      <c r="D13172">
        <v>0</v>
      </c>
      <c r="E13172">
        <v>0</v>
      </c>
      <c r="F13172">
        <v>1393</v>
      </c>
    </row>
    <row r="13173" spans="1:6" ht="12.75">
      <c r="A13173" s="2">
        <v>43879.367465277777</v>
      </c>
      <c r="B13173" t="str">
        <f>HYPERLINK("https://twitter.com/Totokalhaqq3","@Totokalhaqq3")</f>
        <v>@Totokalhaqq3</v>
      </c>
      <c r="C13173" t="s">
        <v>6865</v>
      </c>
      <c r="D13173">
        <v>0</v>
      </c>
      <c r="E13173">
        <v>0</v>
      </c>
      <c r="F13173">
        <v>1487</v>
      </c>
    </row>
    <row r="13174" spans="1:6" ht="12.75">
      <c r="A13174" s="2">
        <v>43879.367349537039</v>
      </c>
      <c r="B13174" t="str">
        <f>HYPERLINK("https://twitter.com/easyblue7","@easyblue7")</f>
        <v>@easyblue7</v>
      </c>
      <c r="C13174" t="s">
        <v>6866</v>
      </c>
      <c r="D13174">
        <v>0</v>
      </c>
      <c r="E13174">
        <v>0</v>
      </c>
      <c r="F13174">
        <v>16</v>
      </c>
    </row>
    <row r="13175" spans="1:6" ht="12.75">
      <c r="A13175" s="2">
        <v>43879.367129629631</v>
      </c>
      <c r="B13175" t="str">
        <f>HYPERLINK("https://twitter.com/Adoel_gaucho","@Adoel_gaucho")</f>
        <v>@Adoel_gaucho</v>
      </c>
      <c r="C13175" t="s">
        <v>6867</v>
      </c>
      <c r="D13175">
        <v>64</v>
      </c>
      <c r="E13175">
        <v>0</v>
      </c>
      <c r="F13175">
        <v>193</v>
      </c>
    </row>
    <row r="13176" spans="1:6" ht="12.75">
      <c r="A13176" s="2">
        <v>43879.367094907408</v>
      </c>
      <c r="B13176" t="str">
        <f>HYPERLINK("https://twitter.com/setkabgoid","@setkabgoid")</f>
        <v>@setkabgoid</v>
      </c>
      <c r="C13176" t="s">
        <v>6435</v>
      </c>
      <c r="D13176">
        <v>0</v>
      </c>
      <c r="E13176">
        <v>6</v>
      </c>
      <c r="F13176">
        <v>1025921</v>
      </c>
    </row>
    <row r="13177" spans="1:6" ht="12.75">
      <c r="A13177" s="2">
        <v>43879.366157407407</v>
      </c>
      <c r="B13177" t="str">
        <f>HYPERLINK("https://twitter.com/fadlunrahman","@fadlunrahman")</f>
        <v>@fadlunrahman</v>
      </c>
      <c r="C13177" t="s">
        <v>6868</v>
      </c>
      <c r="D13177">
        <v>1</v>
      </c>
      <c r="E13177">
        <v>0</v>
      </c>
      <c r="F13177">
        <v>2466</v>
      </c>
    </row>
    <row r="13178" spans="1:6" ht="12.75">
      <c r="A13178" s="2">
        <v>43879.365960648152</v>
      </c>
      <c r="B13178" t="str">
        <f>HYPERLINK("https://twitter.com/trianawatiramad","@trianawatiramad")</f>
        <v>@trianawatiramad</v>
      </c>
      <c r="C13178" t="s">
        <v>6869</v>
      </c>
      <c r="D13178">
        <v>0</v>
      </c>
      <c r="E13178">
        <v>0</v>
      </c>
      <c r="F13178">
        <v>19</v>
      </c>
    </row>
    <row r="13179" spans="1:6" ht="12.75">
      <c r="A13179" s="2">
        <v>43879.365590277783</v>
      </c>
      <c r="B13179" t="str">
        <f>HYPERLINK("https://twitter.com/beatrice_health","@beatrice_health")</f>
        <v>@beatrice_health</v>
      </c>
      <c r="C13179" t="s">
        <v>6870</v>
      </c>
      <c r="D13179">
        <v>151</v>
      </c>
      <c r="E13179">
        <v>0</v>
      </c>
      <c r="F13179">
        <v>177</v>
      </c>
    </row>
    <row r="13180" spans="1:6" ht="12.75">
      <c r="A13180" s="2">
        <v>43879.36550925926</v>
      </c>
      <c r="B13180" t="str">
        <f>HYPERLINK("https://twitter.com/AUlnang","@AUlnang")</f>
        <v>@AUlnang</v>
      </c>
      <c r="C13180" t="s">
        <v>6870</v>
      </c>
      <c r="D13180">
        <v>151</v>
      </c>
      <c r="E13180">
        <v>0</v>
      </c>
      <c r="F13180">
        <v>60</v>
      </c>
    </row>
    <row r="13181" spans="1:6" ht="12.75">
      <c r="A13181" s="2">
        <v>43879.364120370374</v>
      </c>
      <c r="B13181" t="str">
        <f>HYPERLINK("https://twitter.com/Dani86113065","@Dani86113065")</f>
        <v>@Dani86113065</v>
      </c>
      <c r="C13181" t="s">
        <v>6871</v>
      </c>
      <c r="D13181">
        <v>2</v>
      </c>
      <c r="E13181">
        <v>1</v>
      </c>
      <c r="F13181">
        <v>467</v>
      </c>
    </row>
    <row r="13182" spans="1:6" ht="12.75">
      <c r="A13182" s="2">
        <v>43879.363125000003</v>
      </c>
      <c r="B13182" t="str">
        <f>HYPERLINK("https://twitter.com/RedReddex","@RedReddex")</f>
        <v>@RedReddex</v>
      </c>
      <c r="C13182" t="s">
        <v>6161</v>
      </c>
      <c r="D13182">
        <v>342</v>
      </c>
      <c r="E13182">
        <v>0</v>
      </c>
      <c r="F13182">
        <v>538</v>
      </c>
    </row>
    <row r="13183" spans="1:6" ht="12.75">
      <c r="A13183" s="2">
        <v>43879.362928240742</v>
      </c>
      <c r="B13183" t="str">
        <f>HYPERLINK("https://twitter.com/RadioKesehatan","@RadioKesehatan")</f>
        <v>@RadioKesehatan</v>
      </c>
      <c r="C13183" t="s">
        <v>6872</v>
      </c>
      <c r="D13183">
        <v>0</v>
      </c>
      <c r="E13183">
        <v>0</v>
      </c>
      <c r="F13183">
        <v>1514</v>
      </c>
    </row>
    <row r="13184" spans="1:6" ht="12.75">
      <c r="A13184" s="2">
        <v>43879.362696759257</v>
      </c>
      <c r="B13184" t="str">
        <f>HYPERLINK("https://twitter.com/makIqal","@makIqal")</f>
        <v>@makIqal</v>
      </c>
      <c r="C13184" t="s">
        <v>6873</v>
      </c>
      <c r="D13184">
        <v>0</v>
      </c>
      <c r="E13184">
        <v>0</v>
      </c>
      <c r="F13184">
        <v>2348</v>
      </c>
    </row>
    <row r="13185" spans="1:6" ht="12.75">
      <c r="A13185" s="2">
        <v>43879.362349537041</v>
      </c>
      <c r="B13185" t="str">
        <f>HYPERLINK("https://twitter.com/marenthabella","@marenthabella")</f>
        <v>@marenthabella</v>
      </c>
      <c r="C13185" t="s">
        <v>6842</v>
      </c>
      <c r="D13185">
        <v>25</v>
      </c>
      <c r="E13185">
        <v>0</v>
      </c>
      <c r="F13185">
        <v>37</v>
      </c>
    </row>
    <row r="13186" spans="1:6" ht="12.75">
      <c r="A13186" s="2">
        <v>43879.362060185187</v>
      </c>
      <c r="B13186" t="str">
        <f>HYPERLINK("https://twitter.com/atin_banjar","@atin_banjar")</f>
        <v>@atin_banjar</v>
      </c>
      <c r="C13186" t="s">
        <v>2130</v>
      </c>
      <c r="D13186">
        <v>8</v>
      </c>
      <c r="E13186">
        <v>0</v>
      </c>
      <c r="F13186">
        <v>115</v>
      </c>
    </row>
    <row r="13187" spans="1:6" ht="12.75">
      <c r="A13187" s="2">
        <v>43879.361875000002</v>
      </c>
      <c r="B13187" t="str">
        <f>HYPERLINK("https://twitter.com/moesa_jp02","@moesa_jp02")</f>
        <v>@moesa_jp02</v>
      </c>
      <c r="C13187" t="s">
        <v>6874</v>
      </c>
      <c r="D13187">
        <v>0</v>
      </c>
      <c r="E13187">
        <v>0</v>
      </c>
      <c r="F13187">
        <v>1393</v>
      </c>
    </row>
    <row r="13188" spans="1:6" ht="12.75">
      <c r="A13188" s="2">
        <v>43879.361481481479</v>
      </c>
      <c r="B13188" t="str">
        <f>HYPERLINK("https://twitter.com/Dickbee5","@Dickbee5")</f>
        <v>@Dickbee5</v>
      </c>
      <c r="C13188" t="s">
        <v>6875</v>
      </c>
      <c r="D13188">
        <v>0</v>
      </c>
      <c r="E13188">
        <v>0</v>
      </c>
      <c r="F13188">
        <v>10</v>
      </c>
    </row>
    <row r="13189" spans="1:6" ht="12.75">
      <c r="A13189" s="2">
        <v>43879.360752314809</v>
      </c>
      <c r="B13189" t="str">
        <f>HYPERLINK("https://twitter.com/syakirasyakir","@syakirasyakir")</f>
        <v>@syakirasyakir</v>
      </c>
      <c r="C13189" t="s">
        <v>6876</v>
      </c>
      <c r="D13189">
        <v>0</v>
      </c>
      <c r="E13189">
        <v>0</v>
      </c>
      <c r="F13189">
        <v>678</v>
      </c>
    </row>
    <row r="13190" spans="1:6" ht="12.75">
      <c r="A13190" s="2">
        <v>43879.360439814816</v>
      </c>
      <c r="B13190" t="str">
        <f>HYPERLINK("https://twitter.com/mcoluccii","@mcoluccii")</f>
        <v>@mcoluccii</v>
      </c>
      <c r="C13190" t="s">
        <v>6877</v>
      </c>
      <c r="D13190">
        <v>1</v>
      </c>
      <c r="E13190">
        <v>0</v>
      </c>
      <c r="F13190">
        <v>515</v>
      </c>
    </row>
    <row r="13191" spans="1:6" ht="12.75">
      <c r="A13191" s="2">
        <v>43879.359988425931</v>
      </c>
      <c r="B13191" t="str">
        <f>HYPERLINK("https://twitter.com/dafaarisandi_","@dafaarisandi_")</f>
        <v>@dafaarisandi_</v>
      </c>
      <c r="C13191" t="s">
        <v>3340</v>
      </c>
      <c r="D13191">
        <v>326</v>
      </c>
      <c r="E13191">
        <v>0</v>
      </c>
      <c r="F13191">
        <v>987</v>
      </c>
    </row>
    <row r="13192" spans="1:6" ht="12.75">
      <c r="A13192" s="2">
        <v>43879.359976851847</v>
      </c>
      <c r="B13192" t="str">
        <f>HYPERLINK("https://twitter.com/syakirasyakir","@syakirasyakir")</f>
        <v>@syakirasyakir</v>
      </c>
      <c r="C13192" t="s">
        <v>6878</v>
      </c>
      <c r="D13192">
        <v>2</v>
      </c>
      <c r="E13192">
        <v>0</v>
      </c>
      <c r="F13192">
        <v>678</v>
      </c>
    </row>
    <row r="13193" spans="1:6" ht="12.75">
      <c r="A13193" s="2">
        <v>43879.359664351854</v>
      </c>
      <c r="B13193" t="str">
        <f>HYPERLINK("https://twitter.com/CNNIDdaily","@CNNIDdaily")</f>
        <v>@CNNIDdaily</v>
      </c>
      <c r="C13193" t="s">
        <v>6879</v>
      </c>
      <c r="D13193">
        <v>1</v>
      </c>
      <c r="E13193">
        <v>3</v>
      </c>
      <c r="F13193">
        <v>116410</v>
      </c>
    </row>
    <row r="13194" spans="1:6" ht="12.75">
      <c r="A13194" s="2">
        <v>43879.359537037039</v>
      </c>
      <c r="B13194" t="str">
        <f>HYPERLINK("https://twitter.com/moesa_jp02","@moesa_jp02")</f>
        <v>@moesa_jp02</v>
      </c>
      <c r="C13194" t="s">
        <v>6880</v>
      </c>
      <c r="D13194">
        <v>0</v>
      </c>
      <c r="E13194">
        <v>0</v>
      </c>
      <c r="F13194">
        <v>1393</v>
      </c>
    </row>
    <row r="13195" spans="1:6" ht="12.75">
      <c r="A13195" s="2">
        <v>43879.358877314815</v>
      </c>
      <c r="B13195" t="str">
        <f>HYPERLINK("https://twitter.com/Ksop_Kijang","@Ksop_Kijang")</f>
        <v>@Ksop_Kijang</v>
      </c>
      <c r="C13195" t="s">
        <v>6881</v>
      </c>
      <c r="D13195">
        <v>0</v>
      </c>
      <c r="E13195">
        <v>0</v>
      </c>
      <c r="F13195">
        <v>151</v>
      </c>
    </row>
    <row r="13196" spans="1:6" ht="12.75">
      <c r="A13196" s="2">
        <v>43879.358634259261</v>
      </c>
      <c r="B13196" t="str">
        <f>HYPERLINK("https://twitter.com/bgDG_Stream","@bgDG_Stream")</f>
        <v>@bgDG_Stream</v>
      </c>
      <c r="C13196" t="s">
        <v>6508</v>
      </c>
      <c r="D13196">
        <v>19</v>
      </c>
      <c r="E13196">
        <v>0</v>
      </c>
      <c r="F13196">
        <v>241</v>
      </c>
    </row>
    <row r="13197" spans="1:6" ht="12.75">
      <c r="A13197" s="2">
        <v>43879.357407407406</v>
      </c>
      <c r="B13197" t="str">
        <f>HYPERLINK("https://twitter.com/flyfluffy","@flyfluffy")</f>
        <v>@flyfluffy</v>
      </c>
      <c r="C13197" t="s">
        <v>5642</v>
      </c>
      <c r="D13197">
        <v>175</v>
      </c>
      <c r="E13197">
        <v>0</v>
      </c>
      <c r="F13197">
        <v>568</v>
      </c>
    </row>
    <row r="13198" spans="1:6" ht="12.75">
      <c r="A13198" s="2">
        <v>43879.357314814813</v>
      </c>
      <c r="B13198" t="str">
        <f>HYPERLINK("https://twitter.com/AgungBa56235692","@AgungBa56235692")</f>
        <v>@AgungBa56235692</v>
      </c>
      <c r="C13198" t="s">
        <v>6882</v>
      </c>
      <c r="D13198">
        <v>0</v>
      </c>
      <c r="E13198">
        <v>0</v>
      </c>
      <c r="F13198">
        <v>0</v>
      </c>
    </row>
    <row r="13199" spans="1:6" ht="12.75">
      <c r="A13199" s="2">
        <v>43879.357303240744</v>
      </c>
      <c r="B13199" t="str">
        <f>HYPERLINK("https://twitter.com/Ksop_Kijang","@Ksop_Kijang")</f>
        <v>@Ksop_Kijang</v>
      </c>
      <c r="C13199" t="s">
        <v>6168</v>
      </c>
      <c r="D13199">
        <v>2</v>
      </c>
      <c r="E13199">
        <v>0</v>
      </c>
      <c r="F13199">
        <v>151</v>
      </c>
    </row>
    <row r="13200" spans="1:6" ht="12.75">
      <c r="A13200" s="2">
        <v>43879.356458333335</v>
      </c>
      <c r="B13200" t="str">
        <f>HYPERLINK("https://twitter.com/ThimotyA","@ThimotyA")</f>
        <v>@ThimotyA</v>
      </c>
      <c r="C13200" t="s">
        <v>6721</v>
      </c>
      <c r="D13200">
        <v>387</v>
      </c>
      <c r="E13200">
        <v>0</v>
      </c>
      <c r="F13200">
        <v>232</v>
      </c>
    </row>
    <row r="13201" spans="1:6" ht="12.75">
      <c r="A13201" s="2">
        <v>43879.355925925927</v>
      </c>
      <c r="B13201" t="str">
        <f t="shared" ref="B13201:B13202" si="224">HYPERLINK("https://twitter.com/Mulia07094480","@Mulia07094480")</f>
        <v>@Mulia07094480</v>
      </c>
      <c r="C13201" t="s">
        <v>6883</v>
      </c>
      <c r="D13201">
        <v>1</v>
      </c>
      <c r="E13201">
        <v>0</v>
      </c>
      <c r="F13201">
        <v>765</v>
      </c>
    </row>
    <row r="13202" spans="1:6" ht="12.75">
      <c r="A13202" s="2">
        <v>43879.355763888889</v>
      </c>
      <c r="B13202" t="str">
        <f t="shared" si="224"/>
        <v>@Mulia07094480</v>
      </c>
      <c r="C13202" t="s">
        <v>6625</v>
      </c>
      <c r="D13202">
        <v>10</v>
      </c>
      <c r="E13202">
        <v>0</v>
      </c>
      <c r="F13202">
        <v>765</v>
      </c>
    </row>
    <row r="13203" spans="1:6" ht="12.75">
      <c r="A13203" s="2">
        <v>43879.355173611111</v>
      </c>
      <c r="B13203" t="str">
        <f>HYPERLINK("https://twitter.com/beatrice_health","@beatrice_health")</f>
        <v>@beatrice_health</v>
      </c>
      <c r="C13203" t="s">
        <v>6884</v>
      </c>
      <c r="D13203">
        <v>3</v>
      </c>
      <c r="E13203">
        <v>0</v>
      </c>
      <c r="F13203">
        <v>177</v>
      </c>
    </row>
    <row r="13204" spans="1:6" ht="12.75">
      <c r="A13204" s="2">
        <v>43879.355150462958</v>
      </c>
      <c r="B13204" t="str">
        <f>HYPERLINK("https://twitter.com/cekmint_sabang","@cekmint_sabang")</f>
        <v>@cekmint_sabang</v>
      </c>
      <c r="C13204" t="s">
        <v>6168</v>
      </c>
      <c r="D13204">
        <v>2</v>
      </c>
      <c r="E13204">
        <v>0</v>
      </c>
      <c r="F13204">
        <v>309</v>
      </c>
    </row>
    <row r="13205" spans="1:6" ht="12.75">
      <c r="A13205" s="2">
        <v>43879.355057870373</v>
      </c>
      <c r="B13205" t="str">
        <f>HYPERLINK("https://twitter.com/1hsan","@1hsan")</f>
        <v>@1hsan</v>
      </c>
      <c r="C13205" t="s">
        <v>6884</v>
      </c>
      <c r="D13205">
        <v>3</v>
      </c>
      <c r="E13205">
        <v>0</v>
      </c>
      <c r="F13205">
        <v>235</v>
      </c>
    </row>
    <row r="13206" spans="1:6" ht="12.75">
      <c r="A13206" s="2">
        <v>43879.35491898148</v>
      </c>
      <c r="B13206" t="str">
        <f>HYPERLINK("https://twitter.com/djplkemenhub151","@djplkemenhub151")</f>
        <v>@djplkemenhub151</v>
      </c>
      <c r="C13206" t="s">
        <v>6885</v>
      </c>
      <c r="D13206">
        <v>2</v>
      </c>
      <c r="E13206">
        <v>5</v>
      </c>
      <c r="F13206">
        <v>4108</v>
      </c>
    </row>
    <row r="13207" spans="1:6" ht="12.75">
      <c r="A13207" s="2">
        <v>43879.354398148149</v>
      </c>
      <c r="B13207" t="str">
        <f>HYPERLINK("https://twitter.com/caramachi12","@caramachi12")</f>
        <v>@caramachi12</v>
      </c>
      <c r="C13207" t="s">
        <v>6886</v>
      </c>
      <c r="D13207">
        <v>34</v>
      </c>
      <c r="E13207">
        <v>0</v>
      </c>
      <c r="F13207">
        <v>9</v>
      </c>
    </row>
    <row r="13208" spans="1:6" ht="12.75">
      <c r="A13208" s="2">
        <v>43879.354398148149</v>
      </c>
      <c r="B13208" t="str">
        <f>HYPERLINK("https://twitter.com/hendrabrastagi5","@hendrabrastagi5")</f>
        <v>@hendrabrastagi5</v>
      </c>
      <c r="C13208" t="s">
        <v>6887</v>
      </c>
      <c r="D13208">
        <v>1</v>
      </c>
      <c r="E13208">
        <v>0</v>
      </c>
      <c r="F13208">
        <v>1116</v>
      </c>
    </row>
    <row r="13209" spans="1:6" ht="12.75">
      <c r="A13209" s="2">
        <v>43879.354189814811</v>
      </c>
      <c r="B13209" t="str">
        <f>HYPERLINK("https://twitter.com/JajeToples","@JajeToples")</f>
        <v>@JajeToples</v>
      </c>
      <c r="C13209" t="s">
        <v>6508</v>
      </c>
      <c r="D13209">
        <v>19</v>
      </c>
      <c r="E13209">
        <v>0</v>
      </c>
      <c r="F13209">
        <v>200</v>
      </c>
    </row>
    <row r="13210" spans="1:6" ht="12.75">
      <c r="A13210" s="2">
        <v>43879.353935185187</v>
      </c>
      <c r="B13210" t="str">
        <f>HYPERLINK("https://twitter.com/iis_somor","@iis_somor")</f>
        <v>@iis_somor</v>
      </c>
      <c r="C13210" t="s">
        <v>6888</v>
      </c>
      <c r="D13210">
        <v>5</v>
      </c>
      <c r="E13210">
        <v>0</v>
      </c>
      <c r="F13210">
        <v>31</v>
      </c>
    </row>
    <row r="13211" spans="1:6" ht="12.75">
      <c r="A13211" s="2">
        <v>43879.353703703702</v>
      </c>
      <c r="B13211" t="str">
        <f>HYPERLINK("https://twitter.com/Mytrip19","@Mytrip19")</f>
        <v>@Mytrip19</v>
      </c>
      <c r="C13211" t="s">
        <v>2155</v>
      </c>
      <c r="D13211">
        <v>448</v>
      </c>
      <c r="E13211">
        <v>0</v>
      </c>
      <c r="F13211">
        <v>1764</v>
      </c>
    </row>
    <row r="13212" spans="1:6" ht="12.75">
      <c r="A13212" s="2">
        <v>43879.353692129633</v>
      </c>
      <c r="B13212" t="str">
        <f>HYPERLINK("https://twitter.com/PrabuAngkara","@PrabuAngkara")</f>
        <v>@PrabuAngkara</v>
      </c>
      <c r="C13212" t="s">
        <v>2130</v>
      </c>
      <c r="D13212">
        <v>8</v>
      </c>
      <c r="E13212">
        <v>0</v>
      </c>
      <c r="F13212">
        <v>1043</v>
      </c>
    </row>
    <row r="13213" spans="1:6" ht="12.75">
      <c r="A13213" s="2">
        <v>43879.353136574078</v>
      </c>
      <c r="B13213" t="str">
        <f>HYPERLINK("https://twitter.com/cakmul2","@cakmul2")</f>
        <v>@cakmul2</v>
      </c>
      <c r="C13213" t="s">
        <v>5642</v>
      </c>
      <c r="D13213">
        <v>175</v>
      </c>
      <c r="E13213">
        <v>0</v>
      </c>
      <c r="F13213">
        <v>480</v>
      </c>
    </row>
    <row r="13214" spans="1:6" ht="12.75">
      <c r="A13214" s="2">
        <v>43879.352534722224</v>
      </c>
      <c r="B13214" t="str">
        <f>HYPERLINK("https://twitter.com/machbeach","@machbeach")</f>
        <v>@machbeach</v>
      </c>
      <c r="C13214" t="s">
        <v>6889</v>
      </c>
      <c r="D13214">
        <v>0</v>
      </c>
      <c r="E13214">
        <v>0</v>
      </c>
      <c r="F13214">
        <v>928</v>
      </c>
    </row>
    <row r="13215" spans="1:6" ht="12.75">
      <c r="A13215" s="2">
        <v>43879.352511574078</v>
      </c>
      <c r="B13215" t="str">
        <f>HYPERLINK("https://twitter.com/herik3rn","@herik3rn")</f>
        <v>@herik3rn</v>
      </c>
      <c r="C13215" t="s">
        <v>5642</v>
      </c>
      <c r="D13215">
        <v>175</v>
      </c>
      <c r="E13215">
        <v>0</v>
      </c>
      <c r="F13215">
        <v>60</v>
      </c>
    </row>
    <row r="13216" spans="1:6" ht="12.75">
      <c r="A13216" s="2">
        <v>43879.3512962963</v>
      </c>
      <c r="B13216" t="str">
        <f>HYPERLINK("https://twitter.com/Rabiatul173","@Rabiatul173")</f>
        <v>@Rabiatul173</v>
      </c>
      <c r="C13216" t="s">
        <v>6890</v>
      </c>
      <c r="D13216">
        <v>0</v>
      </c>
      <c r="E13216">
        <v>0</v>
      </c>
      <c r="F13216">
        <v>85</v>
      </c>
    </row>
    <row r="13217" spans="1:6" ht="12.75">
      <c r="A13217" s="2">
        <v>43879.3512962963</v>
      </c>
      <c r="B13217" t="str">
        <f>HYPERLINK("https://twitter.com/ayu_wandirae","@ayu_wandirae")</f>
        <v>@ayu_wandirae</v>
      </c>
      <c r="C13217" t="s">
        <v>2155</v>
      </c>
      <c r="D13217">
        <v>448</v>
      </c>
      <c r="E13217">
        <v>0</v>
      </c>
      <c r="F13217">
        <v>775</v>
      </c>
    </row>
    <row r="13218" spans="1:6" ht="12.75">
      <c r="A13218" s="2">
        <v>43879.351180555561</v>
      </c>
      <c r="B13218" t="str">
        <f>HYPERLINK("https://twitter.com/the_geotimes","@the_geotimes")</f>
        <v>@the_geotimes</v>
      </c>
      <c r="C13218" t="s">
        <v>6891</v>
      </c>
      <c r="D13218">
        <v>3</v>
      </c>
      <c r="E13218">
        <v>0</v>
      </c>
      <c r="F13218">
        <v>49473</v>
      </c>
    </row>
    <row r="13219" spans="1:6" ht="12.75">
      <c r="A13219" s="2">
        <v>43879.35092592593</v>
      </c>
      <c r="B13219" t="str">
        <f>HYPERLINK("https://twitter.com/Qmild7","@Qmild7")</f>
        <v>@Qmild7</v>
      </c>
      <c r="C13219" t="s">
        <v>5642</v>
      </c>
      <c r="D13219">
        <v>175</v>
      </c>
      <c r="E13219">
        <v>0</v>
      </c>
      <c r="F13219">
        <v>38</v>
      </c>
    </row>
    <row r="13220" spans="1:6" ht="12.75">
      <c r="A13220" s="2">
        <v>43879.350081018521</v>
      </c>
      <c r="B13220" t="str">
        <f>HYPERLINK("https://twitter.com/baznaspbg","@baznaspbg")</f>
        <v>@baznaspbg</v>
      </c>
      <c r="C13220" t="s">
        <v>5642</v>
      </c>
      <c r="D13220">
        <v>175</v>
      </c>
      <c r="E13220">
        <v>0</v>
      </c>
      <c r="F13220">
        <v>17</v>
      </c>
    </row>
    <row r="13221" spans="1:6" ht="12.75">
      <c r="A13221" s="2">
        <v>43879.349942129629</v>
      </c>
      <c r="B13221" t="str">
        <f>HYPERLINK("https://twitter.com/WandyAgung3","@WandyAgung3")</f>
        <v>@WandyAgung3</v>
      </c>
      <c r="C13221" t="s">
        <v>6892</v>
      </c>
      <c r="D13221">
        <v>0</v>
      </c>
      <c r="E13221">
        <v>1</v>
      </c>
      <c r="F13221">
        <v>1</v>
      </c>
    </row>
    <row r="13222" spans="1:6" ht="12.75">
      <c r="A13222" s="2">
        <v>43879.349745370375</v>
      </c>
      <c r="B13222" t="str">
        <f>HYPERLINK("https://twitter.com/KelianBanjar_GK","@KelianBanjar_GK")</f>
        <v>@KelianBanjar_GK</v>
      </c>
      <c r="C13222" t="s">
        <v>6206</v>
      </c>
      <c r="D13222">
        <v>32</v>
      </c>
      <c r="E13222">
        <v>0</v>
      </c>
      <c r="F13222">
        <v>8532</v>
      </c>
    </row>
    <row r="13223" spans="1:6" ht="12.75">
      <c r="A13223" s="2">
        <v>43879.349629629629</v>
      </c>
      <c r="B13223" t="str">
        <f>HYPERLINK("https://twitter.com/Santiira2","@Santiira2")</f>
        <v>@Santiira2</v>
      </c>
      <c r="C13223" t="s">
        <v>6893</v>
      </c>
      <c r="D13223">
        <v>0</v>
      </c>
      <c r="E13223">
        <v>0</v>
      </c>
      <c r="F13223">
        <v>355</v>
      </c>
    </row>
    <row r="13224" spans="1:6" ht="12.75">
      <c r="A13224" s="2">
        <v>43879.349606481483</v>
      </c>
      <c r="B13224" t="str">
        <f>HYPERLINK("https://twitter.com/Fancyvcircle","@Fancyvcircle")</f>
        <v>@Fancyvcircle</v>
      </c>
      <c r="C13224" t="s">
        <v>6357</v>
      </c>
      <c r="D13224">
        <v>3</v>
      </c>
      <c r="E13224">
        <v>0</v>
      </c>
      <c r="F13224">
        <v>179</v>
      </c>
    </row>
    <row r="13225" spans="1:6" ht="12.75">
      <c r="A13225" s="2">
        <v>43879.349097222221</v>
      </c>
      <c r="B13225" t="str">
        <f>HYPERLINK("https://twitter.com/KangAzzev","@KangAzzev")</f>
        <v>@KangAzzev</v>
      </c>
      <c r="C13225" t="s">
        <v>2130</v>
      </c>
      <c r="D13225">
        <v>8</v>
      </c>
      <c r="E13225">
        <v>0</v>
      </c>
      <c r="F13225">
        <v>716</v>
      </c>
    </row>
    <row r="13226" spans="1:6" ht="12.75">
      <c r="A13226" s="2">
        <v>43879.349050925928</v>
      </c>
      <c r="B13226" t="str">
        <f>HYPERLINK("https://twitter.com/ayam__kuning","@ayam__kuning")</f>
        <v>@ayam__kuning</v>
      </c>
      <c r="C13226" t="s">
        <v>6894</v>
      </c>
      <c r="D13226">
        <v>0</v>
      </c>
      <c r="E13226">
        <v>0</v>
      </c>
      <c r="F13226">
        <v>252</v>
      </c>
    </row>
    <row r="13227" spans="1:6" ht="12.75">
      <c r="A13227" s="2">
        <v>43879.348946759259</v>
      </c>
      <c r="B13227" t="str">
        <f>HYPERLINK("https://twitter.com/Sinopelompong","@Sinopelompong")</f>
        <v>@Sinopelompong</v>
      </c>
      <c r="C13227" t="s">
        <v>5642</v>
      </c>
      <c r="D13227">
        <v>175</v>
      </c>
      <c r="E13227">
        <v>0</v>
      </c>
      <c r="F13227">
        <v>189</v>
      </c>
    </row>
    <row r="13228" spans="1:6" ht="12.75">
      <c r="A13228" s="2">
        <v>43879.34884259259</v>
      </c>
      <c r="B13228" t="str">
        <f>HYPERLINK("https://twitter.com/HumasResMajene","@HumasResMajene")</f>
        <v>@HumasResMajene</v>
      </c>
      <c r="C13228" t="s">
        <v>6895</v>
      </c>
      <c r="D13228">
        <v>0</v>
      </c>
      <c r="E13228">
        <v>0</v>
      </c>
      <c r="F13228">
        <v>79</v>
      </c>
    </row>
    <row r="13229" spans="1:6" ht="12.75">
      <c r="A13229" s="2">
        <v>43879.348622685182</v>
      </c>
      <c r="B13229" t="str">
        <f>HYPERLINK("https://twitter.com/GalihGieloof","@GalihGieloof")</f>
        <v>@GalihGieloof</v>
      </c>
      <c r="C13229" t="s">
        <v>6341</v>
      </c>
      <c r="D13229">
        <v>2</v>
      </c>
      <c r="E13229">
        <v>0</v>
      </c>
      <c r="F13229">
        <v>271</v>
      </c>
    </row>
    <row r="13230" spans="1:6" ht="12.75">
      <c r="A13230" s="2">
        <v>43879.348449074074</v>
      </c>
      <c r="B13230" t="str">
        <f>HYPERLINK("https://twitter.com/superUnknownnn","@superUnknownnn")</f>
        <v>@superUnknownnn</v>
      </c>
      <c r="C13230" t="s">
        <v>2130</v>
      </c>
      <c r="D13230">
        <v>8</v>
      </c>
      <c r="E13230">
        <v>0</v>
      </c>
      <c r="F13230">
        <v>1761</v>
      </c>
    </row>
    <row r="13231" spans="1:6" ht="12.75">
      <c r="A13231" s="2">
        <v>43879.348449074074</v>
      </c>
      <c r="B13231" t="str">
        <f>HYPERLINK("https://twitter.com/HESTCHI","@HESTCHI")</f>
        <v>@HESTCHI</v>
      </c>
      <c r="C13231" t="s">
        <v>3340</v>
      </c>
      <c r="D13231">
        <v>326</v>
      </c>
      <c r="E13231">
        <v>0</v>
      </c>
      <c r="F13231">
        <v>1336</v>
      </c>
    </row>
    <row r="13232" spans="1:6" ht="12.75">
      <c r="A13232" s="2">
        <v>43879.348287037035</v>
      </c>
      <c r="B13232" t="str">
        <f>HYPERLINK("https://twitter.com/praba_acep","@praba_acep")</f>
        <v>@praba_acep</v>
      </c>
      <c r="C13232" t="s">
        <v>2155</v>
      </c>
      <c r="D13232">
        <v>448</v>
      </c>
      <c r="E13232">
        <v>0</v>
      </c>
      <c r="F13232">
        <v>90</v>
      </c>
    </row>
    <row r="13233" spans="1:6" ht="12.75">
      <c r="A13233" s="2">
        <v>43879.348159722227</v>
      </c>
      <c r="B13233" t="str">
        <f>HYPERLINK("https://twitter.com/wbintoro101209","@wbintoro101209")</f>
        <v>@wbintoro101209</v>
      </c>
      <c r="C13233" t="s">
        <v>2130</v>
      </c>
      <c r="D13233">
        <v>8</v>
      </c>
      <c r="E13233">
        <v>0</v>
      </c>
      <c r="F13233">
        <v>310</v>
      </c>
    </row>
    <row r="13234" spans="1:6" ht="12.75">
      <c r="A13234" s="2">
        <v>43879.348078703704</v>
      </c>
      <c r="B13234" t="str">
        <f>HYPERLINK("https://twitter.com/Paramecwara","@Paramecwara")</f>
        <v>@Paramecwara</v>
      </c>
      <c r="C13234" t="s">
        <v>6896</v>
      </c>
      <c r="D13234">
        <v>1</v>
      </c>
      <c r="E13234">
        <v>0</v>
      </c>
      <c r="F13234">
        <v>614</v>
      </c>
    </row>
    <row r="13235" spans="1:6" ht="12.75">
      <c r="A13235" s="2">
        <v>43879.347696759258</v>
      </c>
      <c r="B13235" t="str">
        <f>HYPERLINK("https://twitter.com/K20958841","@K20958841")</f>
        <v>@K20958841</v>
      </c>
      <c r="C13235" t="s">
        <v>6897</v>
      </c>
      <c r="D13235">
        <v>0</v>
      </c>
      <c r="E13235">
        <v>0</v>
      </c>
      <c r="F13235">
        <v>22</v>
      </c>
    </row>
    <row r="13236" spans="1:6" ht="12.75">
      <c r="A13236" s="2">
        <v>43879.347048611111</v>
      </c>
      <c r="B13236" t="str">
        <f>HYPERLINK("https://twitter.com/supri_prp","@supri_prp")</f>
        <v>@supri_prp</v>
      </c>
      <c r="C13236" t="s">
        <v>6898</v>
      </c>
      <c r="D13236">
        <v>4</v>
      </c>
      <c r="E13236">
        <v>0</v>
      </c>
      <c r="F13236">
        <v>429</v>
      </c>
    </row>
    <row r="13237" spans="1:6" ht="12.75">
      <c r="A13237" s="2">
        <v>43879.346307870372</v>
      </c>
      <c r="B13237" t="str">
        <f>HYPERLINK("https://twitter.com/fransis72844426","@fransis72844426")</f>
        <v>@fransis72844426</v>
      </c>
      <c r="C13237" t="s">
        <v>6899</v>
      </c>
      <c r="D13237">
        <v>0</v>
      </c>
      <c r="E13237">
        <v>0</v>
      </c>
      <c r="F13237">
        <v>5</v>
      </c>
    </row>
    <row r="13238" spans="1:6" ht="12.75">
      <c r="A13238" s="2">
        <v>43879.346296296295</v>
      </c>
      <c r="B13238" t="str">
        <f>HYPERLINK("https://twitter.com/SantikaVeliz","@SantikaVeliz")</f>
        <v>@SantikaVeliz</v>
      </c>
      <c r="C13238" t="s">
        <v>6893</v>
      </c>
      <c r="D13238">
        <v>0</v>
      </c>
      <c r="E13238">
        <v>0</v>
      </c>
      <c r="F13238">
        <v>33</v>
      </c>
    </row>
    <row r="13239" spans="1:6" ht="12.75">
      <c r="A13239" s="2">
        <v>43879.345532407402</v>
      </c>
      <c r="B13239" t="str">
        <f>HYPERLINK("https://twitter.com/AntonWidi_","@AntonWidi_")</f>
        <v>@AntonWidi_</v>
      </c>
      <c r="C13239" t="s">
        <v>5642</v>
      </c>
      <c r="D13239">
        <v>175</v>
      </c>
      <c r="E13239">
        <v>0</v>
      </c>
      <c r="F13239">
        <v>15</v>
      </c>
    </row>
    <row r="13240" spans="1:6" ht="12.75">
      <c r="A13240" s="2">
        <v>43879.345081018517</v>
      </c>
      <c r="B13240" t="str">
        <f>HYPERLINK("https://twitter.com/BadjaNuswantara","@BadjaNuswantara")</f>
        <v>@BadjaNuswantara</v>
      </c>
      <c r="C13240" t="s">
        <v>2130</v>
      </c>
      <c r="D13240">
        <v>8</v>
      </c>
      <c r="E13240">
        <v>0</v>
      </c>
      <c r="F13240">
        <v>42578</v>
      </c>
    </row>
    <row r="13241" spans="1:6" ht="12.75">
      <c r="A13241" s="2">
        <v>43879.344942129625</v>
      </c>
      <c r="B13241" t="str">
        <f>HYPERLINK("https://twitter.com/SydSalesman","@SydSalesman")</f>
        <v>@SydSalesman</v>
      </c>
      <c r="C13241" t="s">
        <v>5642</v>
      </c>
      <c r="D13241">
        <v>175</v>
      </c>
      <c r="E13241">
        <v>0</v>
      </c>
      <c r="F13241">
        <v>6223</v>
      </c>
    </row>
    <row r="13242" spans="1:6" ht="12.75">
      <c r="A13242" s="2">
        <v>43879.344722222224</v>
      </c>
      <c r="B13242" t="str">
        <f>HYPERLINK("https://twitter.com/stie_bp","@stie_bp")</f>
        <v>@stie_bp</v>
      </c>
      <c r="C13242" t="s">
        <v>6900</v>
      </c>
      <c r="D13242">
        <v>0</v>
      </c>
      <c r="E13242">
        <v>0</v>
      </c>
      <c r="F13242">
        <v>6</v>
      </c>
    </row>
    <row r="13243" spans="1:6" ht="12.75">
      <c r="A13243" s="2">
        <v>43879.344537037032</v>
      </c>
      <c r="B13243" t="str">
        <f>HYPERLINK("https://twitter.com/IndonesiaPion","@IndonesiaPion")</f>
        <v>@IndonesiaPion</v>
      </c>
      <c r="C13243" t="s">
        <v>6901</v>
      </c>
      <c r="D13243">
        <v>7</v>
      </c>
      <c r="E13243">
        <v>0</v>
      </c>
      <c r="F13243">
        <v>1484</v>
      </c>
    </row>
    <row r="13244" spans="1:6" ht="12.75">
      <c r="A13244" s="2">
        <v>43879.343807870369</v>
      </c>
      <c r="B13244" t="str">
        <f>HYPERLINK("https://twitter.com/tempodotco","@tempodotco")</f>
        <v>@tempodotco</v>
      </c>
      <c r="C13244" t="s">
        <v>6782</v>
      </c>
      <c r="D13244">
        <v>1</v>
      </c>
      <c r="E13244">
        <v>7</v>
      </c>
      <c r="F13244">
        <v>1705248</v>
      </c>
    </row>
    <row r="13245" spans="1:6" ht="12.75">
      <c r="A13245" s="2">
        <v>43879.343449074076</v>
      </c>
      <c r="B13245" t="str">
        <f>HYPERLINK("https://twitter.com/YCH7168","@YCH7168")</f>
        <v>@YCH7168</v>
      </c>
      <c r="C13245" t="s">
        <v>6902</v>
      </c>
      <c r="D13245">
        <v>0</v>
      </c>
      <c r="E13245">
        <v>0</v>
      </c>
      <c r="F13245">
        <v>7627</v>
      </c>
    </row>
    <row r="13246" spans="1:6" ht="12.75">
      <c r="A13246" s="2">
        <v>43879.343124999999</v>
      </c>
      <c r="B13246" t="str">
        <f>HYPERLINK("https://twitter.com/heiiwahyu","@heiiwahyu")</f>
        <v>@heiiwahyu</v>
      </c>
      <c r="C13246" t="s">
        <v>3340</v>
      </c>
      <c r="D13246">
        <v>326</v>
      </c>
      <c r="E13246">
        <v>0</v>
      </c>
      <c r="F13246">
        <v>167</v>
      </c>
    </row>
    <row r="13247" spans="1:6" ht="12.75">
      <c r="A13247" s="2">
        <v>43879.342939814815</v>
      </c>
      <c r="B13247" t="str">
        <f>HYPERLINK("https://twitter.com/Sam_Amoera","@Sam_Amoera")</f>
        <v>@Sam_Amoera</v>
      </c>
      <c r="C13247" t="s">
        <v>491</v>
      </c>
      <c r="D13247">
        <v>4733</v>
      </c>
      <c r="E13247">
        <v>0</v>
      </c>
      <c r="F13247">
        <v>2527</v>
      </c>
    </row>
    <row r="13248" spans="1:6" ht="12.75">
      <c r="A13248" s="2">
        <v>43879.342916666668</v>
      </c>
      <c r="B13248" t="str">
        <f>HYPERLINK("https://twitter.com/podjiutami","@podjiutami")</f>
        <v>@podjiutami</v>
      </c>
      <c r="C13248" t="s">
        <v>6206</v>
      </c>
      <c r="D13248">
        <v>32</v>
      </c>
      <c r="E13248">
        <v>0</v>
      </c>
      <c r="F13248">
        <v>1175</v>
      </c>
    </row>
    <row r="13249" spans="1:6" ht="12.75">
      <c r="A13249" s="2">
        <v>43879.341793981483</v>
      </c>
      <c r="B13249" t="str">
        <f>HYPERLINK("https://twitter.com/Jarwo_Sukses","@Jarwo_Sukses")</f>
        <v>@Jarwo_Sukses</v>
      </c>
      <c r="C13249" t="s">
        <v>2130</v>
      </c>
      <c r="D13249">
        <v>8</v>
      </c>
      <c r="E13249">
        <v>0</v>
      </c>
      <c r="F13249">
        <v>123</v>
      </c>
    </row>
    <row r="13250" spans="1:6" ht="12.75">
      <c r="A13250" s="2">
        <v>43879.341678240744</v>
      </c>
      <c r="B13250" t="str">
        <f>HYPERLINK("https://twitter.com/hariutomo05","@hariutomo05")</f>
        <v>@hariutomo05</v>
      </c>
      <c r="C13250" t="s">
        <v>6341</v>
      </c>
      <c r="D13250">
        <v>2</v>
      </c>
      <c r="E13250">
        <v>0</v>
      </c>
      <c r="F13250">
        <v>117</v>
      </c>
    </row>
    <row r="13251" spans="1:6" ht="12.75">
      <c r="A13251" s="2">
        <v>43879.341354166667</v>
      </c>
      <c r="B13251" t="str">
        <f>HYPERLINK("https://twitter.com/aisyaranni","@aisyaranni")</f>
        <v>@aisyaranni</v>
      </c>
      <c r="C13251" t="s">
        <v>6792</v>
      </c>
      <c r="D13251">
        <v>1</v>
      </c>
      <c r="E13251">
        <v>0</v>
      </c>
      <c r="F13251">
        <v>2749</v>
      </c>
    </row>
    <row r="13252" spans="1:6" ht="12.75">
      <c r="A13252" s="2">
        <v>43879.340844907405</v>
      </c>
      <c r="B13252" t="str">
        <f>HYPERLINK("https://twitter.com/YohanesPatty2","@YohanesPatty2")</f>
        <v>@YohanesPatty2</v>
      </c>
      <c r="C13252" t="s">
        <v>6903</v>
      </c>
      <c r="D13252">
        <v>8</v>
      </c>
      <c r="E13252">
        <v>23</v>
      </c>
      <c r="F13252">
        <v>5589</v>
      </c>
    </row>
    <row r="13253" spans="1:6" ht="12.75">
      <c r="A13253" s="2">
        <v>43879.340729166666</v>
      </c>
      <c r="B13253" t="str">
        <f>HYPERLINK("https://twitter.com/Je_Ly","@Je_Ly")</f>
        <v>@Je_Ly</v>
      </c>
      <c r="C13253" t="s">
        <v>6206</v>
      </c>
      <c r="D13253">
        <v>32</v>
      </c>
      <c r="E13253">
        <v>0</v>
      </c>
      <c r="F13253">
        <v>16668</v>
      </c>
    </row>
    <row r="13254" spans="1:6" ht="12.75">
      <c r="A13254" s="2">
        <v>43879.340312500004</v>
      </c>
      <c r="B13254" t="str">
        <f>HYPERLINK("https://twitter.com/ArsitekSejati","@ArsitekSejati")</f>
        <v>@ArsitekSejati</v>
      </c>
      <c r="C13254" t="s">
        <v>6904</v>
      </c>
      <c r="D13254">
        <v>0</v>
      </c>
      <c r="E13254">
        <v>0</v>
      </c>
      <c r="F13254">
        <v>3</v>
      </c>
    </row>
    <row r="13255" spans="1:6" ht="12.75">
      <c r="A13255" s="2">
        <v>43879.34002314815</v>
      </c>
      <c r="B13255" t="str">
        <f>HYPERLINK("https://twitter.com/Michael79820241","@Michael79820241")</f>
        <v>@Michael79820241</v>
      </c>
      <c r="C13255" t="s">
        <v>5642</v>
      </c>
      <c r="D13255">
        <v>175</v>
      </c>
      <c r="E13255">
        <v>0</v>
      </c>
      <c r="F13255">
        <v>98</v>
      </c>
    </row>
    <row r="13256" spans="1:6" ht="12.75">
      <c r="A13256" s="2">
        <v>43879.339849537035</v>
      </c>
      <c r="B13256" t="str">
        <f>HYPERLINK("https://twitter.com/__beritaterkini","@__beritaterkini")</f>
        <v>@__beritaterkini</v>
      </c>
      <c r="C13256" t="s">
        <v>6905</v>
      </c>
      <c r="D13256">
        <v>0</v>
      </c>
      <c r="E13256">
        <v>0</v>
      </c>
      <c r="F13256">
        <v>442</v>
      </c>
    </row>
    <row r="13257" spans="1:6" ht="12.75">
      <c r="A13257" s="2">
        <v>43879.33494212963</v>
      </c>
      <c r="B13257" t="str">
        <f>HYPERLINK("https://twitter.com/tanto_majukarep","@tanto_majukarep")</f>
        <v>@tanto_majukarep</v>
      </c>
      <c r="C13257" t="s">
        <v>5642</v>
      </c>
      <c r="D13257">
        <v>159</v>
      </c>
      <c r="E13257">
        <v>0</v>
      </c>
      <c r="F13257">
        <v>113</v>
      </c>
    </row>
    <row r="13258" spans="1:6" ht="12.75">
      <c r="A13258" s="2">
        <v>43879.334861111114</v>
      </c>
      <c r="B13258" t="str">
        <f>HYPERLINK("https://twitter.com/YCH7168","@YCH7168")</f>
        <v>@YCH7168</v>
      </c>
      <c r="C13258" t="s">
        <v>6906</v>
      </c>
      <c r="D13258">
        <v>200</v>
      </c>
      <c r="E13258">
        <v>0</v>
      </c>
      <c r="F13258">
        <v>7627</v>
      </c>
    </row>
    <row r="13259" spans="1:6" ht="12.75">
      <c r="A13259" s="2">
        <v>43879.334699074076</v>
      </c>
      <c r="B13259" t="str">
        <f>HYPERLINK("https://twitter.com/BillTemporo","@BillTemporo")</f>
        <v>@BillTemporo</v>
      </c>
      <c r="C13259" t="s">
        <v>832</v>
      </c>
      <c r="D13259">
        <v>0</v>
      </c>
      <c r="E13259">
        <v>0</v>
      </c>
      <c r="F13259">
        <v>11</v>
      </c>
    </row>
    <row r="13260" spans="1:6" ht="12.75">
      <c r="A13260" s="2">
        <v>43879.334502314814</v>
      </c>
      <c r="B13260" t="str">
        <f>HYPERLINK("https://twitter.com/satpolpp_jateng","@satpolpp_jateng")</f>
        <v>@satpolpp_jateng</v>
      </c>
      <c r="C13260" t="s">
        <v>5642</v>
      </c>
      <c r="D13260">
        <v>159</v>
      </c>
      <c r="E13260">
        <v>0</v>
      </c>
      <c r="F13260">
        <v>8929</v>
      </c>
    </row>
    <row r="13261" spans="1:6" ht="12.75">
      <c r="A13261" s="2">
        <v>43879.333530092597</v>
      </c>
      <c r="B13261" t="str">
        <f>HYPERLINK("https://twitter.com/YCH7168","@YCH7168")</f>
        <v>@YCH7168</v>
      </c>
      <c r="C13261" t="s">
        <v>6907</v>
      </c>
      <c r="D13261">
        <v>0</v>
      </c>
      <c r="E13261">
        <v>0</v>
      </c>
      <c r="F13261">
        <v>7627</v>
      </c>
    </row>
    <row r="13262" spans="1:6" ht="12.75">
      <c r="A13262" s="2">
        <v>43879.333472222221</v>
      </c>
      <c r="B13262" t="str">
        <f>HYPERLINK("https://twitter.com/aripinkturtle","@aripinkturtle")</f>
        <v>@aripinkturtle</v>
      </c>
      <c r="C13262" t="s">
        <v>5642</v>
      </c>
      <c r="D13262">
        <v>159</v>
      </c>
      <c r="E13262">
        <v>0</v>
      </c>
      <c r="F13262">
        <v>138</v>
      </c>
    </row>
    <row r="13263" spans="1:6" ht="12.75">
      <c r="A13263" s="2">
        <v>43879.333009259259</v>
      </c>
      <c r="B13263" t="str">
        <f>HYPERLINK("https://twitter.com/KartoKindi","@KartoKindi")</f>
        <v>@KartoKindi</v>
      </c>
      <c r="C13263" t="s">
        <v>6842</v>
      </c>
      <c r="D13263">
        <v>24</v>
      </c>
      <c r="E13263">
        <v>0</v>
      </c>
      <c r="F13263">
        <v>1</v>
      </c>
    </row>
    <row r="13264" spans="1:6" ht="12.75">
      <c r="A13264" s="2">
        <v>43879.33293981482</v>
      </c>
      <c r="B13264" t="str">
        <f>HYPERLINK("https://twitter.com/lilobrr","@lilobrr")</f>
        <v>@lilobrr</v>
      </c>
      <c r="C13264" t="s">
        <v>6908</v>
      </c>
      <c r="D13264">
        <v>0</v>
      </c>
      <c r="E13264">
        <v>0</v>
      </c>
      <c r="F13264">
        <v>132</v>
      </c>
    </row>
    <row r="13265" spans="1:6" ht="12.75">
      <c r="A13265" s="2">
        <v>43879.332916666666</v>
      </c>
      <c r="B13265" t="str">
        <f>HYPERLINK("https://twitter.com/pring_apuz","@pring_apuz")</f>
        <v>@pring_apuz</v>
      </c>
      <c r="C13265" t="s">
        <v>6909</v>
      </c>
      <c r="D13265">
        <v>0</v>
      </c>
      <c r="E13265">
        <v>0</v>
      </c>
      <c r="F13265">
        <v>7</v>
      </c>
    </row>
    <row r="13266" spans="1:6" ht="12.75">
      <c r="A13266" s="2">
        <v>43879.332384259258</v>
      </c>
      <c r="B13266" t="str">
        <f>HYPERLINK("https://twitter.com/Michael79820241","@Michael79820241")</f>
        <v>@Michael79820241</v>
      </c>
      <c r="C13266" t="s">
        <v>6206</v>
      </c>
      <c r="D13266">
        <v>28</v>
      </c>
      <c r="E13266">
        <v>0</v>
      </c>
      <c r="F13266">
        <v>98</v>
      </c>
    </row>
    <row r="13267" spans="1:6" ht="12.75">
      <c r="A13267" s="2">
        <v>43879.332337962958</v>
      </c>
      <c r="B13267" t="str">
        <f>HYPERLINK("https://twitter.com/avoenger","@avoenger")</f>
        <v>@avoenger</v>
      </c>
      <c r="C13267" t="s">
        <v>6910</v>
      </c>
      <c r="D13267">
        <v>0</v>
      </c>
      <c r="E13267">
        <v>0</v>
      </c>
      <c r="F13267">
        <v>8197</v>
      </c>
    </row>
    <row r="13268" spans="1:6" ht="12.75">
      <c r="A13268" s="2">
        <v>43879.331504629634</v>
      </c>
      <c r="B13268" t="str">
        <f>HYPERLINK("https://twitter.com/thbxnmk","@thbxnmk")</f>
        <v>@thbxnmk</v>
      </c>
      <c r="C13268" t="s">
        <v>2118</v>
      </c>
      <c r="D13268">
        <v>6</v>
      </c>
      <c r="E13268">
        <v>0</v>
      </c>
      <c r="F13268">
        <v>0</v>
      </c>
    </row>
    <row r="13269" spans="1:6" ht="12.75">
      <c r="A13269" s="2">
        <v>43879.331400462965</v>
      </c>
      <c r="B13269" t="str">
        <f>HYPERLINK("https://twitter.com/badutulangtahun","@badutulangtahun")</f>
        <v>@badutulangtahun</v>
      </c>
      <c r="C13269" t="s">
        <v>5406</v>
      </c>
      <c r="D13269">
        <v>21</v>
      </c>
      <c r="E13269">
        <v>0</v>
      </c>
      <c r="F13269">
        <v>102</v>
      </c>
    </row>
    <row r="13270" spans="1:6" ht="12.75">
      <c r="A13270" s="2">
        <v>43879.331157407403</v>
      </c>
      <c r="B13270" t="str">
        <f>HYPERLINK("https://twitter.com/Michael79820241","@Michael79820241")</f>
        <v>@Michael79820241</v>
      </c>
      <c r="C13270" t="s">
        <v>6625</v>
      </c>
      <c r="D13270">
        <v>8</v>
      </c>
      <c r="E13270">
        <v>0</v>
      </c>
      <c r="F13270">
        <v>98</v>
      </c>
    </row>
    <row r="13271" spans="1:6" ht="12.75">
      <c r="A13271" s="2">
        <v>43879.331099537041</v>
      </c>
      <c r="B13271" t="str">
        <f>HYPERLINK("https://twitter.com/Dewata_01","@Dewata_01")</f>
        <v>@Dewata_01</v>
      </c>
      <c r="C13271" t="s">
        <v>2155</v>
      </c>
      <c r="D13271">
        <v>444</v>
      </c>
      <c r="E13271">
        <v>0</v>
      </c>
      <c r="F13271">
        <v>1880</v>
      </c>
    </row>
    <row r="13272" spans="1:6" ht="12.75">
      <c r="A13272" s="2">
        <v>43879.331018518518</v>
      </c>
      <c r="B13272" t="str">
        <f>HYPERLINK("https://twitter.com/Tere_one34","@Tere_one34")</f>
        <v>@Tere_one34</v>
      </c>
      <c r="C13272" t="s">
        <v>6206</v>
      </c>
      <c r="D13272">
        <v>28</v>
      </c>
      <c r="E13272">
        <v>0</v>
      </c>
      <c r="F13272">
        <v>4527</v>
      </c>
    </row>
    <row r="13273" spans="1:6" ht="12.75">
      <c r="A13273" s="2">
        <v>43879.33079861111</v>
      </c>
      <c r="B13273" t="str">
        <f>HYPERLINK("https://twitter.com/daancool","@daancool")</f>
        <v>@daancool</v>
      </c>
      <c r="C13273" t="s">
        <v>6911</v>
      </c>
      <c r="D13273">
        <v>0</v>
      </c>
      <c r="E13273">
        <v>0</v>
      </c>
      <c r="F13273">
        <v>341</v>
      </c>
    </row>
    <row r="13274" spans="1:6" ht="12.75">
      <c r="A13274" s="2">
        <v>43879.330787037034</v>
      </c>
      <c r="B13274" t="str">
        <f>HYPERLINK("https://twitter.com/fathan1453","@fathan1453")</f>
        <v>@fathan1453</v>
      </c>
      <c r="C13274" t="s">
        <v>4975</v>
      </c>
      <c r="D13274">
        <v>185</v>
      </c>
      <c r="E13274">
        <v>0</v>
      </c>
      <c r="F13274">
        <v>435</v>
      </c>
    </row>
    <row r="13275" spans="1:6" ht="12.75">
      <c r="A13275" s="2">
        <v>43879.330636574072</v>
      </c>
      <c r="B13275" t="str">
        <f>HYPERLINK("https://twitter.com/mpurwadi","@mpurwadi")</f>
        <v>@mpurwadi</v>
      </c>
      <c r="C13275" t="s">
        <v>6912</v>
      </c>
      <c r="D13275">
        <v>0</v>
      </c>
      <c r="E13275">
        <v>0</v>
      </c>
      <c r="F13275">
        <v>366</v>
      </c>
    </row>
    <row r="13276" spans="1:6" ht="12.75">
      <c r="A13276" s="2">
        <v>43879.330590277779</v>
      </c>
      <c r="B13276" t="str">
        <f>HYPERLINK("https://twitter.com/KartoKindi","@KartoKindi")</f>
        <v>@KartoKindi</v>
      </c>
      <c r="C13276" t="s">
        <v>5642</v>
      </c>
      <c r="D13276">
        <v>159</v>
      </c>
      <c r="E13276">
        <v>0</v>
      </c>
      <c r="F13276">
        <v>1</v>
      </c>
    </row>
    <row r="13277" spans="1:6" ht="12.75">
      <c r="A13277" s="2">
        <v>43879.330231481479</v>
      </c>
      <c r="B13277" t="str">
        <f>HYPERLINK("https://twitter.com/saranglebah99","@saranglebah99")</f>
        <v>@saranglebah99</v>
      </c>
      <c r="C13277" t="s">
        <v>6893</v>
      </c>
      <c r="D13277">
        <v>0</v>
      </c>
      <c r="E13277">
        <v>0</v>
      </c>
      <c r="F13277">
        <v>7</v>
      </c>
    </row>
    <row r="13278" spans="1:6" ht="12.75">
      <c r="A13278" s="2">
        <v>43879.330104166671</v>
      </c>
      <c r="B13278" t="str">
        <f>HYPERLINK("https://twitter.com/jojo_botak","@jojo_botak")</f>
        <v>@jojo_botak</v>
      </c>
      <c r="C13278" t="s">
        <v>6913</v>
      </c>
      <c r="D13278">
        <v>0</v>
      </c>
      <c r="E13278">
        <v>0</v>
      </c>
      <c r="F13278">
        <v>1441</v>
      </c>
    </row>
    <row r="13279" spans="1:6" ht="12.75">
      <c r="A13279" s="2">
        <v>43879.329907407402</v>
      </c>
      <c r="B13279" t="str">
        <f>HYPERLINK("https://twitter.com/rahminova2","@rahminova2")</f>
        <v>@rahminova2</v>
      </c>
      <c r="C13279" t="s">
        <v>6508</v>
      </c>
      <c r="D13279">
        <v>16</v>
      </c>
      <c r="E13279">
        <v>0</v>
      </c>
      <c r="F13279">
        <v>1298</v>
      </c>
    </row>
    <row r="13280" spans="1:6" ht="12.75">
      <c r="A13280" s="2">
        <v>43879.329884259263</v>
      </c>
      <c r="B13280" t="str">
        <f>HYPERLINK("https://twitter.com/AdhiPrYo","@AdhiPrYo")</f>
        <v>@AdhiPrYo</v>
      </c>
      <c r="C13280" t="s">
        <v>4975</v>
      </c>
      <c r="D13280">
        <v>185</v>
      </c>
      <c r="E13280">
        <v>0</v>
      </c>
      <c r="F13280">
        <v>15</v>
      </c>
    </row>
    <row r="13281" spans="1:6" ht="12.75">
      <c r="A13281" s="2">
        <v>43879.328587962962</v>
      </c>
      <c r="B13281" t="str">
        <f>HYPERLINK("https://twitter.com/895jizfm","@895jizfm")</f>
        <v>@895jizfm</v>
      </c>
      <c r="C13281" t="s">
        <v>6914</v>
      </c>
      <c r="D13281">
        <v>0</v>
      </c>
      <c r="E13281">
        <v>0</v>
      </c>
      <c r="F13281">
        <v>25353</v>
      </c>
    </row>
    <row r="13282" spans="1:6" ht="12.75">
      <c r="A13282" s="2">
        <v>43879.327476851853</v>
      </c>
      <c r="B13282" t="str">
        <f>HYPERLINK("https://twitter.com/argatrisarmy","@argatrisarmy")</f>
        <v>@argatrisarmy</v>
      </c>
      <c r="C13282" t="s">
        <v>6842</v>
      </c>
      <c r="D13282">
        <v>24</v>
      </c>
      <c r="E13282">
        <v>0</v>
      </c>
      <c r="F13282">
        <v>141</v>
      </c>
    </row>
    <row r="13283" spans="1:6" ht="12.75">
      <c r="A13283" s="2">
        <v>43879.326053240744</v>
      </c>
      <c r="B13283" t="str">
        <f>HYPERLINK("https://twitter.com/pricess2178185","@pricess2178185")</f>
        <v>@pricess2178185</v>
      </c>
      <c r="C13283" t="s">
        <v>5642</v>
      </c>
      <c r="D13283">
        <v>159</v>
      </c>
      <c r="E13283">
        <v>0</v>
      </c>
      <c r="F13283">
        <v>38</v>
      </c>
    </row>
    <row r="13284" spans="1:6" ht="12.75">
      <c r="A13284" s="2">
        <v>43879.324884259258</v>
      </c>
      <c r="B13284" t="str">
        <f>HYPERLINK("https://twitter.com/SamrohSamaon","@SamrohSamaon")</f>
        <v>@SamrohSamaon</v>
      </c>
      <c r="C13284" t="s">
        <v>6915</v>
      </c>
      <c r="D13284">
        <v>0</v>
      </c>
      <c r="E13284">
        <v>0</v>
      </c>
      <c r="F13284">
        <v>35</v>
      </c>
    </row>
    <row r="13285" spans="1:6" ht="12.75">
      <c r="A13285" s="2">
        <v>43879.32440972222</v>
      </c>
      <c r="B13285" t="str">
        <f>HYPERLINK("https://twitter.com/markabananwar","@markabananwar")</f>
        <v>@markabananwar</v>
      </c>
      <c r="C13285" t="s">
        <v>6916</v>
      </c>
      <c r="D13285">
        <v>0</v>
      </c>
      <c r="E13285">
        <v>0</v>
      </c>
      <c r="F13285">
        <v>162</v>
      </c>
    </row>
    <row r="13286" spans="1:6" ht="12.75">
      <c r="A13286" s="2">
        <v>43879.32408564815</v>
      </c>
      <c r="B13286" t="str">
        <f>HYPERLINK("https://twitter.com/hendrahwahyudi","@hendrahwahyudi")</f>
        <v>@hendrahwahyudi</v>
      </c>
      <c r="C13286" t="s">
        <v>6917</v>
      </c>
      <c r="D13286">
        <v>0</v>
      </c>
      <c r="E13286">
        <v>0</v>
      </c>
      <c r="F13286">
        <v>1599</v>
      </c>
    </row>
    <row r="13287" spans="1:6" ht="12.75">
      <c r="A13287" s="2">
        <v>43879.323900462958</v>
      </c>
      <c r="B13287" t="str">
        <f>HYPERLINK("https://twitter.com/bagaswa32317478","@bagaswa32317478")</f>
        <v>@bagaswa32317478</v>
      </c>
      <c r="C13287" t="s">
        <v>6206</v>
      </c>
      <c r="D13287">
        <v>28</v>
      </c>
      <c r="E13287">
        <v>0</v>
      </c>
      <c r="F13287">
        <v>21</v>
      </c>
    </row>
    <row r="13288" spans="1:6" ht="12.75">
      <c r="A13288" s="2">
        <v>43879.323645833334</v>
      </c>
      <c r="B13288" t="str">
        <f>HYPERLINK("https://twitter.com/hamaro_id","@hamaro_id")</f>
        <v>@hamaro_id</v>
      </c>
      <c r="C13288" t="s">
        <v>6625</v>
      </c>
      <c r="D13288">
        <v>8</v>
      </c>
      <c r="E13288">
        <v>0</v>
      </c>
      <c r="F13288">
        <v>1572</v>
      </c>
    </row>
    <row r="13289" spans="1:6" ht="12.75">
      <c r="A13289" s="2">
        <v>43879.323506944449</v>
      </c>
      <c r="B13289" t="str">
        <f>HYPERLINK("https://twitter.com/wennice8","@wennice8")</f>
        <v>@wennice8</v>
      </c>
      <c r="C13289" t="s">
        <v>6727</v>
      </c>
      <c r="D13289">
        <v>33</v>
      </c>
      <c r="E13289">
        <v>0</v>
      </c>
      <c r="F13289">
        <v>308</v>
      </c>
    </row>
    <row r="13290" spans="1:6" ht="12.75">
      <c r="A13290" s="2">
        <v>43879.322916666672</v>
      </c>
      <c r="B13290" t="str">
        <f>HYPERLINK("https://twitter.com/YoulleYellow","@YoulleYellow")</f>
        <v>@YoulleYellow</v>
      </c>
      <c r="C13290" t="s">
        <v>6625</v>
      </c>
      <c r="D13290">
        <v>8</v>
      </c>
      <c r="E13290">
        <v>0</v>
      </c>
      <c r="F13290">
        <v>205</v>
      </c>
    </row>
    <row r="13291" spans="1:6" ht="12.75">
      <c r="A13291" s="2">
        <v>43879.322511574079</v>
      </c>
      <c r="B13291" t="str">
        <f>HYPERLINK("https://twitter.com/kamapradipta","@kamapradipta")</f>
        <v>@kamapradipta</v>
      </c>
      <c r="C13291" t="s">
        <v>6918</v>
      </c>
      <c r="D13291">
        <v>0</v>
      </c>
      <c r="E13291">
        <v>0</v>
      </c>
      <c r="F13291">
        <v>778</v>
      </c>
    </row>
    <row r="13292" spans="1:6" ht="12.75">
      <c r="A13292" s="2">
        <v>43879.322372685187</v>
      </c>
      <c r="B13292" t="str">
        <f>HYPERLINK("https://twitter.com/virdamansur","@virdamansur")</f>
        <v>@virdamansur</v>
      </c>
      <c r="C13292" t="s">
        <v>6893</v>
      </c>
      <c r="D13292">
        <v>0</v>
      </c>
      <c r="E13292">
        <v>1</v>
      </c>
      <c r="F13292">
        <v>253</v>
      </c>
    </row>
    <row r="13293" spans="1:6" ht="12.75">
      <c r="A13293" s="2">
        <v>43879.321840277778</v>
      </c>
      <c r="B13293" t="str">
        <f>HYPERLINK("https://twitter.com/RelawanUMKM","@RelawanUMKM")</f>
        <v>@RelawanUMKM</v>
      </c>
      <c r="C13293" t="s">
        <v>5642</v>
      </c>
      <c r="D13293">
        <v>159</v>
      </c>
      <c r="E13293">
        <v>0</v>
      </c>
      <c r="F13293">
        <v>379</v>
      </c>
    </row>
    <row r="13294" spans="1:6" ht="12.75">
      <c r="A13294" s="2">
        <v>43879.321516203709</v>
      </c>
      <c r="B13294" t="str">
        <f>HYPERLINK("https://twitter.com/bilalsaratoga","@bilalsaratoga")</f>
        <v>@bilalsaratoga</v>
      </c>
      <c r="C13294" t="s">
        <v>6161</v>
      </c>
      <c r="D13294">
        <v>339</v>
      </c>
      <c r="E13294">
        <v>0</v>
      </c>
      <c r="F13294">
        <v>419</v>
      </c>
    </row>
    <row r="13295" spans="1:6" ht="12.75">
      <c r="A13295" s="2">
        <v>43879.32094907407</v>
      </c>
      <c r="B13295" t="str">
        <f>HYPERLINK("https://twitter.com/ISIS_Balik_NO","@ISIS_Balik_NO")</f>
        <v>@ISIS_Balik_NO</v>
      </c>
      <c r="C13295" t="s">
        <v>6919</v>
      </c>
      <c r="D13295">
        <v>0</v>
      </c>
      <c r="E13295">
        <v>0</v>
      </c>
      <c r="F13295">
        <v>6004</v>
      </c>
    </row>
    <row r="13296" spans="1:6" ht="12.75">
      <c r="A13296" s="2">
        <v>43879.320706018523</v>
      </c>
      <c r="B13296" t="str">
        <f>HYPERLINK("https://twitter.com/natalsetio","@natalsetio")</f>
        <v>@natalsetio</v>
      </c>
      <c r="C13296" t="s">
        <v>6920</v>
      </c>
      <c r="D13296">
        <v>0</v>
      </c>
      <c r="E13296">
        <v>0</v>
      </c>
      <c r="F13296">
        <v>2119</v>
      </c>
    </row>
    <row r="13297" spans="1:6" ht="12.75">
      <c r="A13297" s="2">
        <v>43879.320694444439</v>
      </c>
      <c r="B13297" t="str">
        <f>HYPERLINK("https://twitter.com/sukabumiazam","@sukabumiazam")</f>
        <v>@sukabumiazam</v>
      </c>
      <c r="C13297" t="s">
        <v>6508</v>
      </c>
      <c r="D13297">
        <v>16</v>
      </c>
      <c r="E13297">
        <v>0</v>
      </c>
      <c r="F13297">
        <v>456</v>
      </c>
    </row>
    <row r="13298" spans="1:6" ht="12.75">
      <c r="A13298" s="2">
        <v>43879.320381944446</v>
      </c>
      <c r="B13298" t="str">
        <f>HYPERLINK("https://twitter.com/shinyojibril","@shinyojibril")</f>
        <v>@shinyojibril</v>
      </c>
      <c r="C13298" t="s">
        <v>5642</v>
      </c>
      <c r="D13298">
        <v>159</v>
      </c>
      <c r="E13298">
        <v>0</v>
      </c>
      <c r="F13298">
        <v>3</v>
      </c>
    </row>
    <row r="13299" spans="1:6" ht="12.75">
      <c r="A13299" s="2">
        <v>43879.319756944446</v>
      </c>
      <c r="B13299" t="str">
        <f>HYPERLINK("https://twitter.com/KEZIAAM0UR","@KEZIAAM0UR")</f>
        <v>@KEZIAAM0UR</v>
      </c>
      <c r="C13299" t="s">
        <v>6921</v>
      </c>
      <c r="D13299">
        <v>0</v>
      </c>
      <c r="E13299">
        <v>0</v>
      </c>
      <c r="F13299">
        <v>99</v>
      </c>
    </row>
    <row r="13300" spans="1:6" ht="12.75">
      <c r="A13300" s="2">
        <v>43879.319733796292</v>
      </c>
      <c r="B13300" t="str">
        <f>HYPERLINK("https://twitter.com/ISIS_Balik_NO","@ISIS_Balik_NO")</f>
        <v>@ISIS_Balik_NO</v>
      </c>
      <c r="C13300" t="s">
        <v>6922</v>
      </c>
      <c r="D13300">
        <v>437</v>
      </c>
      <c r="E13300">
        <v>0</v>
      </c>
      <c r="F13300">
        <v>6004</v>
      </c>
    </row>
    <row r="13301" spans="1:6" ht="12.75">
      <c r="A13301" s="2">
        <v>43879.318912037037</v>
      </c>
      <c r="B13301" t="str">
        <f>HYPERLINK("https://twitter.com/gusary","@gusary")</f>
        <v>@gusary</v>
      </c>
      <c r="C13301" t="s">
        <v>2155</v>
      </c>
      <c r="D13301">
        <v>444</v>
      </c>
      <c r="E13301">
        <v>0</v>
      </c>
      <c r="F13301">
        <v>285</v>
      </c>
    </row>
    <row r="13302" spans="1:6" ht="12.75">
      <c r="A13302" s="2">
        <v>43879.31863425926</v>
      </c>
      <c r="B13302" t="str">
        <f>HYPERLINK("https://twitter.com/Bima040916","@Bima040916")</f>
        <v>@Bima040916</v>
      </c>
      <c r="C13302" t="s">
        <v>5642</v>
      </c>
      <c r="D13302">
        <v>159</v>
      </c>
      <c r="E13302">
        <v>0</v>
      </c>
      <c r="F13302">
        <v>1619</v>
      </c>
    </row>
    <row r="13303" spans="1:6" ht="12.75">
      <c r="A13303" s="2">
        <v>43879.317175925928</v>
      </c>
      <c r="B13303" t="str">
        <f>HYPERLINK("https://twitter.com/bilalsaratoga","@bilalsaratoga")</f>
        <v>@bilalsaratoga</v>
      </c>
      <c r="C13303" t="s">
        <v>175</v>
      </c>
      <c r="D13303">
        <v>5396</v>
      </c>
      <c r="E13303">
        <v>0</v>
      </c>
      <c r="F13303">
        <v>419</v>
      </c>
    </row>
    <row r="13304" spans="1:6" ht="12.75">
      <c r="A13304" s="2">
        <v>43879.316863425927</v>
      </c>
      <c r="B13304" t="str">
        <f>HYPERLINK("https://twitter.com/idayu_wien","@idayu_wien")</f>
        <v>@idayu_wien</v>
      </c>
      <c r="C13304" t="s">
        <v>6923</v>
      </c>
      <c r="D13304">
        <v>0</v>
      </c>
      <c r="E13304">
        <v>1</v>
      </c>
      <c r="F13304">
        <v>1357</v>
      </c>
    </row>
    <row r="13305" spans="1:6" ht="12.75">
      <c r="A13305" s="2">
        <v>43879.316759259258</v>
      </c>
      <c r="B13305" t="str">
        <f>HYPERLINK("https://twitter.com/yudi_firman1988","@yudi_firman1988")</f>
        <v>@yudi_firman1988</v>
      </c>
      <c r="C13305" t="s">
        <v>5642</v>
      </c>
      <c r="D13305">
        <v>159</v>
      </c>
      <c r="E13305">
        <v>0</v>
      </c>
      <c r="F13305">
        <v>210</v>
      </c>
    </row>
    <row r="13306" spans="1:6" ht="12.75">
      <c r="A13306" s="2">
        <v>43879.316643518519</v>
      </c>
      <c r="B13306" t="str">
        <f>HYPERLINK("https://twitter.com/idayu_wien","@idayu_wien")</f>
        <v>@idayu_wien</v>
      </c>
      <c r="C13306" t="s">
        <v>6924</v>
      </c>
      <c r="D13306">
        <v>0</v>
      </c>
      <c r="E13306">
        <v>0</v>
      </c>
      <c r="F13306">
        <v>1357</v>
      </c>
    </row>
    <row r="13307" spans="1:6" ht="12.75">
      <c r="A13307" s="2">
        <v>43879.316620370373</v>
      </c>
      <c r="B13307" t="str">
        <f>HYPERLINK("https://twitter.com/RakyatInfo3","@RakyatInfo3")</f>
        <v>@RakyatInfo3</v>
      </c>
      <c r="C13307" t="s">
        <v>6893</v>
      </c>
      <c r="D13307">
        <v>0</v>
      </c>
      <c r="E13307">
        <v>0</v>
      </c>
      <c r="F13307">
        <v>24</v>
      </c>
    </row>
    <row r="13308" spans="1:6" ht="12.75">
      <c r="A13308" s="2">
        <v>43879.315925925926</v>
      </c>
      <c r="B13308" t="str">
        <f>HYPERLINK("https://twitter.com/jjwalshhh","@jjwalshhh")</f>
        <v>@jjwalshhh</v>
      </c>
      <c r="C13308" t="s">
        <v>6925</v>
      </c>
      <c r="D13308">
        <v>0</v>
      </c>
      <c r="E13308">
        <v>0</v>
      </c>
      <c r="F13308">
        <v>96</v>
      </c>
    </row>
    <row r="13309" spans="1:6" ht="12.75">
      <c r="A13309" s="2">
        <v>43879.315844907411</v>
      </c>
      <c r="B13309" t="str">
        <f>HYPERLINK("https://twitter.com/qixxxks","@qixxxks")</f>
        <v>@qixxxks</v>
      </c>
      <c r="C13309" t="s">
        <v>5642</v>
      </c>
      <c r="D13309">
        <v>159</v>
      </c>
      <c r="E13309">
        <v>0</v>
      </c>
      <c r="F13309">
        <v>10</v>
      </c>
    </row>
    <row r="13310" spans="1:6" ht="12.75">
      <c r="A13310" s="2">
        <v>43879.315625000003</v>
      </c>
      <c r="B13310" t="str">
        <f>HYPERLINK("https://twitter.com/r4nigoes","@r4nigoes")</f>
        <v>@r4nigoes</v>
      </c>
      <c r="C13310" t="s">
        <v>6926</v>
      </c>
      <c r="D13310">
        <v>0</v>
      </c>
      <c r="E13310">
        <v>0</v>
      </c>
      <c r="F13310">
        <v>211</v>
      </c>
    </row>
    <row r="13311" spans="1:6" ht="12.75">
      <c r="A13311" s="2">
        <v>43879.313842592594</v>
      </c>
      <c r="B13311" t="str">
        <f>HYPERLINK("https://twitter.com/BillTemporo","@BillTemporo")</f>
        <v>@BillTemporo</v>
      </c>
      <c r="C13311" t="s">
        <v>2092</v>
      </c>
      <c r="D13311">
        <v>0</v>
      </c>
      <c r="E13311">
        <v>0</v>
      </c>
      <c r="F13311">
        <v>11</v>
      </c>
    </row>
    <row r="13312" spans="1:6" ht="12.75">
      <c r="A13312" s="2">
        <v>43879.313750000001</v>
      </c>
      <c r="B13312" t="str">
        <f>HYPERLINK("https://twitter.com/emefen_","@emefen_")</f>
        <v>@emefen_</v>
      </c>
      <c r="C13312" t="s">
        <v>5642</v>
      </c>
      <c r="D13312">
        <v>159</v>
      </c>
      <c r="E13312">
        <v>0</v>
      </c>
      <c r="F13312">
        <v>429</v>
      </c>
    </row>
    <row r="13313" spans="1:6" ht="12.75">
      <c r="A13313" s="2">
        <v>43879.313483796301</v>
      </c>
      <c r="B13313" t="str">
        <f>HYPERLINK("https://twitter.com/NiniYobel","@NiniYobel")</f>
        <v>@NiniYobel</v>
      </c>
      <c r="C13313" t="s">
        <v>6733</v>
      </c>
      <c r="D13313">
        <v>14</v>
      </c>
      <c r="E13313">
        <v>0</v>
      </c>
      <c r="F13313">
        <v>1</v>
      </c>
    </row>
    <row r="13314" spans="1:6" ht="12.75">
      <c r="A13314" s="2">
        <v>43879.313171296293</v>
      </c>
      <c r="B13314" t="str">
        <f>HYPERLINK("https://twitter.com/RasyidDemokrat","@RasyidDemokrat")</f>
        <v>@RasyidDemokrat</v>
      </c>
      <c r="C13314" t="s">
        <v>6927</v>
      </c>
      <c r="D13314">
        <v>0</v>
      </c>
      <c r="E13314">
        <v>0</v>
      </c>
      <c r="F13314">
        <v>24532</v>
      </c>
    </row>
    <row r="13315" spans="1:6" ht="12.75">
      <c r="A13315" s="2">
        <v>43879.313067129631</v>
      </c>
      <c r="B13315" t="str">
        <f>HYPERLINK("https://twitter.com/damario04","@damario04")</f>
        <v>@damario04</v>
      </c>
      <c r="C13315" t="s">
        <v>391</v>
      </c>
      <c r="D13315">
        <v>0</v>
      </c>
      <c r="E13315">
        <v>0</v>
      </c>
      <c r="F13315">
        <v>404</v>
      </c>
    </row>
    <row r="13316" spans="1:6" ht="12.75">
      <c r="A13316" s="2">
        <v>43879.312384259261</v>
      </c>
      <c r="B13316" t="str">
        <f>HYPERLINK("https://twitter.com/YanuarAzhar1170","@YanuarAzhar1170")</f>
        <v>@YanuarAzhar1170</v>
      </c>
      <c r="C13316" t="s">
        <v>6508</v>
      </c>
      <c r="D13316">
        <v>16</v>
      </c>
      <c r="E13316">
        <v>0</v>
      </c>
      <c r="F13316">
        <v>664</v>
      </c>
    </row>
    <row r="13317" spans="1:6" ht="12.75">
      <c r="A13317" s="2">
        <v>43879.311168981483</v>
      </c>
      <c r="B13317" t="str">
        <f>HYPERLINK("https://twitter.com/BicaraWanita","@BicaraWanita")</f>
        <v>@BicaraWanita</v>
      </c>
      <c r="C13317" t="s">
        <v>2131</v>
      </c>
      <c r="D13317">
        <v>0</v>
      </c>
      <c r="E13317">
        <v>0</v>
      </c>
      <c r="F13317">
        <v>17978</v>
      </c>
    </row>
    <row r="13318" spans="1:6" ht="12.75">
      <c r="A13318" s="2">
        <v>43879.31113425926</v>
      </c>
      <c r="B13318" t="str">
        <f>HYPERLINK("https://twitter.com/gunoto7","@gunoto7")</f>
        <v>@gunoto7</v>
      </c>
      <c r="C13318" t="s">
        <v>2155</v>
      </c>
      <c r="D13318">
        <v>444</v>
      </c>
      <c r="E13318">
        <v>0</v>
      </c>
      <c r="F13318">
        <v>2743</v>
      </c>
    </row>
    <row r="13319" spans="1:6" ht="12.75">
      <c r="A13319" s="2">
        <v>43879.310578703706</v>
      </c>
      <c r="B13319" t="str">
        <f>HYPERLINK("https://twitter.com/NegaraAPI2","@NegaraAPI2")</f>
        <v>@NegaraAPI2</v>
      </c>
      <c r="C13319" t="s">
        <v>6893</v>
      </c>
      <c r="D13319">
        <v>0</v>
      </c>
      <c r="E13319">
        <v>0</v>
      </c>
      <c r="F13319">
        <v>33</v>
      </c>
    </row>
    <row r="13320" spans="1:6" ht="12.75">
      <c r="A13320" s="2">
        <v>43879.310474537036</v>
      </c>
      <c r="B13320" t="str">
        <f>HYPERLINK("https://twitter.com/TheNextIronMan","@TheNextIronMan")</f>
        <v>@TheNextIronMan</v>
      </c>
      <c r="C13320" t="s">
        <v>5642</v>
      </c>
      <c r="D13320">
        <v>159</v>
      </c>
      <c r="E13320">
        <v>0</v>
      </c>
      <c r="F13320">
        <v>153</v>
      </c>
    </row>
    <row r="13321" spans="1:6" ht="12.75">
      <c r="A13321" s="2">
        <v>43879.309965277775</v>
      </c>
      <c r="B13321" t="str">
        <f>HYPERLINK("https://twitter.com/Sainara7","@Sainara7")</f>
        <v>@Sainara7</v>
      </c>
      <c r="C13321" t="s">
        <v>5642</v>
      </c>
      <c r="D13321">
        <v>159</v>
      </c>
      <c r="E13321">
        <v>0</v>
      </c>
      <c r="F13321">
        <v>186</v>
      </c>
    </row>
    <row r="13322" spans="1:6" ht="12.75">
      <c r="A13322" s="2">
        <v>43879.309953703705</v>
      </c>
      <c r="B13322" t="str">
        <f>HYPERLINK("https://twitter.com/PewartaSatu","@PewartaSatu")</f>
        <v>@PewartaSatu</v>
      </c>
      <c r="C13322" t="s">
        <v>6928</v>
      </c>
      <c r="D13322">
        <v>0</v>
      </c>
      <c r="E13322">
        <v>0</v>
      </c>
      <c r="F13322">
        <v>51</v>
      </c>
    </row>
    <row r="13323" spans="1:6" ht="12.75">
      <c r="A13323" s="2">
        <v>43879.309664351851</v>
      </c>
      <c r="B13323" t="str">
        <f>HYPERLINK("https://twitter.com/Pattymurapatty","@Pattymurapatty")</f>
        <v>@Pattymurapatty</v>
      </c>
      <c r="C13323" t="s">
        <v>6508</v>
      </c>
      <c r="D13323">
        <v>16</v>
      </c>
      <c r="E13323">
        <v>0</v>
      </c>
      <c r="F13323">
        <v>599</v>
      </c>
    </row>
    <row r="13324" spans="1:6" ht="12.75">
      <c r="A13324" s="2">
        <v>43879.309479166666</v>
      </c>
      <c r="B13324" t="str">
        <f>HYPERLINK("https://twitter.com/wijayaaswan","@wijayaaswan")</f>
        <v>@wijayaaswan</v>
      </c>
      <c r="C13324" t="s">
        <v>4975</v>
      </c>
      <c r="D13324">
        <v>185</v>
      </c>
      <c r="E13324">
        <v>0</v>
      </c>
      <c r="F13324">
        <v>591</v>
      </c>
    </row>
    <row r="13325" spans="1:6" ht="12.75">
      <c r="A13325" s="2">
        <v>43879.309074074074</v>
      </c>
      <c r="B13325" t="str">
        <f>HYPERLINK("https://twitter.com/abdulloh2015","@abdulloh2015")</f>
        <v>@abdulloh2015</v>
      </c>
      <c r="C13325" t="s">
        <v>2123</v>
      </c>
      <c r="D13325">
        <v>0</v>
      </c>
      <c r="E13325">
        <v>0</v>
      </c>
      <c r="F13325">
        <v>61</v>
      </c>
    </row>
    <row r="13326" spans="1:6" ht="12.75">
      <c r="A13326" s="2">
        <v>43879.308969907404</v>
      </c>
      <c r="B13326" t="str">
        <f>HYPERLINK("https://twitter.com/HendrixJimi1","@HendrixJimi1")</f>
        <v>@HendrixJimi1</v>
      </c>
      <c r="C13326" t="s">
        <v>6929</v>
      </c>
      <c r="D13326">
        <v>0</v>
      </c>
      <c r="E13326">
        <v>0</v>
      </c>
      <c r="F13326">
        <v>161</v>
      </c>
    </row>
    <row r="13327" spans="1:6" ht="12.75">
      <c r="A13327" s="2">
        <v>43879.30878472222</v>
      </c>
      <c r="B13327" t="str">
        <f>HYPERLINK("https://twitter.com/putucangkiri","@putucangkiri")</f>
        <v>@putucangkiri</v>
      </c>
      <c r="C13327" t="s">
        <v>6893</v>
      </c>
      <c r="D13327">
        <v>0</v>
      </c>
      <c r="E13327">
        <v>0</v>
      </c>
      <c r="F13327">
        <v>86</v>
      </c>
    </row>
    <row r="13328" spans="1:6" ht="12.75">
      <c r="A13328" s="2">
        <v>43879.308437500003</v>
      </c>
      <c r="B13328" t="str">
        <f>HYPERLINK("https://twitter.com/bahtiar","@bahtiar")</f>
        <v>@bahtiar</v>
      </c>
      <c r="C13328" t="s">
        <v>6930</v>
      </c>
      <c r="D13328">
        <v>0</v>
      </c>
      <c r="E13328">
        <v>0</v>
      </c>
      <c r="F13328">
        <v>1297</v>
      </c>
    </row>
    <row r="13329" spans="1:6" ht="12.75">
      <c r="A13329" s="2">
        <v>43879.30841435185</v>
      </c>
      <c r="B13329" t="str">
        <f>HYPERLINK("https://twitter.com/dim0716demak","@dim0716demak")</f>
        <v>@dim0716demak</v>
      </c>
      <c r="C13329" t="s">
        <v>6931</v>
      </c>
      <c r="D13329">
        <v>0</v>
      </c>
      <c r="E13329">
        <v>0</v>
      </c>
      <c r="F13329">
        <v>1209</v>
      </c>
    </row>
    <row r="13330" spans="1:6" ht="12.75">
      <c r="A13330" s="2">
        <v>43879.308298611111</v>
      </c>
      <c r="B13330" t="str">
        <f>HYPERLINK("https://twitter.com/AgustinNur19","@AgustinNur19")</f>
        <v>@AgustinNur19</v>
      </c>
      <c r="C13330" t="s">
        <v>5642</v>
      </c>
      <c r="D13330">
        <v>159</v>
      </c>
      <c r="E13330">
        <v>0</v>
      </c>
      <c r="F13330">
        <v>38</v>
      </c>
    </row>
    <row r="13331" spans="1:6" ht="12.75">
      <c r="A13331" s="2">
        <v>43879.308217592596</v>
      </c>
      <c r="B13331" t="str">
        <f>HYPERLINK("https://twitter.com/sketsaonline","@sketsaonline")</f>
        <v>@sketsaonline</v>
      </c>
      <c r="C13331" t="s">
        <v>6932</v>
      </c>
      <c r="D13331">
        <v>0</v>
      </c>
      <c r="E13331">
        <v>0</v>
      </c>
      <c r="F13331">
        <v>99</v>
      </c>
    </row>
    <row r="13332" spans="1:6" ht="12.75">
      <c r="A13332" s="2">
        <v>43879.307615740741</v>
      </c>
      <c r="B13332" t="str">
        <f>HYPERLINK("https://twitter.com/JackHendro99","@JackHendro99")</f>
        <v>@JackHendro99</v>
      </c>
      <c r="C13332" t="s">
        <v>5642</v>
      </c>
      <c r="D13332">
        <v>159</v>
      </c>
      <c r="E13332">
        <v>0</v>
      </c>
      <c r="F13332">
        <v>11</v>
      </c>
    </row>
    <row r="13333" spans="1:6" ht="12.75">
      <c r="A13333" s="2">
        <v>43879.307581018518</v>
      </c>
      <c r="B13333" t="str">
        <f>HYPERLINK("https://twitter.com/cintaichitan","@cintaichitan")</f>
        <v>@cintaichitan</v>
      </c>
      <c r="C13333" t="s">
        <v>3340</v>
      </c>
      <c r="D13333">
        <v>321</v>
      </c>
      <c r="E13333">
        <v>0</v>
      </c>
      <c r="F13333">
        <v>1198</v>
      </c>
    </row>
    <row r="13334" spans="1:6" ht="12.75">
      <c r="A13334" s="2">
        <v>43879.307118055556</v>
      </c>
      <c r="B13334" t="str">
        <f>HYPERLINK("https://twitter.com/Leo_sanny","@Leo_sanny")</f>
        <v>@Leo_sanny</v>
      </c>
      <c r="C13334" t="s">
        <v>6721</v>
      </c>
      <c r="D13334">
        <v>386</v>
      </c>
      <c r="E13334">
        <v>0</v>
      </c>
      <c r="F13334">
        <v>134</v>
      </c>
    </row>
    <row r="13335" spans="1:6" ht="12.75">
      <c r="A13335" s="2">
        <v>43879.30704861111</v>
      </c>
      <c r="B13335" t="str">
        <f>HYPERLINK("https://twitter.com/cahayalilin6","@cahayalilin6")</f>
        <v>@cahayalilin6</v>
      </c>
      <c r="C13335" t="s">
        <v>2155</v>
      </c>
      <c r="D13335">
        <v>444</v>
      </c>
      <c r="E13335">
        <v>0</v>
      </c>
      <c r="F13335">
        <v>3</v>
      </c>
    </row>
    <row r="13336" spans="1:6" ht="12.75">
      <c r="A13336" s="2">
        <v>43879.306608796294</v>
      </c>
      <c r="B13336" t="str">
        <f>HYPERLINK("https://twitter.com/imyourqwinn","@imyourqwinn")</f>
        <v>@imyourqwinn</v>
      </c>
      <c r="C13336" t="s">
        <v>3340</v>
      </c>
      <c r="D13336">
        <v>321</v>
      </c>
      <c r="E13336">
        <v>0</v>
      </c>
      <c r="F13336">
        <v>5178</v>
      </c>
    </row>
    <row r="13337" spans="1:6" ht="12.75">
      <c r="A13337" s="2">
        <v>43879.305914351848</v>
      </c>
      <c r="B13337" t="str">
        <f>HYPERLINK("https://twitter.com/AdityaSmg","@AdityaSmg")</f>
        <v>@AdityaSmg</v>
      </c>
      <c r="C13337" t="s">
        <v>5642</v>
      </c>
      <c r="D13337">
        <v>159</v>
      </c>
      <c r="E13337">
        <v>0</v>
      </c>
      <c r="F13337">
        <v>262</v>
      </c>
    </row>
    <row r="13338" spans="1:6" ht="12.75">
      <c r="A13338" s="2">
        <v>43879.305196759262</v>
      </c>
      <c r="B13338" t="str">
        <f>HYPERLINK("https://twitter.com/ngurah_suta","@ngurah_suta")</f>
        <v>@ngurah_suta</v>
      </c>
      <c r="C13338" t="s">
        <v>6206</v>
      </c>
      <c r="D13338">
        <v>28</v>
      </c>
      <c r="E13338">
        <v>0</v>
      </c>
      <c r="F13338">
        <v>957</v>
      </c>
    </row>
    <row r="13339" spans="1:6" ht="12.75">
      <c r="A13339" s="2">
        <v>43879.30505787037</v>
      </c>
      <c r="B13339" t="str">
        <f>HYPERLINK("https://twitter.com/misbachzfadli","@misbachzfadli")</f>
        <v>@misbachzfadli</v>
      </c>
      <c r="C13339" t="s">
        <v>5642</v>
      </c>
      <c r="D13339">
        <v>159</v>
      </c>
      <c r="E13339">
        <v>0</v>
      </c>
      <c r="F13339">
        <v>270</v>
      </c>
    </row>
    <row r="13340" spans="1:6" ht="12.75">
      <c r="A13340" s="2">
        <v>43879.304733796293</v>
      </c>
      <c r="B13340" t="str">
        <f>HYPERLINK("https://twitter.com/dinaw3","@dinaw3")</f>
        <v>@dinaw3</v>
      </c>
      <c r="C13340" t="s">
        <v>6933</v>
      </c>
      <c r="D13340">
        <v>2</v>
      </c>
      <c r="E13340">
        <v>0</v>
      </c>
      <c r="F13340">
        <v>14</v>
      </c>
    </row>
    <row r="13341" spans="1:6" ht="12.75">
      <c r="A13341" s="2">
        <v>43879.304189814815</v>
      </c>
      <c r="B13341" t="str">
        <f>HYPERLINK("https://twitter.com/daffaallamr","@daffaallamr")</f>
        <v>@daffaallamr</v>
      </c>
      <c r="C13341" t="s">
        <v>3340</v>
      </c>
      <c r="D13341">
        <v>321</v>
      </c>
      <c r="E13341">
        <v>0</v>
      </c>
      <c r="F13341">
        <v>165</v>
      </c>
    </row>
    <row r="13342" spans="1:6" ht="12.75">
      <c r="A13342" s="2">
        <v>43879.303854166668</v>
      </c>
      <c r="B13342" t="str">
        <f>HYPERLINK("https://twitter.com/Roman93788902","@Roman93788902")</f>
        <v>@Roman93788902</v>
      </c>
      <c r="C13342" t="s">
        <v>5642</v>
      </c>
      <c r="D13342">
        <v>159</v>
      </c>
      <c r="E13342">
        <v>0</v>
      </c>
      <c r="F13342">
        <v>24</v>
      </c>
    </row>
    <row r="13343" spans="1:6" ht="12.75">
      <c r="A13343" s="2">
        <v>43879.303425925929</v>
      </c>
      <c r="B13343" t="str">
        <f>HYPERLINK("https://twitter.com/MNCkoranSINDO","@MNCkoranSINDO")</f>
        <v>@MNCkoranSINDO</v>
      </c>
      <c r="C13343" t="s">
        <v>6934</v>
      </c>
      <c r="D13343">
        <v>0</v>
      </c>
      <c r="E13343">
        <v>0</v>
      </c>
      <c r="F13343">
        <v>61100</v>
      </c>
    </row>
    <row r="13344" spans="1:6" ht="12.75">
      <c r="A13344" s="2">
        <v>43879.303391203706</v>
      </c>
      <c r="B13344" t="str">
        <f>HYPERLINK("https://twitter.com/bimasakti4212","@bimasakti4212")</f>
        <v>@bimasakti4212</v>
      </c>
      <c r="C13344" t="s">
        <v>6935</v>
      </c>
      <c r="D13344">
        <v>0</v>
      </c>
      <c r="E13344">
        <v>1</v>
      </c>
      <c r="F13344">
        <v>1152</v>
      </c>
    </row>
    <row r="13345" spans="1:6" ht="12.75">
      <c r="A13345" s="2">
        <v>43879.302615740744</v>
      </c>
      <c r="B13345" t="str">
        <f>HYPERLINK("https://twitter.com/batokensin","@batokensin")</f>
        <v>@batokensin</v>
      </c>
      <c r="C13345" t="s">
        <v>6936</v>
      </c>
      <c r="D13345">
        <v>0</v>
      </c>
      <c r="E13345">
        <v>1</v>
      </c>
      <c r="F13345">
        <v>15</v>
      </c>
    </row>
    <row r="13346" spans="1:6" ht="12.75">
      <c r="A13346" s="2">
        <v>43879.302453703705</v>
      </c>
      <c r="B13346" t="str">
        <f>HYPERLINK("https://twitter.com/inilahdotcom","@inilahdotcom")</f>
        <v>@inilahdotcom</v>
      </c>
      <c r="C13346" t="s">
        <v>6937</v>
      </c>
      <c r="D13346">
        <v>1</v>
      </c>
      <c r="E13346">
        <v>0</v>
      </c>
      <c r="F13346">
        <v>367301</v>
      </c>
    </row>
    <row r="13347" spans="1:6" ht="12.75">
      <c r="A13347" s="2">
        <v>43879.302291666667</v>
      </c>
      <c r="B13347" t="str">
        <f>HYPERLINK("https://twitter.com/arfabanggai","@arfabanggai")</f>
        <v>@arfabanggai</v>
      </c>
      <c r="C13347" t="s">
        <v>4975</v>
      </c>
      <c r="D13347">
        <v>185</v>
      </c>
      <c r="E13347">
        <v>0</v>
      </c>
      <c r="F13347">
        <v>63</v>
      </c>
    </row>
    <row r="13348" spans="1:6" ht="12.75">
      <c r="A13348" s="2">
        <v>43879.301284722227</v>
      </c>
      <c r="B13348" t="str">
        <f>HYPERLINK("https://twitter.com/argesh_suta","@argesh_suta")</f>
        <v>@argesh_suta</v>
      </c>
      <c r="C13348" t="s">
        <v>6161</v>
      </c>
      <c r="D13348">
        <v>339</v>
      </c>
      <c r="E13348">
        <v>0</v>
      </c>
      <c r="F13348">
        <v>2839</v>
      </c>
    </row>
    <row r="13349" spans="1:6" ht="12.75">
      <c r="A13349" s="2">
        <v>43879.300636574073</v>
      </c>
      <c r="B13349" t="str">
        <f>HYPERLINK("https://twitter.com/Metrobatam_com","@Metrobatam_com")</f>
        <v>@Metrobatam_com</v>
      </c>
      <c r="C13349" t="s">
        <v>6938</v>
      </c>
      <c r="D13349">
        <v>0</v>
      </c>
      <c r="E13349">
        <v>0</v>
      </c>
      <c r="F13349">
        <v>118</v>
      </c>
    </row>
    <row r="13350" spans="1:6" ht="12.75">
      <c r="A13350" s="2">
        <v>43879.300486111111</v>
      </c>
      <c r="B13350" t="str">
        <f>HYPERLINK("https://twitter.com/princes66934439","@princes66934439")</f>
        <v>@princes66934439</v>
      </c>
      <c r="C13350" t="s">
        <v>6893</v>
      </c>
      <c r="D13350">
        <v>0</v>
      </c>
      <c r="E13350">
        <v>0</v>
      </c>
      <c r="F13350">
        <v>45</v>
      </c>
    </row>
    <row r="13351" spans="1:6" ht="12.75">
      <c r="A13351" s="2">
        <v>43879.300370370373</v>
      </c>
      <c r="B13351" t="str">
        <f>HYPERLINK("https://twitter.com/idn_update","@idn_update")</f>
        <v>@idn_update</v>
      </c>
      <c r="C13351" t="s">
        <v>6893</v>
      </c>
      <c r="D13351">
        <v>0</v>
      </c>
      <c r="E13351">
        <v>0</v>
      </c>
      <c r="F13351">
        <v>671</v>
      </c>
    </row>
    <row r="13352" spans="1:6" ht="12.75">
      <c r="A13352" s="2">
        <v>43879.300335648149</v>
      </c>
      <c r="B13352" t="str">
        <f>HYPERLINK("https://twitter.com/andi_saja","@andi_saja")</f>
        <v>@andi_saja</v>
      </c>
      <c r="C13352" t="s">
        <v>6206</v>
      </c>
      <c r="D13352">
        <v>28</v>
      </c>
      <c r="E13352">
        <v>0</v>
      </c>
      <c r="F13352">
        <v>1682</v>
      </c>
    </row>
    <row r="13353" spans="1:6" ht="12.75">
      <c r="A13353" s="2">
        <v>43879.300185185188</v>
      </c>
      <c r="B13353" t="str">
        <f>HYPERLINK("https://twitter.com/ImbKosta","@ImbKosta")</f>
        <v>@ImbKosta</v>
      </c>
      <c r="C13353" t="s">
        <v>5642</v>
      </c>
      <c r="D13353">
        <v>159</v>
      </c>
      <c r="E13353">
        <v>0</v>
      </c>
      <c r="F13353">
        <v>48</v>
      </c>
    </row>
    <row r="13354" spans="1:6" ht="12.75">
      <c r="A13354" s="2">
        <v>43879.299745370372</v>
      </c>
      <c r="B13354" t="str">
        <f>HYPERLINK("https://twitter.com/BegawanBima","@BegawanBima")</f>
        <v>@BegawanBima</v>
      </c>
      <c r="C13354" t="s">
        <v>6939</v>
      </c>
      <c r="D13354">
        <v>0</v>
      </c>
      <c r="E13354">
        <v>0</v>
      </c>
      <c r="F13354">
        <v>955</v>
      </c>
    </row>
    <row r="13355" spans="1:6" ht="12.75">
      <c r="A13355" s="2">
        <v>43879.29305555555</v>
      </c>
      <c r="B13355" t="str">
        <f>HYPERLINK("https://twitter.com/BillTemporo","@BillTemporo")</f>
        <v>@BillTemporo</v>
      </c>
      <c r="C13355" t="s">
        <v>889</v>
      </c>
      <c r="D13355">
        <v>0</v>
      </c>
      <c r="E13355">
        <v>0</v>
      </c>
      <c r="F13355">
        <v>11</v>
      </c>
    </row>
    <row r="13356" spans="1:6" ht="12.75">
      <c r="A13356" s="2">
        <v>43879.292708333334</v>
      </c>
      <c r="B13356" t="str">
        <f>HYPERLINK("https://twitter.com/asatuid","@asatuid")</f>
        <v>@asatuid</v>
      </c>
      <c r="C13356" t="s">
        <v>6940</v>
      </c>
      <c r="D13356">
        <v>0</v>
      </c>
      <c r="E13356">
        <v>0</v>
      </c>
      <c r="F13356">
        <v>375</v>
      </c>
    </row>
    <row r="13357" spans="1:6" ht="12.75">
      <c r="A13357" s="2">
        <v>43879.292627314819</v>
      </c>
      <c r="B13357" t="str">
        <f>HYPERLINK("https://twitter.com/kendnett","@kendnett")</f>
        <v>@kendnett</v>
      </c>
      <c r="C13357" t="s">
        <v>5642</v>
      </c>
      <c r="D13357">
        <v>134</v>
      </c>
      <c r="E13357">
        <v>0</v>
      </c>
      <c r="F13357">
        <v>162</v>
      </c>
    </row>
    <row r="13358" spans="1:6" ht="12.75">
      <c r="A13358" s="2">
        <v>43879.292499999996</v>
      </c>
      <c r="B13358" t="str">
        <f>HYPERLINK("https://twitter.com/Infoter75756115","@Infoter75756115")</f>
        <v>@Infoter75756115</v>
      </c>
      <c r="C13358" t="s">
        <v>6893</v>
      </c>
      <c r="D13358">
        <v>0</v>
      </c>
      <c r="E13358">
        <v>0</v>
      </c>
      <c r="F13358">
        <v>0</v>
      </c>
    </row>
    <row r="13359" spans="1:6" ht="12.75">
      <c r="A13359" s="2">
        <v>43879.291979166665</v>
      </c>
      <c r="B13359" t="str">
        <f>HYPERLINK("https://twitter.com/KEZIAAM0UR","@KEZIAAM0UR")</f>
        <v>@KEZIAAM0UR</v>
      </c>
      <c r="C13359" t="s">
        <v>6941</v>
      </c>
      <c r="D13359">
        <v>0</v>
      </c>
      <c r="E13359">
        <v>0</v>
      </c>
      <c r="F13359">
        <v>99</v>
      </c>
    </row>
    <row r="13360" spans="1:6" ht="12.75">
      <c r="A13360" s="2">
        <v>43879.291747685187</v>
      </c>
      <c r="B13360" t="str">
        <f>HYPERLINK("https://twitter.com/johnbralink","@johnbralink")</f>
        <v>@johnbralink</v>
      </c>
      <c r="C13360" t="s">
        <v>2155</v>
      </c>
      <c r="D13360">
        <v>436</v>
      </c>
      <c r="E13360">
        <v>0</v>
      </c>
      <c r="F13360">
        <v>255</v>
      </c>
    </row>
    <row r="13361" spans="1:6" ht="12.75">
      <c r="A13361" s="2">
        <v>43879.291747685187</v>
      </c>
      <c r="B13361" t="str">
        <f>HYPERLINK("https://twitter.com/setyoangger","@setyoangger")</f>
        <v>@setyoangger</v>
      </c>
      <c r="C13361" t="s">
        <v>5642</v>
      </c>
      <c r="D13361">
        <v>134</v>
      </c>
      <c r="E13361">
        <v>0</v>
      </c>
      <c r="F13361">
        <v>278</v>
      </c>
    </row>
    <row r="13362" spans="1:6" ht="12.75">
      <c r="A13362" s="2">
        <v>43879.291446759264</v>
      </c>
      <c r="B13362" t="str">
        <f>HYPERLINK("https://twitter.com/yud1b4cht12r","@yud1b4cht12r")</f>
        <v>@yud1b4cht12r</v>
      </c>
      <c r="C13362" t="s">
        <v>6508</v>
      </c>
      <c r="D13362">
        <v>8</v>
      </c>
      <c r="E13362">
        <v>0</v>
      </c>
      <c r="F13362">
        <v>429</v>
      </c>
    </row>
    <row r="13363" spans="1:6" ht="12.75">
      <c r="A13363" s="2">
        <v>43879.291400462964</v>
      </c>
      <c r="B13363" t="str">
        <f>HYPERLINK("https://twitter.com/lase_dhanil","@lase_dhanil")</f>
        <v>@lase_dhanil</v>
      </c>
      <c r="C13363" t="s">
        <v>5642</v>
      </c>
      <c r="D13363">
        <v>134</v>
      </c>
      <c r="E13363">
        <v>0</v>
      </c>
      <c r="F13363">
        <v>467</v>
      </c>
    </row>
    <row r="13364" spans="1:6" ht="12.75">
      <c r="A13364" s="2">
        <v>43879.291354166664</v>
      </c>
      <c r="B13364" t="str">
        <f>HYPERLINK("https://twitter.com/SRamadhan_88","@SRamadhan_88")</f>
        <v>@SRamadhan_88</v>
      </c>
      <c r="C13364" t="s">
        <v>4975</v>
      </c>
      <c r="D13364">
        <v>181</v>
      </c>
      <c r="E13364">
        <v>0</v>
      </c>
      <c r="F13364">
        <v>102</v>
      </c>
    </row>
    <row r="13365" spans="1:6" ht="12.75">
      <c r="A13365" s="2">
        <v>43879.290324074071</v>
      </c>
      <c r="B13365" t="str">
        <f>HYPERLINK("https://twitter.com/PBLITANAGY","@PBLITANAGY")</f>
        <v>@PBLITANAGY</v>
      </c>
      <c r="C13365" t="s">
        <v>6942</v>
      </c>
      <c r="D13365">
        <v>0</v>
      </c>
      <c r="E13365">
        <v>0</v>
      </c>
      <c r="F13365">
        <v>478</v>
      </c>
    </row>
    <row r="13366" spans="1:6" ht="12.75">
      <c r="A13366" s="2">
        <v>43879.289675925931</v>
      </c>
      <c r="B13366" t="str">
        <f>HYPERLINK("https://twitter.com/srpsr2","@srpsr2")</f>
        <v>@srpsr2</v>
      </c>
      <c r="C13366" t="s">
        <v>5642</v>
      </c>
      <c r="D13366">
        <v>134</v>
      </c>
      <c r="E13366">
        <v>0</v>
      </c>
      <c r="F13366">
        <v>107</v>
      </c>
    </row>
    <row r="13367" spans="1:6" ht="12.75">
      <c r="A13367" s="2">
        <v>43879.289409722223</v>
      </c>
      <c r="B13367" t="str">
        <f>HYPERLINK("https://twitter.com/siull_","@siull_")</f>
        <v>@siull_</v>
      </c>
      <c r="C13367" t="s">
        <v>6943</v>
      </c>
      <c r="D13367">
        <v>0</v>
      </c>
      <c r="E13367">
        <v>0</v>
      </c>
      <c r="F13367">
        <v>220</v>
      </c>
    </row>
    <row r="13368" spans="1:6" ht="12.75">
      <c r="A13368" s="2">
        <v>43879.288576388892</v>
      </c>
      <c r="B13368" t="str">
        <f>HYPERLINK("https://twitter.com/okezonenews","@okezonenews")</f>
        <v>@okezonenews</v>
      </c>
      <c r="C13368" t="s">
        <v>6944</v>
      </c>
      <c r="D13368">
        <v>0</v>
      </c>
      <c r="E13368">
        <v>0</v>
      </c>
      <c r="F13368">
        <v>1744013</v>
      </c>
    </row>
    <row r="13369" spans="1:6" ht="12.75">
      <c r="A13369" s="2">
        <v>43879.288321759261</v>
      </c>
      <c r="B13369" t="str">
        <f>HYPERLINK("https://twitter.com/gempitaku","@gempitaku")</f>
        <v>@gempitaku</v>
      </c>
      <c r="C13369" t="s">
        <v>5642</v>
      </c>
      <c r="D13369">
        <v>134</v>
      </c>
      <c r="E13369">
        <v>0</v>
      </c>
      <c r="F13369">
        <v>450</v>
      </c>
    </row>
    <row r="13370" spans="1:6" ht="12.75">
      <c r="A13370" s="2">
        <v>43879.288252314815</v>
      </c>
      <c r="B13370" t="str">
        <f>HYPERLINK("https://twitter.com/Anjaswisesa_K","@Anjaswisesa_K")</f>
        <v>@Anjaswisesa_K</v>
      </c>
      <c r="C13370" t="s">
        <v>6945</v>
      </c>
      <c r="D13370">
        <v>1</v>
      </c>
      <c r="E13370">
        <v>0</v>
      </c>
      <c r="F13370">
        <v>1163</v>
      </c>
    </row>
    <row r="13371" spans="1:6" ht="12.75">
      <c r="A13371" s="2">
        <v>43879.288101851853</v>
      </c>
      <c r="B13371" t="str">
        <f>HYPERLINK("https://twitter.com/anto787","@anto787")</f>
        <v>@anto787</v>
      </c>
      <c r="C13371" t="s">
        <v>2155</v>
      </c>
      <c r="D13371">
        <v>436</v>
      </c>
      <c r="E13371">
        <v>0</v>
      </c>
      <c r="F13371">
        <v>272</v>
      </c>
    </row>
    <row r="13372" spans="1:6" ht="12.75">
      <c r="A13372" s="2">
        <v>43879.287974537037</v>
      </c>
      <c r="B13372" t="str">
        <f>HYPERLINK("https://twitter.com/Carlos_Dennis_C","@Carlos_Dennis_C")</f>
        <v>@Carlos_Dennis_C</v>
      </c>
      <c r="C13372" t="s">
        <v>2155</v>
      </c>
      <c r="D13372">
        <v>436</v>
      </c>
      <c r="E13372">
        <v>0</v>
      </c>
      <c r="F13372">
        <v>153</v>
      </c>
    </row>
    <row r="13373" spans="1:6" ht="12.75">
      <c r="A13373" s="2">
        <v>43879.287870370375</v>
      </c>
      <c r="B13373" t="str">
        <f>HYPERLINK("https://twitter.com/tempodotco","@tempodotco")</f>
        <v>@tempodotco</v>
      </c>
      <c r="C13373" t="s">
        <v>6946</v>
      </c>
      <c r="D13373">
        <v>1</v>
      </c>
      <c r="E13373">
        <v>5</v>
      </c>
      <c r="F13373">
        <v>1705157</v>
      </c>
    </row>
    <row r="13374" spans="1:6" ht="12.75">
      <c r="A13374" s="2">
        <v>43879.287800925929</v>
      </c>
      <c r="B13374" t="str">
        <f>HYPERLINK("https://twitter.com/elkrova","@elkrova")</f>
        <v>@elkrova</v>
      </c>
      <c r="C13374" t="s">
        <v>6947</v>
      </c>
      <c r="D13374">
        <v>1</v>
      </c>
      <c r="E13374">
        <v>0</v>
      </c>
      <c r="F13374">
        <v>9178</v>
      </c>
    </row>
    <row r="13375" spans="1:6" ht="12.75">
      <c r="A13375" s="2">
        <v>43879.287685185191</v>
      </c>
      <c r="B13375" t="str">
        <f>HYPERLINK("https://twitter.com/suketi666","@suketi666")</f>
        <v>@suketi666</v>
      </c>
      <c r="C13375" t="s">
        <v>6948</v>
      </c>
      <c r="D13375">
        <v>0</v>
      </c>
      <c r="E13375">
        <v>1</v>
      </c>
      <c r="F13375">
        <v>470</v>
      </c>
    </row>
    <row r="13376" spans="1:6" ht="12.75">
      <c r="A13376" s="2">
        <v>43879.286354166667</v>
      </c>
      <c r="B13376" t="str">
        <f>HYPERLINK("https://twitter.com/asnug_id","@asnug_id")</f>
        <v>@asnug_id</v>
      </c>
      <c r="C13376" t="s">
        <v>5642</v>
      </c>
      <c r="D13376">
        <v>134</v>
      </c>
      <c r="E13376">
        <v>0</v>
      </c>
      <c r="F13376">
        <v>3316</v>
      </c>
    </row>
    <row r="13377" spans="1:6" ht="12.75">
      <c r="A13377" s="2">
        <v>43879.285405092596</v>
      </c>
      <c r="B13377" t="str">
        <f>HYPERLINK("https://twitter.com/ztw868992","@ztw868992")</f>
        <v>@ztw868992</v>
      </c>
      <c r="C13377" t="s">
        <v>5642</v>
      </c>
      <c r="D13377">
        <v>134</v>
      </c>
      <c r="E13377">
        <v>0</v>
      </c>
      <c r="F13377">
        <v>3251</v>
      </c>
    </row>
    <row r="13378" spans="1:6" ht="12.75">
      <c r="A13378" s="2">
        <v>43879.285115740742</v>
      </c>
      <c r="B13378" t="str">
        <f>HYPERLINK("https://twitter.com/Fsetu","@Fsetu")</f>
        <v>@Fsetu</v>
      </c>
      <c r="C13378" t="s">
        <v>3525</v>
      </c>
      <c r="D13378">
        <v>9</v>
      </c>
      <c r="E13378">
        <v>0</v>
      </c>
      <c r="F13378">
        <v>2753</v>
      </c>
    </row>
    <row r="13379" spans="1:6" ht="12.75">
      <c r="A13379" s="2">
        <v>43879.284745370373</v>
      </c>
      <c r="B13379" t="str">
        <f>HYPERLINK("https://twitter.com/BangPitung_AJW","@BangPitung_AJW")</f>
        <v>@BangPitung_AJW</v>
      </c>
      <c r="C13379" t="s">
        <v>4975</v>
      </c>
      <c r="D13379">
        <v>181</v>
      </c>
      <c r="E13379">
        <v>0</v>
      </c>
      <c r="F13379">
        <v>6425</v>
      </c>
    </row>
    <row r="13380" spans="1:6" ht="12.75">
      <c r="A13380" s="2">
        <v>43879.284629629634</v>
      </c>
      <c r="B13380" t="str">
        <f>HYPERLINK("https://twitter.com/JanganMerusak","@JanganMerusak")</f>
        <v>@JanganMerusak</v>
      </c>
      <c r="C13380" t="s">
        <v>6949</v>
      </c>
      <c r="D13380">
        <v>1</v>
      </c>
      <c r="E13380">
        <v>4</v>
      </c>
      <c r="F13380">
        <v>3140</v>
      </c>
    </row>
    <row r="13381" spans="1:6" ht="12.75">
      <c r="A13381" s="2">
        <v>43879.283402777779</v>
      </c>
      <c r="B13381" t="str">
        <f>HYPERLINK("https://twitter.com/leandrotron","@leandrotron")</f>
        <v>@leandrotron</v>
      </c>
      <c r="C13381" t="s">
        <v>6950</v>
      </c>
      <c r="D13381">
        <v>0</v>
      </c>
      <c r="E13381">
        <v>0</v>
      </c>
      <c r="F13381">
        <v>433</v>
      </c>
    </row>
    <row r="13382" spans="1:6" ht="12.75">
      <c r="A13382" s="2">
        <v>43879.283356481479</v>
      </c>
      <c r="B13382" t="str">
        <f>HYPERLINK("https://twitter.com/BgawanKusuma","@BgawanKusuma")</f>
        <v>@BgawanKusuma</v>
      </c>
      <c r="C13382" t="s">
        <v>6951</v>
      </c>
      <c r="D13382">
        <v>0</v>
      </c>
      <c r="E13382">
        <v>0</v>
      </c>
      <c r="F13382">
        <v>1130</v>
      </c>
    </row>
    <row r="13383" spans="1:6" ht="12.75">
      <c r="A13383" s="2">
        <v>43879.283148148148</v>
      </c>
      <c r="B13383" t="str">
        <f>HYPERLINK("https://twitter.com/endeeste","@endeeste")</f>
        <v>@endeeste</v>
      </c>
      <c r="C13383" t="s">
        <v>5642</v>
      </c>
      <c r="D13383">
        <v>134</v>
      </c>
      <c r="E13383">
        <v>0</v>
      </c>
      <c r="F13383">
        <v>227</v>
      </c>
    </row>
    <row r="13384" spans="1:6" ht="12.75">
      <c r="A13384" s="2">
        <v>43879.282939814817</v>
      </c>
      <c r="B13384" t="str">
        <f>HYPERLINK("https://twitter.com/whitelotus_flow","@whitelotus_flow")</f>
        <v>@whitelotus_flow</v>
      </c>
      <c r="C13384" t="s">
        <v>6738</v>
      </c>
      <c r="D13384">
        <v>1</v>
      </c>
      <c r="E13384">
        <v>0</v>
      </c>
      <c r="F13384">
        <v>170</v>
      </c>
    </row>
    <row r="13385" spans="1:6" ht="12.75">
      <c r="A13385" s="2">
        <v>43879.282511574071</v>
      </c>
      <c r="B13385" t="str">
        <f>HYPERLINK("https://twitter.com/agufajri","@agufajri")</f>
        <v>@agufajri</v>
      </c>
      <c r="C13385" t="s">
        <v>6161</v>
      </c>
      <c r="D13385">
        <v>336</v>
      </c>
      <c r="E13385">
        <v>0</v>
      </c>
      <c r="F13385">
        <v>70</v>
      </c>
    </row>
    <row r="13386" spans="1:6" ht="12.75">
      <c r="A13386" s="2">
        <v>43879.282326388886</v>
      </c>
      <c r="B13386" t="str">
        <f>HYPERLINK("https://twitter.com/sonorafmjogja","@sonorafmjogja")</f>
        <v>@sonorafmjogja</v>
      </c>
      <c r="C13386" t="s">
        <v>6952</v>
      </c>
      <c r="D13386">
        <v>0</v>
      </c>
      <c r="E13386">
        <v>0</v>
      </c>
      <c r="F13386">
        <v>8034</v>
      </c>
    </row>
    <row r="13387" spans="1:6" ht="12.75">
      <c r="A13387" s="2">
        <v>43879.281817129631</v>
      </c>
      <c r="B13387" t="str">
        <f>HYPERLINK("https://twitter.com/EdhiLmg","@EdhiLmg")</f>
        <v>@EdhiLmg</v>
      </c>
      <c r="C13387" t="s">
        <v>6953</v>
      </c>
      <c r="D13387">
        <v>0</v>
      </c>
      <c r="E13387">
        <v>0</v>
      </c>
      <c r="F13387">
        <v>2135</v>
      </c>
    </row>
    <row r="13388" spans="1:6" ht="12.75">
      <c r="A13388" s="2">
        <v>43879.281678240739</v>
      </c>
      <c r="B13388" t="str">
        <f>HYPERLINK("https://twitter.com/isis_luvbangtan","@isis_luvbangtan")</f>
        <v>@isis_luvbangtan</v>
      </c>
      <c r="C13388" t="s">
        <v>6954</v>
      </c>
      <c r="D13388">
        <v>1640</v>
      </c>
      <c r="E13388">
        <v>0</v>
      </c>
      <c r="F13388">
        <v>2078</v>
      </c>
    </row>
    <row r="13389" spans="1:6" ht="12.75">
      <c r="A13389" s="2">
        <v>43879.281180555554</v>
      </c>
      <c r="B13389" t="str">
        <f>HYPERLINK("https://twitter.com/BegawanBima","@BegawanBima")</f>
        <v>@BegawanBima</v>
      </c>
      <c r="C13389" t="s">
        <v>6955</v>
      </c>
      <c r="D13389">
        <v>0</v>
      </c>
      <c r="E13389">
        <v>0</v>
      </c>
      <c r="F13389">
        <v>955</v>
      </c>
    </row>
    <row r="13390" spans="1:6" ht="12.75">
      <c r="A13390" s="2">
        <v>43879.280324074076</v>
      </c>
      <c r="B13390" t="str">
        <f>HYPERLINK("https://twitter.com/mediaindonesia","@mediaindonesia")</f>
        <v>@mediaindonesia</v>
      </c>
      <c r="C13390" t="s">
        <v>6956</v>
      </c>
      <c r="D13390">
        <v>0</v>
      </c>
      <c r="E13390">
        <v>1</v>
      </c>
      <c r="F13390">
        <v>1416674</v>
      </c>
    </row>
    <row r="13391" spans="1:6" ht="12.75">
      <c r="A13391" s="2">
        <v>43879.280324074076</v>
      </c>
      <c r="B13391" t="str">
        <f>HYPERLINK("https://twitter.com/banjar_sqaz","@banjar_sqaz")</f>
        <v>@banjar_sqaz</v>
      </c>
      <c r="C13391" t="s">
        <v>6823</v>
      </c>
      <c r="D13391">
        <v>1</v>
      </c>
      <c r="E13391">
        <v>0</v>
      </c>
      <c r="F13391">
        <v>3184</v>
      </c>
    </row>
    <row r="13392" spans="1:6" ht="12.75">
      <c r="A13392" s="2">
        <v>43879.28024305556</v>
      </c>
      <c r="B13392" t="str">
        <f>HYPERLINK("https://twitter.com/AviS2548","@AviS2548")</f>
        <v>@AviS2548</v>
      </c>
      <c r="C13392" t="s">
        <v>6236</v>
      </c>
      <c r="D13392">
        <v>52</v>
      </c>
      <c r="E13392">
        <v>0</v>
      </c>
      <c r="F13392">
        <v>166</v>
      </c>
    </row>
    <row r="13393" spans="1:6" ht="12.75">
      <c r="A13393" s="2">
        <v>43879.280034722222</v>
      </c>
      <c r="B13393" t="str">
        <f>HYPERLINK("https://twitter.com/Dhinoe2","@Dhinoe2")</f>
        <v>@Dhinoe2</v>
      </c>
      <c r="C13393" t="s">
        <v>6957</v>
      </c>
      <c r="D13393">
        <v>0</v>
      </c>
      <c r="E13393">
        <v>2</v>
      </c>
      <c r="F13393">
        <v>265</v>
      </c>
    </row>
    <row r="13394" spans="1:6" ht="12.75">
      <c r="A13394" s="2">
        <v>43879.279907407406</v>
      </c>
      <c r="B13394" t="str">
        <f>HYPERLINK("https://twitter.com/MbarepJeng","@MbarepJeng")</f>
        <v>@MbarepJeng</v>
      </c>
      <c r="C13394" t="s">
        <v>6727</v>
      </c>
      <c r="D13394">
        <v>32</v>
      </c>
      <c r="E13394">
        <v>0</v>
      </c>
      <c r="F13394">
        <v>68</v>
      </c>
    </row>
    <row r="13395" spans="1:6" ht="12.75">
      <c r="A13395" s="2">
        <v>43879.279641203699</v>
      </c>
      <c r="B13395" t="str">
        <f>HYPERLINK("https://twitter.com/Niawahdania667","@Niawahdania667")</f>
        <v>@Niawahdania667</v>
      </c>
      <c r="C13395" t="s">
        <v>4975</v>
      </c>
      <c r="D13395">
        <v>181</v>
      </c>
      <c r="E13395">
        <v>0</v>
      </c>
      <c r="F13395">
        <v>1054</v>
      </c>
    </row>
    <row r="13396" spans="1:6" ht="12.75">
      <c r="A13396" s="2">
        <v>43879.279641203699</v>
      </c>
      <c r="B13396" t="str">
        <f>HYPERLINK("https://twitter.com/atmasetan","@atmasetan")</f>
        <v>@atmasetan</v>
      </c>
      <c r="C13396" t="s">
        <v>6727</v>
      </c>
      <c r="D13396">
        <v>32</v>
      </c>
      <c r="E13396">
        <v>0</v>
      </c>
      <c r="F13396">
        <v>33</v>
      </c>
    </row>
    <row r="13397" spans="1:6" ht="12.75">
      <c r="A13397" s="2">
        <v>43879.279456018514</v>
      </c>
      <c r="B13397" t="str">
        <f>HYPERLINK("https://twitter.com/andhika_ajie","@andhika_ajie")</f>
        <v>@andhika_ajie</v>
      </c>
      <c r="C13397" t="s">
        <v>5406</v>
      </c>
      <c r="D13397">
        <v>18</v>
      </c>
      <c r="E13397">
        <v>0</v>
      </c>
      <c r="F13397">
        <v>9</v>
      </c>
    </row>
    <row r="13398" spans="1:6" ht="12.75">
      <c r="A13398" s="2">
        <v>43879.279432870375</v>
      </c>
      <c r="B13398" t="str">
        <f>HYPERLINK("https://twitter.com/banjar_sqaz","@banjar_sqaz")</f>
        <v>@banjar_sqaz</v>
      </c>
      <c r="C13398" t="s">
        <v>6958</v>
      </c>
      <c r="D13398">
        <v>1</v>
      </c>
      <c r="E13398">
        <v>1</v>
      </c>
      <c r="F13398">
        <v>3184</v>
      </c>
    </row>
    <row r="13399" spans="1:6" ht="12.75">
      <c r="A13399" s="2">
        <v>43879.279189814813</v>
      </c>
      <c r="B13399" t="str">
        <f>HYPERLINK("https://twitter.com/kompascom","@kompascom")</f>
        <v>@kompascom</v>
      </c>
      <c r="C13399" t="s">
        <v>6959</v>
      </c>
      <c r="D13399">
        <v>1</v>
      </c>
      <c r="E13399">
        <v>3</v>
      </c>
      <c r="F13399">
        <v>7501675</v>
      </c>
    </row>
    <row r="13400" spans="1:6" ht="12.75">
      <c r="A13400" s="2">
        <v>43879.278506944444</v>
      </c>
      <c r="B13400" t="str">
        <f>HYPERLINK("https://twitter.com/hardrockfmbali","@hardrockfmbali")</f>
        <v>@hardrockfmbali</v>
      </c>
      <c r="C13400" t="s">
        <v>6960</v>
      </c>
      <c r="D13400">
        <v>0</v>
      </c>
      <c r="E13400">
        <v>0</v>
      </c>
      <c r="F13400">
        <v>24085</v>
      </c>
    </row>
    <row r="13401" spans="1:6" ht="12.75">
      <c r="A13401" s="2">
        <v>43879.278483796297</v>
      </c>
      <c r="B13401" t="str">
        <f>HYPERLINK("https://twitter.com/MbarepJeng","@MbarepJeng")</f>
        <v>@MbarepJeng</v>
      </c>
      <c r="C13401" t="s">
        <v>5642</v>
      </c>
      <c r="D13401">
        <v>134</v>
      </c>
      <c r="E13401">
        <v>0</v>
      </c>
      <c r="F13401">
        <v>68</v>
      </c>
    </row>
    <row r="13402" spans="1:6" ht="12.75">
      <c r="A13402" s="2">
        <v>43879.278113425928</v>
      </c>
      <c r="B13402" t="str">
        <f>HYPERLINK("https://twitter.com/RonaldLampard8","@RonaldLampard8")</f>
        <v>@RonaldLampard8</v>
      </c>
      <c r="C13402" t="s">
        <v>5642</v>
      </c>
      <c r="D13402">
        <v>134</v>
      </c>
      <c r="E13402">
        <v>0</v>
      </c>
      <c r="F13402">
        <v>3060</v>
      </c>
    </row>
    <row r="13403" spans="1:6" ht="12.75">
      <c r="A13403" s="2">
        <v>43879.277789351851</v>
      </c>
      <c r="B13403" t="str">
        <f>HYPERLINK("https://twitter.com/MithaAy77996999","@MithaAy77996999")</f>
        <v>@MithaAy77996999</v>
      </c>
      <c r="C13403" t="s">
        <v>6893</v>
      </c>
      <c r="D13403">
        <v>0</v>
      </c>
      <c r="E13403">
        <v>0</v>
      </c>
      <c r="F13403">
        <v>496</v>
      </c>
    </row>
    <row r="13404" spans="1:6" ht="12.75">
      <c r="A13404" s="2">
        <v>43879.277546296296</v>
      </c>
      <c r="B13404" t="str">
        <f>HYPERLINK("https://twitter.com/bakulpithik","@bakulpithik")</f>
        <v>@bakulpithik</v>
      </c>
      <c r="C13404" t="s">
        <v>6161</v>
      </c>
      <c r="D13404">
        <v>336</v>
      </c>
      <c r="E13404">
        <v>0</v>
      </c>
      <c r="F13404">
        <v>1895</v>
      </c>
    </row>
    <row r="13405" spans="1:6" ht="12.75">
      <c r="A13405" s="2">
        <v>43879.277349537035</v>
      </c>
      <c r="B13405" t="str">
        <f>HYPERLINK("https://twitter.com/love_owe","@love_owe")</f>
        <v>@love_owe</v>
      </c>
      <c r="C13405" t="s">
        <v>6161</v>
      </c>
      <c r="D13405">
        <v>336</v>
      </c>
      <c r="E13405">
        <v>0</v>
      </c>
      <c r="F13405">
        <v>519</v>
      </c>
    </row>
    <row r="13406" spans="1:6" ht="12.75">
      <c r="A13406" s="2">
        <v>43879.277141203704</v>
      </c>
      <c r="B13406" t="str">
        <f>HYPERLINK("https://twitter.com/guardiarep","@guardiarep")</f>
        <v>@guardiarep</v>
      </c>
      <c r="C13406" t="s">
        <v>6733</v>
      </c>
      <c r="D13406">
        <v>13</v>
      </c>
      <c r="E13406">
        <v>0</v>
      </c>
      <c r="F13406">
        <v>368</v>
      </c>
    </row>
    <row r="13407" spans="1:6" ht="12.75">
      <c r="A13407" s="2">
        <v>43879.277048611111</v>
      </c>
      <c r="B13407" t="str">
        <f>HYPERLINK("https://twitter.com/temulawakasli","@temulawakasli")</f>
        <v>@temulawakasli</v>
      </c>
      <c r="C13407" t="s">
        <v>6625</v>
      </c>
      <c r="D13407">
        <v>4</v>
      </c>
      <c r="E13407">
        <v>0</v>
      </c>
      <c r="F13407">
        <v>458</v>
      </c>
    </row>
    <row r="13408" spans="1:6" ht="12.75">
      <c r="A13408" s="2">
        <v>43879.276631944449</v>
      </c>
      <c r="B13408" t="str">
        <f>HYPERLINK("https://twitter.com/GeeTz66745249","@GeeTz66745249")</f>
        <v>@GeeTz66745249</v>
      </c>
      <c r="C13408" t="s">
        <v>6961</v>
      </c>
      <c r="D13408">
        <v>0</v>
      </c>
      <c r="E13408">
        <v>0</v>
      </c>
      <c r="F13408">
        <v>94</v>
      </c>
    </row>
    <row r="13409" spans="1:6" ht="12.75">
      <c r="A13409" s="2">
        <v>43879.276631944449</v>
      </c>
      <c r="B13409" t="str">
        <f>HYPERLINK("https://twitter.com/jokoselong","@jokoselong")</f>
        <v>@jokoselong</v>
      </c>
      <c r="C13409" t="s">
        <v>6884</v>
      </c>
      <c r="D13409">
        <v>1</v>
      </c>
      <c r="E13409">
        <v>0</v>
      </c>
      <c r="F13409">
        <v>1774</v>
      </c>
    </row>
    <row r="13410" spans="1:6" ht="12.75">
      <c r="A13410" s="2">
        <v>43879.276377314818</v>
      </c>
      <c r="B13410" t="str">
        <f>HYPERLINK("https://twitter.com/JinNyinyir","@JinNyinyir")</f>
        <v>@JinNyinyir</v>
      </c>
      <c r="C13410" t="s">
        <v>6962</v>
      </c>
      <c r="D13410">
        <v>0</v>
      </c>
      <c r="E13410">
        <v>0</v>
      </c>
      <c r="F13410">
        <v>36</v>
      </c>
    </row>
    <row r="13411" spans="1:6" ht="12.75">
      <c r="A13411" s="2">
        <v>43879.276099537034</v>
      </c>
      <c r="B13411" t="str">
        <f>HYPERLINK("https://twitter.com/blackjava007","@blackjava007")</f>
        <v>@blackjava007</v>
      </c>
      <c r="C13411" t="s">
        <v>5642</v>
      </c>
      <c r="D13411">
        <v>134</v>
      </c>
      <c r="E13411">
        <v>0</v>
      </c>
      <c r="F13411">
        <v>787</v>
      </c>
    </row>
    <row r="13412" spans="1:6" ht="12.75">
      <c r="A13412" s="2">
        <v>43879.275879629626</v>
      </c>
      <c r="B13412" t="str">
        <f>HYPERLINK("https://twitter.com/ilhamsahib","@ilhamsahib")</f>
        <v>@ilhamsahib</v>
      </c>
      <c r="C13412" t="s">
        <v>6963</v>
      </c>
      <c r="D13412">
        <v>19</v>
      </c>
      <c r="E13412">
        <v>0</v>
      </c>
      <c r="F13412">
        <v>126</v>
      </c>
    </row>
    <row r="13413" spans="1:6" ht="12.75">
      <c r="A13413" s="2">
        <v>43879.275381944448</v>
      </c>
      <c r="B13413" t="str">
        <f>HYPERLINK("https://twitter.com/al_nghothot","@al_nghothot")</f>
        <v>@al_nghothot</v>
      </c>
      <c r="C13413" t="s">
        <v>6964</v>
      </c>
      <c r="D13413">
        <v>0</v>
      </c>
      <c r="E13413">
        <v>0</v>
      </c>
      <c r="F13413">
        <v>1458</v>
      </c>
    </row>
    <row r="13414" spans="1:6" ht="12.75">
      <c r="A13414" s="2">
        <v>43879.274930555555</v>
      </c>
      <c r="B13414" t="str">
        <f>HYPERLINK("https://twitter.com/Okhe_Khatika","@Okhe_Khatika")</f>
        <v>@Okhe_Khatika</v>
      </c>
      <c r="C13414" t="s">
        <v>5642</v>
      </c>
      <c r="D13414">
        <v>134</v>
      </c>
      <c r="E13414">
        <v>0</v>
      </c>
      <c r="F13414">
        <v>753</v>
      </c>
    </row>
    <row r="13415" spans="1:6" ht="12.75">
      <c r="A13415" s="2">
        <v>43879.274201388893</v>
      </c>
      <c r="B13415" t="str">
        <f>HYPERLINK("https://twitter.com/SINDOnews","@SINDOnews")</f>
        <v>@SINDOnews</v>
      </c>
      <c r="C13415" t="s">
        <v>6965</v>
      </c>
      <c r="D13415">
        <v>1</v>
      </c>
      <c r="E13415">
        <v>1</v>
      </c>
      <c r="F13415">
        <v>270628</v>
      </c>
    </row>
    <row r="13416" spans="1:6" ht="12.75">
      <c r="A13416" s="2">
        <v>43879.273344907408</v>
      </c>
      <c r="B13416" t="str">
        <f>HYPERLINK("https://twitter.com/DavidRuslie8","@DavidRuslie8")</f>
        <v>@DavidRuslie8</v>
      </c>
      <c r="C13416" t="s">
        <v>6625</v>
      </c>
      <c r="D13416">
        <v>4</v>
      </c>
      <c r="E13416">
        <v>0</v>
      </c>
      <c r="F13416">
        <v>922</v>
      </c>
    </row>
    <row r="13417" spans="1:6" ht="12.75">
      <c r="A13417" s="2">
        <v>43879.273240740746</v>
      </c>
      <c r="B13417" t="str">
        <f>HYPERLINK("https://twitter.com/yudampradana","@yudampradana")</f>
        <v>@yudampradana</v>
      </c>
      <c r="C13417" t="s">
        <v>6966</v>
      </c>
      <c r="D13417">
        <v>0</v>
      </c>
      <c r="E13417">
        <v>0</v>
      </c>
      <c r="F13417">
        <v>254</v>
      </c>
    </row>
    <row r="13418" spans="1:6" ht="12.75">
      <c r="A13418" s="2">
        <v>43879.273090277777</v>
      </c>
      <c r="B13418" t="str">
        <f>HYPERLINK("https://twitter.com/a_onepray","@a_onepray")</f>
        <v>@a_onepray</v>
      </c>
      <c r="C13418" t="s">
        <v>6967</v>
      </c>
      <c r="D13418">
        <v>0</v>
      </c>
      <c r="E13418">
        <v>0</v>
      </c>
      <c r="F13418">
        <v>163</v>
      </c>
    </row>
    <row r="13419" spans="1:6" ht="12.75">
      <c r="A13419" s="2">
        <v>43879.272847222222</v>
      </c>
      <c r="B13419" t="str">
        <f>HYPERLINK("https://twitter.com/Im_A_SIR","@Im_A_SIR")</f>
        <v>@Im_A_SIR</v>
      </c>
      <c r="C13419" t="s">
        <v>6727</v>
      </c>
      <c r="D13419">
        <v>32</v>
      </c>
      <c r="E13419">
        <v>0</v>
      </c>
      <c r="F13419">
        <v>272</v>
      </c>
    </row>
    <row r="13420" spans="1:6" ht="12.75">
      <c r="A13420" s="2">
        <v>43879.270995370374</v>
      </c>
      <c r="B13420" t="str">
        <f>HYPERLINK("https://twitter.com/islamlib","@islamlib")</f>
        <v>@islamlib</v>
      </c>
      <c r="C13420" t="s">
        <v>1391</v>
      </c>
      <c r="D13420">
        <v>0</v>
      </c>
      <c r="E13420">
        <v>0</v>
      </c>
      <c r="F13420">
        <v>14305</v>
      </c>
    </row>
    <row r="13421" spans="1:6" ht="12.75">
      <c r="A13421" s="2">
        <v>43879.270601851851</v>
      </c>
      <c r="B13421" t="str">
        <f>HYPERLINK("https://twitter.com/dewi_darmawati","@dewi_darmawati")</f>
        <v>@dewi_darmawati</v>
      </c>
      <c r="C13421" t="s">
        <v>6625</v>
      </c>
      <c r="D13421">
        <v>4</v>
      </c>
      <c r="E13421">
        <v>0</v>
      </c>
      <c r="F13421">
        <v>4027</v>
      </c>
    </row>
    <row r="13422" spans="1:6" ht="12.75">
      <c r="A13422" s="2">
        <v>43879.270011574074</v>
      </c>
      <c r="B13422" t="str">
        <f>HYPERLINK("https://twitter.com/ennyelf2","@ennyelf2")</f>
        <v>@ennyelf2</v>
      </c>
      <c r="C13422" t="s">
        <v>6721</v>
      </c>
      <c r="D13422">
        <v>383</v>
      </c>
      <c r="E13422">
        <v>0</v>
      </c>
      <c r="F13422">
        <v>317</v>
      </c>
    </row>
    <row r="13423" spans="1:6" ht="12.75">
      <c r="A13423" s="2">
        <v>43879.269826388889</v>
      </c>
      <c r="B13423" t="str">
        <f>HYPERLINK("https://twitter.com/Jakartans28x97","@Jakartans28x97")</f>
        <v>@Jakartans28x97</v>
      </c>
      <c r="C13423" t="s">
        <v>6968</v>
      </c>
      <c r="D13423">
        <v>0</v>
      </c>
      <c r="E13423">
        <v>0</v>
      </c>
      <c r="F13423">
        <v>48</v>
      </c>
    </row>
    <row r="13424" spans="1:6" ht="12.75">
      <c r="A13424" s="2">
        <v>43879.26971064815</v>
      </c>
      <c r="B13424" t="str">
        <f>HYPERLINK("https://twitter.com/depoknews","@depoknews")</f>
        <v>@depoknews</v>
      </c>
      <c r="C13424" t="s">
        <v>6969</v>
      </c>
      <c r="D13424">
        <v>0</v>
      </c>
      <c r="E13424">
        <v>0</v>
      </c>
      <c r="F13424">
        <v>74846</v>
      </c>
    </row>
    <row r="13425" spans="1:6" ht="12.75">
      <c r="A13425" s="2">
        <v>43879.269641203704</v>
      </c>
      <c r="B13425" t="str">
        <f>HYPERLINK("https://twitter.com/depokinfo_","@depokinfo_")</f>
        <v>@depokinfo_</v>
      </c>
      <c r="C13425" t="s">
        <v>6970</v>
      </c>
      <c r="D13425">
        <v>0</v>
      </c>
      <c r="E13425">
        <v>0</v>
      </c>
      <c r="F13425">
        <v>1073</v>
      </c>
    </row>
    <row r="13426" spans="1:6" ht="12.75">
      <c r="A13426" s="2">
        <v>43879.269386574073</v>
      </c>
      <c r="B13426" t="str">
        <f>HYPERLINK("https://twitter.com/RubenLumalessi1","@RubenLumalessi1")</f>
        <v>@RubenLumalessi1</v>
      </c>
      <c r="C13426" t="s">
        <v>2155</v>
      </c>
      <c r="D13426">
        <v>436</v>
      </c>
      <c r="E13426">
        <v>0</v>
      </c>
      <c r="F13426">
        <v>756</v>
      </c>
    </row>
    <row r="13427" spans="1:6" ht="12.75">
      <c r="A13427" s="2">
        <v>43879.269155092596</v>
      </c>
      <c r="B13427" t="str">
        <f>HYPERLINK("https://twitter.com/DediTeulih2016","@DediTeulih2016")</f>
        <v>@DediTeulih2016</v>
      </c>
      <c r="C13427" t="s">
        <v>6625</v>
      </c>
      <c r="D13427">
        <v>4</v>
      </c>
      <c r="E13427">
        <v>0</v>
      </c>
      <c r="F13427">
        <v>1593</v>
      </c>
    </row>
    <row r="13428" spans="1:6" ht="12.75">
      <c r="A13428" s="2">
        <v>43879.268726851849</v>
      </c>
      <c r="B13428" t="str">
        <f>HYPERLINK("https://twitter.com/Agust30888907","@Agust30888907")</f>
        <v>@Agust30888907</v>
      </c>
      <c r="C13428" t="s">
        <v>5642</v>
      </c>
      <c r="D13428">
        <v>134</v>
      </c>
      <c r="E13428">
        <v>0</v>
      </c>
      <c r="F13428">
        <v>368</v>
      </c>
    </row>
    <row r="13429" spans="1:6" ht="12.75">
      <c r="A13429" s="2">
        <v>43879.268055555556</v>
      </c>
      <c r="B13429" t="str">
        <f>HYPERLINK("https://twitter.com/MrsRachelIn","@MrsRachelIn")</f>
        <v>@MrsRachelIn</v>
      </c>
      <c r="C13429" t="s">
        <v>6971</v>
      </c>
      <c r="D13429">
        <v>4</v>
      </c>
      <c r="E13429">
        <v>7</v>
      </c>
      <c r="F13429">
        <v>3155</v>
      </c>
    </row>
    <row r="13430" spans="1:6" ht="12.75">
      <c r="A13430" s="2">
        <v>43879.267916666664</v>
      </c>
      <c r="B13430" t="str">
        <f>HYPERLINK("https://twitter.com/Chkelz64Kelz","@Chkelz64Kelz")</f>
        <v>@Chkelz64Kelz</v>
      </c>
      <c r="C13430" t="s">
        <v>6733</v>
      </c>
      <c r="D13430">
        <v>13</v>
      </c>
      <c r="E13430">
        <v>0</v>
      </c>
      <c r="F13430">
        <v>723</v>
      </c>
    </row>
    <row r="13431" spans="1:6" ht="12.75">
      <c r="A13431" s="2">
        <v>43879.267835648148</v>
      </c>
      <c r="B13431" t="str">
        <f>HYPERLINK("https://twitter.com/diananoni","@diananoni")</f>
        <v>@diananoni</v>
      </c>
      <c r="C13431" t="s">
        <v>175</v>
      </c>
      <c r="D13431">
        <v>5395</v>
      </c>
      <c r="E13431">
        <v>0</v>
      </c>
      <c r="F13431">
        <v>218</v>
      </c>
    </row>
    <row r="13432" spans="1:6" ht="12.75">
      <c r="A13432" s="2">
        <v>43879.267638888894</v>
      </c>
      <c r="B13432" t="str">
        <f>HYPERLINK("https://twitter.com/KecebongGembul","@KecebongGembul")</f>
        <v>@KecebongGembul</v>
      </c>
      <c r="C13432" t="s">
        <v>6972</v>
      </c>
      <c r="D13432">
        <v>0</v>
      </c>
      <c r="E13432">
        <v>0</v>
      </c>
      <c r="F13432">
        <v>510</v>
      </c>
    </row>
    <row r="13433" spans="1:6" ht="12.75">
      <c r="A13433" s="2">
        <v>43879.267361111109</v>
      </c>
      <c r="B13433" t="str">
        <f>HYPERLINK("https://twitter.com/LeoBudiSuryanto","@LeoBudiSuryanto")</f>
        <v>@LeoBudiSuryanto</v>
      </c>
      <c r="C13433" t="s">
        <v>6973</v>
      </c>
      <c r="D13433">
        <v>0</v>
      </c>
      <c r="E13433">
        <v>0</v>
      </c>
      <c r="F13433">
        <v>2073</v>
      </c>
    </row>
    <row r="13434" spans="1:6" ht="12.75">
      <c r="A13434" s="2">
        <v>43879.267141203702</v>
      </c>
      <c r="B13434" t="str">
        <f>HYPERLINK("https://twitter.com/ilgizilgiz2","@ilgizilgiz2")</f>
        <v>@ilgizilgiz2</v>
      </c>
      <c r="C13434" t="s">
        <v>6733</v>
      </c>
      <c r="D13434">
        <v>13</v>
      </c>
      <c r="E13434">
        <v>0</v>
      </c>
      <c r="F13434">
        <v>40</v>
      </c>
    </row>
    <row r="13435" spans="1:6" ht="12.75">
      <c r="A13435" s="2">
        <v>43879.267083333332</v>
      </c>
      <c r="B13435" t="str">
        <f t="shared" ref="B13435:B13436" si="225">HYPERLINK("https://twitter.com/budoyo_eri","@budoyo_eri")</f>
        <v>@budoyo_eri</v>
      </c>
      <c r="C13435" t="s">
        <v>175</v>
      </c>
      <c r="D13435">
        <v>5395</v>
      </c>
      <c r="E13435">
        <v>0</v>
      </c>
      <c r="F13435">
        <v>14</v>
      </c>
    </row>
    <row r="13436" spans="1:6" ht="12.75">
      <c r="A13436" s="2">
        <v>43879.267048611116</v>
      </c>
      <c r="B13436" t="str">
        <f t="shared" si="225"/>
        <v>@budoyo_eri</v>
      </c>
      <c r="C13436" t="s">
        <v>5406</v>
      </c>
      <c r="D13436">
        <v>18</v>
      </c>
      <c r="E13436">
        <v>0</v>
      </c>
      <c r="F13436">
        <v>14</v>
      </c>
    </row>
    <row r="13437" spans="1:6" ht="12.75">
      <c r="A13437" s="2">
        <v>43879.267025462963</v>
      </c>
      <c r="B13437" t="str">
        <f>HYPERLINK("https://twitter.com/JinNyinyir","@JinNyinyir")</f>
        <v>@JinNyinyir</v>
      </c>
      <c r="C13437" t="s">
        <v>6974</v>
      </c>
      <c r="D13437">
        <v>0</v>
      </c>
      <c r="E13437">
        <v>0</v>
      </c>
      <c r="F13437">
        <v>36</v>
      </c>
    </row>
    <row r="13438" spans="1:6" ht="12.75">
      <c r="A13438" s="2">
        <v>43879.266782407409</v>
      </c>
      <c r="B13438" t="str">
        <f>HYPERLINK("https://twitter.com/ninuninuexo","@ninuninuexo")</f>
        <v>@ninuninuexo</v>
      </c>
      <c r="C13438" t="s">
        <v>3340</v>
      </c>
      <c r="D13438">
        <v>317</v>
      </c>
      <c r="E13438">
        <v>0</v>
      </c>
      <c r="F13438">
        <v>1639</v>
      </c>
    </row>
    <row r="13439" spans="1:6" ht="12.75">
      <c r="A13439" s="2">
        <v>43879.266319444447</v>
      </c>
      <c r="B13439" t="str">
        <f>HYPERLINK("https://twitter.com/sarjoko_adi","@sarjoko_adi")</f>
        <v>@sarjoko_adi</v>
      </c>
      <c r="C13439" t="s">
        <v>6975</v>
      </c>
      <c r="D13439">
        <v>0</v>
      </c>
      <c r="E13439">
        <v>0</v>
      </c>
      <c r="F13439">
        <v>24</v>
      </c>
    </row>
    <row r="13440" spans="1:6" ht="12.75">
      <c r="A13440" s="2">
        <v>43879.265127314815</v>
      </c>
      <c r="B13440" t="str">
        <f>HYPERLINK("https://twitter.com/AzdDzahabi","@AzdDzahabi")</f>
        <v>@AzdDzahabi</v>
      </c>
      <c r="C13440" t="s">
        <v>6706</v>
      </c>
      <c r="D13440">
        <v>7</v>
      </c>
      <c r="E13440">
        <v>0</v>
      </c>
      <c r="F13440">
        <v>71</v>
      </c>
    </row>
    <row r="13441" spans="1:6" ht="12.75">
      <c r="A13441" s="2">
        <v>43879.264722222222</v>
      </c>
      <c r="B13441" t="str">
        <f>HYPERLINK("https://twitter.com/HUMAN_RES3","@HUMAN_RES3")</f>
        <v>@HUMAN_RES3</v>
      </c>
      <c r="C13441" t="s">
        <v>6827</v>
      </c>
      <c r="D13441">
        <v>13</v>
      </c>
      <c r="E13441">
        <v>0</v>
      </c>
      <c r="F13441">
        <v>83</v>
      </c>
    </row>
    <row r="13442" spans="1:6" ht="12.75">
      <c r="A13442" s="2">
        <v>43879.264583333337</v>
      </c>
      <c r="B13442" t="str">
        <f>HYPERLINK("https://twitter.com/iskandarhelmi47","@iskandarhelmi47")</f>
        <v>@iskandarhelmi47</v>
      </c>
      <c r="C13442" t="s">
        <v>6976</v>
      </c>
      <c r="D13442">
        <v>0</v>
      </c>
      <c r="E13442">
        <v>0</v>
      </c>
      <c r="F13442">
        <v>37</v>
      </c>
    </row>
    <row r="13443" spans="1:6" ht="12.75">
      <c r="A13443" s="2">
        <v>43879.264166666668</v>
      </c>
      <c r="B13443" t="str">
        <f>HYPERLINK("https://twitter.com/samtjahajoe","@samtjahajoe")</f>
        <v>@samtjahajoe</v>
      </c>
      <c r="C13443" t="s">
        <v>6977</v>
      </c>
      <c r="D13443">
        <v>0</v>
      </c>
      <c r="E13443">
        <v>0</v>
      </c>
      <c r="F13443">
        <v>527</v>
      </c>
    </row>
    <row r="13444" spans="1:6" ht="12.75">
      <c r="A13444" s="2">
        <v>43879.263564814813</v>
      </c>
      <c r="B13444" t="str">
        <f>HYPERLINK("https://twitter.com/Janshen16","@Janshen16")</f>
        <v>@Janshen16</v>
      </c>
      <c r="C13444" t="s">
        <v>4733</v>
      </c>
      <c r="D13444">
        <v>2812</v>
      </c>
      <c r="E13444">
        <v>0</v>
      </c>
      <c r="F13444">
        <v>71</v>
      </c>
    </row>
    <row r="13445" spans="1:6" ht="12.75">
      <c r="A13445" s="2">
        <v>43879.263495370367</v>
      </c>
      <c r="B13445" t="str">
        <f>HYPERLINK("https://twitter.com/ZayyadAb1","@ZayyadAb1")</f>
        <v>@ZayyadAb1</v>
      </c>
      <c r="C13445" t="s">
        <v>6978</v>
      </c>
      <c r="D13445">
        <v>1</v>
      </c>
      <c r="E13445">
        <v>0</v>
      </c>
      <c r="F13445">
        <v>748</v>
      </c>
    </row>
    <row r="13446" spans="1:6" ht="12.75">
      <c r="A13446" s="2">
        <v>43879.263206018513</v>
      </c>
      <c r="B13446" t="str">
        <f>HYPERLINK("https://twitter.com/pramuhdita","@pramuhdita")</f>
        <v>@pramuhdita</v>
      </c>
      <c r="C13446" t="s">
        <v>6979</v>
      </c>
      <c r="D13446">
        <v>3</v>
      </c>
      <c r="E13446">
        <v>0</v>
      </c>
      <c r="F13446">
        <v>611</v>
      </c>
    </row>
    <row r="13447" spans="1:6" ht="12.75">
      <c r="A13447" s="2">
        <v>43879.263159722221</v>
      </c>
      <c r="B13447" t="str">
        <f>HYPERLINK("https://twitter.com/7Han8","@7Han8")</f>
        <v>@7Han8</v>
      </c>
      <c r="C13447" t="s">
        <v>4733</v>
      </c>
      <c r="D13447">
        <v>2812</v>
      </c>
      <c r="E13447">
        <v>0</v>
      </c>
      <c r="F13447">
        <v>961</v>
      </c>
    </row>
    <row r="13448" spans="1:6" ht="12.75">
      <c r="A13448" s="2">
        <v>43879.262673611112</v>
      </c>
      <c r="B13448" t="str">
        <f>HYPERLINK("https://twitter.com/Dila50306460","@Dila50306460")</f>
        <v>@Dila50306460</v>
      </c>
      <c r="C13448" t="s">
        <v>6508</v>
      </c>
      <c r="D13448">
        <v>8</v>
      </c>
      <c r="E13448">
        <v>0</v>
      </c>
      <c r="F13448">
        <v>243</v>
      </c>
    </row>
    <row r="13449" spans="1:6" ht="12.75">
      <c r="A13449" s="2">
        <v>43879.262638888889</v>
      </c>
      <c r="B13449" t="str">
        <f>HYPERLINK("https://twitter.com/luidarryl","@luidarryl")</f>
        <v>@luidarryl</v>
      </c>
      <c r="C13449" t="s">
        <v>2155</v>
      </c>
      <c r="D13449">
        <v>436</v>
      </c>
      <c r="E13449">
        <v>0</v>
      </c>
      <c r="F13449">
        <v>17</v>
      </c>
    </row>
    <row r="13450" spans="1:6" ht="12.75">
      <c r="A13450" s="2">
        <v>43879.26226851852</v>
      </c>
      <c r="B13450" t="str">
        <f>HYPERLINK("https://twitter.com/kholil62","@kholil62")</f>
        <v>@kholil62</v>
      </c>
      <c r="C13450" t="s">
        <v>6980</v>
      </c>
      <c r="D13450">
        <v>1</v>
      </c>
      <c r="E13450">
        <v>0</v>
      </c>
      <c r="F13450">
        <v>792</v>
      </c>
    </row>
    <row r="13451" spans="1:6" ht="12.75">
      <c r="A13451" s="2">
        <v>43879.261793981481</v>
      </c>
      <c r="B13451" t="str">
        <f>HYPERLINK("https://twitter.com/MntnLynx","@MntnLynx")</f>
        <v>@MntnLynx</v>
      </c>
      <c r="C13451" t="s">
        <v>6981</v>
      </c>
      <c r="D13451">
        <v>0</v>
      </c>
      <c r="E13451">
        <v>0</v>
      </c>
      <c r="F13451">
        <v>521</v>
      </c>
    </row>
    <row r="13452" spans="1:6" ht="12.75">
      <c r="A13452" s="2">
        <v>43879.261770833335</v>
      </c>
      <c r="B13452" t="str">
        <f>HYPERLINK("https://twitter.com/maridup_m","@maridup_m")</f>
        <v>@maridup_m</v>
      </c>
      <c r="C13452" t="s">
        <v>6982</v>
      </c>
      <c r="D13452">
        <v>87</v>
      </c>
      <c r="E13452">
        <v>0</v>
      </c>
      <c r="F13452">
        <v>20</v>
      </c>
    </row>
    <row r="13453" spans="1:6" ht="12.75">
      <c r="A13453" s="2">
        <v>43879.26163194445</v>
      </c>
      <c r="B13453" t="str">
        <f>HYPERLINK("https://twitter.com/JinNyinyir","@JinNyinyir")</f>
        <v>@JinNyinyir</v>
      </c>
      <c r="C13453" t="s">
        <v>6983</v>
      </c>
      <c r="D13453">
        <v>0</v>
      </c>
      <c r="E13453">
        <v>0</v>
      </c>
      <c r="F13453">
        <v>36</v>
      </c>
    </row>
    <row r="13454" spans="1:6" ht="12.75">
      <c r="A13454" s="2">
        <v>43879.261504629627</v>
      </c>
      <c r="B13454" t="str">
        <f>HYPERLINK("https://twitter.com/Kanseulir","@Kanseulir")</f>
        <v>@Kanseulir</v>
      </c>
      <c r="C13454" t="s">
        <v>6984</v>
      </c>
      <c r="D13454">
        <v>1</v>
      </c>
      <c r="E13454">
        <v>4</v>
      </c>
      <c r="F13454">
        <v>12006</v>
      </c>
    </row>
    <row r="13455" spans="1:6" ht="12.75">
      <c r="A13455" s="2">
        <v>43879.250717592593</v>
      </c>
      <c r="B13455" t="str">
        <f>HYPERLINK("https://twitter.com/AniesSubianto","@AniesSubianto")</f>
        <v>@AniesSubianto</v>
      </c>
      <c r="C13455" t="s">
        <v>6672</v>
      </c>
      <c r="D13455">
        <v>3</v>
      </c>
      <c r="E13455">
        <v>0</v>
      </c>
      <c r="F13455">
        <v>236</v>
      </c>
    </row>
    <row r="13456" spans="1:6" ht="12.75">
      <c r="A13456" s="2">
        <v>43879.25063657407</v>
      </c>
      <c r="B13456" t="str">
        <f>HYPERLINK("https://twitter.com/katatodaycom","@katatodaycom")</f>
        <v>@katatodaycom</v>
      </c>
      <c r="C13456" t="s">
        <v>6985</v>
      </c>
      <c r="D13456">
        <v>0</v>
      </c>
      <c r="E13456">
        <v>0</v>
      </c>
      <c r="F13456">
        <v>942</v>
      </c>
    </row>
    <row r="13457" spans="1:6" ht="12.75">
      <c r="A13457" s="2">
        <v>43879.25037037037</v>
      </c>
      <c r="B13457" t="str">
        <f>HYPERLINK("https://twitter.com/ajimawan48","@ajimawan48")</f>
        <v>@ajimawan48</v>
      </c>
      <c r="C13457" t="s">
        <v>5642</v>
      </c>
      <c r="D13457">
        <v>119</v>
      </c>
      <c r="E13457">
        <v>0</v>
      </c>
      <c r="F13457">
        <v>101</v>
      </c>
    </row>
    <row r="13458" spans="1:6" ht="12.75">
      <c r="A13458" s="2">
        <v>43879.250162037039</v>
      </c>
      <c r="B13458" t="str">
        <f>HYPERLINK("https://twitter.com/ZweiSusanto","@ZweiSusanto")</f>
        <v>@ZweiSusanto</v>
      </c>
      <c r="C13458" t="s">
        <v>6508</v>
      </c>
      <c r="D13458">
        <v>3</v>
      </c>
      <c r="E13458">
        <v>0</v>
      </c>
      <c r="F13458">
        <v>186</v>
      </c>
    </row>
    <row r="13459" spans="1:6" ht="12.75">
      <c r="A13459" s="2">
        <v>43879.250150462962</v>
      </c>
      <c r="B13459" t="str">
        <f>HYPERLINK("https://twitter.com/katatodaycom","@katatodaycom")</f>
        <v>@katatodaycom</v>
      </c>
      <c r="C13459" t="s">
        <v>6986</v>
      </c>
      <c r="D13459">
        <v>0</v>
      </c>
      <c r="E13459">
        <v>0</v>
      </c>
      <c r="F13459">
        <v>942</v>
      </c>
    </row>
    <row r="13460" spans="1:6" ht="12.75">
      <c r="A13460" s="2">
        <v>43879.249942129631</v>
      </c>
      <c r="B13460" t="str">
        <f>HYPERLINK("https://twitter.com/Rayvita","@Rayvita")</f>
        <v>@Rayvita</v>
      </c>
      <c r="C13460" t="s">
        <v>5642</v>
      </c>
      <c r="D13460">
        <v>119</v>
      </c>
      <c r="E13460">
        <v>0</v>
      </c>
      <c r="F13460">
        <v>329</v>
      </c>
    </row>
    <row r="13461" spans="1:6" ht="12.75">
      <c r="A13461" s="2">
        <v>43879.249895833331</v>
      </c>
      <c r="B13461" t="str">
        <f>HYPERLINK("https://twitter.com/rfebrians_yah","@rfebrians_yah")</f>
        <v>@rfebrians_yah</v>
      </c>
      <c r="C13461" t="s">
        <v>3340</v>
      </c>
      <c r="D13461">
        <v>316</v>
      </c>
      <c r="E13461">
        <v>0</v>
      </c>
      <c r="F13461">
        <v>275</v>
      </c>
    </row>
    <row r="13462" spans="1:6" ht="12.75">
      <c r="A13462" s="2">
        <v>43879.249849537038</v>
      </c>
      <c r="B13462" t="str">
        <f>HYPERLINK("https://twitter.com/jawi_busana","@jawi_busana")</f>
        <v>@jawi_busana</v>
      </c>
      <c r="C13462" t="s">
        <v>5642</v>
      </c>
      <c r="D13462">
        <v>119</v>
      </c>
      <c r="E13462">
        <v>0</v>
      </c>
      <c r="F13462">
        <v>22</v>
      </c>
    </row>
    <row r="13463" spans="1:6" ht="12.75">
      <c r="A13463" s="2">
        <v>43879.249247685184</v>
      </c>
      <c r="B13463" t="str">
        <f>HYPERLINK("https://twitter.com/hera0498","@hera0498")</f>
        <v>@hera0498</v>
      </c>
      <c r="C13463" t="s">
        <v>6987</v>
      </c>
      <c r="D13463">
        <v>0</v>
      </c>
      <c r="E13463">
        <v>0</v>
      </c>
      <c r="F13463">
        <v>30</v>
      </c>
    </row>
    <row r="13464" spans="1:6" ht="12.75">
      <c r="A13464" s="2">
        <v>43879.248842592591</v>
      </c>
      <c r="B13464" t="str">
        <f>HYPERLINK("https://twitter.com/Djupria2","@Djupria2")</f>
        <v>@Djupria2</v>
      </c>
      <c r="C13464" t="s">
        <v>6508</v>
      </c>
      <c r="D13464">
        <v>3</v>
      </c>
      <c r="E13464">
        <v>0</v>
      </c>
      <c r="F13464">
        <v>653</v>
      </c>
    </row>
    <row r="13465" spans="1:6" ht="12.75">
      <c r="A13465" s="2">
        <v>43879.248414351852</v>
      </c>
      <c r="B13465" t="str">
        <f>HYPERLINK("https://twitter.com/voaislam","@voaislam")</f>
        <v>@voaislam</v>
      </c>
      <c r="C13465" t="s">
        <v>6988</v>
      </c>
      <c r="D13465">
        <v>0</v>
      </c>
      <c r="E13465">
        <v>0</v>
      </c>
      <c r="F13465">
        <v>87882</v>
      </c>
    </row>
    <row r="13466" spans="1:6" ht="12.75">
      <c r="A13466" s="2">
        <v>43879.24800925926</v>
      </c>
      <c r="B13466" t="str">
        <f>HYPERLINK("https://twitter.com/Susanto26534483","@Susanto26534483")</f>
        <v>@Susanto26534483</v>
      </c>
      <c r="C13466" t="s">
        <v>6508</v>
      </c>
      <c r="D13466">
        <v>3</v>
      </c>
      <c r="E13466">
        <v>0</v>
      </c>
      <c r="F13466">
        <v>106</v>
      </c>
    </row>
    <row r="13467" spans="1:6" ht="12.75">
      <c r="A13467" s="2">
        <v>43879.247025462959</v>
      </c>
      <c r="B13467" t="str">
        <f t="shared" ref="B13467:B13468" si="226">HYPERLINK("https://twitter.com/Agungfi61174858","@Agungfi61174858")</f>
        <v>@Agungfi61174858</v>
      </c>
      <c r="C13467" t="s">
        <v>6672</v>
      </c>
      <c r="D13467">
        <v>3</v>
      </c>
      <c r="E13467">
        <v>0</v>
      </c>
      <c r="F13467">
        <v>18</v>
      </c>
    </row>
    <row r="13468" spans="1:6" ht="12.75">
      <c r="A13468" s="2">
        <v>43879.246874999997</v>
      </c>
      <c r="B13468" t="str">
        <f t="shared" si="226"/>
        <v>@Agungfi61174858</v>
      </c>
      <c r="C13468" t="s">
        <v>5642</v>
      </c>
      <c r="D13468">
        <v>119</v>
      </c>
      <c r="E13468">
        <v>0</v>
      </c>
      <c r="F13468">
        <v>18</v>
      </c>
    </row>
    <row r="13469" spans="1:6" ht="12.75">
      <c r="A13469" s="2">
        <v>43879.246122685188</v>
      </c>
      <c r="B13469" t="str">
        <f>HYPERLINK("https://twitter.com/Putra_Pemalan9","@Putra_Pemalan9")</f>
        <v>@Putra_Pemalan9</v>
      </c>
      <c r="C13469" t="s">
        <v>4975</v>
      </c>
      <c r="D13469">
        <v>177</v>
      </c>
      <c r="E13469">
        <v>0</v>
      </c>
      <c r="F13469">
        <v>700</v>
      </c>
    </row>
    <row r="13470" spans="1:6" ht="12.75">
      <c r="A13470" s="2">
        <v>43879.246087962965</v>
      </c>
      <c r="B13470" t="str">
        <f>HYPERLINK("https://twitter.com/Sastroklengsre1","@Sastroklengsre1")</f>
        <v>@Sastroklengsre1</v>
      </c>
      <c r="C13470" t="s">
        <v>5642</v>
      </c>
      <c r="D13470">
        <v>119</v>
      </c>
      <c r="E13470">
        <v>0</v>
      </c>
      <c r="F13470">
        <v>2322</v>
      </c>
    </row>
    <row r="13471" spans="1:6" ht="12.75">
      <c r="A13471" s="2">
        <v>43879.245972222227</v>
      </c>
      <c r="B13471" t="str">
        <f>HYPERLINK("https://twitter.com/mdariusdah","@mdariusdah")</f>
        <v>@mdariusdah</v>
      </c>
      <c r="C13471" t="s">
        <v>4975</v>
      </c>
      <c r="D13471">
        <v>177</v>
      </c>
      <c r="E13471">
        <v>0</v>
      </c>
      <c r="F13471">
        <v>3549</v>
      </c>
    </row>
    <row r="13472" spans="1:6" ht="12.75">
      <c r="A13472" s="2">
        <v>43879.245775462958</v>
      </c>
      <c r="B13472" t="str">
        <f>HYPERLINK("https://twitter.com/sendysuwanto","@sendysuwanto")</f>
        <v>@sendysuwanto</v>
      </c>
      <c r="C13472" t="s">
        <v>5642</v>
      </c>
      <c r="D13472">
        <v>119</v>
      </c>
      <c r="E13472">
        <v>0</v>
      </c>
      <c r="F13472">
        <v>1002</v>
      </c>
    </row>
    <row r="13473" spans="1:6" ht="12.75">
      <c r="A13473" s="2">
        <v>43879.245462962965</v>
      </c>
      <c r="B13473" t="str">
        <f>HYPERLINK("https://twitter.com/duhreq","@duhreq")</f>
        <v>@duhreq</v>
      </c>
      <c r="C13473" t="s">
        <v>6989</v>
      </c>
      <c r="D13473">
        <v>239</v>
      </c>
      <c r="E13473">
        <v>0</v>
      </c>
      <c r="F13473">
        <v>153</v>
      </c>
    </row>
    <row r="13474" spans="1:6" ht="12.75">
      <c r="A13474" s="2">
        <v>43879.245254629626</v>
      </c>
      <c r="B13474" t="str">
        <f>HYPERLINK("https://twitter.com/rekaps4","@rekaps4")</f>
        <v>@rekaps4</v>
      </c>
      <c r="C13474" t="s">
        <v>5642</v>
      </c>
      <c r="D13474">
        <v>119</v>
      </c>
      <c r="E13474">
        <v>0</v>
      </c>
      <c r="F13474">
        <v>9</v>
      </c>
    </row>
    <row r="13475" spans="1:6" ht="12.75">
      <c r="A13475" s="2">
        <v>43879.245150462964</v>
      </c>
      <c r="B13475" t="str">
        <f>HYPERLINK("https://twitter.com/Ulung888","@Ulung888")</f>
        <v>@Ulung888</v>
      </c>
      <c r="C13475" t="s">
        <v>6990</v>
      </c>
      <c r="D13475">
        <v>10</v>
      </c>
      <c r="E13475">
        <v>0</v>
      </c>
      <c r="F13475">
        <v>205</v>
      </c>
    </row>
    <row r="13476" spans="1:6" ht="12.75">
      <c r="A13476" s="2">
        <v>43879.245115740741</v>
      </c>
      <c r="B13476" t="str">
        <f>HYPERLINK("https://twitter.com/s_mulyatie","@s_mulyatie")</f>
        <v>@s_mulyatie</v>
      </c>
      <c r="C13476" t="s">
        <v>4975</v>
      </c>
      <c r="D13476">
        <v>177</v>
      </c>
      <c r="E13476">
        <v>0</v>
      </c>
      <c r="F13476">
        <v>1660</v>
      </c>
    </row>
    <row r="13477" spans="1:6" ht="12.75">
      <c r="A13477" s="2">
        <v>43879.244837962964</v>
      </c>
      <c r="B13477" t="str">
        <f>HYPERLINK("https://twitter.com/Pebzilla","@Pebzilla")</f>
        <v>@Pebzilla</v>
      </c>
      <c r="C13477" t="s">
        <v>6991</v>
      </c>
      <c r="D13477">
        <v>2</v>
      </c>
      <c r="E13477">
        <v>0</v>
      </c>
      <c r="F13477">
        <v>673</v>
      </c>
    </row>
    <row r="13478" spans="1:6" ht="12.75">
      <c r="A13478" s="2">
        <v>43879.244814814811</v>
      </c>
      <c r="B13478" t="str">
        <f>HYPERLINK("https://twitter.com/youliyoud","@youliyoud")</f>
        <v>@youliyoud</v>
      </c>
      <c r="C13478" t="s">
        <v>2155</v>
      </c>
      <c r="D13478">
        <v>430</v>
      </c>
      <c r="E13478">
        <v>0</v>
      </c>
      <c r="F13478">
        <v>21</v>
      </c>
    </row>
    <row r="13479" spans="1:6" ht="12.75">
      <c r="A13479" s="2">
        <v>43879.244710648149</v>
      </c>
      <c r="B13479" t="str">
        <f>HYPERLINK("https://twitter.com/LumintangYanthy","@LumintangYanthy")</f>
        <v>@LumintangYanthy</v>
      </c>
      <c r="C13479" t="s">
        <v>6842</v>
      </c>
      <c r="D13479">
        <v>22</v>
      </c>
      <c r="E13479">
        <v>0</v>
      </c>
      <c r="F13479">
        <v>20</v>
      </c>
    </row>
    <row r="13480" spans="1:6" ht="12.75">
      <c r="A13480" s="2">
        <v>43879.244537037041</v>
      </c>
      <c r="B13480" t="str">
        <f>HYPERLINK("https://twitter.com/mundsir","@mundsir")</f>
        <v>@mundsir</v>
      </c>
      <c r="C13480" t="s">
        <v>4975</v>
      </c>
      <c r="D13480">
        <v>177</v>
      </c>
      <c r="E13480">
        <v>0</v>
      </c>
      <c r="F13480">
        <v>65</v>
      </c>
    </row>
    <row r="13481" spans="1:6" ht="12.75">
      <c r="A13481" s="2">
        <v>43879.24423611111</v>
      </c>
      <c r="B13481" t="str">
        <f>HYPERLINK("https://twitter.com/voaislam","@voaislam")</f>
        <v>@voaislam</v>
      </c>
      <c r="C13481" t="s">
        <v>6992</v>
      </c>
      <c r="D13481">
        <v>0</v>
      </c>
      <c r="E13481">
        <v>0</v>
      </c>
      <c r="F13481">
        <v>87882</v>
      </c>
    </row>
    <row r="13482" spans="1:6" ht="12.75">
      <c r="A13482" s="2">
        <v>43879.244143518517</v>
      </c>
      <c r="B13482" t="str">
        <f>HYPERLINK("https://twitter.com/IbnoeUmi","@IbnoeUmi")</f>
        <v>@IbnoeUmi</v>
      </c>
      <c r="C13482" t="s">
        <v>2080</v>
      </c>
      <c r="D13482">
        <v>31</v>
      </c>
      <c r="E13482">
        <v>0</v>
      </c>
      <c r="F13482">
        <v>13</v>
      </c>
    </row>
    <row r="13483" spans="1:6" ht="12.75">
      <c r="A13483" s="2">
        <v>43879.244062500002</v>
      </c>
      <c r="B13483" t="str">
        <f>HYPERLINK("https://twitter.com/NNA45962785","@NNA45962785")</f>
        <v>@NNA45962785</v>
      </c>
      <c r="C13483" t="s">
        <v>4975</v>
      </c>
      <c r="D13483">
        <v>177</v>
      </c>
      <c r="E13483">
        <v>0</v>
      </c>
      <c r="F13483">
        <v>2</v>
      </c>
    </row>
    <row r="13484" spans="1:6" ht="12.75">
      <c r="A13484" s="2">
        <v>43879.243796296301</v>
      </c>
      <c r="B13484" t="str">
        <f>HYPERLINK("https://twitter.com/Canthama","@Canthama")</f>
        <v>@Canthama</v>
      </c>
      <c r="C13484" t="s">
        <v>6733</v>
      </c>
      <c r="D13484">
        <v>8</v>
      </c>
      <c r="E13484">
        <v>0</v>
      </c>
      <c r="F13484">
        <v>1573</v>
      </c>
    </row>
    <row r="13485" spans="1:6" ht="12.75">
      <c r="A13485" s="2">
        <v>43879.243680555555</v>
      </c>
      <c r="B13485" t="str">
        <f>HYPERLINK("https://twitter.com/IbnoeUmi","@IbnoeUmi")</f>
        <v>@IbnoeUmi</v>
      </c>
      <c r="C13485" t="s">
        <v>6993</v>
      </c>
      <c r="D13485">
        <v>30</v>
      </c>
      <c r="E13485">
        <v>0</v>
      </c>
      <c r="F13485">
        <v>13</v>
      </c>
    </row>
    <row r="13486" spans="1:6" ht="12.75">
      <c r="A13486" s="2">
        <v>43879.242384259254</v>
      </c>
      <c r="B13486" t="str">
        <f>HYPERLINK("https://twitter.com/Jono_Fortunate","@Jono_Fortunate")</f>
        <v>@Jono_Fortunate</v>
      </c>
      <c r="C13486" t="s">
        <v>6206</v>
      </c>
      <c r="D13486">
        <v>23</v>
      </c>
      <c r="E13486">
        <v>0</v>
      </c>
      <c r="F13486">
        <v>533</v>
      </c>
    </row>
    <row r="13487" spans="1:6" ht="12.75">
      <c r="A13487" s="2">
        <v>43879.241365740745</v>
      </c>
      <c r="B13487" t="str">
        <f>HYPERLINK("https://twitter.com/MCAOps","@MCAOps")</f>
        <v>@MCAOps</v>
      </c>
      <c r="C13487" t="s">
        <v>6994</v>
      </c>
      <c r="D13487">
        <v>3</v>
      </c>
      <c r="E13487">
        <v>14</v>
      </c>
      <c r="F13487">
        <v>62478</v>
      </c>
    </row>
    <row r="13488" spans="1:6" ht="12.75">
      <c r="A13488" s="2">
        <v>43879.240636574075</v>
      </c>
      <c r="B13488" t="str">
        <f>HYPERLINK("https://twitter.com/yana_diah","@yana_diah")</f>
        <v>@yana_diah</v>
      </c>
      <c r="C13488" t="s">
        <v>5642</v>
      </c>
      <c r="D13488">
        <v>119</v>
      </c>
      <c r="E13488">
        <v>0</v>
      </c>
      <c r="F13488">
        <v>34</v>
      </c>
    </row>
    <row r="13489" spans="1:6" ht="12.75">
      <c r="A13489" s="2">
        <v>43879.24009259259</v>
      </c>
      <c r="B13489" t="str">
        <f>HYPERLINK("https://twitter.com/JokoSut91436993","@JokoSut91436993")</f>
        <v>@JokoSut91436993</v>
      </c>
      <c r="C13489" t="s">
        <v>2147</v>
      </c>
      <c r="D13489">
        <v>566</v>
      </c>
      <c r="E13489">
        <v>0</v>
      </c>
      <c r="F13489">
        <v>13</v>
      </c>
    </row>
    <row r="13490" spans="1:6" ht="12.75">
      <c r="A13490" s="2">
        <v>43879.238032407404</v>
      </c>
      <c r="B13490" t="str">
        <f>HYPERLINK("https://twitter.com/dirumahhh","@dirumahhh")</f>
        <v>@dirumahhh</v>
      </c>
      <c r="C13490" t="s">
        <v>6995</v>
      </c>
      <c r="D13490">
        <v>0</v>
      </c>
      <c r="E13490">
        <v>0</v>
      </c>
      <c r="F13490">
        <v>290</v>
      </c>
    </row>
    <row r="13491" spans="1:6" ht="12.75">
      <c r="A13491" s="2">
        <v>43879.237974537042</v>
      </c>
      <c r="B13491" t="str">
        <f>HYPERLINK("https://twitter.com/malkhaththath","@malkhaththath")</f>
        <v>@malkhaththath</v>
      </c>
      <c r="C13491" t="s">
        <v>6996</v>
      </c>
      <c r="D13491">
        <v>0</v>
      </c>
      <c r="E13491">
        <v>0</v>
      </c>
      <c r="F13491">
        <v>1185</v>
      </c>
    </row>
    <row r="13492" spans="1:6" ht="12.75">
      <c r="A13492" s="2">
        <v>43879.237962962958</v>
      </c>
      <c r="B13492" t="str">
        <f>HYPERLINK("https://twitter.com/suaraislamID","@suaraislamID")</f>
        <v>@suaraislamID</v>
      </c>
      <c r="C13492" t="s">
        <v>6996</v>
      </c>
      <c r="D13492">
        <v>0</v>
      </c>
      <c r="E13492">
        <v>1</v>
      </c>
      <c r="F13492">
        <v>41</v>
      </c>
    </row>
    <row r="13493" spans="1:6" ht="12.75">
      <c r="A13493" s="2">
        <v>43879.237835648149</v>
      </c>
      <c r="B13493" t="str">
        <f>HYPERLINK("https://twitter.com/dim_bleak13","@dim_bleak13")</f>
        <v>@dim_bleak13</v>
      </c>
      <c r="C13493" t="s">
        <v>6997</v>
      </c>
      <c r="D13493">
        <v>1</v>
      </c>
      <c r="E13493">
        <v>0</v>
      </c>
      <c r="F13493">
        <v>105</v>
      </c>
    </row>
    <row r="13494" spans="1:6" ht="12.75">
      <c r="A13494" s="2">
        <v>43879.237685185188</v>
      </c>
      <c r="B13494" t="str">
        <f>HYPERLINK("https://twitter.com/PikiranUmat","@PikiranUmat")</f>
        <v>@PikiranUmat</v>
      </c>
      <c r="C13494" t="s">
        <v>6996</v>
      </c>
      <c r="D13494">
        <v>0</v>
      </c>
      <c r="E13494">
        <v>0</v>
      </c>
      <c r="F13494">
        <v>226</v>
      </c>
    </row>
    <row r="13495" spans="1:6" ht="12.75">
      <c r="A13495" s="2">
        <v>43879.236956018518</v>
      </c>
      <c r="B13495" t="str">
        <f>HYPERLINK("https://twitter.com/ISIS_Balik_NO","@ISIS_Balik_NO")</f>
        <v>@ISIS_Balik_NO</v>
      </c>
      <c r="C13495" t="s">
        <v>6998</v>
      </c>
      <c r="D13495">
        <v>4</v>
      </c>
      <c r="E13495">
        <v>0</v>
      </c>
      <c r="F13495">
        <v>5999</v>
      </c>
    </row>
    <row r="13496" spans="1:6" ht="12.75">
      <c r="A13496" s="2">
        <v>43879.236608796295</v>
      </c>
      <c r="B13496" t="str">
        <f>HYPERLINK("https://twitter.com/IxNdheso","@IxNdheso")</f>
        <v>@IxNdheso</v>
      </c>
      <c r="C13496" t="s">
        <v>6999</v>
      </c>
      <c r="D13496">
        <v>0</v>
      </c>
      <c r="E13496">
        <v>0</v>
      </c>
      <c r="F13496">
        <v>1217</v>
      </c>
    </row>
    <row r="13497" spans="1:6" ht="12.75">
      <c r="A13497" s="2">
        <v>43879.236354166671</v>
      </c>
      <c r="B13497" t="str">
        <f>HYPERLINK("https://twitter.com/ArielHayr","@ArielHayr")</f>
        <v>@ArielHayr</v>
      </c>
      <c r="C13497" t="s">
        <v>7000</v>
      </c>
      <c r="D13497">
        <v>0</v>
      </c>
      <c r="E13497">
        <v>0</v>
      </c>
      <c r="F13497">
        <v>186</v>
      </c>
    </row>
    <row r="13498" spans="1:6" ht="12.75">
      <c r="A13498" s="2">
        <v>43879.236180555556</v>
      </c>
      <c r="B13498" t="str">
        <f>HYPERLINK("https://twitter.com/foers79","@foers79")</f>
        <v>@foers79</v>
      </c>
      <c r="C13498" t="s">
        <v>6827</v>
      </c>
      <c r="D13498">
        <v>12</v>
      </c>
      <c r="E13498">
        <v>0</v>
      </c>
      <c r="F13498">
        <v>400</v>
      </c>
    </row>
    <row r="13499" spans="1:6" ht="12.75">
      <c r="A13499" s="2">
        <v>43879.236157407402</v>
      </c>
      <c r="B13499" t="str">
        <f>HYPERLINK("https://twitter.com/HarianKalteng","@HarianKalteng")</f>
        <v>@HarianKalteng</v>
      </c>
      <c r="C13499" t="s">
        <v>7001</v>
      </c>
      <c r="D13499">
        <v>0</v>
      </c>
      <c r="E13499">
        <v>0</v>
      </c>
      <c r="F13499">
        <v>425</v>
      </c>
    </row>
    <row r="13500" spans="1:6" ht="12.75">
      <c r="A13500" s="2">
        <v>43879.236157407402</v>
      </c>
      <c r="B13500" t="str">
        <f>HYPERLINK("https://twitter.com/zulkiflilubiz","@zulkiflilubiz")</f>
        <v>@zulkiflilubiz</v>
      </c>
      <c r="C13500" t="s">
        <v>4975</v>
      </c>
      <c r="D13500">
        <v>177</v>
      </c>
      <c r="E13500">
        <v>0</v>
      </c>
      <c r="F13500">
        <v>120</v>
      </c>
    </row>
    <row r="13501" spans="1:6" ht="12.75">
      <c r="A13501" s="2">
        <v>43879.23600694444</v>
      </c>
      <c r="B13501" t="str">
        <f>HYPERLINK("https://twitter.com/Kcpr11","@Kcpr11")</f>
        <v>@Kcpr11</v>
      </c>
      <c r="C13501" t="s">
        <v>4975</v>
      </c>
      <c r="D13501">
        <v>177</v>
      </c>
      <c r="E13501">
        <v>0</v>
      </c>
      <c r="F13501">
        <v>31</v>
      </c>
    </row>
    <row r="13502" spans="1:6" ht="12.75">
      <c r="A13502" s="2">
        <v>43879.235636574071</v>
      </c>
      <c r="B13502" t="str">
        <f>HYPERLINK("https://twitter.com/AndrianaArry","@AndrianaArry")</f>
        <v>@AndrianaArry</v>
      </c>
      <c r="C13502" t="s">
        <v>2155</v>
      </c>
      <c r="D13502">
        <v>430</v>
      </c>
      <c r="E13502">
        <v>0</v>
      </c>
      <c r="F13502">
        <v>120</v>
      </c>
    </row>
    <row r="13503" spans="1:6" ht="12.75">
      <c r="A13503" s="2">
        <v>43879.235497685186</v>
      </c>
      <c r="B13503" t="str">
        <f>HYPERLINK("https://twitter.com/javiqbal09","@javiqbal09")</f>
        <v>@javiqbal09</v>
      </c>
      <c r="C13503" t="s">
        <v>6497</v>
      </c>
      <c r="D13503">
        <v>8</v>
      </c>
      <c r="E13503">
        <v>0</v>
      </c>
      <c r="F13503">
        <v>7909</v>
      </c>
    </row>
    <row r="13504" spans="1:6" ht="12.75">
      <c r="A13504" s="2">
        <v>43879.234606481477</v>
      </c>
      <c r="B13504" t="str">
        <f>HYPERLINK("https://twitter.com/neen4noor","@neen4noor")</f>
        <v>@neen4noor</v>
      </c>
      <c r="C13504" t="s">
        <v>6206</v>
      </c>
      <c r="D13504">
        <v>23</v>
      </c>
      <c r="E13504">
        <v>0</v>
      </c>
      <c r="F13504">
        <v>895</v>
      </c>
    </row>
    <row r="13505" spans="1:6" ht="12.75">
      <c r="A13505" s="2">
        <v>43879.233773148153</v>
      </c>
      <c r="B13505" t="str">
        <f>HYPERLINK("https://twitter.com/JosefSutjahjono","@JosefSutjahjono")</f>
        <v>@JosefSutjahjono</v>
      </c>
      <c r="C13505" t="s">
        <v>7002</v>
      </c>
      <c r="D13505">
        <v>0</v>
      </c>
      <c r="E13505">
        <v>0</v>
      </c>
      <c r="F13505">
        <v>2221</v>
      </c>
    </row>
    <row r="13506" spans="1:6" ht="12.75">
      <c r="A13506" s="2">
        <v>43879.233576388884</v>
      </c>
      <c r="B13506" t="str">
        <f>HYPERLINK("https://twitter.com/masadamsahid","@masadamsahid")</f>
        <v>@masadamsahid</v>
      </c>
      <c r="C13506" t="s">
        <v>7003</v>
      </c>
      <c r="D13506">
        <v>0</v>
      </c>
      <c r="E13506">
        <v>0</v>
      </c>
      <c r="F13506">
        <v>7</v>
      </c>
    </row>
    <row r="13507" spans="1:6" ht="12.75">
      <c r="A13507" s="2">
        <v>43879.233402777776</v>
      </c>
      <c r="B13507" t="str">
        <f>HYPERLINK("https://twitter.com/ISIS_Balik_NO","@ISIS_Balik_NO")</f>
        <v>@ISIS_Balik_NO</v>
      </c>
      <c r="C13507" t="s">
        <v>7004</v>
      </c>
      <c r="D13507">
        <v>6</v>
      </c>
      <c r="E13507">
        <v>0</v>
      </c>
      <c r="F13507">
        <v>5999</v>
      </c>
    </row>
    <row r="13508" spans="1:6" ht="12.75">
      <c r="A13508" s="2">
        <v>43879.232303240744</v>
      </c>
      <c r="B13508" t="str">
        <f>HYPERLINK("https://twitter.com/lord_sbt","@lord_sbt")</f>
        <v>@lord_sbt</v>
      </c>
      <c r="C13508" t="s">
        <v>5642</v>
      </c>
      <c r="D13508">
        <v>119</v>
      </c>
      <c r="E13508">
        <v>0</v>
      </c>
      <c r="F13508">
        <v>709</v>
      </c>
    </row>
    <row r="13509" spans="1:6" ht="12.75">
      <c r="A13509" s="2">
        <v>43879.231736111113</v>
      </c>
      <c r="B13509" t="str">
        <f>HYPERLINK("https://twitter.com/zamzons","@zamzons")</f>
        <v>@zamzons</v>
      </c>
      <c r="C13509" t="s">
        <v>5642</v>
      </c>
      <c r="D13509">
        <v>119</v>
      </c>
      <c r="E13509">
        <v>0</v>
      </c>
      <c r="F13509">
        <v>234</v>
      </c>
    </row>
    <row r="13510" spans="1:6" ht="12.75">
      <c r="A13510" s="2">
        <v>43879.231388888889</v>
      </c>
      <c r="B13510" t="str">
        <f>HYPERLINK("https://twitter.com/Amox1L1N","@Amox1L1N")</f>
        <v>@Amox1L1N</v>
      </c>
      <c r="C13510" t="s">
        <v>5642</v>
      </c>
      <c r="D13510">
        <v>119</v>
      </c>
      <c r="E13510">
        <v>0</v>
      </c>
      <c r="F13510">
        <v>240</v>
      </c>
    </row>
    <row r="13511" spans="1:6" ht="12.75">
      <c r="A13511" s="2">
        <v>43879.230810185181</v>
      </c>
      <c r="B13511" t="str">
        <f>HYPERLINK("https://twitter.com/JonDave49","@JonDave49")</f>
        <v>@JonDave49</v>
      </c>
      <c r="C13511" t="s">
        <v>6733</v>
      </c>
      <c r="D13511">
        <v>8</v>
      </c>
      <c r="E13511">
        <v>0</v>
      </c>
      <c r="F13511">
        <v>2078</v>
      </c>
    </row>
    <row r="13512" spans="1:6" ht="12.75">
      <c r="A13512" s="2">
        <v>43879.229745370365</v>
      </c>
      <c r="B13512" t="str">
        <f>HYPERLINK("https://twitter.com/ISIS_Balik_NO","@ISIS_Balik_NO")</f>
        <v>@ISIS_Balik_NO</v>
      </c>
      <c r="C13512" t="s">
        <v>7005</v>
      </c>
      <c r="D13512">
        <v>76</v>
      </c>
      <c r="E13512">
        <v>0</v>
      </c>
      <c r="F13512">
        <v>5999</v>
      </c>
    </row>
    <row r="13513" spans="1:6" ht="12.75">
      <c r="A13513" s="2">
        <v>43879.229710648149</v>
      </c>
      <c r="B13513" t="str">
        <f>HYPERLINK("https://twitter.com/ArtiHar","@ArtiHar")</f>
        <v>@ArtiHar</v>
      </c>
      <c r="C13513" t="s">
        <v>6206</v>
      </c>
      <c r="D13513">
        <v>23</v>
      </c>
      <c r="E13513">
        <v>0</v>
      </c>
      <c r="F13513">
        <v>603</v>
      </c>
    </row>
    <row r="13514" spans="1:6" ht="12.75">
      <c r="A13514" s="2">
        <v>43879.229328703703</v>
      </c>
      <c r="B13514" t="str">
        <f>HYPERLINK("https://twitter.com/ISIS_Balik_NO","@ISIS_Balik_NO")</f>
        <v>@ISIS_Balik_NO</v>
      </c>
      <c r="C13514" t="s">
        <v>7006</v>
      </c>
      <c r="D13514">
        <v>0</v>
      </c>
      <c r="E13514">
        <v>1</v>
      </c>
      <c r="F13514">
        <v>5999</v>
      </c>
    </row>
    <row r="13515" spans="1:6" ht="12.75">
      <c r="A13515" s="2">
        <v>43879.229074074072</v>
      </c>
      <c r="B13515" t="str">
        <f>HYPERLINK("https://twitter.com/Antok114","@Antok114")</f>
        <v>@Antok114</v>
      </c>
      <c r="C13515" t="s">
        <v>6721</v>
      </c>
      <c r="D13515">
        <v>380</v>
      </c>
      <c r="E13515">
        <v>0</v>
      </c>
      <c r="F13515">
        <v>870</v>
      </c>
    </row>
    <row r="13516" spans="1:6" ht="12.75">
      <c r="A13516" s="2">
        <v>43879.228483796294</v>
      </c>
      <c r="B13516" t="str">
        <f>HYPERLINK("https://twitter.com/StoneandRolling","@StoneandRolling")</f>
        <v>@StoneandRolling</v>
      </c>
      <c r="C13516" t="s">
        <v>3525</v>
      </c>
      <c r="D13516">
        <v>7</v>
      </c>
      <c r="E13516">
        <v>0</v>
      </c>
      <c r="F13516">
        <v>192</v>
      </c>
    </row>
    <row r="13517" spans="1:6" ht="12.75">
      <c r="A13517" s="2">
        <v>43879.227951388893</v>
      </c>
      <c r="B13517" t="str">
        <f>HYPERLINK("https://twitter.com/firdauslaila07","@firdauslaila07")</f>
        <v>@firdauslaila07</v>
      </c>
      <c r="C13517" t="s">
        <v>7007</v>
      </c>
      <c r="D13517">
        <v>0</v>
      </c>
      <c r="E13517">
        <v>0</v>
      </c>
      <c r="F13517">
        <v>53</v>
      </c>
    </row>
    <row r="13518" spans="1:6" ht="12.75">
      <c r="A13518" s="2">
        <v>43879.227743055555</v>
      </c>
      <c r="B13518" t="str">
        <f t="shared" ref="B13518:B13520" si="227">HYPERLINK("https://twitter.com/ISIS_Balik_NO","@ISIS_Balik_NO")</f>
        <v>@ISIS_Balik_NO</v>
      </c>
      <c r="C13518" t="s">
        <v>7008</v>
      </c>
      <c r="D13518">
        <v>0</v>
      </c>
      <c r="E13518">
        <v>0</v>
      </c>
      <c r="F13518">
        <v>5999</v>
      </c>
    </row>
    <row r="13519" spans="1:6" ht="12.75">
      <c r="A13519" s="2">
        <v>43879.227395833332</v>
      </c>
      <c r="B13519" t="str">
        <f t="shared" si="227"/>
        <v>@ISIS_Balik_NO</v>
      </c>
      <c r="C13519" t="s">
        <v>7009</v>
      </c>
      <c r="D13519">
        <v>18</v>
      </c>
      <c r="E13519">
        <v>0</v>
      </c>
      <c r="F13519">
        <v>5999</v>
      </c>
    </row>
    <row r="13520" spans="1:6" ht="12.75">
      <c r="A13520" s="2">
        <v>43879.226620370369</v>
      </c>
      <c r="B13520" t="str">
        <f t="shared" si="227"/>
        <v>@ISIS_Balik_NO</v>
      </c>
      <c r="C13520" t="s">
        <v>7010</v>
      </c>
      <c r="D13520">
        <v>748</v>
      </c>
      <c r="E13520">
        <v>0</v>
      </c>
      <c r="F13520">
        <v>5999</v>
      </c>
    </row>
    <row r="13521" spans="1:6" ht="12.75">
      <c r="A13521" s="2">
        <v>43879.226331018523</v>
      </c>
      <c r="B13521" t="str">
        <f>HYPERLINK("https://twitter.com/0llieds","@0llieds")</f>
        <v>@0llieds</v>
      </c>
      <c r="C13521" t="s">
        <v>4975</v>
      </c>
      <c r="D13521">
        <v>177</v>
      </c>
      <c r="E13521">
        <v>0</v>
      </c>
      <c r="F13521">
        <v>197</v>
      </c>
    </row>
    <row r="13522" spans="1:6" ht="12.75">
      <c r="A13522" s="2">
        <v>43879.225960648153</v>
      </c>
      <c r="B13522" t="str">
        <f t="shared" ref="B13522:B13525" si="228">HYPERLINK("https://twitter.com/AdigunaAtmaja","@AdigunaAtmaja")</f>
        <v>@AdigunaAtmaja</v>
      </c>
      <c r="C13522" t="s">
        <v>6438</v>
      </c>
      <c r="D13522">
        <v>4</v>
      </c>
      <c r="E13522">
        <v>0</v>
      </c>
      <c r="F13522">
        <v>3069</v>
      </c>
    </row>
    <row r="13523" spans="1:6" ht="12.75">
      <c r="A13523" s="2">
        <v>43879.225694444445</v>
      </c>
      <c r="B13523" t="str">
        <f t="shared" si="228"/>
        <v>@AdigunaAtmaja</v>
      </c>
      <c r="C13523" t="s">
        <v>6440</v>
      </c>
      <c r="D13523">
        <v>2</v>
      </c>
      <c r="E13523">
        <v>0</v>
      </c>
      <c r="F13523">
        <v>3069</v>
      </c>
    </row>
    <row r="13524" spans="1:6" ht="12.75">
      <c r="A13524" s="2">
        <v>43879.225659722222</v>
      </c>
      <c r="B13524" t="str">
        <f t="shared" si="228"/>
        <v>@AdigunaAtmaja</v>
      </c>
      <c r="C13524" t="s">
        <v>6441</v>
      </c>
      <c r="D13524">
        <v>2</v>
      </c>
      <c r="E13524">
        <v>0</v>
      </c>
      <c r="F13524">
        <v>3069</v>
      </c>
    </row>
    <row r="13525" spans="1:6" ht="12.75">
      <c r="A13525" s="2">
        <v>43879.225613425922</v>
      </c>
      <c r="B13525" t="str">
        <f t="shared" si="228"/>
        <v>@AdigunaAtmaja</v>
      </c>
      <c r="C13525" t="s">
        <v>6442</v>
      </c>
      <c r="D13525">
        <v>2</v>
      </c>
      <c r="E13525">
        <v>0</v>
      </c>
      <c r="F13525">
        <v>3069</v>
      </c>
    </row>
    <row r="13526" spans="1:6" ht="12.75">
      <c r="A13526" s="2">
        <v>43879.225532407407</v>
      </c>
      <c r="B13526" t="str">
        <f>HYPERLINK("https://twitter.com/atenttai","@atenttai")</f>
        <v>@atenttai</v>
      </c>
      <c r="C13526" t="s">
        <v>6733</v>
      </c>
      <c r="D13526">
        <v>8</v>
      </c>
      <c r="E13526">
        <v>0</v>
      </c>
      <c r="F13526">
        <v>40</v>
      </c>
    </row>
    <row r="13527" spans="1:6" ht="12.75">
      <c r="A13527" s="2">
        <v>43879.225277777776</v>
      </c>
      <c r="B13527" t="str">
        <f>HYPERLINK("https://twitter.com/alain_cantat","@alain_cantat")</f>
        <v>@alain_cantat</v>
      </c>
      <c r="C13527" t="s">
        <v>6733</v>
      </c>
      <c r="D13527">
        <v>8</v>
      </c>
      <c r="E13527">
        <v>0</v>
      </c>
      <c r="F13527">
        <v>128</v>
      </c>
    </row>
    <row r="13528" spans="1:6" ht="12.75">
      <c r="A13528" s="2">
        <v>43879.224907407406</v>
      </c>
      <c r="B13528" t="str">
        <f>HYPERLINK("https://twitter.com/dzulkarnains","@dzulkarnains")</f>
        <v>@dzulkarnains</v>
      </c>
      <c r="C13528" t="s">
        <v>5642</v>
      </c>
      <c r="D13528">
        <v>119</v>
      </c>
      <c r="E13528">
        <v>0</v>
      </c>
      <c r="F13528">
        <v>875</v>
      </c>
    </row>
    <row r="13529" spans="1:6" ht="12.75">
      <c r="A13529" s="2">
        <v>43879.224849537037</v>
      </c>
      <c r="B13529" t="str">
        <f>HYPERLINK("https://twitter.com/skskzuzu","@skskzuzu")</f>
        <v>@skskzuzu</v>
      </c>
      <c r="C13529" t="s">
        <v>4975</v>
      </c>
      <c r="D13529">
        <v>177</v>
      </c>
      <c r="E13529">
        <v>0</v>
      </c>
      <c r="F13529">
        <v>315</v>
      </c>
    </row>
    <row r="13530" spans="1:6" ht="12.75">
      <c r="A13530" s="2">
        <v>43879.224444444444</v>
      </c>
      <c r="B13530" t="str">
        <f>HYPERLINK("https://twitter.com/johnbralink","@johnbralink")</f>
        <v>@johnbralink</v>
      </c>
      <c r="C13530" t="s">
        <v>5642</v>
      </c>
      <c r="D13530">
        <v>119</v>
      </c>
      <c r="E13530">
        <v>0</v>
      </c>
      <c r="F13530">
        <v>254</v>
      </c>
    </row>
    <row r="13531" spans="1:6" ht="12.75">
      <c r="A13531" s="2">
        <v>43879.224224537036</v>
      </c>
      <c r="B13531" t="str">
        <f>HYPERLINK("https://twitter.com/khumfrunk","@khumfrunk")</f>
        <v>@khumfrunk</v>
      </c>
      <c r="C13531" t="s">
        <v>2155</v>
      </c>
      <c r="D13531">
        <v>430</v>
      </c>
      <c r="E13531">
        <v>0</v>
      </c>
      <c r="F13531">
        <v>448</v>
      </c>
    </row>
    <row r="13532" spans="1:6" ht="12.75">
      <c r="A13532" s="2">
        <v>43879.222164351857</v>
      </c>
      <c r="B13532" t="str">
        <f>HYPERLINK("https://twitter.com/dila0393","@dila0393")</f>
        <v>@dila0393</v>
      </c>
      <c r="C13532" t="s">
        <v>6357</v>
      </c>
      <c r="D13532">
        <v>2</v>
      </c>
      <c r="E13532">
        <v>0</v>
      </c>
      <c r="F13532">
        <v>130</v>
      </c>
    </row>
    <row r="13533" spans="1:6" ht="12.75">
      <c r="A13533" s="2">
        <v>43879.222060185188</v>
      </c>
      <c r="B13533" t="str">
        <f>HYPERLINK("https://twitter.com/Devdas94","@Devdas94")</f>
        <v>@Devdas94</v>
      </c>
      <c r="C13533" t="s">
        <v>6733</v>
      </c>
      <c r="D13533">
        <v>8</v>
      </c>
      <c r="E13533">
        <v>0</v>
      </c>
      <c r="F13533">
        <v>879</v>
      </c>
    </row>
    <row r="13534" spans="1:6" ht="12.75">
      <c r="A13534" s="2">
        <v>43879.220972222218</v>
      </c>
      <c r="B13534" t="str">
        <f>HYPERLINK("https://twitter.com/josephshewedes","@josephshewedes")</f>
        <v>@josephshewedes</v>
      </c>
      <c r="C13534" t="s">
        <v>6733</v>
      </c>
      <c r="D13534">
        <v>8</v>
      </c>
      <c r="E13534">
        <v>0</v>
      </c>
      <c r="F13534">
        <v>196</v>
      </c>
    </row>
    <row r="13535" spans="1:6" ht="12.75">
      <c r="A13535" s="2">
        <v>43879.219340277778</v>
      </c>
      <c r="B13535" t="str">
        <f>HYPERLINK("https://twitter.com/lagosmonkeyhunt","@lagosmonkeyhunt")</f>
        <v>@lagosmonkeyhunt</v>
      </c>
      <c r="C13535" t="s">
        <v>6733</v>
      </c>
      <c r="D13535">
        <v>8</v>
      </c>
      <c r="E13535">
        <v>0</v>
      </c>
      <c r="F13535">
        <v>575</v>
      </c>
    </row>
    <row r="13536" spans="1:6" ht="12.75">
      <c r="A13536" s="2">
        <v>43879.218402777777</v>
      </c>
      <c r="B13536" t="str">
        <f>HYPERLINK("https://twitter.com/AlexandreSchw88","@AlexandreSchw88")</f>
        <v>@AlexandreSchw88</v>
      </c>
      <c r="C13536" t="s">
        <v>6733</v>
      </c>
      <c r="D13536">
        <v>8</v>
      </c>
      <c r="E13536">
        <v>0</v>
      </c>
      <c r="F13536">
        <v>201</v>
      </c>
    </row>
    <row r="13537" spans="1:6" ht="12.75">
      <c r="A13537" s="2">
        <v>43879.218240740738</v>
      </c>
      <c r="B13537" t="str">
        <f>HYPERLINK("https://twitter.com/DianDrianto","@DianDrianto")</f>
        <v>@DianDrianto</v>
      </c>
      <c r="C13537" t="s">
        <v>5642</v>
      </c>
      <c r="D13537">
        <v>119</v>
      </c>
      <c r="E13537">
        <v>0</v>
      </c>
      <c r="F13537">
        <v>209</v>
      </c>
    </row>
    <row r="13538" spans="1:6" ht="12.75">
      <c r="A13538" s="2">
        <v>43879.217800925922</v>
      </c>
      <c r="B13538" t="str">
        <f>HYPERLINK("https://twitter.com/pilotignews","@pilotignews")</f>
        <v>@pilotignews</v>
      </c>
      <c r="C13538" t="s">
        <v>7011</v>
      </c>
      <c r="D13538">
        <v>0</v>
      </c>
      <c r="E13538">
        <v>0</v>
      </c>
      <c r="F13538">
        <v>23</v>
      </c>
    </row>
    <row r="13539" spans="1:6" ht="12.75">
      <c r="A13539" s="2">
        <v>43879.217615740738</v>
      </c>
      <c r="B13539" t="str">
        <f>HYPERLINK("https://twitter.com/isis_cristiny","@isis_cristiny")</f>
        <v>@isis_cristiny</v>
      </c>
      <c r="C13539" t="s">
        <v>7012</v>
      </c>
      <c r="D13539">
        <v>0</v>
      </c>
      <c r="E13539">
        <v>1</v>
      </c>
      <c r="F13539">
        <v>63</v>
      </c>
    </row>
    <row r="13540" spans="1:6" ht="12.75">
      <c r="A13540" s="2">
        <v>43879.217499999999</v>
      </c>
      <c r="B13540" t="str">
        <f t="shared" ref="B13540:B13541" si="229">HYPERLINK("https://twitter.com/ISIS_Balik_NO","@ISIS_Balik_NO")</f>
        <v>@ISIS_Balik_NO</v>
      </c>
      <c r="C13540" t="s">
        <v>7013</v>
      </c>
      <c r="D13540">
        <v>26</v>
      </c>
      <c r="E13540">
        <v>0</v>
      </c>
      <c r="F13540">
        <v>5999</v>
      </c>
    </row>
    <row r="13541" spans="1:6" ht="12.75">
      <c r="A13541" s="2">
        <v>43879.217430555553</v>
      </c>
      <c r="B13541" t="str">
        <f t="shared" si="229"/>
        <v>@ISIS_Balik_NO</v>
      </c>
      <c r="C13541" t="s">
        <v>7014</v>
      </c>
      <c r="D13541">
        <v>20</v>
      </c>
      <c r="E13541">
        <v>0</v>
      </c>
      <c r="F13541">
        <v>5999</v>
      </c>
    </row>
    <row r="13542" spans="1:6" ht="12.75">
      <c r="A13542" s="2">
        <v>43879.21707175926</v>
      </c>
      <c r="B13542" t="str">
        <f>HYPERLINK("https://twitter.com/vic_slay","@vic_slay")</f>
        <v>@vic_slay</v>
      </c>
      <c r="C13542" t="s">
        <v>7015</v>
      </c>
      <c r="D13542">
        <v>0</v>
      </c>
      <c r="E13542">
        <v>0</v>
      </c>
      <c r="F13542">
        <v>3</v>
      </c>
    </row>
    <row r="13543" spans="1:6" ht="12.75">
      <c r="A13543" s="2">
        <v>43879.216724537036</v>
      </c>
      <c r="B13543" t="str">
        <f>HYPERLINK("https://twitter.com/ynms79797979","@ynms79797979")</f>
        <v>@ynms79797979</v>
      </c>
      <c r="C13543" t="s">
        <v>7016</v>
      </c>
      <c r="D13543">
        <v>8</v>
      </c>
      <c r="E13543">
        <v>23</v>
      </c>
      <c r="F13543">
        <v>8391</v>
      </c>
    </row>
    <row r="13544" spans="1:6" ht="12.75">
      <c r="A13544" s="2">
        <v>43879.216423611113</v>
      </c>
      <c r="B13544" t="str">
        <f>HYPERLINK("https://twitter.com/gmb_indonesia","@gmb_indonesia")</f>
        <v>@gmb_indonesia</v>
      </c>
      <c r="C13544" t="s">
        <v>6842</v>
      </c>
      <c r="D13544">
        <v>22</v>
      </c>
      <c r="E13544">
        <v>0</v>
      </c>
      <c r="F13544">
        <v>14</v>
      </c>
    </row>
    <row r="13545" spans="1:6" ht="12.75">
      <c r="A13545" s="2">
        <v>43879.216377314813</v>
      </c>
      <c r="B13545" t="str">
        <f>HYPERLINK("https://twitter.com/Heri_aja","@Heri_aja")</f>
        <v>@Heri_aja</v>
      </c>
      <c r="C13545" t="s">
        <v>2155</v>
      </c>
      <c r="D13545">
        <v>430</v>
      </c>
      <c r="E13545">
        <v>0</v>
      </c>
      <c r="F13545">
        <v>1692</v>
      </c>
    </row>
    <row r="13546" spans="1:6" ht="12.75">
      <c r="A13546" s="2">
        <v>43879.215995370367</v>
      </c>
      <c r="B13546" t="str">
        <f>HYPERLINK("https://twitter.com/dirty_harry67","@dirty_harry67")</f>
        <v>@dirty_harry67</v>
      </c>
      <c r="C13546" t="s">
        <v>4975</v>
      </c>
      <c r="D13546">
        <v>177</v>
      </c>
      <c r="E13546">
        <v>0</v>
      </c>
      <c r="F13546">
        <v>17</v>
      </c>
    </row>
    <row r="13547" spans="1:6" ht="12.75">
      <c r="A13547" s="2">
        <v>43879.213171296295</v>
      </c>
      <c r="B13547" t="str">
        <f>HYPERLINK("https://twitter.com/Tony_Harto","@Tony_Harto")</f>
        <v>@Tony_Harto</v>
      </c>
      <c r="C13547" t="s">
        <v>7017</v>
      </c>
      <c r="D13547">
        <v>0</v>
      </c>
      <c r="E13547">
        <v>0</v>
      </c>
      <c r="F13547">
        <v>6374</v>
      </c>
    </row>
    <row r="13548" spans="1:6" ht="12.75">
      <c r="A13548" s="2">
        <v>43879.210798611108</v>
      </c>
      <c r="B13548" t="str">
        <f>HYPERLINK("https://twitter.com/GoAcehco","@GoAcehco")</f>
        <v>@GoAcehco</v>
      </c>
      <c r="C13548" t="s">
        <v>7018</v>
      </c>
      <c r="D13548">
        <v>0</v>
      </c>
      <c r="E13548">
        <v>0</v>
      </c>
      <c r="F13548">
        <v>4064</v>
      </c>
    </row>
    <row r="13549" spans="1:6" ht="12.75">
      <c r="A13549" s="2">
        <v>43879.209652777776</v>
      </c>
      <c r="B13549" t="str">
        <f>HYPERLINK("https://twitter.com/ekache99","@ekache99")</f>
        <v>@ekache99</v>
      </c>
      <c r="C13549" t="s">
        <v>4975</v>
      </c>
      <c r="D13549">
        <v>165</v>
      </c>
      <c r="E13549">
        <v>0</v>
      </c>
      <c r="F13549">
        <v>360</v>
      </c>
    </row>
    <row r="13550" spans="1:6" ht="12.75">
      <c r="A13550" s="2">
        <v>43879.208530092597</v>
      </c>
      <c r="B13550" t="str">
        <f>HYPERLINK("https://twitter.com/ThywiWienwien","@ThywiWienwien")</f>
        <v>@ThywiWienwien</v>
      </c>
      <c r="C13550" t="s">
        <v>2155</v>
      </c>
      <c r="D13550">
        <v>426</v>
      </c>
      <c r="E13550">
        <v>0</v>
      </c>
      <c r="F13550">
        <v>109</v>
      </c>
    </row>
    <row r="13551" spans="1:6" ht="12.75">
      <c r="A13551" s="2">
        <v>43879.208344907413</v>
      </c>
      <c r="B13551" t="str">
        <f>HYPERLINK("https://twitter.com/GoSumutdotcom","@GoSumutdotcom")</f>
        <v>@GoSumutdotcom</v>
      </c>
      <c r="C13551" t="s">
        <v>7018</v>
      </c>
      <c r="D13551">
        <v>0</v>
      </c>
      <c r="E13551">
        <v>0</v>
      </c>
      <c r="F13551">
        <v>4620</v>
      </c>
    </row>
    <row r="13552" spans="1:6" ht="12.75">
      <c r="A13552" s="2">
        <v>43879.208333333328</v>
      </c>
      <c r="B13552" t="str">
        <f>HYPERLINK("https://twitter.com/OfficialiNewsTV","@OfficialiNewsTV")</f>
        <v>@OfficialiNewsTV</v>
      </c>
      <c r="C13552" t="s">
        <v>6835</v>
      </c>
      <c r="D13552">
        <v>0</v>
      </c>
      <c r="E13552">
        <v>0</v>
      </c>
      <c r="F13552">
        <v>95947</v>
      </c>
    </row>
    <row r="13553" spans="1:6" ht="12.75">
      <c r="A13553" s="2">
        <v>43879.207442129627</v>
      </c>
      <c r="B13553" t="str">
        <f>HYPERLINK("https://twitter.com/moneypulasi","@moneypulasi")</f>
        <v>@moneypulasi</v>
      </c>
      <c r="C13553" t="s">
        <v>7019</v>
      </c>
      <c r="D13553">
        <v>214</v>
      </c>
      <c r="E13553">
        <v>0</v>
      </c>
      <c r="F13553">
        <v>953</v>
      </c>
    </row>
    <row r="13554" spans="1:6" ht="12.75">
      <c r="A13554" s="2">
        <v>43879.206319444449</v>
      </c>
      <c r="B13554" t="str">
        <f>HYPERLINK("https://twitter.com/WimmoFreedom201","@WimmoFreedom201")</f>
        <v>@WimmoFreedom201</v>
      </c>
      <c r="C13554" t="s">
        <v>7019</v>
      </c>
      <c r="D13554">
        <v>214</v>
      </c>
      <c r="E13554">
        <v>0</v>
      </c>
      <c r="F13554">
        <v>570</v>
      </c>
    </row>
    <row r="13555" spans="1:6" ht="12.75">
      <c r="A13555" s="2">
        <v>43879.205405092594</v>
      </c>
      <c r="B13555" t="str">
        <f>HYPERLINK("https://twitter.com/SmangatAndik","@SmangatAndik")</f>
        <v>@SmangatAndik</v>
      </c>
      <c r="C13555" t="s">
        <v>7020</v>
      </c>
      <c r="D13555">
        <v>39</v>
      </c>
      <c r="E13555">
        <v>0</v>
      </c>
      <c r="F13555">
        <v>500</v>
      </c>
    </row>
    <row r="13556" spans="1:6" ht="12.75">
      <c r="A13556" s="2">
        <v>43879.20512731481</v>
      </c>
      <c r="B13556" t="str">
        <f>HYPERLINK("https://twitter.com/masaqin","@masaqin")</f>
        <v>@masaqin</v>
      </c>
      <c r="C13556" t="s">
        <v>7021</v>
      </c>
      <c r="D13556">
        <v>13058</v>
      </c>
      <c r="E13556">
        <v>0</v>
      </c>
      <c r="F13556">
        <v>588</v>
      </c>
    </row>
    <row r="13557" spans="1:6" ht="12.75">
      <c r="A13557" s="2">
        <v>43879.20480324074</v>
      </c>
      <c r="B13557" t="str">
        <f>HYPERLINK("https://twitter.com/DIORNYSEOK","@DIORNYSEOK")</f>
        <v>@DIORNYSEOK</v>
      </c>
      <c r="C13557" t="s">
        <v>4975</v>
      </c>
      <c r="D13557">
        <v>165</v>
      </c>
      <c r="E13557">
        <v>0</v>
      </c>
      <c r="F13557">
        <v>68</v>
      </c>
    </row>
    <row r="13558" spans="1:6" ht="12.75">
      <c r="A13558" s="2">
        <v>43879.201388888891</v>
      </c>
      <c r="B13558" t="str">
        <f>HYPERLINK("https://twitter.com/bramantareja","@bramantareja")</f>
        <v>@bramantareja</v>
      </c>
      <c r="C13558" t="s">
        <v>2155</v>
      </c>
      <c r="D13558">
        <v>426</v>
      </c>
      <c r="E13558">
        <v>0</v>
      </c>
      <c r="F13558">
        <v>496</v>
      </c>
    </row>
    <row r="13559" spans="1:6" ht="12.75">
      <c r="A13559" s="2">
        <v>43879.201215277775</v>
      </c>
      <c r="B13559" t="str">
        <f>HYPERLINK("https://twitter.com/dwytono","@dwytono")</f>
        <v>@dwytono</v>
      </c>
      <c r="C13559" t="s">
        <v>6206</v>
      </c>
      <c r="D13559">
        <v>20</v>
      </c>
      <c r="E13559">
        <v>0</v>
      </c>
      <c r="F13559">
        <v>1861</v>
      </c>
    </row>
    <row r="13560" spans="1:6" ht="12.75">
      <c r="A13560" s="2">
        <v>43879.201111111106</v>
      </c>
      <c r="B13560" t="str">
        <f>HYPERLINK("https://twitter.com/__beritaterkini","@__beritaterkini")</f>
        <v>@__beritaterkini</v>
      </c>
      <c r="C13560" t="s">
        <v>7022</v>
      </c>
      <c r="D13560">
        <v>0</v>
      </c>
      <c r="E13560">
        <v>0</v>
      </c>
      <c r="F13560">
        <v>441</v>
      </c>
    </row>
    <row r="13561" spans="1:6" ht="12.75">
      <c r="A13561" s="2">
        <v>43879.199953703705</v>
      </c>
      <c r="B13561" t="str">
        <f>HYPERLINK("https://twitter.com/idpenamini","@idpenamini")</f>
        <v>@idpenamini</v>
      </c>
      <c r="C13561" t="s">
        <v>7023</v>
      </c>
      <c r="D13561">
        <v>0</v>
      </c>
      <c r="E13561">
        <v>0</v>
      </c>
      <c r="F13561">
        <v>168</v>
      </c>
    </row>
    <row r="13562" spans="1:6" ht="12.75">
      <c r="A13562" s="2">
        <v>43879.198877314819</v>
      </c>
      <c r="B13562" t="str">
        <f>HYPERLINK("https://twitter.com/pacearfan","@pacearfan")</f>
        <v>@pacearfan</v>
      </c>
      <c r="C13562" t="s">
        <v>6357</v>
      </c>
      <c r="D13562">
        <v>1</v>
      </c>
      <c r="E13562">
        <v>0</v>
      </c>
      <c r="F13562">
        <v>457</v>
      </c>
    </row>
    <row r="13563" spans="1:6" ht="12.75">
      <c r="A13563" s="2">
        <v>43879.197499999995</v>
      </c>
      <c r="B13563" t="str">
        <f>HYPERLINK("https://twitter.com/AlexanderHR_14","@AlexanderHR_14")</f>
        <v>@AlexanderHR_14</v>
      </c>
      <c r="C13563" t="s">
        <v>5642</v>
      </c>
      <c r="D13563">
        <v>102</v>
      </c>
      <c r="E13563">
        <v>0</v>
      </c>
      <c r="F13563">
        <v>112</v>
      </c>
    </row>
    <row r="13564" spans="1:6" ht="12.75">
      <c r="A13564" s="2">
        <v>43879.197430555556</v>
      </c>
      <c r="B13564" t="str">
        <f>HYPERLINK("https://twitter.com/TazrinOmer","@TazrinOmer")</f>
        <v>@TazrinOmer</v>
      </c>
      <c r="C13564" t="s">
        <v>7024</v>
      </c>
      <c r="D13564">
        <v>0</v>
      </c>
      <c r="E13564">
        <v>1</v>
      </c>
      <c r="F13564">
        <v>2636</v>
      </c>
    </row>
    <row r="13565" spans="1:6" ht="12.75">
      <c r="A13565" s="2">
        <v>43879.197280092594</v>
      </c>
      <c r="B13565" t="str">
        <f>HYPERLINK("https://twitter.com/IDoxim","@IDoxim")</f>
        <v>@IDoxim</v>
      </c>
      <c r="C13565" t="s">
        <v>7025</v>
      </c>
      <c r="D13565">
        <v>0</v>
      </c>
      <c r="E13565">
        <v>0</v>
      </c>
      <c r="F13565">
        <v>158</v>
      </c>
    </row>
    <row r="13566" spans="1:6" ht="12.75">
      <c r="A13566" s="2">
        <v>43879.196701388893</v>
      </c>
      <c r="B13566" t="str">
        <f>HYPERLINK("https://twitter.com/Inssn2","@Inssn2")</f>
        <v>@Inssn2</v>
      </c>
      <c r="C13566" t="s">
        <v>7026</v>
      </c>
      <c r="D13566">
        <v>0</v>
      </c>
      <c r="E13566">
        <v>0</v>
      </c>
      <c r="F13566">
        <v>15</v>
      </c>
    </row>
    <row r="13567" spans="1:6" ht="12.75">
      <c r="A13567" s="2">
        <v>43879.195162037038</v>
      </c>
      <c r="B13567" t="str">
        <f>HYPERLINK("https://twitter.com/TazrinOmer","@TazrinOmer")</f>
        <v>@TazrinOmer</v>
      </c>
      <c r="C13567" t="s">
        <v>7027</v>
      </c>
      <c r="D13567">
        <v>0</v>
      </c>
      <c r="E13567">
        <v>1</v>
      </c>
      <c r="F13567">
        <v>2636</v>
      </c>
    </row>
    <row r="13568" spans="1:6" ht="12.75">
      <c r="A13568" s="2">
        <v>43879.194803240738</v>
      </c>
      <c r="B13568" t="str">
        <f>HYPERLINK("https://twitter.com/NovrikoSulistio","@NovrikoSulistio")</f>
        <v>@NovrikoSulistio</v>
      </c>
      <c r="C13568" t="s">
        <v>6827</v>
      </c>
      <c r="D13568">
        <v>9</v>
      </c>
      <c r="E13568">
        <v>0</v>
      </c>
      <c r="F13568">
        <v>955</v>
      </c>
    </row>
    <row r="13569" spans="1:6" ht="12.75">
      <c r="A13569" s="2">
        <v>43879.193368055552</v>
      </c>
      <c r="B13569" t="str">
        <f>HYPERLINK("https://twitter.com/Inssn2","@Inssn2")</f>
        <v>@Inssn2</v>
      </c>
      <c r="C13569" t="s">
        <v>7028</v>
      </c>
      <c r="D13569">
        <v>0</v>
      </c>
      <c r="E13569">
        <v>0</v>
      </c>
      <c r="F13569">
        <v>15</v>
      </c>
    </row>
    <row r="13570" spans="1:6" ht="12.75">
      <c r="A13570" s="2">
        <v>43879.192835648151</v>
      </c>
      <c r="B13570" t="str">
        <f>HYPERLINK("https://twitter.com/__beritaterkini","@__beritaterkini")</f>
        <v>@__beritaterkini</v>
      </c>
      <c r="C13570" t="s">
        <v>7029</v>
      </c>
      <c r="D13570">
        <v>0</v>
      </c>
      <c r="E13570">
        <v>0</v>
      </c>
      <c r="F13570">
        <v>441</v>
      </c>
    </row>
    <row r="13571" spans="1:6" ht="12.75">
      <c r="A13571" s="2">
        <v>43879.192662037036</v>
      </c>
      <c r="B13571" t="str">
        <f>HYPERLINK("https://twitter.com/iwa_radio","@iwa_radio")</f>
        <v>@iwa_radio</v>
      </c>
      <c r="C13571" t="s">
        <v>6827</v>
      </c>
      <c r="D13571">
        <v>9</v>
      </c>
      <c r="E13571">
        <v>0</v>
      </c>
      <c r="F13571">
        <v>284</v>
      </c>
    </row>
    <row r="13572" spans="1:6" ht="12.75">
      <c r="A13572" s="2">
        <v>43879.192233796297</v>
      </c>
      <c r="B13572" t="str">
        <f>HYPERLINK("https://twitter.com/RD1951","@RD1951")</f>
        <v>@RD1951</v>
      </c>
      <c r="C13572" t="s">
        <v>6161</v>
      </c>
      <c r="D13572">
        <v>333</v>
      </c>
      <c r="E13572">
        <v>0</v>
      </c>
      <c r="F13572">
        <v>46</v>
      </c>
    </row>
    <row r="13573" spans="1:6" ht="12.75">
      <c r="A13573" s="2">
        <v>43879.192210648151</v>
      </c>
      <c r="B13573" t="str">
        <f>HYPERLINK("https://twitter.com/Christi18107208","@Christi18107208")</f>
        <v>@Christi18107208</v>
      </c>
      <c r="C13573" t="s">
        <v>2155</v>
      </c>
      <c r="D13573">
        <v>426</v>
      </c>
      <c r="E13573">
        <v>0</v>
      </c>
      <c r="F13573">
        <v>133</v>
      </c>
    </row>
    <row r="13574" spans="1:6" ht="12.75">
      <c r="A13574" s="2">
        <v>43879.192013888889</v>
      </c>
      <c r="B13574" t="str">
        <f>HYPERLINK("https://twitter.com/priadi_t","@priadi_t")</f>
        <v>@priadi_t</v>
      </c>
      <c r="C13574" t="s">
        <v>3341</v>
      </c>
      <c r="D13574">
        <v>653</v>
      </c>
      <c r="E13574">
        <v>0</v>
      </c>
      <c r="F13574">
        <v>1</v>
      </c>
    </row>
    <row r="13575" spans="1:6" ht="12.75">
      <c r="A13575" s="2">
        <v>43879.191655092596</v>
      </c>
      <c r="B13575" t="str">
        <f>HYPERLINK("https://twitter.com/Arhiez08","@Arhiez08")</f>
        <v>@Arhiez08</v>
      </c>
      <c r="C13575" t="s">
        <v>6842</v>
      </c>
      <c r="D13575">
        <v>20</v>
      </c>
      <c r="E13575">
        <v>0</v>
      </c>
      <c r="F13575">
        <v>95</v>
      </c>
    </row>
    <row r="13576" spans="1:6" ht="12.75">
      <c r="A13576" s="2">
        <v>43879.19159722222</v>
      </c>
      <c r="B13576" t="str">
        <f>HYPERLINK("https://twitter.com/C_AjiMahameru52","@C_AjiMahameru52")</f>
        <v>@C_AjiMahameru52</v>
      </c>
      <c r="C13576" t="s">
        <v>6672</v>
      </c>
      <c r="D13576">
        <v>1</v>
      </c>
      <c r="E13576">
        <v>0</v>
      </c>
      <c r="F13576">
        <v>3053</v>
      </c>
    </row>
    <row r="13577" spans="1:6" ht="12.75">
      <c r="A13577" s="2">
        <v>43879.191331018519</v>
      </c>
      <c r="B13577" t="str">
        <f>HYPERLINK("https://twitter.com/Puspen_TNI","@Puspen_TNI")</f>
        <v>@Puspen_TNI</v>
      </c>
      <c r="C13577" t="s">
        <v>7030</v>
      </c>
      <c r="D13577">
        <v>1</v>
      </c>
      <c r="E13577">
        <v>8</v>
      </c>
      <c r="F13577">
        <v>305073</v>
      </c>
    </row>
    <row r="13578" spans="1:6" ht="12.75">
      <c r="A13578" s="2">
        <v>43879.190324074079</v>
      </c>
      <c r="B13578" t="str">
        <f>HYPERLINK("https://twitter.com/Anonimo84261770","@Anonimo84261770")</f>
        <v>@Anonimo84261770</v>
      </c>
      <c r="C13578" t="s">
        <v>2085</v>
      </c>
      <c r="D13578">
        <v>9</v>
      </c>
      <c r="E13578">
        <v>0</v>
      </c>
      <c r="F13578">
        <v>1</v>
      </c>
    </row>
    <row r="13579" spans="1:6" ht="12.75">
      <c r="A13579" s="2">
        <v>43879.189976851849</v>
      </c>
      <c r="B13579" t="str">
        <f>HYPERLINK("https://twitter.com/Donie248","@Donie248")</f>
        <v>@Donie248</v>
      </c>
      <c r="C13579" t="s">
        <v>6878</v>
      </c>
      <c r="D13579">
        <v>1</v>
      </c>
      <c r="E13579">
        <v>0</v>
      </c>
      <c r="F13579">
        <v>210</v>
      </c>
    </row>
    <row r="13580" spans="1:6" ht="12.75">
      <c r="A13580" s="2">
        <v>43879.189479166671</v>
      </c>
      <c r="B13580" t="str">
        <f t="shared" ref="B13580:B13581" si="230">HYPERLINK("https://twitter.com/sabdopalon77","@sabdopalon77")</f>
        <v>@sabdopalon77</v>
      </c>
      <c r="C13580" t="s">
        <v>7031</v>
      </c>
      <c r="D13580">
        <v>0</v>
      </c>
      <c r="E13580">
        <v>0</v>
      </c>
      <c r="F13580">
        <v>681</v>
      </c>
    </row>
    <row r="13581" spans="1:6" ht="12.75">
      <c r="A13581" s="2">
        <v>43879.187384259261</v>
      </c>
      <c r="B13581" t="str">
        <f t="shared" si="230"/>
        <v>@sabdopalon77</v>
      </c>
      <c r="C13581" t="s">
        <v>7032</v>
      </c>
      <c r="D13581">
        <v>0</v>
      </c>
      <c r="E13581">
        <v>0</v>
      </c>
      <c r="F13581">
        <v>681</v>
      </c>
    </row>
    <row r="13582" spans="1:6" ht="12.75">
      <c r="A13582" s="2">
        <v>43879.1871412037</v>
      </c>
      <c r="B13582" t="str">
        <f>HYPERLINK("https://twitter.com/tonoblk","@tonoblk")</f>
        <v>@tonoblk</v>
      </c>
      <c r="C13582" t="s">
        <v>4975</v>
      </c>
      <c r="D13582">
        <v>165</v>
      </c>
      <c r="E13582">
        <v>0</v>
      </c>
      <c r="F13582">
        <v>62</v>
      </c>
    </row>
    <row r="13583" spans="1:6" ht="12.75">
      <c r="A13583" s="2">
        <v>43879.187083333338</v>
      </c>
      <c r="B13583" t="str">
        <f>HYPERLINK("https://twitter.com/Hamjawi1","@Hamjawi1")</f>
        <v>@Hamjawi1</v>
      </c>
      <c r="C13583" t="s">
        <v>4975</v>
      </c>
      <c r="D13583">
        <v>165</v>
      </c>
      <c r="E13583">
        <v>0</v>
      </c>
      <c r="F13583">
        <v>1490</v>
      </c>
    </row>
    <row r="13584" spans="1:6" ht="12.75">
      <c r="A13584" s="2">
        <v>43879.185416666667</v>
      </c>
      <c r="B13584" t="str">
        <f>HYPERLINK("https://twitter.com/woelannnn","@woelannnn")</f>
        <v>@woelannnn</v>
      </c>
      <c r="C13584" t="s">
        <v>2155</v>
      </c>
      <c r="D13584">
        <v>426</v>
      </c>
      <c r="E13584">
        <v>0</v>
      </c>
      <c r="F13584">
        <v>20824</v>
      </c>
    </row>
    <row r="13585" spans="1:6" ht="12.75">
      <c r="A13585" s="2">
        <v>43879.183738425927</v>
      </c>
      <c r="B13585" t="str">
        <f>HYPERLINK("https://twitter.com/RwnEmilie","@RwnEmilie")</f>
        <v>@RwnEmilie</v>
      </c>
      <c r="C13585" t="s">
        <v>7033</v>
      </c>
      <c r="D13585">
        <v>0</v>
      </c>
      <c r="E13585">
        <v>0</v>
      </c>
      <c r="F13585">
        <v>5</v>
      </c>
    </row>
    <row r="13586" spans="1:6" ht="12.75">
      <c r="A13586" s="2">
        <v>43879.178969907407</v>
      </c>
      <c r="B13586" t="str">
        <f>HYPERLINK("https://twitter.com/baayannganmu","@baayannganmu")</f>
        <v>@baayannganmu</v>
      </c>
      <c r="C13586" t="s">
        <v>2137</v>
      </c>
      <c r="D13586">
        <v>272</v>
      </c>
      <c r="E13586">
        <v>0</v>
      </c>
      <c r="F13586">
        <v>494</v>
      </c>
    </row>
    <row r="13587" spans="1:6" ht="12.75">
      <c r="A13587" s="2">
        <v>43879.178414351853</v>
      </c>
      <c r="B13587" t="str">
        <f>HYPERLINK("https://twitter.com/MdTariqueHasan1","@MdTariqueHasan1")</f>
        <v>@MdTariqueHasan1</v>
      </c>
      <c r="C13587" t="s">
        <v>7034</v>
      </c>
      <c r="D13587">
        <v>0</v>
      </c>
      <c r="E13587">
        <v>0</v>
      </c>
      <c r="F13587">
        <v>1411</v>
      </c>
    </row>
    <row r="13588" spans="1:6" ht="12.75">
      <c r="A13588" s="2">
        <v>43879.173993055556</v>
      </c>
      <c r="B13588" t="str">
        <f>HYPERLINK("https://twitter.com/suaradotcom","@suaradotcom")</f>
        <v>@suaradotcom</v>
      </c>
      <c r="C13588" t="s">
        <v>7035</v>
      </c>
      <c r="D13588">
        <v>0</v>
      </c>
      <c r="E13588">
        <v>0</v>
      </c>
      <c r="F13588">
        <v>24170</v>
      </c>
    </row>
    <row r="13589" spans="1:6" ht="12.75">
      <c r="A13589" s="2">
        <v>43879.169537037036</v>
      </c>
      <c r="B13589" t="str">
        <f>HYPERLINK("https://twitter.com/bobby_paribowo","@bobby_paribowo")</f>
        <v>@bobby_paribowo</v>
      </c>
      <c r="C13589" t="s">
        <v>6827</v>
      </c>
      <c r="D13589">
        <v>9</v>
      </c>
      <c r="E13589">
        <v>0</v>
      </c>
      <c r="F13589">
        <v>61</v>
      </c>
    </row>
    <row r="13590" spans="1:6" ht="12.75">
      <c r="A13590" s="2">
        <v>43879.168958333335</v>
      </c>
      <c r="B13590" t="str">
        <f>HYPERLINK("https://twitter.com/anggerenggar","@anggerenggar")</f>
        <v>@anggerenggar</v>
      </c>
      <c r="C13590" t="s">
        <v>4975</v>
      </c>
      <c r="D13590">
        <v>165</v>
      </c>
      <c r="E13590">
        <v>0</v>
      </c>
      <c r="F13590">
        <v>64</v>
      </c>
    </row>
    <row r="13591" spans="1:6" ht="12.75">
      <c r="A13591" s="2">
        <v>43879.167939814812</v>
      </c>
      <c r="B13591" t="str">
        <f>HYPERLINK("https://twitter.com/SantiErfina","@SantiErfina")</f>
        <v>@SantiErfina</v>
      </c>
      <c r="C13591" t="s">
        <v>5761</v>
      </c>
      <c r="D13591">
        <v>101</v>
      </c>
      <c r="E13591">
        <v>0</v>
      </c>
      <c r="F13591">
        <v>398</v>
      </c>
    </row>
    <row r="13592" spans="1:6" ht="12.75">
      <c r="A13592" s="2">
        <v>43879.166747685187</v>
      </c>
      <c r="B13592" t="str">
        <f>HYPERLINK("https://twitter.com/tienz95","@tienz95")</f>
        <v>@tienz95</v>
      </c>
      <c r="C13592" t="s">
        <v>7036</v>
      </c>
      <c r="D13592">
        <v>0</v>
      </c>
      <c r="E13592">
        <v>0</v>
      </c>
      <c r="F13592">
        <v>654</v>
      </c>
    </row>
    <row r="13593" spans="1:6" ht="12.75">
      <c r="A13593" s="2">
        <v>43879.164675925931</v>
      </c>
      <c r="B13593" t="str">
        <f>HYPERLINK("https://twitter.com/felippeAnsel","@felippeAnsel")</f>
        <v>@felippeAnsel</v>
      </c>
      <c r="C13593" t="s">
        <v>7037</v>
      </c>
      <c r="D13593">
        <v>0</v>
      </c>
      <c r="E13593">
        <v>0</v>
      </c>
      <c r="F13593">
        <v>155</v>
      </c>
    </row>
    <row r="13594" spans="1:6" ht="12.75">
      <c r="A13594" s="2">
        <v>43879.164375</v>
      </c>
      <c r="B13594" t="str">
        <f>HYPERLINK("https://twitter.com/mrtaufik19","@mrtaufik19")</f>
        <v>@mrtaufik19</v>
      </c>
      <c r="C13594" t="s">
        <v>4975</v>
      </c>
      <c r="D13594">
        <v>160</v>
      </c>
      <c r="E13594">
        <v>0</v>
      </c>
      <c r="F13594">
        <v>28</v>
      </c>
    </row>
    <row r="13595" spans="1:6" ht="12.75">
      <c r="A13595" s="2">
        <v>43879.163356481484</v>
      </c>
      <c r="B13595" t="str">
        <f>HYPERLINK("https://twitter.com/DivaRadioqu","@DivaRadioqu")</f>
        <v>@DivaRadioqu</v>
      </c>
      <c r="C13595" t="s">
        <v>7038</v>
      </c>
      <c r="D13595">
        <v>0</v>
      </c>
      <c r="E13595">
        <v>0</v>
      </c>
      <c r="F13595">
        <v>256</v>
      </c>
    </row>
    <row r="13596" spans="1:6" ht="12.75">
      <c r="A13596" s="2">
        <v>43879.16196759259</v>
      </c>
      <c r="B13596" t="str">
        <f>HYPERLINK("https://twitter.com/Rofik_Mohamad","@Rofik_Mohamad")</f>
        <v>@Rofik_Mohamad</v>
      </c>
      <c r="C13596" t="s">
        <v>2133</v>
      </c>
      <c r="D13596">
        <v>96</v>
      </c>
      <c r="E13596">
        <v>0</v>
      </c>
      <c r="F13596">
        <v>128</v>
      </c>
    </row>
    <row r="13597" spans="1:6" ht="12.75">
      <c r="A13597" s="2">
        <v>43879.157916666663</v>
      </c>
      <c r="B13597" t="str">
        <f>HYPERLINK("https://twitter.com/arifijanto","@arifijanto")</f>
        <v>@arifijanto</v>
      </c>
      <c r="C13597" t="s">
        <v>6990</v>
      </c>
      <c r="D13597">
        <v>9</v>
      </c>
      <c r="E13597">
        <v>0</v>
      </c>
      <c r="F13597">
        <v>54</v>
      </c>
    </row>
    <row r="13598" spans="1:6" ht="12.75">
      <c r="A13598" s="2">
        <v>43879.157268518524</v>
      </c>
      <c r="B13598" t="str">
        <f>HYPERLINK("https://twitter.com/esyapurple","@esyapurple")</f>
        <v>@esyapurple</v>
      </c>
      <c r="C13598" t="s">
        <v>7039</v>
      </c>
      <c r="D13598">
        <v>1</v>
      </c>
      <c r="E13598">
        <v>0</v>
      </c>
      <c r="F13598">
        <v>162</v>
      </c>
    </row>
    <row r="13599" spans="1:6" ht="12.75">
      <c r="A13599" s="2">
        <v>43879.156736111108</v>
      </c>
      <c r="B13599" t="str">
        <f>HYPERLINK("https://twitter.com/MaryamAleya","@MaryamAleya")</f>
        <v>@MaryamAleya</v>
      </c>
      <c r="C13599" t="s">
        <v>7040</v>
      </c>
      <c r="D13599">
        <v>17</v>
      </c>
      <c r="E13599">
        <v>0</v>
      </c>
      <c r="F13599">
        <v>1660</v>
      </c>
    </row>
    <row r="13600" spans="1:6" ht="12.75">
      <c r="A13600" s="2">
        <v>43879.156168981484</v>
      </c>
      <c r="B13600" t="str">
        <f>HYPERLINK("https://twitter.com/AlNuriah","@AlNuriah")</f>
        <v>@AlNuriah</v>
      </c>
      <c r="C13600" t="s">
        <v>7041</v>
      </c>
      <c r="D13600">
        <v>0</v>
      </c>
      <c r="E13600">
        <v>0</v>
      </c>
      <c r="F13600">
        <v>76</v>
      </c>
    </row>
    <row r="13601" spans="1:6" ht="12.75">
      <c r="A13601" s="2">
        <v>43879.156018518523</v>
      </c>
      <c r="B13601" t="str">
        <f>HYPERLINK("https://twitter.com/MarwanSayih2","@MarwanSayih2")</f>
        <v>@MarwanSayih2</v>
      </c>
      <c r="C13601" t="s">
        <v>7042</v>
      </c>
      <c r="D13601">
        <v>0</v>
      </c>
      <c r="E13601">
        <v>0</v>
      </c>
      <c r="F13601">
        <v>1</v>
      </c>
    </row>
    <row r="13602" spans="1:6" ht="12.75">
      <c r="A13602" s="2">
        <v>43879.154456018514</v>
      </c>
      <c r="B13602" t="str">
        <f>HYPERLINK("https://twitter.com/f4Pacemayer","@f4Pacemayer")</f>
        <v>@f4Pacemayer</v>
      </c>
      <c r="C13602" t="s">
        <v>7043</v>
      </c>
      <c r="D13602">
        <v>0</v>
      </c>
      <c r="E13602">
        <v>0</v>
      </c>
      <c r="F13602">
        <v>60</v>
      </c>
    </row>
    <row r="13603" spans="1:6" ht="12.75">
      <c r="A13603" s="2">
        <v>43879.154120370367</v>
      </c>
      <c r="B13603" t="str">
        <f>HYPERLINK("https://twitter.com/anitamarlian2","@anitamarlian2")</f>
        <v>@anitamarlian2</v>
      </c>
      <c r="C13603" t="s">
        <v>7044</v>
      </c>
      <c r="D13603">
        <v>1</v>
      </c>
      <c r="E13603">
        <v>0</v>
      </c>
      <c r="F13603">
        <v>114</v>
      </c>
    </row>
    <row r="13604" spans="1:6" ht="12.75">
      <c r="A13604" s="2">
        <v>43879.154027777782</v>
      </c>
      <c r="B13604" t="str">
        <f>HYPERLINK("https://twitter.com/LaelaAmien","@LaelaAmien")</f>
        <v>@LaelaAmien</v>
      </c>
      <c r="C13604" t="s">
        <v>4975</v>
      </c>
      <c r="D13604">
        <v>160</v>
      </c>
      <c r="E13604">
        <v>0</v>
      </c>
      <c r="F13604">
        <v>793</v>
      </c>
    </row>
    <row r="13605" spans="1:6" ht="12.75">
      <c r="A13605" s="2">
        <v>43879.153993055559</v>
      </c>
      <c r="B13605" t="str">
        <f>HYPERLINK("https://twitter.com/Hendfry_Gerard","@Hendfry_Gerard")</f>
        <v>@Hendfry_Gerard</v>
      </c>
      <c r="C13605" t="s">
        <v>2155</v>
      </c>
      <c r="D13605">
        <v>422</v>
      </c>
      <c r="E13605">
        <v>0</v>
      </c>
      <c r="F13605">
        <v>2036</v>
      </c>
    </row>
    <row r="13606" spans="1:6" ht="12.75">
      <c r="A13606" s="2">
        <v>43879.153877314813</v>
      </c>
      <c r="B13606" t="str">
        <f>HYPERLINK("https://twitter.com/oouutlierr","@oouutlierr")</f>
        <v>@oouutlierr</v>
      </c>
      <c r="C13606" t="s">
        <v>7045</v>
      </c>
      <c r="D13606">
        <v>0</v>
      </c>
      <c r="E13606">
        <v>0</v>
      </c>
      <c r="F13606">
        <v>67</v>
      </c>
    </row>
    <row r="13607" spans="1:6" ht="12.75">
      <c r="A13607" s="2">
        <v>43879.153437500005</v>
      </c>
      <c r="B13607" t="str">
        <f>HYPERLINK("https://twitter.com/ShNoumi","@ShNoumi")</f>
        <v>@ShNoumi</v>
      </c>
      <c r="C13607" t="s">
        <v>6497</v>
      </c>
      <c r="D13607">
        <v>7</v>
      </c>
      <c r="E13607">
        <v>0</v>
      </c>
      <c r="F13607">
        <v>7213</v>
      </c>
    </row>
    <row r="13608" spans="1:6" ht="12.75">
      <c r="A13608" s="2">
        <v>43879.152465277773</v>
      </c>
      <c r="B13608" t="str">
        <f>HYPERLINK("https://twitter.com/Banggajtg","@Banggajtg")</f>
        <v>@Banggajtg</v>
      </c>
      <c r="C13608" t="s">
        <v>5642</v>
      </c>
      <c r="D13608">
        <v>99</v>
      </c>
      <c r="E13608">
        <v>0</v>
      </c>
      <c r="F13608">
        <v>1447</v>
      </c>
    </row>
    <row r="13609" spans="1:6" ht="12.75">
      <c r="A13609" s="2">
        <v>43879.152187500003</v>
      </c>
      <c r="B13609" t="str">
        <f>HYPERLINK("https://twitter.com/hayamape","@hayamape")</f>
        <v>@hayamape</v>
      </c>
      <c r="C13609" t="s">
        <v>7046</v>
      </c>
      <c r="D13609">
        <v>0</v>
      </c>
      <c r="E13609">
        <v>0</v>
      </c>
      <c r="F13609">
        <v>733</v>
      </c>
    </row>
    <row r="13610" spans="1:6" ht="12.75">
      <c r="A13610" s="2">
        <v>43879.151655092588</v>
      </c>
      <c r="B13610" t="str">
        <f>HYPERLINK("https://twitter.com/Banggajtg","@Banggajtg")</f>
        <v>@Banggajtg</v>
      </c>
      <c r="C13610" t="s">
        <v>7047</v>
      </c>
      <c r="D13610">
        <v>11</v>
      </c>
      <c r="E13610">
        <v>0</v>
      </c>
      <c r="F13610">
        <v>1447</v>
      </c>
    </row>
    <row r="13611" spans="1:6" ht="12.75">
      <c r="A13611" s="2">
        <v>43879.151238425926</v>
      </c>
      <c r="B13611" t="str">
        <f>HYPERLINK("https://twitter.com/chocoluizy","@chocoluizy")</f>
        <v>@chocoluizy</v>
      </c>
      <c r="C13611" t="s">
        <v>7048</v>
      </c>
      <c r="D13611">
        <v>0</v>
      </c>
      <c r="E13611">
        <v>0</v>
      </c>
      <c r="F13611">
        <v>96</v>
      </c>
    </row>
    <row r="13612" spans="1:6" ht="12.75">
      <c r="A13612" s="2">
        <v>43879.14907407407</v>
      </c>
      <c r="B13612" t="str">
        <f>HYPERLINK("https://twitter.com/EmElEs12","@EmElEs12")</f>
        <v>@EmElEs12</v>
      </c>
      <c r="C13612" t="s">
        <v>4975</v>
      </c>
      <c r="D13612">
        <v>160</v>
      </c>
      <c r="E13612">
        <v>0</v>
      </c>
      <c r="F13612">
        <v>2607</v>
      </c>
    </row>
    <row r="13613" spans="1:6" ht="12.75">
      <c r="A13613" s="2">
        <v>43879.147962962961</v>
      </c>
      <c r="B13613" t="str">
        <f>HYPERLINK("https://twitter.com/Lip6Bisnis","@Lip6Bisnis")</f>
        <v>@Lip6Bisnis</v>
      </c>
      <c r="C13613" t="s">
        <v>7049</v>
      </c>
      <c r="D13613">
        <v>0</v>
      </c>
      <c r="E13613">
        <v>0</v>
      </c>
      <c r="F13613">
        <v>7722</v>
      </c>
    </row>
    <row r="13614" spans="1:6" ht="12.75">
      <c r="A13614" s="2">
        <v>43879.146018518513</v>
      </c>
      <c r="B13614" t="str">
        <f>HYPERLINK("https://twitter.com/pilotignews","@pilotignews")</f>
        <v>@pilotignews</v>
      </c>
      <c r="C13614" t="s">
        <v>7050</v>
      </c>
      <c r="D13614">
        <v>0</v>
      </c>
      <c r="E13614">
        <v>0</v>
      </c>
      <c r="F13614">
        <v>23</v>
      </c>
    </row>
    <row r="13615" spans="1:6" ht="12.75">
      <c r="A13615" s="2">
        <v>43879.144224537042</v>
      </c>
      <c r="B13615" t="str">
        <f>HYPERLINK("https://twitter.com/adam_krishna48","@adam_krishna48")</f>
        <v>@adam_krishna48</v>
      </c>
      <c r="C13615" t="s">
        <v>3340</v>
      </c>
      <c r="D13615">
        <v>315</v>
      </c>
      <c r="E13615">
        <v>0</v>
      </c>
      <c r="F13615">
        <v>1128</v>
      </c>
    </row>
    <row r="13616" spans="1:6" ht="12.75">
      <c r="A13616" s="2">
        <v>43879.14362268518</v>
      </c>
      <c r="B13616" t="str">
        <f>HYPERLINK("https://twitter.com/syakirasyakir","@syakirasyakir")</f>
        <v>@syakirasyakir</v>
      </c>
      <c r="C13616" t="s">
        <v>7051</v>
      </c>
      <c r="D13616">
        <v>0</v>
      </c>
      <c r="E13616">
        <v>0</v>
      </c>
      <c r="F13616">
        <v>678</v>
      </c>
    </row>
    <row r="13617" spans="1:6" ht="12.75">
      <c r="A13617" s="2">
        <v>43879.142083333332</v>
      </c>
      <c r="B13617" t="str">
        <f>HYPERLINK("https://twitter.com/ki_sawi72","@ki_sawi72")</f>
        <v>@ki_sawi72</v>
      </c>
      <c r="C13617" t="s">
        <v>7052</v>
      </c>
      <c r="D13617">
        <v>0</v>
      </c>
      <c r="E13617">
        <v>0</v>
      </c>
      <c r="F13617">
        <v>79</v>
      </c>
    </row>
    <row r="13618" spans="1:6" ht="12.75">
      <c r="A13618" s="2">
        <v>43879.142071759255</v>
      </c>
      <c r="B13618" t="str">
        <f>HYPERLINK("https://twitter.com/RHNurcahyo","@RHNurcahyo")</f>
        <v>@RHNurcahyo</v>
      </c>
      <c r="C13618" t="s">
        <v>6206</v>
      </c>
      <c r="D13618">
        <v>19</v>
      </c>
      <c r="E13618">
        <v>0</v>
      </c>
      <c r="F13618">
        <v>459</v>
      </c>
    </row>
    <row r="13619" spans="1:6" ht="12.75">
      <c r="A13619" s="2">
        <v>43879.140752314815</v>
      </c>
      <c r="B13619" t="str">
        <f>HYPERLINK("https://twitter.com/kt_suarnawa","@kt_suarnawa")</f>
        <v>@kt_suarnawa</v>
      </c>
      <c r="C13619" t="s">
        <v>7053</v>
      </c>
      <c r="D13619">
        <v>0</v>
      </c>
      <c r="E13619">
        <v>0</v>
      </c>
      <c r="F13619">
        <v>102</v>
      </c>
    </row>
    <row r="13620" spans="1:6" ht="12.75">
      <c r="A13620" s="2">
        <v>43879.140532407408</v>
      </c>
      <c r="B13620" t="str">
        <f>HYPERLINK("https://twitter.com/RHNurcahyo","@RHNurcahyo")</f>
        <v>@RHNurcahyo</v>
      </c>
      <c r="C13620" t="s">
        <v>5642</v>
      </c>
      <c r="D13620">
        <v>99</v>
      </c>
      <c r="E13620">
        <v>0</v>
      </c>
      <c r="F13620">
        <v>459</v>
      </c>
    </row>
    <row r="13621" spans="1:6" ht="12.75">
      <c r="A13621" s="2">
        <v>43879.139513888891</v>
      </c>
      <c r="B13621" t="str">
        <f>HYPERLINK("https://twitter.com/fiqinayati","@fiqinayati")</f>
        <v>@fiqinayati</v>
      </c>
      <c r="C13621" t="s">
        <v>7054</v>
      </c>
      <c r="D13621">
        <v>0</v>
      </c>
      <c r="E13621">
        <v>0</v>
      </c>
      <c r="F13621">
        <v>129</v>
      </c>
    </row>
    <row r="13622" spans="1:6" ht="12.75">
      <c r="A13622" s="2">
        <v>43879.13853009259</v>
      </c>
      <c r="B13622" t="str">
        <f>HYPERLINK("https://twitter.com/RuksharSabnam","@RuksharSabnam")</f>
        <v>@RuksharSabnam</v>
      </c>
      <c r="C13622" t="s">
        <v>7055</v>
      </c>
      <c r="D13622">
        <v>0</v>
      </c>
      <c r="E13622">
        <v>0</v>
      </c>
      <c r="F13622">
        <v>117</v>
      </c>
    </row>
    <row r="13623" spans="1:6" ht="12.75">
      <c r="A13623" s="2">
        <v>43879.137152777781</v>
      </c>
      <c r="B13623" t="str">
        <f>HYPERLINK("https://twitter.com/tiobokobok","@tiobokobok")</f>
        <v>@tiobokobok</v>
      </c>
      <c r="C13623" t="s">
        <v>7056</v>
      </c>
      <c r="D13623">
        <v>0</v>
      </c>
      <c r="E13623">
        <v>0</v>
      </c>
      <c r="F13623">
        <v>256</v>
      </c>
    </row>
    <row r="13624" spans="1:6" ht="12.75">
      <c r="A13624" s="2">
        <v>43879.135949074072</v>
      </c>
      <c r="B13624" t="str">
        <f>HYPERLINK("https://twitter.com/JkThaheem","@JkThaheem")</f>
        <v>@JkThaheem</v>
      </c>
      <c r="C13624" t="s">
        <v>6497</v>
      </c>
      <c r="D13624">
        <v>7</v>
      </c>
      <c r="E13624">
        <v>0</v>
      </c>
      <c r="F13624">
        <v>676</v>
      </c>
    </row>
    <row r="13625" spans="1:6" ht="12.75">
      <c r="A13625" s="2">
        <v>43879.135763888888</v>
      </c>
      <c r="B13625" t="str">
        <f>HYPERLINK("https://twitter.com/MoZakariya","@MoZakariya")</f>
        <v>@MoZakariya</v>
      </c>
      <c r="C13625" t="s">
        <v>7057</v>
      </c>
      <c r="D13625">
        <v>0</v>
      </c>
      <c r="E13625">
        <v>0</v>
      </c>
      <c r="F13625">
        <v>11</v>
      </c>
    </row>
    <row r="13626" spans="1:6" ht="12.75">
      <c r="A13626" s="2">
        <v>43879.134340277778</v>
      </c>
      <c r="B13626" t="str">
        <f>HYPERLINK("https://twitter.com/vincent_ves","@vincent_ves")</f>
        <v>@vincent_ves</v>
      </c>
      <c r="C13626" t="s">
        <v>7058</v>
      </c>
      <c r="D13626">
        <v>0</v>
      </c>
      <c r="E13626">
        <v>0</v>
      </c>
      <c r="F13626">
        <v>4770</v>
      </c>
    </row>
    <row r="13627" spans="1:6" ht="12.75">
      <c r="A13627" s="2">
        <v>43879.133993055555</v>
      </c>
      <c r="B13627" t="str">
        <f>HYPERLINK("https://twitter.com/GultomJurianto","@GultomJurianto")</f>
        <v>@GultomJurianto</v>
      </c>
      <c r="C13627" t="s">
        <v>6206</v>
      </c>
      <c r="D13627">
        <v>19</v>
      </c>
      <c r="E13627">
        <v>0</v>
      </c>
      <c r="F13627">
        <v>1013</v>
      </c>
    </row>
    <row r="13628" spans="1:6" ht="12.75">
      <c r="A13628" s="2">
        <v>43879.131504629629</v>
      </c>
      <c r="B13628" t="str">
        <f>HYPERLINK("https://twitter.com/Sisgon11","@Sisgon11")</f>
        <v>@Sisgon11</v>
      </c>
      <c r="C13628" t="s">
        <v>3527</v>
      </c>
      <c r="D13628">
        <v>5</v>
      </c>
      <c r="E13628">
        <v>0</v>
      </c>
      <c r="F13628">
        <v>0</v>
      </c>
    </row>
    <row r="13629" spans="1:6" ht="12.75">
      <c r="A13629" s="2">
        <v>43879.130775462967</v>
      </c>
      <c r="B13629" t="str">
        <f>HYPERLINK("https://twitter.com/its_bananablast","@its_bananablast")</f>
        <v>@its_bananablast</v>
      </c>
      <c r="C13629" t="s">
        <v>7059</v>
      </c>
      <c r="D13629">
        <v>0</v>
      </c>
      <c r="E13629">
        <v>0</v>
      </c>
      <c r="F13629">
        <v>56</v>
      </c>
    </row>
    <row r="13630" spans="1:6" ht="12.75">
      <c r="A13630" s="2">
        <v>43879.130706018521</v>
      </c>
      <c r="B13630" t="str">
        <f>HYPERLINK("https://twitter.com/_imyourqueeen","@_imyourqueeen")</f>
        <v>@_imyourqueeen</v>
      </c>
      <c r="C13630" t="s">
        <v>3340</v>
      </c>
      <c r="D13630">
        <v>315</v>
      </c>
      <c r="E13630">
        <v>0</v>
      </c>
      <c r="F13630">
        <v>168</v>
      </c>
    </row>
    <row r="13631" spans="1:6" ht="12.75">
      <c r="A13631" s="2">
        <v>43879.130196759259</v>
      </c>
      <c r="B13631" t="str">
        <f>HYPERLINK("https://twitter.com/salmanaf2013","@salmanaf2013")</f>
        <v>@salmanaf2013</v>
      </c>
      <c r="C13631" t="s">
        <v>5642</v>
      </c>
      <c r="D13631">
        <v>99</v>
      </c>
      <c r="E13631">
        <v>0</v>
      </c>
      <c r="F13631">
        <v>615</v>
      </c>
    </row>
    <row r="13632" spans="1:6" ht="12.75">
      <c r="A13632" s="2">
        <v>43879.129791666666</v>
      </c>
      <c r="B13632" t="str">
        <f>HYPERLINK("https://twitter.com/tanel_1811","@tanel_1811")</f>
        <v>@tanel_1811</v>
      </c>
      <c r="C13632" t="s">
        <v>7060</v>
      </c>
      <c r="D13632">
        <v>0</v>
      </c>
      <c r="E13632">
        <v>0</v>
      </c>
      <c r="F13632">
        <v>1</v>
      </c>
    </row>
    <row r="13633" spans="1:6" ht="12.75">
      <c r="A13633" s="2">
        <v>43879.126157407409</v>
      </c>
      <c r="B13633" t="str">
        <f>HYPERLINK("https://twitter.com/reyn_no","@reyn_no")</f>
        <v>@reyn_no</v>
      </c>
      <c r="C13633" t="s">
        <v>2155</v>
      </c>
      <c r="D13633">
        <v>421</v>
      </c>
      <c r="E13633">
        <v>0</v>
      </c>
      <c r="F13633">
        <v>34</v>
      </c>
    </row>
    <row r="13634" spans="1:6" ht="12.75">
      <c r="A13634" s="2">
        <v>43879.121481481481</v>
      </c>
      <c r="B13634" t="str">
        <f>HYPERLINK("https://twitter.com/ynamsein","@ynamsein")</f>
        <v>@ynamsein</v>
      </c>
      <c r="C13634" t="s">
        <v>3340</v>
      </c>
      <c r="D13634">
        <v>312</v>
      </c>
      <c r="E13634">
        <v>0</v>
      </c>
      <c r="F13634">
        <v>1204</v>
      </c>
    </row>
    <row r="13635" spans="1:6" ht="12.75">
      <c r="A13635" s="2">
        <v>43879.118379629625</v>
      </c>
      <c r="B13635" t="str">
        <f t="shared" ref="B13635:B13636" si="231">HYPERLINK("https://twitter.com/Indopolitika","@Indopolitika")</f>
        <v>@Indopolitika</v>
      </c>
      <c r="C13635" t="s">
        <v>7061</v>
      </c>
      <c r="D13635">
        <v>0</v>
      </c>
      <c r="E13635">
        <v>0</v>
      </c>
      <c r="F13635">
        <v>10612</v>
      </c>
    </row>
    <row r="13636" spans="1:6" ht="12.75">
      <c r="A13636" s="2">
        <v>43879.118275462963</v>
      </c>
      <c r="B13636" t="str">
        <f t="shared" si="231"/>
        <v>@Indopolitika</v>
      </c>
      <c r="C13636" t="s">
        <v>7062</v>
      </c>
      <c r="D13636">
        <v>0</v>
      </c>
      <c r="E13636">
        <v>0</v>
      </c>
      <c r="F13636">
        <v>10612</v>
      </c>
    </row>
    <row r="13637" spans="1:6" ht="12.75">
      <c r="A13637" s="2">
        <v>43879.11782407407</v>
      </c>
      <c r="B13637" t="str">
        <f>HYPERLINK("https://twitter.com/_wni_","@_wni_")</f>
        <v>@_wni_</v>
      </c>
      <c r="C13637" t="s">
        <v>7063</v>
      </c>
      <c r="D13637">
        <v>21405</v>
      </c>
      <c r="E13637">
        <v>0</v>
      </c>
      <c r="F13637">
        <v>8</v>
      </c>
    </row>
    <row r="13638" spans="1:6" ht="12.75">
      <c r="A13638" s="2">
        <v>43879.116145833337</v>
      </c>
      <c r="B13638" t="str">
        <f>HYPERLINK("https://twitter.com/Ferry13602224","@Ferry13602224")</f>
        <v>@Ferry13602224</v>
      </c>
      <c r="C13638" t="s">
        <v>6842</v>
      </c>
      <c r="D13638">
        <v>19</v>
      </c>
      <c r="E13638">
        <v>0</v>
      </c>
      <c r="F13638">
        <v>346</v>
      </c>
    </row>
    <row r="13639" spans="1:6" ht="12.75">
      <c r="A13639" s="2">
        <v>43879.116087962961</v>
      </c>
      <c r="B13639" t="str">
        <f>HYPERLINK("https://twitter.com/AgusSup39011241","@AgusSup39011241")</f>
        <v>@AgusSup39011241</v>
      </c>
      <c r="C13639" t="s">
        <v>2155</v>
      </c>
      <c r="D13639">
        <v>421</v>
      </c>
      <c r="E13639">
        <v>0</v>
      </c>
      <c r="F13639">
        <v>10081</v>
      </c>
    </row>
    <row r="13640" spans="1:6" ht="12.75">
      <c r="A13640" s="2">
        <v>43879.115115740744</v>
      </c>
      <c r="B13640" t="str">
        <f>HYPERLINK("https://twitter.com/AlfaOmega0110","@AlfaOmega0110")</f>
        <v>@AlfaOmega0110</v>
      </c>
      <c r="C13640" t="s">
        <v>7064</v>
      </c>
      <c r="D13640">
        <v>0</v>
      </c>
      <c r="E13640">
        <v>2</v>
      </c>
      <c r="F13640">
        <v>1171</v>
      </c>
    </row>
    <row r="13641" spans="1:6" ht="12.75">
      <c r="A13641" s="2">
        <v>43879.114363425921</v>
      </c>
      <c r="B13641" t="str">
        <f t="shared" ref="B13641:B13643" si="232">HYPERLINK("https://twitter.com/_wni_","@_wni_")</f>
        <v>@_wni_</v>
      </c>
      <c r="C13641" t="s">
        <v>7065</v>
      </c>
      <c r="D13641">
        <v>0</v>
      </c>
      <c r="E13641">
        <v>0</v>
      </c>
      <c r="F13641">
        <v>8</v>
      </c>
    </row>
    <row r="13642" spans="1:6" ht="12.75">
      <c r="A13642" s="2">
        <v>43879.114027777774</v>
      </c>
      <c r="B13642" t="str">
        <f t="shared" si="232"/>
        <v>@_wni_</v>
      </c>
      <c r="C13642" t="s">
        <v>7066</v>
      </c>
      <c r="D13642">
        <v>15363</v>
      </c>
      <c r="E13642">
        <v>0</v>
      </c>
      <c r="F13642">
        <v>8</v>
      </c>
    </row>
    <row r="13643" spans="1:6" ht="12.75">
      <c r="A13643" s="2">
        <v>43879.113379629634</v>
      </c>
      <c r="B13643" t="str">
        <f t="shared" si="232"/>
        <v>@_wni_</v>
      </c>
      <c r="C13643" t="s">
        <v>7067</v>
      </c>
      <c r="D13643">
        <v>0</v>
      </c>
      <c r="E13643">
        <v>0</v>
      </c>
      <c r="F13643">
        <v>8</v>
      </c>
    </row>
    <row r="13644" spans="1:6" ht="12.75">
      <c r="A13644" s="2">
        <v>43879.113032407404</v>
      </c>
      <c r="B13644" t="str">
        <f>HYPERLINK("https://twitter.com/Suyarno13","@Suyarno13")</f>
        <v>@Suyarno13</v>
      </c>
      <c r="C13644" t="s">
        <v>4975</v>
      </c>
      <c r="D13644">
        <v>157</v>
      </c>
      <c r="E13644">
        <v>0</v>
      </c>
      <c r="F13644">
        <v>239</v>
      </c>
    </row>
    <row r="13645" spans="1:6" ht="12.75">
      <c r="A13645" s="2">
        <v>43879.111527777779</v>
      </c>
      <c r="B13645" t="str">
        <f>HYPERLINK("https://twitter.com/nonakups","@nonakups")</f>
        <v>@nonakups</v>
      </c>
      <c r="C13645" t="s">
        <v>7068</v>
      </c>
      <c r="D13645">
        <v>56</v>
      </c>
      <c r="E13645">
        <v>0</v>
      </c>
      <c r="F13645">
        <v>809</v>
      </c>
    </row>
    <row r="13646" spans="1:6" ht="12.75">
      <c r="A13646" s="2">
        <v>43879.110844907409</v>
      </c>
      <c r="B13646" t="str">
        <f>HYPERLINK("https://twitter.com/vincent_ves","@vincent_ves")</f>
        <v>@vincent_ves</v>
      </c>
      <c r="C13646" t="s">
        <v>7069</v>
      </c>
      <c r="D13646">
        <v>0</v>
      </c>
      <c r="E13646">
        <v>1</v>
      </c>
      <c r="F13646">
        <v>4772</v>
      </c>
    </row>
    <row r="13647" spans="1:6" ht="12.75">
      <c r="A13647" s="2">
        <v>43879.110798611116</v>
      </c>
      <c r="B13647" t="str">
        <f>HYPERLINK("https://twitter.com/Haluan_","@Haluan_")</f>
        <v>@Haluan_</v>
      </c>
      <c r="C13647" t="s">
        <v>7070</v>
      </c>
      <c r="D13647">
        <v>0</v>
      </c>
      <c r="E13647">
        <v>0</v>
      </c>
      <c r="F13647">
        <v>1464</v>
      </c>
    </row>
    <row r="13648" spans="1:6" ht="12.75">
      <c r="A13648" s="2">
        <v>43879.107777777783</v>
      </c>
      <c r="B13648" t="str">
        <f>HYPERLINK("https://twitter.com/Mataya16641870","@Mataya16641870")</f>
        <v>@Mataya16641870</v>
      </c>
      <c r="C13648" t="s">
        <v>7071</v>
      </c>
      <c r="D13648">
        <v>0</v>
      </c>
      <c r="E13648">
        <v>0</v>
      </c>
      <c r="F13648">
        <v>352</v>
      </c>
    </row>
    <row r="13649" spans="1:6" ht="12.75">
      <c r="A13649" s="2">
        <v>43879.105983796297</v>
      </c>
      <c r="B13649" t="str">
        <f>HYPERLINK("https://twitter.com/indramaulana_","@indramaulana_")</f>
        <v>@indramaulana_</v>
      </c>
      <c r="C13649" t="s">
        <v>7072</v>
      </c>
      <c r="D13649">
        <v>0</v>
      </c>
      <c r="E13649">
        <v>0</v>
      </c>
      <c r="F13649">
        <v>24154</v>
      </c>
    </row>
    <row r="13650" spans="1:6" ht="12.75">
      <c r="A13650" s="2">
        <v>43879.103321759263</v>
      </c>
      <c r="B13650" t="str">
        <f>HYPERLINK("https://twitter.com/ovick2000","@ovick2000")</f>
        <v>@ovick2000</v>
      </c>
      <c r="C13650" t="s">
        <v>6206</v>
      </c>
      <c r="D13650">
        <v>17</v>
      </c>
      <c r="E13650">
        <v>0</v>
      </c>
      <c r="F13650">
        <v>1460</v>
      </c>
    </row>
    <row r="13651" spans="1:6" ht="12.75">
      <c r="A13651" s="2">
        <v>43879.102824074071</v>
      </c>
      <c r="B13651" t="str">
        <f>HYPERLINK("https://twitter.com/Amvazquez93","@Amvazquez93")</f>
        <v>@Amvazquez93</v>
      </c>
      <c r="C13651" t="s">
        <v>7073</v>
      </c>
      <c r="D13651">
        <v>0</v>
      </c>
      <c r="E13651">
        <v>0</v>
      </c>
      <c r="F13651">
        <v>126</v>
      </c>
    </row>
    <row r="13652" spans="1:6" ht="12.75">
      <c r="A13652" s="2">
        <v>43879.10261574074</v>
      </c>
      <c r="B13652" t="str">
        <f>HYPERLINK("https://twitter.com/darwinwi1","@darwinwi1")</f>
        <v>@darwinwi1</v>
      </c>
      <c r="C13652" t="s">
        <v>7074</v>
      </c>
      <c r="D13652">
        <v>0</v>
      </c>
      <c r="E13652">
        <v>0</v>
      </c>
      <c r="F13652">
        <v>270</v>
      </c>
    </row>
    <row r="13653" spans="1:6" ht="12.75">
      <c r="A13653" s="2">
        <v>43879.099814814814</v>
      </c>
      <c r="B13653" t="str">
        <f>HYPERLINK("https://twitter.com/vincent_ves","@vincent_ves")</f>
        <v>@vincent_ves</v>
      </c>
      <c r="C13653" t="s">
        <v>7075</v>
      </c>
      <c r="D13653">
        <v>0</v>
      </c>
      <c r="E13653">
        <v>0</v>
      </c>
      <c r="F13653">
        <v>4772</v>
      </c>
    </row>
    <row r="13654" spans="1:6" ht="12.75">
      <c r="A13654" s="2">
        <v>43879.094826388886</v>
      </c>
      <c r="B13654" t="str">
        <f>HYPERLINK("https://twitter.com/ulungaring","@ulungaring")</f>
        <v>@ulungaring</v>
      </c>
      <c r="C13654" t="s">
        <v>3340</v>
      </c>
      <c r="D13654">
        <v>312</v>
      </c>
      <c r="E13654">
        <v>0</v>
      </c>
      <c r="F13654">
        <v>2206</v>
      </c>
    </row>
    <row r="13655" spans="1:6" ht="12.75">
      <c r="A13655" s="2">
        <v>43879.093680555554</v>
      </c>
      <c r="B13655" t="str">
        <f>HYPERLINK("https://twitter.com/andi_saja","@andi_saja")</f>
        <v>@andi_saja</v>
      </c>
      <c r="C13655" t="s">
        <v>4975</v>
      </c>
      <c r="D13655">
        <v>157</v>
      </c>
      <c r="E13655">
        <v>0</v>
      </c>
      <c r="F13655">
        <v>1679</v>
      </c>
    </row>
    <row r="13656" spans="1:6" ht="12.75">
      <c r="A13656" s="2">
        <v>43879.092222222222</v>
      </c>
      <c r="B13656" t="str">
        <f>HYPERLINK("https://twitter.com/Cero_Amunk09","@Cero_Amunk09")</f>
        <v>@Cero_Amunk09</v>
      </c>
      <c r="C13656" t="s">
        <v>7076</v>
      </c>
      <c r="D13656">
        <v>3</v>
      </c>
      <c r="E13656">
        <v>0</v>
      </c>
      <c r="F13656">
        <v>622</v>
      </c>
    </row>
    <row r="13657" spans="1:6" ht="12.75">
      <c r="A13657" s="2">
        <v>43879.091770833329</v>
      </c>
      <c r="B13657" t="str">
        <f>HYPERLINK("https://twitter.com/oktorinaldoo","@oktorinaldoo")</f>
        <v>@oktorinaldoo</v>
      </c>
      <c r="C13657" t="s">
        <v>6827</v>
      </c>
      <c r="D13657">
        <v>6</v>
      </c>
      <c r="E13657">
        <v>0</v>
      </c>
      <c r="F13657">
        <v>65</v>
      </c>
    </row>
    <row r="13658" spans="1:6" ht="12.75">
      <c r="A13658" s="2">
        <v>43879.09175925926</v>
      </c>
      <c r="B13658" t="str">
        <f>HYPERLINK("https://twitter.com/akumiftah8","@akumiftah8")</f>
        <v>@akumiftah8</v>
      </c>
      <c r="C13658" t="s">
        <v>7077</v>
      </c>
      <c r="D13658">
        <v>1</v>
      </c>
      <c r="E13658">
        <v>0</v>
      </c>
      <c r="F13658">
        <v>7</v>
      </c>
    </row>
    <row r="13659" spans="1:6" ht="12.75">
      <c r="A13659" s="2">
        <v>43879.091122685189</v>
      </c>
      <c r="B13659" t="str">
        <f>HYPERLINK("https://twitter.com/Beritasatu","@Beritasatu")</f>
        <v>@Beritasatu</v>
      </c>
      <c r="C13659" t="s">
        <v>7078</v>
      </c>
      <c r="D13659">
        <v>1</v>
      </c>
      <c r="E13659">
        <v>1</v>
      </c>
      <c r="F13659">
        <v>614344</v>
      </c>
    </row>
    <row r="13660" spans="1:6" ht="12.75">
      <c r="A13660" s="2">
        <v>43879.08997685185</v>
      </c>
      <c r="B13660" t="str">
        <f>HYPERLINK("https://twitter.com/haikalnkri","@haikalnkri")</f>
        <v>@haikalnkri</v>
      </c>
      <c r="C13660" t="s">
        <v>6206</v>
      </c>
      <c r="D13660">
        <v>17</v>
      </c>
      <c r="E13660">
        <v>0</v>
      </c>
      <c r="F13660">
        <v>117</v>
      </c>
    </row>
    <row r="13661" spans="1:6" ht="12.75">
      <c r="A13661" s="2">
        <v>43879.088645833333</v>
      </c>
      <c r="B13661" t="str">
        <f>HYPERLINK("https://twitter.com/mbakmjiyut","@mbakmjiyut")</f>
        <v>@mbakmjiyut</v>
      </c>
      <c r="C13661" t="s">
        <v>6206</v>
      </c>
      <c r="D13661">
        <v>17</v>
      </c>
      <c r="E13661">
        <v>0</v>
      </c>
      <c r="F13661">
        <v>2830</v>
      </c>
    </row>
    <row r="13662" spans="1:6" ht="12.75">
      <c r="A13662" s="2">
        <v>43879.087800925925</v>
      </c>
      <c r="B13662" t="str">
        <f>HYPERLINK("https://twitter.com/hharshal_","@hharshal_")</f>
        <v>@hharshal_</v>
      </c>
      <c r="C13662" t="s">
        <v>6236</v>
      </c>
      <c r="D13662">
        <v>51</v>
      </c>
      <c r="E13662">
        <v>0</v>
      </c>
      <c r="F13662">
        <v>5</v>
      </c>
    </row>
    <row r="13663" spans="1:6" ht="12.75">
      <c r="A13663" s="2">
        <v>43879.086921296301</v>
      </c>
      <c r="B13663" t="str">
        <f>HYPERLINK("https://twitter.com/andi_saja","@andi_saja")</f>
        <v>@andi_saja</v>
      </c>
      <c r="C13663" t="s">
        <v>2155</v>
      </c>
      <c r="D13663">
        <v>421</v>
      </c>
      <c r="E13663">
        <v>0</v>
      </c>
      <c r="F13663">
        <v>1679</v>
      </c>
    </row>
    <row r="13664" spans="1:6" ht="12.75">
      <c r="A13664" s="2">
        <v>43879.086747685185</v>
      </c>
      <c r="B13664" t="str">
        <f>HYPERLINK("https://twitter.com/weirdniss","@weirdniss")</f>
        <v>@weirdniss</v>
      </c>
      <c r="C13664" t="s">
        <v>3340</v>
      </c>
      <c r="D13664">
        <v>312</v>
      </c>
      <c r="E13664">
        <v>0</v>
      </c>
      <c r="F13664">
        <v>545</v>
      </c>
    </row>
    <row r="13665" spans="1:6" ht="12.75">
      <c r="A13665" s="2">
        <v>43879.08430555556</v>
      </c>
      <c r="B13665" t="str">
        <f>HYPERLINK("https://twitter.com/EWSEWS5","@EWSEWS5")</f>
        <v>@EWSEWS5</v>
      </c>
      <c r="C13665" t="s">
        <v>7079</v>
      </c>
      <c r="D13665">
        <v>0</v>
      </c>
      <c r="E13665">
        <v>0</v>
      </c>
      <c r="F13665">
        <v>1</v>
      </c>
    </row>
    <row r="13666" spans="1:6" ht="12.75">
      <c r="A13666" s="2">
        <v>43879.083796296298</v>
      </c>
      <c r="B13666" t="str">
        <f>HYPERLINK("https://twitter.com/sukabumiazam","@sukabumiazam")</f>
        <v>@sukabumiazam</v>
      </c>
      <c r="C13666" t="s">
        <v>6827</v>
      </c>
      <c r="D13666">
        <v>4</v>
      </c>
      <c r="E13666">
        <v>0</v>
      </c>
      <c r="F13666">
        <v>457</v>
      </c>
    </row>
    <row r="13667" spans="1:6" ht="12.75">
      <c r="A13667" s="2">
        <v>43879.083414351851</v>
      </c>
      <c r="B13667" t="str">
        <f>HYPERLINK("https://twitter.com/EWSEWS5","@EWSEWS5")</f>
        <v>@EWSEWS5</v>
      </c>
      <c r="C13667" t="s">
        <v>7080</v>
      </c>
      <c r="D13667">
        <v>0</v>
      </c>
      <c r="E13667">
        <v>0</v>
      </c>
      <c r="F13667">
        <v>1</v>
      </c>
    </row>
    <row r="13668" spans="1:6" ht="12.75">
      <c r="A13668" s="2">
        <v>43879.082928240736</v>
      </c>
      <c r="B13668" t="str">
        <f>HYPERLINK("https://twitter.com/beatrice_health","@beatrice_health")</f>
        <v>@beatrice_health</v>
      </c>
      <c r="C13668" t="s">
        <v>7081</v>
      </c>
      <c r="D13668">
        <v>1</v>
      </c>
      <c r="E13668">
        <v>0</v>
      </c>
      <c r="F13668">
        <v>165</v>
      </c>
    </row>
    <row r="13669" spans="1:6" ht="12.75">
      <c r="A13669" s="2">
        <v>43879.082673611112</v>
      </c>
      <c r="B13669" t="str">
        <f>HYPERLINK("https://twitter.com/GoNewsdotco","@GoNewsdotco")</f>
        <v>@GoNewsdotco</v>
      </c>
      <c r="C13669" t="s">
        <v>7018</v>
      </c>
      <c r="D13669">
        <v>1</v>
      </c>
      <c r="E13669">
        <v>0</v>
      </c>
      <c r="F13669">
        <v>3781</v>
      </c>
    </row>
    <row r="13670" spans="1:6" ht="12.75">
      <c r="A13670" s="2">
        <v>43879.081643518519</v>
      </c>
      <c r="B13670" t="str">
        <f>HYPERLINK("https://twitter.com/novinnt","@novinnt")</f>
        <v>@novinnt</v>
      </c>
      <c r="C13670" t="s">
        <v>7082</v>
      </c>
      <c r="D13670">
        <v>0</v>
      </c>
      <c r="E13670">
        <v>0</v>
      </c>
      <c r="F13670">
        <v>573</v>
      </c>
    </row>
    <row r="13671" spans="1:6" ht="12.75">
      <c r="A13671" s="2">
        <v>43879.081064814818</v>
      </c>
      <c r="B13671" t="str">
        <f>HYPERLINK("https://twitter.com/Abankgera999","@Abankgera999")</f>
        <v>@Abankgera999</v>
      </c>
      <c r="C13671" t="s">
        <v>5642</v>
      </c>
      <c r="D13671">
        <v>96</v>
      </c>
      <c r="E13671">
        <v>0</v>
      </c>
      <c r="F13671">
        <v>493</v>
      </c>
    </row>
    <row r="13672" spans="1:6" ht="12.75">
      <c r="A13672" s="2">
        <v>43879.080393518518</v>
      </c>
      <c r="B13672" t="str">
        <f>HYPERLINK("https://twitter.com/andi_saja","@andi_saja")</f>
        <v>@andi_saja</v>
      </c>
      <c r="C13672" t="s">
        <v>7083</v>
      </c>
      <c r="D13672">
        <v>2</v>
      </c>
      <c r="E13672">
        <v>0</v>
      </c>
      <c r="F13672">
        <v>1678</v>
      </c>
    </row>
    <row r="13673" spans="1:6" ht="12.75">
      <c r="A13673" s="2">
        <v>43879.079687500001</v>
      </c>
      <c r="B13673" t="str">
        <f>HYPERLINK("https://twitter.com/mudha_satriya","@mudha_satriya")</f>
        <v>@mudha_satriya</v>
      </c>
      <c r="C13673" t="s">
        <v>5642</v>
      </c>
      <c r="D13673">
        <v>96</v>
      </c>
      <c r="E13673">
        <v>0</v>
      </c>
      <c r="F13673">
        <v>1875</v>
      </c>
    </row>
    <row r="13674" spans="1:6" ht="12.75">
      <c r="A13674" s="2">
        <v>43879.079467592594</v>
      </c>
      <c r="B13674" t="str">
        <f>HYPERLINK("https://twitter.com/randal_ps","@randal_ps")</f>
        <v>@randal_ps</v>
      </c>
      <c r="C13674" t="s">
        <v>4975</v>
      </c>
      <c r="D13674">
        <v>155</v>
      </c>
      <c r="E13674">
        <v>0</v>
      </c>
      <c r="F13674">
        <v>35</v>
      </c>
    </row>
    <row r="13675" spans="1:6" ht="12.75">
      <c r="A13675" s="2">
        <v>43879.079224537039</v>
      </c>
      <c r="B13675" t="str">
        <f>HYPERLINK("https://twitter.com/Abankgera999","@Abankgera999")</f>
        <v>@Abankgera999</v>
      </c>
      <c r="C13675" t="s">
        <v>6161</v>
      </c>
      <c r="D13675">
        <v>331</v>
      </c>
      <c r="E13675">
        <v>0</v>
      </c>
      <c r="F13675">
        <v>493</v>
      </c>
    </row>
    <row r="13676" spans="1:6" ht="12.75">
      <c r="A13676" s="2">
        <v>43879.078958333332</v>
      </c>
      <c r="B13676" t="str">
        <f>HYPERLINK("https://twitter.com/paulakaramoy","@paulakaramoy")</f>
        <v>@paulakaramoy</v>
      </c>
      <c r="C13676" t="s">
        <v>7084</v>
      </c>
      <c r="D13676">
        <v>1</v>
      </c>
      <c r="E13676">
        <v>0</v>
      </c>
      <c r="F13676">
        <v>2014</v>
      </c>
    </row>
    <row r="13677" spans="1:6" ht="12.75">
      <c r="A13677" s="2">
        <v>43879.078449074077</v>
      </c>
      <c r="B13677" t="str">
        <f>HYPERLINK("https://twitter.com/Ruddhraksh","@Ruddhraksh")</f>
        <v>@Ruddhraksh</v>
      </c>
      <c r="C13677" t="s">
        <v>7085</v>
      </c>
      <c r="D13677">
        <v>0</v>
      </c>
      <c r="E13677">
        <v>0</v>
      </c>
      <c r="F13677">
        <v>115</v>
      </c>
    </row>
    <row r="13678" spans="1:6" ht="12.75">
      <c r="A13678" s="2">
        <v>43879.078333333338</v>
      </c>
      <c r="B13678" t="str">
        <f t="shared" ref="B13678:B13679" si="233">HYPERLINK("https://twitter.com/mudha_satriya","@mudha_satriya")</f>
        <v>@mudha_satriya</v>
      </c>
      <c r="C13678" t="s">
        <v>6842</v>
      </c>
      <c r="D13678">
        <v>18</v>
      </c>
      <c r="E13678">
        <v>0</v>
      </c>
      <c r="F13678">
        <v>1875</v>
      </c>
    </row>
    <row r="13679" spans="1:6" ht="12.75">
      <c r="A13679" s="2">
        <v>43879.078240740739</v>
      </c>
      <c r="B13679" t="str">
        <f t="shared" si="233"/>
        <v>@mudha_satriya</v>
      </c>
      <c r="C13679" t="s">
        <v>7047</v>
      </c>
      <c r="D13679">
        <v>10</v>
      </c>
      <c r="E13679">
        <v>0</v>
      </c>
      <c r="F13679">
        <v>1875</v>
      </c>
    </row>
    <row r="13680" spans="1:6" ht="12.75">
      <c r="A13680" s="2">
        <v>43879.078148148154</v>
      </c>
      <c r="B13680" t="str">
        <f>HYPERLINK("https://twitter.com/GoSumbarcom","@GoSumbarcom")</f>
        <v>@GoSumbarcom</v>
      </c>
      <c r="C13680" t="s">
        <v>7018</v>
      </c>
      <c r="D13680">
        <v>0</v>
      </c>
      <c r="E13680">
        <v>1</v>
      </c>
      <c r="F13680">
        <v>16425</v>
      </c>
    </row>
    <row r="13681" spans="1:6" ht="12.75">
      <c r="A13681" s="2">
        <v>43879.077916666662</v>
      </c>
      <c r="B13681" t="str">
        <f>HYPERLINK("https://twitter.com/bbysiahaan","@bbysiahaan")</f>
        <v>@bbysiahaan</v>
      </c>
      <c r="C13681" t="s">
        <v>7086</v>
      </c>
      <c r="D13681">
        <v>1</v>
      </c>
      <c r="E13681">
        <v>0</v>
      </c>
      <c r="F13681">
        <v>236</v>
      </c>
    </row>
    <row r="13682" spans="1:6" ht="12.75">
      <c r="A13682" s="2">
        <v>43879.077418981484</v>
      </c>
      <c r="B13682" t="str">
        <f>HYPERLINK("https://twitter.com/evereeze","@evereeze")</f>
        <v>@evereeze</v>
      </c>
      <c r="C13682" t="s">
        <v>6827</v>
      </c>
      <c r="D13682">
        <v>4</v>
      </c>
      <c r="E13682">
        <v>0</v>
      </c>
      <c r="F13682">
        <v>292</v>
      </c>
    </row>
    <row r="13683" spans="1:6" ht="12.75">
      <c r="A13683" s="2">
        <v>43879.07576388889</v>
      </c>
      <c r="B13683" t="str">
        <f>HYPERLINK("https://twitter.com/mudha_satriya","@mudha_satriya")</f>
        <v>@mudha_satriya</v>
      </c>
      <c r="C13683" t="s">
        <v>7087</v>
      </c>
      <c r="D13683">
        <v>1</v>
      </c>
      <c r="E13683">
        <v>0</v>
      </c>
      <c r="F13683">
        <v>1875</v>
      </c>
    </row>
    <row r="13684" spans="1:6" ht="12.75">
      <c r="A13684" s="2">
        <v>43879.075601851851</v>
      </c>
      <c r="B13684" t="str">
        <f>HYPERLINK("https://twitter.com/ainurrokhman077","@ainurrokhman077")</f>
        <v>@ainurrokhman077</v>
      </c>
      <c r="C13684" t="s">
        <v>7088</v>
      </c>
      <c r="D13684">
        <v>0</v>
      </c>
      <c r="E13684">
        <v>0</v>
      </c>
      <c r="F13684">
        <v>656</v>
      </c>
    </row>
    <row r="13685" spans="1:6" ht="12.75">
      <c r="A13685" s="2">
        <v>43879.073854166665</v>
      </c>
      <c r="B13685" t="str">
        <f>HYPERLINK("https://twitter.com/EdyIlham7","@EdyIlham7")</f>
        <v>@EdyIlham7</v>
      </c>
      <c r="C13685" t="s">
        <v>4975</v>
      </c>
      <c r="D13685">
        <v>155</v>
      </c>
      <c r="E13685">
        <v>0</v>
      </c>
      <c r="F13685">
        <v>2389</v>
      </c>
    </row>
    <row r="13686" spans="1:6" ht="12.75">
      <c r="A13686" s="2">
        <v>43879.073564814811</v>
      </c>
      <c r="B13686" t="str">
        <f>HYPERLINK("https://twitter.com/Nugroho10303203","@Nugroho10303203")</f>
        <v>@Nugroho10303203</v>
      </c>
      <c r="C13686" t="s">
        <v>6842</v>
      </c>
      <c r="D13686">
        <v>18</v>
      </c>
      <c r="E13686">
        <v>0</v>
      </c>
      <c r="F13686">
        <v>8</v>
      </c>
    </row>
    <row r="13687" spans="1:6" ht="12.75">
      <c r="A13687" s="2">
        <v>43879.073530092588</v>
      </c>
      <c r="B13687" t="str">
        <f t="shared" ref="B13687:B13688" si="234">HYPERLINK("https://twitter.com/dubie_tina","@dubie_tina")</f>
        <v>@dubie_tina</v>
      </c>
      <c r="C13687" t="s">
        <v>7083</v>
      </c>
      <c r="D13687">
        <v>2</v>
      </c>
      <c r="E13687">
        <v>0</v>
      </c>
      <c r="F13687">
        <v>1030</v>
      </c>
    </row>
    <row r="13688" spans="1:6" ht="12.75">
      <c r="A13688" s="2">
        <v>43879.07335648148</v>
      </c>
      <c r="B13688" t="str">
        <f t="shared" si="234"/>
        <v>@dubie_tina</v>
      </c>
      <c r="C13688" t="s">
        <v>7089</v>
      </c>
      <c r="D13688">
        <v>2</v>
      </c>
      <c r="E13688">
        <v>2</v>
      </c>
      <c r="F13688">
        <v>1030</v>
      </c>
    </row>
    <row r="13689" spans="1:6" ht="12.75">
      <c r="A13689" s="2">
        <v>43879.073275462964</v>
      </c>
      <c r="B13689" t="str">
        <f>HYPERLINK("https://twitter.com/GLGRMDHAN","@GLGRMDHAN")</f>
        <v>@GLGRMDHAN</v>
      </c>
      <c r="C13689" t="s">
        <v>7090</v>
      </c>
      <c r="D13689">
        <v>0</v>
      </c>
      <c r="E13689">
        <v>0</v>
      </c>
      <c r="F13689">
        <v>245</v>
      </c>
    </row>
    <row r="13690" spans="1:6" ht="12.75">
      <c r="A13690" s="2">
        <v>43879.071064814816</v>
      </c>
      <c r="B13690" t="str">
        <f>HYPERLINK("https://twitter.com/NandoPananda","@NandoPananda")</f>
        <v>@NandoPananda</v>
      </c>
      <c r="C13690" t="s">
        <v>6161</v>
      </c>
      <c r="D13690">
        <v>331</v>
      </c>
      <c r="E13690">
        <v>0</v>
      </c>
      <c r="F13690">
        <v>273</v>
      </c>
    </row>
    <row r="13691" spans="1:6" ht="12.75">
      <c r="A13691" s="2">
        <v>43879.070243055554</v>
      </c>
      <c r="B13691" t="str">
        <f>HYPERLINK("https://twitter.com/Breakingnieuws1","@Breakingnieuws1")</f>
        <v>@Breakingnieuws1</v>
      </c>
      <c r="C13691" t="s">
        <v>7091</v>
      </c>
      <c r="D13691">
        <v>0</v>
      </c>
      <c r="E13691">
        <v>0</v>
      </c>
      <c r="F13691">
        <v>3008</v>
      </c>
    </row>
    <row r="13692" spans="1:6" ht="12.75">
      <c r="A13692" s="2">
        <v>43879.069548611107</v>
      </c>
      <c r="B13692" t="str">
        <f>HYPERLINK("https://twitter.com/LaurensioAbram","@LaurensioAbram")</f>
        <v>@LaurensioAbram</v>
      </c>
      <c r="C13692" t="s">
        <v>7092</v>
      </c>
      <c r="D13692">
        <v>3</v>
      </c>
      <c r="E13692">
        <v>0</v>
      </c>
      <c r="F13692">
        <v>237</v>
      </c>
    </row>
    <row r="13693" spans="1:6" ht="12.75">
      <c r="A13693" s="2">
        <v>43879.069502314815</v>
      </c>
      <c r="B13693" t="str">
        <f>HYPERLINK("https://twitter.com/ismailsunni","@ismailsunni")</f>
        <v>@ismailsunni</v>
      </c>
      <c r="C13693" t="s">
        <v>2444</v>
      </c>
      <c r="D13693">
        <v>4584</v>
      </c>
      <c r="E13693">
        <v>0</v>
      </c>
      <c r="F13693">
        <v>714</v>
      </c>
    </row>
    <row r="13694" spans="1:6" ht="12.75">
      <c r="A13694" s="2">
        <v>43879.069467592592</v>
      </c>
      <c r="B13694" t="str">
        <f>HYPERLINK("https://twitter.com/C10H12N2O___","@C10H12N2O___")</f>
        <v>@C10H12N2O___</v>
      </c>
      <c r="C13694" t="s">
        <v>7093</v>
      </c>
      <c r="D13694">
        <v>0</v>
      </c>
      <c r="E13694">
        <v>0</v>
      </c>
      <c r="F13694">
        <v>0</v>
      </c>
    </row>
    <row r="13695" spans="1:6" ht="12.75">
      <c r="A13695" s="2">
        <v>43879.068344907406</v>
      </c>
      <c r="B13695" t="str">
        <f>HYPERLINK("https://twitter.com/lelembutputih","@lelembutputih")</f>
        <v>@lelembutputih</v>
      </c>
      <c r="C13695" t="s">
        <v>6898</v>
      </c>
      <c r="D13695">
        <v>3</v>
      </c>
      <c r="E13695">
        <v>0</v>
      </c>
      <c r="F13695">
        <v>125</v>
      </c>
    </row>
    <row r="13696" spans="1:6" ht="12.75">
      <c r="A13696" s="2">
        <v>43879.06795138889</v>
      </c>
      <c r="B13696" t="str">
        <f>HYPERLINK("https://twitter.com/dubie_tina","@dubie_tina")</f>
        <v>@dubie_tina</v>
      </c>
      <c r="C13696" t="s">
        <v>7094</v>
      </c>
      <c r="D13696">
        <v>0</v>
      </c>
      <c r="E13696">
        <v>0</v>
      </c>
      <c r="F13696">
        <v>1030</v>
      </c>
    </row>
    <row r="13697" spans="1:6" ht="12.75">
      <c r="A13697" s="2">
        <v>43879.065879629634</v>
      </c>
      <c r="B13697" t="str">
        <f>HYPERLINK("https://twitter.com/Suleman2552","@Suleman2552")</f>
        <v>@Suleman2552</v>
      </c>
      <c r="C13697" t="s">
        <v>6497</v>
      </c>
      <c r="D13697">
        <v>5</v>
      </c>
      <c r="E13697">
        <v>0</v>
      </c>
      <c r="F13697">
        <v>5205</v>
      </c>
    </row>
    <row r="13698" spans="1:6" ht="12.75">
      <c r="A13698" s="2">
        <v>43879.065138888887</v>
      </c>
      <c r="B13698" t="str">
        <f>HYPERLINK("https://twitter.com/AlBanna57697952","@AlBanna57697952")</f>
        <v>@AlBanna57697952</v>
      </c>
      <c r="C13698" t="s">
        <v>6206</v>
      </c>
      <c r="D13698">
        <v>14</v>
      </c>
      <c r="E13698">
        <v>0</v>
      </c>
      <c r="F13698">
        <v>44</v>
      </c>
    </row>
    <row r="13699" spans="1:6" ht="12.75">
      <c r="A13699" s="2">
        <v>43879.064965277779</v>
      </c>
      <c r="B13699" t="str">
        <f>HYPERLINK("https://twitter.com/Asyaifullah","@Asyaifullah")</f>
        <v>@Asyaifullah</v>
      </c>
      <c r="C13699" t="s">
        <v>7095</v>
      </c>
      <c r="D13699">
        <v>4</v>
      </c>
      <c r="E13699">
        <v>0</v>
      </c>
      <c r="F13699">
        <v>605</v>
      </c>
    </row>
    <row r="13700" spans="1:6" ht="12.75">
      <c r="A13700" s="2">
        <v>43879.063298611116</v>
      </c>
      <c r="B13700" t="str">
        <f>HYPERLINK("https://twitter.com/ZahidAliSADIQ1","@ZahidAliSADIQ1")</f>
        <v>@ZahidAliSADIQ1</v>
      </c>
      <c r="C13700" t="s">
        <v>6497</v>
      </c>
      <c r="D13700">
        <v>5</v>
      </c>
      <c r="E13700">
        <v>0</v>
      </c>
      <c r="F13700">
        <v>544</v>
      </c>
    </row>
    <row r="13701" spans="1:6" ht="12.75">
      <c r="A13701" s="2">
        <v>43879.062986111108</v>
      </c>
      <c r="B13701" t="str">
        <f>HYPERLINK("https://twitter.com/roni_suhendro","@roni_suhendro")</f>
        <v>@roni_suhendro</v>
      </c>
      <c r="C13701" t="s">
        <v>6827</v>
      </c>
      <c r="D13701">
        <v>4</v>
      </c>
      <c r="E13701">
        <v>0</v>
      </c>
      <c r="F13701">
        <v>69</v>
      </c>
    </row>
    <row r="13702" spans="1:6" ht="12.75">
      <c r="A13702" s="2">
        <v>43879.062002314815</v>
      </c>
      <c r="B13702" t="str">
        <f>HYPERLINK("https://twitter.com/rjohnson32405","@rjohnson32405")</f>
        <v>@rjohnson32405</v>
      </c>
      <c r="C13702" t="s">
        <v>7096</v>
      </c>
      <c r="D13702">
        <v>0</v>
      </c>
      <c r="E13702">
        <v>0</v>
      </c>
      <c r="F13702">
        <v>1493</v>
      </c>
    </row>
    <row r="13703" spans="1:6" ht="12.75">
      <c r="A13703" s="2">
        <v>43879.059745370367</v>
      </c>
      <c r="B13703" t="str">
        <f>HYPERLINK("https://twitter.com/liputan6dotcom","@liputan6dotcom")</f>
        <v>@liputan6dotcom</v>
      </c>
      <c r="C13703" t="s">
        <v>7097</v>
      </c>
      <c r="D13703">
        <v>4</v>
      </c>
      <c r="E13703">
        <v>10</v>
      </c>
      <c r="F13703">
        <v>3625832</v>
      </c>
    </row>
    <row r="13704" spans="1:6" ht="12.75">
      <c r="A13704" s="2">
        <v>43879.059247685189</v>
      </c>
      <c r="B13704" t="str">
        <f>HYPERLINK("https://twitter.com/s_total_s2","@s_total_s2")</f>
        <v>@s_total_s2</v>
      </c>
      <c r="C13704" t="s">
        <v>7098</v>
      </c>
      <c r="D13704">
        <v>4</v>
      </c>
      <c r="E13704">
        <v>0</v>
      </c>
      <c r="F13704">
        <v>2250</v>
      </c>
    </row>
    <row r="13705" spans="1:6" ht="12.75">
      <c r="A13705" s="2">
        <v>43879.057824074072</v>
      </c>
      <c r="B13705" t="str">
        <f>HYPERLINK("https://twitter.com/RJM_Performance","@RJM_Performance")</f>
        <v>@RJM_Performance</v>
      </c>
      <c r="C13705" t="s">
        <v>3150</v>
      </c>
      <c r="D13705">
        <v>428</v>
      </c>
      <c r="E13705">
        <v>0</v>
      </c>
      <c r="F13705">
        <v>402</v>
      </c>
    </row>
    <row r="13706" spans="1:6" ht="12.75">
      <c r="A13706" s="2">
        <v>43879.056967592594</v>
      </c>
      <c r="B13706" t="str">
        <f>HYPERLINK("https://twitter.com/republikaonline","@republikaonline")</f>
        <v>@republikaonline</v>
      </c>
      <c r="C13706" t="s">
        <v>7099</v>
      </c>
      <c r="D13706">
        <v>4</v>
      </c>
      <c r="E13706">
        <v>10</v>
      </c>
      <c r="F13706">
        <v>1210978</v>
      </c>
    </row>
    <row r="13707" spans="1:6" ht="12.75">
      <c r="A13707" s="2">
        <v>43879.056886574079</v>
      </c>
      <c r="B13707" t="str">
        <f>HYPERLINK("https://twitter.com/edanpopiye","@edanpopiye")</f>
        <v>@edanpopiye</v>
      </c>
      <c r="C13707" t="s">
        <v>7100</v>
      </c>
      <c r="D13707">
        <v>1</v>
      </c>
      <c r="E13707">
        <v>0</v>
      </c>
      <c r="F13707">
        <v>12</v>
      </c>
    </row>
    <row r="13708" spans="1:6" ht="12.75">
      <c r="A13708" s="2">
        <v>43879.056215277778</v>
      </c>
      <c r="B13708" t="str">
        <f>HYPERLINK("https://twitter.com/NannyAlexendry","@NannyAlexendry")</f>
        <v>@NannyAlexendry</v>
      </c>
      <c r="C13708" t="s">
        <v>6206</v>
      </c>
      <c r="D13708">
        <v>14</v>
      </c>
      <c r="E13708">
        <v>0</v>
      </c>
      <c r="F13708">
        <v>2896</v>
      </c>
    </row>
    <row r="13709" spans="1:6" ht="12.75">
      <c r="A13709" s="2">
        <v>43879.05568287037</v>
      </c>
      <c r="B13709" t="str">
        <f>HYPERLINK("https://twitter.com/kunenmanai","@kunenmanai")</f>
        <v>@kunenmanai</v>
      </c>
      <c r="C13709" t="s">
        <v>7040</v>
      </c>
      <c r="D13709">
        <v>16</v>
      </c>
      <c r="E13709">
        <v>0</v>
      </c>
      <c r="F13709">
        <v>2232</v>
      </c>
    </row>
    <row r="13710" spans="1:6" ht="12.75">
      <c r="A13710" s="2">
        <v>43879.05568287037</v>
      </c>
      <c r="B13710" t="str">
        <f>HYPERLINK("https://twitter.com/Waqaral97716557","@Waqaral97716557")</f>
        <v>@Waqaral97716557</v>
      </c>
      <c r="C13710" t="s">
        <v>6497</v>
      </c>
      <c r="D13710">
        <v>5</v>
      </c>
      <c r="E13710">
        <v>0</v>
      </c>
      <c r="F13710">
        <v>1596</v>
      </c>
    </row>
    <row r="13711" spans="1:6" ht="12.75">
      <c r="A13711" s="2">
        <v>43879.055520833332</v>
      </c>
      <c r="B13711" t="str">
        <f>HYPERLINK("https://twitter.com/jayapermana971","@jayapermana971")</f>
        <v>@jayapermana971</v>
      </c>
      <c r="C13711" t="s">
        <v>2155</v>
      </c>
      <c r="D13711">
        <v>418</v>
      </c>
      <c r="E13711">
        <v>0</v>
      </c>
      <c r="F13711">
        <v>1027</v>
      </c>
    </row>
    <row r="13712" spans="1:6" ht="12.75">
      <c r="A13712" s="2">
        <v>43879.052916666667</v>
      </c>
      <c r="B13712" t="str">
        <f>HYPERLINK("https://twitter.com/becak125cc","@becak125cc")</f>
        <v>@becak125cc</v>
      </c>
      <c r="C13712" t="s">
        <v>7040</v>
      </c>
      <c r="D13712">
        <v>16</v>
      </c>
      <c r="E13712">
        <v>0</v>
      </c>
      <c r="F13712">
        <v>505</v>
      </c>
    </row>
    <row r="13713" spans="1:6" ht="12.75">
      <c r="A13713" s="2">
        <v>43879.052407407406</v>
      </c>
      <c r="B13713" t="str">
        <f>HYPERLINK("https://twitter.com/Regazzyx","@Regazzyx")</f>
        <v>@Regazzyx</v>
      </c>
      <c r="C13713" t="s">
        <v>7040</v>
      </c>
      <c r="D13713">
        <v>16</v>
      </c>
      <c r="E13713">
        <v>0</v>
      </c>
      <c r="F13713">
        <v>3395</v>
      </c>
    </row>
    <row r="13714" spans="1:6" ht="12.75">
      <c r="A13714" s="2">
        <v>43879.052268518513</v>
      </c>
      <c r="B13714" t="str">
        <f>HYPERLINK("https://twitter.com/Arifngk","@Arifngk")</f>
        <v>@Arifngk</v>
      </c>
      <c r="C13714" t="s">
        <v>7101</v>
      </c>
      <c r="D13714">
        <v>7</v>
      </c>
      <c r="E13714">
        <v>0</v>
      </c>
      <c r="F13714">
        <v>508</v>
      </c>
    </row>
    <row r="13715" spans="1:6" ht="12.75">
      <c r="A13715" s="2">
        <v>43879.052025462966</v>
      </c>
      <c r="B13715" t="str">
        <f>HYPERLINK("https://twitter.com/adeodhatus","@adeodhatus")</f>
        <v>@adeodhatus</v>
      </c>
      <c r="C13715" t="s">
        <v>7102</v>
      </c>
      <c r="D13715">
        <v>0</v>
      </c>
      <c r="E13715">
        <v>0</v>
      </c>
      <c r="F13715">
        <v>336</v>
      </c>
    </row>
    <row r="13716" spans="1:6" ht="12.75">
      <c r="A13716" s="2">
        <v>43879.051238425927</v>
      </c>
      <c r="B13716" t="str">
        <f>HYPERLINK("https://twitter.com/AyunindyaRizkya","@AyunindyaRizkya")</f>
        <v>@AyunindyaRizkya</v>
      </c>
      <c r="C13716" t="s">
        <v>7040</v>
      </c>
      <c r="D13716">
        <v>16</v>
      </c>
      <c r="E13716">
        <v>0</v>
      </c>
      <c r="F13716">
        <v>3560</v>
      </c>
    </row>
    <row r="13717" spans="1:6" ht="12.75">
      <c r="A13717" s="2">
        <v>43879.051053240742</v>
      </c>
      <c r="B13717" t="str">
        <f>HYPERLINK("https://twitter.com/Sidin79901699","@Sidin79901699")</f>
        <v>@Sidin79901699</v>
      </c>
      <c r="C13717" t="s">
        <v>2155</v>
      </c>
      <c r="D13717">
        <v>418</v>
      </c>
      <c r="E13717">
        <v>0</v>
      </c>
      <c r="F13717">
        <v>1119</v>
      </c>
    </row>
    <row r="13718" spans="1:6" ht="12.75">
      <c r="A13718" s="2">
        <v>43879.05096064815</v>
      </c>
      <c r="B13718" t="str">
        <f>HYPERLINK("https://twitter.com/ashalrathore1","@ashalrathore1")</f>
        <v>@ashalrathore1</v>
      </c>
      <c r="C13718" t="s">
        <v>6497</v>
      </c>
      <c r="D13718">
        <v>5</v>
      </c>
      <c r="E13718">
        <v>0</v>
      </c>
      <c r="F13718">
        <v>460</v>
      </c>
    </row>
    <row r="13719" spans="1:6" ht="12.75">
      <c r="A13719" s="2">
        <v>43879.050706018519</v>
      </c>
      <c r="B13719" t="str">
        <f>HYPERLINK("https://twitter.com/Kareen_Sadaf","@Kareen_Sadaf")</f>
        <v>@Kareen_Sadaf</v>
      </c>
      <c r="C13719" t="s">
        <v>7040</v>
      </c>
      <c r="D13719">
        <v>16</v>
      </c>
      <c r="E13719">
        <v>0</v>
      </c>
      <c r="F13719">
        <v>1160</v>
      </c>
    </row>
    <row r="13720" spans="1:6" ht="12.75">
      <c r="A13720" s="2">
        <v>43879.05064814815</v>
      </c>
      <c r="B13720" t="str">
        <f>HYPERLINK("https://twitter.com/Roynovaldi","@Roynovaldi")</f>
        <v>@Roynovaldi</v>
      </c>
      <c r="C13720" t="s">
        <v>2155</v>
      </c>
      <c r="D13720">
        <v>418</v>
      </c>
      <c r="E13720">
        <v>0</v>
      </c>
      <c r="F13720">
        <v>19</v>
      </c>
    </row>
    <row r="13721" spans="1:6" ht="12.75">
      <c r="A13721" s="2">
        <v>43879.050613425927</v>
      </c>
      <c r="B13721" t="str">
        <f>HYPERLINK("https://twitter.com/le1ghtt","@le1ghtt")</f>
        <v>@le1ghtt</v>
      </c>
      <c r="C13721" t="s">
        <v>7103</v>
      </c>
      <c r="D13721">
        <v>0</v>
      </c>
      <c r="E13721">
        <v>0</v>
      </c>
      <c r="F13721">
        <v>4126</v>
      </c>
    </row>
    <row r="13722" spans="1:6" ht="12.75">
      <c r="A13722" s="2">
        <v>43879.048854166671</v>
      </c>
      <c r="B13722" t="str">
        <f>HYPERLINK("https://twitter.com/AlfaOmega0110","@AlfaOmega0110")</f>
        <v>@AlfaOmega0110</v>
      </c>
      <c r="C13722" t="s">
        <v>7104</v>
      </c>
      <c r="D13722">
        <v>0</v>
      </c>
      <c r="E13722">
        <v>0</v>
      </c>
      <c r="F13722">
        <v>1171</v>
      </c>
    </row>
    <row r="13723" spans="1:6" ht="12.75">
      <c r="A13723" s="2">
        <v>43879.047974537039</v>
      </c>
      <c r="B13723" t="str">
        <f>HYPERLINK("https://twitter.com/DORATORRES1972","@DORATORRES1972")</f>
        <v>@DORATORRES1972</v>
      </c>
      <c r="C13723" t="s">
        <v>7105</v>
      </c>
      <c r="D13723">
        <v>0</v>
      </c>
      <c r="E13723">
        <v>0</v>
      </c>
      <c r="F13723">
        <v>399</v>
      </c>
    </row>
    <row r="13724" spans="1:6" ht="12.75">
      <c r="A13724" s="2">
        <v>43879.046365740738</v>
      </c>
      <c r="B13724" t="str">
        <f>HYPERLINK("https://twitter.com/dolcemaria738","@dolcemaria738")</f>
        <v>@dolcemaria738</v>
      </c>
      <c r="C13724" t="s">
        <v>6842</v>
      </c>
      <c r="D13724">
        <v>18</v>
      </c>
      <c r="E13724">
        <v>0</v>
      </c>
      <c r="F13724">
        <v>223</v>
      </c>
    </row>
    <row r="13725" spans="1:6" ht="12.75">
      <c r="A13725" s="2">
        <v>43879.046273148153</v>
      </c>
      <c r="B13725" t="str">
        <f>HYPERLINK("https://twitter.com/isis_raira","@isis_raira")</f>
        <v>@isis_raira</v>
      </c>
      <c r="C13725" t="s">
        <v>7106</v>
      </c>
      <c r="D13725">
        <v>0</v>
      </c>
      <c r="E13725">
        <v>0</v>
      </c>
      <c r="F13725">
        <v>123</v>
      </c>
    </row>
    <row r="13726" spans="1:6" ht="12.75">
      <c r="A13726" s="2">
        <v>43879.045613425929</v>
      </c>
      <c r="B13726" t="str">
        <f>HYPERLINK("https://twitter.com/mohsinmalvi19","@mohsinmalvi19")</f>
        <v>@mohsinmalvi19</v>
      </c>
      <c r="C13726" t="s">
        <v>6497</v>
      </c>
      <c r="D13726">
        <v>5</v>
      </c>
      <c r="E13726">
        <v>0</v>
      </c>
      <c r="F13726">
        <v>152865</v>
      </c>
    </row>
    <row r="13727" spans="1:6" ht="12.75">
      <c r="A13727" s="2">
        <v>43879.045601851853</v>
      </c>
      <c r="B13727" t="str">
        <f>HYPERLINK("https://twitter.com/AlfaOmega0110","@AlfaOmega0110")</f>
        <v>@AlfaOmega0110</v>
      </c>
      <c r="C13727" t="s">
        <v>7107</v>
      </c>
      <c r="D13727">
        <v>0</v>
      </c>
      <c r="E13727">
        <v>2</v>
      </c>
      <c r="F13727">
        <v>1171</v>
      </c>
    </row>
    <row r="13728" spans="1:6" ht="12.75">
      <c r="A13728" s="2">
        <v>43879.045324074075</v>
      </c>
      <c r="B13728" t="str">
        <f>HYPERLINK("https://twitter.com/adriankusaihir1","@adriankusaihir1")</f>
        <v>@adriankusaihir1</v>
      </c>
      <c r="C13728" t="s">
        <v>3412</v>
      </c>
      <c r="D13728">
        <v>1013</v>
      </c>
      <c r="E13728">
        <v>0</v>
      </c>
      <c r="F13728">
        <v>49</v>
      </c>
    </row>
    <row r="13729" spans="1:6" ht="12.75">
      <c r="A13729" s="2">
        <v>43879.045057870375</v>
      </c>
      <c r="B13729" t="str">
        <f>HYPERLINK("https://twitter.com/Ardit_yaaa","@Ardit_yaaa")</f>
        <v>@Ardit_yaaa</v>
      </c>
      <c r="C13729" t="s">
        <v>6979</v>
      </c>
      <c r="D13729">
        <v>2</v>
      </c>
      <c r="E13729">
        <v>0</v>
      </c>
      <c r="F13729">
        <v>124</v>
      </c>
    </row>
    <row r="13730" spans="1:6" ht="12.75">
      <c r="A13730" s="2">
        <v>43879.044456018513</v>
      </c>
      <c r="B13730" t="str">
        <f t="shared" ref="B13730:B13735" si="235">HYPERLINK("https://twitter.com/NannyAlexendry","@NannyAlexendry")</f>
        <v>@NannyAlexendry</v>
      </c>
      <c r="C13730" t="s">
        <v>7108</v>
      </c>
      <c r="D13730">
        <v>1</v>
      </c>
      <c r="E13730">
        <v>0</v>
      </c>
      <c r="F13730">
        <v>2896</v>
      </c>
    </row>
    <row r="13731" spans="1:6" ht="12.75">
      <c r="A13731" s="2">
        <v>43879.044259259259</v>
      </c>
      <c r="B13731" t="str">
        <f t="shared" si="235"/>
        <v>@NannyAlexendry</v>
      </c>
      <c r="C13731" t="s">
        <v>6438</v>
      </c>
      <c r="D13731">
        <v>3</v>
      </c>
      <c r="E13731">
        <v>0</v>
      </c>
      <c r="F13731">
        <v>2896</v>
      </c>
    </row>
    <row r="13732" spans="1:6" ht="12.75">
      <c r="A13732" s="2">
        <v>43879.04414351852</v>
      </c>
      <c r="B13732" t="str">
        <f t="shared" si="235"/>
        <v>@NannyAlexendry</v>
      </c>
      <c r="C13732" t="s">
        <v>6439</v>
      </c>
      <c r="D13732">
        <v>2</v>
      </c>
      <c r="E13732">
        <v>0</v>
      </c>
      <c r="F13732">
        <v>2896</v>
      </c>
    </row>
    <row r="13733" spans="1:6" ht="12.75">
      <c r="A13733" s="2">
        <v>43879.043900462959</v>
      </c>
      <c r="B13733" t="str">
        <f t="shared" si="235"/>
        <v>@NannyAlexendry</v>
      </c>
      <c r="C13733" t="s">
        <v>6440</v>
      </c>
      <c r="D13733">
        <v>1</v>
      </c>
      <c r="E13733">
        <v>0</v>
      </c>
      <c r="F13733">
        <v>2896</v>
      </c>
    </row>
    <row r="13734" spans="1:6" ht="12.75">
      <c r="A13734" s="2">
        <v>43879.043854166666</v>
      </c>
      <c r="B13734" t="str">
        <f t="shared" si="235"/>
        <v>@NannyAlexendry</v>
      </c>
      <c r="C13734" t="s">
        <v>6441</v>
      </c>
      <c r="D13734">
        <v>1</v>
      </c>
      <c r="E13734">
        <v>0</v>
      </c>
      <c r="F13734">
        <v>2896</v>
      </c>
    </row>
    <row r="13735" spans="1:6" ht="12.75">
      <c r="A13735" s="2">
        <v>43879.043807870374</v>
      </c>
      <c r="B13735" t="str">
        <f t="shared" si="235"/>
        <v>@NannyAlexendry</v>
      </c>
      <c r="C13735" t="s">
        <v>6442</v>
      </c>
      <c r="D13735">
        <v>1</v>
      </c>
      <c r="E13735">
        <v>0</v>
      </c>
      <c r="F13735">
        <v>2896</v>
      </c>
    </row>
    <row r="13736" spans="1:6" ht="12.75">
      <c r="A13736" s="2">
        <v>43879.041643518518</v>
      </c>
      <c r="B13736" t="str">
        <f>HYPERLINK("https://twitter.com/oktorinaldoo","@oktorinaldoo")</f>
        <v>@oktorinaldoo</v>
      </c>
      <c r="C13736" t="s">
        <v>6727</v>
      </c>
      <c r="D13736">
        <v>27</v>
      </c>
      <c r="E13736">
        <v>0</v>
      </c>
      <c r="F13736">
        <v>65</v>
      </c>
    </row>
    <row r="13737" spans="1:6" ht="12.75">
      <c r="A13737" s="2">
        <v>43879.041469907403</v>
      </c>
      <c r="B13737" t="str">
        <f>HYPERLINK("https://twitter.com/ibradhik","@ibradhik")</f>
        <v>@ibradhik</v>
      </c>
      <c r="C13737" t="s">
        <v>2155</v>
      </c>
      <c r="D13737">
        <v>415</v>
      </c>
      <c r="E13737">
        <v>0</v>
      </c>
      <c r="F13737">
        <v>221</v>
      </c>
    </row>
    <row r="13738" spans="1:6" ht="12.75">
      <c r="A13738" s="2">
        <v>43879.040891203702</v>
      </c>
      <c r="B13738" t="str">
        <f>HYPERLINK("https://twitter.com/EmaNurvina","@EmaNurvina")</f>
        <v>@EmaNurvina</v>
      </c>
      <c r="C13738" t="s">
        <v>6206</v>
      </c>
      <c r="D13738">
        <v>10</v>
      </c>
      <c r="E13738">
        <v>0</v>
      </c>
      <c r="F13738">
        <v>195</v>
      </c>
    </row>
    <row r="13739" spans="1:6" ht="12.75">
      <c r="A13739" s="2">
        <v>43879.040775462963</v>
      </c>
      <c r="B13739" t="str">
        <f>HYPERLINK("https://twitter.com/abdulla41734805","@abdulla41734805")</f>
        <v>@abdulla41734805</v>
      </c>
      <c r="C13739" t="s">
        <v>7109</v>
      </c>
      <c r="D13739">
        <v>0</v>
      </c>
      <c r="E13739">
        <v>0</v>
      </c>
      <c r="F13739">
        <v>19</v>
      </c>
    </row>
    <row r="13740" spans="1:6" ht="12.75">
      <c r="A13740" s="2">
        <v>43879.039942129632</v>
      </c>
      <c r="B13740" t="str">
        <f>HYPERLINK("https://twitter.com/liuetenant_fazi","@liuetenant_fazi")</f>
        <v>@liuetenant_fazi</v>
      </c>
      <c r="C13740" t="s">
        <v>7110</v>
      </c>
      <c r="D13740">
        <v>0</v>
      </c>
      <c r="E13740">
        <v>0</v>
      </c>
      <c r="F13740">
        <v>328</v>
      </c>
    </row>
    <row r="13741" spans="1:6" ht="12.75">
      <c r="A13741" s="2">
        <v>43879.038078703699</v>
      </c>
      <c r="B13741" t="str">
        <f>HYPERLINK("https://twitter.com/AmstrongBiring","@AmstrongBiring")</f>
        <v>@AmstrongBiring</v>
      </c>
      <c r="C13741" t="s">
        <v>7111</v>
      </c>
      <c r="D13741">
        <v>13</v>
      </c>
      <c r="E13741">
        <v>0</v>
      </c>
      <c r="F13741">
        <v>1960</v>
      </c>
    </row>
    <row r="13742" spans="1:6" ht="12.75">
      <c r="A13742" s="2">
        <v>43879.036770833336</v>
      </c>
      <c r="B13742" t="str">
        <f>HYPERLINK("https://twitter.com/ShiningSadaf","@ShiningSadaf")</f>
        <v>@ShiningSadaf</v>
      </c>
      <c r="C13742" t="s">
        <v>7112</v>
      </c>
      <c r="D13742">
        <v>0</v>
      </c>
      <c r="E13742">
        <v>0</v>
      </c>
      <c r="F13742">
        <v>276</v>
      </c>
    </row>
    <row r="13743" spans="1:6" ht="12.75">
      <c r="A13743" s="2">
        <v>43879.035474537042</v>
      </c>
      <c r="B13743" t="str">
        <f>HYPERLINK("https://twitter.com/AlFatih68231928","@AlFatih68231928")</f>
        <v>@AlFatih68231928</v>
      </c>
      <c r="C13743" t="s">
        <v>7113</v>
      </c>
      <c r="D13743">
        <v>32</v>
      </c>
      <c r="E13743">
        <v>0</v>
      </c>
      <c r="F13743">
        <v>1031</v>
      </c>
    </row>
    <row r="13744" spans="1:6" ht="12.75">
      <c r="A13744" s="2">
        <v>43879.035231481481</v>
      </c>
      <c r="B13744" t="str">
        <f>HYPERLINK("https://twitter.com/AlfaOmega0110","@AlfaOmega0110")</f>
        <v>@AlfaOmega0110</v>
      </c>
      <c r="C13744" t="s">
        <v>7114</v>
      </c>
      <c r="D13744">
        <v>0</v>
      </c>
      <c r="E13744">
        <v>0</v>
      </c>
      <c r="F13744">
        <v>1171</v>
      </c>
    </row>
    <row r="13745" spans="1:6" ht="12.75">
      <c r="A13745" s="2">
        <v>43879.034560185188</v>
      </c>
      <c r="B13745" t="str">
        <f>HYPERLINK("https://twitter.com/SheelaGaikwad6","@SheelaGaikwad6")</f>
        <v>@SheelaGaikwad6</v>
      </c>
      <c r="C13745" t="s">
        <v>6236</v>
      </c>
      <c r="D13745">
        <v>50</v>
      </c>
      <c r="E13745">
        <v>0</v>
      </c>
      <c r="F13745">
        <v>506</v>
      </c>
    </row>
    <row r="13746" spans="1:6" ht="12.75">
      <c r="A13746" s="2">
        <v>43879.033055555556</v>
      </c>
      <c r="B13746" t="str">
        <f>HYPERLINK("https://twitter.com/Galihzainur1","@Galihzainur1")</f>
        <v>@Galihzainur1</v>
      </c>
      <c r="C13746" t="s">
        <v>7115</v>
      </c>
      <c r="D13746">
        <v>3</v>
      </c>
      <c r="E13746">
        <v>0</v>
      </c>
      <c r="F13746">
        <v>2374</v>
      </c>
    </row>
    <row r="13747" spans="1:6" ht="12.75">
      <c r="A13747" s="2">
        <v>43879.032800925925</v>
      </c>
      <c r="B13747" t="str">
        <f>HYPERLINK("https://twitter.com/deliknewscom","@deliknewscom")</f>
        <v>@deliknewscom</v>
      </c>
      <c r="C13747" t="s">
        <v>2621</v>
      </c>
      <c r="D13747">
        <v>0</v>
      </c>
      <c r="E13747">
        <v>0</v>
      </c>
      <c r="F13747">
        <v>1497</v>
      </c>
    </row>
    <row r="13748" spans="1:6" ht="12.75">
      <c r="A13748" s="2">
        <v>43879.031770833331</v>
      </c>
      <c r="B13748" t="str">
        <f>HYPERLINK("https://twitter.com/kardusbox08","@kardusbox08")</f>
        <v>@kardusbox08</v>
      </c>
      <c r="C13748" t="s">
        <v>6438</v>
      </c>
      <c r="D13748">
        <v>1</v>
      </c>
      <c r="E13748">
        <v>0</v>
      </c>
      <c r="F13748">
        <v>1360</v>
      </c>
    </row>
    <row r="13749" spans="1:6" ht="12.75">
      <c r="A13749" s="2">
        <v>43879.031180555554</v>
      </c>
      <c r="B13749" t="str">
        <f>HYPERLINK("https://twitter.com/MariawanDede","@MariawanDede")</f>
        <v>@MariawanDede</v>
      </c>
      <c r="C13749" t="s">
        <v>2155</v>
      </c>
      <c r="D13749">
        <v>415</v>
      </c>
      <c r="E13749">
        <v>0</v>
      </c>
      <c r="F13749">
        <v>1857</v>
      </c>
    </row>
    <row r="13750" spans="1:6" ht="12.75">
      <c r="A13750" s="2">
        <v>43879.028460648144</v>
      </c>
      <c r="B13750" t="str">
        <f>HYPERLINK("https://twitter.com/rasnugros","@rasnugros")</f>
        <v>@rasnugros</v>
      </c>
      <c r="C13750" t="s">
        <v>7116</v>
      </c>
      <c r="D13750">
        <v>0</v>
      </c>
      <c r="E13750">
        <v>0</v>
      </c>
      <c r="F13750">
        <v>51</v>
      </c>
    </row>
    <row r="13751" spans="1:6" ht="12.75">
      <c r="A13751" s="2">
        <v>43879.027951388889</v>
      </c>
      <c r="B13751" t="str">
        <f>HYPERLINK("https://twitter.com/Coutinho_Isis_","@Coutinho_Isis_")</f>
        <v>@Coutinho_Isis_</v>
      </c>
      <c r="C13751" t="s">
        <v>7117</v>
      </c>
      <c r="D13751">
        <v>8474</v>
      </c>
      <c r="E13751">
        <v>0</v>
      </c>
      <c r="F13751">
        <v>59</v>
      </c>
    </row>
    <row r="13752" spans="1:6" ht="12.75">
      <c r="A13752" s="2">
        <v>43879.027581018519</v>
      </c>
      <c r="B13752" t="str">
        <f>HYPERLINK("https://twitter.com/ogielord","@ogielord")</f>
        <v>@ogielord</v>
      </c>
      <c r="C13752" t="s">
        <v>6206</v>
      </c>
      <c r="D13752">
        <v>10</v>
      </c>
      <c r="E13752">
        <v>0</v>
      </c>
      <c r="F13752">
        <v>1337</v>
      </c>
    </row>
    <row r="13753" spans="1:6" ht="12.75">
      <c r="A13753" s="2">
        <v>43879.02548611111</v>
      </c>
      <c r="B13753" t="str">
        <f>HYPERLINK("https://twitter.com/cecile2771","@cecile2771")</f>
        <v>@cecile2771</v>
      </c>
      <c r="C13753" t="s">
        <v>6206</v>
      </c>
      <c r="D13753">
        <v>10</v>
      </c>
      <c r="E13753">
        <v>0</v>
      </c>
      <c r="F13753">
        <v>1543</v>
      </c>
    </row>
    <row r="13754" spans="1:6" ht="12.75">
      <c r="A13754" s="2">
        <v>43879.025405092594</v>
      </c>
      <c r="B13754" t="str">
        <f>HYPERLINK("https://twitter.com/Aryprasetyo85","@Aryprasetyo85")</f>
        <v>@Aryprasetyo85</v>
      </c>
      <c r="C13754" t="s">
        <v>7118</v>
      </c>
      <c r="D13754">
        <v>1</v>
      </c>
      <c r="E13754">
        <v>5</v>
      </c>
      <c r="F13754">
        <v>38783</v>
      </c>
    </row>
    <row r="13755" spans="1:6" ht="12.75">
      <c r="A13755" s="2">
        <v>43879.024513888886</v>
      </c>
      <c r="B13755" t="str">
        <f>HYPERLINK("https://twitter.com/burungpipit74","@burungpipit74")</f>
        <v>@burungpipit74</v>
      </c>
      <c r="C13755" t="s">
        <v>6439</v>
      </c>
      <c r="D13755">
        <v>1</v>
      </c>
      <c r="E13755">
        <v>0</v>
      </c>
      <c r="F13755">
        <v>3295</v>
      </c>
    </row>
    <row r="13756" spans="1:6" ht="12.75">
      <c r="A13756" s="2">
        <v>43879.02443287037</v>
      </c>
      <c r="B13756" t="str">
        <f>HYPERLINK("https://twitter.com/Jateng_Twit","@Jateng_Twit")</f>
        <v>@Jateng_Twit</v>
      </c>
      <c r="C13756" t="s">
        <v>6979</v>
      </c>
      <c r="D13756">
        <v>1</v>
      </c>
      <c r="E13756">
        <v>0</v>
      </c>
      <c r="F13756">
        <v>6433</v>
      </c>
    </row>
    <row r="13757" spans="1:6" ht="12.75">
      <c r="A13757" s="2">
        <v>43879.024108796293</v>
      </c>
      <c r="B13757" t="str">
        <f>HYPERLINK("https://twitter.com/Aryprasetyo85","@Aryprasetyo85")</f>
        <v>@Aryprasetyo85</v>
      </c>
      <c r="C13757" t="s">
        <v>7119</v>
      </c>
      <c r="D13757">
        <v>1</v>
      </c>
      <c r="E13757">
        <v>1</v>
      </c>
      <c r="F13757">
        <v>38783</v>
      </c>
    </row>
    <row r="13758" spans="1:6" ht="12.75">
      <c r="A13758" s="2">
        <v>43879.023553240739</v>
      </c>
      <c r="B13758" t="str">
        <f>HYPERLINK("https://twitter.com/NOGOSASTRO","@NOGOSASTRO")</f>
        <v>@NOGOSASTRO</v>
      </c>
      <c r="C13758" t="s">
        <v>6206</v>
      </c>
      <c r="D13758">
        <v>10</v>
      </c>
      <c r="E13758">
        <v>0</v>
      </c>
      <c r="F13758">
        <v>340</v>
      </c>
    </row>
    <row r="13759" spans="1:6" ht="12.75">
      <c r="A13759" s="2">
        <v>43879.02344907407</v>
      </c>
      <c r="B13759" t="str">
        <f>HYPERLINK("https://twitter.com/KailPancing","@KailPancing")</f>
        <v>@KailPancing</v>
      </c>
      <c r="C13759" t="s">
        <v>7120</v>
      </c>
      <c r="D13759">
        <v>0</v>
      </c>
      <c r="E13759">
        <v>0</v>
      </c>
      <c r="F13759">
        <v>1082</v>
      </c>
    </row>
    <row r="13760" spans="1:6" ht="12.75">
      <c r="A13760" s="2">
        <v>43879.023217592592</v>
      </c>
      <c r="B13760" t="str">
        <f>HYPERLINK("https://twitter.com/JiuOppa","@JiuOppa")</f>
        <v>@JiuOppa</v>
      </c>
      <c r="C13760" t="s">
        <v>7121</v>
      </c>
      <c r="D13760">
        <v>3</v>
      </c>
      <c r="E13760">
        <v>0</v>
      </c>
      <c r="F13760">
        <v>773</v>
      </c>
    </row>
    <row r="13761" spans="1:6" ht="12.75">
      <c r="A13761" s="2">
        <v>43879.022962962961</v>
      </c>
      <c r="B13761" t="str">
        <f>HYPERLINK("https://twitter.com/Haluan_","@Haluan_")</f>
        <v>@Haluan_</v>
      </c>
      <c r="C13761" t="s">
        <v>7122</v>
      </c>
      <c r="D13761">
        <v>0</v>
      </c>
      <c r="E13761">
        <v>0</v>
      </c>
      <c r="F13761">
        <v>1464</v>
      </c>
    </row>
    <row r="13762" spans="1:6" ht="12.75">
      <c r="A13762" s="2">
        <v>43879.022650462968</v>
      </c>
      <c r="B13762" t="str">
        <f>HYPERLINK("https://twitter.com/Aryprasetyo85","@Aryprasetyo85")</f>
        <v>@Aryprasetyo85</v>
      </c>
      <c r="C13762" t="s">
        <v>7123</v>
      </c>
      <c r="D13762">
        <v>0</v>
      </c>
      <c r="E13762">
        <v>1</v>
      </c>
      <c r="F13762">
        <v>38783</v>
      </c>
    </row>
    <row r="13763" spans="1:6" ht="12.75">
      <c r="A13763" s="2">
        <v>43879.021678240737</v>
      </c>
      <c r="B13763" t="str">
        <f>HYPERLINK("https://twitter.com/Aldoywndes_","@Aldoywndes_")</f>
        <v>@Aldoywndes_</v>
      </c>
      <c r="C13763" t="s">
        <v>7124</v>
      </c>
      <c r="D13763">
        <v>0</v>
      </c>
      <c r="E13763">
        <v>0</v>
      </c>
      <c r="F13763">
        <v>84</v>
      </c>
    </row>
    <row r="13764" spans="1:6" ht="12.75">
      <c r="A13764" s="2">
        <v>43879.021597222221</v>
      </c>
      <c r="B13764" t="str">
        <f>HYPERLINK("https://twitter.com/PaijoTokpiL","@PaijoTokpiL")</f>
        <v>@PaijoTokpiL</v>
      </c>
      <c r="C13764" t="s">
        <v>6206</v>
      </c>
      <c r="D13764">
        <v>10</v>
      </c>
      <c r="E13764">
        <v>0</v>
      </c>
      <c r="F13764">
        <v>347</v>
      </c>
    </row>
    <row r="13765" spans="1:6" ht="12.75">
      <c r="A13765" s="2">
        <v>43879.021504629629</v>
      </c>
      <c r="B13765" t="str">
        <f>HYPERLINK("https://twitter.com/Aryprasetyo85","@Aryprasetyo85")</f>
        <v>@Aryprasetyo85</v>
      </c>
      <c r="C13765" t="s">
        <v>7125</v>
      </c>
      <c r="D13765">
        <v>0</v>
      </c>
      <c r="E13765">
        <v>0</v>
      </c>
      <c r="F13765">
        <v>38783</v>
      </c>
    </row>
    <row r="13766" spans="1:6" ht="12.75">
      <c r="A13766" s="2">
        <v>43879.021331018521</v>
      </c>
      <c r="B13766" t="str">
        <f t="shared" ref="B13766:B13767" si="236">HYPERLINK("https://twitter.com/AjiRomli","@AjiRomli")</f>
        <v>@AjiRomli</v>
      </c>
      <c r="C13766" t="s">
        <v>7126</v>
      </c>
      <c r="D13766">
        <v>0</v>
      </c>
      <c r="E13766">
        <v>0</v>
      </c>
      <c r="F13766">
        <v>8</v>
      </c>
    </row>
    <row r="13767" spans="1:6" ht="12.75">
      <c r="A13767" s="2">
        <v>43879.021168981482</v>
      </c>
      <c r="B13767" t="str">
        <f t="shared" si="236"/>
        <v>@AjiRomli</v>
      </c>
      <c r="C13767" t="s">
        <v>7127</v>
      </c>
      <c r="D13767">
        <v>0</v>
      </c>
      <c r="E13767">
        <v>0</v>
      </c>
      <c r="F13767">
        <v>8</v>
      </c>
    </row>
    <row r="13768" spans="1:6" ht="12.75">
      <c r="A13768" s="2">
        <v>43879.021168981482</v>
      </c>
      <c r="B13768" t="str">
        <f>HYPERLINK("https://twitter.com/Aryprasetyo85","@Aryprasetyo85")</f>
        <v>@Aryprasetyo85</v>
      </c>
      <c r="C13768" t="s">
        <v>7128</v>
      </c>
      <c r="D13768">
        <v>0</v>
      </c>
      <c r="E13768">
        <v>3</v>
      </c>
      <c r="F13768">
        <v>38783</v>
      </c>
    </row>
    <row r="13769" spans="1:6" ht="12.75">
      <c r="A13769" s="2">
        <v>43879.020729166667</v>
      </c>
      <c r="B13769" t="str">
        <f>HYPERLINK("https://twitter.com/Susanto13895819","@Susanto13895819")</f>
        <v>@Susanto13895819</v>
      </c>
      <c r="C13769" t="s">
        <v>6206</v>
      </c>
      <c r="D13769">
        <v>10</v>
      </c>
      <c r="E13769">
        <v>0</v>
      </c>
      <c r="F13769">
        <v>338</v>
      </c>
    </row>
    <row r="13770" spans="1:6" ht="12.75">
      <c r="A13770" s="2">
        <v>43879.020023148143</v>
      </c>
      <c r="B13770" t="str">
        <f>HYPERLINK("https://twitter.com/kmtnds","@kmtnds")</f>
        <v>@kmtnds</v>
      </c>
      <c r="C13770" t="s">
        <v>7129</v>
      </c>
      <c r="D13770">
        <v>17</v>
      </c>
      <c r="E13770">
        <v>0</v>
      </c>
      <c r="F13770">
        <v>386</v>
      </c>
    </row>
    <row r="13771" spans="1:6" ht="12.75">
      <c r="A13771" s="2">
        <v>43879.019652777773</v>
      </c>
      <c r="B13771" t="str">
        <f>HYPERLINK("https://twitter.com/gladioluspoppy","@gladioluspoppy")</f>
        <v>@gladioluspoppy</v>
      </c>
      <c r="C13771" t="s">
        <v>7130</v>
      </c>
      <c r="D13771">
        <v>0</v>
      </c>
      <c r="E13771">
        <v>0</v>
      </c>
      <c r="F13771">
        <v>101</v>
      </c>
    </row>
    <row r="13772" spans="1:6" ht="12.75">
      <c r="A13772" s="2">
        <v>43879.019062499996</v>
      </c>
      <c r="B13772" t="str">
        <f>HYPERLINK("https://twitter.com/penggaris_usang","@penggaris_usang")</f>
        <v>@penggaris_usang</v>
      </c>
      <c r="C13772" t="s">
        <v>7131</v>
      </c>
      <c r="D13772">
        <v>0</v>
      </c>
      <c r="E13772">
        <v>0</v>
      </c>
      <c r="F13772">
        <v>511</v>
      </c>
    </row>
    <row r="13773" spans="1:6" ht="12.75">
      <c r="A13773" s="2">
        <v>43879.017974537041</v>
      </c>
      <c r="B13773" t="str">
        <f>HYPERLINK("https://twitter.com/gferreira_reis","@gferreira_reis")</f>
        <v>@gferreira_reis</v>
      </c>
      <c r="C13773" t="s">
        <v>7132</v>
      </c>
      <c r="D13773">
        <v>0</v>
      </c>
      <c r="E13773">
        <v>0</v>
      </c>
      <c r="F13773">
        <v>592</v>
      </c>
    </row>
    <row r="13774" spans="1:6" ht="12.75">
      <c r="A13774" s="2">
        <v>43879.017268518517</v>
      </c>
      <c r="B13774" t="str">
        <f>HYPERLINK("https://twitter.com/yohanagril","@yohanagril")</f>
        <v>@yohanagril</v>
      </c>
      <c r="C13774" t="s">
        <v>2155</v>
      </c>
      <c r="D13774">
        <v>415</v>
      </c>
      <c r="E13774">
        <v>0</v>
      </c>
      <c r="F13774">
        <v>680</v>
      </c>
    </row>
    <row r="13775" spans="1:6" ht="12.75">
      <c r="A13775" s="2">
        <v>43879.01626157407</v>
      </c>
      <c r="B13775" t="str">
        <f>HYPERLINK("https://twitter.com/Kiky_Lesmana","@Kiky_Lesmana")</f>
        <v>@Kiky_Lesmana</v>
      </c>
      <c r="C13775" t="s">
        <v>2155</v>
      </c>
      <c r="D13775">
        <v>415</v>
      </c>
      <c r="E13775">
        <v>0</v>
      </c>
      <c r="F13775">
        <v>18</v>
      </c>
    </row>
    <row r="13776" spans="1:6" ht="12.75">
      <c r="A13776" s="2">
        <v>43879.016180555554</v>
      </c>
      <c r="B13776" t="str">
        <f>HYPERLINK("https://twitter.com/deyfrrlife","@deyfrrlife")</f>
        <v>@deyfrrlife</v>
      </c>
      <c r="C13776" t="s">
        <v>6842</v>
      </c>
      <c r="D13776">
        <v>15</v>
      </c>
      <c r="E13776">
        <v>0</v>
      </c>
      <c r="F13776">
        <v>354</v>
      </c>
    </row>
    <row r="13777" spans="1:6" ht="12.75">
      <c r="A13777" s="2">
        <v>43879.015752314815</v>
      </c>
      <c r="B13777" t="str">
        <f>HYPERLINK("https://twitter.com/Namaku_Mei","@Namaku_Mei")</f>
        <v>@Namaku_Mei</v>
      </c>
      <c r="C13777" t="s">
        <v>7133</v>
      </c>
      <c r="D13777">
        <v>0</v>
      </c>
      <c r="E13777">
        <v>4</v>
      </c>
      <c r="F13777">
        <v>33837</v>
      </c>
    </row>
    <row r="13778" spans="1:6" ht="12.75">
      <c r="A13778" s="2">
        <v>43879.015462962961</v>
      </c>
      <c r="B13778" t="str">
        <f>HYPERLINK("https://twitter.com/widy1892","@widy1892")</f>
        <v>@widy1892</v>
      </c>
      <c r="C13778" t="s">
        <v>4975</v>
      </c>
      <c r="D13778">
        <v>153</v>
      </c>
      <c r="E13778">
        <v>0</v>
      </c>
      <c r="F13778">
        <v>651</v>
      </c>
    </row>
    <row r="13779" spans="1:6" ht="12.75">
      <c r="A13779" s="2">
        <v>43879.014849537038</v>
      </c>
      <c r="B13779" t="str">
        <f>HYPERLINK("https://twitter.com/hendrabrastagi5","@hendrabrastagi5")</f>
        <v>@hendrabrastagi5</v>
      </c>
      <c r="C13779" t="s">
        <v>6206</v>
      </c>
      <c r="D13779">
        <v>10</v>
      </c>
      <c r="E13779">
        <v>0</v>
      </c>
      <c r="F13779">
        <v>1116</v>
      </c>
    </row>
    <row r="13780" spans="1:6" ht="12.75">
      <c r="A13780" s="2">
        <v>43879.014641203699</v>
      </c>
      <c r="B13780" t="str">
        <f>HYPERLINK("https://twitter.com/raraaiss","@raraaiss")</f>
        <v>@raraaiss</v>
      </c>
      <c r="C13780" t="s">
        <v>6721</v>
      </c>
      <c r="D13780">
        <v>379</v>
      </c>
      <c r="E13780">
        <v>0</v>
      </c>
      <c r="F13780">
        <v>57</v>
      </c>
    </row>
    <row r="13781" spans="1:6" ht="12.75">
      <c r="A13781" s="2">
        <v>43879.014293981483</v>
      </c>
      <c r="B13781" t="str">
        <f>HYPERLINK("https://twitter.com/Alitingting2","@Alitingting2")</f>
        <v>@Alitingting2</v>
      </c>
      <c r="C13781" t="s">
        <v>5642</v>
      </c>
      <c r="D13781">
        <v>94</v>
      </c>
      <c r="E13781">
        <v>0</v>
      </c>
      <c r="F13781">
        <v>2941</v>
      </c>
    </row>
    <row r="13782" spans="1:6" ht="12.75">
      <c r="A13782" s="2">
        <v>43879.013611111106</v>
      </c>
      <c r="B13782" t="str">
        <f>HYPERLINK("https://twitter.com/rifqimurt","@rifqimurt")</f>
        <v>@rifqimurt</v>
      </c>
      <c r="C13782" t="s">
        <v>5642</v>
      </c>
      <c r="D13782">
        <v>94</v>
      </c>
      <c r="E13782">
        <v>0</v>
      </c>
      <c r="F13782">
        <v>88</v>
      </c>
    </row>
    <row r="13783" spans="1:6" ht="12.75">
      <c r="A13783" s="2">
        <v>43879.012002314819</v>
      </c>
      <c r="B13783" t="str">
        <f>HYPERLINK("https://twitter.com/sona_kis","@sona_kis")</f>
        <v>@sona_kis</v>
      </c>
      <c r="C13783" t="s">
        <v>7134</v>
      </c>
      <c r="D13783">
        <v>0</v>
      </c>
      <c r="E13783">
        <v>0</v>
      </c>
      <c r="F13783">
        <v>0</v>
      </c>
    </row>
    <row r="13784" spans="1:6" ht="12.75">
      <c r="A13784" s="2">
        <v>43879.01163194445</v>
      </c>
      <c r="B13784" t="str">
        <f>HYPERLINK("https://twitter.com/Kiky_Lesmana","@Kiky_Lesmana")</f>
        <v>@Kiky_Lesmana</v>
      </c>
      <c r="C13784" t="s">
        <v>5642</v>
      </c>
      <c r="D13784">
        <v>94</v>
      </c>
      <c r="E13784">
        <v>0</v>
      </c>
      <c r="F13784">
        <v>18</v>
      </c>
    </row>
    <row r="13785" spans="1:6" ht="12.75">
      <c r="A13785" s="2">
        <v>43879.01158564815</v>
      </c>
      <c r="B13785" t="str">
        <f>HYPERLINK("https://twitter.com/pian23sahroni","@pian23sahroni")</f>
        <v>@pian23sahroni</v>
      </c>
      <c r="C13785" t="s">
        <v>6721</v>
      </c>
      <c r="D13785">
        <v>379</v>
      </c>
      <c r="E13785">
        <v>0</v>
      </c>
      <c r="F13785">
        <v>184</v>
      </c>
    </row>
    <row r="13786" spans="1:6" ht="12.75">
      <c r="A13786" s="2">
        <v>43879.01090277778</v>
      </c>
      <c r="B13786" t="str">
        <f>HYPERLINK("https://twitter.com/semiaji_w","@semiaji_w")</f>
        <v>@semiaji_w</v>
      </c>
      <c r="C13786" t="s">
        <v>2155</v>
      </c>
      <c r="D13786">
        <v>415</v>
      </c>
      <c r="E13786">
        <v>0</v>
      </c>
      <c r="F13786">
        <v>23808</v>
      </c>
    </row>
    <row r="13787" spans="1:6" ht="12.75">
      <c r="A13787" s="2">
        <v>43879.010682870372</v>
      </c>
      <c r="B13787" t="str">
        <f>HYPERLINK("https://twitter.com/valentnicholas","@valentnicholas")</f>
        <v>@valentnicholas</v>
      </c>
      <c r="C13787" t="s">
        <v>3340</v>
      </c>
      <c r="D13787">
        <v>309</v>
      </c>
      <c r="E13787">
        <v>0</v>
      </c>
      <c r="F13787">
        <v>353</v>
      </c>
    </row>
    <row r="13788" spans="1:6" ht="12.75">
      <c r="A13788" s="2">
        <v>43879.010601851856</v>
      </c>
      <c r="B13788" t="str">
        <f>HYPERLINK("https://twitter.com/AronGava","@AronGava")</f>
        <v>@AronGava</v>
      </c>
      <c r="C13788" t="s">
        <v>7135</v>
      </c>
      <c r="D13788">
        <v>0</v>
      </c>
      <c r="E13788">
        <v>0</v>
      </c>
      <c r="F13788">
        <v>6</v>
      </c>
    </row>
    <row r="13789" spans="1:6" ht="12.75">
      <c r="A13789" s="2">
        <v>43879.010266203702</v>
      </c>
      <c r="B13789" t="str">
        <f>HYPERLINK("https://twitter.com/Cutiebabybyun","@Cutiebabybyun")</f>
        <v>@Cutiebabybyun</v>
      </c>
      <c r="C13789" t="s">
        <v>3340</v>
      </c>
      <c r="D13789">
        <v>309</v>
      </c>
      <c r="E13789">
        <v>0</v>
      </c>
      <c r="F13789">
        <v>116</v>
      </c>
    </row>
    <row r="13790" spans="1:6" ht="12.75">
      <c r="A13790" s="2">
        <v>43879.010115740741</v>
      </c>
      <c r="B13790" t="str">
        <f>HYPERLINK("https://twitter.com/totoksuyoto1","@totoksuyoto1")</f>
        <v>@totoksuyoto1</v>
      </c>
      <c r="C13790" t="s">
        <v>5642</v>
      </c>
      <c r="D13790">
        <v>94</v>
      </c>
      <c r="E13790">
        <v>0</v>
      </c>
      <c r="F13790">
        <v>213</v>
      </c>
    </row>
    <row r="13791" spans="1:6" ht="12.75">
      <c r="A13791" s="2">
        <v>43879.009189814809</v>
      </c>
      <c r="B13791" t="str">
        <f>HYPERLINK("https://twitter.com/TheoChandra10","@TheoChandra10")</f>
        <v>@TheoChandra10</v>
      </c>
      <c r="C13791" t="s">
        <v>2155</v>
      </c>
      <c r="D13791">
        <v>415</v>
      </c>
      <c r="E13791">
        <v>0</v>
      </c>
      <c r="F13791">
        <v>46</v>
      </c>
    </row>
    <row r="13792" spans="1:6" ht="12.75">
      <c r="A13792" s="2">
        <v>43879.009062500001</v>
      </c>
      <c r="B13792" t="str">
        <f>HYPERLINK("https://twitter.com/MonyongPutih","@MonyongPutih")</f>
        <v>@MonyongPutih</v>
      </c>
      <c r="C13792" t="s">
        <v>7136</v>
      </c>
      <c r="D13792">
        <v>0</v>
      </c>
      <c r="E13792">
        <v>1</v>
      </c>
      <c r="F13792">
        <v>42</v>
      </c>
    </row>
    <row r="13793" spans="1:6" ht="12.75">
      <c r="A13793" s="2">
        <v>43879.009039351848</v>
      </c>
      <c r="B13793" t="str">
        <f>HYPERLINK("https://twitter.com/alambaskoroke4","@alambaskoroke4")</f>
        <v>@alambaskoroke4</v>
      </c>
      <c r="C13793" t="s">
        <v>6206</v>
      </c>
      <c r="D13793">
        <v>10</v>
      </c>
      <c r="E13793">
        <v>0</v>
      </c>
      <c r="F13793">
        <v>262</v>
      </c>
    </row>
    <row r="13794" spans="1:6" ht="12.75">
      <c r="A13794" s="2">
        <v>43879.008587962962</v>
      </c>
      <c r="B13794" t="str">
        <f>HYPERLINK("https://twitter.com/kardusbox08","@kardusbox08")</f>
        <v>@kardusbox08</v>
      </c>
      <c r="C13794" t="s">
        <v>6206</v>
      </c>
      <c r="D13794">
        <v>10</v>
      </c>
      <c r="E13794">
        <v>0</v>
      </c>
      <c r="F13794">
        <v>1360</v>
      </c>
    </row>
    <row r="13795" spans="1:6" ht="12.75">
      <c r="A13795" s="2">
        <v>43879.008576388893</v>
      </c>
      <c r="B13795" t="str">
        <f>HYPERLINK("https://twitter.com/totoksuyoto1","@totoksuyoto1")</f>
        <v>@totoksuyoto1</v>
      </c>
      <c r="C13795" t="s">
        <v>5406</v>
      </c>
      <c r="D13795">
        <v>16</v>
      </c>
      <c r="E13795">
        <v>0</v>
      </c>
      <c r="F13795">
        <v>213</v>
      </c>
    </row>
    <row r="13796" spans="1:6" ht="12.75">
      <c r="A13796" s="2">
        <v>43879.00782407407</v>
      </c>
      <c r="B13796" t="str">
        <f>HYPERLINK("https://twitter.com/dwitiktik","@dwitiktik")</f>
        <v>@dwitiktik</v>
      </c>
      <c r="C13796" t="s">
        <v>3340</v>
      </c>
      <c r="D13796">
        <v>309</v>
      </c>
      <c r="E13796">
        <v>0</v>
      </c>
      <c r="F13796">
        <v>53</v>
      </c>
    </row>
    <row r="13797" spans="1:6" ht="12.75">
      <c r="A13797" s="2">
        <v>43879.006574074076</v>
      </c>
      <c r="B13797" t="str">
        <f>HYPERLINK("https://twitter.com/budiyono97","@budiyono97")</f>
        <v>@budiyono97</v>
      </c>
      <c r="C13797" t="s">
        <v>6206</v>
      </c>
      <c r="D13797">
        <v>10</v>
      </c>
      <c r="E13797">
        <v>0</v>
      </c>
      <c r="F13797">
        <v>5299</v>
      </c>
    </row>
    <row r="13798" spans="1:6" ht="12.75">
      <c r="A13798" s="2">
        <v>43879.006331018521</v>
      </c>
      <c r="B13798" t="str">
        <f>HYPERLINK("https://twitter.com/Aryprasetyo85","@Aryprasetyo85")</f>
        <v>@Aryprasetyo85</v>
      </c>
      <c r="C13798" t="s">
        <v>7137</v>
      </c>
      <c r="D13798">
        <v>10</v>
      </c>
      <c r="E13798">
        <v>32</v>
      </c>
      <c r="F13798">
        <v>38783</v>
      </c>
    </row>
    <row r="13799" spans="1:6" ht="12.75">
      <c r="A13799" s="2">
        <v>43879.006041666667</v>
      </c>
      <c r="B13799" t="str">
        <f>HYPERLINK("https://twitter.com/disnaker_jateng","@disnaker_jateng")</f>
        <v>@disnaker_jateng</v>
      </c>
      <c r="C13799" t="s">
        <v>7138</v>
      </c>
      <c r="D13799">
        <v>1</v>
      </c>
      <c r="E13799">
        <v>0</v>
      </c>
      <c r="F13799">
        <v>6221</v>
      </c>
    </row>
    <row r="13800" spans="1:6" ht="12.75">
      <c r="A13800" s="2">
        <v>43879.005266203705</v>
      </c>
      <c r="B13800" t="str">
        <f>HYPERLINK("https://twitter.com/ArielFatR","@ArielFatR")</f>
        <v>@ArielFatR</v>
      </c>
      <c r="C13800" t="s">
        <v>7139</v>
      </c>
      <c r="D13800">
        <v>0</v>
      </c>
      <c r="E13800">
        <v>0</v>
      </c>
      <c r="F13800">
        <v>570</v>
      </c>
    </row>
    <row r="13801" spans="1:6" ht="12.75">
      <c r="A13801" s="2">
        <v>43879.004988425921</v>
      </c>
      <c r="B13801" t="str">
        <f>HYPERLINK("https://twitter.com/kjrifrankfurt","@kjrifrankfurt")</f>
        <v>@kjrifrankfurt</v>
      </c>
      <c r="C13801" t="s">
        <v>7140</v>
      </c>
      <c r="D13801">
        <v>0</v>
      </c>
      <c r="E13801">
        <v>0</v>
      </c>
      <c r="F13801">
        <v>286</v>
      </c>
    </row>
    <row r="13802" spans="1:6" ht="12.75">
      <c r="A13802" s="2">
        <v>43879.004756944443</v>
      </c>
      <c r="B13802" t="str">
        <f>HYPERLINK("https://twitter.com/dLinda16","@dLinda16")</f>
        <v>@dLinda16</v>
      </c>
      <c r="C13802" t="s">
        <v>7141</v>
      </c>
      <c r="D13802">
        <v>0</v>
      </c>
      <c r="E13802">
        <v>0</v>
      </c>
      <c r="F13802">
        <v>50</v>
      </c>
    </row>
    <row r="13803" spans="1:6" ht="12.75">
      <c r="A13803" s="2">
        <v>43879.004363425927</v>
      </c>
      <c r="B13803" t="str">
        <f>HYPERLINK("https://twitter.com/dxnghankim","@dxnghankim")</f>
        <v>@dxnghankim</v>
      </c>
      <c r="C13803" t="s">
        <v>3340</v>
      </c>
      <c r="D13803">
        <v>309</v>
      </c>
      <c r="E13803">
        <v>0</v>
      </c>
      <c r="F13803">
        <v>753</v>
      </c>
    </row>
    <row r="13804" spans="1:6" ht="12.75">
      <c r="A13804" s="2">
        <v>43879.004212962958</v>
      </c>
      <c r="B13804" t="str">
        <f>HYPERLINK("https://twitter.com/mithbaidya1","@mithbaidya1")</f>
        <v>@mithbaidya1</v>
      </c>
      <c r="C13804" t="s">
        <v>7142</v>
      </c>
      <c r="D13804">
        <v>0</v>
      </c>
      <c r="E13804">
        <v>0</v>
      </c>
      <c r="F13804">
        <v>43</v>
      </c>
    </row>
    <row r="13805" spans="1:6" ht="12.75">
      <c r="A13805" s="2">
        <v>43879.004108796296</v>
      </c>
      <c r="B13805" t="str">
        <f>HYPERLINK("https://twitter.com/DelmaJaya","@DelmaJaya")</f>
        <v>@DelmaJaya</v>
      </c>
      <c r="C13805" t="s">
        <v>4975</v>
      </c>
      <c r="D13805">
        <v>153</v>
      </c>
      <c r="E13805">
        <v>0</v>
      </c>
      <c r="F13805">
        <v>555</v>
      </c>
    </row>
    <row r="13806" spans="1:6" ht="12.75">
      <c r="A13806" s="2">
        <v>43879.003877314812</v>
      </c>
      <c r="B13806" t="str">
        <f>HYPERLINK("https://twitter.com/becandasayaank","@becandasayaank")</f>
        <v>@becandasayaank</v>
      </c>
      <c r="C13806" t="s">
        <v>7143</v>
      </c>
      <c r="D13806">
        <v>0</v>
      </c>
      <c r="E13806">
        <v>1</v>
      </c>
      <c r="F13806">
        <v>14</v>
      </c>
    </row>
    <row r="13807" spans="1:6" ht="12.75">
      <c r="A13807" s="2">
        <v>43879.003703703704</v>
      </c>
      <c r="B13807" t="str">
        <f>HYPERLINK("https://twitter.com/Ndrews1162011","@Ndrews1162011")</f>
        <v>@Ndrews1162011</v>
      </c>
      <c r="C13807" t="s">
        <v>7144</v>
      </c>
      <c r="D13807">
        <v>0</v>
      </c>
      <c r="E13807">
        <v>0</v>
      </c>
      <c r="F13807">
        <v>1140</v>
      </c>
    </row>
    <row r="13808" spans="1:6" ht="12.75">
      <c r="A13808" s="2">
        <v>43879.003506944442</v>
      </c>
      <c r="B13808" t="str">
        <f>HYPERLINK("https://twitter.com/dLinda16","@dLinda16")</f>
        <v>@dLinda16</v>
      </c>
      <c r="C13808" t="s">
        <v>7145</v>
      </c>
      <c r="D13808">
        <v>0</v>
      </c>
      <c r="E13808">
        <v>0</v>
      </c>
      <c r="F13808">
        <v>50</v>
      </c>
    </row>
    <row r="13809" spans="1:6" ht="12.75">
      <c r="A13809" s="2">
        <v>43879.003252314811</v>
      </c>
      <c r="B13809" t="str">
        <f>HYPERLINK("https://twitter.com/BadjaNuswantara","@BadjaNuswantara")</f>
        <v>@BadjaNuswantara</v>
      </c>
      <c r="C13809" t="s">
        <v>5642</v>
      </c>
      <c r="D13809">
        <v>94</v>
      </c>
      <c r="E13809">
        <v>0</v>
      </c>
      <c r="F13809">
        <v>42552</v>
      </c>
    </row>
    <row r="13810" spans="1:6" ht="12.75">
      <c r="A13810" s="2">
        <v>43879.003055555557</v>
      </c>
      <c r="B13810" t="str">
        <f>HYPERLINK("https://twitter.com/sraa_boniita","@sraa_boniita")</f>
        <v>@sraa_boniita</v>
      </c>
      <c r="C13810" t="s">
        <v>7146</v>
      </c>
      <c r="D13810">
        <v>0</v>
      </c>
      <c r="E13810">
        <v>1</v>
      </c>
      <c r="F13810">
        <v>1101</v>
      </c>
    </row>
    <row r="13811" spans="1:6" ht="12.75">
      <c r="A13811" s="2">
        <v>43879.002754629633</v>
      </c>
      <c r="B13811" t="str">
        <f>HYPERLINK("https://twitter.com/TuanBaron15","@TuanBaron15")</f>
        <v>@TuanBaron15</v>
      </c>
      <c r="C13811" t="s">
        <v>2155</v>
      </c>
      <c r="D13811">
        <v>415</v>
      </c>
      <c r="E13811">
        <v>0</v>
      </c>
      <c r="F13811">
        <v>26</v>
      </c>
    </row>
    <row r="13812" spans="1:6" ht="12.75">
      <c r="A13812" s="2">
        <v>43879.002372685187</v>
      </c>
      <c r="B13812" t="str">
        <f>HYPERLINK("https://twitter.com/halusirasi","@halusirasi")</f>
        <v>@halusirasi</v>
      </c>
      <c r="C13812" t="s">
        <v>6727</v>
      </c>
      <c r="D13812">
        <v>27</v>
      </c>
      <c r="E13812">
        <v>0</v>
      </c>
      <c r="F13812">
        <v>22</v>
      </c>
    </row>
    <row r="13813" spans="1:6" ht="12.75">
      <c r="A13813" s="2">
        <v>43879.002337962964</v>
      </c>
      <c r="B13813" t="str">
        <f>HYPERLINK("https://twitter.com/andrewirams","@andrewirams")</f>
        <v>@andrewirams</v>
      </c>
      <c r="C13813" t="s">
        <v>7147</v>
      </c>
      <c r="D13813">
        <v>0</v>
      </c>
      <c r="E13813">
        <v>1</v>
      </c>
      <c r="F13813">
        <v>603</v>
      </c>
    </row>
    <row r="13814" spans="1:6" ht="12.75">
      <c r="A13814" s="2">
        <v>43879.00199074074</v>
      </c>
      <c r="B13814" t="str">
        <f>HYPERLINK("https://twitter.com/LilisNugraha","@LilisNugraha")</f>
        <v>@LilisNugraha</v>
      </c>
      <c r="C13814" t="s">
        <v>7148</v>
      </c>
      <c r="D13814">
        <v>0</v>
      </c>
      <c r="E13814">
        <v>0</v>
      </c>
      <c r="F13814">
        <v>81</v>
      </c>
    </row>
    <row r="13815" spans="1:6" ht="12.75">
      <c r="A13815" s="2">
        <v>43879.001435185186</v>
      </c>
      <c r="B13815" t="str">
        <f>HYPERLINK("https://twitter.com/machbeach","@machbeach")</f>
        <v>@machbeach</v>
      </c>
      <c r="C13815" t="s">
        <v>7149</v>
      </c>
      <c r="D13815">
        <v>0</v>
      </c>
      <c r="E13815">
        <v>0</v>
      </c>
      <c r="F13815">
        <v>928</v>
      </c>
    </row>
    <row r="13816" spans="1:6" ht="12.75">
      <c r="A13816" s="2">
        <v>43879.001226851848</v>
      </c>
      <c r="B13816" t="str">
        <f>HYPERLINK("https://twitter.com/Nurohim88059769","@Nurohim88059769")</f>
        <v>@Nurohim88059769</v>
      </c>
      <c r="C13816" t="s">
        <v>7150</v>
      </c>
      <c r="D13816">
        <v>0</v>
      </c>
      <c r="E13816">
        <v>0</v>
      </c>
      <c r="F13816">
        <v>1</v>
      </c>
    </row>
    <row r="13817" spans="1:6" ht="12.75">
      <c r="A13817" s="2">
        <v>43879.00105324074</v>
      </c>
      <c r="B13817" t="str">
        <f>HYPERLINK("https://twitter.com/Januarjososusa1","@Januarjososusa1")</f>
        <v>@Januarjososusa1</v>
      </c>
      <c r="C13817" t="s">
        <v>2155</v>
      </c>
      <c r="D13817">
        <v>407</v>
      </c>
      <c r="E13817">
        <v>0</v>
      </c>
      <c r="F13817">
        <v>223</v>
      </c>
    </row>
    <row r="13818" spans="1:6" ht="12.75">
      <c r="A13818" s="2">
        <v>43879.000891203701</v>
      </c>
      <c r="B13818" t="str">
        <f>HYPERLINK("https://twitter.com/MonyongPutih","@MonyongPutih")</f>
        <v>@MonyongPutih</v>
      </c>
      <c r="C13818" t="s">
        <v>7151</v>
      </c>
      <c r="D13818">
        <v>0</v>
      </c>
      <c r="E13818">
        <v>0</v>
      </c>
      <c r="F13818">
        <v>42</v>
      </c>
    </row>
    <row r="13819" spans="1:6" ht="12.75">
      <c r="A13819" s="2">
        <v>43879.000833333332</v>
      </c>
      <c r="B13819" t="str">
        <f>HYPERLINK("https://twitter.com/bkuntjoro","@bkuntjoro")</f>
        <v>@bkuntjoro</v>
      </c>
      <c r="C13819" t="s">
        <v>5642</v>
      </c>
      <c r="D13819">
        <v>86</v>
      </c>
      <c r="E13819">
        <v>0</v>
      </c>
      <c r="F13819">
        <v>487</v>
      </c>
    </row>
    <row r="13820" spans="1:6" ht="12.75">
      <c r="A13820" s="2">
        <v>43878.998888888891</v>
      </c>
      <c r="B13820" t="str">
        <f>HYPERLINK("https://twitter.com/Dila50306460","@Dila50306460")</f>
        <v>@Dila50306460</v>
      </c>
      <c r="C13820" t="s">
        <v>4975</v>
      </c>
      <c r="D13820">
        <v>150</v>
      </c>
      <c r="E13820">
        <v>0</v>
      </c>
      <c r="F13820">
        <v>243</v>
      </c>
    </row>
    <row r="13821" spans="1:6" ht="12.75">
      <c r="A13821" s="2">
        <v>43878.998472222222</v>
      </c>
      <c r="B13821" t="str">
        <f>HYPERLINK("https://twitter.com/HasbyYusuf9","@HasbyYusuf9")</f>
        <v>@HasbyYusuf9</v>
      </c>
      <c r="C13821" t="s">
        <v>7152</v>
      </c>
      <c r="D13821">
        <v>33</v>
      </c>
      <c r="E13821">
        <v>0</v>
      </c>
      <c r="F13821">
        <v>132</v>
      </c>
    </row>
    <row r="13822" spans="1:6" ht="12.75">
      <c r="A13822" s="2">
        <v>43878.99836805556</v>
      </c>
      <c r="B13822" t="str">
        <f>HYPERLINK("https://twitter.com/iamMPSR","@iamMPSR")</f>
        <v>@iamMPSR</v>
      </c>
      <c r="C13822" t="s">
        <v>7153</v>
      </c>
      <c r="D13822">
        <v>0</v>
      </c>
      <c r="E13822">
        <v>0</v>
      </c>
      <c r="F13822">
        <v>46</v>
      </c>
    </row>
    <row r="13823" spans="1:6" ht="12.75">
      <c r="A13823" s="2">
        <v>43878.997870370367</v>
      </c>
      <c r="B13823" t="str">
        <f>HYPERLINK("https://twitter.com/realPriGim","@realPriGim")</f>
        <v>@realPriGim</v>
      </c>
      <c r="C13823" t="s">
        <v>5642</v>
      </c>
      <c r="D13823">
        <v>86</v>
      </c>
      <c r="E13823">
        <v>0</v>
      </c>
      <c r="F13823">
        <v>3310</v>
      </c>
    </row>
    <row r="13824" spans="1:6" ht="12.75">
      <c r="A13824" s="2">
        <v>43878.997164351851</v>
      </c>
      <c r="B13824" t="str">
        <f>HYPERLINK("https://twitter.com/kawan_pas","@kawan_pas")</f>
        <v>@kawan_pas</v>
      </c>
      <c r="C13824" t="s">
        <v>4975</v>
      </c>
      <c r="D13824">
        <v>150</v>
      </c>
      <c r="E13824">
        <v>0</v>
      </c>
      <c r="F13824">
        <v>1554</v>
      </c>
    </row>
    <row r="13825" spans="1:6" ht="12.75">
      <c r="A13825" s="2">
        <v>43878.997071759259</v>
      </c>
      <c r="B13825" t="str">
        <f>HYPERLINK("https://twitter.com/puspita_sc","@puspita_sc")</f>
        <v>@puspita_sc</v>
      </c>
      <c r="C13825" t="s">
        <v>6842</v>
      </c>
      <c r="D13825">
        <v>14</v>
      </c>
      <c r="E13825">
        <v>0</v>
      </c>
      <c r="F13825">
        <v>88</v>
      </c>
    </row>
    <row r="13826" spans="1:6" ht="12.75">
      <c r="A13826" s="2">
        <v>43878.997060185182</v>
      </c>
      <c r="B13826" t="str">
        <f>HYPERLINK("https://twitter.com/rezaalfian2017","@rezaalfian2017")</f>
        <v>@rezaalfian2017</v>
      </c>
      <c r="C13826" t="s">
        <v>7154</v>
      </c>
      <c r="D13826">
        <v>58</v>
      </c>
      <c r="E13826">
        <v>0</v>
      </c>
      <c r="F13826">
        <v>1</v>
      </c>
    </row>
    <row r="13827" spans="1:6" ht="12.75">
      <c r="A13827" s="2">
        <v>43878.996678240743</v>
      </c>
      <c r="B13827" t="str">
        <f>HYPERLINK("https://twitter.com/Budi05786049","@Budi05786049")</f>
        <v>@Budi05786049</v>
      </c>
      <c r="C13827" t="s">
        <v>4975</v>
      </c>
      <c r="D13827">
        <v>150</v>
      </c>
      <c r="E13827">
        <v>0</v>
      </c>
      <c r="F13827">
        <v>68</v>
      </c>
    </row>
    <row r="13828" spans="1:6" ht="12.75">
      <c r="A13828" s="2">
        <v>43878.995833333334</v>
      </c>
      <c r="B13828" t="str">
        <f>HYPERLINK("https://twitter.com/Oodhi_tah","@Oodhi_tah")</f>
        <v>@Oodhi_tah</v>
      </c>
      <c r="C13828" t="s">
        <v>5642</v>
      </c>
      <c r="D13828">
        <v>86</v>
      </c>
      <c r="E13828">
        <v>0</v>
      </c>
      <c r="F13828">
        <v>273</v>
      </c>
    </row>
    <row r="13829" spans="1:6" ht="12.75">
      <c r="A13829" s="2">
        <v>43878.994849537034</v>
      </c>
      <c r="B13829" t="str">
        <f>HYPERLINK("https://twitter.com/Dionisius_Bram","@Dionisius_Bram")</f>
        <v>@Dionisius_Bram</v>
      </c>
      <c r="C13829" t="s">
        <v>7155</v>
      </c>
      <c r="D13829">
        <v>0</v>
      </c>
      <c r="E13829">
        <v>0</v>
      </c>
      <c r="F13829">
        <v>70</v>
      </c>
    </row>
    <row r="13830" spans="1:6" ht="12.75">
      <c r="A13830" s="2">
        <v>43878.993275462963</v>
      </c>
      <c r="B13830" t="str">
        <f>HYPERLINK("https://twitter.com/ILHAMMuhilham19","@ILHAMMuhilham19")</f>
        <v>@ILHAMMuhilham19</v>
      </c>
      <c r="C13830" t="s">
        <v>7156</v>
      </c>
      <c r="D13830">
        <v>1</v>
      </c>
      <c r="E13830">
        <v>0</v>
      </c>
      <c r="F13830">
        <v>122</v>
      </c>
    </row>
    <row r="13831" spans="1:6" ht="12.75">
      <c r="A13831" s="2">
        <v>43878.992997685185</v>
      </c>
      <c r="B13831" t="str">
        <f>HYPERLINK("https://twitter.com/Nawat_Adws","@Nawat_Adws")</f>
        <v>@Nawat_Adws</v>
      </c>
      <c r="C13831" t="s">
        <v>6161</v>
      </c>
      <c r="D13831">
        <v>328</v>
      </c>
      <c r="E13831">
        <v>0</v>
      </c>
      <c r="F13831">
        <v>1119</v>
      </c>
    </row>
    <row r="13832" spans="1:6" ht="12.75">
      <c r="A13832" s="2">
        <v>43878.991851851853</v>
      </c>
      <c r="B13832" t="str">
        <f>HYPERLINK("https://twitter.com/maharlikasaja","@maharlikasaja")</f>
        <v>@maharlikasaja</v>
      </c>
      <c r="C13832" t="s">
        <v>3340</v>
      </c>
      <c r="D13832">
        <v>303</v>
      </c>
      <c r="E13832">
        <v>0</v>
      </c>
      <c r="F13832">
        <v>1692</v>
      </c>
    </row>
    <row r="13833" spans="1:6" ht="12.75">
      <c r="A13833" s="2">
        <v>43878.991481481484</v>
      </c>
      <c r="B13833" t="str">
        <f>HYPERLINK("https://twitter.com/wan_kath","@wan_kath")</f>
        <v>@wan_kath</v>
      </c>
      <c r="C13833" t="s">
        <v>2155</v>
      </c>
      <c r="D13833">
        <v>407</v>
      </c>
      <c r="E13833">
        <v>0</v>
      </c>
      <c r="F13833">
        <v>1</v>
      </c>
    </row>
    <row r="13834" spans="1:6" ht="12.75">
      <c r="A13834" s="2">
        <v>43878.991469907407</v>
      </c>
      <c r="B13834" t="str">
        <f>HYPERLINK("https://twitter.com/Farida_Amdarwi","@Farida_Amdarwi")</f>
        <v>@Farida_Amdarwi</v>
      </c>
      <c r="C13834" t="s">
        <v>6721</v>
      </c>
      <c r="D13834">
        <v>377</v>
      </c>
      <c r="E13834">
        <v>0</v>
      </c>
      <c r="F13834">
        <v>207</v>
      </c>
    </row>
    <row r="13835" spans="1:6" ht="12.75">
      <c r="A13835" s="2">
        <v>43878.99119212963</v>
      </c>
      <c r="B13835" t="str">
        <f>HYPERLINK("https://twitter.com/Bayumaruti","@Bayumaruti")</f>
        <v>@Bayumaruti</v>
      </c>
      <c r="C13835" t="s">
        <v>4975</v>
      </c>
      <c r="D13835">
        <v>150</v>
      </c>
      <c r="E13835">
        <v>0</v>
      </c>
      <c r="F13835">
        <v>336</v>
      </c>
    </row>
    <row r="13836" spans="1:6" ht="12.75">
      <c r="A13836" s="2">
        <v>43878.990763888884</v>
      </c>
      <c r="B13836" t="str">
        <f>HYPERLINK("https://twitter.com/Toni_Chelsky","@Toni_Chelsky")</f>
        <v>@Toni_Chelsky</v>
      </c>
      <c r="C13836" t="s">
        <v>2155</v>
      </c>
      <c r="D13836">
        <v>407</v>
      </c>
      <c r="E13836">
        <v>0</v>
      </c>
      <c r="F13836">
        <v>387</v>
      </c>
    </row>
    <row r="13837" spans="1:6" ht="12.75">
      <c r="A13837" s="2">
        <v>43878.988981481481</v>
      </c>
      <c r="B13837" t="str">
        <f>HYPERLINK("https://twitter.com/BucekHerman","@BucekHerman")</f>
        <v>@BucekHerman</v>
      </c>
      <c r="C13837" t="s">
        <v>2155</v>
      </c>
      <c r="D13837">
        <v>407</v>
      </c>
      <c r="E13837">
        <v>0</v>
      </c>
      <c r="F13837">
        <v>1480</v>
      </c>
    </row>
    <row r="13838" spans="1:6" ht="12.75">
      <c r="A13838" s="2">
        <v>43878.988599537042</v>
      </c>
      <c r="B13838" t="str">
        <f>HYPERLINK("https://twitter.com/k305328330","@k305328330")</f>
        <v>@k305328330</v>
      </c>
      <c r="C13838" t="s">
        <v>7157</v>
      </c>
      <c r="D13838">
        <v>86</v>
      </c>
      <c r="E13838">
        <v>0</v>
      </c>
      <c r="F13838">
        <v>883</v>
      </c>
    </row>
    <row r="13839" spans="1:6" ht="12.75">
      <c r="A13839" s="2">
        <v>43878.988391203704</v>
      </c>
      <c r="B13839" t="str">
        <f>HYPERLINK("https://twitter.com/RizmaWidiono","@RizmaWidiono")</f>
        <v>@RizmaWidiono</v>
      </c>
      <c r="C13839" t="s">
        <v>5642</v>
      </c>
      <c r="D13839">
        <v>86</v>
      </c>
      <c r="E13839">
        <v>0</v>
      </c>
      <c r="F13839">
        <v>62409</v>
      </c>
    </row>
    <row r="13840" spans="1:6" ht="12.75">
      <c r="A13840" s="2">
        <v>43878.986724537041</v>
      </c>
      <c r="B13840" t="str">
        <f>HYPERLINK("https://twitter.com/vincentiusharyo","@vincentiusharyo")</f>
        <v>@vincentiusharyo</v>
      </c>
      <c r="C13840" t="s">
        <v>2155</v>
      </c>
      <c r="D13840">
        <v>407</v>
      </c>
      <c r="E13840">
        <v>0</v>
      </c>
      <c r="F13840">
        <v>21</v>
      </c>
    </row>
    <row r="13841" spans="1:6" ht="12.75">
      <c r="A13841" s="2">
        <v>43878.986284722225</v>
      </c>
      <c r="B13841" t="str">
        <f>HYPERLINK("https://twitter.com/suarakuching","@suarakuching")</f>
        <v>@suarakuching</v>
      </c>
      <c r="C13841" t="s">
        <v>3340</v>
      </c>
      <c r="D13841">
        <v>303</v>
      </c>
      <c r="E13841">
        <v>0</v>
      </c>
      <c r="F13841">
        <v>31</v>
      </c>
    </row>
    <row r="13842" spans="1:6" ht="12.75">
      <c r="A13842" s="2">
        <v>43878.986111111109</v>
      </c>
      <c r="B13842" t="str">
        <f>HYPERLINK("https://twitter.com/mediaindonesia","@mediaindonesia")</f>
        <v>@mediaindonesia</v>
      </c>
      <c r="C13842" t="s">
        <v>7158</v>
      </c>
      <c r="D13842">
        <v>1</v>
      </c>
      <c r="E13842">
        <v>1</v>
      </c>
      <c r="F13842">
        <v>1416631</v>
      </c>
    </row>
    <row r="13843" spans="1:6" ht="12.75">
      <c r="A13843" s="2">
        <v>43878.985694444447</v>
      </c>
      <c r="B13843" t="str">
        <f>HYPERLINK("https://twitter.com/Jaewongsingsong","@Jaewongsingsong")</f>
        <v>@Jaewongsingsong</v>
      </c>
      <c r="C13843" t="s">
        <v>6161</v>
      </c>
      <c r="D13843">
        <v>328</v>
      </c>
      <c r="E13843">
        <v>0</v>
      </c>
      <c r="F13843">
        <v>845</v>
      </c>
    </row>
    <row r="13844" spans="1:6" ht="12.75">
      <c r="A13844" s="2">
        <v>43878.984583333338</v>
      </c>
      <c r="B13844" t="str">
        <f>HYPERLINK("https://twitter.com/andisarinahrri","@andisarinahrri")</f>
        <v>@andisarinahrri</v>
      </c>
      <c r="C13844" t="s">
        <v>3525</v>
      </c>
      <c r="D13844">
        <v>6</v>
      </c>
      <c r="E13844">
        <v>0</v>
      </c>
      <c r="F13844">
        <v>3139</v>
      </c>
    </row>
    <row r="13845" spans="1:6" ht="12.75">
      <c r="A13845" s="2">
        <v>43878.983923611115</v>
      </c>
      <c r="B13845" t="str">
        <f>HYPERLINK("https://twitter.com/GrumpyOldMayn","@GrumpyOldMayn")</f>
        <v>@GrumpyOldMayn</v>
      </c>
      <c r="C13845" t="s">
        <v>7159</v>
      </c>
      <c r="D13845">
        <v>0</v>
      </c>
      <c r="E13845">
        <v>0</v>
      </c>
      <c r="F13845">
        <v>30</v>
      </c>
    </row>
    <row r="13846" spans="1:6" ht="12.75">
      <c r="A13846" s="2">
        <v>43878.982627314814</v>
      </c>
      <c r="B13846" t="str">
        <f>HYPERLINK("https://twitter.com/id_aksi","@id_aksi")</f>
        <v>@id_aksi</v>
      </c>
      <c r="C13846" t="s">
        <v>7160</v>
      </c>
      <c r="D13846">
        <v>0</v>
      </c>
      <c r="E13846">
        <v>0</v>
      </c>
      <c r="F13846">
        <v>79</v>
      </c>
    </row>
    <row r="13847" spans="1:6" ht="12.75">
      <c r="A13847" s="2">
        <v>43878.981944444444</v>
      </c>
      <c r="B13847" t="str">
        <f>HYPERLINK("https://twitter.com/encet_ab","@encet_ab")</f>
        <v>@encet_ab</v>
      </c>
      <c r="C13847" t="s">
        <v>7161</v>
      </c>
      <c r="D13847">
        <v>0</v>
      </c>
      <c r="E13847">
        <v>0</v>
      </c>
      <c r="F13847">
        <v>53</v>
      </c>
    </row>
    <row r="13848" spans="1:6" ht="12.75">
      <c r="A13848" s="2">
        <v>43878.981620370367</v>
      </c>
      <c r="B13848" t="str">
        <f>HYPERLINK("https://twitter.com/mancapman","@mancapman")</f>
        <v>@mancapman</v>
      </c>
      <c r="C13848" t="s">
        <v>5642</v>
      </c>
      <c r="D13848">
        <v>86</v>
      </c>
      <c r="E13848">
        <v>0</v>
      </c>
      <c r="F13848">
        <v>129</v>
      </c>
    </row>
    <row r="13849" spans="1:6" ht="12.75">
      <c r="A13849" s="2">
        <v>43878.981574074074</v>
      </c>
      <c r="B13849" t="str">
        <f>HYPERLINK("https://twitter.com/AlisahDw","@AlisahDw")</f>
        <v>@AlisahDw</v>
      </c>
      <c r="C13849" t="s">
        <v>5642</v>
      </c>
      <c r="D13849">
        <v>86</v>
      </c>
      <c r="E13849">
        <v>0</v>
      </c>
      <c r="F13849">
        <v>60</v>
      </c>
    </row>
    <row r="13850" spans="1:6" ht="12.75">
      <c r="A13850" s="2">
        <v>43878.981249999997</v>
      </c>
      <c r="B13850" t="str">
        <f>HYPERLINK("https://twitter.com/Wizqi1","@Wizqi1")</f>
        <v>@Wizqi1</v>
      </c>
      <c r="C13850" t="s">
        <v>5642</v>
      </c>
      <c r="D13850">
        <v>86</v>
      </c>
      <c r="E13850">
        <v>0</v>
      </c>
      <c r="F13850">
        <v>138</v>
      </c>
    </row>
    <row r="13851" spans="1:6" ht="12.75">
      <c r="A13851" s="2">
        <v>43878.980983796297</v>
      </c>
      <c r="B13851" t="str">
        <f>HYPERLINK("https://twitter.com/Riskytama8","@Riskytama8")</f>
        <v>@Riskytama8</v>
      </c>
      <c r="C13851" t="s">
        <v>5642</v>
      </c>
      <c r="D13851">
        <v>86</v>
      </c>
      <c r="E13851">
        <v>0</v>
      </c>
      <c r="F13851">
        <v>22</v>
      </c>
    </row>
    <row r="13852" spans="1:6" ht="12.75">
      <c r="A13852" s="2">
        <v>43878.980902777781</v>
      </c>
      <c r="B13852" t="str">
        <f>HYPERLINK("https://twitter.com/BramantyaNigel","@BramantyaNigel")</f>
        <v>@BramantyaNigel</v>
      </c>
      <c r="C13852" t="s">
        <v>6161</v>
      </c>
      <c r="D13852">
        <v>328</v>
      </c>
      <c r="E13852">
        <v>0</v>
      </c>
      <c r="F13852">
        <v>35</v>
      </c>
    </row>
    <row r="13853" spans="1:6" ht="12.75">
      <c r="A13853" s="2">
        <v>43878.980740740742</v>
      </c>
      <c r="B13853" t="str">
        <f>HYPERLINK("https://twitter.com/putraarimbawaaa","@putraarimbawaaa")</f>
        <v>@putraarimbawaaa</v>
      </c>
      <c r="C13853" t="s">
        <v>6727</v>
      </c>
      <c r="D13853">
        <v>25</v>
      </c>
      <c r="E13853">
        <v>0</v>
      </c>
      <c r="F13853">
        <v>365</v>
      </c>
    </row>
    <row r="13854" spans="1:6" ht="12.75">
      <c r="A13854" s="2">
        <v>43878.980034722219</v>
      </c>
      <c r="B13854" t="str">
        <f>HYPERLINK("https://twitter.com/AzzizzahNur","@AzzizzahNur")</f>
        <v>@AzzizzahNur</v>
      </c>
      <c r="C13854" t="s">
        <v>2155</v>
      </c>
      <c r="D13854">
        <v>407</v>
      </c>
      <c r="E13854">
        <v>0</v>
      </c>
      <c r="F13854">
        <v>2683</v>
      </c>
    </row>
    <row r="13855" spans="1:6" ht="12.75">
      <c r="A13855" s="2">
        <v>43878.979212962964</v>
      </c>
      <c r="B13855" t="str">
        <f>HYPERLINK("https://twitter.com/KontanNews","@KontanNews")</f>
        <v>@KontanNews</v>
      </c>
      <c r="C13855" t="s">
        <v>7162</v>
      </c>
      <c r="D13855">
        <v>0</v>
      </c>
      <c r="E13855">
        <v>1</v>
      </c>
      <c r="F13855">
        <v>316560</v>
      </c>
    </row>
    <row r="13856" spans="1:6" ht="12.75">
      <c r="A13856" s="2">
        <v>43878.97755787037</v>
      </c>
      <c r="B13856" t="str">
        <f>HYPERLINK("https://twitter.com/gachibowli84","@gachibowli84")</f>
        <v>@gachibowli84</v>
      </c>
      <c r="C13856" t="s">
        <v>6236</v>
      </c>
      <c r="D13856">
        <v>49</v>
      </c>
      <c r="E13856">
        <v>0</v>
      </c>
      <c r="F13856">
        <v>155</v>
      </c>
    </row>
    <row r="13857" spans="1:6" ht="12.75">
      <c r="A13857" s="2">
        <v>43878.977280092593</v>
      </c>
      <c r="B13857" t="str">
        <f>HYPERLINK("https://twitter.com/aprilarozi","@aprilarozi")</f>
        <v>@aprilarozi</v>
      </c>
      <c r="C13857" t="s">
        <v>6727</v>
      </c>
      <c r="D13857">
        <v>25</v>
      </c>
      <c r="E13857">
        <v>0</v>
      </c>
      <c r="F13857">
        <v>23</v>
      </c>
    </row>
    <row r="13858" spans="1:6" ht="12.75">
      <c r="A13858" s="2">
        <v>43878.976736111115</v>
      </c>
      <c r="B13858" t="str">
        <f>HYPERLINK("https://twitter.com/otenolan","@otenolan")</f>
        <v>@otenolan</v>
      </c>
      <c r="C13858" t="s">
        <v>7163</v>
      </c>
      <c r="D13858">
        <v>0</v>
      </c>
      <c r="E13858">
        <v>0</v>
      </c>
      <c r="F13858">
        <v>1173</v>
      </c>
    </row>
    <row r="13859" spans="1:6" ht="12.75">
      <c r="A13859" s="2">
        <v>43878.975590277776</v>
      </c>
      <c r="B13859" t="str">
        <f>HYPERLINK("https://twitter.com/PEPETHEFROG012","@PEPETHEFROG012")</f>
        <v>@PEPETHEFROG012</v>
      </c>
      <c r="C13859" t="s">
        <v>7164</v>
      </c>
      <c r="D13859">
        <v>0</v>
      </c>
      <c r="E13859">
        <v>0</v>
      </c>
      <c r="F13859">
        <v>9</v>
      </c>
    </row>
    <row r="13860" spans="1:6" ht="12.75">
      <c r="A13860" s="2">
        <v>43878.974594907406</v>
      </c>
      <c r="B13860" t="str">
        <f>HYPERLINK("https://twitter.com/MichelL02831936","@MichelL02831936")</f>
        <v>@MichelL02831936</v>
      </c>
      <c r="C13860" t="s">
        <v>2155</v>
      </c>
      <c r="D13860">
        <v>407</v>
      </c>
      <c r="E13860">
        <v>0</v>
      </c>
      <c r="F13860">
        <v>2199</v>
      </c>
    </row>
    <row r="13861" spans="1:6" ht="12.75">
      <c r="A13861" s="2">
        <v>43878.973402777774</v>
      </c>
      <c r="B13861" t="str">
        <f>HYPERLINK("https://twitter.com/eskadoobeabeo","@eskadoobeabeo")</f>
        <v>@eskadoobeabeo</v>
      </c>
      <c r="C13861" t="s">
        <v>7165</v>
      </c>
      <c r="D13861">
        <v>0</v>
      </c>
      <c r="E13861">
        <v>0</v>
      </c>
      <c r="F13861">
        <v>112</v>
      </c>
    </row>
    <row r="13862" spans="1:6" ht="12.75">
      <c r="A13862" s="2">
        <v>43878.973182870366</v>
      </c>
      <c r="B13862" t="str">
        <f>HYPERLINK("https://twitter.com/ricardusronald","@ricardusronald")</f>
        <v>@ricardusronald</v>
      </c>
      <c r="C13862" t="s">
        <v>7166</v>
      </c>
      <c r="D13862">
        <v>0</v>
      </c>
      <c r="E13862">
        <v>0</v>
      </c>
      <c r="F13862">
        <v>16</v>
      </c>
    </row>
    <row r="13863" spans="1:6" ht="12.75">
      <c r="A13863" s="2">
        <v>43878.971689814818</v>
      </c>
      <c r="B13863" t="str">
        <f>HYPERLINK("https://twitter.com/irmaZhafSw","@irmaZhafSw")</f>
        <v>@irmaZhafSw</v>
      </c>
      <c r="C13863" t="s">
        <v>6727</v>
      </c>
      <c r="D13863">
        <v>25</v>
      </c>
      <c r="E13863">
        <v>0</v>
      </c>
      <c r="F13863">
        <v>214</v>
      </c>
    </row>
    <row r="13864" spans="1:6" ht="12.75">
      <c r="A13864" s="2">
        <v>43878.970983796295</v>
      </c>
      <c r="B13864" t="str">
        <f>HYPERLINK("https://twitter.com/nicodonagiu","@nicodonagiu")</f>
        <v>@nicodonagiu</v>
      </c>
      <c r="C13864" t="s">
        <v>7167</v>
      </c>
      <c r="D13864">
        <v>1</v>
      </c>
      <c r="E13864">
        <v>0</v>
      </c>
      <c r="F13864">
        <v>97</v>
      </c>
    </row>
    <row r="13865" spans="1:6" ht="12.75">
      <c r="A13865" s="2">
        <v>43878.97074074074</v>
      </c>
      <c r="B13865" t="str">
        <f>HYPERLINK("https://twitter.com/DavidKanata","@DavidKanata")</f>
        <v>@DavidKanata</v>
      </c>
      <c r="C13865" t="s">
        <v>5642</v>
      </c>
      <c r="D13865">
        <v>86</v>
      </c>
      <c r="E13865">
        <v>0</v>
      </c>
      <c r="F13865">
        <v>1001</v>
      </c>
    </row>
    <row r="13866" spans="1:6" ht="12.75">
      <c r="A13866" s="2">
        <v>43878.969976851848</v>
      </c>
      <c r="B13866" t="str">
        <f>HYPERLINK("https://twitter.com/BihongB","@BihongB")</f>
        <v>@BihongB</v>
      </c>
      <c r="C13866" t="s">
        <v>5642</v>
      </c>
      <c r="D13866">
        <v>86</v>
      </c>
      <c r="E13866">
        <v>0</v>
      </c>
      <c r="F13866">
        <v>38</v>
      </c>
    </row>
    <row r="13867" spans="1:6" ht="12.75">
      <c r="A13867" s="2">
        <v>43878.969930555555</v>
      </c>
      <c r="B13867" t="str">
        <f>HYPERLINK("https://twitter.com/RiriJreeng","@RiriJreeng")</f>
        <v>@RiriJreeng</v>
      </c>
      <c r="C13867" t="s">
        <v>5642</v>
      </c>
      <c r="D13867">
        <v>86</v>
      </c>
      <c r="E13867">
        <v>0</v>
      </c>
      <c r="F13867">
        <v>5703</v>
      </c>
    </row>
    <row r="13868" spans="1:6" ht="12.75">
      <c r="A13868" s="2">
        <v>43878.96980324074</v>
      </c>
      <c r="B13868" t="str">
        <f t="shared" ref="B13868:B13869" si="237">HYPERLINK("https://twitter.com/satoutomo28","@satoutomo28")</f>
        <v>@satoutomo28</v>
      </c>
      <c r="C13868" t="s">
        <v>7047</v>
      </c>
      <c r="D13868">
        <v>9</v>
      </c>
      <c r="E13868">
        <v>0</v>
      </c>
      <c r="F13868">
        <v>1232</v>
      </c>
    </row>
    <row r="13869" spans="1:6" ht="12.75">
      <c r="A13869" s="2">
        <v>43878.969548611116</v>
      </c>
      <c r="B13869" t="str">
        <f t="shared" si="237"/>
        <v>@satoutomo28</v>
      </c>
      <c r="C13869" t="s">
        <v>6842</v>
      </c>
      <c r="D13869">
        <v>14</v>
      </c>
      <c r="E13869">
        <v>0</v>
      </c>
      <c r="F13869">
        <v>1232</v>
      </c>
    </row>
    <row r="13870" spans="1:6" ht="12.75">
      <c r="A13870" s="2">
        <v>43878.969525462962</v>
      </c>
      <c r="B13870" t="str">
        <f>HYPERLINK("https://twitter.com/Dewie34292319","@Dewie34292319")</f>
        <v>@Dewie34292319</v>
      </c>
      <c r="C13870" t="s">
        <v>7168</v>
      </c>
      <c r="D13870">
        <v>1</v>
      </c>
      <c r="E13870">
        <v>0</v>
      </c>
      <c r="F13870">
        <v>1688</v>
      </c>
    </row>
    <row r="13871" spans="1:6" ht="12.75">
      <c r="A13871" s="2">
        <v>43878.96943287037</v>
      </c>
      <c r="B13871" t="str">
        <f>HYPERLINK("https://twitter.com/anissavera2","@anissavera2")</f>
        <v>@anissavera2</v>
      </c>
      <c r="C13871" t="s">
        <v>5642</v>
      </c>
      <c r="D13871">
        <v>86</v>
      </c>
      <c r="E13871">
        <v>0</v>
      </c>
      <c r="F13871">
        <v>363</v>
      </c>
    </row>
    <row r="13872" spans="1:6" ht="12.75">
      <c r="A13872" s="2">
        <v>43878.969398148147</v>
      </c>
      <c r="B13872" t="str">
        <f>HYPERLINK("https://twitter.com/ndwusel","@ndwusel")</f>
        <v>@ndwusel</v>
      </c>
      <c r="C13872" t="s">
        <v>3340</v>
      </c>
      <c r="D13872">
        <v>303</v>
      </c>
      <c r="E13872">
        <v>0</v>
      </c>
      <c r="F13872">
        <v>1124</v>
      </c>
    </row>
    <row r="13873" spans="1:6" ht="12.75">
      <c r="A13873" s="2">
        <v>43878.9684837963</v>
      </c>
      <c r="B13873" t="str">
        <f>HYPERLINK("https://twitter.com/_soshibee","@_soshibee")</f>
        <v>@_soshibee</v>
      </c>
      <c r="C13873" t="s">
        <v>5642</v>
      </c>
      <c r="D13873">
        <v>86</v>
      </c>
      <c r="E13873">
        <v>0</v>
      </c>
      <c r="F13873">
        <v>14</v>
      </c>
    </row>
    <row r="13874" spans="1:6" ht="12.75">
      <c r="A13874" s="2">
        <v>43878.96806712963</v>
      </c>
      <c r="B13874" t="str">
        <f>HYPERLINK("https://twitter.com/AulindaFara","@AulindaFara")</f>
        <v>@AulindaFara</v>
      </c>
      <c r="C13874" t="s">
        <v>5642</v>
      </c>
      <c r="D13874">
        <v>86</v>
      </c>
      <c r="E13874">
        <v>0</v>
      </c>
      <c r="F13874">
        <v>225</v>
      </c>
    </row>
    <row r="13875" spans="1:6" ht="12.75">
      <c r="A13875" s="2">
        <v>43878.968055555553</v>
      </c>
      <c r="B13875" t="str">
        <f>HYPERLINK("https://twitter.com/im_Jai10","@im_Jai10")</f>
        <v>@im_Jai10</v>
      </c>
      <c r="C13875" t="s">
        <v>6236</v>
      </c>
      <c r="D13875">
        <v>49</v>
      </c>
      <c r="E13875">
        <v>0</v>
      </c>
      <c r="F13875">
        <v>17</v>
      </c>
    </row>
    <row r="13876" spans="1:6" ht="12.75">
      <c r="A13876" s="2">
        <v>43878.967951388884</v>
      </c>
      <c r="B13876" t="str">
        <f>HYPERLINK("https://twitter.com/go_vrmnt","@go_vrmnt")</f>
        <v>@go_vrmnt</v>
      </c>
      <c r="C13876" t="s">
        <v>6727</v>
      </c>
      <c r="D13876">
        <v>25</v>
      </c>
      <c r="E13876">
        <v>0</v>
      </c>
      <c r="F13876">
        <v>2</v>
      </c>
    </row>
    <row r="13877" spans="1:6" ht="12.75">
      <c r="A13877" s="2">
        <v>43878.967615740738</v>
      </c>
      <c r="B13877" t="str">
        <f>HYPERLINK("https://twitter.com/EP_ED","@EP_ED")</f>
        <v>@EP_ED</v>
      </c>
      <c r="C13877" t="s">
        <v>5642</v>
      </c>
      <c r="D13877">
        <v>86</v>
      </c>
      <c r="E13877">
        <v>0</v>
      </c>
      <c r="F13877">
        <v>424</v>
      </c>
    </row>
    <row r="13878" spans="1:6" ht="12.75">
      <c r="A13878" s="2">
        <v>43878.967465277776</v>
      </c>
      <c r="B13878" t="str">
        <f>HYPERLINK("https://twitter.com/in_hoping","@in_hoping")</f>
        <v>@in_hoping</v>
      </c>
      <c r="C13878" t="s">
        <v>7169</v>
      </c>
      <c r="D13878">
        <v>0</v>
      </c>
      <c r="E13878">
        <v>0</v>
      </c>
      <c r="F13878">
        <v>217</v>
      </c>
    </row>
    <row r="13879" spans="1:6" ht="12.75">
      <c r="A13879" s="2">
        <v>43878.966724537036</v>
      </c>
      <c r="B13879" t="str">
        <f>HYPERLINK("https://twitter.com/Indian57301679","@Indian57301679")</f>
        <v>@Indian57301679</v>
      </c>
      <c r="C13879" t="s">
        <v>7170</v>
      </c>
      <c r="D13879">
        <v>0</v>
      </c>
      <c r="E13879">
        <v>0</v>
      </c>
      <c r="F13879">
        <v>118</v>
      </c>
    </row>
    <row r="13880" spans="1:6" ht="12.75">
      <c r="A13880" s="2">
        <v>43878.96665509259</v>
      </c>
      <c r="B13880" t="str">
        <f>HYPERLINK("https://twitter.com/AdhitKurniawann","@AdhitKurniawann")</f>
        <v>@AdhitKurniawann</v>
      </c>
      <c r="C13880" t="s">
        <v>5642</v>
      </c>
      <c r="D13880">
        <v>86</v>
      </c>
      <c r="E13880">
        <v>0</v>
      </c>
      <c r="F13880">
        <v>305</v>
      </c>
    </row>
    <row r="13881" spans="1:6" ht="12.75">
      <c r="A13881" s="2">
        <v>43878.966539351852</v>
      </c>
      <c r="B13881" t="str">
        <f>HYPERLINK("https://twitter.com/TukangMu","@TukangMu")</f>
        <v>@TukangMu</v>
      </c>
      <c r="C13881" t="s">
        <v>7171</v>
      </c>
      <c r="D13881">
        <v>0</v>
      </c>
      <c r="E13881">
        <v>0</v>
      </c>
      <c r="F13881">
        <v>1011</v>
      </c>
    </row>
    <row r="13882" spans="1:6" ht="12.75">
      <c r="A13882" s="2">
        <v>43878.96601851852</v>
      </c>
      <c r="B13882" t="str">
        <f>HYPERLINK("https://twitter.com/kecoatrbang","@kecoatrbang")</f>
        <v>@kecoatrbang</v>
      </c>
      <c r="C13882" t="s">
        <v>5642</v>
      </c>
      <c r="D13882">
        <v>86</v>
      </c>
      <c r="E13882">
        <v>0</v>
      </c>
      <c r="F13882">
        <v>181</v>
      </c>
    </row>
    <row r="13883" spans="1:6" ht="12.75">
      <c r="A13883" s="2">
        <v>43878.965879629628</v>
      </c>
      <c r="B13883" t="str">
        <f>HYPERLINK("https://twitter.com/MarieskaV","@MarieskaV")</f>
        <v>@MarieskaV</v>
      </c>
      <c r="C13883" t="s">
        <v>7172</v>
      </c>
      <c r="D13883">
        <v>0</v>
      </c>
      <c r="E13883">
        <v>0</v>
      </c>
      <c r="F13883">
        <v>304</v>
      </c>
    </row>
    <row r="13884" spans="1:6" ht="12.75">
      <c r="A13884" s="2">
        <v>43878.965879629628</v>
      </c>
      <c r="B13884" t="str">
        <f>HYPERLINK("https://twitter.com/soffel84103944","@soffel84103944")</f>
        <v>@soffel84103944</v>
      </c>
      <c r="C13884" t="s">
        <v>5642</v>
      </c>
      <c r="D13884">
        <v>86</v>
      </c>
      <c r="E13884">
        <v>0</v>
      </c>
      <c r="F13884">
        <v>479</v>
      </c>
    </row>
    <row r="13885" spans="1:6" ht="12.75">
      <c r="A13885" s="2">
        <v>43878.965509259258</v>
      </c>
      <c r="B13885" t="str">
        <f>HYPERLINK("https://twitter.com/EkkyMuzakir","@EkkyMuzakir")</f>
        <v>@EkkyMuzakir</v>
      </c>
      <c r="C13885" t="s">
        <v>4975</v>
      </c>
      <c r="D13885">
        <v>150</v>
      </c>
      <c r="E13885">
        <v>0</v>
      </c>
      <c r="F13885">
        <v>184</v>
      </c>
    </row>
    <row r="13886" spans="1:6" ht="12.75">
      <c r="A13886" s="2">
        <v>43878.965462962966</v>
      </c>
      <c r="B13886" t="str">
        <f>HYPERLINK("https://twitter.com/bravoR22_","@bravoR22_")</f>
        <v>@bravoR22_</v>
      </c>
      <c r="C13886" t="s">
        <v>5642</v>
      </c>
      <c r="D13886">
        <v>86</v>
      </c>
      <c r="E13886">
        <v>0</v>
      </c>
      <c r="F13886">
        <v>514</v>
      </c>
    </row>
    <row r="13887" spans="1:6" ht="12.75">
      <c r="A13887" s="2">
        <v>43878.965277777781</v>
      </c>
      <c r="B13887" t="str">
        <f>HYPERLINK("https://twitter.com/rizkybayumilano","@rizkybayumilano")</f>
        <v>@rizkybayumilano</v>
      </c>
      <c r="C13887" t="s">
        <v>5642</v>
      </c>
      <c r="D13887">
        <v>86</v>
      </c>
      <c r="E13887">
        <v>0</v>
      </c>
      <c r="F13887">
        <v>531</v>
      </c>
    </row>
    <row r="13888" spans="1:6" ht="12.75">
      <c r="A13888" s="2">
        <v>43878.965243055558</v>
      </c>
      <c r="B13888" t="str">
        <f>HYPERLINK("https://twitter.com/greanthea","@greanthea")</f>
        <v>@greanthea</v>
      </c>
      <c r="C13888" t="s">
        <v>3340</v>
      </c>
      <c r="D13888">
        <v>303</v>
      </c>
      <c r="E13888">
        <v>0</v>
      </c>
      <c r="F13888">
        <v>311</v>
      </c>
    </row>
    <row r="13889" spans="1:6" ht="12.75">
      <c r="A13889" s="2">
        <v>43878.96497685185</v>
      </c>
      <c r="B13889" t="str">
        <f>HYPERLINK("https://twitter.com/BudiRahadian5","@BudiRahadian5")</f>
        <v>@BudiRahadian5</v>
      </c>
      <c r="C13889" t="s">
        <v>7173</v>
      </c>
      <c r="D13889">
        <v>0</v>
      </c>
      <c r="E13889">
        <v>1</v>
      </c>
      <c r="F13889">
        <v>1258</v>
      </c>
    </row>
    <row r="13890" spans="1:6" ht="12.75">
      <c r="A13890" s="2">
        <v>43878.964918981481</v>
      </c>
      <c r="B13890" t="str">
        <f>HYPERLINK("https://twitter.com/imelbox","@imelbox")</f>
        <v>@imelbox</v>
      </c>
      <c r="C13890" t="s">
        <v>7174</v>
      </c>
      <c r="D13890">
        <v>0</v>
      </c>
      <c r="E13890">
        <v>0</v>
      </c>
      <c r="F13890">
        <v>163</v>
      </c>
    </row>
    <row r="13891" spans="1:6" ht="12.75">
      <c r="A13891" s="2">
        <v>43878.964583333334</v>
      </c>
      <c r="B13891" t="str">
        <f>HYPERLINK("https://twitter.com/f24nk1","@f24nk1")</f>
        <v>@f24nk1</v>
      </c>
      <c r="C13891" t="s">
        <v>5642</v>
      </c>
      <c r="D13891">
        <v>86</v>
      </c>
      <c r="E13891">
        <v>0</v>
      </c>
      <c r="F13891">
        <v>1168</v>
      </c>
    </row>
    <row r="13892" spans="1:6" ht="12.75">
      <c r="A13892" s="2">
        <v>43878.964444444442</v>
      </c>
      <c r="B13892" t="str">
        <f>HYPERLINK("https://twitter.com/BenediktusNugro","@BenediktusNugro")</f>
        <v>@BenediktusNugro</v>
      </c>
      <c r="C13892" t="s">
        <v>5642</v>
      </c>
      <c r="D13892">
        <v>86</v>
      </c>
      <c r="E13892">
        <v>0</v>
      </c>
      <c r="F13892">
        <v>224</v>
      </c>
    </row>
    <row r="13893" spans="1:6" ht="12.75">
      <c r="A13893" s="2">
        <v>43878.964328703703</v>
      </c>
      <c r="B13893" t="str">
        <f>HYPERLINK("https://twitter.com/Maznga_jmikel","@Maznga_jmikel")</f>
        <v>@Maznga_jmikel</v>
      </c>
      <c r="C13893" t="s">
        <v>5642</v>
      </c>
      <c r="D13893">
        <v>86</v>
      </c>
      <c r="E13893">
        <v>0</v>
      </c>
      <c r="F13893">
        <v>547</v>
      </c>
    </row>
    <row r="13894" spans="1:6" ht="12.75">
      <c r="A13894" s="2">
        <v>43878.96393518518</v>
      </c>
      <c r="B13894" t="str">
        <f>HYPERLINK("https://twitter.com/NilaKencana8","@NilaKencana8")</f>
        <v>@NilaKencana8</v>
      </c>
      <c r="C13894" t="s">
        <v>7175</v>
      </c>
      <c r="D13894">
        <v>0</v>
      </c>
      <c r="E13894">
        <v>1</v>
      </c>
      <c r="F13894">
        <v>4561</v>
      </c>
    </row>
    <row r="13895" spans="1:6" ht="12.75">
      <c r="A13895" s="2">
        <v>43878.963923611111</v>
      </c>
      <c r="B13895" t="str">
        <f>HYPERLINK("https://twitter.com/BudiRahadian5","@BudiRahadian5")</f>
        <v>@BudiRahadian5</v>
      </c>
      <c r="C13895" t="s">
        <v>6898</v>
      </c>
      <c r="D13895">
        <v>2</v>
      </c>
      <c r="E13895">
        <v>0</v>
      </c>
      <c r="F13895">
        <v>1258</v>
      </c>
    </row>
    <row r="13896" spans="1:6" ht="12.75">
      <c r="A13896" s="2">
        <v>43878.963923611111</v>
      </c>
      <c r="B13896" t="str">
        <f>HYPERLINK("https://twitter.com/bisnisindgroup","@bisnisindgroup")</f>
        <v>@bisnisindgroup</v>
      </c>
      <c r="C13896" t="s">
        <v>7176</v>
      </c>
      <c r="D13896">
        <v>0</v>
      </c>
      <c r="E13896">
        <v>0</v>
      </c>
      <c r="F13896">
        <v>7319</v>
      </c>
    </row>
    <row r="13897" spans="1:6" ht="12.75">
      <c r="A13897" s="2">
        <v>43878.963912037041</v>
      </c>
      <c r="B13897" t="str">
        <f>HYPERLINK("https://twitter.com/heebum92","@heebum92")</f>
        <v>@heebum92</v>
      </c>
      <c r="C13897" t="s">
        <v>5642</v>
      </c>
      <c r="D13897">
        <v>86</v>
      </c>
      <c r="E13897">
        <v>0</v>
      </c>
      <c r="F13897">
        <v>445</v>
      </c>
    </row>
    <row r="13898" spans="1:6" ht="12.75">
      <c r="A13898" s="2">
        <v>43878.963541666672</v>
      </c>
      <c r="B13898" t="str">
        <f>HYPERLINK("https://twitter.com/habibthink","@habibthink")</f>
        <v>@habibthink</v>
      </c>
      <c r="C13898" t="s">
        <v>5642</v>
      </c>
      <c r="D13898">
        <v>86</v>
      </c>
      <c r="E13898">
        <v>0</v>
      </c>
      <c r="F13898">
        <v>179459</v>
      </c>
    </row>
    <row r="13899" spans="1:6" ht="12.75">
      <c r="A13899" s="2">
        <v>43878.963472222225</v>
      </c>
      <c r="B13899" t="str">
        <f>HYPERLINK("https://twitter.com/akuinisiapayaa2","@akuinisiapayaa2")</f>
        <v>@akuinisiapayaa2</v>
      </c>
      <c r="C13899" t="s">
        <v>2155</v>
      </c>
      <c r="D13899">
        <v>407</v>
      </c>
      <c r="E13899">
        <v>0</v>
      </c>
      <c r="F13899">
        <v>20</v>
      </c>
    </row>
    <row r="13900" spans="1:6" ht="12.75">
      <c r="A13900" s="2">
        <v>43878.963206018518</v>
      </c>
      <c r="B13900" t="str">
        <f>HYPERLINK("https://twitter.com/junior_tiry","@junior_tiry")</f>
        <v>@junior_tiry</v>
      </c>
      <c r="C13900" t="s">
        <v>7177</v>
      </c>
      <c r="D13900">
        <v>0</v>
      </c>
      <c r="E13900">
        <v>0</v>
      </c>
      <c r="F13900">
        <v>992</v>
      </c>
    </row>
    <row r="13901" spans="1:6" ht="12.75">
      <c r="A13901" s="2">
        <v>43878.962962962964</v>
      </c>
      <c r="B13901" t="str">
        <f>HYPERLINK("https://twitter.com/sjlnlgl5451","@sjlnlgl5451")</f>
        <v>@sjlnlgl5451</v>
      </c>
      <c r="C13901" t="s">
        <v>3150</v>
      </c>
      <c r="D13901">
        <v>427</v>
      </c>
      <c r="E13901">
        <v>0</v>
      </c>
      <c r="F13901">
        <v>32466</v>
      </c>
    </row>
    <row r="13902" spans="1:6" ht="12.75">
      <c r="A13902" s="2">
        <v>43878.962708333333</v>
      </c>
      <c r="B13902" t="str">
        <f>HYPERLINK("https://twitter.com/messa27831074","@messa27831074")</f>
        <v>@messa27831074</v>
      </c>
      <c r="C13902" t="s">
        <v>4975</v>
      </c>
      <c r="D13902">
        <v>150</v>
      </c>
      <c r="E13902">
        <v>0</v>
      </c>
      <c r="F13902">
        <v>460</v>
      </c>
    </row>
    <row r="13903" spans="1:6" ht="12.75">
      <c r="A13903" s="2">
        <v>43878.962372685186</v>
      </c>
      <c r="B13903" t="str">
        <f>HYPERLINK("https://twitter.com/GainerShelley","@GainerShelley")</f>
        <v>@GainerShelley</v>
      </c>
      <c r="C13903" t="s">
        <v>3150</v>
      </c>
      <c r="D13903">
        <v>427</v>
      </c>
      <c r="E13903">
        <v>0</v>
      </c>
      <c r="F13903">
        <v>387</v>
      </c>
    </row>
    <row r="13904" spans="1:6" ht="12.75">
      <c r="A13904" s="2">
        <v>43878.961747685185</v>
      </c>
      <c r="B13904" t="str">
        <f>HYPERLINK("https://twitter.com/OlaUhUber_Virus","@OlaUhUber_Virus")</f>
        <v>@OlaUhUber_Virus</v>
      </c>
      <c r="C13904" t="s">
        <v>6236</v>
      </c>
      <c r="D13904">
        <v>49</v>
      </c>
      <c r="E13904">
        <v>0</v>
      </c>
      <c r="F13904">
        <v>37</v>
      </c>
    </row>
    <row r="13905" spans="1:6" ht="12.75">
      <c r="A13905" s="2">
        <v>43878.961689814816</v>
      </c>
      <c r="B13905" t="str">
        <f>HYPERLINK("https://twitter.com/Nitizen_Zen","@Nitizen_Zen")</f>
        <v>@Nitizen_Zen</v>
      </c>
      <c r="C13905" t="s">
        <v>6898</v>
      </c>
      <c r="D13905">
        <v>2</v>
      </c>
      <c r="E13905">
        <v>0</v>
      </c>
      <c r="F13905">
        <v>456</v>
      </c>
    </row>
    <row r="13906" spans="1:6" ht="12.75">
      <c r="A13906" s="2">
        <v>43878.961215277777</v>
      </c>
      <c r="B13906" t="str">
        <f>HYPERLINK("https://twitter.com/TegochHadi","@TegochHadi")</f>
        <v>@TegochHadi</v>
      </c>
      <c r="C13906" t="s">
        <v>7047</v>
      </c>
      <c r="D13906">
        <v>9</v>
      </c>
      <c r="E13906">
        <v>0</v>
      </c>
      <c r="F13906">
        <v>144</v>
      </c>
    </row>
    <row r="13907" spans="1:6" ht="12.75">
      <c r="A13907" s="2">
        <v>43878.960914351846</v>
      </c>
      <c r="B13907" t="str">
        <f>HYPERLINK("https://twitter.com/annisarzk20","@annisarzk20")</f>
        <v>@annisarzk20</v>
      </c>
      <c r="C13907" t="s">
        <v>5642</v>
      </c>
      <c r="D13907">
        <v>86</v>
      </c>
      <c r="E13907">
        <v>0</v>
      </c>
      <c r="F13907">
        <v>59</v>
      </c>
    </row>
    <row r="13908" spans="1:6" ht="12.75">
      <c r="A13908" s="2">
        <v>43878.960821759261</v>
      </c>
      <c r="B13908" t="str">
        <f>HYPERLINK("https://twitter.com/mulkibmlo_","@mulkibmlo_")</f>
        <v>@mulkibmlo_</v>
      </c>
      <c r="C13908" t="s">
        <v>4975</v>
      </c>
      <c r="D13908">
        <v>150</v>
      </c>
      <c r="E13908">
        <v>0</v>
      </c>
      <c r="F13908">
        <v>351</v>
      </c>
    </row>
    <row r="13909" spans="1:6" ht="12.75">
      <c r="A13909" s="2">
        <v>43878.959861111114</v>
      </c>
      <c r="B13909" t="str">
        <f>HYPERLINK("https://twitter.com/apaajalahwkwk","@apaajalahwkwk")</f>
        <v>@apaajalahwkwk</v>
      </c>
      <c r="C13909" t="s">
        <v>4975</v>
      </c>
      <c r="D13909">
        <v>142</v>
      </c>
      <c r="E13909">
        <v>0</v>
      </c>
      <c r="F13909">
        <v>21</v>
      </c>
    </row>
    <row r="13910" spans="1:6" ht="12.75">
      <c r="A13910" s="2">
        <v>43878.958703703705</v>
      </c>
      <c r="B13910" t="str">
        <f>HYPERLINK("https://twitter.com/quretaorg","@quretaorg")</f>
        <v>@quretaorg</v>
      </c>
      <c r="C13910" t="s">
        <v>1391</v>
      </c>
      <c r="D13910">
        <v>0</v>
      </c>
      <c r="E13910">
        <v>0</v>
      </c>
      <c r="F13910">
        <v>1483</v>
      </c>
    </row>
    <row r="13911" spans="1:6" ht="12.75">
      <c r="A13911" s="2">
        <v>43878.958414351851</v>
      </c>
      <c r="B13911" t="str">
        <f>HYPERLINK("https://twitter.com/yantaandri","@yantaandri")</f>
        <v>@yantaandri</v>
      </c>
      <c r="C13911" t="s">
        <v>2155</v>
      </c>
      <c r="D13911">
        <v>399</v>
      </c>
      <c r="E13911">
        <v>0</v>
      </c>
      <c r="F13911">
        <v>559</v>
      </c>
    </row>
    <row r="13912" spans="1:6" ht="12.75">
      <c r="A13912" s="2">
        <v>43878.957905092597</v>
      </c>
      <c r="B13912" t="str">
        <f>HYPERLINK("https://twitter.com/pacarmerah1897","@pacarmerah1897")</f>
        <v>@pacarmerah1897</v>
      </c>
      <c r="C13912" t="s">
        <v>4975</v>
      </c>
      <c r="D13912">
        <v>142</v>
      </c>
      <c r="E13912">
        <v>0</v>
      </c>
      <c r="F13912">
        <v>410</v>
      </c>
    </row>
    <row r="13913" spans="1:6" ht="12.75">
      <c r="A13913" s="2">
        <v>43878.95784722222</v>
      </c>
      <c r="B13913" t="str">
        <f>HYPERLINK("https://twitter.com/ChicaMaulana","@ChicaMaulana")</f>
        <v>@ChicaMaulana</v>
      </c>
      <c r="C13913" t="s">
        <v>4975</v>
      </c>
      <c r="D13913">
        <v>142</v>
      </c>
      <c r="E13913">
        <v>0</v>
      </c>
      <c r="F13913">
        <v>222</v>
      </c>
    </row>
    <row r="13914" spans="1:6" ht="12.75">
      <c r="A13914" s="2">
        <v>43878.957071759258</v>
      </c>
      <c r="B13914" t="str">
        <f>HYPERLINK("https://twitter.com/AlyPwng","@AlyPwng")</f>
        <v>@AlyPwng</v>
      </c>
      <c r="C13914" t="s">
        <v>7047</v>
      </c>
      <c r="D13914">
        <v>7</v>
      </c>
      <c r="E13914">
        <v>0</v>
      </c>
      <c r="F13914">
        <v>343</v>
      </c>
    </row>
    <row r="13915" spans="1:6" ht="12.75">
      <c r="A13915" s="2">
        <v>43878.956921296296</v>
      </c>
      <c r="B13915" t="str">
        <f>HYPERLINK("https://twitter.com/ArifSholikhin","@ArifSholikhin")</f>
        <v>@ArifSholikhin</v>
      </c>
      <c r="C13915" t="s">
        <v>5642</v>
      </c>
      <c r="D13915">
        <v>59</v>
      </c>
      <c r="E13915">
        <v>0</v>
      </c>
      <c r="F13915">
        <v>140</v>
      </c>
    </row>
    <row r="13916" spans="1:6" ht="12.75">
      <c r="A13916" s="2">
        <v>43878.95685185185</v>
      </c>
      <c r="B13916" t="str">
        <f>HYPERLINK("https://twitter.com/AlyPwng","@AlyPwng")</f>
        <v>@AlyPwng</v>
      </c>
      <c r="C13916" t="s">
        <v>6842</v>
      </c>
      <c r="D13916">
        <v>12</v>
      </c>
      <c r="E13916">
        <v>0</v>
      </c>
      <c r="F13916">
        <v>343</v>
      </c>
    </row>
    <row r="13917" spans="1:6" ht="12.75">
      <c r="A13917" s="2">
        <v>43878.956331018519</v>
      </c>
      <c r="B13917" t="str">
        <f>HYPERLINK("https://twitter.com/HR_jangkrik","@HR_jangkrik")</f>
        <v>@HR_jangkrik</v>
      </c>
      <c r="C13917" t="s">
        <v>5642</v>
      </c>
      <c r="D13917">
        <v>59</v>
      </c>
      <c r="E13917">
        <v>0</v>
      </c>
      <c r="F13917">
        <v>212</v>
      </c>
    </row>
    <row r="13918" spans="1:6" ht="12.75">
      <c r="A13918" s="2">
        <v>43878.956145833334</v>
      </c>
      <c r="B13918" t="str">
        <f>HYPERLINK("https://twitter.com/butuhorangdalam","@butuhorangdalam")</f>
        <v>@butuhorangdalam</v>
      </c>
      <c r="C13918" t="s">
        <v>6161</v>
      </c>
      <c r="D13918">
        <v>325</v>
      </c>
      <c r="E13918">
        <v>0</v>
      </c>
      <c r="F13918">
        <v>127</v>
      </c>
    </row>
    <row r="13919" spans="1:6" ht="12.75">
      <c r="A13919" s="2">
        <v>43878.955787037034</v>
      </c>
      <c r="B13919" t="str">
        <f>HYPERLINK("https://twitter.com/almasabriina","@almasabriina")</f>
        <v>@almasabriina</v>
      </c>
      <c r="C13919" t="s">
        <v>3340</v>
      </c>
      <c r="D13919">
        <v>298</v>
      </c>
      <c r="E13919">
        <v>0</v>
      </c>
      <c r="F13919">
        <v>283</v>
      </c>
    </row>
    <row r="13920" spans="1:6" ht="12.75">
      <c r="A13920" s="2">
        <v>43878.955648148149</v>
      </c>
      <c r="B13920" t="str">
        <f>HYPERLINK("https://twitter.com/Taieb_Bot","@Taieb_Bot")</f>
        <v>@Taieb_Bot</v>
      </c>
      <c r="C13920" t="s">
        <v>7098</v>
      </c>
      <c r="D13920">
        <v>3</v>
      </c>
      <c r="E13920">
        <v>0</v>
      </c>
      <c r="F13920">
        <v>1382</v>
      </c>
    </row>
    <row r="13921" spans="1:6" ht="12.75">
      <c r="A13921" s="2">
        <v>43878.955601851849</v>
      </c>
      <c r="B13921" t="str">
        <f>HYPERLINK("https://twitter.com/DocPakistan","@DocPakistan")</f>
        <v>@DocPakistan</v>
      </c>
      <c r="C13921" t="s">
        <v>7098</v>
      </c>
      <c r="D13921">
        <v>3</v>
      </c>
      <c r="E13921">
        <v>0</v>
      </c>
      <c r="F13921">
        <v>8529</v>
      </c>
    </row>
    <row r="13922" spans="1:6" ht="12.75">
      <c r="A13922" s="2">
        <v>43878.955162037033</v>
      </c>
      <c r="B13922" t="str">
        <f>HYPERLINK("https://twitter.com/hemaviton99","@hemaviton99")</f>
        <v>@hemaviton99</v>
      </c>
      <c r="C13922" t="s">
        <v>7178</v>
      </c>
      <c r="D13922">
        <v>1</v>
      </c>
      <c r="E13922">
        <v>0</v>
      </c>
      <c r="F13922">
        <v>3978</v>
      </c>
    </row>
    <row r="13923" spans="1:6" ht="12.75">
      <c r="A13923" s="2">
        <v>43878.954942129625</v>
      </c>
      <c r="B13923" t="str">
        <f>HYPERLINK("https://twitter.com/GitanjaliRai3","@GitanjaliRai3")</f>
        <v>@GitanjaliRai3</v>
      </c>
      <c r="C13923" t="s">
        <v>7179</v>
      </c>
      <c r="D13923">
        <v>0</v>
      </c>
      <c r="E13923">
        <v>0</v>
      </c>
      <c r="F13923">
        <v>147</v>
      </c>
    </row>
    <row r="13924" spans="1:6" ht="12.75">
      <c r="A13924" s="2">
        <v>43878.954861111109</v>
      </c>
      <c r="B13924" t="str">
        <f>HYPERLINK("https://twitter.com/NgaritCommunity","@NgaritCommunity")</f>
        <v>@NgaritCommunity</v>
      </c>
      <c r="C13924" t="s">
        <v>7180</v>
      </c>
      <c r="D13924">
        <v>0</v>
      </c>
      <c r="E13924">
        <v>0</v>
      </c>
      <c r="F13924">
        <v>428</v>
      </c>
    </row>
    <row r="13925" spans="1:6" ht="12.75">
      <c r="A13925" s="2">
        <v>43878.954699074078</v>
      </c>
      <c r="B13925" t="str">
        <f>HYPERLINK("https://twitter.com/Jateng_Twit","@Jateng_Twit")</f>
        <v>@Jateng_Twit</v>
      </c>
      <c r="C13925" t="s">
        <v>7181</v>
      </c>
      <c r="D13925">
        <v>0</v>
      </c>
      <c r="E13925">
        <v>2</v>
      </c>
      <c r="F13925">
        <v>6430</v>
      </c>
    </row>
    <row r="13926" spans="1:6" ht="12.75">
      <c r="A13926" s="2">
        <v>43878.954664351855</v>
      </c>
      <c r="B13926" t="str">
        <f>HYPERLINK("https://twitter.com/ladyjyota","@ladyjyota")</f>
        <v>@ladyjyota</v>
      </c>
      <c r="C13926" t="s">
        <v>4321</v>
      </c>
      <c r="D13926">
        <v>16</v>
      </c>
      <c r="E13926">
        <v>0</v>
      </c>
      <c r="F13926">
        <v>70</v>
      </c>
    </row>
    <row r="13927" spans="1:6" ht="12.75">
      <c r="A13927" s="2">
        <v>43878.954629629632</v>
      </c>
      <c r="B13927" t="str">
        <f>HYPERLINK("https://twitter.com/idntimes","@idntimes")</f>
        <v>@idntimes</v>
      </c>
      <c r="C13927" t="s">
        <v>7182</v>
      </c>
      <c r="D13927">
        <v>0</v>
      </c>
      <c r="E13927">
        <v>0</v>
      </c>
      <c r="F13927">
        <v>392914</v>
      </c>
    </row>
    <row r="13928" spans="1:6" ht="12.75">
      <c r="A13928" s="2">
        <v>43878.954548611116</v>
      </c>
      <c r="B13928" t="str">
        <f>HYPERLINK("https://twitter.com/KompasTV","@KompasTV")</f>
        <v>@KompasTV</v>
      </c>
      <c r="C13928" t="s">
        <v>7183</v>
      </c>
      <c r="D13928">
        <v>0</v>
      </c>
      <c r="E13928">
        <v>1</v>
      </c>
      <c r="F13928">
        <v>2943105</v>
      </c>
    </row>
    <row r="13929" spans="1:6" ht="12.75">
      <c r="A13929" s="2">
        <v>43878.954537037032</v>
      </c>
      <c r="B13929" t="str">
        <f>HYPERLINK("https://twitter.com/liputan6dotcom","@liputan6dotcom")</f>
        <v>@liputan6dotcom</v>
      </c>
      <c r="C13929" t="s">
        <v>7184</v>
      </c>
      <c r="D13929">
        <v>0</v>
      </c>
      <c r="E13929">
        <v>3</v>
      </c>
      <c r="F13929">
        <v>3625801</v>
      </c>
    </row>
    <row r="13930" spans="1:6" ht="12.75">
      <c r="A13930" s="2">
        <v>43878.954166666663</v>
      </c>
      <c r="B13930" t="str">
        <f>HYPERLINK("https://twitter.com/imchocobanana","@imchocobanana")</f>
        <v>@imchocobanana</v>
      </c>
      <c r="C13930" t="s">
        <v>7185</v>
      </c>
      <c r="D13930">
        <v>0</v>
      </c>
      <c r="E13930">
        <v>0</v>
      </c>
      <c r="F13930">
        <v>292</v>
      </c>
    </row>
    <row r="13931" spans="1:6" ht="12.75">
      <c r="A13931" s="2">
        <v>43878.954155092593</v>
      </c>
      <c r="B13931" t="str">
        <f>HYPERLINK("https://twitter.com/NandaYudha23","@NandaYudha23")</f>
        <v>@NandaYudha23</v>
      </c>
      <c r="C13931" t="s">
        <v>7186</v>
      </c>
      <c r="D13931">
        <v>0</v>
      </c>
      <c r="E13931">
        <v>0</v>
      </c>
      <c r="F13931">
        <v>1221</v>
      </c>
    </row>
    <row r="13932" spans="1:6" ht="12.75">
      <c r="A13932" s="2">
        <v>43878.95413194444</v>
      </c>
      <c r="B13932" t="str">
        <f>HYPERLINK("https://twitter.com/rajasirait","@rajasirait")</f>
        <v>@rajasirait</v>
      </c>
      <c r="C13932" t="s">
        <v>6721</v>
      </c>
      <c r="D13932">
        <v>375</v>
      </c>
      <c r="E13932">
        <v>0</v>
      </c>
      <c r="F13932">
        <v>511</v>
      </c>
    </row>
    <row r="13933" spans="1:6" ht="12.75">
      <c r="A13933" s="2">
        <v>43878.953831018516</v>
      </c>
      <c r="B13933" t="str">
        <f>HYPERLINK("https://twitter.com/donadonaa","@donadonaa")</f>
        <v>@donadonaa</v>
      </c>
      <c r="C13933" t="s">
        <v>5642</v>
      </c>
      <c r="D13933">
        <v>59</v>
      </c>
      <c r="E13933">
        <v>0</v>
      </c>
      <c r="F13933">
        <v>1128</v>
      </c>
    </row>
    <row r="13934" spans="1:6" ht="12.75">
      <c r="A13934" s="2">
        <v>43878.953541666662</v>
      </c>
      <c r="B13934" t="str">
        <f>HYPERLINK("https://twitter.com/AdrisNafsak","@AdrisNafsak")</f>
        <v>@AdrisNafsak</v>
      </c>
      <c r="C13934" t="s">
        <v>4975</v>
      </c>
      <c r="D13934">
        <v>142</v>
      </c>
      <c r="E13934">
        <v>0</v>
      </c>
      <c r="F13934">
        <v>387</v>
      </c>
    </row>
    <row r="13935" spans="1:6" ht="12.75">
      <c r="A13935" s="2">
        <v>43878.953402777777</v>
      </c>
      <c r="B13935" t="str">
        <f>HYPERLINK("https://twitter.com/dorandae_il","@dorandae_il")</f>
        <v>@dorandae_il</v>
      </c>
      <c r="C13935" t="s">
        <v>7047</v>
      </c>
      <c r="D13935">
        <v>7</v>
      </c>
      <c r="E13935">
        <v>0</v>
      </c>
      <c r="F13935">
        <v>1395</v>
      </c>
    </row>
    <row r="13936" spans="1:6" ht="12.75">
      <c r="A13936" s="2">
        <v>43878.952233796299</v>
      </c>
      <c r="B13936" t="str">
        <f>HYPERLINK("https://twitter.com/BadeiroP","@BadeiroP")</f>
        <v>@BadeiroP</v>
      </c>
      <c r="C13936" t="s">
        <v>7187</v>
      </c>
      <c r="D13936">
        <v>0</v>
      </c>
      <c r="E13936">
        <v>0</v>
      </c>
      <c r="F13936">
        <v>41</v>
      </c>
    </row>
    <row r="13937" spans="1:6" ht="12.75">
      <c r="A13937" s="2">
        <v>43878.952141203699</v>
      </c>
      <c r="B13937" t="str">
        <f>HYPERLINK("https://twitter.com/nannayraa","@nannayraa")</f>
        <v>@nannayraa</v>
      </c>
      <c r="C13937" t="s">
        <v>7047</v>
      </c>
      <c r="D13937">
        <v>7</v>
      </c>
      <c r="E13937">
        <v>0</v>
      </c>
      <c r="F13937">
        <v>1516</v>
      </c>
    </row>
    <row r="13938" spans="1:6" ht="12.75">
      <c r="A13938" s="2">
        <v>43878.951666666668</v>
      </c>
      <c r="B13938" t="str">
        <f>HYPERLINK("https://twitter.com/pramuhdita","@pramuhdita")</f>
        <v>@pramuhdita</v>
      </c>
      <c r="C13938" t="s">
        <v>6842</v>
      </c>
      <c r="D13938">
        <v>12</v>
      </c>
      <c r="E13938">
        <v>0</v>
      </c>
      <c r="F13938">
        <v>612</v>
      </c>
    </row>
    <row r="13939" spans="1:6" ht="12.75">
      <c r="A13939" s="2">
        <v>43878.951620370368</v>
      </c>
      <c r="B13939" t="str">
        <f>HYPERLINK("https://twitter.com/mateusmmauk","@mateusmmauk")</f>
        <v>@mateusmmauk</v>
      </c>
      <c r="C13939" t="s">
        <v>7188</v>
      </c>
      <c r="D13939">
        <v>0</v>
      </c>
      <c r="E13939">
        <v>0</v>
      </c>
      <c r="F13939">
        <v>3</v>
      </c>
    </row>
    <row r="13940" spans="1:6" ht="12.75">
      <c r="A13940" s="2">
        <v>43878.951608796298</v>
      </c>
      <c r="B13940" t="str">
        <f>HYPERLINK("https://twitter.com/Jateng_Twit","@Jateng_Twit")</f>
        <v>@Jateng_Twit</v>
      </c>
      <c r="C13940" t="s">
        <v>7189</v>
      </c>
      <c r="D13940">
        <v>0</v>
      </c>
      <c r="E13940">
        <v>2</v>
      </c>
      <c r="F13940">
        <v>6430</v>
      </c>
    </row>
    <row r="13941" spans="1:6" ht="12.75">
      <c r="A13941" s="2">
        <v>43878.951226851852</v>
      </c>
      <c r="B13941" t="str">
        <f>HYPERLINK("https://twitter.com/hondadoto","@hondadoto")</f>
        <v>@hondadoto</v>
      </c>
      <c r="C13941" t="s">
        <v>7190</v>
      </c>
      <c r="D13941">
        <v>0</v>
      </c>
      <c r="E13941">
        <v>0</v>
      </c>
      <c r="F13941">
        <v>15</v>
      </c>
    </row>
    <row r="13942" spans="1:6" ht="12.75">
      <c r="A13942" s="2">
        <v>43878.951226851852</v>
      </c>
      <c r="B13942" t="str">
        <f>HYPERLINK("https://twitter.com/herbert_betet","@herbert_betet")</f>
        <v>@herbert_betet</v>
      </c>
      <c r="C13942" t="s">
        <v>5642</v>
      </c>
      <c r="D13942">
        <v>59</v>
      </c>
      <c r="E13942">
        <v>0</v>
      </c>
      <c r="F13942">
        <v>540</v>
      </c>
    </row>
    <row r="13943" spans="1:6" ht="12.75">
      <c r="A13943" s="2">
        <v>43878.951099537036</v>
      </c>
      <c r="B13943" t="str">
        <f>HYPERLINK("https://twitter.com/lionintheTable_","@lionintheTable_")</f>
        <v>@lionintheTable_</v>
      </c>
      <c r="C13943" t="s">
        <v>7191</v>
      </c>
      <c r="D13943">
        <v>0</v>
      </c>
      <c r="E13943">
        <v>0</v>
      </c>
      <c r="F13943">
        <v>3</v>
      </c>
    </row>
    <row r="13944" spans="1:6" ht="12.75">
      <c r="A13944" s="2">
        <v>43878.951053240744</v>
      </c>
      <c r="B13944" t="str">
        <f>HYPERLINK("https://twitter.com/AryaWBPinatih47","@AryaWBPinatih47")</f>
        <v>@AryaWBPinatih47</v>
      </c>
      <c r="C13944" t="s">
        <v>6721</v>
      </c>
      <c r="D13944">
        <v>375</v>
      </c>
      <c r="E13944">
        <v>0</v>
      </c>
      <c r="F13944">
        <v>2322</v>
      </c>
    </row>
    <row r="13945" spans="1:6" ht="12.75">
      <c r="A13945" s="2">
        <v>43878.950949074075</v>
      </c>
      <c r="B13945" t="str">
        <f>HYPERLINK("https://twitter.com/republikwakboy","@republikwakboy")</f>
        <v>@republikwakboy</v>
      </c>
      <c r="C13945" t="s">
        <v>7192</v>
      </c>
      <c r="D13945">
        <v>0</v>
      </c>
      <c r="E13945">
        <v>0</v>
      </c>
      <c r="F13945">
        <v>114</v>
      </c>
    </row>
    <row r="13946" spans="1:6" ht="12.75">
      <c r="A13946" s="2">
        <v>43878.950613425928</v>
      </c>
      <c r="B13946" t="str">
        <f>HYPERLINK("https://twitter.com/adulsiliwangi19","@adulsiliwangi19")</f>
        <v>@adulsiliwangi19</v>
      </c>
      <c r="C13946" t="s">
        <v>4975</v>
      </c>
      <c r="D13946">
        <v>142</v>
      </c>
      <c r="E13946">
        <v>0</v>
      </c>
      <c r="F13946">
        <v>66</v>
      </c>
    </row>
    <row r="13947" spans="1:6" ht="12.75">
      <c r="A13947" s="2">
        <v>43878.950474537036</v>
      </c>
      <c r="B13947" t="str">
        <f>HYPERLINK("https://twitter.com/swandywidjaja06","@swandywidjaja06")</f>
        <v>@swandywidjaja06</v>
      </c>
      <c r="C13947" t="s">
        <v>5642</v>
      </c>
      <c r="D13947">
        <v>59</v>
      </c>
      <c r="E13947">
        <v>0</v>
      </c>
      <c r="F13947">
        <v>242</v>
      </c>
    </row>
    <row r="13948" spans="1:6" ht="12.75">
      <c r="A13948" s="2">
        <v>43878.950196759259</v>
      </c>
      <c r="B13948" t="str">
        <f>HYPERLINK("https://twitter.com/R_dwi_mulyadi","@R_dwi_mulyadi")</f>
        <v>@R_dwi_mulyadi</v>
      </c>
      <c r="C13948" t="s">
        <v>7193</v>
      </c>
      <c r="D13948">
        <v>2</v>
      </c>
      <c r="E13948">
        <v>0</v>
      </c>
      <c r="F13948">
        <v>125</v>
      </c>
    </row>
    <row r="13949" spans="1:6" ht="12.75">
      <c r="A13949" s="2">
        <v>43878.95012731482</v>
      </c>
      <c r="B13949" t="str">
        <f>HYPERLINK("https://twitter.com/MellianaKDewi","@MellianaKDewi")</f>
        <v>@MellianaKDewi</v>
      </c>
      <c r="C13949" t="s">
        <v>3340</v>
      </c>
      <c r="D13949">
        <v>298</v>
      </c>
      <c r="E13949">
        <v>0</v>
      </c>
      <c r="F13949">
        <v>416</v>
      </c>
    </row>
    <row r="13950" spans="1:6" ht="12.75">
      <c r="A13950" s="2">
        <v>43878.949756944443</v>
      </c>
      <c r="B13950" t="str">
        <f>HYPERLINK("https://twitter.com/TJumiat","@TJumiat")</f>
        <v>@TJumiat</v>
      </c>
      <c r="C13950" t="s">
        <v>6161</v>
      </c>
      <c r="D13950">
        <v>325</v>
      </c>
      <c r="E13950">
        <v>0</v>
      </c>
      <c r="F13950">
        <v>153</v>
      </c>
    </row>
    <row r="13951" spans="1:6" ht="12.75">
      <c r="A13951" s="2">
        <v>43878.949456018519</v>
      </c>
      <c r="B13951" t="str">
        <f>HYPERLINK("https://twitter.com/ISIS_Balik_NO","@ISIS_Balik_NO")</f>
        <v>@ISIS_Balik_NO</v>
      </c>
      <c r="C13951" t="s">
        <v>7194</v>
      </c>
      <c r="D13951">
        <v>0</v>
      </c>
      <c r="E13951">
        <v>0</v>
      </c>
      <c r="F13951">
        <v>5994</v>
      </c>
    </row>
    <row r="13952" spans="1:6" ht="12.75">
      <c r="A13952" s="2">
        <v>43878.94930555555</v>
      </c>
      <c r="B13952" t="str">
        <f>HYPERLINK("https://twitter.com/02fc71ba00c2451","@02fc71ba00c2451")</f>
        <v>@02fc71ba00c2451</v>
      </c>
      <c r="C13952" t="s">
        <v>7195</v>
      </c>
      <c r="D13952">
        <v>25</v>
      </c>
      <c r="E13952">
        <v>0</v>
      </c>
      <c r="F13952">
        <v>409</v>
      </c>
    </row>
    <row r="13953" spans="1:6" ht="12.75">
      <c r="A13953" s="2">
        <v>43878.949212962965</v>
      </c>
      <c r="B13953" t="str">
        <f>HYPERLINK("https://twitter.com/retnokristiany","@retnokristiany")</f>
        <v>@retnokristiany</v>
      </c>
      <c r="C13953" t="s">
        <v>5642</v>
      </c>
      <c r="D13953">
        <v>59</v>
      </c>
      <c r="E13953">
        <v>0</v>
      </c>
      <c r="F13953">
        <v>248</v>
      </c>
    </row>
    <row r="13954" spans="1:6" ht="12.75">
      <c r="A13954" s="2">
        <v>43878.94902777778</v>
      </c>
      <c r="B13954" t="str">
        <f>HYPERLINK("https://twitter.com/adarmawan01","@adarmawan01")</f>
        <v>@adarmawan01</v>
      </c>
      <c r="C13954" t="s">
        <v>7196</v>
      </c>
      <c r="D13954">
        <v>1</v>
      </c>
      <c r="E13954">
        <v>0</v>
      </c>
      <c r="F13954">
        <v>47</v>
      </c>
    </row>
    <row r="13955" spans="1:6" ht="12.75">
      <c r="A13955" s="2">
        <v>43878.948958333334</v>
      </c>
      <c r="B13955" t="str">
        <f>HYPERLINK("https://twitter.com/jeuceri","@jeuceri")</f>
        <v>@jeuceri</v>
      </c>
      <c r="C13955" t="s">
        <v>6842</v>
      </c>
      <c r="D13955">
        <v>12</v>
      </c>
      <c r="E13955">
        <v>0</v>
      </c>
      <c r="F13955">
        <v>1173</v>
      </c>
    </row>
    <row r="13956" spans="1:6" ht="12.75">
      <c r="A13956" s="2">
        <v>43878.948796296296</v>
      </c>
      <c r="B13956" t="str">
        <f>HYPERLINK("https://twitter.com/jfanadi","@jfanadi")</f>
        <v>@jfanadi</v>
      </c>
      <c r="C13956" t="s">
        <v>2155</v>
      </c>
      <c r="D13956">
        <v>399</v>
      </c>
      <c r="E13956">
        <v>0</v>
      </c>
      <c r="F13956">
        <v>22</v>
      </c>
    </row>
    <row r="13957" spans="1:6" ht="12.75">
      <c r="A13957" s="2">
        <v>43878.948784722219</v>
      </c>
      <c r="B13957" t="str">
        <f>HYPERLINK("https://twitter.com/kamusepertitaii","@kamusepertitaii")</f>
        <v>@kamusepertitaii</v>
      </c>
      <c r="C13957" t="s">
        <v>6842</v>
      </c>
      <c r="D13957">
        <v>12</v>
      </c>
      <c r="E13957">
        <v>0</v>
      </c>
      <c r="F13957">
        <v>7</v>
      </c>
    </row>
    <row r="13958" spans="1:6" ht="12.75">
      <c r="A13958" s="2">
        <v>43878.948576388888</v>
      </c>
      <c r="B13958" t="str">
        <f>HYPERLINK("https://twitter.com/ratnoksp1","@ratnoksp1")</f>
        <v>@ratnoksp1</v>
      </c>
      <c r="C13958" t="s">
        <v>7047</v>
      </c>
      <c r="D13958">
        <v>7</v>
      </c>
      <c r="E13958">
        <v>0</v>
      </c>
      <c r="F13958">
        <v>223</v>
      </c>
    </row>
    <row r="13959" spans="1:6" ht="12.75">
      <c r="A13959" s="2">
        <v>43878.948437500003</v>
      </c>
      <c r="B13959" t="str">
        <f>HYPERLINK("https://twitter.com/Ramayan63810275","@Ramayan63810275")</f>
        <v>@Ramayan63810275</v>
      </c>
      <c r="C13959" t="s">
        <v>6842</v>
      </c>
      <c r="D13959">
        <v>12</v>
      </c>
      <c r="E13959">
        <v>0</v>
      </c>
      <c r="F13959">
        <v>1709</v>
      </c>
    </row>
    <row r="13960" spans="1:6" ht="12.75">
      <c r="A13960" s="2">
        <v>43878.948229166665</v>
      </c>
      <c r="B13960" t="str">
        <f>HYPERLINK("https://twitter.com/Dianhandoko6","@Dianhandoko6")</f>
        <v>@Dianhandoko6</v>
      </c>
      <c r="C13960" t="s">
        <v>7195</v>
      </c>
      <c r="D13960">
        <v>25</v>
      </c>
      <c r="E13960">
        <v>0</v>
      </c>
      <c r="F13960">
        <v>683</v>
      </c>
    </row>
    <row r="13961" spans="1:6" ht="12.75">
      <c r="A13961" s="2">
        <v>43878.948148148149</v>
      </c>
      <c r="B13961" t="str">
        <f>HYPERLINK("https://twitter.com/hdwikora","@hdwikora")</f>
        <v>@hdwikora</v>
      </c>
      <c r="C13961" t="s">
        <v>7197</v>
      </c>
      <c r="D13961">
        <v>0</v>
      </c>
      <c r="E13961">
        <v>0</v>
      </c>
      <c r="F13961">
        <v>518</v>
      </c>
    </row>
    <row r="13962" spans="1:6" ht="12.75">
      <c r="A13962" s="2">
        <v>43878.948101851856</v>
      </c>
      <c r="B13962" t="str">
        <f>HYPERLINK("https://twitter.com/kaisarpart","@kaisarpart")</f>
        <v>@kaisarpart</v>
      </c>
      <c r="C13962" t="s">
        <v>6727</v>
      </c>
      <c r="D13962">
        <v>20</v>
      </c>
      <c r="E13962">
        <v>0</v>
      </c>
      <c r="F13962">
        <v>544</v>
      </c>
    </row>
    <row r="13963" spans="1:6" ht="12.75">
      <c r="A13963" s="2">
        <v>43878.947777777779</v>
      </c>
      <c r="B13963" t="str">
        <f>HYPERLINK("https://twitter.com/prashantsach17","@prashantsach17")</f>
        <v>@prashantsach17</v>
      </c>
      <c r="C13963" t="s">
        <v>7198</v>
      </c>
      <c r="D13963">
        <v>0</v>
      </c>
      <c r="E13963">
        <v>0</v>
      </c>
      <c r="F13963">
        <v>35</v>
      </c>
    </row>
    <row r="13964" spans="1:6" ht="12.75">
      <c r="A13964" s="2">
        <v>43878.947662037041</v>
      </c>
      <c r="B13964" t="str">
        <f>HYPERLINK("https://twitter.com/HuergaIsis","@HuergaIsis")</f>
        <v>@HuergaIsis</v>
      </c>
      <c r="C13964" t="s">
        <v>7199</v>
      </c>
      <c r="D13964">
        <v>0</v>
      </c>
      <c r="E13964">
        <v>1</v>
      </c>
      <c r="F13964">
        <v>76</v>
      </c>
    </row>
    <row r="13965" spans="1:6" ht="12.75">
      <c r="A13965" s="2">
        <v>43878.947615740741</v>
      </c>
      <c r="B13965" t="str">
        <f t="shared" ref="B13965:B13966" si="238">HYPERLINK("https://twitter.com/C_AjiMahameru52","@C_AjiMahameru52")</f>
        <v>@C_AjiMahameru52</v>
      </c>
      <c r="C13965" t="s">
        <v>7047</v>
      </c>
      <c r="D13965">
        <v>7</v>
      </c>
      <c r="E13965">
        <v>0</v>
      </c>
      <c r="F13965">
        <v>3053</v>
      </c>
    </row>
    <row r="13966" spans="1:6" ht="12.75">
      <c r="A13966" s="2">
        <v>43878.947523148148</v>
      </c>
      <c r="B13966" t="str">
        <f t="shared" si="238"/>
        <v>@C_AjiMahameru52</v>
      </c>
      <c r="C13966" t="s">
        <v>6842</v>
      </c>
      <c r="D13966">
        <v>12</v>
      </c>
      <c r="E13966">
        <v>0</v>
      </c>
      <c r="F13966">
        <v>3053</v>
      </c>
    </row>
    <row r="13967" spans="1:6" ht="12.75">
      <c r="A13967" s="2">
        <v>43878.947465277779</v>
      </c>
      <c r="B13967" t="str">
        <f>HYPERLINK("https://twitter.com/bimatm1","@bimatm1")</f>
        <v>@bimatm1</v>
      </c>
      <c r="C13967" t="s">
        <v>5642</v>
      </c>
      <c r="D13967">
        <v>59</v>
      </c>
      <c r="E13967">
        <v>0</v>
      </c>
      <c r="F13967">
        <v>4291</v>
      </c>
    </row>
    <row r="13968" spans="1:6" ht="12.75">
      <c r="A13968" s="2">
        <v>43878.947442129633</v>
      </c>
      <c r="B13968" t="str">
        <f t="shared" ref="B13968:B13969" si="239">HYPERLINK("https://twitter.com/ganjarpranowo","@ganjarpranowo")</f>
        <v>@ganjarpranowo</v>
      </c>
      <c r="C13968" t="s">
        <v>7047</v>
      </c>
      <c r="D13968">
        <v>7</v>
      </c>
      <c r="E13968">
        <v>0</v>
      </c>
      <c r="F13968">
        <v>1380511</v>
      </c>
    </row>
    <row r="13969" spans="1:6" ht="12.75">
      <c r="A13969" s="2">
        <v>43878.947384259256</v>
      </c>
      <c r="B13969" t="str">
        <f t="shared" si="239"/>
        <v>@ganjarpranowo</v>
      </c>
      <c r="C13969" t="s">
        <v>6842</v>
      </c>
      <c r="D13969">
        <v>12</v>
      </c>
      <c r="E13969">
        <v>0</v>
      </c>
      <c r="F13969">
        <v>1380511</v>
      </c>
    </row>
    <row r="13970" spans="1:6" ht="12.75">
      <c r="A13970" s="2">
        <v>43878.94736111111</v>
      </c>
      <c r="B13970" t="str">
        <f>HYPERLINK("https://twitter.com/DhievaQ","@DhievaQ")</f>
        <v>@DhievaQ</v>
      </c>
      <c r="C13970" t="s">
        <v>7200</v>
      </c>
      <c r="D13970">
        <v>0</v>
      </c>
      <c r="E13970">
        <v>1</v>
      </c>
      <c r="F13970">
        <v>63</v>
      </c>
    </row>
    <row r="13971" spans="1:6" ht="12.75">
      <c r="A13971" s="2">
        <v>43878.947094907402</v>
      </c>
      <c r="B13971" t="str">
        <f>HYPERLINK("https://twitter.com/lembaranbaroe","@lembaranbaroe")</f>
        <v>@lembaranbaroe</v>
      </c>
      <c r="C13971" t="s">
        <v>7201</v>
      </c>
      <c r="D13971">
        <v>0</v>
      </c>
      <c r="E13971">
        <v>0</v>
      </c>
      <c r="F13971">
        <v>3723</v>
      </c>
    </row>
    <row r="13972" spans="1:6" ht="12.75">
      <c r="A13972" s="2">
        <v>43878.946805555555</v>
      </c>
      <c r="B13972" t="str">
        <f>HYPERLINK("https://twitter.com/radio_kotabatik","@radio_kotabatik")</f>
        <v>@radio_kotabatik</v>
      </c>
      <c r="C13972" t="s">
        <v>5642</v>
      </c>
      <c r="D13972">
        <v>59</v>
      </c>
      <c r="E13972">
        <v>0</v>
      </c>
      <c r="F13972">
        <v>5191</v>
      </c>
    </row>
    <row r="13973" spans="1:6" ht="12.75">
      <c r="A13973" s="2">
        <v>43878.946759259255</v>
      </c>
      <c r="B13973" t="str">
        <f>HYPERLINK("https://twitter.com/utopia212219","@utopia212219")</f>
        <v>@utopia212219</v>
      </c>
      <c r="C13973" t="s">
        <v>7202</v>
      </c>
      <c r="D13973">
        <v>0</v>
      </c>
      <c r="E13973">
        <v>1</v>
      </c>
      <c r="F13973">
        <v>3211</v>
      </c>
    </row>
    <row r="13974" spans="1:6" ht="12.75">
      <c r="A13974" s="2">
        <v>43878.946724537032</v>
      </c>
      <c r="B13974" t="str">
        <f>HYPERLINK("https://twitter.com/RadifAbrar","@RadifAbrar")</f>
        <v>@RadifAbrar</v>
      </c>
      <c r="C13974" t="s">
        <v>7203</v>
      </c>
      <c r="D13974">
        <v>0</v>
      </c>
      <c r="E13974">
        <v>0</v>
      </c>
      <c r="F13974">
        <v>554</v>
      </c>
    </row>
    <row r="13975" spans="1:6" ht="12.75">
      <c r="A13975" s="2">
        <v>43878.946400462963</v>
      </c>
      <c r="B13975" t="str">
        <f>HYPERLINK("https://twitter.com/rioisrianto","@rioisrianto")</f>
        <v>@rioisrianto</v>
      </c>
      <c r="C13975" t="s">
        <v>5642</v>
      </c>
      <c r="D13975">
        <v>59</v>
      </c>
      <c r="E13975">
        <v>0</v>
      </c>
      <c r="F13975">
        <v>36</v>
      </c>
    </row>
    <row r="13976" spans="1:6" ht="12.75">
      <c r="A13976" s="2">
        <v>43878.946226851855</v>
      </c>
      <c r="B13976" t="str">
        <f>HYPERLINK("https://twitter.com/viyantiz","@viyantiz")</f>
        <v>@viyantiz</v>
      </c>
      <c r="C13976" t="s">
        <v>3340</v>
      </c>
      <c r="D13976">
        <v>298</v>
      </c>
      <c r="E13976">
        <v>0</v>
      </c>
      <c r="F13976">
        <v>168</v>
      </c>
    </row>
    <row r="13977" spans="1:6" ht="12.75">
      <c r="A13977" s="2">
        <v>43878.945891203708</v>
      </c>
      <c r="B13977" t="str">
        <f>HYPERLINK("https://twitter.com/Andika_pmp","@Andika_pmp")</f>
        <v>@Andika_pmp</v>
      </c>
      <c r="C13977" t="s">
        <v>5642</v>
      </c>
      <c r="D13977">
        <v>59</v>
      </c>
      <c r="E13977">
        <v>0</v>
      </c>
      <c r="F13977">
        <v>113</v>
      </c>
    </row>
    <row r="13978" spans="1:6" ht="12.75">
      <c r="A13978" s="2">
        <v>43878.945219907408</v>
      </c>
      <c r="B13978" t="str">
        <f>HYPERLINK("https://twitter.com/Jemingggg","@Jemingggg")</f>
        <v>@Jemingggg</v>
      </c>
      <c r="C13978" t="s">
        <v>3340</v>
      </c>
      <c r="D13978">
        <v>298</v>
      </c>
      <c r="E13978">
        <v>0</v>
      </c>
      <c r="F13978">
        <v>426</v>
      </c>
    </row>
    <row r="13979" spans="1:6" ht="12.75">
      <c r="A13979" s="2">
        <v>43878.945162037038</v>
      </c>
      <c r="B13979" t="str">
        <f>HYPERLINK("https://twitter.com/bagaspatifor","@bagaspatifor")</f>
        <v>@bagaspatifor</v>
      </c>
      <c r="C13979" t="s">
        <v>7201</v>
      </c>
      <c r="D13979">
        <v>0</v>
      </c>
      <c r="E13979">
        <v>0</v>
      </c>
      <c r="F13979">
        <v>3</v>
      </c>
    </row>
    <row r="13980" spans="1:6" ht="12.75">
      <c r="A13980" s="2">
        <v>43878.945150462961</v>
      </c>
      <c r="B13980" t="str">
        <f>HYPERLINK("https://twitter.com/pakaitelur_yn","@pakaitelur_yn")</f>
        <v>@pakaitelur_yn</v>
      </c>
      <c r="C13980" t="s">
        <v>5642</v>
      </c>
      <c r="D13980">
        <v>59</v>
      </c>
      <c r="E13980">
        <v>0</v>
      </c>
      <c r="F13980">
        <v>5971</v>
      </c>
    </row>
    <row r="13981" spans="1:6" ht="12.75">
      <c r="A13981" s="2">
        <v>43878.945115740746</v>
      </c>
      <c r="B13981" t="str">
        <f>HYPERLINK("https://twitter.com/Yopiebudiiskan1","@Yopiebudiiskan1")</f>
        <v>@Yopiebudiiskan1</v>
      </c>
      <c r="C13981" t="s">
        <v>4975</v>
      </c>
      <c r="D13981">
        <v>142</v>
      </c>
      <c r="E13981">
        <v>0</v>
      </c>
      <c r="F13981">
        <v>29</v>
      </c>
    </row>
    <row r="13982" spans="1:6" ht="12.75">
      <c r="A13982" s="2">
        <v>43878.944814814815</v>
      </c>
      <c r="B13982" t="str">
        <f>HYPERLINK("https://twitter.com/Harian_Jogja","@Harian_Jogja")</f>
        <v>@Harian_Jogja</v>
      </c>
      <c r="C13982" t="s">
        <v>6086</v>
      </c>
      <c r="D13982">
        <v>0</v>
      </c>
      <c r="E13982">
        <v>1</v>
      </c>
      <c r="F13982">
        <v>153478</v>
      </c>
    </row>
    <row r="13983" spans="1:6" ht="12.75">
      <c r="A13983" s="2">
        <v>43878.944803240738</v>
      </c>
      <c r="B13983" t="str">
        <f>HYPERLINK("https://twitter.com/not_kirei","@not_kirei")</f>
        <v>@not_kirei</v>
      </c>
      <c r="C13983" t="s">
        <v>5642</v>
      </c>
      <c r="D13983">
        <v>59</v>
      </c>
      <c r="E13983">
        <v>0</v>
      </c>
      <c r="F13983">
        <v>2700</v>
      </c>
    </row>
    <row r="13984" spans="1:6" ht="12.75">
      <c r="A13984" s="2">
        <v>43878.944490740745</v>
      </c>
      <c r="B13984" t="str">
        <f>HYPERLINK("https://twitter.com/JKyyaaaa","@JKyyaaaa")</f>
        <v>@JKyyaaaa</v>
      </c>
      <c r="C13984" t="s">
        <v>3340</v>
      </c>
      <c r="D13984">
        <v>298</v>
      </c>
      <c r="E13984">
        <v>0</v>
      </c>
      <c r="F13984">
        <v>441</v>
      </c>
    </row>
    <row r="13985" spans="1:6" ht="12.75">
      <c r="A13985" s="2">
        <v>43878.944328703699</v>
      </c>
      <c r="B13985" t="str">
        <f>HYPERLINK("https://twitter.com/wawa_maurisa","@wawa_maurisa")</f>
        <v>@wawa_maurisa</v>
      </c>
      <c r="C13985" t="s">
        <v>3340</v>
      </c>
      <c r="D13985">
        <v>298</v>
      </c>
      <c r="E13985">
        <v>0</v>
      </c>
      <c r="F13985">
        <v>545</v>
      </c>
    </row>
    <row r="13986" spans="1:6" ht="12.75">
      <c r="A13986" s="2">
        <v>43878.944212962961</v>
      </c>
      <c r="B13986" t="str">
        <f>HYPERLINK("https://twitter.com/joaovmariga","@joaovmariga")</f>
        <v>@joaovmariga</v>
      </c>
      <c r="C13986" t="s">
        <v>7204</v>
      </c>
      <c r="D13986">
        <v>0</v>
      </c>
      <c r="E13986">
        <v>0</v>
      </c>
      <c r="F13986">
        <v>2644</v>
      </c>
    </row>
    <row r="13987" spans="1:6" ht="12.75">
      <c r="A13987" s="2">
        <v>43878.94326388889</v>
      </c>
      <c r="B13987" t="str">
        <f>HYPERLINK("https://twitter.com/anoncakrabirawa","@anoncakrabirawa")</f>
        <v>@anoncakrabirawa</v>
      </c>
      <c r="C13987" t="s">
        <v>7205</v>
      </c>
      <c r="D13987">
        <v>0</v>
      </c>
      <c r="E13987">
        <v>0</v>
      </c>
      <c r="F13987">
        <v>1021</v>
      </c>
    </row>
    <row r="13988" spans="1:6" ht="12.75">
      <c r="A13988" s="2">
        <v>43878.942384259259</v>
      </c>
      <c r="B13988" t="str">
        <f>HYPERLINK("https://twitter.com/shafigh","@shafigh")</f>
        <v>@shafigh</v>
      </c>
      <c r="C13988" t="s">
        <v>5642</v>
      </c>
      <c r="D13988">
        <v>59</v>
      </c>
      <c r="E13988">
        <v>0</v>
      </c>
      <c r="F13988">
        <v>4198</v>
      </c>
    </row>
    <row r="13989" spans="1:6" ht="12.75">
      <c r="A13989" s="2">
        <v>43878.942372685182</v>
      </c>
      <c r="B13989" t="str">
        <f>HYPERLINK("https://twitter.com/Nitizen_Zen","@Nitizen_Zen")</f>
        <v>@Nitizen_Zen</v>
      </c>
      <c r="C13989" t="s">
        <v>2674</v>
      </c>
      <c r="D13989">
        <v>86</v>
      </c>
      <c r="E13989">
        <v>0</v>
      </c>
      <c r="F13989">
        <v>456</v>
      </c>
    </row>
    <row r="13990" spans="1:6" ht="12.75">
      <c r="A13990" s="2">
        <v>43878.942372685182</v>
      </c>
      <c r="B13990" t="str">
        <f>HYPERLINK("https://twitter.com/pdipbandingan","@pdipbandingan")</f>
        <v>@pdipbandingan</v>
      </c>
      <c r="C13990" t="s">
        <v>7206</v>
      </c>
      <c r="D13990">
        <v>0</v>
      </c>
      <c r="E13990">
        <v>1</v>
      </c>
      <c r="F13990">
        <v>1500</v>
      </c>
    </row>
    <row r="13991" spans="1:6" ht="12.75">
      <c r="A13991" s="2">
        <v>43878.94226851852</v>
      </c>
      <c r="B13991" t="str">
        <f>HYPERLINK("https://twitter.com/KurniawanRicho","@KurniawanRicho")</f>
        <v>@KurniawanRicho</v>
      </c>
      <c r="C13991" t="s">
        <v>5642</v>
      </c>
      <c r="D13991">
        <v>59</v>
      </c>
      <c r="E13991">
        <v>0</v>
      </c>
      <c r="F13991">
        <v>578</v>
      </c>
    </row>
    <row r="13992" spans="1:6" ht="12.75">
      <c r="A13992" s="2">
        <v>43878.94222222222</v>
      </c>
      <c r="B13992" t="str">
        <f>HYPERLINK("https://twitter.com/wonrideuls","@wonrideuls")</f>
        <v>@wonrideuls</v>
      </c>
      <c r="C13992" t="s">
        <v>3340</v>
      </c>
      <c r="D13992">
        <v>298</v>
      </c>
      <c r="E13992">
        <v>0</v>
      </c>
      <c r="F13992">
        <v>273</v>
      </c>
    </row>
    <row r="13993" spans="1:6" ht="12.75">
      <c r="A13993" s="2">
        <v>43878.942175925928</v>
      </c>
      <c r="B13993" t="str">
        <f>HYPERLINK("https://twitter.com/ninobhaskoro","@ninobhaskoro")</f>
        <v>@ninobhaskoro</v>
      </c>
      <c r="C13993" t="s">
        <v>3340</v>
      </c>
      <c r="D13993">
        <v>298</v>
      </c>
      <c r="E13993">
        <v>0</v>
      </c>
      <c r="F13993">
        <v>542</v>
      </c>
    </row>
    <row r="13994" spans="1:6" ht="12.75">
      <c r="A13994" s="2">
        <v>43878.942060185189</v>
      </c>
      <c r="B13994" t="str">
        <f>HYPERLINK("https://twitter.com/TukangMu","@TukangMu")</f>
        <v>@TukangMu</v>
      </c>
      <c r="C13994" t="s">
        <v>7207</v>
      </c>
      <c r="D13994">
        <v>0</v>
      </c>
      <c r="E13994">
        <v>6</v>
      </c>
      <c r="F13994">
        <v>1011</v>
      </c>
    </row>
    <row r="13995" spans="1:6" ht="12.75">
      <c r="A13995" s="2">
        <v>43878.942025462966</v>
      </c>
      <c r="B13995" t="str">
        <f>HYPERLINK("https://twitter.com/wiiiiiiiik","@wiiiiiiiik")</f>
        <v>@wiiiiiiiik</v>
      </c>
      <c r="C13995" t="s">
        <v>7208</v>
      </c>
      <c r="D13995">
        <v>0</v>
      </c>
      <c r="E13995">
        <v>0</v>
      </c>
      <c r="F13995">
        <v>161</v>
      </c>
    </row>
    <row r="13996" spans="1:6" ht="12.75">
      <c r="A13996" s="2">
        <v>43878.941909722227</v>
      </c>
      <c r="B13996" t="str">
        <f>HYPERLINK("https://twitter.com/IbrahimHarahap3","@IbrahimHarahap3")</f>
        <v>@IbrahimHarahap3</v>
      </c>
      <c r="C13996" t="s">
        <v>7209</v>
      </c>
      <c r="D13996">
        <v>0</v>
      </c>
      <c r="E13996">
        <v>0</v>
      </c>
      <c r="F13996">
        <v>124</v>
      </c>
    </row>
    <row r="13997" spans="1:6" ht="12.75">
      <c r="A13997" s="2">
        <v>43878.941898148143</v>
      </c>
      <c r="B13997" t="str">
        <f>HYPERLINK("https://twitter.com/RisaNvt_","@RisaNvt_")</f>
        <v>@RisaNvt_</v>
      </c>
      <c r="C13997" t="s">
        <v>5642</v>
      </c>
      <c r="D13997">
        <v>59</v>
      </c>
      <c r="E13997">
        <v>0</v>
      </c>
      <c r="F13997">
        <v>70</v>
      </c>
    </row>
    <row r="13998" spans="1:6" ht="12.75">
      <c r="A13998" s="2">
        <v>43878.941863425927</v>
      </c>
      <c r="B13998" t="str">
        <f>HYPERLINK("https://twitter.com/rizkybajing","@rizkybajing")</f>
        <v>@rizkybajing</v>
      </c>
      <c r="C13998" t="s">
        <v>7210</v>
      </c>
      <c r="D13998">
        <v>0</v>
      </c>
      <c r="E13998">
        <v>0</v>
      </c>
      <c r="F13998">
        <v>26</v>
      </c>
    </row>
    <row r="13999" spans="1:6" ht="12.75">
      <c r="A13999" s="2">
        <v>43878.941793981481</v>
      </c>
      <c r="B13999" t="str">
        <f>HYPERLINK("https://twitter.com/karnaNya","@karnaNya")</f>
        <v>@karnaNya</v>
      </c>
      <c r="C13999" t="s">
        <v>7211</v>
      </c>
      <c r="D13999">
        <v>0</v>
      </c>
      <c r="E13999">
        <v>0</v>
      </c>
      <c r="F13999">
        <v>82</v>
      </c>
    </row>
    <row r="14000" spans="1:6" ht="12.75">
      <c r="A14000" s="2">
        <v>43878.941736111112</v>
      </c>
      <c r="B14000" t="str">
        <f>HYPERLINK("https://twitter.com/herdiman29","@herdiman29")</f>
        <v>@herdiman29</v>
      </c>
      <c r="C14000" t="s">
        <v>7212</v>
      </c>
      <c r="D14000">
        <v>0</v>
      </c>
      <c r="E14000">
        <v>1</v>
      </c>
      <c r="F14000">
        <v>959</v>
      </c>
    </row>
    <row r="14001" spans="1:6" ht="12.75">
      <c r="A14001" s="2">
        <v>43878.941562499997</v>
      </c>
      <c r="B14001" t="str">
        <f>HYPERLINK("https://twitter.com/iNewsID","@iNewsID")</f>
        <v>@iNewsID</v>
      </c>
      <c r="C14001" t="s">
        <v>7213</v>
      </c>
      <c r="D14001">
        <v>0</v>
      </c>
      <c r="E14001">
        <v>0</v>
      </c>
      <c r="F14001">
        <v>1267</v>
      </c>
    </row>
    <row r="14002" spans="1:6" ht="12.75">
      <c r="A14002" s="2">
        <v>43878.94153935185</v>
      </c>
      <c r="B14002" t="str">
        <f>HYPERLINK("https://twitter.com/menghela","@menghela")</f>
        <v>@menghela</v>
      </c>
      <c r="C14002" t="s">
        <v>3340</v>
      </c>
      <c r="D14002">
        <v>298</v>
      </c>
      <c r="E14002">
        <v>0</v>
      </c>
      <c r="F14002">
        <v>572</v>
      </c>
    </row>
    <row r="14003" spans="1:6" ht="12.75">
      <c r="A14003" s="2">
        <v>43878.941504629634</v>
      </c>
      <c r="B14003" t="str">
        <f>HYPERLINK("https://twitter.com/Lisa48926575","@Lisa48926575")</f>
        <v>@Lisa48926575</v>
      </c>
      <c r="C14003" t="s">
        <v>6184</v>
      </c>
      <c r="D14003">
        <v>1</v>
      </c>
      <c r="E14003">
        <v>0</v>
      </c>
      <c r="F14003">
        <v>190</v>
      </c>
    </row>
    <row r="14004" spans="1:6" ht="12.75">
      <c r="A14004" s="2">
        <v>43878.940995370373</v>
      </c>
      <c r="B14004" t="str">
        <f>HYPERLINK("https://twitter.com/Nurohim88059769","@Nurohim88059769")</f>
        <v>@Nurohim88059769</v>
      </c>
      <c r="C14004" t="s">
        <v>7214</v>
      </c>
      <c r="D14004">
        <v>0</v>
      </c>
      <c r="E14004">
        <v>0</v>
      </c>
      <c r="F14004">
        <v>1</v>
      </c>
    </row>
    <row r="14005" spans="1:6" ht="12.75">
      <c r="A14005" s="2">
        <v>43878.940937499996</v>
      </c>
      <c r="B14005" t="str">
        <f>HYPERLINK("https://twitter.com/Tio7Willy","@Tio7Willy")</f>
        <v>@Tio7Willy</v>
      </c>
      <c r="C14005" t="s">
        <v>7215</v>
      </c>
      <c r="D14005">
        <v>0</v>
      </c>
      <c r="E14005">
        <v>1</v>
      </c>
      <c r="F14005">
        <v>251</v>
      </c>
    </row>
    <row r="14006" spans="1:6" ht="12.75">
      <c r="A14006" s="2">
        <v>43878.94059027778</v>
      </c>
      <c r="B14006" t="str">
        <f>HYPERLINK("https://twitter.com/IbrahimHarahap3","@IbrahimHarahap3")</f>
        <v>@IbrahimHarahap3</v>
      </c>
      <c r="C14006" t="s">
        <v>7216</v>
      </c>
      <c r="D14006">
        <v>0</v>
      </c>
      <c r="E14006">
        <v>0</v>
      </c>
      <c r="F14006">
        <v>124</v>
      </c>
    </row>
    <row r="14007" spans="1:6" ht="12.75">
      <c r="A14007" s="2">
        <v>43878.940555555557</v>
      </c>
      <c r="B14007" t="str">
        <f>HYPERLINK("https://twitter.com/Charuvrat1","@Charuvrat1")</f>
        <v>@Charuvrat1</v>
      </c>
      <c r="C14007" t="s">
        <v>7201</v>
      </c>
      <c r="D14007">
        <v>0</v>
      </c>
      <c r="E14007">
        <v>0</v>
      </c>
      <c r="F14007">
        <v>4</v>
      </c>
    </row>
    <row r="14008" spans="1:6" ht="12.75">
      <c r="A14008" s="2">
        <v>43878.940115740741</v>
      </c>
      <c r="B14008" t="str">
        <f>HYPERLINK("https://twitter.com/Sarinwt","@Sarinwt")</f>
        <v>@Sarinwt</v>
      </c>
      <c r="C14008" t="s">
        <v>7217</v>
      </c>
      <c r="D14008">
        <v>1</v>
      </c>
      <c r="E14008">
        <v>0</v>
      </c>
      <c r="F14008">
        <v>216</v>
      </c>
    </row>
    <row r="14009" spans="1:6" ht="12.75">
      <c r="A14009" s="2">
        <v>43878.91815972222</v>
      </c>
      <c r="B14009" t="str">
        <f>HYPERLINK("https://twitter.com/AEPishere","@AEPishere")</f>
        <v>@AEPishere</v>
      </c>
      <c r="C14009" t="s">
        <v>7218</v>
      </c>
      <c r="D14009">
        <v>1</v>
      </c>
      <c r="E14009">
        <v>0</v>
      </c>
      <c r="F14009">
        <v>3010</v>
      </c>
    </row>
    <row r="14010" spans="1:6" ht="12.75">
      <c r="A14010" s="2">
        <v>43878.918113425927</v>
      </c>
      <c r="B14010" t="str">
        <f>HYPERLINK("https://twitter.com/not_helsing","@not_helsing")</f>
        <v>@not_helsing</v>
      </c>
      <c r="C14010" t="s">
        <v>4975</v>
      </c>
      <c r="D14010">
        <v>130</v>
      </c>
      <c r="E14010">
        <v>0</v>
      </c>
      <c r="F14010">
        <v>112</v>
      </c>
    </row>
    <row r="14011" spans="1:6" ht="12.75">
      <c r="A14011" s="2">
        <v>43878.917870370366</v>
      </c>
      <c r="B14011" t="str">
        <f>HYPERLINK("https://twitter.com/aestaitic","@aestaitic")</f>
        <v>@aestaitic</v>
      </c>
      <c r="C14011" t="s">
        <v>3340</v>
      </c>
      <c r="D14011">
        <v>284</v>
      </c>
      <c r="E14011">
        <v>0</v>
      </c>
      <c r="F14011">
        <v>323</v>
      </c>
    </row>
    <row r="14012" spans="1:6" ht="12.75">
      <c r="A14012" s="2">
        <v>43878.917511574073</v>
      </c>
      <c r="B14012" t="str">
        <f>HYPERLINK("https://twitter.com/markabananwar","@markabananwar")</f>
        <v>@markabananwar</v>
      </c>
      <c r="C14012" t="s">
        <v>7219</v>
      </c>
      <c r="D14012">
        <v>0</v>
      </c>
      <c r="E14012">
        <v>0</v>
      </c>
      <c r="F14012">
        <v>162</v>
      </c>
    </row>
    <row r="14013" spans="1:6" ht="12.75">
      <c r="A14013" s="2">
        <v>43878.916886574079</v>
      </c>
      <c r="B14013" t="str">
        <f>HYPERLINK("https://twitter.com/irinrmnn","@irinrmnn")</f>
        <v>@irinrmnn</v>
      </c>
      <c r="C14013" t="s">
        <v>3340</v>
      </c>
      <c r="D14013">
        <v>284</v>
      </c>
      <c r="E14013">
        <v>0</v>
      </c>
      <c r="F14013">
        <v>271</v>
      </c>
    </row>
    <row r="14014" spans="1:6" ht="12.75">
      <c r="A14014" s="2">
        <v>43878.916747685187</v>
      </c>
      <c r="B14014" t="str">
        <f>HYPERLINK("https://twitter.com/Poposindoe","@Poposindoe")</f>
        <v>@Poposindoe</v>
      </c>
      <c r="C14014" t="s">
        <v>6721</v>
      </c>
      <c r="D14014">
        <v>372</v>
      </c>
      <c r="E14014">
        <v>0</v>
      </c>
      <c r="F14014">
        <v>604</v>
      </c>
    </row>
    <row r="14015" spans="1:6" ht="12.75">
      <c r="A14015" s="2">
        <v>43878.916666666672</v>
      </c>
      <c r="B14015" t="str">
        <f>HYPERLINK("https://twitter.com/KompasTV","@KompasTV")</f>
        <v>@KompasTV</v>
      </c>
      <c r="C14015" t="s">
        <v>7220</v>
      </c>
      <c r="D14015">
        <v>0</v>
      </c>
      <c r="E14015">
        <v>0</v>
      </c>
      <c r="F14015">
        <v>2943084</v>
      </c>
    </row>
    <row r="14016" spans="1:6" ht="12.75">
      <c r="A14016" s="2">
        <v>43878.916631944448</v>
      </c>
      <c r="B14016" t="str">
        <f>HYPERLINK("https://twitter.com/BlessedRivaldi","@BlessedRivaldi")</f>
        <v>@BlessedRivaldi</v>
      </c>
      <c r="C14016" t="s">
        <v>7221</v>
      </c>
      <c r="D14016">
        <v>0</v>
      </c>
      <c r="E14016">
        <v>0</v>
      </c>
      <c r="F14016">
        <v>170</v>
      </c>
    </row>
    <row r="14017" spans="1:6" ht="12.75">
      <c r="A14017" s="2">
        <v>43878.916585648149</v>
      </c>
      <c r="B14017" t="str">
        <f>HYPERLINK("https://twitter.com/Craig4Patriots","@Craig4Patriots")</f>
        <v>@Craig4Patriots</v>
      </c>
      <c r="C14017" t="s">
        <v>3150</v>
      </c>
      <c r="D14017">
        <v>425</v>
      </c>
      <c r="E14017">
        <v>0</v>
      </c>
      <c r="F14017">
        <v>7688</v>
      </c>
    </row>
    <row r="14018" spans="1:6" ht="12.75">
      <c r="A14018" s="2">
        <v>43878.916493055556</v>
      </c>
      <c r="B14018" t="str">
        <f>HYPERLINK("https://twitter.com/jaya1perkasa","@jaya1perkasa")</f>
        <v>@jaya1perkasa</v>
      </c>
      <c r="C14018" t="s">
        <v>4975</v>
      </c>
      <c r="D14018">
        <v>130</v>
      </c>
      <c r="E14018">
        <v>0</v>
      </c>
      <c r="F14018">
        <v>617</v>
      </c>
    </row>
    <row r="14019" spans="1:6" ht="12.75">
      <c r="A14019" s="2">
        <v>43878.916435185187</v>
      </c>
      <c r="B14019" t="str">
        <f>HYPERLINK("https://twitter.com/foers79","@foers79")</f>
        <v>@foers79</v>
      </c>
      <c r="C14019" t="s">
        <v>7195</v>
      </c>
      <c r="D14019">
        <v>23</v>
      </c>
      <c r="E14019">
        <v>0</v>
      </c>
      <c r="F14019">
        <v>400</v>
      </c>
    </row>
    <row r="14020" spans="1:6" ht="12.75">
      <c r="A14020" s="2">
        <v>43878.91606481481</v>
      </c>
      <c r="B14020" t="str">
        <f>HYPERLINK("https://twitter.com/wah_yenyen","@wah_yenyen")</f>
        <v>@wah_yenyen</v>
      </c>
      <c r="C14020" t="s">
        <v>3340</v>
      </c>
      <c r="D14020">
        <v>284</v>
      </c>
      <c r="E14020">
        <v>0</v>
      </c>
      <c r="F14020">
        <v>51</v>
      </c>
    </row>
    <row r="14021" spans="1:6" ht="12.75">
      <c r="A14021" s="2">
        <v>43878.915925925925</v>
      </c>
      <c r="B14021" t="str">
        <f>HYPERLINK("https://twitter.com/isis_artusi","@isis_artusi")</f>
        <v>@isis_artusi</v>
      </c>
      <c r="C14021" t="s">
        <v>7222</v>
      </c>
      <c r="D14021">
        <v>0</v>
      </c>
      <c r="E14021">
        <v>0</v>
      </c>
      <c r="F14021">
        <v>909</v>
      </c>
    </row>
    <row r="14022" spans="1:6" ht="12.75">
      <c r="A14022" s="2">
        <v>43878.915833333333</v>
      </c>
      <c r="B14022" t="str">
        <f>HYPERLINK("https://twitter.com/AEPishere","@AEPishere")</f>
        <v>@AEPishere</v>
      </c>
      <c r="C14022" t="s">
        <v>7223</v>
      </c>
      <c r="D14022">
        <v>2</v>
      </c>
      <c r="E14022">
        <v>0</v>
      </c>
      <c r="F14022">
        <v>3010</v>
      </c>
    </row>
    <row r="14023" spans="1:6" ht="12.75">
      <c r="A14023" s="2">
        <v>43878.915462962963</v>
      </c>
      <c r="B14023" t="str">
        <f t="shared" ref="B14023:B14024" si="240">HYPERLINK("https://twitter.com/dedisagala24","@dedisagala24")</f>
        <v>@dedisagala24</v>
      </c>
      <c r="C14023" t="s">
        <v>6161</v>
      </c>
      <c r="D14023">
        <v>317</v>
      </c>
      <c r="E14023">
        <v>0</v>
      </c>
      <c r="F14023">
        <v>1617</v>
      </c>
    </row>
    <row r="14024" spans="1:6" ht="12.75">
      <c r="A14024" s="2">
        <v>43878.915335648147</v>
      </c>
      <c r="B14024" t="str">
        <f t="shared" si="240"/>
        <v>@dedisagala24</v>
      </c>
      <c r="C14024" t="s">
        <v>2155</v>
      </c>
      <c r="D14024">
        <v>387</v>
      </c>
      <c r="E14024">
        <v>0</v>
      </c>
      <c r="F14024">
        <v>1617</v>
      </c>
    </row>
    <row r="14025" spans="1:6" ht="12.75">
      <c r="A14025" s="2">
        <v>43878.91506944444</v>
      </c>
      <c r="B14025" t="str">
        <f>HYPERLINK("https://twitter.com/luphalp","@luphalp")</f>
        <v>@luphalp</v>
      </c>
      <c r="C14025" t="s">
        <v>3340</v>
      </c>
      <c r="D14025">
        <v>284</v>
      </c>
      <c r="E14025">
        <v>0</v>
      </c>
      <c r="F14025">
        <v>49</v>
      </c>
    </row>
    <row r="14026" spans="1:6" ht="12.75">
      <c r="A14026" s="2">
        <v>43878.914120370369</v>
      </c>
      <c r="B14026" t="str">
        <f>HYPERLINK("https://twitter.com/meizalagi","@meizalagi")</f>
        <v>@meizalagi</v>
      </c>
      <c r="C14026" t="s">
        <v>7224</v>
      </c>
      <c r="D14026">
        <v>0</v>
      </c>
      <c r="E14026">
        <v>0</v>
      </c>
      <c r="F14026">
        <v>500</v>
      </c>
    </row>
    <row r="14027" spans="1:6" ht="12.75">
      <c r="A14027" s="2">
        <v>43878.91369212963</v>
      </c>
      <c r="B14027" t="str">
        <f>HYPERLINK("https://twitter.com/Habib_NKRI","@Habib_NKRI")</f>
        <v>@Habib_NKRI</v>
      </c>
      <c r="C14027" t="s">
        <v>7225</v>
      </c>
      <c r="D14027">
        <v>1</v>
      </c>
      <c r="E14027">
        <v>0</v>
      </c>
      <c r="F14027">
        <v>711</v>
      </c>
    </row>
    <row r="14028" spans="1:6" ht="12.75">
      <c r="A14028" s="2">
        <v>43878.913657407407</v>
      </c>
      <c r="B14028" t="str">
        <f>HYPERLINK("https://twitter.com/Gandos_Akek","@Gandos_Akek")</f>
        <v>@Gandos_Akek</v>
      </c>
      <c r="C14028" t="s">
        <v>2155</v>
      </c>
      <c r="D14028">
        <v>387</v>
      </c>
      <c r="E14028">
        <v>0</v>
      </c>
      <c r="F14028">
        <v>3192</v>
      </c>
    </row>
    <row r="14029" spans="1:6" ht="12.75">
      <c r="A14029" s="2">
        <v>43878.913437499999</v>
      </c>
      <c r="B14029" t="str">
        <f>HYPERLINK("https://twitter.com/Habib_NKRI","@Habib_NKRI")</f>
        <v>@Habib_NKRI</v>
      </c>
      <c r="C14029" t="s">
        <v>7226</v>
      </c>
      <c r="D14029">
        <v>1</v>
      </c>
      <c r="E14029">
        <v>1</v>
      </c>
      <c r="F14029">
        <v>711</v>
      </c>
    </row>
    <row r="14030" spans="1:6" ht="12.75">
      <c r="A14030" s="2">
        <v>43878.913275462968</v>
      </c>
      <c r="B14030" t="str">
        <f>HYPERLINK("https://twitter.com/Savior70134021","@Savior70134021")</f>
        <v>@Savior70134021</v>
      </c>
      <c r="C14030" t="s">
        <v>2155</v>
      </c>
      <c r="D14030">
        <v>387</v>
      </c>
      <c r="E14030">
        <v>0</v>
      </c>
      <c r="F14030">
        <v>44</v>
      </c>
    </row>
    <row r="14031" spans="1:6" ht="12.75">
      <c r="A14031" s="2">
        <v>43878.913171296299</v>
      </c>
      <c r="B14031" t="str">
        <f>HYPERLINK("https://twitter.com/id_aksi","@id_aksi")</f>
        <v>@id_aksi</v>
      </c>
      <c r="C14031" t="s">
        <v>7227</v>
      </c>
      <c r="D14031">
        <v>0</v>
      </c>
      <c r="E14031">
        <v>0</v>
      </c>
      <c r="F14031">
        <v>79</v>
      </c>
    </row>
    <row r="14032" spans="1:6" ht="12.75">
      <c r="A14032" s="2">
        <v>43878.913136574076</v>
      </c>
      <c r="B14032" t="str">
        <f>HYPERLINK("https://twitter.com/superdoraemon","@superdoraemon")</f>
        <v>@superdoraemon</v>
      </c>
      <c r="C14032" t="s">
        <v>7228</v>
      </c>
      <c r="D14032">
        <v>0</v>
      </c>
      <c r="E14032">
        <v>0</v>
      </c>
      <c r="F14032">
        <v>4380</v>
      </c>
    </row>
    <row r="14033" spans="1:6" ht="12.75">
      <c r="A14033" s="2">
        <v>43878.913136574076</v>
      </c>
      <c r="B14033" t="str">
        <f>HYPERLINK("https://twitter.com/1fauzifatah","@1fauzifatah")</f>
        <v>@1fauzifatah</v>
      </c>
      <c r="C14033" t="s">
        <v>6721</v>
      </c>
      <c r="D14033">
        <v>372</v>
      </c>
      <c r="E14033">
        <v>0</v>
      </c>
      <c r="F14033">
        <v>73</v>
      </c>
    </row>
    <row r="14034" spans="1:6" ht="12.75">
      <c r="A14034" s="2">
        <v>43878.91270833333</v>
      </c>
      <c r="B14034" t="str">
        <f>HYPERLINK("https://twitter.com/muiz_b1k","@muiz_b1k")</f>
        <v>@muiz_b1k</v>
      </c>
      <c r="C14034" t="s">
        <v>6161</v>
      </c>
      <c r="D14034">
        <v>317</v>
      </c>
      <c r="E14034">
        <v>0</v>
      </c>
      <c r="F14034">
        <v>245</v>
      </c>
    </row>
    <row r="14035" spans="1:6" ht="12.75">
      <c r="A14035" s="2">
        <v>43878.912418981483</v>
      </c>
      <c r="B14035" t="str">
        <f>HYPERLINK("https://twitter.com/wisnu167","@wisnu167")</f>
        <v>@wisnu167</v>
      </c>
      <c r="C14035" t="s">
        <v>7229</v>
      </c>
      <c r="D14035">
        <v>0</v>
      </c>
      <c r="E14035">
        <v>0</v>
      </c>
      <c r="F14035">
        <v>4253</v>
      </c>
    </row>
    <row r="14036" spans="1:6" ht="12.75">
      <c r="A14036" s="2">
        <v>43878.911956018521</v>
      </c>
      <c r="B14036" t="str">
        <f>HYPERLINK("https://twitter.com/sonmanvb","@sonmanvb")</f>
        <v>@sonmanvb</v>
      </c>
      <c r="C14036" t="s">
        <v>3150</v>
      </c>
      <c r="D14036">
        <v>425</v>
      </c>
      <c r="E14036">
        <v>0</v>
      </c>
      <c r="F14036">
        <v>4344</v>
      </c>
    </row>
    <row r="14037" spans="1:6" ht="12.75">
      <c r="A14037" s="2">
        <v>43878.911932870367</v>
      </c>
      <c r="B14037" t="str">
        <f>HYPERLINK("https://twitter.com/superdoraemon","@superdoraemon")</f>
        <v>@superdoraemon</v>
      </c>
      <c r="C14037" t="s">
        <v>7230</v>
      </c>
      <c r="D14037">
        <v>0</v>
      </c>
      <c r="E14037">
        <v>2</v>
      </c>
      <c r="F14037">
        <v>4380</v>
      </c>
    </row>
    <row r="14038" spans="1:6" ht="12.75">
      <c r="A14038" s="2">
        <v>43878.911782407406</v>
      </c>
      <c r="B14038" t="str">
        <f>HYPERLINK("https://twitter.com/urangcijoho","@urangcijoho")</f>
        <v>@urangcijoho</v>
      </c>
      <c r="C14038" t="s">
        <v>6201</v>
      </c>
      <c r="D14038">
        <v>562</v>
      </c>
      <c r="E14038">
        <v>0</v>
      </c>
      <c r="F14038">
        <v>184</v>
      </c>
    </row>
    <row r="14039" spans="1:6" ht="12.75">
      <c r="A14039" s="2">
        <v>43878.911562499998</v>
      </c>
      <c r="B14039" t="str">
        <f>HYPERLINK("https://twitter.com/luteupiya","@luteupiya")</f>
        <v>@luteupiya</v>
      </c>
      <c r="C14039" t="s">
        <v>3340</v>
      </c>
      <c r="D14039">
        <v>284</v>
      </c>
      <c r="E14039">
        <v>0</v>
      </c>
      <c r="F14039">
        <v>873</v>
      </c>
    </row>
    <row r="14040" spans="1:6" ht="12.75">
      <c r="A14040" s="2">
        <v>43878.911250000005</v>
      </c>
      <c r="B14040" t="str">
        <f>HYPERLINK("https://twitter.com/foers79","@foers79")</f>
        <v>@foers79</v>
      </c>
      <c r="C14040" t="s">
        <v>4975</v>
      </c>
      <c r="D14040">
        <v>130</v>
      </c>
      <c r="E14040">
        <v>0</v>
      </c>
      <c r="F14040">
        <v>400</v>
      </c>
    </row>
    <row r="14041" spans="1:6" ht="12.75">
      <c r="A14041" s="2">
        <v>43878.911203703705</v>
      </c>
      <c r="B14041" t="str">
        <f>HYPERLINK("https://twitter.com/mtaufikmJKT48","@mtaufikmJKT48")</f>
        <v>@mtaufikmJKT48</v>
      </c>
      <c r="C14041" t="s">
        <v>7076</v>
      </c>
      <c r="D14041">
        <v>1</v>
      </c>
      <c r="E14041">
        <v>0</v>
      </c>
      <c r="F14041">
        <v>1456</v>
      </c>
    </row>
    <row r="14042" spans="1:6" ht="12.75">
      <c r="A14042" s="2">
        <v>43878.911122685182</v>
      </c>
      <c r="B14042" t="str">
        <f>HYPERLINK("https://twitter.com/ryon04","@ryon04")</f>
        <v>@ryon04</v>
      </c>
      <c r="C14042" t="s">
        <v>7231</v>
      </c>
      <c r="D14042">
        <v>0</v>
      </c>
      <c r="E14042">
        <v>0</v>
      </c>
      <c r="F14042">
        <v>38</v>
      </c>
    </row>
    <row r="14043" spans="1:6" ht="12.75">
      <c r="A14043" s="2">
        <v>43878.911111111112</v>
      </c>
      <c r="B14043" t="str">
        <f>HYPERLINK("https://twitter.com/sahrialhsn","@sahrialhsn")</f>
        <v>@sahrialhsn</v>
      </c>
      <c r="C14043" t="s">
        <v>4975</v>
      </c>
      <c r="D14043">
        <v>130</v>
      </c>
      <c r="E14043">
        <v>0</v>
      </c>
      <c r="F14043">
        <v>19</v>
      </c>
    </row>
    <row r="14044" spans="1:6" ht="12.75">
      <c r="A14044" s="2">
        <v>43878.91070601852</v>
      </c>
      <c r="B14044" t="str">
        <f>HYPERLINK("https://twitter.com/ISIS_Kasiab","@ISIS_Kasiab")</f>
        <v>@ISIS_Kasiab</v>
      </c>
      <c r="C14044" t="s">
        <v>7232</v>
      </c>
      <c r="D14044">
        <v>0</v>
      </c>
      <c r="E14044">
        <v>0</v>
      </c>
      <c r="F14044">
        <v>137</v>
      </c>
    </row>
    <row r="14045" spans="1:6" ht="12.75">
      <c r="A14045" s="2">
        <v>43878.910532407404</v>
      </c>
      <c r="B14045" t="str">
        <f>HYPERLINK("https://twitter.com/suradiparlan5","@suradiparlan5")</f>
        <v>@suradiparlan5</v>
      </c>
      <c r="C14045" t="s">
        <v>7233</v>
      </c>
      <c r="D14045">
        <v>4</v>
      </c>
      <c r="E14045">
        <v>0</v>
      </c>
      <c r="F14045">
        <v>1341</v>
      </c>
    </row>
    <row r="14046" spans="1:6" ht="12.75">
      <c r="A14046" s="2">
        <v>43878.910439814819</v>
      </c>
      <c r="B14046" t="str">
        <f>HYPERLINK("https://twitter.com/RadioElshinta","@RadioElshinta")</f>
        <v>@RadioElshinta</v>
      </c>
      <c r="C14046" t="s">
        <v>7234</v>
      </c>
      <c r="D14046">
        <v>1</v>
      </c>
      <c r="E14046">
        <v>3</v>
      </c>
      <c r="F14046">
        <v>3633759</v>
      </c>
    </row>
    <row r="14047" spans="1:6" ht="12.75">
      <c r="A14047" s="2">
        <v>43878.91034722222</v>
      </c>
      <c r="B14047" t="str">
        <f>HYPERLINK("https://twitter.com/suradiparlan5","@suradiparlan5")</f>
        <v>@suradiparlan5</v>
      </c>
      <c r="C14047" t="s">
        <v>7235</v>
      </c>
      <c r="D14047">
        <v>4</v>
      </c>
      <c r="E14047">
        <v>0</v>
      </c>
      <c r="F14047">
        <v>1341</v>
      </c>
    </row>
    <row r="14048" spans="1:6" ht="12.75">
      <c r="A14048" s="2">
        <v>43878.909988425927</v>
      </c>
      <c r="B14048" t="str">
        <f>HYPERLINK("https://twitter.com/runchickenrunn","@runchickenrunn")</f>
        <v>@runchickenrunn</v>
      </c>
      <c r="C14048" t="s">
        <v>513</v>
      </c>
      <c r="D14048">
        <v>23175</v>
      </c>
      <c r="E14048">
        <v>0</v>
      </c>
      <c r="F14048">
        <v>1294</v>
      </c>
    </row>
    <row r="14049" spans="1:6" ht="12.75">
      <c r="A14049" s="2">
        <v>43878.909594907411</v>
      </c>
      <c r="B14049" t="str">
        <f>HYPERLINK("https://twitter.com/innovesian","@innovesian")</f>
        <v>@innovesian</v>
      </c>
      <c r="C14049" t="s">
        <v>7236</v>
      </c>
      <c r="D14049">
        <v>1</v>
      </c>
      <c r="E14049">
        <v>0</v>
      </c>
      <c r="F14049">
        <v>32008</v>
      </c>
    </row>
    <row r="14050" spans="1:6" ht="12.75">
      <c r="A14050" s="2">
        <v>43878.90934027778</v>
      </c>
      <c r="B14050" t="str">
        <f>HYPERLINK("https://twitter.com/Beritasatu","@Beritasatu")</f>
        <v>@Beritasatu</v>
      </c>
      <c r="C14050" t="s">
        <v>7237</v>
      </c>
      <c r="D14050">
        <v>0</v>
      </c>
      <c r="E14050">
        <v>4</v>
      </c>
      <c r="F14050">
        <v>614317</v>
      </c>
    </row>
    <row r="14051" spans="1:6" ht="12.75">
      <c r="A14051" s="2">
        <v>43878.909259259264</v>
      </c>
      <c r="B14051" t="str">
        <f t="shared" ref="B14051:B14052" si="241">HYPERLINK("https://twitter.com/Habib_NKRI","@Habib_NKRI")</f>
        <v>@Habib_NKRI</v>
      </c>
      <c r="C14051" t="s">
        <v>7238</v>
      </c>
      <c r="D14051">
        <v>1</v>
      </c>
      <c r="E14051">
        <v>0</v>
      </c>
      <c r="F14051">
        <v>711</v>
      </c>
    </row>
    <row r="14052" spans="1:6" ht="12.75">
      <c r="A14052" s="2">
        <v>43878.909131944441</v>
      </c>
      <c r="B14052" t="str">
        <f t="shared" si="241"/>
        <v>@Habib_NKRI</v>
      </c>
      <c r="C14052" t="s">
        <v>7239</v>
      </c>
      <c r="D14052">
        <v>1</v>
      </c>
      <c r="E14052">
        <v>2</v>
      </c>
      <c r="F14052">
        <v>711</v>
      </c>
    </row>
    <row r="14053" spans="1:6" ht="12.75">
      <c r="A14053" s="2">
        <v>43878.90892361111</v>
      </c>
      <c r="B14053" t="str">
        <f>HYPERLINK("https://twitter.com/turanganmax","@turanganmax")</f>
        <v>@turanganmax</v>
      </c>
      <c r="C14053" t="s">
        <v>7240</v>
      </c>
      <c r="D14053">
        <v>0</v>
      </c>
      <c r="E14053">
        <v>0</v>
      </c>
      <c r="F14053">
        <v>336</v>
      </c>
    </row>
    <row r="14054" spans="1:6" ht="12.75">
      <c r="A14054" s="2">
        <v>43878.908761574072</v>
      </c>
      <c r="B14054" t="str">
        <f>HYPERLINK("https://twitter.com/arulbahrudin","@arulbahrudin")</f>
        <v>@arulbahrudin</v>
      </c>
      <c r="C14054" t="s">
        <v>6990</v>
      </c>
      <c r="D14054">
        <v>8</v>
      </c>
      <c r="E14054">
        <v>0</v>
      </c>
      <c r="F14054">
        <v>627</v>
      </c>
    </row>
    <row r="14055" spans="1:6" ht="12.75">
      <c r="A14055" s="2">
        <v>43878.908726851849</v>
      </c>
      <c r="B14055" t="str">
        <f>HYPERLINK("https://twitter.com/kompascom","@kompascom")</f>
        <v>@kompascom</v>
      </c>
      <c r="C14055" t="s">
        <v>7241</v>
      </c>
      <c r="D14055">
        <v>1</v>
      </c>
      <c r="E14055">
        <v>14</v>
      </c>
      <c r="F14055">
        <v>7501340</v>
      </c>
    </row>
    <row r="14056" spans="1:6" ht="12.75">
      <c r="A14056" s="2">
        <v>43878.908587962964</v>
      </c>
      <c r="B14056" t="str">
        <f>HYPERLINK("https://twitter.com/vickymunaa_","@vickymunaa_")</f>
        <v>@vickymunaa_</v>
      </c>
      <c r="C14056" t="s">
        <v>3340</v>
      </c>
      <c r="D14056">
        <v>284</v>
      </c>
      <c r="E14056">
        <v>0</v>
      </c>
      <c r="F14056">
        <v>294</v>
      </c>
    </row>
    <row r="14057" spans="1:6" ht="12.75">
      <c r="A14057" s="2">
        <v>43878.908518518518</v>
      </c>
      <c r="B14057" t="str">
        <f>HYPERLINK("https://twitter.com/adishaSYZ","@adishaSYZ")</f>
        <v>@adishaSYZ</v>
      </c>
      <c r="C14057" t="s">
        <v>7242</v>
      </c>
      <c r="D14057">
        <v>18</v>
      </c>
      <c r="E14057">
        <v>0</v>
      </c>
      <c r="F14057">
        <v>344</v>
      </c>
    </row>
    <row r="14058" spans="1:6" ht="12.75">
      <c r="A14058" s="2">
        <v>43878.908472222218</v>
      </c>
      <c r="B14058" t="str">
        <f>HYPERLINK("https://twitter.com/nik3_902000yaho","@nik3_902000yaho")</f>
        <v>@nik3_902000yaho</v>
      </c>
      <c r="C14058" t="s">
        <v>2155</v>
      </c>
      <c r="D14058">
        <v>387</v>
      </c>
      <c r="E14058">
        <v>0</v>
      </c>
      <c r="F14058">
        <v>26</v>
      </c>
    </row>
    <row r="14059" spans="1:6" ht="12.75">
      <c r="A14059" s="2">
        <v>43878.908113425925</v>
      </c>
      <c r="B14059" t="str">
        <f>HYPERLINK("https://twitter.com/33_gaganalgarni","@33_gaganalgarni")</f>
        <v>@33_gaganalgarni</v>
      </c>
      <c r="C14059" t="s">
        <v>5441</v>
      </c>
      <c r="D14059">
        <v>6</v>
      </c>
      <c r="E14059">
        <v>0</v>
      </c>
      <c r="F14059">
        <v>534</v>
      </c>
    </row>
    <row r="14060" spans="1:6" ht="12.75">
      <c r="A14060" s="2">
        <v>43878.907847222217</v>
      </c>
      <c r="B14060" t="str">
        <f>HYPERLINK("https://twitter.com/M70W71","@M70W71")</f>
        <v>@M70W71</v>
      </c>
      <c r="C14060" t="s">
        <v>2702</v>
      </c>
      <c r="D14060">
        <v>356</v>
      </c>
      <c r="E14060">
        <v>0</v>
      </c>
      <c r="F14060">
        <v>1879</v>
      </c>
    </row>
    <row r="14061" spans="1:6" ht="12.75">
      <c r="A14061" s="2">
        <v>43878.907789351855</v>
      </c>
      <c r="B14061" t="str">
        <f>HYPERLINK("https://twitter.com/kevhunt_13","@kevhunt_13")</f>
        <v>@kevhunt_13</v>
      </c>
      <c r="C14061" t="s">
        <v>7243</v>
      </c>
      <c r="D14061">
        <v>0</v>
      </c>
      <c r="E14061">
        <v>0</v>
      </c>
      <c r="F14061">
        <v>220</v>
      </c>
    </row>
    <row r="14062" spans="1:6" ht="12.75">
      <c r="A14062" s="2">
        <v>43878.907673611116</v>
      </c>
      <c r="B14062" t="str">
        <f>HYPERLINK("https://twitter.com/Yolani2504","@Yolani2504")</f>
        <v>@Yolani2504</v>
      </c>
      <c r="C14062" t="s">
        <v>7244</v>
      </c>
      <c r="D14062">
        <v>0</v>
      </c>
      <c r="E14062">
        <v>0</v>
      </c>
      <c r="F14062">
        <v>2</v>
      </c>
    </row>
    <row r="14063" spans="1:6" ht="12.75">
      <c r="A14063" s="2">
        <v>43878.907592592594</v>
      </c>
      <c r="B14063" t="str">
        <f>HYPERLINK("https://twitter.com/catchvibhor","@catchvibhor")</f>
        <v>@catchvibhor</v>
      </c>
      <c r="C14063" t="s">
        <v>6236</v>
      </c>
      <c r="D14063">
        <v>46</v>
      </c>
      <c r="E14063">
        <v>0</v>
      </c>
      <c r="F14063">
        <v>171</v>
      </c>
    </row>
    <row r="14064" spans="1:6" ht="12.75">
      <c r="A14064" s="2">
        <v>43878.906828703708</v>
      </c>
      <c r="B14064" t="str">
        <f>HYPERLINK("https://twitter.com/the11thsense","@the11thsense")</f>
        <v>@the11thsense</v>
      </c>
      <c r="C14064" t="s">
        <v>3340</v>
      </c>
      <c r="D14064">
        <v>284</v>
      </c>
      <c r="E14064">
        <v>0</v>
      </c>
      <c r="F14064">
        <v>1665</v>
      </c>
    </row>
    <row r="14065" spans="1:6" ht="12.75">
      <c r="A14065" s="2">
        <v>43878.9065625</v>
      </c>
      <c r="B14065" t="str">
        <f>HYPERLINK("https://twitter.com/ChatlineMaria","@ChatlineMaria")</f>
        <v>@ChatlineMaria</v>
      </c>
      <c r="C14065" t="s">
        <v>7245</v>
      </c>
      <c r="D14065">
        <v>0</v>
      </c>
      <c r="E14065">
        <v>0</v>
      </c>
      <c r="F14065">
        <v>0</v>
      </c>
    </row>
    <row r="14066" spans="1:6" ht="12.75">
      <c r="A14066" s="2">
        <v>43878.906168981484</v>
      </c>
      <c r="B14066" t="str">
        <f>HYPERLINK("https://twitter.com/01Hariyan","@01Hariyan")</f>
        <v>@01Hariyan</v>
      </c>
      <c r="C14066" t="s">
        <v>7246</v>
      </c>
      <c r="D14066">
        <v>3</v>
      </c>
      <c r="E14066">
        <v>0</v>
      </c>
      <c r="F14066">
        <v>1795</v>
      </c>
    </row>
    <row r="14067" spans="1:6" ht="12.75">
      <c r="A14067" s="2">
        <v>43878.906122685185</v>
      </c>
      <c r="B14067" t="str">
        <f>HYPERLINK("https://twitter.com/salmaaferdian","@salmaaferdian")</f>
        <v>@salmaaferdian</v>
      </c>
      <c r="C14067" t="s">
        <v>3340</v>
      </c>
      <c r="D14067">
        <v>284</v>
      </c>
      <c r="E14067">
        <v>0</v>
      </c>
      <c r="F14067">
        <v>102</v>
      </c>
    </row>
    <row r="14068" spans="1:6" ht="12.75">
      <c r="A14068" s="2">
        <v>43878.905844907407</v>
      </c>
      <c r="B14068" t="str">
        <f>HYPERLINK("https://twitter.com/APalestin42","@APalestin42")</f>
        <v>@APalestin42</v>
      </c>
      <c r="C14068" t="s">
        <v>7040</v>
      </c>
      <c r="D14068">
        <v>6</v>
      </c>
      <c r="E14068">
        <v>0</v>
      </c>
      <c r="F14068">
        <v>247</v>
      </c>
    </row>
    <row r="14069" spans="1:6" ht="12.75">
      <c r="A14069" s="2">
        <v>43878.905555555553</v>
      </c>
      <c r="B14069" t="str">
        <f>HYPERLINK("https://twitter.com/Mazggg","@Mazggg")</f>
        <v>@Mazggg</v>
      </c>
      <c r="C14069" t="s">
        <v>6161</v>
      </c>
      <c r="D14069">
        <v>317</v>
      </c>
      <c r="E14069">
        <v>0</v>
      </c>
      <c r="F14069">
        <v>1941</v>
      </c>
    </row>
    <row r="14070" spans="1:6" ht="12.75">
      <c r="A14070" s="2">
        <v>43878.905509259261</v>
      </c>
      <c r="B14070" t="str">
        <f>HYPERLINK("https://twitter.com/Chania4486","@Chania4486")</f>
        <v>@Chania4486</v>
      </c>
      <c r="C14070" t="s">
        <v>2444</v>
      </c>
      <c r="D14070">
        <v>4582</v>
      </c>
      <c r="E14070">
        <v>0</v>
      </c>
      <c r="F14070">
        <v>2</v>
      </c>
    </row>
    <row r="14071" spans="1:6" ht="12.75">
      <c r="A14071" s="2">
        <v>43878.905324074076</v>
      </c>
      <c r="B14071" t="str">
        <f>HYPERLINK("https://twitter.com/kikibone26","@kikibone26")</f>
        <v>@kikibone26</v>
      </c>
      <c r="C14071" t="s">
        <v>7247</v>
      </c>
      <c r="D14071">
        <v>0</v>
      </c>
      <c r="E14071">
        <v>0</v>
      </c>
      <c r="F14071">
        <v>597</v>
      </c>
    </row>
    <row r="14072" spans="1:6" ht="12.75">
      <c r="A14072" s="2">
        <v>43878.905150462961</v>
      </c>
      <c r="B14072" t="str">
        <f>HYPERLINK("https://twitter.com/cSharpDictator","@cSharpDictator")</f>
        <v>@cSharpDictator</v>
      </c>
      <c r="C14072" t="s">
        <v>4975</v>
      </c>
      <c r="D14072">
        <v>130</v>
      </c>
      <c r="E14072">
        <v>0</v>
      </c>
      <c r="F14072">
        <v>149</v>
      </c>
    </row>
    <row r="14073" spans="1:6" ht="12.75">
      <c r="A14073" s="2">
        <v>43878.904907407406</v>
      </c>
      <c r="B14073" t="str">
        <f>HYPERLINK("https://twitter.com/defisitmoral","@defisitmoral")</f>
        <v>@defisitmoral</v>
      </c>
      <c r="C14073" t="s">
        <v>3340</v>
      </c>
      <c r="D14073">
        <v>284</v>
      </c>
      <c r="E14073">
        <v>0</v>
      </c>
      <c r="F14073">
        <v>272</v>
      </c>
    </row>
    <row r="14074" spans="1:6" ht="12.75">
      <c r="A14074" s="2">
        <v>43878.904722222222</v>
      </c>
      <c r="B14074" t="str">
        <f>HYPERLINK("https://twitter.com/nico_1878","@nico_1878")</f>
        <v>@nico_1878</v>
      </c>
      <c r="C14074" t="s">
        <v>7248</v>
      </c>
      <c r="D14074">
        <v>0</v>
      </c>
      <c r="E14074">
        <v>0</v>
      </c>
      <c r="F14074">
        <v>464</v>
      </c>
    </row>
    <row r="14075" spans="1:6" ht="12.75">
      <c r="A14075" s="2">
        <v>43878.904398148152</v>
      </c>
      <c r="B14075" t="str">
        <f>HYPERLINK("https://twitter.com/Sadewazero","@Sadewazero")</f>
        <v>@Sadewazero</v>
      </c>
      <c r="C14075" t="s">
        <v>7249</v>
      </c>
      <c r="D14075">
        <v>0</v>
      </c>
      <c r="E14075">
        <v>0</v>
      </c>
      <c r="F14075">
        <v>149</v>
      </c>
    </row>
    <row r="14076" spans="1:6" ht="12.75">
      <c r="A14076" s="2">
        <v>43878.904189814813</v>
      </c>
      <c r="B14076" t="str">
        <f>HYPERLINK("https://twitter.com/KompasEkonomi","@KompasEkonomi")</f>
        <v>@KompasEkonomi</v>
      </c>
      <c r="C14076" t="s">
        <v>7250</v>
      </c>
      <c r="D14076">
        <v>0</v>
      </c>
      <c r="E14076">
        <v>1</v>
      </c>
      <c r="F14076">
        <v>32774</v>
      </c>
    </row>
    <row r="14077" spans="1:6" ht="12.75">
      <c r="A14077" s="2">
        <v>43878.904039351852</v>
      </c>
      <c r="B14077" t="str">
        <f>HYPERLINK("https://twitter.com/eyang_owi","@eyang_owi")</f>
        <v>@eyang_owi</v>
      </c>
      <c r="C14077" t="s">
        <v>2155</v>
      </c>
      <c r="D14077">
        <v>387</v>
      </c>
      <c r="E14077">
        <v>0</v>
      </c>
      <c r="F14077">
        <v>130</v>
      </c>
    </row>
    <row r="14078" spans="1:6" ht="12.75">
      <c r="A14078" s="2">
        <v>43878.904016203705</v>
      </c>
      <c r="B14078" t="str">
        <f>HYPERLINK("https://twitter.com/joshku","@joshku")</f>
        <v>@joshku</v>
      </c>
      <c r="C14078" t="s">
        <v>7251</v>
      </c>
      <c r="D14078">
        <v>5</v>
      </c>
      <c r="E14078">
        <v>0</v>
      </c>
      <c r="F14078">
        <v>310</v>
      </c>
    </row>
    <row r="14079" spans="1:6" ht="12.75">
      <c r="A14079" s="2">
        <v>43878.903784722221</v>
      </c>
      <c r="B14079" t="str">
        <f>HYPERLINK("https://twitter.com/Eddoludwig1","@Eddoludwig1")</f>
        <v>@Eddoludwig1</v>
      </c>
      <c r="C14079" t="s">
        <v>2155</v>
      </c>
      <c r="D14079">
        <v>387</v>
      </c>
      <c r="E14079">
        <v>0</v>
      </c>
      <c r="F14079">
        <v>348</v>
      </c>
    </row>
    <row r="14080" spans="1:6" ht="12.75">
      <c r="A14080" s="2">
        <v>43878.90347222222</v>
      </c>
      <c r="B14080" t="str">
        <f>HYPERLINK("https://twitter.com/Procrastinato_r","@Procrastinato_r")</f>
        <v>@Procrastinato_r</v>
      </c>
      <c r="C14080" t="s">
        <v>6236</v>
      </c>
      <c r="D14080">
        <v>46</v>
      </c>
      <c r="E14080">
        <v>0</v>
      </c>
      <c r="F14080">
        <v>29</v>
      </c>
    </row>
    <row r="14081" spans="1:6" ht="12.75">
      <c r="A14081" s="2">
        <v>43878.903310185182</v>
      </c>
      <c r="B14081" t="str">
        <f>HYPERLINK("https://twitter.com/AbidinZnl","@AbidinZnl")</f>
        <v>@AbidinZnl</v>
      </c>
      <c r="C14081" t="s">
        <v>6161</v>
      </c>
      <c r="D14081">
        <v>317</v>
      </c>
      <c r="E14081">
        <v>0</v>
      </c>
      <c r="F14081">
        <v>1241</v>
      </c>
    </row>
    <row r="14082" spans="1:6" ht="12.75">
      <c r="A14082" s="2">
        <v>43878.903275462959</v>
      </c>
      <c r="B14082" t="str">
        <f>HYPERLINK("https://twitter.com/CarikeadilanDi","@CarikeadilanDi")</f>
        <v>@CarikeadilanDi</v>
      </c>
      <c r="C14082" t="s">
        <v>7252</v>
      </c>
      <c r="D14082">
        <v>0</v>
      </c>
      <c r="E14082">
        <v>0</v>
      </c>
      <c r="F14082">
        <v>506</v>
      </c>
    </row>
    <row r="14083" spans="1:6" ht="12.75">
      <c r="A14083" s="2">
        <v>43878.902974537035</v>
      </c>
      <c r="B14083" t="str">
        <f>HYPERLINK("https://twitter.com/JatimKita","@JatimKita")</f>
        <v>@JatimKita</v>
      </c>
      <c r="C14083" t="s">
        <v>7253</v>
      </c>
      <c r="D14083">
        <v>0</v>
      </c>
      <c r="E14083">
        <v>0</v>
      </c>
      <c r="F14083">
        <v>1387</v>
      </c>
    </row>
    <row r="14084" spans="1:6" ht="12.75">
      <c r="A14084" s="2">
        <v>43878.902928240743</v>
      </c>
      <c r="B14084" t="str">
        <f>HYPERLINK("https://twitter.com/kondekturbus_","@kondekturbus_")</f>
        <v>@kondekturbus_</v>
      </c>
      <c r="C14084" t="s">
        <v>7254</v>
      </c>
      <c r="D14084">
        <v>1</v>
      </c>
      <c r="E14084">
        <v>0</v>
      </c>
      <c r="F14084">
        <v>14118</v>
      </c>
    </row>
    <row r="14085" spans="1:6" ht="12.75">
      <c r="A14085" s="2">
        <v>43878.902905092589</v>
      </c>
      <c r="B14085" t="str">
        <f>HYPERLINK("https://twitter.com/Untung52643485","@Untung52643485")</f>
        <v>@Untung52643485</v>
      </c>
      <c r="C14085" t="s">
        <v>2155</v>
      </c>
      <c r="D14085">
        <v>387</v>
      </c>
      <c r="E14085">
        <v>0</v>
      </c>
      <c r="F14085">
        <v>57</v>
      </c>
    </row>
    <row r="14086" spans="1:6" ht="12.75">
      <c r="A14086" s="2">
        <v>43878.902638888889</v>
      </c>
      <c r="B14086" t="str">
        <f>HYPERLINK("https://twitter.com/IbnoeUmi","@IbnoeUmi")</f>
        <v>@IbnoeUmi</v>
      </c>
      <c r="C14086" t="s">
        <v>7255</v>
      </c>
      <c r="D14086">
        <v>23</v>
      </c>
      <c r="E14086">
        <v>0</v>
      </c>
      <c r="F14086">
        <v>13</v>
      </c>
    </row>
    <row r="14087" spans="1:6" ht="12.75">
      <c r="A14087" s="2">
        <v>43878.90247685185</v>
      </c>
      <c r="B14087" t="str">
        <f>HYPERLINK("https://twitter.com/Galileo01984","@Galileo01984")</f>
        <v>@Galileo01984</v>
      </c>
      <c r="C14087" t="s">
        <v>4975</v>
      </c>
      <c r="D14087">
        <v>130</v>
      </c>
      <c r="E14087">
        <v>0</v>
      </c>
      <c r="F14087">
        <v>42</v>
      </c>
    </row>
    <row r="14088" spans="1:6" ht="12.75">
      <c r="A14088" s="2">
        <v>43878.902453703704</v>
      </c>
      <c r="B14088" t="str">
        <f>HYPERLINK("https://twitter.com/IbnoeUmi","@IbnoeUmi")</f>
        <v>@IbnoeUmi</v>
      </c>
      <c r="C14088" t="s">
        <v>7256</v>
      </c>
      <c r="D14088">
        <v>25</v>
      </c>
      <c r="E14088">
        <v>0</v>
      </c>
      <c r="F14088">
        <v>13</v>
      </c>
    </row>
    <row r="14089" spans="1:6" ht="12.75">
      <c r="A14089" s="2">
        <v>43878.902453703704</v>
      </c>
      <c r="B14089" t="str">
        <f>HYPERLINK("https://twitter.com/BuanaKhan","@BuanaKhan")</f>
        <v>@BuanaKhan</v>
      </c>
      <c r="C14089" t="s">
        <v>7257</v>
      </c>
      <c r="D14089">
        <v>0</v>
      </c>
      <c r="E14089">
        <v>0</v>
      </c>
      <c r="F14089">
        <v>208</v>
      </c>
    </row>
    <row r="14090" spans="1:6" ht="12.75">
      <c r="A14090" s="2">
        <v>43878.90225694445</v>
      </c>
      <c r="B14090" t="str">
        <f>HYPERLINK("https://twitter.com/IbnoeUmi","@IbnoeUmi")</f>
        <v>@IbnoeUmi</v>
      </c>
      <c r="C14090" t="s">
        <v>7258</v>
      </c>
      <c r="D14090">
        <v>21</v>
      </c>
      <c r="E14090">
        <v>0</v>
      </c>
      <c r="F14090">
        <v>13</v>
      </c>
    </row>
    <row r="14091" spans="1:6" ht="12.75">
      <c r="A14091" s="2">
        <v>43878.90216435185</v>
      </c>
      <c r="B14091" t="str">
        <f>HYPERLINK("https://twitter.com/KRobet02","@KRobet02")</f>
        <v>@KRobet02</v>
      </c>
      <c r="C14091" t="s">
        <v>7259</v>
      </c>
      <c r="D14091">
        <v>51</v>
      </c>
      <c r="E14091">
        <v>0</v>
      </c>
      <c r="F14091">
        <v>263</v>
      </c>
    </row>
    <row r="14092" spans="1:6" ht="12.75">
      <c r="A14092" s="2">
        <v>43878.902118055557</v>
      </c>
      <c r="B14092" t="str">
        <f>HYPERLINK("https://twitter.com/SurabayaKita","@SurabayaKita")</f>
        <v>@SurabayaKita</v>
      </c>
      <c r="C14092" t="s">
        <v>7253</v>
      </c>
      <c r="D14092">
        <v>0</v>
      </c>
      <c r="E14092">
        <v>0</v>
      </c>
      <c r="F14092">
        <v>3399</v>
      </c>
    </row>
    <row r="14093" spans="1:6" ht="12.75">
      <c r="A14093" s="2">
        <v>43878.901516203703</v>
      </c>
      <c r="B14093" t="str">
        <f>HYPERLINK("https://twitter.com/AriAs16981055","@AriAs16981055")</f>
        <v>@AriAs16981055</v>
      </c>
      <c r="C14093" t="s">
        <v>6161</v>
      </c>
      <c r="D14093">
        <v>317</v>
      </c>
      <c r="E14093">
        <v>0</v>
      </c>
      <c r="F14093">
        <v>248</v>
      </c>
    </row>
    <row r="14094" spans="1:6" ht="12.75">
      <c r="A14094" s="2">
        <v>43878.901365740741</v>
      </c>
      <c r="B14094" t="str">
        <f>HYPERLINK("https://twitter.com/junregar30","@junregar30")</f>
        <v>@junregar30</v>
      </c>
      <c r="C14094" t="s">
        <v>7260</v>
      </c>
      <c r="D14094">
        <v>0</v>
      </c>
      <c r="E14094">
        <v>0</v>
      </c>
      <c r="F14094">
        <v>187</v>
      </c>
    </row>
    <row r="14095" spans="1:6" ht="12.75">
      <c r="A14095" s="2">
        <v>43878.90121527778</v>
      </c>
      <c r="B14095" t="str">
        <f>HYPERLINK("https://twitter.com/dwytono","@dwytono")</f>
        <v>@dwytono</v>
      </c>
      <c r="C14095" t="s">
        <v>7223</v>
      </c>
      <c r="D14095">
        <v>2</v>
      </c>
      <c r="E14095">
        <v>0</v>
      </c>
      <c r="F14095">
        <v>1860</v>
      </c>
    </row>
    <row r="14096" spans="1:6" ht="12.75">
      <c r="A14096" s="2">
        <v>43878.901076388887</v>
      </c>
      <c r="B14096" t="str">
        <f>HYPERLINK("https://twitter.com/pion_praponco","@pion_praponco")</f>
        <v>@pion_praponco</v>
      </c>
      <c r="C14096" t="s">
        <v>4975</v>
      </c>
      <c r="D14096">
        <v>130</v>
      </c>
      <c r="E14096">
        <v>0</v>
      </c>
      <c r="F14096">
        <v>793</v>
      </c>
    </row>
    <row r="14097" spans="1:6" ht="12.75">
      <c r="A14097" s="2">
        <v>43878.900844907403</v>
      </c>
      <c r="B14097" t="str">
        <f>HYPERLINK("https://twitter.com/shiningcrush_","@shiningcrush_")</f>
        <v>@shiningcrush_</v>
      </c>
      <c r="C14097" t="s">
        <v>3525</v>
      </c>
      <c r="D14097">
        <v>4</v>
      </c>
      <c r="E14097">
        <v>0</v>
      </c>
      <c r="F14097">
        <v>1353</v>
      </c>
    </row>
    <row r="14098" spans="1:6" ht="12.75">
      <c r="A14098" s="2">
        <v>43878.900694444441</v>
      </c>
      <c r="B14098" t="str">
        <f>HYPERLINK("https://twitter.com/shiv_g_g","@shiv_g_g")</f>
        <v>@shiv_g_g</v>
      </c>
      <c r="C14098" t="s">
        <v>6236</v>
      </c>
      <c r="D14098">
        <v>46</v>
      </c>
      <c r="E14098">
        <v>0</v>
      </c>
      <c r="F14098">
        <v>623</v>
      </c>
    </row>
    <row r="14099" spans="1:6" ht="12.75">
      <c r="A14099" s="2">
        <v>43878.900624999995</v>
      </c>
      <c r="B14099" t="str">
        <f>HYPERLINK("https://twitter.com/dzulkarnains","@dzulkarnains")</f>
        <v>@dzulkarnains</v>
      </c>
      <c r="C14099" t="s">
        <v>6161</v>
      </c>
      <c r="D14099">
        <v>317</v>
      </c>
      <c r="E14099">
        <v>0</v>
      </c>
      <c r="F14099">
        <v>875</v>
      </c>
    </row>
    <row r="14100" spans="1:6" ht="12.75">
      <c r="A14100" s="2">
        <v>43878.900462962964</v>
      </c>
      <c r="B14100" t="str">
        <f>HYPERLINK("https://twitter.com/ANIL_7007","@ANIL_7007")</f>
        <v>@ANIL_7007</v>
      </c>
      <c r="C14100" t="s">
        <v>6236</v>
      </c>
      <c r="D14100">
        <v>46</v>
      </c>
      <c r="E14100">
        <v>0</v>
      </c>
      <c r="F14100">
        <v>273</v>
      </c>
    </row>
    <row r="14101" spans="1:6" ht="12.75">
      <c r="A14101" s="2">
        <v>43878.900416666671</v>
      </c>
      <c r="B14101" t="str">
        <f>HYPERLINK("https://twitter.com/Kelik_Es","@Kelik_Es")</f>
        <v>@Kelik_Es</v>
      </c>
      <c r="C14101" t="s">
        <v>2155</v>
      </c>
      <c r="D14101">
        <v>387</v>
      </c>
      <c r="E14101">
        <v>0</v>
      </c>
      <c r="F14101">
        <v>3928</v>
      </c>
    </row>
    <row r="14102" spans="1:6" ht="12.75">
      <c r="A14102" s="2">
        <v>43878.900254629625</v>
      </c>
      <c r="B14102" t="str">
        <f>HYPERLINK("https://twitter.com/VivaINDONESIA","@VivaINDONESIA")</f>
        <v>@VivaINDONESIA</v>
      </c>
      <c r="C14102" t="s">
        <v>7253</v>
      </c>
      <c r="D14102">
        <v>0</v>
      </c>
      <c r="E14102">
        <v>0</v>
      </c>
      <c r="F14102">
        <v>1005</v>
      </c>
    </row>
    <row r="14103" spans="1:6" ht="12.75">
      <c r="A14103" s="2">
        <v>43878.900046296301</v>
      </c>
      <c r="B14103" t="str">
        <f>HYPERLINK("https://twitter.com/KRobet02","@KRobet02")</f>
        <v>@KRobet02</v>
      </c>
      <c r="C14103" t="s">
        <v>7261</v>
      </c>
      <c r="D14103">
        <v>111</v>
      </c>
      <c r="E14103">
        <v>0</v>
      </c>
      <c r="F14103">
        <v>263</v>
      </c>
    </row>
    <row r="14104" spans="1:6" ht="12.75">
      <c r="A14104" s="2">
        <v>43878.900023148148</v>
      </c>
      <c r="B14104" t="str">
        <f>HYPERLINK("https://twitter.com/ryanxyz","@ryanxyz")</f>
        <v>@ryanxyz</v>
      </c>
      <c r="C14104" t="s">
        <v>2155</v>
      </c>
      <c r="D14104">
        <v>387</v>
      </c>
      <c r="E14104">
        <v>0</v>
      </c>
      <c r="F14104">
        <v>1208</v>
      </c>
    </row>
    <row r="14105" spans="1:6" ht="12.75">
      <c r="A14105" s="2">
        <v>43878.89907407407</v>
      </c>
      <c r="B14105" t="str">
        <f>HYPERLINK("https://twitter.com/snjayajonggrang","@snjayajonggrang")</f>
        <v>@snjayajonggrang</v>
      </c>
      <c r="C14105" t="s">
        <v>7262</v>
      </c>
      <c r="D14105">
        <v>2</v>
      </c>
      <c r="E14105">
        <v>0</v>
      </c>
      <c r="F14105">
        <v>3815</v>
      </c>
    </row>
    <row r="14106" spans="1:6" ht="12.75">
      <c r="A14106" s="2">
        <v>43878.898842592593</v>
      </c>
      <c r="B14106" t="str">
        <f>HYPERLINK("https://twitter.com/KRobet02","@KRobet02")</f>
        <v>@KRobet02</v>
      </c>
      <c r="C14106" t="s">
        <v>7263</v>
      </c>
      <c r="D14106">
        <v>12</v>
      </c>
      <c r="E14106">
        <v>0</v>
      </c>
      <c r="F14106">
        <v>263</v>
      </c>
    </row>
    <row r="14107" spans="1:6" ht="12.75">
      <c r="A14107" s="2">
        <v>43878.898738425924</v>
      </c>
      <c r="B14107" t="str">
        <f>HYPERLINK("https://twitter.com/ditagar","@ditagar")</f>
        <v>@ditagar</v>
      </c>
      <c r="C14107" t="s">
        <v>7264</v>
      </c>
      <c r="D14107">
        <v>0</v>
      </c>
      <c r="E14107">
        <v>0</v>
      </c>
      <c r="F14107">
        <v>78</v>
      </c>
    </row>
    <row r="14108" spans="1:6" ht="12.75">
      <c r="A14108" s="2">
        <v>43878.898738425924</v>
      </c>
      <c r="B14108" t="str">
        <f>HYPERLINK("https://twitter.com/Nitizen_Zen","@Nitizen_Zen")</f>
        <v>@Nitizen_Zen</v>
      </c>
      <c r="C14108" t="s">
        <v>6989</v>
      </c>
      <c r="D14108">
        <v>237</v>
      </c>
      <c r="E14108">
        <v>0</v>
      </c>
      <c r="F14108">
        <v>456</v>
      </c>
    </row>
    <row r="14109" spans="1:6" ht="12.75">
      <c r="A14109" s="2">
        <v>43878.876597222217</v>
      </c>
      <c r="B14109" t="str">
        <f>HYPERLINK("https://twitter.com/Rido_Lizze","@Rido_Lizze")</f>
        <v>@Rido_Lizze</v>
      </c>
      <c r="C14109" t="s">
        <v>6990</v>
      </c>
      <c r="D14109">
        <v>4</v>
      </c>
      <c r="E14109">
        <v>0</v>
      </c>
      <c r="F14109">
        <v>1306</v>
      </c>
    </row>
    <row r="14110" spans="1:6" ht="12.75">
      <c r="A14110" s="2">
        <v>43878.876435185186</v>
      </c>
      <c r="B14110" t="str">
        <f>HYPERLINK("https://twitter.com/sarjoko_adi","@sarjoko_adi")</f>
        <v>@sarjoko_adi</v>
      </c>
      <c r="C14110" t="s">
        <v>7265</v>
      </c>
      <c r="D14110">
        <v>0</v>
      </c>
      <c r="E14110">
        <v>0</v>
      </c>
      <c r="F14110">
        <v>24</v>
      </c>
    </row>
    <row r="14111" spans="1:6" ht="12.75">
      <c r="A14111" s="2">
        <v>43878.876412037032</v>
      </c>
      <c r="B14111" t="str">
        <f>HYPERLINK("https://twitter.com/bangkitriambada","@bangkitriambada")</f>
        <v>@bangkitriambada</v>
      </c>
      <c r="C14111" t="s">
        <v>7266</v>
      </c>
      <c r="D14111">
        <v>3</v>
      </c>
      <c r="E14111">
        <v>0</v>
      </c>
      <c r="F14111">
        <v>196</v>
      </c>
    </row>
    <row r="14112" spans="1:6" ht="12.75">
      <c r="A14112" s="2">
        <v>43878.876400462963</v>
      </c>
      <c r="B14112" t="str">
        <f>HYPERLINK("https://twitter.com/snjayajonggrang","@snjayajonggrang")</f>
        <v>@snjayajonggrang</v>
      </c>
      <c r="C14112" t="s">
        <v>7267</v>
      </c>
      <c r="D14112">
        <v>1</v>
      </c>
      <c r="E14112">
        <v>0</v>
      </c>
      <c r="F14112">
        <v>3812</v>
      </c>
    </row>
    <row r="14113" spans="1:6" ht="12.75">
      <c r="A14113" s="2">
        <v>43878.876273148147</v>
      </c>
      <c r="B14113" t="str">
        <f>HYPERLINK("https://twitter.com/Tommy11Dima","@Tommy11Dima")</f>
        <v>@Tommy11Dima</v>
      </c>
      <c r="C14113" t="s">
        <v>2674</v>
      </c>
      <c r="D14113">
        <v>85</v>
      </c>
      <c r="E14113">
        <v>0</v>
      </c>
      <c r="F14113">
        <v>170</v>
      </c>
    </row>
    <row r="14114" spans="1:6" ht="12.75">
      <c r="A14114" s="2">
        <v>43878.876168981486</v>
      </c>
      <c r="B14114" t="str">
        <f>HYPERLINK("https://twitter.com/jawapos","@jawapos")</f>
        <v>@jawapos</v>
      </c>
      <c r="C14114" t="s">
        <v>4862</v>
      </c>
      <c r="D14114">
        <v>0</v>
      </c>
      <c r="E14114">
        <v>1</v>
      </c>
      <c r="F14114">
        <v>117941</v>
      </c>
    </row>
    <row r="14115" spans="1:6" ht="12.75">
      <c r="A14115" s="2">
        <v>43878.875810185185</v>
      </c>
      <c r="B14115" t="str">
        <f>HYPERLINK("https://twitter.com/Riaaindrawan","@Riaaindrawan")</f>
        <v>@Riaaindrawan</v>
      </c>
      <c r="C14115" t="s">
        <v>175</v>
      </c>
      <c r="D14115">
        <v>5391</v>
      </c>
      <c r="E14115">
        <v>0</v>
      </c>
      <c r="F14115">
        <v>570</v>
      </c>
    </row>
    <row r="14116" spans="1:6" ht="12.75">
      <c r="A14116" s="2">
        <v>43878.875706018516</v>
      </c>
      <c r="B14116" t="str">
        <f>HYPERLINK("https://twitter.com/takbobo12","@takbobo12")</f>
        <v>@takbobo12</v>
      </c>
      <c r="C14116" t="s">
        <v>6721</v>
      </c>
      <c r="D14116">
        <v>365</v>
      </c>
      <c r="E14116">
        <v>0</v>
      </c>
      <c r="F14116">
        <v>87</v>
      </c>
    </row>
    <row r="14117" spans="1:6" ht="12.75">
      <c r="A14117" s="2">
        <v>43878.875625000001</v>
      </c>
      <c r="B14117" t="str">
        <f>HYPERLINK("https://twitter.com/SukitmanS","@SukitmanS")</f>
        <v>@SukitmanS</v>
      </c>
      <c r="C14117" t="s">
        <v>7268</v>
      </c>
      <c r="D14117">
        <v>3</v>
      </c>
      <c r="E14117">
        <v>0</v>
      </c>
      <c r="F14117">
        <v>99</v>
      </c>
    </row>
    <row r="14118" spans="1:6" ht="12.75">
      <c r="A14118" s="2">
        <v>43878.875520833331</v>
      </c>
      <c r="B14118" t="str">
        <f>HYPERLINK("https://twitter.com/bangkitriambada","@bangkitriambada")</f>
        <v>@bangkitriambada</v>
      </c>
      <c r="C14118" t="s">
        <v>7269</v>
      </c>
      <c r="D14118">
        <v>2</v>
      </c>
      <c r="E14118">
        <v>0</v>
      </c>
      <c r="F14118">
        <v>196</v>
      </c>
    </row>
    <row r="14119" spans="1:6" ht="12.75">
      <c r="A14119" s="2">
        <v>43878.875497685185</v>
      </c>
      <c r="B14119" t="str">
        <f>HYPERLINK("https://twitter.com/Bubut871","@Bubut871")</f>
        <v>@Bubut871</v>
      </c>
      <c r="C14119" t="s">
        <v>2155</v>
      </c>
      <c r="D14119">
        <v>361</v>
      </c>
      <c r="E14119">
        <v>0</v>
      </c>
      <c r="F14119">
        <v>1632</v>
      </c>
    </row>
    <row r="14120" spans="1:6" ht="12.75">
      <c r="A14120" s="2">
        <v>43878.875405092593</v>
      </c>
      <c r="B14120" t="str">
        <f>HYPERLINK("https://twitter.com/AgusAwe","@AgusAwe")</f>
        <v>@AgusAwe</v>
      </c>
      <c r="C14120" t="s">
        <v>7270</v>
      </c>
      <c r="D14120">
        <v>0</v>
      </c>
      <c r="E14120">
        <v>0</v>
      </c>
      <c r="F14120">
        <v>2000</v>
      </c>
    </row>
    <row r="14121" spans="1:6" ht="12.75">
      <c r="A14121" s="2">
        <v>43878.875138888892</v>
      </c>
      <c r="B14121" t="str">
        <f>HYPERLINK("https://twitter.com/indonesianest45","@indonesianest45")</f>
        <v>@indonesianest45</v>
      </c>
      <c r="C14121" t="s">
        <v>7271</v>
      </c>
      <c r="D14121">
        <v>0</v>
      </c>
      <c r="E14121">
        <v>0</v>
      </c>
      <c r="F14121">
        <v>162</v>
      </c>
    </row>
    <row r="14122" spans="1:6" ht="12.75">
      <c r="A14122" s="2">
        <v>43878.875138888892</v>
      </c>
      <c r="B14122" t="str">
        <f>HYPERLINK("https://twitter.com/bestlegendman1","@bestlegendman1")</f>
        <v>@bestlegendman1</v>
      </c>
      <c r="C14122" t="s">
        <v>7272</v>
      </c>
      <c r="D14122">
        <v>0</v>
      </c>
      <c r="E14122">
        <v>0</v>
      </c>
      <c r="F14122">
        <v>96</v>
      </c>
    </row>
    <row r="14123" spans="1:6" ht="12.75">
      <c r="A14123" s="2">
        <v>43878.875023148154</v>
      </c>
      <c r="B14123" t="str">
        <f>HYPERLINK("https://twitter.com/nasuhaalii","@nasuhaalii")</f>
        <v>@nasuhaalii</v>
      </c>
      <c r="C14123" t="s">
        <v>7273</v>
      </c>
      <c r="D14123">
        <v>0</v>
      </c>
      <c r="E14123">
        <v>0</v>
      </c>
      <c r="F14123">
        <v>1141</v>
      </c>
    </row>
    <row r="14124" spans="1:6" ht="12.75">
      <c r="A14124" s="2">
        <v>43878.874861111108</v>
      </c>
      <c r="B14124" t="str">
        <f>HYPERLINK("https://twitter.com/FuaHendrikus","@FuaHendrikus")</f>
        <v>@FuaHendrikus</v>
      </c>
      <c r="C14124" t="s">
        <v>2155</v>
      </c>
      <c r="D14124">
        <v>361</v>
      </c>
      <c r="E14124">
        <v>0</v>
      </c>
      <c r="F14124">
        <v>9</v>
      </c>
    </row>
    <row r="14125" spans="1:6" ht="12.75">
      <c r="A14125" s="2">
        <v>43878.8747337963</v>
      </c>
      <c r="B14125" t="str">
        <f>HYPERLINK("https://twitter.com/atiny5422gmail1","@atiny5422gmail1")</f>
        <v>@atiny5422gmail1</v>
      </c>
      <c r="C14125" t="s">
        <v>4975</v>
      </c>
      <c r="D14125">
        <v>114</v>
      </c>
      <c r="E14125">
        <v>0</v>
      </c>
      <c r="F14125">
        <v>5</v>
      </c>
    </row>
    <row r="14126" spans="1:6" ht="12.75">
      <c r="A14126" s="2">
        <v>43878.874710648146</v>
      </c>
      <c r="B14126" t="str">
        <f>HYPERLINK("https://twitter.com/AnugrahFitrah1","@AnugrahFitrah1")</f>
        <v>@AnugrahFitrah1</v>
      </c>
      <c r="C14126" t="s">
        <v>4975</v>
      </c>
      <c r="D14126">
        <v>114</v>
      </c>
      <c r="E14126">
        <v>0</v>
      </c>
      <c r="F14126">
        <v>704</v>
      </c>
    </row>
    <row r="14127" spans="1:6" ht="12.75">
      <c r="A14127" s="2">
        <v>43878.874699074076</v>
      </c>
      <c r="B14127" t="str">
        <f>HYPERLINK("https://twitter.com/KadrunHunter99","@KadrunHunter99")</f>
        <v>@KadrunHunter99</v>
      </c>
      <c r="C14127" t="s">
        <v>7274</v>
      </c>
      <c r="D14127">
        <v>2</v>
      </c>
      <c r="E14127">
        <v>0</v>
      </c>
      <c r="F14127">
        <v>3990</v>
      </c>
    </row>
    <row r="14128" spans="1:6" ht="12.75">
      <c r="A14128" s="2">
        <v>43878.874513888892</v>
      </c>
      <c r="B14128" t="str">
        <f>HYPERLINK("https://twitter.com/audryniaa","@audryniaa")</f>
        <v>@audryniaa</v>
      </c>
      <c r="C14128" t="s">
        <v>7275</v>
      </c>
      <c r="D14128">
        <v>0</v>
      </c>
      <c r="E14128">
        <v>0</v>
      </c>
      <c r="F14128">
        <v>11</v>
      </c>
    </row>
    <row r="14129" spans="1:6" ht="12.75">
      <c r="A14129" s="2">
        <v>43878.874456018515</v>
      </c>
      <c r="B14129" t="str">
        <f>HYPERLINK("https://twitter.com/yourqueenesther","@yourqueenesther")</f>
        <v>@yourqueenesther</v>
      </c>
      <c r="C14129" t="s">
        <v>5406</v>
      </c>
      <c r="D14129">
        <v>14</v>
      </c>
      <c r="E14129">
        <v>0</v>
      </c>
      <c r="F14129">
        <v>127</v>
      </c>
    </row>
    <row r="14130" spans="1:6" ht="12.75">
      <c r="A14130" s="2">
        <v>43878.874259259261</v>
      </c>
      <c r="B14130" t="str">
        <f>HYPERLINK("https://twitter.com/SaputraSuteja","@SaputraSuteja")</f>
        <v>@SaputraSuteja</v>
      </c>
      <c r="C14130" t="s">
        <v>6990</v>
      </c>
      <c r="D14130">
        <v>4</v>
      </c>
      <c r="E14130">
        <v>0</v>
      </c>
      <c r="F14130">
        <v>727</v>
      </c>
    </row>
    <row r="14131" spans="1:6" ht="12.75">
      <c r="A14131" s="2">
        <v>43878.874212962968</v>
      </c>
      <c r="B14131" t="str">
        <f>HYPERLINK("https://twitter.com/senjabaratdaya","@senjabaratdaya")</f>
        <v>@senjabaratdaya</v>
      </c>
      <c r="C14131" t="s">
        <v>7276</v>
      </c>
      <c r="D14131">
        <v>0</v>
      </c>
      <c r="E14131">
        <v>0</v>
      </c>
      <c r="F14131">
        <v>226</v>
      </c>
    </row>
    <row r="14132" spans="1:6" ht="12.75">
      <c r="A14132" s="2">
        <v>43878.873935185184</v>
      </c>
      <c r="B14132" t="str">
        <f>HYPERLINK("https://twitter.com/bestlegendman1","@bestlegendman1")</f>
        <v>@bestlegendman1</v>
      </c>
      <c r="C14132" t="s">
        <v>7277</v>
      </c>
      <c r="D14132">
        <v>0</v>
      </c>
      <c r="E14132">
        <v>1</v>
      </c>
      <c r="F14132">
        <v>96</v>
      </c>
    </row>
    <row r="14133" spans="1:6" ht="12.75">
      <c r="A14133" s="2">
        <v>43878.873668981483</v>
      </c>
      <c r="B14133" t="str">
        <f>HYPERLINK("https://twitter.com/Aboriginandind1","@Aboriginandind1")</f>
        <v>@Aboriginandind1</v>
      </c>
      <c r="C14133" t="s">
        <v>7278</v>
      </c>
      <c r="D14133">
        <v>0</v>
      </c>
      <c r="E14133">
        <v>0</v>
      </c>
      <c r="F14133">
        <v>12</v>
      </c>
    </row>
    <row r="14134" spans="1:6" ht="12.75">
      <c r="A14134" s="2">
        <v>43878.873599537037</v>
      </c>
      <c r="B14134" t="str">
        <f>HYPERLINK("https://twitter.com/AdiJatmiko999","@AdiJatmiko999")</f>
        <v>@AdiJatmiko999</v>
      </c>
      <c r="C14134" t="s">
        <v>7279</v>
      </c>
      <c r="D14134">
        <v>0</v>
      </c>
      <c r="E14134">
        <v>0</v>
      </c>
      <c r="F14134">
        <v>2</v>
      </c>
    </row>
    <row r="14135" spans="1:6" ht="12.75">
      <c r="A14135" s="2">
        <v>43878.873564814814</v>
      </c>
      <c r="B14135" t="str">
        <f>HYPERLINK("https://twitter.com/avoenger","@avoenger")</f>
        <v>@avoenger</v>
      </c>
      <c r="C14135" t="s">
        <v>7280</v>
      </c>
      <c r="D14135">
        <v>0</v>
      </c>
      <c r="E14135">
        <v>0</v>
      </c>
      <c r="F14135">
        <v>8175</v>
      </c>
    </row>
    <row r="14136" spans="1:6" ht="12.75">
      <c r="A14136" s="2">
        <v>43878.873518518521</v>
      </c>
      <c r="B14136" t="str">
        <f>HYPERLINK("https://twitter.com/H4l1mun_D1n61n","@H4l1mun_D1n61n")</f>
        <v>@H4l1mun_D1n61n</v>
      </c>
      <c r="C14136" t="s">
        <v>7281</v>
      </c>
      <c r="D14136">
        <v>1</v>
      </c>
      <c r="E14136">
        <v>3</v>
      </c>
      <c r="F14136">
        <v>3599</v>
      </c>
    </row>
    <row r="14137" spans="1:6" ht="12.75">
      <c r="A14137" s="2">
        <v>43878.872777777782</v>
      </c>
      <c r="B14137" t="str">
        <f>HYPERLINK("https://twitter.com/hericz","@hericz")</f>
        <v>@hericz</v>
      </c>
      <c r="C14137" t="s">
        <v>7282</v>
      </c>
      <c r="D14137">
        <v>0</v>
      </c>
      <c r="E14137">
        <v>0</v>
      </c>
      <c r="F14137">
        <v>1290</v>
      </c>
    </row>
    <row r="14138" spans="1:6" ht="12.75">
      <c r="A14138" s="2">
        <v>43878.872685185182</v>
      </c>
      <c r="B14138" t="str">
        <f>HYPERLINK("https://twitter.com/CVO_II","@CVO_II")</f>
        <v>@CVO_II</v>
      </c>
      <c r="C14138" t="s">
        <v>7283</v>
      </c>
      <c r="D14138">
        <v>3</v>
      </c>
      <c r="E14138">
        <v>0</v>
      </c>
      <c r="F14138">
        <v>777</v>
      </c>
    </row>
    <row r="14139" spans="1:6" ht="12.75">
      <c r="A14139" s="2">
        <v>43878.872523148151</v>
      </c>
      <c r="B14139" t="str">
        <f>HYPERLINK("https://twitter.com/IMRONBIAN","@IMRONBIAN")</f>
        <v>@IMRONBIAN</v>
      </c>
      <c r="C14139" t="s">
        <v>4975</v>
      </c>
      <c r="D14139">
        <v>114</v>
      </c>
      <c r="E14139">
        <v>0</v>
      </c>
      <c r="F14139">
        <v>543</v>
      </c>
    </row>
    <row r="14140" spans="1:6" ht="12.75">
      <c r="A14140" s="2">
        <v>43878.871990740736</v>
      </c>
      <c r="B14140" t="str">
        <f>HYPERLINK("https://twitter.com/reconWaRRioRs","@reconWaRRioRs")</f>
        <v>@reconWaRRioRs</v>
      </c>
      <c r="C14140" t="s">
        <v>7284</v>
      </c>
      <c r="D14140">
        <v>0</v>
      </c>
      <c r="E14140">
        <v>0</v>
      </c>
      <c r="F14140">
        <v>88</v>
      </c>
    </row>
    <row r="14141" spans="1:6" ht="12.75">
      <c r="A14141" s="2">
        <v>43878.871516203704</v>
      </c>
      <c r="B14141" t="str">
        <f>HYPERLINK("https://twitter.com/JurnalAsiaCom","@JurnalAsiaCom")</f>
        <v>@JurnalAsiaCom</v>
      </c>
      <c r="C14141" t="s">
        <v>7285</v>
      </c>
      <c r="D14141">
        <v>0</v>
      </c>
      <c r="E14141">
        <v>0</v>
      </c>
      <c r="F14141">
        <v>492</v>
      </c>
    </row>
    <row r="14142" spans="1:6" ht="12.75">
      <c r="A14142" s="2">
        <v>43878.871423611112</v>
      </c>
      <c r="B14142" t="str">
        <f>HYPERLINK("https://twitter.com/Anaksemut4","@Anaksemut4")</f>
        <v>@Anaksemut4</v>
      </c>
      <c r="C14142" t="s">
        <v>6990</v>
      </c>
      <c r="D14142">
        <v>4</v>
      </c>
      <c r="E14142">
        <v>0</v>
      </c>
      <c r="F14142">
        <v>4084</v>
      </c>
    </row>
    <row r="14143" spans="1:6" ht="12.75">
      <c r="A14143" s="2">
        <v>43878.871412037042</v>
      </c>
      <c r="B14143" t="str">
        <f>HYPERLINK("https://twitter.com/wni_jmsri","@wni_jmsri")</f>
        <v>@wni_jmsri</v>
      </c>
      <c r="C14143" t="s">
        <v>7286</v>
      </c>
      <c r="D14143">
        <v>1175</v>
      </c>
      <c r="E14143">
        <v>0</v>
      </c>
      <c r="F14143">
        <v>194</v>
      </c>
    </row>
    <row r="14144" spans="1:6" ht="12.75">
      <c r="A14144" s="2">
        <v>43878.871412037042</v>
      </c>
      <c r="B14144" t="str">
        <f>HYPERLINK("https://twitter.com/FannySalen","@FannySalen")</f>
        <v>@FannySalen</v>
      </c>
      <c r="C14144" t="s">
        <v>6161</v>
      </c>
      <c r="D14144">
        <v>307</v>
      </c>
      <c r="E14144">
        <v>0</v>
      </c>
      <c r="F14144">
        <v>71</v>
      </c>
    </row>
    <row r="14145" spans="1:6" ht="12.75">
      <c r="A14145" s="2">
        <v>43878.871331018519</v>
      </c>
      <c r="B14145" t="str">
        <f>HYPERLINK("https://twitter.com/prawiro_warno","@prawiro_warno")</f>
        <v>@prawiro_warno</v>
      </c>
      <c r="C14145" t="s">
        <v>7283</v>
      </c>
      <c r="D14145">
        <v>3</v>
      </c>
      <c r="E14145">
        <v>0</v>
      </c>
      <c r="F14145">
        <v>596</v>
      </c>
    </row>
    <row r="14146" spans="1:6" ht="12.75">
      <c r="A14146" s="2">
        <v>43878.87128472222</v>
      </c>
      <c r="B14146" t="str">
        <f>HYPERLINK("https://twitter.com/amanidelm","@amanidelm")</f>
        <v>@amanidelm</v>
      </c>
      <c r="C14146" t="s">
        <v>2155</v>
      </c>
      <c r="D14146">
        <v>361</v>
      </c>
      <c r="E14146">
        <v>0</v>
      </c>
      <c r="F14146">
        <v>1941</v>
      </c>
    </row>
    <row r="14147" spans="1:6" ht="12.75">
      <c r="A14147" s="2">
        <v>43878.870983796296</v>
      </c>
      <c r="B14147" t="str">
        <f>HYPERLINK("https://twitter.com/Jokowi4Me","@Jokowi4Me")</f>
        <v>@Jokowi4Me</v>
      </c>
      <c r="C14147" t="s">
        <v>2963</v>
      </c>
      <c r="D14147">
        <v>1312</v>
      </c>
      <c r="E14147">
        <v>0</v>
      </c>
      <c r="F14147">
        <v>189465</v>
      </c>
    </row>
    <row r="14148" spans="1:6" ht="12.75">
      <c r="A14148" s="2">
        <v>43878.870891203704</v>
      </c>
      <c r="B14148" t="str">
        <f>HYPERLINK("https://twitter.com/alfanrahadi","@alfanrahadi")</f>
        <v>@alfanrahadi</v>
      </c>
      <c r="C14148" t="s">
        <v>6161</v>
      </c>
      <c r="D14148">
        <v>307</v>
      </c>
      <c r="E14148">
        <v>0</v>
      </c>
      <c r="F14148">
        <v>2096</v>
      </c>
    </row>
    <row r="14149" spans="1:6" ht="12.75">
      <c r="A14149" s="2">
        <v>43878.870856481481</v>
      </c>
      <c r="B14149" t="str">
        <f>HYPERLINK("https://twitter.com/rsmptr__","@rsmptr__")</f>
        <v>@rsmptr__</v>
      </c>
      <c r="C14149" t="s">
        <v>3340</v>
      </c>
      <c r="D14149">
        <v>268</v>
      </c>
      <c r="E14149">
        <v>0</v>
      </c>
      <c r="F14149">
        <v>156</v>
      </c>
    </row>
    <row r="14150" spans="1:6" ht="12.75">
      <c r="A14150" s="2">
        <v>43878.870578703703</v>
      </c>
      <c r="B14150" t="str">
        <f>HYPERLINK("https://twitter.com/bestlegendman1","@bestlegendman1")</f>
        <v>@bestlegendman1</v>
      </c>
      <c r="C14150" t="s">
        <v>7287</v>
      </c>
      <c r="D14150">
        <v>0</v>
      </c>
      <c r="E14150">
        <v>0</v>
      </c>
      <c r="F14150">
        <v>96</v>
      </c>
    </row>
    <row r="14151" spans="1:6" ht="12.75">
      <c r="A14151" s="2">
        <v>43878.870555555557</v>
      </c>
      <c r="B14151" t="str">
        <f>HYPERLINK("https://twitter.com/StopCrime7","@StopCrime7")</f>
        <v>@StopCrime7</v>
      </c>
      <c r="C14151" t="s">
        <v>7288</v>
      </c>
      <c r="D14151">
        <v>0</v>
      </c>
      <c r="E14151">
        <v>0</v>
      </c>
      <c r="F14151">
        <v>1</v>
      </c>
    </row>
    <row r="14152" spans="1:6" ht="12.75">
      <c r="A14152" s="2">
        <v>43878.870219907403</v>
      </c>
      <c r="B14152" t="str">
        <f>HYPERLINK("https://twitter.com/yogi2506","@yogi2506")</f>
        <v>@yogi2506</v>
      </c>
      <c r="C14152" t="s">
        <v>6161</v>
      </c>
      <c r="D14152">
        <v>307</v>
      </c>
      <c r="E14152">
        <v>0</v>
      </c>
      <c r="F14152">
        <v>513</v>
      </c>
    </row>
    <row r="14153" spans="1:6" ht="12.75">
      <c r="A14153" s="2">
        <v>43878.869513888887</v>
      </c>
      <c r="B14153" t="str">
        <f>HYPERLINK("https://twitter.com/mostradio1058fm","@mostradio1058fm")</f>
        <v>@mostradio1058fm</v>
      </c>
      <c r="C14153" t="s">
        <v>7289</v>
      </c>
      <c r="D14153">
        <v>0</v>
      </c>
      <c r="E14153">
        <v>0</v>
      </c>
      <c r="F14153">
        <v>75413</v>
      </c>
    </row>
    <row r="14154" spans="1:6" ht="12.75">
      <c r="A14154" s="2">
        <v>43878.869247685187</v>
      </c>
      <c r="B14154" t="str">
        <f>HYPERLINK("https://twitter.com/magrib_ii","@magrib_ii")</f>
        <v>@magrib_ii</v>
      </c>
      <c r="C14154" t="s">
        <v>3340</v>
      </c>
      <c r="D14154">
        <v>268</v>
      </c>
      <c r="E14154">
        <v>0</v>
      </c>
      <c r="F14154">
        <v>73</v>
      </c>
    </row>
    <row r="14155" spans="1:6" ht="12.75">
      <c r="A14155" s="2">
        <v>43878.869224537033</v>
      </c>
      <c r="B14155" t="str">
        <f>HYPERLINK("https://twitter.com/CFebtianti","@CFebtianti")</f>
        <v>@CFebtianti</v>
      </c>
      <c r="C14155" t="s">
        <v>7290</v>
      </c>
      <c r="D14155">
        <v>1</v>
      </c>
      <c r="E14155">
        <v>0</v>
      </c>
      <c r="F14155">
        <v>69</v>
      </c>
    </row>
    <row r="14156" spans="1:6" ht="12.75">
      <c r="A14156" s="2">
        <v>43878.86918981481</v>
      </c>
      <c r="B14156" t="str">
        <f>HYPERLINK("https://twitter.com/IYA_Juwita","@IYA_Juwita")</f>
        <v>@IYA_Juwita</v>
      </c>
      <c r="C14156" t="s">
        <v>7268</v>
      </c>
      <c r="D14156">
        <v>3</v>
      </c>
      <c r="E14156">
        <v>0</v>
      </c>
      <c r="F14156">
        <v>1180</v>
      </c>
    </row>
    <row r="14157" spans="1:6" ht="12.75">
      <c r="A14157" s="2">
        <v>43878.868750000001</v>
      </c>
      <c r="B14157" t="str">
        <f>HYPERLINK("https://twitter.com/muktarlim","@muktarlim")</f>
        <v>@muktarlim</v>
      </c>
      <c r="C14157" t="s">
        <v>7291</v>
      </c>
      <c r="D14157">
        <v>1</v>
      </c>
      <c r="E14157">
        <v>0</v>
      </c>
      <c r="F14157">
        <v>2701</v>
      </c>
    </row>
    <row r="14158" spans="1:6" ht="12.75">
      <c r="A14158" s="2">
        <v>43878.868518518517</v>
      </c>
      <c r="B14158" t="str">
        <f>HYPERLINK("https://twitter.com/Fanny_Oktaviana","@Fanny_Oktaviana")</f>
        <v>@Fanny_Oktaviana</v>
      </c>
      <c r="C14158" t="s">
        <v>7292</v>
      </c>
      <c r="D14158">
        <v>1</v>
      </c>
      <c r="E14158">
        <v>0</v>
      </c>
      <c r="F14158">
        <v>2335</v>
      </c>
    </row>
    <row r="14159" spans="1:6" ht="12.75">
      <c r="A14159" s="2">
        <v>43878.868263888886</v>
      </c>
      <c r="B14159" t="str">
        <f>HYPERLINK("https://twitter.com/sateyakaushik","@sateyakaushik")</f>
        <v>@sateyakaushik</v>
      </c>
      <c r="C14159" t="s">
        <v>6236</v>
      </c>
      <c r="D14159">
        <v>36</v>
      </c>
      <c r="E14159">
        <v>0</v>
      </c>
      <c r="F14159">
        <v>86</v>
      </c>
    </row>
    <row r="14160" spans="1:6" ht="12.75">
      <c r="A14160" s="2">
        <v>43878.868125000001</v>
      </c>
      <c r="B14160" t="str">
        <f>HYPERLINK("https://twitter.com/wallshocker","@wallshocker")</f>
        <v>@wallshocker</v>
      </c>
      <c r="C14160" t="s">
        <v>4975</v>
      </c>
      <c r="D14160">
        <v>114</v>
      </c>
      <c r="E14160">
        <v>0</v>
      </c>
      <c r="F14160">
        <v>12</v>
      </c>
    </row>
    <row r="14161" spans="1:6" ht="12.75">
      <c r="A14161" s="2">
        <v>43878.868055555555</v>
      </c>
      <c r="B14161" t="str">
        <f>HYPERLINK("https://twitter.com/KompasTV","@KompasTV")</f>
        <v>@KompasTV</v>
      </c>
      <c r="C14161" t="s">
        <v>7293</v>
      </c>
      <c r="D14161">
        <v>1</v>
      </c>
      <c r="E14161">
        <v>0</v>
      </c>
      <c r="F14161">
        <v>2943035</v>
      </c>
    </row>
    <row r="14162" spans="1:6" ht="12.75">
      <c r="A14162" s="2">
        <v>43878.867719907408</v>
      </c>
      <c r="B14162" t="str">
        <f>HYPERLINK("https://twitter.com/tribunnews","@tribunnews")</f>
        <v>@tribunnews</v>
      </c>
      <c r="C14162" t="s">
        <v>7294</v>
      </c>
      <c r="D14162">
        <v>1</v>
      </c>
      <c r="E14162">
        <v>6</v>
      </c>
      <c r="F14162">
        <v>875387</v>
      </c>
    </row>
    <row r="14163" spans="1:6" ht="12.75">
      <c r="A14163" s="2">
        <v>43878.867638888885</v>
      </c>
      <c r="B14163" t="str">
        <f>HYPERLINK("https://twitter.com/billienoteilish","@billienoteilish")</f>
        <v>@billienoteilish</v>
      </c>
      <c r="C14163" t="s">
        <v>3340</v>
      </c>
      <c r="D14163">
        <v>268</v>
      </c>
      <c r="E14163">
        <v>0</v>
      </c>
      <c r="F14163">
        <v>570</v>
      </c>
    </row>
    <row r="14164" spans="1:6" ht="12.75">
      <c r="A14164" s="2">
        <v>43878.867476851854</v>
      </c>
      <c r="B14164" t="str">
        <f>HYPERLINK("https://twitter.com/Chevlly","@Chevlly")</f>
        <v>@Chevlly</v>
      </c>
      <c r="C14164" t="s">
        <v>7295</v>
      </c>
      <c r="D14164">
        <v>1809</v>
      </c>
      <c r="E14164">
        <v>0</v>
      </c>
      <c r="F14164">
        <v>504</v>
      </c>
    </row>
    <row r="14165" spans="1:6" ht="12.75">
      <c r="A14165" s="2">
        <v>43878.8674537037</v>
      </c>
      <c r="B14165" t="str">
        <f>HYPERLINK("https://twitter.com/SangChoDockZ","@SangChoDockZ")</f>
        <v>@SangChoDockZ</v>
      </c>
      <c r="C14165" t="s">
        <v>7296</v>
      </c>
      <c r="D14165">
        <v>2</v>
      </c>
      <c r="E14165">
        <v>0</v>
      </c>
      <c r="F14165">
        <v>529</v>
      </c>
    </row>
    <row r="14166" spans="1:6" ht="12.75">
      <c r="A14166" s="2">
        <v>43878.8671875</v>
      </c>
      <c r="B14166" t="str">
        <f>HYPERLINK("https://twitter.com/DodolNabi","@DodolNabi")</f>
        <v>@DodolNabi</v>
      </c>
      <c r="C14166" t="s">
        <v>7101</v>
      </c>
      <c r="D14166">
        <v>5</v>
      </c>
      <c r="E14166">
        <v>0</v>
      </c>
      <c r="F14166">
        <v>328</v>
      </c>
    </row>
    <row r="14167" spans="1:6" ht="12.75">
      <c r="A14167" s="2">
        <v>43878.866388888884</v>
      </c>
      <c r="B14167" t="str">
        <f>HYPERLINK("https://twitter.com/Jokowi4Me","@Jokowi4Me")</f>
        <v>@Jokowi4Me</v>
      </c>
      <c r="C14167" t="s">
        <v>175</v>
      </c>
      <c r="D14167">
        <v>5391</v>
      </c>
      <c r="E14167">
        <v>0</v>
      </c>
      <c r="F14167">
        <v>189465</v>
      </c>
    </row>
    <row r="14168" spans="1:6" ht="12.75">
      <c r="A14168" s="2">
        <v>43878.865069444444</v>
      </c>
      <c r="B14168" t="str">
        <f>HYPERLINK("https://twitter.com/AnikXelfi","@AnikXelfi")</f>
        <v>@AnikXelfi</v>
      </c>
      <c r="C14168" t="s">
        <v>2674</v>
      </c>
      <c r="D14168">
        <v>85</v>
      </c>
      <c r="E14168">
        <v>0</v>
      </c>
      <c r="F14168">
        <v>201</v>
      </c>
    </row>
    <row r="14169" spans="1:6" ht="12.75">
      <c r="A14169" s="2">
        <v>43878.864895833336</v>
      </c>
      <c r="B14169" t="str">
        <f>HYPERLINK("https://twitter.com/becucumber","@becucumber")</f>
        <v>@becucumber</v>
      </c>
      <c r="C14169" t="s">
        <v>7297</v>
      </c>
      <c r="D14169">
        <v>0</v>
      </c>
      <c r="E14169">
        <v>0</v>
      </c>
      <c r="F14169">
        <v>8</v>
      </c>
    </row>
    <row r="14170" spans="1:6" ht="12.75">
      <c r="A14170" s="2">
        <v>43878.864791666667</v>
      </c>
      <c r="B14170" t="str">
        <f>HYPERLINK("https://twitter.com/PRIEPRI2","@PRIEPRI2")</f>
        <v>@PRIEPRI2</v>
      </c>
      <c r="C14170" t="s">
        <v>2155</v>
      </c>
      <c r="D14170">
        <v>361</v>
      </c>
      <c r="E14170">
        <v>0</v>
      </c>
      <c r="F14170">
        <v>349</v>
      </c>
    </row>
    <row r="14171" spans="1:6" ht="12.75">
      <c r="A14171" s="2">
        <v>43878.864629629628</v>
      </c>
      <c r="B14171" t="str">
        <f>HYPERLINK("https://twitter.com/Tristhan77","@Tristhan77")</f>
        <v>@Tristhan77</v>
      </c>
      <c r="C14171" t="s">
        <v>4975</v>
      </c>
      <c r="D14171">
        <v>114</v>
      </c>
      <c r="E14171">
        <v>0</v>
      </c>
      <c r="F14171">
        <v>120</v>
      </c>
    </row>
    <row r="14172" spans="1:6" ht="12.75">
      <c r="A14172" s="2">
        <v>43878.864583333328</v>
      </c>
      <c r="B14172" t="str">
        <f>HYPERLINK("https://twitter.com/Aliyarahmanitya","@Aliyarahmanitya")</f>
        <v>@Aliyarahmanitya</v>
      </c>
      <c r="C14172" t="s">
        <v>7298</v>
      </c>
      <c r="D14172">
        <v>112</v>
      </c>
      <c r="E14172">
        <v>0</v>
      </c>
      <c r="F14172">
        <v>170</v>
      </c>
    </row>
    <row r="14173" spans="1:6" ht="12.75">
      <c r="A14173" s="2">
        <v>43878.864236111112</v>
      </c>
      <c r="B14173" t="str">
        <f>HYPERLINK("https://twitter.com/ynwitanjaya","@ynwitanjaya")</f>
        <v>@ynwitanjaya</v>
      </c>
      <c r="C14173" t="s">
        <v>6727</v>
      </c>
      <c r="D14173">
        <v>12</v>
      </c>
      <c r="E14173">
        <v>0</v>
      </c>
      <c r="F14173">
        <v>606</v>
      </c>
    </row>
    <row r="14174" spans="1:6" ht="12.75">
      <c r="A14174" s="2">
        <v>43878.863958333328</v>
      </c>
      <c r="B14174" t="str">
        <f>HYPERLINK("https://twitter.com/tempodotco","@tempodotco")</f>
        <v>@tempodotco</v>
      </c>
      <c r="C14174" t="s">
        <v>5441</v>
      </c>
      <c r="D14174">
        <v>5</v>
      </c>
      <c r="E14174">
        <v>0</v>
      </c>
      <c r="F14174">
        <v>1704911</v>
      </c>
    </row>
    <row r="14175" spans="1:6" ht="12.75">
      <c r="A14175" s="2">
        <v>43878.863900462966</v>
      </c>
      <c r="B14175" t="str">
        <f>HYPERLINK("https://twitter.com/Murtii1996","@Murtii1996")</f>
        <v>@Murtii1996</v>
      </c>
      <c r="C14175" t="s">
        <v>6721</v>
      </c>
      <c r="D14175">
        <v>365</v>
      </c>
      <c r="E14175">
        <v>0</v>
      </c>
      <c r="F14175">
        <v>298</v>
      </c>
    </row>
    <row r="14176" spans="1:6" ht="12.75">
      <c r="A14176" s="2">
        <v>43878.863715277781</v>
      </c>
      <c r="B14176" t="str">
        <f>HYPERLINK("https://twitter.com/Cak_Didi","@Cak_Didi")</f>
        <v>@Cak_Didi</v>
      </c>
      <c r="C14176" t="s">
        <v>7268</v>
      </c>
      <c r="D14176">
        <v>3</v>
      </c>
      <c r="E14176">
        <v>0</v>
      </c>
      <c r="F14176">
        <v>2731</v>
      </c>
    </row>
    <row r="14177" spans="1:6" ht="12.75">
      <c r="A14177" s="2">
        <v>43878.863599537042</v>
      </c>
      <c r="B14177" t="str">
        <f>HYPERLINK("https://twitter.com/PDI_Perjuangan","@PDI_Perjuangan")</f>
        <v>@PDI_Perjuangan</v>
      </c>
      <c r="C14177" t="s">
        <v>7206</v>
      </c>
      <c r="D14177">
        <v>0</v>
      </c>
      <c r="E14177">
        <v>6</v>
      </c>
      <c r="F14177">
        <v>219092</v>
      </c>
    </row>
    <row r="14178" spans="1:6" ht="12.75">
      <c r="A14178" s="2">
        <v>43878.862754629634</v>
      </c>
      <c r="B14178" t="str">
        <f>HYPERLINK("https://twitter.com/rosniarike","@rosniarike")</f>
        <v>@rosniarike</v>
      </c>
      <c r="C14178" t="s">
        <v>3396</v>
      </c>
      <c r="D14178">
        <v>70</v>
      </c>
      <c r="E14178">
        <v>0</v>
      </c>
      <c r="F14178">
        <v>29</v>
      </c>
    </row>
    <row r="14179" spans="1:6" ht="12.75">
      <c r="A14179" s="2">
        <v>43878.862337962964</v>
      </c>
      <c r="B14179" t="str">
        <f>HYPERLINK("https://twitter.com/MohSyfri","@MohSyfri")</f>
        <v>@MohSyfri</v>
      </c>
      <c r="C14179" t="s">
        <v>2155</v>
      </c>
      <c r="D14179">
        <v>361</v>
      </c>
      <c r="E14179">
        <v>0</v>
      </c>
      <c r="F14179">
        <v>535</v>
      </c>
    </row>
    <row r="14180" spans="1:6" ht="12.75">
      <c r="A14180" s="2">
        <v>43878.862314814818</v>
      </c>
      <c r="B14180" t="str">
        <f>HYPERLINK("https://twitter.com/spiderr__matrix","@spiderr__matrix")</f>
        <v>@spiderr__matrix</v>
      </c>
      <c r="C14180" t="s">
        <v>7299</v>
      </c>
      <c r="D14180">
        <v>1</v>
      </c>
      <c r="E14180">
        <v>0</v>
      </c>
      <c r="F14180">
        <v>4823</v>
      </c>
    </row>
    <row r="14181" spans="1:6" ht="12.75">
      <c r="A14181" s="2">
        <v>43878.86210648148</v>
      </c>
      <c r="B14181" t="str">
        <f>HYPERLINK("https://twitter.com/evereeze","@evereeze")</f>
        <v>@evereeze</v>
      </c>
      <c r="C14181" t="s">
        <v>7300</v>
      </c>
      <c r="D14181">
        <v>2</v>
      </c>
      <c r="E14181">
        <v>0</v>
      </c>
      <c r="F14181">
        <v>291</v>
      </c>
    </row>
    <row r="14182" spans="1:6" ht="12.75">
      <c r="A14182" s="2">
        <v>43878.86204861111</v>
      </c>
      <c r="B14182" t="str">
        <f>HYPERLINK("https://twitter.com/Chocopinkz","@Chocopinkz")</f>
        <v>@Chocopinkz</v>
      </c>
      <c r="C14182" t="s">
        <v>7301</v>
      </c>
      <c r="D14182">
        <v>4</v>
      </c>
      <c r="E14182">
        <v>0</v>
      </c>
      <c r="F14182">
        <v>1926</v>
      </c>
    </row>
    <row r="14183" spans="1:6" ht="12.75">
      <c r="A14183" s="2">
        <v>43878.861921296295</v>
      </c>
      <c r="B14183" t="str">
        <f>HYPERLINK("https://twitter.com/Winarto31406922","@Winarto31406922")</f>
        <v>@Winarto31406922</v>
      </c>
      <c r="C14183" t="s">
        <v>7302</v>
      </c>
      <c r="D14183">
        <v>0</v>
      </c>
      <c r="E14183">
        <v>0</v>
      </c>
      <c r="F14183">
        <v>0</v>
      </c>
    </row>
    <row r="14184" spans="1:6" ht="12.75">
      <c r="A14184" s="2">
        <v>43878.86173611111</v>
      </c>
      <c r="B14184" t="str">
        <f>HYPERLINK("https://twitter.com/detdickaydb","@detdickaydb")</f>
        <v>@detdickaydb</v>
      </c>
      <c r="C14184" t="s">
        <v>6161</v>
      </c>
      <c r="D14184">
        <v>307</v>
      </c>
      <c r="E14184">
        <v>0</v>
      </c>
      <c r="F14184">
        <v>893</v>
      </c>
    </row>
    <row r="14185" spans="1:6" ht="12.75">
      <c r="A14185" s="2">
        <v>43878.861168981486</v>
      </c>
      <c r="B14185" t="str">
        <f>HYPERLINK("https://twitter.com/SuriyalDeepak","@SuriyalDeepak")</f>
        <v>@SuriyalDeepak</v>
      </c>
      <c r="C14185" t="s">
        <v>6236</v>
      </c>
      <c r="D14185">
        <v>36</v>
      </c>
      <c r="E14185">
        <v>0</v>
      </c>
      <c r="F14185">
        <v>257</v>
      </c>
    </row>
    <row r="14186" spans="1:6" ht="12.75">
      <c r="A14186" s="2">
        <v>43878.861134259263</v>
      </c>
      <c r="B14186" t="str">
        <f>HYPERLINK("https://twitter.com/tvOneNews","@tvOneNews")</f>
        <v>@tvOneNews</v>
      </c>
      <c r="C14186" t="s">
        <v>7303</v>
      </c>
      <c r="D14186">
        <v>0</v>
      </c>
      <c r="E14186">
        <v>1</v>
      </c>
      <c r="F14186">
        <v>8716250</v>
      </c>
    </row>
    <row r="14187" spans="1:6" ht="12.75">
      <c r="A14187" s="2">
        <v>43878.860972222217</v>
      </c>
      <c r="B14187" t="str">
        <f>HYPERLINK("https://twitter.com/Toofaanexpress","@Toofaanexpress")</f>
        <v>@Toofaanexpress</v>
      </c>
      <c r="C14187" t="s">
        <v>6236</v>
      </c>
      <c r="D14187">
        <v>36</v>
      </c>
      <c r="E14187">
        <v>0</v>
      </c>
      <c r="F14187">
        <v>643</v>
      </c>
    </row>
    <row r="14188" spans="1:6" ht="12.75">
      <c r="A14188" s="2">
        <v>43878.860775462963</v>
      </c>
      <c r="B14188" t="str">
        <f>HYPERLINK("https://twitter.com/thetimeshaft_","@thetimeshaft_")</f>
        <v>@thetimeshaft_</v>
      </c>
      <c r="C14188" t="s">
        <v>7304</v>
      </c>
      <c r="D14188">
        <v>0</v>
      </c>
      <c r="E14188">
        <v>2</v>
      </c>
      <c r="F14188">
        <v>843</v>
      </c>
    </row>
    <row r="14189" spans="1:6" ht="12.75">
      <c r="A14189" s="2">
        <v>43878.860775462963</v>
      </c>
      <c r="B14189" t="str">
        <f>HYPERLINK("https://twitter.com/idpenamini","@idpenamini")</f>
        <v>@idpenamini</v>
      </c>
      <c r="C14189" t="s">
        <v>7305</v>
      </c>
      <c r="D14189">
        <v>0</v>
      </c>
      <c r="E14189">
        <v>0</v>
      </c>
      <c r="F14189">
        <v>169</v>
      </c>
    </row>
    <row r="14190" spans="1:6" ht="12.75">
      <c r="A14190" s="2">
        <v>43878.860347222224</v>
      </c>
      <c r="B14190" t="str">
        <f>HYPERLINK("https://twitter.com/zeyengsungwoon","@zeyengsungwoon")</f>
        <v>@zeyengsungwoon</v>
      </c>
      <c r="C14190" t="s">
        <v>3340</v>
      </c>
      <c r="D14190">
        <v>268</v>
      </c>
      <c r="E14190">
        <v>0</v>
      </c>
      <c r="F14190">
        <v>337</v>
      </c>
    </row>
    <row r="14191" spans="1:6" ht="12.75">
      <c r="A14191" s="2">
        <v>43878.860277777778</v>
      </c>
      <c r="B14191" t="str">
        <f>HYPERLINK("https://twitter.com/bestlegendman1","@bestlegendman1")</f>
        <v>@bestlegendman1</v>
      </c>
      <c r="C14191" t="s">
        <v>7306</v>
      </c>
      <c r="D14191">
        <v>0</v>
      </c>
      <c r="E14191">
        <v>0</v>
      </c>
      <c r="F14191">
        <v>96</v>
      </c>
    </row>
    <row r="14192" spans="1:6" ht="12.75">
      <c r="A14192" s="2">
        <v>43878.860185185185</v>
      </c>
      <c r="B14192" t="str">
        <f>HYPERLINK("https://twitter.com/Dhundh1","@Dhundh1")</f>
        <v>@Dhundh1</v>
      </c>
      <c r="C14192" t="s">
        <v>6236</v>
      </c>
      <c r="D14192">
        <v>36</v>
      </c>
      <c r="E14192">
        <v>0</v>
      </c>
      <c r="F14192">
        <v>167</v>
      </c>
    </row>
    <row r="14193" spans="1:6" ht="12.75">
      <c r="A14193" s="2">
        <v>43878.859780092593</v>
      </c>
      <c r="B14193" t="str">
        <f>HYPERLINK("https://twitter.com/PROPAGENDENG","@PROPAGENDENG")</f>
        <v>@PROPAGENDENG</v>
      </c>
      <c r="C14193" t="s">
        <v>7307</v>
      </c>
      <c r="D14193">
        <v>0</v>
      </c>
      <c r="E14193">
        <v>0</v>
      </c>
      <c r="F14193">
        <v>871</v>
      </c>
    </row>
    <row r="14194" spans="1:6" ht="12.75">
      <c r="A14194" s="2">
        <v>43878.8597337963</v>
      </c>
      <c r="B14194" t="str">
        <f>HYPERLINK("https://twitter.com/herdinisme","@herdinisme")</f>
        <v>@herdinisme</v>
      </c>
      <c r="C14194" t="s">
        <v>7308</v>
      </c>
      <c r="D14194">
        <v>0</v>
      </c>
      <c r="E14194">
        <v>0</v>
      </c>
      <c r="F14194">
        <v>808</v>
      </c>
    </row>
    <row r="14195" spans="1:6" ht="12.75">
      <c r="A14195" s="2">
        <v>43878.859664351854</v>
      </c>
      <c r="B14195" t="str">
        <f>HYPERLINK("https://twitter.com/thetimeshaft_","@thetimeshaft_")</f>
        <v>@thetimeshaft_</v>
      </c>
      <c r="C14195" t="s">
        <v>7309</v>
      </c>
      <c r="D14195">
        <v>1</v>
      </c>
      <c r="E14195">
        <v>3</v>
      </c>
      <c r="F14195">
        <v>843</v>
      </c>
    </row>
    <row r="14196" spans="1:6" ht="12.75">
      <c r="A14196" s="2">
        <v>43878.859525462962</v>
      </c>
      <c r="B14196" t="str">
        <f>HYPERLINK("https://twitter.com/beatrice_health","@beatrice_health")</f>
        <v>@beatrice_health</v>
      </c>
      <c r="C14196" t="s">
        <v>7310</v>
      </c>
      <c r="D14196">
        <v>1</v>
      </c>
      <c r="E14196">
        <v>0</v>
      </c>
      <c r="F14196">
        <v>159</v>
      </c>
    </row>
    <row r="14197" spans="1:6" ht="12.75">
      <c r="A14197" s="2">
        <v>43878.859490740739</v>
      </c>
      <c r="B14197" t="str">
        <f>HYPERLINK("https://twitter.com/erikamelfa","@erikamelfa")</f>
        <v>@erikamelfa</v>
      </c>
      <c r="C14197" t="s">
        <v>7311</v>
      </c>
      <c r="D14197">
        <v>1</v>
      </c>
      <c r="E14197">
        <v>1</v>
      </c>
      <c r="F14197">
        <v>553</v>
      </c>
    </row>
    <row r="14198" spans="1:6" ht="12.75">
      <c r="A14198" s="2">
        <v>43878.859351851846</v>
      </c>
      <c r="B14198" t="str">
        <f>HYPERLINK("https://twitter.com/IndoAviation","@IndoAviation")</f>
        <v>@IndoAviation</v>
      </c>
      <c r="C14198" t="s">
        <v>7312</v>
      </c>
      <c r="D14198">
        <v>0</v>
      </c>
      <c r="E14198">
        <v>4</v>
      </c>
      <c r="F14198">
        <v>8692</v>
      </c>
    </row>
    <row r="14199" spans="1:6" ht="12.75">
      <c r="A14199" s="2">
        <v>43878.859201388885</v>
      </c>
      <c r="B14199" t="str">
        <f>HYPERLINK("https://twitter.com/BadjaNuswantara","@BadjaNuswantara")</f>
        <v>@BadjaNuswantara</v>
      </c>
      <c r="C14199" t="s">
        <v>7313</v>
      </c>
      <c r="D14199">
        <v>0</v>
      </c>
      <c r="E14199">
        <v>0</v>
      </c>
      <c r="F14199">
        <v>42544</v>
      </c>
    </row>
    <row r="14200" spans="1:6" ht="12.75">
      <c r="A14200" s="2">
        <v>43878.859143518523</v>
      </c>
      <c r="B14200" t="str">
        <f>HYPERLINK("https://twitter.com/JGrungan","@JGrungan")</f>
        <v>@JGrungan</v>
      </c>
      <c r="C14200" t="s">
        <v>7283</v>
      </c>
      <c r="D14200">
        <v>3</v>
      </c>
      <c r="E14200">
        <v>0</v>
      </c>
      <c r="F14200">
        <v>329</v>
      </c>
    </row>
    <row r="14201" spans="1:6" ht="12.75">
      <c r="A14201" s="2">
        <v>43878.8590625</v>
      </c>
      <c r="B14201" t="str">
        <f>HYPERLINK("https://twitter.com/NgaritCommunity","@NgaritCommunity")</f>
        <v>@NgaritCommunity</v>
      </c>
      <c r="C14201" t="s">
        <v>2155</v>
      </c>
      <c r="D14201">
        <v>361</v>
      </c>
      <c r="E14201">
        <v>0</v>
      </c>
      <c r="F14201">
        <v>428</v>
      </c>
    </row>
    <row r="14202" spans="1:6" ht="12.75">
      <c r="A14202" s="2">
        <v>43878.858854166669</v>
      </c>
      <c r="B14202" t="str">
        <f>HYPERLINK("https://twitter.com/idntimes","@idntimes")</f>
        <v>@idntimes</v>
      </c>
      <c r="C14202" t="s">
        <v>7314</v>
      </c>
      <c r="D14202">
        <v>0</v>
      </c>
      <c r="E14202">
        <v>0</v>
      </c>
      <c r="F14202">
        <v>392900</v>
      </c>
    </row>
    <row r="14203" spans="1:6" ht="12.75">
      <c r="A14203" s="2">
        <v>43878.858703703707</v>
      </c>
      <c r="B14203" t="str">
        <f>HYPERLINK("https://twitter.com/cutenzt","@cutenzt")</f>
        <v>@cutenzt</v>
      </c>
      <c r="C14203" t="s">
        <v>7111</v>
      </c>
      <c r="D14203">
        <v>12</v>
      </c>
      <c r="E14203">
        <v>0</v>
      </c>
      <c r="F14203">
        <v>2311</v>
      </c>
    </row>
    <row r="14204" spans="1:6" ht="12.75">
      <c r="A14204" s="2">
        <v>43878.85869212963</v>
      </c>
      <c r="B14204" t="str">
        <f>HYPERLINK("https://twitter.com/Collowfreeman2","@Collowfreeman2")</f>
        <v>@Collowfreeman2</v>
      </c>
      <c r="C14204" t="s">
        <v>7315</v>
      </c>
      <c r="D14204">
        <v>0</v>
      </c>
      <c r="E14204">
        <v>0</v>
      </c>
      <c r="F14204">
        <v>88</v>
      </c>
    </row>
    <row r="14205" spans="1:6" ht="12.75">
      <c r="A14205" s="2">
        <v>43878.858680555553</v>
      </c>
      <c r="B14205" t="str">
        <f>HYPERLINK("https://twitter.com/p4pi11on","@p4pi11on")</f>
        <v>@p4pi11on</v>
      </c>
      <c r="C14205" t="s">
        <v>4975</v>
      </c>
      <c r="D14205">
        <v>114</v>
      </c>
      <c r="E14205">
        <v>0</v>
      </c>
      <c r="F14205">
        <v>1118</v>
      </c>
    </row>
    <row r="14206" spans="1:6" ht="12.75">
      <c r="A14206" s="2">
        <v>43878.85864583333</v>
      </c>
      <c r="B14206" t="str">
        <f>HYPERLINK("https://twitter.com/Johnplerr","@Johnplerr")</f>
        <v>@Johnplerr</v>
      </c>
      <c r="C14206" t="s">
        <v>7298</v>
      </c>
      <c r="D14206">
        <v>112</v>
      </c>
      <c r="E14206">
        <v>0</v>
      </c>
      <c r="F14206">
        <v>945</v>
      </c>
    </row>
    <row r="14207" spans="1:6" ht="12.75">
      <c r="A14207" s="2">
        <v>43878.85864583333</v>
      </c>
      <c r="B14207" t="str">
        <f>HYPERLINK("https://twitter.com/Tri33milanisti","@Tri33milanisti")</f>
        <v>@Tri33milanisti</v>
      </c>
      <c r="C14207" t="s">
        <v>6161</v>
      </c>
      <c r="D14207">
        <v>307</v>
      </c>
      <c r="E14207">
        <v>0</v>
      </c>
      <c r="F14207">
        <v>114</v>
      </c>
    </row>
    <row r="14208" spans="1:6" ht="12.75">
      <c r="A14208" s="2">
        <v>43878.858437499999</v>
      </c>
      <c r="B14208" t="str">
        <f>HYPERLINK("https://twitter.com/irajwhr","@irajwhr")</f>
        <v>@irajwhr</v>
      </c>
      <c r="C14208" t="s">
        <v>7316</v>
      </c>
      <c r="D14208">
        <v>0</v>
      </c>
      <c r="E14208">
        <v>0</v>
      </c>
      <c r="F14208">
        <v>300</v>
      </c>
    </row>
    <row r="14209" spans="1:6" ht="12.75">
      <c r="A14209" s="2">
        <v>43878.83458333333</v>
      </c>
      <c r="B14209" t="str">
        <f>HYPERLINK("https://twitter.com/SukastwMami","@SukastwMami")</f>
        <v>@SukastwMami</v>
      </c>
      <c r="C14209" t="s">
        <v>7317</v>
      </c>
      <c r="D14209">
        <v>0</v>
      </c>
      <c r="E14209">
        <v>0</v>
      </c>
      <c r="F14209">
        <v>3423</v>
      </c>
    </row>
    <row r="14210" spans="1:6" ht="12.75">
      <c r="A14210" s="2">
        <v>43878.834340277783</v>
      </c>
      <c r="B14210" t="str">
        <f>HYPERLINK("https://twitter.com/Iambrokenby","@Iambrokenby")</f>
        <v>@Iambrokenby</v>
      </c>
      <c r="C14210" t="s">
        <v>7318</v>
      </c>
      <c r="D14210">
        <v>0</v>
      </c>
      <c r="E14210">
        <v>0</v>
      </c>
      <c r="F14210">
        <v>1417</v>
      </c>
    </row>
    <row r="14211" spans="1:6" ht="12.75">
      <c r="A14211" s="2">
        <v>43878.834328703699</v>
      </c>
      <c r="B14211" t="str">
        <f>HYPERLINK("https://twitter.com/jatengpedia","@jatengpedia")</f>
        <v>@jatengpedia</v>
      </c>
      <c r="C14211" t="s">
        <v>7319</v>
      </c>
      <c r="D14211">
        <v>4</v>
      </c>
      <c r="E14211">
        <v>0</v>
      </c>
      <c r="F14211">
        <v>176381</v>
      </c>
    </row>
    <row r="14212" spans="1:6" ht="12.75">
      <c r="A14212" s="2">
        <v>43878.834178240737</v>
      </c>
      <c r="B14212" t="str">
        <f>HYPERLINK("https://twitter.com/kevindannyzero","@kevindannyzero")</f>
        <v>@kevindannyzero</v>
      </c>
      <c r="C14212" t="s">
        <v>7320</v>
      </c>
      <c r="D14212">
        <v>0</v>
      </c>
      <c r="E14212">
        <v>0</v>
      </c>
      <c r="F14212">
        <v>291</v>
      </c>
    </row>
    <row r="14213" spans="1:6" ht="12.75">
      <c r="A14213" s="2">
        <v>43878.834004629629</v>
      </c>
      <c r="B14213" t="str">
        <f>HYPERLINK("https://twitter.com/LokadataID","@LokadataID")</f>
        <v>@LokadataID</v>
      </c>
      <c r="C14213" t="s">
        <v>7321</v>
      </c>
      <c r="D14213">
        <v>0</v>
      </c>
      <c r="E14213">
        <v>0</v>
      </c>
      <c r="F14213">
        <v>512755</v>
      </c>
    </row>
    <row r="14214" spans="1:6" ht="12.75">
      <c r="A14214" s="2">
        <v>43878.833981481483</v>
      </c>
      <c r="B14214" t="str">
        <f>HYPERLINK("https://twitter.com/aracellians","@aracellians")</f>
        <v>@aracellians</v>
      </c>
      <c r="C14214" t="s">
        <v>7322</v>
      </c>
      <c r="D14214">
        <v>0</v>
      </c>
      <c r="E14214">
        <v>0</v>
      </c>
      <c r="F14214">
        <v>1872</v>
      </c>
    </row>
    <row r="14215" spans="1:6" ht="12.75">
      <c r="A14215" s="2">
        <v>43878.833865740744</v>
      </c>
      <c r="B14215" t="str">
        <f>HYPERLINK("https://twitter.com/tyo_Nugr0z","@tyo_Nugr0z")</f>
        <v>@tyo_Nugr0z</v>
      </c>
      <c r="C14215" t="s">
        <v>7323</v>
      </c>
      <c r="D14215">
        <v>0</v>
      </c>
      <c r="E14215">
        <v>0</v>
      </c>
      <c r="F14215">
        <v>318</v>
      </c>
    </row>
    <row r="14216" spans="1:6" ht="12.75">
      <c r="A14216" s="2">
        <v>43878.833425925928</v>
      </c>
      <c r="B14216" t="str">
        <f>HYPERLINK("https://twitter.com/seterofom","@seterofom")</f>
        <v>@seterofom</v>
      </c>
      <c r="C14216" t="s">
        <v>6161</v>
      </c>
      <c r="D14216">
        <v>292</v>
      </c>
      <c r="E14216">
        <v>0</v>
      </c>
      <c r="F14216">
        <v>117</v>
      </c>
    </row>
    <row r="14217" spans="1:6" ht="12.75">
      <c r="A14217" s="2">
        <v>43878.833333333328</v>
      </c>
      <c r="B14217" t="str">
        <f>HYPERLINK("https://twitter.com/tropongsenayan","@tropongsenayan")</f>
        <v>@tropongsenayan</v>
      </c>
      <c r="C14217" t="s">
        <v>7324</v>
      </c>
      <c r="D14217">
        <v>0</v>
      </c>
      <c r="E14217">
        <v>0</v>
      </c>
      <c r="F14217">
        <v>22671</v>
      </c>
    </row>
    <row r="14218" spans="1:6" ht="12.75">
      <c r="A14218" s="2">
        <v>43878.83293981482</v>
      </c>
      <c r="B14218" t="str">
        <f>HYPERLINK("https://twitter.com/putuliza","@putuliza")</f>
        <v>@putuliza</v>
      </c>
      <c r="C14218" t="s">
        <v>7325</v>
      </c>
      <c r="D14218">
        <v>2</v>
      </c>
      <c r="E14218">
        <v>0</v>
      </c>
      <c r="F14218">
        <v>606</v>
      </c>
    </row>
    <row r="14219" spans="1:6" ht="12.75">
      <c r="A14219" s="2">
        <v>43878.832858796297</v>
      </c>
      <c r="B14219" t="str">
        <f>HYPERLINK("https://twitter.com/utdgoks","@utdgoks")</f>
        <v>@utdgoks</v>
      </c>
      <c r="C14219" t="s">
        <v>6161</v>
      </c>
      <c r="D14219">
        <v>292</v>
      </c>
      <c r="E14219">
        <v>0</v>
      </c>
      <c r="F14219">
        <v>8578</v>
      </c>
    </row>
    <row r="14220" spans="1:6" ht="12.75">
      <c r="A14220" s="2">
        <v>43878.832708333328</v>
      </c>
      <c r="B14220" t="str">
        <f>HYPERLINK("https://twitter.com/raja_sonny","@raja_sonny")</f>
        <v>@raja_sonny</v>
      </c>
      <c r="C14220" t="s">
        <v>7111</v>
      </c>
      <c r="D14220">
        <v>11</v>
      </c>
      <c r="E14220">
        <v>0</v>
      </c>
      <c r="F14220">
        <v>26</v>
      </c>
    </row>
    <row r="14221" spans="1:6" ht="12.75">
      <c r="A14221" s="2">
        <v>43878.832638888889</v>
      </c>
      <c r="B14221" t="str">
        <f>HYPERLINK("https://twitter.com/GagakNeww2","@GagakNeww2")</f>
        <v>@GagakNeww2</v>
      </c>
      <c r="C14221" t="s">
        <v>7326</v>
      </c>
      <c r="D14221">
        <v>1</v>
      </c>
      <c r="E14221">
        <v>0</v>
      </c>
      <c r="F14221">
        <v>404</v>
      </c>
    </row>
    <row r="14222" spans="1:6" ht="12.75">
      <c r="A14222" s="2">
        <v>43878.832465277781</v>
      </c>
      <c r="B14222" t="str">
        <f>HYPERLINK("https://twitter.com/Arjunaahhh","@Arjunaahhh")</f>
        <v>@Arjunaahhh</v>
      </c>
      <c r="C14222" t="s">
        <v>6236</v>
      </c>
      <c r="D14222">
        <v>27</v>
      </c>
      <c r="E14222">
        <v>0</v>
      </c>
      <c r="F14222">
        <v>97</v>
      </c>
    </row>
    <row r="14223" spans="1:6" ht="12.75">
      <c r="A14223" s="2">
        <v>43878.832326388889</v>
      </c>
      <c r="B14223" t="str">
        <f>HYPERLINK("https://twitter.com/yudhapati88","@yudhapati88")</f>
        <v>@yudhapati88</v>
      </c>
      <c r="C14223" t="s">
        <v>7327</v>
      </c>
      <c r="D14223">
        <v>1</v>
      </c>
      <c r="E14223">
        <v>0</v>
      </c>
      <c r="F14223">
        <v>3407</v>
      </c>
    </row>
    <row r="14224" spans="1:6" ht="12.75">
      <c r="A14224" s="2">
        <v>43878.832314814819</v>
      </c>
      <c r="B14224" t="str">
        <f>HYPERLINK("https://twitter.com/ajiesara2","@ajiesara2")</f>
        <v>@ajiesara2</v>
      </c>
      <c r="C14224" t="s">
        <v>7328</v>
      </c>
      <c r="D14224">
        <v>0</v>
      </c>
      <c r="E14224">
        <v>2</v>
      </c>
      <c r="F14224">
        <v>654</v>
      </c>
    </row>
    <row r="14225" spans="1:6" ht="12.75">
      <c r="A14225" s="2">
        <v>43878.832291666666</v>
      </c>
      <c r="B14225" t="str">
        <f>HYPERLINK("https://twitter.com/bestlegendman1","@bestlegendman1")</f>
        <v>@bestlegendman1</v>
      </c>
      <c r="C14225" t="s">
        <v>7329</v>
      </c>
      <c r="D14225">
        <v>0</v>
      </c>
      <c r="E14225">
        <v>0</v>
      </c>
      <c r="F14225">
        <v>96</v>
      </c>
    </row>
    <row r="14226" spans="1:6" ht="12.75">
      <c r="A14226" s="2">
        <v>43878.831701388888</v>
      </c>
      <c r="B14226" t="str">
        <f>HYPERLINK("https://twitter.com/shandikaprilio","@shandikaprilio")</f>
        <v>@shandikaprilio</v>
      </c>
      <c r="C14226" t="s">
        <v>6721</v>
      </c>
      <c r="D14226">
        <v>357</v>
      </c>
      <c r="E14226">
        <v>0</v>
      </c>
      <c r="F14226">
        <v>418</v>
      </c>
    </row>
    <row r="14227" spans="1:6" ht="12.75">
      <c r="A14227" s="2">
        <v>43878.831701388888</v>
      </c>
      <c r="B14227" t="str">
        <f>HYPERLINK("https://twitter.com/elHurryKoRn","@elHurryKoRn")</f>
        <v>@elHurryKoRn</v>
      </c>
      <c r="C14227" t="s">
        <v>7296</v>
      </c>
      <c r="D14227">
        <v>1</v>
      </c>
      <c r="E14227">
        <v>0</v>
      </c>
      <c r="F14227">
        <v>19256</v>
      </c>
    </row>
    <row r="14228" spans="1:6" ht="12.75">
      <c r="A14228" s="2">
        <v>43878.831319444449</v>
      </c>
      <c r="B14228" t="str">
        <f>HYPERLINK("https://twitter.com/tempodotco","@tempodotco")</f>
        <v>@tempodotco</v>
      </c>
      <c r="C14228" t="s">
        <v>7330</v>
      </c>
      <c r="D14228">
        <v>0</v>
      </c>
      <c r="E14228">
        <v>1</v>
      </c>
      <c r="F14228">
        <v>1704853</v>
      </c>
    </row>
    <row r="14229" spans="1:6" ht="12.75">
      <c r="A14229" s="2">
        <v>43878.83121527778</v>
      </c>
      <c r="B14229" t="str">
        <f>HYPERLINK("https://twitter.com/oshkmgy","@oshkmgy")</f>
        <v>@oshkmgy</v>
      </c>
      <c r="C14229" t="s">
        <v>3340</v>
      </c>
      <c r="D14229">
        <v>257</v>
      </c>
      <c r="E14229">
        <v>0</v>
      </c>
      <c r="F14229">
        <v>1745</v>
      </c>
    </row>
    <row r="14230" spans="1:6" ht="12.75">
      <c r="A14230" s="2">
        <v>43878.83116898148</v>
      </c>
      <c r="B14230" t="str">
        <f>HYPERLINK("https://twitter.com/eveneechan","@eveneechan")</f>
        <v>@eveneechan</v>
      </c>
      <c r="C14230" t="s">
        <v>3340</v>
      </c>
      <c r="D14230">
        <v>257</v>
      </c>
      <c r="E14230">
        <v>0</v>
      </c>
      <c r="F14230">
        <v>722</v>
      </c>
    </row>
    <row r="14231" spans="1:6" ht="12.75">
      <c r="A14231" s="2">
        <v>43878.830937499995</v>
      </c>
      <c r="B14231" t="str">
        <f>HYPERLINK("https://twitter.com/AnakKolong___","@AnakKolong___")</f>
        <v>@AnakKolong___</v>
      </c>
      <c r="C14231" t="s">
        <v>7331</v>
      </c>
      <c r="D14231">
        <v>2</v>
      </c>
      <c r="E14231">
        <v>0</v>
      </c>
      <c r="F14231">
        <v>6091</v>
      </c>
    </row>
    <row r="14232" spans="1:6" ht="12.75">
      <c r="A14232" s="2">
        <v>43878.830752314811</v>
      </c>
      <c r="B14232" t="str">
        <f>HYPERLINK("https://twitter.com/SyahraBie","@SyahraBie")</f>
        <v>@SyahraBie</v>
      </c>
      <c r="C14232" t="s">
        <v>3340</v>
      </c>
      <c r="D14232">
        <v>257</v>
      </c>
      <c r="E14232">
        <v>0</v>
      </c>
      <c r="F14232">
        <v>763</v>
      </c>
    </row>
    <row r="14233" spans="1:6" ht="12.75">
      <c r="A14233" s="2">
        <v>43878.830706018518</v>
      </c>
      <c r="B14233" t="str">
        <f>HYPERLINK("https://twitter.com/GagakNeww2","@GagakNeww2")</f>
        <v>@GagakNeww2</v>
      </c>
      <c r="C14233" t="s">
        <v>7331</v>
      </c>
      <c r="D14233">
        <v>2</v>
      </c>
      <c r="E14233">
        <v>0</v>
      </c>
      <c r="F14233">
        <v>404</v>
      </c>
    </row>
    <row r="14234" spans="1:6" ht="12.75">
      <c r="A14234" s="2">
        <v>43878.830671296295</v>
      </c>
      <c r="B14234" t="str">
        <f>HYPERLINK("https://twitter.com/ovick2000","@ovick2000")</f>
        <v>@ovick2000</v>
      </c>
      <c r="C14234" t="s">
        <v>6161</v>
      </c>
      <c r="D14234">
        <v>292</v>
      </c>
      <c r="E14234">
        <v>0</v>
      </c>
      <c r="F14234">
        <v>1459</v>
      </c>
    </row>
    <row r="14235" spans="1:6" ht="12.75">
      <c r="A14235" s="2">
        <v>43878.830543981487</v>
      </c>
      <c r="B14235" t="str">
        <f>HYPERLINK("https://twitter.com/yudhapati88","@yudhapati88")</f>
        <v>@yudhapati88</v>
      </c>
      <c r="C14235" t="s">
        <v>7332</v>
      </c>
      <c r="D14235">
        <v>2</v>
      </c>
      <c r="E14235">
        <v>1</v>
      </c>
      <c r="F14235">
        <v>3407</v>
      </c>
    </row>
    <row r="14236" spans="1:6" ht="12.75">
      <c r="A14236" s="2">
        <v>43878.830428240741</v>
      </c>
      <c r="B14236" t="str">
        <f>HYPERLINK("https://twitter.com/gadisresidu_b3","@gadisresidu_b3")</f>
        <v>@gadisresidu_b3</v>
      </c>
      <c r="C14236" t="s">
        <v>7333</v>
      </c>
      <c r="D14236">
        <v>0</v>
      </c>
      <c r="E14236">
        <v>2</v>
      </c>
      <c r="F14236">
        <v>1957</v>
      </c>
    </row>
    <row r="14237" spans="1:6" ht="12.75">
      <c r="A14237" s="2">
        <v>43878.830416666664</v>
      </c>
      <c r="B14237" t="str">
        <f>HYPERLINK("https://twitter.com/dhanicatur","@dhanicatur")</f>
        <v>@dhanicatur</v>
      </c>
      <c r="C14237" t="s">
        <v>7334</v>
      </c>
      <c r="D14237">
        <v>0</v>
      </c>
      <c r="E14237">
        <v>0</v>
      </c>
      <c r="F14237">
        <v>382</v>
      </c>
    </row>
    <row r="14238" spans="1:6" ht="12.75">
      <c r="A14238" s="2">
        <v>43878.830266203702</v>
      </c>
      <c r="B14238" t="str">
        <f>HYPERLINK("https://twitter.com/Vie9942","@Vie9942")</f>
        <v>@Vie9942</v>
      </c>
      <c r="C14238" t="s">
        <v>6721</v>
      </c>
      <c r="D14238">
        <v>357</v>
      </c>
      <c r="E14238">
        <v>0</v>
      </c>
      <c r="F14238">
        <v>298</v>
      </c>
    </row>
    <row r="14239" spans="1:6" ht="12.75">
      <c r="A14239" s="2">
        <v>43878.830138888894</v>
      </c>
      <c r="B14239" t="str">
        <f>HYPERLINK("https://twitter.com/IMRPintann","@IMRPintann")</f>
        <v>@IMRPintann</v>
      </c>
      <c r="C14239" t="s">
        <v>3340</v>
      </c>
      <c r="D14239">
        <v>257</v>
      </c>
      <c r="E14239">
        <v>0</v>
      </c>
      <c r="F14239">
        <v>1625</v>
      </c>
    </row>
    <row r="14240" spans="1:6" ht="12.75">
      <c r="A14240" s="2">
        <v>43878.829814814817</v>
      </c>
      <c r="B14240" t="str">
        <f>HYPERLINK("https://twitter.com/gcfIoat","@gcfIoat")</f>
        <v>@gcfIoat</v>
      </c>
      <c r="C14240" t="s">
        <v>3340</v>
      </c>
      <c r="D14240">
        <v>257</v>
      </c>
      <c r="E14240">
        <v>0</v>
      </c>
      <c r="F14240">
        <v>2507</v>
      </c>
    </row>
    <row r="14241" spans="1:6" ht="12.75">
      <c r="A14241" s="2">
        <v>43878.829780092594</v>
      </c>
      <c r="B14241" t="str">
        <f>HYPERLINK("https://twitter.com/Hyewonku","@Hyewonku")</f>
        <v>@Hyewonku</v>
      </c>
      <c r="C14241" t="s">
        <v>3340</v>
      </c>
      <c r="D14241">
        <v>257</v>
      </c>
      <c r="E14241">
        <v>0</v>
      </c>
      <c r="F14241">
        <v>1208</v>
      </c>
    </row>
    <row r="14242" spans="1:6" ht="12.75">
      <c r="A14242" s="2">
        <v>43878.829710648148</v>
      </c>
      <c r="B14242" t="str">
        <f>HYPERLINK("https://twitter.com/qaisjunior1","@qaisjunior1")</f>
        <v>@qaisjunior1</v>
      </c>
      <c r="C14242" t="s">
        <v>2155</v>
      </c>
      <c r="D14242">
        <v>340</v>
      </c>
      <c r="E14242">
        <v>0</v>
      </c>
      <c r="F14242">
        <v>1712</v>
      </c>
    </row>
    <row r="14243" spans="1:6" ht="12.75">
      <c r="A14243" s="2">
        <v>43878.829293981486</v>
      </c>
      <c r="B14243" t="str">
        <f>HYPERLINK("https://twitter.com/wanrosadi","@wanrosadi")</f>
        <v>@wanrosadi</v>
      </c>
      <c r="C14243" t="s">
        <v>7335</v>
      </c>
      <c r="D14243">
        <v>0</v>
      </c>
      <c r="E14243">
        <v>0</v>
      </c>
      <c r="F14243">
        <v>1469</v>
      </c>
    </row>
    <row r="14244" spans="1:6" ht="12.75">
      <c r="A14244" s="2">
        <v>43878.829270833332</v>
      </c>
      <c r="B14244" t="str">
        <f>HYPERLINK("https://twitter.com/Muhmed17419307","@Muhmed17419307")</f>
        <v>@Muhmed17419307</v>
      </c>
      <c r="C14244" t="s">
        <v>7195</v>
      </c>
      <c r="D14244">
        <v>22</v>
      </c>
      <c r="E14244">
        <v>0</v>
      </c>
      <c r="F14244">
        <v>195</v>
      </c>
    </row>
    <row r="14245" spans="1:6" ht="12.75">
      <c r="A14245" s="2">
        <v>43878.828842592593</v>
      </c>
      <c r="B14245" t="str">
        <f>HYPERLINK("https://twitter.com/alfiyansys","@alfiyansys")</f>
        <v>@alfiyansys</v>
      </c>
      <c r="C14245" t="s">
        <v>7325</v>
      </c>
      <c r="D14245">
        <v>2</v>
      </c>
      <c r="E14245">
        <v>0</v>
      </c>
      <c r="F14245">
        <v>881</v>
      </c>
    </row>
    <row r="14246" spans="1:6" ht="12.75">
      <c r="A14246" s="2">
        <v>43878.82880787037</v>
      </c>
      <c r="B14246" t="str">
        <f>HYPERLINK("https://twitter.com/snowbbya","@snowbbya")</f>
        <v>@snowbbya</v>
      </c>
      <c r="C14246" t="s">
        <v>3340</v>
      </c>
      <c r="D14246">
        <v>257</v>
      </c>
      <c r="E14246">
        <v>0</v>
      </c>
      <c r="F14246">
        <v>777</v>
      </c>
    </row>
    <row r="14247" spans="1:6" ht="12.75">
      <c r="A14247" s="2">
        <v>43878.828530092593</v>
      </c>
      <c r="B14247" t="str">
        <f>HYPERLINK("https://twitter.com/madskak","@madskak")</f>
        <v>@madskak</v>
      </c>
      <c r="C14247" t="s">
        <v>6236</v>
      </c>
      <c r="D14247">
        <v>27</v>
      </c>
      <c r="E14247">
        <v>0</v>
      </c>
      <c r="F14247">
        <v>8115</v>
      </c>
    </row>
    <row r="14248" spans="1:6" ht="12.75">
      <c r="A14248" s="2">
        <v>43878.827986111108</v>
      </c>
      <c r="B14248" t="str">
        <f>HYPERLINK("https://twitter.com/okezonenews","@okezonenews")</f>
        <v>@okezonenews</v>
      </c>
      <c r="C14248" t="s">
        <v>7336</v>
      </c>
      <c r="D14248">
        <v>0</v>
      </c>
      <c r="E14248">
        <v>2</v>
      </c>
      <c r="F14248">
        <v>1743990</v>
      </c>
    </row>
    <row r="14249" spans="1:6" ht="12.75">
      <c r="A14249" s="2">
        <v>43878.827824074076</v>
      </c>
      <c r="B14249" t="str">
        <f>HYPERLINK("https://twitter.com/cokiescrim","@cokiescrim")</f>
        <v>@cokiescrim</v>
      </c>
      <c r="C14249" t="s">
        <v>3340</v>
      </c>
      <c r="D14249">
        <v>257</v>
      </c>
      <c r="E14249">
        <v>0</v>
      </c>
      <c r="F14249">
        <v>261</v>
      </c>
    </row>
    <row r="14250" spans="1:6" ht="12.75">
      <c r="A14250" s="2">
        <v>43878.827581018515</v>
      </c>
      <c r="B14250" t="str">
        <f>HYPERLINK("https://twitter.com/alicenugroho","@alicenugroho")</f>
        <v>@alicenugroho</v>
      </c>
      <c r="C14250" t="s">
        <v>7101</v>
      </c>
      <c r="D14250">
        <v>4</v>
      </c>
      <c r="E14250">
        <v>0</v>
      </c>
      <c r="F14250">
        <v>414</v>
      </c>
    </row>
    <row r="14251" spans="1:6" ht="12.75">
      <c r="A14251" s="2">
        <v>43878.827326388884</v>
      </c>
      <c r="B14251" t="str">
        <f>HYPERLINK("https://twitter.com/vjhyess","@vjhyess")</f>
        <v>@vjhyess</v>
      </c>
      <c r="C14251" t="s">
        <v>3340</v>
      </c>
      <c r="D14251">
        <v>257</v>
      </c>
      <c r="E14251">
        <v>0</v>
      </c>
      <c r="F14251">
        <v>59</v>
      </c>
    </row>
    <row r="14252" spans="1:6" ht="12.75">
      <c r="A14252" s="2">
        <v>43878.826979166668</v>
      </c>
      <c r="B14252" t="str">
        <f>HYPERLINK("https://twitter.com/ppeachysugarr","@ppeachysugarr")</f>
        <v>@ppeachysugarr</v>
      </c>
      <c r="C14252" t="s">
        <v>3340</v>
      </c>
      <c r="D14252">
        <v>257</v>
      </c>
      <c r="E14252">
        <v>0</v>
      </c>
      <c r="F14252">
        <v>568</v>
      </c>
    </row>
    <row r="14253" spans="1:6" ht="12.75">
      <c r="A14253" s="2">
        <v>43878.826805555553</v>
      </c>
      <c r="B14253" t="str">
        <f>HYPERLINK("https://twitter.com/iramehara","@iramehara")</f>
        <v>@iramehara</v>
      </c>
      <c r="C14253" t="s">
        <v>7337</v>
      </c>
      <c r="D14253">
        <v>0</v>
      </c>
      <c r="E14253">
        <v>1</v>
      </c>
      <c r="F14253">
        <v>233</v>
      </c>
    </row>
    <row r="14254" spans="1:6" ht="12.75">
      <c r="A14254" s="2">
        <v>43878.826585648145</v>
      </c>
      <c r="B14254" t="str">
        <f>HYPERLINK("https://twitter.com/abukhaledalind3","@abukhaledalind3")</f>
        <v>@abukhaledalind3</v>
      </c>
      <c r="C14254" t="s">
        <v>2155</v>
      </c>
      <c r="D14254">
        <v>340</v>
      </c>
      <c r="E14254">
        <v>0</v>
      </c>
      <c r="F14254">
        <v>1</v>
      </c>
    </row>
    <row r="14255" spans="1:6" ht="12.75">
      <c r="A14255" s="2">
        <v>43878.826481481483</v>
      </c>
      <c r="B14255" t="str">
        <f>HYPERLINK("https://twitter.com/syakirasyakir","@syakirasyakir")</f>
        <v>@syakirasyakir</v>
      </c>
      <c r="C14255" t="s">
        <v>7338</v>
      </c>
      <c r="D14255">
        <v>0</v>
      </c>
      <c r="E14255">
        <v>0</v>
      </c>
      <c r="F14255">
        <v>678</v>
      </c>
    </row>
    <row r="14256" spans="1:6" ht="12.75">
      <c r="A14256" s="2">
        <v>43878.826423611114</v>
      </c>
      <c r="B14256" t="str">
        <f>HYPERLINK("https://twitter.com/annainggi","@annainggi")</f>
        <v>@annainggi</v>
      </c>
      <c r="C14256" t="s">
        <v>7339</v>
      </c>
      <c r="D14256">
        <v>5</v>
      </c>
      <c r="E14256">
        <v>0</v>
      </c>
      <c r="F14256">
        <v>879</v>
      </c>
    </row>
    <row r="14257" spans="1:6" ht="12.75">
      <c r="A14257" s="2">
        <v>43878.826354166667</v>
      </c>
      <c r="B14257" t="str">
        <f>HYPERLINK("https://twitter.com/el2andi","@el2andi")</f>
        <v>@el2andi</v>
      </c>
      <c r="C14257" t="s">
        <v>6161</v>
      </c>
      <c r="D14257">
        <v>292</v>
      </c>
      <c r="E14257">
        <v>0</v>
      </c>
      <c r="F14257">
        <v>114</v>
      </c>
    </row>
    <row r="14258" spans="1:6" ht="12.75">
      <c r="A14258" s="2">
        <v>43878.826331018514</v>
      </c>
      <c r="B14258" t="str">
        <f>HYPERLINK("https://twitter.com/jatengpedia","@jatengpedia")</f>
        <v>@jatengpedia</v>
      </c>
      <c r="C14258" t="s">
        <v>7340</v>
      </c>
      <c r="D14258">
        <v>0</v>
      </c>
      <c r="E14258">
        <v>0</v>
      </c>
      <c r="F14258">
        <v>176381</v>
      </c>
    </row>
    <row r="14259" spans="1:6" ht="12.75">
      <c r="A14259" s="2">
        <v>43878.826296296298</v>
      </c>
      <c r="B14259" t="str">
        <f>HYPERLINK("https://twitter.com/DelisLein","@DelisLein")</f>
        <v>@DelisLein</v>
      </c>
      <c r="C14259" t="s">
        <v>7341</v>
      </c>
      <c r="D14259">
        <v>3</v>
      </c>
      <c r="E14259">
        <v>0</v>
      </c>
      <c r="F14259">
        <v>168</v>
      </c>
    </row>
    <row r="14260" spans="1:6" ht="12.75">
      <c r="A14260" s="2">
        <v>43878.825983796298</v>
      </c>
      <c r="B14260" t="str">
        <f>HYPERLINK("https://twitter.com/syakirasyakir","@syakirasyakir")</f>
        <v>@syakirasyakir</v>
      </c>
      <c r="C14260" t="s">
        <v>7342</v>
      </c>
      <c r="D14260">
        <v>0</v>
      </c>
      <c r="E14260">
        <v>0</v>
      </c>
      <c r="F14260">
        <v>678</v>
      </c>
    </row>
    <row r="14261" spans="1:6" ht="12.75">
      <c r="A14261" s="2">
        <v>43878.825891203705</v>
      </c>
      <c r="B14261" t="str">
        <f>HYPERLINK("https://twitter.com/JunMydy","@JunMydy")</f>
        <v>@JunMydy</v>
      </c>
      <c r="C14261" t="s">
        <v>6338</v>
      </c>
      <c r="D14261">
        <v>789</v>
      </c>
      <c r="E14261">
        <v>0</v>
      </c>
      <c r="F14261">
        <v>15</v>
      </c>
    </row>
    <row r="14262" spans="1:6" ht="12.75">
      <c r="A14262" s="2">
        <v>43878.825879629629</v>
      </c>
      <c r="B14262" t="str">
        <f>HYPERLINK("https://twitter.com/prikifriki","@prikifriki")</f>
        <v>@prikifriki</v>
      </c>
      <c r="C14262" t="s">
        <v>7343</v>
      </c>
      <c r="D14262">
        <v>0</v>
      </c>
      <c r="E14262">
        <v>0</v>
      </c>
      <c r="F14262">
        <v>817</v>
      </c>
    </row>
    <row r="14263" spans="1:6" ht="12.75">
      <c r="A14263" s="2">
        <v>43878.825787037036</v>
      </c>
      <c r="B14263" t="str">
        <f>HYPERLINK("https://twitter.com/happiheppi","@happiheppi")</f>
        <v>@happiheppi</v>
      </c>
      <c r="C14263" t="s">
        <v>3340</v>
      </c>
      <c r="D14263">
        <v>257</v>
      </c>
      <c r="E14263">
        <v>0</v>
      </c>
      <c r="F14263">
        <v>593</v>
      </c>
    </row>
    <row r="14264" spans="1:6" ht="12.75">
      <c r="A14264" s="2">
        <v>43878.825706018513</v>
      </c>
      <c r="B14264" t="str">
        <f>HYPERLINK("https://twitter.com/mas_taqien","@mas_taqien")</f>
        <v>@mas_taqien</v>
      </c>
      <c r="C14264" t="s">
        <v>7344</v>
      </c>
      <c r="D14264">
        <v>0</v>
      </c>
      <c r="E14264">
        <v>0</v>
      </c>
      <c r="F14264">
        <v>54</v>
      </c>
    </row>
    <row r="14265" spans="1:6" ht="12.75">
      <c r="A14265" s="2">
        <v>43878.825578703705</v>
      </c>
      <c r="B14265" t="str">
        <f>HYPERLINK("https://twitter.com/AlifPancasila","@AlifPancasila")</f>
        <v>@AlifPancasila</v>
      </c>
      <c r="C14265" t="s">
        <v>7345</v>
      </c>
      <c r="D14265">
        <v>0</v>
      </c>
      <c r="E14265">
        <v>0</v>
      </c>
      <c r="F14265">
        <v>86</v>
      </c>
    </row>
    <row r="14266" spans="1:6" ht="12.75">
      <c r="A14266" s="2">
        <v>43878.825324074074</v>
      </c>
      <c r="B14266" t="str">
        <f>HYPERLINK("https://twitter.com/jelata02","@jelata02")</f>
        <v>@jelata02</v>
      </c>
      <c r="C14266" t="s">
        <v>4975</v>
      </c>
      <c r="D14266">
        <v>100</v>
      </c>
      <c r="E14266">
        <v>0</v>
      </c>
      <c r="F14266">
        <v>727</v>
      </c>
    </row>
    <row r="14267" spans="1:6" ht="12.75">
      <c r="A14267" s="2">
        <v>43878.825289351851</v>
      </c>
      <c r="B14267" t="str">
        <f>HYPERLINK("https://twitter.com/Metro_TV","@Metro_TV")</f>
        <v>@Metro_TV</v>
      </c>
      <c r="C14267" t="s">
        <v>7346</v>
      </c>
      <c r="D14267">
        <v>0</v>
      </c>
      <c r="E14267">
        <v>1</v>
      </c>
      <c r="F14267">
        <v>10510165</v>
      </c>
    </row>
    <row r="14268" spans="1:6" ht="12.75">
      <c r="A14268" s="2">
        <v>43878.825173611112</v>
      </c>
      <c r="B14268" t="str">
        <f>HYPERLINK("https://twitter.com/AdiHart56470307","@AdiHart56470307")</f>
        <v>@AdiHart56470307</v>
      </c>
      <c r="C14268" t="s">
        <v>7347</v>
      </c>
      <c r="D14268">
        <v>1</v>
      </c>
      <c r="E14268">
        <v>0</v>
      </c>
      <c r="F14268">
        <v>45</v>
      </c>
    </row>
    <row r="14269" spans="1:6" ht="12.75">
      <c r="A14269" s="2">
        <v>43878.825138888889</v>
      </c>
      <c r="B14269" t="str">
        <f>HYPERLINK("https://twitter.com/MedoSemet","@MedoSemet")</f>
        <v>@MedoSemet</v>
      </c>
      <c r="C14269" t="s">
        <v>2155</v>
      </c>
      <c r="D14269">
        <v>340</v>
      </c>
      <c r="E14269">
        <v>0</v>
      </c>
      <c r="F14269">
        <v>127</v>
      </c>
    </row>
    <row r="14270" spans="1:6" ht="12.75">
      <c r="A14270" s="2">
        <v>43878.825092592597</v>
      </c>
      <c r="B14270" t="str">
        <f>HYPERLINK("https://twitter.com/mminuel","@mminuel")</f>
        <v>@mminuel</v>
      </c>
      <c r="C14270" t="s">
        <v>2155</v>
      </c>
      <c r="D14270">
        <v>340</v>
      </c>
      <c r="E14270">
        <v>0</v>
      </c>
      <c r="F14270">
        <v>325</v>
      </c>
    </row>
    <row r="14271" spans="1:6" ht="12.75">
      <c r="A14271" s="2">
        <v>43878.825092592597</v>
      </c>
      <c r="B14271" t="str">
        <f>HYPERLINK("https://twitter.com/New0wl","@New0wl")</f>
        <v>@New0wl</v>
      </c>
      <c r="C14271" t="s">
        <v>7348</v>
      </c>
      <c r="D14271">
        <v>0</v>
      </c>
      <c r="E14271">
        <v>0</v>
      </c>
      <c r="F14271">
        <v>113</v>
      </c>
    </row>
    <row r="14272" spans="1:6" ht="12.75">
      <c r="A14272" s="2">
        <v>43878.824722222227</v>
      </c>
      <c r="B14272" t="str">
        <f>HYPERLINK("https://twitter.com/choiriemaldini","@choiriemaldini")</f>
        <v>@choiriemaldini</v>
      </c>
      <c r="C14272" t="s">
        <v>6161</v>
      </c>
      <c r="D14272">
        <v>292</v>
      </c>
      <c r="E14272">
        <v>0</v>
      </c>
      <c r="F14272">
        <v>552</v>
      </c>
    </row>
    <row r="14273" spans="1:6" ht="12.75">
      <c r="A14273" s="2">
        <v>43878.824293981481</v>
      </c>
      <c r="B14273" t="str">
        <f>HYPERLINK("https://twitter.com/kelvin_abi","@kelvin_abi")</f>
        <v>@kelvin_abi</v>
      </c>
      <c r="C14273" t="s">
        <v>7349</v>
      </c>
      <c r="D14273">
        <v>0</v>
      </c>
      <c r="E14273">
        <v>0</v>
      </c>
      <c r="F14273">
        <v>179</v>
      </c>
    </row>
    <row r="14274" spans="1:6" ht="12.75">
      <c r="A14274" s="2">
        <v>43878.824097222227</v>
      </c>
      <c r="B14274" t="str">
        <f>HYPERLINK("https://twitter.com/mautauajadeih","@mautauajadeih")</f>
        <v>@mautauajadeih</v>
      </c>
      <c r="C14274" t="s">
        <v>6161</v>
      </c>
      <c r="D14274">
        <v>292</v>
      </c>
      <c r="E14274">
        <v>0</v>
      </c>
      <c r="F14274">
        <v>2</v>
      </c>
    </row>
    <row r="14275" spans="1:6" ht="12.75">
      <c r="A14275" s="2">
        <v>43878.82408564815</v>
      </c>
      <c r="B14275" t="str">
        <f>HYPERLINK("https://twitter.com/jatengpedia","@jatengpedia")</f>
        <v>@jatengpedia</v>
      </c>
      <c r="C14275" t="s">
        <v>7350</v>
      </c>
      <c r="D14275">
        <v>0</v>
      </c>
      <c r="E14275">
        <v>1</v>
      </c>
      <c r="F14275">
        <v>176381</v>
      </c>
    </row>
    <row r="14276" spans="1:6" ht="12.75">
      <c r="A14276" s="2">
        <v>43878.823935185181</v>
      </c>
      <c r="B14276" t="str">
        <f>HYPERLINK("https://twitter.com/fakamil_","@fakamil_")</f>
        <v>@fakamil_</v>
      </c>
      <c r="C14276" t="s">
        <v>3340</v>
      </c>
      <c r="D14276">
        <v>257</v>
      </c>
      <c r="E14276">
        <v>0</v>
      </c>
      <c r="F14276">
        <v>448</v>
      </c>
    </row>
    <row r="14277" spans="1:6" ht="12.75">
      <c r="A14277" s="2">
        <v>43878.823935185181</v>
      </c>
      <c r="B14277" t="str">
        <f>HYPERLINK("https://twitter.com/YogiPra90","@YogiPra90")</f>
        <v>@YogiPra90</v>
      </c>
      <c r="C14277" t="s">
        <v>7351</v>
      </c>
      <c r="D14277">
        <v>0</v>
      </c>
      <c r="E14277">
        <v>0</v>
      </c>
      <c r="F14277">
        <v>1291</v>
      </c>
    </row>
    <row r="14278" spans="1:6" ht="12.75">
      <c r="A14278" s="2">
        <v>43878.823831018519</v>
      </c>
      <c r="B14278" t="str">
        <f>HYPERLINK("https://twitter.com/Aboriginandind1","@Aboriginandind1")</f>
        <v>@Aboriginandind1</v>
      </c>
      <c r="C14278" t="s">
        <v>7352</v>
      </c>
      <c r="D14278">
        <v>0</v>
      </c>
      <c r="E14278">
        <v>0</v>
      </c>
      <c r="F14278">
        <v>12</v>
      </c>
    </row>
    <row r="14279" spans="1:6" ht="12.75">
      <c r="A14279" s="2">
        <v>43878.823761574073</v>
      </c>
      <c r="B14279" t="str">
        <f>HYPERLINK("https://twitter.com/bidang_arie","@bidang_arie")</f>
        <v>@bidang_arie</v>
      </c>
      <c r="C14279" t="s">
        <v>2155</v>
      </c>
      <c r="D14279">
        <v>340</v>
      </c>
      <c r="E14279">
        <v>0</v>
      </c>
      <c r="F14279">
        <v>15</v>
      </c>
    </row>
    <row r="14280" spans="1:6" ht="12.75">
      <c r="A14280" s="2">
        <v>43878.823414351849</v>
      </c>
      <c r="B14280" t="str">
        <f>HYPERLINK("https://twitter.com/prytnma","@prytnma")</f>
        <v>@prytnma</v>
      </c>
      <c r="C14280" t="s">
        <v>6161</v>
      </c>
      <c r="D14280">
        <v>292</v>
      </c>
      <c r="E14280">
        <v>0</v>
      </c>
      <c r="F14280">
        <v>412</v>
      </c>
    </row>
    <row r="14281" spans="1:6" ht="12.75">
      <c r="A14281" s="2">
        <v>43878.823240740741</v>
      </c>
      <c r="B14281" t="str">
        <f>HYPERLINK("https://twitter.com/okezonenews","@okezonenews")</f>
        <v>@okezonenews</v>
      </c>
      <c r="C14281" t="s">
        <v>7353</v>
      </c>
      <c r="D14281">
        <v>2</v>
      </c>
      <c r="E14281">
        <v>1</v>
      </c>
      <c r="F14281">
        <v>1743990</v>
      </c>
    </row>
    <row r="14282" spans="1:6" ht="12.75">
      <c r="A14282" s="2">
        <v>43878.823217592595</v>
      </c>
      <c r="B14282" t="str">
        <f>HYPERLINK("https://twitter.com/van_toft","@van_toft")</f>
        <v>@van_toft</v>
      </c>
      <c r="C14282" t="s">
        <v>6161</v>
      </c>
      <c r="D14282">
        <v>292</v>
      </c>
      <c r="E14282">
        <v>0</v>
      </c>
      <c r="F14282">
        <v>19</v>
      </c>
    </row>
    <row r="14283" spans="1:6" ht="12.75">
      <c r="A14283" s="2">
        <v>43878.822916666672</v>
      </c>
      <c r="B14283" t="str">
        <f>HYPERLINK("https://twitter.com/prytnma","@prytnma")</f>
        <v>@prytnma</v>
      </c>
      <c r="C14283" t="s">
        <v>2155</v>
      </c>
      <c r="D14283">
        <v>340</v>
      </c>
      <c r="E14283">
        <v>0</v>
      </c>
      <c r="F14283">
        <v>412</v>
      </c>
    </row>
    <row r="14284" spans="1:6" ht="12.75">
      <c r="A14284" s="2">
        <v>43878.822905092587</v>
      </c>
      <c r="B14284" t="str">
        <f>HYPERLINK("https://twitter.com/PowerEmak","@PowerEmak")</f>
        <v>@PowerEmak</v>
      </c>
      <c r="C14284" t="s">
        <v>6161</v>
      </c>
      <c r="D14284">
        <v>292</v>
      </c>
      <c r="E14284">
        <v>0</v>
      </c>
      <c r="F14284">
        <v>3929</v>
      </c>
    </row>
    <row r="14285" spans="1:6" ht="12.75">
      <c r="A14285" s="2">
        <v>43878.822777777779</v>
      </c>
      <c r="B14285" t="str">
        <f>HYPERLINK("https://twitter.com/dbestheartbreak","@dbestheartbreak")</f>
        <v>@dbestheartbreak</v>
      </c>
      <c r="C14285" t="s">
        <v>3340</v>
      </c>
      <c r="D14285">
        <v>257</v>
      </c>
      <c r="E14285">
        <v>0</v>
      </c>
      <c r="F14285">
        <v>108</v>
      </c>
    </row>
    <row r="14286" spans="1:6" ht="12.75">
      <c r="A14286" s="2">
        <v>43878.822754629626</v>
      </c>
      <c r="B14286" t="str">
        <f>HYPERLINK("https://twitter.com/destynrc","@destynrc")</f>
        <v>@destynrc</v>
      </c>
      <c r="C14286" t="s">
        <v>3340</v>
      </c>
      <c r="D14286">
        <v>257</v>
      </c>
      <c r="E14286">
        <v>0</v>
      </c>
      <c r="F14286">
        <v>2937</v>
      </c>
    </row>
    <row r="14287" spans="1:6" ht="12.75">
      <c r="A14287" s="2">
        <v>43878.822743055556</v>
      </c>
      <c r="B14287" t="str">
        <f>HYPERLINK("https://twitter.com/cakepbetul","@cakepbetul")</f>
        <v>@cakepbetul</v>
      </c>
      <c r="C14287" t="s">
        <v>3340</v>
      </c>
      <c r="D14287">
        <v>257</v>
      </c>
      <c r="E14287">
        <v>0</v>
      </c>
      <c r="F14287">
        <v>627</v>
      </c>
    </row>
    <row r="14288" spans="1:6" ht="12.75">
      <c r="A14288" s="2">
        <v>43878.822291666671</v>
      </c>
      <c r="B14288" t="str">
        <f>HYPERLINK("https://twitter.com/d3vil_insid3","@d3vil_insid3")</f>
        <v>@d3vil_insid3</v>
      </c>
      <c r="C14288" t="s">
        <v>7354</v>
      </c>
      <c r="D14288">
        <v>0</v>
      </c>
      <c r="E14288">
        <v>0</v>
      </c>
      <c r="F14288">
        <v>29</v>
      </c>
    </row>
    <row r="14289" spans="1:6" ht="12.75">
      <c r="A14289" s="2">
        <v>43878.822210648148</v>
      </c>
      <c r="B14289" t="str">
        <f>HYPERLINK("https://twitter.com/rienkusayang","@rienkusayang")</f>
        <v>@rienkusayang</v>
      </c>
      <c r="C14289" t="s">
        <v>7355</v>
      </c>
      <c r="D14289">
        <v>0</v>
      </c>
      <c r="E14289">
        <v>1</v>
      </c>
      <c r="F14289">
        <v>5113</v>
      </c>
    </row>
    <row r="14290" spans="1:6" ht="12.75">
      <c r="A14290" s="2">
        <v>43878.821388888886</v>
      </c>
      <c r="B14290" t="str">
        <f>HYPERLINK("https://twitter.com/Rachman19661","@Rachman19661")</f>
        <v>@Rachman19661</v>
      </c>
      <c r="C14290" t="s">
        <v>2155</v>
      </c>
      <c r="D14290">
        <v>340</v>
      </c>
      <c r="E14290">
        <v>0</v>
      </c>
      <c r="F14290">
        <v>1236</v>
      </c>
    </row>
    <row r="14291" spans="1:6" ht="12.75">
      <c r="A14291" s="2">
        <v>43878.821284722224</v>
      </c>
      <c r="B14291" t="str">
        <f>HYPERLINK("https://twitter.com/HeriRiva75","@HeriRiva75")</f>
        <v>@HeriRiva75</v>
      </c>
      <c r="C14291" t="s">
        <v>4975</v>
      </c>
      <c r="D14291">
        <v>100</v>
      </c>
      <c r="E14291">
        <v>0</v>
      </c>
      <c r="F14291">
        <v>451</v>
      </c>
    </row>
    <row r="14292" spans="1:6" ht="12.75">
      <c r="A14292" s="2">
        <v>43878.821030092593</v>
      </c>
      <c r="B14292" t="str">
        <f>HYPERLINK("https://twitter.com/wadmaja","@wadmaja")</f>
        <v>@wadmaja</v>
      </c>
      <c r="C14292" t="s">
        <v>7356</v>
      </c>
      <c r="D14292">
        <v>0</v>
      </c>
      <c r="E14292">
        <v>0</v>
      </c>
      <c r="F14292">
        <v>277</v>
      </c>
    </row>
    <row r="14293" spans="1:6" ht="12.75">
      <c r="A14293" s="2">
        <v>43878.820150462961</v>
      </c>
      <c r="B14293" t="str">
        <f>HYPERLINK("https://twitter.com/HAMBAAL31689329","@HAMBAAL31689329")</f>
        <v>@HAMBAAL31689329</v>
      </c>
      <c r="C14293" t="s">
        <v>4975</v>
      </c>
      <c r="D14293">
        <v>100</v>
      </c>
      <c r="E14293">
        <v>0</v>
      </c>
      <c r="F14293">
        <v>267</v>
      </c>
    </row>
    <row r="14294" spans="1:6" ht="12.75">
      <c r="A14294" s="2">
        <v>43878.819930555561</v>
      </c>
      <c r="B14294" t="str">
        <f>HYPERLINK("https://twitter.com/biankasabila","@biankasabila")</f>
        <v>@biankasabila</v>
      </c>
      <c r="C14294" t="s">
        <v>5441</v>
      </c>
      <c r="D14294">
        <v>5</v>
      </c>
      <c r="E14294">
        <v>0</v>
      </c>
      <c r="F14294">
        <v>2003</v>
      </c>
    </row>
    <row r="14295" spans="1:6" ht="12.75">
      <c r="A14295" s="2">
        <v>43878.819293981476</v>
      </c>
      <c r="B14295" t="str">
        <f>HYPERLINK("https://twitter.com/wiwien_marina","@wiwien_marina")</f>
        <v>@wiwien_marina</v>
      </c>
      <c r="C14295" t="s">
        <v>7357</v>
      </c>
      <c r="D14295">
        <v>3</v>
      </c>
      <c r="E14295">
        <v>0</v>
      </c>
      <c r="F14295">
        <v>371</v>
      </c>
    </row>
    <row r="14296" spans="1:6" ht="12.75">
      <c r="A14296" s="2">
        <v>43878.819155092591</v>
      </c>
      <c r="B14296" t="str">
        <f>HYPERLINK("https://twitter.com/Psps60900875","@Psps60900875")</f>
        <v>@Psps60900875</v>
      </c>
      <c r="C14296" t="s">
        <v>7358</v>
      </c>
      <c r="D14296">
        <v>1</v>
      </c>
      <c r="E14296">
        <v>0</v>
      </c>
      <c r="F14296">
        <v>9</v>
      </c>
    </row>
    <row r="14297" spans="1:6" ht="12.75">
      <c r="A14297" s="2">
        <v>43878.819120370375</v>
      </c>
      <c r="B14297" t="str">
        <f>HYPERLINK("https://twitter.com/AnjaniJeras","@AnjaniJeras")</f>
        <v>@AnjaniJeras</v>
      </c>
      <c r="C14297" t="s">
        <v>7359</v>
      </c>
      <c r="D14297">
        <v>1</v>
      </c>
      <c r="E14297">
        <v>0</v>
      </c>
      <c r="F14297">
        <v>279</v>
      </c>
    </row>
    <row r="14298" spans="1:6" ht="12.75">
      <c r="A14298" s="2">
        <v>43878.818749999999</v>
      </c>
      <c r="B14298" t="str">
        <f>HYPERLINK("https://twitter.com/KompasTV","@KompasTV")</f>
        <v>@KompasTV</v>
      </c>
      <c r="C14298" t="s">
        <v>7360</v>
      </c>
      <c r="D14298">
        <v>1</v>
      </c>
      <c r="E14298">
        <v>2</v>
      </c>
      <c r="F14298">
        <v>2942992</v>
      </c>
    </row>
    <row r="14299" spans="1:6" ht="12.75">
      <c r="A14299" s="2">
        <v>43878.818738425922</v>
      </c>
      <c r="B14299" t="str">
        <f>HYPERLINK("https://twitter.com/naveenk89313223","@naveenk89313223")</f>
        <v>@naveenk89313223</v>
      </c>
      <c r="C14299" t="s">
        <v>6236</v>
      </c>
      <c r="D14299">
        <v>27</v>
      </c>
      <c r="E14299">
        <v>0</v>
      </c>
      <c r="F14299">
        <v>43</v>
      </c>
    </row>
    <row r="14300" spans="1:6" ht="12.75">
      <c r="A14300" s="2">
        <v>43878.818333333329</v>
      </c>
      <c r="B14300" t="str">
        <f>HYPERLINK("https://twitter.com/kesiopeia","@kesiopeia")</f>
        <v>@kesiopeia</v>
      </c>
      <c r="C14300" t="s">
        <v>3340</v>
      </c>
      <c r="D14300">
        <v>257</v>
      </c>
      <c r="E14300">
        <v>0</v>
      </c>
      <c r="F14300">
        <v>51</v>
      </c>
    </row>
    <row r="14301" spans="1:6" ht="12.75">
      <c r="A14301" s="2">
        <v>43878.81832175926</v>
      </c>
      <c r="B14301" t="str">
        <f>HYPERLINK("https://twitter.com/DANLOEEY","@DANLOEEY")</f>
        <v>@DANLOEEY</v>
      </c>
      <c r="C14301" t="s">
        <v>3340</v>
      </c>
      <c r="D14301">
        <v>257</v>
      </c>
      <c r="E14301">
        <v>0</v>
      </c>
      <c r="F14301">
        <v>436</v>
      </c>
    </row>
    <row r="14302" spans="1:6" ht="12.75">
      <c r="A14302" s="2">
        <v>43878.81826388889</v>
      </c>
      <c r="B14302" t="str">
        <f>HYPERLINK("https://twitter.com/Metro_TV","@Metro_TV")</f>
        <v>@Metro_TV</v>
      </c>
      <c r="C14302" t="s">
        <v>7361</v>
      </c>
      <c r="D14302">
        <v>1</v>
      </c>
      <c r="E14302">
        <v>0</v>
      </c>
      <c r="F14302">
        <v>10510165</v>
      </c>
    </row>
    <row r="14303" spans="1:6" ht="12.75">
      <c r="A14303" s="2">
        <v>43878.818113425921</v>
      </c>
      <c r="B14303" t="str">
        <f>HYPERLINK("https://twitter.com/P3nj3l4j4h_id","@P3nj3l4j4h_id")</f>
        <v>@P3nj3l4j4h_id</v>
      </c>
      <c r="C14303" t="s">
        <v>2155</v>
      </c>
      <c r="D14303">
        <v>340</v>
      </c>
      <c r="E14303">
        <v>0</v>
      </c>
      <c r="F14303">
        <v>15511</v>
      </c>
    </row>
    <row r="14304" spans="1:6" ht="12.75">
      <c r="A14304" s="2">
        <v>43878.818078703705</v>
      </c>
      <c r="B14304" t="str">
        <f>HYPERLINK("https://twitter.com/Negev52031680","@Negev52031680")</f>
        <v>@Negev52031680</v>
      </c>
      <c r="C14304" t="s">
        <v>7362</v>
      </c>
      <c r="D14304">
        <v>0</v>
      </c>
      <c r="E14304">
        <v>0</v>
      </c>
      <c r="F14304">
        <v>13</v>
      </c>
    </row>
    <row r="14305" spans="1:6" ht="12.75">
      <c r="A14305" s="2">
        <v>43878.818043981482</v>
      </c>
      <c r="B14305" t="str">
        <f>HYPERLINK("https://twitter.com/supratikno20","@supratikno20")</f>
        <v>@supratikno20</v>
      </c>
      <c r="C14305" t="s">
        <v>2155</v>
      </c>
      <c r="D14305">
        <v>340</v>
      </c>
      <c r="E14305">
        <v>0</v>
      </c>
      <c r="F14305">
        <v>1222</v>
      </c>
    </row>
    <row r="14306" spans="1:6" ht="12.75">
      <c r="A14306" s="2">
        <v>43878.817800925928</v>
      </c>
      <c r="B14306" t="str">
        <f>HYPERLINK("https://twitter.com/Psps60900875","@Psps60900875")</f>
        <v>@Psps60900875</v>
      </c>
      <c r="C14306" t="s">
        <v>7363</v>
      </c>
      <c r="D14306">
        <v>1</v>
      </c>
      <c r="E14306">
        <v>0</v>
      </c>
      <c r="F14306">
        <v>9</v>
      </c>
    </row>
    <row r="14307" spans="1:6" ht="12.75">
      <c r="A14307" s="2">
        <v>43878.817789351851</v>
      </c>
      <c r="B14307" t="str">
        <f>HYPERLINK("https://twitter.com/Angkara72941672","@Angkara72941672")</f>
        <v>@Angkara72941672</v>
      </c>
      <c r="C14307" t="s">
        <v>7364</v>
      </c>
      <c r="D14307">
        <v>0</v>
      </c>
      <c r="E14307">
        <v>0</v>
      </c>
      <c r="F14307">
        <v>561</v>
      </c>
    </row>
    <row r="14308" spans="1:6" ht="12.75">
      <c r="A14308" s="2">
        <v>43878.817696759259</v>
      </c>
      <c r="B14308" t="str">
        <f>HYPERLINK("https://twitter.com/jee_creepers","@jee_creepers")</f>
        <v>@jee_creepers</v>
      </c>
      <c r="C14308" t="s">
        <v>7365</v>
      </c>
      <c r="D14308">
        <v>0</v>
      </c>
      <c r="E14308">
        <v>0</v>
      </c>
      <c r="F14308">
        <v>702</v>
      </c>
    </row>
    <row r="14309" spans="1:6" ht="12.75">
      <c r="A14309" s="2">
        <v>43878.79305555555</v>
      </c>
      <c r="B14309" t="str">
        <f>HYPERLINK("https://twitter.com/MetroTVToday","@MetroTVToday")</f>
        <v>@MetroTVToday</v>
      </c>
      <c r="C14309" t="s">
        <v>7366</v>
      </c>
      <c r="D14309">
        <v>0</v>
      </c>
      <c r="E14309">
        <v>0</v>
      </c>
      <c r="F14309">
        <v>97617</v>
      </c>
    </row>
    <row r="14310" spans="1:6" ht="12.75">
      <c r="A14310" s="2">
        <v>43878.792939814812</v>
      </c>
      <c r="B14310" t="str">
        <f>HYPERLINK("https://twitter.com/turanganmax","@turanganmax")</f>
        <v>@turanganmax</v>
      </c>
      <c r="C14310" t="s">
        <v>7367</v>
      </c>
      <c r="D14310">
        <v>0</v>
      </c>
      <c r="E14310">
        <v>0</v>
      </c>
      <c r="F14310">
        <v>336</v>
      </c>
    </row>
    <row r="14311" spans="1:6" ht="12.75">
      <c r="A14311" s="2">
        <v>43878.792847222227</v>
      </c>
      <c r="B14311" t="str">
        <f>HYPERLINK("https://twitter.com/ainsadalia","@ainsadalia")</f>
        <v>@ainsadalia</v>
      </c>
      <c r="C14311" t="s">
        <v>3340</v>
      </c>
      <c r="D14311">
        <v>226</v>
      </c>
      <c r="E14311">
        <v>0</v>
      </c>
      <c r="F14311">
        <v>458</v>
      </c>
    </row>
    <row r="14312" spans="1:6" ht="12.75">
      <c r="A14312" s="2">
        <v>43878.79277777778</v>
      </c>
      <c r="B14312" t="str">
        <f>HYPERLINK("https://twitter.com/MuhSaIrman","@MuhSaIrman")</f>
        <v>@MuhSaIrman</v>
      </c>
      <c r="C14312" t="s">
        <v>4975</v>
      </c>
      <c r="D14312">
        <v>85</v>
      </c>
      <c r="E14312">
        <v>0</v>
      </c>
      <c r="F14312">
        <v>927</v>
      </c>
    </row>
    <row r="14313" spans="1:6" ht="12.75">
      <c r="A14313" s="2">
        <v>43878.792569444442</v>
      </c>
      <c r="B14313" t="str">
        <f>HYPERLINK("https://twitter.com/XIII_kamp","@XIII_kamp")</f>
        <v>@XIII_kamp</v>
      </c>
      <c r="C14313" t="s">
        <v>7368</v>
      </c>
      <c r="D14313">
        <v>0</v>
      </c>
      <c r="E14313">
        <v>0</v>
      </c>
      <c r="F14313">
        <v>169</v>
      </c>
    </row>
    <row r="14314" spans="1:6" ht="12.75">
      <c r="A14314" s="2">
        <v>43878.792557870373</v>
      </c>
      <c r="B14314" t="str">
        <f>HYPERLINK("https://twitter.com/aji__x__saka","@aji__x__saka")</f>
        <v>@aji__x__saka</v>
      </c>
      <c r="C14314" t="s">
        <v>7369</v>
      </c>
      <c r="D14314">
        <v>0</v>
      </c>
      <c r="E14314">
        <v>1</v>
      </c>
      <c r="F14314">
        <v>264</v>
      </c>
    </row>
    <row r="14315" spans="1:6" ht="12.75">
      <c r="A14315" s="2">
        <v>43878.792210648149</v>
      </c>
      <c r="B14315" t="str">
        <f>HYPERLINK("https://twitter.com/tua_serdadu","@tua_serdadu")</f>
        <v>@tua_serdadu</v>
      </c>
      <c r="C14315" t="s">
        <v>7370</v>
      </c>
      <c r="D14315">
        <v>227</v>
      </c>
      <c r="E14315">
        <v>0</v>
      </c>
      <c r="F14315">
        <v>413</v>
      </c>
    </row>
    <row r="14316" spans="1:6" ht="12.75">
      <c r="A14316" s="2">
        <v>43878.792002314818</v>
      </c>
      <c r="B14316" t="str">
        <f>HYPERLINK("https://twitter.com/John_Nelwan","@John_Nelwan")</f>
        <v>@John_Nelwan</v>
      </c>
      <c r="C14316" t="s">
        <v>2155</v>
      </c>
      <c r="D14316">
        <v>316</v>
      </c>
      <c r="E14316">
        <v>0</v>
      </c>
      <c r="F14316">
        <v>1335</v>
      </c>
    </row>
    <row r="14317" spans="1:6" ht="12.75">
      <c r="A14317" s="2">
        <v>43878.791689814811</v>
      </c>
      <c r="B14317" t="str">
        <f>HYPERLINK("https://twitter.com/republikaonline","@republikaonline")</f>
        <v>@republikaonline</v>
      </c>
      <c r="C14317" t="s">
        <v>7371</v>
      </c>
      <c r="D14317">
        <v>0</v>
      </c>
      <c r="E14317">
        <v>1</v>
      </c>
      <c r="F14317">
        <v>1210898</v>
      </c>
    </row>
    <row r="14318" spans="1:6" ht="12.75">
      <c r="A14318" s="2">
        <v>43878.791631944448</v>
      </c>
      <c r="B14318" t="str">
        <f>HYPERLINK("https://twitter.com/bin_martakusuma","@bin_martakusuma")</f>
        <v>@bin_martakusuma</v>
      </c>
      <c r="C14318" t="s">
        <v>7372</v>
      </c>
      <c r="D14318">
        <v>0</v>
      </c>
      <c r="E14318">
        <v>0</v>
      </c>
      <c r="F14318">
        <v>4622</v>
      </c>
    </row>
    <row r="14319" spans="1:6" ht="12.75">
      <c r="A14319" s="2">
        <v>43878.791574074072</v>
      </c>
      <c r="B14319" t="str">
        <f>HYPERLINK("https://twitter.com/SuryoUdoro","@SuryoUdoro")</f>
        <v>@SuryoUdoro</v>
      </c>
      <c r="C14319" t="s">
        <v>7373</v>
      </c>
      <c r="D14319">
        <v>74</v>
      </c>
      <c r="E14319">
        <v>0</v>
      </c>
      <c r="F14319">
        <v>3636</v>
      </c>
    </row>
    <row r="14320" spans="1:6" ht="12.75">
      <c r="A14320" s="2">
        <v>43878.791388888887</v>
      </c>
      <c r="B14320" t="str">
        <f>HYPERLINK("https://twitter.com/JenteraPurnama","@JenteraPurnama")</f>
        <v>@JenteraPurnama</v>
      </c>
      <c r="C14320" t="s">
        <v>6161</v>
      </c>
      <c r="D14320">
        <v>277</v>
      </c>
      <c r="E14320">
        <v>0</v>
      </c>
      <c r="F14320">
        <v>181</v>
      </c>
    </row>
    <row r="14321" spans="1:6" ht="12.75">
      <c r="A14321" s="2">
        <v>43878.791192129633</v>
      </c>
      <c r="B14321" t="str">
        <f>HYPERLINK("https://twitter.com/setian12160555","@setian12160555")</f>
        <v>@setian12160555</v>
      </c>
      <c r="C14321" t="s">
        <v>819</v>
      </c>
      <c r="D14321">
        <v>0</v>
      </c>
      <c r="E14321">
        <v>0</v>
      </c>
      <c r="F14321">
        <v>1</v>
      </c>
    </row>
    <row r="14322" spans="1:6" ht="12.75">
      <c r="A14322" s="2">
        <v>43878.790914351848</v>
      </c>
      <c r="B14322" t="str">
        <f>HYPERLINK("https://twitter.com/Klaten_24jam","@Klaten_24jam")</f>
        <v>@Klaten_24jam</v>
      </c>
      <c r="C14322" t="s">
        <v>7374</v>
      </c>
      <c r="D14322">
        <v>0</v>
      </c>
      <c r="E14322">
        <v>0</v>
      </c>
      <c r="F14322">
        <v>182</v>
      </c>
    </row>
    <row r="14323" spans="1:6" ht="12.75">
      <c r="A14323" s="2">
        <v>43878.790497685186</v>
      </c>
      <c r="B14323" t="str">
        <f>HYPERLINK("https://twitter.com/nailasolihah","@nailasolihah")</f>
        <v>@nailasolihah</v>
      </c>
      <c r="C14323" t="s">
        <v>4975</v>
      </c>
      <c r="D14323">
        <v>85</v>
      </c>
      <c r="E14323">
        <v>0</v>
      </c>
      <c r="F14323">
        <v>237</v>
      </c>
    </row>
    <row r="14324" spans="1:6" ht="12.75">
      <c r="A14324" s="2">
        <v>43878.790335648147</v>
      </c>
      <c r="B14324" t="str">
        <f>HYPERLINK("https://twitter.com/tijabar","@tijabar")</f>
        <v>@tijabar</v>
      </c>
      <c r="C14324" t="s">
        <v>7375</v>
      </c>
      <c r="D14324">
        <v>0</v>
      </c>
      <c r="E14324">
        <v>1</v>
      </c>
      <c r="F14324">
        <v>57909</v>
      </c>
    </row>
    <row r="14325" spans="1:6" ht="12.75">
      <c r="A14325" s="2">
        <v>43878.790173611109</v>
      </c>
      <c r="B14325" t="str">
        <f>HYPERLINK("https://twitter.com/affanusman","@affanusman")</f>
        <v>@affanusman</v>
      </c>
      <c r="C14325" t="s">
        <v>6161</v>
      </c>
      <c r="D14325">
        <v>277</v>
      </c>
      <c r="E14325">
        <v>0</v>
      </c>
      <c r="F14325">
        <v>120</v>
      </c>
    </row>
    <row r="14326" spans="1:6" ht="12.75">
      <c r="A14326" s="2">
        <v>43878.789479166662</v>
      </c>
      <c r="B14326" t="str">
        <f>HYPERLINK("https://twitter.com/Aul_213","@Aul_213")</f>
        <v>@Aul_213</v>
      </c>
      <c r="C14326" t="s">
        <v>4975</v>
      </c>
      <c r="D14326">
        <v>85</v>
      </c>
      <c r="E14326">
        <v>0</v>
      </c>
      <c r="F14326">
        <v>19</v>
      </c>
    </row>
    <row r="14327" spans="1:6" ht="12.75">
      <c r="A14327" s="2">
        <v>43878.788981481484</v>
      </c>
      <c r="B14327" t="str">
        <f>HYPERLINK("https://twitter.com/Rhiyo75Tuama","@Rhiyo75Tuama")</f>
        <v>@Rhiyo75Tuama</v>
      </c>
      <c r="C14327" t="s">
        <v>2155</v>
      </c>
      <c r="D14327">
        <v>316</v>
      </c>
      <c r="E14327">
        <v>0</v>
      </c>
      <c r="F14327">
        <v>66</v>
      </c>
    </row>
    <row r="14328" spans="1:6" ht="12.75">
      <c r="A14328" s="2">
        <v>43878.788912037038</v>
      </c>
      <c r="B14328" t="str">
        <f>HYPERLINK("https://twitter.com/DongMema","@DongMema")</f>
        <v>@DongMema</v>
      </c>
      <c r="C14328" t="s">
        <v>7376</v>
      </c>
      <c r="D14328">
        <v>0</v>
      </c>
      <c r="E14328">
        <v>0</v>
      </c>
      <c r="F14328">
        <v>0</v>
      </c>
    </row>
    <row r="14329" spans="1:6" ht="12.75">
      <c r="A14329" s="2">
        <v>43878.788518518515</v>
      </c>
      <c r="B14329" t="str">
        <f>HYPERLINK("https://twitter.com/ojandanny1","@ojandanny1")</f>
        <v>@ojandanny1</v>
      </c>
      <c r="C14329" t="s">
        <v>2155</v>
      </c>
      <c r="D14329">
        <v>316</v>
      </c>
      <c r="E14329">
        <v>0</v>
      </c>
      <c r="F14329">
        <v>26</v>
      </c>
    </row>
    <row r="14330" spans="1:6" ht="12.75">
      <c r="A14330" s="2">
        <v>43878.787962962961</v>
      </c>
      <c r="B14330" t="str">
        <f>HYPERLINK("https://twitter.com/Alarissamorim","@Alarissamorim")</f>
        <v>@Alarissamorim</v>
      </c>
      <c r="C14330" t="s">
        <v>7377</v>
      </c>
      <c r="D14330">
        <v>0</v>
      </c>
      <c r="E14330">
        <v>0</v>
      </c>
      <c r="F14330">
        <v>48</v>
      </c>
    </row>
    <row r="14331" spans="1:6" ht="12.75">
      <c r="A14331" s="2">
        <v>43878.787511574075</v>
      </c>
      <c r="B14331" t="str">
        <f>HYPERLINK("https://twitter.com/LindawatyK","@LindawatyK")</f>
        <v>@LindawatyK</v>
      </c>
      <c r="C14331" t="s">
        <v>2155</v>
      </c>
      <c r="D14331">
        <v>316</v>
      </c>
      <c r="E14331">
        <v>0</v>
      </c>
      <c r="F14331">
        <v>168</v>
      </c>
    </row>
    <row r="14332" spans="1:6" ht="12.75">
      <c r="A14332" s="2">
        <v>43878.787488425922</v>
      </c>
      <c r="B14332" t="str">
        <f>HYPERLINK("https://twitter.com/FarelmaxL","@FarelmaxL")</f>
        <v>@FarelmaxL</v>
      </c>
      <c r="C14332" t="s">
        <v>7101</v>
      </c>
      <c r="D14332">
        <v>3</v>
      </c>
      <c r="E14332">
        <v>0</v>
      </c>
      <c r="F14332">
        <v>1304</v>
      </c>
    </row>
    <row r="14333" spans="1:6" ht="12.75">
      <c r="A14333" s="2">
        <v>43878.787268518514</v>
      </c>
      <c r="B14333" t="str">
        <f>HYPERLINK("https://twitter.com/rinduqorys","@rinduqorys")</f>
        <v>@rinduqorys</v>
      </c>
      <c r="C14333" t="s">
        <v>2444</v>
      </c>
      <c r="D14333">
        <v>4580</v>
      </c>
      <c r="E14333">
        <v>0</v>
      </c>
      <c r="F14333">
        <v>56</v>
      </c>
    </row>
    <row r="14334" spans="1:6" ht="12.75">
      <c r="A14334" s="2">
        <v>43878.787222222221</v>
      </c>
      <c r="B14334" t="str">
        <f>HYPERLINK("https://twitter.com/Media_sumutku","@Media_sumutku")</f>
        <v>@Media_sumutku</v>
      </c>
      <c r="C14334" t="s">
        <v>7378</v>
      </c>
      <c r="D14334">
        <v>0</v>
      </c>
      <c r="E14334">
        <v>0</v>
      </c>
      <c r="F14334">
        <v>23</v>
      </c>
    </row>
    <row r="14335" spans="1:6" ht="12.75">
      <c r="A14335" s="2">
        <v>43878.78696759259</v>
      </c>
      <c r="B14335" t="str">
        <f>HYPERLINK("https://twitter.com/RKrisbiantoro","@RKrisbiantoro")</f>
        <v>@RKrisbiantoro</v>
      </c>
      <c r="C14335" t="s">
        <v>2155</v>
      </c>
      <c r="D14335">
        <v>316</v>
      </c>
      <c r="E14335">
        <v>0</v>
      </c>
      <c r="F14335">
        <v>609</v>
      </c>
    </row>
    <row r="14336" spans="1:6" ht="12.75">
      <c r="A14336" s="2">
        <v>43878.786886574075</v>
      </c>
      <c r="B14336" t="str">
        <f>HYPERLINK("https://twitter.com/snjayajonggrang","@snjayajonggrang")</f>
        <v>@snjayajonggrang</v>
      </c>
      <c r="C14336" t="s">
        <v>7379</v>
      </c>
      <c r="D14336">
        <v>1</v>
      </c>
      <c r="E14336">
        <v>0</v>
      </c>
      <c r="F14336">
        <v>3811</v>
      </c>
    </row>
    <row r="14337" spans="1:6" ht="12.75">
      <c r="A14337" s="2">
        <v>43878.786851851852</v>
      </c>
      <c r="B14337" t="str">
        <f>HYPERLINK("https://twitter.com/revofebri","@revofebri")</f>
        <v>@revofebri</v>
      </c>
      <c r="C14337" t="s">
        <v>7380</v>
      </c>
      <c r="D14337">
        <v>0</v>
      </c>
      <c r="E14337">
        <v>0</v>
      </c>
      <c r="F14337">
        <v>620</v>
      </c>
    </row>
    <row r="14338" spans="1:6" ht="12.75">
      <c r="A14338" s="2">
        <v>43878.786493055552</v>
      </c>
      <c r="B14338" t="str">
        <f>HYPERLINK("https://twitter.com/KangKun999","@KangKun999")</f>
        <v>@KangKun999</v>
      </c>
      <c r="C14338" t="s">
        <v>7381</v>
      </c>
      <c r="D14338">
        <v>0</v>
      </c>
      <c r="E14338">
        <v>1</v>
      </c>
      <c r="F14338">
        <v>435</v>
      </c>
    </row>
    <row r="14339" spans="1:6" ht="12.75">
      <c r="A14339" s="2">
        <v>43878.786238425921</v>
      </c>
      <c r="B14339" t="str">
        <f>HYPERLINK("https://twitter.com/Wongnde73039722","@Wongnde73039722")</f>
        <v>@Wongnde73039722</v>
      </c>
      <c r="C14339" t="s">
        <v>2155</v>
      </c>
      <c r="D14339">
        <v>316</v>
      </c>
      <c r="E14339">
        <v>0</v>
      </c>
      <c r="F14339">
        <v>40</v>
      </c>
    </row>
    <row r="14340" spans="1:6" ht="12.75">
      <c r="A14340" s="2">
        <v>43878.786180555559</v>
      </c>
      <c r="B14340" t="str">
        <f>HYPERLINK("https://twitter.com/H4l1mun_D1n61n","@H4l1mun_D1n61n")</f>
        <v>@H4l1mun_D1n61n</v>
      </c>
      <c r="C14340" t="s">
        <v>7382</v>
      </c>
      <c r="D14340">
        <v>0</v>
      </c>
      <c r="E14340">
        <v>4</v>
      </c>
      <c r="F14340">
        <v>3601</v>
      </c>
    </row>
    <row r="14341" spans="1:6" ht="12.75">
      <c r="A14341" s="2">
        <v>43878.785914351851</v>
      </c>
      <c r="B14341" t="str">
        <f>HYPERLINK("https://twitter.com/AffeImWeltraum","@AffeImWeltraum")</f>
        <v>@AffeImWeltraum</v>
      </c>
      <c r="C14341" t="s">
        <v>6236</v>
      </c>
      <c r="D14341">
        <v>21</v>
      </c>
      <c r="E14341">
        <v>0</v>
      </c>
      <c r="F14341">
        <v>95</v>
      </c>
    </row>
    <row r="14342" spans="1:6" ht="12.75">
      <c r="A14342" s="2">
        <v>43878.785509259258</v>
      </c>
      <c r="B14342" t="str">
        <f>HYPERLINK("https://twitter.com/traumatizerr","@traumatizerr")</f>
        <v>@traumatizerr</v>
      </c>
      <c r="C14342" t="s">
        <v>6236</v>
      </c>
      <c r="D14342">
        <v>21</v>
      </c>
      <c r="E14342">
        <v>0</v>
      </c>
      <c r="F14342">
        <v>190</v>
      </c>
    </row>
    <row r="14343" spans="1:6" ht="12.75">
      <c r="A14343" s="2">
        <v>43878.785370370373</v>
      </c>
      <c r="B14343" t="str">
        <f>HYPERLINK("https://twitter.com/zen_ubaidillah","@zen_ubaidillah")</f>
        <v>@zen_ubaidillah</v>
      </c>
      <c r="C14343" t="s">
        <v>7383</v>
      </c>
      <c r="D14343">
        <v>0</v>
      </c>
      <c r="E14343">
        <v>0</v>
      </c>
      <c r="F14343">
        <v>70</v>
      </c>
    </row>
    <row r="14344" spans="1:6" ht="12.75">
      <c r="A14344" s="2">
        <v>43878.785231481481</v>
      </c>
      <c r="B14344" t="str">
        <f>HYPERLINK("https://twitter.com/sabrial90","@sabrial90")</f>
        <v>@sabrial90</v>
      </c>
      <c r="C14344" t="s">
        <v>4975</v>
      </c>
      <c r="D14344">
        <v>85</v>
      </c>
      <c r="E14344">
        <v>0</v>
      </c>
      <c r="F14344">
        <v>510</v>
      </c>
    </row>
    <row r="14345" spans="1:6" ht="12.75">
      <c r="A14345" s="2">
        <v>43878.78502314815</v>
      </c>
      <c r="B14345" t="str">
        <f>HYPERLINK("https://twitter.com/spiderr__matrix","@spiderr__matrix")</f>
        <v>@spiderr__matrix</v>
      </c>
      <c r="C14345" t="s">
        <v>7384</v>
      </c>
      <c r="D14345">
        <v>1</v>
      </c>
      <c r="E14345">
        <v>3</v>
      </c>
      <c r="F14345">
        <v>4825</v>
      </c>
    </row>
    <row r="14346" spans="1:6" ht="12.75">
      <c r="A14346" s="2">
        <v>43878.784733796296</v>
      </c>
      <c r="B14346" t="str">
        <f>HYPERLINK("https://twitter.com/zarazettirazr","@zarazettirazr")</f>
        <v>@zarazettirazr</v>
      </c>
      <c r="C14346" t="s">
        <v>7385</v>
      </c>
      <c r="D14346">
        <v>0</v>
      </c>
      <c r="E14346">
        <v>2</v>
      </c>
      <c r="F14346">
        <v>250253</v>
      </c>
    </row>
    <row r="14347" spans="1:6" ht="12.75">
      <c r="A14347" s="2">
        <v>43878.784548611111</v>
      </c>
      <c r="B14347" t="str">
        <f>HYPERLINK("https://twitter.com/MZubir_ID","@MZubir_ID")</f>
        <v>@MZubir_ID</v>
      </c>
      <c r="C14347" t="s">
        <v>7386</v>
      </c>
      <c r="D14347">
        <v>0</v>
      </c>
      <c r="E14347">
        <v>0</v>
      </c>
      <c r="F14347">
        <v>5853</v>
      </c>
    </row>
    <row r="14348" spans="1:6" ht="12.75">
      <c r="A14348" s="2">
        <v>43878.784131944441</v>
      </c>
      <c r="B14348" t="str">
        <f>HYPERLINK("https://twitter.com/hendra235","@hendra235")</f>
        <v>@hendra235</v>
      </c>
      <c r="C14348" t="s">
        <v>6161</v>
      </c>
      <c r="D14348">
        <v>277</v>
      </c>
      <c r="E14348">
        <v>0</v>
      </c>
      <c r="F14348">
        <v>292</v>
      </c>
    </row>
    <row r="14349" spans="1:6" ht="12.75">
      <c r="A14349" s="2">
        <v>43878.784097222218</v>
      </c>
      <c r="B14349" t="str">
        <f>HYPERLINK("https://twitter.com/ipungkurnia","@ipungkurnia")</f>
        <v>@ipungkurnia</v>
      </c>
      <c r="C14349" t="s">
        <v>7387</v>
      </c>
      <c r="D14349">
        <v>4</v>
      </c>
      <c r="E14349">
        <v>0</v>
      </c>
      <c r="F14349">
        <v>96</v>
      </c>
    </row>
    <row r="14350" spans="1:6" ht="12.75">
      <c r="A14350" s="2">
        <v>43878.784050925926</v>
      </c>
      <c r="B14350" t="str">
        <f>HYPERLINK("https://twitter.com/Pang22Saudi","@Pang22Saudi")</f>
        <v>@Pang22Saudi</v>
      </c>
      <c r="C14350" t="s">
        <v>2155</v>
      </c>
      <c r="D14350">
        <v>316</v>
      </c>
      <c r="E14350">
        <v>0</v>
      </c>
      <c r="F14350">
        <v>823</v>
      </c>
    </row>
    <row r="14351" spans="1:6" ht="12.75">
      <c r="A14351" s="2">
        <v>43878.783831018518</v>
      </c>
      <c r="B14351" t="str">
        <f>HYPERLINK("https://twitter.com/agus_donie","@agus_donie")</f>
        <v>@agus_donie</v>
      </c>
      <c r="C14351" t="s">
        <v>2155</v>
      </c>
      <c r="D14351">
        <v>316</v>
      </c>
      <c r="E14351">
        <v>0</v>
      </c>
      <c r="F14351">
        <v>700</v>
      </c>
    </row>
    <row r="14352" spans="1:6" ht="12.75">
      <c r="A14352" s="2">
        <v>43878.783553240741</v>
      </c>
      <c r="B14352" t="str">
        <f>HYPERLINK("https://twitter.com/MilsonPanggalo","@MilsonPanggalo")</f>
        <v>@MilsonPanggalo</v>
      </c>
      <c r="C14352" t="s">
        <v>7388</v>
      </c>
      <c r="D14352">
        <v>0</v>
      </c>
      <c r="E14352">
        <v>0</v>
      </c>
      <c r="F14352">
        <v>56</v>
      </c>
    </row>
    <row r="14353" spans="1:6" ht="12.75">
      <c r="A14353" s="2">
        <v>43878.783171296294</v>
      </c>
      <c r="B14353" t="str">
        <f>HYPERLINK("https://twitter.com/4aSunlight","@4aSunlight")</f>
        <v>@4aSunlight</v>
      </c>
      <c r="C14353" t="s">
        <v>7389</v>
      </c>
      <c r="D14353">
        <v>7</v>
      </c>
      <c r="E14353">
        <v>0</v>
      </c>
      <c r="F14353">
        <v>414</v>
      </c>
    </row>
    <row r="14354" spans="1:6" ht="12.75">
      <c r="A14354" s="2">
        <v>43878.783148148148</v>
      </c>
      <c r="B14354" t="str">
        <f>HYPERLINK("https://twitter.com/Ladymamagigi","@Ladymamagigi")</f>
        <v>@Ladymamagigi</v>
      </c>
      <c r="C14354" t="s">
        <v>3340</v>
      </c>
      <c r="D14354">
        <v>226</v>
      </c>
      <c r="E14354">
        <v>0</v>
      </c>
      <c r="F14354">
        <v>1050</v>
      </c>
    </row>
    <row r="14355" spans="1:6" ht="12.75">
      <c r="A14355" s="2">
        <v>43878.783067129625</v>
      </c>
      <c r="B14355" t="str">
        <f>HYPERLINK("https://twitter.com/tharak_i","@tharak_i")</f>
        <v>@tharak_i</v>
      </c>
      <c r="C14355" t="s">
        <v>6236</v>
      </c>
      <c r="D14355">
        <v>21</v>
      </c>
      <c r="E14355">
        <v>0</v>
      </c>
      <c r="F14355">
        <v>4</v>
      </c>
    </row>
    <row r="14356" spans="1:6" ht="12.75">
      <c r="A14356" s="2">
        <v>43878.782870370371</v>
      </c>
      <c r="B14356" t="str">
        <f>HYPERLINK("https://twitter.com/jee_creepers","@jee_creepers")</f>
        <v>@jee_creepers</v>
      </c>
      <c r="C14356" t="s">
        <v>2155</v>
      </c>
      <c r="D14356">
        <v>316</v>
      </c>
      <c r="E14356">
        <v>0</v>
      </c>
      <c r="F14356">
        <v>702</v>
      </c>
    </row>
    <row r="14357" spans="1:6" ht="12.75">
      <c r="A14357" s="2">
        <v>43878.782870370371</v>
      </c>
      <c r="B14357" t="str">
        <f>HYPERLINK("https://twitter.com/Ferry13602224","@Ferry13602224")</f>
        <v>@Ferry13602224</v>
      </c>
      <c r="C14357" t="s">
        <v>2155</v>
      </c>
      <c r="D14357">
        <v>316</v>
      </c>
      <c r="E14357">
        <v>0</v>
      </c>
      <c r="F14357">
        <v>344</v>
      </c>
    </row>
    <row r="14358" spans="1:6" ht="12.75">
      <c r="A14358" s="2">
        <v>43878.782789351855</v>
      </c>
      <c r="B14358" t="str">
        <f>HYPERLINK("https://twitter.com/MiftahFariedS","@MiftahFariedS")</f>
        <v>@MiftahFariedS</v>
      </c>
      <c r="C14358" t="s">
        <v>2444</v>
      </c>
      <c r="D14358">
        <v>4580</v>
      </c>
      <c r="E14358">
        <v>0</v>
      </c>
      <c r="F14358">
        <v>851</v>
      </c>
    </row>
    <row r="14359" spans="1:6" ht="12.75">
      <c r="A14359" s="2">
        <v>43878.782418981486</v>
      </c>
      <c r="B14359" t="str">
        <f>HYPERLINK("https://twitter.com/bejo99652536","@bejo99652536")</f>
        <v>@bejo99652536</v>
      </c>
      <c r="C14359" t="s">
        <v>2155</v>
      </c>
      <c r="D14359">
        <v>316</v>
      </c>
      <c r="E14359">
        <v>0</v>
      </c>
      <c r="F14359">
        <v>359</v>
      </c>
    </row>
    <row r="14360" spans="1:6" ht="12.75">
      <c r="A14360" s="2">
        <v>43878.782187500001</v>
      </c>
      <c r="B14360" t="str">
        <f>HYPERLINK("https://twitter.com/Hit_DX","@Hit_DX")</f>
        <v>@Hit_DX</v>
      </c>
      <c r="C14360" t="s">
        <v>2155</v>
      </c>
      <c r="D14360">
        <v>316</v>
      </c>
      <c r="E14360">
        <v>0</v>
      </c>
      <c r="F14360">
        <v>2508</v>
      </c>
    </row>
    <row r="14361" spans="1:6" ht="12.75">
      <c r="A14361" s="2">
        <v>43878.782164351855</v>
      </c>
      <c r="B14361" t="str">
        <f>HYPERLINK("https://twitter.com/amrudinnejad_","@amrudinnejad_")</f>
        <v>@amrudinnejad_</v>
      </c>
      <c r="C14361" t="s">
        <v>2155</v>
      </c>
      <c r="D14361">
        <v>316</v>
      </c>
      <c r="E14361">
        <v>0</v>
      </c>
      <c r="F14361">
        <v>7781</v>
      </c>
    </row>
    <row r="14362" spans="1:6" ht="12.75">
      <c r="A14362" s="2">
        <v>43878.782002314816</v>
      </c>
      <c r="B14362" t="str">
        <f>HYPERLINK("https://twitter.com/GovindBhagwan","@GovindBhagwan")</f>
        <v>@GovindBhagwan</v>
      </c>
      <c r="C14362" t="s">
        <v>6236</v>
      </c>
      <c r="D14362">
        <v>21</v>
      </c>
      <c r="E14362">
        <v>0</v>
      </c>
      <c r="F14362">
        <v>454</v>
      </c>
    </row>
    <row r="14363" spans="1:6" ht="12.75">
      <c r="A14363" s="2">
        <v>43878.781828703708</v>
      </c>
      <c r="B14363" t="str">
        <f>HYPERLINK("https://twitter.com/geraldineventi","@geraldineventi")</f>
        <v>@geraldineventi</v>
      </c>
      <c r="C14363" t="s">
        <v>7390</v>
      </c>
      <c r="D14363">
        <v>93</v>
      </c>
      <c r="E14363">
        <v>0</v>
      </c>
      <c r="F14363">
        <v>4073</v>
      </c>
    </row>
    <row r="14364" spans="1:6" ht="12.75">
      <c r="A14364" s="2">
        <v>43878.781782407408</v>
      </c>
      <c r="B14364" t="str">
        <f>HYPERLINK("https://twitter.com/Dani86113065","@Dani86113065")</f>
        <v>@Dani86113065</v>
      </c>
      <c r="C14364" t="s">
        <v>6815</v>
      </c>
      <c r="D14364">
        <v>2</v>
      </c>
      <c r="E14364">
        <v>0</v>
      </c>
      <c r="F14364">
        <v>465</v>
      </c>
    </row>
    <row r="14365" spans="1:6" ht="12.75">
      <c r="A14365" s="2">
        <v>43878.781712962962</v>
      </c>
      <c r="B14365" t="str">
        <f>HYPERLINK("https://twitter.com/hotradiofm","@hotradiofm")</f>
        <v>@hotradiofm</v>
      </c>
      <c r="C14365" t="s">
        <v>7391</v>
      </c>
      <c r="D14365">
        <v>0</v>
      </c>
      <c r="E14365">
        <v>0</v>
      </c>
      <c r="F14365">
        <v>847</v>
      </c>
    </row>
    <row r="14366" spans="1:6" ht="12.75">
      <c r="A14366" s="2">
        <v>43878.781493055554</v>
      </c>
      <c r="B14366" t="str">
        <f>HYPERLINK("https://twitter.com/medcom_id","@medcom_id")</f>
        <v>@medcom_id</v>
      </c>
      <c r="C14366" t="s">
        <v>7392</v>
      </c>
      <c r="D14366">
        <v>0</v>
      </c>
      <c r="E14366">
        <v>0</v>
      </c>
      <c r="F14366">
        <v>18185</v>
      </c>
    </row>
    <row r="14367" spans="1:6" ht="12.75">
      <c r="A14367" s="2">
        <v>43878.781446759254</v>
      </c>
      <c r="B14367" t="str">
        <f>HYPERLINK("https://twitter.com/sanskuyok","@sanskuyok")</f>
        <v>@sanskuyok</v>
      </c>
      <c r="C14367" t="s">
        <v>3340</v>
      </c>
      <c r="D14367">
        <v>226</v>
      </c>
      <c r="E14367">
        <v>0</v>
      </c>
      <c r="F14367">
        <v>596</v>
      </c>
    </row>
    <row r="14368" spans="1:6" ht="12.75">
      <c r="A14368" s="2">
        <v>43878.781111111108</v>
      </c>
      <c r="B14368" t="str">
        <f>HYPERLINK("https://twitter.com/ivonescence","@ivonescence")</f>
        <v>@ivonescence</v>
      </c>
      <c r="C14368" t="s">
        <v>2155</v>
      </c>
      <c r="D14368">
        <v>316</v>
      </c>
      <c r="E14368">
        <v>0</v>
      </c>
      <c r="F14368">
        <v>66</v>
      </c>
    </row>
    <row r="14369" spans="1:6" ht="12.75">
      <c r="A14369" s="2">
        <v>43878.780844907407</v>
      </c>
      <c r="B14369" t="str">
        <f>HYPERLINK("https://twitter.com/AswadiMasyhur","@AswadiMasyhur")</f>
        <v>@AswadiMasyhur</v>
      </c>
      <c r="C14369" t="s">
        <v>2155</v>
      </c>
      <c r="D14369">
        <v>316</v>
      </c>
      <c r="E14369">
        <v>0</v>
      </c>
      <c r="F14369">
        <v>777</v>
      </c>
    </row>
    <row r="14370" spans="1:6" ht="12.75">
      <c r="A14370" s="2">
        <v>43878.780763888892</v>
      </c>
      <c r="B14370" t="str">
        <f>HYPERLINK("https://twitter.com/PramanaListyo","@PramanaListyo")</f>
        <v>@PramanaListyo</v>
      </c>
      <c r="C14370" t="s">
        <v>2155</v>
      </c>
      <c r="D14370">
        <v>316</v>
      </c>
      <c r="E14370">
        <v>0</v>
      </c>
      <c r="F14370">
        <v>413</v>
      </c>
    </row>
    <row r="14371" spans="1:6" ht="12.75">
      <c r="A14371" s="2">
        <v>43878.780717592592</v>
      </c>
      <c r="B14371" t="str">
        <f>HYPERLINK("https://twitter.com/tvOneNews","@tvOneNews")</f>
        <v>@tvOneNews</v>
      </c>
      <c r="C14371" t="s">
        <v>7393</v>
      </c>
      <c r="D14371">
        <v>0</v>
      </c>
      <c r="E14371">
        <v>3</v>
      </c>
      <c r="F14371">
        <v>8716193</v>
      </c>
    </row>
    <row r="14372" spans="1:6" ht="12.75">
      <c r="A14372" s="2">
        <v>43878.780219907407</v>
      </c>
      <c r="B14372" t="str">
        <f>HYPERLINK("https://twitter.com/HannigramCrime","@HannigramCrime")</f>
        <v>@HannigramCrime</v>
      </c>
      <c r="C14372" t="s">
        <v>3340</v>
      </c>
      <c r="D14372">
        <v>226</v>
      </c>
      <c r="E14372">
        <v>0</v>
      </c>
      <c r="F14372">
        <v>1104</v>
      </c>
    </row>
    <row r="14373" spans="1:6" ht="12.75">
      <c r="A14373" s="2">
        <v>43878.779641203699</v>
      </c>
      <c r="B14373" t="str">
        <f t="shared" ref="B14373:B14374" si="242">HYPERLINK("https://twitter.com/Dara_Fadillah","@Dara_Fadillah")</f>
        <v>@Dara_Fadillah</v>
      </c>
      <c r="C14373" t="s">
        <v>5168</v>
      </c>
      <c r="D14373">
        <v>1663</v>
      </c>
      <c r="E14373">
        <v>0</v>
      </c>
      <c r="F14373">
        <v>256</v>
      </c>
    </row>
    <row r="14374" spans="1:6" ht="12.75">
      <c r="A14374" s="2">
        <v>43878.779583333337</v>
      </c>
      <c r="B14374" t="str">
        <f t="shared" si="242"/>
        <v>@Dara_Fadillah</v>
      </c>
      <c r="C14374" t="s">
        <v>2444</v>
      </c>
      <c r="D14374">
        <v>4580</v>
      </c>
      <c r="E14374">
        <v>0</v>
      </c>
      <c r="F14374">
        <v>256</v>
      </c>
    </row>
    <row r="14375" spans="1:6" ht="12.75">
      <c r="A14375" s="2">
        <v>43878.779293981483</v>
      </c>
      <c r="B14375" t="str">
        <f>HYPERLINK("https://twitter.com/PramanaListyo","@PramanaListyo")</f>
        <v>@PramanaListyo</v>
      </c>
      <c r="C14375" t="s">
        <v>7101</v>
      </c>
      <c r="D14375">
        <v>3</v>
      </c>
      <c r="E14375">
        <v>0</v>
      </c>
      <c r="F14375">
        <v>413</v>
      </c>
    </row>
    <row r="14376" spans="1:6" ht="12.75">
      <c r="A14376" s="2">
        <v>43878.778819444444</v>
      </c>
      <c r="B14376" t="str">
        <f>HYPERLINK("https://twitter.com/AndyWu007","@AndyWu007")</f>
        <v>@AndyWu007</v>
      </c>
      <c r="C14376" t="s">
        <v>7394</v>
      </c>
      <c r="D14376">
        <v>0</v>
      </c>
      <c r="E14376">
        <v>0</v>
      </c>
      <c r="F14376">
        <v>221</v>
      </c>
    </row>
    <row r="14377" spans="1:6" ht="12.75">
      <c r="A14377" s="2">
        <v>43878.778402777782</v>
      </c>
      <c r="B14377" t="str">
        <f>HYPERLINK("https://twitter.com/mediaindonesia","@mediaindonesia")</f>
        <v>@mediaindonesia</v>
      </c>
      <c r="C14377" t="s">
        <v>7395</v>
      </c>
      <c r="D14377">
        <v>0</v>
      </c>
      <c r="E14377">
        <v>1</v>
      </c>
      <c r="F14377">
        <v>1416546</v>
      </c>
    </row>
    <row r="14378" spans="1:6" ht="12.75">
      <c r="A14378" s="2">
        <v>43878.778368055559</v>
      </c>
      <c r="B14378" t="str">
        <f>HYPERLINK("https://twitter.com/Dolwahab86","@Dolwahab86")</f>
        <v>@Dolwahab86</v>
      </c>
      <c r="C14378" t="s">
        <v>7396</v>
      </c>
      <c r="D14378">
        <v>0</v>
      </c>
      <c r="E14378">
        <v>0</v>
      </c>
      <c r="F14378">
        <v>367</v>
      </c>
    </row>
    <row r="14379" spans="1:6" ht="12.75">
      <c r="A14379" s="2">
        <v>43878.777777777781</v>
      </c>
      <c r="B14379" t="str">
        <f>HYPERLINK("https://twitter.com/KurioID","@KurioID")</f>
        <v>@KurioID</v>
      </c>
      <c r="C14379" t="s">
        <v>7397</v>
      </c>
      <c r="D14379">
        <v>0</v>
      </c>
      <c r="E14379">
        <v>0</v>
      </c>
      <c r="F14379">
        <v>7980</v>
      </c>
    </row>
    <row r="14380" spans="1:6" ht="12.75">
      <c r="A14380" s="2">
        <v>43878.777719907404</v>
      </c>
      <c r="B14380" t="str">
        <f>HYPERLINK("https://twitter.com/herlinimelda","@herlinimelda")</f>
        <v>@herlinimelda</v>
      </c>
      <c r="C14380" t="s">
        <v>6989</v>
      </c>
      <c r="D14380">
        <v>233</v>
      </c>
      <c r="E14380">
        <v>0</v>
      </c>
      <c r="F14380">
        <v>265</v>
      </c>
    </row>
    <row r="14381" spans="1:6" ht="12.75">
      <c r="A14381" s="2">
        <v>43878.777488425927</v>
      </c>
      <c r="B14381" t="str">
        <f>HYPERLINK("https://twitter.com/gyttanurwulan","@gyttanurwulan")</f>
        <v>@gyttanurwulan</v>
      </c>
      <c r="C14381" t="s">
        <v>5406</v>
      </c>
      <c r="D14381">
        <v>12</v>
      </c>
      <c r="E14381">
        <v>0</v>
      </c>
      <c r="F14381">
        <v>376</v>
      </c>
    </row>
    <row r="14382" spans="1:6" ht="12.75">
      <c r="A14382" s="2">
        <v>43878.777361111112</v>
      </c>
      <c r="B14382" t="str">
        <f>HYPERLINK("https://twitter.com/f_purwatmo","@f_purwatmo")</f>
        <v>@f_purwatmo</v>
      </c>
      <c r="C14382" t="s">
        <v>2155</v>
      </c>
      <c r="D14382">
        <v>316</v>
      </c>
      <c r="E14382">
        <v>0</v>
      </c>
      <c r="F14382">
        <v>410</v>
      </c>
    </row>
    <row r="14383" spans="1:6" ht="12.75">
      <c r="A14383" s="2">
        <v>43878.777291666665</v>
      </c>
      <c r="B14383" t="str">
        <f>HYPERLINK("https://twitter.com/littleahjumma","@littleahjumma")</f>
        <v>@littleahjumma</v>
      </c>
      <c r="C14383" t="s">
        <v>3340</v>
      </c>
      <c r="D14383">
        <v>226</v>
      </c>
      <c r="E14383">
        <v>0</v>
      </c>
      <c r="F14383">
        <v>552</v>
      </c>
    </row>
    <row r="14384" spans="1:6" ht="12.75">
      <c r="A14384" s="2">
        <v>43878.77725694445</v>
      </c>
      <c r="B14384" t="str">
        <f t="shared" ref="B14384:B14385" si="243">HYPERLINK("https://twitter.com/ErnaZahra","@ErnaZahra")</f>
        <v>@ErnaZahra</v>
      </c>
      <c r="C14384" t="s">
        <v>7398</v>
      </c>
      <c r="D14384">
        <v>1</v>
      </c>
      <c r="E14384">
        <v>0</v>
      </c>
      <c r="F14384">
        <v>950</v>
      </c>
    </row>
    <row r="14385" spans="1:6" ht="12.75">
      <c r="A14385" s="2">
        <v>43878.777187500003</v>
      </c>
      <c r="B14385" t="str">
        <f t="shared" si="243"/>
        <v>@ErnaZahra</v>
      </c>
      <c r="C14385" t="s">
        <v>6815</v>
      </c>
      <c r="D14385">
        <v>2</v>
      </c>
      <c r="E14385">
        <v>0</v>
      </c>
      <c r="F14385">
        <v>950</v>
      </c>
    </row>
    <row r="14386" spans="1:6" ht="12.75">
      <c r="A14386" s="2">
        <v>43878.776701388888</v>
      </c>
      <c r="B14386" t="str">
        <f>HYPERLINK("https://twitter.com/DISTYA__","@DISTYA__")</f>
        <v>@DISTYA__</v>
      </c>
      <c r="C14386" t="s">
        <v>7399</v>
      </c>
      <c r="D14386">
        <v>0</v>
      </c>
      <c r="E14386">
        <v>0</v>
      </c>
      <c r="F14386">
        <v>4</v>
      </c>
    </row>
    <row r="14387" spans="1:6" ht="12.75">
      <c r="A14387" s="2">
        <v>43878.776643518519</v>
      </c>
      <c r="B14387" t="str">
        <f>HYPERLINK("https://twitter.com/eka_muliasari","@eka_muliasari")</f>
        <v>@eka_muliasari</v>
      </c>
      <c r="C14387" t="s">
        <v>2134</v>
      </c>
      <c r="D14387">
        <v>993</v>
      </c>
      <c r="E14387">
        <v>0</v>
      </c>
      <c r="F14387">
        <v>23</v>
      </c>
    </row>
    <row r="14388" spans="1:6" ht="12.75">
      <c r="A14388" s="2">
        <v>43878.775972222225</v>
      </c>
      <c r="B14388" t="str">
        <f>HYPERLINK("https://twitter.com/ErnaZahra","@ErnaZahra")</f>
        <v>@ErnaZahra</v>
      </c>
      <c r="C14388" t="s">
        <v>6161</v>
      </c>
      <c r="D14388">
        <v>277</v>
      </c>
      <c r="E14388">
        <v>0</v>
      </c>
      <c r="F14388">
        <v>950</v>
      </c>
    </row>
    <row r="14389" spans="1:6" ht="12.75">
      <c r="A14389" s="2">
        <v>43878.775937500002</v>
      </c>
      <c r="B14389" t="str">
        <f t="shared" ref="B14389:B14391" si="244">HYPERLINK("https://twitter.com/NannyAlexendry","@NannyAlexendry")</f>
        <v>@NannyAlexendry</v>
      </c>
      <c r="C14389" t="s">
        <v>7400</v>
      </c>
      <c r="D14389">
        <v>19</v>
      </c>
      <c r="E14389">
        <v>0</v>
      </c>
      <c r="F14389">
        <v>2897</v>
      </c>
    </row>
    <row r="14390" spans="1:6" ht="12.75">
      <c r="A14390" s="2">
        <v>43878.775891203702</v>
      </c>
      <c r="B14390" t="str">
        <f t="shared" si="244"/>
        <v>@NannyAlexendry</v>
      </c>
      <c r="C14390" t="s">
        <v>7401</v>
      </c>
      <c r="D14390">
        <v>15</v>
      </c>
      <c r="E14390">
        <v>0</v>
      </c>
      <c r="F14390">
        <v>2897</v>
      </c>
    </row>
    <row r="14391" spans="1:6" ht="12.75">
      <c r="A14391" s="2">
        <v>43878.775810185187</v>
      </c>
      <c r="B14391" t="str">
        <f t="shared" si="244"/>
        <v>@NannyAlexendry</v>
      </c>
      <c r="C14391" t="s">
        <v>7402</v>
      </c>
      <c r="D14391">
        <v>17</v>
      </c>
      <c r="E14391">
        <v>0</v>
      </c>
      <c r="F14391">
        <v>2897</v>
      </c>
    </row>
    <row r="14392" spans="1:6" ht="12.75">
      <c r="A14392" s="2">
        <v>43878.775763888887</v>
      </c>
      <c r="B14392" t="str">
        <f>HYPERLINK("https://twitter.com/miskiy28","@miskiy28")</f>
        <v>@miskiy28</v>
      </c>
      <c r="C14392" t="s">
        <v>7235</v>
      </c>
      <c r="D14392">
        <v>2</v>
      </c>
      <c r="E14392">
        <v>0</v>
      </c>
      <c r="F14392">
        <v>630</v>
      </c>
    </row>
    <row r="14393" spans="1:6" ht="12.75">
      <c r="A14393" s="2">
        <v>43878.775706018518</v>
      </c>
      <c r="B14393" t="str">
        <f>HYPERLINK("https://twitter.com/NannyAlexendry","@NannyAlexendry")</f>
        <v>@NannyAlexendry</v>
      </c>
      <c r="C14393" t="s">
        <v>7403</v>
      </c>
      <c r="D14393">
        <v>29</v>
      </c>
      <c r="E14393">
        <v>0</v>
      </c>
      <c r="F14393">
        <v>2897</v>
      </c>
    </row>
    <row r="14394" spans="1:6" ht="12.75">
      <c r="A14394" s="2">
        <v>43878.775138888886</v>
      </c>
      <c r="B14394" t="str">
        <f>HYPERLINK("https://twitter.com/errrla","@errrla")</f>
        <v>@errrla</v>
      </c>
      <c r="C14394" t="s">
        <v>7404</v>
      </c>
      <c r="D14394">
        <v>5</v>
      </c>
      <c r="E14394">
        <v>0</v>
      </c>
      <c r="F14394">
        <v>696</v>
      </c>
    </row>
    <row r="14395" spans="1:6" ht="12.75">
      <c r="A14395" s="2">
        <v>43878.775057870371</v>
      </c>
      <c r="B14395" t="str">
        <f>HYPERLINK("https://twitter.com/redywanjames","@redywanjames")</f>
        <v>@redywanjames</v>
      </c>
      <c r="C14395" t="s">
        <v>2155</v>
      </c>
      <c r="D14395">
        <v>316</v>
      </c>
      <c r="E14395">
        <v>0</v>
      </c>
      <c r="F14395">
        <v>743</v>
      </c>
    </row>
    <row r="14396" spans="1:6" ht="12.75">
      <c r="A14396" s="2">
        <v>43878.775046296301</v>
      </c>
      <c r="B14396" t="str">
        <f>HYPERLINK("https://twitter.com/NannyAlexendry","@NannyAlexendry")</f>
        <v>@NannyAlexendry</v>
      </c>
      <c r="C14396" t="s">
        <v>7405</v>
      </c>
      <c r="D14396">
        <v>35</v>
      </c>
      <c r="E14396">
        <v>0</v>
      </c>
      <c r="F14396">
        <v>2897</v>
      </c>
    </row>
    <row r="14397" spans="1:6" ht="12.75">
      <c r="A14397" s="2">
        <v>43878.774826388893</v>
      </c>
      <c r="B14397" t="str">
        <f>HYPERLINK("https://twitter.com/namahhslay","@namahhslay")</f>
        <v>@namahhslay</v>
      </c>
      <c r="C14397" t="s">
        <v>6236</v>
      </c>
      <c r="D14397">
        <v>21</v>
      </c>
      <c r="E14397">
        <v>0</v>
      </c>
      <c r="F14397">
        <v>9</v>
      </c>
    </row>
    <row r="14398" spans="1:6" ht="12.75">
      <c r="A14398" s="2">
        <v>43878.774826388893</v>
      </c>
      <c r="B14398" t="str">
        <f>HYPERLINK("https://twitter.com/NannyAlexendry","@NannyAlexendry")</f>
        <v>@NannyAlexendry</v>
      </c>
      <c r="C14398" t="s">
        <v>175</v>
      </c>
      <c r="D14398">
        <v>5389</v>
      </c>
      <c r="E14398">
        <v>0</v>
      </c>
      <c r="F14398">
        <v>2897</v>
      </c>
    </row>
    <row r="14399" spans="1:6" ht="12.75">
      <c r="A14399" s="2">
        <v>43878.774606481486</v>
      </c>
      <c r="B14399" t="str">
        <f>HYPERLINK("https://twitter.com/errrla","@errrla")</f>
        <v>@errrla</v>
      </c>
      <c r="C14399" t="s">
        <v>7406</v>
      </c>
      <c r="D14399">
        <v>22</v>
      </c>
      <c r="E14399">
        <v>0</v>
      </c>
      <c r="F14399">
        <v>696</v>
      </c>
    </row>
    <row r="14400" spans="1:6" ht="12.75">
      <c r="A14400" s="2">
        <v>43878.774502314816</v>
      </c>
      <c r="B14400" t="str">
        <f>HYPERLINK("https://twitter.com/fauzijamal4","@fauzijamal4")</f>
        <v>@fauzijamal4</v>
      </c>
      <c r="C14400" t="s">
        <v>7407</v>
      </c>
      <c r="D14400">
        <v>0</v>
      </c>
      <c r="E14400">
        <v>0</v>
      </c>
      <c r="F14400">
        <v>28</v>
      </c>
    </row>
    <row r="14401" spans="1:6" ht="12.75">
      <c r="A14401" s="2">
        <v>43878.774386574078</v>
      </c>
      <c r="B14401" t="str">
        <f t="shared" ref="B14401:B14402" si="245">HYPERLINK("https://twitter.com/NannyAlexendry","@NannyAlexendry")</f>
        <v>@NannyAlexendry</v>
      </c>
      <c r="C14401" t="s">
        <v>7408</v>
      </c>
      <c r="D14401">
        <v>35</v>
      </c>
      <c r="E14401">
        <v>0</v>
      </c>
      <c r="F14401">
        <v>2897</v>
      </c>
    </row>
    <row r="14402" spans="1:6" ht="12.75">
      <c r="A14402" s="2">
        <v>43878.774293981478</v>
      </c>
      <c r="B14402" t="str">
        <f t="shared" si="245"/>
        <v>@NannyAlexendry</v>
      </c>
      <c r="C14402" t="s">
        <v>7390</v>
      </c>
      <c r="D14402">
        <v>93</v>
      </c>
      <c r="E14402">
        <v>0</v>
      </c>
      <c r="F14402">
        <v>2897</v>
      </c>
    </row>
    <row r="14403" spans="1:6" ht="12.75">
      <c r="A14403" s="2">
        <v>43878.774259259255</v>
      </c>
      <c r="B14403" t="str">
        <f>HYPERLINK("https://twitter.com/kiemhoeng","@kiemhoeng")</f>
        <v>@kiemhoeng</v>
      </c>
      <c r="C14403" t="s">
        <v>2963</v>
      </c>
      <c r="D14403">
        <v>1311</v>
      </c>
      <c r="E14403">
        <v>0</v>
      </c>
      <c r="F14403">
        <v>0</v>
      </c>
    </row>
    <row r="14404" spans="1:6" ht="12.75">
      <c r="A14404" s="2">
        <v>43878.774201388893</v>
      </c>
      <c r="B14404" t="str">
        <f>HYPERLINK("https://twitter.com/KadrunHunter99","@KadrunHunter99")</f>
        <v>@KadrunHunter99</v>
      </c>
      <c r="C14404" t="s">
        <v>7409</v>
      </c>
      <c r="D14404">
        <v>0</v>
      </c>
      <c r="E14404">
        <v>0</v>
      </c>
      <c r="F14404">
        <v>3993</v>
      </c>
    </row>
    <row r="14405" spans="1:6" ht="12.75">
      <c r="A14405" s="2">
        <v>43878.77412037037</v>
      </c>
      <c r="B14405" t="str">
        <f>HYPERLINK("https://twitter.com/suryakachandra","@suryakachandra")</f>
        <v>@suryakachandra</v>
      </c>
      <c r="C14405" t="s">
        <v>7410</v>
      </c>
      <c r="D14405">
        <v>0</v>
      </c>
      <c r="E14405">
        <v>0</v>
      </c>
      <c r="F14405">
        <v>711</v>
      </c>
    </row>
    <row r="14406" spans="1:6" ht="12.75">
      <c r="A14406" s="2">
        <v>43878.773888888885</v>
      </c>
      <c r="B14406" t="str">
        <f>HYPERLINK("https://twitter.com/Dolwahab86","@Dolwahab86")</f>
        <v>@Dolwahab86</v>
      </c>
      <c r="C14406" t="s">
        <v>2155</v>
      </c>
      <c r="D14406">
        <v>316</v>
      </c>
      <c r="E14406">
        <v>0</v>
      </c>
      <c r="F14406">
        <v>367</v>
      </c>
    </row>
    <row r="14407" spans="1:6" ht="12.75">
      <c r="A14407" s="2">
        <v>43878.773865740739</v>
      </c>
      <c r="B14407" t="str">
        <f>HYPERLINK("https://twitter.com/errrla","@errrla")</f>
        <v>@errrla</v>
      </c>
      <c r="C14407" t="s">
        <v>7411</v>
      </c>
      <c r="D14407">
        <v>142</v>
      </c>
      <c r="E14407">
        <v>0</v>
      </c>
      <c r="F14407">
        <v>696</v>
      </c>
    </row>
    <row r="14408" spans="1:6" ht="12.75">
      <c r="A14408" s="2">
        <v>43878.773842592593</v>
      </c>
      <c r="B14408" t="str">
        <f>HYPERLINK("https://twitter.com/wahyu_djanti88","@wahyu_djanti88")</f>
        <v>@wahyu_djanti88</v>
      </c>
      <c r="C14408" t="s">
        <v>7412</v>
      </c>
      <c r="D14408">
        <v>0</v>
      </c>
      <c r="E14408">
        <v>0</v>
      </c>
      <c r="F14408">
        <v>1094</v>
      </c>
    </row>
    <row r="14409" spans="1:6" ht="12.75">
      <c r="A14409" s="2">
        <v>43878.751608796301</v>
      </c>
      <c r="B14409" t="str">
        <f>HYPERLINK("https://twitter.com/VishrajRajkumar","@VishrajRajkumar")</f>
        <v>@VishrajRajkumar</v>
      </c>
      <c r="C14409" t="s">
        <v>6236</v>
      </c>
      <c r="D14409">
        <v>6</v>
      </c>
      <c r="E14409">
        <v>0</v>
      </c>
      <c r="F14409">
        <v>66</v>
      </c>
    </row>
    <row r="14410" spans="1:6" ht="12.75">
      <c r="A14410" s="2">
        <v>43878.751458333332</v>
      </c>
      <c r="B14410" t="str">
        <f>HYPERLINK("https://twitter.com/tetapID","@tetapID")</f>
        <v>@tetapID</v>
      </c>
      <c r="C14410" t="s">
        <v>7413</v>
      </c>
      <c r="D14410">
        <v>0</v>
      </c>
      <c r="E14410">
        <v>0</v>
      </c>
      <c r="F14410">
        <v>424</v>
      </c>
    </row>
    <row r="14411" spans="1:6" ht="12.75">
      <c r="A14411" s="2">
        <v>43878.751400462963</v>
      </c>
      <c r="B14411" t="str">
        <f>HYPERLINK("https://twitter.com/BillTemporo","@BillTemporo")</f>
        <v>@BillTemporo</v>
      </c>
      <c r="C14411" t="s">
        <v>832</v>
      </c>
      <c r="D14411">
        <v>0</v>
      </c>
      <c r="E14411">
        <v>0</v>
      </c>
      <c r="F14411">
        <v>11</v>
      </c>
    </row>
    <row r="14412" spans="1:6" ht="12.75">
      <c r="A14412" s="2">
        <v>43878.750740740739</v>
      </c>
      <c r="B14412" t="str">
        <f>HYPERLINK("https://twitter.com/ANTARABengkulu","@ANTARABengkulu")</f>
        <v>@ANTARABengkulu</v>
      </c>
      <c r="C14412" t="s">
        <v>7414</v>
      </c>
      <c r="D14412">
        <v>0</v>
      </c>
      <c r="E14412">
        <v>0</v>
      </c>
      <c r="F14412">
        <v>2107</v>
      </c>
    </row>
    <row r="14413" spans="1:6" ht="12.75">
      <c r="A14413" s="2">
        <v>43878.750613425931</v>
      </c>
      <c r="B14413" t="str">
        <f>HYPERLINK("https://twitter.com/RadioElshinta","@RadioElshinta")</f>
        <v>@RadioElshinta</v>
      </c>
      <c r="C14413" t="s">
        <v>7415</v>
      </c>
      <c r="D14413">
        <v>0</v>
      </c>
      <c r="E14413">
        <v>0</v>
      </c>
      <c r="F14413">
        <v>3633717</v>
      </c>
    </row>
    <row r="14414" spans="1:6" ht="12.75">
      <c r="A14414" s="2">
        <v>43878.750439814816</v>
      </c>
      <c r="B14414" t="str">
        <f>HYPERLINK("https://twitter.com/Arunnn__","@Arunnn__")</f>
        <v>@Arunnn__</v>
      </c>
      <c r="C14414" t="s">
        <v>6236</v>
      </c>
      <c r="D14414">
        <v>6</v>
      </c>
      <c r="E14414">
        <v>0</v>
      </c>
      <c r="F14414">
        <v>187</v>
      </c>
    </row>
    <row r="14415" spans="1:6" ht="12.75">
      <c r="A14415" s="2">
        <v>43878.750335648147</v>
      </c>
      <c r="B14415" t="str">
        <f>HYPERLINK("https://twitter.com/titik_nurahmad","@titik_nurahmad")</f>
        <v>@titik_nurahmad</v>
      </c>
      <c r="C14415" t="s">
        <v>7416</v>
      </c>
      <c r="D14415">
        <v>0</v>
      </c>
      <c r="E14415">
        <v>0</v>
      </c>
      <c r="F14415">
        <v>155</v>
      </c>
    </row>
    <row r="14416" spans="1:6" ht="12.75">
      <c r="A14416" s="2">
        <v>43878.750335648147</v>
      </c>
      <c r="B14416" t="str">
        <f>HYPERLINK("https://twitter.com/DesyArsud","@DesyArsud")</f>
        <v>@DesyArsud</v>
      </c>
      <c r="C14416" t="s">
        <v>7129</v>
      </c>
      <c r="D14416">
        <v>16</v>
      </c>
      <c r="E14416">
        <v>0</v>
      </c>
      <c r="F14416">
        <v>2733</v>
      </c>
    </row>
    <row r="14417" spans="1:6" ht="12.75">
      <c r="A14417" s="2">
        <v>43878.750289351854</v>
      </c>
      <c r="B14417" t="str">
        <f>HYPERLINK("https://twitter.com/tismulyati","@tismulyati")</f>
        <v>@tismulyati</v>
      </c>
      <c r="C14417" t="s">
        <v>2155</v>
      </c>
      <c r="D14417">
        <v>280</v>
      </c>
      <c r="E14417">
        <v>0</v>
      </c>
      <c r="F14417">
        <v>66</v>
      </c>
    </row>
    <row r="14418" spans="1:6" ht="12.75">
      <c r="A14418" s="2">
        <v>43878.750289351854</v>
      </c>
      <c r="B14418" t="str">
        <f>HYPERLINK("https://twitter.com/annisarzk20","@annisarzk20")</f>
        <v>@annisarzk20</v>
      </c>
      <c r="C14418" t="s">
        <v>3340</v>
      </c>
      <c r="D14418">
        <v>206</v>
      </c>
      <c r="E14418">
        <v>0</v>
      </c>
      <c r="F14418">
        <v>58</v>
      </c>
    </row>
    <row r="14419" spans="1:6" ht="12.75">
      <c r="A14419" s="2">
        <v>43878.750023148154</v>
      </c>
      <c r="B14419" t="str">
        <f>HYPERLINK("https://twitter.com/republikaonline","@republikaonline")</f>
        <v>@republikaonline</v>
      </c>
      <c r="C14419" t="s">
        <v>7417</v>
      </c>
      <c r="D14419">
        <v>0</v>
      </c>
      <c r="E14419">
        <v>1</v>
      </c>
      <c r="F14419">
        <v>1210896</v>
      </c>
    </row>
    <row r="14420" spans="1:6" ht="12.75">
      <c r="A14420" s="2">
        <v>43878.75</v>
      </c>
      <c r="B14420" t="str">
        <f>HYPERLINK("https://twitter.com/gomuslim","@gomuslim")</f>
        <v>@gomuslim</v>
      </c>
      <c r="C14420" t="s">
        <v>7418</v>
      </c>
      <c r="D14420">
        <v>0</v>
      </c>
      <c r="E14420">
        <v>0</v>
      </c>
      <c r="F14420">
        <v>1224</v>
      </c>
    </row>
    <row r="14421" spans="1:6" ht="12.75">
      <c r="A14421" s="2">
        <v>43878.749861111108</v>
      </c>
      <c r="B14421" t="str">
        <f>HYPERLINK("https://twitter.com/Frylimay","@Frylimay")</f>
        <v>@Frylimay</v>
      </c>
      <c r="C14421" t="s">
        <v>7419</v>
      </c>
      <c r="D14421">
        <v>0</v>
      </c>
      <c r="E14421">
        <v>1</v>
      </c>
      <c r="F14421">
        <v>518</v>
      </c>
    </row>
    <row r="14422" spans="1:6" ht="12.75">
      <c r="A14422" s="2">
        <v>43878.749768518523</v>
      </c>
      <c r="B14422" t="str">
        <f>HYPERLINK("https://twitter.com/adepedia","@adepedia")</f>
        <v>@adepedia</v>
      </c>
      <c r="C14422" t="s">
        <v>7420</v>
      </c>
      <c r="D14422">
        <v>1</v>
      </c>
      <c r="E14422">
        <v>0</v>
      </c>
      <c r="F14422">
        <v>1844</v>
      </c>
    </row>
    <row r="14423" spans="1:6" ht="12.75">
      <c r="A14423" s="2">
        <v>43878.749525462961</v>
      </c>
      <c r="B14423" t="str">
        <f>HYPERLINK("https://twitter.com/ISIS_Balik_NO","@ISIS_Balik_NO")</f>
        <v>@ISIS_Balik_NO</v>
      </c>
      <c r="C14423" t="s">
        <v>7421</v>
      </c>
      <c r="D14423">
        <v>0</v>
      </c>
      <c r="E14423">
        <v>1</v>
      </c>
      <c r="F14423">
        <v>5990</v>
      </c>
    </row>
    <row r="14424" spans="1:6" ht="12.75">
      <c r="A14424" s="2">
        <v>43878.749340277776</v>
      </c>
      <c r="B14424" t="str">
        <f>HYPERLINK("https://twitter.com/mediaindonesia","@mediaindonesia")</f>
        <v>@mediaindonesia</v>
      </c>
      <c r="C14424" t="s">
        <v>7422</v>
      </c>
      <c r="D14424">
        <v>0</v>
      </c>
      <c r="E14424">
        <v>2</v>
      </c>
      <c r="F14424">
        <v>1416530</v>
      </c>
    </row>
    <row r="14425" spans="1:6" ht="12.75">
      <c r="A14425" s="2">
        <v>43878.749305555553</v>
      </c>
      <c r="B14425" t="str">
        <f>HYPERLINK("https://twitter.com/LellyAstrilia","@LellyAstrilia")</f>
        <v>@LellyAstrilia</v>
      </c>
      <c r="C14425" t="s">
        <v>7423</v>
      </c>
      <c r="D14425">
        <v>0</v>
      </c>
      <c r="E14425">
        <v>0</v>
      </c>
      <c r="F14425">
        <v>1273</v>
      </c>
    </row>
    <row r="14426" spans="1:6" ht="12.75">
      <c r="A14426" s="2">
        <v>43878.749201388884</v>
      </c>
      <c r="B14426" t="str">
        <f>HYPERLINK("https://twitter.com/mIdictus","@mIdictus")</f>
        <v>@mIdictus</v>
      </c>
      <c r="C14426" t="s">
        <v>7424</v>
      </c>
      <c r="D14426">
        <v>0</v>
      </c>
      <c r="E14426">
        <v>0</v>
      </c>
      <c r="F14426">
        <v>174</v>
      </c>
    </row>
    <row r="14427" spans="1:6" ht="12.75">
      <c r="A14427" s="2">
        <v>43878.74894675926</v>
      </c>
      <c r="B14427" t="str">
        <f>HYPERLINK("https://twitter.com/ISIS_Balik_NO","@ISIS_Balik_NO")</f>
        <v>@ISIS_Balik_NO</v>
      </c>
      <c r="C14427" t="s">
        <v>7425</v>
      </c>
      <c r="D14427">
        <v>0</v>
      </c>
      <c r="E14427">
        <v>1</v>
      </c>
      <c r="F14427">
        <v>5990</v>
      </c>
    </row>
    <row r="14428" spans="1:6" ht="12.75">
      <c r="A14428" s="2">
        <v>43878.748935185184</v>
      </c>
      <c r="B14428" t="str">
        <f>HYPERLINK("https://twitter.com/teppiepersz","@teppiepersz")</f>
        <v>@teppiepersz</v>
      </c>
      <c r="C14428" t="s">
        <v>5441</v>
      </c>
      <c r="D14428">
        <v>2</v>
      </c>
      <c r="E14428">
        <v>0</v>
      </c>
      <c r="F14428">
        <v>184</v>
      </c>
    </row>
    <row r="14429" spans="1:6" ht="12.75">
      <c r="A14429" s="2">
        <v>43878.748900462961</v>
      </c>
      <c r="B14429" t="str">
        <f>HYPERLINK("https://twitter.com/A061295","@A061295")</f>
        <v>@A061295</v>
      </c>
      <c r="C14429" t="s">
        <v>7426</v>
      </c>
      <c r="D14429">
        <v>0</v>
      </c>
      <c r="E14429">
        <v>0</v>
      </c>
      <c r="F14429">
        <v>139</v>
      </c>
    </row>
    <row r="14430" spans="1:6" ht="12.75">
      <c r="A14430" s="2">
        <v>43878.748784722222</v>
      </c>
      <c r="B14430" t="str">
        <f>HYPERLINK("https://twitter.com/tempodotco","@tempodotco")</f>
        <v>@tempodotco</v>
      </c>
      <c r="C14430" t="s">
        <v>7427</v>
      </c>
      <c r="D14430">
        <v>2</v>
      </c>
      <c r="E14430">
        <v>3</v>
      </c>
      <c r="F14430">
        <v>1704763</v>
      </c>
    </row>
    <row r="14431" spans="1:6" ht="12.75">
      <c r="A14431" s="2">
        <v>43878.748726851853</v>
      </c>
      <c r="B14431" t="str">
        <f>HYPERLINK("https://twitter.com/JokoFighter01","@JokoFighter01")</f>
        <v>@JokoFighter01</v>
      </c>
      <c r="C14431" t="s">
        <v>2155</v>
      </c>
      <c r="D14431">
        <v>280</v>
      </c>
      <c r="E14431">
        <v>0</v>
      </c>
      <c r="F14431">
        <v>532</v>
      </c>
    </row>
    <row r="14432" spans="1:6" ht="12.75">
      <c r="A14432" s="2">
        <v>43878.748668981483</v>
      </c>
      <c r="B14432" t="str">
        <f>HYPERLINK("https://twitter.com/ISIS_Balik_NO","@ISIS_Balik_NO")</f>
        <v>@ISIS_Balik_NO</v>
      </c>
      <c r="C14432" t="s">
        <v>7428</v>
      </c>
      <c r="D14432">
        <v>3</v>
      </c>
      <c r="E14432">
        <v>0</v>
      </c>
      <c r="F14432">
        <v>5990</v>
      </c>
    </row>
    <row r="14433" spans="1:6" ht="12.75">
      <c r="A14433" s="2">
        <v>43878.748576388884</v>
      </c>
      <c r="B14433" t="str">
        <f>HYPERLINK("https://twitter.com/temponewsroom","@temponewsroom")</f>
        <v>@temponewsroom</v>
      </c>
      <c r="C14433" t="s">
        <v>7427</v>
      </c>
      <c r="D14433">
        <v>0</v>
      </c>
      <c r="E14433">
        <v>2</v>
      </c>
      <c r="F14433">
        <v>740242</v>
      </c>
    </row>
    <row r="14434" spans="1:6" ht="12.75">
      <c r="A14434" s="2">
        <v>43878.748530092591</v>
      </c>
      <c r="B14434" t="str">
        <f>HYPERLINK("https://twitter.com/ISIS_Balik_NO","@ISIS_Balik_NO")</f>
        <v>@ISIS_Balik_NO</v>
      </c>
      <c r="C14434" t="s">
        <v>7429</v>
      </c>
      <c r="D14434">
        <v>35</v>
      </c>
      <c r="E14434">
        <v>0</v>
      </c>
      <c r="F14434">
        <v>5990</v>
      </c>
    </row>
    <row r="14435" spans="1:6" ht="12.75">
      <c r="A14435" s="2">
        <v>43878.748483796298</v>
      </c>
      <c r="B14435" t="str">
        <f>HYPERLINK("https://twitter.com/masewah","@masewah")</f>
        <v>@masewah</v>
      </c>
      <c r="C14435" t="s">
        <v>7430</v>
      </c>
      <c r="D14435">
        <v>2</v>
      </c>
      <c r="E14435">
        <v>0</v>
      </c>
      <c r="F14435">
        <v>607</v>
      </c>
    </row>
    <row r="14436" spans="1:6" ht="12.75">
      <c r="A14436" s="2">
        <v>43878.748194444444</v>
      </c>
      <c r="B14436" t="str">
        <f>HYPERLINK("https://twitter.com/as_Smr","@as_Smr")</f>
        <v>@as_Smr</v>
      </c>
      <c r="C14436" t="s">
        <v>2155</v>
      </c>
      <c r="D14436">
        <v>280</v>
      </c>
      <c r="E14436">
        <v>0</v>
      </c>
      <c r="F14436">
        <v>105</v>
      </c>
    </row>
    <row r="14437" spans="1:6" ht="12.75">
      <c r="A14437" s="2">
        <v>43878.748182870375</v>
      </c>
      <c r="B14437" t="str">
        <f>HYPERLINK("https://twitter.com/ISIS_Balik_NO","@ISIS_Balik_NO")</f>
        <v>@ISIS_Balik_NO</v>
      </c>
      <c r="C14437" t="s">
        <v>7431</v>
      </c>
      <c r="D14437">
        <v>0</v>
      </c>
      <c r="E14437">
        <v>0</v>
      </c>
      <c r="F14437">
        <v>5990</v>
      </c>
    </row>
    <row r="14438" spans="1:6" ht="12.75">
      <c r="A14438" s="2">
        <v>43878.747870370367</v>
      </c>
      <c r="B14438" t="str">
        <f>HYPERLINK("https://twitter.com/yuniaroesna","@yuniaroesna")</f>
        <v>@yuniaroesna</v>
      </c>
      <c r="C14438" t="s">
        <v>7432</v>
      </c>
      <c r="D14438">
        <v>0</v>
      </c>
      <c r="E14438">
        <v>0</v>
      </c>
      <c r="F14438">
        <v>505</v>
      </c>
    </row>
    <row r="14439" spans="1:6" ht="12.75">
      <c r="A14439" s="2">
        <v>43878.747777777782</v>
      </c>
      <c r="B14439" t="str">
        <f>HYPERLINK("https://twitter.com/srikandicyber__","@srikandicyber__")</f>
        <v>@srikandicyber__</v>
      </c>
      <c r="C14439" t="s">
        <v>7433</v>
      </c>
      <c r="D14439">
        <v>1</v>
      </c>
      <c r="E14439">
        <v>0</v>
      </c>
      <c r="F14439">
        <v>843</v>
      </c>
    </row>
    <row r="14440" spans="1:6" ht="12.75">
      <c r="A14440" s="2">
        <v>43878.747592592597</v>
      </c>
      <c r="B14440" t="str">
        <f>HYPERLINK("https://twitter.com/SalsabilanandaP","@SalsabilanandaP")</f>
        <v>@SalsabilanandaP</v>
      </c>
      <c r="C14440" t="s">
        <v>7041</v>
      </c>
      <c r="D14440">
        <v>0</v>
      </c>
      <c r="E14440">
        <v>0</v>
      </c>
      <c r="F14440">
        <v>127</v>
      </c>
    </row>
    <row r="14441" spans="1:6" ht="12.75">
      <c r="A14441" s="2">
        <v>43878.747511574074</v>
      </c>
      <c r="B14441" t="str">
        <f t="shared" ref="B14441:B14442" si="246">HYPERLINK("https://twitter.com/ISIS_Balik_NO","@ISIS_Balik_NO")</f>
        <v>@ISIS_Balik_NO</v>
      </c>
      <c r="C14441" t="s">
        <v>7434</v>
      </c>
      <c r="D14441">
        <v>5</v>
      </c>
      <c r="E14441">
        <v>0</v>
      </c>
      <c r="F14441">
        <v>5990</v>
      </c>
    </row>
    <row r="14442" spans="1:6" ht="12.75">
      <c r="A14442" s="2">
        <v>43878.747499999998</v>
      </c>
      <c r="B14442" t="str">
        <f t="shared" si="246"/>
        <v>@ISIS_Balik_NO</v>
      </c>
      <c r="C14442" t="s">
        <v>7435</v>
      </c>
      <c r="D14442">
        <v>4</v>
      </c>
      <c r="E14442">
        <v>0</v>
      </c>
      <c r="F14442">
        <v>5990</v>
      </c>
    </row>
    <row r="14443" spans="1:6" ht="12.75">
      <c r="A14443" s="2">
        <v>43878.747384259259</v>
      </c>
      <c r="B14443" t="str">
        <f>HYPERLINK("https://twitter.com/antaranews","@antaranews")</f>
        <v>@antaranews</v>
      </c>
      <c r="C14443" t="s">
        <v>7436</v>
      </c>
      <c r="D14443">
        <v>1</v>
      </c>
      <c r="E14443">
        <v>1</v>
      </c>
      <c r="F14443">
        <v>1103649</v>
      </c>
    </row>
    <row r="14444" spans="1:6" ht="12.75">
      <c r="A14444" s="2">
        <v>43878.747361111113</v>
      </c>
      <c r="B14444" t="str">
        <f>HYPERLINK("https://twitter.com/agustri_cahyono","@agustri_cahyono")</f>
        <v>@agustri_cahyono</v>
      </c>
      <c r="C14444" t="s">
        <v>6842</v>
      </c>
      <c r="D14444">
        <v>4</v>
      </c>
      <c r="E14444">
        <v>0</v>
      </c>
      <c r="F14444">
        <v>27</v>
      </c>
    </row>
    <row r="14445" spans="1:6" ht="12.75">
      <c r="A14445" s="2">
        <v>43878.747303240743</v>
      </c>
      <c r="B14445" t="str">
        <f>HYPERLINK("https://twitter.com/Denis73048995","@Denis73048995")</f>
        <v>@Denis73048995</v>
      </c>
      <c r="C14445" t="s">
        <v>7437</v>
      </c>
      <c r="D14445">
        <v>0</v>
      </c>
      <c r="E14445">
        <v>0</v>
      </c>
      <c r="F14445">
        <v>93</v>
      </c>
    </row>
    <row r="14446" spans="1:6" ht="12.75">
      <c r="A14446" s="2">
        <v>43878.74726851852</v>
      </c>
      <c r="B14446" t="str">
        <f>HYPERLINK("https://twitter.com/lukisaepul","@lukisaepul")</f>
        <v>@lukisaepul</v>
      </c>
      <c r="C14446" t="s">
        <v>7438</v>
      </c>
      <c r="D14446">
        <v>0</v>
      </c>
      <c r="E14446">
        <v>0</v>
      </c>
      <c r="F14446">
        <v>787</v>
      </c>
    </row>
    <row r="14447" spans="1:6" ht="12.75">
      <c r="A14447" s="2">
        <v>43878.747106481482</v>
      </c>
      <c r="B14447" t="str">
        <f>HYPERLINK("https://twitter.com/beatrice_health","@beatrice_health")</f>
        <v>@beatrice_health</v>
      </c>
      <c r="C14447" t="s">
        <v>7439</v>
      </c>
      <c r="D14447">
        <v>1</v>
      </c>
      <c r="E14447">
        <v>0</v>
      </c>
      <c r="F14447">
        <v>160</v>
      </c>
    </row>
    <row r="14448" spans="1:6" ht="12.75">
      <c r="A14448" s="2">
        <v>43878.747025462959</v>
      </c>
      <c r="B14448" t="str">
        <f>HYPERLINK("https://twitter.com/RamirezAmar","@RamirezAmar")</f>
        <v>@RamirezAmar</v>
      </c>
      <c r="C14448" t="s">
        <v>7440</v>
      </c>
      <c r="D14448">
        <v>1</v>
      </c>
      <c r="E14448">
        <v>0</v>
      </c>
      <c r="F14448">
        <v>3745</v>
      </c>
    </row>
    <row r="14449" spans="1:6" ht="12.75">
      <c r="A14449" s="2">
        <v>43878.746921296297</v>
      </c>
      <c r="B14449" t="str">
        <f>HYPERLINK("https://twitter.com/ISIS_Balik_NO","@ISIS_Balik_NO")</f>
        <v>@ISIS_Balik_NO</v>
      </c>
      <c r="C14449" t="s">
        <v>7441</v>
      </c>
      <c r="D14449">
        <v>13</v>
      </c>
      <c r="E14449">
        <v>0</v>
      </c>
      <c r="F14449">
        <v>5990</v>
      </c>
    </row>
    <row r="14450" spans="1:6" ht="12.75">
      <c r="A14450" s="2">
        <v>43878.746851851851</v>
      </c>
      <c r="B14450" t="str">
        <f>HYPERLINK("https://twitter.com/ItemYopi","@ItemYopi")</f>
        <v>@ItemYopi</v>
      </c>
      <c r="C14450" t="s">
        <v>2155</v>
      </c>
      <c r="D14450">
        <v>280</v>
      </c>
      <c r="E14450">
        <v>0</v>
      </c>
      <c r="F14450">
        <v>1110</v>
      </c>
    </row>
    <row r="14451" spans="1:6" ht="12.75">
      <c r="A14451" s="2">
        <v>43878.746828703705</v>
      </c>
      <c r="B14451" t="str">
        <f>HYPERLINK("https://twitter.com/ISIS_Balik_NO","@ISIS_Balik_NO")</f>
        <v>@ISIS_Balik_NO</v>
      </c>
      <c r="C14451" t="s">
        <v>7442</v>
      </c>
      <c r="D14451">
        <v>454</v>
      </c>
      <c r="E14451">
        <v>0</v>
      </c>
      <c r="F14451">
        <v>5990</v>
      </c>
    </row>
    <row r="14452" spans="1:6" ht="12.75">
      <c r="A14452" s="2">
        <v>43878.746527777781</v>
      </c>
      <c r="B14452" t="str">
        <f>HYPERLINK("https://twitter.com/akumanusiasnty","@akumanusiasnty")</f>
        <v>@akumanusiasnty</v>
      </c>
      <c r="C14452" t="s">
        <v>3340</v>
      </c>
      <c r="D14452">
        <v>206</v>
      </c>
      <c r="E14452">
        <v>0</v>
      </c>
      <c r="F14452">
        <v>29</v>
      </c>
    </row>
    <row r="14453" spans="1:6" ht="12.75">
      <c r="A14453" s="2">
        <v>43878.746018518519</v>
      </c>
      <c r="B14453" t="str">
        <f>HYPERLINK("https://twitter.com/Kethonn2","@Kethonn2")</f>
        <v>@Kethonn2</v>
      </c>
      <c r="C14453" t="s">
        <v>7021</v>
      </c>
      <c r="D14453">
        <v>13058</v>
      </c>
      <c r="E14453">
        <v>0</v>
      </c>
      <c r="F14453">
        <v>0</v>
      </c>
    </row>
    <row r="14454" spans="1:6" ht="12.75">
      <c r="A14454" s="2">
        <v>43878.745972222227</v>
      </c>
      <c r="B14454" t="str">
        <f>HYPERLINK("https://twitter.com/KakekHalal","@KakekHalal")</f>
        <v>@KakekHalal</v>
      </c>
      <c r="C14454" t="s">
        <v>2155</v>
      </c>
      <c r="D14454">
        <v>280</v>
      </c>
      <c r="E14454">
        <v>0</v>
      </c>
      <c r="F14454">
        <v>21867</v>
      </c>
    </row>
    <row r="14455" spans="1:6" ht="12.75">
      <c r="A14455" s="2">
        <v>43878.74591435185</v>
      </c>
      <c r="B14455" t="str">
        <f>HYPERLINK("https://twitter.com/yakulaja57","@yakulaja57")</f>
        <v>@yakulaja57</v>
      </c>
      <c r="C14455" t="s">
        <v>3412</v>
      </c>
      <c r="D14455">
        <v>1012</v>
      </c>
      <c r="E14455">
        <v>0</v>
      </c>
      <c r="F14455">
        <v>275</v>
      </c>
    </row>
    <row r="14456" spans="1:6" ht="12.75">
      <c r="A14456" s="2">
        <v>43878.745763888888</v>
      </c>
      <c r="B14456" t="str">
        <f>HYPERLINK("https://twitter.com/AyuRP6","@AyuRP6")</f>
        <v>@AyuRP6</v>
      </c>
      <c r="C14456" t="s">
        <v>2147</v>
      </c>
      <c r="D14456">
        <v>564</v>
      </c>
      <c r="E14456">
        <v>0</v>
      </c>
      <c r="F14456">
        <v>8</v>
      </c>
    </row>
    <row r="14457" spans="1:6" ht="12.75">
      <c r="A14457" s="2">
        <v>43878.745636574073</v>
      </c>
      <c r="B14457" t="str">
        <f>HYPERLINK("https://twitter.com/AbdMustafa18","@AbdMustafa18")</f>
        <v>@AbdMustafa18</v>
      </c>
      <c r="C14457" t="s">
        <v>7443</v>
      </c>
      <c r="D14457">
        <v>78</v>
      </c>
      <c r="E14457">
        <v>0</v>
      </c>
      <c r="F14457">
        <v>1</v>
      </c>
    </row>
    <row r="14458" spans="1:6" ht="12.75">
      <c r="A14458" s="2">
        <v>43878.745162037041</v>
      </c>
      <c r="B14458" t="str">
        <f>HYPERLINK("https://twitter.com/AkhyasTaufik","@AkhyasTaufik")</f>
        <v>@AkhyasTaufik</v>
      </c>
      <c r="C14458" t="s">
        <v>4975</v>
      </c>
      <c r="D14458">
        <v>73</v>
      </c>
      <c r="E14458">
        <v>0</v>
      </c>
      <c r="F14458">
        <v>130</v>
      </c>
    </row>
    <row r="14459" spans="1:6" ht="12.75">
      <c r="A14459" s="2">
        <v>43878.744652777779</v>
      </c>
      <c r="B14459" t="str">
        <f>HYPERLINK("https://twitter.com/paracyute","@paracyute")</f>
        <v>@paracyute</v>
      </c>
      <c r="C14459" t="s">
        <v>3340</v>
      </c>
      <c r="D14459">
        <v>206</v>
      </c>
      <c r="E14459">
        <v>0</v>
      </c>
      <c r="F14459">
        <v>1938</v>
      </c>
    </row>
    <row r="14460" spans="1:6" ht="12.75">
      <c r="A14460" s="2">
        <v>43878.744594907403</v>
      </c>
      <c r="B14460" t="str">
        <f>HYPERLINK("https://twitter.com/triefince","@triefince")</f>
        <v>@triefince</v>
      </c>
      <c r="C14460" t="s">
        <v>7444</v>
      </c>
      <c r="D14460">
        <v>0</v>
      </c>
      <c r="E14460">
        <v>1</v>
      </c>
      <c r="F14460">
        <v>619</v>
      </c>
    </row>
    <row r="14461" spans="1:6" ht="12.75">
      <c r="A14461" s="2">
        <v>43878.744479166664</v>
      </c>
      <c r="B14461" t="str">
        <f>HYPERLINK("https://twitter.com/RatnaAuliana","@RatnaAuliana")</f>
        <v>@RatnaAuliana</v>
      </c>
      <c r="C14461" t="s">
        <v>7041</v>
      </c>
      <c r="D14461">
        <v>0</v>
      </c>
      <c r="E14461">
        <v>0</v>
      </c>
      <c r="F14461">
        <v>129</v>
      </c>
    </row>
    <row r="14462" spans="1:6" ht="12.75">
      <c r="A14462" s="2">
        <v>43878.744456018518</v>
      </c>
      <c r="B14462" t="str">
        <f>HYPERLINK("https://twitter.com/ISIS_Balik_NO","@ISIS_Balik_NO")</f>
        <v>@ISIS_Balik_NO</v>
      </c>
      <c r="C14462" t="s">
        <v>7445</v>
      </c>
      <c r="D14462">
        <v>0</v>
      </c>
      <c r="E14462">
        <v>1</v>
      </c>
      <c r="F14462">
        <v>5990</v>
      </c>
    </row>
    <row r="14463" spans="1:6" ht="12.75">
      <c r="A14463" s="2">
        <v>43878.743923611109</v>
      </c>
      <c r="B14463" t="str">
        <f>HYPERLINK("https://twitter.com/jaidev_laghari","@jaidev_laghari")</f>
        <v>@jaidev_laghari</v>
      </c>
      <c r="C14463" t="s">
        <v>7446</v>
      </c>
      <c r="D14463">
        <v>0</v>
      </c>
      <c r="E14463">
        <v>0</v>
      </c>
      <c r="F14463">
        <v>37</v>
      </c>
    </row>
    <row r="14464" spans="1:6" ht="12.75">
      <c r="A14464" s="2">
        <v>43878.743726851855</v>
      </c>
      <c r="B14464" t="str">
        <f>HYPERLINK("https://twitter.com/eddy6666666","@eddy6666666")</f>
        <v>@eddy6666666</v>
      </c>
      <c r="C14464" t="s">
        <v>7447</v>
      </c>
      <c r="D14464">
        <v>0</v>
      </c>
      <c r="E14464">
        <v>0</v>
      </c>
      <c r="F14464">
        <v>477</v>
      </c>
    </row>
    <row r="14465" spans="1:6" ht="12.75">
      <c r="A14465" s="2">
        <v>43878.743599537032</v>
      </c>
      <c r="B14465" t="str">
        <f>HYPERLINK("https://twitter.com/Jungtalin","@Jungtalin")</f>
        <v>@Jungtalin</v>
      </c>
      <c r="C14465" t="s">
        <v>7448</v>
      </c>
      <c r="D14465">
        <v>0</v>
      </c>
      <c r="E14465">
        <v>0</v>
      </c>
      <c r="F14465">
        <v>4968</v>
      </c>
    </row>
    <row r="14466" spans="1:6" ht="12.75">
      <c r="A14466" s="2">
        <v>43878.74354166667</v>
      </c>
      <c r="B14466" t="str">
        <f>HYPERLINK("https://twitter.com/KienAnd_","@KienAnd_")</f>
        <v>@KienAnd_</v>
      </c>
      <c r="C14466" t="s">
        <v>7449</v>
      </c>
      <c r="D14466">
        <v>0</v>
      </c>
      <c r="E14466">
        <v>0</v>
      </c>
      <c r="F14466">
        <v>11463</v>
      </c>
    </row>
    <row r="14467" spans="1:6" ht="12.75">
      <c r="A14467" s="2">
        <v>43878.743495370371</v>
      </c>
      <c r="B14467" t="str">
        <f>HYPERLINK("https://twitter.com/JempolJulid","@JempolJulid")</f>
        <v>@JempolJulid</v>
      </c>
      <c r="C14467" t="s">
        <v>7450</v>
      </c>
      <c r="D14467">
        <v>0</v>
      </c>
      <c r="E14467">
        <v>0</v>
      </c>
      <c r="F14467">
        <v>660</v>
      </c>
    </row>
    <row r="14468" spans="1:6" ht="12.75">
      <c r="A14468" s="2">
        <v>43878.743402777778</v>
      </c>
      <c r="B14468" t="str">
        <f>HYPERLINK("https://twitter.com/demokrasicoid","@demokrasicoid")</f>
        <v>@demokrasicoid</v>
      </c>
      <c r="C14468" t="s">
        <v>7451</v>
      </c>
      <c r="D14468">
        <v>0</v>
      </c>
      <c r="E14468">
        <v>1</v>
      </c>
      <c r="F14468">
        <v>22280</v>
      </c>
    </row>
    <row r="14469" spans="1:6" ht="12.75">
      <c r="A14469" s="2">
        <v>43878.743344907409</v>
      </c>
      <c r="B14469" t="str">
        <f>HYPERLINK("https://twitter.com/itspink19","@itspink19")</f>
        <v>@itspink19</v>
      </c>
      <c r="C14469" t="s">
        <v>3340</v>
      </c>
      <c r="D14469">
        <v>206</v>
      </c>
      <c r="E14469">
        <v>0</v>
      </c>
      <c r="F14469">
        <v>7</v>
      </c>
    </row>
    <row r="14470" spans="1:6" ht="12.75">
      <c r="A14470" s="2">
        <v>43878.743333333332</v>
      </c>
      <c r="B14470" t="str">
        <f>HYPERLINK("https://twitter.com/ahmadbepe1","@ahmadbepe1")</f>
        <v>@ahmadbepe1</v>
      </c>
      <c r="C14470" t="s">
        <v>7452</v>
      </c>
      <c r="D14470">
        <v>0</v>
      </c>
      <c r="E14470">
        <v>0</v>
      </c>
      <c r="F14470">
        <v>63</v>
      </c>
    </row>
    <row r="14471" spans="1:6" ht="12.75">
      <c r="A14471" s="2">
        <v>43878.743009259255</v>
      </c>
      <c r="B14471" t="str">
        <f>HYPERLINK("https://twitter.com/shxxjay131","@shxxjay131")</f>
        <v>@shxxjay131</v>
      </c>
      <c r="C14471" t="s">
        <v>3340</v>
      </c>
      <c r="D14471">
        <v>206</v>
      </c>
      <c r="E14471">
        <v>0</v>
      </c>
      <c r="F14471">
        <v>2252</v>
      </c>
    </row>
    <row r="14472" spans="1:6" ht="12.75">
      <c r="A14472" s="2">
        <v>43878.742881944447</v>
      </c>
      <c r="B14472" t="str">
        <f>HYPERLINK("https://twitter.com/NissanEvalia","@NissanEvalia")</f>
        <v>@NissanEvalia</v>
      </c>
      <c r="C14472" t="s">
        <v>4975</v>
      </c>
      <c r="D14472">
        <v>73</v>
      </c>
      <c r="E14472">
        <v>0</v>
      </c>
      <c r="F14472">
        <v>32</v>
      </c>
    </row>
    <row r="14473" spans="1:6" ht="12.75">
      <c r="A14473" s="2">
        <v>43878.74282407407</v>
      </c>
      <c r="B14473" t="str">
        <f>HYPERLINK("https://twitter.com/deskarteu","@deskarteu")</f>
        <v>@deskarteu</v>
      </c>
      <c r="C14473" t="s">
        <v>7453</v>
      </c>
      <c r="D14473">
        <v>0</v>
      </c>
      <c r="E14473">
        <v>0</v>
      </c>
      <c r="F14473">
        <v>112</v>
      </c>
    </row>
    <row r="14474" spans="1:6" ht="12.75">
      <c r="A14474" s="2">
        <v>43878.742731481485</v>
      </c>
      <c r="B14474" t="str">
        <f>HYPERLINK("https://twitter.com/nittoo19","@nittoo19")</f>
        <v>@nittoo19</v>
      </c>
      <c r="C14474" t="s">
        <v>7454</v>
      </c>
      <c r="D14474">
        <v>0</v>
      </c>
      <c r="E14474">
        <v>1</v>
      </c>
      <c r="F14474">
        <v>49</v>
      </c>
    </row>
    <row r="14475" spans="1:6" ht="12.75">
      <c r="A14475" s="2">
        <v>43878.742534722223</v>
      </c>
      <c r="B14475" t="str">
        <f>HYPERLINK("https://twitter.com/diiylicious","@diiylicious")</f>
        <v>@diiylicious</v>
      </c>
      <c r="C14475" t="s">
        <v>3340</v>
      </c>
      <c r="D14475">
        <v>206</v>
      </c>
      <c r="E14475">
        <v>0</v>
      </c>
      <c r="F14475">
        <v>641</v>
      </c>
    </row>
    <row r="14476" spans="1:6" ht="12.75">
      <c r="A14476" s="2">
        <v>43878.742476851854</v>
      </c>
      <c r="B14476" t="str">
        <f>HYPERLINK("https://twitter.com/INDYEAH_","@INDYEAH_")</f>
        <v>@INDYEAH_</v>
      </c>
      <c r="C14476" t="s">
        <v>7455</v>
      </c>
      <c r="D14476">
        <v>0</v>
      </c>
      <c r="E14476">
        <v>0</v>
      </c>
      <c r="F14476">
        <v>43</v>
      </c>
    </row>
    <row r="14477" spans="1:6" ht="12.75">
      <c r="A14477" s="2">
        <v>43878.742465277777</v>
      </c>
      <c r="B14477" t="str">
        <f>HYPERLINK("https://twitter.com/ISIS_Balik_NO","@ISIS_Balik_NO")</f>
        <v>@ISIS_Balik_NO</v>
      </c>
      <c r="C14477" t="s">
        <v>7456</v>
      </c>
      <c r="D14477">
        <v>6293</v>
      </c>
      <c r="E14477">
        <v>0</v>
      </c>
      <c r="F14477">
        <v>5990</v>
      </c>
    </row>
    <row r="14478" spans="1:6" ht="12.75">
      <c r="A14478" s="2">
        <v>43878.742210648154</v>
      </c>
      <c r="B14478" t="str">
        <f>HYPERLINK("https://twitter.com/rendroko","@rendroko")</f>
        <v>@rendroko</v>
      </c>
      <c r="C14478" t="s">
        <v>4975</v>
      </c>
      <c r="D14478">
        <v>73</v>
      </c>
      <c r="E14478">
        <v>0</v>
      </c>
      <c r="F14478">
        <v>1027</v>
      </c>
    </row>
    <row r="14479" spans="1:6" ht="12.75">
      <c r="A14479" s="2">
        <v>43878.742094907408</v>
      </c>
      <c r="B14479" t="str">
        <f>HYPERLINK("https://twitter.com/ISIS_Balik_NO","@ISIS_Balik_NO")</f>
        <v>@ISIS_Balik_NO</v>
      </c>
      <c r="C14479" t="s">
        <v>7457</v>
      </c>
      <c r="D14479">
        <v>0</v>
      </c>
      <c r="E14479">
        <v>0</v>
      </c>
      <c r="F14479">
        <v>5990</v>
      </c>
    </row>
    <row r="14480" spans="1:6" ht="12.75">
      <c r="A14480" s="2">
        <v>43878.742060185185</v>
      </c>
      <c r="B14480" t="str">
        <f>HYPERLINK("https://twitter.com/hxangrenjxn","@hxangrenjxn")</f>
        <v>@hxangrenjxn</v>
      </c>
      <c r="C14480" t="s">
        <v>3340</v>
      </c>
      <c r="D14480">
        <v>206</v>
      </c>
      <c r="E14480">
        <v>0</v>
      </c>
      <c r="F14480">
        <v>1993</v>
      </c>
    </row>
    <row r="14481" spans="1:6" ht="12.75">
      <c r="A14481" s="2">
        <v>43878.742037037038</v>
      </c>
      <c r="B14481" t="str">
        <f>HYPERLINK("https://twitter.com/NetizenKepriID","@NetizenKepriID")</f>
        <v>@NetizenKepriID</v>
      </c>
      <c r="C14481" t="s">
        <v>7458</v>
      </c>
      <c r="D14481">
        <v>0</v>
      </c>
      <c r="E14481">
        <v>0</v>
      </c>
      <c r="F14481">
        <v>84</v>
      </c>
    </row>
    <row r="14482" spans="1:6" ht="12.75">
      <c r="A14482" s="2">
        <v>43878.741909722223</v>
      </c>
      <c r="B14482" t="str">
        <f>HYPERLINK("https://twitter.com/wdwjnyto","@wdwjnyto")</f>
        <v>@wdwjnyto</v>
      </c>
      <c r="C14482" t="s">
        <v>6161</v>
      </c>
      <c r="D14482">
        <v>267</v>
      </c>
      <c r="E14482">
        <v>0</v>
      </c>
      <c r="F14482">
        <v>275</v>
      </c>
    </row>
    <row r="14483" spans="1:6" ht="12.75">
      <c r="A14483" s="2">
        <v>43878.741898148146</v>
      </c>
      <c r="B14483" t="str">
        <f>HYPERLINK("https://twitter.com/eddy6666666","@eddy6666666")</f>
        <v>@eddy6666666</v>
      </c>
      <c r="C14483" t="s">
        <v>7459</v>
      </c>
      <c r="D14483">
        <v>0</v>
      </c>
      <c r="E14483">
        <v>0</v>
      </c>
      <c r="F14483">
        <v>477</v>
      </c>
    </row>
    <row r="14484" spans="1:6" ht="12.75">
      <c r="A14484" s="2">
        <v>43878.741770833338</v>
      </c>
      <c r="B14484" t="str">
        <f>HYPERLINK("https://twitter.com/nomuyepu","@nomuyepu")</f>
        <v>@nomuyepu</v>
      </c>
      <c r="C14484" t="s">
        <v>3340</v>
      </c>
      <c r="D14484">
        <v>206</v>
      </c>
      <c r="E14484">
        <v>0</v>
      </c>
      <c r="F14484">
        <v>100</v>
      </c>
    </row>
    <row r="14485" spans="1:6" ht="12.75">
      <c r="A14485" s="2">
        <v>43878.741631944446</v>
      </c>
      <c r="B14485" t="str">
        <f>HYPERLINK("https://twitter.com/AgusSud15499737","@AgusSud15499737")</f>
        <v>@AgusSud15499737</v>
      </c>
      <c r="C14485" t="s">
        <v>7460</v>
      </c>
      <c r="D14485">
        <v>0</v>
      </c>
      <c r="E14485">
        <v>0</v>
      </c>
      <c r="F14485">
        <v>0</v>
      </c>
    </row>
    <row r="14486" spans="1:6" ht="12.75">
      <c r="A14486" s="2">
        <v>43878.741562499999</v>
      </c>
      <c r="B14486" t="str">
        <f>HYPERLINK("https://twitter.com/iNewsID","@iNewsID")</f>
        <v>@iNewsID</v>
      </c>
      <c r="C14486" t="s">
        <v>7461</v>
      </c>
      <c r="D14486">
        <v>0</v>
      </c>
      <c r="E14486">
        <v>0</v>
      </c>
      <c r="F14486">
        <v>1264</v>
      </c>
    </row>
    <row r="14487" spans="1:6" ht="12.75">
      <c r="A14487" s="2">
        <v>43878.741446759261</v>
      </c>
      <c r="B14487" t="str">
        <f>HYPERLINK("https://twitter.com/jannahismii","@jannahismii")</f>
        <v>@jannahismii</v>
      </c>
      <c r="C14487" t="s">
        <v>6721</v>
      </c>
      <c r="D14487">
        <v>343</v>
      </c>
      <c r="E14487">
        <v>0</v>
      </c>
      <c r="F14487">
        <v>649</v>
      </c>
    </row>
    <row r="14488" spans="1:6" ht="12.75">
      <c r="A14488" s="2">
        <v>43878.741157407407</v>
      </c>
      <c r="B14488" t="str">
        <f>HYPERLINK("https://twitter.com/feerzylant","@feerzylant")</f>
        <v>@feerzylant</v>
      </c>
      <c r="C14488" t="s">
        <v>7462</v>
      </c>
      <c r="D14488">
        <v>1</v>
      </c>
      <c r="E14488">
        <v>0</v>
      </c>
      <c r="F14488">
        <v>448</v>
      </c>
    </row>
    <row r="14489" spans="1:6" ht="12.75">
      <c r="A14489" s="2">
        <v>43878.740960648152</v>
      </c>
      <c r="B14489" t="str">
        <f>HYPERLINK("https://twitter.com/Datuakpanduko2","@Datuakpanduko2")</f>
        <v>@Datuakpanduko2</v>
      </c>
      <c r="C14489" t="s">
        <v>6706</v>
      </c>
      <c r="D14489">
        <v>5</v>
      </c>
      <c r="E14489">
        <v>0</v>
      </c>
      <c r="F14489">
        <v>1602</v>
      </c>
    </row>
    <row r="14490" spans="1:6" ht="12.75">
      <c r="A14490" s="2">
        <v>43878.740752314814</v>
      </c>
      <c r="B14490" t="str">
        <f>HYPERLINK("https://twitter.com/gopayindonesia","@gopayindonesia")</f>
        <v>@gopayindonesia</v>
      </c>
      <c r="C14490" t="s">
        <v>7463</v>
      </c>
      <c r="D14490">
        <v>0</v>
      </c>
      <c r="E14490">
        <v>0</v>
      </c>
      <c r="F14490">
        <v>25177</v>
      </c>
    </row>
    <row r="14491" spans="1:6" ht="12.75">
      <c r="A14491" s="2">
        <v>43878.740624999999</v>
      </c>
      <c r="B14491" t="str">
        <f>HYPERLINK("https://twitter.com/dehap3","@dehap3")</f>
        <v>@dehap3</v>
      </c>
      <c r="C14491" t="s">
        <v>2155</v>
      </c>
      <c r="D14491">
        <v>280</v>
      </c>
      <c r="E14491">
        <v>0</v>
      </c>
      <c r="F14491">
        <v>317</v>
      </c>
    </row>
    <row r="14492" spans="1:6" ht="12.75">
      <c r="A14492" s="2">
        <v>43878.740578703699</v>
      </c>
      <c r="B14492" t="str">
        <f>HYPERLINK("https://twitter.com/brian_abdhiyoga","@brian_abdhiyoga")</f>
        <v>@brian_abdhiyoga</v>
      </c>
      <c r="C14492" t="s">
        <v>6721</v>
      </c>
      <c r="D14492">
        <v>343</v>
      </c>
      <c r="E14492">
        <v>0</v>
      </c>
      <c r="F14492">
        <v>142</v>
      </c>
    </row>
    <row r="14493" spans="1:6" ht="12.75">
      <c r="A14493" s="2">
        <v>43878.74050925926</v>
      </c>
      <c r="B14493" t="str">
        <f>HYPERLINK("https://twitter.com/cornelladonara","@cornelladonara")</f>
        <v>@cornelladonara</v>
      </c>
      <c r="C14493" t="s">
        <v>491</v>
      </c>
      <c r="D14493">
        <v>4734</v>
      </c>
      <c r="E14493">
        <v>0</v>
      </c>
      <c r="F14493">
        <v>1285</v>
      </c>
    </row>
    <row r="14494" spans="1:6" ht="12.75">
      <c r="A14494" s="2">
        <v>43878.740451388891</v>
      </c>
      <c r="B14494" t="str">
        <f>HYPERLINK("https://twitter.com/AbdMustafa18","@AbdMustafa18")</f>
        <v>@AbdMustafa18</v>
      </c>
      <c r="C14494" t="s">
        <v>7464</v>
      </c>
      <c r="D14494">
        <v>68</v>
      </c>
      <c r="E14494">
        <v>0</v>
      </c>
      <c r="F14494">
        <v>1</v>
      </c>
    </row>
    <row r="14495" spans="1:6" ht="12.75">
      <c r="A14495" s="2">
        <v>43878.740335648152</v>
      </c>
      <c r="B14495" t="str">
        <f>HYPERLINK("https://twitter.com/akmalbariq","@akmalbariq")</f>
        <v>@akmalbariq</v>
      </c>
      <c r="C14495" t="s">
        <v>7465</v>
      </c>
      <c r="D14495">
        <v>0</v>
      </c>
      <c r="E14495">
        <v>0</v>
      </c>
      <c r="F14495">
        <v>19</v>
      </c>
    </row>
    <row r="14496" spans="1:6" ht="12.75">
      <c r="A14496" s="2">
        <v>43878.740277777775</v>
      </c>
      <c r="B14496" t="str">
        <f>HYPERLINK("https://twitter.com/Realraksa27","@Realraksa27")</f>
        <v>@Realraksa27</v>
      </c>
      <c r="C14496" t="s">
        <v>3340</v>
      </c>
      <c r="D14496">
        <v>206</v>
      </c>
      <c r="E14496">
        <v>0</v>
      </c>
      <c r="F14496">
        <v>64</v>
      </c>
    </row>
    <row r="14497" spans="1:6" ht="12.75">
      <c r="A14497" s="2">
        <v>43878.740023148144</v>
      </c>
      <c r="B14497" t="str">
        <f>HYPERLINK("https://twitter.com/__MV_llestari__","@__MV_llestari__")</f>
        <v>@__MV_llestari__</v>
      </c>
      <c r="C14497" t="s">
        <v>2155</v>
      </c>
      <c r="D14497">
        <v>280</v>
      </c>
      <c r="E14497">
        <v>0</v>
      </c>
      <c r="F14497">
        <v>8103</v>
      </c>
    </row>
    <row r="14498" spans="1:6" ht="12.75">
      <c r="A14498" s="2">
        <v>43878.739641203705</v>
      </c>
      <c r="B14498" t="str">
        <f>HYPERLINK("https://twitter.com/abcdetybim","@abcdetybim")</f>
        <v>@abcdetybim</v>
      </c>
      <c r="C14498" t="s">
        <v>3340</v>
      </c>
      <c r="D14498">
        <v>206</v>
      </c>
      <c r="E14498">
        <v>0</v>
      </c>
      <c r="F14498">
        <v>580</v>
      </c>
    </row>
    <row r="14499" spans="1:6" ht="12.75">
      <c r="A14499" s="2">
        <v>43878.739606481482</v>
      </c>
      <c r="B14499" t="str">
        <f>HYPERLINK("https://twitter.com/wongmlaku","@wongmlaku")</f>
        <v>@wongmlaku</v>
      </c>
      <c r="C14499" t="s">
        <v>7466</v>
      </c>
      <c r="D14499">
        <v>0</v>
      </c>
      <c r="E14499">
        <v>0</v>
      </c>
      <c r="F14499">
        <v>6215</v>
      </c>
    </row>
    <row r="14500" spans="1:6" ht="12.75">
      <c r="A14500" s="2">
        <v>43878.73918981482</v>
      </c>
      <c r="B14500" t="str">
        <f>HYPERLINK("https://twitter.com/__AnonymA07","@__AnonymA07")</f>
        <v>@__AnonymA07</v>
      </c>
      <c r="C14500" t="s">
        <v>7467</v>
      </c>
      <c r="D14500">
        <v>1</v>
      </c>
      <c r="E14500">
        <v>5</v>
      </c>
      <c r="F14500">
        <v>4402</v>
      </c>
    </row>
    <row r="14501" spans="1:6" ht="12.75">
      <c r="A14501" s="2">
        <v>43878.738877314812</v>
      </c>
      <c r="B14501" t="str">
        <f>HYPERLINK("https://twitter.com/Gus_Raharjo","@Gus_Raharjo")</f>
        <v>@Gus_Raharjo</v>
      </c>
      <c r="C14501" t="s">
        <v>7319</v>
      </c>
      <c r="D14501">
        <v>1</v>
      </c>
      <c r="E14501">
        <v>0</v>
      </c>
      <c r="F14501">
        <v>65079</v>
      </c>
    </row>
    <row r="14502" spans="1:6" ht="12.75">
      <c r="A14502" s="2">
        <v>43878.738854166666</v>
      </c>
      <c r="B14502" t="str">
        <f>HYPERLINK("https://twitter.com/kusumovina","@kusumovina")</f>
        <v>@kusumovina</v>
      </c>
      <c r="C14502" t="s">
        <v>5870</v>
      </c>
      <c r="D14502">
        <v>1</v>
      </c>
      <c r="E14502">
        <v>0</v>
      </c>
      <c r="F14502">
        <v>157</v>
      </c>
    </row>
    <row r="14503" spans="1:6" ht="12.75">
      <c r="A14503" s="2">
        <v>43878.738750000004</v>
      </c>
      <c r="B14503" t="str">
        <f>HYPERLINK("https://twitter.com/dinahairunisa","@dinahairunisa")</f>
        <v>@dinahairunisa</v>
      </c>
      <c r="C14503" t="s">
        <v>3340</v>
      </c>
      <c r="D14503">
        <v>206</v>
      </c>
      <c r="E14503">
        <v>0</v>
      </c>
      <c r="F14503">
        <v>577</v>
      </c>
    </row>
    <row r="14504" spans="1:6" ht="12.75">
      <c r="A14504" s="2">
        <v>43878.738437499997</v>
      </c>
      <c r="B14504" t="str">
        <f>HYPERLINK("https://twitter.com/gunoto777","@gunoto777")</f>
        <v>@gunoto777</v>
      </c>
      <c r="C14504" t="s">
        <v>7468</v>
      </c>
      <c r="D14504">
        <v>5</v>
      </c>
      <c r="E14504">
        <v>0</v>
      </c>
      <c r="F14504">
        <v>1038</v>
      </c>
    </row>
    <row r="14505" spans="1:6" ht="12.75">
      <c r="A14505" s="2">
        <v>43878.738032407404</v>
      </c>
      <c r="B14505" t="str">
        <f>HYPERLINK("https://twitter.com/Theking3231Juan","@Theking3231Juan")</f>
        <v>@Theking3231Juan</v>
      </c>
      <c r="C14505" t="s">
        <v>7469</v>
      </c>
      <c r="D14505">
        <v>0</v>
      </c>
      <c r="E14505">
        <v>1</v>
      </c>
      <c r="F14505">
        <v>2409</v>
      </c>
    </row>
    <row r="14506" spans="1:6" ht="12.75">
      <c r="A14506" s="2">
        <v>43878.737916666665</v>
      </c>
      <c r="B14506" t="str">
        <f>HYPERLINK("https://twitter.com/JatengOpini","@JatengOpini")</f>
        <v>@JatengOpini</v>
      </c>
      <c r="C14506" t="s">
        <v>7470</v>
      </c>
      <c r="D14506">
        <v>1</v>
      </c>
      <c r="E14506">
        <v>1</v>
      </c>
      <c r="F14506">
        <v>51373</v>
      </c>
    </row>
    <row r="14507" spans="1:6" ht="12.75">
      <c r="A14507" s="2">
        <v>43878.73773148148</v>
      </c>
      <c r="B14507" t="str">
        <f>HYPERLINK("https://twitter.com/64cabe754865473","@64cabe754865473")</f>
        <v>@64cabe754865473</v>
      </c>
      <c r="C14507" t="s">
        <v>7471</v>
      </c>
      <c r="D14507">
        <v>0</v>
      </c>
      <c r="E14507">
        <v>0</v>
      </c>
      <c r="F14507">
        <v>496</v>
      </c>
    </row>
    <row r="14508" spans="1:6" ht="12.75">
      <c r="A14508" s="2">
        <v>43878.736689814818</v>
      </c>
      <c r="B14508" t="str">
        <f>HYPERLINK("https://twitter.com/takkar_faiyaz","@takkar_faiyaz")</f>
        <v>@takkar_faiyaz</v>
      </c>
      <c r="C14508" t="s">
        <v>6236</v>
      </c>
      <c r="D14508">
        <v>6</v>
      </c>
      <c r="E14508">
        <v>0</v>
      </c>
      <c r="F14508">
        <v>28</v>
      </c>
    </row>
    <row r="14509" spans="1:6" ht="12.75">
      <c r="A14509" s="2">
        <v>43878.709837962961</v>
      </c>
      <c r="B14509" t="str">
        <f>HYPERLINK("https://twitter.com/bangchxnswife","@bangchxnswife")</f>
        <v>@bangchxnswife</v>
      </c>
      <c r="C14509" t="s">
        <v>3340</v>
      </c>
      <c r="D14509">
        <v>181</v>
      </c>
      <c r="E14509">
        <v>0</v>
      </c>
      <c r="F14509">
        <v>1486</v>
      </c>
    </row>
    <row r="14510" spans="1:6" ht="12.75">
      <c r="A14510" s="2">
        <v>43878.709733796291</v>
      </c>
      <c r="B14510" t="str">
        <f>HYPERLINK("https://twitter.com/kemlonih","@kemlonih")</f>
        <v>@kemlonih</v>
      </c>
      <c r="C14510" t="s">
        <v>7472</v>
      </c>
      <c r="D14510">
        <v>0</v>
      </c>
      <c r="E14510">
        <v>0</v>
      </c>
      <c r="F14510">
        <v>5324</v>
      </c>
    </row>
    <row r="14511" spans="1:6" ht="12.75">
      <c r="A14511" s="2">
        <v>43878.709722222222</v>
      </c>
      <c r="B14511" t="str">
        <f>HYPERLINK("https://twitter.com/zarazettirazr","@zarazettirazr")</f>
        <v>@zarazettirazr</v>
      </c>
      <c r="C14511" t="s">
        <v>7473</v>
      </c>
      <c r="D14511">
        <v>0</v>
      </c>
      <c r="E14511">
        <v>0</v>
      </c>
      <c r="F14511">
        <v>250253</v>
      </c>
    </row>
    <row r="14512" spans="1:6" ht="12.75">
      <c r="A14512" s="2">
        <v>43878.709687499999</v>
      </c>
      <c r="B14512" t="str">
        <f>HYPERLINK("https://twitter.com/BillTemporo","@BillTemporo")</f>
        <v>@BillTemporo</v>
      </c>
      <c r="C14512" t="s">
        <v>889</v>
      </c>
      <c r="D14512">
        <v>0</v>
      </c>
      <c r="E14512">
        <v>0</v>
      </c>
      <c r="F14512">
        <v>11</v>
      </c>
    </row>
    <row r="14513" spans="1:6" ht="12.75">
      <c r="A14513" s="2">
        <v>43878.709317129629</v>
      </c>
      <c r="B14513" t="str">
        <f>HYPERLINK("https://twitter.com/eddy_qassam","@eddy_qassam")</f>
        <v>@eddy_qassam</v>
      </c>
      <c r="C14513" t="s">
        <v>4975</v>
      </c>
      <c r="D14513">
        <v>54</v>
      </c>
      <c r="E14513">
        <v>0</v>
      </c>
      <c r="F14513">
        <v>35</v>
      </c>
    </row>
    <row r="14514" spans="1:6" ht="12.75">
      <c r="A14514" s="2">
        <v>43878.709317129629</v>
      </c>
      <c r="B14514" t="str">
        <f>HYPERLINK("https://twitter.com/ISIS_Balik_NO","@ISIS_Balik_NO")</f>
        <v>@ISIS_Balik_NO</v>
      </c>
      <c r="C14514" t="s">
        <v>7474</v>
      </c>
      <c r="D14514">
        <v>26</v>
      </c>
      <c r="E14514">
        <v>0</v>
      </c>
      <c r="F14514">
        <v>5976</v>
      </c>
    </row>
    <row r="14515" spans="1:6" ht="12.75">
      <c r="A14515" s="2">
        <v>43878.709166666667</v>
      </c>
      <c r="B14515" t="str">
        <f>HYPERLINK("https://twitter.com/kevhunt_13","@kevhunt_13")</f>
        <v>@kevhunt_13</v>
      </c>
      <c r="C14515" t="s">
        <v>7475</v>
      </c>
      <c r="D14515">
        <v>0</v>
      </c>
      <c r="E14515">
        <v>0</v>
      </c>
      <c r="F14515">
        <v>220</v>
      </c>
    </row>
    <row r="14516" spans="1:6" ht="12.75">
      <c r="A14516" s="2">
        <v>43878.709074074075</v>
      </c>
      <c r="B14516" t="str">
        <f>HYPERLINK("https://twitter.com/walkingsunflowe","@walkingsunflowe")</f>
        <v>@walkingsunflowe</v>
      </c>
      <c r="C14516" t="s">
        <v>3340</v>
      </c>
      <c r="D14516">
        <v>181</v>
      </c>
      <c r="E14516">
        <v>0</v>
      </c>
      <c r="F14516">
        <v>389</v>
      </c>
    </row>
    <row r="14517" spans="1:6" ht="12.75">
      <c r="A14517" s="2">
        <v>43878.708865740744</v>
      </c>
      <c r="B14517" t="str">
        <f>HYPERLINK("https://twitter.com/okezonenews","@okezonenews")</f>
        <v>@okezonenews</v>
      </c>
      <c r="C14517" t="s">
        <v>7476</v>
      </c>
      <c r="D14517">
        <v>0</v>
      </c>
      <c r="E14517">
        <v>0</v>
      </c>
      <c r="F14517">
        <v>1743986</v>
      </c>
    </row>
    <row r="14518" spans="1:6" ht="12.75">
      <c r="A14518" s="2">
        <v>43878.708692129629</v>
      </c>
      <c r="B14518" t="str">
        <f>HYPERLINK("https://twitter.com/NegaraKecil","@NegaraKecil")</f>
        <v>@NegaraKecil</v>
      </c>
      <c r="C14518" t="s">
        <v>6706</v>
      </c>
      <c r="D14518">
        <v>2</v>
      </c>
      <c r="E14518">
        <v>0</v>
      </c>
      <c r="F14518">
        <v>1263</v>
      </c>
    </row>
    <row r="14519" spans="1:6" ht="12.75">
      <c r="A14519" s="2">
        <v>43878.708599537036</v>
      </c>
      <c r="B14519" t="str">
        <f>HYPERLINK("https://twitter.com/republikaonline","@republikaonline")</f>
        <v>@republikaonline</v>
      </c>
      <c r="C14519" t="s">
        <v>7477</v>
      </c>
      <c r="D14519">
        <v>0</v>
      </c>
      <c r="E14519">
        <v>0</v>
      </c>
      <c r="F14519">
        <v>1210875</v>
      </c>
    </row>
    <row r="14520" spans="1:6" ht="12.75">
      <c r="A14520" s="2">
        <v>43878.708449074074</v>
      </c>
      <c r="B14520" t="str">
        <f>HYPERLINK("https://twitter.com/wonwoocis","@wonwoocis")</f>
        <v>@wonwoocis</v>
      </c>
      <c r="C14520" t="s">
        <v>3340</v>
      </c>
      <c r="D14520">
        <v>181</v>
      </c>
      <c r="E14520">
        <v>0</v>
      </c>
      <c r="F14520">
        <v>927</v>
      </c>
    </row>
    <row r="14521" spans="1:6" ht="12.75">
      <c r="A14521" s="2">
        <v>43878.708240740743</v>
      </c>
      <c r="B14521" t="str">
        <f>HYPERLINK("https://twitter.com/WidyowatiSari","@WidyowatiSari")</f>
        <v>@WidyowatiSari</v>
      </c>
      <c r="C14521" t="s">
        <v>7478</v>
      </c>
      <c r="D14521">
        <v>543</v>
      </c>
      <c r="E14521">
        <v>0</v>
      </c>
      <c r="F14521">
        <v>55</v>
      </c>
    </row>
    <row r="14522" spans="1:6" ht="12.75">
      <c r="A14522" s="2">
        <v>43878.707928240736</v>
      </c>
      <c r="B14522" t="str">
        <f>HYPERLINK("https://twitter.com/udatauhid","@udatauhid")</f>
        <v>@udatauhid</v>
      </c>
      <c r="C14522" t="s">
        <v>4975</v>
      </c>
      <c r="D14522">
        <v>54</v>
      </c>
      <c r="E14522">
        <v>0</v>
      </c>
      <c r="F14522">
        <v>425</v>
      </c>
    </row>
    <row r="14523" spans="1:6" ht="12.75">
      <c r="A14523" s="2">
        <v>43878.70784722222</v>
      </c>
      <c r="B14523" t="str">
        <f>HYPERLINK("https://twitter.com/young_tanjuang","@young_tanjuang")</f>
        <v>@young_tanjuang</v>
      </c>
      <c r="C14523" t="s">
        <v>7479</v>
      </c>
      <c r="D14523">
        <v>2</v>
      </c>
      <c r="E14523">
        <v>1</v>
      </c>
      <c r="F14523">
        <v>3268</v>
      </c>
    </row>
    <row r="14524" spans="1:6" ht="12.75">
      <c r="A14524" s="2">
        <v>43878.707777777774</v>
      </c>
      <c r="B14524" t="str">
        <f>HYPERLINK("https://twitter.com/ArielFatR","@ArielFatR")</f>
        <v>@ArielFatR</v>
      </c>
      <c r="C14524" t="s">
        <v>7480</v>
      </c>
      <c r="D14524">
        <v>0</v>
      </c>
      <c r="E14524">
        <v>0</v>
      </c>
      <c r="F14524">
        <v>570</v>
      </c>
    </row>
    <row r="14525" spans="1:6" ht="12.75">
      <c r="A14525" s="2">
        <v>43878.707754629635</v>
      </c>
      <c r="B14525" t="str">
        <f>HYPERLINK("https://twitter.com/moncheri345","@moncheri345")</f>
        <v>@moncheri345</v>
      </c>
      <c r="C14525" t="s">
        <v>1813</v>
      </c>
      <c r="D14525">
        <v>682</v>
      </c>
      <c r="E14525">
        <v>0</v>
      </c>
      <c r="F14525">
        <v>17</v>
      </c>
    </row>
    <row r="14526" spans="1:6" ht="12.75">
      <c r="A14526" s="2">
        <v>43878.707476851851</v>
      </c>
      <c r="B14526" t="str">
        <f>HYPERLINK("https://twitter.com/clarisawida","@clarisawida")</f>
        <v>@clarisawida</v>
      </c>
      <c r="C14526" t="s">
        <v>5406</v>
      </c>
      <c r="D14526">
        <v>6</v>
      </c>
      <c r="E14526">
        <v>0</v>
      </c>
      <c r="F14526">
        <v>348</v>
      </c>
    </row>
    <row r="14527" spans="1:6" ht="12.75">
      <c r="A14527" s="2">
        <v>43878.707407407404</v>
      </c>
      <c r="B14527" t="str">
        <f>HYPERLINK("https://twitter.com/GYatmoko","@GYatmoko")</f>
        <v>@GYatmoko</v>
      </c>
      <c r="C14527" t="s">
        <v>7481</v>
      </c>
      <c r="D14527">
        <v>0</v>
      </c>
      <c r="E14527">
        <v>0</v>
      </c>
      <c r="F14527">
        <v>7485</v>
      </c>
    </row>
    <row r="14528" spans="1:6" ht="12.75">
      <c r="A14528" s="2">
        <v>43878.707256944443</v>
      </c>
      <c r="B14528" t="str">
        <f>HYPERLINK("https://twitter.com/mbakbrintiq","@mbakbrintiq")</f>
        <v>@mbakbrintiq</v>
      </c>
      <c r="C14528" t="s">
        <v>2155</v>
      </c>
      <c r="D14528">
        <v>253</v>
      </c>
      <c r="E14528">
        <v>0</v>
      </c>
      <c r="F14528">
        <v>14</v>
      </c>
    </row>
    <row r="14529" spans="1:6" ht="12.75">
      <c r="A14529" s="2">
        <v>43878.707071759258</v>
      </c>
      <c r="B14529" t="str">
        <f t="shared" ref="B14529:B14530" si="247">HYPERLINK("https://twitter.com/ISIS_Balik_NO","@ISIS_Balik_NO")</f>
        <v>@ISIS_Balik_NO</v>
      </c>
      <c r="C14529" t="s">
        <v>7482</v>
      </c>
      <c r="D14529">
        <v>0</v>
      </c>
      <c r="E14529">
        <v>0</v>
      </c>
      <c r="F14529">
        <v>5976</v>
      </c>
    </row>
    <row r="14530" spans="1:6" ht="12.75">
      <c r="A14530" s="2">
        <v>43878.706724537042</v>
      </c>
      <c r="B14530" t="str">
        <f t="shared" si="247"/>
        <v>@ISIS_Balik_NO</v>
      </c>
      <c r="C14530" t="s">
        <v>7483</v>
      </c>
      <c r="D14530">
        <v>1149</v>
      </c>
      <c r="E14530">
        <v>0</v>
      </c>
      <c r="F14530">
        <v>5976</v>
      </c>
    </row>
    <row r="14531" spans="1:6" ht="12.75">
      <c r="A14531" s="2">
        <v>43878.706342592588</v>
      </c>
      <c r="B14531" t="str">
        <f>HYPERLINK("https://twitter.com/kuranglemes","@kuranglemes")</f>
        <v>@kuranglemes</v>
      </c>
      <c r="C14531" t="s">
        <v>7484</v>
      </c>
      <c r="D14531">
        <v>0</v>
      </c>
      <c r="E14531">
        <v>0</v>
      </c>
      <c r="F14531">
        <v>316</v>
      </c>
    </row>
    <row r="14532" spans="1:6" ht="12.75">
      <c r="A14532" s="2">
        <v>43878.706087962964</v>
      </c>
      <c r="B14532" t="str">
        <f>HYPERLINK("https://twitter.com/ISIS_Balik_NO","@ISIS_Balik_NO")</f>
        <v>@ISIS_Balik_NO</v>
      </c>
      <c r="C14532" t="s">
        <v>7485</v>
      </c>
      <c r="D14532">
        <v>33</v>
      </c>
      <c r="E14532">
        <v>0</v>
      </c>
      <c r="F14532">
        <v>5976</v>
      </c>
    </row>
    <row r="14533" spans="1:6" ht="12.75">
      <c r="A14533" s="2">
        <v>43878.706018518518</v>
      </c>
      <c r="B14533" t="str">
        <f>HYPERLINK("https://twitter.com/AangPahlevi","@AangPahlevi")</f>
        <v>@AangPahlevi</v>
      </c>
      <c r="C14533" t="s">
        <v>6721</v>
      </c>
      <c r="D14533">
        <v>333</v>
      </c>
      <c r="E14533">
        <v>0</v>
      </c>
      <c r="F14533">
        <v>6</v>
      </c>
    </row>
    <row r="14534" spans="1:6" ht="12.75">
      <c r="A14534" s="2">
        <v>43878.705949074079</v>
      </c>
      <c r="B14534" t="str">
        <f>HYPERLINK("https://twitter.com/rosniarike","@rosniarike")</f>
        <v>@rosniarike</v>
      </c>
      <c r="C14534" t="s">
        <v>6161</v>
      </c>
      <c r="D14534">
        <v>259</v>
      </c>
      <c r="E14534">
        <v>0</v>
      </c>
      <c r="F14534">
        <v>29</v>
      </c>
    </row>
    <row r="14535" spans="1:6" ht="12.75">
      <c r="A14535" s="2">
        <v>43878.70590277778</v>
      </c>
      <c r="B14535" t="str">
        <f>HYPERLINK("https://twitter.com/rizal9973","@rizal9973")</f>
        <v>@rizal9973</v>
      </c>
      <c r="C14535" t="s">
        <v>4975</v>
      </c>
      <c r="D14535">
        <v>54</v>
      </c>
      <c r="E14535">
        <v>0</v>
      </c>
      <c r="F14535">
        <v>439</v>
      </c>
    </row>
    <row r="14536" spans="1:6" ht="12.75">
      <c r="A14536" s="2">
        <v>43878.705763888887</v>
      </c>
      <c r="B14536" t="str">
        <f>HYPERLINK("https://twitter.com/MApriangga","@MApriangga")</f>
        <v>@MApriangga</v>
      </c>
      <c r="C14536" t="s">
        <v>7486</v>
      </c>
      <c r="D14536">
        <v>0</v>
      </c>
      <c r="E14536">
        <v>0</v>
      </c>
      <c r="F14536">
        <v>935</v>
      </c>
    </row>
    <row r="14537" spans="1:6" ht="12.75">
      <c r="A14537" s="2">
        <v>43878.705162037033</v>
      </c>
      <c r="B14537" t="str">
        <f>HYPERLINK("https://twitter.com/ISIS_Balik_NO","@ISIS_Balik_NO")</f>
        <v>@ISIS_Balik_NO</v>
      </c>
      <c r="C14537" t="s">
        <v>7487</v>
      </c>
      <c r="D14537">
        <v>0</v>
      </c>
      <c r="E14537">
        <v>1</v>
      </c>
      <c r="F14537">
        <v>5976</v>
      </c>
    </row>
    <row r="14538" spans="1:6" ht="12.75">
      <c r="A14538" s="2">
        <v>43878.705081018517</v>
      </c>
      <c r="B14538" t="str">
        <f>HYPERLINK("https://twitter.com/mariane_maveric","@mariane_maveric")</f>
        <v>@mariane_maveric</v>
      </c>
      <c r="C14538" t="s">
        <v>2155</v>
      </c>
      <c r="D14538">
        <v>253</v>
      </c>
      <c r="E14538">
        <v>0</v>
      </c>
      <c r="F14538">
        <v>443</v>
      </c>
    </row>
    <row r="14539" spans="1:6" ht="12.75">
      <c r="A14539" s="2">
        <v>43878.704675925925</v>
      </c>
      <c r="B14539" t="str">
        <f>HYPERLINK("https://twitter.com/Karmiilaa2","@Karmiilaa2")</f>
        <v>@Karmiilaa2</v>
      </c>
      <c r="C14539" t="s">
        <v>7488</v>
      </c>
      <c r="D14539">
        <v>1</v>
      </c>
      <c r="E14539">
        <v>0</v>
      </c>
      <c r="F14539">
        <v>25</v>
      </c>
    </row>
    <row r="14540" spans="1:6" ht="12.75">
      <c r="A14540" s="2">
        <v>43878.704409722224</v>
      </c>
      <c r="B14540" t="str">
        <f>HYPERLINK("https://twitter.com/ngalimahfudNKRI","@ngalimahfudNKRI")</f>
        <v>@ngalimahfudNKRI</v>
      </c>
      <c r="C14540" t="s">
        <v>7489</v>
      </c>
      <c r="D14540">
        <v>0</v>
      </c>
      <c r="E14540">
        <v>0</v>
      </c>
      <c r="F14540">
        <v>512</v>
      </c>
    </row>
    <row r="14541" spans="1:6" ht="12.75">
      <c r="A14541" s="2">
        <v>43878.704236111109</v>
      </c>
      <c r="B14541" t="str">
        <f>HYPERLINK("https://twitter.com/Goerny2","@Goerny2")</f>
        <v>@Goerny2</v>
      </c>
      <c r="C14541" t="s">
        <v>6673</v>
      </c>
      <c r="D14541">
        <v>2</v>
      </c>
      <c r="E14541">
        <v>0</v>
      </c>
      <c r="F14541">
        <v>258</v>
      </c>
    </row>
    <row r="14542" spans="1:6" ht="12.75">
      <c r="A14542" s="2">
        <v>43878.704039351855</v>
      </c>
      <c r="B14542" t="str">
        <f>HYPERLINK("https://twitter.com/LPMIdea","@LPMIdea")</f>
        <v>@LPMIdea</v>
      </c>
      <c r="C14542" t="s">
        <v>7490</v>
      </c>
      <c r="D14542">
        <v>0</v>
      </c>
      <c r="E14542">
        <v>1</v>
      </c>
      <c r="F14542">
        <v>637</v>
      </c>
    </row>
    <row r="14543" spans="1:6" ht="12.75">
      <c r="A14543" s="2">
        <v>43878.703993055555</v>
      </c>
      <c r="B14543" t="str">
        <f>HYPERLINK("https://twitter.com/publicanews","@publicanews")</f>
        <v>@publicanews</v>
      </c>
      <c r="C14543" t="s">
        <v>7491</v>
      </c>
      <c r="D14543">
        <v>0</v>
      </c>
      <c r="E14543">
        <v>0</v>
      </c>
      <c r="F14543">
        <v>157</v>
      </c>
    </row>
    <row r="14544" spans="1:6" ht="12.75">
      <c r="A14544" s="2">
        <v>43878.703958333332</v>
      </c>
      <c r="B14544" t="str">
        <f>HYPERLINK("https://twitter.com/hajir121084","@hajir121084")</f>
        <v>@hajir121084</v>
      </c>
      <c r="C14544" t="s">
        <v>2155</v>
      </c>
      <c r="D14544">
        <v>253</v>
      </c>
      <c r="E14544">
        <v>0</v>
      </c>
      <c r="F14544">
        <v>1128</v>
      </c>
    </row>
    <row r="14545" spans="1:6" ht="12.75">
      <c r="A14545" s="2">
        <v>43878.703912037032</v>
      </c>
      <c r="B14545" t="str">
        <f>HYPERLINK("https://twitter.com/boysyahbana","@boysyahbana")</f>
        <v>@boysyahbana</v>
      </c>
      <c r="C14545" t="s">
        <v>7492</v>
      </c>
      <c r="D14545">
        <v>0</v>
      </c>
      <c r="E14545">
        <v>0</v>
      </c>
      <c r="F14545">
        <v>377</v>
      </c>
    </row>
    <row r="14546" spans="1:6" ht="12.75">
      <c r="A14546" s="2">
        <v>43878.703587962962</v>
      </c>
      <c r="B14546" t="str">
        <f>HYPERLINK("https://twitter.com/iyat_jabbari","@iyat_jabbari")</f>
        <v>@iyat_jabbari</v>
      </c>
      <c r="C14546" t="s">
        <v>2155</v>
      </c>
      <c r="D14546">
        <v>253</v>
      </c>
      <c r="E14546">
        <v>0</v>
      </c>
      <c r="F14546">
        <v>112</v>
      </c>
    </row>
    <row r="14547" spans="1:6" ht="12.75">
      <c r="A14547" s="2">
        <v>43878.703078703707</v>
      </c>
      <c r="B14547" t="str">
        <f>HYPERLINK("https://twitter.com/LaporGub_","@LaporGub_")</f>
        <v>@LaporGub_</v>
      </c>
      <c r="C14547" t="s">
        <v>7493</v>
      </c>
      <c r="D14547">
        <v>0</v>
      </c>
      <c r="E14547">
        <v>1</v>
      </c>
      <c r="F14547">
        <v>1255</v>
      </c>
    </row>
    <row r="14548" spans="1:6" ht="12.75">
      <c r="A14548" s="2">
        <v>43878.702893518523</v>
      </c>
      <c r="B14548" t="str">
        <f>HYPERLINK("https://twitter.com/aidanurra","@aidanurra")</f>
        <v>@aidanurra</v>
      </c>
      <c r="C14548" t="s">
        <v>5406</v>
      </c>
      <c r="D14548">
        <v>6</v>
      </c>
      <c r="E14548">
        <v>0</v>
      </c>
      <c r="F14548">
        <v>169</v>
      </c>
    </row>
    <row r="14549" spans="1:6" ht="12.75">
      <c r="A14549" s="2">
        <v>43878.702777777777</v>
      </c>
      <c r="B14549" t="str">
        <f>HYPERLINK("https://twitter.com/S_Vitri_a","@S_Vitri_a")</f>
        <v>@S_Vitri_a</v>
      </c>
      <c r="C14549" t="s">
        <v>2155</v>
      </c>
      <c r="D14549">
        <v>253</v>
      </c>
      <c r="E14549">
        <v>0</v>
      </c>
      <c r="F14549">
        <v>102</v>
      </c>
    </row>
    <row r="14550" spans="1:6" ht="12.75">
      <c r="A14550" s="2">
        <v>43878.702673611115</v>
      </c>
      <c r="B14550" t="str">
        <f>HYPERLINK("https://twitter.com/kavngmin","@kavngmin")</f>
        <v>@kavngmin</v>
      </c>
      <c r="C14550" t="s">
        <v>3340</v>
      </c>
      <c r="D14550">
        <v>181</v>
      </c>
      <c r="E14550">
        <v>0</v>
      </c>
      <c r="F14550">
        <v>500</v>
      </c>
    </row>
    <row r="14551" spans="1:6" ht="12.75">
      <c r="A14551" s="2">
        <v>43878.702048611114</v>
      </c>
      <c r="B14551" t="str">
        <f>HYPERLINK("https://twitter.com/mustovtwit","@mustovtwit")</f>
        <v>@mustovtwit</v>
      </c>
      <c r="C14551" t="s">
        <v>7494</v>
      </c>
      <c r="D14551">
        <v>1</v>
      </c>
      <c r="E14551">
        <v>0</v>
      </c>
      <c r="F14551">
        <v>1409</v>
      </c>
    </row>
    <row r="14552" spans="1:6" ht="12.75">
      <c r="A14552" s="2">
        <v>43878.701909722222</v>
      </c>
      <c r="B14552" t="str">
        <f>HYPERLINK("https://twitter.com/harry8115177941","@harry8115177941")</f>
        <v>@harry8115177941</v>
      </c>
      <c r="C14552" t="s">
        <v>7495</v>
      </c>
      <c r="D14552">
        <v>0</v>
      </c>
      <c r="E14552">
        <v>0</v>
      </c>
      <c r="F14552">
        <v>1</v>
      </c>
    </row>
    <row r="14553" spans="1:6" ht="12.75">
      <c r="A14553" s="2">
        <v>43878.701527777783</v>
      </c>
      <c r="B14553" t="str">
        <f>HYPERLINK("https://twitter.com/ISIS_Balik_NO","@ISIS_Balik_NO")</f>
        <v>@ISIS_Balik_NO</v>
      </c>
      <c r="C14553" t="s">
        <v>7496</v>
      </c>
      <c r="D14553">
        <v>1272</v>
      </c>
      <c r="E14553">
        <v>0</v>
      </c>
      <c r="F14553">
        <v>5976</v>
      </c>
    </row>
    <row r="14554" spans="1:6" ht="12.75">
      <c r="A14554" s="2">
        <v>43878.701342592598</v>
      </c>
      <c r="B14554" t="str">
        <f>HYPERLINK("https://twitter.com/IndonesiaRAW","@IndonesiaRAW")</f>
        <v>@IndonesiaRAW</v>
      </c>
      <c r="C14554" t="s">
        <v>7497</v>
      </c>
      <c r="D14554">
        <v>1</v>
      </c>
      <c r="E14554">
        <v>1</v>
      </c>
      <c r="F14554">
        <v>201836</v>
      </c>
    </row>
    <row r="14555" spans="1:6" ht="12.75">
      <c r="A14555" s="2">
        <v>43878.701249999998</v>
      </c>
      <c r="B14555" t="str">
        <f>HYPERLINK("https://twitter.com/Jungtalin","@Jungtalin")</f>
        <v>@Jungtalin</v>
      </c>
      <c r="C14555" t="s">
        <v>7498</v>
      </c>
      <c r="D14555">
        <v>0</v>
      </c>
      <c r="E14555">
        <v>0</v>
      </c>
      <c r="F14555">
        <v>4956</v>
      </c>
    </row>
    <row r="14556" spans="1:6" ht="12.75">
      <c r="A14556" s="2">
        <v>43878.701099537036</v>
      </c>
      <c r="B14556" t="str">
        <f>HYPERLINK("https://twitter.com/ISIS_Balik_NO","@ISIS_Balik_NO")</f>
        <v>@ISIS_Balik_NO</v>
      </c>
      <c r="C14556" t="s">
        <v>7298</v>
      </c>
      <c r="D14556">
        <v>108</v>
      </c>
      <c r="E14556">
        <v>0</v>
      </c>
      <c r="F14556">
        <v>5976</v>
      </c>
    </row>
    <row r="14557" spans="1:6" ht="12.75">
      <c r="A14557" s="2">
        <v>43878.701041666667</v>
      </c>
      <c r="B14557" t="str">
        <f>HYPERLINK("https://twitter.com/ILAKSHTA","@ILAKSHTA")</f>
        <v>@ILAKSHTA</v>
      </c>
      <c r="C14557" t="s">
        <v>7499</v>
      </c>
      <c r="D14557">
        <v>1</v>
      </c>
      <c r="E14557">
        <v>0</v>
      </c>
      <c r="F14557">
        <v>548</v>
      </c>
    </row>
    <row r="14558" spans="1:6" ht="12.75">
      <c r="A14558" s="2">
        <v>43878.700949074075</v>
      </c>
      <c r="B14558" t="str">
        <f>HYPERLINK("https://twitter.com/notfakgurl","@notfakgurl")</f>
        <v>@notfakgurl</v>
      </c>
      <c r="C14558" t="s">
        <v>7500</v>
      </c>
      <c r="D14558">
        <v>2</v>
      </c>
      <c r="E14558">
        <v>0</v>
      </c>
      <c r="F14558">
        <v>286</v>
      </c>
    </row>
    <row r="14559" spans="1:6" ht="12.75">
      <c r="A14559" s="2">
        <v>43878.700023148151</v>
      </c>
      <c r="B14559" t="str">
        <f>HYPERLINK("https://twitter.com/dinkesjateng","@dinkesjateng")</f>
        <v>@dinkesjateng</v>
      </c>
      <c r="C14559" t="s">
        <v>7501</v>
      </c>
      <c r="D14559">
        <v>0</v>
      </c>
      <c r="E14559">
        <v>4</v>
      </c>
      <c r="F14559">
        <v>6638</v>
      </c>
    </row>
    <row r="14560" spans="1:6" ht="12.75">
      <c r="A14560" s="2">
        <v>43878.69940972222</v>
      </c>
      <c r="B14560" t="str">
        <f>HYPERLINK("https://twitter.com/novapermana8","@novapermana8")</f>
        <v>@novapermana8</v>
      </c>
      <c r="C14560" t="s">
        <v>2155</v>
      </c>
      <c r="D14560">
        <v>253</v>
      </c>
      <c r="E14560">
        <v>0</v>
      </c>
      <c r="F14560">
        <v>640</v>
      </c>
    </row>
    <row r="14561" spans="1:6" ht="12.75">
      <c r="A14561" s="2">
        <v>43878.699224537035</v>
      </c>
      <c r="B14561" t="str">
        <f>HYPERLINK("https://twitter.com/naydidntsleep","@naydidntsleep")</f>
        <v>@naydidntsleep</v>
      </c>
      <c r="C14561" t="s">
        <v>3340</v>
      </c>
      <c r="D14561">
        <v>181</v>
      </c>
      <c r="E14561">
        <v>0</v>
      </c>
      <c r="F14561">
        <v>381</v>
      </c>
    </row>
    <row r="14562" spans="1:6" ht="12.75">
      <c r="A14562" s="2">
        <v>43878.699212962965</v>
      </c>
      <c r="B14562" t="str">
        <f>HYPERLINK("https://twitter.com/aselisnack","@aselisnack")</f>
        <v>@aselisnack</v>
      </c>
      <c r="C14562" t="s">
        <v>7502</v>
      </c>
      <c r="D14562">
        <v>1</v>
      </c>
      <c r="E14562">
        <v>2</v>
      </c>
      <c r="F14562">
        <v>1105</v>
      </c>
    </row>
    <row r="14563" spans="1:6" ht="12.75">
      <c r="A14563" s="2">
        <v>43878.698761574073</v>
      </c>
      <c r="B14563" t="str">
        <f>HYPERLINK("https://twitter.com/Git_mah","@Git_mah")</f>
        <v>@Git_mah</v>
      </c>
      <c r="C14563" t="s">
        <v>7503</v>
      </c>
      <c r="D14563">
        <v>0</v>
      </c>
      <c r="E14563">
        <v>0</v>
      </c>
      <c r="F14563">
        <v>0</v>
      </c>
    </row>
    <row r="14564" spans="1:6" ht="12.75">
      <c r="A14564" s="2">
        <v>43878.698726851857</v>
      </c>
      <c r="B14564" t="str">
        <f t="shared" ref="B14564:B14565" si="248">HYPERLINK("https://twitter.com/zarazettirazr","@zarazettirazr")</f>
        <v>@zarazettirazr</v>
      </c>
      <c r="C14564" t="s">
        <v>7504</v>
      </c>
      <c r="D14564">
        <v>1</v>
      </c>
      <c r="E14564">
        <v>0</v>
      </c>
      <c r="F14564">
        <v>250253</v>
      </c>
    </row>
    <row r="14565" spans="1:6" ht="12.75">
      <c r="A14565" s="2">
        <v>43878.698703703703</v>
      </c>
      <c r="B14565" t="str">
        <f t="shared" si="248"/>
        <v>@zarazettirazr</v>
      </c>
      <c r="C14565" t="s">
        <v>7505</v>
      </c>
      <c r="D14565">
        <v>1</v>
      </c>
      <c r="E14565">
        <v>0</v>
      </c>
      <c r="F14565">
        <v>250253</v>
      </c>
    </row>
    <row r="14566" spans="1:6" ht="12.75">
      <c r="A14566" s="2">
        <v>43878.697997685187</v>
      </c>
      <c r="B14566" t="str">
        <f>HYPERLINK("https://twitter.com/Johnywick20","@Johnywick20")</f>
        <v>@Johnywick20</v>
      </c>
      <c r="C14566" t="s">
        <v>4975</v>
      </c>
      <c r="D14566">
        <v>54</v>
      </c>
      <c r="E14566">
        <v>0</v>
      </c>
      <c r="F14566">
        <v>601</v>
      </c>
    </row>
    <row r="14567" spans="1:6" ht="12.75">
      <c r="A14567" s="2">
        <v>43878.697881944448</v>
      </c>
      <c r="B14567" t="str">
        <f>HYPERLINK("https://twitter.com/axqcrux","@axqcrux")</f>
        <v>@axqcrux</v>
      </c>
      <c r="C14567" t="s">
        <v>7506</v>
      </c>
      <c r="D14567">
        <v>0</v>
      </c>
      <c r="E14567">
        <v>0</v>
      </c>
      <c r="F14567">
        <v>164</v>
      </c>
    </row>
    <row r="14568" spans="1:6" ht="12.75">
      <c r="A14568" s="2">
        <v>43878.697789351849</v>
      </c>
      <c r="B14568" t="str">
        <f>HYPERLINK("https://twitter.com/vishnuputra10","@vishnuputra10")</f>
        <v>@vishnuputra10</v>
      </c>
      <c r="C14568" t="s">
        <v>7507</v>
      </c>
      <c r="D14568">
        <v>0</v>
      </c>
      <c r="E14568">
        <v>0</v>
      </c>
      <c r="F14568">
        <v>47</v>
      </c>
    </row>
    <row r="14569" spans="1:6" ht="12.75">
      <c r="A14569" s="2">
        <v>43878.697638888887</v>
      </c>
      <c r="B14569" t="str">
        <f>HYPERLINK("https://twitter.com/Alli25968848","@Alli25968848")</f>
        <v>@Alli25968848</v>
      </c>
      <c r="C14569" t="s">
        <v>7508</v>
      </c>
      <c r="D14569">
        <v>0</v>
      </c>
      <c r="E14569">
        <v>0</v>
      </c>
      <c r="F14569">
        <v>0</v>
      </c>
    </row>
    <row r="14570" spans="1:6" ht="12.75">
      <c r="A14570" s="2">
        <v>43878.697118055556</v>
      </c>
      <c r="B14570" t="str">
        <f>HYPERLINK("https://twitter.com/republikaonline","@republikaonline")</f>
        <v>@republikaonline</v>
      </c>
      <c r="C14570" t="s">
        <v>7509</v>
      </c>
      <c r="D14570">
        <v>0</v>
      </c>
      <c r="E14570">
        <v>0</v>
      </c>
      <c r="F14570">
        <v>1210875</v>
      </c>
    </row>
    <row r="14571" spans="1:6" ht="12.75">
      <c r="A14571" s="2">
        <v>43878.696979166663</v>
      </c>
      <c r="B14571" t="str">
        <f>HYPERLINK("https://twitter.com/mediaindonesia","@mediaindonesia")</f>
        <v>@mediaindonesia</v>
      </c>
      <c r="C14571" t="s">
        <v>7510</v>
      </c>
      <c r="D14571">
        <v>1</v>
      </c>
      <c r="E14571">
        <v>4</v>
      </c>
      <c r="F14571">
        <v>1416513</v>
      </c>
    </row>
    <row r="14572" spans="1:6" ht="12.75">
      <c r="A14572" s="2">
        <v>43878.696817129632</v>
      </c>
      <c r="B14572" t="str">
        <f>HYPERLINK("https://twitter.com/tribunmedan","@tribunmedan")</f>
        <v>@tribunmedan</v>
      </c>
      <c r="C14572" t="s">
        <v>7511</v>
      </c>
      <c r="D14572">
        <v>0</v>
      </c>
      <c r="E14572">
        <v>0</v>
      </c>
      <c r="F14572">
        <v>72675</v>
      </c>
    </row>
    <row r="14573" spans="1:6" ht="12.75">
      <c r="A14573" s="2">
        <v>43878.696504629625</v>
      </c>
      <c r="B14573" t="str">
        <f>HYPERLINK("https://twitter.com/KJRI_Guangzhou","@KJRI_Guangzhou")</f>
        <v>@KJRI_Guangzhou</v>
      </c>
      <c r="C14573" t="s">
        <v>7512</v>
      </c>
      <c r="D14573">
        <v>0</v>
      </c>
      <c r="E14573">
        <v>0</v>
      </c>
      <c r="F14573">
        <v>638</v>
      </c>
    </row>
    <row r="14574" spans="1:6" ht="12.75">
      <c r="A14574" s="2">
        <v>43878.696493055555</v>
      </c>
      <c r="B14574" t="str">
        <f>HYPERLINK("https://twitter.com/NaAlia13","@NaAlia13")</f>
        <v>@NaAlia13</v>
      </c>
      <c r="C14574" t="s">
        <v>7513</v>
      </c>
      <c r="D14574">
        <v>0</v>
      </c>
      <c r="E14574">
        <v>0</v>
      </c>
      <c r="F14574">
        <v>1147</v>
      </c>
    </row>
    <row r="14575" spans="1:6" ht="12.75">
      <c r="A14575" s="2">
        <v>43878.696215277778</v>
      </c>
      <c r="B14575" t="str">
        <f>HYPERLINK("https://twitter.com/Metro_TV","@Metro_TV")</f>
        <v>@Metro_TV</v>
      </c>
      <c r="C14575" t="s">
        <v>7514</v>
      </c>
      <c r="D14575">
        <v>0</v>
      </c>
      <c r="E14575">
        <v>2</v>
      </c>
      <c r="F14575">
        <v>10510148</v>
      </c>
    </row>
    <row r="14576" spans="1:6" ht="12.75">
      <c r="A14576" s="2">
        <v>43878.696111111116</v>
      </c>
      <c r="B14576" t="str">
        <f>HYPERLINK("https://twitter.com/MBlackBond","@MBlackBond")</f>
        <v>@MBlackBond</v>
      </c>
      <c r="C14576" t="s">
        <v>2155</v>
      </c>
      <c r="D14576">
        <v>253</v>
      </c>
      <c r="E14576">
        <v>0</v>
      </c>
      <c r="F14576">
        <v>2264</v>
      </c>
    </row>
    <row r="14577" spans="1:6" ht="12.75">
      <c r="A14577" s="2">
        <v>43878.695972222224</v>
      </c>
      <c r="B14577" t="str">
        <f>HYPERLINK("https://twitter.com/bang_adipray","@bang_adipray")</f>
        <v>@bang_adipray</v>
      </c>
      <c r="C14577" t="s">
        <v>7515</v>
      </c>
      <c r="D14577">
        <v>0</v>
      </c>
      <c r="E14577">
        <v>0</v>
      </c>
      <c r="F14577">
        <v>485</v>
      </c>
    </row>
    <row r="14578" spans="1:6" ht="12.75">
      <c r="A14578" s="2">
        <v>43878.695914351847</v>
      </c>
      <c r="B14578" t="str">
        <f>HYPERLINK("https://twitter.com/wni_jmsri","@wni_jmsri")</f>
        <v>@wni_jmsri</v>
      </c>
      <c r="C14578" t="s">
        <v>7516</v>
      </c>
      <c r="D14578">
        <v>728</v>
      </c>
      <c r="E14578">
        <v>0</v>
      </c>
      <c r="F14578">
        <v>193</v>
      </c>
    </row>
    <row r="14579" spans="1:6" ht="12.75">
      <c r="A14579" s="2">
        <v>43878.695856481485</v>
      </c>
      <c r="B14579" t="str">
        <f>HYPERLINK("https://twitter.com/kompascom","@kompascom")</f>
        <v>@kompascom</v>
      </c>
      <c r="C14579" t="s">
        <v>7517</v>
      </c>
      <c r="D14579">
        <v>0</v>
      </c>
      <c r="E14579">
        <v>4</v>
      </c>
      <c r="F14579">
        <v>7500962</v>
      </c>
    </row>
    <row r="14580" spans="1:6" ht="12.75">
      <c r="A14580" s="2">
        <v>43878.695856481485</v>
      </c>
      <c r="B14580" t="str">
        <f>HYPERLINK("https://twitter.com/putrimadhita","@putrimadhita")</f>
        <v>@putrimadhita</v>
      </c>
      <c r="C14580" t="s">
        <v>4730</v>
      </c>
      <c r="D14580">
        <v>35</v>
      </c>
      <c r="E14580">
        <v>0</v>
      </c>
      <c r="F14580">
        <v>308</v>
      </c>
    </row>
    <row r="14581" spans="1:6" ht="12.75">
      <c r="A14581" s="2">
        <v>43878.695856481485</v>
      </c>
      <c r="B14581" t="str">
        <f>HYPERLINK("https://twitter.com/kompascom","@kompascom")</f>
        <v>@kompascom</v>
      </c>
      <c r="C14581" t="s">
        <v>7518</v>
      </c>
      <c r="D14581">
        <v>1</v>
      </c>
      <c r="E14581">
        <v>5</v>
      </c>
      <c r="F14581">
        <v>7500962</v>
      </c>
    </row>
    <row r="14582" spans="1:6" ht="12.75">
      <c r="A14582" s="2">
        <v>43878.695659722223</v>
      </c>
      <c r="B14582" t="str">
        <f>HYPERLINK("https://twitter.com/UnaMuna14","@UnaMuna14")</f>
        <v>@UnaMuna14</v>
      </c>
      <c r="C14582" t="s">
        <v>7519</v>
      </c>
      <c r="D14582">
        <v>0</v>
      </c>
      <c r="E14582">
        <v>0</v>
      </c>
      <c r="F14582">
        <v>0</v>
      </c>
    </row>
    <row r="14583" spans="1:6" ht="12.75">
      <c r="A14583" s="2">
        <v>43878.695428240739</v>
      </c>
      <c r="B14583" t="str">
        <f>HYPERLINK("https://twitter.com/beritaKBR","@beritaKBR")</f>
        <v>@beritaKBR</v>
      </c>
      <c r="C14583" t="s">
        <v>7520</v>
      </c>
      <c r="D14583">
        <v>0</v>
      </c>
      <c r="E14583">
        <v>0</v>
      </c>
      <c r="F14583">
        <v>137225</v>
      </c>
    </row>
    <row r="14584" spans="1:6" ht="12.75">
      <c r="A14584" s="2">
        <v>43878.695416666669</v>
      </c>
      <c r="B14584" t="str">
        <f>HYPERLINK("https://twitter.com/Metro_TV","@Metro_TV")</f>
        <v>@Metro_TV</v>
      </c>
      <c r="C14584" t="s">
        <v>7521</v>
      </c>
      <c r="D14584">
        <v>0</v>
      </c>
      <c r="E14584">
        <v>7</v>
      </c>
      <c r="F14584">
        <v>10510148</v>
      </c>
    </row>
    <row r="14585" spans="1:6" ht="12.75">
      <c r="A14585" s="2">
        <v>43878.69494212963</v>
      </c>
      <c r="B14585" t="str">
        <f>HYPERLINK("https://twitter.com/bankyossie1","@bankyossie1")</f>
        <v>@bankyossie1</v>
      </c>
      <c r="C14585" t="s">
        <v>2155</v>
      </c>
      <c r="D14585">
        <v>253</v>
      </c>
      <c r="E14585">
        <v>0</v>
      </c>
      <c r="F14585">
        <v>597</v>
      </c>
    </row>
    <row r="14586" spans="1:6" ht="12.75">
      <c r="A14586" s="2">
        <v>43878.694872685184</v>
      </c>
      <c r="B14586" t="str">
        <f>HYPERLINK("https://twitter.com/netralwindi","@netralwindi")</f>
        <v>@netralwindi</v>
      </c>
      <c r="C14586" t="s">
        <v>4975</v>
      </c>
      <c r="D14586">
        <v>54</v>
      </c>
      <c r="E14586">
        <v>0</v>
      </c>
      <c r="F14586">
        <v>66</v>
      </c>
    </row>
    <row r="14587" spans="1:6" ht="12.75">
      <c r="A14587" s="2">
        <v>43878.694837962961</v>
      </c>
      <c r="B14587" t="str">
        <f>HYPERLINK("https://twitter.com/naetriums","@naetriums")</f>
        <v>@naetriums</v>
      </c>
      <c r="C14587" t="s">
        <v>3340</v>
      </c>
      <c r="D14587">
        <v>181</v>
      </c>
      <c r="E14587">
        <v>0</v>
      </c>
      <c r="F14587">
        <v>273</v>
      </c>
    </row>
    <row r="14588" spans="1:6" ht="12.75">
      <c r="A14588" s="2">
        <v>43878.694780092592</v>
      </c>
      <c r="B14588" t="str">
        <f>HYPERLINK("https://twitter.com/agdjokovit","@agdjokovit")</f>
        <v>@agdjokovit</v>
      </c>
      <c r="C14588" t="s">
        <v>1515</v>
      </c>
      <c r="D14588">
        <v>659</v>
      </c>
      <c r="E14588">
        <v>0</v>
      </c>
      <c r="F14588">
        <v>132</v>
      </c>
    </row>
    <row r="14589" spans="1:6" ht="12.75">
      <c r="A14589" s="2">
        <v>43878.694606481484</v>
      </c>
      <c r="B14589" t="str">
        <f>HYPERLINK("https://twitter.com/LPMIdea","@LPMIdea")</f>
        <v>@LPMIdea</v>
      </c>
      <c r="C14589" t="s">
        <v>7522</v>
      </c>
      <c r="D14589">
        <v>0</v>
      </c>
      <c r="E14589">
        <v>1</v>
      </c>
      <c r="F14589">
        <v>637</v>
      </c>
    </row>
    <row r="14590" spans="1:6" ht="12.75">
      <c r="A14590" s="2">
        <v>43878.694386574076</v>
      </c>
      <c r="B14590" t="str">
        <f>HYPERLINK("https://twitter.com/WahabisLokal","@WahabisLokal")</f>
        <v>@WahabisLokal</v>
      </c>
      <c r="C14590" t="s">
        <v>3396</v>
      </c>
      <c r="D14590">
        <v>66</v>
      </c>
      <c r="E14590">
        <v>0</v>
      </c>
      <c r="F14590">
        <v>19586</v>
      </c>
    </row>
    <row r="14591" spans="1:6" ht="12.75">
      <c r="A14591" s="2">
        <v>43878.694374999999</v>
      </c>
      <c r="B14591" t="str">
        <f>HYPERLINK("https://twitter.com/qureta","@qureta")</f>
        <v>@qureta</v>
      </c>
      <c r="C14591" t="s">
        <v>7523</v>
      </c>
      <c r="D14591">
        <v>1</v>
      </c>
      <c r="E14591">
        <v>0</v>
      </c>
      <c r="F14591">
        <v>24746</v>
      </c>
    </row>
    <row r="14592" spans="1:6" ht="12.75">
      <c r="A14592" s="2">
        <v>43878.694293981476</v>
      </c>
      <c r="B14592" t="str">
        <f>HYPERLINK("https://twitter.com/golderimese","@golderimese")</f>
        <v>@golderimese</v>
      </c>
      <c r="C14592" t="s">
        <v>3340</v>
      </c>
      <c r="D14592">
        <v>181</v>
      </c>
      <c r="E14592">
        <v>0</v>
      </c>
      <c r="F14592">
        <v>211</v>
      </c>
    </row>
    <row r="14593" spans="1:6" ht="12.75">
      <c r="A14593" s="2">
        <v>43878.694166666668</v>
      </c>
      <c r="B14593" t="str">
        <f>HYPERLINK("https://twitter.com/agdjokovit","@agdjokovit")</f>
        <v>@agdjokovit</v>
      </c>
      <c r="C14593" t="s">
        <v>6161</v>
      </c>
      <c r="D14593">
        <v>259</v>
      </c>
      <c r="E14593">
        <v>0</v>
      </c>
      <c r="F14593">
        <v>132</v>
      </c>
    </row>
    <row r="14594" spans="1:6" ht="12.75">
      <c r="A14594" s="2">
        <v>43878.693935185191</v>
      </c>
      <c r="B14594" t="str">
        <f>HYPERLINK("https://twitter.com/JokoSut57812674","@JokoSut57812674")</f>
        <v>@JokoSut57812674</v>
      </c>
      <c r="C14594" t="s">
        <v>2155</v>
      </c>
      <c r="D14594">
        <v>253</v>
      </c>
      <c r="E14594">
        <v>0</v>
      </c>
      <c r="F14594">
        <v>144</v>
      </c>
    </row>
    <row r="14595" spans="1:6" ht="12.75">
      <c r="A14595" s="2">
        <v>43878.693831018521</v>
      </c>
      <c r="B14595" t="str">
        <f>HYPERLINK("https://twitter.com/baeksena_91","@baeksena_91")</f>
        <v>@baeksena_91</v>
      </c>
      <c r="C14595" t="s">
        <v>2155</v>
      </c>
      <c r="D14595">
        <v>253</v>
      </c>
      <c r="E14595">
        <v>0</v>
      </c>
      <c r="F14595">
        <v>306</v>
      </c>
    </row>
    <row r="14596" spans="1:6" ht="12.75">
      <c r="A14596" s="2">
        <v>43878.693564814814</v>
      </c>
      <c r="B14596" t="str">
        <f>HYPERLINK("https://twitter.com/Sangadj49570204","@Sangadj49570204")</f>
        <v>@Sangadj49570204</v>
      </c>
      <c r="C14596" t="s">
        <v>3396</v>
      </c>
      <c r="D14596">
        <v>66</v>
      </c>
      <c r="E14596">
        <v>0</v>
      </c>
      <c r="F14596">
        <v>639</v>
      </c>
    </row>
    <row r="14597" spans="1:6" ht="12.75">
      <c r="A14597" s="2">
        <v>43878.69332175926</v>
      </c>
      <c r="B14597" t="str">
        <f>HYPERLINK("https://twitter.com/nanuths","@nanuths")</f>
        <v>@nanuths</v>
      </c>
      <c r="C14597" t="s">
        <v>2155</v>
      </c>
      <c r="D14597">
        <v>253</v>
      </c>
      <c r="E14597">
        <v>0</v>
      </c>
      <c r="F14597">
        <v>655</v>
      </c>
    </row>
    <row r="14598" spans="1:6" ht="12.75">
      <c r="A14598" s="2">
        <v>43878.69326388889</v>
      </c>
      <c r="B14598" t="str">
        <f>HYPERLINK("https://twitter.com/Jasson53544364","@Jasson53544364")</f>
        <v>@Jasson53544364</v>
      </c>
      <c r="C14598" t="s">
        <v>7524</v>
      </c>
      <c r="D14598">
        <v>0</v>
      </c>
      <c r="E14598">
        <v>0</v>
      </c>
      <c r="F14598">
        <v>49</v>
      </c>
    </row>
    <row r="14599" spans="1:6" ht="12.75">
      <c r="A14599" s="2">
        <v>43878.693252314813</v>
      </c>
      <c r="B14599" t="str">
        <f>HYPERLINK("https://twitter.com/MAliSubhan2","@MAliSubhan2")</f>
        <v>@MAliSubhan2</v>
      </c>
      <c r="C14599" t="s">
        <v>2674</v>
      </c>
      <c r="D14599">
        <v>80</v>
      </c>
      <c r="E14599">
        <v>0</v>
      </c>
      <c r="F14599">
        <v>1117</v>
      </c>
    </row>
    <row r="14600" spans="1:6" ht="12.75">
      <c r="A14600" s="2">
        <v>43878.693240740744</v>
      </c>
      <c r="B14600" t="str">
        <f>HYPERLINK("https://twitter.com/walreds","@walreds")</f>
        <v>@walreds</v>
      </c>
      <c r="C14600" t="s">
        <v>7525</v>
      </c>
      <c r="D14600">
        <v>1</v>
      </c>
      <c r="E14600">
        <v>0</v>
      </c>
      <c r="F14600">
        <v>151</v>
      </c>
    </row>
    <row r="14601" spans="1:6" ht="12.75">
      <c r="A14601" s="2">
        <v>43878.693009259259</v>
      </c>
      <c r="B14601" t="str">
        <f>HYPERLINK("https://twitter.com/BaraFaba","@BaraFaba")</f>
        <v>@BaraFaba</v>
      </c>
      <c r="C14601" t="s">
        <v>7526</v>
      </c>
      <c r="D14601">
        <v>1</v>
      </c>
      <c r="E14601">
        <v>1</v>
      </c>
      <c r="F14601">
        <v>40</v>
      </c>
    </row>
    <row r="14602" spans="1:6" ht="12.75">
      <c r="A14602" s="2">
        <v>43878.692766203705</v>
      </c>
      <c r="B14602" t="str">
        <f>HYPERLINK("https://twitter.com/polmido90","@polmido90")</f>
        <v>@polmido90</v>
      </c>
      <c r="C14602" t="s">
        <v>6721</v>
      </c>
      <c r="D14602">
        <v>333</v>
      </c>
      <c r="E14602">
        <v>0</v>
      </c>
      <c r="F14602">
        <v>275</v>
      </c>
    </row>
    <row r="14603" spans="1:6" ht="12.75">
      <c r="A14603" s="2">
        <v>43878.692488425921</v>
      </c>
      <c r="B14603" t="str">
        <f>HYPERLINK("https://twitter.com/yhi2e","@yhi2e")</f>
        <v>@yhi2e</v>
      </c>
      <c r="C14603" t="s">
        <v>4975</v>
      </c>
      <c r="D14603">
        <v>54</v>
      </c>
      <c r="E14603">
        <v>0</v>
      </c>
      <c r="F14603">
        <v>1411</v>
      </c>
    </row>
    <row r="14604" spans="1:6" ht="12.75">
      <c r="A14604" s="2">
        <v>43878.692407407405</v>
      </c>
      <c r="B14604" t="str">
        <f>HYPERLINK("https://twitter.com/dpubmckjateng","@dpubmckjateng")</f>
        <v>@dpubmckjateng</v>
      </c>
      <c r="C14604" t="s">
        <v>5406</v>
      </c>
      <c r="D14604">
        <v>6</v>
      </c>
      <c r="E14604">
        <v>0</v>
      </c>
      <c r="F14604">
        <v>11471</v>
      </c>
    </row>
    <row r="14605" spans="1:6" ht="12.75">
      <c r="A14605" s="2">
        <v>43878.692175925928</v>
      </c>
      <c r="B14605" t="str">
        <f>HYPERLINK("https://twitter.com/pejuangreceeeh","@pejuangreceeeh")</f>
        <v>@pejuangreceeeh</v>
      </c>
      <c r="C14605" t="s">
        <v>7527</v>
      </c>
      <c r="D14605">
        <v>0</v>
      </c>
      <c r="E14605">
        <v>1</v>
      </c>
      <c r="F14605">
        <v>669</v>
      </c>
    </row>
    <row r="14606" spans="1:6" ht="12.75">
      <c r="A14606" s="2">
        <v>43878.691620370373</v>
      </c>
      <c r="B14606" t="str">
        <f>HYPERLINK("https://twitter.com/manddeddiddi","@manddeddiddi")</f>
        <v>@manddeddiddi</v>
      </c>
      <c r="C14606" t="s">
        <v>3340</v>
      </c>
      <c r="D14606">
        <v>181</v>
      </c>
      <c r="E14606">
        <v>0</v>
      </c>
      <c r="F14606">
        <v>3311</v>
      </c>
    </row>
    <row r="14607" spans="1:6" ht="12.75">
      <c r="A14607" s="2">
        <v>43878.691446759258</v>
      </c>
      <c r="B14607" t="str">
        <f>HYPERLINK("https://twitter.com/becak125cc","@becak125cc")</f>
        <v>@becak125cc</v>
      </c>
      <c r="C14607" t="s">
        <v>6161</v>
      </c>
      <c r="D14607">
        <v>259</v>
      </c>
      <c r="E14607">
        <v>0</v>
      </c>
      <c r="F14607">
        <v>503</v>
      </c>
    </row>
    <row r="14608" spans="1:6" ht="12.75">
      <c r="A14608" s="2">
        <v>43878.691296296296</v>
      </c>
      <c r="B14608" t="str">
        <f>HYPERLINK("https://twitter.com/Metro_TV","@Metro_TV")</f>
        <v>@Metro_TV</v>
      </c>
      <c r="C14608" t="s">
        <v>7528</v>
      </c>
      <c r="D14608">
        <v>1</v>
      </c>
      <c r="E14608">
        <v>11</v>
      </c>
      <c r="F14608">
        <v>10510148</v>
      </c>
    </row>
    <row r="14609" spans="1:6" ht="12.75">
      <c r="A14609" s="2">
        <v>43878.66810185185</v>
      </c>
      <c r="B14609" t="str">
        <f>HYPERLINK("https://twitter.com/becak125cc","@becak125cc")</f>
        <v>@becak125cc</v>
      </c>
      <c r="C14609" t="s">
        <v>2107</v>
      </c>
      <c r="D14609">
        <v>13</v>
      </c>
      <c r="E14609">
        <v>0</v>
      </c>
      <c r="F14609">
        <v>503</v>
      </c>
    </row>
    <row r="14610" spans="1:6" ht="12.75">
      <c r="A14610" s="2">
        <v>43878.668009259258</v>
      </c>
      <c r="B14610" t="str">
        <f>HYPERLINK("https://twitter.com/GerBangNKRI","@GerBangNKRI")</f>
        <v>@GerBangNKRI</v>
      </c>
      <c r="C14610" t="s">
        <v>2155</v>
      </c>
      <c r="D14610">
        <v>225</v>
      </c>
      <c r="E14610">
        <v>0</v>
      </c>
      <c r="F14610">
        <v>1531</v>
      </c>
    </row>
    <row r="14611" spans="1:6" ht="12.75">
      <c r="A14611" s="2">
        <v>43878.668009259258</v>
      </c>
      <c r="B14611" t="str">
        <f>HYPERLINK("https://twitter.com/AlterBaddies","@AlterBaddies")</f>
        <v>@AlterBaddies</v>
      </c>
      <c r="C14611" t="s">
        <v>7529</v>
      </c>
      <c r="D14611">
        <v>0</v>
      </c>
      <c r="E14611">
        <v>0</v>
      </c>
      <c r="F14611">
        <v>1</v>
      </c>
    </row>
    <row r="14612" spans="1:6" ht="12.75">
      <c r="A14612" s="2">
        <v>43878.667939814812</v>
      </c>
      <c r="B14612" t="str">
        <f>HYPERLINK("https://twitter.com/cadarmerah","@cadarmerah")</f>
        <v>@cadarmerah</v>
      </c>
      <c r="C14612" t="s">
        <v>7115</v>
      </c>
      <c r="D14612">
        <v>2</v>
      </c>
      <c r="E14612">
        <v>0</v>
      </c>
      <c r="F14612">
        <v>5656</v>
      </c>
    </row>
    <row r="14613" spans="1:6" ht="12.75">
      <c r="A14613" s="2">
        <v>43878.667928240742</v>
      </c>
      <c r="B14613" t="str">
        <f>HYPERLINK("https://twitter.com/AlterBaddies","@AlterBaddies")</f>
        <v>@AlterBaddies</v>
      </c>
      <c r="C14613" t="s">
        <v>7529</v>
      </c>
      <c r="D14613">
        <v>0</v>
      </c>
      <c r="E14613">
        <v>0</v>
      </c>
      <c r="F14613">
        <v>1</v>
      </c>
    </row>
    <row r="14614" spans="1:6" ht="12.75">
      <c r="A14614" s="2">
        <v>43878.667928240742</v>
      </c>
      <c r="B14614" t="str">
        <f>HYPERLINK("https://twitter.com/win91275047","@win91275047")</f>
        <v>@win91275047</v>
      </c>
      <c r="C14614" t="s">
        <v>7530</v>
      </c>
      <c r="D14614">
        <v>6</v>
      </c>
      <c r="E14614">
        <v>0</v>
      </c>
      <c r="F14614">
        <v>59</v>
      </c>
    </row>
    <row r="14615" spans="1:6" ht="12.75">
      <c r="A14615" s="2">
        <v>43878.66783564815</v>
      </c>
      <c r="B14615" t="str">
        <f>HYPERLINK("https://twitter.com/shiroDroger","@shiroDroger")</f>
        <v>@shiroDroger</v>
      </c>
      <c r="C14615" t="s">
        <v>7531</v>
      </c>
      <c r="D14615">
        <v>0</v>
      </c>
      <c r="E14615">
        <v>0</v>
      </c>
      <c r="F14615">
        <v>80</v>
      </c>
    </row>
    <row r="14616" spans="1:6" ht="12.75">
      <c r="A14616" s="2">
        <v>43878.667812500003</v>
      </c>
      <c r="B14616" t="str">
        <f>HYPERLINK("https://twitter.com/AlterBaddies","@AlterBaddies")</f>
        <v>@AlterBaddies</v>
      </c>
      <c r="C14616" t="s">
        <v>7529</v>
      </c>
      <c r="D14616">
        <v>0</v>
      </c>
      <c r="E14616">
        <v>0</v>
      </c>
      <c r="F14616">
        <v>1</v>
      </c>
    </row>
    <row r="14617" spans="1:6" ht="12.75">
      <c r="A14617" s="2">
        <v>43878.66778935185</v>
      </c>
      <c r="B14617" t="str">
        <f>HYPERLINK("https://twitter.com/DilaaaNubad","@DilaaaNubad")</f>
        <v>@DilaaaNubad</v>
      </c>
      <c r="C14617" t="s">
        <v>3340</v>
      </c>
      <c r="D14617">
        <v>169</v>
      </c>
      <c r="E14617">
        <v>0</v>
      </c>
      <c r="F14617">
        <v>52</v>
      </c>
    </row>
    <row r="14618" spans="1:6" ht="12.75">
      <c r="A14618" s="2">
        <v>43878.667719907404</v>
      </c>
      <c r="B14618" t="str">
        <f t="shared" ref="B14618:B14619" si="249">HYPERLINK("https://twitter.com/AlterBaddies","@AlterBaddies")</f>
        <v>@AlterBaddies</v>
      </c>
      <c r="C14618" t="s">
        <v>7529</v>
      </c>
      <c r="D14618">
        <v>0</v>
      </c>
      <c r="E14618">
        <v>0</v>
      </c>
      <c r="F14618">
        <v>1</v>
      </c>
    </row>
    <row r="14619" spans="1:6" ht="12.75">
      <c r="A14619" s="2">
        <v>43878.667650462958</v>
      </c>
      <c r="B14619" t="str">
        <f t="shared" si="249"/>
        <v>@AlterBaddies</v>
      </c>
      <c r="C14619" t="s">
        <v>7529</v>
      </c>
      <c r="D14619">
        <v>0</v>
      </c>
      <c r="E14619">
        <v>0</v>
      </c>
      <c r="F14619">
        <v>1</v>
      </c>
    </row>
    <row r="14620" spans="1:6" ht="12.75">
      <c r="A14620" s="2">
        <v>43878.667638888888</v>
      </c>
      <c r="B14620" t="str">
        <f>HYPERLINK("https://twitter.com/becak125cc","@becak125cc")</f>
        <v>@becak125cc</v>
      </c>
      <c r="C14620" t="s">
        <v>2674</v>
      </c>
      <c r="D14620">
        <v>78</v>
      </c>
      <c r="E14620">
        <v>0</v>
      </c>
      <c r="F14620">
        <v>503</v>
      </c>
    </row>
    <row r="14621" spans="1:6" ht="12.75">
      <c r="A14621" s="2">
        <v>43878.667453703703</v>
      </c>
      <c r="B14621" t="str">
        <f>HYPERLINK("https://twitter.com/AlterBaddies","@AlterBaddies")</f>
        <v>@AlterBaddies</v>
      </c>
      <c r="C14621" t="s">
        <v>7529</v>
      </c>
      <c r="D14621">
        <v>0</v>
      </c>
      <c r="E14621">
        <v>0</v>
      </c>
      <c r="F14621">
        <v>1</v>
      </c>
    </row>
    <row r="14622" spans="1:6" ht="12.75">
      <c r="A14622" s="2">
        <v>43878.667453703703</v>
      </c>
      <c r="B14622" t="str">
        <f>HYPERLINK("https://twitter.com/adhianaa","@adhianaa")</f>
        <v>@adhianaa</v>
      </c>
      <c r="C14622" t="s">
        <v>6721</v>
      </c>
      <c r="D14622">
        <v>327</v>
      </c>
      <c r="E14622">
        <v>0</v>
      </c>
      <c r="F14622">
        <v>212</v>
      </c>
    </row>
    <row r="14623" spans="1:6" ht="12.75">
      <c r="A14623" s="2">
        <v>43878.667303240742</v>
      </c>
      <c r="B14623" t="str">
        <f>HYPERLINK("https://twitter.com/mynameismark__","@mynameismark__")</f>
        <v>@mynameismark__</v>
      </c>
      <c r="C14623" t="s">
        <v>3340</v>
      </c>
      <c r="D14623">
        <v>169</v>
      </c>
      <c r="E14623">
        <v>0</v>
      </c>
      <c r="F14623">
        <v>1727</v>
      </c>
    </row>
    <row r="14624" spans="1:6" ht="12.75">
      <c r="A14624" s="2">
        <v>43878.667280092588</v>
      </c>
      <c r="B14624" t="str">
        <f>HYPERLINK("https://twitter.com/AlterBaddies","@AlterBaddies")</f>
        <v>@AlterBaddies</v>
      </c>
      <c r="C14624" t="s">
        <v>7529</v>
      </c>
      <c r="D14624">
        <v>0</v>
      </c>
      <c r="E14624">
        <v>0</v>
      </c>
      <c r="F14624">
        <v>1</v>
      </c>
    </row>
    <row r="14625" spans="1:6" ht="12.75">
      <c r="A14625" s="2">
        <v>43878.667210648149</v>
      </c>
      <c r="B14625" t="str">
        <f>HYPERLINK("https://twitter.com/KresPomeo","@KresPomeo")</f>
        <v>@KresPomeo</v>
      </c>
      <c r="C14625" t="s">
        <v>2674</v>
      </c>
      <c r="D14625">
        <v>78</v>
      </c>
      <c r="E14625">
        <v>0</v>
      </c>
      <c r="F14625">
        <v>190</v>
      </c>
    </row>
    <row r="14626" spans="1:6" ht="12.75">
      <c r="A14626" s="2">
        <v>43878.667129629626</v>
      </c>
      <c r="B14626" t="str">
        <f>HYPERLINK("https://twitter.com/MNCNewsroom","@MNCNewsroom")</f>
        <v>@MNCNewsroom</v>
      </c>
      <c r="C14626" t="s">
        <v>7532</v>
      </c>
      <c r="D14626">
        <v>0</v>
      </c>
      <c r="E14626">
        <v>0</v>
      </c>
      <c r="F14626">
        <v>17547</v>
      </c>
    </row>
    <row r="14627" spans="1:6" ht="12.75">
      <c r="A14627" s="2">
        <v>43878.666851851856</v>
      </c>
      <c r="B14627" t="str">
        <f>HYPERLINK("https://twitter.com/PojokNU","@PojokNU")</f>
        <v>@PojokNU</v>
      </c>
      <c r="C14627" t="s">
        <v>7533</v>
      </c>
      <c r="D14627">
        <v>0</v>
      </c>
      <c r="E14627">
        <v>0</v>
      </c>
      <c r="F14627">
        <v>697</v>
      </c>
    </row>
    <row r="14628" spans="1:6" ht="12.75">
      <c r="A14628" s="2">
        <v>43878.666539351849</v>
      </c>
      <c r="B14628" t="str">
        <f>HYPERLINK("https://twitter.com/DavidKanata","@DavidKanata")</f>
        <v>@DavidKanata</v>
      </c>
      <c r="C14628" t="s">
        <v>7534</v>
      </c>
      <c r="D14628">
        <v>0</v>
      </c>
      <c r="E14628">
        <v>0</v>
      </c>
      <c r="F14628">
        <v>982</v>
      </c>
    </row>
    <row r="14629" spans="1:6" ht="12.75">
      <c r="A14629" s="2">
        <v>43878.666504629626</v>
      </c>
      <c r="B14629" t="str">
        <f>HYPERLINK("https://twitter.com/Novi2204","@Novi2204")</f>
        <v>@Novi2204</v>
      </c>
      <c r="C14629" t="s">
        <v>7535</v>
      </c>
      <c r="D14629">
        <v>1</v>
      </c>
      <c r="E14629">
        <v>0</v>
      </c>
      <c r="F14629">
        <v>294</v>
      </c>
    </row>
    <row r="14630" spans="1:6" ht="12.75">
      <c r="A14630" s="2">
        <v>43878.666400462964</v>
      </c>
      <c r="B14630" t="str">
        <f>HYPERLINK("https://twitter.com/zadiasentani","@zadiasentani")</f>
        <v>@zadiasentani</v>
      </c>
      <c r="C14630" t="s">
        <v>2155</v>
      </c>
      <c r="D14630">
        <v>225</v>
      </c>
      <c r="E14630">
        <v>0</v>
      </c>
      <c r="F14630">
        <v>22</v>
      </c>
    </row>
    <row r="14631" spans="1:6" ht="12.75">
      <c r="A14631" s="2">
        <v>43878.666354166664</v>
      </c>
      <c r="B14631" t="str">
        <f>HYPERLINK("https://twitter.com/mutmarnut","@mutmarnut")</f>
        <v>@mutmarnut</v>
      </c>
      <c r="C14631" t="s">
        <v>4975</v>
      </c>
      <c r="D14631">
        <v>35</v>
      </c>
      <c r="E14631">
        <v>0</v>
      </c>
      <c r="F14631">
        <v>58</v>
      </c>
    </row>
    <row r="14632" spans="1:6" ht="12.75">
      <c r="A14632" s="2">
        <v>43878.666307870371</v>
      </c>
      <c r="B14632" t="str">
        <f>HYPERLINK("https://twitter.com/fokusjabar","@fokusjabar")</f>
        <v>@fokusjabar</v>
      </c>
      <c r="C14632" t="s">
        <v>7536</v>
      </c>
      <c r="D14632">
        <v>0</v>
      </c>
      <c r="E14632">
        <v>0</v>
      </c>
      <c r="F14632">
        <v>8472</v>
      </c>
    </row>
    <row r="14633" spans="1:6" ht="12.75">
      <c r="A14633" s="2">
        <v>43878.666238425925</v>
      </c>
      <c r="B14633" t="str">
        <f>HYPERLINK("https://twitter.com/effendy_seven","@effendy_seven")</f>
        <v>@effendy_seven</v>
      </c>
      <c r="C14633" t="s">
        <v>7537</v>
      </c>
      <c r="D14633">
        <v>1</v>
      </c>
      <c r="E14633">
        <v>0</v>
      </c>
      <c r="F14633">
        <v>3809</v>
      </c>
    </row>
    <row r="14634" spans="1:6" ht="12.75">
      <c r="A14634" s="2">
        <v>43878.666180555556</v>
      </c>
      <c r="B14634" t="str">
        <f>HYPERLINK("https://twitter.com/linnana001","@linnana001")</f>
        <v>@linnana001</v>
      </c>
      <c r="C14634" t="s">
        <v>6161</v>
      </c>
      <c r="D14634">
        <v>244</v>
      </c>
      <c r="E14634">
        <v>0</v>
      </c>
      <c r="F14634">
        <v>260</v>
      </c>
    </row>
    <row r="14635" spans="1:6" ht="12.75">
      <c r="A14635" s="2">
        <v>43878.666076388894</v>
      </c>
      <c r="B14635" t="str">
        <f>HYPERLINK("https://twitter.com/AlterBaddies","@AlterBaddies")</f>
        <v>@AlterBaddies</v>
      </c>
      <c r="C14635" t="s">
        <v>7538</v>
      </c>
      <c r="D14635">
        <v>0</v>
      </c>
      <c r="E14635">
        <v>0</v>
      </c>
      <c r="F14635">
        <v>1</v>
      </c>
    </row>
    <row r="14636" spans="1:6" ht="12.75">
      <c r="A14636" s="2">
        <v>43878.66605324074</v>
      </c>
      <c r="B14636" t="str">
        <f>HYPERLINK("https://twitter.com/voaislam","@voaislam")</f>
        <v>@voaislam</v>
      </c>
      <c r="C14636" t="s">
        <v>6988</v>
      </c>
      <c r="D14636">
        <v>0</v>
      </c>
      <c r="E14636">
        <v>0</v>
      </c>
      <c r="F14636">
        <v>87881</v>
      </c>
    </row>
    <row r="14637" spans="1:6" ht="12.75">
      <c r="A14637" s="2">
        <v>43878.666006944448</v>
      </c>
      <c r="B14637" t="str">
        <f>HYPERLINK("https://twitter.com/dwi_anggia","@dwi_anggia")</f>
        <v>@dwi_anggia</v>
      </c>
      <c r="C14637" t="s">
        <v>7539</v>
      </c>
      <c r="D14637">
        <v>0</v>
      </c>
      <c r="E14637">
        <v>0</v>
      </c>
      <c r="F14637">
        <v>47507</v>
      </c>
    </row>
    <row r="14638" spans="1:6" ht="12.75">
      <c r="A14638" s="2">
        <v>43878.665960648148</v>
      </c>
      <c r="B14638" t="str">
        <f t="shared" ref="B14638:B14640" si="250">HYPERLINK("https://twitter.com/AlterBaddies","@AlterBaddies")</f>
        <v>@AlterBaddies</v>
      </c>
      <c r="C14638" t="s">
        <v>7538</v>
      </c>
      <c r="D14638">
        <v>0</v>
      </c>
      <c r="E14638">
        <v>0</v>
      </c>
      <c r="F14638">
        <v>1</v>
      </c>
    </row>
    <row r="14639" spans="1:6" ht="12.75">
      <c r="A14639" s="2">
        <v>43878.665868055556</v>
      </c>
      <c r="B14639" t="str">
        <f t="shared" si="250"/>
        <v>@AlterBaddies</v>
      </c>
      <c r="C14639" t="s">
        <v>7538</v>
      </c>
      <c r="D14639">
        <v>0</v>
      </c>
      <c r="E14639">
        <v>0</v>
      </c>
      <c r="F14639">
        <v>1</v>
      </c>
    </row>
    <row r="14640" spans="1:6" ht="12.75">
      <c r="A14640" s="2">
        <v>43878.665798611109</v>
      </c>
      <c r="B14640" t="str">
        <f t="shared" si="250"/>
        <v>@AlterBaddies</v>
      </c>
      <c r="C14640" t="s">
        <v>7538</v>
      </c>
      <c r="D14640">
        <v>0</v>
      </c>
      <c r="E14640">
        <v>0</v>
      </c>
      <c r="F14640">
        <v>1</v>
      </c>
    </row>
    <row r="14641" spans="1:6" ht="12.75">
      <c r="A14641" s="2">
        <v>43878.665775462963</v>
      </c>
      <c r="B14641" t="str">
        <f>HYPERLINK("https://twitter.com/eziapia","@eziapia")</f>
        <v>@eziapia</v>
      </c>
      <c r="C14641" t="s">
        <v>6721</v>
      </c>
      <c r="D14641">
        <v>327</v>
      </c>
      <c r="E14641">
        <v>0</v>
      </c>
      <c r="F14641">
        <v>86</v>
      </c>
    </row>
    <row r="14642" spans="1:6" ht="12.75">
      <c r="A14642" s="2">
        <v>43878.665671296301</v>
      </c>
      <c r="B14642" t="str">
        <f>HYPERLINK("https://twitter.com/MMerianita","@MMerianita")</f>
        <v>@MMerianita</v>
      </c>
      <c r="C14642" t="s">
        <v>7540</v>
      </c>
      <c r="D14642">
        <v>0</v>
      </c>
      <c r="E14642">
        <v>0</v>
      </c>
      <c r="F14642">
        <v>73</v>
      </c>
    </row>
    <row r="14643" spans="1:6" ht="12.75">
      <c r="A14643" s="2">
        <v>43878.665347222224</v>
      </c>
      <c r="B14643" t="str">
        <f>HYPERLINK("https://twitter.com/tahamaaruf","@tahamaaruf")</f>
        <v>@tahamaaruf</v>
      </c>
      <c r="C14643" t="s">
        <v>7541</v>
      </c>
      <c r="D14643">
        <v>0</v>
      </c>
      <c r="E14643">
        <v>0</v>
      </c>
      <c r="F14643">
        <v>392</v>
      </c>
    </row>
    <row r="14644" spans="1:6" ht="12.75">
      <c r="A14644" s="2">
        <v>43878.665347222224</v>
      </c>
      <c r="B14644" t="str">
        <f>HYPERLINK("https://twitter.com/2_bolang","@2_bolang")</f>
        <v>@2_bolang</v>
      </c>
      <c r="C14644" t="s">
        <v>2155</v>
      </c>
      <c r="D14644">
        <v>225</v>
      </c>
      <c r="E14644">
        <v>0</v>
      </c>
      <c r="F14644">
        <v>1268</v>
      </c>
    </row>
    <row r="14645" spans="1:6" ht="12.75">
      <c r="A14645" s="2">
        <v>43878.665324074071</v>
      </c>
      <c r="B14645" t="str">
        <f>HYPERLINK("https://twitter.com/ztw868992","@ztw868992")</f>
        <v>@ztw868992</v>
      </c>
      <c r="C14645" t="s">
        <v>7115</v>
      </c>
      <c r="D14645">
        <v>2</v>
      </c>
      <c r="E14645">
        <v>0</v>
      </c>
      <c r="F14645">
        <v>3240</v>
      </c>
    </row>
    <row r="14646" spans="1:6" ht="12.75">
      <c r="A14646" s="2">
        <v>43878.665300925924</v>
      </c>
      <c r="B14646" t="str">
        <f>HYPERLINK("https://twitter.com/Nkrikuindonesi8","@Nkrikuindonesi8")</f>
        <v>@Nkrikuindonesi8</v>
      </c>
      <c r="C14646" t="s">
        <v>3396</v>
      </c>
      <c r="D14646">
        <v>63</v>
      </c>
      <c r="E14646">
        <v>0</v>
      </c>
      <c r="F14646">
        <v>131</v>
      </c>
    </row>
    <row r="14647" spans="1:6" ht="12.75">
      <c r="A14647" s="2">
        <v>43878.665138888886</v>
      </c>
      <c r="B14647" t="str">
        <f>HYPERLINK("https://twitter.com/DimasyFermana","@DimasyFermana")</f>
        <v>@DimasyFermana</v>
      </c>
      <c r="C14647" t="s">
        <v>2155</v>
      </c>
      <c r="D14647">
        <v>225</v>
      </c>
      <c r="E14647">
        <v>0</v>
      </c>
      <c r="F14647">
        <v>1554</v>
      </c>
    </row>
    <row r="14648" spans="1:6" ht="12.75">
      <c r="A14648" s="2">
        <v>43878.66506944444</v>
      </c>
      <c r="B14648" t="str">
        <f>HYPERLINK("https://twitter.com/ZoneVenomWar","@ZoneVenomWar")</f>
        <v>@ZoneVenomWar</v>
      </c>
      <c r="C14648" t="s">
        <v>6161</v>
      </c>
      <c r="D14648">
        <v>244</v>
      </c>
      <c r="E14648">
        <v>0</v>
      </c>
      <c r="F14648">
        <v>1618</v>
      </c>
    </row>
    <row r="14649" spans="1:6" ht="12.75">
      <c r="A14649" s="2">
        <v>43878.66505787037</v>
      </c>
      <c r="B14649" t="str">
        <f>HYPERLINK("https://twitter.com/bunajisung","@bunajisung")</f>
        <v>@bunajisung</v>
      </c>
      <c r="C14649" t="s">
        <v>3340</v>
      </c>
      <c r="D14649">
        <v>169</v>
      </c>
      <c r="E14649">
        <v>0</v>
      </c>
      <c r="F14649">
        <v>462</v>
      </c>
    </row>
    <row r="14650" spans="1:6" ht="12.75">
      <c r="A14650" s="2">
        <v>43878.664965277778</v>
      </c>
      <c r="B14650" t="str">
        <f>HYPERLINK("https://twitter.com/allohomoraa","@allohomoraa")</f>
        <v>@allohomoraa</v>
      </c>
      <c r="C14650" t="s">
        <v>3340</v>
      </c>
      <c r="D14650">
        <v>169</v>
      </c>
      <c r="E14650">
        <v>0</v>
      </c>
      <c r="F14650">
        <v>1097</v>
      </c>
    </row>
    <row r="14651" spans="1:6" ht="12.75">
      <c r="A14651" s="2">
        <v>43878.664166666669</v>
      </c>
      <c r="B14651" t="str">
        <f>HYPERLINK("https://twitter.com/kantayu","@kantayu")</f>
        <v>@kantayu</v>
      </c>
      <c r="C14651" t="s">
        <v>7542</v>
      </c>
      <c r="D14651">
        <v>1</v>
      </c>
      <c r="E14651">
        <v>0</v>
      </c>
      <c r="F14651">
        <v>5297</v>
      </c>
    </row>
    <row r="14652" spans="1:6" ht="12.75">
      <c r="A14652" s="2">
        <v>43878.664143518516</v>
      </c>
      <c r="B14652" t="str">
        <f>HYPERLINK("https://twitter.com/Nastarsyawalan","@Nastarsyawalan")</f>
        <v>@Nastarsyawalan</v>
      </c>
      <c r="C14652" t="s">
        <v>7543</v>
      </c>
      <c r="D14652">
        <v>0</v>
      </c>
      <c r="E14652">
        <v>0</v>
      </c>
      <c r="F14652">
        <v>742</v>
      </c>
    </row>
    <row r="14653" spans="1:6" ht="12.75">
      <c r="A14653" s="2">
        <v>43878.66375</v>
      </c>
      <c r="B14653" t="str">
        <f>HYPERLINK("https://twitter.com/SINDOnews","@SINDOnews")</f>
        <v>@SINDOnews</v>
      </c>
      <c r="C14653" t="s">
        <v>7544</v>
      </c>
      <c r="D14653">
        <v>1</v>
      </c>
      <c r="E14653">
        <v>0</v>
      </c>
      <c r="F14653">
        <v>270576</v>
      </c>
    </row>
    <row r="14654" spans="1:6" ht="12.75">
      <c r="A14654" s="2">
        <v>43878.663726851853</v>
      </c>
      <c r="B14654" t="str">
        <f>HYPERLINK("https://twitter.com/EnjoyJateng","@EnjoyJateng")</f>
        <v>@EnjoyJateng</v>
      </c>
      <c r="C14654" t="s">
        <v>7545</v>
      </c>
      <c r="D14654">
        <v>0</v>
      </c>
      <c r="E14654">
        <v>2</v>
      </c>
      <c r="F14654">
        <v>50694</v>
      </c>
    </row>
    <row r="14655" spans="1:6" ht="12.75">
      <c r="A14655" s="2">
        <v>43878.663472222222</v>
      </c>
      <c r="B14655" t="str">
        <f>HYPERLINK("https://twitter.com/fasyam7","@fasyam7")</f>
        <v>@fasyam7</v>
      </c>
      <c r="C14655" t="s">
        <v>4975</v>
      </c>
      <c r="D14655">
        <v>35</v>
      </c>
      <c r="E14655">
        <v>0</v>
      </c>
      <c r="F14655">
        <v>751</v>
      </c>
    </row>
    <row r="14656" spans="1:6" ht="12.75">
      <c r="A14656" s="2">
        <v>43878.663449074069</v>
      </c>
      <c r="B14656" t="str">
        <f>HYPERLINK("https://twitter.com/Galihzainur1","@Galihzainur1")</f>
        <v>@Galihzainur1</v>
      </c>
      <c r="C14656" t="s">
        <v>7530</v>
      </c>
      <c r="D14656">
        <v>6</v>
      </c>
      <c r="E14656">
        <v>0</v>
      </c>
      <c r="F14656">
        <v>2373</v>
      </c>
    </row>
    <row r="14657" spans="1:6" ht="12.75">
      <c r="A14657" s="2">
        <v>43878.662766203706</v>
      </c>
      <c r="B14657" t="str">
        <f>HYPERLINK("https://twitter.com/Santoso26166908","@Santoso26166908")</f>
        <v>@Santoso26166908</v>
      </c>
      <c r="C14657" t="s">
        <v>7530</v>
      </c>
      <c r="D14657">
        <v>6</v>
      </c>
      <c r="E14657">
        <v>0</v>
      </c>
      <c r="F14657">
        <v>455</v>
      </c>
    </row>
    <row r="14658" spans="1:6" ht="12.75">
      <c r="A14658" s="2">
        <v>43878.662627314814</v>
      </c>
      <c r="B14658" t="str">
        <f>HYPERLINK("https://twitter.com/beritaKBR","@beritaKBR")</f>
        <v>@beritaKBR</v>
      </c>
      <c r="C14658" t="s">
        <v>7546</v>
      </c>
      <c r="D14658">
        <v>0</v>
      </c>
      <c r="E14658">
        <v>0</v>
      </c>
      <c r="F14658">
        <v>137225</v>
      </c>
    </row>
    <row r="14659" spans="1:6" ht="12.75">
      <c r="A14659" s="2">
        <v>43878.662557870368</v>
      </c>
      <c r="B14659" t="str">
        <f>HYPERLINK("https://twitter.com/viiolates","@viiolates")</f>
        <v>@viiolates</v>
      </c>
      <c r="C14659" t="s">
        <v>3340</v>
      </c>
      <c r="D14659">
        <v>169</v>
      </c>
      <c r="E14659">
        <v>0</v>
      </c>
      <c r="F14659">
        <v>3083</v>
      </c>
    </row>
    <row r="14660" spans="1:6" ht="12.75">
      <c r="A14660" s="2">
        <v>43878.662465277783</v>
      </c>
      <c r="B14660" t="str">
        <f>HYPERLINK("https://twitter.com/Dedi_enjoy31","@Dedi_enjoy31")</f>
        <v>@Dedi_enjoy31</v>
      </c>
      <c r="C14660" t="s">
        <v>5406</v>
      </c>
      <c r="D14660">
        <v>2</v>
      </c>
      <c r="E14660">
        <v>0</v>
      </c>
      <c r="F14660">
        <v>12</v>
      </c>
    </row>
    <row r="14661" spans="1:6" ht="12.75">
      <c r="A14661" s="2">
        <v>43878.662268518514</v>
      </c>
      <c r="B14661" t="str">
        <f>HYPERLINK("https://twitter.com/Ichang76","@Ichang76")</f>
        <v>@Ichang76</v>
      </c>
      <c r="C14661" t="s">
        <v>7547</v>
      </c>
      <c r="D14661">
        <v>0</v>
      </c>
      <c r="E14661">
        <v>0</v>
      </c>
      <c r="F14661">
        <v>1015</v>
      </c>
    </row>
    <row r="14662" spans="1:6" ht="12.75">
      <c r="A14662" s="2">
        <v>43878.662199074075</v>
      </c>
      <c r="B14662" t="str">
        <f>HYPERLINK("https://twitter.com/bayu_sindun","@bayu_sindun")</f>
        <v>@bayu_sindun</v>
      </c>
      <c r="C14662" t="s">
        <v>2131</v>
      </c>
      <c r="D14662">
        <v>0</v>
      </c>
      <c r="E14662">
        <v>0</v>
      </c>
      <c r="F14662">
        <v>245</v>
      </c>
    </row>
    <row r="14663" spans="1:6" ht="12.75">
      <c r="A14663" s="2">
        <v>43878.662106481483</v>
      </c>
      <c r="B14663" t="str">
        <f>HYPERLINK("https://twitter.com/PDIPmagetan","@PDIPmagetan")</f>
        <v>@PDIPmagetan</v>
      </c>
      <c r="C14663" t="s">
        <v>7548</v>
      </c>
      <c r="D14663">
        <v>0</v>
      </c>
      <c r="E14663">
        <v>0</v>
      </c>
      <c r="F14663">
        <v>710</v>
      </c>
    </row>
    <row r="14664" spans="1:6" ht="12.75">
      <c r="A14664" s="2">
        <v>43878.66206018519</v>
      </c>
      <c r="B14664" t="str">
        <f>HYPERLINK("https://twitter.com/lilik_henry","@lilik_henry")</f>
        <v>@lilik_henry</v>
      </c>
      <c r="C14664" t="s">
        <v>5406</v>
      </c>
      <c r="D14664">
        <v>2</v>
      </c>
      <c r="E14664">
        <v>0</v>
      </c>
      <c r="F14664">
        <v>765</v>
      </c>
    </row>
    <row r="14665" spans="1:6" ht="12.75">
      <c r="A14665" s="2">
        <v>43878.662025462967</v>
      </c>
      <c r="B14665" t="str">
        <f>HYPERLINK("https://twitter.com/VTerhangat","@VTerhangat")</f>
        <v>@VTerhangat</v>
      </c>
      <c r="C14665" t="s">
        <v>7127</v>
      </c>
      <c r="D14665">
        <v>0</v>
      </c>
      <c r="E14665">
        <v>1</v>
      </c>
      <c r="F14665">
        <v>10</v>
      </c>
    </row>
    <row r="14666" spans="1:6" ht="12.75">
      <c r="A14666" s="2">
        <v>43878.661909722221</v>
      </c>
      <c r="B14666" t="str">
        <f>HYPERLINK("https://twitter.com/AlterBaddies","@AlterBaddies")</f>
        <v>@AlterBaddies</v>
      </c>
      <c r="C14666" t="s">
        <v>7549</v>
      </c>
      <c r="D14666">
        <v>0</v>
      </c>
      <c r="E14666">
        <v>0</v>
      </c>
      <c r="F14666">
        <v>1</v>
      </c>
    </row>
    <row r="14667" spans="1:6" ht="12.75">
      <c r="A14667" s="2">
        <v>43878.661736111113</v>
      </c>
      <c r="B14667" t="str">
        <f>HYPERLINK("https://twitter.com/VTerhangat","@VTerhangat")</f>
        <v>@VTerhangat</v>
      </c>
      <c r="C14667" t="s">
        <v>7126</v>
      </c>
      <c r="D14667">
        <v>0</v>
      </c>
      <c r="E14667">
        <v>0</v>
      </c>
      <c r="F14667">
        <v>10</v>
      </c>
    </row>
    <row r="14668" spans="1:6" ht="12.75">
      <c r="A14668" s="2">
        <v>43878.66138888889</v>
      </c>
      <c r="B14668" t="str">
        <f>HYPERLINK("https://twitter.com/AlterBaddies","@AlterBaddies")</f>
        <v>@AlterBaddies</v>
      </c>
      <c r="C14668" t="s">
        <v>7550</v>
      </c>
      <c r="D14668">
        <v>0</v>
      </c>
      <c r="E14668">
        <v>0</v>
      </c>
      <c r="F14668">
        <v>1</v>
      </c>
    </row>
    <row r="14669" spans="1:6" ht="12.75">
      <c r="A14669" s="2">
        <v>43878.661215277782</v>
      </c>
      <c r="B14669" t="str">
        <f>HYPERLINK("https://twitter.com/humasjateng","@humasjateng")</f>
        <v>@humasjateng</v>
      </c>
      <c r="C14669" t="s">
        <v>7551</v>
      </c>
      <c r="D14669">
        <v>2</v>
      </c>
      <c r="E14669">
        <v>7</v>
      </c>
      <c r="F14669">
        <v>53378</v>
      </c>
    </row>
    <row r="14670" spans="1:6" ht="12.75">
      <c r="A14670" s="2">
        <v>43878.661041666666</v>
      </c>
      <c r="B14670" t="str">
        <f>HYPERLINK("https://twitter.com/whatdakook","@whatdakook")</f>
        <v>@whatdakook</v>
      </c>
      <c r="C14670" t="s">
        <v>3340</v>
      </c>
      <c r="D14670">
        <v>169</v>
      </c>
      <c r="E14670">
        <v>0</v>
      </c>
      <c r="F14670">
        <v>171</v>
      </c>
    </row>
    <row r="14671" spans="1:6" ht="12.75">
      <c r="A14671" s="2">
        <v>43878.660474537042</v>
      </c>
      <c r="B14671" t="str">
        <f>HYPERLINK("https://twitter.com/adowableme","@adowableme")</f>
        <v>@adowableme</v>
      </c>
      <c r="C14671" t="s">
        <v>3340</v>
      </c>
      <c r="D14671">
        <v>169</v>
      </c>
      <c r="E14671">
        <v>0</v>
      </c>
      <c r="F14671">
        <v>130</v>
      </c>
    </row>
    <row r="14672" spans="1:6" ht="12.75">
      <c r="A14672" s="2">
        <v>43878.660462962958</v>
      </c>
      <c r="B14672" t="str">
        <f>HYPERLINK("https://twitter.com/baenyajinyoungg","@baenyajinyoungg")</f>
        <v>@baenyajinyoungg</v>
      </c>
      <c r="C14672" t="s">
        <v>3340</v>
      </c>
      <c r="D14672">
        <v>169</v>
      </c>
      <c r="E14672">
        <v>0</v>
      </c>
      <c r="F14672">
        <v>1569</v>
      </c>
    </row>
    <row r="14673" spans="1:6" ht="12.75">
      <c r="A14673" s="2">
        <v>43878.660358796296</v>
      </c>
      <c r="B14673" t="str">
        <f>HYPERLINK("https://twitter.com/Santoso26166908","@Santoso26166908")</f>
        <v>@Santoso26166908</v>
      </c>
      <c r="C14673" t="s">
        <v>7129</v>
      </c>
      <c r="D14673">
        <v>15</v>
      </c>
      <c r="E14673">
        <v>0</v>
      </c>
      <c r="F14673">
        <v>455</v>
      </c>
    </row>
    <row r="14674" spans="1:6" ht="12.75">
      <c r="A14674" s="2">
        <v>43878.660300925927</v>
      </c>
      <c r="B14674" t="str">
        <f>HYPERLINK("https://twitter.com/VTerhangat","@VTerhangat")</f>
        <v>@VTerhangat</v>
      </c>
      <c r="C14674" t="s">
        <v>7552</v>
      </c>
      <c r="D14674">
        <v>0</v>
      </c>
      <c r="E14674">
        <v>0</v>
      </c>
      <c r="F14674">
        <v>10</v>
      </c>
    </row>
    <row r="14675" spans="1:6" ht="12.75">
      <c r="A14675" s="2">
        <v>43878.659814814819</v>
      </c>
      <c r="B14675" t="str">
        <f t="shared" ref="B14675:B14677" si="251">HYPERLINK("https://twitter.com/AlterBaddies","@AlterBaddies")</f>
        <v>@AlterBaddies</v>
      </c>
      <c r="C14675" t="s">
        <v>7553</v>
      </c>
      <c r="D14675">
        <v>0</v>
      </c>
      <c r="E14675">
        <v>0</v>
      </c>
      <c r="F14675">
        <v>1</v>
      </c>
    </row>
    <row r="14676" spans="1:6" ht="12.75">
      <c r="A14676" s="2">
        <v>43878.659745370373</v>
      </c>
      <c r="B14676" t="str">
        <f t="shared" si="251"/>
        <v>@AlterBaddies</v>
      </c>
      <c r="C14676" t="s">
        <v>7553</v>
      </c>
      <c r="D14676">
        <v>0</v>
      </c>
      <c r="E14676">
        <v>0</v>
      </c>
      <c r="F14676">
        <v>1</v>
      </c>
    </row>
    <row r="14677" spans="1:6" ht="12.75">
      <c r="A14677" s="2">
        <v>43878.659675925926</v>
      </c>
      <c r="B14677" t="str">
        <f t="shared" si="251"/>
        <v>@AlterBaddies</v>
      </c>
      <c r="C14677" t="s">
        <v>7553</v>
      </c>
      <c r="D14677">
        <v>0</v>
      </c>
      <c r="E14677">
        <v>0</v>
      </c>
      <c r="F14677">
        <v>1</v>
      </c>
    </row>
    <row r="14678" spans="1:6" ht="12.75">
      <c r="A14678" s="2">
        <v>43878.659618055557</v>
      </c>
      <c r="B14678" t="str">
        <f>HYPERLINK("https://twitter.com/KompasTV","@KompasTV")</f>
        <v>@KompasTV</v>
      </c>
      <c r="C14678" t="s">
        <v>7554</v>
      </c>
      <c r="D14678">
        <v>1</v>
      </c>
      <c r="E14678">
        <v>1</v>
      </c>
      <c r="F14678">
        <v>2942878</v>
      </c>
    </row>
    <row r="14679" spans="1:6" ht="12.75">
      <c r="A14679" s="2">
        <v>43878.659490740742</v>
      </c>
      <c r="B14679" t="str">
        <f>HYPERLINK("https://twitter.com/wisanggeni_084","@wisanggeni_084")</f>
        <v>@wisanggeni_084</v>
      </c>
      <c r="C14679" t="s">
        <v>7555</v>
      </c>
      <c r="D14679">
        <v>1</v>
      </c>
      <c r="E14679">
        <v>0</v>
      </c>
      <c r="F14679">
        <v>16045</v>
      </c>
    </row>
    <row r="14680" spans="1:6" ht="12.75">
      <c r="A14680" s="2">
        <v>43878.659386574072</v>
      </c>
      <c r="B14680" t="str">
        <f>HYPERLINK("https://twitter.com/handoyono_","@handoyono_")</f>
        <v>@handoyono_</v>
      </c>
      <c r="C14680" t="s">
        <v>7556</v>
      </c>
      <c r="D14680">
        <v>0</v>
      </c>
      <c r="E14680">
        <v>0</v>
      </c>
      <c r="F14680">
        <v>191</v>
      </c>
    </row>
    <row r="14681" spans="1:6" ht="12.75">
      <c r="A14681" s="2">
        <v>43878.65934027778</v>
      </c>
      <c r="B14681" t="str">
        <f>HYPERLINK("https://twitter.com/Galihzainur1","@Galihzainur1")</f>
        <v>@Galihzainur1</v>
      </c>
      <c r="C14681" t="s">
        <v>7557</v>
      </c>
      <c r="D14681">
        <v>2</v>
      </c>
      <c r="E14681">
        <v>2</v>
      </c>
      <c r="F14681">
        <v>2373</v>
      </c>
    </row>
    <row r="14682" spans="1:6" ht="12.75">
      <c r="A14682" s="2">
        <v>43878.659305555557</v>
      </c>
      <c r="B14682" t="str">
        <f>HYPERLINK("https://twitter.com/AlterBaddies","@AlterBaddies")</f>
        <v>@AlterBaddies</v>
      </c>
      <c r="C14682" t="s">
        <v>7558</v>
      </c>
      <c r="D14682">
        <v>0</v>
      </c>
      <c r="E14682">
        <v>0</v>
      </c>
      <c r="F14682">
        <v>1</v>
      </c>
    </row>
    <row r="14683" spans="1:6" ht="12.75">
      <c r="A14683" s="2">
        <v>43878.658993055556</v>
      </c>
      <c r="B14683" t="str">
        <f>HYPERLINK("https://twitter.com/Cahkuwut","@Cahkuwut")</f>
        <v>@Cahkuwut</v>
      </c>
      <c r="C14683" t="s">
        <v>6161</v>
      </c>
      <c r="D14683">
        <v>244</v>
      </c>
      <c r="E14683">
        <v>0</v>
      </c>
      <c r="F14683">
        <v>666</v>
      </c>
    </row>
    <row r="14684" spans="1:6" ht="12.75">
      <c r="A14684" s="2">
        <v>43878.658946759257</v>
      </c>
      <c r="B14684" t="str">
        <f>HYPERLINK("https://twitter.com/AlterBaddies","@AlterBaddies")</f>
        <v>@AlterBaddies</v>
      </c>
      <c r="C14684" t="s">
        <v>7559</v>
      </c>
      <c r="D14684">
        <v>0</v>
      </c>
      <c r="E14684">
        <v>0</v>
      </c>
      <c r="F14684">
        <v>1</v>
      </c>
    </row>
    <row r="14685" spans="1:6" ht="12.75">
      <c r="A14685" s="2">
        <v>43878.658657407403</v>
      </c>
      <c r="B14685" t="str">
        <f>HYPERLINK("https://twitter.com/volco_pro","@volco_pro")</f>
        <v>@volco_pro</v>
      </c>
      <c r="C14685" t="s">
        <v>6721</v>
      </c>
      <c r="D14685">
        <v>327</v>
      </c>
      <c r="E14685">
        <v>0</v>
      </c>
      <c r="F14685">
        <v>48</v>
      </c>
    </row>
    <row r="14686" spans="1:6" ht="12.75">
      <c r="A14686" s="2">
        <v>43878.658530092594</v>
      </c>
      <c r="B14686" t="str">
        <f>HYPERLINK("https://twitter.com/kensetiawan79","@kensetiawan79")</f>
        <v>@kensetiawan79</v>
      </c>
      <c r="C14686" t="s">
        <v>7560</v>
      </c>
      <c r="D14686">
        <v>0</v>
      </c>
      <c r="E14686">
        <v>0</v>
      </c>
      <c r="F14686">
        <v>4725</v>
      </c>
    </row>
    <row r="14687" spans="1:6" ht="12.75">
      <c r="A14687" s="2">
        <v>43878.65824074074</v>
      </c>
      <c r="B14687" t="str">
        <f>HYPERLINK("https://twitter.com/kevnchandra","@kevnchandra")</f>
        <v>@kevnchandra</v>
      </c>
      <c r="C14687" t="s">
        <v>6721</v>
      </c>
      <c r="D14687">
        <v>327</v>
      </c>
      <c r="E14687">
        <v>0</v>
      </c>
      <c r="F14687">
        <v>134</v>
      </c>
    </row>
    <row r="14688" spans="1:6" ht="12.75">
      <c r="A14688" s="2">
        <v>43878.658206018517</v>
      </c>
      <c r="B14688" t="str">
        <f>HYPERLINK("https://twitter.com/chipismine","@chipismine")</f>
        <v>@chipismine</v>
      </c>
      <c r="C14688" t="s">
        <v>3340</v>
      </c>
      <c r="D14688">
        <v>169</v>
      </c>
      <c r="E14688">
        <v>0</v>
      </c>
      <c r="F14688">
        <v>216</v>
      </c>
    </row>
    <row r="14689" spans="1:6" ht="12.75">
      <c r="A14689" s="2">
        <v>43878.657395833332</v>
      </c>
      <c r="B14689" t="str">
        <f>HYPERLINK("https://twitter.com/AlterBaddies","@AlterBaddies")</f>
        <v>@AlterBaddies</v>
      </c>
      <c r="C14689" t="s">
        <v>7558</v>
      </c>
      <c r="D14689">
        <v>0</v>
      </c>
      <c r="E14689">
        <v>0</v>
      </c>
      <c r="F14689">
        <v>1</v>
      </c>
    </row>
    <row r="14690" spans="1:6" ht="12.75">
      <c r="A14690" s="2">
        <v>43878.657361111109</v>
      </c>
      <c r="B14690" t="str">
        <f>HYPERLINK("https://twitter.com/valentina_rama","@valentina_rama")</f>
        <v>@valentina_rama</v>
      </c>
      <c r="C14690" t="s">
        <v>2155</v>
      </c>
      <c r="D14690">
        <v>225</v>
      </c>
      <c r="E14690">
        <v>0</v>
      </c>
      <c r="F14690">
        <v>875</v>
      </c>
    </row>
    <row r="14691" spans="1:6" ht="12.75">
      <c r="A14691" s="2">
        <v>43878.657314814816</v>
      </c>
      <c r="B14691" t="str">
        <f>HYPERLINK("https://twitter.com/MZianu","@MZianu")</f>
        <v>@MZianu</v>
      </c>
      <c r="C14691" t="s">
        <v>2155</v>
      </c>
      <c r="D14691">
        <v>225</v>
      </c>
      <c r="E14691">
        <v>0</v>
      </c>
      <c r="F14691">
        <v>452</v>
      </c>
    </row>
    <row r="14692" spans="1:6" ht="12.75">
      <c r="A14692" s="2">
        <v>43878.657164351855</v>
      </c>
      <c r="B14692" t="str">
        <f>HYPERLINK("https://twitter.com/anisajayanti_","@anisajayanti_")</f>
        <v>@anisajayanti_</v>
      </c>
      <c r="C14692" t="s">
        <v>6770</v>
      </c>
      <c r="D14692">
        <v>2</v>
      </c>
      <c r="E14692">
        <v>0</v>
      </c>
      <c r="F14692">
        <v>284</v>
      </c>
    </row>
    <row r="14693" spans="1:6" ht="12.75">
      <c r="A14693" s="2">
        <v>43878.657094907408</v>
      </c>
      <c r="B14693" t="str">
        <f t="shared" ref="B14693:B14694" si="252">HYPERLINK("https://twitter.com/AlterBaddies","@AlterBaddies")</f>
        <v>@AlterBaddies</v>
      </c>
      <c r="C14693" t="s">
        <v>7561</v>
      </c>
      <c r="D14693">
        <v>0</v>
      </c>
      <c r="E14693">
        <v>0</v>
      </c>
      <c r="F14693">
        <v>1</v>
      </c>
    </row>
    <row r="14694" spans="1:6" ht="12.75">
      <c r="A14694" s="2">
        <v>43878.656724537039</v>
      </c>
      <c r="B14694" t="str">
        <f t="shared" si="252"/>
        <v>@AlterBaddies</v>
      </c>
      <c r="C14694" t="s">
        <v>7562</v>
      </c>
      <c r="D14694">
        <v>0</v>
      </c>
      <c r="E14694">
        <v>0</v>
      </c>
      <c r="F14694">
        <v>1</v>
      </c>
    </row>
    <row r="14695" spans="1:6" ht="12.75">
      <c r="A14695" s="2">
        <v>43878.656643518523</v>
      </c>
      <c r="B14695" t="str">
        <f>HYPERLINK("https://twitter.com/Jaysyku","@Jaysyku")</f>
        <v>@Jaysyku</v>
      </c>
      <c r="C14695" t="s">
        <v>2155</v>
      </c>
      <c r="D14695">
        <v>225</v>
      </c>
      <c r="E14695">
        <v>0</v>
      </c>
      <c r="F14695">
        <v>214</v>
      </c>
    </row>
    <row r="14696" spans="1:6" ht="12.75">
      <c r="A14696" s="2">
        <v>43878.65623842593</v>
      </c>
      <c r="B14696" t="str">
        <f>HYPERLINK("https://twitter.com/voaislam","@voaislam")</f>
        <v>@voaislam</v>
      </c>
      <c r="C14696" t="s">
        <v>6992</v>
      </c>
      <c r="D14696">
        <v>1</v>
      </c>
      <c r="E14696">
        <v>0</v>
      </c>
      <c r="F14696">
        <v>87881</v>
      </c>
    </row>
    <row r="14697" spans="1:6" ht="12.75">
      <c r="A14697" s="2">
        <v>43878.65587962963</v>
      </c>
      <c r="B14697" t="str">
        <f>HYPERLINK("https://twitter.com/jojoeles77","@jojoeles77")</f>
        <v>@jojoeles77</v>
      </c>
      <c r="C14697" t="s">
        <v>7563</v>
      </c>
      <c r="D14697">
        <v>1</v>
      </c>
      <c r="E14697">
        <v>2</v>
      </c>
      <c r="F14697">
        <v>1638</v>
      </c>
    </row>
    <row r="14698" spans="1:6" ht="12.75">
      <c r="A14698" s="2">
        <v>43878.655798611115</v>
      </c>
      <c r="B14698" t="str">
        <f>HYPERLINK("https://twitter.com/justhinknow","@justhinknow")</f>
        <v>@justhinknow</v>
      </c>
      <c r="C14698" t="s">
        <v>3340</v>
      </c>
      <c r="D14698">
        <v>169</v>
      </c>
      <c r="E14698">
        <v>0</v>
      </c>
      <c r="F14698">
        <v>309</v>
      </c>
    </row>
    <row r="14699" spans="1:6" ht="12.75">
      <c r="A14699" s="2">
        <v>43878.655393518522</v>
      </c>
      <c r="B14699" t="str">
        <f t="shared" ref="B14699:B14700" si="253">HYPERLINK("https://twitter.com/AlterBaddies","@AlterBaddies")</f>
        <v>@AlterBaddies</v>
      </c>
      <c r="C14699" t="s">
        <v>7564</v>
      </c>
      <c r="D14699">
        <v>0</v>
      </c>
      <c r="E14699">
        <v>0</v>
      </c>
      <c r="F14699">
        <v>1</v>
      </c>
    </row>
    <row r="14700" spans="1:6" ht="12.75">
      <c r="A14700" s="2">
        <v>43878.655358796299</v>
      </c>
      <c r="B14700" t="str">
        <f t="shared" si="253"/>
        <v>@AlterBaddies</v>
      </c>
      <c r="C14700" t="s">
        <v>7565</v>
      </c>
      <c r="D14700">
        <v>0</v>
      </c>
      <c r="E14700">
        <v>0</v>
      </c>
      <c r="F14700">
        <v>1</v>
      </c>
    </row>
    <row r="14701" spans="1:6" ht="12.75">
      <c r="A14701" s="2">
        <v>43878.655277777776</v>
      </c>
      <c r="B14701" t="str">
        <f>HYPERLINK("https://twitter.com/TimDavid4u","@TimDavid4u")</f>
        <v>@TimDavid4u</v>
      </c>
      <c r="C14701" t="s">
        <v>6161</v>
      </c>
      <c r="D14701">
        <v>244</v>
      </c>
      <c r="E14701">
        <v>0</v>
      </c>
      <c r="F14701">
        <v>1257</v>
      </c>
    </row>
    <row r="14702" spans="1:6" ht="12.75">
      <c r="A14702" s="2">
        <v>43878.655138888891</v>
      </c>
      <c r="B14702" t="str">
        <f>HYPERLINK("https://twitter.com/wadrowsky","@wadrowsky")</f>
        <v>@wadrowsky</v>
      </c>
      <c r="C14702" t="s">
        <v>2444</v>
      </c>
      <c r="D14702">
        <v>4574</v>
      </c>
      <c r="E14702">
        <v>0</v>
      </c>
      <c r="F14702">
        <v>77</v>
      </c>
    </row>
    <row r="14703" spans="1:6" ht="12.75">
      <c r="A14703" s="2">
        <v>43878.655081018514</v>
      </c>
      <c r="B14703" t="str">
        <f>HYPERLINK("https://twitter.com/AlterBaddies","@AlterBaddies")</f>
        <v>@AlterBaddies</v>
      </c>
      <c r="C14703" t="s">
        <v>7565</v>
      </c>
      <c r="D14703">
        <v>0</v>
      </c>
      <c r="E14703">
        <v>0</v>
      </c>
      <c r="F14703">
        <v>1</v>
      </c>
    </row>
    <row r="14704" spans="1:6" ht="12.75">
      <c r="A14704" s="2">
        <v>43878.654976851853</v>
      </c>
      <c r="B14704" t="str">
        <f>HYPERLINK("https://twitter.com/bettavic","@bettavic")</f>
        <v>@bettavic</v>
      </c>
      <c r="C14704" t="s">
        <v>7566</v>
      </c>
      <c r="D14704">
        <v>0</v>
      </c>
      <c r="E14704">
        <v>1</v>
      </c>
      <c r="F14704">
        <v>149</v>
      </c>
    </row>
    <row r="14705" spans="1:6" ht="12.75">
      <c r="A14705" s="2">
        <v>43878.65488425926</v>
      </c>
      <c r="B14705" t="str">
        <f>HYPERLINK("https://twitter.com/machbeach","@machbeach")</f>
        <v>@machbeach</v>
      </c>
      <c r="C14705" t="s">
        <v>7567</v>
      </c>
      <c r="D14705">
        <v>0</v>
      </c>
      <c r="E14705">
        <v>0</v>
      </c>
      <c r="F14705">
        <v>928</v>
      </c>
    </row>
    <row r="14706" spans="1:6" ht="12.75">
      <c r="A14706" s="2">
        <v>43878.654768518521</v>
      </c>
      <c r="B14706" t="str">
        <f>HYPERLINK("https://twitter.com/AlterBaddies","@AlterBaddies")</f>
        <v>@AlterBaddies</v>
      </c>
      <c r="C14706" t="s">
        <v>7568</v>
      </c>
      <c r="D14706">
        <v>0</v>
      </c>
      <c r="E14706">
        <v>0</v>
      </c>
      <c r="F14706">
        <v>1</v>
      </c>
    </row>
    <row r="14707" spans="1:6" ht="12.75">
      <c r="A14707" s="2">
        <v>43878.654629629629</v>
      </c>
      <c r="B14707" t="str">
        <f>HYPERLINK("https://twitter.com/budiartosjp","@budiartosjp")</f>
        <v>@budiartosjp</v>
      </c>
      <c r="C14707" t="s">
        <v>7569</v>
      </c>
      <c r="D14707">
        <v>0</v>
      </c>
      <c r="E14707">
        <v>0</v>
      </c>
      <c r="F14707">
        <v>15</v>
      </c>
    </row>
    <row r="14708" spans="1:6" ht="12.75">
      <c r="A14708" s="2">
        <v>43878.65452546296</v>
      </c>
      <c r="B14708" t="str">
        <f>HYPERLINK("https://twitter.com/AlterBaddies","@AlterBaddies")</f>
        <v>@AlterBaddies</v>
      </c>
      <c r="C14708" t="s">
        <v>7570</v>
      </c>
      <c r="D14708">
        <v>0</v>
      </c>
      <c r="E14708">
        <v>0</v>
      </c>
      <c r="F14708">
        <v>1</v>
      </c>
    </row>
    <row r="14709" spans="1:6" ht="12.75">
      <c r="A14709" s="2">
        <v>43878.626504629632</v>
      </c>
      <c r="B14709" t="str">
        <f>HYPERLINK("https://twitter.com/jogjacoret","@jogjacoret")</f>
        <v>@jogjacoret</v>
      </c>
      <c r="C14709" t="s">
        <v>7571</v>
      </c>
      <c r="D14709">
        <v>0</v>
      </c>
      <c r="E14709">
        <v>0</v>
      </c>
      <c r="F14709">
        <v>1292</v>
      </c>
    </row>
    <row r="14710" spans="1:6" ht="12.75">
      <c r="A14710" s="2">
        <v>43878.626307870371</v>
      </c>
      <c r="B14710" t="str">
        <f>HYPERLINK("https://twitter.com/SabangMerauke08","@SabangMerauke08")</f>
        <v>@SabangMerauke08</v>
      </c>
      <c r="C14710" t="s">
        <v>7572</v>
      </c>
      <c r="D14710">
        <v>1</v>
      </c>
      <c r="E14710">
        <v>0</v>
      </c>
      <c r="F14710">
        <v>1753</v>
      </c>
    </row>
    <row r="14711" spans="1:6" ht="12.75">
      <c r="A14711" s="2">
        <v>43878.626192129625</v>
      </c>
      <c r="B14711" t="str">
        <f>HYPERLINK("https://twitter.com/Sigromilir01","@Sigromilir01")</f>
        <v>@Sigromilir01</v>
      </c>
      <c r="C14711" t="s">
        <v>7573</v>
      </c>
      <c r="D14711">
        <v>0</v>
      </c>
      <c r="E14711">
        <v>0</v>
      </c>
      <c r="F14711">
        <v>33</v>
      </c>
    </row>
    <row r="14712" spans="1:6" ht="12.75">
      <c r="A14712" s="2">
        <v>43878.626030092593</v>
      </c>
      <c r="B14712" t="str">
        <f>HYPERLINK("https://twitter.com/iswari_thunder","@iswari_thunder")</f>
        <v>@iswari_thunder</v>
      </c>
      <c r="C14712" t="s">
        <v>2155</v>
      </c>
      <c r="D14712">
        <v>184</v>
      </c>
      <c r="E14712">
        <v>0</v>
      </c>
      <c r="F14712">
        <v>166</v>
      </c>
    </row>
    <row r="14713" spans="1:6" ht="12.75">
      <c r="A14713" s="2">
        <v>43878.625775462962</v>
      </c>
      <c r="B14713" t="str">
        <f>HYPERLINK("https://twitter.com/ISIS_Balik_NO","@ISIS_Balik_NO")</f>
        <v>@ISIS_Balik_NO</v>
      </c>
      <c r="C14713" t="s">
        <v>7574</v>
      </c>
      <c r="D14713">
        <v>91</v>
      </c>
      <c r="E14713">
        <v>0</v>
      </c>
      <c r="F14713">
        <v>5973</v>
      </c>
    </row>
    <row r="14714" spans="1:6" ht="12.75">
      <c r="A14714" s="2">
        <v>43878.625763888893</v>
      </c>
      <c r="B14714" t="str">
        <f>HYPERLINK("https://twitter.com/narkosun","@narkosun")</f>
        <v>@narkosun</v>
      </c>
      <c r="C14714" t="s">
        <v>2155</v>
      </c>
      <c r="D14714">
        <v>184</v>
      </c>
      <c r="E14714">
        <v>0</v>
      </c>
      <c r="F14714">
        <v>30484</v>
      </c>
    </row>
    <row r="14715" spans="1:6" ht="12.75">
      <c r="A14715" s="2">
        <v>43878.625694444447</v>
      </c>
      <c r="B14715" t="str">
        <f>HYPERLINK("https://twitter.com/MataMataPolitik","@MataMataPolitik")</f>
        <v>@MataMataPolitik</v>
      </c>
      <c r="C14715" t="s">
        <v>7575</v>
      </c>
      <c r="D14715">
        <v>0</v>
      </c>
      <c r="E14715">
        <v>0</v>
      </c>
      <c r="F14715">
        <v>3798</v>
      </c>
    </row>
    <row r="14716" spans="1:6" ht="12.75">
      <c r="A14716" s="2">
        <v>43878.625532407408</v>
      </c>
      <c r="B14716" t="str">
        <f>HYPERLINK("https://twitter.com/Jackelkotjo","@Jackelkotjo")</f>
        <v>@Jackelkotjo</v>
      </c>
      <c r="C14716" t="s">
        <v>7298</v>
      </c>
      <c r="D14716">
        <v>105</v>
      </c>
      <c r="E14716">
        <v>0</v>
      </c>
      <c r="F14716">
        <v>609</v>
      </c>
    </row>
    <row r="14717" spans="1:6" ht="12.75">
      <c r="A14717" s="2">
        <v>43878.624930555554</v>
      </c>
      <c r="B14717" t="str">
        <f>HYPERLINK("https://twitter.com/Tiosfer_TOP","@Tiosfer_TOP")</f>
        <v>@Tiosfer_TOP</v>
      </c>
      <c r="C14717" t="s">
        <v>7576</v>
      </c>
      <c r="D14717">
        <v>0</v>
      </c>
      <c r="E14717">
        <v>0</v>
      </c>
      <c r="F14717">
        <v>3813</v>
      </c>
    </row>
    <row r="14718" spans="1:6" ht="12.75">
      <c r="A14718" s="2">
        <v>43878.624861111108</v>
      </c>
      <c r="B14718" t="str">
        <f>HYPERLINK("https://twitter.com/ekawhynurfjryh","@ekawhynurfjryh")</f>
        <v>@ekawhynurfjryh</v>
      </c>
      <c r="C14718" t="s">
        <v>175</v>
      </c>
      <c r="D14718">
        <v>5385</v>
      </c>
      <c r="E14718">
        <v>0</v>
      </c>
      <c r="F14718">
        <v>25</v>
      </c>
    </row>
    <row r="14719" spans="1:6" ht="12.75">
      <c r="A14719" s="2">
        <v>43878.624826388885</v>
      </c>
      <c r="B14719" t="str">
        <f>HYPERLINK("https://twitter.com/pOKTAhontaz","@pOKTAhontaz")</f>
        <v>@pOKTAhontaz</v>
      </c>
      <c r="C14719" t="s">
        <v>2155</v>
      </c>
      <c r="D14719">
        <v>184</v>
      </c>
      <c r="E14719">
        <v>0</v>
      </c>
      <c r="F14719">
        <v>90</v>
      </c>
    </row>
    <row r="14720" spans="1:6" ht="12.75">
      <c r="A14720" s="2">
        <v>43878.624467592592</v>
      </c>
      <c r="B14720" t="str">
        <f>HYPERLINK("https://twitter.com/GUSBENSOK","@GUSBENSOK")</f>
        <v>@GUSBENSOK</v>
      </c>
      <c r="C14720" t="s">
        <v>4975</v>
      </c>
      <c r="D14720">
        <v>18</v>
      </c>
      <c r="E14720">
        <v>0</v>
      </c>
      <c r="F14720">
        <v>2039</v>
      </c>
    </row>
    <row r="14721" spans="1:6" ht="12.75">
      <c r="A14721" s="2">
        <v>43878.624421296292</v>
      </c>
      <c r="B14721" t="str">
        <f>HYPERLINK("https://twitter.com/MariaAn95216999","@MariaAn95216999")</f>
        <v>@MariaAn95216999</v>
      </c>
      <c r="C14721" t="s">
        <v>2963</v>
      </c>
      <c r="D14721">
        <v>1311</v>
      </c>
      <c r="E14721">
        <v>0</v>
      </c>
      <c r="F14721">
        <v>7</v>
      </c>
    </row>
    <row r="14722" spans="1:6" ht="12.75">
      <c r="A14722" s="2">
        <v>43878.624143518522</v>
      </c>
      <c r="B14722" t="str">
        <f>HYPERLINK("https://twitter.com/suradiparlan5","@suradiparlan5")</f>
        <v>@suradiparlan5</v>
      </c>
      <c r="C14722" t="s">
        <v>2155</v>
      </c>
      <c r="D14722">
        <v>184</v>
      </c>
      <c r="E14722">
        <v>0</v>
      </c>
      <c r="F14722">
        <v>1340</v>
      </c>
    </row>
    <row r="14723" spans="1:6" ht="12.75">
      <c r="A14723" s="2">
        <v>43878.624097222222</v>
      </c>
      <c r="B14723" t="str">
        <f>HYPERLINK("https://twitter.com/Stavern_Faisal","@Stavern_Faisal")</f>
        <v>@Stavern_Faisal</v>
      </c>
      <c r="C14723" t="s">
        <v>4975</v>
      </c>
      <c r="D14723">
        <v>18</v>
      </c>
      <c r="E14723">
        <v>0</v>
      </c>
      <c r="F14723">
        <v>196</v>
      </c>
    </row>
    <row r="14724" spans="1:6" ht="12.75">
      <c r="A14724" s="2">
        <v>43878.623958333337</v>
      </c>
      <c r="B14724" t="str">
        <f>HYPERLINK("https://twitter.com/edi_muchlis","@edi_muchlis")</f>
        <v>@edi_muchlis</v>
      </c>
      <c r="C14724" t="s">
        <v>4975</v>
      </c>
      <c r="D14724">
        <v>18</v>
      </c>
      <c r="E14724">
        <v>0</v>
      </c>
      <c r="F14724">
        <v>755</v>
      </c>
    </row>
    <row r="14725" spans="1:6" ht="12.75">
      <c r="A14725" s="2">
        <v>43878.623773148152</v>
      </c>
      <c r="B14725" t="str">
        <f>HYPERLINK("https://twitter.com/asnug_id","@asnug_id")</f>
        <v>@asnug_id</v>
      </c>
      <c r="C14725" t="s">
        <v>2155</v>
      </c>
      <c r="D14725">
        <v>184</v>
      </c>
      <c r="E14725">
        <v>0</v>
      </c>
      <c r="F14725">
        <v>3282</v>
      </c>
    </row>
    <row r="14726" spans="1:6" ht="12.75">
      <c r="A14726" s="2">
        <v>43878.623749999999</v>
      </c>
      <c r="B14726" t="str">
        <f>HYPERLINK("https://twitter.com/imkhori","@imkhori")</f>
        <v>@imkhori</v>
      </c>
      <c r="C14726" t="s">
        <v>4975</v>
      </c>
      <c r="D14726">
        <v>18</v>
      </c>
      <c r="E14726">
        <v>0</v>
      </c>
      <c r="F14726">
        <v>67</v>
      </c>
    </row>
    <row r="14727" spans="1:6" ht="12.75">
      <c r="A14727" s="2">
        <v>43878.623460648145</v>
      </c>
      <c r="B14727" t="str">
        <f>HYPERLINK("https://twitter.com/tjenteng1","@tjenteng1")</f>
        <v>@tjenteng1</v>
      </c>
      <c r="C14727" t="s">
        <v>4975</v>
      </c>
      <c r="D14727">
        <v>18</v>
      </c>
      <c r="E14727">
        <v>0</v>
      </c>
      <c r="F14727">
        <v>1</v>
      </c>
    </row>
    <row r="14728" spans="1:6" ht="12.75">
      <c r="A14728" s="2">
        <v>43878.62336805556</v>
      </c>
      <c r="B14728" t="str">
        <f>HYPERLINK("https://twitter.com/KienAnd_","@KienAnd_")</f>
        <v>@KienAnd_</v>
      </c>
      <c r="C14728" t="s">
        <v>7577</v>
      </c>
      <c r="D14728">
        <v>0</v>
      </c>
      <c r="E14728">
        <v>0</v>
      </c>
      <c r="F14728">
        <v>11455</v>
      </c>
    </row>
    <row r="14729" spans="1:6" ht="12.75">
      <c r="A14729" s="2">
        <v>43878.623310185183</v>
      </c>
      <c r="B14729" t="str">
        <f>HYPERLINK("https://twitter.com/wow_keren","@wow_keren")</f>
        <v>@wow_keren</v>
      </c>
      <c r="C14729" t="s">
        <v>7578</v>
      </c>
      <c r="D14729">
        <v>0</v>
      </c>
      <c r="E14729">
        <v>0</v>
      </c>
      <c r="F14729">
        <v>32006</v>
      </c>
    </row>
    <row r="14730" spans="1:6" ht="12.75">
      <c r="A14730" s="2">
        <v>43878.623240740737</v>
      </c>
      <c r="B14730" t="str">
        <f>HYPERLINK("https://twitter.com/CikalJsp","@CikalJsp")</f>
        <v>@CikalJsp</v>
      </c>
      <c r="C14730" t="s">
        <v>4975</v>
      </c>
      <c r="D14730">
        <v>18</v>
      </c>
      <c r="E14730">
        <v>0</v>
      </c>
      <c r="F14730">
        <v>148</v>
      </c>
    </row>
    <row r="14731" spans="1:6" ht="12.75">
      <c r="A14731" s="2">
        <v>43878.623148148152</v>
      </c>
      <c r="B14731" t="str">
        <f>HYPERLINK("https://twitter.com/Gazali05387868","@Gazali05387868")</f>
        <v>@Gazali05387868</v>
      </c>
      <c r="C14731" t="s">
        <v>4975</v>
      </c>
      <c r="D14731">
        <v>18</v>
      </c>
      <c r="E14731">
        <v>0</v>
      </c>
      <c r="F14731">
        <v>11</v>
      </c>
    </row>
    <row r="14732" spans="1:6" ht="12.75">
      <c r="A14732" s="2">
        <v>43878.622476851851</v>
      </c>
      <c r="B14732" t="str">
        <f>HYPERLINK("https://twitter.com/Anyer_Fury","@Anyer_Fury")</f>
        <v>@Anyer_Fury</v>
      </c>
      <c r="C14732" t="s">
        <v>7113</v>
      </c>
      <c r="D14732">
        <v>29</v>
      </c>
      <c r="E14732">
        <v>0</v>
      </c>
      <c r="F14732">
        <v>1251</v>
      </c>
    </row>
    <row r="14733" spans="1:6" ht="12.75">
      <c r="A14733" s="2">
        <v>43878.622245370367</v>
      </c>
      <c r="B14733" t="str">
        <f>HYPERLINK("https://twitter.com/Silverblue1975","@Silverblue1975")</f>
        <v>@Silverblue1975</v>
      </c>
      <c r="C14733" t="s">
        <v>2674</v>
      </c>
      <c r="D14733">
        <v>76</v>
      </c>
      <c r="E14733">
        <v>0</v>
      </c>
      <c r="F14733">
        <v>101</v>
      </c>
    </row>
    <row r="14734" spans="1:6" ht="12.75">
      <c r="A14734" s="2">
        <v>43878.62200231482</v>
      </c>
      <c r="B14734" t="str">
        <f>HYPERLINK("https://twitter.com/Hana16J","@Hana16J")</f>
        <v>@Hana16J</v>
      </c>
      <c r="C14734" t="s">
        <v>3340</v>
      </c>
      <c r="D14734">
        <v>148</v>
      </c>
      <c r="E14734">
        <v>0</v>
      </c>
      <c r="F14734">
        <v>225</v>
      </c>
    </row>
    <row r="14735" spans="1:6" ht="12.75">
      <c r="A14735" s="2">
        <v>43878.621840277774</v>
      </c>
      <c r="B14735" t="str">
        <f>HYPERLINK("https://twitter.com/JamesKatuuk","@JamesKatuuk")</f>
        <v>@JamesKatuuk</v>
      </c>
      <c r="C14735" t="s">
        <v>7579</v>
      </c>
      <c r="D14735">
        <v>2</v>
      </c>
      <c r="E14735">
        <v>0</v>
      </c>
      <c r="F14735">
        <v>5284</v>
      </c>
    </row>
    <row r="14736" spans="1:6" ht="12.75">
      <c r="A14736" s="2">
        <v>43878.621817129635</v>
      </c>
      <c r="B14736" t="str">
        <f>HYPERLINK("https://twitter.com/DatuakAtuk","@DatuakAtuk")</f>
        <v>@DatuakAtuk</v>
      </c>
      <c r="C14736" t="s">
        <v>2155</v>
      </c>
      <c r="D14736">
        <v>184</v>
      </c>
      <c r="E14736">
        <v>0</v>
      </c>
      <c r="F14736">
        <v>659</v>
      </c>
    </row>
    <row r="14737" spans="1:6" ht="12.75">
      <c r="A14737" s="2">
        <v>43878.621736111112</v>
      </c>
      <c r="B14737" t="str">
        <f>HYPERLINK("https://twitter.com/abrvv0nsugar","@abrvv0nsugar")</f>
        <v>@abrvv0nsugar</v>
      </c>
      <c r="C14737" t="s">
        <v>3340</v>
      </c>
      <c r="D14737">
        <v>148</v>
      </c>
      <c r="E14737">
        <v>0</v>
      </c>
      <c r="F14737">
        <v>1395</v>
      </c>
    </row>
    <row r="14738" spans="1:6" ht="12.75">
      <c r="A14738" s="2">
        <v>43878.621712962966</v>
      </c>
      <c r="B14738" t="str">
        <f t="shared" ref="B14738:B14739" si="254">HYPERLINK("https://twitter.com/JamesKatuuk","@JamesKatuuk")</f>
        <v>@JamesKatuuk</v>
      </c>
      <c r="C14738" t="s">
        <v>7580</v>
      </c>
      <c r="D14738">
        <v>3</v>
      </c>
      <c r="E14738">
        <v>0</v>
      </c>
      <c r="F14738">
        <v>5284</v>
      </c>
    </row>
    <row r="14739" spans="1:6" ht="12.75">
      <c r="A14739" s="2">
        <v>43878.621562500004</v>
      </c>
      <c r="B14739" t="str">
        <f t="shared" si="254"/>
        <v>@JamesKatuuk</v>
      </c>
      <c r="C14739" t="s">
        <v>7581</v>
      </c>
      <c r="D14739">
        <v>7</v>
      </c>
      <c r="E14739">
        <v>0</v>
      </c>
      <c r="F14739">
        <v>5284</v>
      </c>
    </row>
    <row r="14740" spans="1:6" ht="12.75">
      <c r="A14740" s="2">
        <v>43878.621469907404</v>
      </c>
      <c r="B14740" t="str">
        <f>HYPERLINK("https://twitter.com/lanazebeth","@lanazebeth")</f>
        <v>@lanazebeth</v>
      </c>
      <c r="C14740" t="s">
        <v>3340</v>
      </c>
      <c r="D14740">
        <v>148</v>
      </c>
      <c r="E14740">
        <v>0</v>
      </c>
      <c r="F14740">
        <v>623</v>
      </c>
    </row>
    <row r="14741" spans="1:6" ht="12.75">
      <c r="A14741" s="2">
        <v>43878.621412037042</v>
      </c>
      <c r="B14741" t="str">
        <f>HYPERLINK("https://twitter.com/crazyzack13","@crazyzack13")</f>
        <v>@crazyzack13</v>
      </c>
      <c r="C14741" t="s">
        <v>7582</v>
      </c>
      <c r="D14741">
        <v>7</v>
      </c>
      <c r="E14741">
        <v>0</v>
      </c>
      <c r="F14741">
        <v>172</v>
      </c>
    </row>
    <row r="14742" spans="1:6" ht="12.75">
      <c r="A14742" s="2">
        <v>43878.621377314819</v>
      </c>
      <c r="B14742" t="str">
        <f>HYPERLINK("https://twitter.com/idntimes","@idntimes")</f>
        <v>@idntimes</v>
      </c>
      <c r="C14742" t="s">
        <v>7583</v>
      </c>
      <c r="D14742">
        <v>0</v>
      </c>
      <c r="E14742">
        <v>0</v>
      </c>
      <c r="F14742">
        <v>392883</v>
      </c>
    </row>
    <row r="14743" spans="1:6" ht="12.75">
      <c r="A14743" s="2">
        <v>43878.621134259258</v>
      </c>
      <c r="B14743" t="str">
        <f>HYPERLINK("https://twitter.com/SevenSeas87","@SevenSeas87")</f>
        <v>@SevenSeas87</v>
      </c>
      <c r="C14743" t="s">
        <v>4975</v>
      </c>
      <c r="D14743">
        <v>18</v>
      </c>
      <c r="E14743">
        <v>0</v>
      </c>
      <c r="F14743">
        <v>1337</v>
      </c>
    </row>
    <row r="14744" spans="1:6" ht="12.75">
      <c r="A14744" s="2">
        <v>43878.620821759258</v>
      </c>
      <c r="B14744" t="str">
        <f>HYPERLINK("https://twitter.com/budigaban","@budigaban")</f>
        <v>@budigaban</v>
      </c>
      <c r="C14744" t="s">
        <v>7584</v>
      </c>
      <c r="D14744">
        <v>0</v>
      </c>
      <c r="E14744">
        <v>0</v>
      </c>
      <c r="F14744">
        <v>950</v>
      </c>
    </row>
    <row r="14745" spans="1:6" ht="12.75">
      <c r="A14745" s="2">
        <v>43878.620775462958</v>
      </c>
      <c r="B14745" t="str">
        <f>HYPERLINK("https://twitter.com/bambang_hesti","@bambang_hesti")</f>
        <v>@bambang_hesti</v>
      </c>
      <c r="C14745" t="s">
        <v>7585</v>
      </c>
      <c r="D14745">
        <v>0</v>
      </c>
      <c r="E14745">
        <v>0</v>
      </c>
      <c r="F14745">
        <v>15</v>
      </c>
    </row>
    <row r="14746" spans="1:6" ht="12.75">
      <c r="A14746" s="2">
        <v>43878.620775462958</v>
      </c>
      <c r="B14746" t="str">
        <f>HYPERLINK("https://twitter.com/ino_mufc","@ino_mufc")</f>
        <v>@ino_mufc</v>
      </c>
      <c r="C14746" t="s">
        <v>4975</v>
      </c>
      <c r="D14746">
        <v>18</v>
      </c>
      <c r="E14746">
        <v>0</v>
      </c>
      <c r="F14746">
        <v>391</v>
      </c>
    </row>
    <row r="14747" spans="1:6" ht="12.75">
      <c r="A14747" s="2">
        <v>43878.620601851857</v>
      </c>
      <c r="B14747" t="str">
        <f>HYPERLINK("https://twitter.com/chayoes","@chayoes")</f>
        <v>@chayoes</v>
      </c>
      <c r="C14747" t="s">
        <v>4975</v>
      </c>
      <c r="D14747">
        <v>18</v>
      </c>
      <c r="E14747">
        <v>0</v>
      </c>
      <c r="F14747">
        <v>98</v>
      </c>
    </row>
    <row r="14748" spans="1:6" ht="12.75">
      <c r="A14748" s="2">
        <v>43878.620520833334</v>
      </c>
      <c r="B14748" t="str">
        <f>HYPERLINK("https://twitter.com/ustadtengkuzul","@ustadtengkuzul")</f>
        <v>@ustadtengkuzul</v>
      </c>
      <c r="C14748" t="s">
        <v>7586</v>
      </c>
      <c r="D14748">
        <v>0</v>
      </c>
      <c r="E14748">
        <v>0</v>
      </c>
      <c r="F14748">
        <v>329489</v>
      </c>
    </row>
    <row r="14749" spans="1:6" ht="12.75">
      <c r="A14749" s="2">
        <v>43878.620219907403</v>
      </c>
      <c r="B14749" t="str">
        <f>HYPERLINK("https://twitter.com/Delmasyavir","@Delmasyavir")</f>
        <v>@Delmasyavir</v>
      </c>
      <c r="C14749" t="s">
        <v>7587</v>
      </c>
      <c r="D14749">
        <v>0</v>
      </c>
      <c r="E14749">
        <v>0</v>
      </c>
      <c r="F14749">
        <v>1021</v>
      </c>
    </row>
    <row r="14750" spans="1:6" ht="12.75">
      <c r="A14750" s="2">
        <v>43878.620081018518</v>
      </c>
      <c r="B14750" t="str">
        <f>HYPERLINK("https://twitter.com/SandraM11311031","@SandraM11311031")</f>
        <v>@SandraM11311031</v>
      </c>
      <c r="C14750" t="s">
        <v>2155</v>
      </c>
      <c r="D14750">
        <v>184</v>
      </c>
      <c r="E14750">
        <v>0</v>
      </c>
      <c r="F14750">
        <v>436</v>
      </c>
    </row>
    <row r="14751" spans="1:6" ht="12.75">
      <c r="A14751" s="2">
        <v>43878.620069444441</v>
      </c>
      <c r="B14751" t="str">
        <f>HYPERLINK("https://twitter.com/Aresnota_","@Aresnota_")</f>
        <v>@Aresnota_</v>
      </c>
      <c r="C14751" t="s">
        <v>7588</v>
      </c>
      <c r="D14751">
        <v>0</v>
      </c>
      <c r="E14751">
        <v>0</v>
      </c>
      <c r="F14751">
        <v>775</v>
      </c>
    </row>
    <row r="14752" spans="1:6" ht="12.75">
      <c r="A14752" s="2">
        <v>43878.619988425926</v>
      </c>
      <c r="B14752" t="str">
        <f>HYPERLINK("https://twitter.com/mudha_satriya","@mudha_satriya")</f>
        <v>@mudha_satriya</v>
      </c>
      <c r="C14752" t="s">
        <v>7589</v>
      </c>
      <c r="D14752">
        <v>4</v>
      </c>
      <c r="E14752">
        <v>0</v>
      </c>
      <c r="F14752">
        <v>1875</v>
      </c>
    </row>
    <row r="14753" spans="1:6" ht="12.75">
      <c r="A14753" s="2">
        <v>43878.61996527778</v>
      </c>
      <c r="B14753" t="str">
        <f>HYPERLINK("https://twitter.com/eko_suhartanto","@eko_suhartanto")</f>
        <v>@eko_suhartanto</v>
      </c>
      <c r="C14753" t="s">
        <v>6161</v>
      </c>
      <c r="D14753">
        <v>229</v>
      </c>
      <c r="E14753">
        <v>0</v>
      </c>
      <c r="F14753">
        <v>344</v>
      </c>
    </row>
    <row r="14754" spans="1:6" ht="12.75">
      <c r="A14754" s="2">
        <v>43878.619722222225</v>
      </c>
      <c r="B14754" t="str">
        <f>HYPERLINK("https://twitter.com/didithardworker","@didithardworker")</f>
        <v>@didithardworker</v>
      </c>
      <c r="C14754" t="s">
        <v>7590</v>
      </c>
      <c r="D14754">
        <v>0</v>
      </c>
      <c r="E14754">
        <v>0</v>
      </c>
      <c r="F14754">
        <v>144</v>
      </c>
    </row>
    <row r="14755" spans="1:6" ht="12.75">
      <c r="A14755" s="2">
        <v>43878.619699074072</v>
      </c>
      <c r="B14755" t="str">
        <f>HYPERLINK("https://twitter.com/herubadala","@herubadala")</f>
        <v>@herubadala</v>
      </c>
      <c r="C14755" t="s">
        <v>6161</v>
      </c>
      <c r="D14755">
        <v>229</v>
      </c>
      <c r="E14755">
        <v>0</v>
      </c>
      <c r="F14755">
        <v>476</v>
      </c>
    </row>
    <row r="14756" spans="1:6" ht="12.75">
      <c r="A14756" s="2">
        <v>43878.619629629626</v>
      </c>
      <c r="B14756" t="str">
        <f>HYPERLINK("https://twitter.com/gegegeofany","@gegegeofany")</f>
        <v>@gegegeofany</v>
      </c>
      <c r="C14756" t="s">
        <v>3589</v>
      </c>
      <c r="D14756">
        <v>0</v>
      </c>
      <c r="E14756">
        <v>0</v>
      </c>
      <c r="F14756">
        <v>130</v>
      </c>
    </row>
    <row r="14757" spans="1:6" ht="12.75">
      <c r="A14757" s="2">
        <v>43878.619351851856</v>
      </c>
      <c r="B14757" t="str">
        <f>HYPERLINK("https://twitter.com/yaaaaasin","@yaaaaasin")</f>
        <v>@yaaaaasin</v>
      </c>
      <c r="C14757" t="s">
        <v>2155</v>
      </c>
      <c r="D14757">
        <v>184</v>
      </c>
      <c r="E14757">
        <v>0</v>
      </c>
      <c r="F14757">
        <v>41</v>
      </c>
    </row>
    <row r="14758" spans="1:6" ht="12.75">
      <c r="A14758" s="2">
        <v>43878.619166666671</v>
      </c>
      <c r="B14758" t="str">
        <f>HYPERLINK("https://twitter.com/RizalGilbran","@RizalGilbran")</f>
        <v>@RizalGilbran</v>
      </c>
      <c r="C14758" t="s">
        <v>4975</v>
      </c>
      <c r="D14758">
        <v>18</v>
      </c>
      <c r="E14758">
        <v>0</v>
      </c>
      <c r="F14758">
        <v>72</v>
      </c>
    </row>
    <row r="14759" spans="1:6" ht="12.75">
      <c r="A14759" s="2">
        <v>43878.618958333333</v>
      </c>
      <c r="B14759" t="str">
        <f>HYPERLINK("https://twitter.com/lecyious","@lecyious")</f>
        <v>@lecyious</v>
      </c>
      <c r="C14759" t="s">
        <v>7591</v>
      </c>
      <c r="D14759">
        <v>0</v>
      </c>
      <c r="E14759">
        <v>0</v>
      </c>
      <c r="F14759">
        <v>1349</v>
      </c>
    </row>
    <row r="14760" spans="1:6" ht="12.75">
      <c r="A14760" s="2">
        <v>43878.618715277778</v>
      </c>
      <c r="B14760" t="str">
        <f>HYPERLINK("https://twitter.com/pak_ber","@pak_ber")</f>
        <v>@pak_ber</v>
      </c>
      <c r="C14760" t="s">
        <v>2155</v>
      </c>
      <c r="D14760">
        <v>184</v>
      </c>
      <c r="E14760">
        <v>0</v>
      </c>
      <c r="F14760">
        <v>1</v>
      </c>
    </row>
    <row r="14761" spans="1:6" ht="12.75">
      <c r="A14761" s="2">
        <v>43878.618425925924</v>
      </c>
      <c r="B14761" t="str">
        <f>HYPERLINK("https://twitter.com/Paman_Gembul1","@Paman_Gembul1")</f>
        <v>@Paman_Gembul1</v>
      </c>
      <c r="C14761" t="s">
        <v>2155</v>
      </c>
      <c r="D14761">
        <v>184</v>
      </c>
      <c r="E14761">
        <v>0</v>
      </c>
      <c r="F14761">
        <v>1166</v>
      </c>
    </row>
    <row r="14762" spans="1:6" ht="12.75">
      <c r="A14762" s="2">
        <v>43878.617881944447</v>
      </c>
      <c r="B14762" t="str">
        <f>HYPERLINK("https://twitter.com/Al_Firman_Kun","@Al_Firman_Kun")</f>
        <v>@Al_Firman_Kun</v>
      </c>
      <c r="C14762" t="s">
        <v>4975</v>
      </c>
      <c r="D14762">
        <v>18</v>
      </c>
      <c r="E14762">
        <v>0</v>
      </c>
      <c r="F14762">
        <v>595</v>
      </c>
    </row>
    <row r="14763" spans="1:6" ht="12.75">
      <c r="A14763" s="2">
        <v>43878.617627314816</v>
      </c>
      <c r="B14763" t="str">
        <f>HYPERLINK("https://twitter.com/Galeh_Yuniar","@Galeh_Yuniar")</f>
        <v>@Galeh_Yuniar</v>
      </c>
      <c r="C14763" t="s">
        <v>4975</v>
      </c>
      <c r="D14763">
        <v>18</v>
      </c>
      <c r="E14763">
        <v>0</v>
      </c>
      <c r="F14763">
        <v>266</v>
      </c>
    </row>
    <row r="14764" spans="1:6" ht="12.75">
      <c r="A14764" s="2">
        <v>43878.617442129631</v>
      </c>
      <c r="B14764" t="str">
        <f>HYPERLINK("https://twitter.com/Galih_Akek","@Galih_Akek")</f>
        <v>@Galih_Akek</v>
      </c>
      <c r="C14764" t="s">
        <v>2155</v>
      </c>
      <c r="D14764">
        <v>184</v>
      </c>
      <c r="E14764">
        <v>0</v>
      </c>
      <c r="F14764">
        <v>5244</v>
      </c>
    </row>
    <row r="14765" spans="1:6" ht="12.75">
      <c r="A14765" s="2">
        <v>43878.617164351846</v>
      </c>
      <c r="B14765" t="str">
        <f>HYPERLINK("https://twitter.com/gorgogo07","@gorgogo07")</f>
        <v>@gorgogo07</v>
      </c>
      <c r="C14765" t="s">
        <v>7592</v>
      </c>
      <c r="D14765">
        <v>0</v>
      </c>
      <c r="E14765">
        <v>0</v>
      </c>
      <c r="F14765">
        <v>2</v>
      </c>
    </row>
    <row r="14766" spans="1:6" ht="12.75">
      <c r="A14766" s="2">
        <v>43878.617083333331</v>
      </c>
      <c r="B14766" t="str">
        <f>HYPERLINK("https://twitter.com/Muhmed17419307","@Muhmed17419307")</f>
        <v>@Muhmed17419307</v>
      </c>
      <c r="C14766" t="s">
        <v>4975</v>
      </c>
      <c r="D14766">
        <v>18</v>
      </c>
      <c r="E14766">
        <v>0</v>
      </c>
      <c r="F14766">
        <v>195</v>
      </c>
    </row>
    <row r="14767" spans="1:6" ht="12.75">
      <c r="A14767" s="2">
        <v>43878.616979166662</v>
      </c>
      <c r="B14767" t="str">
        <f>HYPERLINK("https://twitter.com/beritaKBR","@beritaKBR")</f>
        <v>@beritaKBR</v>
      </c>
      <c r="C14767" t="s">
        <v>7593</v>
      </c>
      <c r="D14767">
        <v>0</v>
      </c>
      <c r="E14767">
        <v>0</v>
      </c>
      <c r="F14767">
        <v>137225</v>
      </c>
    </row>
    <row r="14768" spans="1:6" ht="12.75">
      <c r="A14768" s="2">
        <v>43878.616840277777</v>
      </c>
      <c r="B14768" t="str">
        <f>HYPERLINK("https://twitter.com/WanitaAsliJawa","@WanitaAsliJawa")</f>
        <v>@WanitaAsliJawa</v>
      </c>
      <c r="C14768" t="s">
        <v>4975</v>
      </c>
      <c r="D14768">
        <v>18</v>
      </c>
      <c r="E14768">
        <v>0</v>
      </c>
      <c r="F14768">
        <v>1335</v>
      </c>
    </row>
    <row r="14769" spans="1:6" ht="12.75">
      <c r="A14769" s="2">
        <v>43878.616747685184</v>
      </c>
      <c r="B14769" t="str">
        <f>HYPERLINK("https://twitter.com/DavidRuslie8","@DavidRuslie8")</f>
        <v>@DavidRuslie8</v>
      </c>
      <c r="C14769" t="s">
        <v>2155</v>
      </c>
      <c r="D14769">
        <v>184</v>
      </c>
      <c r="E14769">
        <v>0</v>
      </c>
      <c r="F14769">
        <v>920</v>
      </c>
    </row>
    <row r="14770" spans="1:6" ht="12.75">
      <c r="A14770" s="2">
        <v>43878.616481481484</v>
      </c>
      <c r="B14770" t="str">
        <f>HYPERLINK("https://twitter.com/junregar30","@junregar30")</f>
        <v>@junregar30</v>
      </c>
      <c r="C14770" t="s">
        <v>7594</v>
      </c>
      <c r="D14770">
        <v>0</v>
      </c>
      <c r="E14770">
        <v>0</v>
      </c>
      <c r="F14770">
        <v>187</v>
      </c>
    </row>
    <row r="14771" spans="1:6" ht="12.75">
      <c r="A14771" s="2">
        <v>43878.616226851853</v>
      </c>
      <c r="B14771" t="str">
        <f>HYPERLINK("https://twitter.com/beatrice_health","@beatrice_health")</f>
        <v>@beatrice_health</v>
      </c>
      <c r="C14771" t="s">
        <v>7595</v>
      </c>
      <c r="D14771">
        <v>10</v>
      </c>
      <c r="E14771">
        <v>0</v>
      </c>
      <c r="F14771">
        <v>158</v>
      </c>
    </row>
    <row r="14772" spans="1:6" ht="12.75">
      <c r="A14772" s="2">
        <v>43878.61618055556</v>
      </c>
      <c r="B14772" t="str">
        <f>HYPERLINK("https://twitter.com/Indonesia1_co","@Indonesia1_co")</f>
        <v>@Indonesia1_co</v>
      </c>
      <c r="C14772" t="s">
        <v>7596</v>
      </c>
      <c r="D14772">
        <v>0</v>
      </c>
      <c r="E14772">
        <v>0</v>
      </c>
      <c r="F14772">
        <v>5597</v>
      </c>
    </row>
    <row r="14773" spans="1:6" ht="12.75">
      <c r="A14773" s="2">
        <v>43878.616168981476</v>
      </c>
      <c r="B14773" t="str">
        <f>HYPERLINK("https://twitter.com/wiratmadinata98","@wiratmadinata98")</f>
        <v>@wiratmadinata98</v>
      </c>
      <c r="C14773" t="s">
        <v>7595</v>
      </c>
      <c r="D14773">
        <v>10</v>
      </c>
      <c r="E14773">
        <v>0</v>
      </c>
      <c r="F14773">
        <v>2799</v>
      </c>
    </row>
    <row r="14774" spans="1:6" ht="12.75">
      <c r="A14774" s="2">
        <v>43878.616145833337</v>
      </c>
      <c r="B14774" t="str">
        <f>HYPERLINK("https://twitter.com/budigaban","@budigaban")</f>
        <v>@budigaban</v>
      </c>
      <c r="C14774" t="s">
        <v>7597</v>
      </c>
      <c r="D14774">
        <v>0</v>
      </c>
      <c r="E14774">
        <v>0</v>
      </c>
      <c r="F14774">
        <v>950</v>
      </c>
    </row>
    <row r="14775" spans="1:6" ht="12.75">
      <c r="A14775" s="2">
        <v>43878.616018518514</v>
      </c>
      <c r="B14775" t="str">
        <f>HYPERLINK("https://twitter.com/hemaviton99","@hemaviton99")</f>
        <v>@hemaviton99</v>
      </c>
      <c r="C14775" t="s">
        <v>7598</v>
      </c>
      <c r="D14775">
        <v>0</v>
      </c>
      <c r="E14775">
        <v>0</v>
      </c>
      <c r="F14775">
        <v>3916</v>
      </c>
    </row>
    <row r="14776" spans="1:6" ht="12.75">
      <c r="A14776" s="2">
        <v>43878.616006944445</v>
      </c>
      <c r="B14776" t="str">
        <f>HYPERLINK("https://twitter.com/ircham_syah","@ircham_syah")</f>
        <v>@ircham_syah</v>
      </c>
      <c r="C14776" t="s">
        <v>7599</v>
      </c>
      <c r="D14776">
        <v>1</v>
      </c>
      <c r="E14776">
        <v>0</v>
      </c>
      <c r="F14776">
        <v>467</v>
      </c>
    </row>
    <row r="14777" spans="1:6" ht="12.75">
      <c r="A14777" s="2">
        <v>43878.615914351853</v>
      </c>
      <c r="B14777" t="str">
        <f t="shared" ref="B14777:B14778" si="255">HYPERLINK("https://twitter.com/ratu_adil","@ratu_adil")</f>
        <v>@ratu_adil</v>
      </c>
      <c r="C14777" t="s">
        <v>7600</v>
      </c>
      <c r="D14777">
        <v>9</v>
      </c>
      <c r="E14777">
        <v>0</v>
      </c>
      <c r="F14777">
        <v>52881</v>
      </c>
    </row>
    <row r="14778" spans="1:6" ht="12.75">
      <c r="A14778" s="2">
        <v>43878.615601851852</v>
      </c>
      <c r="B14778" t="str">
        <f t="shared" si="255"/>
        <v>@ratu_adil</v>
      </c>
      <c r="C14778" t="s">
        <v>7601</v>
      </c>
      <c r="D14778">
        <v>2</v>
      </c>
      <c r="E14778">
        <v>0</v>
      </c>
      <c r="F14778">
        <v>52881</v>
      </c>
    </row>
    <row r="14779" spans="1:6" ht="12.75">
      <c r="A14779" s="2">
        <v>43878.615543981483</v>
      </c>
      <c r="B14779" t="str">
        <f>HYPERLINK("https://twitter.com/ustadtengkuzul","@ustadtengkuzul")</f>
        <v>@ustadtengkuzul</v>
      </c>
      <c r="C14779" t="s">
        <v>7602</v>
      </c>
      <c r="D14779">
        <v>18</v>
      </c>
      <c r="E14779">
        <v>54</v>
      </c>
      <c r="F14779">
        <v>329489</v>
      </c>
    </row>
    <row r="14780" spans="1:6" ht="12.75">
      <c r="A14780" s="2">
        <v>43878.615543981483</v>
      </c>
      <c r="B14780" t="str">
        <f t="shared" ref="B14780:B14782" si="256">HYPERLINK("https://twitter.com/ratu_adil","@ratu_adil")</f>
        <v>@ratu_adil</v>
      </c>
      <c r="C14780" t="s">
        <v>7603</v>
      </c>
      <c r="D14780">
        <v>3</v>
      </c>
      <c r="E14780">
        <v>0</v>
      </c>
      <c r="F14780">
        <v>52881</v>
      </c>
    </row>
    <row r="14781" spans="1:6" ht="12.75">
      <c r="A14781" s="2">
        <v>43878.615486111114</v>
      </c>
      <c r="B14781" t="str">
        <f t="shared" si="256"/>
        <v>@ratu_adil</v>
      </c>
      <c r="C14781" t="s">
        <v>7604</v>
      </c>
      <c r="D14781">
        <v>1</v>
      </c>
      <c r="E14781">
        <v>0</v>
      </c>
      <c r="F14781">
        <v>52881</v>
      </c>
    </row>
    <row r="14782" spans="1:6" ht="12.75">
      <c r="A14782" s="2">
        <v>43878.615439814814</v>
      </c>
      <c r="B14782" t="str">
        <f t="shared" si="256"/>
        <v>@ratu_adil</v>
      </c>
      <c r="C14782" t="s">
        <v>7605</v>
      </c>
      <c r="D14782">
        <v>3</v>
      </c>
      <c r="E14782">
        <v>0</v>
      </c>
      <c r="F14782">
        <v>52881</v>
      </c>
    </row>
    <row r="14783" spans="1:6" ht="12.75">
      <c r="A14783" s="2">
        <v>43878.615428240737</v>
      </c>
      <c r="B14783" t="str">
        <f>HYPERLINK("https://twitter.com/thallasopile","@thallasopile")</f>
        <v>@thallasopile</v>
      </c>
      <c r="C14783" t="s">
        <v>3340</v>
      </c>
      <c r="D14783">
        <v>148</v>
      </c>
      <c r="E14783">
        <v>0</v>
      </c>
      <c r="F14783">
        <v>129</v>
      </c>
    </row>
    <row r="14784" spans="1:6" ht="12.75">
      <c r="A14784" s="2">
        <v>43878.615381944444</v>
      </c>
      <c r="B14784" t="str">
        <f>HYPERLINK("https://twitter.com/ratu_adil","@ratu_adil")</f>
        <v>@ratu_adil</v>
      </c>
      <c r="C14784" t="s">
        <v>7606</v>
      </c>
      <c r="D14784">
        <v>5</v>
      </c>
      <c r="E14784">
        <v>0</v>
      </c>
      <c r="F14784">
        <v>52881</v>
      </c>
    </row>
    <row r="14785" spans="1:6" ht="12.75">
      <c r="A14785" s="2">
        <v>43878.615370370375</v>
      </c>
      <c r="B14785" t="str">
        <f>HYPERLINK("https://twitter.com/EkaAl_Rasyid","@EkaAl_Rasyid")</f>
        <v>@EkaAl_Rasyid</v>
      </c>
      <c r="C14785" t="s">
        <v>2155</v>
      </c>
      <c r="D14785">
        <v>184</v>
      </c>
      <c r="E14785">
        <v>0</v>
      </c>
      <c r="F14785">
        <v>1846</v>
      </c>
    </row>
    <row r="14786" spans="1:6" ht="12.75">
      <c r="A14786" s="2">
        <v>43878.615335648152</v>
      </c>
      <c r="B14786" t="str">
        <f t="shared" ref="B14786:B14787" si="257">HYPERLINK("https://twitter.com/ratu_adil","@ratu_adil")</f>
        <v>@ratu_adil</v>
      </c>
      <c r="C14786" t="s">
        <v>7607</v>
      </c>
      <c r="D14786">
        <v>7</v>
      </c>
      <c r="E14786">
        <v>0</v>
      </c>
      <c r="F14786">
        <v>52881</v>
      </c>
    </row>
    <row r="14787" spans="1:6" ht="12.75">
      <c r="A14787" s="2">
        <v>43878.615277777775</v>
      </c>
      <c r="B14787" t="str">
        <f t="shared" si="257"/>
        <v>@ratu_adil</v>
      </c>
      <c r="C14787" t="s">
        <v>7608</v>
      </c>
      <c r="D14787">
        <v>7</v>
      </c>
      <c r="E14787">
        <v>0</v>
      </c>
      <c r="F14787">
        <v>52881</v>
      </c>
    </row>
    <row r="14788" spans="1:6" ht="12.75">
      <c r="A14788" s="2">
        <v>43878.615243055552</v>
      </c>
      <c r="B14788" t="str">
        <f>HYPERLINK("https://twitter.com/pureunmulgyeol","@pureunmulgyeol")</f>
        <v>@pureunmulgyeol</v>
      </c>
      <c r="C14788" t="s">
        <v>3340</v>
      </c>
      <c r="D14788">
        <v>148</v>
      </c>
      <c r="E14788">
        <v>0</v>
      </c>
      <c r="F14788">
        <v>722</v>
      </c>
    </row>
    <row r="14789" spans="1:6" ht="12.75">
      <c r="A14789" s="2">
        <v>43878.615231481483</v>
      </c>
      <c r="B14789" t="str">
        <f>HYPERLINK("https://twitter.com/ratu_adil","@ratu_adil")</f>
        <v>@ratu_adil</v>
      </c>
      <c r="C14789" t="s">
        <v>7609</v>
      </c>
      <c r="D14789">
        <v>7</v>
      </c>
      <c r="E14789">
        <v>0</v>
      </c>
      <c r="F14789">
        <v>52881</v>
      </c>
    </row>
    <row r="14790" spans="1:6" ht="12.75">
      <c r="A14790" s="2">
        <v>43878.614953703705</v>
      </c>
      <c r="B14790" t="str">
        <f>HYPERLINK("https://twitter.com/MustaanAli4","@MustaanAli4")</f>
        <v>@MustaanAli4</v>
      </c>
      <c r="C14790" t="s">
        <v>2155</v>
      </c>
      <c r="D14790">
        <v>184</v>
      </c>
      <c r="E14790">
        <v>0</v>
      </c>
      <c r="F14790">
        <v>2572</v>
      </c>
    </row>
    <row r="14791" spans="1:6" ht="12.75">
      <c r="A14791" s="2">
        <v>43878.614733796298</v>
      </c>
      <c r="B14791" t="str">
        <f>HYPERLINK("https://twitter.com/DemplonMak","@DemplonMak")</f>
        <v>@DemplonMak</v>
      </c>
      <c r="C14791" t="s">
        <v>2155</v>
      </c>
      <c r="D14791">
        <v>184</v>
      </c>
      <c r="E14791">
        <v>0</v>
      </c>
      <c r="F14791">
        <v>2498</v>
      </c>
    </row>
    <row r="14792" spans="1:6" ht="12.75">
      <c r="A14792" s="2">
        <v>43878.614664351851</v>
      </c>
      <c r="B14792" t="str">
        <f>HYPERLINK("https://twitter.com/ZulkifliJantan","@ZulkifliJantan")</f>
        <v>@ZulkifliJantan</v>
      </c>
      <c r="C14792" t="s">
        <v>2155</v>
      </c>
      <c r="D14792">
        <v>184</v>
      </c>
      <c r="E14792">
        <v>0</v>
      </c>
      <c r="F14792">
        <v>412</v>
      </c>
    </row>
    <row r="14793" spans="1:6" ht="12.75">
      <c r="A14793" s="2">
        <v>43878.613923611112</v>
      </c>
      <c r="B14793" t="str">
        <f>HYPERLINK("https://twitter.com/hargoalim","@hargoalim")</f>
        <v>@hargoalim</v>
      </c>
      <c r="C14793" t="s">
        <v>7581</v>
      </c>
      <c r="D14793">
        <v>7</v>
      </c>
      <c r="E14793">
        <v>0</v>
      </c>
      <c r="F14793">
        <v>18</v>
      </c>
    </row>
    <row r="14794" spans="1:6" ht="12.75">
      <c r="A14794" s="2">
        <v>43878.613865740743</v>
      </c>
      <c r="B14794" t="str">
        <f>HYPERLINK("https://twitter.com/mediaindonesia","@mediaindonesia")</f>
        <v>@mediaindonesia</v>
      </c>
      <c r="C14794" t="s">
        <v>7610</v>
      </c>
      <c r="D14794">
        <v>0</v>
      </c>
      <c r="E14794">
        <v>1</v>
      </c>
      <c r="F14794">
        <v>1416494</v>
      </c>
    </row>
    <row r="14795" spans="1:6" ht="12.75">
      <c r="A14795" s="2">
        <v>43878.613796296297</v>
      </c>
      <c r="B14795" t="str">
        <f>HYPERLINK("https://twitter.com/AJudakusumah","@AJudakusumah")</f>
        <v>@AJudakusumah</v>
      </c>
      <c r="C14795" t="s">
        <v>2155</v>
      </c>
      <c r="D14795">
        <v>184</v>
      </c>
      <c r="E14795">
        <v>0</v>
      </c>
      <c r="F14795">
        <v>3122</v>
      </c>
    </row>
    <row r="14796" spans="1:6" ht="12.75">
      <c r="A14796" s="2">
        <v>43878.613692129627</v>
      </c>
      <c r="B14796" t="str">
        <f>HYPERLINK("https://twitter.com/T3TT1R14","@T3TT1R14")</f>
        <v>@T3TT1R14</v>
      </c>
      <c r="C14796" t="s">
        <v>2155</v>
      </c>
      <c r="D14796">
        <v>184</v>
      </c>
      <c r="E14796">
        <v>0</v>
      </c>
      <c r="F14796">
        <v>134</v>
      </c>
    </row>
    <row r="14797" spans="1:6" ht="12.75">
      <c r="A14797" s="2">
        <v>43878.613182870366</v>
      </c>
      <c r="B14797" t="str">
        <f>HYPERLINK("https://twitter.com/mudha_satriya","@mudha_satriya")</f>
        <v>@mudha_satriya</v>
      </c>
      <c r="C14797" t="s">
        <v>7611</v>
      </c>
      <c r="D14797">
        <v>4</v>
      </c>
      <c r="E14797">
        <v>0</v>
      </c>
      <c r="F14797">
        <v>1875</v>
      </c>
    </row>
    <row r="14798" spans="1:6" ht="12.75">
      <c r="A14798" s="2">
        <v>43878.613078703704</v>
      </c>
      <c r="B14798" t="str">
        <f>HYPERLINK("https://twitter.com/salehhaji5","@salehhaji5")</f>
        <v>@salehhaji5</v>
      </c>
      <c r="C14798" t="s">
        <v>3059</v>
      </c>
      <c r="D14798">
        <v>300</v>
      </c>
      <c r="E14798">
        <v>0</v>
      </c>
      <c r="F14798">
        <v>164</v>
      </c>
    </row>
    <row r="14799" spans="1:6" ht="12.75">
      <c r="A14799" s="2">
        <v>43878.613067129627</v>
      </c>
      <c r="B14799" t="str">
        <f>HYPERLINK("https://twitter.com/KelianBanjar_GK","@KelianBanjar_GK")</f>
        <v>@KelianBanjar_GK</v>
      </c>
      <c r="C14799" t="s">
        <v>2155</v>
      </c>
      <c r="D14799">
        <v>184</v>
      </c>
      <c r="E14799">
        <v>0</v>
      </c>
      <c r="F14799">
        <v>8508</v>
      </c>
    </row>
    <row r="14800" spans="1:6" ht="12.75">
      <c r="A14800" s="2">
        <v>43878.613043981481</v>
      </c>
      <c r="B14800" t="str">
        <f>HYPERLINK("https://twitter.com/watababeharu","@watababeharu")</f>
        <v>@watababeharu</v>
      </c>
      <c r="C14800" t="s">
        <v>3340</v>
      </c>
      <c r="D14800">
        <v>148</v>
      </c>
      <c r="E14800">
        <v>0</v>
      </c>
      <c r="F14800">
        <v>1238</v>
      </c>
    </row>
    <row r="14801" spans="1:6" ht="12.75">
      <c r="A14801" s="2">
        <v>43878.612870370373</v>
      </c>
      <c r="B14801" t="str">
        <f>HYPERLINK("https://twitter.com/masihprosess","@masihprosess")</f>
        <v>@masihprosess</v>
      </c>
      <c r="C14801" t="s">
        <v>7612</v>
      </c>
      <c r="D14801">
        <v>0</v>
      </c>
      <c r="E14801">
        <v>0</v>
      </c>
      <c r="F14801">
        <v>4151</v>
      </c>
    </row>
    <row r="14802" spans="1:6" ht="12.75">
      <c r="A14802" s="2">
        <v>43878.612858796296</v>
      </c>
      <c r="B14802" t="str">
        <f>HYPERLINK("https://twitter.com/quirkyaloneeeee","@quirkyaloneeeee")</f>
        <v>@quirkyaloneeeee</v>
      </c>
      <c r="C14802" t="s">
        <v>3340</v>
      </c>
      <c r="D14802">
        <v>148</v>
      </c>
      <c r="E14802">
        <v>0</v>
      </c>
      <c r="F14802">
        <v>202</v>
      </c>
    </row>
    <row r="14803" spans="1:6" ht="12.75">
      <c r="A14803" s="2">
        <v>43878.612847222219</v>
      </c>
      <c r="B14803" t="str">
        <f>HYPERLINK("https://twitter.com/MeylaSaputri","@MeylaSaputri")</f>
        <v>@MeylaSaputri</v>
      </c>
      <c r="C14803" t="s">
        <v>2155</v>
      </c>
      <c r="D14803">
        <v>184</v>
      </c>
      <c r="E14803">
        <v>0</v>
      </c>
      <c r="F14803">
        <v>50</v>
      </c>
    </row>
    <row r="14804" spans="1:6" ht="12.75">
      <c r="A14804" s="2">
        <v>43878.612800925926</v>
      </c>
      <c r="B14804" t="str">
        <f>HYPERLINK("https://twitter.com/Gesetiawan","@Gesetiawan")</f>
        <v>@Gesetiawan</v>
      </c>
      <c r="C14804" t="s">
        <v>7613</v>
      </c>
      <c r="D14804">
        <v>0</v>
      </c>
      <c r="E14804">
        <v>0</v>
      </c>
      <c r="F14804">
        <v>1416</v>
      </c>
    </row>
    <row r="14805" spans="1:6" ht="12.75">
      <c r="A14805" s="2">
        <v>43878.612442129626</v>
      </c>
      <c r="B14805" t="str">
        <f>HYPERLINK("https://twitter.com/KuswantiI","@KuswantiI")</f>
        <v>@KuswantiI</v>
      </c>
      <c r="C14805" t="s">
        <v>7614</v>
      </c>
      <c r="D14805">
        <v>0</v>
      </c>
      <c r="E14805">
        <v>0</v>
      </c>
      <c r="F14805">
        <v>286</v>
      </c>
    </row>
    <row r="14806" spans="1:6" ht="12.75">
      <c r="A14806" s="2">
        <v>43878.612407407403</v>
      </c>
      <c r="B14806" t="str">
        <f>HYPERLINK("https://twitter.com/dwiyanaDKM","@dwiyanaDKM")</f>
        <v>@dwiyanaDKM</v>
      </c>
      <c r="C14806" t="s">
        <v>2155</v>
      </c>
      <c r="D14806">
        <v>184</v>
      </c>
      <c r="E14806">
        <v>0</v>
      </c>
      <c r="F14806">
        <v>921</v>
      </c>
    </row>
    <row r="14807" spans="1:6" ht="12.75">
      <c r="A14807" s="2">
        <v>43878.612245370372</v>
      </c>
      <c r="B14807" t="str">
        <f>HYPERLINK("https://twitter.com/MASB0Y_","@MASB0Y_")</f>
        <v>@MASB0Y_</v>
      </c>
      <c r="C14807" t="s">
        <v>7615</v>
      </c>
      <c r="D14807">
        <v>0</v>
      </c>
      <c r="E14807">
        <v>0</v>
      </c>
      <c r="F14807">
        <v>12502</v>
      </c>
    </row>
    <row r="14808" spans="1:6" ht="12.75">
      <c r="A14808" s="2">
        <v>43878.61204861111</v>
      </c>
      <c r="B14808" t="str">
        <f>HYPERLINK("https://twitter.com/SPr4t4m4","@SPr4t4m4")</f>
        <v>@SPr4t4m4</v>
      </c>
      <c r="C14808" t="s">
        <v>2155</v>
      </c>
      <c r="D14808">
        <v>184</v>
      </c>
      <c r="E14808">
        <v>0</v>
      </c>
      <c r="F14808">
        <v>68</v>
      </c>
    </row>
    <row r="14809" spans="1:6" ht="12.75">
      <c r="A14809" s="2">
        <v>43878.584826388891</v>
      </c>
      <c r="B14809" t="str">
        <f>HYPERLINK("https://twitter.com/srtaykisd","@srtaykisd")</f>
        <v>@srtaykisd</v>
      </c>
      <c r="C14809" t="s">
        <v>3340</v>
      </c>
      <c r="D14809">
        <v>128</v>
      </c>
      <c r="E14809">
        <v>0</v>
      </c>
      <c r="F14809">
        <v>448</v>
      </c>
    </row>
    <row r="14810" spans="1:6" ht="12.75">
      <c r="A14810" s="2">
        <v>43878.584664351853</v>
      </c>
      <c r="B14810" t="str">
        <f>HYPERLINK("https://twitter.com/kwetiawforlyfe","@kwetiawforlyfe")</f>
        <v>@kwetiawforlyfe</v>
      </c>
      <c r="C14810" t="s">
        <v>7616</v>
      </c>
      <c r="D14810">
        <v>0</v>
      </c>
      <c r="E14810">
        <v>0</v>
      </c>
      <c r="F14810">
        <v>510</v>
      </c>
    </row>
    <row r="14811" spans="1:6" ht="12.75">
      <c r="A14811" s="2">
        <v>43878.58458333333</v>
      </c>
      <c r="B14811" t="str">
        <f>HYPERLINK("https://twitter.com/SiswantoSaroki","@SiswantoSaroki")</f>
        <v>@SiswantoSaroki</v>
      </c>
      <c r="C14811" t="s">
        <v>7617</v>
      </c>
      <c r="D14811">
        <v>0</v>
      </c>
      <c r="E14811">
        <v>1</v>
      </c>
      <c r="F14811">
        <v>1471</v>
      </c>
    </row>
    <row r="14812" spans="1:6" ht="12.75">
      <c r="A14812" s="2">
        <v>43878.58458333333</v>
      </c>
      <c r="B14812" t="str">
        <f>HYPERLINK("https://twitter.com/syakirasyakir","@syakirasyakir")</f>
        <v>@syakirasyakir</v>
      </c>
      <c r="C14812" t="s">
        <v>7618</v>
      </c>
      <c r="D14812">
        <v>0</v>
      </c>
      <c r="E14812">
        <v>0</v>
      </c>
      <c r="F14812">
        <v>678</v>
      </c>
    </row>
    <row r="14813" spans="1:6" ht="12.75">
      <c r="A14813" s="2">
        <v>43878.584282407406</v>
      </c>
      <c r="B14813" t="str">
        <f>HYPERLINK("https://twitter.com/_attk","@_attk")</f>
        <v>@_attk</v>
      </c>
      <c r="C14813" t="s">
        <v>5168</v>
      </c>
      <c r="D14813">
        <v>1662</v>
      </c>
      <c r="E14813">
        <v>0</v>
      </c>
      <c r="F14813">
        <v>350</v>
      </c>
    </row>
    <row r="14814" spans="1:6" ht="12.75">
      <c r="A14814" s="2">
        <v>43878.584189814814</v>
      </c>
      <c r="B14814" t="str">
        <f>HYPERLINK("https://twitter.com/sastromenggolo","@sastromenggolo")</f>
        <v>@sastromenggolo</v>
      </c>
      <c r="C14814" t="s">
        <v>7619</v>
      </c>
      <c r="D14814">
        <v>16</v>
      </c>
      <c r="E14814">
        <v>0</v>
      </c>
      <c r="F14814">
        <v>603</v>
      </c>
    </row>
    <row r="14815" spans="1:6" ht="12.75">
      <c r="A14815" s="2">
        <v>43878.584143518514</v>
      </c>
      <c r="B14815" t="str">
        <f>HYPERLINK("https://twitter.com/Zaverri","@Zaverri")</f>
        <v>@Zaverri</v>
      </c>
      <c r="C14815" t="s">
        <v>7620</v>
      </c>
      <c r="D14815">
        <v>5</v>
      </c>
      <c r="E14815">
        <v>0</v>
      </c>
      <c r="F14815">
        <v>1067</v>
      </c>
    </row>
    <row r="14816" spans="1:6" ht="12.75">
      <c r="A14816" s="2">
        <v>43878.584097222221</v>
      </c>
      <c r="B14816" t="str">
        <f>HYPERLINK("https://twitter.com/permana_ds","@permana_ds")</f>
        <v>@permana_ds</v>
      </c>
      <c r="C14816" t="s">
        <v>7113</v>
      </c>
      <c r="D14816">
        <v>28</v>
      </c>
      <c r="E14816">
        <v>0</v>
      </c>
      <c r="F14816">
        <v>1639</v>
      </c>
    </row>
    <row r="14817" spans="1:6" ht="12.75">
      <c r="A14817" s="2">
        <v>43878.584062499998</v>
      </c>
      <c r="B14817" t="str">
        <f>HYPERLINK("https://twitter.com/AgusTridy","@AgusTridy")</f>
        <v>@AgusTridy</v>
      </c>
      <c r="C14817" t="s">
        <v>2155</v>
      </c>
      <c r="D14817">
        <v>95</v>
      </c>
      <c r="E14817">
        <v>0</v>
      </c>
      <c r="F14817">
        <v>485</v>
      </c>
    </row>
    <row r="14818" spans="1:6" ht="12.75">
      <c r="A14818" s="2">
        <v>43878.584027777775</v>
      </c>
      <c r="B14818" t="str">
        <f>HYPERLINK("https://twitter.com/MMuthhar","@MMuthhar")</f>
        <v>@MMuthhar</v>
      </c>
      <c r="C14818" t="s">
        <v>2155</v>
      </c>
      <c r="D14818">
        <v>95</v>
      </c>
      <c r="E14818">
        <v>0</v>
      </c>
      <c r="F14818">
        <v>281</v>
      </c>
    </row>
    <row r="14819" spans="1:6" ht="12.75">
      <c r="A14819" s="2">
        <v>43878.583680555559</v>
      </c>
      <c r="B14819" t="str">
        <f>HYPERLINK("https://twitter.com/AEPishere","@AEPishere")</f>
        <v>@AEPishere</v>
      </c>
      <c r="C14819" t="s">
        <v>7589</v>
      </c>
      <c r="D14819">
        <v>3</v>
      </c>
      <c r="E14819">
        <v>0</v>
      </c>
      <c r="F14819">
        <v>3010</v>
      </c>
    </row>
    <row r="14820" spans="1:6" ht="12.75">
      <c r="A14820" s="2">
        <v>43878.583668981482</v>
      </c>
      <c r="B14820" t="str">
        <f>HYPERLINK("https://twitter.com/JEStwitttz","@JEStwitttz")</f>
        <v>@JEStwitttz</v>
      </c>
      <c r="C14820" t="s">
        <v>7621</v>
      </c>
      <c r="D14820">
        <v>0</v>
      </c>
      <c r="E14820">
        <v>0</v>
      </c>
      <c r="F14820">
        <v>3398</v>
      </c>
    </row>
    <row r="14821" spans="1:6" ht="12.75">
      <c r="A14821" s="2">
        <v>43878.583634259259</v>
      </c>
      <c r="B14821" t="str">
        <f>HYPERLINK("https://twitter.com/MNCNewsroom","@MNCNewsroom")</f>
        <v>@MNCNewsroom</v>
      </c>
      <c r="C14821" t="s">
        <v>7622</v>
      </c>
      <c r="D14821">
        <v>0</v>
      </c>
      <c r="E14821">
        <v>0</v>
      </c>
      <c r="F14821">
        <v>17546</v>
      </c>
    </row>
    <row r="14822" spans="1:6" ht="12.75">
      <c r="A14822" s="2">
        <v>43878.583229166667</v>
      </c>
      <c r="B14822" t="str">
        <f>HYPERLINK("https://twitter.com/richardgbt","@richardgbt")</f>
        <v>@richardgbt</v>
      </c>
      <c r="C14822" t="s">
        <v>6721</v>
      </c>
      <c r="D14822">
        <v>302</v>
      </c>
      <c r="E14822">
        <v>0</v>
      </c>
      <c r="F14822">
        <v>341</v>
      </c>
    </row>
    <row r="14823" spans="1:6" ht="12.75">
      <c r="A14823" s="2">
        <v>43878.582974537036</v>
      </c>
      <c r="B14823" t="str">
        <f>HYPERLINK("https://twitter.com/IbnuAli__","@IbnuAli__")</f>
        <v>@IbnuAli__</v>
      </c>
      <c r="C14823" t="s">
        <v>6721</v>
      </c>
      <c r="D14823">
        <v>302</v>
      </c>
      <c r="E14823">
        <v>0</v>
      </c>
      <c r="F14823">
        <v>5169</v>
      </c>
    </row>
    <row r="14824" spans="1:6" ht="12.75">
      <c r="A14824" s="2">
        <v>43878.582800925928</v>
      </c>
      <c r="B14824" t="str">
        <f>HYPERLINK("https://twitter.com/SilalahiFabian","@SilalahiFabian")</f>
        <v>@SilalahiFabian</v>
      </c>
      <c r="C14824" t="s">
        <v>7582</v>
      </c>
      <c r="D14824">
        <v>6</v>
      </c>
      <c r="E14824">
        <v>0</v>
      </c>
      <c r="F14824">
        <v>166</v>
      </c>
    </row>
    <row r="14825" spans="1:6" ht="12.75">
      <c r="A14825" s="2">
        <v>43878.581539351857</v>
      </c>
      <c r="B14825" t="str">
        <f>HYPERLINK("https://twitter.com/Aliffitrindewor","@Aliffitrindewor")</f>
        <v>@Aliffitrindewor</v>
      </c>
      <c r="C14825" t="s">
        <v>7623</v>
      </c>
      <c r="D14825">
        <v>4</v>
      </c>
      <c r="E14825">
        <v>0</v>
      </c>
      <c r="F14825">
        <v>553</v>
      </c>
    </row>
    <row r="14826" spans="1:6" ht="12.75">
      <c r="A14826" s="2">
        <v>43878.581539351857</v>
      </c>
      <c r="B14826" t="str">
        <f>HYPERLINK("https://twitter.com/sir_usil","@sir_usil")</f>
        <v>@sir_usil</v>
      </c>
      <c r="C14826" t="s">
        <v>2155</v>
      </c>
      <c r="D14826">
        <v>95</v>
      </c>
      <c r="E14826">
        <v>0</v>
      </c>
      <c r="F14826">
        <v>219</v>
      </c>
    </row>
    <row r="14827" spans="1:6" ht="12.75">
      <c r="A14827" s="2">
        <v>43878.58148148148</v>
      </c>
      <c r="B14827" t="str">
        <f>HYPERLINK("https://twitter.com/Samsul737","@Samsul737")</f>
        <v>@Samsul737</v>
      </c>
      <c r="C14827" t="s">
        <v>2155</v>
      </c>
      <c r="D14827">
        <v>95</v>
      </c>
      <c r="E14827">
        <v>0</v>
      </c>
      <c r="F14827">
        <v>3339</v>
      </c>
    </row>
    <row r="14828" spans="1:6" ht="12.75">
      <c r="A14828" s="2">
        <v>43878.58148148148</v>
      </c>
      <c r="B14828" t="str">
        <f>HYPERLINK("https://twitter.com/mujiburokhman","@mujiburokhman")</f>
        <v>@mujiburokhman</v>
      </c>
      <c r="C14828" t="s">
        <v>6721</v>
      </c>
      <c r="D14828">
        <v>302</v>
      </c>
      <c r="E14828">
        <v>0</v>
      </c>
      <c r="F14828">
        <v>390</v>
      </c>
    </row>
    <row r="14829" spans="1:6" ht="12.75">
      <c r="A14829" s="2">
        <v>43878.581400462965</v>
      </c>
      <c r="B14829" t="str">
        <f>HYPERLINK("https://twitter.com/Ryan_Rossi_id","@Ryan_Rossi_id")</f>
        <v>@Ryan_Rossi_id</v>
      </c>
      <c r="C14829" t="s">
        <v>2155</v>
      </c>
      <c r="D14829">
        <v>95</v>
      </c>
      <c r="E14829">
        <v>0</v>
      </c>
      <c r="F14829">
        <v>1037</v>
      </c>
    </row>
    <row r="14830" spans="1:6" ht="12.75">
      <c r="A14830" s="2">
        <v>43878.581377314811</v>
      </c>
      <c r="B14830" t="str">
        <f>HYPERLINK("https://twitter.com/koecing_pasar","@koecing_pasar")</f>
        <v>@koecing_pasar</v>
      </c>
      <c r="C14830" t="s">
        <v>2155</v>
      </c>
      <c r="D14830">
        <v>95</v>
      </c>
      <c r="E14830">
        <v>0</v>
      </c>
      <c r="F14830">
        <v>1228</v>
      </c>
    </row>
    <row r="14831" spans="1:6" ht="12.75">
      <c r="A14831" s="2">
        <v>43878.581296296295</v>
      </c>
      <c r="B14831" t="str">
        <f>HYPERLINK("https://twitter.com/tjhinfar21","@tjhinfar21")</f>
        <v>@tjhinfar21</v>
      </c>
      <c r="C14831" t="s">
        <v>2155</v>
      </c>
      <c r="D14831">
        <v>95</v>
      </c>
      <c r="E14831">
        <v>0</v>
      </c>
      <c r="F14831">
        <v>14732</v>
      </c>
    </row>
    <row r="14832" spans="1:6" ht="12.75">
      <c r="A14832" s="2">
        <v>43878.580879629633</v>
      </c>
      <c r="B14832" t="str">
        <f>HYPERLINK("https://twitter.com/ade_r70","@ade_r70")</f>
        <v>@ade_r70</v>
      </c>
      <c r="C14832" t="s">
        <v>2155</v>
      </c>
      <c r="D14832">
        <v>95</v>
      </c>
      <c r="E14832">
        <v>0</v>
      </c>
      <c r="F14832">
        <v>563</v>
      </c>
    </row>
    <row r="14833" spans="1:6" ht="12.75">
      <c r="A14833" s="2">
        <v>43878.580613425926</v>
      </c>
      <c r="B14833" t="str">
        <f>HYPERLINK("https://twitter.com/PenjagaJokowi","@PenjagaJokowi")</f>
        <v>@PenjagaJokowi</v>
      </c>
      <c r="C14833" t="s">
        <v>2155</v>
      </c>
      <c r="D14833">
        <v>95</v>
      </c>
      <c r="E14833">
        <v>0</v>
      </c>
      <c r="F14833">
        <v>2130</v>
      </c>
    </row>
    <row r="14834" spans="1:6" ht="12.75">
      <c r="A14834" s="2">
        <v>43878.580567129626</v>
      </c>
      <c r="B14834" t="str">
        <f>HYPERLINK("https://twitter.com/jendelaangkot21","@jendelaangkot21")</f>
        <v>@jendelaangkot21</v>
      </c>
      <c r="C14834" t="s">
        <v>6721</v>
      </c>
      <c r="D14834">
        <v>302</v>
      </c>
      <c r="E14834">
        <v>0</v>
      </c>
      <c r="F14834">
        <v>150</v>
      </c>
    </row>
    <row r="14835" spans="1:6" ht="12.75">
      <c r="A14835" s="2">
        <v>43878.580300925925</v>
      </c>
      <c r="B14835" t="str">
        <f>HYPERLINK("https://twitter.com/Rorireza851","@Rorireza851")</f>
        <v>@Rorireza851</v>
      </c>
      <c r="C14835" t="s">
        <v>6161</v>
      </c>
      <c r="D14835">
        <v>219</v>
      </c>
      <c r="E14835">
        <v>0</v>
      </c>
      <c r="F14835">
        <v>96</v>
      </c>
    </row>
    <row r="14836" spans="1:6" ht="12.75">
      <c r="A14836" s="2">
        <v>43878.579942129625</v>
      </c>
      <c r="B14836" t="str">
        <f>HYPERLINK("https://twitter.com/Roberthariyant4","@Roberthariyant4")</f>
        <v>@Roberthariyant4</v>
      </c>
      <c r="C14836" t="s">
        <v>2155</v>
      </c>
      <c r="D14836">
        <v>95</v>
      </c>
      <c r="E14836">
        <v>0</v>
      </c>
      <c r="F14836">
        <v>1085</v>
      </c>
    </row>
    <row r="14837" spans="1:6" ht="12.75">
      <c r="A14837" s="2">
        <v>43878.579918981486</v>
      </c>
      <c r="B14837" t="str">
        <f>HYPERLINK("https://twitter.com/peachyshn","@peachyshn")</f>
        <v>@peachyshn</v>
      </c>
      <c r="C14837" t="s">
        <v>3340</v>
      </c>
      <c r="D14837">
        <v>128</v>
      </c>
      <c r="E14837">
        <v>0</v>
      </c>
      <c r="F14837">
        <v>440</v>
      </c>
    </row>
    <row r="14838" spans="1:6" ht="12.75">
      <c r="A14838" s="2">
        <v>43878.579432870371</v>
      </c>
      <c r="B14838" t="str">
        <f>HYPERLINK("https://twitter.com/pjmstyls","@pjmstyls")</f>
        <v>@pjmstyls</v>
      </c>
      <c r="C14838" t="s">
        <v>7624</v>
      </c>
      <c r="D14838">
        <v>0</v>
      </c>
      <c r="E14838">
        <v>0</v>
      </c>
      <c r="F14838">
        <v>2397</v>
      </c>
    </row>
    <row r="14839" spans="1:6" ht="12.75">
      <c r="A14839" s="2">
        <v>43878.579432870371</v>
      </c>
      <c r="B14839" t="str">
        <f>HYPERLINK("https://twitter.com/wni_jmsri","@wni_jmsri")</f>
        <v>@wni_jmsri</v>
      </c>
      <c r="C14839" t="s">
        <v>7625</v>
      </c>
      <c r="D14839">
        <v>1208</v>
      </c>
      <c r="E14839">
        <v>0</v>
      </c>
      <c r="F14839">
        <v>193</v>
      </c>
    </row>
    <row r="14840" spans="1:6" ht="12.75">
      <c r="A14840" s="2">
        <v>43878.579398148147</v>
      </c>
      <c r="B14840" t="str">
        <f>HYPERLINK("https://twitter.com/bbendoank","@bbendoank")</f>
        <v>@bbendoank</v>
      </c>
      <c r="C14840" t="s">
        <v>2155</v>
      </c>
      <c r="D14840">
        <v>95</v>
      </c>
      <c r="E14840">
        <v>0</v>
      </c>
      <c r="F14840">
        <v>106</v>
      </c>
    </row>
    <row r="14841" spans="1:6" ht="12.75">
      <c r="A14841" s="2">
        <v>43878.57876157407</v>
      </c>
      <c r="B14841" t="str">
        <f>HYPERLINK("https://twitter.com/saefudin_zuhrii","@saefudin_zuhrii")</f>
        <v>@saefudin_zuhrii</v>
      </c>
      <c r="C14841" t="s">
        <v>6721</v>
      </c>
      <c r="D14841">
        <v>302</v>
      </c>
      <c r="E14841">
        <v>0</v>
      </c>
      <c r="F14841">
        <v>193</v>
      </c>
    </row>
    <row r="14842" spans="1:6" ht="12.75">
      <c r="A14842" s="2">
        <v>43878.578518518523</v>
      </c>
      <c r="B14842" t="str">
        <f>HYPERLINK("https://twitter.com/allhailnothin","@allhailnothin")</f>
        <v>@allhailnothin</v>
      </c>
      <c r="C14842" t="s">
        <v>3340</v>
      </c>
      <c r="D14842">
        <v>128</v>
      </c>
      <c r="E14842">
        <v>0</v>
      </c>
      <c r="F14842">
        <v>1444</v>
      </c>
    </row>
    <row r="14843" spans="1:6" ht="12.75">
      <c r="A14843" s="2">
        <v>43878.5784375</v>
      </c>
      <c r="B14843" t="str">
        <f>HYPERLINK("https://twitter.com/kimramseyjennie","@kimramseyjennie")</f>
        <v>@kimramseyjennie</v>
      </c>
      <c r="C14843" t="s">
        <v>2444</v>
      </c>
      <c r="D14843">
        <v>4573</v>
      </c>
      <c r="E14843">
        <v>0</v>
      </c>
      <c r="F14843">
        <v>30</v>
      </c>
    </row>
    <row r="14844" spans="1:6" ht="12.75">
      <c r="A14844" s="2">
        <v>43878.578009259261</v>
      </c>
      <c r="B14844" t="str">
        <f>HYPERLINK("https://twitter.com/NisrinaSitiNur1","@NisrinaSitiNur1")</f>
        <v>@NisrinaSitiNur1</v>
      </c>
      <c r="C14844" t="s">
        <v>7041</v>
      </c>
      <c r="D14844">
        <v>0</v>
      </c>
      <c r="E14844">
        <v>0</v>
      </c>
      <c r="F14844">
        <v>229</v>
      </c>
    </row>
    <row r="14845" spans="1:6" ht="12.75">
      <c r="A14845" s="2">
        <v>43878.577962962961</v>
      </c>
      <c r="B14845" t="str">
        <f>HYPERLINK("https://twitter.com/SeeHandy","@SeeHandy")</f>
        <v>@SeeHandy</v>
      </c>
      <c r="C14845" t="s">
        <v>2155</v>
      </c>
      <c r="D14845">
        <v>95</v>
      </c>
      <c r="E14845">
        <v>0</v>
      </c>
      <c r="F14845">
        <v>801</v>
      </c>
    </row>
    <row r="14846" spans="1:6" ht="12.75">
      <c r="A14846" s="2">
        <v>43878.577743055561</v>
      </c>
      <c r="B14846" t="str">
        <f>HYPERLINK("https://twitter.com/Mela_669","@Mela_669")</f>
        <v>@Mela_669</v>
      </c>
      <c r="C14846" t="s">
        <v>2155</v>
      </c>
      <c r="D14846">
        <v>95</v>
      </c>
      <c r="E14846">
        <v>0</v>
      </c>
      <c r="F14846">
        <v>813</v>
      </c>
    </row>
    <row r="14847" spans="1:6" ht="12.75">
      <c r="A14847" s="2">
        <v>43878.577627314815</v>
      </c>
      <c r="B14847" t="str">
        <f>HYPERLINK("https://twitter.com/Priymail","@Priymail")</f>
        <v>@Priymail</v>
      </c>
      <c r="C14847" t="s">
        <v>2155</v>
      </c>
      <c r="D14847">
        <v>95</v>
      </c>
      <c r="E14847">
        <v>0</v>
      </c>
      <c r="F14847">
        <v>1379</v>
      </c>
    </row>
    <row r="14848" spans="1:6" ht="12.75">
      <c r="A14848" s="2">
        <v>43878.577546296292</v>
      </c>
      <c r="B14848" t="str">
        <f>HYPERLINK("https://twitter.com/Oh_Ronald","@Oh_Ronald")</f>
        <v>@Oh_Ronald</v>
      </c>
      <c r="C14848" t="s">
        <v>7626</v>
      </c>
      <c r="D14848">
        <v>0</v>
      </c>
      <c r="E14848">
        <v>0</v>
      </c>
      <c r="F14848">
        <v>2306</v>
      </c>
    </row>
    <row r="14849" spans="1:6" ht="12.75">
      <c r="A14849" s="2">
        <v>43878.577222222222</v>
      </c>
      <c r="B14849" t="str">
        <f>HYPERLINK("https://twitter.com/hasurungan","@hasurungan")</f>
        <v>@hasurungan</v>
      </c>
      <c r="C14849" t="s">
        <v>6721</v>
      </c>
      <c r="D14849">
        <v>302</v>
      </c>
      <c r="E14849">
        <v>0</v>
      </c>
      <c r="F14849">
        <v>306</v>
      </c>
    </row>
    <row r="14850" spans="1:6" ht="12.75">
      <c r="A14850" s="2">
        <v>43878.577048611114</v>
      </c>
      <c r="B14850" t="str">
        <f>HYPERLINK("https://twitter.com/cnhzx6","@cnhzx6")</f>
        <v>@cnhzx6</v>
      </c>
      <c r="C14850" t="s">
        <v>7589</v>
      </c>
      <c r="D14850">
        <v>3</v>
      </c>
      <c r="E14850">
        <v>0</v>
      </c>
      <c r="F14850">
        <v>14</v>
      </c>
    </row>
    <row r="14851" spans="1:6" ht="12.75">
      <c r="A14851" s="2">
        <v>43878.576863425929</v>
      </c>
      <c r="B14851" t="str">
        <f>HYPERLINK("https://twitter.com/daniaokti","@daniaokti")</f>
        <v>@daniaokti</v>
      </c>
      <c r="C14851" t="s">
        <v>6721</v>
      </c>
      <c r="D14851">
        <v>302</v>
      </c>
      <c r="E14851">
        <v>0</v>
      </c>
      <c r="F14851">
        <v>272</v>
      </c>
    </row>
    <row r="14852" spans="1:6" ht="12.75">
      <c r="A14852" s="2">
        <v>43878.576840277776</v>
      </c>
      <c r="B14852" t="str">
        <f>HYPERLINK("https://twitter.com/hgberry","@hgberry")</f>
        <v>@hgberry</v>
      </c>
      <c r="C14852" t="s">
        <v>6721</v>
      </c>
      <c r="D14852">
        <v>302</v>
      </c>
      <c r="E14852">
        <v>0</v>
      </c>
      <c r="F14852">
        <v>1647</v>
      </c>
    </row>
    <row r="14853" spans="1:6" ht="12.75">
      <c r="A14853" s="2">
        <v>43878.576724537037</v>
      </c>
      <c r="B14853" t="str">
        <f>HYPERLINK("https://twitter.com/LieDetectorID","@LieDetectorID")</f>
        <v>@LieDetectorID</v>
      </c>
      <c r="C14853" t="s">
        <v>2155</v>
      </c>
      <c r="D14853">
        <v>95</v>
      </c>
      <c r="E14853">
        <v>0</v>
      </c>
      <c r="F14853">
        <v>10390</v>
      </c>
    </row>
    <row r="14854" spans="1:6" ht="12.75">
      <c r="A14854" s="2">
        <v>43878.576701388884</v>
      </c>
      <c r="B14854" t="str">
        <f>HYPERLINK("https://twitter.com/jepriadim2","@jepriadim2")</f>
        <v>@jepriadim2</v>
      </c>
      <c r="C14854" t="s">
        <v>2155</v>
      </c>
      <c r="D14854">
        <v>95</v>
      </c>
      <c r="E14854">
        <v>0</v>
      </c>
      <c r="F14854">
        <v>322</v>
      </c>
    </row>
    <row r="14855" spans="1:6" ht="12.75">
      <c r="A14855" s="2">
        <v>43878.576574074075</v>
      </c>
      <c r="B14855" t="str">
        <f>HYPERLINK("https://twitter.com/masakomamasuka","@masakomamasuka")</f>
        <v>@masakomamasuka</v>
      </c>
      <c r="C14855" t="s">
        <v>3340</v>
      </c>
      <c r="D14855">
        <v>128</v>
      </c>
      <c r="E14855">
        <v>0</v>
      </c>
      <c r="F14855">
        <v>707</v>
      </c>
    </row>
    <row r="14856" spans="1:6" ht="12.75">
      <c r="A14856" s="2">
        <v>43878.576539351852</v>
      </c>
      <c r="B14856" t="str">
        <f>HYPERLINK("https://twitter.com/fxrnvndvc","@fxrnvndvc")</f>
        <v>@fxrnvndvc</v>
      </c>
      <c r="C14856" t="s">
        <v>7627</v>
      </c>
      <c r="D14856">
        <v>0</v>
      </c>
      <c r="E14856">
        <v>0</v>
      </c>
      <c r="F14856">
        <v>6756</v>
      </c>
    </row>
    <row r="14857" spans="1:6" ht="12.75">
      <c r="A14857" s="2">
        <v>43878.576469907406</v>
      </c>
      <c r="B14857" t="str">
        <f>HYPERLINK("https://twitter.com/FDerKanzler","@FDerKanzler")</f>
        <v>@FDerKanzler</v>
      </c>
      <c r="C14857" t="s">
        <v>2155</v>
      </c>
      <c r="D14857">
        <v>95</v>
      </c>
      <c r="E14857">
        <v>0</v>
      </c>
      <c r="F14857">
        <v>2009</v>
      </c>
    </row>
    <row r="14858" spans="1:6" ht="12.75">
      <c r="A14858" s="2">
        <v>43878.57640046296</v>
      </c>
      <c r="B14858" t="str">
        <f t="shared" ref="B14858:B14859" si="258">HYPERLINK("https://twitter.com/ridwanmarhadi84","@ridwanmarhadi84")</f>
        <v>@ridwanmarhadi84</v>
      </c>
      <c r="C14858" t="s">
        <v>7609</v>
      </c>
      <c r="D14858">
        <v>7</v>
      </c>
      <c r="E14858">
        <v>0</v>
      </c>
      <c r="F14858">
        <v>282</v>
      </c>
    </row>
    <row r="14859" spans="1:6" ht="12.75">
      <c r="A14859" s="2">
        <v>43878.576226851852</v>
      </c>
      <c r="B14859" t="str">
        <f t="shared" si="258"/>
        <v>@ridwanmarhadi84</v>
      </c>
      <c r="C14859" t="s">
        <v>7608</v>
      </c>
      <c r="D14859">
        <v>7</v>
      </c>
      <c r="E14859">
        <v>0</v>
      </c>
      <c r="F14859">
        <v>282</v>
      </c>
    </row>
    <row r="14860" spans="1:6" ht="12.75">
      <c r="A14860" s="2">
        <v>43878.575914351852</v>
      </c>
      <c r="B14860" t="str">
        <f>HYPERLINK("https://twitter.com/pinkyguuy","@pinkyguuy")</f>
        <v>@pinkyguuy</v>
      </c>
      <c r="C14860" t="s">
        <v>7628</v>
      </c>
      <c r="D14860">
        <v>0</v>
      </c>
      <c r="E14860">
        <v>0</v>
      </c>
      <c r="F14860">
        <v>6</v>
      </c>
    </row>
    <row r="14861" spans="1:6" ht="12.75">
      <c r="A14861" s="2">
        <v>43878.575717592597</v>
      </c>
      <c r="B14861" t="str">
        <f>HYPERLINK("https://twitter.com/cutiepies0ft","@cutiepies0ft")</f>
        <v>@cutiepies0ft</v>
      </c>
      <c r="C14861" t="s">
        <v>3340</v>
      </c>
      <c r="D14861">
        <v>128</v>
      </c>
      <c r="E14861">
        <v>0</v>
      </c>
      <c r="F14861">
        <v>1263</v>
      </c>
    </row>
    <row r="14862" spans="1:6" ht="12.75">
      <c r="A14862" s="2">
        <v>43878.575648148151</v>
      </c>
      <c r="B14862" t="str">
        <f>HYPERLINK("https://twitter.com/tanoe67","@tanoe67")</f>
        <v>@tanoe67</v>
      </c>
      <c r="C14862" t="s">
        <v>4605</v>
      </c>
      <c r="D14862">
        <v>1548</v>
      </c>
      <c r="E14862">
        <v>0</v>
      </c>
      <c r="F14862">
        <v>261</v>
      </c>
    </row>
    <row r="14863" spans="1:6" ht="12.75">
      <c r="A14863" s="2">
        <v>43878.575567129628</v>
      </c>
      <c r="B14863" t="str">
        <f>HYPERLINK("https://twitter.com/syahdic016","@syahdic016")</f>
        <v>@syahdic016</v>
      </c>
      <c r="C14863" t="s">
        <v>2155</v>
      </c>
      <c r="D14863">
        <v>95</v>
      </c>
      <c r="E14863">
        <v>0</v>
      </c>
      <c r="F14863">
        <v>6575</v>
      </c>
    </row>
    <row r="14864" spans="1:6" ht="12.75">
      <c r="A14864" s="2">
        <v>43878.575486111113</v>
      </c>
      <c r="B14864" t="str">
        <f>HYPERLINK("https://twitter.com/tanoe67","@tanoe67")</f>
        <v>@tanoe67</v>
      </c>
      <c r="C14864" t="s">
        <v>3799</v>
      </c>
      <c r="D14864">
        <v>3652</v>
      </c>
      <c r="E14864">
        <v>0</v>
      </c>
      <c r="F14864">
        <v>261</v>
      </c>
    </row>
    <row r="14865" spans="1:6" ht="12.75">
      <c r="A14865" s="2">
        <v>43878.575428240743</v>
      </c>
      <c r="B14865" t="str">
        <f>HYPERLINK("https://twitter.com/Adidoanx68","@Adidoanx68")</f>
        <v>@Adidoanx68</v>
      </c>
      <c r="C14865" t="s">
        <v>6161</v>
      </c>
      <c r="D14865">
        <v>219</v>
      </c>
      <c r="E14865">
        <v>0</v>
      </c>
      <c r="F14865">
        <v>427</v>
      </c>
    </row>
    <row r="14866" spans="1:6" ht="12.75">
      <c r="A14866" s="2">
        <v>43878.575381944444</v>
      </c>
      <c r="B14866" t="str">
        <f>HYPERLINK("https://twitter.com/JohnIrwan4","@JohnIrwan4")</f>
        <v>@JohnIrwan4</v>
      </c>
      <c r="C14866" t="s">
        <v>7629</v>
      </c>
      <c r="D14866">
        <v>1</v>
      </c>
      <c r="E14866">
        <v>0</v>
      </c>
      <c r="F14866">
        <v>2256</v>
      </c>
    </row>
    <row r="14867" spans="1:6" ht="12.75">
      <c r="A14867" s="2">
        <v>43878.575150462959</v>
      </c>
      <c r="B14867" t="str">
        <f>HYPERLINK("https://twitter.com/AnakKolong___","@AnakKolong___")</f>
        <v>@AnakKolong___</v>
      </c>
      <c r="C14867" t="s">
        <v>7630</v>
      </c>
      <c r="D14867">
        <v>1</v>
      </c>
      <c r="E14867">
        <v>0</v>
      </c>
      <c r="F14867">
        <v>6053</v>
      </c>
    </row>
    <row r="14868" spans="1:6" ht="12.75">
      <c r="A14868" s="2">
        <v>43878.575150462959</v>
      </c>
      <c r="B14868" t="str">
        <f>HYPERLINK("https://twitter.com/BakoelPotong","@BakoelPotong")</f>
        <v>@BakoelPotong</v>
      </c>
      <c r="C14868" t="s">
        <v>6161</v>
      </c>
      <c r="D14868">
        <v>219</v>
      </c>
      <c r="E14868">
        <v>0</v>
      </c>
      <c r="F14868">
        <v>31</v>
      </c>
    </row>
    <row r="14869" spans="1:6" ht="12.75">
      <c r="A14869" s="2">
        <v>43878.574976851851</v>
      </c>
      <c r="B14869" t="str">
        <f>HYPERLINK("https://twitter.com/lattaematcha","@lattaematcha")</f>
        <v>@lattaematcha</v>
      </c>
      <c r="C14869" t="s">
        <v>3340</v>
      </c>
      <c r="D14869">
        <v>128</v>
      </c>
      <c r="E14869">
        <v>0</v>
      </c>
      <c r="F14869">
        <v>3549</v>
      </c>
    </row>
    <row r="14870" spans="1:6" ht="12.75">
      <c r="A14870" s="2">
        <v>43878.574826388889</v>
      </c>
      <c r="B14870" t="str">
        <f>HYPERLINK("https://twitter.com/Unjur19","@Unjur19")</f>
        <v>@Unjur19</v>
      </c>
      <c r="C14870" t="s">
        <v>7589</v>
      </c>
      <c r="D14870">
        <v>3</v>
      </c>
      <c r="E14870">
        <v>0</v>
      </c>
      <c r="F14870">
        <v>1228</v>
      </c>
    </row>
    <row r="14871" spans="1:6" ht="12.75">
      <c r="A14871" s="2">
        <v>43878.574675925927</v>
      </c>
      <c r="B14871" t="str">
        <f>HYPERLINK("https://twitter.com/Bentalakelam","@Bentalakelam")</f>
        <v>@Bentalakelam</v>
      </c>
      <c r="C14871" t="s">
        <v>7631</v>
      </c>
      <c r="D14871">
        <v>1</v>
      </c>
      <c r="E14871">
        <v>1</v>
      </c>
      <c r="F14871">
        <v>2111</v>
      </c>
    </row>
    <row r="14872" spans="1:6" ht="12.75">
      <c r="A14872" s="2">
        <v>43878.574594907404</v>
      </c>
      <c r="B14872" t="str">
        <f>HYPERLINK("https://twitter.com/Metro_TV","@Metro_TV")</f>
        <v>@Metro_TV</v>
      </c>
      <c r="C14872" t="s">
        <v>7632</v>
      </c>
      <c r="D14872">
        <v>3</v>
      </c>
      <c r="E14872">
        <v>2</v>
      </c>
      <c r="F14872">
        <v>10510096</v>
      </c>
    </row>
    <row r="14873" spans="1:6" ht="12.75">
      <c r="A14873" s="2">
        <v>43878.574363425927</v>
      </c>
      <c r="B14873" t="str">
        <f>HYPERLINK("https://twitter.com/robi_ismu","@robi_ismu")</f>
        <v>@robi_ismu</v>
      </c>
      <c r="C14873" t="s">
        <v>7633</v>
      </c>
      <c r="D14873">
        <v>0</v>
      </c>
      <c r="E14873">
        <v>0</v>
      </c>
      <c r="F14873">
        <v>8</v>
      </c>
    </row>
    <row r="14874" spans="1:6" ht="12.75">
      <c r="A14874" s="2">
        <v>43878.57430555555</v>
      </c>
      <c r="B14874" t="str">
        <f>HYPERLINK("https://twitter.com/dwi_thile","@dwi_thile")</f>
        <v>@dwi_thile</v>
      </c>
      <c r="C14874" t="s">
        <v>2155</v>
      </c>
      <c r="D14874">
        <v>95</v>
      </c>
      <c r="E14874">
        <v>0</v>
      </c>
      <c r="F14874">
        <v>172</v>
      </c>
    </row>
    <row r="14875" spans="1:6" ht="12.75">
      <c r="A14875" s="2">
        <v>43878.573784722219</v>
      </c>
      <c r="B14875" t="str">
        <f>HYPERLINK("https://twitter.com/jekhaw_","@jekhaw_")</f>
        <v>@jekhaw_</v>
      </c>
      <c r="C14875" t="s">
        <v>3340</v>
      </c>
      <c r="D14875">
        <v>128</v>
      </c>
      <c r="E14875">
        <v>0</v>
      </c>
      <c r="F14875">
        <v>830</v>
      </c>
    </row>
    <row r="14876" spans="1:6" ht="12.75">
      <c r="A14876" s="2">
        <v>43878.573194444441</v>
      </c>
      <c r="B14876" t="str">
        <f>HYPERLINK("https://twitter.com/nasoo2010","@nasoo2010")</f>
        <v>@nasoo2010</v>
      </c>
      <c r="C14876" t="s">
        <v>3340</v>
      </c>
      <c r="D14876">
        <v>128</v>
      </c>
      <c r="E14876">
        <v>0</v>
      </c>
      <c r="F14876">
        <v>329</v>
      </c>
    </row>
    <row r="14877" spans="1:6" ht="12.75">
      <c r="A14877" s="2">
        <v>43878.573078703703</v>
      </c>
      <c r="B14877" t="str">
        <f>HYPERLINK("https://twitter.com/jjsengui","@jjsengui")</f>
        <v>@jjsengui</v>
      </c>
      <c r="C14877" t="s">
        <v>2155</v>
      </c>
      <c r="D14877">
        <v>95</v>
      </c>
      <c r="E14877">
        <v>0</v>
      </c>
      <c r="F14877">
        <v>838</v>
      </c>
    </row>
    <row r="14878" spans="1:6" ht="12.75">
      <c r="A14878" s="2">
        <v>43878.572997685187</v>
      </c>
      <c r="B14878" t="str">
        <f>HYPERLINK("https://twitter.com/CH_chotimah","@CH_chotimah")</f>
        <v>@CH_chotimah</v>
      </c>
      <c r="C14878" t="s">
        <v>2155</v>
      </c>
      <c r="D14878">
        <v>95</v>
      </c>
      <c r="E14878">
        <v>0</v>
      </c>
      <c r="F14878">
        <v>64861</v>
      </c>
    </row>
    <row r="14879" spans="1:6" ht="12.75">
      <c r="A14879" s="2">
        <v>43878.572754629626</v>
      </c>
      <c r="B14879" t="str">
        <f>HYPERLINK("https://twitter.com/agoessp","@agoessp")</f>
        <v>@agoessp</v>
      </c>
      <c r="C14879" t="s">
        <v>2155</v>
      </c>
      <c r="D14879">
        <v>95</v>
      </c>
      <c r="E14879">
        <v>0</v>
      </c>
      <c r="F14879">
        <v>131</v>
      </c>
    </row>
    <row r="14880" spans="1:6" ht="12.75">
      <c r="A14880" s="2">
        <v>43878.572488425925</v>
      </c>
      <c r="B14880" t="str">
        <f>HYPERLINK("https://twitter.com/agustin_sastra","@agustin_sastra")</f>
        <v>@agustin_sastra</v>
      </c>
      <c r="C14880" t="s">
        <v>6161</v>
      </c>
      <c r="D14880">
        <v>219</v>
      </c>
      <c r="E14880">
        <v>0</v>
      </c>
      <c r="F14880">
        <v>522</v>
      </c>
    </row>
    <row r="14881" spans="1:6" ht="12.75">
      <c r="A14881" s="2">
        <v>43878.572233796294</v>
      </c>
      <c r="B14881" t="str">
        <f>HYPERLINK("https://twitter.com/_jabangtutuko_","@_jabangtutuko_")</f>
        <v>@_jabangtutuko_</v>
      </c>
      <c r="C14881" t="s">
        <v>2155</v>
      </c>
      <c r="D14881">
        <v>95</v>
      </c>
      <c r="E14881">
        <v>0</v>
      </c>
      <c r="F14881">
        <v>415</v>
      </c>
    </row>
    <row r="14882" spans="1:6" ht="12.75">
      <c r="A14882" s="2">
        <v>43878.571354166663</v>
      </c>
      <c r="B14882" t="str">
        <f>HYPERLINK("https://twitter.com/AchmadFalah6","@AchmadFalah6")</f>
        <v>@AchmadFalah6</v>
      </c>
      <c r="C14882" t="s">
        <v>2155</v>
      </c>
      <c r="D14882">
        <v>95</v>
      </c>
      <c r="E14882">
        <v>0</v>
      </c>
      <c r="F14882">
        <v>2087</v>
      </c>
    </row>
    <row r="14883" spans="1:6" ht="12.75">
      <c r="A14883" s="2">
        <v>43878.571122685185</v>
      </c>
      <c r="B14883" t="str">
        <f>HYPERLINK("https://twitter.com/soyandjoy0408","@soyandjoy0408")</f>
        <v>@soyandjoy0408</v>
      </c>
      <c r="C14883" t="s">
        <v>3340</v>
      </c>
      <c r="D14883">
        <v>128</v>
      </c>
      <c r="E14883">
        <v>0</v>
      </c>
      <c r="F14883">
        <v>21</v>
      </c>
    </row>
    <row r="14884" spans="1:6" ht="12.75">
      <c r="A14884" s="2">
        <v>43878.571099537032</v>
      </c>
      <c r="B14884" t="str">
        <f>HYPERLINK("https://twitter.com/audianmaula","@audianmaula")</f>
        <v>@audianmaula</v>
      </c>
      <c r="C14884" t="s">
        <v>6721</v>
      </c>
      <c r="D14884">
        <v>302</v>
      </c>
      <c r="E14884">
        <v>0</v>
      </c>
      <c r="F14884">
        <v>495</v>
      </c>
    </row>
    <row r="14885" spans="1:6" ht="12.75">
      <c r="A14885" s="2">
        <v>43878.571030092593</v>
      </c>
      <c r="B14885" t="str">
        <f>HYPERLINK("https://twitter.com/idda09","@idda09")</f>
        <v>@idda09</v>
      </c>
      <c r="C14885" t="s">
        <v>7634</v>
      </c>
      <c r="D14885">
        <v>8</v>
      </c>
      <c r="E14885">
        <v>0</v>
      </c>
      <c r="F14885">
        <v>206</v>
      </c>
    </row>
    <row r="14886" spans="1:6" ht="12.75">
      <c r="A14886" s="2">
        <v>43878.571018518516</v>
      </c>
      <c r="B14886" t="str">
        <f>HYPERLINK("https://twitter.com/sorotnews","@sorotnews")</f>
        <v>@sorotnews</v>
      </c>
      <c r="C14886" t="s">
        <v>7451</v>
      </c>
      <c r="D14886">
        <v>0</v>
      </c>
      <c r="E14886">
        <v>1</v>
      </c>
      <c r="F14886">
        <v>3529</v>
      </c>
    </row>
    <row r="14887" spans="1:6" ht="12.75">
      <c r="A14887" s="2">
        <v>43878.570590277777</v>
      </c>
      <c r="B14887" t="str">
        <f>HYPERLINK("https://twitter.com/Chr1sjunt","@Chr1sjunt")</f>
        <v>@Chr1sjunt</v>
      </c>
      <c r="C14887" t="s">
        <v>2674</v>
      </c>
      <c r="D14887">
        <v>74</v>
      </c>
      <c r="E14887">
        <v>0</v>
      </c>
      <c r="F14887">
        <v>1117</v>
      </c>
    </row>
    <row r="14888" spans="1:6" ht="12.75">
      <c r="A14888" s="2">
        <v>43878.570462962962</v>
      </c>
      <c r="B14888" t="str">
        <f>HYPERLINK("https://twitter.com/MrsRachelIn","@MrsRachelIn")</f>
        <v>@MrsRachelIn</v>
      </c>
      <c r="C14888" t="s">
        <v>7635</v>
      </c>
      <c r="D14888">
        <v>0</v>
      </c>
      <c r="E14888">
        <v>0</v>
      </c>
      <c r="F14888">
        <v>3146</v>
      </c>
    </row>
    <row r="14889" spans="1:6" ht="12.75">
      <c r="A14889" s="2">
        <v>43878.570381944446</v>
      </c>
      <c r="B14889" t="str">
        <f>HYPERLINK("https://twitter.com/aristie6","@aristie6")</f>
        <v>@aristie6</v>
      </c>
      <c r="C14889" t="s">
        <v>2155</v>
      </c>
      <c r="D14889">
        <v>95</v>
      </c>
      <c r="E14889">
        <v>0</v>
      </c>
      <c r="F14889">
        <v>295</v>
      </c>
    </row>
    <row r="14890" spans="1:6" ht="12.75">
      <c r="A14890" s="2">
        <v>43878.57</v>
      </c>
      <c r="B14890" t="str">
        <f>HYPERLINK("https://twitter.com/Abimany42843428","@Abimany42843428")</f>
        <v>@Abimany42843428</v>
      </c>
      <c r="C14890" t="s">
        <v>2155</v>
      </c>
      <c r="D14890">
        <v>95</v>
      </c>
      <c r="E14890">
        <v>0</v>
      </c>
      <c r="F14890">
        <v>59</v>
      </c>
    </row>
    <row r="14891" spans="1:6" ht="12.75">
      <c r="A14891" s="2">
        <v>43878.56994212963</v>
      </c>
      <c r="B14891" t="str">
        <f>HYPERLINK("https://twitter.com/SagaSantorini","@SagaSantorini")</f>
        <v>@SagaSantorini</v>
      </c>
      <c r="C14891" t="s">
        <v>2155</v>
      </c>
      <c r="D14891">
        <v>95</v>
      </c>
      <c r="E14891">
        <v>0</v>
      </c>
      <c r="F14891">
        <v>37</v>
      </c>
    </row>
    <row r="14892" spans="1:6" ht="12.75">
      <c r="A14892" s="2">
        <v>43878.569849537038</v>
      </c>
      <c r="B14892" t="str">
        <f>HYPERLINK("https://twitter.com/Ari3Pras","@Ari3Pras")</f>
        <v>@Ari3Pras</v>
      </c>
      <c r="C14892" t="s">
        <v>2155</v>
      </c>
      <c r="D14892">
        <v>95</v>
      </c>
      <c r="E14892">
        <v>0</v>
      </c>
      <c r="F14892">
        <v>7381</v>
      </c>
    </row>
    <row r="14893" spans="1:6" ht="12.75">
      <c r="A14893" s="2">
        <v>43878.569768518515</v>
      </c>
      <c r="B14893" t="str">
        <f>HYPERLINK("https://twitter.com/gumilar9966","@gumilar9966")</f>
        <v>@gumilar9966</v>
      </c>
      <c r="C14893" t="s">
        <v>6161</v>
      </c>
      <c r="D14893">
        <v>219</v>
      </c>
      <c r="E14893">
        <v>0</v>
      </c>
      <c r="F14893">
        <v>73</v>
      </c>
    </row>
    <row r="14894" spans="1:6" ht="12.75">
      <c r="A14894" s="2">
        <v>43878.569722222222</v>
      </c>
      <c r="B14894" t="str">
        <f>HYPERLINK("https://twitter.com/j0s4","@j0s4")</f>
        <v>@j0s4</v>
      </c>
      <c r="C14894" t="s">
        <v>2674</v>
      </c>
      <c r="D14894">
        <v>74</v>
      </c>
      <c r="E14894">
        <v>0</v>
      </c>
      <c r="F14894">
        <v>1125</v>
      </c>
    </row>
    <row r="14895" spans="1:6" ht="12.75">
      <c r="A14895" s="2">
        <v>43878.569594907407</v>
      </c>
      <c r="B14895" t="str">
        <f>HYPERLINK("https://twitter.com/Haykal96","@Haykal96")</f>
        <v>@Haykal96</v>
      </c>
      <c r="C14895" t="s">
        <v>2155</v>
      </c>
      <c r="D14895">
        <v>95</v>
      </c>
      <c r="E14895">
        <v>0</v>
      </c>
      <c r="F14895">
        <v>35</v>
      </c>
    </row>
    <row r="14896" spans="1:6" ht="12.75">
      <c r="A14896" s="2">
        <v>43878.568668981483</v>
      </c>
      <c r="B14896" t="str">
        <f>HYPERLINK("https://twitter.com/naqsya77","@naqsya77")</f>
        <v>@naqsya77</v>
      </c>
      <c r="C14896" t="s">
        <v>2155</v>
      </c>
      <c r="D14896">
        <v>95</v>
      </c>
      <c r="E14896">
        <v>0</v>
      </c>
      <c r="F14896">
        <v>4112</v>
      </c>
    </row>
    <row r="14897" spans="1:6" ht="12.75">
      <c r="A14897" s="2">
        <v>43878.568530092598</v>
      </c>
      <c r="B14897" t="str">
        <f>HYPERLINK("https://twitter.com/superdficial","@superdficial")</f>
        <v>@superdficial</v>
      </c>
      <c r="C14897" t="s">
        <v>6721</v>
      </c>
      <c r="D14897">
        <v>302</v>
      </c>
      <c r="E14897">
        <v>0</v>
      </c>
      <c r="F14897">
        <v>59</v>
      </c>
    </row>
    <row r="14898" spans="1:6" ht="12.75">
      <c r="A14898" s="2">
        <v>43878.568090277782</v>
      </c>
      <c r="B14898" t="str">
        <f>HYPERLINK("https://twitter.com/realPriGim","@realPriGim")</f>
        <v>@realPriGim</v>
      </c>
      <c r="C14898" t="s">
        <v>2155</v>
      </c>
      <c r="D14898">
        <v>95</v>
      </c>
      <c r="E14898">
        <v>0</v>
      </c>
      <c r="F14898">
        <v>3310</v>
      </c>
    </row>
    <row r="14899" spans="1:6" ht="12.75">
      <c r="A14899" s="2">
        <v>43878.567847222221</v>
      </c>
      <c r="B14899" t="str">
        <f>HYPERLINK("https://twitter.com/Kevin_Anggie","@Kevin_Anggie")</f>
        <v>@Kevin_Anggie</v>
      </c>
      <c r="C14899" t="s">
        <v>7111</v>
      </c>
      <c r="D14899">
        <v>10</v>
      </c>
      <c r="E14899">
        <v>0</v>
      </c>
      <c r="F14899">
        <v>1323</v>
      </c>
    </row>
    <row r="14900" spans="1:6" ht="12.75">
      <c r="A14900" s="2">
        <v>43878.567743055552</v>
      </c>
      <c r="B14900" t="str">
        <f>HYPERLINK("https://twitter.com/N53270338","@N53270338")</f>
        <v>@N53270338</v>
      </c>
      <c r="C14900" t="s">
        <v>2155</v>
      </c>
      <c r="D14900">
        <v>95</v>
      </c>
      <c r="E14900">
        <v>0</v>
      </c>
      <c r="F14900">
        <v>614</v>
      </c>
    </row>
    <row r="14901" spans="1:6" ht="12.75">
      <c r="A14901" s="2">
        <v>43878.567569444444</v>
      </c>
      <c r="B14901" t="str">
        <f>HYPERLINK("https://twitter.com/nurharyant","@nurharyant")</f>
        <v>@nurharyant</v>
      </c>
      <c r="C14901" t="s">
        <v>7636</v>
      </c>
      <c r="D14901">
        <v>4</v>
      </c>
      <c r="E14901">
        <v>0</v>
      </c>
      <c r="F14901">
        <v>132</v>
      </c>
    </row>
    <row r="14902" spans="1:6" ht="12.75">
      <c r="A14902" s="2">
        <v>43878.567280092597</v>
      </c>
      <c r="B14902" t="str">
        <f>HYPERLINK("https://twitter.com/sir_usil","@sir_usil")</f>
        <v>@sir_usil</v>
      </c>
      <c r="C14902" t="s">
        <v>6161</v>
      </c>
      <c r="D14902">
        <v>219</v>
      </c>
      <c r="E14902">
        <v>0</v>
      </c>
      <c r="F14902">
        <v>219</v>
      </c>
    </row>
    <row r="14903" spans="1:6" ht="12.75">
      <c r="A14903" s="2">
        <v>43878.567245370374</v>
      </c>
      <c r="B14903" t="str">
        <f>HYPERLINK("https://twitter.com/buchinpjm","@buchinpjm")</f>
        <v>@buchinpjm</v>
      </c>
      <c r="C14903" t="s">
        <v>7637</v>
      </c>
      <c r="D14903">
        <v>0</v>
      </c>
      <c r="E14903">
        <v>1</v>
      </c>
      <c r="F14903">
        <v>2720</v>
      </c>
    </row>
    <row r="14904" spans="1:6" ht="12.75">
      <c r="A14904" s="2">
        <v>43878.567141203705</v>
      </c>
      <c r="B14904" t="str">
        <f>HYPERLINK("https://twitter.com/PojokNU","@PojokNU")</f>
        <v>@PojokNU</v>
      </c>
      <c r="C14904" t="s">
        <v>7638</v>
      </c>
      <c r="D14904">
        <v>0</v>
      </c>
      <c r="E14904">
        <v>0</v>
      </c>
      <c r="F14904">
        <v>697</v>
      </c>
    </row>
    <row r="14905" spans="1:6" ht="12.75">
      <c r="A14905" s="2">
        <v>43878.542604166665</v>
      </c>
      <c r="B14905" t="str">
        <f>HYPERLINK("https://twitter.com/aak_brotoseno","@aak_brotoseno")</f>
        <v>@aak_brotoseno</v>
      </c>
      <c r="C14905" t="s">
        <v>7639</v>
      </c>
      <c r="D14905">
        <v>0</v>
      </c>
      <c r="E14905">
        <v>0</v>
      </c>
      <c r="F14905">
        <v>911</v>
      </c>
    </row>
    <row r="14906" spans="1:6" ht="12.75">
      <c r="A14906" s="2">
        <v>43878.542592592596</v>
      </c>
      <c r="B14906" t="str">
        <f>HYPERLINK("https://twitter.com/indrayansyah421","@indrayansyah421")</f>
        <v>@indrayansyah421</v>
      </c>
      <c r="C14906" t="s">
        <v>4730</v>
      </c>
      <c r="D14906">
        <v>33</v>
      </c>
      <c r="E14906">
        <v>0</v>
      </c>
      <c r="F14906">
        <v>14</v>
      </c>
    </row>
    <row r="14907" spans="1:6" ht="12.75">
      <c r="A14907" s="2">
        <v>43878.542557870373</v>
      </c>
      <c r="B14907" t="str">
        <f>HYPERLINK("https://twitter.com/Woyrob__","@Woyrob__")</f>
        <v>@Woyrob__</v>
      </c>
      <c r="C14907" t="s">
        <v>6721</v>
      </c>
      <c r="D14907">
        <v>281</v>
      </c>
      <c r="E14907">
        <v>0</v>
      </c>
      <c r="F14907">
        <v>969</v>
      </c>
    </row>
    <row r="14908" spans="1:6" ht="12.75">
      <c r="A14908" s="2">
        <v>43878.542488425926</v>
      </c>
      <c r="B14908" t="str">
        <f>HYPERLINK("https://twitter.com/ginting_Angga","@ginting_Angga")</f>
        <v>@ginting_Angga</v>
      </c>
      <c r="C14908" t="s">
        <v>6721</v>
      </c>
      <c r="D14908">
        <v>281</v>
      </c>
      <c r="E14908">
        <v>0</v>
      </c>
      <c r="F14908">
        <v>164</v>
      </c>
    </row>
    <row r="14909" spans="1:6" ht="12.75">
      <c r="A14909" s="2">
        <v>43878.542384259257</v>
      </c>
      <c r="B14909" t="str">
        <f>HYPERLINK("https://twitter.com/crishtseason","@crishtseason")</f>
        <v>@crishtseason</v>
      </c>
      <c r="C14909" t="s">
        <v>6721</v>
      </c>
      <c r="D14909">
        <v>281</v>
      </c>
      <c r="E14909">
        <v>0</v>
      </c>
      <c r="F14909">
        <v>263</v>
      </c>
    </row>
    <row r="14910" spans="1:6" ht="12.75">
      <c r="A14910" s="2">
        <v>43878.54215277778</v>
      </c>
      <c r="B14910" t="str">
        <f>HYPERLINK("https://twitter.com/oscarXoscar","@oscarXoscar")</f>
        <v>@oscarXoscar</v>
      </c>
      <c r="C14910" t="s">
        <v>7640</v>
      </c>
      <c r="D14910">
        <v>0</v>
      </c>
      <c r="E14910">
        <v>0</v>
      </c>
      <c r="F14910">
        <v>212</v>
      </c>
    </row>
    <row r="14911" spans="1:6" ht="12.75">
      <c r="A14911" s="2">
        <v>43878.542048611111</v>
      </c>
      <c r="B14911" t="str">
        <f>HYPERLINK("https://twitter.com/BimaValentino","@BimaValentino")</f>
        <v>@BimaValentino</v>
      </c>
      <c r="C14911" t="s">
        <v>6721</v>
      </c>
      <c r="D14911">
        <v>281</v>
      </c>
      <c r="E14911">
        <v>0</v>
      </c>
      <c r="F14911">
        <v>485</v>
      </c>
    </row>
    <row r="14912" spans="1:6" ht="12.75">
      <c r="A14912" s="2">
        <v>43878.541944444441</v>
      </c>
      <c r="B14912" t="str">
        <f>HYPERLINK("https://twitter.com/fachryni","@fachryni")</f>
        <v>@fachryni</v>
      </c>
      <c r="C14912" t="s">
        <v>6721</v>
      </c>
      <c r="D14912">
        <v>281</v>
      </c>
      <c r="E14912">
        <v>0</v>
      </c>
      <c r="F14912">
        <v>446</v>
      </c>
    </row>
    <row r="14913" spans="1:6" ht="12.75">
      <c r="A14913" s="2">
        <v>43878.541851851856</v>
      </c>
      <c r="B14913" t="str">
        <f>HYPERLINK("https://twitter.com/seline43340570","@seline43340570")</f>
        <v>@seline43340570</v>
      </c>
      <c r="C14913" t="s">
        <v>7641</v>
      </c>
      <c r="D14913">
        <v>0</v>
      </c>
      <c r="E14913">
        <v>0</v>
      </c>
      <c r="F14913">
        <v>16</v>
      </c>
    </row>
    <row r="14914" spans="1:6" ht="12.75">
      <c r="A14914" s="2">
        <v>43878.541446759264</v>
      </c>
      <c r="B14914" t="str">
        <f>HYPERLINK("https://twitter.com/DavidRuslie8","@DavidRuslie8")</f>
        <v>@DavidRuslie8</v>
      </c>
      <c r="C14914" t="s">
        <v>2674</v>
      </c>
      <c r="D14914">
        <v>72</v>
      </c>
      <c r="E14914">
        <v>0</v>
      </c>
      <c r="F14914">
        <v>920</v>
      </c>
    </row>
    <row r="14915" spans="1:6" ht="12.75">
      <c r="A14915" s="2">
        <v>43878.541435185187</v>
      </c>
      <c r="B14915" t="str">
        <f>HYPERLINK("https://twitter.com/ikhsanaprian1","@ikhsanaprian1")</f>
        <v>@ikhsanaprian1</v>
      </c>
      <c r="C14915" t="s">
        <v>7642</v>
      </c>
      <c r="D14915">
        <v>0</v>
      </c>
      <c r="E14915">
        <v>0</v>
      </c>
      <c r="F14915">
        <v>211</v>
      </c>
    </row>
    <row r="14916" spans="1:6" ht="12.75">
      <c r="A14916" s="2">
        <v>43878.541365740741</v>
      </c>
      <c r="B14916" t="str">
        <f>HYPERLINK("https://twitter.com/khofibarrazaqi","@khofibarrazaqi")</f>
        <v>@khofibarrazaqi</v>
      </c>
      <c r="C14916" t="s">
        <v>6161</v>
      </c>
      <c r="D14916">
        <v>205</v>
      </c>
      <c r="E14916">
        <v>0</v>
      </c>
      <c r="F14916">
        <v>1395</v>
      </c>
    </row>
    <row r="14917" spans="1:6" ht="12.75">
      <c r="A14917" s="2">
        <v>43878.541342592594</v>
      </c>
      <c r="B14917" t="str">
        <f>HYPERLINK("https://twitter.com/MAlexandriet","@MAlexandriet")</f>
        <v>@MAlexandriet</v>
      </c>
      <c r="C14917" t="s">
        <v>6161</v>
      </c>
      <c r="D14917">
        <v>205</v>
      </c>
      <c r="E14917">
        <v>0</v>
      </c>
      <c r="F14917">
        <v>196</v>
      </c>
    </row>
    <row r="14918" spans="1:6" ht="12.75">
      <c r="A14918" s="2">
        <v>43878.541087962964</v>
      </c>
      <c r="B14918" t="str">
        <f>HYPERLINK("https://twitter.com/DediBinBuchori","@DediBinBuchori")</f>
        <v>@DediBinBuchori</v>
      </c>
      <c r="C14918" t="s">
        <v>6721</v>
      </c>
      <c r="D14918">
        <v>281</v>
      </c>
      <c r="E14918">
        <v>0</v>
      </c>
      <c r="F14918">
        <v>501</v>
      </c>
    </row>
    <row r="14919" spans="1:6" ht="12.75">
      <c r="A14919" s="2">
        <v>43878.540983796294</v>
      </c>
      <c r="B14919" t="str">
        <f>HYPERLINK("https://twitter.com/mirhan_sandy","@mirhan_sandy")</f>
        <v>@mirhan_sandy</v>
      </c>
      <c r="C14919" t="s">
        <v>7643</v>
      </c>
      <c r="D14919">
        <v>0</v>
      </c>
      <c r="E14919">
        <v>0</v>
      </c>
      <c r="F14919">
        <v>18</v>
      </c>
    </row>
    <row r="14920" spans="1:6" ht="12.75">
      <c r="A14920" s="2">
        <v>43878.540138888886</v>
      </c>
      <c r="B14920" t="str">
        <f>HYPERLINK("https://twitter.com/Chris17147695","@Chris17147695")</f>
        <v>@Chris17147695</v>
      </c>
      <c r="C14920" t="s">
        <v>7644</v>
      </c>
      <c r="D14920">
        <v>0</v>
      </c>
      <c r="E14920">
        <v>0</v>
      </c>
      <c r="F14920">
        <v>121</v>
      </c>
    </row>
    <row r="14921" spans="1:6" ht="12.75">
      <c r="A14921" s="2">
        <v>43878.540138888886</v>
      </c>
      <c r="B14921" t="str">
        <f>HYPERLINK("https://twitter.com/deshiou","@deshiou")</f>
        <v>@deshiou</v>
      </c>
      <c r="C14921" t="s">
        <v>3340</v>
      </c>
      <c r="D14921">
        <v>100</v>
      </c>
      <c r="E14921">
        <v>0</v>
      </c>
      <c r="F14921">
        <v>62</v>
      </c>
    </row>
    <row r="14922" spans="1:6" ht="12.75">
      <c r="A14922" s="2">
        <v>43878.539953703701</v>
      </c>
      <c r="B14922" t="str">
        <f>HYPERLINK("https://twitter.com/aryaarga10","@aryaarga10")</f>
        <v>@aryaarga10</v>
      </c>
      <c r="C14922" t="s">
        <v>7645</v>
      </c>
      <c r="D14922">
        <v>0</v>
      </c>
      <c r="E14922">
        <v>0</v>
      </c>
      <c r="F14922">
        <v>7</v>
      </c>
    </row>
    <row r="14923" spans="1:6" ht="12.75">
      <c r="A14923" s="2">
        <v>43878.539930555555</v>
      </c>
      <c r="B14923" t="str">
        <f>HYPERLINK("https://twitter.com/hafizharya0430","@hafizharya0430")</f>
        <v>@hafizharya0430</v>
      </c>
      <c r="C14923" t="s">
        <v>3340</v>
      </c>
      <c r="D14923">
        <v>100</v>
      </c>
      <c r="E14923">
        <v>0</v>
      </c>
      <c r="F14923">
        <v>107</v>
      </c>
    </row>
    <row r="14924" spans="1:6" ht="12.75">
      <c r="A14924" s="2">
        <v>43878.539884259255</v>
      </c>
      <c r="B14924" t="str">
        <f>HYPERLINK("https://twitter.com/ISIS_Balik_NO","@ISIS_Balik_NO")</f>
        <v>@ISIS_Balik_NO</v>
      </c>
      <c r="C14924" t="s">
        <v>7646</v>
      </c>
      <c r="D14924">
        <v>18068</v>
      </c>
      <c r="E14924">
        <v>0</v>
      </c>
      <c r="F14924">
        <v>5973</v>
      </c>
    </row>
    <row r="14925" spans="1:6" ht="12.75">
      <c r="A14925" s="2">
        <v>43878.53979166667</v>
      </c>
      <c r="B14925" t="str">
        <f>HYPERLINK("https://twitter.com/nibras_nf","@nibras_nf")</f>
        <v>@nibras_nf</v>
      </c>
      <c r="C14925" t="s">
        <v>7647</v>
      </c>
      <c r="D14925">
        <v>0</v>
      </c>
      <c r="E14925">
        <v>0</v>
      </c>
      <c r="F14925">
        <v>1009</v>
      </c>
    </row>
    <row r="14926" spans="1:6" ht="12.75">
      <c r="A14926" s="2">
        <v>43878.53974537037</v>
      </c>
      <c r="B14926" t="str">
        <f>HYPERLINK("https://twitter.com/dumbledthore","@dumbledthore")</f>
        <v>@dumbledthore</v>
      </c>
      <c r="C14926" t="s">
        <v>3340</v>
      </c>
      <c r="D14926">
        <v>100</v>
      </c>
      <c r="E14926">
        <v>0</v>
      </c>
      <c r="F14926">
        <v>40</v>
      </c>
    </row>
    <row r="14927" spans="1:6" ht="12.75">
      <c r="A14927" s="2">
        <v>43878.5393287037</v>
      </c>
      <c r="B14927" t="str">
        <f>HYPERLINK("https://twitter.com/bctyuu","@bctyuu")</f>
        <v>@bctyuu</v>
      </c>
      <c r="C14927" t="s">
        <v>3340</v>
      </c>
      <c r="D14927">
        <v>100</v>
      </c>
      <c r="E14927">
        <v>0</v>
      </c>
      <c r="F14927">
        <v>1633</v>
      </c>
    </row>
    <row r="14928" spans="1:6" ht="12.75">
      <c r="A14928" s="2">
        <v>43878.539293981477</v>
      </c>
      <c r="B14928" t="str">
        <f>HYPERLINK("https://twitter.com/AbdulRa74978577","@AbdulRa74978577")</f>
        <v>@AbdulRa74978577</v>
      </c>
      <c r="C14928" t="s">
        <v>7648</v>
      </c>
      <c r="D14928">
        <v>0</v>
      </c>
      <c r="E14928">
        <v>0</v>
      </c>
      <c r="F14928">
        <v>2</v>
      </c>
    </row>
    <row r="14929" spans="1:6" ht="12.75">
      <c r="A14929" s="2">
        <v>43878.539212962962</v>
      </c>
      <c r="B14929" t="str">
        <f>HYPERLINK("https://twitter.com/ikhsanm68929028","@ikhsanm68929028")</f>
        <v>@ikhsanm68929028</v>
      </c>
      <c r="C14929" t="s">
        <v>7649</v>
      </c>
      <c r="D14929">
        <v>0</v>
      </c>
      <c r="E14929">
        <v>0</v>
      </c>
      <c r="F14929">
        <v>74</v>
      </c>
    </row>
    <row r="14930" spans="1:6" ht="12.75">
      <c r="A14930" s="2">
        <v>43878.539143518516</v>
      </c>
      <c r="B14930" t="str">
        <f>HYPERLINK("https://twitter.com/rianku02","@rianku02")</f>
        <v>@rianku02</v>
      </c>
      <c r="C14930" t="s">
        <v>7650</v>
      </c>
      <c r="D14930">
        <v>0</v>
      </c>
      <c r="E14930">
        <v>0</v>
      </c>
      <c r="F14930">
        <v>270</v>
      </c>
    </row>
    <row r="14931" spans="1:6" ht="12.75">
      <c r="A14931" s="2">
        <v>43878.539131944446</v>
      </c>
      <c r="B14931" t="str">
        <f>HYPERLINK("https://twitter.com/DikiSetiandi","@DikiSetiandi")</f>
        <v>@DikiSetiandi</v>
      </c>
      <c r="C14931" t="s">
        <v>7651</v>
      </c>
      <c r="D14931">
        <v>0</v>
      </c>
      <c r="E14931">
        <v>0</v>
      </c>
      <c r="F14931">
        <v>68</v>
      </c>
    </row>
    <row r="14932" spans="1:6" ht="12.75">
      <c r="A14932" s="2">
        <v>43878.539097222223</v>
      </c>
      <c r="B14932" t="str">
        <f>HYPERLINK("https://twitter.com/okezonenews","@okezonenews")</f>
        <v>@okezonenews</v>
      </c>
      <c r="C14932" t="s">
        <v>7652</v>
      </c>
      <c r="D14932">
        <v>0</v>
      </c>
      <c r="E14932">
        <v>0</v>
      </c>
      <c r="F14932">
        <v>1743977</v>
      </c>
    </row>
    <row r="14933" spans="1:6" ht="12.75">
      <c r="A14933" s="2">
        <v>43878.539085648154</v>
      </c>
      <c r="B14933" t="str">
        <f>HYPERLINK("https://twitter.com/PastinyaOrigin1","@PastinyaOrigin1")</f>
        <v>@PastinyaOrigin1</v>
      </c>
      <c r="C14933" t="s">
        <v>7623</v>
      </c>
      <c r="D14933">
        <v>2</v>
      </c>
      <c r="E14933">
        <v>0</v>
      </c>
      <c r="F14933">
        <v>143</v>
      </c>
    </row>
    <row r="14934" spans="1:6" ht="12.75">
      <c r="A14934" s="2">
        <v>43878.538935185185</v>
      </c>
      <c r="B14934" t="str">
        <f>HYPERLINK("https://twitter.com/GinartiI","@GinartiI")</f>
        <v>@GinartiI</v>
      </c>
      <c r="C14934" t="s">
        <v>7653</v>
      </c>
      <c r="D14934">
        <v>0</v>
      </c>
      <c r="E14934">
        <v>0</v>
      </c>
      <c r="F14934">
        <v>122</v>
      </c>
    </row>
    <row r="14935" spans="1:6" ht="12.75">
      <c r="A14935" s="2">
        <v>43878.538819444446</v>
      </c>
      <c r="B14935" t="str">
        <f>HYPERLINK("https://twitter.com/Tawsifsay","@Tawsifsay")</f>
        <v>@Tawsifsay</v>
      </c>
      <c r="C14935" t="s">
        <v>7654</v>
      </c>
      <c r="D14935">
        <v>0</v>
      </c>
      <c r="E14935">
        <v>0</v>
      </c>
      <c r="F14935">
        <v>4</v>
      </c>
    </row>
    <row r="14936" spans="1:6" ht="12.75">
      <c r="A14936" s="2">
        <v>43878.538391203707</v>
      </c>
      <c r="B14936" t="str">
        <f>HYPERLINK("https://twitter.com/AniesSubianto","@AniesSubianto")</f>
        <v>@AniesSubianto</v>
      </c>
      <c r="C14936" t="s">
        <v>7582</v>
      </c>
      <c r="D14936">
        <v>4</v>
      </c>
      <c r="E14936">
        <v>0</v>
      </c>
      <c r="F14936">
        <v>227</v>
      </c>
    </row>
    <row r="14937" spans="1:6" ht="12.75">
      <c r="A14937" s="2">
        <v>43878.538298611107</v>
      </c>
      <c r="B14937" t="str">
        <f>HYPERLINK("https://twitter.com/syaifudinzuhry_","@syaifudinzuhry_")</f>
        <v>@syaifudinzuhry_</v>
      </c>
      <c r="C14937" t="s">
        <v>7655</v>
      </c>
      <c r="D14937">
        <v>0</v>
      </c>
      <c r="E14937">
        <v>0</v>
      </c>
      <c r="F14937">
        <v>73</v>
      </c>
    </row>
    <row r="14938" spans="1:6" ht="12.75">
      <c r="A14938" s="2">
        <v>43878.537685185191</v>
      </c>
      <c r="B14938" t="str">
        <f>HYPERLINK("https://twitter.com/iambabayega","@iambabayega")</f>
        <v>@iambabayega</v>
      </c>
      <c r="C14938" t="s">
        <v>7656</v>
      </c>
      <c r="D14938">
        <v>0</v>
      </c>
      <c r="E14938">
        <v>0</v>
      </c>
      <c r="F14938">
        <v>213</v>
      </c>
    </row>
    <row r="14939" spans="1:6" ht="12.75">
      <c r="A14939" s="2">
        <v>43878.537164351852</v>
      </c>
      <c r="B14939" t="str">
        <f>HYPERLINK("https://twitter.com/ZZupita","@ZZupita")</f>
        <v>@ZZupita</v>
      </c>
      <c r="C14939" t="s">
        <v>7657</v>
      </c>
      <c r="D14939">
        <v>0</v>
      </c>
      <c r="E14939">
        <v>0</v>
      </c>
      <c r="F14939">
        <v>95</v>
      </c>
    </row>
    <row r="14940" spans="1:6" ht="12.75">
      <c r="A14940" s="2">
        <v>43878.537025462967</v>
      </c>
      <c r="B14940" t="str">
        <f>HYPERLINK("https://twitter.com/ad_arlisa","@ad_arlisa")</f>
        <v>@ad_arlisa</v>
      </c>
      <c r="C14940" t="s">
        <v>3340</v>
      </c>
      <c r="D14940">
        <v>100</v>
      </c>
      <c r="E14940">
        <v>0</v>
      </c>
      <c r="F14940">
        <v>134</v>
      </c>
    </row>
    <row r="14941" spans="1:6" ht="12.75">
      <c r="A14941" s="2">
        <v>43878.536875000005</v>
      </c>
      <c r="B14941" t="str">
        <f>HYPERLINK("https://twitter.com/Kang_Abah_Mad","@Kang_Abah_Mad")</f>
        <v>@Kang_Abah_Mad</v>
      </c>
      <c r="C14941" t="s">
        <v>6161</v>
      </c>
      <c r="D14941">
        <v>205</v>
      </c>
      <c r="E14941">
        <v>0</v>
      </c>
      <c r="F14941">
        <v>188</v>
      </c>
    </row>
    <row r="14942" spans="1:6" ht="12.75">
      <c r="A14942" s="2">
        <v>43878.536400462966</v>
      </c>
      <c r="B14942" t="str">
        <f>HYPERLINK("https://twitter.com/mayanoer1","@mayanoer1")</f>
        <v>@mayanoer1</v>
      </c>
      <c r="C14942" t="s">
        <v>7658</v>
      </c>
      <c r="D14942">
        <v>0</v>
      </c>
      <c r="E14942">
        <v>0</v>
      </c>
      <c r="F14942">
        <v>104</v>
      </c>
    </row>
    <row r="14943" spans="1:6" ht="12.75">
      <c r="A14943" s="2">
        <v>43878.536319444444</v>
      </c>
      <c r="B14943" t="str">
        <f>HYPERLINK("https://twitter.com/DonAdam68","@DonAdam68")</f>
        <v>@DonAdam68</v>
      </c>
      <c r="C14943" t="s">
        <v>7623</v>
      </c>
      <c r="D14943">
        <v>2</v>
      </c>
      <c r="E14943">
        <v>0</v>
      </c>
      <c r="F14943">
        <v>48419</v>
      </c>
    </row>
    <row r="14944" spans="1:6" ht="12.75">
      <c r="A14944" s="2">
        <v>43878.536099537036</v>
      </c>
      <c r="B14944" t="str">
        <f>HYPERLINK("https://twitter.com/fannyam82673024","@fannyam82673024")</f>
        <v>@fannyam82673024</v>
      </c>
      <c r="C14944" t="s">
        <v>7659</v>
      </c>
      <c r="D14944">
        <v>0</v>
      </c>
      <c r="E14944">
        <v>0</v>
      </c>
      <c r="F14944">
        <v>8</v>
      </c>
    </row>
    <row r="14945" spans="1:6" ht="12.75">
      <c r="A14945" s="2">
        <v>43878.536030092597</v>
      </c>
      <c r="B14945" t="str">
        <f>HYPERLINK("https://twitter.com/_jabangtutuko_","@_jabangtutuko_")</f>
        <v>@_jabangtutuko_</v>
      </c>
      <c r="C14945" t="s">
        <v>7582</v>
      </c>
      <c r="D14945">
        <v>4</v>
      </c>
      <c r="E14945">
        <v>0</v>
      </c>
      <c r="F14945">
        <v>415</v>
      </c>
    </row>
    <row r="14946" spans="1:6" ht="12.75">
      <c r="A14946" s="2">
        <v>43878.535717592589</v>
      </c>
      <c r="B14946" t="str">
        <f>HYPERLINK("https://twitter.com/NephiLaxmus","@NephiLaxmus")</f>
        <v>@NephiLaxmus</v>
      </c>
      <c r="C14946" t="s">
        <v>7660</v>
      </c>
      <c r="D14946">
        <v>2</v>
      </c>
      <c r="E14946">
        <v>3</v>
      </c>
      <c r="F14946">
        <v>14723</v>
      </c>
    </row>
    <row r="14947" spans="1:6" ht="12.75">
      <c r="A14947" s="2">
        <v>43878.535636574074</v>
      </c>
      <c r="B14947" t="str">
        <f>HYPERLINK("https://twitter.com/persaalumni212","@persaalumni212")</f>
        <v>@persaalumni212</v>
      </c>
      <c r="C14947" t="s">
        <v>7661</v>
      </c>
      <c r="D14947">
        <v>0</v>
      </c>
      <c r="E14947">
        <v>0</v>
      </c>
      <c r="F14947">
        <v>528</v>
      </c>
    </row>
    <row r="14948" spans="1:6" ht="12.75">
      <c r="A14948" s="2">
        <v>43878.535509259258</v>
      </c>
      <c r="B14948" t="str">
        <f>HYPERLINK("https://twitter.com/sukatanyaj","@sukatanyaj")</f>
        <v>@sukatanyaj</v>
      </c>
      <c r="C14948" t="s">
        <v>7662</v>
      </c>
      <c r="D14948">
        <v>539</v>
      </c>
      <c r="E14948">
        <v>0</v>
      </c>
      <c r="F14948">
        <v>5684</v>
      </c>
    </row>
    <row r="14949" spans="1:6" ht="12.75">
      <c r="A14949" s="2">
        <v>43878.535497685181</v>
      </c>
      <c r="B14949" t="str">
        <f>HYPERLINK("https://twitter.com/ErnaHelma","@ErnaHelma")</f>
        <v>@ErnaHelma</v>
      </c>
      <c r="C14949" t="s">
        <v>7663</v>
      </c>
      <c r="D14949">
        <v>0</v>
      </c>
      <c r="E14949">
        <v>0</v>
      </c>
      <c r="F14949">
        <v>8</v>
      </c>
    </row>
    <row r="14950" spans="1:6" ht="12.75">
      <c r="A14950" s="2">
        <v>43878.535115740742</v>
      </c>
      <c r="B14950" t="str">
        <f>HYPERLINK("https://twitter.com/HeriawanAdiwan2","@HeriawanAdiwan2")</f>
        <v>@HeriawanAdiwan2</v>
      </c>
      <c r="C14950" t="s">
        <v>7664</v>
      </c>
      <c r="D14950">
        <v>0</v>
      </c>
      <c r="E14950">
        <v>2</v>
      </c>
      <c r="F14950">
        <v>2856</v>
      </c>
    </row>
    <row r="14951" spans="1:6" ht="12.75">
      <c r="A14951" s="2">
        <v>43878.534444444449</v>
      </c>
      <c r="B14951" t="str">
        <f>HYPERLINK("https://twitter.com/defor29","@defor29")</f>
        <v>@defor29</v>
      </c>
      <c r="C14951" t="s">
        <v>3340</v>
      </c>
      <c r="D14951">
        <v>100</v>
      </c>
      <c r="E14951">
        <v>0</v>
      </c>
      <c r="F14951">
        <v>1888</v>
      </c>
    </row>
    <row r="14952" spans="1:6" ht="12.75">
      <c r="A14952" s="2">
        <v>43878.534421296295</v>
      </c>
      <c r="B14952" t="str">
        <f>HYPERLINK("https://twitter.com/realbacht","@realbacht")</f>
        <v>@realbacht</v>
      </c>
      <c r="C14952" t="s">
        <v>6721</v>
      </c>
      <c r="D14952">
        <v>281</v>
      </c>
      <c r="E14952">
        <v>0</v>
      </c>
      <c r="F14952">
        <v>74</v>
      </c>
    </row>
    <row r="14953" spans="1:6" ht="12.75">
      <c r="A14953" s="2">
        <v>43878.534224537041</v>
      </c>
      <c r="B14953" t="str">
        <f>HYPERLINK("https://twitter.com/aisyahasyifa8","@aisyahasyifa8")</f>
        <v>@aisyahasyifa8</v>
      </c>
      <c r="C14953" t="s">
        <v>7665</v>
      </c>
      <c r="D14953">
        <v>0</v>
      </c>
      <c r="E14953">
        <v>0</v>
      </c>
      <c r="F14953">
        <v>120</v>
      </c>
    </row>
    <row r="14954" spans="1:6" ht="12.75">
      <c r="A14954" s="2">
        <v>43878.534050925926</v>
      </c>
      <c r="B14954" t="str">
        <f>HYPERLINK("https://twitter.com/visitortwt1","@visitortwt1")</f>
        <v>@visitortwt1</v>
      </c>
      <c r="C14954" t="s">
        <v>7666</v>
      </c>
      <c r="D14954">
        <v>5</v>
      </c>
      <c r="E14954">
        <v>0</v>
      </c>
      <c r="F14954">
        <v>363</v>
      </c>
    </row>
    <row r="14955" spans="1:6" ht="12.75">
      <c r="A14955" s="2">
        <v>43878.533819444448</v>
      </c>
      <c r="B14955" t="str">
        <f>HYPERLINK("https://twitter.com/Simarkuy","@Simarkuy")</f>
        <v>@Simarkuy</v>
      </c>
      <c r="C14955" t="s">
        <v>3340</v>
      </c>
      <c r="D14955">
        <v>100</v>
      </c>
      <c r="E14955">
        <v>0</v>
      </c>
      <c r="F14955">
        <v>540</v>
      </c>
    </row>
    <row r="14956" spans="1:6" ht="12.75">
      <c r="A14956" s="2">
        <v>43878.533541666664</v>
      </c>
      <c r="B14956" t="str">
        <f>HYPERLINK("https://twitter.com/AZainurrochim","@AZainurrochim")</f>
        <v>@AZainurrochim</v>
      </c>
      <c r="C14956" t="s">
        <v>7667</v>
      </c>
      <c r="D14956">
        <v>0</v>
      </c>
      <c r="E14956">
        <v>0</v>
      </c>
      <c r="F14956">
        <v>118</v>
      </c>
    </row>
    <row r="14957" spans="1:6" ht="12.75">
      <c r="A14957" s="2">
        <v>43878.533368055556</v>
      </c>
      <c r="B14957" t="str">
        <f>HYPERLINK("https://twitter.com/charlawidya","@charlawidya")</f>
        <v>@charlawidya</v>
      </c>
      <c r="C14957" t="s">
        <v>6161</v>
      </c>
      <c r="D14957">
        <v>205</v>
      </c>
      <c r="E14957">
        <v>0</v>
      </c>
      <c r="F14957">
        <v>455</v>
      </c>
    </row>
    <row r="14958" spans="1:6" ht="12.75">
      <c r="A14958" s="2">
        <v>43878.533055555556</v>
      </c>
      <c r="B14958" t="str">
        <f>HYPERLINK("https://twitter.com/pororooika","@pororooika")</f>
        <v>@pororooika</v>
      </c>
      <c r="C14958" t="s">
        <v>3340</v>
      </c>
      <c r="D14958">
        <v>100</v>
      </c>
      <c r="E14958">
        <v>0</v>
      </c>
      <c r="F14958">
        <v>64</v>
      </c>
    </row>
    <row r="14959" spans="1:6" ht="12.75">
      <c r="A14959" s="2">
        <v>43878.532812500001</v>
      </c>
      <c r="B14959" t="str">
        <f>HYPERLINK("https://twitter.com/Brahman91499636","@Brahman91499636")</f>
        <v>@Brahman91499636</v>
      </c>
      <c r="C14959" t="s">
        <v>4100</v>
      </c>
      <c r="D14959">
        <v>5</v>
      </c>
      <c r="E14959">
        <v>0</v>
      </c>
      <c r="F14959">
        <v>26</v>
      </c>
    </row>
    <row r="14960" spans="1:6" ht="12.75">
      <c r="A14960" s="2">
        <v>43878.532719907409</v>
      </c>
      <c r="B14960" t="str">
        <f>HYPERLINK("https://twitter.com/derapril","@derapril")</f>
        <v>@derapril</v>
      </c>
      <c r="C14960" t="s">
        <v>3340</v>
      </c>
      <c r="D14960">
        <v>100</v>
      </c>
      <c r="E14960">
        <v>0</v>
      </c>
      <c r="F14960">
        <v>800</v>
      </c>
    </row>
    <row r="14961" spans="1:6" ht="12.75">
      <c r="A14961" s="2">
        <v>43878.532546296294</v>
      </c>
      <c r="B14961" t="str">
        <f>HYPERLINK("https://twitter.com/Kopi_laut","@Kopi_laut")</f>
        <v>@Kopi_laut</v>
      </c>
      <c r="C14961" t="s">
        <v>7608</v>
      </c>
      <c r="D14961">
        <v>6</v>
      </c>
      <c r="E14961">
        <v>0</v>
      </c>
      <c r="F14961">
        <v>1798</v>
      </c>
    </row>
    <row r="14962" spans="1:6" ht="12.75">
      <c r="A14962" s="2">
        <v>43878.532534722224</v>
      </c>
      <c r="B14962" t="str">
        <f>HYPERLINK("https://twitter.com/mudha_satriya","@mudha_satriya")</f>
        <v>@mudha_satriya</v>
      </c>
      <c r="C14962" t="s">
        <v>7668</v>
      </c>
      <c r="D14962">
        <v>1</v>
      </c>
      <c r="E14962">
        <v>0</v>
      </c>
      <c r="F14962">
        <v>1875</v>
      </c>
    </row>
    <row r="14963" spans="1:6" ht="12.75">
      <c r="A14963" s="2">
        <v>43878.532199074078</v>
      </c>
      <c r="B14963" t="str">
        <f>HYPERLINK("https://twitter.com/SoraBaltasar","@SoraBaltasar")</f>
        <v>@SoraBaltasar</v>
      </c>
      <c r="C14963" t="s">
        <v>2674</v>
      </c>
      <c r="D14963">
        <v>72</v>
      </c>
      <c r="E14963">
        <v>0</v>
      </c>
      <c r="F14963">
        <v>377</v>
      </c>
    </row>
    <row r="14964" spans="1:6" ht="12.75">
      <c r="A14964" s="2">
        <v>43878.532083333332</v>
      </c>
      <c r="B14964" t="str">
        <f t="shared" ref="B14964:B14969" si="259">HYPERLINK("https://twitter.com/ZheeOmega","@ZheeOmega")</f>
        <v>@ZheeOmega</v>
      </c>
      <c r="C14964" t="s">
        <v>7389</v>
      </c>
      <c r="D14964">
        <v>4</v>
      </c>
      <c r="E14964">
        <v>0</v>
      </c>
      <c r="F14964">
        <v>17775</v>
      </c>
    </row>
    <row r="14965" spans="1:6" ht="12.75">
      <c r="A14965" s="2">
        <v>43878.532048611116</v>
      </c>
      <c r="B14965" t="str">
        <f t="shared" si="259"/>
        <v>@ZheeOmega</v>
      </c>
      <c r="C14965" t="s">
        <v>7669</v>
      </c>
      <c r="D14965">
        <v>1</v>
      </c>
      <c r="E14965">
        <v>0</v>
      </c>
      <c r="F14965">
        <v>17775</v>
      </c>
    </row>
    <row r="14966" spans="1:6" ht="12.75">
      <c r="A14966" s="2">
        <v>43878.532025462962</v>
      </c>
      <c r="B14966" t="str">
        <f t="shared" si="259"/>
        <v>@ZheeOmega</v>
      </c>
      <c r="C14966" t="s">
        <v>7670</v>
      </c>
      <c r="D14966">
        <v>1</v>
      </c>
      <c r="E14966">
        <v>0</v>
      </c>
      <c r="F14966">
        <v>17775</v>
      </c>
    </row>
    <row r="14967" spans="1:6" ht="12.75">
      <c r="A14967" s="2">
        <v>43878.53197916667</v>
      </c>
      <c r="B14967" t="str">
        <f t="shared" si="259"/>
        <v>@ZheeOmega</v>
      </c>
      <c r="C14967" t="s">
        <v>7671</v>
      </c>
      <c r="D14967">
        <v>1</v>
      </c>
      <c r="E14967">
        <v>0</v>
      </c>
      <c r="F14967">
        <v>17775</v>
      </c>
    </row>
    <row r="14968" spans="1:6" ht="12.75">
      <c r="A14968" s="2">
        <v>43878.531944444447</v>
      </c>
      <c r="B14968" t="str">
        <f t="shared" si="259"/>
        <v>@ZheeOmega</v>
      </c>
      <c r="C14968" t="s">
        <v>7672</v>
      </c>
      <c r="D14968">
        <v>1</v>
      </c>
      <c r="E14968">
        <v>0</v>
      </c>
      <c r="F14968">
        <v>17775</v>
      </c>
    </row>
    <row r="14969" spans="1:6" ht="12.75">
      <c r="A14969" s="2">
        <v>43878.531921296293</v>
      </c>
      <c r="B14969" t="str">
        <f t="shared" si="259"/>
        <v>@ZheeOmega</v>
      </c>
      <c r="C14969" t="s">
        <v>7673</v>
      </c>
      <c r="D14969">
        <v>1</v>
      </c>
      <c r="E14969">
        <v>0</v>
      </c>
      <c r="F14969">
        <v>17775</v>
      </c>
    </row>
    <row r="14970" spans="1:6" ht="12.75">
      <c r="A14970" s="2">
        <v>43878.531921296293</v>
      </c>
      <c r="B14970" t="str">
        <f>HYPERLINK("https://twitter.com/Willyaams","@Willyaams")</f>
        <v>@Willyaams</v>
      </c>
      <c r="C14970" t="s">
        <v>7674</v>
      </c>
      <c r="D14970">
        <v>0</v>
      </c>
      <c r="E14970">
        <v>0</v>
      </c>
      <c r="F14970">
        <v>473</v>
      </c>
    </row>
    <row r="14971" spans="1:6" ht="12.75">
      <c r="A14971" s="2">
        <v>43878.531817129631</v>
      </c>
      <c r="B14971" t="str">
        <f>HYPERLINK("https://twitter.com/ZZupita","@ZZupita")</f>
        <v>@ZZupita</v>
      </c>
      <c r="C14971" t="s">
        <v>7675</v>
      </c>
      <c r="D14971">
        <v>0</v>
      </c>
      <c r="E14971">
        <v>0</v>
      </c>
      <c r="F14971">
        <v>95</v>
      </c>
    </row>
    <row r="14972" spans="1:6" ht="12.75">
      <c r="A14972" s="2">
        <v>43878.531793981485</v>
      </c>
      <c r="B14972" t="str">
        <f>HYPERLINK("https://twitter.com/OldJoe771","@OldJoe771")</f>
        <v>@OldJoe771</v>
      </c>
      <c r="C14972" t="s">
        <v>7676</v>
      </c>
      <c r="D14972">
        <v>0</v>
      </c>
      <c r="E14972">
        <v>0</v>
      </c>
      <c r="F14972">
        <v>316</v>
      </c>
    </row>
    <row r="14973" spans="1:6" ht="12.75">
      <c r="A14973" s="2">
        <v>43878.531770833331</v>
      </c>
      <c r="B14973" t="str">
        <f>HYPERLINK("https://twitter.com/ZheeOmega","@ZheeOmega")</f>
        <v>@ZheeOmega</v>
      </c>
      <c r="C14973" t="s">
        <v>7677</v>
      </c>
      <c r="D14973">
        <v>2</v>
      </c>
      <c r="E14973">
        <v>0</v>
      </c>
      <c r="F14973">
        <v>17775</v>
      </c>
    </row>
    <row r="14974" spans="1:6" ht="12.75">
      <c r="A14974" s="2">
        <v>43878.5316087963</v>
      </c>
      <c r="B14974" t="str">
        <f>HYPERLINK("https://twitter.com/silvian38269915","@silvian38269915")</f>
        <v>@silvian38269915</v>
      </c>
      <c r="C14974" t="s">
        <v>7678</v>
      </c>
      <c r="D14974">
        <v>0</v>
      </c>
      <c r="E14974">
        <v>0</v>
      </c>
      <c r="F14974">
        <v>123</v>
      </c>
    </row>
    <row r="14975" spans="1:6" ht="12.75">
      <c r="A14975" s="2">
        <v>43878.531585648147</v>
      </c>
      <c r="B14975" t="str">
        <f>HYPERLINK("https://twitter.com/ZheeOmega","@ZheeOmega")</f>
        <v>@ZheeOmega</v>
      </c>
      <c r="C14975" t="s">
        <v>7679</v>
      </c>
      <c r="D14975">
        <v>2</v>
      </c>
      <c r="E14975">
        <v>0</v>
      </c>
      <c r="F14975">
        <v>17775</v>
      </c>
    </row>
    <row r="14976" spans="1:6" ht="12.75">
      <c r="A14976" s="2">
        <v>43878.531550925924</v>
      </c>
      <c r="B14976" t="str">
        <f>HYPERLINK("https://twitter.com/licecairam","@licecairam")</f>
        <v>@licecairam</v>
      </c>
      <c r="C14976" t="s">
        <v>7389</v>
      </c>
      <c r="D14976">
        <v>4</v>
      </c>
      <c r="E14976">
        <v>0</v>
      </c>
      <c r="F14976">
        <v>522</v>
      </c>
    </row>
    <row r="14977" spans="1:6" ht="12.75">
      <c r="A14977" s="2">
        <v>43878.531550925924</v>
      </c>
      <c r="B14977" t="str">
        <f>HYPERLINK("https://twitter.com/HenkMizell","@HenkMizell")</f>
        <v>@HenkMizell</v>
      </c>
      <c r="C14977" t="s">
        <v>7680</v>
      </c>
      <c r="D14977">
        <v>0</v>
      </c>
      <c r="E14977">
        <v>0</v>
      </c>
      <c r="F14977">
        <v>16</v>
      </c>
    </row>
    <row r="14978" spans="1:6" ht="12.75">
      <c r="A14978" s="2">
        <v>43878.531504629631</v>
      </c>
      <c r="B14978" t="str">
        <f>HYPERLINK("https://twitter.com/medcom_id","@medcom_id")</f>
        <v>@medcom_id</v>
      </c>
      <c r="C14978" t="s">
        <v>7681</v>
      </c>
      <c r="D14978">
        <v>0</v>
      </c>
      <c r="E14978">
        <v>0</v>
      </c>
      <c r="F14978">
        <v>18177</v>
      </c>
    </row>
    <row r="14979" spans="1:6" ht="12.75">
      <c r="A14979" s="2">
        <v>43878.531423611115</v>
      </c>
      <c r="B14979" t="str">
        <f>HYPERLINK("https://twitter.com/Kopi_laut","@Kopi_laut")</f>
        <v>@Kopi_laut</v>
      </c>
      <c r="C14979" t="s">
        <v>7609</v>
      </c>
      <c r="D14979">
        <v>6</v>
      </c>
      <c r="E14979">
        <v>0</v>
      </c>
      <c r="F14979">
        <v>1798</v>
      </c>
    </row>
    <row r="14980" spans="1:6" ht="12.75">
      <c r="A14980" s="2">
        <v>43878.531180555554</v>
      </c>
      <c r="B14980" t="str">
        <f>HYPERLINK("https://twitter.com/NadivaRevianita","@NadivaRevianita")</f>
        <v>@NadivaRevianita</v>
      </c>
      <c r="C14980" t="s">
        <v>7682</v>
      </c>
      <c r="D14980">
        <v>0</v>
      </c>
      <c r="E14980">
        <v>0</v>
      </c>
      <c r="F14980">
        <v>425</v>
      </c>
    </row>
    <row r="14981" spans="1:6" ht="12.75">
      <c r="A14981" s="2">
        <v>43878.531122685185</v>
      </c>
      <c r="B14981" t="str">
        <f>HYPERLINK("https://twitter.com/EUEXIT","@EUEXIT")</f>
        <v>@EUEXIT</v>
      </c>
      <c r="C14981" t="s">
        <v>3150</v>
      </c>
      <c r="D14981">
        <v>418</v>
      </c>
      <c r="E14981">
        <v>0</v>
      </c>
      <c r="F14981">
        <v>2027</v>
      </c>
    </row>
    <row r="14982" spans="1:6" ht="12.75">
      <c r="A14982" s="2">
        <v>43878.530543981484</v>
      </c>
      <c r="B14982" t="str">
        <f>HYPERLINK("https://twitter.com/semar_mendem76","@semar_mendem76")</f>
        <v>@semar_mendem76</v>
      </c>
      <c r="C14982" t="s">
        <v>7683</v>
      </c>
      <c r="D14982">
        <v>2</v>
      </c>
      <c r="E14982">
        <v>0</v>
      </c>
      <c r="F14982">
        <v>418</v>
      </c>
    </row>
    <row r="14983" spans="1:6" ht="12.75">
      <c r="A14983" s="2">
        <v>43878.530462962968</v>
      </c>
      <c r="B14983" t="str">
        <f>HYPERLINK("https://twitter.com/faizah_kirana","@faizah_kirana")</f>
        <v>@faizah_kirana</v>
      </c>
      <c r="C14983" t="s">
        <v>6161</v>
      </c>
      <c r="D14983">
        <v>205</v>
      </c>
      <c r="E14983">
        <v>0</v>
      </c>
      <c r="F14983">
        <v>37</v>
      </c>
    </row>
    <row r="14984" spans="1:6" ht="12.75">
      <c r="A14984" s="2">
        <v>43878.530439814815</v>
      </c>
      <c r="B14984" t="str">
        <f>HYPERLINK("https://twitter.com/Metro_TV","@Metro_TV")</f>
        <v>@Metro_TV</v>
      </c>
      <c r="C14984" t="s">
        <v>7684</v>
      </c>
      <c r="D14984">
        <v>1</v>
      </c>
      <c r="E14984">
        <v>3</v>
      </c>
      <c r="F14984">
        <v>10510076</v>
      </c>
    </row>
    <row r="14985" spans="1:6" ht="12.75">
      <c r="A14985" s="2">
        <v>43878.530439814815</v>
      </c>
      <c r="B14985" t="str">
        <f>HYPERLINK("https://twitter.com/narkosun","@narkosun")</f>
        <v>@narkosun</v>
      </c>
      <c r="C14985" t="s">
        <v>7582</v>
      </c>
      <c r="D14985">
        <v>4</v>
      </c>
      <c r="E14985">
        <v>0</v>
      </c>
      <c r="F14985">
        <v>30481</v>
      </c>
    </row>
    <row r="14986" spans="1:6" ht="12.75">
      <c r="A14986" s="2">
        <v>43878.53024305556</v>
      </c>
      <c r="B14986" t="str">
        <f>HYPERLINK("https://twitter.com/agussuh33469015","@agussuh33469015")</f>
        <v>@agussuh33469015</v>
      </c>
      <c r="C14986" t="s">
        <v>7685</v>
      </c>
      <c r="D14986">
        <v>0</v>
      </c>
      <c r="E14986">
        <v>0</v>
      </c>
      <c r="F14986">
        <v>68</v>
      </c>
    </row>
    <row r="14987" spans="1:6" ht="12.75">
      <c r="A14987" s="2">
        <v>43878.53019675926</v>
      </c>
      <c r="B14987" t="str">
        <f>HYPERLINK("https://twitter.com/semar_mendem76","@semar_mendem76")</f>
        <v>@semar_mendem76</v>
      </c>
      <c r="C14987" t="s">
        <v>7686</v>
      </c>
      <c r="D14987">
        <v>3</v>
      </c>
      <c r="E14987">
        <v>0</v>
      </c>
      <c r="F14987">
        <v>418</v>
      </c>
    </row>
    <row r="14988" spans="1:6" ht="12.75">
      <c r="A14988" s="2">
        <v>43878.529791666668</v>
      </c>
      <c r="B14988" t="str">
        <f>HYPERLINK("https://twitter.com/142_124_97","@142_124_97")</f>
        <v>@142_124_97</v>
      </c>
      <c r="C14988" t="s">
        <v>3340</v>
      </c>
      <c r="D14988">
        <v>100</v>
      </c>
      <c r="E14988">
        <v>0</v>
      </c>
      <c r="F14988">
        <v>430</v>
      </c>
    </row>
    <row r="14989" spans="1:6" ht="12.75">
      <c r="A14989" s="2">
        <v>43878.529745370368</v>
      </c>
      <c r="B14989" t="str">
        <f>HYPERLINK("https://twitter.com/virgigisss","@virgigisss")</f>
        <v>@virgigisss</v>
      </c>
      <c r="C14989" t="s">
        <v>3340</v>
      </c>
      <c r="D14989">
        <v>100</v>
      </c>
      <c r="E14989">
        <v>0</v>
      </c>
      <c r="F14989">
        <v>145</v>
      </c>
    </row>
    <row r="14990" spans="1:6" ht="12.75">
      <c r="A14990" s="2">
        <v>43878.529710648145</v>
      </c>
      <c r="B14990" t="str">
        <f>HYPERLINK("https://twitter.com/ferryir90244477","@ferryir90244477")</f>
        <v>@ferryir90244477</v>
      </c>
      <c r="C14990" t="s">
        <v>7687</v>
      </c>
      <c r="D14990">
        <v>0</v>
      </c>
      <c r="E14990">
        <v>0</v>
      </c>
      <c r="F14990">
        <v>165</v>
      </c>
    </row>
    <row r="14991" spans="1:6" ht="12.75">
      <c r="A14991" s="2">
        <v>43878.529606481483</v>
      </c>
      <c r="B14991" t="str">
        <f>HYPERLINK("https://twitter.com/Kopi_laut","@Kopi_laut")</f>
        <v>@Kopi_laut</v>
      </c>
      <c r="C14991" t="s">
        <v>7600</v>
      </c>
      <c r="D14991">
        <v>9</v>
      </c>
      <c r="E14991">
        <v>0</v>
      </c>
      <c r="F14991">
        <v>1798</v>
      </c>
    </row>
    <row r="14992" spans="1:6" ht="12.75">
      <c r="A14992" s="2">
        <v>43878.529502314814</v>
      </c>
      <c r="B14992" t="str">
        <f>HYPERLINK("https://twitter.com/sitinurfaida17","@sitinurfaida17")</f>
        <v>@sitinurfaida17</v>
      </c>
      <c r="C14992" t="s">
        <v>7688</v>
      </c>
      <c r="D14992">
        <v>0</v>
      </c>
      <c r="E14992">
        <v>0</v>
      </c>
      <c r="F14992">
        <v>105</v>
      </c>
    </row>
    <row r="14993" spans="1:6" ht="12.75">
      <c r="A14993" s="2">
        <v>43878.529456018514</v>
      </c>
      <c r="B14993" t="str">
        <f>HYPERLINK("https://twitter.com/beeacy","@beeacy")</f>
        <v>@beeacy</v>
      </c>
      <c r="C14993" t="s">
        <v>7689</v>
      </c>
      <c r="D14993">
        <v>0</v>
      </c>
      <c r="E14993">
        <v>0</v>
      </c>
      <c r="F14993">
        <v>205</v>
      </c>
    </row>
    <row r="14994" spans="1:6" ht="12.75">
      <c r="A14994" s="2">
        <v>43878.529293981483</v>
      </c>
      <c r="B14994" t="str">
        <f>HYPERLINK("https://twitter.com/bpriady","@bpriady")</f>
        <v>@bpriady</v>
      </c>
      <c r="C14994" t="s">
        <v>6721</v>
      </c>
      <c r="D14994">
        <v>281</v>
      </c>
      <c r="E14994">
        <v>0</v>
      </c>
      <c r="F14994">
        <v>592</v>
      </c>
    </row>
    <row r="14995" spans="1:6" ht="12.75">
      <c r="A14995" s="2">
        <v>43878.529282407406</v>
      </c>
      <c r="B14995" t="str">
        <f>HYPERLINK("https://twitter.com/IHatakey","@IHatakey")</f>
        <v>@IHatakey</v>
      </c>
      <c r="C14995" t="s">
        <v>6161</v>
      </c>
      <c r="D14995">
        <v>205</v>
      </c>
      <c r="E14995">
        <v>0</v>
      </c>
      <c r="F14995">
        <v>21</v>
      </c>
    </row>
    <row r="14996" spans="1:6" ht="12.75">
      <c r="A14996" s="2">
        <v>43878.529120370367</v>
      </c>
      <c r="B14996" t="str">
        <f>HYPERLINK("https://twitter.com/ErnaHelma","@ErnaHelma")</f>
        <v>@ErnaHelma</v>
      </c>
      <c r="C14996" t="s">
        <v>7690</v>
      </c>
      <c r="D14996">
        <v>0</v>
      </c>
      <c r="E14996">
        <v>0</v>
      </c>
      <c r="F14996">
        <v>8</v>
      </c>
    </row>
    <row r="14997" spans="1:6" ht="12.75">
      <c r="A14997" s="2">
        <v>43878.528993055559</v>
      </c>
      <c r="B14997" t="str">
        <f>HYPERLINK("https://twitter.com/tvOneNews","@tvOneNews")</f>
        <v>@tvOneNews</v>
      </c>
      <c r="C14997" t="s">
        <v>7691</v>
      </c>
      <c r="D14997">
        <v>0</v>
      </c>
      <c r="E14997">
        <v>2</v>
      </c>
      <c r="F14997">
        <v>8716031</v>
      </c>
    </row>
    <row r="14998" spans="1:6" ht="12.75">
      <c r="A14998" s="2">
        <v>43878.528287037036</v>
      </c>
      <c r="B14998" t="str">
        <f>HYPERLINK("https://twitter.com/indahap07067259","@indahap07067259")</f>
        <v>@indahap07067259</v>
      </c>
      <c r="C14998" t="s">
        <v>7692</v>
      </c>
      <c r="D14998">
        <v>0</v>
      </c>
      <c r="E14998">
        <v>0</v>
      </c>
      <c r="F14998">
        <v>1071</v>
      </c>
    </row>
    <row r="14999" spans="1:6" ht="12.75">
      <c r="A14999" s="2">
        <v>43878.527824074074</v>
      </c>
      <c r="B14999" t="str">
        <f>HYPERLINK("https://twitter.com/bud1_f1","@bud1_f1")</f>
        <v>@bud1_f1</v>
      </c>
      <c r="C14999" t="s">
        <v>7298</v>
      </c>
      <c r="D14999">
        <v>99</v>
      </c>
      <c r="E14999">
        <v>0</v>
      </c>
      <c r="F14999">
        <v>1728</v>
      </c>
    </row>
    <row r="15000" spans="1:6" ht="12.75">
      <c r="A15000" s="2">
        <v>43878.527673611112</v>
      </c>
      <c r="B15000" t="str">
        <f>HYPERLINK("https://twitter.com/Elisabeth_ndo","@Elisabeth_ndo")</f>
        <v>@Elisabeth_ndo</v>
      </c>
      <c r="C15000" t="s">
        <v>6721</v>
      </c>
      <c r="D15000">
        <v>281</v>
      </c>
      <c r="E15000">
        <v>0</v>
      </c>
      <c r="F15000">
        <v>89</v>
      </c>
    </row>
    <row r="15001" spans="1:6" ht="12.75">
      <c r="A15001" s="2">
        <v>43878.527361111112</v>
      </c>
      <c r="B15001" t="str">
        <f>HYPERLINK("https://twitter.com/Voxblue_","@Voxblue_")</f>
        <v>@Voxblue_</v>
      </c>
      <c r="C15001" t="s">
        <v>6721</v>
      </c>
      <c r="D15001">
        <v>281</v>
      </c>
      <c r="E15001">
        <v>0</v>
      </c>
      <c r="F15001">
        <v>413</v>
      </c>
    </row>
    <row r="15002" spans="1:6" ht="12.75">
      <c r="A15002" s="2">
        <v>43878.527291666665</v>
      </c>
      <c r="B15002" t="str">
        <f>HYPERLINK("https://twitter.com/euntaaja","@euntaaja")</f>
        <v>@euntaaja</v>
      </c>
      <c r="C15002" t="s">
        <v>2444</v>
      </c>
      <c r="D15002">
        <v>4571</v>
      </c>
      <c r="E15002">
        <v>0</v>
      </c>
      <c r="F15002">
        <v>3408</v>
      </c>
    </row>
    <row r="15003" spans="1:6" ht="12.75">
      <c r="A15003" s="2">
        <v>43878.526909722219</v>
      </c>
      <c r="B15003" t="str">
        <f>HYPERLINK("https://twitter.com/minhyunsc","@minhyunsc")</f>
        <v>@minhyunsc</v>
      </c>
      <c r="C15003" t="s">
        <v>7693</v>
      </c>
      <c r="D15003">
        <v>0</v>
      </c>
      <c r="E15003">
        <v>0</v>
      </c>
      <c r="F15003">
        <v>7536</v>
      </c>
    </row>
    <row r="15004" spans="1:6" ht="12.75">
      <c r="A15004" s="2">
        <v>43878.526550925926</v>
      </c>
      <c r="B15004" t="str">
        <f>HYPERLINK("https://twitter.com/DestianiFenia","@DestianiFenia")</f>
        <v>@DestianiFenia</v>
      </c>
      <c r="C15004" t="s">
        <v>7694</v>
      </c>
      <c r="D15004">
        <v>0</v>
      </c>
      <c r="E15004">
        <v>0</v>
      </c>
      <c r="F15004">
        <v>112</v>
      </c>
    </row>
    <row r="15005" spans="1:6" ht="12.75">
      <c r="A15005" s="2">
        <v>43878.501516203702</v>
      </c>
      <c r="B15005" t="str">
        <f>HYPERLINK("https://twitter.com/arum_wina","@arum_wina")</f>
        <v>@arum_wina</v>
      </c>
      <c r="C15005" t="s">
        <v>6161</v>
      </c>
      <c r="D15005">
        <v>181</v>
      </c>
      <c r="E15005">
        <v>0</v>
      </c>
      <c r="F15005">
        <v>114</v>
      </c>
    </row>
    <row r="15006" spans="1:6" ht="12.75">
      <c r="A15006" s="2">
        <v>43878.50135416667</v>
      </c>
      <c r="B15006" t="str">
        <f>HYPERLINK("https://twitter.com/1000_NALAR","@1000_NALAR")</f>
        <v>@1000_NALAR</v>
      </c>
      <c r="C15006" t="s">
        <v>6161</v>
      </c>
      <c r="D15006">
        <v>181</v>
      </c>
      <c r="E15006">
        <v>0</v>
      </c>
      <c r="F15006">
        <v>393</v>
      </c>
    </row>
    <row r="15007" spans="1:6" ht="12.75">
      <c r="A15007" s="2">
        <v>43878.501250000001</v>
      </c>
      <c r="B15007" t="str">
        <f>HYPERLINK("https://twitter.com/rangermera","@rangermera")</f>
        <v>@rangermera</v>
      </c>
      <c r="C15007" t="s">
        <v>7695</v>
      </c>
      <c r="D15007">
        <v>0</v>
      </c>
      <c r="E15007">
        <v>0</v>
      </c>
      <c r="F15007">
        <v>82</v>
      </c>
    </row>
    <row r="15008" spans="1:6" ht="12.75">
      <c r="A15008" s="2">
        <v>43878.501250000001</v>
      </c>
      <c r="B15008" t="str">
        <f>HYPERLINK("https://twitter.com/metrokaltara","@metrokaltara")</f>
        <v>@metrokaltara</v>
      </c>
      <c r="C15008" t="s">
        <v>7696</v>
      </c>
      <c r="D15008">
        <v>0</v>
      </c>
      <c r="E15008">
        <v>0</v>
      </c>
      <c r="F15008">
        <v>525</v>
      </c>
    </row>
    <row r="15009" spans="1:6" ht="12.75">
      <c r="A15009" s="2">
        <v>43878.501215277778</v>
      </c>
      <c r="B15009" t="str">
        <f>HYPERLINK("https://twitter.com/hengkiwibowo11","@hengkiwibowo11")</f>
        <v>@hengkiwibowo11</v>
      </c>
      <c r="C15009" t="s">
        <v>7697</v>
      </c>
      <c r="D15009">
        <v>0</v>
      </c>
      <c r="E15009">
        <v>0</v>
      </c>
      <c r="F15009">
        <v>71</v>
      </c>
    </row>
    <row r="15010" spans="1:6" ht="12.75">
      <c r="A15010" s="2">
        <v>43878.501192129625</v>
      </c>
      <c r="B15010" t="str">
        <f>HYPERLINK("https://twitter.com/frans_munthe29","@frans_munthe29")</f>
        <v>@frans_munthe29</v>
      </c>
      <c r="C15010" t="s">
        <v>7298</v>
      </c>
      <c r="D15010">
        <v>96</v>
      </c>
      <c r="E15010">
        <v>0</v>
      </c>
      <c r="F15010">
        <v>1049</v>
      </c>
    </row>
    <row r="15011" spans="1:6" ht="12.75">
      <c r="A15011" s="2">
        <v>43878.501145833332</v>
      </c>
      <c r="B15011" t="str">
        <f>HYPERLINK("https://twitter.com/radiokaltara","@radiokaltara")</f>
        <v>@radiokaltara</v>
      </c>
      <c r="C15011" t="s">
        <v>7696</v>
      </c>
      <c r="D15011">
        <v>0</v>
      </c>
      <c r="E15011">
        <v>0</v>
      </c>
      <c r="F15011">
        <v>77</v>
      </c>
    </row>
    <row r="15012" spans="1:6" ht="12.75">
      <c r="A15012" s="2">
        <v>43878.501134259262</v>
      </c>
      <c r="B15012" t="str">
        <f>HYPERLINK("https://twitter.com/Reza_kaltara","@Reza_kaltara")</f>
        <v>@Reza_kaltara</v>
      </c>
      <c r="C15012" t="s">
        <v>7696</v>
      </c>
      <c r="D15012">
        <v>0</v>
      </c>
      <c r="E15012">
        <v>0</v>
      </c>
      <c r="F15012">
        <v>136</v>
      </c>
    </row>
    <row r="15013" spans="1:6" ht="12.75">
      <c r="A15013" s="2">
        <v>43878.501076388886</v>
      </c>
      <c r="B15013" t="str">
        <f>HYPERLINK("https://twitter.com/RGNiar","@RGNiar")</f>
        <v>@RGNiar</v>
      </c>
      <c r="C15013" t="s">
        <v>7634</v>
      </c>
      <c r="D15013">
        <v>4</v>
      </c>
      <c r="E15013">
        <v>0</v>
      </c>
      <c r="F15013">
        <v>355</v>
      </c>
    </row>
    <row r="15014" spans="1:6" ht="12.75">
      <c r="A15014" s="2">
        <v>43878.500798611116</v>
      </c>
      <c r="B15014" t="str">
        <f>HYPERLINK("https://twitter.com/tempodotco","@tempodotco")</f>
        <v>@tempodotco</v>
      </c>
      <c r="C15014" t="s">
        <v>7698</v>
      </c>
      <c r="D15014">
        <v>1</v>
      </c>
      <c r="E15014">
        <v>0</v>
      </c>
      <c r="F15014">
        <v>1704574</v>
      </c>
    </row>
    <row r="15015" spans="1:6" ht="12.75">
      <c r="A15015" s="2">
        <v>43878.500798611116</v>
      </c>
      <c r="B15015" t="str">
        <f>HYPERLINK("https://twitter.com/minhyunsc","@minhyunsc")</f>
        <v>@minhyunsc</v>
      </c>
      <c r="C15015" t="s">
        <v>7699</v>
      </c>
      <c r="D15015">
        <v>0</v>
      </c>
      <c r="E15015">
        <v>0</v>
      </c>
      <c r="F15015">
        <v>7536</v>
      </c>
    </row>
    <row r="15016" spans="1:6" ht="12.75">
      <c r="A15016" s="2">
        <v>43878.500416666662</v>
      </c>
      <c r="B15016" t="str">
        <f>HYPERLINK("https://twitter.com/TheDauwani","@TheDauwani")</f>
        <v>@TheDauwani</v>
      </c>
      <c r="C15016" t="s">
        <v>6721</v>
      </c>
      <c r="D15016">
        <v>249</v>
      </c>
      <c r="E15016">
        <v>0</v>
      </c>
      <c r="F15016">
        <v>381</v>
      </c>
    </row>
    <row r="15017" spans="1:6" ht="12.75">
      <c r="A15017" s="2">
        <v>43878.500208333338</v>
      </c>
      <c r="B15017" t="str">
        <f>HYPERLINK("https://twitter.com/Kania_MetroTV","@Kania_MetroTV")</f>
        <v>@Kania_MetroTV</v>
      </c>
      <c r="C15017" t="s">
        <v>7700</v>
      </c>
      <c r="D15017">
        <v>0</v>
      </c>
      <c r="E15017">
        <v>0</v>
      </c>
      <c r="F15017">
        <v>215715</v>
      </c>
    </row>
    <row r="15018" spans="1:6" ht="12.75">
      <c r="A15018" s="2">
        <v>43878.499699074076</v>
      </c>
      <c r="B15018" t="str">
        <f>HYPERLINK("https://twitter.com/B_Wikan","@B_Wikan")</f>
        <v>@B_Wikan</v>
      </c>
      <c r="C15018" t="s">
        <v>6721</v>
      </c>
      <c r="D15018">
        <v>249</v>
      </c>
      <c r="E15018">
        <v>0</v>
      </c>
      <c r="F15018">
        <v>735</v>
      </c>
    </row>
    <row r="15019" spans="1:6" ht="12.75">
      <c r="A15019" s="2">
        <v>43878.499675925923</v>
      </c>
      <c r="B15019" t="str">
        <f>HYPERLINK("https://twitter.com/punkerokan","@punkerokan")</f>
        <v>@punkerokan</v>
      </c>
      <c r="C15019" t="s">
        <v>7701</v>
      </c>
      <c r="D15019">
        <v>0</v>
      </c>
      <c r="E15019">
        <v>0</v>
      </c>
      <c r="F15019">
        <v>13</v>
      </c>
    </row>
    <row r="15020" spans="1:6" ht="12.75">
      <c r="A15020" s="2">
        <v>43878.499490740738</v>
      </c>
      <c r="B15020" t="str">
        <f>HYPERLINK("https://twitter.com/silvian38269915","@silvian38269915")</f>
        <v>@silvian38269915</v>
      </c>
      <c r="C15020" t="s">
        <v>7702</v>
      </c>
      <c r="D15020">
        <v>0</v>
      </c>
      <c r="E15020">
        <v>0</v>
      </c>
      <c r="F15020">
        <v>123</v>
      </c>
    </row>
    <row r="15021" spans="1:6" ht="12.75">
      <c r="A15021" s="2">
        <v>43878.498831018514</v>
      </c>
      <c r="B15021" t="str">
        <f>HYPERLINK("https://twitter.com/ztw868992","@ztw868992")</f>
        <v>@ztw868992</v>
      </c>
      <c r="C15021" t="s">
        <v>7703</v>
      </c>
      <c r="D15021">
        <v>1</v>
      </c>
      <c r="E15021">
        <v>0</v>
      </c>
      <c r="F15021">
        <v>3223</v>
      </c>
    </row>
    <row r="15022" spans="1:6" ht="12.75">
      <c r="A15022" s="2">
        <v>43878.498657407406</v>
      </c>
      <c r="B15022" t="str">
        <f>HYPERLINK("https://twitter.com/Metro_TV","@Metro_TV")</f>
        <v>@Metro_TV</v>
      </c>
      <c r="C15022" t="s">
        <v>7704</v>
      </c>
      <c r="D15022">
        <v>1</v>
      </c>
      <c r="E15022">
        <v>0</v>
      </c>
      <c r="F15022">
        <v>10510052</v>
      </c>
    </row>
    <row r="15023" spans="1:6" ht="12.75">
      <c r="A15023" s="2">
        <v>43878.498518518521</v>
      </c>
      <c r="B15023" t="str">
        <f>HYPERLINK("https://twitter.com/gadisresidu_b3","@gadisresidu_b3")</f>
        <v>@gadisresidu_b3</v>
      </c>
      <c r="C15023" t="s">
        <v>7705</v>
      </c>
      <c r="D15023">
        <v>0</v>
      </c>
      <c r="E15023">
        <v>0</v>
      </c>
      <c r="F15023">
        <v>1871</v>
      </c>
    </row>
    <row r="15024" spans="1:6" ht="12.75">
      <c r="A15024" s="2">
        <v>43878.498287037037</v>
      </c>
      <c r="B15024" t="str">
        <f>HYPERLINK("https://twitter.com/MadingIndonesia","@MadingIndonesia")</f>
        <v>@MadingIndonesia</v>
      </c>
      <c r="C15024" t="s">
        <v>7706</v>
      </c>
      <c r="D15024">
        <v>0</v>
      </c>
      <c r="E15024">
        <v>0</v>
      </c>
      <c r="F15024">
        <v>8</v>
      </c>
    </row>
    <row r="15025" spans="1:6" ht="12.75">
      <c r="A15025" s="2">
        <v>43878.498067129629</v>
      </c>
      <c r="B15025" t="str">
        <f>HYPERLINK("https://twitter.com/jwhsibarani","@jwhsibarani")</f>
        <v>@jwhsibarani</v>
      </c>
      <c r="C15025" t="s">
        <v>6161</v>
      </c>
      <c r="D15025">
        <v>181</v>
      </c>
      <c r="E15025">
        <v>0</v>
      </c>
      <c r="F15025">
        <v>64</v>
      </c>
    </row>
    <row r="15026" spans="1:6" ht="12.75">
      <c r="A15026" s="2">
        <v>43878.498067129629</v>
      </c>
      <c r="B15026" t="str">
        <f>HYPERLINK("https://twitter.com/aryaarga10","@aryaarga10")</f>
        <v>@aryaarga10</v>
      </c>
      <c r="C15026" t="s">
        <v>7707</v>
      </c>
      <c r="D15026">
        <v>0</v>
      </c>
      <c r="E15026">
        <v>0</v>
      </c>
      <c r="F15026">
        <v>7</v>
      </c>
    </row>
    <row r="15027" spans="1:6" ht="12.75">
      <c r="A15027" s="2">
        <v>43878.497962962967</v>
      </c>
      <c r="B15027" t="str">
        <f>HYPERLINK("https://twitter.com/SantyTesan","@SantyTesan")</f>
        <v>@SantyTesan</v>
      </c>
      <c r="C15027" t="s">
        <v>7708</v>
      </c>
      <c r="D15027">
        <v>0</v>
      </c>
      <c r="E15027">
        <v>0</v>
      </c>
      <c r="F15027">
        <v>114</v>
      </c>
    </row>
    <row r="15028" spans="1:6" ht="12.75">
      <c r="A15028" s="2">
        <v>43878.497800925921</v>
      </c>
      <c r="B15028" t="str">
        <f>HYPERLINK("https://twitter.com/alhein","@alhein")</f>
        <v>@alhein</v>
      </c>
      <c r="C15028" t="s">
        <v>7709</v>
      </c>
      <c r="D15028">
        <v>0</v>
      </c>
      <c r="E15028">
        <v>0</v>
      </c>
      <c r="F15028">
        <v>1636</v>
      </c>
    </row>
    <row r="15029" spans="1:6" ht="12.75">
      <c r="A15029" s="2">
        <v>43878.497789351852</v>
      </c>
      <c r="B15029" t="str">
        <f>HYPERLINK("https://twitter.com/Yeyen41020695","@Yeyen41020695")</f>
        <v>@Yeyen41020695</v>
      </c>
      <c r="C15029" t="s">
        <v>7710</v>
      </c>
      <c r="D15029">
        <v>1</v>
      </c>
      <c r="E15029">
        <v>3</v>
      </c>
      <c r="F15029">
        <v>1341</v>
      </c>
    </row>
    <row r="15030" spans="1:6" ht="12.75">
      <c r="A15030" s="2">
        <v>43878.497048611112</v>
      </c>
      <c r="B15030" t="str">
        <f>HYPERLINK("https://twitter.com/WinarsihParis","@WinarsihParis")</f>
        <v>@WinarsihParis</v>
      </c>
      <c r="C15030" t="s">
        <v>7711</v>
      </c>
      <c r="D15030">
        <v>0</v>
      </c>
      <c r="E15030">
        <v>0</v>
      </c>
      <c r="F15030">
        <v>93</v>
      </c>
    </row>
    <row r="15031" spans="1:6" ht="12.75">
      <c r="A15031" s="2">
        <v>43878.496979166666</v>
      </c>
      <c r="B15031" t="str">
        <f>HYPERLINK("https://twitter.com/ikhsanm68929028","@ikhsanm68929028")</f>
        <v>@ikhsanm68929028</v>
      </c>
      <c r="C15031" t="s">
        <v>7712</v>
      </c>
      <c r="D15031">
        <v>0</v>
      </c>
      <c r="E15031">
        <v>0</v>
      </c>
      <c r="F15031">
        <v>74</v>
      </c>
    </row>
    <row r="15032" spans="1:6" ht="12.75">
      <c r="A15032" s="2">
        <v>43878.496898148151</v>
      </c>
      <c r="B15032" t="str">
        <f t="shared" ref="B15032:B15033" si="260">HYPERLINK("https://twitter.com/INAinBucharest","@INAinBucharest")</f>
        <v>@INAinBucharest</v>
      </c>
      <c r="C15032" t="s">
        <v>2078</v>
      </c>
      <c r="D15032">
        <v>23</v>
      </c>
      <c r="E15032">
        <v>0</v>
      </c>
      <c r="F15032">
        <v>1652</v>
      </c>
    </row>
    <row r="15033" spans="1:6" ht="12.75">
      <c r="A15033" s="2">
        <v>43878.496874999997</v>
      </c>
      <c r="B15033" t="str">
        <f t="shared" si="260"/>
        <v>@INAinBucharest</v>
      </c>
      <c r="C15033" t="s">
        <v>2077</v>
      </c>
      <c r="D15033">
        <v>25</v>
      </c>
      <c r="E15033">
        <v>0</v>
      </c>
      <c r="F15033">
        <v>1652</v>
      </c>
    </row>
    <row r="15034" spans="1:6" ht="12.75">
      <c r="A15034" s="2">
        <v>43878.496724537035</v>
      </c>
      <c r="B15034" t="str">
        <f>HYPERLINK("https://twitter.com/daniel4g","@daniel4g")</f>
        <v>@daniel4g</v>
      </c>
      <c r="C15034" t="s">
        <v>6161</v>
      </c>
      <c r="D15034">
        <v>181</v>
      </c>
      <c r="E15034">
        <v>0</v>
      </c>
      <c r="F15034">
        <v>226</v>
      </c>
    </row>
    <row r="15035" spans="1:6" ht="12.75">
      <c r="A15035" s="2">
        <v>43878.49628472222</v>
      </c>
      <c r="B15035" t="str">
        <f>HYPERLINK("https://twitter.com/autumninjulyy","@autumninjulyy")</f>
        <v>@autumninjulyy</v>
      </c>
      <c r="C15035" t="s">
        <v>3340</v>
      </c>
      <c r="D15035">
        <v>73</v>
      </c>
      <c r="E15035">
        <v>0</v>
      </c>
      <c r="F15035">
        <v>207</v>
      </c>
    </row>
    <row r="15036" spans="1:6" ht="12.75">
      <c r="A15036" s="2">
        <v>43878.495810185181</v>
      </c>
      <c r="B15036" t="str">
        <f>HYPERLINK("https://twitter.com/KabirMishra1","@KabirMishra1")</f>
        <v>@KabirMishra1</v>
      </c>
      <c r="C15036" t="s">
        <v>7713</v>
      </c>
      <c r="D15036">
        <v>0</v>
      </c>
      <c r="E15036">
        <v>0</v>
      </c>
      <c r="F15036">
        <v>18</v>
      </c>
    </row>
    <row r="15037" spans="1:6" ht="12.75">
      <c r="A15037" s="2">
        <v>43878.495636574073</v>
      </c>
      <c r="B15037" t="str">
        <f>HYPERLINK("https://twitter.com/teguhpratam4","@teguhpratam4")</f>
        <v>@teguhpratam4</v>
      </c>
      <c r="C15037" t="s">
        <v>7714</v>
      </c>
      <c r="D15037">
        <v>0</v>
      </c>
      <c r="E15037">
        <v>0</v>
      </c>
      <c r="F15037">
        <v>100</v>
      </c>
    </row>
    <row r="15038" spans="1:6" ht="12.75">
      <c r="A15038" s="2">
        <v>43878.495601851857</v>
      </c>
      <c r="B15038" t="str">
        <f>HYPERLINK("https://twitter.com/nugrahaari19","@nugrahaari19")</f>
        <v>@nugrahaari19</v>
      </c>
      <c r="C15038" t="s">
        <v>7634</v>
      </c>
      <c r="D15038">
        <v>4</v>
      </c>
      <c r="E15038">
        <v>0</v>
      </c>
      <c r="F15038">
        <v>250</v>
      </c>
    </row>
    <row r="15039" spans="1:6" ht="12.75">
      <c r="A15039" s="2">
        <v>43878.495462962965</v>
      </c>
      <c r="B15039" t="str">
        <f>HYPERLINK("https://twitter.com/WaspadaSatria","@WaspadaSatria")</f>
        <v>@WaspadaSatria</v>
      </c>
      <c r="C15039" t="s">
        <v>7715</v>
      </c>
      <c r="D15039">
        <v>1</v>
      </c>
      <c r="E15039">
        <v>0</v>
      </c>
      <c r="F15039">
        <v>2</v>
      </c>
    </row>
    <row r="15040" spans="1:6" ht="12.75">
      <c r="A15040" s="2">
        <v>43878.495266203703</v>
      </c>
      <c r="B15040" t="str">
        <f>HYPERLINK("https://twitter.com/asundamai","@asundamai")</f>
        <v>@asundamai</v>
      </c>
      <c r="C15040" t="s">
        <v>7298</v>
      </c>
      <c r="D15040">
        <v>96</v>
      </c>
      <c r="E15040">
        <v>0</v>
      </c>
      <c r="F15040">
        <v>1903</v>
      </c>
    </row>
    <row r="15041" spans="1:6" ht="12.75">
      <c r="A15041" s="2">
        <v>43878.49523148148</v>
      </c>
      <c r="B15041" t="str">
        <f>HYPERLINK("https://twitter.com/banditzcrew","@banditzcrew")</f>
        <v>@banditzcrew</v>
      </c>
      <c r="C15041" t="s">
        <v>7634</v>
      </c>
      <c r="D15041">
        <v>4</v>
      </c>
      <c r="E15041">
        <v>0</v>
      </c>
      <c r="F15041">
        <v>87</v>
      </c>
    </row>
    <row r="15042" spans="1:6" ht="12.75">
      <c r="A15042" s="2">
        <v>43878.495208333334</v>
      </c>
      <c r="B15042" t="str">
        <f>HYPERLINK("https://twitter.com/NuriSiasi","@NuriSiasi")</f>
        <v>@NuriSiasi</v>
      </c>
      <c r="C15042" t="s">
        <v>7716</v>
      </c>
      <c r="D15042">
        <v>0</v>
      </c>
      <c r="E15042">
        <v>0</v>
      </c>
      <c r="F15042">
        <v>104</v>
      </c>
    </row>
    <row r="15043" spans="1:6" ht="12.75">
      <c r="A15043" s="2">
        <v>43878.495115740741</v>
      </c>
      <c r="B15043" t="str">
        <f>HYPERLINK("https://twitter.com/ibnuhafiz6","@ibnuhafiz6")</f>
        <v>@ibnuhafiz6</v>
      </c>
      <c r="C15043" t="s">
        <v>6721</v>
      </c>
      <c r="D15043">
        <v>249</v>
      </c>
      <c r="E15043">
        <v>0</v>
      </c>
      <c r="F15043">
        <v>182</v>
      </c>
    </row>
    <row r="15044" spans="1:6" ht="12.75">
      <c r="A15044" s="2">
        <v>43878.494849537034</v>
      </c>
      <c r="B15044" t="str">
        <f>HYPERLINK("https://twitter.com/zhuanzezao","@zhuanzezao")</f>
        <v>@zhuanzezao</v>
      </c>
      <c r="C15044" t="s">
        <v>7717</v>
      </c>
      <c r="D15044">
        <v>0</v>
      </c>
      <c r="E15044">
        <v>0</v>
      </c>
      <c r="F15044">
        <v>531</v>
      </c>
    </row>
    <row r="15045" spans="1:6" ht="12.75">
      <c r="A15045" s="2">
        <v>43878.494791666672</v>
      </c>
      <c r="B15045" t="str">
        <f>HYPERLINK("https://twitter.com/ile_neng","@ile_neng")</f>
        <v>@ile_neng</v>
      </c>
      <c r="C15045" t="s">
        <v>7718</v>
      </c>
      <c r="D15045">
        <v>0</v>
      </c>
      <c r="E15045">
        <v>0</v>
      </c>
      <c r="F15045">
        <v>413</v>
      </c>
    </row>
    <row r="15046" spans="1:6" ht="12.75">
      <c r="A15046" s="2">
        <v>43878.494675925926</v>
      </c>
      <c r="B15046" t="str">
        <f>HYPERLINK("https://twitter.com/HatiiPuspita","@HatiiPuspita")</f>
        <v>@HatiiPuspita</v>
      </c>
      <c r="C15046" t="s">
        <v>7719</v>
      </c>
      <c r="D15046">
        <v>2</v>
      </c>
      <c r="E15046">
        <v>0</v>
      </c>
      <c r="F15046">
        <v>504</v>
      </c>
    </row>
    <row r="15047" spans="1:6" ht="12.75">
      <c r="A15047" s="2">
        <v>43878.494490740741</v>
      </c>
      <c r="B15047" t="str">
        <f>HYPERLINK("https://twitter.com/gadisresidu_b3","@gadisresidu_b3")</f>
        <v>@gadisresidu_b3</v>
      </c>
      <c r="C15047" t="s">
        <v>7720</v>
      </c>
      <c r="D15047">
        <v>0</v>
      </c>
      <c r="E15047">
        <v>0</v>
      </c>
      <c r="F15047">
        <v>1871</v>
      </c>
    </row>
    <row r="15048" spans="1:6" ht="12.75">
      <c r="A15048" s="2">
        <v>43878.494398148148</v>
      </c>
      <c r="B15048" t="str">
        <f>HYPERLINK("https://twitter.com/anti_mager","@anti_mager")</f>
        <v>@anti_mager</v>
      </c>
      <c r="C15048" t="s">
        <v>7721</v>
      </c>
      <c r="D15048">
        <v>0</v>
      </c>
      <c r="E15048">
        <v>0</v>
      </c>
      <c r="F15048">
        <v>6688</v>
      </c>
    </row>
    <row r="15049" spans="1:6" ht="12.75">
      <c r="A15049" s="2">
        <v>43878.49423611111</v>
      </c>
      <c r="B15049" t="str">
        <f>HYPERLINK("https://twitter.com/sayamalfi","@sayamalfi")</f>
        <v>@sayamalfi</v>
      </c>
      <c r="C15049" t="s">
        <v>6161</v>
      </c>
      <c r="D15049">
        <v>181</v>
      </c>
      <c r="E15049">
        <v>0</v>
      </c>
      <c r="F15049">
        <v>0</v>
      </c>
    </row>
    <row r="15050" spans="1:6" ht="12.75">
      <c r="A15050" s="2">
        <v>43878.494224537033</v>
      </c>
      <c r="B15050" t="str">
        <f>HYPERLINK("https://twitter.com/hrmnt80","@hrmnt80")</f>
        <v>@hrmnt80</v>
      </c>
      <c r="C15050" t="s">
        <v>6161</v>
      </c>
      <c r="D15050">
        <v>181</v>
      </c>
      <c r="E15050">
        <v>0</v>
      </c>
      <c r="F15050">
        <v>674</v>
      </c>
    </row>
    <row r="15051" spans="1:6" ht="12.75">
      <c r="A15051" s="2">
        <v>43878.493900462963</v>
      </c>
      <c r="B15051" t="str">
        <f>HYPERLINK("https://twitter.com/merindudendam","@merindudendam")</f>
        <v>@merindudendam</v>
      </c>
      <c r="C15051" t="s">
        <v>7722</v>
      </c>
      <c r="D15051">
        <v>0</v>
      </c>
      <c r="E15051">
        <v>0</v>
      </c>
      <c r="F15051">
        <v>2010</v>
      </c>
    </row>
    <row r="15052" spans="1:6" ht="12.75">
      <c r="A15052" s="2">
        <v>43878.493900462963</v>
      </c>
      <c r="B15052" t="str">
        <f>HYPERLINK("https://twitter.com/TahuPedas7","@TahuPedas7")</f>
        <v>@TahuPedas7</v>
      </c>
      <c r="C15052" t="s">
        <v>7695</v>
      </c>
      <c r="D15052">
        <v>0</v>
      </c>
      <c r="E15052">
        <v>0</v>
      </c>
      <c r="F15052">
        <v>91</v>
      </c>
    </row>
    <row r="15053" spans="1:6" ht="12.75">
      <c r="A15053" s="2">
        <v>43878.493831018517</v>
      </c>
      <c r="B15053" t="str">
        <f>HYPERLINK("https://twitter.com/PojokNU","@PojokNU")</f>
        <v>@PojokNU</v>
      </c>
      <c r="C15053" t="s">
        <v>7723</v>
      </c>
      <c r="D15053">
        <v>0</v>
      </c>
      <c r="E15053">
        <v>0</v>
      </c>
      <c r="F15053">
        <v>697</v>
      </c>
    </row>
    <row r="15054" spans="1:6" ht="12.75">
      <c r="A15054" s="2">
        <v>43878.493715277778</v>
      </c>
      <c r="B15054" t="str">
        <f>HYPERLINK("https://twitter.com/ooopaaal","@ooopaaal")</f>
        <v>@ooopaaal</v>
      </c>
      <c r="C15054" t="s">
        <v>6161</v>
      </c>
      <c r="D15054">
        <v>181</v>
      </c>
      <c r="E15054">
        <v>0</v>
      </c>
      <c r="F15054">
        <v>1280</v>
      </c>
    </row>
    <row r="15055" spans="1:6" ht="12.75">
      <c r="A15055" s="2">
        <v>43878.493692129632</v>
      </c>
      <c r="B15055" t="str">
        <f>HYPERLINK("https://twitter.com/keysa_sandra","@keysa_sandra")</f>
        <v>@keysa_sandra</v>
      </c>
      <c r="C15055" t="s">
        <v>7724</v>
      </c>
      <c r="D15055">
        <v>0</v>
      </c>
      <c r="E15055">
        <v>0</v>
      </c>
      <c r="F15055">
        <v>125</v>
      </c>
    </row>
    <row r="15056" spans="1:6" ht="12.75">
      <c r="A15056" s="2">
        <v>43878.493668981479</v>
      </c>
      <c r="B15056" t="str">
        <f>HYPERLINK("https://twitter.com/cameliaria1","@cameliaria1")</f>
        <v>@cameliaria1</v>
      </c>
      <c r="C15056" t="s">
        <v>7695</v>
      </c>
      <c r="D15056">
        <v>0</v>
      </c>
      <c r="E15056">
        <v>0</v>
      </c>
      <c r="F15056">
        <v>52</v>
      </c>
    </row>
    <row r="15057" spans="1:6" ht="12.75">
      <c r="A15057" s="2">
        <v>43878.493414351848</v>
      </c>
      <c r="B15057" t="str">
        <f>HYPERLINK("https://twitter.com/anti_mager","@anti_mager")</f>
        <v>@anti_mager</v>
      </c>
      <c r="C15057" t="s">
        <v>7725</v>
      </c>
      <c r="D15057">
        <v>0</v>
      </c>
      <c r="E15057">
        <v>0</v>
      </c>
      <c r="F15057">
        <v>6688</v>
      </c>
    </row>
    <row r="15058" spans="1:6" ht="12.75">
      <c r="A15058" s="2">
        <v>43878.493356481486</v>
      </c>
      <c r="B15058" t="str">
        <f>HYPERLINK("https://twitter.com/JannesHutajulu","@JannesHutajulu")</f>
        <v>@JannesHutajulu</v>
      </c>
      <c r="C15058" t="s">
        <v>6161</v>
      </c>
      <c r="D15058">
        <v>181</v>
      </c>
      <c r="E15058">
        <v>0</v>
      </c>
      <c r="F15058">
        <v>2273</v>
      </c>
    </row>
    <row r="15059" spans="1:6" ht="12.75">
      <c r="A15059" s="2">
        <v>43878.493356481486</v>
      </c>
      <c r="B15059" t="str">
        <f>HYPERLINK("https://twitter.com/ditaaliya1","@ditaaliya1")</f>
        <v>@ditaaliya1</v>
      </c>
      <c r="C15059" t="s">
        <v>7726</v>
      </c>
      <c r="D15059">
        <v>0</v>
      </c>
      <c r="E15059">
        <v>0</v>
      </c>
      <c r="F15059">
        <v>117</v>
      </c>
    </row>
    <row r="15060" spans="1:6" ht="12.75">
      <c r="A15060" s="2">
        <v>43878.493148148147</v>
      </c>
      <c r="B15060" t="str">
        <f>HYPERLINK("https://twitter.com/minhyunsc","@minhyunsc")</f>
        <v>@minhyunsc</v>
      </c>
      <c r="C15060" t="s">
        <v>7727</v>
      </c>
      <c r="D15060">
        <v>0</v>
      </c>
      <c r="E15060">
        <v>0</v>
      </c>
      <c r="F15060">
        <v>7536</v>
      </c>
    </row>
    <row r="15061" spans="1:6" ht="12.75">
      <c r="A15061" s="2">
        <v>43878.493136574078</v>
      </c>
      <c r="B15061" t="str">
        <f>HYPERLINK("https://twitter.com/makhal_id","@makhal_id")</f>
        <v>@makhal_id</v>
      </c>
      <c r="C15061" t="s">
        <v>6721</v>
      </c>
      <c r="D15061">
        <v>249</v>
      </c>
      <c r="E15061">
        <v>0</v>
      </c>
      <c r="F15061">
        <v>72</v>
      </c>
    </row>
    <row r="15062" spans="1:6" ht="12.75">
      <c r="A15062" s="2">
        <v>43878.493055555555</v>
      </c>
      <c r="B15062" t="str">
        <f>HYPERLINK("https://twitter.com/GesuriID","@GesuriID")</f>
        <v>@GesuriID</v>
      </c>
      <c r="C15062" t="s">
        <v>7728</v>
      </c>
      <c r="D15062">
        <v>0</v>
      </c>
      <c r="E15062">
        <v>0</v>
      </c>
      <c r="F15062">
        <v>197393</v>
      </c>
    </row>
    <row r="15063" spans="1:6" ht="12.75">
      <c r="A15063" s="2">
        <v>43878.493043981478</v>
      </c>
      <c r="B15063" t="str">
        <f>HYPERLINK("https://twitter.com/DodiSaputra03","@DodiSaputra03")</f>
        <v>@DodiSaputra03</v>
      </c>
      <c r="C15063" t="s">
        <v>7729</v>
      </c>
      <c r="D15063">
        <v>0</v>
      </c>
      <c r="E15063">
        <v>0</v>
      </c>
      <c r="F15063">
        <v>7</v>
      </c>
    </row>
    <row r="15064" spans="1:6" ht="12.75">
      <c r="A15064" s="2">
        <v>43878.492928240739</v>
      </c>
      <c r="B15064" t="str">
        <f>HYPERLINK("https://twitter.com/terjituu","@terjituu")</f>
        <v>@terjituu</v>
      </c>
      <c r="C15064" t="s">
        <v>7730</v>
      </c>
      <c r="D15064">
        <v>0</v>
      </c>
      <c r="E15064">
        <v>0</v>
      </c>
      <c r="F15064">
        <v>5083</v>
      </c>
    </row>
    <row r="15065" spans="1:6" ht="12.75">
      <c r="A15065" s="2">
        <v>43878.492789351847</v>
      </c>
      <c r="B15065" t="str">
        <f>HYPERLINK("https://twitter.com/Ladyandralogy","@Ladyandralogy")</f>
        <v>@Ladyandralogy</v>
      </c>
      <c r="C15065" t="s">
        <v>6161</v>
      </c>
      <c r="D15065">
        <v>181</v>
      </c>
      <c r="E15065">
        <v>0</v>
      </c>
      <c r="F15065">
        <v>610</v>
      </c>
    </row>
    <row r="15066" spans="1:6" ht="12.75">
      <c r="A15066" s="2">
        <v>43878.492777777778</v>
      </c>
      <c r="B15066" t="str">
        <f>HYPERLINK("https://twitter.com/PTGASI","@PTGASI")</f>
        <v>@PTGASI</v>
      </c>
      <c r="C15066" t="s">
        <v>7731</v>
      </c>
      <c r="D15066">
        <v>4</v>
      </c>
      <c r="E15066">
        <v>3</v>
      </c>
      <c r="F15066">
        <v>112</v>
      </c>
    </row>
    <row r="15067" spans="1:6" ht="12.75">
      <c r="A15067" s="2">
        <v>43878.492523148147</v>
      </c>
      <c r="B15067" t="str">
        <f>HYPERLINK("https://twitter.com/Jojo_Entis","@Jojo_Entis")</f>
        <v>@Jojo_Entis</v>
      </c>
      <c r="C15067" t="s">
        <v>7129</v>
      </c>
      <c r="D15067">
        <v>13</v>
      </c>
      <c r="E15067">
        <v>0</v>
      </c>
      <c r="F15067">
        <v>128</v>
      </c>
    </row>
    <row r="15068" spans="1:6" ht="12.75">
      <c r="A15068" s="2">
        <v>43878.492384259254</v>
      </c>
      <c r="B15068" t="str">
        <f>HYPERLINK("https://twitter.com/3082Ardian","@3082Ardian")</f>
        <v>@3082Ardian</v>
      </c>
      <c r="C15068" t="s">
        <v>6721</v>
      </c>
      <c r="D15068">
        <v>249</v>
      </c>
      <c r="E15068">
        <v>0</v>
      </c>
      <c r="F15068">
        <v>22</v>
      </c>
    </row>
    <row r="15069" spans="1:6" ht="12.75">
      <c r="A15069" s="2">
        <v>43878.492268518516</v>
      </c>
      <c r="B15069" t="str">
        <f>HYPERLINK("https://twitter.com/Sarah_Pndj","@Sarah_Pndj")</f>
        <v>@Sarah_Pndj</v>
      </c>
      <c r="C15069" t="s">
        <v>7732</v>
      </c>
      <c r="D15069">
        <v>1</v>
      </c>
      <c r="E15069">
        <v>0</v>
      </c>
      <c r="F15069">
        <v>26671</v>
      </c>
    </row>
    <row r="15070" spans="1:6" ht="12.75">
      <c r="A15070" s="2">
        <v>43878.492256944446</v>
      </c>
      <c r="B15070" t="str">
        <f>HYPERLINK("https://twitter.com/maryatiyati02","@maryatiyati02")</f>
        <v>@maryatiyati02</v>
      </c>
      <c r="C15070" t="s">
        <v>7733</v>
      </c>
      <c r="D15070">
        <v>0</v>
      </c>
      <c r="E15070">
        <v>0</v>
      </c>
      <c r="F15070">
        <v>28</v>
      </c>
    </row>
    <row r="15071" spans="1:6" ht="12.75">
      <c r="A15071" s="2">
        <v>43878.492233796293</v>
      </c>
      <c r="B15071" t="str">
        <f>HYPERLINK("https://twitter.com/INAinBucharest","@INAinBucharest")</f>
        <v>@INAinBucharest</v>
      </c>
      <c r="C15071" t="s">
        <v>7734</v>
      </c>
      <c r="D15071">
        <v>41</v>
      </c>
      <c r="E15071">
        <v>0</v>
      </c>
      <c r="F15071">
        <v>1652</v>
      </c>
    </row>
    <row r="15072" spans="1:6" ht="12.75">
      <c r="A15072" s="2">
        <v>43878.491875</v>
      </c>
      <c r="B15072" t="str">
        <f>HYPERLINK("https://twitter.com/toedjoetiga","@toedjoetiga")</f>
        <v>@toedjoetiga</v>
      </c>
      <c r="C15072" t="s">
        <v>6201</v>
      </c>
      <c r="D15072">
        <v>561</v>
      </c>
      <c r="E15072">
        <v>0</v>
      </c>
      <c r="F15072">
        <v>1197</v>
      </c>
    </row>
    <row r="15073" spans="1:6" ht="12.75">
      <c r="A15073" s="2">
        <v>43878.491840277777</v>
      </c>
      <c r="B15073" t="str">
        <f>HYPERLINK("https://twitter.com/ikhsanaprian1","@ikhsanaprian1")</f>
        <v>@ikhsanaprian1</v>
      </c>
      <c r="C15073" t="s">
        <v>7735</v>
      </c>
      <c r="D15073">
        <v>0</v>
      </c>
      <c r="E15073">
        <v>0</v>
      </c>
      <c r="F15073">
        <v>211</v>
      </c>
    </row>
    <row r="15074" spans="1:6" ht="12.75">
      <c r="A15074" s="2">
        <v>43878.491805555561</v>
      </c>
      <c r="B15074" t="str">
        <f>HYPERLINK("https://twitter.com/MonitorCOID","@MonitorCOID")</f>
        <v>@MonitorCOID</v>
      </c>
      <c r="C15074" t="s">
        <v>7736</v>
      </c>
      <c r="D15074">
        <v>0</v>
      </c>
      <c r="E15074">
        <v>0</v>
      </c>
      <c r="F15074">
        <v>2630</v>
      </c>
    </row>
    <row r="15075" spans="1:6" ht="12.75">
      <c r="A15075" s="2">
        <v>43878.491782407407</v>
      </c>
      <c r="B15075" t="str">
        <f>HYPERLINK("https://twitter.com/CiwamP","@CiwamP")</f>
        <v>@CiwamP</v>
      </c>
      <c r="C15075" t="s">
        <v>7129</v>
      </c>
      <c r="D15075">
        <v>13</v>
      </c>
      <c r="E15075">
        <v>0</v>
      </c>
      <c r="F15075">
        <v>579</v>
      </c>
    </row>
    <row r="15076" spans="1:6" ht="12.75">
      <c r="A15076" s="2">
        <v>43878.491724537038</v>
      </c>
      <c r="B15076" t="str">
        <f>HYPERLINK("https://twitter.com/AdiLiando","@AdiLiando")</f>
        <v>@AdiLiando</v>
      </c>
      <c r="C15076" t="s">
        <v>7737</v>
      </c>
      <c r="D15076">
        <v>0</v>
      </c>
      <c r="E15076">
        <v>0</v>
      </c>
      <c r="F15076">
        <v>72</v>
      </c>
    </row>
    <row r="15077" spans="1:6" ht="12.75">
      <c r="A15077" s="2">
        <v>43878.491689814815</v>
      </c>
      <c r="B15077" t="str">
        <f>HYPERLINK("https://twitter.com/nicolaslkh","@nicolaslkh")</f>
        <v>@nicolaslkh</v>
      </c>
      <c r="C15077" t="s">
        <v>7738</v>
      </c>
      <c r="D15077">
        <v>0</v>
      </c>
      <c r="E15077">
        <v>1</v>
      </c>
      <c r="F15077">
        <v>395</v>
      </c>
    </row>
    <row r="15078" spans="1:6" ht="12.75">
      <c r="A15078" s="2">
        <v>43878.491643518515</v>
      </c>
      <c r="B15078" t="str">
        <f>HYPERLINK("https://twitter.com/JohnIrwan4","@JohnIrwan4")</f>
        <v>@JohnIrwan4</v>
      </c>
      <c r="C15078" t="s">
        <v>7739</v>
      </c>
      <c r="D15078">
        <v>1</v>
      </c>
      <c r="E15078">
        <v>0</v>
      </c>
      <c r="F15078">
        <v>2254</v>
      </c>
    </row>
    <row r="15079" spans="1:6" ht="12.75">
      <c r="A15079" s="2">
        <v>43878.491493055553</v>
      </c>
      <c r="B15079" t="str">
        <f>HYPERLINK("https://twitter.com/minhyunsc","@minhyunsc")</f>
        <v>@minhyunsc</v>
      </c>
      <c r="C15079" t="s">
        <v>7701</v>
      </c>
      <c r="D15079">
        <v>0</v>
      </c>
      <c r="E15079">
        <v>0</v>
      </c>
      <c r="F15079">
        <v>7536</v>
      </c>
    </row>
    <row r="15080" spans="1:6" ht="12.75">
      <c r="A15080" s="2">
        <v>43878.491226851853</v>
      </c>
      <c r="B15080" t="str">
        <f>HYPERLINK("https://twitter.com/Lizalarilari","@Lizalarilari")</f>
        <v>@Lizalarilari</v>
      </c>
      <c r="C15080" t="s">
        <v>6721</v>
      </c>
      <c r="D15080">
        <v>249</v>
      </c>
      <c r="E15080">
        <v>0</v>
      </c>
      <c r="F15080">
        <v>14</v>
      </c>
    </row>
    <row r="15081" spans="1:6" ht="12.75">
      <c r="A15081" s="2">
        <v>43878.491099537037</v>
      </c>
      <c r="B15081" t="str">
        <f>HYPERLINK("https://twitter.com/FreedySamuel","@FreedySamuel")</f>
        <v>@FreedySamuel</v>
      </c>
      <c r="C15081" t="s">
        <v>6721</v>
      </c>
      <c r="D15081">
        <v>249</v>
      </c>
      <c r="E15081">
        <v>0</v>
      </c>
      <c r="F15081">
        <v>161</v>
      </c>
    </row>
    <row r="15082" spans="1:6" ht="12.75">
      <c r="A15082" s="2">
        <v>43878.490972222222</v>
      </c>
      <c r="B15082" t="str">
        <f>HYPERLINK("https://twitter.com/ErnaHelma","@ErnaHelma")</f>
        <v>@ErnaHelma</v>
      </c>
      <c r="C15082" t="s">
        <v>7740</v>
      </c>
      <c r="D15082">
        <v>0</v>
      </c>
      <c r="E15082">
        <v>0</v>
      </c>
      <c r="F15082">
        <v>8</v>
      </c>
    </row>
    <row r="15083" spans="1:6" ht="12.75">
      <c r="A15083" s="2">
        <v>43878.490891203706</v>
      </c>
      <c r="B15083" t="str">
        <f>HYPERLINK("https://twitter.com/itut_sa2000","@itut_sa2000")</f>
        <v>@itut_sa2000</v>
      </c>
      <c r="C15083" t="s">
        <v>6161</v>
      </c>
      <c r="D15083">
        <v>181</v>
      </c>
      <c r="E15083">
        <v>0</v>
      </c>
      <c r="F15083">
        <v>680</v>
      </c>
    </row>
    <row r="15084" spans="1:6" ht="12.75">
      <c r="A15084" s="2">
        <v>43878.490706018521</v>
      </c>
      <c r="B15084" t="str">
        <f>HYPERLINK("https://twitter.com/fajarrasyidie","@fajarrasyidie")</f>
        <v>@fajarrasyidie</v>
      </c>
      <c r="C15084" t="s">
        <v>6721</v>
      </c>
      <c r="D15084">
        <v>249</v>
      </c>
      <c r="E15084">
        <v>0</v>
      </c>
      <c r="F15084">
        <v>405</v>
      </c>
    </row>
    <row r="15085" spans="1:6" ht="12.75">
      <c r="A15085" s="2">
        <v>43878.490613425922</v>
      </c>
      <c r="B15085" t="str">
        <f>HYPERLINK("https://twitter.com/ruliemaulana","@ruliemaulana")</f>
        <v>@ruliemaulana</v>
      </c>
      <c r="C15085" t="s">
        <v>7741</v>
      </c>
      <c r="D15085">
        <v>0</v>
      </c>
      <c r="E15085">
        <v>0</v>
      </c>
      <c r="F15085">
        <v>758</v>
      </c>
    </row>
    <row r="15086" spans="1:6" ht="12.75">
      <c r="A15086" s="2">
        <v>43878.490567129629</v>
      </c>
      <c r="B15086" t="str">
        <f>HYPERLINK("https://twitter.com/SabanaTisa","@SabanaTisa")</f>
        <v>@SabanaTisa</v>
      </c>
      <c r="C15086" t="s">
        <v>7742</v>
      </c>
      <c r="D15086">
        <v>0</v>
      </c>
      <c r="E15086">
        <v>0</v>
      </c>
      <c r="F15086">
        <v>125</v>
      </c>
    </row>
    <row r="15087" spans="1:6" ht="12.75">
      <c r="A15087" s="2">
        <v>43878.490497685183</v>
      </c>
      <c r="B15087" t="str">
        <f>HYPERLINK("https://twitter.com/thereisaIien","@thereisaIien")</f>
        <v>@thereisaIien</v>
      </c>
      <c r="C15087" t="s">
        <v>3340</v>
      </c>
      <c r="D15087">
        <v>73</v>
      </c>
      <c r="E15087">
        <v>0</v>
      </c>
      <c r="F15087">
        <v>1270</v>
      </c>
    </row>
    <row r="15088" spans="1:6" ht="12.75">
      <c r="A15088" s="2">
        <v>43878.490474537037</v>
      </c>
      <c r="B15088" t="str">
        <f>HYPERLINK("https://twitter.com/AtmalaFifi","@AtmalaFifi")</f>
        <v>@AtmalaFifi</v>
      </c>
      <c r="C15088" t="s">
        <v>7743</v>
      </c>
      <c r="D15088">
        <v>0</v>
      </c>
      <c r="E15088">
        <v>0</v>
      </c>
      <c r="F15088">
        <v>617</v>
      </c>
    </row>
    <row r="15089" spans="1:6" ht="12.75">
      <c r="A15089" s="2">
        <v>43878.490266203706</v>
      </c>
      <c r="B15089" t="str">
        <f>HYPERLINK("https://twitter.com/MKhalida18","@MKhalida18")</f>
        <v>@MKhalida18</v>
      </c>
      <c r="C15089" t="s">
        <v>4730</v>
      </c>
      <c r="D15089">
        <v>32</v>
      </c>
      <c r="E15089">
        <v>0</v>
      </c>
      <c r="F15089">
        <v>9</v>
      </c>
    </row>
    <row r="15090" spans="1:6" ht="12.75">
      <c r="A15090" s="2">
        <v>43878.490127314813</v>
      </c>
      <c r="B15090" t="str">
        <f>HYPERLINK("https://twitter.com/natalia36425296","@natalia36425296")</f>
        <v>@natalia36425296</v>
      </c>
      <c r="C15090" t="s">
        <v>7744</v>
      </c>
      <c r="D15090">
        <v>0</v>
      </c>
      <c r="E15090">
        <v>1</v>
      </c>
      <c r="F15090">
        <v>77</v>
      </c>
    </row>
    <row r="15091" spans="1:6" ht="12.75">
      <c r="A15091" s="2">
        <v>43878.489930555559</v>
      </c>
      <c r="B15091" t="str">
        <f>HYPERLINK("https://twitter.com/indrianaa121","@indrianaa121")</f>
        <v>@indrianaa121</v>
      </c>
      <c r="C15091" t="s">
        <v>7745</v>
      </c>
      <c r="D15091">
        <v>1</v>
      </c>
      <c r="E15091">
        <v>0</v>
      </c>
      <c r="F15091">
        <v>256</v>
      </c>
    </row>
    <row r="15092" spans="1:6" ht="12.75">
      <c r="A15092" s="2">
        <v>43878.489918981482</v>
      </c>
      <c r="B15092" t="str">
        <f>HYPERLINK("https://twitter.com/obadiah2203","@obadiah2203")</f>
        <v>@obadiah2203</v>
      </c>
      <c r="C15092" t="s">
        <v>6721</v>
      </c>
      <c r="D15092">
        <v>249</v>
      </c>
      <c r="E15092">
        <v>0</v>
      </c>
      <c r="F15092">
        <v>34</v>
      </c>
    </row>
    <row r="15093" spans="1:6" ht="12.75">
      <c r="A15093" s="2">
        <v>43878.489641203705</v>
      </c>
      <c r="B15093" t="str">
        <f>HYPERLINK("https://twitter.com/indahpaiq","@indahpaiq")</f>
        <v>@indahpaiq</v>
      </c>
      <c r="C15093" t="s">
        <v>7746</v>
      </c>
      <c r="D15093">
        <v>1</v>
      </c>
      <c r="E15093">
        <v>0</v>
      </c>
      <c r="F15093">
        <v>14</v>
      </c>
    </row>
    <row r="15094" spans="1:6" ht="12.75">
      <c r="A15094" s="2">
        <v>43878.489606481482</v>
      </c>
      <c r="B15094" t="str">
        <f>HYPERLINK("https://twitter.com/MNCNewsroom","@MNCNewsroom")</f>
        <v>@MNCNewsroom</v>
      </c>
      <c r="C15094" t="s">
        <v>7747</v>
      </c>
      <c r="D15094">
        <v>0</v>
      </c>
      <c r="E15094">
        <v>0</v>
      </c>
      <c r="F15094">
        <v>17547</v>
      </c>
    </row>
    <row r="15095" spans="1:6" ht="12.75">
      <c r="A15095" s="2">
        <v>43878.489583333328</v>
      </c>
      <c r="B15095" t="str">
        <f t="shared" ref="B15095:B15096" si="261">HYPERLINK("https://twitter.com/SupriantoFerdi","@SupriantoFerdi")</f>
        <v>@SupriantoFerdi</v>
      </c>
      <c r="C15095" t="s">
        <v>7748</v>
      </c>
      <c r="D15095">
        <v>0</v>
      </c>
      <c r="E15095">
        <v>0</v>
      </c>
      <c r="F15095">
        <v>1</v>
      </c>
    </row>
    <row r="15096" spans="1:6" ht="12.75">
      <c r="A15096" s="2">
        <v>43878.489583333328</v>
      </c>
      <c r="B15096" t="str">
        <f t="shared" si="261"/>
        <v>@SupriantoFerdi</v>
      </c>
      <c r="C15096" t="s">
        <v>7749</v>
      </c>
      <c r="D15096">
        <v>0</v>
      </c>
      <c r="E15096">
        <v>0</v>
      </c>
      <c r="F15096">
        <v>1</v>
      </c>
    </row>
    <row r="15097" spans="1:6" ht="12.75">
      <c r="A15097" s="2">
        <v>43878.489479166667</v>
      </c>
      <c r="B15097" t="str">
        <f>HYPERLINK("https://twitter.com/gustian_renaldi","@gustian_renaldi")</f>
        <v>@gustian_renaldi</v>
      </c>
      <c r="C15097" t="s">
        <v>7750</v>
      </c>
      <c r="D15097">
        <v>0</v>
      </c>
      <c r="E15097">
        <v>0</v>
      </c>
      <c r="F15097">
        <v>73</v>
      </c>
    </row>
    <row r="15098" spans="1:6" ht="12.75">
      <c r="A15098" s="2">
        <v>43878.489386574074</v>
      </c>
      <c r="B15098" t="str">
        <f>HYPERLINK("https://twitter.com/han2magic","@han2magic")</f>
        <v>@han2magic</v>
      </c>
      <c r="C15098" t="s">
        <v>7751</v>
      </c>
      <c r="D15098">
        <v>0</v>
      </c>
      <c r="E15098">
        <v>0</v>
      </c>
      <c r="F15098">
        <v>793</v>
      </c>
    </row>
    <row r="15099" spans="1:6" ht="12.75">
      <c r="A15099" s="2">
        <v>43878.489375000005</v>
      </c>
      <c r="B15099" t="str">
        <f>HYPERLINK("https://twitter.com/goenawangn","@goenawangn")</f>
        <v>@goenawangn</v>
      </c>
      <c r="C15099" t="s">
        <v>7752</v>
      </c>
      <c r="D15099">
        <v>0</v>
      </c>
      <c r="E15099">
        <v>0</v>
      </c>
      <c r="F15099">
        <v>617</v>
      </c>
    </row>
    <row r="15100" spans="1:6" ht="12.75">
      <c r="A15100" s="2">
        <v>43878.489363425921</v>
      </c>
      <c r="B15100" t="str">
        <f>HYPERLINK("https://twitter.com/ariflutfiana","@ariflutfiana")</f>
        <v>@ariflutfiana</v>
      </c>
      <c r="C15100" t="s">
        <v>6338</v>
      </c>
      <c r="D15100">
        <v>784</v>
      </c>
      <c r="E15100">
        <v>0</v>
      </c>
      <c r="F15100">
        <v>401</v>
      </c>
    </row>
    <row r="15101" spans="1:6" ht="12.75">
      <c r="A15101" s="2">
        <v>43878.489351851851</v>
      </c>
      <c r="B15101" t="str">
        <f>HYPERLINK("https://twitter.com/rijalfarhan5","@rijalfarhan5")</f>
        <v>@rijalfarhan5</v>
      </c>
      <c r="C15101" t="s">
        <v>7753</v>
      </c>
      <c r="D15101">
        <v>0</v>
      </c>
      <c r="E15101">
        <v>0</v>
      </c>
      <c r="F15101">
        <v>72</v>
      </c>
    </row>
    <row r="15102" spans="1:6" ht="12.75">
      <c r="A15102" s="2">
        <v>43878.489247685182</v>
      </c>
      <c r="B15102" t="str">
        <f>HYPERLINK("https://twitter.com/3_devout","@3_devout")</f>
        <v>@3_devout</v>
      </c>
      <c r="C15102" t="s">
        <v>6721</v>
      </c>
      <c r="D15102">
        <v>249</v>
      </c>
      <c r="E15102">
        <v>0</v>
      </c>
      <c r="F15102">
        <v>1033</v>
      </c>
    </row>
    <row r="15103" spans="1:6" ht="12.75">
      <c r="A15103" s="2">
        <v>43878.488993055551</v>
      </c>
      <c r="B15103" t="str">
        <f>HYPERLINK("https://twitter.com/SetiaAdy_p","@SetiaAdy_p")</f>
        <v>@SetiaAdy_p</v>
      </c>
      <c r="C15103" t="s">
        <v>7754</v>
      </c>
      <c r="D15103">
        <v>1</v>
      </c>
      <c r="E15103">
        <v>1</v>
      </c>
      <c r="F15103">
        <v>4263</v>
      </c>
    </row>
    <row r="15104" spans="1:6" ht="12.75">
      <c r="A15104" s="2">
        <v>43878.488946759258</v>
      </c>
      <c r="B15104" t="str">
        <f>HYPERLINK("https://twitter.com/PutraJaguar8","@PutraJaguar8")</f>
        <v>@PutraJaguar8</v>
      </c>
      <c r="C15104" t="s">
        <v>7755</v>
      </c>
      <c r="D15104">
        <v>0</v>
      </c>
      <c r="E15104">
        <v>0</v>
      </c>
      <c r="F15104">
        <v>2</v>
      </c>
    </row>
    <row r="15105" spans="1:6" ht="12.75">
      <c r="A15105" s="2">
        <v>43878.459791666668</v>
      </c>
      <c r="B15105" t="str">
        <f>HYPERLINK("https://twitter.com/KavindraOemar","@KavindraOemar")</f>
        <v>@KavindraOemar</v>
      </c>
      <c r="C15105" t="s">
        <v>7756</v>
      </c>
      <c r="D15105">
        <v>2</v>
      </c>
      <c r="E15105">
        <v>0</v>
      </c>
      <c r="F15105">
        <v>3672</v>
      </c>
    </row>
    <row r="15106" spans="1:6" ht="12.75">
      <c r="A15106" s="2">
        <v>43878.459062499998</v>
      </c>
      <c r="B15106" t="str">
        <f>HYPERLINK("https://twitter.com/abdulzaki_","@abdulzaki_")</f>
        <v>@abdulzaki_</v>
      </c>
      <c r="C15106" t="s">
        <v>6721</v>
      </c>
      <c r="D15106">
        <v>204</v>
      </c>
      <c r="E15106">
        <v>0</v>
      </c>
      <c r="F15106">
        <v>379</v>
      </c>
    </row>
    <row r="15107" spans="1:6" ht="12.75">
      <c r="A15107" s="2">
        <v>43878.459050925929</v>
      </c>
      <c r="B15107" t="str">
        <f>HYPERLINK("https://twitter.com/Syambari","@Syambari")</f>
        <v>@Syambari</v>
      </c>
      <c r="C15107" t="s">
        <v>7757</v>
      </c>
      <c r="D15107">
        <v>0</v>
      </c>
      <c r="E15107">
        <v>0</v>
      </c>
      <c r="F15107">
        <v>1819</v>
      </c>
    </row>
    <row r="15108" spans="1:6" ht="12.75">
      <c r="A15108" s="2">
        <v>43878.458483796298</v>
      </c>
      <c r="B15108" t="str">
        <f>HYPERLINK("https://twitter.com/SuryaBorneo","@SuryaBorneo")</f>
        <v>@SuryaBorneo</v>
      </c>
      <c r="C15108" t="s">
        <v>7758</v>
      </c>
      <c r="D15108">
        <v>1</v>
      </c>
      <c r="E15108">
        <v>0</v>
      </c>
      <c r="F15108">
        <v>997</v>
      </c>
    </row>
    <row r="15109" spans="1:6" ht="12.75">
      <c r="A15109" s="2">
        <v>43878.457488425927</v>
      </c>
      <c r="B15109" t="str">
        <f>HYPERLINK("https://twitter.com/vincent_ves","@vincent_ves")</f>
        <v>@vincent_ves</v>
      </c>
      <c r="C15109" t="s">
        <v>7759</v>
      </c>
      <c r="D15109">
        <v>6</v>
      </c>
      <c r="E15109">
        <v>0</v>
      </c>
      <c r="F15109">
        <v>4730</v>
      </c>
    </row>
    <row r="15110" spans="1:6" ht="12.75">
      <c r="A15110" s="2">
        <v>43878.457442129627</v>
      </c>
      <c r="B15110" t="str">
        <f>HYPERLINK("https://twitter.com/AlfaAlfarizy1","@AlfaAlfarizy1")</f>
        <v>@AlfaAlfarizy1</v>
      </c>
      <c r="C15110" t="s">
        <v>7760</v>
      </c>
      <c r="D15110">
        <v>2</v>
      </c>
      <c r="E15110">
        <v>0</v>
      </c>
      <c r="F15110">
        <v>574</v>
      </c>
    </row>
    <row r="15111" spans="1:6" ht="12.75">
      <c r="A15111" s="2">
        <v>43878.457037037035</v>
      </c>
      <c r="B15111" t="str">
        <f>HYPERLINK("https://twitter.com/hermanpanca07","@hermanpanca07")</f>
        <v>@hermanpanca07</v>
      </c>
      <c r="C15111" t="s">
        <v>7761</v>
      </c>
      <c r="D15111">
        <v>0</v>
      </c>
      <c r="E15111">
        <v>0</v>
      </c>
      <c r="F15111">
        <v>179</v>
      </c>
    </row>
    <row r="15112" spans="1:6" ht="12.75">
      <c r="A15112" s="2">
        <v>43878.456967592589</v>
      </c>
      <c r="B15112" t="str">
        <f>HYPERLINK("https://twitter.com/IOytes","@IOytes")</f>
        <v>@IOytes</v>
      </c>
      <c r="C15112" t="s">
        <v>7600</v>
      </c>
      <c r="D15112">
        <v>4</v>
      </c>
      <c r="E15112">
        <v>0</v>
      </c>
      <c r="F15112">
        <v>510</v>
      </c>
    </row>
    <row r="15113" spans="1:6" ht="12.75">
      <c r="A15113" s="2">
        <v>43878.456817129627</v>
      </c>
      <c r="B15113" t="str">
        <f>HYPERLINK("https://twitter.com/hamaro_id","@hamaro_id")</f>
        <v>@hamaro_id</v>
      </c>
      <c r="C15113" t="s">
        <v>7762</v>
      </c>
      <c r="D15113">
        <v>1</v>
      </c>
      <c r="E15113">
        <v>0</v>
      </c>
      <c r="F15113">
        <v>1572</v>
      </c>
    </row>
    <row r="15114" spans="1:6" ht="12.75">
      <c r="A15114" s="2">
        <v>43878.456631944442</v>
      </c>
      <c r="B15114" t="str">
        <f>HYPERLINK("https://twitter.com/akubertitah","@akubertitah")</f>
        <v>@akubertitah</v>
      </c>
      <c r="C15114" t="s">
        <v>7763</v>
      </c>
      <c r="D15114">
        <v>0</v>
      </c>
      <c r="E15114">
        <v>0</v>
      </c>
      <c r="F15114">
        <v>20</v>
      </c>
    </row>
    <row r="15115" spans="1:6" ht="12.75">
      <c r="A15115" s="2">
        <v>43878.456307870365</v>
      </c>
      <c r="B15115" t="str">
        <f>HYPERLINK("https://twitter.com/adjatm","@adjatm")</f>
        <v>@adjatm</v>
      </c>
      <c r="C15115" t="s">
        <v>6161</v>
      </c>
      <c r="D15115">
        <v>153</v>
      </c>
      <c r="E15115">
        <v>0</v>
      </c>
      <c r="F15115">
        <v>427</v>
      </c>
    </row>
    <row r="15116" spans="1:6" ht="12.75">
      <c r="A15116" s="2">
        <v>43878.455833333333</v>
      </c>
      <c r="B15116" t="str">
        <f>HYPERLINK("https://twitter.com/CalmEnrique","@CalmEnrique")</f>
        <v>@CalmEnrique</v>
      </c>
      <c r="C15116" t="s">
        <v>7764</v>
      </c>
      <c r="D15116">
        <v>0</v>
      </c>
      <c r="E15116">
        <v>0</v>
      </c>
      <c r="F15116">
        <v>818</v>
      </c>
    </row>
    <row r="15117" spans="1:6" ht="12.75">
      <c r="A15117" s="2">
        <v>43878.455659722225</v>
      </c>
      <c r="B15117" t="str">
        <f>HYPERLINK("https://twitter.com/KevinPrince75","@KevinPrince75")</f>
        <v>@KevinPrince75</v>
      </c>
      <c r="C15117" t="s">
        <v>5168</v>
      </c>
      <c r="D15117">
        <v>1660</v>
      </c>
      <c r="E15117">
        <v>0</v>
      </c>
      <c r="F15117">
        <v>512</v>
      </c>
    </row>
    <row r="15118" spans="1:6" ht="12.75">
      <c r="A15118" s="2">
        <v>43878.45548611111</v>
      </c>
      <c r="B15118" t="str">
        <f>HYPERLINK("https://twitter.com/herlambang_tan","@herlambang_tan")</f>
        <v>@herlambang_tan</v>
      </c>
      <c r="C15118" t="s">
        <v>6721</v>
      </c>
      <c r="D15118">
        <v>204</v>
      </c>
      <c r="E15118">
        <v>0</v>
      </c>
      <c r="F15118">
        <v>2355</v>
      </c>
    </row>
    <row r="15119" spans="1:6" ht="12.75">
      <c r="A15119" s="2">
        <v>43878.45521990741</v>
      </c>
      <c r="B15119" t="str">
        <f>HYPERLINK("https://twitter.com/zainala66","@zainala66")</f>
        <v>@zainala66</v>
      </c>
      <c r="C15119" t="s">
        <v>6161</v>
      </c>
      <c r="D15119">
        <v>153</v>
      </c>
      <c r="E15119">
        <v>0</v>
      </c>
      <c r="F15119">
        <v>138</v>
      </c>
    </row>
    <row r="15120" spans="1:6" ht="12.75">
      <c r="A15120" s="2">
        <v>43878.455208333333</v>
      </c>
      <c r="B15120" t="str">
        <f>HYPERLINK("https://twitter.com/iskanda80893534","@iskanda80893534")</f>
        <v>@iskanda80893534</v>
      </c>
      <c r="C15120" t="s">
        <v>2702</v>
      </c>
      <c r="D15120">
        <v>353</v>
      </c>
      <c r="E15120">
        <v>0</v>
      </c>
      <c r="F15120">
        <v>8548</v>
      </c>
    </row>
    <row r="15121" spans="1:6" ht="12.75">
      <c r="A15121" s="2">
        <v>43878.454699074078</v>
      </c>
      <c r="B15121" t="str">
        <f>HYPERLINK("https://twitter.com/SuburBur","@SuburBur")</f>
        <v>@SuburBur</v>
      </c>
      <c r="C15121" t="s">
        <v>7765</v>
      </c>
      <c r="D15121">
        <v>6</v>
      </c>
      <c r="E15121">
        <v>0</v>
      </c>
      <c r="F15121">
        <v>5958</v>
      </c>
    </row>
    <row r="15122" spans="1:6" ht="12.75">
      <c r="A15122" s="2">
        <v>43878.453726851847</v>
      </c>
      <c r="B15122" t="str">
        <f>HYPERLINK("https://twitter.com/jawapostv","@jawapostv")</f>
        <v>@jawapostv</v>
      </c>
      <c r="C15122" t="s">
        <v>7766</v>
      </c>
      <c r="D15122">
        <v>0</v>
      </c>
      <c r="E15122">
        <v>0</v>
      </c>
      <c r="F15122">
        <v>5305</v>
      </c>
    </row>
    <row r="15123" spans="1:6" ht="12.75">
      <c r="A15123" s="2">
        <v>43878.453657407408</v>
      </c>
      <c r="B15123" t="str">
        <f>HYPERLINK("https://twitter.com/firmaninside","@firmaninside")</f>
        <v>@firmaninside</v>
      </c>
      <c r="C15123" t="s">
        <v>6721</v>
      </c>
      <c r="D15123">
        <v>204</v>
      </c>
      <c r="E15123">
        <v>0</v>
      </c>
      <c r="F15123">
        <v>1058</v>
      </c>
    </row>
    <row r="15124" spans="1:6" ht="12.75">
      <c r="A15124" s="2">
        <v>43878.453472222223</v>
      </c>
      <c r="B15124" t="str">
        <f>HYPERLINK("https://twitter.com/godilAAF","@godilAAF")</f>
        <v>@godilAAF</v>
      </c>
      <c r="C15124" t="s">
        <v>6721</v>
      </c>
      <c r="D15124">
        <v>204</v>
      </c>
      <c r="E15124">
        <v>0</v>
      </c>
      <c r="F15124">
        <v>328</v>
      </c>
    </row>
    <row r="15125" spans="1:6" ht="12.75">
      <c r="A15125" s="2">
        <v>43878.453379629631</v>
      </c>
      <c r="B15125" t="str">
        <f>HYPERLINK("https://twitter.com/Zhouyieqiong","@Zhouyieqiong")</f>
        <v>@Zhouyieqiong</v>
      </c>
      <c r="C15125" t="s">
        <v>3340</v>
      </c>
      <c r="D15125">
        <v>59</v>
      </c>
      <c r="E15125">
        <v>0</v>
      </c>
      <c r="F15125">
        <v>342</v>
      </c>
    </row>
    <row r="15126" spans="1:6" ht="12.75">
      <c r="A15126" s="2">
        <v>43878.453298611115</v>
      </c>
      <c r="B15126" t="str">
        <f>HYPERLINK("https://twitter.com/apaini1111","@apaini1111")</f>
        <v>@apaini1111</v>
      </c>
      <c r="C15126" t="s">
        <v>7767</v>
      </c>
      <c r="D15126">
        <v>2</v>
      </c>
      <c r="E15126">
        <v>3</v>
      </c>
      <c r="F15126">
        <v>340</v>
      </c>
    </row>
    <row r="15127" spans="1:6" ht="12.75">
      <c r="A15127" s="2">
        <v>43878.453206018516</v>
      </c>
      <c r="B15127" t="str">
        <f>HYPERLINK("https://twitter.com/aryahave","@aryahave")</f>
        <v>@aryahave</v>
      </c>
      <c r="C15127" t="s">
        <v>6721</v>
      </c>
      <c r="D15127">
        <v>204</v>
      </c>
      <c r="E15127">
        <v>0</v>
      </c>
      <c r="F15127">
        <v>315</v>
      </c>
    </row>
    <row r="15128" spans="1:6" ht="12.75">
      <c r="A15128" s="2">
        <v>43878.452939814815</v>
      </c>
      <c r="B15128" t="str">
        <f>HYPERLINK("https://twitter.com/SamHaerani1","@SamHaerani1")</f>
        <v>@SamHaerani1</v>
      </c>
      <c r="C15128" t="s">
        <v>491</v>
      </c>
      <c r="D15128">
        <v>4733</v>
      </c>
      <c r="E15128">
        <v>0</v>
      </c>
      <c r="F15128">
        <v>4</v>
      </c>
    </row>
    <row r="15129" spans="1:6" ht="12.75">
      <c r="A15129" s="2">
        <v>43878.452928240746</v>
      </c>
      <c r="B15129" t="str">
        <f>HYPERLINK("https://twitter.com/iben_d","@iben_d")</f>
        <v>@iben_d</v>
      </c>
      <c r="C15129" t="s">
        <v>3396</v>
      </c>
      <c r="D15129">
        <v>60</v>
      </c>
      <c r="E15129">
        <v>0</v>
      </c>
      <c r="F15129">
        <v>110</v>
      </c>
    </row>
    <row r="15130" spans="1:6" ht="12.75">
      <c r="A15130" s="2">
        <v>43878.4528125</v>
      </c>
      <c r="B15130" t="str">
        <f>HYPERLINK("https://twitter.com/info4marwan","@info4marwan")</f>
        <v>@info4marwan</v>
      </c>
      <c r="C15130" t="s">
        <v>7768</v>
      </c>
      <c r="D15130">
        <v>0</v>
      </c>
      <c r="E15130">
        <v>0</v>
      </c>
      <c r="F15130">
        <v>594</v>
      </c>
    </row>
    <row r="15131" spans="1:6" ht="12.75">
      <c r="A15131" s="2">
        <v>43878.452592592592</v>
      </c>
      <c r="B15131" t="str">
        <f>HYPERLINK("https://twitter.com/miedayu","@miedayu")</f>
        <v>@miedayu</v>
      </c>
      <c r="C15131" t="s">
        <v>6721</v>
      </c>
      <c r="D15131">
        <v>204</v>
      </c>
      <c r="E15131">
        <v>0</v>
      </c>
      <c r="F15131">
        <v>1754</v>
      </c>
    </row>
    <row r="15132" spans="1:6" ht="12.75">
      <c r="A15132" s="2">
        <v>43878.452407407407</v>
      </c>
      <c r="B15132" t="str">
        <f>HYPERLINK("https://twitter.com/bernadgh","@bernadgh")</f>
        <v>@bernadgh</v>
      </c>
      <c r="C15132" t="s">
        <v>7769</v>
      </c>
      <c r="D15132">
        <v>1</v>
      </c>
      <c r="E15132">
        <v>0</v>
      </c>
      <c r="F15132">
        <v>1643</v>
      </c>
    </row>
    <row r="15133" spans="1:6" ht="12.75">
      <c r="A15133" s="2">
        <v>43878.452361111107</v>
      </c>
      <c r="B15133" t="str">
        <f>HYPERLINK("https://twitter.com/A_Rosjandy","@A_Rosjandy")</f>
        <v>@A_Rosjandy</v>
      </c>
      <c r="C15133" t="s">
        <v>6161</v>
      </c>
      <c r="D15133">
        <v>153</v>
      </c>
      <c r="E15133">
        <v>0</v>
      </c>
      <c r="F15133">
        <v>246</v>
      </c>
    </row>
    <row r="15134" spans="1:6" ht="12.75">
      <c r="A15134" s="2">
        <v>43878.45207175926</v>
      </c>
      <c r="B15134" t="str">
        <f>HYPERLINK("https://twitter.com/poncokarso","@poncokarso")</f>
        <v>@poncokarso</v>
      </c>
      <c r="C15134" t="s">
        <v>7298</v>
      </c>
      <c r="D15134">
        <v>93</v>
      </c>
      <c r="E15134">
        <v>0</v>
      </c>
      <c r="F15134">
        <v>1088</v>
      </c>
    </row>
    <row r="15135" spans="1:6" ht="12.75">
      <c r="A15135" s="2">
        <v>43878.451863425929</v>
      </c>
      <c r="B15135" t="str">
        <f>HYPERLINK("https://twitter.com/BayuLesmanaPD","@BayuLesmanaPD")</f>
        <v>@BayuLesmanaPD</v>
      </c>
      <c r="C15135" t="s">
        <v>3398</v>
      </c>
      <c r="D15135">
        <v>95</v>
      </c>
      <c r="E15135">
        <v>0</v>
      </c>
      <c r="F15135">
        <v>163</v>
      </c>
    </row>
    <row r="15136" spans="1:6" ht="12.75">
      <c r="A15136" s="2">
        <v>43878.451782407406</v>
      </c>
      <c r="B15136" t="str">
        <f>HYPERLINK("https://twitter.com/sukasuka_semua","@sukasuka_semua")</f>
        <v>@sukasuka_semua</v>
      </c>
      <c r="C15136" t="s">
        <v>6721</v>
      </c>
      <c r="D15136">
        <v>204</v>
      </c>
      <c r="E15136">
        <v>0</v>
      </c>
      <c r="F15136">
        <v>113</v>
      </c>
    </row>
    <row r="15137" spans="1:6" ht="12.75">
      <c r="A15137" s="2">
        <v>43878.451736111107</v>
      </c>
      <c r="B15137" t="str">
        <f>HYPERLINK("https://twitter.com/marpaung913","@marpaung913")</f>
        <v>@marpaung913</v>
      </c>
      <c r="C15137" t="s">
        <v>7770</v>
      </c>
      <c r="D15137">
        <v>0</v>
      </c>
      <c r="E15137">
        <v>0</v>
      </c>
      <c r="F15137">
        <v>525</v>
      </c>
    </row>
    <row r="15138" spans="1:6" ht="12.75">
      <c r="A15138" s="2">
        <v>43878.451180555552</v>
      </c>
      <c r="B15138" t="str">
        <f>HYPERLINK("https://twitter.com/TJuwarto","@TJuwarto")</f>
        <v>@TJuwarto</v>
      </c>
      <c r="C15138" t="s">
        <v>3396</v>
      </c>
      <c r="D15138">
        <v>60</v>
      </c>
      <c r="E15138">
        <v>0</v>
      </c>
      <c r="F15138">
        <v>71</v>
      </c>
    </row>
    <row r="15139" spans="1:6" ht="12.75">
      <c r="A15139" s="2">
        <v>43878.450717592597</v>
      </c>
      <c r="B15139" t="str">
        <f>HYPERLINK("https://twitter.com/taufiqiqbal4","@taufiqiqbal4")</f>
        <v>@taufiqiqbal4</v>
      </c>
      <c r="C15139" t="s">
        <v>6721</v>
      </c>
      <c r="D15139">
        <v>204</v>
      </c>
      <c r="E15139">
        <v>0</v>
      </c>
      <c r="F15139">
        <v>68</v>
      </c>
    </row>
    <row r="15140" spans="1:6" ht="12.75">
      <c r="A15140" s="2">
        <v>43878.450694444444</v>
      </c>
      <c r="B15140" t="str">
        <f>HYPERLINK("https://twitter.com/Julia_Zeed","@Julia_Zeed")</f>
        <v>@Julia_Zeed</v>
      </c>
      <c r="C15140" t="s">
        <v>2674</v>
      </c>
      <c r="D15140">
        <v>63</v>
      </c>
      <c r="E15140">
        <v>0</v>
      </c>
      <c r="F15140">
        <v>2618</v>
      </c>
    </row>
    <row r="15141" spans="1:6" ht="12.75">
      <c r="A15141" s="2">
        <v>43878.45045138889</v>
      </c>
      <c r="B15141" t="str">
        <f>HYPERLINK("https://twitter.com/raiizzell","@raiizzell")</f>
        <v>@raiizzell</v>
      </c>
      <c r="C15141" t="s">
        <v>7771</v>
      </c>
      <c r="D15141">
        <v>0</v>
      </c>
      <c r="E15141">
        <v>0</v>
      </c>
      <c r="F15141">
        <v>85</v>
      </c>
    </row>
    <row r="15142" spans="1:6" ht="12.75">
      <c r="A15142" s="2">
        <v>43878.450185185182</v>
      </c>
      <c r="B15142" t="str">
        <f>HYPERLINK("https://twitter.com/4mortentia","@4mortentia")</f>
        <v>@4mortentia</v>
      </c>
      <c r="C15142" t="s">
        <v>6721</v>
      </c>
      <c r="D15142">
        <v>204</v>
      </c>
      <c r="E15142">
        <v>0</v>
      </c>
      <c r="F15142">
        <v>340</v>
      </c>
    </row>
    <row r="15143" spans="1:6" ht="12.75">
      <c r="A15143" s="2">
        <v>43878.449745370366</v>
      </c>
      <c r="B15143" t="str">
        <f>HYPERLINK("https://twitter.com/Supriyanto_Dei","@Supriyanto_Dei")</f>
        <v>@Supriyanto_Dei</v>
      </c>
      <c r="C15143" t="s">
        <v>7734</v>
      </c>
      <c r="D15143">
        <v>40</v>
      </c>
      <c r="E15143">
        <v>0</v>
      </c>
      <c r="F15143">
        <v>1185</v>
      </c>
    </row>
    <row r="15144" spans="1:6" ht="12.75">
      <c r="A15144" s="2">
        <v>43878.449629629627</v>
      </c>
      <c r="B15144" t="str">
        <f>HYPERLINK("https://twitter.com/kardusbox08","@kardusbox08")</f>
        <v>@kardusbox08</v>
      </c>
      <c r="C15144" t="s">
        <v>7772</v>
      </c>
      <c r="D15144">
        <v>0</v>
      </c>
      <c r="E15144">
        <v>0</v>
      </c>
      <c r="F15144">
        <v>1332</v>
      </c>
    </row>
    <row r="15145" spans="1:6" ht="12.75">
      <c r="A15145" s="2">
        <v>43878.44939814815</v>
      </c>
      <c r="B15145" t="str">
        <f>HYPERLINK("https://twitter.com/Rudyp1000","@Rudyp1000")</f>
        <v>@Rudyp1000</v>
      </c>
      <c r="C15145" t="s">
        <v>7129</v>
      </c>
      <c r="D15145">
        <v>11</v>
      </c>
      <c r="E15145">
        <v>0</v>
      </c>
      <c r="F15145">
        <v>155</v>
      </c>
    </row>
    <row r="15146" spans="1:6" ht="12.75">
      <c r="A15146" s="2">
        <v>43878.449363425927</v>
      </c>
      <c r="B15146" t="str">
        <f>HYPERLINK("https://twitter.com/azurelcz","@azurelcz")</f>
        <v>@azurelcz</v>
      </c>
      <c r="C15146" t="s">
        <v>3340</v>
      </c>
      <c r="D15146">
        <v>59</v>
      </c>
      <c r="E15146">
        <v>0</v>
      </c>
      <c r="F15146">
        <v>339</v>
      </c>
    </row>
    <row r="15147" spans="1:6" ht="12.75">
      <c r="A15147" s="2">
        <v>43878.449212962965</v>
      </c>
      <c r="B15147" t="str">
        <f>HYPERLINK("https://twitter.com/hannaconnia","@hannaconnia")</f>
        <v>@hannaconnia</v>
      </c>
      <c r="C15147" t="s">
        <v>6721</v>
      </c>
      <c r="D15147">
        <v>204</v>
      </c>
      <c r="E15147">
        <v>0</v>
      </c>
      <c r="F15147">
        <v>58</v>
      </c>
    </row>
    <row r="15148" spans="1:6" ht="12.75">
      <c r="A15148" s="2">
        <v>43878.449143518519</v>
      </c>
      <c r="B15148" t="str">
        <f>HYPERLINK("https://twitter.com/RahmatHafiz","@RahmatHafiz")</f>
        <v>@RahmatHafiz</v>
      </c>
      <c r="C15148" t="s">
        <v>6721</v>
      </c>
      <c r="D15148">
        <v>204</v>
      </c>
      <c r="E15148">
        <v>0</v>
      </c>
      <c r="F15148">
        <v>346</v>
      </c>
    </row>
    <row r="15149" spans="1:6" ht="12.75">
      <c r="A15149" s="2">
        <v>43878.449120370366</v>
      </c>
      <c r="B15149" t="str">
        <f>HYPERLINK("https://twitter.com/loocatsun","@loocatsun")</f>
        <v>@loocatsun</v>
      </c>
      <c r="C15149" t="s">
        <v>6721</v>
      </c>
      <c r="D15149">
        <v>204</v>
      </c>
      <c r="E15149">
        <v>0</v>
      </c>
      <c r="F15149">
        <v>299</v>
      </c>
    </row>
    <row r="15150" spans="1:6" ht="12.75">
      <c r="A15150" s="2">
        <v>43878.448807870373</v>
      </c>
      <c r="B15150" t="str">
        <f>HYPERLINK("https://twitter.com/terequ09","@terequ09")</f>
        <v>@terequ09</v>
      </c>
      <c r="C15150" t="s">
        <v>6161</v>
      </c>
      <c r="D15150">
        <v>153</v>
      </c>
      <c r="E15150">
        <v>0</v>
      </c>
      <c r="F15150">
        <v>88</v>
      </c>
    </row>
    <row r="15151" spans="1:6" ht="12.75">
      <c r="A15151" s="2">
        <v>43878.448773148149</v>
      </c>
      <c r="B15151" t="str">
        <f>HYPERLINK("https://twitter.com/paula_moratta","@paula_moratta")</f>
        <v>@paula_moratta</v>
      </c>
      <c r="C15151" t="s">
        <v>6161</v>
      </c>
      <c r="D15151">
        <v>153</v>
      </c>
      <c r="E15151">
        <v>0</v>
      </c>
      <c r="F15151">
        <v>146</v>
      </c>
    </row>
    <row r="15152" spans="1:6" ht="12.75">
      <c r="A15152" s="2">
        <v>43878.448611111111</v>
      </c>
      <c r="B15152" t="str">
        <f>HYPERLINK("https://twitter.com/HenkMizell","@HenkMizell")</f>
        <v>@HenkMizell</v>
      </c>
      <c r="C15152" t="s">
        <v>7773</v>
      </c>
      <c r="D15152">
        <v>0</v>
      </c>
      <c r="E15152">
        <v>0</v>
      </c>
      <c r="F15152">
        <v>16</v>
      </c>
    </row>
    <row r="15153" spans="1:6" ht="12.75">
      <c r="A15153" s="2">
        <v>43878.448449074072</v>
      </c>
      <c r="B15153" t="str">
        <f>HYPERLINK("https://twitter.com/umaleao","@umaleao")</f>
        <v>@umaleao</v>
      </c>
      <c r="C15153" t="s">
        <v>6721</v>
      </c>
      <c r="D15153">
        <v>204</v>
      </c>
      <c r="E15153">
        <v>0</v>
      </c>
      <c r="F15153">
        <v>26071</v>
      </c>
    </row>
    <row r="15154" spans="1:6" ht="12.75">
      <c r="A15154" s="2">
        <v>43878.448206018518</v>
      </c>
      <c r="B15154" t="str">
        <f>HYPERLINK("https://twitter.com/Moenthelicious","@Moenthelicious")</f>
        <v>@Moenthelicious</v>
      </c>
      <c r="C15154" t="s">
        <v>6161</v>
      </c>
      <c r="D15154">
        <v>153</v>
      </c>
      <c r="E15154">
        <v>0</v>
      </c>
      <c r="F15154">
        <v>4092</v>
      </c>
    </row>
    <row r="15155" spans="1:6" ht="12.75">
      <c r="A15155" s="2">
        <v>43878.447002314817</v>
      </c>
      <c r="B15155" t="str">
        <f>HYPERLINK("https://twitter.com/pangeranbolon","@pangeranbolon")</f>
        <v>@pangeranbolon</v>
      </c>
      <c r="C15155" t="s">
        <v>7774</v>
      </c>
      <c r="D15155">
        <v>0</v>
      </c>
      <c r="E15155">
        <v>0</v>
      </c>
      <c r="F15155">
        <v>64</v>
      </c>
    </row>
    <row r="15156" spans="1:6" ht="12.75">
      <c r="A15156" s="2">
        <v>43878.447002314817</v>
      </c>
      <c r="B15156" t="str">
        <f>HYPERLINK("https://twitter.com/MuhJailani3","@MuhJailani3")</f>
        <v>@MuhJailani3</v>
      </c>
      <c r="C15156" t="s">
        <v>7775</v>
      </c>
      <c r="D15156">
        <v>6</v>
      </c>
      <c r="E15156">
        <v>0</v>
      </c>
      <c r="F15156">
        <v>8</v>
      </c>
    </row>
    <row r="15157" spans="1:6" ht="12.75">
      <c r="A15157" s="2">
        <v>43878.446574074071</v>
      </c>
      <c r="B15157" t="str">
        <f>HYPERLINK("https://twitter.com/sutejooy","@sutejooy")</f>
        <v>@sutejooy</v>
      </c>
      <c r="C15157" t="s">
        <v>7111</v>
      </c>
      <c r="D15157">
        <v>4</v>
      </c>
      <c r="E15157">
        <v>0</v>
      </c>
      <c r="F15157">
        <v>1003</v>
      </c>
    </row>
    <row r="15158" spans="1:6" ht="12.75">
      <c r="A15158" s="2">
        <v>43878.445752314816</v>
      </c>
      <c r="B15158" t="str">
        <f>HYPERLINK("https://twitter.com/Masartono","@Masartono")</f>
        <v>@Masartono</v>
      </c>
      <c r="C15158" t="s">
        <v>7113</v>
      </c>
      <c r="D15158">
        <v>26</v>
      </c>
      <c r="E15158">
        <v>0</v>
      </c>
      <c r="F15158">
        <v>532</v>
      </c>
    </row>
    <row r="15159" spans="1:6" ht="12.75">
      <c r="A15159" s="2">
        <v>43878.445740740739</v>
      </c>
      <c r="B15159" t="str">
        <f>HYPERLINK("https://twitter.com/kalemaja00","@kalemaja00")</f>
        <v>@kalemaja00</v>
      </c>
      <c r="C15159" t="s">
        <v>6161</v>
      </c>
      <c r="D15159">
        <v>153</v>
      </c>
      <c r="E15159">
        <v>0</v>
      </c>
      <c r="F15159">
        <v>12</v>
      </c>
    </row>
    <row r="15160" spans="1:6" ht="12.75">
      <c r="A15160" s="2">
        <v>43878.445625</v>
      </c>
      <c r="B15160" t="str">
        <f>HYPERLINK("https://twitter.com/Baracuda077","@Baracuda077")</f>
        <v>@Baracuda077</v>
      </c>
      <c r="C15160" t="s">
        <v>7776</v>
      </c>
      <c r="D15160">
        <v>0</v>
      </c>
      <c r="E15160">
        <v>0</v>
      </c>
      <c r="F15160">
        <v>104</v>
      </c>
    </row>
    <row r="15161" spans="1:6" ht="12.75">
      <c r="A15161" s="2">
        <v>43878.445509259254</v>
      </c>
      <c r="B15161" t="str">
        <f>HYPERLINK("https://twitter.com/rizkisaputra300","@rizkisaputra300")</f>
        <v>@rizkisaputra300</v>
      </c>
      <c r="C15161" t="s">
        <v>7242</v>
      </c>
      <c r="D15161">
        <v>15</v>
      </c>
      <c r="E15161">
        <v>0</v>
      </c>
      <c r="F15161">
        <v>558</v>
      </c>
    </row>
    <row r="15162" spans="1:6" ht="12.75">
      <c r="A15162" s="2">
        <v>43878.445405092592</v>
      </c>
      <c r="B15162" t="str">
        <f>HYPERLINK("https://twitter.com/dennynovandi","@dennynovandi")</f>
        <v>@dennynovandi</v>
      </c>
      <c r="C15162" t="s">
        <v>6721</v>
      </c>
      <c r="D15162">
        <v>204</v>
      </c>
      <c r="E15162">
        <v>0</v>
      </c>
      <c r="F15162">
        <v>867</v>
      </c>
    </row>
    <row r="15163" spans="1:6" ht="12.75">
      <c r="A15163" s="2">
        <v>43878.444907407407</v>
      </c>
      <c r="B15163" t="str">
        <f>HYPERLINK("https://twitter.com/agama_nusantara","@agama_nusantara")</f>
        <v>@agama_nusantara</v>
      </c>
      <c r="C15163" t="s">
        <v>6161</v>
      </c>
      <c r="D15163">
        <v>153</v>
      </c>
      <c r="E15163">
        <v>0</v>
      </c>
      <c r="F15163">
        <v>7345</v>
      </c>
    </row>
    <row r="15164" spans="1:6" ht="12.75">
      <c r="A15164" s="2">
        <v>43878.444062499999</v>
      </c>
      <c r="B15164" t="str">
        <f>HYPERLINK("https://twitter.com/HatiBerdebu","@HatiBerdebu")</f>
        <v>@HatiBerdebu</v>
      </c>
      <c r="C15164" t="s">
        <v>3396</v>
      </c>
      <c r="D15164">
        <v>60</v>
      </c>
      <c r="E15164">
        <v>0</v>
      </c>
      <c r="F15164">
        <v>297</v>
      </c>
    </row>
    <row r="15165" spans="1:6" ht="12.75">
      <c r="A15165" s="2">
        <v>43878.443773148145</v>
      </c>
      <c r="B15165" t="str">
        <f t="shared" ref="B15165:B15166" si="262">HYPERLINK("https://twitter.com/MatPakpahan","@MatPakpahan")</f>
        <v>@MatPakpahan</v>
      </c>
      <c r="C15165" t="s">
        <v>7777</v>
      </c>
      <c r="D15165">
        <v>0</v>
      </c>
      <c r="E15165">
        <v>0</v>
      </c>
      <c r="F15165">
        <v>1</v>
      </c>
    </row>
    <row r="15166" spans="1:6" ht="12.75">
      <c r="A15166" s="2">
        <v>43878.443414351852</v>
      </c>
      <c r="B15166" t="str">
        <f t="shared" si="262"/>
        <v>@MatPakpahan</v>
      </c>
      <c r="C15166" t="s">
        <v>7778</v>
      </c>
      <c r="D15166">
        <v>0</v>
      </c>
      <c r="E15166">
        <v>0</v>
      </c>
      <c r="F15166">
        <v>1</v>
      </c>
    </row>
    <row r="15167" spans="1:6" ht="12.75">
      <c r="A15167" s="2">
        <v>43878.44331018519</v>
      </c>
      <c r="B15167" t="str">
        <f>HYPERLINK("https://twitter.com/MetroIslam","@MetroIslam")</f>
        <v>@MetroIslam</v>
      </c>
      <c r="C15167" t="s">
        <v>7779</v>
      </c>
      <c r="D15167">
        <v>0</v>
      </c>
      <c r="E15167">
        <v>0</v>
      </c>
      <c r="F15167">
        <v>929</v>
      </c>
    </row>
    <row r="15168" spans="1:6" ht="12.75">
      <c r="A15168" s="2">
        <v>43878.443298611106</v>
      </c>
      <c r="B15168" t="str">
        <f>HYPERLINK("https://twitter.com/JagoanMelon","@JagoanMelon")</f>
        <v>@JagoanMelon</v>
      </c>
      <c r="C15168" t="s">
        <v>6161</v>
      </c>
      <c r="D15168">
        <v>153</v>
      </c>
      <c r="E15168">
        <v>0</v>
      </c>
      <c r="F15168">
        <v>570</v>
      </c>
    </row>
    <row r="15169" spans="1:6" ht="12.75">
      <c r="A15169" s="2">
        <v>43878.443275462967</v>
      </c>
      <c r="B15169" t="str">
        <f>HYPERLINK("https://twitter.com/Alfarits","@Alfarits")</f>
        <v>@Alfarits</v>
      </c>
      <c r="C15169" t="s">
        <v>6161</v>
      </c>
      <c r="D15169">
        <v>153</v>
      </c>
      <c r="E15169">
        <v>0</v>
      </c>
      <c r="F15169">
        <v>156</v>
      </c>
    </row>
    <row r="15170" spans="1:6" ht="12.75">
      <c r="A15170" s="2">
        <v>43878.442557870367</v>
      </c>
      <c r="B15170" t="str">
        <f>HYPERLINK("https://twitter.com/r_wdiani","@r_wdiani")</f>
        <v>@r_wdiani</v>
      </c>
      <c r="C15170" t="s">
        <v>7780</v>
      </c>
      <c r="D15170">
        <v>0</v>
      </c>
      <c r="E15170">
        <v>0</v>
      </c>
      <c r="F15170">
        <v>0</v>
      </c>
    </row>
    <row r="15171" spans="1:6" ht="12.75">
      <c r="A15171" s="2">
        <v>43878.442418981482</v>
      </c>
      <c r="B15171" t="str">
        <f>HYPERLINK("https://twitter.com/CoxJian","@CoxJian")</f>
        <v>@CoxJian</v>
      </c>
      <c r="C15171" t="s">
        <v>7781</v>
      </c>
      <c r="D15171">
        <v>3</v>
      </c>
      <c r="E15171">
        <v>0</v>
      </c>
      <c r="F15171">
        <v>8</v>
      </c>
    </row>
    <row r="15172" spans="1:6" ht="12.75">
      <c r="A15172" s="2">
        <v>43878.442407407405</v>
      </c>
      <c r="B15172" t="str">
        <f>HYPERLINK("https://twitter.com/Gunawan6425666","@Gunawan6425666")</f>
        <v>@Gunawan6425666</v>
      </c>
      <c r="C15172" t="s">
        <v>6161</v>
      </c>
      <c r="D15172">
        <v>153</v>
      </c>
      <c r="E15172">
        <v>0</v>
      </c>
      <c r="F15172">
        <v>76</v>
      </c>
    </row>
    <row r="15173" spans="1:6" ht="12.75">
      <c r="A15173" s="2">
        <v>43878.442395833335</v>
      </c>
      <c r="B15173" t="str">
        <f>HYPERLINK("https://twitter.com/indonesianest45","@indonesianest45")</f>
        <v>@indonesianest45</v>
      </c>
      <c r="C15173" t="s">
        <v>7782</v>
      </c>
      <c r="D15173">
        <v>0</v>
      </c>
      <c r="E15173">
        <v>0</v>
      </c>
      <c r="F15173">
        <v>162</v>
      </c>
    </row>
    <row r="15174" spans="1:6" ht="12.75">
      <c r="A15174" s="2">
        <v>43878.442337962959</v>
      </c>
      <c r="B15174" t="str">
        <f>HYPERLINK("https://twitter.com/JackyLatuhihin","@JackyLatuhihin")</f>
        <v>@JackyLatuhihin</v>
      </c>
      <c r="C15174" t="s">
        <v>7783</v>
      </c>
      <c r="D15174">
        <v>0</v>
      </c>
      <c r="E15174">
        <v>0</v>
      </c>
      <c r="F15174">
        <v>63</v>
      </c>
    </row>
    <row r="15175" spans="1:6" ht="12.75">
      <c r="A15175" s="2">
        <v>43878.442199074074</v>
      </c>
      <c r="B15175" t="str">
        <f>HYPERLINK("https://twitter.com/CapOnTinkerer","@CapOnTinkerer")</f>
        <v>@CapOnTinkerer</v>
      </c>
      <c r="C15175" t="s">
        <v>7784</v>
      </c>
      <c r="D15175">
        <v>0</v>
      </c>
      <c r="E15175">
        <v>0</v>
      </c>
      <c r="F15175">
        <v>67</v>
      </c>
    </row>
    <row r="15176" spans="1:6" ht="12.75">
      <c r="A15176" s="2">
        <v>43878.442187499997</v>
      </c>
      <c r="B15176" t="str">
        <f>HYPERLINK("https://twitter.com/aden_nyoto","@aden_nyoto")</f>
        <v>@aden_nyoto</v>
      </c>
      <c r="C15176" t="s">
        <v>7785</v>
      </c>
      <c r="D15176">
        <v>0</v>
      </c>
      <c r="E15176">
        <v>0</v>
      </c>
      <c r="F15176">
        <v>132</v>
      </c>
    </row>
    <row r="15177" spans="1:6" ht="12.75">
      <c r="A15177" s="2">
        <v>43878.442002314812</v>
      </c>
      <c r="B15177" t="str">
        <f>HYPERLINK("https://twitter.com/bsdrlawfirm","@bsdrlawfirm")</f>
        <v>@bsdrlawfirm</v>
      </c>
      <c r="C15177" t="s">
        <v>7786</v>
      </c>
      <c r="D15177">
        <v>0</v>
      </c>
      <c r="E15177">
        <v>0</v>
      </c>
      <c r="F15177">
        <v>185</v>
      </c>
    </row>
    <row r="15178" spans="1:6" ht="12.75">
      <c r="A15178" s="2">
        <v>43878.441782407404</v>
      </c>
      <c r="B15178" t="str">
        <f>HYPERLINK("https://twitter.com/MichaelHarto77","@MichaelHarto77")</f>
        <v>@MichaelHarto77</v>
      </c>
      <c r="C15178" t="s">
        <v>7759</v>
      </c>
      <c r="D15178">
        <v>6</v>
      </c>
      <c r="E15178">
        <v>0</v>
      </c>
      <c r="F15178">
        <v>4439</v>
      </c>
    </row>
    <row r="15179" spans="1:6" ht="12.75">
      <c r="A15179" s="2">
        <v>43878.441782407404</v>
      </c>
      <c r="B15179" t="str">
        <f>HYPERLINK("https://twitter.com/pahrirreza","@pahrirreza")</f>
        <v>@pahrirreza</v>
      </c>
      <c r="C15179" t="s">
        <v>7787</v>
      </c>
      <c r="D15179">
        <v>0</v>
      </c>
      <c r="E15179">
        <v>0</v>
      </c>
      <c r="F15179">
        <v>20</v>
      </c>
    </row>
    <row r="15180" spans="1:6" ht="12.75">
      <c r="A15180" s="2">
        <v>43878.441701388889</v>
      </c>
      <c r="B15180" t="str">
        <f>HYPERLINK("https://twitter.com/sabhatansabiz","@sabhatansabiz")</f>
        <v>@sabhatansabiz</v>
      </c>
      <c r="C15180" t="s">
        <v>7788</v>
      </c>
      <c r="D15180">
        <v>2</v>
      </c>
      <c r="E15180">
        <v>0</v>
      </c>
      <c r="F15180">
        <v>1584</v>
      </c>
    </row>
    <row r="15181" spans="1:6" ht="12.75">
      <c r="A15181" s="2">
        <v>43878.441701388889</v>
      </c>
      <c r="B15181" t="str">
        <f>HYPERLINK("https://twitter.com/updatedotid","@updatedotid")</f>
        <v>@updatedotid</v>
      </c>
      <c r="C15181" t="s">
        <v>7788</v>
      </c>
      <c r="D15181">
        <v>2</v>
      </c>
      <c r="E15181">
        <v>0</v>
      </c>
      <c r="F15181">
        <v>1618</v>
      </c>
    </row>
    <row r="15182" spans="1:6" ht="12.75">
      <c r="A15182" s="2">
        <v>43878.441550925927</v>
      </c>
      <c r="B15182" t="str">
        <f>HYPERLINK("https://twitter.com/Merahputih72","@Merahputih72")</f>
        <v>@Merahputih72</v>
      </c>
      <c r="C15182" t="s">
        <v>7789</v>
      </c>
      <c r="D15182">
        <v>164</v>
      </c>
      <c r="E15182">
        <v>0</v>
      </c>
      <c r="F15182">
        <v>42</v>
      </c>
    </row>
    <row r="15183" spans="1:6" ht="12.75">
      <c r="A15183" s="2">
        <v>43878.441412037035</v>
      </c>
      <c r="B15183" t="str">
        <f>HYPERLINK("https://twitter.com/hamaro_id","@hamaro_id")</f>
        <v>@hamaro_id</v>
      </c>
      <c r="C15183" t="s">
        <v>7298</v>
      </c>
      <c r="D15183">
        <v>93</v>
      </c>
      <c r="E15183">
        <v>0</v>
      </c>
      <c r="F15183">
        <v>1572</v>
      </c>
    </row>
    <row r="15184" spans="1:6" ht="12.75">
      <c r="A15184" s="2">
        <v>43878.441377314812</v>
      </c>
      <c r="B15184" t="str">
        <f>HYPERLINK("https://twitter.com/JokoSut57812674","@JokoSut57812674")</f>
        <v>@JokoSut57812674</v>
      </c>
      <c r="C15184" t="s">
        <v>7759</v>
      </c>
      <c r="D15184">
        <v>6</v>
      </c>
      <c r="E15184">
        <v>0</v>
      </c>
      <c r="F15184">
        <v>144</v>
      </c>
    </row>
    <row r="15185" spans="1:6" ht="12.75">
      <c r="A15185" s="2">
        <v>43878.441365740742</v>
      </c>
      <c r="B15185" t="str">
        <f>HYPERLINK("https://twitter.com/radar_malang","@radar_malang")</f>
        <v>@radar_malang</v>
      </c>
      <c r="C15185" t="s">
        <v>7790</v>
      </c>
      <c r="D15185">
        <v>2</v>
      </c>
      <c r="E15185">
        <v>0</v>
      </c>
      <c r="F15185">
        <v>108529</v>
      </c>
    </row>
    <row r="15186" spans="1:6" ht="12.75">
      <c r="A15186" s="2">
        <v>43878.441018518519</v>
      </c>
      <c r="B15186" t="str">
        <f>HYPERLINK("https://twitter.com/aldiponegoro","@aldiponegoro")</f>
        <v>@aldiponegoro</v>
      </c>
      <c r="C15186" t="s">
        <v>6721</v>
      </c>
      <c r="D15186">
        <v>204</v>
      </c>
      <c r="E15186">
        <v>0</v>
      </c>
      <c r="F15186">
        <v>1198</v>
      </c>
    </row>
    <row r="15187" spans="1:6" ht="12.75">
      <c r="A15187" s="2">
        <v>43878.440960648149</v>
      </c>
      <c r="B15187" t="str">
        <f>HYPERLINK("https://twitter.com/GarmeoNatan","@GarmeoNatan")</f>
        <v>@GarmeoNatan</v>
      </c>
      <c r="C15187" t="s">
        <v>6161</v>
      </c>
      <c r="D15187">
        <v>153</v>
      </c>
      <c r="E15187">
        <v>0</v>
      </c>
      <c r="F15187">
        <v>3066</v>
      </c>
    </row>
    <row r="15188" spans="1:6" ht="12.75">
      <c r="A15188" s="2">
        <v>43878.440486111111</v>
      </c>
      <c r="B15188" t="str">
        <f>HYPERLINK("https://twitter.com/apaansih_anjing","@apaansih_anjing")</f>
        <v>@apaansih_anjing</v>
      </c>
      <c r="C15188" t="s">
        <v>6721</v>
      </c>
      <c r="D15188">
        <v>204</v>
      </c>
      <c r="E15188">
        <v>0</v>
      </c>
      <c r="F15188">
        <v>660</v>
      </c>
    </row>
    <row r="15189" spans="1:6" ht="12.75">
      <c r="A15189" s="2">
        <v>43878.440439814818</v>
      </c>
      <c r="B15189" t="str">
        <f>HYPERLINK("https://twitter.com/MrsRachelIn","@MrsRachelIn")</f>
        <v>@MrsRachelIn</v>
      </c>
      <c r="C15189" t="s">
        <v>7791</v>
      </c>
      <c r="D15189">
        <v>1</v>
      </c>
      <c r="E15189">
        <v>1</v>
      </c>
      <c r="F15189">
        <v>3138</v>
      </c>
    </row>
    <row r="15190" spans="1:6" ht="12.75">
      <c r="A15190" s="2">
        <v>43878.440243055556</v>
      </c>
      <c r="B15190" t="str">
        <f>HYPERLINK("https://twitter.com/Toto91211988","@Toto91211988")</f>
        <v>@Toto91211988</v>
      </c>
      <c r="C15190" t="s">
        <v>7792</v>
      </c>
      <c r="D15190">
        <v>0</v>
      </c>
      <c r="E15190">
        <v>0</v>
      </c>
      <c r="F15190">
        <v>1</v>
      </c>
    </row>
    <row r="15191" spans="1:6" ht="12.75">
      <c r="A15191" s="2">
        <v>43878.44</v>
      </c>
      <c r="B15191" t="str">
        <f>HYPERLINK("https://twitter.com/John11353891","@John11353891")</f>
        <v>@John11353891</v>
      </c>
      <c r="C15191" t="s">
        <v>6989</v>
      </c>
      <c r="D15191">
        <v>214</v>
      </c>
      <c r="E15191">
        <v>0</v>
      </c>
      <c r="F15191">
        <v>191</v>
      </c>
    </row>
    <row r="15192" spans="1:6" ht="12.75">
      <c r="A15192" s="2">
        <v>43878.439768518518</v>
      </c>
      <c r="B15192" t="str">
        <f>HYPERLINK("https://twitter.com/Wongnde73039722","@Wongnde73039722")</f>
        <v>@Wongnde73039722</v>
      </c>
      <c r="C15192" t="s">
        <v>6161</v>
      </c>
      <c r="D15192">
        <v>153</v>
      </c>
      <c r="E15192">
        <v>0</v>
      </c>
      <c r="F15192">
        <v>29</v>
      </c>
    </row>
    <row r="15193" spans="1:6" ht="12.75">
      <c r="A15193" s="2">
        <v>43878.43949074074</v>
      </c>
      <c r="B15193" t="str">
        <f>HYPERLINK("https://twitter.com/Satriahmdjojo","@Satriahmdjojo")</f>
        <v>@Satriahmdjojo</v>
      </c>
      <c r="C15193" t="s">
        <v>6721</v>
      </c>
      <c r="D15193">
        <v>204</v>
      </c>
      <c r="E15193">
        <v>0</v>
      </c>
      <c r="F15193">
        <v>640</v>
      </c>
    </row>
    <row r="15194" spans="1:6" ht="12.75">
      <c r="A15194" s="2">
        <v>43878.439236111109</v>
      </c>
      <c r="B15194" t="str">
        <f>HYPERLINK("https://twitter.com/MZubir_ID","@MZubir_ID")</f>
        <v>@MZubir_ID</v>
      </c>
      <c r="C15194" t="s">
        <v>7793</v>
      </c>
      <c r="D15194">
        <v>0</v>
      </c>
      <c r="E15194">
        <v>0</v>
      </c>
      <c r="F15194">
        <v>5853</v>
      </c>
    </row>
    <row r="15195" spans="1:6" ht="12.75">
      <c r="A15195" s="2">
        <v>43878.439201388886</v>
      </c>
      <c r="B15195" t="str">
        <f>HYPERLINK("https://twitter.com/MBlackBond","@MBlackBond")</f>
        <v>@MBlackBond</v>
      </c>
      <c r="C15195" t="s">
        <v>2674</v>
      </c>
      <c r="D15195">
        <v>63</v>
      </c>
      <c r="E15195">
        <v>0</v>
      </c>
      <c r="F15195">
        <v>2252</v>
      </c>
    </row>
    <row r="15196" spans="1:6" ht="12.75">
      <c r="A15196" s="2">
        <v>43878.439097222217</v>
      </c>
      <c r="B15196" t="str">
        <f>HYPERLINK("https://twitter.com/beatrice_health","@beatrice_health")</f>
        <v>@beatrice_health</v>
      </c>
      <c r="C15196" t="s">
        <v>7794</v>
      </c>
      <c r="D15196">
        <v>1</v>
      </c>
      <c r="E15196">
        <v>0</v>
      </c>
      <c r="F15196">
        <v>152</v>
      </c>
    </row>
    <row r="15197" spans="1:6" ht="12.75">
      <c r="A15197" s="2">
        <v>43878.439027777778</v>
      </c>
      <c r="B15197" t="str">
        <f>HYPERLINK("https://twitter.com/oliex1979","@oliex1979")</f>
        <v>@oliex1979</v>
      </c>
      <c r="C15197" t="s">
        <v>6855</v>
      </c>
      <c r="D15197">
        <v>3</v>
      </c>
      <c r="E15197">
        <v>0</v>
      </c>
      <c r="F15197">
        <v>39</v>
      </c>
    </row>
    <row r="15198" spans="1:6" ht="12.75">
      <c r="A15198" s="2">
        <v>43878.438981481479</v>
      </c>
      <c r="B15198" t="str">
        <f>HYPERLINK("https://twitter.com/indonesianest45","@indonesianest45")</f>
        <v>@indonesianest45</v>
      </c>
      <c r="C15198" t="s">
        <v>7795</v>
      </c>
      <c r="D15198">
        <v>1</v>
      </c>
      <c r="E15198">
        <v>0</v>
      </c>
      <c r="F15198">
        <v>162</v>
      </c>
    </row>
    <row r="15199" spans="1:6" ht="12.75">
      <c r="A15199" s="2">
        <v>43878.438900462963</v>
      </c>
      <c r="B15199" t="str">
        <f>HYPERLINK("https://twitter.com/vnggv_","@vnggv_")</f>
        <v>@vnggv_</v>
      </c>
      <c r="C15199" t="s">
        <v>6721</v>
      </c>
      <c r="D15199">
        <v>204</v>
      </c>
      <c r="E15199">
        <v>0</v>
      </c>
      <c r="F15199">
        <v>226</v>
      </c>
    </row>
    <row r="15200" spans="1:6" ht="12.75">
      <c r="A15200" s="2">
        <v>43878.438460648147</v>
      </c>
      <c r="B15200" t="str">
        <f>HYPERLINK("https://twitter.com/hamaro_id","@hamaro_id")</f>
        <v>@hamaro_id</v>
      </c>
      <c r="C15200" t="s">
        <v>2674</v>
      </c>
      <c r="D15200">
        <v>63</v>
      </c>
      <c r="E15200">
        <v>0</v>
      </c>
      <c r="F15200">
        <v>1572</v>
      </c>
    </row>
    <row r="15201" spans="1:6" ht="12.75">
      <c r="A15201" s="2">
        <v>43878.438449074078</v>
      </c>
      <c r="B15201" t="str">
        <f>HYPERLINK("https://twitter.com/andris44","@andris44")</f>
        <v>@andris44</v>
      </c>
      <c r="C15201" t="s">
        <v>6161</v>
      </c>
      <c r="D15201">
        <v>153</v>
      </c>
      <c r="E15201">
        <v>0</v>
      </c>
      <c r="F15201">
        <v>1062</v>
      </c>
    </row>
    <row r="15202" spans="1:6" ht="12.75">
      <c r="A15202" s="2">
        <v>43878.438402777778</v>
      </c>
      <c r="B15202" t="str">
        <f>HYPERLINK("https://twitter.com/ITTRsince1960","@ITTRsince1960")</f>
        <v>@ITTRsince1960</v>
      </c>
      <c r="C15202" t="s">
        <v>7796</v>
      </c>
      <c r="D15202">
        <v>0</v>
      </c>
      <c r="E15202">
        <v>0</v>
      </c>
      <c r="F15202">
        <v>47</v>
      </c>
    </row>
    <row r="15203" spans="1:6" ht="12.75">
      <c r="A15203" s="2">
        <v>43878.438321759255</v>
      </c>
      <c r="B15203" t="str">
        <f>HYPERLINK("https://twitter.com/bucinseongfwu","@bucinseongfwu")</f>
        <v>@bucinseongfwu</v>
      </c>
      <c r="C15203" t="s">
        <v>3340</v>
      </c>
      <c r="D15203">
        <v>59</v>
      </c>
      <c r="E15203">
        <v>0</v>
      </c>
      <c r="F15203">
        <v>879</v>
      </c>
    </row>
    <row r="15204" spans="1:6" ht="12.75">
      <c r="A15204" s="2">
        <v>43878.438240740739</v>
      </c>
      <c r="B15204" t="str">
        <f>HYPERLINK("https://twitter.com/pridejoyandsin","@pridejoyandsin")</f>
        <v>@pridejoyandsin</v>
      </c>
      <c r="C15204" t="s">
        <v>6721</v>
      </c>
      <c r="D15204">
        <v>204</v>
      </c>
      <c r="E15204">
        <v>0</v>
      </c>
      <c r="F15204">
        <v>303</v>
      </c>
    </row>
    <row r="15205" spans="1:6" ht="12.75">
      <c r="A15205" s="2">
        <v>43878.417939814812</v>
      </c>
      <c r="B15205" t="str">
        <f>HYPERLINK("https://twitter.com/iantrucker","@iantrucker")</f>
        <v>@iantrucker</v>
      </c>
      <c r="C15205" t="s">
        <v>7797</v>
      </c>
      <c r="D15205">
        <v>1</v>
      </c>
      <c r="E15205">
        <v>0</v>
      </c>
      <c r="F15205">
        <v>342</v>
      </c>
    </row>
    <row r="15206" spans="1:6" ht="12.75">
      <c r="A15206" s="2">
        <v>43878.417743055557</v>
      </c>
      <c r="B15206" t="str">
        <f>HYPERLINK("https://twitter.com/Santoso26166908","@Santoso26166908")</f>
        <v>@Santoso26166908</v>
      </c>
      <c r="C15206" t="s">
        <v>2702</v>
      </c>
      <c r="D15206">
        <v>348</v>
      </c>
      <c r="E15206">
        <v>0</v>
      </c>
      <c r="F15206">
        <v>446</v>
      </c>
    </row>
    <row r="15207" spans="1:6" ht="12.75">
      <c r="A15207" s="2">
        <v>43878.417534722219</v>
      </c>
      <c r="B15207" t="str">
        <f>HYPERLINK("https://twitter.com/DeassyChandra","@DeassyChandra")</f>
        <v>@DeassyChandra</v>
      </c>
      <c r="C15207" t="s">
        <v>6161</v>
      </c>
      <c r="D15207">
        <v>125</v>
      </c>
      <c r="E15207">
        <v>0</v>
      </c>
      <c r="F15207">
        <v>10450</v>
      </c>
    </row>
    <row r="15208" spans="1:6" ht="12.75">
      <c r="A15208" s="2">
        <v>43878.417442129634</v>
      </c>
      <c r="B15208" t="str">
        <f>HYPERLINK("https://twitter.com/JAEHYUNCHOCO","@JAEHYUNCHOCO")</f>
        <v>@JAEHYUNCHOCO</v>
      </c>
      <c r="C15208" t="s">
        <v>3340</v>
      </c>
      <c r="D15208">
        <v>41</v>
      </c>
      <c r="E15208">
        <v>0</v>
      </c>
      <c r="F15208">
        <v>2664</v>
      </c>
    </row>
    <row r="15209" spans="1:6" ht="12.75">
      <c r="A15209" s="2">
        <v>43878.41741898148</v>
      </c>
      <c r="B15209" t="str">
        <f>HYPERLINK("https://twitter.com/AnakKolong___","@AnakKolong___")</f>
        <v>@AnakKolong___</v>
      </c>
      <c r="C15209" t="s">
        <v>7798</v>
      </c>
      <c r="D15209">
        <v>1</v>
      </c>
      <c r="E15209">
        <v>0</v>
      </c>
      <c r="F15209">
        <v>6020</v>
      </c>
    </row>
    <row r="15210" spans="1:6" ht="12.75">
      <c r="A15210" s="2">
        <v>43878.417337962965</v>
      </c>
      <c r="B15210" t="str">
        <f>HYPERLINK("https://twitter.com/yudhabjnugroho","@yudhabjnugroho")</f>
        <v>@yudhabjnugroho</v>
      </c>
      <c r="C15210" t="s">
        <v>7600</v>
      </c>
      <c r="D15210">
        <v>2</v>
      </c>
      <c r="E15210">
        <v>0</v>
      </c>
      <c r="F15210">
        <v>373</v>
      </c>
    </row>
    <row r="15211" spans="1:6" ht="12.75">
      <c r="A15211" s="2">
        <v>43878.417071759264</v>
      </c>
      <c r="B15211" t="str">
        <f>HYPERLINK("https://twitter.com/buckbuckti_","@buckbuckti_")</f>
        <v>@buckbuckti_</v>
      </c>
      <c r="C15211" t="s">
        <v>6721</v>
      </c>
      <c r="D15211">
        <v>151</v>
      </c>
      <c r="E15211">
        <v>0</v>
      </c>
      <c r="F15211">
        <v>80</v>
      </c>
    </row>
    <row r="15212" spans="1:6" ht="12.75">
      <c r="A15212" s="2">
        <v>43878.416967592595</v>
      </c>
      <c r="B15212" t="str">
        <f>HYPERLINK("https://twitter.com/dinaarafif","@dinaarafif")</f>
        <v>@dinaarafif</v>
      </c>
      <c r="C15212" t="s">
        <v>7799</v>
      </c>
      <c r="D15212">
        <v>0</v>
      </c>
      <c r="E15212">
        <v>0</v>
      </c>
      <c r="F15212">
        <v>330</v>
      </c>
    </row>
    <row r="15213" spans="1:6" ht="12.75">
      <c r="A15213" s="2">
        <v>43878.41679398148</v>
      </c>
      <c r="B15213" t="str">
        <f>HYPERLINK("https://twitter.com/Ramayan63810275","@Ramayan63810275")</f>
        <v>@Ramayan63810275</v>
      </c>
      <c r="C15213" t="s">
        <v>6161</v>
      </c>
      <c r="D15213">
        <v>125</v>
      </c>
      <c r="E15213">
        <v>0</v>
      </c>
      <c r="F15213">
        <v>1709</v>
      </c>
    </row>
    <row r="15214" spans="1:6" ht="12.75">
      <c r="A15214" s="2">
        <v>43878.416597222225</v>
      </c>
      <c r="B15214" t="str">
        <f>HYPERLINK("https://twitter.com/man_nu01","@man_nu01")</f>
        <v>@man_nu01</v>
      </c>
      <c r="C15214" t="s">
        <v>6161</v>
      </c>
      <c r="D15214">
        <v>125</v>
      </c>
      <c r="E15214">
        <v>0</v>
      </c>
      <c r="F15214">
        <v>9852</v>
      </c>
    </row>
    <row r="15215" spans="1:6" ht="12.75">
      <c r="A15215" s="2">
        <v>43878.416435185187</v>
      </c>
      <c r="B15215" t="str">
        <f>HYPERLINK("https://twitter.com/agung_putra48","@agung_putra48")</f>
        <v>@agung_putra48</v>
      </c>
      <c r="C15215" t="s">
        <v>6989</v>
      </c>
      <c r="D15215">
        <v>211</v>
      </c>
      <c r="E15215">
        <v>0</v>
      </c>
      <c r="F15215">
        <v>111</v>
      </c>
    </row>
    <row r="15216" spans="1:6" ht="12.75">
      <c r="A15216" s="2">
        <v>43878.416203703702</v>
      </c>
      <c r="B15216" t="str">
        <f>HYPERLINK("https://twitter.com/radhitamayps","@radhitamayps")</f>
        <v>@radhitamayps</v>
      </c>
      <c r="C15216" t="s">
        <v>3340</v>
      </c>
      <c r="D15216">
        <v>41</v>
      </c>
      <c r="E15216">
        <v>0</v>
      </c>
      <c r="F15216">
        <v>340</v>
      </c>
    </row>
    <row r="15217" spans="1:6" ht="12.75">
      <c r="A15217" s="2">
        <v>43878.415601851855</v>
      </c>
      <c r="B15217" t="str">
        <f>HYPERLINK("https://twitter.com/ZulfikarZ4karia","@ZulfikarZ4karia")</f>
        <v>@ZulfikarZ4karia</v>
      </c>
      <c r="C15217" t="s">
        <v>2268</v>
      </c>
      <c r="D15217">
        <v>10</v>
      </c>
      <c r="E15217">
        <v>0</v>
      </c>
      <c r="F15217">
        <v>1664</v>
      </c>
    </row>
    <row r="15218" spans="1:6" ht="12.75">
      <c r="A15218" s="2">
        <v>43878.415474537032</v>
      </c>
      <c r="B15218" t="str">
        <f>HYPERLINK("https://twitter.com/moechamad_erwin","@moechamad_erwin")</f>
        <v>@moechamad_erwin</v>
      </c>
      <c r="C15218" t="s">
        <v>7800</v>
      </c>
      <c r="D15218">
        <v>0</v>
      </c>
      <c r="E15218">
        <v>0</v>
      </c>
      <c r="F15218">
        <v>97</v>
      </c>
    </row>
    <row r="15219" spans="1:6" ht="12.75">
      <c r="A15219" s="2">
        <v>43878.415023148147</v>
      </c>
      <c r="B15219" t="str">
        <f>HYPERLINK("https://twitter.com/bagasomp","@bagasomp")</f>
        <v>@bagasomp</v>
      </c>
      <c r="C15219" t="s">
        <v>6721</v>
      </c>
      <c r="D15219">
        <v>151</v>
      </c>
      <c r="E15219">
        <v>0</v>
      </c>
      <c r="F15219">
        <v>476</v>
      </c>
    </row>
    <row r="15220" spans="1:6" ht="12.75">
      <c r="A15220" s="2">
        <v>43878.414861111116</v>
      </c>
      <c r="B15220" t="str">
        <f>HYPERLINK("https://twitter.com/Berty69968038","@Berty69968038")</f>
        <v>@Berty69968038</v>
      </c>
      <c r="C15220" t="s">
        <v>7801</v>
      </c>
      <c r="D15220">
        <v>0</v>
      </c>
      <c r="E15220">
        <v>0</v>
      </c>
      <c r="F15220">
        <v>166</v>
      </c>
    </row>
    <row r="15221" spans="1:6" ht="12.75">
      <c r="A15221" s="2">
        <v>43878.414756944447</v>
      </c>
      <c r="B15221" t="str">
        <f>HYPERLINK("https://twitter.com/Riddo_plur","@Riddo_plur")</f>
        <v>@Riddo_plur</v>
      </c>
      <c r="C15221" t="s">
        <v>6161</v>
      </c>
      <c r="D15221">
        <v>125</v>
      </c>
      <c r="E15221">
        <v>0</v>
      </c>
      <c r="F15221">
        <v>213</v>
      </c>
    </row>
    <row r="15222" spans="1:6" ht="12.75">
      <c r="A15222" s="2">
        <v>43878.414224537039</v>
      </c>
      <c r="B15222" t="str">
        <f>HYPERLINK("https://twitter.com/IM3OoredooPLB","@IM3OoredooPLB")</f>
        <v>@IM3OoredooPLB</v>
      </c>
      <c r="C15222" t="s">
        <v>7802</v>
      </c>
      <c r="D15222">
        <v>0</v>
      </c>
      <c r="E15222">
        <v>0</v>
      </c>
      <c r="F15222">
        <v>2879</v>
      </c>
    </row>
    <row r="15223" spans="1:6" ht="12.75">
      <c r="A15223" s="2">
        <v>43878.414155092592</v>
      </c>
      <c r="B15223" t="str">
        <f>HYPERLINK("https://twitter.com/heppyvaaaa","@heppyvaaaa")</f>
        <v>@heppyvaaaa</v>
      </c>
      <c r="C15223" t="s">
        <v>175</v>
      </c>
      <c r="D15223">
        <v>5376</v>
      </c>
      <c r="E15223">
        <v>0</v>
      </c>
      <c r="F15223">
        <v>3</v>
      </c>
    </row>
    <row r="15224" spans="1:6" ht="12.75">
      <c r="A15224" s="2">
        <v>43878.414131944446</v>
      </c>
      <c r="B15224" t="str">
        <f>HYPERLINK("https://twitter.com/LaingenLisa","@LaingenLisa")</f>
        <v>@LaingenLisa</v>
      </c>
      <c r="C15224" t="s">
        <v>7759</v>
      </c>
      <c r="D15224">
        <v>1</v>
      </c>
      <c r="E15224">
        <v>0</v>
      </c>
      <c r="F15224">
        <v>3036</v>
      </c>
    </row>
    <row r="15225" spans="1:6" ht="12.75">
      <c r="A15225" s="2">
        <v>43878.4140625</v>
      </c>
      <c r="B15225" t="str">
        <f>HYPERLINK("https://twitter.com/abrmmc","@abrmmc")</f>
        <v>@abrmmc</v>
      </c>
      <c r="C15225" t="s">
        <v>7803</v>
      </c>
      <c r="D15225">
        <v>310</v>
      </c>
      <c r="E15225">
        <v>0</v>
      </c>
      <c r="F15225">
        <v>338</v>
      </c>
    </row>
    <row r="15226" spans="1:6" ht="12.75">
      <c r="A15226" s="2">
        <v>43878.413645833338</v>
      </c>
      <c r="B15226" t="str">
        <f>HYPERLINK("https://twitter.com/ichansanpurba13","@ichansanpurba13")</f>
        <v>@ichansanpurba13</v>
      </c>
      <c r="C15226" t="s">
        <v>6721</v>
      </c>
      <c r="D15226">
        <v>151</v>
      </c>
      <c r="E15226">
        <v>0</v>
      </c>
      <c r="F15226">
        <v>293</v>
      </c>
    </row>
    <row r="15227" spans="1:6" ht="12.75">
      <c r="A15227" s="2">
        <v>43878.413611111115</v>
      </c>
      <c r="B15227" t="str">
        <f>HYPERLINK("https://twitter.com/Rhem_2811","@Rhem_2811")</f>
        <v>@Rhem_2811</v>
      </c>
      <c r="C15227" t="s">
        <v>491</v>
      </c>
      <c r="D15227">
        <v>4733</v>
      </c>
      <c r="E15227">
        <v>0</v>
      </c>
      <c r="F15227">
        <v>76</v>
      </c>
    </row>
    <row r="15228" spans="1:6" ht="12.75">
      <c r="A15228" s="2">
        <v>43878.41270833333</v>
      </c>
      <c r="B15228" t="str">
        <f>HYPERLINK("https://twitter.com/veraagustian_","@veraagustian_")</f>
        <v>@veraagustian_</v>
      </c>
      <c r="C15228" t="s">
        <v>7804</v>
      </c>
      <c r="D15228">
        <v>1</v>
      </c>
      <c r="E15228">
        <v>0</v>
      </c>
      <c r="F15228">
        <v>2966</v>
      </c>
    </row>
    <row r="15229" spans="1:6" ht="12.75">
      <c r="A15229" s="2">
        <v>43878.412650462968</v>
      </c>
      <c r="B15229" t="str">
        <f>HYPERLINK("https://twitter.com/Lundaye1","@Lundaye1")</f>
        <v>@Lundaye1</v>
      </c>
      <c r="C15229" t="s">
        <v>7805</v>
      </c>
      <c r="D15229">
        <v>0</v>
      </c>
      <c r="E15229">
        <v>0</v>
      </c>
      <c r="F15229">
        <v>4586</v>
      </c>
    </row>
    <row r="15230" spans="1:6" ht="12.75">
      <c r="A15230" s="2">
        <v>43878.412615740745</v>
      </c>
      <c r="B15230" t="str">
        <f t="shared" ref="B15230:B15231" si="263">HYPERLINK("https://twitter.com/Slash074","@Slash074")</f>
        <v>@Slash074</v>
      </c>
      <c r="C15230" t="s">
        <v>7607</v>
      </c>
      <c r="D15230">
        <v>3</v>
      </c>
      <c r="E15230">
        <v>0</v>
      </c>
      <c r="F15230">
        <v>96</v>
      </c>
    </row>
    <row r="15231" spans="1:6" ht="12.75">
      <c r="A15231" s="2">
        <v>43878.412511574075</v>
      </c>
      <c r="B15231" t="str">
        <f t="shared" si="263"/>
        <v>@Slash074</v>
      </c>
      <c r="C15231" t="s">
        <v>7606</v>
      </c>
      <c r="D15231">
        <v>2</v>
      </c>
      <c r="E15231">
        <v>0</v>
      </c>
      <c r="F15231">
        <v>96</v>
      </c>
    </row>
    <row r="15232" spans="1:6" ht="12.75">
      <c r="A15232" s="2">
        <v>43878.412361111114</v>
      </c>
      <c r="B15232" t="str">
        <f>HYPERLINK("https://twitter.com/Santoso26166908","@Santoso26166908")</f>
        <v>@Santoso26166908</v>
      </c>
      <c r="C15232" t="s">
        <v>7806</v>
      </c>
      <c r="D15232">
        <v>1</v>
      </c>
      <c r="E15232">
        <v>0</v>
      </c>
      <c r="F15232">
        <v>446</v>
      </c>
    </row>
    <row r="15233" spans="1:6" ht="12.75">
      <c r="A15233" s="2">
        <v>43878.412349537037</v>
      </c>
      <c r="B15233" t="str">
        <f>HYPERLINK("https://twitter.com/BangSamaya","@BangSamaya")</f>
        <v>@BangSamaya</v>
      </c>
      <c r="C15233" t="s">
        <v>6161</v>
      </c>
      <c r="D15233">
        <v>125</v>
      </c>
      <c r="E15233">
        <v>0</v>
      </c>
      <c r="F15233">
        <v>153</v>
      </c>
    </row>
    <row r="15234" spans="1:6" ht="12.75">
      <c r="A15234" s="2">
        <v>43878.41233796296</v>
      </c>
      <c r="B15234" t="str">
        <f>HYPERLINK("https://twitter.com/tribunpontianak","@tribunpontianak")</f>
        <v>@tribunpontianak</v>
      </c>
      <c r="C15234" t="s">
        <v>7807</v>
      </c>
      <c r="D15234">
        <v>0</v>
      </c>
      <c r="E15234">
        <v>0</v>
      </c>
      <c r="F15234">
        <v>83971</v>
      </c>
    </row>
    <row r="15235" spans="1:6" ht="12.75">
      <c r="A15235" s="2">
        <v>43878.412152777775</v>
      </c>
      <c r="B15235" t="str">
        <f>HYPERLINK("https://twitter.com/rahmatpeskins","@rahmatpeskins")</f>
        <v>@rahmatpeskins</v>
      </c>
      <c r="C15235" t="s">
        <v>6721</v>
      </c>
      <c r="D15235">
        <v>151</v>
      </c>
      <c r="E15235">
        <v>0</v>
      </c>
      <c r="F15235">
        <v>113</v>
      </c>
    </row>
    <row r="15236" spans="1:6" ht="12.75">
      <c r="A15236" s="2">
        <v>43878.41206018519</v>
      </c>
      <c r="B15236" t="str">
        <f>HYPERLINK("https://twitter.com/Denny50457565","@Denny50457565")</f>
        <v>@Denny50457565</v>
      </c>
      <c r="C15236" t="s">
        <v>7808</v>
      </c>
      <c r="D15236">
        <v>0</v>
      </c>
      <c r="E15236">
        <v>0</v>
      </c>
      <c r="F15236">
        <v>2</v>
      </c>
    </row>
    <row r="15237" spans="1:6" ht="12.75">
      <c r="A15237" s="2">
        <v>43878.411828703705</v>
      </c>
      <c r="B15237" t="str">
        <f>HYPERLINK("https://twitter.com/mediaindonesia","@mediaindonesia")</f>
        <v>@mediaindonesia</v>
      </c>
      <c r="C15237" t="s">
        <v>7809</v>
      </c>
      <c r="D15237">
        <v>1</v>
      </c>
      <c r="E15237">
        <v>1</v>
      </c>
      <c r="F15237">
        <v>1416434</v>
      </c>
    </row>
    <row r="15238" spans="1:6" ht="12.75">
      <c r="A15238" s="2">
        <v>43878.41170138889</v>
      </c>
      <c r="B15238" t="str">
        <f>HYPERLINK("https://twitter.com/Slash074","@Slash074")</f>
        <v>@Slash074</v>
      </c>
      <c r="C15238" t="s">
        <v>7600</v>
      </c>
      <c r="D15238">
        <v>2</v>
      </c>
      <c r="E15238">
        <v>0</v>
      </c>
      <c r="F15238">
        <v>96</v>
      </c>
    </row>
    <row r="15239" spans="1:6" ht="12.75">
      <c r="A15239" s="2">
        <v>43878.411620370374</v>
      </c>
      <c r="B15239" t="str">
        <f>HYPERLINK("https://twitter.com/rey_maulana25","@rey_maulana25")</f>
        <v>@rey_maulana25</v>
      </c>
      <c r="C15239" t="s">
        <v>6721</v>
      </c>
      <c r="D15239">
        <v>151</v>
      </c>
      <c r="E15239">
        <v>0</v>
      </c>
      <c r="F15239">
        <v>55</v>
      </c>
    </row>
    <row r="15240" spans="1:6" ht="12.75">
      <c r="A15240" s="2">
        <v>43878.41128472222</v>
      </c>
      <c r="B15240" t="str">
        <f>HYPERLINK("https://twitter.com/MrsRachelIn","@MrsRachelIn")</f>
        <v>@MrsRachelIn</v>
      </c>
      <c r="C15240" t="s">
        <v>2702</v>
      </c>
      <c r="D15240">
        <v>348</v>
      </c>
      <c r="E15240">
        <v>0</v>
      </c>
      <c r="F15240">
        <v>3137</v>
      </c>
    </row>
    <row r="15241" spans="1:6" ht="12.75">
      <c r="A15241" s="2">
        <v>43878.410810185189</v>
      </c>
      <c r="B15241" t="str">
        <f>HYPERLINK("https://twitter.com/ArSunantoaris","@ArSunantoaris")</f>
        <v>@ArSunantoaris</v>
      </c>
      <c r="C15241" t="s">
        <v>6161</v>
      </c>
      <c r="D15241">
        <v>125</v>
      </c>
      <c r="E15241">
        <v>0</v>
      </c>
      <c r="F15241">
        <v>3451</v>
      </c>
    </row>
    <row r="15242" spans="1:6" ht="12.75">
      <c r="A15242" s="2">
        <v>43878.410625000004</v>
      </c>
      <c r="B15242" t="str">
        <f>HYPERLINK("https://twitter.com/Syamsul47174729","@Syamsul47174729")</f>
        <v>@Syamsul47174729</v>
      </c>
      <c r="C15242" t="s">
        <v>2147</v>
      </c>
      <c r="D15242">
        <v>554</v>
      </c>
      <c r="E15242">
        <v>0</v>
      </c>
      <c r="F15242">
        <v>3</v>
      </c>
    </row>
    <row r="15243" spans="1:6" ht="12.75">
      <c r="A15243" s="2">
        <v>43878.410405092596</v>
      </c>
      <c r="B15243" t="str">
        <f>HYPERLINK("https://twitter.com/CahyaJay","@CahyaJay")</f>
        <v>@CahyaJay</v>
      </c>
      <c r="C15243" t="s">
        <v>7810</v>
      </c>
      <c r="D15243">
        <v>0</v>
      </c>
      <c r="E15243">
        <v>0</v>
      </c>
      <c r="F15243">
        <v>206</v>
      </c>
    </row>
    <row r="15244" spans="1:6" ht="12.75">
      <c r="A15244" s="2">
        <v>43878.410393518519</v>
      </c>
      <c r="B15244" t="str">
        <f>HYPERLINK("https://twitter.com/BlackisBlackMSS","@BlackisBlackMSS")</f>
        <v>@BlackisBlackMSS</v>
      </c>
      <c r="C15244" t="s">
        <v>6989</v>
      </c>
      <c r="D15244">
        <v>211</v>
      </c>
      <c r="E15244">
        <v>0</v>
      </c>
      <c r="F15244">
        <v>4458</v>
      </c>
    </row>
    <row r="15245" spans="1:6" ht="12.75">
      <c r="A15245" s="2">
        <v>43878.41034722222</v>
      </c>
      <c r="B15245" t="str">
        <f>HYPERLINK("https://twitter.com/eunikekms","@eunikekms")</f>
        <v>@eunikekms</v>
      </c>
      <c r="C15245" t="s">
        <v>3340</v>
      </c>
      <c r="D15245">
        <v>41</v>
      </c>
      <c r="E15245">
        <v>0</v>
      </c>
      <c r="F15245">
        <v>285</v>
      </c>
    </row>
    <row r="15246" spans="1:6" ht="12.75">
      <c r="A15246" s="2">
        <v>43878.410277777773</v>
      </c>
      <c r="B15246" t="str">
        <f t="shared" ref="B15246:B15247" si="264">HYPERLINK("https://twitter.com/FnandoSidabutar","@FnandoSidabutar")</f>
        <v>@FnandoSidabutar</v>
      </c>
      <c r="C15246" t="s">
        <v>7811</v>
      </c>
      <c r="D15246">
        <v>2</v>
      </c>
      <c r="E15246">
        <v>0</v>
      </c>
      <c r="F15246">
        <v>591</v>
      </c>
    </row>
    <row r="15247" spans="1:6" ht="12.75">
      <c r="A15247" s="2">
        <v>43878.410173611112</v>
      </c>
      <c r="B15247" t="str">
        <f t="shared" si="264"/>
        <v>@FnandoSidabutar</v>
      </c>
      <c r="C15247" t="s">
        <v>7812</v>
      </c>
      <c r="D15247">
        <v>2</v>
      </c>
      <c r="E15247">
        <v>0</v>
      </c>
      <c r="F15247">
        <v>591</v>
      </c>
    </row>
    <row r="15248" spans="1:6" ht="12.75">
      <c r="A15248" s="2">
        <v>43878.40996527778</v>
      </c>
      <c r="B15248" t="str">
        <f>HYPERLINK("https://twitter.com/aulkikinasrudin","@aulkikinasrudin")</f>
        <v>@aulkikinasrudin</v>
      </c>
      <c r="C15248" t="s">
        <v>6721</v>
      </c>
      <c r="D15248">
        <v>151</v>
      </c>
      <c r="E15248">
        <v>0</v>
      </c>
      <c r="F15248">
        <v>387</v>
      </c>
    </row>
    <row r="15249" spans="1:6" ht="12.75">
      <c r="A15249" s="2">
        <v>43878.409918981481</v>
      </c>
      <c r="B15249" t="str">
        <f>HYPERLINK("https://twitter.com/tvOneNews","@tvOneNews")</f>
        <v>@tvOneNews</v>
      </c>
      <c r="C15249" t="s">
        <v>7813</v>
      </c>
      <c r="D15249">
        <v>1</v>
      </c>
      <c r="E15249">
        <v>2</v>
      </c>
      <c r="F15249">
        <v>8715951</v>
      </c>
    </row>
    <row r="15250" spans="1:6" ht="12.75">
      <c r="A15250" s="2">
        <v>43878.409467592588</v>
      </c>
      <c r="B15250" t="str">
        <f>HYPERLINK("https://twitter.com/MohSyfri","@MohSyfri")</f>
        <v>@MohSyfri</v>
      </c>
      <c r="C15250" t="s">
        <v>6161</v>
      </c>
      <c r="D15250">
        <v>125</v>
      </c>
      <c r="E15250">
        <v>0</v>
      </c>
      <c r="F15250">
        <v>535</v>
      </c>
    </row>
    <row r="15251" spans="1:6" ht="12.75">
      <c r="A15251" s="2">
        <v>43878.409398148149</v>
      </c>
      <c r="B15251" t="str">
        <f>HYPERLINK("https://twitter.com/kaummissqueen","@kaummissqueen")</f>
        <v>@kaummissqueen</v>
      </c>
      <c r="C15251" t="s">
        <v>3340</v>
      </c>
      <c r="D15251">
        <v>41</v>
      </c>
      <c r="E15251">
        <v>0</v>
      </c>
      <c r="F15251">
        <v>297</v>
      </c>
    </row>
    <row r="15252" spans="1:6" ht="12.75">
      <c r="A15252" s="2">
        <v>43878.409398148149</v>
      </c>
      <c r="B15252" t="str">
        <f>HYPERLINK("https://twitter.com/aneukbiroe","@aneukbiroe")</f>
        <v>@aneukbiroe</v>
      </c>
      <c r="C15252" t="s">
        <v>6721</v>
      </c>
      <c r="D15252">
        <v>151</v>
      </c>
      <c r="E15252">
        <v>0</v>
      </c>
      <c r="F15252">
        <v>345</v>
      </c>
    </row>
    <row r="15253" spans="1:6" ht="12.75">
      <c r="A15253" s="2">
        <v>43878.409259259264</v>
      </c>
      <c r="B15253" t="str">
        <f>HYPERLINK("https://twitter.com/AyuLOVEagnezmo","@AyuLOVEagnezmo")</f>
        <v>@AyuLOVEagnezmo</v>
      </c>
      <c r="C15253" t="s">
        <v>7814</v>
      </c>
      <c r="D15253">
        <v>5</v>
      </c>
      <c r="E15253">
        <v>0</v>
      </c>
      <c r="F15253">
        <v>809</v>
      </c>
    </row>
    <row r="15254" spans="1:6" ht="12.75">
      <c r="A15254" s="2">
        <v>43878.409224537041</v>
      </c>
      <c r="B15254" t="str">
        <f>HYPERLINK("https://twitter.com/dewidrupadi_45","@dewidrupadi_45")</f>
        <v>@dewidrupadi_45</v>
      </c>
      <c r="C15254" t="s">
        <v>2106</v>
      </c>
      <c r="D15254">
        <v>16</v>
      </c>
      <c r="E15254">
        <v>0</v>
      </c>
      <c r="F15254">
        <v>4832</v>
      </c>
    </row>
    <row r="15255" spans="1:6" ht="12.75">
      <c r="A15255" s="2">
        <v>43878.409074074079</v>
      </c>
      <c r="B15255" t="str">
        <f>HYPERLINK("https://twitter.com/do_observer","@do_observer")</f>
        <v>@do_observer</v>
      </c>
      <c r="C15255" t="s">
        <v>7815</v>
      </c>
      <c r="D15255">
        <v>0</v>
      </c>
      <c r="E15255">
        <v>0</v>
      </c>
      <c r="F15255">
        <v>0</v>
      </c>
    </row>
    <row r="15256" spans="1:6" ht="12.75">
      <c r="A15256" s="2">
        <v>43878.408761574072</v>
      </c>
      <c r="B15256" t="str">
        <f>HYPERLINK("https://twitter.com/josephinina","@josephinina")</f>
        <v>@josephinina</v>
      </c>
      <c r="C15256" t="s">
        <v>3340</v>
      </c>
      <c r="D15256">
        <v>41</v>
      </c>
      <c r="E15256">
        <v>0</v>
      </c>
      <c r="F15256">
        <v>713</v>
      </c>
    </row>
    <row r="15257" spans="1:6" ht="12.75">
      <c r="A15257" s="2">
        <v>43878.408715277779</v>
      </c>
      <c r="B15257" t="str">
        <f>HYPERLINK("https://twitter.com/Novan17521657","@Novan17521657")</f>
        <v>@Novan17521657</v>
      </c>
      <c r="C15257" t="s">
        <v>6161</v>
      </c>
      <c r="D15257">
        <v>125</v>
      </c>
      <c r="E15257">
        <v>0</v>
      </c>
      <c r="F15257">
        <v>86</v>
      </c>
    </row>
    <row r="15258" spans="1:6" ht="12.75">
      <c r="A15258" s="2">
        <v>43878.408275462964</v>
      </c>
      <c r="B15258" t="str">
        <f>HYPERLINK("https://twitter.com/Nia98677001","@Nia98677001")</f>
        <v>@Nia98677001</v>
      </c>
      <c r="C15258" t="s">
        <v>6161</v>
      </c>
      <c r="D15258">
        <v>125</v>
      </c>
      <c r="E15258">
        <v>0</v>
      </c>
      <c r="F15258">
        <v>70</v>
      </c>
    </row>
    <row r="15259" spans="1:6" ht="12.75">
      <c r="A15259" s="2">
        <v>43878.408043981486</v>
      </c>
      <c r="B15259" t="str">
        <f>HYPERLINK("https://twitter.com/AnnaMuin","@AnnaMuin")</f>
        <v>@AnnaMuin</v>
      </c>
      <c r="C15259" t="s">
        <v>7816</v>
      </c>
      <c r="D15259">
        <v>25</v>
      </c>
      <c r="E15259">
        <v>0</v>
      </c>
      <c r="F15259">
        <v>194</v>
      </c>
    </row>
    <row r="15260" spans="1:6" ht="12.75">
      <c r="A15260" s="2">
        <v>43878.407986111109</v>
      </c>
      <c r="B15260" t="str">
        <f>HYPERLINK("https://twitter.com/banhanallergy","@banhanallergy")</f>
        <v>@banhanallergy</v>
      </c>
      <c r="C15260" t="s">
        <v>3340</v>
      </c>
      <c r="D15260">
        <v>41</v>
      </c>
      <c r="E15260">
        <v>0</v>
      </c>
      <c r="F15260">
        <v>503</v>
      </c>
    </row>
    <row r="15261" spans="1:6" ht="12.75">
      <c r="A15261" s="2">
        <v>43878.407858796301</v>
      </c>
      <c r="B15261" t="str">
        <f>HYPERLINK("https://twitter.com/diditpatio","@diditpatio")</f>
        <v>@diditpatio</v>
      </c>
      <c r="C15261" t="s">
        <v>6721</v>
      </c>
      <c r="D15261">
        <v>151</v>
      </c>
      <c r="E15261">
        <v>0</v>
      </c>
      <c r="F15261">
        <v>312</v>
      </c>
    </row>
    <row r="15262" spans="1:6" ht="12.75">
      <c r="A15262" s="2">
        <v>43878.407789351855</v>
      </c>
      <c r="B15262" t="str">
        <f>HYPERLINK("https://twitter.com/jesostro","@jesostro")</f>
        <v>@jesostro</v>
      </c>
      <c r="C15262" t="s">
        <v>7817</v>
      </c>
      <c r="D15262">
        <v>0</v>
      </c>
      <c r="E15262">
        <v>0</v>
      </c>
      <c r="F15262">
        <v>15</v>
      </c>
    </row>
    <row r="15263" spans="1:6" ht="12.75">
      <c r="A15263" s="2">
        <v>43878.407754629632</v>
      </c>
      <c r="B15263" t="str">
        <f>HYPERLINK("https://twitter.com/BangPitung_AJW","@BangPitung_AJW")</f>
        <v>@BangPitung_AJW</v>
      </c>
      <c r="C15263" t="s">
        <v>7818</v>
      </c>
      <c r="D15263">
        <v>3</v>
      </c>
      <c r="E15263">
        <v>0</v>
      </c>
      <c r="F15263">
        <v>6422</v>
      </c>
    </row>
    <row r="15264" spans="1:6" ht="12.75">
      <c r="A15264" s="2">
        <v>43878.407662037032</v>
      </c>
      <c r="B15264" t="str">
        <f>HYPERLINK("https://twitter.com/anggitasyhrdl","@anggitasyhrdl")</f>
        <v>@anggitasyhrdl</v>
      </c>
      <c r="C15264" t="s">
        <v>3340</v>
      </c>
      <c r="D15264">
        <v>41</v>
      </c>
      <c r="E15264">
        <v>0</v>
      </c>
      <c r="F15264">
        <v>31</v>
      </c>
    </row>
    <row r="15265" spans="1:6" ht="12.75">
      <c r="A15265" s="2">
        <v>43878.40761574074</v>
      </c>
      <c r="B15265" t="str">
        <f>HYPERLINK("https://twitter.com/muhamadwildi","@muhamadwildi")</f>
        <v>@muhamadwildi</v>
      </c>
      <c r="C15265" t="s">
        <v>6721</v>
      </c>
      <c r="D15265">
        <v>151</v>
      </c>
      <c r="E15265">
        <v>0</v>
      </c>
      <c r="F15265">
        <v>360</v>
      </c>
    </row>
    <row r="15266" spans="1:6" ht="12.75">
      <c r="A15266" s="2">
        <v>43878.407476851848</v>
      </c>
      <c r="B15266" t="str">
        <f>HYPERLINK("https://twitter.com/ciimeans","@ciimeans")</f>
        <v>@ciimeans</v>
      </c>
      <c r="C15266" t="s">
        <v>3340</v>
      </c>
      <c r="D15266">
        <v>41</v>
      </c>
      <c r="E15266">
        <v>0</v>
      </c>
      <c r="F15266">
        <v>1138</v>
      </c>
    </row>
    <row r="15267" spans="1:6" ht="12.75">
      <c r="A15267" s="2">
        <v>43878.407476851848</v>
      </c>
      <c r="B15267" t="str">
        <f>HYPERLINK("https://twitter.com/arastrophile","@arastrophile")</f>
        <v>@arastrophile</v>
      </c>
      <c r="C15267" t="s">
        <v>3340</v>
      </c>
      <c r="D15267">
        <v>41</v>
      </c>
      <c r="E15267">
        <v>0</v>
      </c>
      <c r="F15267">
        <v>486</v>
      </c>
    </row>
    <row r="15268" spans="1:6" ht="12.75">
      <c r="A15268" s="2">
        <v>43878.407164351855</v>
      </c>
      <c r="B15268" t="str">
        <f>HYPERLINK("https://twitter.com/david_edwinn","@david_edwinn")</f>
        <v>@david_edwinn</v>
      </c>
      <c r="C15268" t="s">
        <v>6721</v>
      </c>
      <c r="D15268">
        <v>151</v>
      </c>
      <c r="E15268">
        <v>0</v>
      </c>
      <c r="F15268">
        <v>479</v>
      </c>
    </row>
    <row r="15269" spans="1:6" ht="12.75">
      <c r="A15269" s="2">
        <v>43878.407152777778</v>
      </c>
      <c r="B15269" t="str">
        <f>HYPERLINK("https://twitter.com/mahmudsany9","@mahmudsany9")</f>
        <v>@mahmudsany9</v>
      </c>
      <c r="C15269" t="s">
        <v>7819</v>
      </c>
      <c r="D15269">
        <v>90</v>
      </c>
      <c r="E15269">
        <v>0</v>
      </c>
      <c r="F15269">
        <v>73</v>
      </c>
    </row>
    <row r="15270" spans="1:6" ht="12.75">
      <c r="A15270" s="2">
        <v>43878.406944444447</v>
      </c>
      <c r="B15270" t="str">
        <f>HYPERLINK("https://twitter.com/dkfvldksl_","@dkfvldksl_")</f>
        <v>@dkfvldksl_</v>
      </c>
      <c r="C15270" t="s">
        <v>3340</v>
      </c>
      <c r="D15270">
        <v>41</v>
      </c>
      <c r="E15270">
        <v>0</v>
      </c>
      <c r="F15270">
        <v>614</v>
      </c>
    </row>
    <row r="15271" spans="1:6" ht="12.75">
      <c r="A15271" s="2">
        <v>43878.406898148147</v>
      </c>
      <c r="B15271" t="str">
        <f>HYPERLINK("https://twitter.com/bukankueputu","@bukankueputu")</f>
        <v>@bukankueputu</v>
      </c>
      <c r="C15271" t="s">
        <v>7734</v>
      </c>
      <c r="D15271">
        <v>39</v>
      </c>
      <c r="E15271">
        <v>0</v>
      </c>
      <c r="F15271">
        <v>134</v>
      </c>
    </row>
    <row r="15272" spans="1:6" ht="12.75">
      <c r="A15272" s="2">
        <v>43878.406770833331</v>
      </c>
      <c r="B15272" t="str">
        <f>HYPERLINK("https://twitter.com/BadjaNuswantara","@BadjaNuswantara")</f>
        <v>@BadjaNuswantara</v>
      </c>
      <c r="C15272" t="s">
        <v>7816</v>
      </c>
      <c r="D15272">
        <v>25</v>
      </c>
      <c r="E15272">
        <v>0</v>
      </c>
      <c r="F15272">
        <v>42475</v>
      </c>
    </row>
    <row r="15273" spans="1:6" ht="12.75">
      <c r="A15273" s="2">
        <v>43878.406747685185</v>
      </c>
      <c r="B15273" t="str">
        <f t="shared" ref="B15273:B15274" si="265">HYPERLINK("https://twitter.com/tiwii44","@tiwii44")</f>
        <v>@tiwii44</v>
      </c>
      <c r="C15273" t="s">
        <v>5168</v>
      </c>
      <c r="D15273">
        <v>1659</v>
      </c>
      <c r="E15273">
        <v>0</v>
      </c>
      <c r="F15273">
        <v>201</v>
      </c>
    </row>
    <row r="15274" spans="1:6" ht="12.75">
      <c r="A15274" s="2">
        <v>43878.406712962962</v>
      </c>
      <c r="B15274" t="str">
        <f t="shared" si="265"/>
        <v>@tiwii44</v>
      </c>
      <c r="C15274" t="s">
        <v>2444</v>
      </c>
      <c r="D15274">
        <v>4571</v>
      </c>
      <c r="E15274">
        <v>0</v>
      </c>
      <c r="F15274">
        <v>201</v>
      </c>
    </row>
    <row r="15275" spans="1:6" ht="12.75">
      <c r="A15275" s="2">
        <v>43878.406307870369</v>
      </c>
      <c r="B15275" t="str">
        <f>HYPERLINK("https://twitter.com/yogapraditow","@yogapraditow")</f>
        <v>@yogapraditow</v>
      </c>
      <c r="C15275" t="s">
        <v>7820</v>
      </c>
      <c r="D15275">
        <v>142</v>
      </c>
      <c r="E15275">
        <v>0</v>
      </c>
      <c r="F15275">
        <v>405</v>
      </c>
    </row>
    <row r="15276" spans="1:6" ht="12.75">
      <c r="A15276" s="2">
        <v>43878.406273148154</v>
      </c>
      <c r="B15276" t="str">
        <f>HYPERLINK("https://twitter.com/rezaaditiar","@rezaaditiar")</f>
        <v>@rezaaditiar</v>
      </c>
      <c r="C15276" t="s">
        <v>6721</v>
      </c>
      <c r="D15276">
        <v>151</v>
      </c>
      <c r="E15276">
        <v>0</v>
      </c>
      <c r="F15276">
        <v>594</v>
      </c>
    </row>
    <row r="15277" spans="1:6" ht="12.75">
      <c r="A15277" s="2">
        <v>43878.406134259261</v>
      </c>
      <c r="B15277" t="str">
        <f>HYPERLINK("https://twitter.com/kkuryseul","@kkuryseul")</f>
        <v>@kkuryseul</v>
      </c>
      <c r="C15277" t="s">
        <v>3340</v>
      </c>
      <c r="D15277">
        <v>41</v>
      </c>
      <c r="E15277">
        <v>0</v>
      </c>
      <c r="F15277">
        <v>194</v>
      </c>
    </row>
    <row r="15278" spans="1:6" ht="12.75">
      <c r="A15278" s="2">
        <v>43878.406134259261</v>
      </c>
      <c r="B15278" t="str">
        <f>HYPERLINK("https://twitter.com/faizalassegaf","@faizalassegaf")</f>
        <v>@faizalassegaf</v>
      </c>
      <c r="C15278" t="s">
        <v>7821</v>
      </c>
      <c r="D15278">
        <v>1</v>
      </c>
      <c r="E15278">
        <v>5</v>
      </c>
      <c r="F15278">
        <v>52817</v>
      </c>
    </row>
    <row r="15279" spans="1:6" ht="12.75">
      <c r="A15279" s="2">
        <v>43878.406030092592</v>
      </c>
      <c r="B15279" t="str">
        <f>HYPERLINK("https://twitter.com/ratu_adil","@ratu_adil")</f>
        <v>@ratu_adil</v>
      </c>
      <c r="C15279" t="s">
        <v>7822</v>
      </c>
      <c r="D15279">
        <v>2</v>
      </c>
      <c r="E15279">
        <v>2</v>
      </c>
      <c r="F15279">
        <v>52881</v>
      </c>
    </row>
    <row r="15280" spans="1:6" ht="12.75">
      <c r="A15280" s="2">
        <v>43878.40587962963</v>
      </c>
      <c r="B15280" t="str">
        <f>HYPERLINK("https://twitter.com/tanabe_bee","@tanabe_bee")</f>
        <v>@tanabe_bee</v>
      </c>
      <c r="C15280" t="s">
        <v>7113</v>
      </c>
      <c r="D15280">
        <v>25</v>
      </c>
      <c r="E15280">
        <v>0</v>
      </c>
      <c r="F15280">
        <v>3510</v>
      </c>
    </row>
    <row r="15281" spans="1:6" ht="12.75">
      <c r="A15281" s="2">
        <v>43878.405844907407</v>
      </c>
      <c r="B15281" t="str">
        <f>HYPERLINK("https://twitter.com/yogapraditow","@yogapraditow")</f>
        <v>@yogapraditow</v>
      </c>
      <c r="C15281" t="s">
        <v>7823</v>
      </c>
      <c r="D15281">
        <v>6</v>
      </c>
      <c r="E15281">
        <v>0</v>
      </c>
      <c r="F15281">
        <v>405</v>
      </c>
    </row>
    <row r="15282" spans="1:6" ht="12.75">
      <c r="A15282" s="2">
        <v>43878.405694444446</v>
      </c>
      <c r="B15282" t="str">
        <f>HYPERLINK("https://twitter.com/mfnid","@mfnid")</f>
        <v>@mfnid</v>
      </c>
      <c r="C15282" t="s">
        <v>7111</v>
      </c>
      <c r="D15282">
        <v>3</v>
      </c>
      <c r="E15282">
        <v>0</v>
      </c>
      <c r="F15282">
        <v>934</v>
      </c>
    </row>
    <row r="15283" spans="1:6" ht="12.75">
      <c r="A15283" s="2">
        <v>43878.405138888891</v>
      </c>
      <c r="B15283" t="str">
        <f>HYPERLINK("https://twitter.com/Anam4613","@Anam4613")</f>
        <v>@Anam4613</v>
      </c>
      <c r="C15283" t="s">
        <v>7824</v>
      </c>
      <c r="D15283">
        <v>0</v>
      </c>
      <c r="E15283">
        <v>0</v>
      </c>
      <c r="F15283">
        <v>22</v>
      </c>
    </row>
    <row r="15284" spans="1:6" ht="12.75">
      <c r="A15284" s="2">
        <v>43878.404999999999</v>
      </c>
      <c r="B15284" t="str">
        <f>HYPERLINK("https://twitter.com/Mi73Hel","@Mi73Hel")</f>
        <v>@Mi73Hel</v>
      </c>
      <c r="C15284" t="s">
        <v>6161</v>
      </c>
      <c r="D15284">
        <v>125</v>
      </c>
      <c r="E15284">
        <v>0</v>
      </c>
      <c r="F15284">
        <v>704</v>
      </c>
    </row>
    <row r="15285" spans="1:6" ht="12.75">
      <c r="A15285" s="2">
        <v>43878.404942129629</v>
      </c>
      <c r="B15285" t="str">
        <f>HYPERLINK("https://twitter.com/ganser_10","@ganser_10")</f>
        <v>@ganser_10</v>
      </c>
      <c r="C15285" t="s">
        <v>2674</v>
      </c>
      <c r="D15285">
        <v>54</v>
      </c>
      <c r="E15285">
        <v>0</v>
      </c>
      <c r="F15285">
        <v>1083</v>
      </c>
    </row>
    <row r="15286" spans="1:6" ht="12.75">
      <c r="A15286" s="2">
        <v>43878.404699074075</v>
      </c>
      <c r="B15286" t="str">
        <f>HYPERLINK("https://twitter.com/Ramaridoni","@Ramaridoni")</f>
        <v>@Ramaridoni</v>
      </c>
      <c r="C15286" t="s">
        <v>6721</v>
      </c>
      <c r="D15286">
        <v>151</v>
      </c>
      <c r="E15286">
        <v>0</v>
      </c>
      <c r="F15286">
        <v>380</v>
      </c>
    </row>
    <row r="15287" spans="1:6" ht="12.75">
      <c r="A15287" s="2">
        <v>43878.404444444444</v>
      </c>
      <c r="B15287" t="str">
        <f>HYPERLINK("https://twitter.com/isis_scheid","@isis_scheid")</f>
        <v>@isis_scheid</v>
      </c>
      <c r="C15287" t="s">
        <v>7825</v>
      </c>
      <c r="D15287">
        <v>0</v>
      </c>
      <c r="E15287">
        <v>1</v>
      </c>
      <c r="F15287">
        <v>430</v>
      </c>
    </row>
    <row r="15288" spans="1:6" ht="12.75">
      <c r="A15288" s="2">
        <v>43878.404386574075</v>
      </c>
      <c r="B15288" t="str">
        <f>HYPERLINK("https://twitter.com/wayankdy","@wayankdy")</f>
        <v>@wayankdy</v>
      </c>
      <c r="C15288" t="s">
        <v>6161</v>
      </c>
      <c r="D15288">
        <v>125</v>
      </c>
      <c r="E15288">
        <v>0</v>
      </c>
      <c r="F15288">
        <v>1617</v>
      </c>
    </row>
    <row r="15289" spans="1:6" ht="12.75">
      <c r="A15289" s="2">
        <v>43878.403981481482</v>
      </c>
      <c r="B15289" t="str">
        <f>HYPERLINK("https://twitter.com/autogoyank","@autogoyank")</f>
        <v>@autogoyank</v>
      </c>
      <c r="C15289" t="s">
        <v>3340</v>
      </c>
      <c r="D15289">
        <v>41</v>
      </c>
      <c r="E15289">
        <v>0</v>
      </c>
      <c r="F15289">
        <v>97</v>
      </c>
    </row>
    <row r="15290" spans="1:6" ht="12.75">
      <c r="A15290" s="2">
        <v>43878.403842592597</v>
      </c>
      <c r="B15290" t="str">
        <f>HYPERLINK("https://twitter.com/kaumrisau","@kaumrisau")</f>
        <v>@kaumrisau</v>
      </c>
      <c r="C15290" t="s">
        <v>7826</v>
      </c>
      <c r="D15290">
        <v>0</v>
      </c>
      <c r="E15290">
        <v>0</v>
      </c>
      <c r="F15290">
        <v>251263</v>
      </c>
    </row>
    <row r="15291" spans="1:6" ht="12.75">
      <c r="A15291" s="2">
        <v>43878.403726851851</v>
      </c>
      <c r="B15291" t="str">
        <f>HYPERLINK("https://twitter.com/Borneo08","@Borneo08")</f>
        <v>@Borneo08</v>
      </c>
      <c r="C15291" t="s">
        <v>7298</v>
      </c>
      <c r="D15291">
        <v>90</v>
      </c>
      <c r="E15291">
        <v>0</v>
      </c>
      <c r="F15291">
        <v>837</v>
      </c>
    </row>
    <row r="15292" spans="1:6" ht="12.75">
      <c r="A15292" s="2">
        <v>43878.403553240743</v>
      </c>
      <c r="B15292" t="str">
        <f>HYPERLINK("https://twitter.com/tanyaAzka","@tanyaAzka")</f>
        <v>@tanyaAzka</v>
      </c>
      <c r="C15292" t="s">
        <v>7827</v>
      </c>
      <c r="D15292">
        <v>0</v>
      </c>
      <c r="E15292">
        <v>0</v>
      </c>
      <c r="F15292">
        <v>982</v>
      </c>
    </row>
    <row r="15293" spans="1:6" ht="12.75">
      <c r="A15293" s="2">
        <v>43878.40289351852</v>
      </c>
      <c r="B15293" t="str">
        <f>HYPERLINK("https://twitter.com/balesixsixsix","@balesixsixsix")</f>
        <v>@balesixsixsix</v>
      </c>
      <c r="C15293" t="s">
        <v>6721</v>
      </c>
      <c r="D15293">
        <v>151</v>
      </c>
      <c r="E15293">
        <v>0</v>
      </c>
      <c r="F15293">
        <v>559</v>
      </c>
    </row>
    <row r="15294" spans="1:6" ht="12.75">
      <c r="A15294" s="2">
        <v>43878.402592592596</v>
      </c>
      <c r="B15294" t="str">
        <f>HYPERLINK("https://twitter.com/mfnid","@mfnid")</f>
        <v>@mfnid</v>
      </c>
      <c r="C15294" t="s">
        <v>7828</v>
      </c>
      <c r="D15294">
        <v>4</v>
      </c>
      <c r="E15294">
        <v>0</v>
      </c>
      <c r="F15294">
        <v>934</v>
      </c>
    </row>
    <row r="15295" spans="1:6" ht="12.75">
      <c r="A15295" s="2">
        <v>43878.40252314815</v>
      </c>
      <c r="B15295" t="str">
        <f>HYPERLINK("https://twitter.com/DSXL3","@DSXL3")</f>
        <v>@DSXL3</v>
      </c>
      <c r="C15295" t="s">
        <v>7113</v>
      </c>
      <c r="D15295">
        <v>25</v>
      </c>
      <c r="E15295">
        <v>0</v>
      </c>
      <c r="F15295">
        <v>3572</v>
      </c>
    </row>
    <row r="15296" spans="1:6" ht="12.75">
      <c r="A15296" s="2">
        <v>43878.402511574073</v>
      </c>
      <c r="B15296" t="str">
        <f>HYPERLINK("https://twitter.com/joe_uruha","@joe_uruha")</f>
        <v>@joe_uruha</v>
      </c>
      <c r="C15296" t="s">
        <v>6161</v>
      </c>
      <c r="D15296">
        <v>125</v>
      </c>
      <c r="E15296">
        <v>0</v>
      </c>
      <c r="F15296">
        <v>41</v>
      </c>
    </row>
    <row r="15297" spans="1:6" ht="12.75">
      <c r="A15297" s="2">
        <v>43878.402280092589</v>
      </c>
      <c r="B15297" t="str">
        <f>HYPERLINK("https://twitter.com/veraagustian_","@veraagustian_")</f>
        <v>@veraagustian_</v>
      </c>
      <c r="C15297" t="s">
        <v>7829</v>
      </c>
      <c r="D15297">
        <v>1</v>
      </c>
      <c r="E15297">
        <v>0</v>
      </c>
      <c r="F15297">
        <v>2966</v>
      </c>
    </row>
    <row r="15298" spans="1:6" ht="12.75">
      <c r="A15298" s="2">
        <v>43878.402199074073</v>
      </c>
      <c r="B15298" t="str">
        <f>HYPERLINK("https://twitter.com/BangkitBelaNKRI","@BangkitBelaNKRI")</f>
        <v>@BangkitBelaNKRI</v>
      </c>
      <c r="C15298" t="s">
        <v>6161</v>
      </c>
      <c r="D15298">
        <v>125</v>
      </c>
      <c r="E15298">
        <v>0</v>
      </c>
      <c r="F15298">
        <v>1365</v>
      </c>
    </row>
    <row r="15299" spans="1:6" ht="12.75">
      <c r="A15299" s="2">
        <v>43878.402083333334</v>
      </c>
      <c r="B15299" t="str">
        <f>HYPERLINK("https://twitter.com/urip_murup","@urip_murup")</f>
        <v>@urip_murup</v>
      </c>
      <c r="C15299" t="s">
        <v>6161</v>
      </c>
      <c r="D15299">
        <v>125</v>
      </c>
      <c r="E15299">
        <v>0</v>
      </c>
      <c r="F15299">
        <v>230</v>
      </c>
    </row>
    <row r="15300" spans="1:6" ht="12.75">
      <c r="A15300" s="2">
        <v>43878.402013888888</v>
      </c>
      <c r="B15300" t="str">
        <f>HYPERLINK("https://twitter.com/hakimi_azahar01","@hakimi_azahar01")</f>
        <v>@hakimi_azahar01</v>
      </c>
      <c r="C15300" t="s">
        <v>7830</v>
      </c>
      <c r="D15300">
        <v>9</v>
      </c>
      <c r="E15300">
        <v>0</v>
      </c>
      <c r="F15300">
        <v>220</v>
      </c>
    </row>
    <row r="15301" spans="1:6" ht="12.75">
      <c r="A15301" s="2">
        <v>43878.401921296296</v>
      </c>
      <c r="B15301" t="str">
        <f>HYPERLINK("https://twitter.com/GethyaSN","@GethyaSN")</f>
        <v>@GethyaSN</v>
      </c>
      <c r="C15301" t="s">
        <v>7831</v>
      </c>
      <c r="D15301">
        <v>0</v>
      </c>
      <c r="E15301">
        <v>0</v>
      </c>
      <c r="F15301">
        <v>149</v>
      </c>
    </row>
    <row r="15302" spans="1:6" ht="12.75">
      <c r="A15302" s="2">
        <v>43878.401782407411</v>
      </c>
      <c r="B15302" t="str">
        <f>HYPERLINK("https://twitter.com/FilzanissaQu","@FilzanissaQu")</f>
        <v>@FilzanissaQu</v>
      </c>
      <c r="C15302" t="s">
        <v>491</v>
      </c>
      <c r="D15302">
        <v>4733</v>
      </c>
      <c r="E15302">
        <v>0</v>
      </c>
      <c r="F15302">
        <v>1525</v>
      </c>
    </row>
    <row r="15303" spans="1:6" ht="12.75">
      <c r="A15303" s="2">
        <v>43878.401203703703</v>
      </c>
      <c r="B15303" t="str">
        <f>HYPERLINK("https://twitter.com/RivaldiZakie","@RivaldiZakie")</f>
        <v>@RivaldiZakie</v>
      </c>
      <c r="C15303" t="s">
        <v>7828</v>
      </c>
      <c r="D15303">
        <v>4</v>
      </c>
      <c r="E15303">
        <v>0</v>
      </c>
      <c r="F15303">
        <v>15</v>
      </c>
    </row>
    <row r="15304" spans="1:6" ht="12.75">
      <c r="A15304" s="2">
        <v>43878.401076388887</v>
      </c>
      <c r="B15304" t="str">
        <f>HYPERLINK("https://twitter.com/Heri_aja","@Heri_aja")</f>
        <v>@Heri_aja</v>
      </c>
      <c r="C15304" t="s">
        <v>6161</v>
      </c>
      <c r="D15304">
        <v>125</v>
      </c>
      <c r="E15304">
        <v>0</v>
      </c>
      <c r="F15304">
        <v>1694</v>
      </c>
    </row>
    <row r="15305" spans="1:6" ht="12.75">
      <c r="A15305" s="2">
        <v>43878.376423611116</v>
      </c>
      <c r="B15305" t="str">
        <f>HYPERLINK("https://twitter.com/woypablo777","@woypablo777")</f>
        <v>@woypablo777</v>
      </c>
      <c r="C15305" t="s">
        <v>3340</v>
      </c>
      <c r="D15305">
        <v>13</v>
      </c>
      <c r="E15305">
        <v>0</v>
      </c>
      <c r="F15305">
        <v>837</v>
      </c>
    </row>
    <row r="15306" spans="1:6" ht="12.75">
      <c r="A15306" s="2">
        <v>43878.376423611116</v>
      </c>
      <c r="B15306" t="str">
        <f>HYPERLINK("https://twitter.com/kayu_bondol","@kayu_bondol")</f>
        <v>@kayu_bondol</v>
      </c>
      <c r="C15306" t="s">
        <v>7832</v>
      </c>
      <c r="D15306">
        <v>0</v>
      </c>
      <c r="E15306">
        <v>0</v>
      </c>
      <c r="F15306">
        <v>109</v>
      </c>
    </row>
    <row r="15307" spans="1:6" ht="12.75">
      <c r="A15307" s="2">
        <v>43878.376342592594</v>
      </c>
      <c r="B15307" t="str">
        <f>HYPERLINK("https://twitter.com/andrianyQQ","@andrianyQQ")</f>
        <v>@andrianyQQ</v>
      </c>
      <c r="C15307" t="s">
        <v>6161</v>
      </c>
      <c r="D15307">
        <v>79</v>
      </c>
      <c r="E15307">
        <v>0</v>
      </c>
      <c r="F15307">
        <v>85</v>
      </c>
    </row>
    <row r="15308" spans="1:6" ht="12.75">
      <c r="A15308" s="2">
        <v>43878.376215277778</v>
      </c>
      <c r="B15308" t="str">
        <f>HYPERLINK("https://twitter.com/fariscesco","@fariscesco")</f>
        <v>@fariscesco</v>
      </c>
      <c r="C15308" t="s">
        <v>6721</v>
      </c>
      <c r="D15308">
        <v>99</v>
      </c>
      <c r="E15308">
        <v>0</v>
      </c>
      <c r="F15308">
        <v>292</v>
      </c>
    </row>
    <row r="15309" spans="1:6" ht="12.75">
      <c r="A15309" s="2">
        <v>43878.376145833332</v>
      </c>
      <c r="B15309" t="str">
        <f>HYPERLINK("https://twitter.com/teh_tariq","@teh_tariq")</f>
        <v>@teh_tariq</v>
      </c>
      <c r="C15309" t="s">
        <v>7833</v>
      </c>
      <c r="D15309">
        <v>0</v>
      </c>
      <c r="E15309">
        <v>0</v>
      </c>
      <c r="F15309">
        <v>6785</v>
      </c>
    </row>
    <row r="15310" spans="1:6" ht="12.75">
      <c r="A15310" s="2">
        <v>43878.37600694444</v>
      </c>
      <c r="B15310" t="str">
        <f>HYPERLINK("https://twitter.com/TurnBackWahabi","@TurnBackWahabi")</f>
        <v>@TurnBackWahabi</v>
      </c>
      <c r="C15310" t="s">
        <v>6161</v>
      </c>
      <c r="D15310">
        <v>79</v>
      </c>
      <c r="E15310">
        <v>0</v>
      </c>
      <c r="F15310">
        <v>386</v>
      </c>
    </row>
    <row r="15311" spans="1:6" ht="12.75">
      <c r="A15311" s="2">
        <v>43878.375914351855</v>
      </c>
      <c r="B15311" t="str">
        <f>HYPERLINK("https://twitter.com/GnpfBullshit212","@GnpfBullshit212")</f>
        <v>@GnpfBullshit212</v>
      </c>
      <c r="C15311" t="s">
        <v>2097</v>
      </c>
      <c r="D15311">
        <v>415</v>
      </c>
      <c r="E15311">
        <v>0</v>
      </c>
      <c r="F15311">
        <v>1004</v>
      </c>
    </row>
    <row r="15312" spans="1:6" ht="12.75">
      <c r="A15312" s="2">
        <v>43878.375868055555</v>
      </c>
      <c r="B15312" t="str">
        <f>HYPERLINK("https://twitter.com/AlvinoLulu","@AlvinoLulu")</f>
        <v>@AlvinoLulu</v>
      </c>
      <c r="C15312" t="s">
        <v>491</v>
      </c>
      <c r="D15312">
        <v>4729</v>
      </c>
      <c r="E15312">
        <v>0</v>
      </c>
      <c r="F15312">
        <v>11058</v>
      </c>
    </row>
    <row r="15313" spans="1:6" ht="12.75">
      <c r="A15313" s="2">
        <v>43878.375706018516</v>
      </c>
      <c r="B15313" t="str">
        <f>HYPERLINK("https://twitter.com/GnpfBullshit212","@GnpfBullshit212")</f>
        <v>@GnpfBullshit212</v>
      </c>
      <c r="C15313" t="s">
        <v>3396</v>
      </c>
      <c r="D15313">
        <v>49</v>
      </c>
      <c r="E15313">
        <v>0</v>
      </c>
      <c r="F15313">
        <v>1004</v>
      </c>
    </row>
    <row r="15314" spans="1:6" ht="12.75">
      <c r="A15314" s="2">
        <v>43878.375694444447</v>
      </c>
      <c r="B15314" t="str">
        <f>HYPERLINK("https://twitter.com/kompasiana","@kompasiana")</f>
        <v>@kompasiana</v>
      </c>
      <c r="C15314" t="s">
        <v>7834</v>
      </c>
      <c r="D15314">
        <v>0</v>
      </c>
      <c r="E15314">
        <v>0</v>
      </c>
      <c r="F15314">
        <v>928387</v>
      </c>
    </row>
    <row r="15315" spans="1:6" ht="12.75">
      <c r="A15315" s="2">
        <v>43878.375671296293</v>
      </c>
      <c r="B15315" t="str">
        <f>HYPERLINK("https://twitter.com/rebahanditwiter","@rebahanditwiter")</f>
        <v>@rebahanditwiter</v>
      </c>
      <c r="C15315" t="s">
        <v>3340</v>
      </c>
      <c r="D15315">
        <v>13</v>
      </c>
      <c r="E15315">
        <v>0</v>
      </c>
      <c r="F15315">
        <v>1061</v>
      </c>
    </row>
    <row r="15316" spans="1:6" ht="12.75">
      <c r="A15316" s="2">
        <v>43878.375671296293</v>
      </c>
      <c r="B15316" t="str">
        <f>HYPERLINK("https://twitter.com/diaitudyas","@diaitudyas")</f>
        <v>@diaitudyas</v>
      </c>
      <c r="C15316" t="s">
        <v>2674</v>
      </c>
      <c r="D15316">
        <v>49</v>
      </c>
      <c r="E15316">
        <v>0</v>
      </c>
      <c r="F15316">
        <v>202</v>
      </c>
    </row>
    <row r="15317" spans="1:6" ht="12.75">
      <c r="A15317" s="2">
        <v>43878.375590277778</v>
      </c>
      <c r="B15317" t="str">
        <f>HYPERLINK("https://twitter.com/Antoniowan","@Antoniowan")</f>
        <v>@Antoniowan</v>
      </c>
      <c r="C15317" t="s">
        <v>7835</v>
      </c>
      <c r="D15317">
        <v>0</v>
      </c>
      <c r="E15317">
        <v>0</v>
      </c>
      <c r="F15317">
        <v>1147</v>
      </c>
    </row>
    <row r="15318" spans="1:6" ht="12.75">
      <c r="A15318" s="2">
        <v>43878.375520833331</v>
      </c>
      <c r="B15318" t="str">
        <f>HYPERLINK("https://twitter.com/Angelin83071951","@Angelin83071951")</f>
        <v>@Angelin83071951</v>
      </c>
      <c r="C15318" t="s">
        <v>7836</v>
      </c>
      <c r="D15318">
        <v>56</v>
      </c>
      <c r="E15318">
        <v>0</v>
      </c>
      <c r="F15318">
        <v>194</v>
      </c>
    </row>
    <row r="15319" spans="1:6" ht="12.75">
      <c r="A15319" s="2">
        <v>43878.375486111108</v>
      </c>
      <c r="B15319" t="str">
        <f>HYPERLINK("https://twitter.com/kompleksukun","@kompleksukun")</f>
        <v>@kompleksukun</v>
      </c>
      <c r="C15319" t="s">
        <v>6721</v>
      </c>
      <c r="D15319">
        <v>99</v>
      </c>
      <c r="E15319">
        <v>0</v>
      </c>
      <c r="F15319">
        <v>448</v>
      </c>
    </row>
    <row r="15320" spans="1:6" ht="12.75">
      <c r="A15320" s="2">
        <v>43878.375474537039</v>
      </c>
      <c r="B15320" t="str">
        <f>HYPERLINK("https://twitter.com/IhsanRizki_48","@IhsanRizki_48")</f>
        <v>@IhsanRizki_48</v>
      </c>
      <c r="C15320" t="s">
        <v>6721</v>
      </c>
      <c r="D15320">
        <v>99</v>
      </c>
      <c r="E15320">
        <v>0</v>
      </c>
      <c r="F15320">
        <v>607</v>
      </c>
    </row>
    <row r="15321" spans="1:6" ht="12.75">
      <c r="A15321" s="2">
        <v>43878.375104166669</v>
      </c>
      <c r="B15321" t="str">
        <f>HYPERLINK("https://twitter.com/kutubocah","@kutubocah")</f>
        <v>@kutubocah</v>
      </c>
      <c r="C15321" t="s">
        <v>6721</v>
      </c>
      <c r="D15321">
        <v>99</v>
      </c>
      <c r="E15321">
        <v>0</v>
      </c>
      <c r="F15321">
        <v>830</v>
      </c>
    </row>
    <row r="15322" spans="1:6" ht="12.75">
      <c r="A15322" s="2">
        <v>43878.374606481477</v>
      </c>
      <c r="B15322" t="str">
        <f>HYPERLINK("https://twitter.com/kayu_bondol","@kayu_bondol")</f>
        <v>@kayu_bondol</v>
      </c>
      <c r="C15322" t="s">
        <v>7837</v>
      </c>
      <c r="D15322">
        <v>0</v>
      </c>
      <c r="E15322">
        <v>0</v>
      </c>
      <c r="F15322">
        <v>109</v>
      </c>
    </row>
    <row r="15323" spans="1:6" ht="12.75">
      <c r="A15323" s="2">
        <v>43878.374305555553</v>
      </c>
      <c r="B15323" t="str">
        <f>HYPERLINK("https://twitter.com/AtikahZahidah_","@AtikahZahidah_")</f>
        <v>@AtikahZahidah_</v>
      </c>
      <c r="C15323" t="s">
        <v>3396</v>
      </c>
      <c r="D15323">
        <v>49</v>
      </c>
      <c r="E15323">
        <v>0</v>
      </c>
      <c r="F15323">
        <v>3190</v>
      </c>
    </row>
    <row r="15324" spans="1:6" ht="12.75">
      <c r="A15324" s="2">
        <v>43878.374120370368</v>
      </c>
      <c r="B15324" t="str">
        <f>HYPERLINK("https://twitter.com/e2rdgunawan","@e2rdgunawan")</f>
        <v>@e2rdgunawan</v>
      </c>
      <c r="C15324" t="s">
        <v>6161</v>
      </c>
      <c r="D15324">
        <v>79</v>
      </c>
      <c r="E15324">
        <v>0</v>
      </c>
      <c r="F15324">
        <v>207</v>
      </c>
    </row>
    <row r="15325" spans="1:6" ht="12.75">
      <c r="A15325" s="2">
        <v>43878.373611111107</v>
      </c>
      <c r="B15325" t="str">
        <f>HYPERLINK("https://twitter.com/21Lai21","@21Lai21")</f>
        <v>@21Lai21</v>
      </c>
      <c r="C15325" t="s">
        <v>6161</v>
      </c>
      <c r="D15325">
        <v>79</v>
      </c>
      <c r="E15325">
        <v>0</v>
      </c>
      <c r="F15325">
        <v>275</v>
      </c>
    </row>
    <row r="15326" spans="1:6" ht="12.75">
      <c r="A15326" s="2">
        <v>43878.373356481483</v>
      </c>
      <c r="B15326" t="str">
        <f>HYPERLINK("https://twitter.com/hendrachmanaa","@hendrachmanaa")</f>
        <v>@hendrachmanaa</v>
      </c>
      <c r="C15326" t="s">
        <v>6338</v>
      </c>
      <c r="D15326">
        <v>781</v>
      </c>
      <c r="E15326">
        <v>0</v>
      </c>
      <c r="F15326">
        <v>2213</v>
      </c>
    </row>
    <row r="15327" spans="1:6" ht="12.75">
      <c r="A15327" s="2">
        <v>43878.373356481483</v>
      </c>
      <c r="B15327" t="str">
        <f>HYPERLINK("https://twitter.com/hasbisinclair","@hasbisinclair")</f>
        <v>@hasbisinclair</v>
      </c>
      <c r="C15327" t="s">
        <v>6721</v>
      </c>
      <c r="D15327">
        <v>99</v>
      </c>
      <c r="E15327">
        <v>0</v>
      </c>
      <c r="F15327">
        <v>806</v>
      </c>
    </row>
    <row r="15328" spans="1:6" ht="12.75">
      <c r="A15328" s="2">
        <v>43878.373159722221</v>
      </c>
      <c r="B15328" t="str">
        <f>HYPERLINK("https://twitter.com/udaytokay","@udaytokay")</f>
        <v>@udaytokay</v>
      </c>
      <c r="C15328" t="s">
        <v>7838</v>
      </c>
      <c r="D15328">
        <v>0</v>
      </c>
      <c r="E15328">
        <v>0</v>
      </c>
      <c r="F15328">
        <v>301</v>
      </c>
    </row>
    <row r="15329" spans="1:6" ht="12.75">
      <c r="A15329" s="2">
        <v>43878.373032407406</v>
      </c>
      <c r="B15329" t="str">
        <f>HYPERLINK("https://twitter.com/my_t0t0","@my_t0t0")</f>
        <v>@my_t0t0</v>
      </c>
      <c r="C15329" t="s">
        <v>6161</v>
      </c>
      <c r="D15329">
        <v>79</v>
      </c>
      <c r="E15329">
        <v>0</v>
      </c>
      <c r="F15329">
        <v>705</v>
      </c>
    </row>
    <row r="15330" spans="1:6" ht="12.75">
      <c r="A15330" s="2">
        <v>43878.373020833329</v>
      </c>
      <c r="B15330" t="str">
        <f>HYPERLINK("https://twitter.com/cold957","@cold957")</f>
        <v>@cold957</v>
      </c>
      <c r="C15330" t="s">
        <v>3150</v>
      </c>
      <c r="D15330">
        <v>417</v>
      </c>
      <c r="E15330">
        <v>0</v>
      </c>
      <c r="F15330">
        <v>559</v>
      </c>
    </row>
    <row r="15331" spans="1:6" ht="12.75">
      <c r="A15331" s="2">
        <v>43878.37299768519</v>
      </c>
      <c r="B15331" t="str">
        <f>HYPERLINK("https://twitter.com/warmandityo","@warmandityo")</f>
        <v>@warmandityo</v>
      </c>
      <c r="C15331" t="s">
        <v>6721</v>
      </c>
      <c r="D15331">
        <v>99</v>
      </c>
      <c r="E15331">
        <v>0</v>
      </c>
      <c r="F15331">
        <v>281</v>
      </c>
    </row>
    <row r="15332" spans="1:6" ht="12.75">
      <c r="A15332" s="2">
        <v>43878.372939814813</v>
      </c>
      <c r="B15332" t="str">
        <f>HYPERLINK("https://twitter.com/sv_lan1","@sv_lan1")</f>
        <v>@sv_lan1</v>
      </c>
      <c r="C15332" t="s">
        <v>6721</v>
      </c>
      <c r="D15332">
        <v>99</v>
      </c>
      <c r="E15332">
        <v>0</v>
      </c>
      <c r="F15332">
        <v>177</v>
      </c>
    </row>
    <row r="15333" spans="1:6" ht="12.75">
      <c r="A15333" s="2">
        <v>43878.372916666667</v>
      </c>
      <c r="B15333" t="str">
        <f>HYPERLINK("https://twitter.com/Antoniowan","@Antoniowan")</f>
        <v>@Antoniowan</v>
      </c>
      <c r="C15333" t="s">
        <v>6161</v>
      </c>
      <c r="D15333">
        <v>79</v>
      </c>
      <c r="E15333">
        <v>0</v>
      </c>
      <c r="F15333">
        <v>1147</v>
      </c>
    </row>
    <row r="15334" spans="1:6" ht="12.75">
      <c r="A15334" s="2">
        <v>43878.372407407413</v>
      </c>
      <c r="B15334" t="str">
        <f>HYPERLINK("https://twitter.com/lando_an","@lando_an")</f>
        <v>@lando_an</v>
      </c>
      <c r="C15334" t="s">
        <v>7839</v>
      </c>
      <c r="D15334">
        <v>0</v>
      </c>
      <c r="E15334">
        <v>0</v>
      </c>
      <c r="F15334">
        <v>57</v>
      </c>
    </row>
    <row r="15335" spans="1:6" ht="12.75">
      <c r="A15335" s="2">
        <v>43878.37226851852</v>
      </c>
      <c r="B15335" t="str">
        <f>HYPERLINK("https://twitter.com/riopLuR","@riopLuR")</f>
        <v>@riopLuR</v>
      </c>
      <c r="C15335" t="s">
        <v>7840</v>
      </c>
      <c r="D15335">
        <v>3</v>
      </c>
      <c r="E15335">
        <v>0</v>
      </c>
      <c r="F15335">
        <v>602</v>
      </c>
    </row>
    <row r="15336" spans="1:6" ht="12.75">
      <c r="A15336" s="2">
        <v>43878.372210648144</v>
      </c>
      <c r="B15336" t="str">
        <f>HYPERLINK("https://twitter.com/InfidelsJerome","@InfidelsJerome")</f>
        <v>@InfidelsJerome</v>
      </c>
      <c r="C15336" t="s">
        <v>6161</v>
      </c>
      <c r="D15336">
        <v>79</v>
      </c>
      <c r="E15336">
        <v>0</v>
      </c>
      <c r="F15336">
        <v>162</v>
      </c>
    </row>
    <row r="15337" spans="1:6" ht="12.75">
      <c r="A15337" s="2">
        <v>43878.371967592597</v>
      </c>
      <c r="B15337" t="str">
        <f>HYPERLINK("https://twitter.com/Rachmahnah","@Rachmahnah")</f>
        <v>@Rachmahnah</v>
      </c>
      <c r="C15337" t="s">
        <v>6721</v>
      </c>
      <c r="D15337">
        <v>99</v>
      </c>
      <c r="E15337">
        <v>0</v>
      </c>
      <c r="F15337">
        <v>382</v>
      </c>
    </row>
    <row r="15338" spans="1:6" ht="12.75">
      <c r="A15338" s="2">
        <v>43878.371666666666</v>
      </c>
      <c r="B15338" t="str">
        <f>HYPERLINK("https://twitter.com/selfistik","@selfistik")</f>
        <v>@selfistik</v>
      </c>
      <c r="C15338" t="s">
        <v>6721</v>
      </c>
      <c r="D15338">
        <v>99</v>
      </c>
      <c r="E15338">
        <v>0</v>
      </c>
      <c r="F15338">
        <v>64</v>
      </c>
    </row>
    <row r="15339" spans="1:6" ht="12.75">
      <c r="A15339" s="2">
        <v>43878.371446759258</v>
      </c>
      <c r="B15339" t="str">
        <f>HYPERLINK("https://twitter.com/andy_nomicin","@andy_nomicin")</f>
        <v>@andy_nomicin</v>
      </c>
      <c r="C15339" t="s">
        <v>7841</v>
      </c>
      <c r="D15339">
        <v>1</v>
      </c>
      <c r="E15339">
        <v>0</v>
      </c>
      <c r="F15339">
        <v>7249</v>
      </c>
    </row>
    <row r="15340" spans="1:6" ht="12.75">
      <c r="A15340" s="2">
        <v>43878.37128472222</v>
      </c>
      <c r="B15340" t="str">
        <f>HYPERLINK("https://twitter.com/SuryaBorneo","@SuryaBorneo")</f>
        <v>@SuryaBorneo</v>
      </c>
      <c r="C15340" t="s">
        <v>6721</v>
      </c>
      <c r="D15340">
        <v>99</v>
      </c>
      <c r="E15340">
        <v>0</v>
      </c>
      <c r="F15340">
        <v>996</v>
      </c>
    </row>
    <row r="15341" spans="1:6" ht="12.75">
      <c r="A15341" s="2">
        <v>43878.370069444441</v>
      </c>
      <c r="B15341" t="str">
        <f>HYPERLINK("https://twitter.com/JoKerR_nN","@JoKerR_nN")</f>
        <v>@JoKerR_nN</v>
      </c>
      <c r="C15341" t="s">
        <v>6161</v>
      </c>
      <c r="D15341">
        <v>79</v>
      </c>
      <c r="E15341">
        <v>0</v>
      </c>
      <c r="F15341">
        <v>722</v>
      </c>
    </row>
    <row r="15342" spans="1:6" ht="12.75">
      <c r="A15342" s="2">
        <v>43878.369571759264</v>
      </c>
      <c r="B15342" t="str">
        <f>HYPERLINK("https://twitter.com/onnyfariz","@onnyfariz")</f>
        <v>@onnyfariz</v>
      </c>
      <c r="C15342" t="s">
        <v>6721</v>
      </c>
      <c r="D15342">
        <v>99</v>
      </c>
      <c r="E15342">
        <v>0</v>
      </c>
      <c r="F15342">
        <v>272</v>
      </c>
    </row>
    <row r="15343" spans="1:6" ht="12.75">
      <c r="A15343" s="2">
        <v>43878.369537037041</v>
      </c>
      <c r="B15343" t="str">
        <f>HYPERLINK("https://twitter.com/Abah669","@Abah669")</f>
        <v>@Abah669</v>
      </c>
      <c r="C15343" t="s">
        <v>7842</v>
      </c>
      <c r="D15343">
        <v>0</v>
      </c>
      <c r="E15343">
        <v>0</v>
      </c>
      <c r="F15343">
        <v>162</v>
      </c>
    </row>
    <row r="15344" spans="1:6" ht="12.75">
      <c r="A15344" s="2">
        <v>43878.369398148148</v>
      </c>
      <c r="B15344" t="str">
        <f>HYPERLINK("https://twitter.com/fajar_shdiq","@fajar_shdiq")</f>
        <v>@fajar_shdiq</v>
      </c>
      <c r="C15344" t="s">
        <v>6161</v>
      </c>
      <c r="D15344">
        <v>79</v>
      </c>
      <c r="E15344">
        <v>0</v>
      </c>
      <c r="F15344">
        <v>25</v>
      </c>
    </row>
    <row r="15345" spans="1:6" ht="12.75">
      <c r="A15345" s="2">
        <v>43878.369328703702</v>
      </c>
      <c r="B15345" t="str">
        <f>HYPERLINK("https://twitter.com/gloriaeklesia","@gloriaeklesia")</f>
        <v>@gloriaeklesia</v>
      </c>
      <c r="C15345" t="s">
        <v>6721</v>
      </c>
      <c r="D15345">
        <v>99</v>
      </c>
      <c r="E15345">
        <v>0</v>
      </c>
      <c r="F15345">
        <v>531</v>
      </c>
    </row>
    <row r="15346" spans="1:6" ht="12.75">
      <c r="A15346" s="2">
        <v>43878.369212962964</v>
      </c>
      <c r="B15346" t="str">
        <f>HYPERLINK("https://twitter.com/YogaAdrianyoga6","@YogaAdrianyoga6")</f>
        <v>@YogaAdrianyoga6</v>
      </c>
      <c r="C15346" t="s">
        <v>2674</v>
      </c>
      <c r="D15346">
        <v>49</v>
      </c>
      <c r="E15346">
        <v>0</v>
      </c>
      <c r="F15346">
        <v>773</v>
      </c>
    </row>
    <row r="15347" spans="1:6" ht="12.75">
      <c r="A15347" s="2">
        <v>43878.369143518517</v>
      </c>
      <c r="B15347" t="str">
        <f>HYPERLINK("https://twitter.com/RiriJreeng","@RiriJreeng")</f>
        <v>@RiriJreeng</v>
      </c>
      <c r="C15347" t="s">
        <v>2674</v>
      </c>
      <c r="D15347">
        <v>49</v>
      </c>
      <c r="E15347">
        <v>0</v>
      </c>
      <c r="F15347">
        <v>5706</v>
      </c>
    </row>
    <row r="15348" spans="1:6" ht="12.75">
      <c r="A15348" s="2">
        <v>43878.368946759263</v>
      </c>
      <c r="B15348" t="str">
        <f>HYPERLINK("https://twitter.com/Alsanusi6","@Alsanusi6")</f>
        <v>@Alsanusi6</v>
      </c>
      <c r="C15348" t="s">
        <v>2674</v>
      </c>
      <c r="D15348">
        <v>49</v>
      </c>
      <c r="E15348">
        <v>0</v>
      </c>
      <c r="F15348">
        <v>261</v>
      </c>
    </row>
    <row r="15349" spans="1:6" ht="12.75">
      <c r="A15349" s="2">
        <v>43878.368900462963</v>
      </c>
      <c r="B15349" t="str">
        <f>HYPERLINK("https://twitter.com/Rsedang1","@Rsedang1")</f>
        <v>@Rsedang1</v>
      </c>
      <c r="C15349" t="s">
        <v>7843</v>
      </c>
      <c r="D15349">
        <v>0</v>
      </c>
      <c r="E15349">
        <v>0</v>
      </c>
      <c r="F15349">
        <v>6</v>
      </c>
    </row>
    <row r="15350" spans="1:6" ht="12.75">
      <c r="A15350" s="2">
        <v>43878.36886574074</v>
      </c>
      <c r="B15350" t="str">
        <f>HYPERLINK("https://twitter.com/SilalahiFabian","@SilalahiFabian")</f>
        <v>@SilalahiFabian</v>
      </c>
      <c r="C15350" t="s">
        <v>6161</v>
      </c>
      <c r="D15350">
        <v>79</v>
      </c>
      <c r="E15350">
        <v>0</v>
      </c>
      <c r="F15350">
        <v>167</v>
      </c>
    </row>
    <row r="15351" spans="1:6" ht="12.75">
      <c r="A15351" s="2">
        <v>43878.368807870371</v>
      </c>
      <c r="B15351" t="str">
        <f>HYPERLINK("https://twitter.com/Suwarno54989398","@Suwarno54989398")</f>
        <v>@Suwarno54989398</v>
      </c>
      <c r="C15351" t="s">
        <v>7844</v>
      </c>
      <c r="D15351">
        <v>0</v>
      </c>
      <c r="E15351">
        <v>0</v>
      </c>
      <c r="F15351">
        <v>0</v>
      </c>
    </row>
    <row r="15352" spans="1:6" ht="12.75">
      <c r="A15352" s="2">
        <v>43878.368750000001</v>
      </c>
      <c r="B15352" t="str">
        <f>HYPERLINK("https://twitter.com/KurniantoTjan","@KurniantoTjan")</f>
        <v>@KurniantoTjan</v>
      </c>
      <c r="C15352" t="s">
        <v>7129</v>
      </c>
      <c r="D15352">
        <v>8</v>
      </c>
      <c r="E15352">
        <v>0</v>
      </c>
      <c r="F15352">
        <v>941</v>
      </c>
    </row>
    <row r="15353" spans="1:6" ht="12.75">
      <c r="A15353" s="2">
        <v>43878.36855324074</v>
      </c>
      <c r="B15353" t="str">
        <f>HYPERLINK("https://twitter.com/Merahputih72","@Merahputih72")</f>
        <v>@Merahputih72</v>
      </c>
      <c r="C15353" t="s">
        <v>175</v>
      </c>
      <c r="D15353">
        <v>5375</v>
      </c>
      <c r="E15353">
        <v>0</v>
      </c>
      <c r="F15353">
        <v>42</v>
      </c>
    </row>
    <row r="15354" spans="1:6" ht="12.75">
      <c r="A15354" s="2">
        <v>43878.368506944447</v>
      </c>
      <c r="B15354" t="str">
        <f>HYPERLINK("https://twitter.com/nanuths","@nanuths")</f>
        <v>@nanuths</v>
      </c>
      <c r="C15354" t="s">
        <v>7845</v>
      </c>
      <c r="D15354">
        <v>3</v>
      </c>
      <c r="E15354">
        <v>0</v>
      </c>
      <c r="F15354">
        <v>654</v>
      </c>
    </row>
    <row r="15355" spans="1:6" ht="12.75">
      <c r="A15355" s="2">
        <v>43878.368506944447</v>
      </c>
      <c r="B15355" t="str">
        <f>HYPERLINK("https://twitter.com/greypunch","@greypunch")</f>
        <v>@greypunch</v>
      </c>
      <c r="C15355" t="s">
        <v>7846</v>
      </c>
      <c r="D15355">
        <v>0</v>
      </c>
      <c r="E15355">
        <v>1</v>
      </c>
      <c r="F15355">
        <v>305</v>
      </c>
    </row>
    <row r="15356" spans="1:6" ht="12.75">
      <c r="A15356" s="2">
        <v>43878.368472222224</v>
      </c>
      <c r="B15356" t="str">
        <f>HYPERLINK("https://twitter.com/ed_harrie","@ed_harrie")</f>
        <v>@ed_harrie</v>
      </c>
      <c r="C15356" t="s">
        <v>7847</v>
      </c>
      <c r="D15356">
        <v>0</v>
      </c>
      <c r="E15356">
        <v>0</v>
      </c>
      <c r="F15356">
        <v>2123</v>
      </c>
    </row>
    <row r="15357" spans="1:6" ht="12.75">
      <c r="A15357" s="2">
        <v>43878.368252314816</v>
      </c>
      <c r="B15357" t="str">
        <f>HYPERLINK("https://twitter.com/FENRlCO","@FENRlCO")</f>
        <v>@FENRlCO</v>
      </c>
      <c r="C15357" t="s">
        <v>6721</v>
      </c>
      <c r="D15357">
        <v>99</v>
      </c>
      <c r="E15357">
        <v>0</v>
      </c>
      <c r="F15357">
        <v>379</v>
      </c>
    </row>
    <row r="15358" spans="1:6" ht="12.75">
      <c r="A15358" s="2">
        <v>43878.367708333331</v>
      </c>
      <c r="B15358" t="str">
        <f>HYPERLINK("https://twitter.com/GemaShun","@GemaShun")</f>
        <v>@GemaShun</v>
      </c>
      <c r="C15358" t="s">
        <v>6721</v>
      </c>
      <c r="D15358">
        <v>99</v>
      </c>
      <c r="E15358">
        <v>0</v>
      </c>
      <c r="F15358">
        <v>386</v>
      </c>
    </row>
    <row r="15359" spans="1:6" ht="12.75">
      <c r="A15359" s="2">
        <v>43878.367696759262</v>
      </c>
      <c r="B15359" t="str">
        <f>HYPERLINK("https://twitter.com/Khalistio18LFC","@Khalistio18LFC")</f>
        <v>@Khalistio18LFC</v>
      </c>
      <c r="C15359" t="s">
        <v>6721</v>
      </c>
      <c r="D15359">
        <v>99</v>
      </c>
      <c r="E15359">
        <v>0</v>
      </c>
      <c r="F15359">
        <v>572</v>
      </c>
    </row>
    <row r="15360" spans="1:6" ht="12.75">
      <c r="A15360" s="2">
        <v>43878.367534722223</v>
      </c>
      <c r="B15360" t="str">
        <f>HYPERLINK("https://twitter.com/GunawanTHENEXT","@GunawanTHENEXT")</f>
        <v>@GunawanTHENEXT</v>
      </c>
      <c r="C15360" t="s">
        <v>7848</v>
      </c>
      <c r="D15360">
        <v>0</v>
      </c>
      <c r="E15360">
        <v>0</v>
      </c>
      <c r="F15360">
        <v>1517</v>
      </c>
    </row>
    <row r="15361" spans="1:6" ht="12.75">
      <c r="A15361" s="2">
        <v>43878.367534722223</v>
      </c>
      <c r="B15361" t="str">
        <f>HYPERLINK("https://twitter.com/amoysilitonga","@amoysilitonga")</f>
        <v>@amoysilitonga</v>
      </c>
      <c r="C15361" t="s">
        <v>6161</v>
      </c>
      <c r="D15361">
        <v>79</v>
      </c>
      <c r="E15361">
        <v>0</v>
      </c>
      <c r="F15361">
        <v>203</v>
      </c>
    </row>
    <row r="15362" spans="1:6" ht="12.75">
      <c r="A15362" s="2">
        <v>43878.367442129631</v>
      </c>
      <c r="B15362" t="str">
        <f>HYPERLINK("https://twitter.com/Rayhanwb","@Rayhanwb")</f>
        <v>@Rayhanwb</v>
      </c>
      <c r="C15362" t="s">
        <v>6721</v>
      </c>
      <c r="D15362">
        <v>99</v>
      </c>
      <c r="E15362">
        <v>0</v>
      </c>
      <c r="F15362">
        <v>172</v>
      </c>
    </row>
    <row r="15363" spans="1:6" ht="12.75">
      <c r="A15363" s="2">
        <v>43878.367349537039</v>
      </c>
      <c r="B15363" t="str">
        <f>HYPERLINK("https://twitter.com/Abdul_Alim45","@Abdul_Alim45")</f>
        <v>@Abdul_Alim45</v>
      </c>
      <c r="C15363" t="s">
        <v>6721</v>
      </c>
      <c r="D15363">
        <v>99</v>
      </c>
      <c r="E15363">
        <v>0</v>
      </c>
      <c r="F15363">
        <v>84</v>
      </c>
    </row>
    <row r="15364" spans="1:6" ht="12.75">
      <c r="A15364" s="2">
        <v>43878.3671875</v>
      </c>
      <c r="B15364" t="str">
        <f>HYPERLINK("https://twitter.com/kartikahari13","@kartikahari13")</f>
        <v>@kartikahari13</v>
      </c>
      <c r="C15364" t="s">
        <v>6721</v>
      </c>
      <c r="D15364">
        <v>99</v>
      </c>
      <c r="E15364">
        <v>0</v>
      </c>
      <c r="F15364">
        <v>1390</v>
      </c>
    </row>
    <row r="15365" spans="1:6" ht="12.75">
      <c r="A15365" s="2">
        <v>43878.366574074069</v>
      </c>
      <c r="B15365" t="str">
        <f>HYPERLINK("https://twitter.com/TeddiHasan","@TeddiHasan")</f>
        <v>@TeddiHasan</v>
      </c>
      <c r="C15365" t="s">
        <v>7849</v>
      </c>
      <c r="D15365">
        <v>0</v>
      </c>
      <c r="E15365">
        <v>0</v>
      </c>
      <c r="F15365">
        <v>1690</v>
      </c>
    </row>
    <row r="15366" spans="1:6" ht="12.75">
      <c r="A15366" s="2">
        <v>43878.36655092593</v>
      </c>
      <c r="B15366" t="str">
        <f>HYPERLINK("https://twitter.com/riduwandaddu","@riduwandaddu")</f>
        <v>@riduwandaddu</v>
      </c>
      <c r="C15366" t="s">
        <v>7850</v>
      </c>
      <c r="D15366">
        <v>0</v>
      </c>
      <c r="E15366">
        <v>0</v>
      </c>
      <c r="F15366">
        <v>666</v>
      </c>
    </row>
    <row r="15367" spans="1:6" ht="12.75">
      <c r="A15367" s="2">
        <v>43878.366400462968</v>
      </c>
      <c r="B15367" t="str">
        <f>HYPERLINK("https://twitter.com/revolutia","@revolutia")</f>
        <v>@revolutia</v>
      </c>
      <c r="C15367" t="s">
        <v>7851</v>
      </c>
      <c r="D15367">
        <v>0</v>
      </c>
      <c r="E15367">
        <v>0</v>
      </c>
      <c r="F15367">
        <v>24535</v>
      </c>
    </row>
    <row r="15368" spans="1:6" ht="12.75">
      <c r="A15368" s="2">
        <v>43878.366018518514</v>
      </c>
      <c r="B15368" t="str">
        <f>HYPERLINK("https://twitter.com/uwie_real","@uwie_real")</f>
        <v>@uwie_real</v>
      </c>
      <c r="C15368" t="s">
        <v>6963</v>
      </c>
      <c r="D15368">
        <v>17</v>
      </c>
      <c r="E15368">
        <v>0</v>
      </c>
      <c r="F15368">
        <v>137</v>
      </c>
    </row>
    <row r="15369" spans="1:6" ht="12.75">
      <c r="A15369" s="2">
        <v>43878.366018518514</v>
      </c>
      <c r="B15369" t="str">
        <f>HYPERLINK("https://twitter.com/MoasPoer","@MoasPoer")</f>
        <v>@MoasPoer</v>
      </c>
      <c r="C15369" t="s">
        <v>6989</v>
      </c>
      <c r="D15369">
        <v>206</v>
      </c>
      <c r="E15369">
        <v>0</v>
      </c>
      <c r="F15369">
        <v>449</v>
      </c>
    </row>
    <row r="15370" spans="1:6" ht="12.75">
      <c r="A15370" s="2">
        <v>43878.365856481483</v>
      </c>
      <c r="B15370" t="str">
        <f>HYPERLINK("https://twitter.com/RvzBadrie","@RvzBadrie")</f>
        <v>@RvzBadrie</v>
      </c>
      <c r="C15370" t="s">
        <v>7852</v>
      </c>
      <c r="D15370">
        <v>0</v>
      </c>
      <c r="E15370">
        <v>0</v>
      </c>
      <c r="F15370">
        <v>290</v>
      </c>
    </row>
    <row r="15371" spans="1:6" ht="12.75">
      <c r="A15371" s="2">
        <v>43878.365578703699</v>
      </c>
      <c r="B15371" t="str">
        <f>HYPERLINK("https://twitter.com/Jhonadi11","@Jhonadi11")</f>
        <v>@Jhonadi11</v>
      </c>
      <c r="C15371" t="s">
        <v>6161</v>
      </c>
      <c r="D15371">
        <v>79</v>
      </c>
      <c r="E15371">
        <v>0</v>
      </c>
      <c r="F15371">
        <v>1083</v>
      </c>
    </row>
    <row r="15372" spans="1:6" ht="12.75">
      <c r="A15372" s="2">
        <v>43878.365451388891</v>
      </c>
      <c r="B15372" t="str">
        <f>HYPERLINK("https://twitter.com/31nanang","@31nanang")</f>
        <v>@31nanang</v>
      </c>
      <c r="C15372" t="s">
        <v>6989</v>
      </c>
      <c r="D15372">
        <v>206</v>
      </c>
      <c r="E15372">
        <v>0</v>
      </c>
      <c r="F15372">
        <v>329</v>
      </c>
    </row>
    <row r="15373" spans="1:6" ht="12.75">
      <c r="A15373" s="2">
        <v>43878.365370370375</v>
      </c>
      <c r="B15373" t="str">
        <f>HYPERLINK("https://twitter.com/syakirasyakir","@syakirasyakir")</f>
        <v>@syakirasyakir</v>
      </c>
      <c r="C15373" t="s">
        <v>7242</v>
      </c>
      <c r="D15373">
        <v>14</v>
      </c>
      <c r="E15373">
        <v>0</v>
      </c>
      <c r="F15373">
        <v>677</v>
      </c>
    </row>
    <row r="15374" spans="1:6" ht="12.75">
      <c r="A15374" s="2">
        <v>43878.365300925929</v>
      </c>
      <c r="B15374" t="str">
        <f>HYPERLINK("https://twitter.com/aidanurra","@aidanurra")</f>
        <v>@aidanurra</v>
      </c>
      <c r="C15374" t="s">
        <v>7734</v>
      </c>
      <c r="D15374">
        <v>38</v>
      </c>
      <c r="E15374">
        <v>0</v>
      </c>
      <c r="F15374">
        <v>169</v>
      </c>
    </row>
    <row r="15375" spans="1:6" ht="12.75">
      <c r="A15375" s="2">
        <v>43878.36519675926</v>
      </c>
      <c r="B15375" t="str">
        <f>HYPERLINK("https://twitter.com/PideksoRoyo1","@PideksoRoyo1")</f>
        <v>@PideksoRoyo1</v>
      </c>
      <c r="C15375" t="s">
        <v>7853</v>
      </c>
      <c r="D15375">
        <v>0</v>
      </c>
      <c r="E15375">
        <v>0</v>
      </c>
      <c r="F15375">
        <v>726</v>
      </c>
    </row>
    <row r="15376" spans="1:6" ht="12.75">
      <c r="A15376" s="2">
        <v>43878.365046296298</v>
      </c>
      <c r="B15376" t="str">
        <f>HYPERLINK("https://twitter.com/isis_whitehead","@isis_whitehead")</f>
        <v>@isis_whitehead</v>
      </c>
      <c r="C15376" t="s">
        <v>7854</v>
      </c>
      <c r="D15376">
        <v>0</v>
      </c>
      <c r="E15376">
        <v>2</v>
      </c>
      <c r="F15376">
        <v>3375</v>
      </c>
    </row>
    <row r="15377" spans="1:6" ht="12.75">
      <c r="A15377" s="2">
        <v>43878.364976851852</v>
      </c>
      <c r="B15377" t="str">
        <f>HYPERLINK("https://twitter.com/UrubingDilah","@UrubingDilah")</f>
        <v>@UrubingDilah</v>
      </c>
      <c r="C15377" t="s">
        <v>6161</v>
      </c>
      <c r="D15377">
        <v>79</v>
      </c>
      <c r="E15377">
        <v>0</v>
      </c>
      <c r="F15377">
        <v>1334</v>
      </c>
    </row>
    <row r="15378" spans="1:6" ht="12.75">
      <c r="A15378" s="2">
        <v>43878.364942129629</v>
      </c>
      <c r="B15378" t="str">
        <f>HYPERLINK("https://twitter.com/Pekanbarutuah","@Pekanbarutuah")</f>
        <v>@Pekanbarutuah</v>
      </c>
      <c r="C15378" t="s">
        <v>7855</v>
      </c>
      <c r="D15378">
        <v>0</v>
      </c>
      <c r="E15378">
        <v>0</v>
      </c>
      <c r="F15378">
        <v>1029</v>
      </c>
    </row>
    <row r="15379" spans="1:6" ht="12.75">
      <c r="A15379" s="2">
        <v>43878.364699074074</v>
      </c>
      <c r="B15379" t="str">
        <f>HYPERLINK("https://twitter.com/7abrik","@7abrik")</f>
        <v>@7abrik</v>
      </c>
      <c r="C15379" t="s">
        <v>6721</v>
      </c>
      <c r="D15379">
        <v>99</v>
      </c>
      <c r="E15379">
        <v>0</v>
      </c>
      <c r="F15379">
        <v>3751</v>
      </c>
    </row>
    <row r="15380" spans="1:6" ht="12.75">
      <c r="A15380" s="2">
        <v>43878.364247685182</v>
      </c>
      <c r="B15380" t="str">
        <f>HYPERLINK("https://twitter.com/kucintarebahan","@kucintarebahan")</f>
        <v>@kucintarebahan</v>
      </c>
      <c r="C15380" t="s">
        <v>6721</v>
      </c>
      <c r="D15380">
        <v>99</v>
      </c>
      <c r="E15380">
        <v>0</v>
      </c>
      <c r="F15380">
        <v>183</v>
      </c>
    </row>
    <row r="15381" spans="1:6" ht="12.75">
      <c r="A15381" s="2">
        <v>43878.363969907412</v>
      </c>
      <c r="B15381" t="str">
        <f>HYPERLINK("https://twitter.com/wd_nef","@wd_nef")</f>
        <v>@wd_nef</v>
      </c>
      <c r="C15381" t="s">
        <v>3340</v>
      </c>
      <c r="D15381">
        <v>13</v>
      </c>
      <c r="E15381">
        <v>0</v>
      </c>
      <c r="F15381">
        <v>561</v>
      </c>
    </row>
    <row r="15382" spans="1:6" ht="12.75">
      <c r="A15382" s="2">
        <v>43878.363935185189</v>
      </c>
      <c r="B15382" t="str">
        <f>HYPERLINK("https://twitter.com/XtoperFerry","@XtoperFerry")</f>
        <v>@XtoperFerry</v>
      </c>
      <c r="C15382" t="s">
        <v>6721</v>
      </c>
      <c r="D15382">
        <v>99</v>
      </c>
      <c r="E15382">
        <v>0</v>
      </c>
      <c r="F15382">
        <v>207</v>
      </c>
    </row>
    <row r="15383" spans="1:6" ht="12.75">
      <c r="A15383" s="2">
        <v>43878.363738425927</v>
      </c>
      <c r="B15383" t="str">
        <f>HYPERLINK("https://twitter.com/gusnur212","@gusnur212")</f>
        <v>@gusnur212</v>
      </c>
      <c r="C15383" t="s">
        <v>6989</v>
      </c>
      <c r="D15383">
        <v>206</v>
      </c>
      <c r="E15383">
        <v>0</v>
      </c>
      <c r="F15383">
        <v>588</v>
      </c>
    </row>
    <row r="15384" spans="1:6" ht="12.75">
      <c r="A15384" s="2">
        <v>43878.363726851851</v>
      </c>
      <c r="B15384" t="str">
        <f t="shared" ref="B15384:B15385" si="266">HYPERLINK("https://twitter.com/Suyoto_Sutiah","@Suyoto_Sutiah")</f>
        <v>@Suyoto_Sutiah</v>
      </c>
      <c r="C15384" t="s">
        <v>2963</v>
      </c>
      <c r="D15384">
        <v>1308</v>
      </c>
      <c r="E15384">
        <v>0</v>
      </c>
      <c r="F15384">
        <v>351</v>
      </c>
    </row>
    <row r="15385" spans="1:6" ht="12.75">
      <c r="A15385" s="2">
        <v>43878.363703703704</v>
      </c>
      <c r="B15385" t="str">
        <f t="shared" si="266"/>
        <v>@Suyoto_Sutiah</v>
      </c>
      <c r="C15385" t="s">
        <v>2147</v>
      </c>
      <c r="D15385">
        <v>552</v>
      </c>
      <c r="E15385">
        <v>0</v>
      </c>
      <c r="F15385">
        <v>351</v>
      </c>
    </row>
    <row r="15386" spans="1:6" ht="12.75">
      <c r="A15386" s="2">
        <v>43878.363680555558</v>
      </c>
      <c r="B15386" t="str">
        <f>HYPERLINK("https://twitter.com/J4lakBali","@J4lakBali")</f>
        <v>@J4lakBali</v>
      </c>
      <c r="C15386" t="s">
        <v>2106</v>
      </c>
      <c r="D15386">
        <v>15</v>
      </c>
      <c r="E15386">
        <v>0</v>
      </c>
      <c r="F15386">
        <v>2570</v>
      </c>
    </row>
    <row r="15387" spans="1:6" ht="12.75">
      <c r="A15387" s="2">
        <v>43878.363680555558</v>
      </c>
      <c r="B15387" t="str">
        <f>HYPERLINK("https://twitter.com/kebijakanfiscal","@kebijakanfiscal")</f>
        <v>@kebijakanfiscal</v>
      </c>
      <c r="C15387" t="s">
        <v>3340</v>
      </c>
      <c r="D15387">
        <v>13</v>
      </c>
      <c r="E15387">
        <v>0</v>
      </c>
      <c r="F15387">
        <v>2096</v>
      </c>
    </row>
    <row r="15388" spans="1:6" ht="12.75">
      <c r="A15388" s="2">
        <v>43878.363668981481</v>
      </c>
      <c r="B15388" t="str">
        <f>HYPERLINK("https://twitter.com/MHendratmoko","@MHendratmoko")</f>
        <v>@MHendratmoko</v>
      </c>
      <c r="C15388" t="s">
        <v>7856</v>
      </c>
      <c r="D15388">
        <v>0</v>
      </c>
      <c r="E15388">
        <v>0</v>
      </c>
      <c r="F15388">
        <v>64</v>
      </c>
    </row>
    <row r="15389" spans="1:6" ht="12.75">
      <c r="A15389" s="2">
        <v>43878.363622685181</v>
      </c>
      <c r="B15389" t="str">
        <f>HYPERLINK("https://twitter.com/muchyarr","@muchyarr")</f>
        <v>@muchyarr</v>
      </c>
      <c r="C15389" t="s">
        <v>6161</v>
      </c>
      <c r="D15389">
        <v>79</v>
      </c>
      <c r="E15389">
        <v>0</v>
      </c>
      <c r="F15389">
        <v>103</v>
      </c>
    </row>
    <row r="15390" spans="1:6" ht="12.75">
      <c r="A15390" s="2">
        <v>43878.363483796296</v>
      </c>
      <c r="B15390" t="str">
        <f>HYPERLINK("https://twitter.com/HrPuspita","@HrPuspita")</f>
        <v>@HrPuspita</v>
      </c>
      <c r="C15390" t="s">
        <v>6721</v>
      </c>
      <c r="D15390">
        <v>99</v>
      </c>
      <c r="E15390">
        <v>0</v>
      </c>
      <c r="F15390">
        <v>119</v>
      </c>
    </row>
    <row r="15391" spans="1:6" ht="12.75">
      <c r="A15391" s="2">
        <v>43878.363425925927</v>
      </c>
      <c r="B15391" t="str">
        <f>HYPERLINK("https://twitter.com/RRIPrograma3","@RRIPrograma3")</f>
        <v>@RRIPrograma3</v>
      </c>
      <c r="C15391" t="s">
        <v>7857</v>
      </c>
      <c r="D15391">
        <v>0</v>
      </c>
      <c r="E15391">
        <v>0</v>
      </c>
      <c r="F15391">
        <v>8717</v>
      </c>
    </row>
    <row r="15392" spans="1:6" ht="12.75">
      <c r="A15392" s="2">
        <v>43878.363402777773</v>
      </c>
      <c r="B15392" t="str">
        <f>HYPERLINK("https://twitter.com/bulansridevi","@bulansridevi")</f>
        <v>@bulansridevi</v>
      </c>
      <c r="C15392" t="s">
        <v>2144</v>
      </c>
      <c r="D15392">
        <v>108</v>
      </c>
      <c r="E15392">
        <v>0</v>
      </c>
      <c r="F15392">
        <v>1005</v>
      </c>
    </row>
    <row r="15393" spans="1:6" ht="12.75">
      <c r="A15393" s="2">
        <v>43878.363182870366</v>
      </c>
      <c r="B15393" t="str">
        <f>HYPERLINK("https://twitter.com/MonologeLLy_318","@MonologeLLy_318")</f>
        <v>@MonologeLLy_318</v>
      </c>
      <c r="C15393" t="s">
        <v>2674</v>
      </c>
      <c r="D15393">
        <v>49</v>
      </c>
      <c r="E15393">
        <v>0</v>
      </c>
      <c r="F15393">
        <v>1399</v>
      </c>
    </row>
    <row r="15394" spans="1:6" ht="12.75">
      <c r="A15394" s="2">
        <v>43878.362789351857</v>
      </c>
      <c r="B15394" t="str">
        <f>HYPERLINK("https://twitter.com/gariskhatulistw","@gariskhatulistw")</f>
        <v>@gariskhatulistw</v>
      </c>
      <c r="C15394" t="s">
        <v>6721</v>
      </c>
      <c r="D15394">
        <v>99</v>
      </c>
      <c r="E15394">
        <v>0</v>
      </c>
      <c r="F15394">
        <v>774</v>
      </c>
    </row>
    <row r="15395" spans="1:6" ht="12.75">
      <c r="A15395" s="2">
        <v>43878.362476851849</v>
      </c>
      <c r="B15395" t="str">
        <f>HYPERLINK("https://twitter.com/mediaindonesia","@mediaindonesia")</f>
        <v>@mediaindonesia</v>
      </c>
      <c r="C15395" t="s">
        <v>7858</v>
      </c>
      <c r="D15395">
        <v>0</v>
      </c>
      <c r="E15395">
        <v>1</v>
      </c>
      <c r="F15395">
        <v>1416426</v>
      </c>
    </row>
    <row r="15396" spans="1:6" ht="12.75">
      <c r="A15396" s="2">
        <v>43878.362442129626</v>
      </c>
      <c r="B15396" t="str">
        <f>HYPERLINK("https://twitter.com/zweetchild","@zweetchild")</f>
        <v>@zweetchild</v>
      </c>
      <c r="C15396" t="s">
        <v>6161</v>
      </c>
      <c r="D15396">
        <v>79</v>
      </c>
      <c r="E15396">
        <v>0</v>
      </c>
      <c r="F15396">
        <v>30</v>
      </c>
    </row>
    <row r="15397" spans="1:6" ht="12.75">
      <c r="A15397" s="2">
        <v>43878.362210648149</v>
      </c>
      <c r="B15397" t="str">
        <f>HYPERLINK("https://twitter.com/heintje_han","@heintje_han")</f>
        <v>@heintje_han</v>
      </c>
      <c r="C15397" t="s">
        <v>6721</v>
      </c>
      <c r="D15397">
        <v>99</v>
      </c>
      <c r="E15397">
        <v>0</v>
      </c>
      <c r="F15397">
        <v>236</v>
      </c>
    </row>
    <row r="15398" spans="1:6" ht="12.75">
      <c r="A15398" s="2">
        <v>43878.361817129626</v>
      </c>
      <c r="B15398" t="str">
        <f>HYPERLINK("https://twitter.com/__MV_llestari__","@__MV_llestari__")</f>
        <v>@__MV_llestari__</v>
      </c>
      <c r="C15398" t="s">
        <v>7859</v>
      </c>
      <c r="D15398">
        <v>1</v>
      </c>
      <c r="E15398">
        <v>0</v>
      </c>
      <c r="F15398">
        <v>8078</v>
      </c>
    </row>
    <row r="15399" spans="1:6" ht="12.75">
      <c r="A15399" s="2">
        <v>43878.361724537041</v>
      </c>
      <c r="B15399" t="str">
        <f>HYPERLINK("https://twitter.com/syakirasyakir","@syakirasyakir")</f>
        <v>@syakirasyakir</v>
      </c>
      <c r="C15399" t="s">
        <v>7860</v>
      </c>
      <c r="D15399">
        <v>0</v>
      </c>
      <c r="E15399">
        <v>0</v>
      </c>
      <c r="F15399">
        <v>677</v>
      </c>
    </row>
    <row r="15400" spans="1:6" ht="12.75">
      <c r="A15400" s="2">
        <v>43878.361689814818</v>
      </c>
      <c r="B15400" t="str">
        <f>HYPERLINK("https://twitter.com/AriePutraWijay1","@AriePutraWijay1")</f>
        <v>@AriePutraWijay1</v>
      </c>
      <c r="C15400" t="s">
        <v>6161</v>
      </c>
      <c r="D15400">
        <v>79</v>
      </c>
      <c r="E15400">
        <v>0</v>
      </c>
      <c r="F15400">
        <v>129</v>
      </c>
    </row>
    <row r="15401" spans="1:6" ht="12.75">
      <c r="A15401" s="2">
        <v>43878.361666666664</v>
      </c>
      <c r="B15401" t="str">
        <f>HYPERLINK("https://twitter.com/BPop4ever","@BPop4ever")</f>
        <v>@BPop4ever</v>
      </c>
      <c r="C15401" t="s">
        <v>6989</v>
      </c>
      <c r="D15401">
        <v>206</v>
      </c>
      <c r="E15401">
        <v>0</v>
      </c>
      <c r="F15401">
        <v>78</v>
      </c>
    </row>
    <row r="15402" spans="1:6" ht="12.75">
      <c r="A15402" s="2">
        <v>43878.36146990741</v>
      </c>
      <c r="B15402" t="str">
        <f>HYPERLINK("https://twitter.com/Munny_heka","@Munny_heka")</f>
        <v>@Munny_heka</v>
      </c>
      <c r="C15402" t="s">
        <v>7861</v>
      </c>
      <c r="D15402">
        <v>0</v>
      </c>
      <c r="E15402">
        <v>0</v>
      </c>
      <c r="F15402">
        <v>161</v>
      </c>
    </row>
    <row r="15403" spans="1:6" ht="12.75">
      <c r="A15403" s="2">
        <v>43878.361331018517</v>
      </c>
      <c r="B15403" t="str">
        <f>HYPERLINK("https://twitter.com/UrubingDilah","@UrubingDilah")</f>
        <v>@UrubingDilah</v>
      </c>
      <c r="C15403" t="s">
        <v>2106</v>
      </c>
      <c r="D15403">
        <v>15</v>
      </c>
      <c r="E15403">
        <v>0</v>
      </c>
      <c r="F15403">
        <v>1334</v>
      </c>
    </row>
    <row r="15404" spans="1:6" ht="12.75">
      <c r="A15404" s="2">
        <v>43878.361087962963</v>
      </c>
      <c r="B15404" t="str">
        <f>HYPERLINK("https://twitter.com/SAWUNGLANANG","@SAWUNGLANANG")</f>
        <v>@SAWUNGLANANG</v>
      </c>
      <c r="C15404" t="s">
        <v>7862</v>
      </c>
      <c r="D15404">
        <v>1</v>
      </c>
      <c r="E15404">
        <v>2</v>
      </c>
      <c r="F15404">
        <v>47</v>
      </c>
    </row>
    <row r="15405" spans="1:6" ht="12.75">
      <c r="A15405" s="2">
        <v>43878.334918981476</v>
      </c>
      <c r="B15405" t="str">
        <f>HYPERLINK("https://twitter.com/JalanLuru5","@JalanLuru5")</f>
        <v>@JalanLuru5</v>
      </c>
      <c r="C15405" t="s">
        <v>6721</v>
      </c>
      <c r="D15405">
        <v>1</v>
      </c>
      <c r="E15405">
        <v>0</v>
      </c>
      <c r="F15405">
        <v>132</v>
      </c>
    </row>
    <row r="15406" spans="1:6" ht="12.75">
      <c r="A15406" s="2">
        <v>43878.334861111114</v>
      </c>
      <c r="B15406" t="str">
        <f>HYPERLINK("https://twitter.com/mpitryani","@mpitryani")</f>
        <v>@mpitryani</v>
      </c>
      <c r="C15406" t="s">
        <v>7298</v>
      </c>
      <c r="D15406">
        <v>85</v>
      </c>
      <c r="E15406">
        <v>0</v>
      </c>
      <c r="F15406">
        <v>234</v>
      </c>
    </row>
    <row r="15407" spans="1:6" ht="12.75">
      <c r="A15407" s="2">
        <v>43878.334710648152</v>
      </c>
      <c r="B15407" t="str">
        <f>HYPERLINK("https://twitter.com/ajibudi_er","@ajibudi_er")</f>
        <v>@ajibudi_er</v>
      </c>
      <c r="C15407" t="s">
        <v>6161</v>
      </c>
      <c r="D15407">
        <v>12</v>
      </c>
      <c r="E15407">
        <v>0</v>
      </c>
      <c r="F15407">
        <v>3199</v>
      </c>
    </row>
    <row r="15408" spans="1:6" ht="12.75">
      <c r="A15408" s="2">
        <v>43878.33458333333</v>
      </c>
      <c r="B15408" t="str">
        <f>HYPERLINK("https://twitter.com/MrsRachelIn","@MrsRachelIn")</f>
        <v>@MrsRachelIn</v>
      </c>
      <c r="C15408" t="s">
        <v>7863</v>
      </c>
      <c r="D15408">
        <v>0</v>
      </c>
      <c r="E15408">
        <v>0</v>
      </c>
      <c r="F15408">
        <v>3133</v>
      </c>
    </row>
    <row r="15409" spans="1:6" ht="12.75">
      <c r="A15409" s="2">
        <v>43878.334282407406</v>
      </c>
      <c r="B15409" t="str">
        <f>HYPERLINK("https://twitter.com/HidayatMuhamad3","@HidayatMuhamad3")</f>
        <v>@HidayatMuhamad3</v>
      </c>
      <c r="C15409" t="s">
        <v>2147</v>
      </c>
      <c r="D15409">
        <v>550</v>
      </c>
      <c r="E15409">
        <v>0</v>
      </c>
      <c r="F15409">
        <v>452</v>
      </c>
    </row>
    <row r="15410" spans="1:6" ht="12.75">
      <c r="A15410" s="2">
        <v>43878.334074074075</v>
      </c>
      <c r="B15410" t="str">
        <f>HYPERLINK("https://twitter.com/bekchoy","@bekchoy")</f>
        <v>@bekchoy</v>
      </c>
      <c r="C15410" t="s">
        <v>6161</v>
      </c>
      <c r="D15410">
        <v>12</v>
      </c>
      <c r="E15410">
        <v>0</v>
      </c>
      <c r="F15410">
        <v>144</v>
      </c>
    </row>
    <row r="15411" spans="1:6" ht="12.75">
      <c r="A15411" s="2">
        <v>43878.334050925929</v>
      </c>
      <c r="B15411" t="str">
        <f>HYPERLINK("https://twitter.com/Maulida42410037","@Maulida42410037")</f>
        <v>@Maulida42410037</v>
      </c>
      <c r="C15411" t="s">
        <v>6161</v>
      </c>
      <c r="D15411">
        <v>12</v>
      </c>
      <c r="E15411">
        <v>0</v>
      </c>
      <c r="F15411">
        <v>57</v>
      </c>
    </row>
    <row r="15412" spans="1:6" ht="12.75">
      <c r="A15412" s="2">
        <v>43878.333587962959</v>
      </c>
      <c r="B15412" t="str">
        <f>HYPERLINK("https://twitter.com/awibowo___","@awibowo___")</f>
        <v>@awibowo___</v>
      </c>
      <c r="C15412" t="s">
        <v>7864</v>
      </c>
      <c r="D15412">
        <v>2</v>
      </c>
      <c r="E15412">
        <v>0</v>
      </c>
      <c r="F15412">
        <v>31</v>
      </c>
    </row>
    <row r="15413" spans="1:6" ht="12.75">
      <c r="A15413" s="2">
        <v>43878.333437499998</v>
      </c>
      <c r="B15413" t="str">
        <f>HYPERLINK("https://twitter.com/johns00000","@johns00000")</f>
        <v>@johns00000</v>
      </c>
      <c r="C15413" t="s">
        <v>7865</v>
      </c>
      <c r="D15413">
        <v>1</v>
      </c>
      <c r="E15413">
        <v>0</v>
      </c>
      <c r="F15413">
        <v>1463</v>
      </c>
    </row>
    <row r="15414" spans="1:6" ht="12.75">
      <c r="A15414" s="2">
        <v>43878.333368055552</v>
      </c>
      <c r="B15414" t="str">
        <f>HYPERLINK("https://twitter.com/DeniSuryadani","@DeniSuryadani")</f>
        <v>@DeniSuryadani</v>
      </c>
      <c r="C15414" t="s">
        <v>7866</v>
      </c>
      <c r="D15414">
        <v>10</v>
      </c>
      <c r="E15414">
        <v>0</v>
      </c>
      <c r="F15414">
        <v>792</v>
      </c>
    </row>
    <row r="15415" spans="1:6" ht="12.75">
      <c r="A15415" s="2">
        <v>43878.333344907413</v>
      </c>
      <c r="B15415" t="str">
        <f>HYPERLINK("https://twitter.com/WijayaHerny","@WijayaHerny")</f>
        <v>@WijayaHerny</v>
      </c>
      <c r="C15415" t="s">
        <v>2674</v>
      </c>
      <c r="D15415">
        <v>40</v>
      </c>
      <c r="E15415">
        <v>0</v>
      </c>
      <c r="F15415">
        <v>26</v>
      </c>
    </row>
    <row r="15416" spans="1:6" ht="12.75">
      <c r="A15416" s="2">
        <v>43878.333333333328</v>
      </c>
      <c r="B15416" t="str">
        <f>HYPERLINK("https://twitter.com/TirtoID","@TirtoID")</f>
        <v>@TirtoID</v>
      </c>
      <c r="C15416" t="s">
        <v>7867</v>
      </c>
      <c r="D15416">
        <v>1</v>
      </c>
      <c r="E15416">
        <v>14</v>
      </c>
      <c r="F15416">
        <v>479578</v>
      </c>
    </row>
    <row r="15417" spans="1:6" ht="12.75">
      <c r="A15417" s="2">
        <v>43878.33326388889</v>
      </c>
      <c r="B15417" t="str">
        <f>HYPERLINK("https://twitter.com/Fanny_Oktaviana","@Fanny_Oktaviana")</f>
        <v>@Fanny_Oktaviana</v>
      </c>
      <c r="C15417" t="s">
        <v>7868</v>
      </c>
      <c r="D15417">
        <v>3</v>
      </c>
      <c r="E15417">
        <v>0</v>
      </c>
      <c r="F15417">
        <v>2331</v>
      </c>
    </row>
    <row r="15418" spans="1:6" ht="12.75">
      <c r="A15418" s="2">
        <v>43878.333113425921</v>
      </c>
      <c r="B15418" t="str">
        <f>HYPERLINK("https://twitter.com/Chikiajadong","@Chikiajadong")</f>
        <v>@Chikiajadong</v>
      </c>
      <c r="C15418" t="s">
        <v>6161</v>
      </c>
      <c r="D15418">
        <v>12</v>
      </c>
      <c r="E15418">
        <v>0</v>
      </c>
      <c r="F15418">
        <v>456</v>
      </c>
    </row>
    <row r="15419" spans="1:6" ht="12.75">
      <c r="A15419" s="2">
        <v>43878.333067129628</v>
      </c>
      <c r="B15419" t="str">
        <f>HYPERLINK("https://twitter.com/aninditaairin1","@aninditaairin1")</f>
        <v>@aninditaairin1</v>
      </c>
      <c r="C15419" t="s">
        <v>6161</v>
      </c>
      <c r="D15419">
        <v>12</v>
      </c>
      <c r="E15419">
        <v>0</v>
      </c>
      <c r="F15419">
        <v>1011</v>
      </c>
    </row>
    <row r="15420" spans="1:6" ht="12.75">
      <c r="A15420" s="2">
        <v>43878.33284722222</v>
      </c>
      <c r="B15420" t="str">
        <f>HYPERLINK("https://twitter.com/AjieKlowor","@AjieKlowor")</f>
        <v>@AjieKlowor</v>
      </c>
      <c r="C15420" t="s">
        <v>6161</v>
      </c>
      <c r="D15420">
        <v>12</v>
      </c>
      <c r="E15420">
        <v>0</v>
      </c>
      <c r="F15420">
        <v>962</v>
      </c>
    </row>
    <row r="15421" spans="1:6" ht="12.75">
      <c r="A15421" s="2">
        <v>43878.332800925928</v>
      </c>
      <c r="B15421" t="str">
        <f>HYPERLINK("https://twitter.com/CahJywe","@CahJywe")</f>
        <v>@CahJywe</v>
      </c>
      <c r="C15421" t="s">
        <v>6161</v>
      </c>
      <c r="D15421">
        <v>12</v>
      </c>
      <c r="E15421">
        <v>0</v>
      </c>
      <c r="F15421">
        <v>2185</v>
      </c>
    </row>
    <row r="15422" spans="1:6" ht="12.75">
      <c r="A15422" s="2">
        <v>43878.332743055551</v>
      </c>
      <c r="B15422" t="str">
        <f>HYPERLINK("https://twitter.com/graveyardblues_","@graveyardblues_")</f>
        <v>@graveyardblues_</v>
      </c>
      <c r="C15422" t="s">
        <v>7869</v>
      </c>
      <c r="D15422">
        <v>0</v>
      </c>
      <c r="E15422">
        <v>0</v>
      </c>
      <c r="F15422">
        <v>4501</v>
      </c>
    </row>
    <row r="15423" spans="1:6" ht="12.75">
      <c r="A15423" s="2">
        <v>43878.332696759258</v>
      </c>
      <c r="B15423" t="str">
        <f>HYPERLINK("https://twitter.com/Leoherlambang12","@Leoherlambang12")</f>
        <v>@Leoherlambang12</v>
      </c>
      <c r="C15423" t="s">
        <v>2106</v>
      </c>
      <c r="D15423">
        <v>12</v>
      </c>
      <c r="E15423">
        <v>0</v>
      </c>
      <c r="F15423">
        <v>75</v>
      </c>
    </row>
    <row r="15424" spans="1:6" ht="12.75">
      <c r="A15424" s="2">
        <v>43878.332546296297</v>
      </c>
      <c r="B15424" t="str">
        <f>HYPERLINK("https://twitter.com/ghosty491","@ghosty491")</f>
        <v>@ghosty491</v>
      </c>
      <c r="C15424" t="s">
        <v>6161</v>
      </c>
      <c r="D15424">
        <v>12</v>
      </c>
      <c r="E15424">
        <v>0</v>
      </c>
      <c r="F15424">
        <v>122</v>
      </c>
    </row>
    <row r="15425" spans="1:6" ht="12.75">
      <c r="A15425" s="2">
        <v>43878.332245370373</v>
      </c>
      <c r="B15425" t="str">
        <f>HYPERLINK("https://twitter.com/gunoto7","@gunoto7")</f>
        <v>@gunoto7</v>
      </c>
      <c r="C15425" t="s">
        <v>6161</v>
      </c>
      <c r="D15425">
        <v>12</v>
      </c>
      <c r="E15425">
        <v>0</v>
      </c>
      <c r="F15425">
        <v>2738</v>
      </c>
    </row>
    <row r="15426" spans="1:6" ht="12.75">
      <c r="A15426" s="2">
        <v>43878.331770833334</v>
      </c>
      <c r="B15426" t="str">
        <f>HYPERLINK("https://twitter.com/MasKhayat","@MasKhayat")</f>
        <v>@MasKhayat</v>
      </c>
      <c r="C15426" t="s">
        <v>6161</v>
      </c>
      <c r="D15426">
        <v>12</v>
      </c>
      <c r="E15426">
        <v>0</v>
      </c>
      <c r="F15426">
        <v>81</v>
      </c>
    </row>
    <row r="15427" spans="1:6" ht="12.75">
      <c r="A15427" s="2">
        <v>43878.330983796295</v>
      </c>
      <c r="B15427" t="str">
        <f>HYPERLINK("https://twitter.com/dean3th","@dean3th")</f>
        <v>@dean3th</v>
      </c>
      <c r="C15427" t="s">
        <v>2674</v>
      </c>
      <c r="D15427">
        <v>40</v>
      </c>
      <c r="E15427">
        <v>0</v>
      </c>
      <c r="F15427">
        <v>411</v>
      </c>
    </row>
    <row r="15428" spans="1:6" ht="12.75">
      <c r="A15428" s="2">
        <v>43878.330775462964</v>
      </c>
      <c r="B15428" t="str">
        <f>HYPERLINK("https://twitter.com/punkerokan","@punkerokan")</f>
        <v>@punkerokan</v>
      </c>
      <c r="C15428" t="s">
        <v>7699</v>
      </c>
      <c r="D15428">
        <v>0</v>
      </c>
      <c r="E15428">
        <v>0</v>
      </c>
      <c r="F15428">
        <v>13</v>
      </c>
    </row>
    <row r="15429" spans="1:6" ht="12.75">
      <c r="A15429" s="2">
        <v>43878.330775462964</v>
      </c>
      <c r="B15429" t="str">
        <f>HYPERLINK("https://twitter.com/wahhabicc_jabar","@wahhabicc_jabar")</f>
        <v>@wahhabicc_jabar</v>
      </c>
      <c r="C15429" t="s">
        <v>7870</v>
      </c>
      <c r="D15429">
        <v>12</v>
      </c>
      <c r="E15429">
        <v>27</v>
      </c>
      <c r="F15429">
        <v>30247</v>
      </c>
    </row>
    <row r="15430" spans="1:6" ht="12.75">
      <c r="A15430" s="2">
        <v>43878.330277777779</v>
      </c>
      <c r="B15430" t="str">
        <f>HYPERLINK("https://twitter.com/minhyunsc","@minhyunsc")</f>
        <v>@minhyunsc</v>
      </c>
      <c r="C15430" t="s">
        <v>7701</v>
      </c>
      <c r="D15430">
        <v>0</v>
      </c>
      <c r="E15430">
        <v>0</v>
      </c>
      <c r="F15430">
        <v>7536</v>
      </c>
    </row>
    <row r="15431" spans="1:6" ht="12.75">
      <c r="A15431" s="2">
        <v>43878.330011574071</v>
      </c>
      <c r="B15431" t="str">
        <f>HYPERLINK("https://twitter.com/MamadKhan171177","@MamadKhan171177")</f>
        <v>@MamadKhan171177</v>
      </c>
      <c r="C15431" t="s">
        <v>7871</v>
      </c>
      <c r="D15431">
        <v>0</v>
      </c>
      <c r="E15431">
        <v>0</v>
      </c>
      <c r="F15431">
        <v>0</v>
      </c>
    </row>
    <row r="15432" spans="1:6" ht="12.75">
      <c r="A15432" s="2">
        <v>43878.329861111109</v>
      </c>
      <c r="B15432" t="str">
        <f>HYPERLINK("https://twitter.com/Bubut871","@Bubut871")</f>
        <v>@Bubut871</v>
      </c>
      <c r="C15432" t="s">
        <v>7298</v>
      </c>
      <c r="D15432">
        <v>85</v>
      </c>
      <c r="E15432">
        <v>0</v>
      </c>
      <c r="F15432">
        <v>1630</v>
      </c>
    </row>
    <row r="15433" spans="1:6" ht="12.75">
      <c r="A15433" s="2">
        <v>43878.328773148147</v>
      </c>
      <c r="B15433" t="str">
        <f>HYPERLINK("https://twitter.com/yoojungmu","@yoojungmu")</f>
        <v>@yoojungmu</v>
      </c>
      <c r="C15433" t="s">
        <v>7872</v>
      </c>
      <c r="D15433">
        <v>0</v>
      </c>
      <c r="E15433">
        <v>0</v>
      </c>
      <c r="F15433">
        <v>8643</v>
      </c>
    </row>
    <row r="15434" spans="1:6" ht="12.75">
      <c r="A15434" s="2">
        <v>43878.328773148147</v>
      </c>
      <c r="B15434" t="str">
        <f>HYPERLINK("https://twitter.com/Lasupu_0472","@Lasupu_0472")</f>
        <v>@Lasupu_0472</v>
      </c>
      <c r="C15434" t="s">
        <v>7195</v>
      </c>
      <c r="D15434">
        <v>12</v>
      </c>
      <c r="E15434">
        <v>0</v>
      </c>
      <c r="F15434">
        <v>184</v>
      </c>
    </row>
    <row r="15435" spans="1:6" ht="12.75">
      <c r="A15435" s="2">
        <v>43878.328738425931</v>
      </c>
      <c r="B15435" t="str">
        <f>HYPERLINK("https://twitter.com/DimasyFermana","@DimasyFermana")</f>
        <v>@DimasyFermana</v>
      </c>
      <c r="C15435" t="s">
        <v>3396</v>
      </c>
      <c r="D15435">
        <v>46</v>
      </c>
      <c r="E15435">
        <v>0</v>
      </c>
      <c r="F15435">
        <v>1547</v>
      </c>
    </row>
    <row r="15436" spans="1:6" ht="12.75">
      <c r="A15436" s="2">
        <v>43878.328611111108</v>
      </c>
      <c r="B15436" t="str">
        <f>HYPERLINK("https://twitter.com/denisday23","@denisday23")</f>
        <v>@denisday23</v>
      </c>
      <c r="C15436" t="s">
        <v>6338</v>
      </c>
      <c r="D15436">
        <v>780</v>
      </c>
      <c r="E15436">
        <v>0</v>
      </c>
      <c r="F15436">
        <v>18</v>
      </c>
    </row>
    <row r="15437" spans="1:6" ht="12.75">
      <c r="A15437" s="2">
        <v>43878.328449074077</v>
      </c>
      <c r="B15437" t="str">
        <f>HYPERLINK("https://twitter.com/WinarsihParis","@WinarsihParis")</f>
        <v>@WinarsihParis</v>
      </c>
      <c r="C15437" t="s">
        <v>7873</v>
      </c>
      <c r="D15437">
        <v>0</v>
      </c>
      <c r="E15437">
        <v>0</v>
      </c>
      <c r="F15437">
        <v>93</v>
      </c>
    </row>
    <row r="15438" spans="1:6" ht="12.75">
      <c r="A15438" s="2">
        <v>43878.328171296293</v>
      </c>
      <c r="B15438" t="str">
        <f>HYPERLINK("https://twitter.com/HonorerPejuang","@HonorerPejuang")</f>
        <v>@HonorerPejuang</v>
      </c>
      <c r="C15438" t="s">
        <v>7734</v>
      </c>
      <c r="D15438">
        <v>36</v>
      </c>
      <c r="E15438">
        <v>0</v>
      </c>
      <c r="F15438">
        <v>48</v>
      </c>
    </row>
    <row r="15439" spans="1:6" ht="12.75">
      <c r="A15439" s="2">
        <v>43878.328055555554</v>
      </c>
      <c r="B15439" t="str">
        <f>HYPERLINK("https://twitter.com/PutraJaguar8","@PutraJaguar8")</f>
        <v>@PutraJaguar8</v>
      </c>
      <c r="C15439" t="s">
        <v>7699</v>
      </c>
      <c r="D15439">
        <v>0</v>
      </c>
      <c r="E15439">
        <v>0</v>
      </c>
      <c r="F15439">
        <v>2</v>
      </c>
    </row>
    <row r="15440" spans="1:6" ht="12.75">
      <c r="A15440" s="2">
        <v>43878.327905092592</v>
      </c>
      <c r="B15440" t="str">
        <f>HYPERLINK("https://twitter.com/yoojungmu","@yoojungmu")</f>
        <v>@yoojungmu</v>
      </c>
      <c r="C15440" t="s">
        <v>7874</v>
      </c>
      <c r="D15440">
        <v>0</v>
      </c>
      <c r="E15440">
        <v>0</v>
      </c>
      <c r="F15440">
        <v>8643</v>
      </c>
    </row>
    <row r="15441" spans="1:6" ht="12.75">
      <c r="A15441" s="2">
        <v>43878.327870370369</v>
      </c>
      <c r="B15441" t="str">
        <f>HYPERLINK("https://twitter.com/arfaniearbi","@arfaniearbi")</f>
        <v>@arfaniearbi</v>
      </c>
      <c r="C15441" t="s">
        <v>7875</v>
      </c>
      <c r="D15441">
        <v>0</v>
      </c>
      <c r="E15441">
        <v>0</v>
      </c>
      <c r="F15441">
        <v>363</v>
      </c>
    </row>
    <row r="15442" spans="1:6" ht="12.75">
      <c r="A15442" s="2">
        <v>43878.327650462961</v>
      </c>
      <c r="B15442" t="str">
        <f>HYPERLINK("https://twitter.com/yana_udiyatna","@yana_udiyatna")</f>
        <v>@yana_udiyatna</v>
      </c>
      <c r="C15442" t="s">
        <v>2674</v>
      </c>
      <c r="D15442">
        <v>40</v>
      </c>
      <c r="E15442">
        <v>0</v>
      </c>
      <c r="F15442">
        <v>3040</v>
      </c>
    </row>
    <row r="15443" spans="1:6" ht="12.75">
      <c r="A15443" s="2">
        <v>43878.326874999999</v>
      </c>
      <c r="B15443" t="str">
        <f>HYPERLINK("https://twitter.com/erdobani","@erdobani")</f>
        <v>@erdobani</v>
      </c>
      <c r="C15443" t="s">
        <v>7733</v>
      </c>
      <c r="D15443">
        <v>0</v>
      </c>
      <c r="E15443">
        <v>0</v>
      </c>
      <c r="F15443">
        <v>104</v>
      </c>
    </row>
    <row r="15444" spans="1:6" ht="12.75">
      <c r="A15444" s="2">
        <v>43878.326608796298</v>
      </c>
      <c r="B15444" t="str">
        <f>HYPERLINK("https://twitter.com/Apakao3","@Apakao3")</f>
        <v>@Apakao3</v>
      </c>
      <c r="C15444" t="s">
        <v>7876</v>
      </c>
      <c r="D15444">
        <v>74</v>
      </c>
      <c r="E15444">
        <v>0</v>
      </c>
      <c r="F15444">
        <v>281</v>
      </c>
    </row>
    <row r="15445" spans="1:6" ht="12.75">
      <c r="A15445" s="2">
        <v>43878.326597222222</v>
      </c>
      <c r="B15445" t="str">
        <f>HYPERLINK("https://twitter.com/yoojungmu","@yoojungmu")</f>
        <v>@yoojungmu</v>
      </c>
      <c r="C15445" t="s">
        <v>7733</v>
      </c>
      <c r="D15445">
        <v>0</v>
      </c>
      <c r="E15445">
        <v>0</v>
      </c>
      <c r="F15445">
        <v>8643</v>
      </c>
    </row>
    <row r="15446" spans="1:6" ht="12.75">
      <c r="A15446" s="2">
        <v>43878.326527777783</v>
      </c>
      <c r="B15446" t="str">
        <f>HYPERLINK("https://twitter.com/P_Eneste","@P_Eneste")</f>
        <v>@P_Eneste</v>
      </c>
      <c r="C15446" t="s">
        <v>7877</v>
      </c>
      <c r="D15446">
        <v>0</v>
      </c>
      <c r="E15446">
        <v>0</v>
      </c>
      <c r="F15446">
        <v>1361</v>
      </c>
    </row>
    <row r="15447" spans="1:6" ht="12.75">
      <c r="A15447" s="2">
        <v>43878.326203703706</v>
      </c>
      <c r="B15447" t="str">
        <f>HYPERLINK("https://twitter.com/idntimes","@idntimes")</f>
        <v>@idntimes</v>
      </c>
      <c r="C15447" t="s">
        <v>7878</v>
      </c>
      <c r="D15447">
        <v>0</v>
      </c>
      <c r="E15447">
        <v>0</v>
      </c>
      <c r="F15447">
        <v>392867</v>
      </c>
    </row>
    <row r="15448" spans="1:6" ht="12.75">
      <c r="A15448" s="2">
        <v>43878.326087962967</v>
      </c>
      <c r="B15448" t="str">
        <f>HYPERLINK("https://twitter.com/minhyunsc","@minhyunsc")</f>
        <v>@minhyunsc</v>
      </c>
      <c r="C15448" t="s">
        <v>7879</v>
      </c>
      <c r="D15448">
        <v>0</v>
      </c>
      <c r="E15448">
        <v>0</v>
      </c>
      <c r="F15448">
        <v>7536</v>
      </c>
    </row>
    <row r="15449" spans="1:6" ht="12.75">
      <c r="A15449" s="2">
        <v>43878.325821759259</v>
      </c>
      <c r="B15449" t="str">
        <f>HYPERLINK("https://twitter.com/PutraJaguar8","@PutraJaguar8")</f>
        <v>@PutraJaguar8</v>
      </c>
      <c r="C15449" t="s">
        <v>7872</v>
      </c>
      <c r="D15449">
        <v>0</v>
      </c>
      <c r="E15449">
        <v>0</v>
      </c>
      <c r="F15449">
        <v>2</v>
      </c>
    </row>
    <row r="15450" spans="1:6" ht="12.75">
      <c r="A15450" s="2">
        <v>43878.325740740736</v>
      </c>
      <c r="B15450" t="str">
        <f>HYPERLINK("https://twitter.com/jerry_gemini","@jerry_gemini")</f>
        <v>@jerry_gemini</v>
      </c>
      <c r="C15450" t="s">
        <v>7880</v>
      </c>
      <c r="D15450">
        <v>1</v>
      </c>
      <c r="E15450">
        <v>0</v>
      </c>
      <c r="F15450">
        <v>1669</v>
      </c>
    </row>
    <row r="15451" spans="1:6" ht="12.75">
      <c r="A15451" s="2">
        <v>43878.325208333335</v>
      </c>
      <c r="B15451" t="str">
        <f>HYPERLINK("https://twitter.com/RidwanRoti","@RidwanRoti")</f>
        <v>@RidwanRoti</v>
      </c>
      <c r="C15451" t="s">
        <v>7881</v>
      </c>
      <c r="D15451">
        <v>0</v>
      </c>
      <c r="E15451">
        <v>0</v>
      </c>
      <c r="F15451">
        <v>124</v>
      </c>
    </row>
    <row r="15452" spans="1:6" ht="12.75">
      <c r="A15452" s="2">
        <v>43878.324965277774</v>
      </c>
      <c r="B15452" t="str">
        <f>HYPERLINK("https://twitter.com/beirone","@beirone")</f>
        <v>@beirone</v>
      </c>
      <c r="C15452" t="s">
        <v>7882</v>
      </c>
      <c r="D15452">
        <v>0</v>
      </c>
      <c r="E15452">
        <v>0</v>
      </c>
      <c r="F15452">
        <v>3888</v>
      </c>
    </row>
    <row r="15453" spans="1:6" ht="12.75">
      <c r="A15453" s="2">
        <v>43878.324930555551</v>
      </c>
      <c r="B15453" t="str">
        <f>HYPERLINK("https://twitter.com/yoojungmu","@yoojungmu")</f>
        <v>@yoojungmu</v>
      </c>
      <c r="C15453" t="s">
        <v>7881</v>
      </c>
      <c r="D15453">
        <v>0</v>
      </c>
      <c r="E15453">
        <v>0</v>
      </c>
      <c r="F15453">
        <v>8643</v>
      </c>
    </row>
    <row r="15454" spans="1:6" ht="12.75">
      <c r="A15454" s="2">
        <v>43878.324722222227</v>
      </c>
      <c r="B15454" t="str">
        <f>HYPERLINK("https://twitter.com/Nusantara_TV","@Nusantara_TV")</f>
        <v>@Nusantara_TV</v>
      </c>
      <c r="C15454" t="s">
        <v>7883</v>
      </c>
      <c r="D15454">
        <v>0</v>
      </c>
      <c r="E15454">
        <v>0</v>
      </c>
      <c r="F15454">
        <v>491</v>
      </c>
    </row>
    <row r="15455" spans="1:6" ht="12.75">
      <c r="A15455" s="2">
        <v>43878.324548611112</v>
      </c>
      <c r="B15455" t="str">
        <f>HYPERLINK("https://twitter.com/cameliaria1","@cameliaria1")</f>
        <v>@cameliaria1</v>
      </c>
      <c r="C15455" t="s">
        <v>7701</v>
      </c>
      <c r="D15455">
        <v>0</v>
      </c>
      <c r="E15455">
        <v>0</v>
      </c>
      <c r="F15455">
        <v>52</v>
      </c>
    </row>
    <row r="15456" spans="1:6" ht="12.75">
      <c r="A15456" s="2">
        <v>43878.324270833335</v>
      </c>
      <c r="B15456" t="str">
        <f>HYPERLINK("https://twitter.com/TahuPedas7","@TahuPedas7")</f>
        <v>@TahuPedas7</v>
      </c>
      <c r="C15456" t="s">
        <v>7711</v>
      </c>
      <c r="D15456">
        <v>0</v>
      </c>
      <c r="E15456">
        <v>0</v>
      </c>
      <c r="F15456">
        <v>91</v>
      </c>
    </row>
    <row r="15457" spans="1:6" ht="12.75">
      <c r="A15457" s="2">
        <v>43878.324189814812</v>
      </c>
      <c r="B15457" t="str">
        <f>HYPERLINK("https://twitter.com/hyukjagiya","@hyukjagiya")</f>
        <v>@hyukjagiya</v>
      </c>
      <c r="C15457" t="s">
        <v>7734</v>
      </c>
      <c r="D15457">
        <v>36</v>
      </c>
      <c r="E15457">
        <v>0</v>
      </c>
      <c r="F15457">
        <v>233</v>
      </c>
    </row>
    <row r="15458" spans="1:6" ht="12.75">
      <c r="A15458" s="2">
        <v>43878.32408564815</v>
      </c>
      <c r="B15458" t="str">
        <f>HYPERLINK("https://twitter.com/yoojungmu","@yoojungmu")</f>
        <v>@yoojungmu</v>
      </c>
      <c r="C15458" t="s">
        <v>7884</v>
      </c>
      <c r="D15458">
        <v>0</v>
      </c>
      <c r="E15458">
        <v>0</v>
      </c>
      <c r="F15458">
        <v>8643</v>
      </c>
    </row>
    <row r="15459" spans="1:6" ht="12.75">
      <c r="A15459" s="2">
        <v>43878.323807870373</v>
      </c>
      <c r="B15459" t="str">
        <f>HYPERLINK("https://twitter.com/karinakarinyu","@karinakarinyu")</f>
        <v>@karinakarinyu</v>
      </c>
      <c r="C15459" t="s">
        <v>7885</v>
      </c>
      <c r="D15459">
        <v>0</v>
      </c>
      <c r="E15459">
        <v>0</v>
      </c>
      <c r="F15459">
        <v>25</v>
      </c>
    </row>
    <row r="15460" spans="1:6" ht="12.75">
      <c r="A15460" s="2">
        <v>43878.323796296296</v>
      </c>
      <c r="B15460" t="str">
        <f>HYPERLINK("https://twitter.com/aw3126","@aw3126")</f>
        <v>@aw3126</v>
      </c>
      <c r="C15460" t="s">
        <v>7775</v>
      </c>
      <c r="D15460">
        <v>1</v>
      </c>
      <c r="E15460">
        <v>0</v>
      </c>
      <c r="F15460">
        <v>705</v>
      </c>
    </row>
    <row r="15461" spans="1:6" ht="12.75">
      <c r="A15461" s="2">
        <v>43878.323784722219</v>
      </c>
      <c r="B15461" t="str">
        <f>HYPERLINK("https://twitter.com/minhyunsc","@minhyunsc")</f>
        <v>@minhyunsc</v>
      </c>
      <c r="C15461" t="s">
        <v>7872</v>
      </c>
      <c r="D15461">
        <v>0</v>
      </c>
      <c r="E15461">
        <v>0</v>
      </c>
      <c r="F15461">
        <v>7536</v>
      </c>
    </row>
    <row r="15462" spans="1:6" ht="12.75">
      <c r="A15462" s="2">
        <v>43878.323553240742</v>
      </c>
      <c r="B15462" t="str">
        <f>HYPERLINK("https://twitter.com/cameliaria1","@cameliaria1")</f>
        <v>@cameliaria1</v>
      </c>
      <c r="C15462" t="s">
        <v>7872</v>
      </c>
      <c r="D15462">
        <v>0</v>
      </c>
      <c r="E15462">
        <v>0</v>
      </c>
      <c r="F15462">
        <v>52</v>
      </c>
    </row>
    <row r="15463" spans="1:6" ht="12.75">
      <c r="A15463" s="2">
        <v>43878.323321759264</v>
      </c>
      <c r="B15463" t="str">
        <f>HYPERLINK("https://twitter.com/johns00000","@johns00000")</f>
        <v>@johns00000</v>
      </c>
      <c r="C15463" t="s">
        <v>2127</v>
      </c>
      <c r="D15463">
        <v>1</v>
      </c>
      <c r="E15463">
        <v>0</v>
      </c>
      <c r="F15463">
        <v>1463</v>
      </c>
    </row>
    <row r="15464" spans="1:6" ht="12.75">
      <c r="A15464" s="2">
        <v>43878.323298611111</v>
      </c>
      <c r="B15464" t="str">
        <f>HYPERLINK("https://twitter.com/PutraJaguar8","@PutraJaguar8")</f>
        <v>@PutraJaguar8</v>
      </c>
      <c r="C15464" t="s">
        <v>7755</v>
      </c>
      <c r="D15464">
        <v>0</v>
      </c>
      <c r="E15464">
        <v>0</v>
      </c>
      <c r="F15464">
        <v>2</v>
      </c>
    </row>
    <row r="15465" spans="1:6" ht="12.75">
      <c r="A15465" s="2">
        <v>43878.323287037041</v>
      </c>
      <c r="B15465" t="str">
        <f>HYPERLINK("https://twitter.com/erdobani","@erdobani")</f>
        <v>@erdobani</v>
      </c>
      <c r="C15465" t="s">
        <v>7884</v>
      </c>
      <c r="D15465">
        <v>0</v>
      </c>
      <c r="E15465">
        <v>0</v>
      </c>
      <c r="F15465">
        <v>104</v>
      </c>
    </row>
    <row r="15466" spans="1:6" ht="12.75">
      <c r="A15466" s="2">
        <v>43878.323287037041</v>
      </c>
      <c r="B15466" t="str">
        <f>HYPERLINK("https://twitter.com/yazid_fadhlan","@yazid_fadhlan")</f>
        <v>@yazid_fadhlan</v>
      </c>
      <c r="C15466" t="s">
        <v>7263</v>
      </c>
      <c r="D15466">
        <v>10</v>
      </c>
      <c r="E15466">
        <v>0</v>
      </c>
      <c r="F15466">
        <v>618</v>
      </c>
    </row>
    <row r="15467" spans="1:6" ht="12.75">
      <c r="A15467" s="2">
        <v>43878.322777777779</v>
      </c>
      <c r="B15467" t="str">
        <f>HYPERLINK("https://twitter.com/Rudiwaluyo11","@Rudiwaluyo11")</f>
        <v>@Rudiwaluyo11</v>
      </c>
      <c r="C15467" t="s">
        <v>7885</v>
      </c>
      <c r="D15467">
        <v>0</v>
      </c>
      <c r="E15467">
        <v>0</v>
      </c>
      <c r="F15467">
        <v>38</v>
      </c>
    </row>
    <row r="15468" spans="1:6" ht="12.75">
      <c r="A15468" s="2">
        <v>43878.322592592594</v>
      </c>
      <c r="B15468" t="str">
        <f>HYPERLINK("https://twitter.com/rangermera","@rangermera")</f>
        <v>@rangermera</v>
      </c>
      <c r="C15468" t="s">
        <v>7701</v>
      </c>
      <c r="D15468">
        <v>0</v>
      </c>
      <c r="E15468">
        <v>0</v>
      </c>
      <c r="F15468">
        <v>82</v>
      </c>
    </row>
    <row r="15469" spans="1:6" ht="12.75">
      <c r="A15469" s="2">
        <v>43878.322499999995</v>
      </c>
      <c r="B15469" t="str">
        <f>HYPERLINK("https://twitter.com/RidwanRoti","@RidwanRoti")</f>
        <v>@RidwanRoti</v>
      </c>
      <c r="C15469" t="s">
        <v>7886</v>
      </c>
      <c r="D15469">
        <v>0</v>
      </c>
      <c r="E15469">
        <v>0</v>
      </c>
      <c r="F15469">
        <v>124</v>
      </c>
    </row>
    <row r="15470" spans="1:6" ht="12.75">
      <c r="A15470" s="2">
        <v>43878.322476851856</v>
      </c>
      <c r="B15470" t="str">
        <f>HYPERLINK("https://twitter.com/muhamad_sabill","@muhamad_sabill")</f>
        <v>@muhamad_sabill</v>
      </c>
      <c r="C15470" t="s">
        <v>6963</v>
      </c>
      <c r="D15470">
        <v>16</v>
      </c>
      <c r="E15470">
        <v>0</v>
      </c>
      <c r="F15470">
        <v>56</v>
      </c>
    </row>
    <row r="15471" spans="1:6" ht="12.75">
      <c r="A15471" s="2">
        <v>43878.322106481486</v>
      </c>
      <c r="B15471" t="str">
        <f>HYPERLINK("https://twitter.com/guswp731","@guswp731")</f>
        <v>@guswp731</v>
      </c>
      <c r="C15471" t="s">
        <v>7887</v>
      </c>
      <c r="D15471">
        <v>0</v>
      </c>
      <c r="E15471">
        <v>0</v>
      </c>
      <c r="F15471">
        <v>324</v>
      </c>
    </row>
    <row r="15472" spans="1:6" ht="12.75">
      <c r="A15472" s="2">
        <v>43878.321851851855</v>
      </c>
      <c r="B15472" t="str">
        <f>HYPERLINK("https://twitter.com/kodokpangeran5","@kodokpangeran5")</f>
        <v>@kodokpangeran5</v>
      </c>
      <c r="C15472" t="s">
        <v>7699</v>
      </c>
      <c r="D15472">
        <v>0</v>
      </c>
      <c r="E15472">
        <v>0</v>
      </c>
      <c r="F15472">
        <v>98</v>
      </c>
    </row>
    <row r="15473" spans="1:6" ht="12.75">
      <c r="A15473" s="2">
        <v>43878.321597222224</v>
      </c>
      <c r="B15473" t="str">
        <f>HYPERLINK("https://twitter.com/minhyunsc","@minhyunsc")</f>
        <v>@minhyunsc</v>
      </c>
      <c r="C15473" t="s">
        <v>7711</v>
      </c>
      <c r="D15473">
        <v>0</v>
      </c>
      <c r="E15473">
        <v>0</v>
      </c>
      <c r="F15473">
        <v>7536</v>
      </c>
    </row>
    <row r="15474" spans="1:6" ht="12.75">
      <c r="A15474" s="2">
        <v>43878.321111111116</v>
      </c>
      <c r="B15474" t="str">
        <f>HYPERLINK("https://twitter.com/yoojungmu","@yoojungmu")</f>
        <v>@yoojungmu</v>
      </c>
      <c r="C15474" t="s">
        <v>7695</v>
      </c>
      <c r="D15474">
        <v>0</v>
      </c>
      <c r="E15474">
        <v>0</v>
      </c>
      <c r="F15474">
        <v>8643</v>
      </c>
    </row>
    <row r="15475" spans="1:6" ht="12.75">
      <c r="A15475" s="2">
        <v>43878.321064814816</v>
      </c>
      <c r="B15475" t="str">
        <f>HYPERLINK("https://twitter.com/M007M10","@M007M10")</f>
        <v>@M007M10</v>
      </c>
      <c r="C15475" t="s">
        <v>3150</v>
      </c>
      <c r="D15475">
        <v>414</v>
      </c>
      <c r="E15475">
        <v>0</v>
      </c>
      <c r="F15475">
        <v>902</v>
      </c>
    </row>
    <row r="15476" spans="1:6" ht="12.75">
      <c r="A15476" s="2">
        <v>43878.320879629631</v>
      </c>
      <c r="B15476" t="str">
        <f>HYPERLINK("https://twitter.com/yoojungmu","@yoojungmu")</f>
        <v>@yoojungmu</v>
      </c>
      <c r="C15476" t="s">
        <v>7711</v>
      </c>
      <c r="D15476">
        <v>0</v>
      </c>
      <c r="E15476">
        <v>0</v>
      </c>
      <c r="F15476">
        <v>8643</v>
      </c>
    </row>
    <row r="15477" spans="1:6" ht="12.75">
      <c r="A15477" s="2">
        <v>43878.320775462962</v>
      </c>
      <c r="B15477" t="str">
        <f>HYPERLINK("https://twitter.com/Leoherlambang12","@Leoherlambang12")</f>
        <v>@Leoherlambang12</v>
      </c>
      <c r="C15477" t="s">
        <v>7298</v>
      </c>
      <c r="D15477">
        <v>85</v>
      </c>
      <c r="E15477">
        <v>0</v>
      </c>
      <c r="F15477">
        <v>75</v>
      </c>
    </row>
    <row r="15478" spans="1:6" ht="12.75">
      <c r="A15478" s="2">
        <v>43878.320601851854</v>
      </c>
      <c r="B15478" t="str">
        <f>HYPERLINK("https://twitter.com/minhyunsc","@minhyunsc")</f>
        <v>@minhyunsc</v>
      </c>
      <c r="C15478" t="s">
        <v>7727</v>
      </c>
      <c r="D15478">
        <v>0</v>
      </c>
      <c r="E15478">
        <v>0</v>
      </c>
      <c r="F15478">
        <v>7536</v>
      </c>
    </row>
    <row r="15479" spans="1:6" ht="12.75">
      <c r="A15479" s="2">
        <v>43878.3203125</v>
      </c>
      <c r="B15479" t="str">
        <f>HYPERLINK("https://twitter.com/Cornishview","@Cornishview")</f>
        <v>@Cornishview</v>
      </c>
      <c r="C15479" t="s">
        <v>3150</v>
      </c>
      <c r="D15479">
        <v>414</v>
      </c>
      <c r="E15479">
        <v>0</v>
      </c>
      <c r="F15479">
        <v>4476</v>
      </c>
    </row>
    <row r="15480" spans="1:6" ht="12.75">
      <c r="A15480" s="2">
        <v>43878.320277777777</v>
      </c>
      <c r="B15480" t="str">
        <f>HYPERLINK("https://twitter.com/diajengsetia","@diajengsetia")</f>
        <v>@diajengsetia</v>
      </c>
      <c r="C15480" t="s">
        <v>7888</v>
      </c>
      <c r="D15480">
        <v>83</v>
      </c>
      <c r="E15480">
        <v>0</v>
      </c>
      <c r="F15480">
        <v>64</v>
      </c>
    </row>
    <row r="15481" spans="1:6" ht="12.75">
      <c r="A15481" s="2">
        <v>43878.320092592592</v>
      </c>
      <c r="B15481" t="str">
        <f>HYPERLINK("https://twitter.com/cameliaria1","@cameliaria1")</f>
        <v>@cameliaria1</v>
      </c>
      <c r="C15481" t="s">
        <v>7699</v>
      </c>
      <c r="D15481">
        <v>0</v>
      </c>
      <c r="E15481">
        <v>0</v>
      </c>
      <c r="F15481">
        <v>52</v>
      </c>
    </row>
    <row r="15482" spans="1:6" ht="12.75">
      <c r="A15482" s="2">
        <v>43878.319965277777</v>
      </c>
      <c r="B15482" t="str">
        <f>HYPERLINK("https://twitter.com/guswp731","@guswp731")</f>
        <v>@guswp731</v>
      </c>
      <c r="C15482" t="s">
        <v>2105</v>
      </c>
      <c r="D15482">
        <v>6</v>
      </c>
      <c r="E15482">
        <v>0</v>
      </c>
      <c r="F15482">
        <v>324</v>
      </c>
    </row>
    <row r="15483" spans="1:6" ht="12.75">
      <c r="A15483" s="2">
        <v>43878.319097222222</v>
      </c>
      <c r="B15483" t="str">
        <f>HYPERLINK("https://twitter.com/TahuPedas7","@TahuPedas7")</f>
        <v>@TahuPedas7</v>
      </c>
      <c r="C15483" t="s">
        <v>7699</v>
      </c>
      <c r="D15483">
        <v>0</v>
      </c>
      <c r="E15483">
        <v>0</v>
      </c>
      <c r="F15483">
        <v>91</v>
      </c>
    </row>
    <row r="15484" spans="1:6" ht="12.75">
      <c r="A15484" s="2">
        <v>43878.319074074076</v>
      </c>
      <c r="B15484" t="str">
        <f>HYPERLINK("https://twitter.com/jokersantai","@jokersantai")</f>
        <v>@jokersantai</v>
      </c>
      <c r="C15484" t="s">
        <v>2674</v>
      </c>
      <c r="D15484">
        <v>40</v>
      </c>
      <c r="E15484">
        <v>0</v>
      </c>
      <c r="F15484">
        <v>406</v>
      </c>
    </row>
    <row r="15485" spans="1:6" ht="12.75">
      <c r="A15485" s="2">
        <v>43878.319039351853</v>
      </c>
      <c r="B15485" t="str">
        <f>HYPERLINK("https://twitter.com/kho_paraw4nsa","@kho_paraw4nsa")</f>
        <v>@kho_paraw4nsa</v>
      </c>
      <c r="C15485" t="s">
        <v>7889</v>
      </c>
      <c r="D15485">
        <v>0</v>
      </c>
      <c r="E15485">
        <v>0</v>
      </c>
      <c r="F15485">
        <v>367</v>
      </c>
    </row>
    <row r="15486" spans="1:6" ht="12.75">
      <c r="A15486" s="2">
        <v>43878.31895833333</v>
      </c>
      <c r="B15486" t="str">
        <f>HYPERLINK("https://twitter.com/Widodo2017","@Widodo2017")</f>
        <v>@Widodo2017</v>
      </c>
      <c r="C15486" t="s">
        <v>3396</v>
      </c>
      <c r="D15486">
        <v>46</v>
      </c>
      <c r="E15486">
        <v>0</v>
      </c>
      <c r="F15486">
        <v>1269</v>
      </c>
    </row>
    <row r="15487" spans="1:6" ht="12.75">
      <c r="A15487" s="2">
        <v>43878.318865740745</v>
      </c>
      <c r="B15487" t="str">
        <f>HYPERLINK("https://twitter.com/kodokpangeran5","@kodokpangeran5")</f>
        <v>@kodokpangeran5</v>
      </c>
      <c r="C15487" t="s">
        <v>7701</v>
      </c>
      <c r="D15487">
        <v>0</v>
      </c>
      <c r="E15487">
        <v>0</v>
      </c>
      <c r="F15487">
        <v>98</v>
      </c>
    </row>
    <row r="15488" spans="1:6" ht="12.75">
      <c r="A15488" s="2">
        <v>43878.318773148145</v>
      </c>
      <c r="B15488" t="str">
        <f>HYPERLINK("https://twitter.com/karinakarinyu","@karinakarinyu")</f>
        <v>@karinakarinyu</v>
      </c>
      <c r="C15488" t="s">
        <v>7873</v>
      </c>
      <c r="D15488">
        <v>0</v>
      </c>
      <c r="E15488">
        <v>0</v>
      </c>
      <c r="F15488">
        <v>25</v>
      </c>
    </row>
    <row r="15489" spans="1:6" ht="12.75">
      <c r="A15489" s="2">
        <v>43878.318425925929</v>
      </c>
      <c r="B15489" t="str">
        <f>HYPERLINK("https://twitter.com/guswp731","@guswp731")</f>
        <v>@guswp731</v>
      </c>
      <c r="C15489" t="s">
        <v>2106</v>
      </c>
      <c r="D15489">
        <v>12</v>
      </c>
      <c r="E15489">
        <v>0</v>
      </c>
      <c r="F15489">
        <v>324</v>
      </c>
    </row>
    <row r="15490" spans="1:6" ht="12.75">
      <c r="A15490" s="2">
        <v>43878.318171296298</v>
      </c>
      <c r="B15490" t="str">
        <f>HYPERLINK("https://twitter.com/Rayvita","@Rayvita")</f>
        <v>@Rayvita</v>
      </c>
      <c r="C15490" t="s">
        <v>6989</v>
      </c>
      <c r="D15490">
        <v>200</v>
      </c>
      <c r="E15490">
        <v>0</v>
      </c>
      <c r="F15490">
        <v>330</v>
      </c>
    </row>
    <row r="15491" spans="1:6" ht="12.75">
      <c r="A15491" s="2">
        <v>43878.317905092597</v>
      </c>
      <c r="B15491" t="str">
        <f>HYPERLINK("https://twitter.com/RadioKesehatan","@RadioKesehatan")</f>
        <v>@RadioKesehatan</v>
      </c>
      <c r="C15491" t="s">
        <v>7890</v>
      </c>
      <c r="D15491">
        <v>0</v>
      </c>
      <c r="E15491">
        <v>0</v>
      </c>
      <c r="F15491">
        <v>1510</v>
      </c>
    </row>
    <row r="15492" spans="1:6" ht="12.75">
      <c r="A15492" s="2">
        <v>43878.317476851851</v>
      </c>
      <c r="B15492" t="str">
        <f>HYPERLINK("https://twitter.com/yulia05","@yulia05")</f>
        <v>@yulia05</v>
      </c>
      <c r="C15492" t="s">
        <v>6963</v>
      </c>
      <c r="D15492">
        <v>16</v>
      </c>
      <c r="E15492">
        <v>0</v>
      </c>
      <c r="F15492">
        <v>99</v>
      </c>
    </row>
    <row r="15493" spans="1:6" ht="12.75">
      <c r="A15493" s="2">
        <v>43878.317280092597</v>
      </c>
      <c r="B15493" t="str">
        <f>HYPERLINK("https://twitter.com/hanrystwn","@hanrystwn")</f>
        <v>@hanrystwn</v>
      </c>
      <c r="C15493" t="s">
        <v>2674</v>
      </c>
      <c r="D15493">
        <v>40</v>
      </c>
      <c r="E15493">
        <v>0</v>
      </c>
      <c r="F15493">
        <v>1580</v>
      </c>
    </row>
    <row r="15494" spans="1:6" ht="12.75">
      <c r="A15494" s="2">
        <v>43878.316990740743</v>
      </c>
      <c r="B15494" t="str">
        <f>HYPERLINK("https://twitter.com/amulia86401","@amulia86401")</f>
        <v>@amulia86401</v>
      </c>
      <c r="C15494" t="s">
        <v>7662</v>
      </c>
      <c r="D15494">
        <v>538</v>
      </c>
      <c r="E15494">
        <v>0</v>
      </c>
      <c r="F15494">
        <v>96</v>
      </c>
    </row>
    <row r="15495" spans="1:6" ht="12.75">
      <c r="A15495" s="2">
        <v>43878.316944444443</v>
      </c>
      <c r="B15495" t="str">
        <f>HYPERLINK("https://twitter.com/kodokpangeran5","@kodokpangeran5")</f>
        <v>@kodokpangeran5</v>
      </c>
      <c r="C15495" t="s">
        <v>7881</v>
      </c>
      <c r="D15495">
        <v>0</v>
      </c>
      <c r="E15495">
        <v>0</v>
      </c>
      <c r="F15495">
        <v>98</v>
      </c>
    </row>
    <row r="15496" spans="1:6" ht="12.75">
      <c r="A15496" s="2">
        <v>43878.316550925927</v>
      </c>
      <c r="B15496" t="str">
        <f>HYPERLINK("https://twitter.com/NewbeeRW","@NewbeeRW")</f>
        <v>@NewbeeRW</v>
      </c>
      <c r="C15496" t="s">
        <v>2674</v>
      </c>
      <c r="D15496">
        <v>40</v>
      </c>
      <c r="E15496">
        <v>0</v>
      </c>
      <c r="F15496">
        <v>220</v>
      </c>
    </row>
    <row r="15497" spans="1:6" ht="12.75">
      <c r="A15497" s="2">
        <v>43878.316331018519</v>
      </c>
      <c r="B15497" t="str">
        <f>HYPERLINK("https://twitter.com/yoojungmu","@yoojungmu")</f>
        <v>@yoojungmu</v>
      </c>
      <c r="C15497" t="s">
        <v>7755</v>
      </c>
      <c r="D15497">
        <v>0</v>
      </c>
      <c r="E15497">
        <v>0</v>
      </c>
      <c r="F15497">
        <v>8643</v>
      </c>
    </row>
    <row r="15498" spans="1:6" ht="12.75">
      <c r="A15498" s="2">
        <v>43878.316296296296</v>
      </c>
      <c r="B15498" t="str">
        <f>HYPERLINK("https://twitter.com/soeripsarap","@soeripsarap")</f>
        <v>@soeripsarap</v>
      </c>
      <c r="C15498" t="s">
        <v>7891</v>
      </c>
      <c r="D15498">
        <v>0</v>
      </c>
      <c r="E15498">
        <v>0</v>
      </c>
      <c r="F15498">
        <v>473</v>
      </c>
    </row>
    <row r="15499" spans="1:6" ht="12.75">
      <c r="A15499" s="2">
        <v>43878.316099537042</v>
      </c>
      <c r="B15499" t="str">
        <f>HYPERLINK("https://twitter.com/PutraJaguar8","@PutraJaguar8")</f>
        <v>@PutraJaguar8</v>
      </c>
      <c r="C15499" t="s">
        <v>7879</v>
      </c>
      <c r="D15499">
        <v>0</v>
      </c>
      <c r="E15499">
        <v>0</v>
      </c>
      <c r="F15499">
        <v>2</v>
      </c>
    </row>
    <row r="15500" spans="1:6" ht="12.75">
      <c r="A15500" s="2">
        <v>43878.315925925926</v>
      </c>
      <c r="B15500" t="str">
        <f>HYPERLINK("https://twitter.com/antobalboa1","@antobalboa1")</f>
        <v>@antobalboa1</v>
      </c>
      <c r="C15500" t="s">
        <v>7884</v>
      </c>
      <c r="D15500">
        <v>0</v>
      </c>
      <c r="E15500">
        <v>0</v>
      </c>
      <c r="F15500">
        <v>9</v>
      </c>
    </row>
    <row r="15501" spans="1:6" ht="12.75">
      <c r="A15501" s="2">
        <v>43878.315000000002</v>
      </c>
      <c r="B15501" t="str">
        <f>HYPERLINK("https://twitter.com/soeripsarap","@soeripsarap")</f>
        <v>@soeripsarap</v>
      </c>
      <c r="C15501" t="s">
        <v>2674</v>
      </c>
      <c r="D15501">
        <v>40</v>
      </c>
      <c r="E15501">
        <v>0</v>
      </c>
      <c r="F15501">
        <v>473</v>
      </c>
    </row>
    <row r="15502" spans="1:6" ht="12.75">
      <c r="A15502" s="2">
        <v>43878.314965277779</v>
      </c>
      <c r="B15502" t="str">
        <f>HYPERLINK("https://twitter.com/PutraJaguar8","@PutraJaguar8")</f>
        <v>@PutraJaguar8</v>
      </c>
      <c r="C15502" t="s">
        <v>7727</v>
      </c>
      <c r="D15502">
        <v>0</v>
      </c>
      <c r="E15502">
        <v>0</v>
      </c>
      <c r="F15502">
        <v>2</v>
      </c>
    </row>
    <row r="15503" spans="1:6" ht="12.75">
      <c r="A15503" s="2">
        <v>43878.314930555556</v>
      </c>
      <c r="B15503" t="str">
        <f>HYPERLINK("https://twitter.com/guswp731","@guswp731")</f>
        <v>@guswp731</v>
      </c>
      <c r="C15503" t="s">
        <v>2107</v>
      </c>
      <c r="D15503">
        <v>8</v>
      </c>
      <c r="E15503">
        <v>0</v>
      </c>
      <c r="F15503">
        <v>324</v>
      </c>
    </row>
    <row r="15504" spans="1:6" ht="12.75">
      <c r="A15504" s="2">
        <v>43878.314733796295</v>
      </c>
      <c r="B15504" t="str">
        <f>HYPERLINK("https://twitter.com/TahuPedas7","@TahuPedas7")</f>
        <v>@TahuPedas7</v>
      </c>
      <c r="C15504" t="s">
        <v>7879</v>
      </c>
      <c r="D15504">
        <v>0</v>
      </c>
      <c r="E15504">
        <v>0</v>
      </c>
      <c r="F15504">
        <v>91</v>
      </c>
    </row>
    <row r="15505" spans="1:6" ht="12.75">
      <c r="A15505" s="2">
        <v>43878.29310185185</v>
      </c>
      <c r="B15505" t="str">
        <f>HYPERLINK("https://twitter.com/Puteriswift_","@Puteriswift_")</f>
        <v>@Puteriswift_</v>
      </c>
      <c r="C15505" t="s">
        <v>7892</v>
      </c>
      <c r="D15505">
        <v>0</v>
      </c>
      <c r="E15505">
        <v>0</v>
      </c>
      <c r="F15505">
        <v>286</v>
      </c>
    </row>
    <row r="15506" spans="1:6" ht="12.75">
      <c r="A15506" s="2">
        <v>43878.292696759258</v>
      </c>
      <c r="B15506" t="str">
        <f>HYPERLINK("https://twitter.com/RestuningGusti","@RestuningGusti")</f>
        <v>@RestuningGusti</v>
      </c>
      <c r="C15506" t="s">
        <v>2444</v>
      </c>
      <c r="D15506">
        <v>4567</v>
      </c>
      <c r="E15506">
        <v>0</v>
      </c>
      <c r="F15506">
        <v>276</v>
      </c>
    </row>
    <row r="15507" spans="1:6" ht="12.75">
      <c r="A15507" s="2">
        <v>43878.291805555556</v>
      </c>
      <c r="B15507" t="str">
        <f>HYPERLINK("https://twitter.com/_wni_","@_wni_")</f>
        <v>@_wni_</v>
      </c>
      <c r="C15507" t="s">
        <v>7893</v>
      </c>
      <c r="D15507">
        <v>0</v>
      </c>
      <c r="E15507">
        <v>0</v>
      </c>
      <c r="F15507">
        <v>8</v>
      </c>
    </row>
    <row r="15508" spans="1:6" ht="12.75">
      <c r="A15508" s="2">
        <v>43878.291747685187</v>
      </c>
      <c r="B15508" t="str">
        <f>HYPERLINK("https://twitter.com/suwarnocr","@suwarnocr")</f>
        <v>@suwarnocr</v>
      </c>
      <c r="C15508" t="s">
        <v>7298</v>
      </c>
      <c r="D15508">
        <v>78</v>
      </c>
      <c r="E15508">
        <v>0</v>
      </c>
      <c r="F15508">
        <v>120</v>
      </c>
    </row>
    <row r="15509" spans="1:6" ht="12.75">
      <c r="A15509" s="2">
        <v>43878.291342592594</v>
      </c>
      <c r="B15509" t="str">
        <f>HYPERLINK("https://twitter.com/fonts7_","@fonts7_")</f>
        <v>@fonts7_</v>
      </c>
      <c r="C15509" t="s">
        <v>7894</v>
      </c>
      <c r="D15509">
        <v>0</v>
      </c>
      <c r="E15509">
        <v>0</v>
      </c>
      <c r="F15509">
        <v>137</v>
      </c>
    </row>
    <row r="15510" spans="1:6" ht="12.75">
      <c r="A15510" s="2">
        <v>43878.290625000001</v>
      </c>
      <c r="B15510" t="str">
        <f>HYPERLINK("https://twitter.com/Bennyboegiz","@Bennyboegiz")</f>
        <v>@Bennyboegiz</v>
      </c>
      <c r="C15510" t="s">
        <v>2674</v>
      </c>
      <c r="D15510">
        <v>27</v>
      </c>
      <c r="E15510">
        <v>0</v>
      </c>
      <c r="F15510">
        <v>849</v>
      </c>
    </row>
    <row r="15511" spans="1:6" ht="12.75">
      <c r="A15511" s="2">
        <v>43878.290451388893</v>
      </c>
      <c r="B15511" t="str">
        <f>HYPERLINK("https://twitter.com/omar2000nur","@omar2000nur")</f>
        <v>@omar2000nur</v>
      </c>
      <c r="C15511" t="s">
        <v>7895</v>
      </c>
      <c r="D15511">
        <v>0</v>
      </c>
      <c r="E15511">
        <v>0</v>
      </c>
      <c r="F15511">
        <v>220</v>
      </c>
    </row>
    <row r="15512" spans="1:6" ht="12.75">
      <c r="A15512" s="2">
        <v>43878.289965277778</v>
      </c>
      <c r="B15512" t="str">
        <f>HYPERLINK("https://twitter.com/JOEBLOWS14","@JOEBLOWS14")</f>
        <v>@JOEBLOWS14</v>
      </c>
      <c r="C15512" t="s">
        <v>3150</v>
      </c>
      <c r="D15512">
        <v>410</v>
      </c>
      <c r="E15512">
        <v>0</v>
      </c>
      <c r="F15512">
        <v>125</v>
      </c>
    </row>
    <row r="15513" spans="1:6" ht="12.75">
      <c r="A15513" s="2">
        <v>43878.289953703701</v>
      </c>
      <c r="B15513" t="str">
        <f>HYPERLINK("https://twitter.com/Alphaville69","@Alphaville69")</f>
        <v>@Alphaville69</v>
      </c>
      <c r="C15513" t="s">
        <v>7896</v>
      </c>
      <c r="D15513">
        <v>0</v>
      </c>
      <c r="E15513">
        <v>0</v>
      </c>
      <c r="F15513">
        <v>1480</v>
      </c>
    </row>
    <row r="15514" spans="1:6" ht="12.75">
      <c r="A15514" s="2">
        <v>43878.289895833332</v>
      </c>
      <c r="B15514" t="str">
        <f>HYPERLINK("https://twitter.com/visitortwt1","@visitortwt1")</f>
        <v>@visitortwt1</v>
      </c>
      <c r="C15514" t="s">
        <v>7897</v>
      </c>
      <c r="D15514">
        <v>10</v>
      </c>
      <c r="E15514">
        <v>0</v>
      </c>
      <c r="F15514">
        <v>359</v>
      </c>
    </row>
    <row r="15515" spans="1:6" ht="12.75">
      <c r="A15515" s="2">
        <v>43878.289502314816</v>
      </c>
      <c r="B15515" t="str">
        <f>HYPERLINK("https://twitter.com/ichlaschulamal","@ichlaschulamal")</f>
        <v>@ichlaschulamal</v>
      </c>
      <c r="C15515" t="s">
        <v>2674</v>
      </c>
      <c r="D15515">
        <v>27</v>
      </c>
      <c r="E15515">
        <v>0</v>
      </c>
      <c r="F15515">
        <v>53</v>
      </c>
    </row>
    <row r="15516" spans="1:6" ht="12.75">
      <c r="A15516" s="2">
        <v>43878.289085648154</v>
      </c>
      <c r="B15516" t="str">
        <f>HYPERLINK("https://twitter.com/BadjaNuswantara","@BadjaNuswantara")</f>
        <v>@BadjaNuswantara</v>
      </c>
      <c r="C15516" t="s">
        <v>2105</v>
      </c>
      <c r="D15516">
        <v>3</v>
      </c>
      <c r="E15516">
        <v>0</v>
      </c>
      <c r="F15516">
        <v>42458</v>
      </c>
    </row>
    <row r="15517" spans="1:6" ht="12.75">
      <c r="A15517" s="2">
        <v>43878.288206018522</v>
      </c>
      <c r="B15517" t="str">
        <f>HYPERLINK("https://twitter.com/27Ichoe","@27Ichoe")</f>
        <v>@27Ichoe</v>
      </c>
      <c r="C15517" t="s">
        <v>7298</v>
      </c>
      <c r="D15517">
        <v>78</v>
      </c>
      <c r="E15517">
        <v>0</v>
      </c>
      <c r="F15517">
        <v>311</v>
      </c>
    </row>
    <row r="15518" spans="1:6" ht="12.75">
      <c r="A15518" s="2">
        <v>43878.287777777776</v>
      </c>
      <c r="B15518" t="str">
        <f>HYPERLINK("https://twitter.com/BadjaNuswantara","@BadjaNuswantara")</f>
        <v>@BadjaNuswantara</v>
      </c>
      <c r="C15518" t="s">
        <v>2106</v>
      </c>
      <c r="D15518">
        <v>8</v>
      </c>
      <c r="E15518">
        <v>0</v>
      </c>
      <c r="F15518">
        <v>42458</v>
      </c>
    </row>
    <row r="15519" spans="1:6" ht="12.75">
      <c r="A15519" s="2">
        <v>43878.287673611107</v>
      </c>
      <c r="B15519" t="str">
        <f>HYPERLINK("https://twitter.com/Shellahibono","@Shellahibono")</f>
        <v>@Shellahibono</v>
      </c>
      <c r="C15519" t="s">
        <v>7845</v>
      </c>
      <c r="D15519">
        <v>2</v>
      </c>
      <c r="E15519">
        <v>0</v>
      </c>
      <c r="F15519">
        <v>78</v>
      </c>
    </row>
    <row r="15520" spans="1:6" ht="12.75">
      <c r="A15520" s="2">
        <v>43878.287442129629</v>
      </c>
      <c r="B15520" t="str">
        <f>HYPERLINK("https://twitter.com/dewi_darmawati","@dewi_darmawati")</f>
        <v>@dewi_darmawati</v>
      </c>
      <c r="C15520" t="s">
        <v>7845</v>
      </c>
      <c r="D15520">
        <v>2</v>
      </c>
      <c r="E15520">
        <v>0</v>
      </c>
      <c r="F15520">
        <v>3998</v>
      </c>
    </row>
    <row r="15521" spans="1:6" ht="12.75">
      <c r="A15521" s="2">
        <v>43878.287233796298</v>
      </c>
      <c r="B15521" t="str">
        <f>HYPERLINK("https://twitter.com/erinsnote","@erinsnote")</f>
        <v>@erinsnote</v>
      </c>
      <c r="C15521" t="s">
        <v>7898</v>
      </c>
      <c r="D15521">
        <v>0</v>
      </c>
      <c r="E15521">
        <v>0</v>
      </c>
      <c r="F15521">
        <v>1846</v>
      </c>
    </row>
    <row r="15522" spans="1:6" ht="12.75">
      <c r="A15522" s="2">
        <v>43878.286898148144</v>
      </c>
      <c r="B15522" t="str">
        <f>HYPERLINK("https://twitter.com/the_geotimes","@the_geotimes")</f>
        <v>@the_geotimes</v>
      </c>
      <c r="C15522" t="s">
        <v>7899</v>
      </c>
      <c r="D15522">
        <v>2</v>
      </c>
      <c r="E15522">
        <v>0</v>
      </c>
      <c r="F15522">
        <v>49379</v>
      </c>
    </row>
    <row r="15523" spans="1:6" ht="12.75">
      <c r="A15523" s="2">
        <v>43878.286655092597</v>
      </c>
      <c r="B15523" t="str">
        <f>HYPERLINK("https://twitter.com/EgaBudianto","@EgaBudianto")</f>
        <v>@EgaBudianto</v>
      </c>
      <c r="C15523" t="s">
        <v>7900</v>
      </c>
      <c r="D15523">
        <v>108</v>
      </c>
      <c r="E15523">
        <v>0</v>
      </c>
      <c r="F15523">
        <v>5</v>
      </c>
    </row>
    <row r="15524" spans="1:6" ht="12.75">
      <c r="A15524" s="2">
        <v>43878.286655092597</v>
      </c>
      <c r="B15524" t="str">
        <f>HYPERLINK("https://twitter.com/BadjaNuswantara","@BadjaNuswantara")</f>
        <v>@BadjaNuswantara</v>
      </c>
      <c r="C15524" t="s">
        <v>2107</v>
      </c>
      <c r="D15524">
        <v>4</v>
      </c>
      <c r="E15524">
        <v>0</v>
      </c>
      <c r="F15524">
        <v>42458</v>
      </c>
    </row>
    <row r="15525" spans="1:6" ht="12.75">
      <c r="A15525" s="2">
        <v>43878.286631944444</v>
      </c>
      <c r="B15525" t="str">
        <f>HYPERLINK("https://twitter.com/namjung1726","@namjung1726")</f>
        <v>@namjung1726</v>
      </c>
      <c r="C15525" t="s">
        <v>5168</v>
      </c>
      <c r="D15525">
        <v>1657</v>
      </c>
      <c r="E15525">
        <v>0</v>
      </c>
      <c r="F15525">
        <v>355</v>
      </c>
    </row>
    <row r="15526" spans="1:6" ht="12.75">
      <c r="A15526" s="2">
        <v>43878.28628472222</v>
      </c>
      <c r="B15526" t="str">
        <f>HYPERLINK("https://twitter.com/zazaputih","@zazaputih")</f>
        <v>@zazaputih</v>
      </c>
      <c r="C15526" t="s">
        <v>3396</v>
      </c>
      <c r="D15526">
        <v>40</v>
      </c>
      <c r="E15526">
        <v>0</v>
      </c>
      <c r="F15526">
        <v>35</v>
      </c>
    </row>
    <row r="15527" spans="1:6" ht="12.75">
      <c r="A15527" s="2">
        <v>43878.285937499997</v>
      </c>
      <c r="B15527" t="str">
        <f>HYPERLINK("https://twitter.com/kayu_bondol","@kayu_bondol")</f>
        <v>@kayu_bondol</v>
      </c>
      <c r="C15527" t="s">
        <v>7901</v>
      </c>
      <c r="D15527">
        <v>0</v>
      </c>
      <c r="E15527">
        <v>1</v>
      </c>
      <c r="F15527">
        <v>108</v>
      </c>
    </row>
    <row r="15528" spans="1:6" ht="12.75">
      <c r="A15528" s="2">
        <v>43878.285092592589</v>
      </c>
      <c r="B15528" t="str">
        <f>HYPERLINK("https://twitter.com/sampalle","@sampalle")</f>
        <v>@sampalle</v>
      </c>
      <c r="C15528" t="s">
        <v>7195</v>
      </c>
      <c r="D15528">
        <v>11</v>
      </c>
      <c r="E15528">
        <v>0</v>
      </c>
      <c r="F15528">
        <v>1188</v>
      </c>
    </row>
    <row r="15529" spans="1:6" ht="12.75">
      <c r="A15529" s="2">
        <v>43878.285011574073</v>
      </c>
      <c r="B15529" t="str">
        <f>HYPERLINK("https://twitter.com/HAMBAAL31689329","@HAMBAAL31689329")</f>
        <v>@HAMBAAL31689329</v>
      </c>
      <c r="C15529" t="s">
        <v>6201</v>
      </c>
      <c r="D15529">
        <v>558</v>
      </c>
      <c r="E15529">
        <v>0</v>
      </c>
      <c r="F15529">
        <v>267</v>
      </c>
    </row>
    <row r="15530" spans="1:6" ht="12.75">
      <c r="A15530" s="2">
        <v>43878.284803240742</v>
      </c>
      <c r="B15530" t="str">
        <f>HYPERLINK("https://twitter.com/Cang_BaimGL","@Cang_BaimGL")</f>
        <v>@Cang_BaimGL</v>
      </c>
      <c r="C15530" t="s">
        <v>2674</v>
      </c>
      <c r="D15530">
        <v>27</v>
      </c>
      <c r="E15530">
        <v>0</v>
      </c>
      <c r="F15530">
        <v>304</v>
      </c>
    </row>
    <row r="15531" spans="1:6" ht="12.75">
      <c r="A15531" s="2">
        <v>43878.284236111111</v>
      </c>
      <c r="B15531" t="str">
        <f>HYPERLINK("https://twitter.com/dw_ed","@dw_ed")</f>
        <v>@dw_ed</v>
      </c>
      <c r="C15531" t="s">
        <v>7902</v>
      </c>
      <c r="D15531">
        <v>0</v>
      </c>
      <c r="E15531">
        <v>0</v>
      </c>
      <c r="F15531">
        <v>3</v>
      </c>
    </row>
    <row r="15532" spans="1:6" ht="12.75">
      <c r="A15532" s="2">
        <v>43878.284178240741</v>
      </c>
      <c r="B15532" t="str">
        <f>HYPERLINK("https://twitter.com/ance_top","@ance_top")</f>
        <v>@ance_top</v>
      </c>
      <c r="C15532" t="s">
        <v>7903</v>
      </c>
      <c r="D15532">
        <v>0</v>
      </c>
      <c r="E15532">
        <v>1</v>
      </c>
      <c r="F15532">
        <v>724</v>
      </c>
    </row>
    <row r="15533" spans="1:6" ht="12.75">
      <c r="A15533" s="2">
        <v>43878.284143518518</v>
      </c>
      <c r="B15533" t="str">
        <f>HYPERLINK("https://twitter.com/r_tuas","@r_tuas")</f>
        <v>@r_tuas</v>
      </c>
      <c r="C15533" t="s">
        <v>2674</v>
      </c>
      <c r="D15533">
        <v>27</v>
      </c>
      <c r="E15533">
        <v>0</v>
      </c>
      <c r="F15533">
        <v>134</v>
      </c>
    </row>
    <row r="15534" spans="1:6" ht="12.75">
      <c r="A15534" s="2">
        <v>43878.28398148148</v>
      </c>
      <c r="B15534" t="str">
        <f>HYPERLINK("https://twitter.com/HdSarira","@HdSarira")</f>
        <v>@HdSarira</v>
      </c>
      <c r="C15534" t="s">
        <v>2702</v>
      </c>
      <c r="D15534">
        <v>342</v>
      </c>
      <c r="E15534">
        <v>0</v>
      </c>
      <c r="F15534">
        <v>967</v>
      </c>
    </row>
    <row r="15535" spans="1:6" ht="12.75">
      <c r="A15535" s="2">
        <v>43878.283668981487</v>
      </c>
      <c r="B15535" t="str">
        <f>HYPERLINK("https://twitter.com/DlSFORIA","@DlSFORIA")</f>
        <v>@DlSFORIA</v>
      </c>
      <c r="C15535" t="s">
        <v>7904</v>
      </c>
      <c r="D15535">
        <v>0</v>
      </c>
      <c r="E15535">
        <v>0</v>
      </c>
      <c r="F15535">
        <v>148</v>
      </c>
    </row>
    <row r="15536" spans="1:6" ht="12.75">
      <c r="A15536" s="2">
        <v>43878.283553240741</v>
      </c>
      <c r="B15536" t="str">
        <f>HYPERLINK("https://twitter.com/kayyindah","@kayyindah")</f>
        <v>@kayyindah</v>
      </c>
      <c r="C15536" t="s">
        <v>7905</v>
      </c>
      <c r="D15536">
        <v>98</v>
      </c>
      <c r="E15536">
        <v>0</v>
      </c>
      <c r="F15536">
        <v>265</v>
      </c>
    </row>
    <row r="15537" spans="1:6" ht="12.75">
      <c r="A15537" s="2">
        <v>43878.283506944441</v>
      </c>
      <c r="B15537" t="str">
        <f>HYPERLINK("https://twitter.com/ienuli","@ienuli")</f>
        <v>@ienuli</v>
      </c>
      <c r="C15537" t="s">
        <v>2674</v>
      </c>
      <c r="D15537">
        <v>27</v>
      </c>
      <c r="E15537">
        <v>0</v>
      </c>
      <c r="F15537">
        <v>1398</v>
      </c>
    </row>
    <row r="15538" spans="1:6" ht="12.75">
      <c r="A15538" s="2">
        <v>43878.282951388886</v>
      </c>
      <c r="B15538" t="str">
        <f>HYPERLINK("https://twitter.com/IwanNurwulan","@IwanNurwulan")</f>
        <v>@IwanNurwulan</v>
      </c>
      <c r="C15538" t="s">
        <v>6867</v>
      </c>
      <c r="D15538">
        <v>62</v>
      </c>
      <c r="E15538">
        <v>0</v>
      </c>
      <c r="F15538">
        <v>35</v>
      </c>
    </row>
    <row r="15539" spans="1:6" ht="12.75">
      <c r="A15539" s="2">
        <v>43878.282569444447</v>
      </c>
      <c r="B15539" t="str">
        <f>HYPERLINK("https://twitter.com/muispebrianto","@muispebrianto")</f>
        <v>@muispebrianto</v>
      </c>
      <c r="C15539" t="s">
        <v>2674</v>
      </c>
      <c r="D15539">
        <v>27</v>
      </c>
      <c r="E15539">
        <v>0</v>
      </c>
      <c r="F15539">
        <v>2792</v>
      </c>
    </row>
    <row r="15540" spans="1:6" ht="12.75">
      <c r="A15540" s="2">
        <v>43878.282500000001</v>
      </c>
      <c r="B15540" t="str">
        <f>HYPERLINK("https://twitter.com/MKrenthil","@MKrenthil")</f>
        <v>@MKrenthil</v>
      </c>
      <c r="C15540" t="s">
        <v>2674</v>
      </c>
      <c r="D15540">
        <v>27</v>
      </c>
      <c r="E15540">
        <v>0</v>
      </c>
      <c r="F15540">
        <v>3460</v>
      </c>
    </row>
    <row r="15541" spans="1:6" ht="12.75">
      <c r="A15541" s="2">
        <v>43878.281724537039</v>
      </c>
      <c r="B15541" t="str">
        <f>HYPERLINK("https://twitter.com/JiuOppa","@JiuOppa")</f>
        <v>@JiuOppa</v>
      </c>
      <c r="C15541" t="s">
        <v>6386</v>
      </c>
      <c r="D15541">
        <v>1</v>
      </c>
      <c r="E15541">
        <v>0</v>
      </c>
      <c r="F15541">
        <v>771</v>
      </c>
    </row>
    <row r="15542" spans="1:6" ht="12.75">
      <c r="A15542" s="2">
        <v>43878.281446759254</v>
      </c>
      <c r="B15542" t="str">
        <f>HYPERLINK("https://twitter.com/kayu_bondol","@kayu_bondol")</f>
        <v>@kayu_bondol</v>
      </c>
      <c r="C15542" t="s">
        <v>7906</v>
      </c>
      <c r="D15542">
        <v>0</v>
      </c>
      <c r="E15542">
        <v>1</v>
      </c>
      <c r="F15542">
        <v>108</v>
      </c>
    </row>
    <row r="15543" spans="1:6" ht="12.75">
      <c r="A15543" s="2">
        <v>43878.281388888892</v>
      </c>
      <c r="B15543" t="str">
        <f>HYPERLINK("https://twitter.com/taritaritari_","@taritaritari_")</f>
        <v>@taritaritari_</v>
      </c>
      <c r="C15543" t="s">
        <v>2444</v>
      </c>
      <c r="D15543">
        <v>4567</v>
      </c>
      <c r="E15543">
        <v>0</v>
      </c>
      <c r="F15543">
        <v>33</v>
      </c>
    </row>
    <row r="15544" spans="1:6" ht="12.75">
      <c r="A15544" s="2">
        <v>43878.280972222223</v>
      </c>
      <c r="B15544" t="str">
        <f>HYPERLINK("https://twitter.com/Familyjoool","@Familyjoool")</f>
        <v>@Familyjoool</v>
      </c>
      <c r="C15544" t="s">
        <v>3150</v>
      </c>
      <c r="D15544">
        <v>410</v>
      </c>
      <c r="E15544">
        <v>0</v>
      </c>
      <c r="F15544">
        <v>487</v>
      </c>
    </row>
    <row r="15545" spans="1:6" ht="12.75">
      <c r="A15545" s="2">
        <v>43878.280752314815</v>
      </c>
      <c r="B15545" t="str">
        <f>HYPERLINK("https://twitter.com/a4f87bdda1c54c0","@a4f87bdda1c54c0")</f>
        <v>@a4f87bdda1c54c0</v>
      </c>
      <c r="C15545" t="s">
        <v>3396</v>
      </c>
      <c r="D15545">
        <v>40</v>
      </c>
      <c r="E15545">
        <v>0</v>
      </c>
      <c r="F15545">
        <v>1210</v>
      </c>
    </row>
    <row r="15546" spans="1:6" ht="12.75">
      <c r="A15546" s="2">
        <v>43878.280648148153</v>
      </c>
      <c r="B15546" t="str">
        <f>HYPERLINK("https://twitter.com/visitortwt1","@visitortwt1")</f>
        <v>@visitortwt1</v>
      </c>
      <c r="C15546" t="s">
        <v>2674</v>
      </c>
      <c r="D15546">
        <v>27</v>
      </c>
      <c r="E15546">
        <v>0</v>
      </c>
      <c r="F15546">
        <v>359</v>
      </c>
    </row>
    <row r="15547" spans="1:6" ht="12.75">
      <c r="A15547" s="2">
        <v>43878.280509259261</v>
      </c>
      <c r="B15547" t="str">
        <f>HYPERLINK("https://twitter.com/Adiitoo","@Adiitoo")</f>
        <v>@Adiitoo</v>
      </c>
      <c r="C15547" t="s">
        <v>7907</v>
      </c>
      <c r="D15547">
        <v>3</v>
      </c>
      <c r="E15547">
        <v>0</v>
      </c>
      <c r="F15547">
        <v>2621</v>
      </c>
    </row>
    <row r="15548" spans="1:6" ht="12.75">
      <c r="A15548" s="2">
        <v>43878.279918981483</v>
      </c>
      <c r="B15548" t="str">
        <f>HYPERLINK("https://twitter.com/mrbarens","@mrbarens")</f>
        <v>@mrbarens</v>
      </c>
      <c r="C15548" t="s">
        <v>7908</v>
      </c>
      <c r="D15548">
        <v>2</v>
      </c>
      <c r="E15548">
        <v>0</v>
      </c>
      <c r="F15548">
        <v>192</v>
      </c>
    </row>
    <row r="15549" spans="1:6" ht="12.75">
      <c r="A15549" s="2">
        <v>43878.279907407406</v>
      </c>
      <c r="B15549" t="str">
        <f>HYPERLINK("https://twitter.com/Apodax","@Apodax")</f>
        <v>@Apodax</v>
      </c>
      <c r="C15549" t="s">
        <v>3396</v>
      </c>
      <c r="D15549">
        <v>40</v>
      </c>
      <c r="E15549">
        <v>0</v>
      </c>
      <c r="F15549">
        <v>100</v>
      </c>
    </row>
    <row r="15550" spans="1:6" ht="12.75">
      <c r="A15550" s="2">
        <v>43878.27857638889</v>
      </c>
      <c r="B15550" t="str">
        <f>HYPERLINK("https://twitter.com/amyprovis1987","@amyprovis1987")</f>
        <v>@amyprovis1987</v>
      </c>
      <c r="C15550" t="s">
        <v>7909</v>
      </c>
      <c r="D15550">
        <v>0</v>
      </c>
      <c r="E15550">
        <v>0</v>
      </c>
      <c r="F15550">
        <v>101</v>
      </c>
    </row>
    <row r="15551" spans="1:6" ht="12.75">
      <c r="A15551" s="2">
        <v>43878.278483796297</v>
      </c>
      <c r="B15551" t="str">
        <f>HYPERLINK("https://twitter.com/dubie_tina","@dubie_tina")</f>
        <v>@dubie_tina</v>
      </c>
      <c r="C15551" t="s">
        <v>7910</v>
      </c>
      <c r="D15551">
        <v>1</v>
      </c>
      <c r="E15551">
        <v>0</v>
      </c>
      <c r="F15551">
        <v>1028</v>
      </c>
    </row>
    <row r="15552" spans="1:6" ht="12.75">
      <c r="A15552" s="2">
        <v>43878.278287037036</v>
      </c>
      <c r="B15552" t="str">
        <f>HYPERLINK("https://twitter.com/bpriady","@bpriady")</f>
        <v>@bpriady</v>
      </c>
      <c r="C15552" t="s">
        <v>7911</v>
      </c>
      <c r="D15552">
        <v>1</v>
      </c>
      <c r="E15552">
        <v>0</v>
      </c>
      <c r="F15552">
        <v>592</v>
      </c>
    </row>
    <row r="15553" spans="1:6" ht="12.75">
      <c r="A15553" s="2">
        <v>43878.27825231482</v>
      </c>
      <c r="B15553" t="str">
        <f t="shared" ref="B15553:B15554" si="267">HYPERLINK("https://twitter.com/DiantyYasmin3","@DiantyYasmin3")</f>
        <v>@DiantyYasmin3</v>
      </c>
      <c r="C15553" t="s">
        <v>7912</v>
      </c>
      <c r="D15553">
        <v>1</v>
      </c>
      <c r="E15553">
        <v>1</v>
      </c>
      <c r="F15553">
        <v>9565</v>
      </c>
    </row>
    <row r="15554" spans="1:6" ht="12.75">
      <c r="A15554" s="2">
        <v>43878.277222222227</v>
      </c>
      <c r="B15554" t="str">
        <f t="shared" si="267"/>
        <v>@DiantyYasmin3</v>
      </c>
      <c r="C15554" t="s">
        <v>7339</v>
      </c>
      <c r="D15554">
        <v>2</v>
      </c>
      <c r="E15554">
        <v>0</v>
      </c>
      <c r="F15554">
        <v>9565</v>
      </c>
    </row>
    <row r="15555" spans="1:6" ht="12.75">
      <c r="A15555" s="2">
        <v>43878.276967592596</v>
      </c>
      <c r="B15555" t="str">
        <f>HYPERLINK("https://twitter.com/progjo","@progjo")</f>
        <v>@progjo</v>
      </c>
      <c r="C15555" t="s">
        <v>7828</v>
      </c>
      <c r="D15555">
        <v>1</v>
      </c>
      <c r="E15555">
        <v>0</v>
      </c>
      <c r="F15555">
        <v>4142</v>
      </c>
    </row>
    <row r="15556" spans="1:6" ht="12.75">
      <c r="A15556" s="2">
        <v>43878.276886574073</v>
      </c>
      <c r="B15556" t="str">
        <f>HYPERLINK("https://twitter.com/0niia_","@0niia_")</f>
        <v>@0niia_</v>
      </c>
      <c r="C15556" t="s">
        <v>2147</v>
      </c>
      <c r="D15556">
        <v>547</v>
      </c>
      <c r="E15556">
        <v>0</v>
      </c>
      <c r="F15556">
        <v>59</v>
      </c>
    </row>
    <row r="15557" spans="1:6" ht="12.75">
      <c r="A15557" s="2">
        <v>43878.276562500003</v>
      </c>
      <c r="B15557" t="str">
        <f>HYPERLINK("https://twitter.com/setkabgoid","@setkabgoid")</f>
        <v>@setkabgoid</v>
      </c>
      <c r="C15557" t="s">
        <v>7696</v>
      </c>
      <c r="D15557">
        <v>1</v>
      </c>
      <c r="E15557">
        <v>8</v>
      </c>
      <c r="F15557">
        <v>1025692</v>
      </c>
    </row>
    <row r="15558" spans="1:6" ht="12.75">
      <c r="A15558" s="2">
        <v>43878.275671296295</v>
      </c>
      <c r="B15558" t="str">
        <f>HYPERLINK("https://twitter.com/WietMalik","@WietMalik")</f>
        <v>@WietMalik</v>
      </c>
      <c r="C15558" t="s">
        <v>7913</v>
      </c>
      <c r="D15558">
        <v>6</v>
      </c>
      <c r="E15558">
        <v>0</v>
      </c>
      <c r="F15558">
        <v>70</v>
      </c>
    </row>
    <row r="15559" spans="1:6" ht="12.75">
      <c r="A15559" s="2">
        <v>43878.275520833333</v>
      </c>
      <c r="B15559" t="str">
        <f>HYPERLINK("https://twitter.com/kakiangbagoes","@kakiangbagoes")</f>
        <v>@kakiangbagoes</v>
      </c>
      <c r="C15559" t="s">
        <v>2106</v>
      </c>
      <c r="D15559">
        <v>8</v>
      </c>
      <c r="E15559">
        <v>0</v>
      </c>
      <c r="F15559">
        <v>1031</v>
      </c>
    </row>
    <row r="15560" spans="1:6" ht="12.75">
      <c r="A15560" s="2">
        <v>43878.275277777779</v>
      </c>
      <c r="B15560" t="str">
        <f>HYPERLINK("https://twitter.com/antaranews","@antaranews")</f>
        <v>@antaranews</v>
      </c>
      <c r="C15560" t="s">
        <v>7914</v>
      </c>
      <c r="D15560">
        <v>1</v>
      </c>
      <c r="E15560">
        <v>1</v>
      </c>
      <c r="F15560">
        <v>1103557</v>
      </c>
    </row>
    <row r="15561" spans="1:6" ht="12.75">
      <c r="A15561" s="2">
        <v>43878.273865740739</v>
      </c>
      <c r="B15561" t="str">
        <f>HYPERLINK("https://twitter.com/mizibak","@mizibak")</f>
        <v>@mizibak</v>
      </c>
      <c r="C15561" t="s">
        <v>3150</v>
      </c>
      <c r="D15561">
        <v>410</v>
      </c>
      <c r="E15561">
        <v>0</v>
      </c>
      <c r="F15561">
        <v>466</v>
      </c>
    </row>
    <row r="15562" spans="1:6" ht="12.75">
      <c r="A15562" s="2">
        <v>43878.273587962962</v>
      </c>
      <c r="B15562" t="str">
        <f>HYPERLINK("https://twitter.com/johnsbhat234","@johnsbhat234")</f>
        <v>@johnsbhat234</v>
      </c>
      <c r="C15562" t="s">
        <v>2674</v>
      </c>
      <c r="D15562">
        <v>27</v>
      </c>
      <c r="E15562">
        <v>0</v>
      </c>
      <c r="F15562">
        <v>2229</v>
      </c>
    </row>
    <row r="15563" spans="1:6" ht="12.75">
      <c r="A15563" s="2">
        <v>43878.273518518516</v>
      </c>
      <c r="B15563" t="str">
        <f>HYPERLINK("https://twitter.com/tvri_maluku","@tvri_maluku")</f>
        <v>@tvri_maluku</v>
      </c>
      <c r="C15563" t="s">
        <v>7915</v>
      </c>
      <c r="D15563">
        <v>0</v>
      </c>
      <c r="E15563">
        <v>0</v>
      </c>
      <c r="F15563">
        <v>151</v>
      </c>
    </row>
    <row r="15564" spans="1:6" ht="12.75">
      <c r="A15564" s="2">
        <v>43878.273125</v>
      </c>
      <c r="B15564" t="str">
        <f>HYPERLINK("https://twitter.com/RizkiR4madani","@RizkiR4madani")</f>
        <v>@RizkiR4madani</v>
      </c>
      <c r="C15564" t="s">
        <v>2106</v>
      </c>
      <c r="D15564">
        <v>8</v>
      </c>
      <c r="E15564">
        <v>0</v>
      </c>
      <c r="F15564">
        <v>3715</v>
      </c>
    </row>
    <row r="15565" spans="1:6" ht="12.75">
      <c r="A15565" s="2">
        <v>43878.272604166668</v>
      </c>
      <c r="B15565" t="str">
        <f>HYPERLINK("https://twitter.com/SahertianDaisy","@SahertianDaisy")</f>
        <v>@SahertianDaisy</v>
      </c>
      <c r="C15565" t="s">
        <v>7916</v>
      </c>
      <c r="D15565">
        <v>0</v>
      </c>
      <c r="E15565">
        <v>0</v>
      </c>
      <c r="F15565">
        <v>51</v>
      </c>
    </row>
    <row r="15566" spans="1:6" ht="12.75">
      <c r="A15566" s="2">
        <v>43878.272569444445</v>
      </c>
      <c r="B15566" t="str">
        <f>HYPERLINK("https://twitter.com/eka_dini722","@eka_dini722")</f>
        <v>@eka_dini722</v>
      </c>
      <c r="C15566" t="s">
        <v>2105</v>
      </c>
      <c r="D15566">
        <v>3</v>
      </c>
      <c r="E15566">
        <v>0</v>
      </c>
      <c r="F15566">
        <v>2312</v>
      </c>
    </row>
    <row r="15567" spans="1:6" ht="12.75">
      <c r="A15567" s="2">
        <v>43878.272361111114</v>
      </c>
      <c r="B15567" t="str">
        <f>HYPERLINK("https://twitter.com/whidy_an","@whidy_an")</f>
        <v>@whidy_an</v>
      </c>
      <c r="C15567" t="s">
        <v>7917</v>
      </c>
      <c r="D15567">
        <v>0</v>
      </c>
      <c r="E15567">
        <v>1</v>
      </c>
      <c r="F15567">
        <v>1281</v>
      </c>
    </row>
    <row r="15568" spans="1:6" ht="12.75">
      <c r="A15568" s="2">
        <v>43878.272106481483</v>
      </c>
      <c r="B15568" t="str">
        <f>HYPERLINK("https://twitter.com/eka_dini722","@eka_dini722")</f>
        <v>@eka_dini722</v>
      </c>
      <c r="C15568" t="s">
        <v>2106</v>
      </c>
      <c r="D15568">
        <v>8</v>
      </c>
      <c r="E15568">
        <v>0</v>
      </c>
      <c r="F15568">
        <v>2312</v>
      </c>
    </row>
    <row r="15569" spans="1:6" ht="12.75">
      <c r="A15569" s="2">
        <v>43878.271874999999</v>
      </c>
      <c r="B15569" t="str">
        <f>HYPERLINK("https://twitter.com/RizkiR4madani","@RizkiR4madani")</f>
        <v>@RizkiR4madani</v>
      </c>
      <c r="C15569" t="s">
        <v>2107</v>
      </c>
      <c r="D15569">
        <v>4</v>
      </c>
      <c r="E15569">
        <v>0</v>
      </c>
      <c r="F15569">
        <v>3715</v>
      </c>
    </row>
    <row r="15570" spans="1:6" ht="12.75">
      <c r="A15570" s="2">
        <v>43878.27171296296</v>
      </c>
      <c r="B15570" t="str">
        <f>HYPERLINK("https://twitter.com/eka_dini722","@eka_dini722")</f>
        <v>@eka_dini722</v>
      </c>
      <c r="C15570" t="s">
        <v>2107</v>
      </c>
      <c r="D15570">
        <v>4</v>
      </c>
      <c r="E15570">
        <v>0</v>
      </c>
      <c r="F15570">
        <v>2312</v>
      </c>
    </row>
    <row r="15571" spans="1:6" ht="12.75">
      <c r="A15571" s="2">
        <v>43878.270821759259</v>
      </c>
      <c r="B15571" t="str">
        <f>HYPERLINK("https://twitter.com/yanahilman2","@yanahilman2")</f>
        <v>@yanahilman2</v>
      </c>
      <c r="C15571" t="s">
        <v>2674</v>
      </c>
      <c r="D15571">
        <v>27</v>
      </c>
      <c r="E15571">
        <v>0</v>
      </c>
      <c r="F15571">
        <v>4225</v>
      </c>
    </row>
    <row r="15572" spans="1:6" ht="12.75">
      <c r="A15572" s="2">
        <v>43878.270636574074</v>
      </c>
      <c r="B15572" t="str">
        <f>HYPERLINK("https://twitter.com/pahrirreza","@pahrirreza")</f>
        <v>@pahrirreza</v>
      </c>
      <c r="C15572" t="s">
        <v>7918</v>
      </c>
      <c r="D15572">
        <v>0</v>
      </c>
      <c r="E15572">
        <v>0</v>
      </c>
      <c r="F15572">
        <v>20</v>
      </c>
    </row>
    <row r="15573" spans="1:6" ht="12.75">
      <c r="A15573" s="2">
        <v>43878.270532407405</v>
      </c>
      <c r="B15573" t="str">
        <f>HYPERLINK("https://twitter.com/PancasilaQu","@PancasilaQu")</f>
        <v>@PancasilaQu</v>
      </c>
      <c r="C15573" t="s">
        <v>6989</v>
      </c>
      <c r="D15573">
        <v>189</v>
      </c>
      <c r="E15573">
        <v>0</v>
      </c>
      <c r="F15573">
        <v>795</v>
      </c>
    </row>
    <row r="15574" spans="1:6" ht="12.75">
      <c r="A15574" s="2">
        <v>43878.270115740743</v>
      </c>
      <c r="B15574" t="str">
        <f>HYPERLINK("https://twitter.com/AdutSuradut1","@AdutSuradut1")</f>
        <v>@AdutSuradut1</v>
      </c>
      <c r="C15574" t="s">
        <v>7919</v>
      </c>
      <c r="D15574">
        <v>0</v>
      </c>
      <c r="E15574">
        <v>1</v>
      </c>
      <c r="F15574">
        <v>622</v>
      </c>
    </row>
    <row r="15575" spans="1:6" ht="12.75">
      <c r="A15575" s="2">
        <v>43878.269872685181</v>
      </c>
      <c r="B15575" t="str">
        <f>HYPERLINK("https://twitter.com/hppurba","@hppurba")</f>
        <v>@hppurba</v>
      </c>
      <c r="C15575" t="s">
        <v>7920</v>
      </c>
      <c r="D15575">
        <v>0</v>
      </c>
      <c r="E15575">
        <v>0</v>
      </c>
      <c r="F15575">
        <v>46</v>
      </c>
    </row>
    <row r="15576" spans="1:6" ht="12.75">
      <c r="A15576" s="2">
        <v>43878.269861111112</v>
      </c>
      <c r="B15576" t="str">
        <f>HYPERLINK("https://twitter.com/OShidiq","@OShidiq")</f>
        <v>@OShidiq</v>
      </c>
      <c r="C15576" t="s">
        <v>2674</v>
      </c>
      <c r="D15576">
        <v>27</v>
      </c>
      <c r="E15576">
        <v>0</v>
      </c>
      <c r="F15576">
        <v>2173</v>
      </c>
    </row>
    <row r="15577" spans="1:6" ht="12.75">
      <c r="A15577" s="2">
        <v>43878.268912037034</v>
      </c>
      <c r="B15577" t="str">
        <f>HYPERLINK("https://twitter.com/warsid22","@warsid22")</f>
        <v>@warsid22</v>
      </c>
      <c r="C15577" t="s">
        <v>7195</v>
      </c>
      <c r="D15577">
        <v>11</v>
      </c>
      <c r="E15577">
        <v>0</v>
      </c>
      <c r="F15577">
        <v>979</v>
      </c>
    </row>
    <row r="15578" spans="1:6" ht="12.75">
      <c r="A15578" s="2">
        <v>43878.268831018519</v>
      </c>
      <c r="B15578" t="str">
        <f>HYPERLINK("https://twitter.com/NicoDwiP","@NicoDwiP")</f>
        <v>@NicoDwiP</v>
      </c>
      <c r="C15578" t="s">
        <v>7921</v>
      </c>
      <c r="D15578">
        <v>2</v>
      </c>
      <c r="E15578">
        <v>0</v>
      </c>
      <c r="F15578">
        <v>207</v>
      </c>
    </row>
    <row r="15579" spans="1:6" ht="12.75">
      <c r="A15579" s="2">
        <v>43878.26834490741</v>
      </c>
      <c r="B15579" t="str">
        <f>HYPERLINK("https://twitter.com/K_Muslim_UNRAM","@K_Muslim_UNRAM")</f>
        <v>@K_Muslim_UNRAM</v>
      </c>
      <c r="C15579" t="s">
        <v>3396</v>
      </c>
      <c r="D15579">
        <v>40</v>
      </c>
      <c r="E15579">
        <v>0</v>
      </c>
      <c r="F15579">
        <v>1449</v>
      </c>
    </row>
    <row r="15580" spans="1:6" ht="12.75">
      <c r="A15580" s="2">
        <v>43878.268182870372</v>
      </c>
      <c r="B15580" t="str">
        <f>HYPERLINK("https://twitter.com/yoris_ab","@yoris_ab")</f>
        <v>@yoris_ab</v>
      </c>
      <c r="C15580" t="s">
        <v>7129</v>
      </c>
      <c r="D15580">
        <v>7</v>
      </c>
      <c r="E15580">
        <v>0</v>
      </c>
      <c r="F15580">
        <v>1696</v>
      </c>
    </row>
    <row r="15581" spans="1:6" ht="12.75">
      <c r="A15581" s="2">
        <v>43878.265960648147</v>
      </c>
      <c r="B15581" t="str">
        <f>HYPERLINK("https://twitter.com/Ramayan63810275","@Ramayan63810275")</f>
        <v>@Ramayan63810275</v>
      </c>
      <c r="C15581" t="s">
        <v>2106</v>
      </c>
      <c r="D15581">
        <v>8</v>
      </c>
      <c r="E15581">
        <v>0</v>
      </c>
      <c r="F15581">
        <v>1709</v>
      </c>
    </row>
    <row r="15582" spans="1:6" ht="12.75">
      <c r="A15582" s="2">
        <v>43878.265740740739</v>
      </c>
      <c r="B15582" t="str">
        <f t="shared" ref="B15582:B15583" si="268">HYPERLINK("https://twitter.com/Widiatis279","@Widiatis279")</f>
        <v>@Widiatis279</v>
      </c>
      <c r="C15582" t="s">
        <v>2105</v>
      </c>
      <c r="D15582">
        <v>3</v>
      </c>
      <c r="E15582">
        <v>0</v>
      </c>
      <c r="F15582">
        <v>729</v>
      </c>
    </row>
    <row r="15583" spans="1:6" ht="12.75">
      <c r="A15583" s="2">
        <v>43878.265092592592</v>
      </c>
      <c r="B15583" t="str">
        <f t="shared" si="268"/>
        <v>@Widiatis279</v>
      </c>
      <c r="C15583" t="s">
        <v>2106</v>
      </c>
      <c r="D15583">
        <v>8</v>
      </c>
      <c r="E15583">
        <v>0</v>
      </c>
      <c r="F15583">
        <v>729</v>
      </c>
    </row>
    <row r="15584" spans="1:6" ht="12.75">
      <c r="A15584" s="2">
        <v>43878.263564814813</v>
      </c>
      <c r="B15584" t="str">
        <f>HYPERLINK("https://twitter.com/kla10_","@kla10_")</f>
        <v>@kla10_</v>
      </c>
      <c r="C15584" t="s">
        <v>7922</v>
      </c>
      <c r="D15584">
        <v>0</v>
      </c>
      <c r="E15584">
        <v>0</v>
      </c>
      <c r="F15584">
        <v>10192</v>
      </c>
    </row>
    <row r="15585" spans="1:6" ht="12.75">
      <c r="A15585" s="2">
        <v>43878.263333333336</v>
      </c>
      <c r="B15585" t="str">
        <f>HYPERLINK("https://twitter.com/Rahmah_Kartikas","@Rahmah_Kartikas")</f>
        <v>@Rahmah_Kartikas</v>
      </c>
      <c r="C15585" t="s">
        <v>7923</v>
      </c>
      <c r="D15585">
        <v>7</v>
      </c>
      <c r="E15585">
        <v>0</v>
      </c>
      <c r="F15585">
        <v>4</v>
      </c>
    </row>
    <row r="15586" spans="1:6" ht="12.75">
      <c r="A15586" s="2">
        <v>43878.263113425928</v>
      </c>
      <c r="B15586" t="str">
        <f>HYPERLINK("https://twitter.com/helena_pigott","@helena_pigott")</f>
        <v>@helena_pigott</v>
      </c>
      <c r="C15586" t="s">
        <v>3150</v>
      </c>
      <c r="D15586">
        <v>410</v>
      </c>
      <c r="E15586">
        <v>0</v>
      </c>
      <c r="F15586">
        <v>693</v>
      </c>
    </row>
    <row r="15587" spans="1:6" ht="12.75">
      <c r="A15587" s="2">
        <v>43878.262974537036</v>
      </c>
      <c r="B15587" t="str">
        <f t="shared" ref="B15587:B15588" si="269">HYPERLINK("https://twitter.com/dubie_tina","@dubie_tina")</f>
        <v>@dubie_tina</v>
      </c>
      <c r="C15587" t="s">
        <v>7339</v>
      </c>
      <c r="D15587">
        <v>2</v>
      </c>
      <c r="E15587">
        <v>0</v>
      </c>
      <c r="F15587">
        <v>1028</v>
      </c>
    </row>
    <row r="15588" spans="1:6" ht="12.75">
      <c r="A15588" s="2">
        <v>43878.262789351851</v>
      </c>
      <c r="B15588" t="str">
        <f t="shared" si="269"/>
        <v>@dubie_tina</v>
      </c>
      <c r="C15588" t="s">
        <v>7924</v>
      </c>
      <c r="D15588">
        <v>2</v>
      </c>
      <c r="E15588">
        <v>2</v>
      </c>
      <c r="F15588">
        <v>1028</v>
      </c>
    </row>
    <row r="15589" spans="1:6" ht="12.75">
      <c r="A15589" s="2">
        <v>43878.262083333335</v>
      </c>
      <c r="B15589" t="str">
        <f>HYPERLINK("https://twitter.com/gogorigok_","@gogorigok_")</f>
        <v>@gogorigok_</v>
      </c>
      <c r="C15589" t="s">
        <v>2147</v>
      </c>
      <c r="D15589">
        <v>547</v>
      </c>
      <c r="E15589">
        <v>0</v>
      </c>
      <c r="F15589">
        <v>3</v>
      </c>
    </row>
    <row r="15590" spans="1:6" ht="12.75">
      <c r="A15590" s="2">
        <v>43878.261053240742</v>
      </c>
      <c r="B15590" t="str">
        <f>HYPERLINK("https://twitter.com/__MV_llestari__","@__MV_llestari__")</f>
        <v>@__MV_llestari__</v>
      </c>
      <c r="C15590" t="s">
        <v>7925</v>
      </c>
      <c r="D15590">
        <v>3</v>
      </c>
      <c r="E15590">
        <v>9</v>
      </c>
      <c r="F15590">
        <v>8061</v>
      </c>
    </row>
    <row r="15591" spans="1:6" ht="12.75">
      <c r="A15591" s="2">
        <v>43878.260428240741</v>
      </c>
      <c r="B15591" t="str">
        <f>HYPERLINK("https://twitter.com/rmol_id","@rmol_id")</f>
        <v>@rmol_id</v>
      </c>
      <c r="C15591" t="s">
        <v>7926</v>
      </c>
      <c r="D15591">
        <v>0</v>
      </c>
      <c r="E15591">
        <v>3</v>
      </c>
      <c r="F15591">
        <v>162049</v>
      </c>
    </row>
    <row r="15592" spans="1:6" ht="12.75">
      <c r="A15592" s="2">
        <v>43878.260405092587</v>
      </c>
      <c r="B15592" t="str">
        <f>HYPERLINK("https://twitter.com/hendra235","@hendra235")</f>
        <v>@hendra235</v>
      </c>
      <c r="C15592" t="s">
        <v>7927</v>
      </c>
      <c r="D15592">
        <v>3</v>
      </c>
      <c r="E15592">
        <v>0</v>
      </c>
      <c r="F15592">
        <v>292</v>
      </c>
    </row>
    <row r="15593" spans="1:6" ht="12.75">
      <c r="A15593" s="2">
        <v>43878.259502314817</v>
      </c>
      <c r="B15593" t="str">
        <f>HYPERLINK("https://twitter.com/ZSendang","@ZSendang")</f>
        <v>@ZSendang</v>
      </c>
      <c r="C15593" t="s">
        <v>6989</v>
      </c>
      <c r="D15593">
        <v>189</v>
      </c>
      <c r="E15593">
        <v>0</v>
      </c>
      <c r="F15593">
        <v>1573</v>
      </c>
    </row>
    <row r="15594" spans="1:6" ht="12.75">
      <c r="A15594" s="2">
        <v>43878.259189814809</v>
      </c>
      <c r="B15594" t="str">
        <f>HYPERLINK("https://twitter.com/HasanZLah","@HasanZLah")</f>
        <v>@HasanZLah</v>
      </c>
      <c r="C15594" t="s">
        <v>6989</v>
      </c>
      <c r="D15594">
        <v>189</v>
      </c>
      <c r="E15594">
        <v>0</v>
      </c>
      <c r="F15594">
        <v>1868</v>
      </c>
    </row>
    <row r="15595" spans="1:6" ht="12.75">
      <c r="A15595" s="2">
        <v>43878.259027777778</v>
      </c>
      <c r="B15595" t="str">
        <f>HYPERLINK("https://twitter.com/mrs2508008","@mrs2508008")</f>
        <v>@mrs2508008</v>
      </c>
      <c r="C15595" t="s">
        <v>2106</v>
      </c>
      <c r="D15595">
        <v>8</v>
      </c>
      <c r="E15595">
        <v>0</v>
      </c>
      <c r="F15595">
        <v>1699</v>
      </c>
    </row>
    <row r="15596" spans="1:6" ht="12.75">
      <c r="A15596" s="2">
        <v>43878.257349537038</v>
      </c>
      <c r="B15596" t="str">
        <f>HYPERLINK("https://twitter.com/KEZIAAM0UR","@KEZIAAM0UR")</f>
        <v>@KEZIAAM0UR</v>
      </c>
      <c r="C15596" t="s">
        <v>7928</v>
      </c>
      <c r="D15596">
        <v>0</v>
      </c>
      <c r="E15596">
        <v>0</v>
      </c>
      <c r="F15596">
        <v>100</v>
      </c>
    </row>
    <row r="15597" spans="1:6" ht="12.75">
      <c r="A15597" s="2">
        <v>43878.257164351853</v>
      </c>
      <c r="B15597" t="str">
        <f>HYPERLINK("https://twitter.com/AyasSipenk","@AyasSipenk")</f>
        <v>@AyasSipenk</v>
      </c>
      <c r="C15597" t="s">
        <v>2674</v>
      </c>
      <c r="D15597">
        <v>27</v>
      </c>
      <c r="E15597">
        <v>0</v>
      </c>
      <c r="F15597">
        <v>1383</v>
      </c>
    </row>
    <row r="15598" spans="1:6" ht="12.75">
      <c r="A15598" s="2">
        <v>43878.256481481483</v>
      </c>
      <c r="B15598" t="str">
        <f>HYPERLINK("https://twitter.com/zaidankarim","@zaidankarim")</f>
        <v>@zaidankarim</v>
      </c>
      <c r="C15598" t="s">
        <v>7929</v>
      </c>
      <c r="D15598">
        <v>0</v>
      </c>
      <c r="E15598">
        <v>0</v>
      </c>
      <c r="F15598">
        <v>107</v>
      </c>
    </row>
    <row r="15599" spans="1:6" ht="12.75">
      <c r="A15599" s="2">
        <v>43878.256157407406</v>
      </c>
      <c r="B15599" t="str">
        <f>HYPERLINK("https://twitter.com/rio_ayong","@rio_ayong")</f>
        <v>@rio_ayong</v>
      </c>
      <c r="C15599" t="s">
        <v>3396</v>
      </c>
      <c r="D15599">
        <v>40</v>
      </c>
      <c r="E15599">
        <v>0</v>
      </c>
      <c r="F15599">
        <v>179</v>
      </c>
    </row>
    <row r="15600" spans="1:6" ht="12.75">
      <c r="A15600" s="2">
        <v>43878.256064814814</v>
      </c>
      <c r="B15600" t="str">
        <f>HYPERLINK("https://twitter.com/__MV_llestari__","@__MV_llestari__")</f>
        <v>@__MV_llestari__</v>
      </c>
      <c r="C15600" t="s">
        <v>7930</v>
      </c>
      <c r="D15600">
        <v>8</v>
      </c>
      <c r="E15600">
        <v>18</v>
      </c>
      <c r="F15600">
        <v>8061</v>
      </c>
    </row>
    <row r="15601" spans="1:6" ht="12.75">
      <c r="A15601" s="2">
        <v>43878.255856481483</v>
      </c>
      <c r="B15601" t="str">
        <f>HYPERLINK("https://twitter.com/eddy_wees","@eddy_wees")</f>
        <v>@eddy_wees</v>
      </c>
      <c r="C15601" t="s">
        <v>7931</v>
      </c>
      <c r="D15601">
        <v>0</v>
      </c>
      <c r="E15601">
        <v>0</v>
      </c>
      <c r="F15601">
        <v>219</v>
      </c>
    </row>
    <row r="15602" spans="1:6" ht="12.75">
      <c r="A15602" s="2">
        <v>43878.255682870367</v>
      </c>
      <c r="B15602" t="str">
        <f>HYPERLINK("https://twitter.com/harisSiyahya","@harisSiyahya")</f>
        <v>@harisSiyahya</v>
      </c>
      <c r="C15602" t="s">
        <v>7932</v>
      </c>
      <c r="D15602">
        <v>0</v>
      </c>
      <c r="E15602">
        <v>0</v>
      </c>
      <c r="F15602">
        <v>743</v>
      </c>
    </row>
    <row r="15603" spans="1:6" ht="12.75">
      <c r="A15603" s="2">
        <v>43878.255555555559</v>
      </c>
      <c r="B15603" t="str">
        <f>HYPERLINK("https://twitter.com/the_geotimes","@the_geotimes")</f>
        <v>@the_geotimes</v>
      </c>
      <c r="C15603" t="s">
        <v>7933</v>
      </c>
      <c r="D15603">
        <v>0</v>
      </c>
      <c r="E15603">
        <v>0</v>
      </c>
      <c r="F15603">
        <v>49379</v>
      </c>
    </row>
    <row r="15604" spans="1:6" ht="12.75">
      <c r="A15604" s="2">
        <v>43878.255416666667</v>
      </c>
      <c r="B15604" t="str">
        <f>HYPERLINK("https://twitter.com/AlvonzOnibala","@AlvonzOnibala")</f>
        <v>@AlvonzOnibala</v>
      </c>
      <c r="C15604" t="s">
        <v>7934</v>
      </c>
      <c r="D15604">
        <v>0</v>
      </c>
      <c r="E15604">
        <v>0</v>
      </c>
      <c r="F15604">
        <v>0</v>
      </c>
    </row>
    <row r="15605" spans="1:6" ht="12.75">
      <c r="A15605" s="2">
        <v>43878.251493055555</v>
      </c>
      <c r="B15605" t="str">
        <f>HYPERLINK("https://twitter.com/tjhinfar21","@tjhinfar21")</f>
        <v>@tjhinfar21</v>
      </c>
      <c r="C15605" t="s">
        <v>2674</v>
      </c>
      <c r="D15605">
        <v>11</v>
      </c>
      <c r="E15605">
        <v>0</v>
      </c>
      <c r="F15605">
        <v>14647</v>
      </c>
    </row>
    <row r="15606" spans="1:6" ht="12.75">
      <c r="A15606" s="2">
        <v>43878.250810185185</v>
      </c>
      <c r="B15606" t="str">
        <f>HYPERLINK("https://twitter.com/yanahilman2","@yanahilman2")</f>
        <v>@yanahilman2</v>
      </c>
      <c r="C15606" t="s">
        <v>6338</v>
      </c>
      <c r="D15606">
        <v>777</v>
      </c>
      <c r="E15606">
        <v>0</v>
      </c>
      <c r="F15606">
        <v>4225</v>
      </c>
    </row>
    <row r="15607" spans="1:6" ht="12.75">
      <c r="A15607" s="2">
        <v>43878.250717592593</v>
      </c>
      <c r="B15607" t="str">
        <f>HYPERLINK("https://twitter.com/Cahkuwut","@Cahkuwut")</f>
        <v>@Cahkuwut</v>
      </c>
      <c r="C15607" t="s">
        <v>2674</v>
      </c>
      <c r="D15607">
        <v>11</v>
      </c>
      <c r="E15607">
        <v>0</v>
      </c>
      <c r="F15607">
        <v>657</v>
      </c>
    </row>
    <row r="15608" spans="1:6" ht="12.75">
      <c r="A15608" s="2">
        <v>43878.250092592592</v>
      </c>
      <c r="B15608" t="str">
        <f>HYPERLINK("https://twitter.com/LaingenLisa","@LaingenLisa")</f>
        <v>@LaingenLisa</v>
      </c>
      <c r="C15608" t="s">
        <v>3396</v>
      </c>
      <c r="D15608">
        <v>35</v>
      </c>
      <c r="E15608">
        <v>0</v>
      </c>
      <c r="F15608">
        <v>3016</v>
      </c>
    </row>
    <row r="15609" spans="1:6" ht="12.75">
      <c r="A15609" s="2">
        <v>43878.250023148154</v>
      </c>
      <c r="B15609" t="str">
        <f>HYPERLINK("https://twitter.com/TribunNew5","@TribunNew5")</f>
        <v>@TribunNew5</v>
      </c>
      <c r="C15609" t="s">
        <v>7935</v>
      </c>
      <c r="D15609">
        <v>0</v>
      </c>
      <c r="E15609">
        <v>0</v>
      </c>
      <c r="F15609">
        <v>518</v>
      </c>
    </row>
    <row r="15610" spans="1:6" ht="12.75">
      <c r="A15610" s="2">
        <v>43878.248715277776</v>
      </c>
      <c r="B15610" t="str">
        <f>HYPERLINK("https://twitter.com/Farhanst4","@Farhanst4")</f>
        <v>@Farhanst4</v>
      </c>
      <c r="C15610" t="s">
        <v>7936</v>
      </c>
      <c r="D15610">
        <v>0</v>
      </c>
      <c r="E15610">
        <v>0</v>
      </c>
      <c r="F15610">
        <v>35</v>
      </c>
    </row>
    <row r="15611" spans="1:6" ht="12.75">
      <c r="A15611" s="2">
        <v>43878.248043981483</v>
      </c>
      <c r="B15611" t="str">
        <f>HYPERLINK("https://twitter.com/redywanjames","@redywanjames")</f>
        <v>@redywanjames</v>
      </c>
      <c r="C15611" t="s">
        <v>7937</v>
      </c>
      <c r="D15611">
        <v>2</v>
      </c>
      <c r="E15611">
        <v>0</v>
      </c>
      <c r="F15611">
        <v>740</v>
      </c>
    </row>
    <row r="15612" spans="1:6" ht="12.75">
      <c r="A15612" s="2">
        <v>43878.247361111113</v>
      </c>
      <c r="B15612" t="str">
        <f>HYPERLINK("https://twitter.com/Walesrocs","@Walesrocs")</f>
        <v>@Walesrocs</v>
      </c>
      <c r="C15612" t="s">
        <v>3150</v>
      </c>
      <c r="D15612">
        <v>405</v>
      </c>
      <c r="E15612">
        <v>0</v>
      </c>
      <c r="F15612">
        <v>297</v>
      </c>
    </row>
    <row r="15613" spans="1:6" ht="12.75">
      <c r="A15613" s="2">
        <v>43878.247303240743</v>
      </c>
      <c r="B15613" t="str">
        <f>HYPERLINK("https://twitter.com/ukneeds","@ukneeds")</f>
        <v>@ukneeds</v>
      </c>
      <c r="C15613" t="s">
        <v>3150</v>
      </c>
      <c r="D15613">
        <v>405</v>
      </c>
      <c r="E15613">
        <v>0</v>
      </c>
      <c r="F15613">
        <v>5071</v>
      </c>
    </row>
    <row r="15614" spans="1:6" ht="12.75">
      <c r="A15614" s="2">
        <v>43878.247245370367</v>
      </c>
      <c r="B15614" t="str">
        <f>HYPERLINK("https://twitter.com/sukron_ab","@sukron_ab")</f>
        <v>@sukron_ab</v>
      </c>
      <c r="C15614" t="s">
        <v>2674</v>
      </c>
      <c r="D15614">
        <v>11</v>
      </c>
      <c r="E15614">
        <v>0</v>
      </c>
      <c r="F15614">
        <v>5240</v>
      </c>
    </row>
    <row r="15615" spans="1:6" ht="12.75">
      <c r="A15615" s="2">
        <v>43878.247233796297</v>
      </c>
      <c r="B15615" t="str">
        <f>HYPERLINK("https://twitter.com/LiliMahali11","@LiliMahali11")</f>
        <v>@LiliMahali11</v>
      </c>
      <c r="C15615" t="s">
        <v>7938</v>
      </c>
      <c r="D15615">
        <v>0</v>
      </c>
      <c r="E15615">
        <v>0</v>
      </c>
      <c r="F15615">
        <v>2</v>
      </c>
    </row>
    <row r="15616" spans="1:6" ht="12.75">
      <c r="A15616" s="2">
        <v>43878.246921296297</v>
      </c>
      <c r="B15616" t="str">
        <f>HYPERLINK("https://twitter.com/MVVZ3","@MVVZ3")</f>
        <v>@MVVZ3</v>
      </c>
      <c r="C15616" t="s">
        <v>7195</v>
      </c>
      <c r="D15616">
        <v>9</v>
      </c>
      <c r="E15616">
        <v>0</v>
      </c>
      <c r="F15616">
        <v>1043</v>
      </c>
    </row>
    <row r="15617" spans="1:6" ht="12.75">
      <c r="A15617" s="2">
        <v>43878.246689814812</v>
      </c>
      <c r="B15617" t="str">
        <f>HYPERLINK("https://twitter.com/ediedot108","@ediedot108")</f>
        <v>@ediedot108</v>
      </c>
      <c r="C15617" t="s">
        <v>2674</v>
      </c>
      <c r="D15617">
        <v>11</v>
      </c>
      <c r="E15617">
        <v>0</v>
      </c>
      <c r="F15617">
        <v>2255</v>
      </c>
    </row>
    <row r="15618" spans="1:6" ht="12.75">
      <c r="A15618" s="2">
        <v>43878.246574074074</v>
      </c>
      <c r="B15618" t="str">
        <f>HYPERLINK("https://twitter.com/KontanNews","@KontanNews")</f>
        <v>@KontanNews</v>
      </c>
      <c r="C15618" t="s">
        <v>7939</v>
      </c>
      <c r="D15618">
        <v>0</v>
      </c>
      <c r="E15618">
        <v>0</v>
      </c>
      <c r="F15618">
        <v>316491</v>
      </c>
    </row>
    <row r="15619" spans="1:6" ht="12.75">
      <c r="A15619" s="2">
        <v>43878.245682870373</v>
      </c>
      <c r="B15619" t="str">
        <f>HYPERLINK("https://twitter.com/LaingenLisa","@LaingenLisa")</f>
        <v>@LaingenLisa</v>
      </c>
      <c r="C15619" t="s">
        <v>7940</v>
      </c>
      <c r="D15619">
        <v>7</v>
      </c>
      <c r="E15619">
        <v>0</v>
      </c>
      <c r="F15619">
        <v>3016</v>
      </c>
    </row>
    <row r="15620" spans="1:6" ht="12.75">
      <c r="A15620" s="2">
        <v>43878.245057870372</v>
      </c>
      <c r="B15620" t="str">
        <f>HYPERLINK("https://twitter.com/Mungcah_Angon","@Mungcah_Angon")</f>
        <v>@Mungcah_Angon</v>
      </c>
      <c r="C15620" t="s">
        <v>2674</v>
      </c>
      <c r="D15620">
        <v>11</v>
      </c>
      <c r="E15620">
        <v>0</v>
      </c>
      <c r="F15620">
        <v>97</v>
      </c>
    </row>
    <row r="15621" spans="1:6" ht="12.75">
      <c r="A15621" s="2">
        <v>43878.244155092594</v>
      </c>
      <c r="B15621" t="str">
        <f>HYPERLINK("https://twitter.com/katatodaycom","@katatodaycom")</f>
        <v>@katatodaycom</v>
      </c>
      <c r="C15621" t="s">
        <v>7941</v>
      </c>
      <c r="D15621">
        <v>0</v>
      </c>
      <c r="E15621">
        <v>0</v>
      </c>
      <c r="F15621">
        <v>938</v>
      </c>
    </row>
    <row r="15622" spans="1:6" ht="12.75">
      <c r="A15622" s="2">
        <v>43878.244062500002</v>
      </c>
      <c r="B15622" t="str">
        <f>HYPERLINK("https://twitter.com/wahhabicc_jabar","@wahhabicc_jabar")</f>
        <v>@wahhabicc_jabar</v>
      </c>
      <c r="C15622" t="s">
        <v>3396</v>
      </c>
      <c r="D15622">
        <v>35</v>
      </c>
      <c r="E15622">
        <v>0</v>
      </c>
      <c r="F15622">
        <v>30237</v>
      </c>
    </row>
    <row r="15623" spans="1:6" ht="12.75">
      <c r="A15623" s="2">
        <v>43878.24291666667</v>
      </c>
      <c r="B15623" t="str">
        <f>HYPERLINK("https://twitter.com/Wardiko","@Wardiko")</f>
        <v>@Wardiko</v>
      </c>
      <c r="C15623" t="s">
        <v>7942</v>
      </c>
      <c r="D15623">
        <v>0</v>
      </c>
      <c r="E15623">
        <v>0</v>
      </c>
      <c r="F15623">
        <v>21</v>
      </c>
    </row>
    <row r="15624" spans="1:6" ht="12.75">
      <c r="A15624" s="2">
        <v>43878.242893518516</v>
      </c>
      <c r="B15624" t="str">
        <f>HYPERLINK("https://twitter.com/MohAbdullahM","@MohAbdullahM")</f>
        <v>@MohAbdullahM</v>
      </c>
      <c r="C15624" t="s">
        <v>7943</v>
      </c>
      <c r="D15624">
        <v>0</v>
      </c>
      <c r="E15624">
        <v>0</v>
      </c>
      <c r="F15624">
        <v>6</v>
      </c>
    </row>
    <row r="15625" spans="1:6" ht="12.75">
      <c r="A15625" s="2">
        <v>43878.241076388891</v>
      </c>
      <c r="B15625" t="str">
        <f>HYPERLINK("https://twitter.com/adendidi58","@adendidi58")</f>
        <v>@adendidi58</v>
      </c>
      <c r="C15625" t="s">
        <v>7944</v>
      </c>
      <c r="D15625">
        <v>0</v>
      </c>
      <c r="E15625">
        <v>0</v>
      </c>
      <c r="F15625">
        <v>82</v>
      </c>
    </row>
    <row r="15626" spans="1:6" ht="12.75">
      <c r="A15626" s="2">
        <v>43878.240613425922</v>
      </c>
      <c r="B15626" t="str">
        <f>HYPERLINK("https://twitter.com/lord_sbt","@lord_sbt")</f>
        <v>@lord_sbt</v>
      </c>
      <c r="C15626" t="s">
        <v>3396</v>
      </c>
      <c r="D15626">
        <v>35</v>
      </c>
      <c r="E15626">
        <v>0</v>
      </c>
      <c r="F15626">
        <v>708</v>
      </c>
    </row>
    <row r="15627" spans="1:6" ht="12.75">
      <c r="A15627" s="2">
        <v>43878.240277777775</v>
      </c>
      <c r="B15627" t="str">
        <f>HYPERLINK("https://twitter.com/katamereka7","@katamereka7")</f>
        <v>@katamereka7</v>
      </c>
      <c r="C15627" t="s">
        <v>7945</v>
      </c>
      <c r="D15627">
        <v>0</v>
      </c>
      <c r="E15627">
        <v>0</v>
      </c>
      <c r="F15627">
        <v>300</v>
      </c>
    </row>
    <row r="15628" spans="1:6" ht="12.75">
      <c r="A15628" s="2">
        <v>43878.239351851851</v>
      </c>
      <c r="B15628" t="str">
        <f>HYPERLINK("https://twitter.com/Nobby_greens","@Nobby_greens")</f>
        <v>@Nobby_greens</v>
      </c>
      <c r="C15628" t="s">
        <v>3150</v>
      </c>
      <c r="D15628">
        <v>405</v>
      </c>
      <c r="E15628">
        <v>0</v>
      </c>
      <c r="F15628">
        <v>3753</v>
      </c>
    </row>
    <row r="15629" spans="1:6" ht="12.75">
      <c r="A15629" s="2">
        <v>43878.238275462965</v>
      </c>
      <c r="B15629" t="str">
        <f>HYPERLINK("https://twitter.com/SonHaji57795944","@SonHaji57795944")</f>
        <v>@SonHaji57795944</v>
      </c>
      <c r="C15629" t="s">
        <v>2674</v>
      </c>
      <c r="D15629">
        <v>11</v>
      </c>
      <c r="E15629">
        <v>0</v>
      </c>
      <c r="F15629">
        <v>127</v>
      </c>
    </row>
    <row r="15630" spans="1:6" ht="12.75">
      <c r="A15630" s="2">
        <v>43878.237928240742</v>
      </c>
      <c r="B15630" t="str">
        <f>HYPERLINK("https://twitter.com/inatamb49","@inatamb49")</f>
        <v>@inatamb49</v>
      </c>
      <c r="C15630" t="s">
        <v>7946</v>
      </c>
      <c r="D15630">
        <v>50</v>
      </c>
      <c r="E15630">
        <v>0</v>
      </c>
      <c r="F15630">
        <v>588</v>
      </c>
    </row>
    <row r="15631" spans="1:6" ht="12.75">
      <c r="A15631" s="2">
        <v>43878.237604166672</v>
      </c>
      <c r="B15631" t="str">
        <f>HYPERLINK("https://twitter.com/kafara666","@kafara666")</f>
        <v>@kafara666</v>
      </c>
      <c r="C15631" t="s">
        <v>7947</v>
      </c>
      <c r="D15631">
        <v>0</v>
      </c>
      <c r="E15631">
        <v>0</v>
      </c>
      <c r="F15631">
        <v>64</v>
      </c>
    </row>
    <row r="15632" spans="1:6" ht="12.75">
      <c r="A15632" s="2">
        <v>43878.237187499995</v>
      </c>
      <c r="B15632" t="str">
        <f>HYPERLINK("https://twitter.com/adityadwilksn","@adityadwilksn")</f>
        <v>@adityadwilksn</v>
      </c>
      <c r="C15632" t="s">
        <v>7948</v>
      </c>
      <c r="D15632">
        <v>0</v>
      </c>
      <c r="E15632">
        <v>0</v>
      </c>
      <c r="F15632">
        <v>129</v>
      </c>
    </row>
    <row r="15633" spans="1:6" ht="12.75">
      <c r="A15633" s="2">
        <v>43878.236747685187</v>
      </c>
      <c r="B15633" t="str">
        <f>HYPERLINK("https://twitter.com/Hayik02","@Hayik02")</f>
        <v>@Hayik02</v>
      </c>
      <c r="C15633" t="s">
        <v>6989</v>
      </c>
      <c r="D15633">
        <v>182</v>
      </c>
      <c r="E15633">
        <v>0</v>
      </c>
      <c r="F15633">
        <v>274</v>
      </c>
    </row>
    <row r="15634" spans="1:6" ht="12.75">
      <c r="A15634" s="2">
        <v>43878.236585648148</v>
      </c>
      <c r="B15634" t="str">
        <f>HYPERLINK("https://twitter.com/GenevaPhoenix","@GenevaPhoenix")</f>
        <v>@GenevaPhoenix</v>
      </c>
      <c r="C15634" t="s">
        <v>3150</v>
      </c>
      <c r="D15634">
        <v>405</v>
      </c>
      <c r="E15634">
        <v>0</v>
      </c>
      <c r="F15634">
        <v>2590</v>
      </c>
    </row>
    <row r="15635" spans="1:6" ht="12.75">
      <c r="A15635" s="2">
        <v>43878.236516203702</v>
      </c>
      <c r="B15635" t="str">
        <f t="shared" ref="B15635:B15636" si="270">HYPERLINK("https://twitter.com/katamereka7","@katamereka7")</f>
        <v>@katamereka7</v>
      </c>
      <c r="C15635" t="s">
        <v>7949</v>
      </c>
      <c r="D15635">
        <v>0</v>
      </c>
      <c r="E15635">
        <v>0</v>
      </c>
      <c r="F15635">
        <v>300</v>
      </c>
    </row>
    <row r="15636" spans="1:6" ht="12.75">
      <c r="A15636" s="2">
        <v>43878.236192129625</v>
      </c>
      <c r="B15636" t="str">
        <f t="shared" si="270"/>
        <v>@katamereka7</v>
      </c>
      <c r="C15636" t="s">
        <v>7950</v>
      </c>
      <c r="D15636">
        <v>0</v>
      </c>
      <c r="E15636">
        <v>0</v>
      </c>
      <c r="F15636">
        <v>300</v>
      </c>
    </row>
    <row r="15637" spans="1:6" ht="12.75">
      <c r="A15637" s="2">
        <v>43878.236087962963</v>
      </c>
      <c r="B15637" t="str">
        <f>HYPERLINK("https://twitter.com/sunankaliblanak","@sunankaliblanak")</f>
        <v>@sunankaliblanak</v>
      </c>
      <c r="C15637" t="s">
        <v>2674</v>
      </c>
      <c r="D15637">
        <v>11</v>
      </c>
      <c r="E15637">
        <v>0</v>
      </c>
      <c r="F15637">
        <v>410</v>
      </c>
    </row>
    <row r="15638" spans="1:6" ht="12.75">
      <c r="A15638" s="2">
        <v>43878.236087962963</v>
      </c>
      <c r="B15638" t="str">
        <f>HYPERLINK("https://twitter.com/isis_velay","@isis_velay")</f>
        <v>@isis_velay</v>
      </c>
      <c r="C15638" t="s">
        <v>7951</v>
      </c>
      <c r="D15638">
        <v>0</v>
      </c>
      <c r="E15638">
        <v>0</v>
      </c>
      <c r="F15638">
        <v>61</v>
      </c>
    </row>
    <row r="15639" spans="1:6" ht="12.75">
      <c r="A15639" s="2">
        <v>43878.236064814817</v>
      </c>
      <c r="B15639" t="str">
        <f>HYPERLINK("https://twitter.com/_Bakemono","@_Bakemono")</f>
        <v>@_Bakemono</v>
      </c>
      <c r="C15639" t="s">
        <v>3340</v>
      </c>
      <c r="D15639">
        <v>3</v>
      </c>
      <c r="E15639">
        <v>0</v>
      </c>
      <c r="F15639">
        <v>819</v>
      </c>
    </row>
    <row r="15640" spans="1:6" ht="12.75">
      <c r="A15640" s="2">
        <v>43878.235648148147</v>
      </c>
      <c r="B15640" t="str">
        <f>HYPERLINK("https://twitter.com/screindipity","@screindipity")</f>
        <v>@screindipity</v>
      </c>
      <c r="C15640" t="s">
        <v>7905</v>
      </c>
      <c r="D15640">
        <v>97</v>
      </c>
      <c r="E15640">
        <v>0</v>
      </c>
      <c r="F15640">
        <v>153</v>
      </c>
    </row>
    <row r="15641" spans="1:6" ht="12.75">
      <c r="A15641" s="2">
        <v>43878.234930555554</v>
      </c>
      <c r="B15641" t="str">
        <f>HYPERLINK("https://twitter.com/J4lakBali","@J4lakBali")</f>
        <v>@J4lakBali</v>
      </c>
      <c r="C15641" t="s">
        <v>2674</v>
      </c>
      <c r="D15641">
        <v>11</v>
      </c>
      <c r="E15641">
        <v>0</v>
      </c>
      <c r="F15641">
        <v>2562</v>
      </c>
    </row>
    <row r="15642" spans="1:6" ht="12.75">
      <c r="A15642" s="2">
        <v>43878.234722222223</v>
      </c>
      <c r="B15642" t="str">
        <f>HYPERLINK("https://twitter.com/27Ichoe","@27Ichoe")</f>
        <v>@27Ichoe</v>
      </c>
      <c r="C15642" t="s">
        <v>6989</v>
      </c>
      <c r="D15642">
        <v>182</v>
      </c>
      <c r="E15642">
        <v>0</v>
      </c>
      <c r="F15642">
        <v>310</v>
      </c>
    </row>
    <row r="15643" spans="1:6" ht="12.75">
      <c r="A15643" s="2">
        <v>43878.233472222222</v>
      </c>
      <c r="B15643" t="str">
        <f>HYPERLINK("https://twitter.com/JokoFighter01","@JokoFighter01")</f>
        <v>@JokoFighter01</v>
      </c>
      <c r="C15643" t="s">
        <v>3396</v>
      </c>
      <c r="D15643">
        <v>35</v>
      </c>
      <c r="E15643">
        <v>0</v>
      </c>
      <c r="F15643">
        <v>533</v>
      </c>
    </row>
    <row r="15644" spans="1:6" ht="12.75">
      <c r="A15644" s="2">
        <v>43878.233287037037</v>
      </c>
      <c r="B15644" t="str">
        <f>HYPERLINK("https://twitter.com/danieradienka","@danieradienka")</f>
        <v>@danieradienka</v>
      </c>
      <c r="C15644" t="s">
        <v>6338</v>
      </c>
      <c r="D15644">
        <v>777</v>
      </c>
      <c r="E15644">
        <v>0</v>
      </c>
      <c r="F15644">
        <v>212</v>
      </c>
    </row>
    <row r="15645" spans="1:6" ht="12.75">
      <c r="A15645" s="2">
        <v>43878.233194444445</v>
      </c>
      <c r="B15645" t="str">
        <f>HYPERLINK("https://twitter.com/04_prieslo","@04_prieslo")</f>
        <v>@04_prieslo</v>
      </c>
      <c r="C15645" t="s">
        <v>2674</v>
      </c>
      <c r="D15645">
        <v>11</v>
      </c>
      <c r="E15645">
        <v>0</v>
      </c>
      <c r="F15645">
        <v>1263</v>
      </c>
    </row>
    <row r="15646" spans="1:6" ht="12.75">
      <c r="A15646" s="2">
        <v>43878.232638888891</v>
      </c>
      <c r="B15646" t="str">
        <f>HYPERLINK("https://twitter.com/kompascom","@kompascom")</f>
        <v>@kompascom</v>
      </c>
      <c r="C15646" t="s">
        <v>7952</v>
      </c>
      <c r="D15646">
        <v>2</v>
      </c>
      <c r="E15646">
        <v>7</v>
      </c>
      <c r="F15646">
        <v>7500302</v>
      </c>
    </row>
    <row r="15647" spans="1:6" ht="12.75">
      <c r="A15647" s="2">
        <v>43878.232615740737</v>
      </c>
      <c r="B15647" t="str">
        <f>HYPERLINK("https://twitter.com/MasKip82","@MasKip82")</f>
        <v>@MasKip82</v>
      </c>
      <c r="C15647" t="s">
        <v>2674</v>
      </c>
      <c r="D15647">
        <v>11</v>
      </c>
      <c r="E15647">
        <v>0</v>
      </c>
      <c r="F15647">
        <v>76</v>
      </c>
    </row>
    <row r="15648" spans="1:6" ht="12.75">
      <c r="A15648" s="2">
        <v>43878.23133101852</v>
      </c>
      <c r="B15648" t="str">
        <f>HYPERLINK("https://twitter.com/Andikabaro","@Andikabaro")</f>
        <v>@Andikabaro</v>
      </c>
      <c r="C15648" t="s">
        <v>7953</v>
      </c>
      <c r="D15648">
        <v>0</v>
      </c>
      <c r="E15648">
        <v>0</v>
      </c>
      <c r="F15648">
        <v>4</v>
      </c>
    </row>
    <row r="15649" spans="1:6" ht="12.75">
      <c r="A15649" s="2">
        <v>43878.230937500004</v>
      </c>
      <c r="B15649" t="str">
        <f>HYPERLINK("https://twitter.com/KompasTV","@KompasTV")</f>
        <v>@KompasTV</v>
      </c>
      <c r="C15649" t="s">
        <v>7954</v>
      </c>
      <c r="D15649">
        <v>0</v>
      </c>
      <c r="E15649">
        <v>3</v>
      </c>
      <c r="F15649">
        <v>2942556</v>
      </c>
    </row>
    <row r="15650" spans="1:6" ht="12.75">
      <c r="A15650" s="2">
        <v>43878.230763888889</v>
      </c>
      <c r="B15650" t="str">
        <f>HYPERLINK("https://twitter.com/AnakKolong___","@AnakKolong___")</f>
        <v>@AnakKolong___</v>
      </c>
      <c r="C15650" t="s">
        <v>7955</v>
      </c>
      <c r="D15650">
        <v>11</v>
      </c>
      <c r="E15650">
        <v>34</v>
      </c>
      <c r="F15650">
        <v>5982</v>
      </c>
    </row>
    <row r="15651" spans="1:6" ht="12.75">
      <c r="A15651" s="2">
        <v>43878.230682870373</v>
      </c>
      <c r="B15651" t="str">
        <f>HYPERLINK("https://twitter.com/The_Warman","@The_Warman")</f>
        <v>@The_Warman</v>
      </c>
      <c r="C15651" t="s">
        <v>7195</v>
      </c>
      <c r="D15651">
        <v>9</v>
      </c>
      <c r="E15651">
        <v>0</v>
      </c>
      <c r="F15651">
        <v>1020</v>
      </c>
    </row>
    <row r="15652" spans="1:6" ht="12.75">
      <c r="A15652" s="2">
        <v>43878.229664351849</v>
      </c>
      <c r="B15652" t="str">
        <f>HYPERLINK("https://twitter.com/MJtuhMasJoko","@MJtuhMasJoko")</f>
        <v>@MJtuhMasJoko</v>
      </c>
      <c r="C15652" t="s">
        <v>7956</v>
      </c>
      <c r="D15652">
        <v>66</v>
      </c>
      <c r="E15652">
        <v>0</v>
      </c>
      <c r="F15652">
        <v>1036</v>
      </c>
    </row>
    <row r="15653" spans="1:6" ht="12.75">
      <c r="A15653" s="2">
        <v>43878.22960648148</v>
      </c>
      <c r="B15653" t="str">
        <f>HYPERLINK("https://twitter.com/96Jmfn","@96Jmfn")</f>
        <v>@96Jmfn</v>
      </c>
      <c r="C15653" t="s">
        <v>7957</v>
      </c>
      <c r="D15653">
        <v>0</v>
      </c>
      <c r="E15653">
        <v>0</v>
      </c>
      <c r="F15653">
        <v>6</v>
      </c>
    </row>
    <row r="15654" spans="1:6" ht="12.75">
      <c r="A15654" s="2">
        <v>43878.229189814811</v>
      </c>
      <c r="B15654" t="str">
        <f>HYPERLINK("https://twitter.com/SayHeiYu","@SayHeiYu")</f>
        <v>@SayHeiYu</v>
      </c>
      <c r="C15654" t="s">
        <v>7958</v>
      </c>
      <c r="D15654">
        <v>0</v>
      </c>
      <c r="E15654">
        <v>0</v>
      </c>
      <c r="F15654">
        <v>120167</v>
      </c>
    </row>
    <row r="15655" spans="1:6" ht="12.75">
      <c r="A15655" s="2">
        <v>43878.229085648149</v>
      </c>
      <c r="B15655" t="str">
        <f>HYPERLINK("https://twitter.com/ANDRE_OCTA_","@ANDRE_OCTA_")</f>
        <v>@ANDRE_OCTA_</v>
      </c>
      <c r="C15655" t="s">
        <v>7959</v>
      </c>
      <c r="D15655">
        <v>1</v>
      </c>
      <c r="E15655">
        <v>0</v>
      </c>
      <c r="F15655">
        <v>15929</v>
      </c>
    </row>
    <row r="15656" spans="1:6" ht="12.75">
      <c r="A15656" s="2">
        <v>43878.228043981479</v>
      </c>
      <c r="B15656" t="str">
        <f>HYPERLINK("https://twitter.com/aaroon1515","@aaroon1515")</f>
        <v>@aaroon1515</v>
      </c>
      <c r="C15656" t="s">
        <v>7960</v>
      </c>
      <c r="D15656">
        <v>0</v>
      </c>
      <c r="E15656">
        <v>0</v>
      </c>
      <c r="F15656">
        <v>0</v>
      </c>
    </row>
    <row r="15657" spans="1:6" ht="12.75">
      <c r="A15657" s="2">
        <v>43878.227951388893</v>
      </c>
      <c r="B15657" t="str">
        <f>HYPERLINK("https://twitter.com/ANDRE_OCTA_","@ANDRE_OCTA_")</f>
        <v>@ANDRE_OCTA_</v>
      </c>
      <c r="C15657" t="s">
        <v>7961</v>
      </c>
      <c r="D15657">
        <v>1</v>
      </c>
      <c r="E15657">
        <v>1</v>
      </c>
      <c r="F15657">
        <v>15929</v>
      </c>
    </row>
    <row r="15658" spans="1:6" ht="12.75">
      <c r="A15658" s="2">
        <v>43878.226331018523</v>
      </c>
      <c r="B15658" t="str">
        <f>HYPERLINK("https://twitter.com/anjares90","@anjares90")</f>
        <v>@anjares90</v>
      </c>
      <c r="C15658" t="s">
        <v>3396</v>
      </c>
      <c r="D15658">
        <v>35</v>
      </c>
      <c r="E15658">
        <v>0</v>
      </c>
      <c r="F15658">
        <v>666</v>
      </c>
    </row>
    <row r="15659" spans="1:6" ht="12.75">
      <c r="A15659" s="2">
        <v>43878.225914351853</v>
      </c>
      <c r="B15659" t="str">
        <f>HYPERLINK("https://twitter.com/MariaKennedyHe1","@MariaKennedyHe1")</f>
        <v>@MariaKennedyHe1</v>
      </c>
      <c r="C15659" t="s">
        <v>3150</v>
      </c>
      <c r="D15659">
        <v>405</v>
      </c>
      <c r="E15659">
        <v>0</v>
      </c>
      <c r="F15659">
        <v>1596</v>
      </c>
    </row>
    <row r="15660" spans="1:6" ht="12.75">
      <c r="A15660" s="2">
        <v>43878.225243055553</v>
      </c>
      <c r="B15660" t="str">
        <f>HYPERLINK("https://twitter.com/aaroon1515","@aaroon1515")</f>
        <v>@aaroon1515</v>
      </c>
      <c r="C15660" t="s">
        <v>7962</v>
      </c>
      <c r="D15660">
        <v>0</v>
      </c>
      <c r="E15660">
        <v>0</v>
      </c>
      <c r="F15660">
        <v>0</v>
      </c>
    </row>
    <row r="15661" spans="1:6" ht="12.75">
      <c r="A15661" s="2">
        <v>43878.224791666667</v>
      </c>
      <c r="B15661" t="str">
        <f>HYPERLINK("https://twitter.com/Mike_R_Garnett","@Mike_R_Garnett")</f>
        <v>@Mike_R_Garnett</v>
      </c>
      <c r="C15661" t="s">
        <v>3150</v>
      </c>
      <c r="D15661">
        <v>405</v>
      </c>
      <c r="E15661">
        <v>0</v>
      </c>
      <c r="F15661">
        <v>217</v>
      </c>
    </row>
    <row r="15662" spans="1:6" ht="12.75">
      <c r="A15662" s="2">
        <v>43878.224351851852</v>
      </c>
      <c r="B15662" t="str">
        <f>HYPERLINK("https://twitter.com/kurniaahmd","@kurniaahmd")</f>
        <v>@kurniaahmd</v>
      </c>
      <c r="C15662" t="s">
        <v>7963</v>
      </c>
      <c r="D15662">
        <v>0</v>
      </c>
      <c r="E15662">
        <v>0</v>
      </c>
      <c r="F15662">
        <v>66</v>
      </c>
    </row>
    <row r="15663" spans="1:6" ht="12.75">
      <c r="A15663" s="2">
        <v>43878.223530092597</v>
      </c>
      <c r="B15663" t="str">
        <f>HYPERLINK("https://twitter.com/dodi_ahmad07","@dodi_ahmad07")</f>
        <v>@dodi_ahmad07</v>
      </c>
      <c r="C15663" t="s">
        <v>3396</v>
      </c>
      <c r="D15663">
        <v>35</v>
      </c>
      <c r="E15663">
        <v>0</v>
      </c>
      <c r="F15663">
        <v>622</v>
      </c>
    </row>
    <row r="15664" spans="1:6" ht="12.75">
      <c r="A15664" s="2">
        <v>43878.222615740742</v>
      </c>
      <c r="B15664" t="str">
        <f>HYPERLINK("https://twitter.com/OShidiq","@OShidiq")</f>
        <v>@OShidiq</v>
      </c>
      <c r="C15664" t="s">
        <v>3396</v>
      </c>
      <c r="D15664">
        <v>35</v>
      </c>
      <c r="E15664">
        <v>0</v>
      </c>
      <c r="F15664">
        <v>2173</v>
      </c>
    </row>
    <row r="15665" spans="1:6" ht="12.75">
      <c r="A15665" s="2">
        <v>43878.22247685185</v>
      </c>
      <c r="B15665" t="str">
        <f>HYPERLINK("https://twitter.com/uulAJA","@uulAJA")</f>
        <v>@uulAJA</v>
      </c>
      <c r="C15665" t="s">
        <v>7964</v>
      </c>
      <c r="D15665">
        <v>0</v>
      </c>
      <c r="E15665">
        <v>0</v>
      </c>
      <c r="F15665">
        <v>33</v>
      </c>
    </row>
    <row r="15666" spans="1:6" ht="12.75">
      <c r="A15666" s="2">
        <v>43878.222337962958</v>
      </c>
      <c r="B15666" t="str">
        <f>HYPERLINK("https://twitter.com/beatrice_health","@beatrice_health")</f>
        <v>@beatrice_health</v>
      </c>
      <c r="C15666" t="s">
        <v>6989</v>
      </c>
      <c r="D15666">
        <v>182</v>
      </c>
      <c r="E15666">
        <v>0</v>
      </c>
      <c r="F15666">
        <v>143</v>
      </c>
    </row>
    <row r="15667" spans="1:6" ht="12.75">
      <c r="A15667" s="2">
        <v>43878.222314814819</v>
      </c>
      <c r="B15667" t="str">
        <f>HYPERLINK("https://twitter.com/flyfluffy","@flyfluffy")</f>
        <v>@flyfluffy</v>
      </c>
      <c r="C15667" t="s">
        <v>6338</v>
      </c>
      <c r="D15667">
        <v>777</v>
      </c>
      <c r="E15667">
        <v>0</v>
      </c>
      <c r="F15667">
        <v>568</v>
      </c>
    </row>
    <row r="15668" spans="1:6" ht="12.75">
      <c r="A15668" s="2">
        <v>43878.222303240742</v>
      </c>
      <c r="B15668" t="str">
        <f>HYPERLINK("https://twitter.com/Mazggg","@Mazggg")</f>
        <v>@Mazggg</v>
      </c>
      <c r="C15668" t="s">
        <v>6989</v>
      </c>
      <c r="D15668">
        <v>182</v>
      </c>
      <c r="E15668">
        <v>0</v>
      </c>
      <c r="F15668">
        <v>1927</v>
      </c>
    </row>
    <row r="15669" spans="1:6" ht="12.75">
      <c r="A15669" s="2">
        <v>43878.222280092596</v>
      </c>
      <c r="B15669" t="str">
        <f>HYPERLINK("https://twitter.com/LaurensioAbram","@LaurensioAbram")</f>
        <v>@LaurensioAbram</v>
      </c>
      <c r="C15669" t="s">
        <v>7965</v>
      </c>
      <c r="D15669">
        <v>3</v>
      </c>
      <c r="E15669">
        <v>0</v>
      </c>
      <c r="F15669">
        <v>229</v>
      </c>
    </row>
    <row r="15670" spans="1:6" ht="12.75">
      <c r="A15670" s="2">
        <v>43878.221446759257</v>
      </c>
      <c r="B15670" t="str">
        <f>HYPERLINK("https://twitter.com/fugeebristolian","@fugeebristolian")</f>
        <v>@fugeebristolian</v>
      </c>
      <c r="C15670" t="s">
        <v>7966</v>
      </c>
      <c r="D15670">
        <v>0</v>
      </c>
      <c r="E15670">
        <v>0</v>
      </c>
      <c r="F15670">
        <v>1216</v>
      </c>
    </row>
    <row r="15671" spans="1:6" ht="12.75">
      <c r="A15671" s="2">
        <v>43878.220324074078</v>
      </c>
      <c r="B15671" t="str">
        <f>HYPERLINK("https://twitter.com/heniunique","@heniunique")</f>
        <v>@heniunique</v>
      </c>
      <c r="C15671" t="s">
        <v>7967</v>
      </c>
      <c r="D15671">
        <v>4</v>
      </c>
      <c r="E15671">
        <v>0</v>
      </c>
      <c r="F15671">
        <v>9757</v>
      </c>
    </row>
    <row r="15672" spans="1:6" ht="12.75">
      <c r="A15672" s="2">
        <v>43878.22</v>
      </c>
      <c r="B15672" t="str">
        <f>HYPERLINK("https://twitter.com/jalu_kancana","@jalu_kancana")</f>
        <v>@jalu_kancana</v>
      </c>
      <c r="C15672" t="s">
        <v>7968</v>
      </c>
      <c r="D15672">
        <v>0</v>
      </c>
      <c r="E15672">
        <v>0</v>
      </c>
      <c r="F15672">
        <v>2520</v>
      </c>
    </row>
    <row r="15673" spans="1:6" ht="12.75">
      <c r="A15673" s="2">
        <v>43878.218923611115</v>
      </c>
      <c r="B15673" t="str">
        <f>HYPERLINK("https://twitter.com/ameliacipo","@ameliacipo")</f>
        <v>@ameliacipo</v>
      </c>
      <c r="C15673" t="s">
        <v>7969</v>
      </c>
      <c r="D15673">
        <v>1</v>
      </c>
      <c r="E15673">
        <v>0</v>
      </c>
      <c r="F15673">
        <v>1741</v>
      </c>
    </row>
    <row r="15674" spans="1:6" ht="12.75">
      <c r="A15674" s="2">
        <v>43878.21875</v>
      </c>
      <c r="B15674" t="str">
        <f>HYPERLINK("https://twitter.com/RadioElshinta","@RadioElshinta")</f>
        <v>@RadioElshinta</v>
      </c>
      <c r="C15674" t="s">
        <v>7970</v>
      </c>
      <c r="D15674">
        <v>1</v>
      </c>
      <c r="E15674">
        <v>4</v>
      </c>
      <c r="F15674">
        <v>3633610</v>
      </c>
    </row>
    <row r="15675" spans="1:6" ht="12.75">
      <c r="A15675" s="2">
        <v>43878.218368055561</v>
      </c>
      <c r="B15675" t="str">
        <f>HYPERLINK("https://twitter.com/Ivone_RSZ","@Ivone_RSZ")</f>
        <v>@Ivone_RSZ</v>
      </c>
      <c r="C15675" t="s">
        <v>7927</v>
      </c>
      <c r="D15675">
        <v>2</v>
      </c>
      <c r="E15675">
        <v>0</v>
      </c>
      <c r="F15675">
        <v>16777</v>
      </c>
    </row>
    <row r="15676" spans="1:6" ht="12.75">
      <c r="A15676" s="2">
        <v>43878.218229166669</v>
      </c>
      <c r="B15676" t="str">
        <f>HYPERLINK("https://twitter.com/eric_joo1","@eric_joo1")</f>
        <v>@eric_joo1</v>
      </c>
      <c r="C15676" t="s">
        <v>7868</v>
      </c>
      <c r="D15676">
        <v>2</v>
      </c>
      <c r="E15676">
        <v>0</v>
      </c>
      <c r="F15676">
        <v>87</v>
      </c>
    </row>
    <row r="15677" spans="1:6" ht="12.75">
      <c r="A15677" s="2">
        <v>43878.217812499999</v>
      </c>
      <c r="B15677" t="str">
        <f>HYPERLINK("https://twitter.com/hiYano","@hiYano")</f>
        <v>@hiYano</v>
      </c>
      <c r="C15677" t="s">
        <v>7971</v>
      </c>
      <c r="D15677">
        <v>1</v>
      </c>
      <c r="E15677">
        <v>0</v>
      </c>
      <c r="F15677">
        <v>1201</v>
      </c>
    </row>
    <row r="15678" spans="1:6" ht="12.75">
      <c r="A15678" s="2">
        <v>43878.217326388884</v>
      </c>
      <c r="B15678" t="str">
        <f>HYPERLINK("https://twitter.com/digbys123","@digbys123")</f>
        <v>@digbys123</v>
      </c>
      <c r="C15678" t="s">
        <v>3150</v>
      </c>
      <c r="D15678">
        <v>405</v>
      </c>
      <c r="E15678">
        <v>0</v>
      </c>
      <c r="F15678">
        <v>775</v>
      </c>
    </row>
    <row r="15679" spans="1:6" ht="12.75">
      <c r="A15679" s="2">
        <v>43878.216921296298</v>
      </c>
      <c r="B15679" t="str">
        <f>HYPERLINK("https://twitter.com/Jendela_PKB_BJM","@Jendela_PKB_BJM")</f>
        <v>@Jendela_PKB_BJM</v>
      </c>
      <c r="C15679" t="s">
        <v>7972</v>
      </c>
      <c r="D15679">
        <v>13</v>
      </c>
      <c r="E15679">
        <v>0</v>
      </c>
      <c r="F15679">
        <v>1531</v>
      </c>
    </row>
    <row r="15680" spans="1:6" ht="12.75">
      <c r="A15680" s="2">
        <v>43878.216770833329</v>
      </c>
      <c r="B15680" t="str">
        <f>HYPERLINK("https://twitter.com/arahluruss","@arahluruss")</f>
        <v>@arahluruss</v>
      </c>
      <c r="C15680" t="s">
        <v>7973</v>
      </c>
      <c r="D15680">
        <v>0</v>
      </c>
      <c r="E15680">
        <v>0</v>
      </c>
      <c r="F15680">
        <v>138</v>
      </c>
    </row>
    <row r="15681" spans="1:6" ht="12.75">
      <c r="A15681" s="2">
        <v>43878.216597222221</v>
      </c>
      <c r="B15681" t="str">
        <f>HYPERLINK("https://twitter.com/suf49","@suf49")</f>
        <v>@suf49</v>
      </c>
      <c r="C15681" t="s">
        <v>7974</v>
      </c>
      <c r="D15681">
        <v>0</v>
      </c>
      <c r="E15681">
        <v>0</v>
      </c>
      <c r="F15681">
        <v>0</v>
      </c>
    </row>
    <row r="15682" spans="1:6" ht="12.75">
      <c r="A15682" s="2">
        <v>43878.215104166666</v>
      </c>
      <c r="B15682" t="str">
        <f>HYPERLINK("https://twitter.com/republikaonline","@republikaonline")</f>
        <v>@republikaonline</v>
      </c>
      <c r="C15682" t="s">
        <v>7975</v>
      </c>
      <c r="D15682">
        <v>2</v>
      </c>
      <c r="E15682">
        <v>2</v>
      </c>
      <c r="F15682">
        <v>1210743</v>
      </c>
    </row>
    <row r="15683" spans="1:6" ht="12.75">
      <c r="A15683" s="2">
        <v>43878.213437500002</v>
      </c>
      <c r="B15683" t="str">
        <f>HYPERLINK("https://twitter.com/FigliuloC","@FigliuloC")</f>
        <v>@FigliuloC</v>
      </c>
      <c r="C15683" t="s">
        <v>3150</v>
      </c>
      <c r="D15683">
        <v>405</v>
      </c>
      <c r="E15683">
        <v>0</v>
      </c>
      <c r="F15683">
        <v>190</v>
      </c>
    </row>
    <row r="15684" spans="1:6" ht="12.75">
      <c r="A15684" s="2">
        <v>43878.211875000001</v>
      </c>
      <c r="B15684" t="str">
        <f>HYPERLINK("https://twitter.com/CarikeadilanDi","@CarikeadilanDi")</f>
        <v>@CarikeadilanDi</v>
      </c>
      <c r="C15684" t="s">
        <v>7976</v>
      </c>
      <c r="D15684">
        <v>1</v>
      </c>
      <c r="E15684">
        <v>0</v>
      </c>
      <c r="F15684">
        <v>493</v>
      </c>
    </row>
    <row r="15685" spans="1:6" ht="12.75">
      <c r="A15685" s="2">
        <v>43878.211689814816</v>
      </c>
      <c r="B15685" t="str">
        <f>HYPERLINK("https://twitter.com/LaeGaligo","@LaeGaligo")</f>
        <v>@LaeGaligo</v>
      </c>
      <c r="C15685" t="s">
        <v>7956</v>
      </c>
      <c r="D15685">
        <v>66</v>
      </c>
      <c r="E15685">
        <v>0</v>
      </c>
      <c r="F15685">
        <v>642</v>
      </c>
    </row>
    <row r="15686" spans="1:6" ht="12.75">
      <c r="A15686" s="2">
        <v>43878.211550925931</v>
      </c>
      <c r="B15686" t="str">
        <f>HYPERLINK("https://twitter.com/setiawan1710","@setiawan1710")</f>
        <v>@setiawan1710</v>
      </c>
      <c r="C15686" t="s">
        <v>3396</v>
      </c>
      <c r="D15686">
        <v>35</v>
      </c>
      <c r="E15686">
        <v>0</v>
      </c>
      <c r="F15686">
        <v>469</v>
      </c>
    </row>
    <row r="15687" spans="1:6" ht="12.75">
      <c r="A15687" s="2">
        <v>43878.210324074069</v>
      </c>
      <c r="B15687" t="str">
        <f>HYPERLINK("https://twitter.com/adityaaksani","@adityaaksani")</f>
        <v>@adityaaksani</v>
      </c>
      <c r="C15687" t="s">
        <v>7977</v>
      </c>
      <c r="D15687">
        <v>14</v>
      </c>
      <c r="E15687">
        <v>0</v>
      </c>
      <c r="F15687">
        <v>1280</v>
      </c>
    </row>
    <row r="15688" spans="1:6" ht="12.75">
      <c r="A15688" s="2">
        <v>43878.208692129629</v>
      </c>
      <c r="B15688" t="str">
        <f>HYPERLINK("https://twitter.com/AyummaTanaka","@AyummaTanaka")</f>
        <v>@AyummaTanaka</v>
      </c>
      <c r="C15688" t="s">
        <v>2161</v>
      </c>
      <c r="D15688">
        <v>0</v>
      </c>
      <c r="E15688">
        <v>0</v>
      </c>
      <c r="F15688">
        <v>1097</v>
      </c>
    </row>
    <row r="15689" spans="1:6" ht="12.75">
      <c r="A15689" s="2">
        <v>43878.208472222221</v>
      </c>
      <c r="B15689" t="str">
        <f>HYPERLINK("https://twitter.com/Chris17147695","@Chris17147695")</f>
        <v>@Chris17147695</v>
      </c>
      <c r="C15689" t="s">
        <v>7978</v>
      </c>
      <c r="D15689">
        <v>0</v>
      </c>
      <c r="E15689">
        <v>0</v>
      </c>
      <c r="F15689">
        <v>121</v>
      </c>
    </row>
    <row r="15690" spans="1:6" ht="12.75">
      <c r="A15690" s="2">
        <v>43878.208333333328</v>
      </c>
      <c r="B15690" t="str">
        <f>HYPERLINK("https://twitter.com/SeputariNews","@SeputariNews")</f>
        <v>@SeputariNews</v>
      </c>
      <c r="C15690" t="s">
        <v>7747</v>
      </c>
      <c r="D15690">
        <v>0</v>
      </c>
      <c r="E15690">
        <v>0</v>
      </c>
      <c r="F15690">
        <v>438646</v>
      </c>
    </row>
    <row r="15691" spans="1:6" ht="12.75">
      <c r="A15691" s="2">
        <v>43878.208287037036</v>
      </c>
      <c r="B15691" t="str">
        <f>HYPERLINK("https://twitter.com/Kania_MetroTV","@Kania_MetroTV")</f>
        <v>@Kania_MetroTV</v>
      </c>
      <c r="C15691" t="s">
        <v>7979</v>
      </c>
      <c r="D15691">
        <v>1</v>
      </c>
      <c r="E15691">
        <v>0</v>
      </c>
      <c r="F15691">
        <v>215712</v>
      </c>
    </row>
    <row r="15692" spans="1:6" ht="12.75">
      <c r="A15692" s="2">
        <v>43878.20621527778</v>
      </c>
      <c r="B15692" t="str">
        <f>HYPERLINK("https://twitter.com/Fanny_Oktaviana","@Fanny_Oktaviana")</f>
        <v>@Fanny_Oktaviana</v>
      </c>
      <c r="C15692" t="s">
        <v>7921</v>
      </c>
      <c r="D15692">
        <v>1</v>
      </c>
      <c r="E15692">
        <v>0</v>
      </c>
      <c r="F15692">
        <v>2329</v>
      </c>
    </row>
    <row r="15693" spans="1:6" ht="12.75">
      <c r="A15693" s="2">
        <v>43878.205185185187</v>
      </c>
      <c r="B15693" t="str">
        <f>HYPERLINK("https://twitter.com/FUCK_HOAX","@FUCK_HOAX")</f>
        <v>@FUCK_HOAX</v>
      </c>
      <c r="C15693" t="s">
        <v>6989</v>
      </c>
      <c r="D15693">
        <v>178</v>
      </c>
      <c r="E15693">
        <v>0</v>
      </c>
      <c r="F15693">
        <v>295</v>
      </c>
    </row>
    <row r="15694" spans="1:6" ht="12.75">
      <c r="A15694" s="2">
        <v>43878.205000000002</v>
      </c>
      <c r="B15694" t="str">
        <f>HYPERLINK("https://twitter.com/DeniBear_","@DeniBear_")</f>
        <v>@DeniBear_</v>
      </c>
      <c r="C15694" t="s">
        <v>7242</v>
      </c>
      <c r="D15694">
        <v>8</v>
      </c>
      <c r="E15694">
        <v>0</v>
      </c>
      <c r="F15694">
        <v>169</v>
      </c>
    </row>
    <row r="15695" spans="1:6" ht="12.75">
      <c r="A15695" s="2">
        <v>43878.203796296293</v>
      </c>
      <c r="B15695" t="str">
        <f>HYPERLINK("https://twitter.com/f_purwatmo","@f_purwatmo")</f>
        <v>@f_purwatmo</v>
      </c>
      <c r="C15695" t="s">
        <v>6989</v>
      </c>
      <c r="D15695">
        <v>178</v>
      </c>
      <c r="E15695">
        <v>0</v>
      </c>
      <c r="F15695">
        <v>407</v>
      </c>
    </row>
    <row r="15696" spans="1:6" ht="12.75">
      <c r="A15696" s="2">
        <v>43878.202210648145</v>
      </c>
      <c r="B15696" t="str">
        <f>HYPERLINK("https://twitter.com/Trumplican_68","@Trumplican_68")</f>
        <v>@Trumplican_68</v>
      </c>
      <c r="C15696" t="s">
        <v>3150</v>
      </c>
      <c r="D15696">
        <v>389</v>
      </c>
      <c r="E15696">
        <v>0</v>
      </c>
      <c r="F15696">
        <v>9617</v>
      </c>
    </row>
    <row r="15697" spans="1:6" ht="12.75">
      <c r="A15697" s="2">
        <v>43878.201145833329</v>
      </c>
      <c r="B15697" t="str">
        <f>HYPERLINK("https://twitter.com/hanzelrestdhani","@hanzelrestdhani")</f>
        <v>@hanzelrestdhani</v>
      </c>
      <c r="C15697" t="s">
        <v>7980</v>
      </c>
      <c r="D15697">
        <v>53</v>
      </c>
      <c r="E15697">
        <v>0</v>
      </c>
      <c r="F15697">
        <v>419</v>
      </c>
    </row>
    <row r="15698" spans="1:6" ht="12.75">
      <c r="A15698" s="2">
        <v>43878.200578703705</v>
      </c>
      <c r="B15698" t="str">
        <f>HYPERLINK("https://twitter.com/Tiara_jkt","@Tiara_jkt")</f>
        <v>@Tiara_jkt</v>
      </c>
      <c r="C15698" t="s">
        <v>7940</v>
      </c>
      <c r="D15698">
        <v>6</v>
      </c>
      <c r="E15698">
        <v>0</v>
      </c>
      <c r="F15698">
        <v>1267</v>
      </c>
    </row>
    <row r="15699" spans="1:6" ht="12.75">
      <c r="A15699" s="2">
        <v>43878.19976851852</v>
      </c>
      <c r="B15699" t="str">
        <f>HYPERLINK("https://twitter.com/Yuli16005363","@Yuli16005363")</f>
        <v>@Yuli16005363</v>
      </c>
      <c r="C15699" t="s">
        <v>7301</v>
      </c>
      <c r="D15699">
        <v>2</v>
      </c>
      <c r="E15699">
        <v>0</v>
      </c>
      <c r="F15699">
        <v>9</v>
      </c>
    </row>
    <row r="15700" spans="1:6" ht="12.75">
      <c r="A15700" s="2">
        <v>43878.199490740742</v>
      </c>
      <c r="B15700" t="str">
        <f>HYPERLINK("https://twitter.com/devlinsheldiaa","@devlinsheldiaa")</f>
        <v>@devlinsheldiaa</v>
      </c>
      <c r="C15700" t="s">
        <v>2444</v>
      </c>
      <c r="D15700">
        <v>4564</v>
      </c>
      <c r="E15700">
        <v>0</v>
      </c>
      <c r="F15700">
        <v>314</v>
      </c>
    </row>
    <row r="15701" spans="1:6" ht="12.75">
      <c r="A15701" s="2">
        <v>43878.198171296295</v>
      </c>
      <c r="B15701" t="str">
        <f>HYPERLINK("https://twitter.com/idntimes","@idntimes")</f>
        <v>@idntimes</v>
      </c>
      <c r="C15701" t="s">
        <v>7981</v>
      </c>
      <c r="D15701">
        <v>0</v>
      </c>
      <c r="E15701">
        <v>0</v>
      </c>
      <c r="F15701">
        <v>392853</v>
      </c>
    </row>
    <row r="15702" spans="1:6" ht="12.75">
      <c r="A15702" s="2">
        <v>43878.19798611111</v>
      </c>
      <c r="B15702" t="str">
        <f t="shared" ref="B15702:B15703" si="271">HYPERLINK("https://twitter.com/AnakKolong___","@AnakKolong___")</f>
        <v>@AnakKolong___</v>
      </c>
      <c r="C15702" t="s">
        <v>7301</v>
      </c>
      <c r="D15702">
        <v>2</v>
      </c>
      <c r="E15702">
        <v>0</v>
      </c>
      <c r="F15702">
        <v>5973</v>
      </c>
    </row>
    <row r="15703" spans="1:6" ht="12.75">
      <c r="A15703" s="2">
        <v>43878.197951388887</v>
      </c>
      <c r="B15703" t="str">
        <f t="shared" si="271"/>
        <v>@AnakKolong___</v>
      </c>
      <c r="C15703" t="s">
        <v>7866</v>
      </c>
      <c r="D15703">
        <v>4</v>
      </c>
      <c r="E15703">
        <v>0</v>
      </c>
      <c r="F15703">
        <v>5973</v>
      </c>
    </row>
    <row r="15704" spans="1:6" ht="12.75">
      <c r="A15704" s="2">
        <v>43878.197708333333</v>
      </c>
      <c r="B15704" t="str">
        <f>HYPERLINK("https://twitter.com/zandrianipisces","@zandrianipisces")</f>
        <v>@zandrianipisces</v>
      </c>
      <c r="C15704" t="s">
        <v>7982</v>
      </c>
      <c r="D15704">
        <v>4</v>
      </c>
      <c r="E15704">
        <v>6</v>
      </c>
      <c r="F15704">
        <v>104</v>
      </c>
    </row>
    <row r="15705" spans="1:6" ht="12.75">
      <c r="A15705" s="2">
        <v>43878.197604166664</v>
      </c>
      <c r="B15705" t="str">
        <f>HYPERLINK("https://twitter.com/AndyBee83706749","@AndyBee83706749")</f>
        <v>@AndyBee83706749</v>
      </c>
      <c r="C15705" t="s">
        <v>3150</v>
      </c>
      <c r="D15705">
        <v>389</v>
      </c>
      <c r="E15705">
        <v>0</v>
      </c>
      <c r="F15705">
        <v>2268</v>
      </c>
    </row>
    <row r="15706" spans="1:6" ht="12.75">
      <c r="A15706" s="2">
        <v>43878.197430555556</v>
      </c>
      <c r="B15706" t="str">
        <f>HYPERLINK("https://twitter.com/zandrianipisces","@zandrianipisces")</f>
        <v>@zandrianipisces</v>
      </c>
      <c r="C15706" t="s">
        <v>7983</v>
      </c>
      <c r="D15706">
        <v>2</v>
      </c>
      <c r="E15706">
        <v>3</v>
      </c>
      <c r="F15706">
        <v>104</v>
      </c>
    </row>
    <row r="15707" spans="1:6" ht="12.75">
      <c r="A15707" s="2">
        <v>43878.196712962963</v>
      </c>
      <c r="B15707" t="str">
        <f>HYPERLINK("https://twitter.com/Purwa_wicak","@Purwa_wicak")</f>
        <v>@Purwa_wicak</v>
      </c>
      <c r="C15707" t="s">
        <v>7298</v>
      </c>
      <c r="D15707">
        <v>75</v>
      </c>
      <c r="E15707">
        <v>0</v>
      </c>
      <c r="F15707">
        <v>274</v>
      </c>
    </row>
    <row r="15708" spans="1:6" ht="12.75">
      <c r="A15708" s="2">
        <v>43878.193981481483</v>
      </c>
      <c r="B15708" t="str">
        <f>HYPERLINK("https://twitter.com/zainala66","@zainala66")</f>
        <v>@zainala66</v>
      </c>
      <c r="C15708" t="s">
        <v>6989</v>
      </c>
      <c r="D15708">
        <v>178</v>
      </c>
      <c r="E15708">
        <v>0</v>
      </c>
      <c r="F15708">
        <v>138</v>
      </c>
    </row>
    <row r="15709" spans="1:6" ht="12.75">
      <c r="A15709" s="2">
        <v>43878.19358796296</v>
      </c>
      <c r="B15709" t="str">
        <f>HYPERLINK("https://twitter.com/Chris17147695","@Chris17147695")</f>
        <v>@Chris17147695</v>
      </c>
      <c r="C15709" t="s">
        <v>7984</v>
      </c>
      <c r="D15709">
        <v>0</v>
      </c>
      <c r="E15709">
        <v>0</v>
      </c>
      <c r="F15709">
        <v>121</v>
      </c>
    </row>
    <row r="15710" spans="1:6" ht="12.75">
      <c r="A15710" s="2">
        <v>43878.191793981481</v>
      </c>
      <c r="B15710" t="str">
        <f>HYPERLINK("https://twitter.com/triya_azka","@triya_azka")</f>
        <v>@triya_azka</v>
      </c>
      <c r="C15710" t="s">
        <v>7263</v>
      </c>
      <c r="D15710">
        <v>8</v>
      </c>
      <c r="E15710">
        <v>0</v>
      </c>
      <c r="F15710">
        <v>19</v>
      </c>
    </row>
    <row r="15711" spans="1:6" ht="12.75">
      <c r="A15711" s="2">
        <v>43878.190752314811</v>
      </c>
      <c r="B15711" t="str">
        <f>HYPERLINK("https://twitter.com/yshbard","@yshbard")</f>
        <v>@yshbard</v>
      </c>
      <c r="C15711" t="s">
        <v>2444</v>
      </c>
      <c r="D15711">
        <v>4564</v>
      </c>
      <c r="E15711">
        <v>0</v>
      </c>
      <c r="F15711">
        <v>2234</v>
      </c>
    </row>
    <row r="15712" spans="1:6" ht="12.75">
      <c r="A15712" s="2">
        <v>43878.189907407403</v>
      </c>
      <c r="B15712" t="str">
        <f>HYPERLINK("https://twitter.com/StandBehindJKW","@StandBehindJKW")</f>
        <v>@StandBehindJKW</v>
      </c>
      <c r="C15712" t="s">
        <v>7940</v>
      </c>
      <c r="D15712">
        <v>6</v>
      </c>
      <c r="E15712">
        <v>0</v>
      </c>
      <c r="F15712">
        <v>2914</v>
      </c>
    </row>
    <row r="15713" spans="1:6" ht="12.75">
      <c r="A15713" s="2">
        <v>43878.189618055556</v>
      </c>
      <c r="B15713" t="str">
        <f>HYPERLINK("https://twitter.com/Sirg131","@Sirg131")</f>
        <v>@Sirg131</v>
      </c>
      <c r="C15713" t="s">
        <v>7985</v>
      </c>
      <c r="D15713">
        <v>0</v>
      </c>
      <c r="E15713">
        <v>0</v>
      </c>
      <c r="F15713">
        <v>174</v>
      </c>
    </row>
    <row r="15714" spans="1:6" ht="12.75">
      <c r="A15714" s="2">
        <v>43878.189456018517</v>
      </c>
      <c r="B15714" t="str">
        <f>HYPERLINK("https://twitter.com/EdyIlham7","@EdyIlham7")</f>
        <v>@EdyIlham7</v>
      </c>
      <c r="C15714" t="s">
        <v>7662</v>
      </c>
      <c r="D15714">
        <v>537</v>
      </c>
      <c r="E15714">
        <v>0</v>
      </c>
      <c r="F15714">
        <v>2375</v>
      </c>
    </row>
    <row r="15715" spans="1:6" ht="12.75">
      <c r="A15715" s="2">
        <v>43878.186898148153</v>
      </c>
      <c r="B15715" t="str">
        <f>HYPERLINK("https://twitter.com/xwildbboy","@xwildbboy")</f>
        <v>@xwildbboy</v>
      </c>
      <c r="C15715" t="s">
        <v>7940</v>
      </c>
      <c r="D15715">
        <v>6</v>
      </c>
      <c r="E15715">
        <v>0</v>
      </c>
      <c r="F15715">
        <v>565</v>
      </c>
    </row>
    <row r="15716" spans="1:6" ht="12.75">
      <c r="A15716" s="2">
        <v>43878.186793981484</v>
      </c>
      <c r="B15716" t="str">
        <f>HYPERLINK("https://twitter.com/pimamanggala","@pimamanggala")</f>
        <v>@pimamanggala</v>
      </c>
      <c r="C15716" t="s">
        <v>7986</v>
      </c>
      <c r="D15716">
        <v>0</v>
      </c>
      <c r="E15716">
        <v>1</v>
      </c>
      <c r="F15716">
        <v>1570</v>
      </c>
    </row>
    <row r="15717" spans="1:6" ht="12.75">
      <c r="A15717" s="2">
        <v>43878.185057870374</v>
      </c>
      <c r="B15717" t="str">
        <f>HYPERLINK("https://twitter.com/MustiadiJaya","@MustiadiJaya")</f>
        <v>@MustiadiJaya</v>
      </c>
      <c r="C15717" t="s">
        <v>7987</v>
      </c>
      <c r="D15717">
        <v>15</v>
      </c>
      <c r="E15717">
        <v>0</v>
      </c>
      <c r="F15717">
        <v>17</v>
      </c>
    </row>
    <row r="15718" spans="1:6" ht="12.75">
      <c r="A15718" s="2">
        <v>43878.183969907404</v>
      </c>
      <c r="B15718" t="str">
        <f>HYPERLINK("https://twitter.com/ProkomKukar","@ProkomKukar")</f>
        <v>@ProkomKukar</v>
      </c>
      <c r="C15718" t="s">
        <v>7988</v>
      </c>
      <c r="D15718">
        <v>0</v>
      </c>
      <c r="E15718">
        <v>0</v>
      </c>
      <c r="F15718">
        <v>3029</v>
      </c>
    </row>
    <row r="15719" spans="1:6" ht="12.75">
      <c r="A15719" s="2">
        <v>43878.181145833332</v>
      </c>
      <c r="B15719" t="str">
        <f>HYPERLINK("https://twitter.com/arieflipp_id","@arieflipp_id")</f>
        <v>@arieflipp_id</v>
      </c>
      <c r="C15719" t="s">
        <v>7940</v>
      </c>
      <c r="D15719">
        <v>6</v>
      </c>
      <c r="E15719">
        <v>0</v>
      </c>
      <c r="F15719">
        <v>29272</v>
      </c>
    </row>
    <row r="15720" spans="1:6" ht="12.75">
      <c r="A15720" s="2">
        <v>43878.180428240739</v>
      </c>
      <c r="B15720" t="str">
        <f>HYPERLINK("https://twitter.com/abdulla41734805","@abdulla41734805")</f>
        <v>@abdulla41734805</v>
      </c>
      <c r="C15720" t="s">
        <v>7989</v>
      </c>
      <c r="D15720">
        <v>0</v>
      </c>
      <c r="E15720">
        <v>0</v>
      </c>
      <c r="F15720">
        <v>19</v>
      </c>
    </row>
    <row r="15721" spans="1:6" ht="12.75">
      <c r="A15721" s="2">
        <v>43878.180196759262</v>
      </c>
      <c r="B15721" t="str">
        <f>HYPERLINK("https://twitter.com/ALINGGAon6","@ALINGGAon6")</f>
        <v>@ALINGGAon6</v>
      </c>
      <c r="C15721" t="s">
        <v>2702</v>
      </c>
      <c r="D15721">
        <v>340</v>
      </c>
      <c r="E15721">
        <v>0</v>
      </c>
      <c r="F15721">
        <v>785</v>
      </c>
    </row>
    <row r="15722" spans="1:6" ht="12.75">
      <c r="A15722" s="2">
        <v>43878.179224537038</v>
      </c>
      <c r="B15722" t="str">
        <f>HYPERLINK("https://twitter.com/MAliSubhan2","@MAliSubhan2")</f>
        <v>@MAliSubhan2</v>
      </c>
      <c r="C15722" t="s">
        <v>6989</v>
      </c>
      <c r="D15722">
        <v>178</v>
      </c>
      <c r="E15722">
        <v>0</v>
      </c>
      <c r="F15722">
        <v>1119</v>
      </c>
    </row>
    <row r="15723" spans="1:6" ht="12.75">
      <c r="A15723" s="2">
        <v>43878.176527777774</v>
      </c>
      <c r="B15723" t="str">
        <f>HYPERLINK("https://twitter.com/PaprikaLady","@PaprikaLady")</f>
        <v>@PaprikaLady</v>
      </c>
      <c r="C15723" t="s">
        <v>3150</v>
      </c>
      <c r="D15723">
        <v>389</v>
      </c>
      <c r="E15723">
        <v>0</v>
      </c>
      <c r="F15723">
        <v>723</v>
      </c>
    </row>
    <row r="15724" spans="1:6" ht="12.75">
      <c r="A15724" s="2">
        <v>43878.174166666664</v>
      </c>
      <c r="B15724" t="str">
        <f>HYPERLINK("https://twitter.com/JakartaStar","@JakartaStar")</f>
        <v>@JakartaStar</v>
      </c>
      <c r="C15724" t="s">
        <v>3396</v>
      </c>
      <c r="D15724">
        <v>27</v>
      </c>
      <c r="E15724">
        <v>0</v>
      </c>
      <c r="F15724">
        <v>5501</v>
      </c>
    </row>
    <row r="15725" spans="1:6" ht="12.75">
      <c r="A15725" s="2">
        <v>43878.173796296294</v>
      </c>
      <c r="B15725" t="str">
        <f>HYPERLINK("https://twitter.com/dewi_darmawati","@dewi_darmawati")</f>
        <v>@dewi_darmawati</v>
      </c>
      <c r="C15725" t="s">
        <v>3396</v>
      </c>
      <c r="D15725">
        <v>27</v>
      </c>
      <c r="E15725">
        <v>0</v>
      </c>
      <c r="F15725">
        <v>3983</v>
      </c>
    </row>
    <row r="15726" spans="1:6" ht="12.75">
      <c r="A15726" s="2">
        <v>43878.173576388886</v>
      </c>
      <c r="B15726" t="str">
        <f>HYPERLINK("https://twitter.com/CintaNKRI08","@CintaNKRI08")</f>
        <v>@CintaNKRI08</v>
      </c>
      <c r="C15726" t="s">
        <v>7662</v>
      </c>
      <c r="D15726">
        <v>537</v>
      </c>
      <c r="E15726">
        <v>0</v>
      </c>
      <c r="F15726">
        <v>6293</v>
      </c>
    </row>
    <row r="15727" spans="1:6" ht="12.75">
      <c r="A15727" s="2">
        <v>43878.172905092593</v>
      </c>
      <c r="B15727" t="str">
        <f>HYPERLINK("https://twitter.com/bunk_zae","@bunk_zae")</f>
        <v>@bunk_zae</v>
      </c>
      <c r="C15727" t="s">
        <v>7990</v>
      </c>
      <c r="D15727">
        <v>10</v>
      </c>
      <c r="E15727">
        <v>0</v>
      </c>
      <c r="F15727">
        <v>468</v>
      </c>
    </row>
    <row r="15728" spans="1:6" ht="12.75">
      <c r="A15728" s="2">
        <v>43878.171342592592</v>
      </c>
      <c r="B15728" t="str">
        <f>HYPERLINK("https://twitter.com/BrojoKenAriMust","@BrojoKenAriMust")</f>
        <v>@BrojoKenAriMust</v>
      </c>
      <c r="C15728" t="s">
        <v>7991</v>
      </c>
      <c r="D15728">
        <v>0</v>
      </c>
      <c r="E15728">
        <v>0</v>
      </c>
      <c r="F15728">
        <v>11</v>
      </c>
    </row>
    <row r="15729" spans="1:6" ht="12.75">
      <c r="A15729" s="2">
        <v>43878.169745370367</v>
      </c>
      <c r="B15729" t="str">
        <f>HYPERLINK("https://twitter.com/Bamin_Achmad","@Bamin_Achmad")</f>
        <v>@Bamin_Achmad</v>
      </c>
      <c r="C15729" t="s">
        <v>2702</v>
      </c>
      <c r="D15729">
        <v>340</v>
      </c>
      <c r="E15729">
        <v>0</v>
      </c>
      <c r="F15729">
        <v>2753</v>
      </c>
    </row>
    <row r="15730" spans="1:6" ht="12.75">
      <c r="A15730" s="2">
        <v>43878.16810185185</v>
      </c>
      <c r="B15730" t="str">
        <f>HYPERLINK("https://twitter.com/BrojoKenAriMust","@BrojoKenAriMust")</f>
        <v>@BrojoKenAriMust</v>
      </c>
      <c r="C15730" t="s">
        <v>7992</v>
      </c>
      <c r="D15730">
        <v>0</v>
      </c>
      <c r="E15730">
        <v>0</v>
      </c>
      <c r="F15730">
        <v>11</v>
      </c>
    </row>
    <row r="15731" spans="1:6" ht="12.75">
      <c r="A15731" s="2">
        <v>43878.167986111112</v>
      </c>
      <c r="B15731" t="str">
        <f>HYPERLINK("https://twitter.com/BillTemporo","@BillTemporo")</f>
        <v>@BillTemporo</v>
      </c>
      <c r="C15731" t="s">
        <v>832</v>
      </c>
      <c r="D15731">
        <v>0</v>
      </c>
      <c r="E15731">
        <v>0</v>
      </c>
      <c r="F15731">
        <v>11</v>
      </c>
    </row>
    <row r="15732" spans="1:6" ht="12.75">
      <c r="A15732" s="2">
        <v>43878.167141203703</v>
      </c>
      <c r="B15732" t="str">
        <f>HYPERLINK("https://twitter.com/moniquegracia","@moniquegracia")</f>
        <v>@moniquegracia</v>
      </c>
      <c r="C15732" t="s">
        <v>7242</v>
      </c>
      <c r="D15732">
        <v>6</v>
      </c>
      <c r="E15732">
        <v>0</v>
      </c>
      <c r="F15732">
        <v>951</v>
      </c>
    </row>
    <row r="15733" spans="1:6" ht="12.75">
      <c r="A15733" s="2">
        <v>43878.165752314817</v>
      </c>
      <c r="B15733" t="str">
        <f>HYPERLINK("https://twitter.com/__beritaterkini","@__beritaterkini")</f>
        <v>@__beritaterkini</v>
      </c>
      <c r="C15733" t="s">
        <v>7993</v>
      </c>
      <c r="D15733">
        <v>0</v>
      </c>
      <c r="E15733">
        <v>0</v>
      </c>
      <c r="F15733">
        <v>431</v>
      </c>
    </row>
    <row r="15734" spans="1:6" ht="12.75">
      <c r="A15734" s="2">
        <v>43878.164803240739</v>
      </c>
      <c r="B15734" t="str">
        <f>HYPERLINK("https://twitter.com/msusan1030","@msusan1030")</f>
        <v>@msusan1030</v>
      </c>
      <c r="C15734" t="s">
        <v>3150</v>
      </c>
      <c r="D15734">
        <v>383</v>
      </c>
      <c r="E15734">
        <v>0</v>
      </c>
      <c r="F15734">
        <v>6077</v>
      </c>
    </row>
    <row r="15735" spans="1:6" ht="12.75">
      <c r="A15735" s="2">
        <v>43878.162233796298</v>
      </c>
      <c r="B15735" t="str">
        <f>HYPERLINK("https://twitter.com/sufyandiggi1","@sufyandiggi1")</f>
        <v>@sufyandiggi1</v>
      </c>
      <c r="C15735" t="s">
        <v>7994</v>
      </c>
      <c r="D15735">
        <v>0</v>
      </c>
      <c r="E15735">
        <v>1</v>
      </c>
      <c r="F15735">
        <v>4241</v>
      </c>
    </row>
    <row r="15736" spans="1:6" ht="12.75">
      <c r="A15736" s="2">
        <v>43878.161006944443</v>
      </c>
      <c r="B15736" t="str">
        <f>HYPERLINK("https://twitter.com/ppappapalganmat","@ppappapalganmat")</f>
        <v>@ppappapalganmat</v>
      </c>
      <c r="C15736" t="s">
        <v>7995</v>
      </c>
      <c r="D15736">
        <v>1</v>
      </c>
      <c r="E15736">
        <v>0</v>
      </c>
      <c r="F15736">
        <v>35</v>
      </c>
    </row>
    <row r="15737" spans="1:6" ht="12.75">
      <c r="A15737" s="2">
        <v>43878.159456018519</v>
      </c>
      <c r="B15737" t="str">
        <f>HYPERLINK("https://twitter.com/fankych","@fankych")</f>
        <v>@fankych</v>
      </c>
      <c r="C15737" t="s">
        <v>6989</v>
      </c>
      <c r="D15737">
        <v>173</v>
      </c>
      <c r="E15737">
        <v>0</v>
      </c>
      <c r="F15737">
        <v>2033</v>
      </c>
    </row>
    <row r="15738" spans="1:6" ht="12.75">
      <c r="A15738" s="2">
        <v>43878.157291666663</v>
      </c>
      <c r="B15738" t="str">
        <f>HYPERLINK("https://twitter.com/santosa_pj","@santosa_pj")</f>
        <v>@santosa_pj</v>
      </c>
      <c r="C15738" t="s">
        <v>7996</v>
      </c>
      <c r="D15738">
        <v>0</v>
      </c>
      <c r="E15738">
        <v>0</v>
      </c>
      <c r="F15738">
        <v>9</v>
      </c>
    </row>
    <row r="15739" spans="1:6" ht="12.75">
      <c r="A15739" s="2">
        <v>43878.156747685185</v>
      </c>
      <c r="B15739" t="str">
        <f>HYPERLINK("https://twitter.com/weng_Akatsuki","@weng_Akatsuki")</f>
        <v>@weng_Akatsuki</v>
      </c>
      <c r="C15739" t="s">
        <v>6867</v>
      </c>
      <c r="D15739">
        <v>61</v>
      </c>
      <c r="E15739">
        <v>0</v>
      </c>
      <c r="F15739">
        <v>131</v>
      </c>
    </row>
    <row r="15740" spans="1:6" ht="12.75">
      <c r="A15740" s="2">
        <v>43878.156111111108</v>
      </c>
      <c r="B15740" t="str">
        <f>HYPERLINK("https://twitter.com/husnipru","@husnipru")</f>
        <v>@husnipru</v>
      </c>
      <c r="C15740" t="s">
        <v>7298</v>
      </c>
      <c r="D15740">
        <v>74</v>
      </c>
      <c r="E15740">
        <v>0</v>
      </c>
      <c r="F15740">
        <v>832</v>
      </c>
    </row>
    <row r="15741" spans="1:6" ht="12.75">
      <c r="A15741" s="2">
        <v>43878.156087962961</v>
      </c>
      <c r="B15741" t="str">
        <f>HYPERLINK("https://twitter.com/SamJenner99","@SamJenner99")</f>
        <v>@SamJenner99</v>
      </c>
      <c r="C15741" t="s">
        <v>3150</v>
      </c>
      <c r="D15741">
        <v>383</v>
      </c>
      <c r="E15741">
        <v>0</v>
      </c>
      <c r="F15741">
        <v>281</v>
      </c>
    </row>
    <row r="15742" spans="1:6" ht="12.75">
      <c r="A15742" s="2">
        <v>43878.154374999998</v>
      </c>
      <c r="B15742" t="str">
        <f>HYPERLINK("https://twitter.com/wal_lie","@wal_lie")</f>
        <v>@wal_lie</v>
      </c>
      <c r="C15742" t="s">
        <v>7242</v>
      </c>
      <c r="D15742">
        <v>6</v>
      </c>
      <c r="E15742">
        <v>0</v>
      </c>
      <c r="F15742">
        <v>767</v>
      </c>
    </row>
    <row r="15743" spans="1:6" ht="12.75">
      <c r="A15743" s="2">
        <v>43878.153958333336</v>
      </c>
      <c r="B15743" t="str">
        <f>HYPERLINK("https://twitter.com/Ethan68948112","@Ethan68948112")</f>
        <v>@Ethan68948112</v>
      </c>
      <c r="C15743" t="s">
        <v>7997</v>
      </c>
      <c r="D15743">
        <v>0</v>
      </c>
      <c r="E15743">
        <v>0</v>
      </c>
      <c r="F15743">
        <v>8</v>
      </c>
    </row>
    <row r="15744" spans="1:6" ht="12.75">
      <c r="A15744" s="2">
        <v>43878.153657407413</v>
      </c>
      <c r="B15744" t="str">
        <f>HYPERLINK("https://twitter.com/HidayatPasie","@HidayatPasie")</f>
        <v>@HidayatPasie</v>
      </c>
      <c r="C15744" t="s">
        <v>7956</v>
      </c>
      <c r="D15744">
        <v>63</v>
      </c>
      <c r="E15744">
        <v>0</v>
      </c>
      <c r="F15744">
        <v>334</v>
      </c>
    </row>
    <row r="15745" spans="1:6" ht="12.75">
      <c r="A15745" s="2">
        <v>43878.153240740736</v>
      </c>
      <c r="B15745" t="str">
        <f>HYPERLINK("https://twitter.com/arieflipp","@arieflipp")</f>
        <v>@arieflipp</v>
      </c>
      <c r="C15745" t="s">
        <v>7940</v>
      </c>
      <c r="D15745">
        <v>2</v>
      </c>
      <c r="E15745">
        <v>0</v>
      </c>
      <c r="F15745">
        <v>6104</v>
      </c>
    </row>
    <row r="15746" spans="1:6" ht="12.75">
      <c r="A15746" s="2">
        <v>43878.152418981481</v>
      </c>
      <c r="B15746" t="str">
        <f>HYPERLINK("https://twitter.com/HeyNowayGo","@HeyNowayGo")</f>
        <v>@HeyNowayGo</v>
      </c>
      <c r="C15746" t="s">
        <v>3150</v>
      </c>
      <c r="D15746">
        <v>383</v>
      </c>
      <c r="E15746">
        <v>0</v>
      </c>
      <c r="F15746">
        <v>532</v>
      </c>
    </row>
    <row r="15747" spans="1:6" ht="12.75">
      <c r="A15747" s="2">
        <v>43878.151539351849</v>
      </c>
      <c r="B15747" t="str">
        <f>HYPERLINK("https://twitter.com/andris44","@andris44")</f>
        <v>@andris44</v>
      </c>
      <c r="C15747" t="s">
        <v>7940</v>
      </c>
      <c r="D15747">
        <v>2</v>
      </c>
      <c r="E15747">
        <v>0</v>
      </c>
      <c r="F15747">
        <v>1062</v>
      </c>
    </row>
    <row r="15748" spans="1:6" ht="12.75">
      <c r="A15748" s="2">
        <v>43878.149293981478</v>
      </c>
      <c r="B15748" t="str">
        <f>HYPERLINK("https://twitter.com/DharmaEL1","@DharmaEL1")</f>
        <v>@DharmaEL1</v>
      </c>
      <c r="C15748" t="s">
        <v>7998</v>
      </c>
      <c r="D15748">
        <v>0</v>
      </c>
      <c r="E15748">
        <v>0</v>
      </c>
      <c r="F15748">
        <v>0</v>
      </c>
    </row>
    <row r="15749" spans="1:6" ht="12.75">
      <c r="A15749" s="2">
        <v>43878.147175925929</v>
      </c>
      <c r="B15749" t="str">
        <f>HYPERLINK("https://twitter.com/BillTemporo","@BillTemporo")</f>
        <v>@BillTemporo</v>
      </c>
      <c r="C15749" t="s">
        <v>2092</v>
      </c>
      <c r="D15749">
        <v>0</v>
      </c>
      <c r="E15749">
        <v>0</v>
      </c>
      <c r="F15749">
        <v>11</v>
      </c>
    </row>
    <row r="15750" spans="1:6" ht="12.75">
      <c r="A15750" s="2">
        <v>43878.145000000004</v>
      </c>
      <c r="B15750" t="str">
        <f>HYPERLINK("https://twitter.com/ThywiWienwien","@ThywiWienwien")</f>
        <v>@ThywiWienwien</v>
      </c>
      <c r="C15750" t="s">
        <v>6989</v>
      </c>
      <c r="D15750">
        <v>173</v>
      </c>
      <c r="E15750">
        <v>0</v>
      </c>
      <c r="F15750">
        <v>109</v>
      </c>
    </row>
    <row r="15751" spans="1:6" ht="12.75">
      <c r="A15751" s="2">
        <v>43878.143645833334</v>
      </c>
      <c r="B15751" t="str">
        <f>HYPERLINK("https://twitter.com/Zainhabsyi1","@Zainhabsyi1")</f>
        <v>@Zainhabsyi1</v>
      </c>
      <c r="C15751" t="s">
        <v>7195</v>
      </c>
      <c r="D15751">
        <v>7</v>
      </c>
      <c r="E15751">
        <v>0</v>
      </c>
      <c r="F15751">
        <v>778</v>
      </c>
    </row>
    <row r="15752" spans="1:6" ht="12.75">
      <c r="A15752" s="2">
        <v>43878.142916666664</v>
      </c>
      <c r="B15752" t="str">
        <f>HYPERLINK("https://twitter.com/AEPishere","@AEPishere")</f>
        <v>@AEPishere</v>
      </c>
      <c r="C15752" t="s">
        <v>7242</v>
      </c>
      <c r="D15752">
        <v>6</v>
      </c>
      <c r="E15752">
        <v>0</v>
      </c>
      <c r="F15752">
        <v>3012</v>
      </c>
    </row>
    <row r="15753" spans="1:6" ht="12.75">
      <c r="A15753" s="2">
        <v>43878.139664351853</v>
      </c>
      <c r="B15753" t="str">
        <f>HYPERLINK("https://twitter.com/KulsumVidal","@KulsumVidal")</f>
        <v>@KulsumVidal</v>
      </c>
      <c r="C15753" t="s">
        <v>7999</v>
      </c>
      <c r="D15753">
        <v>0</v>
      </c>
      <c r="E15753">
        <v>0</v>
      </c>
      <c r="F15753">
        <v>117</v>
      </c>
    </row>
    <row r="15754" spans="1:6" ht="12.75">
      <c r="A15754" s="2">
        <v>43878.127199074079</v>
      </c>
      <c r="B15754" t="str">
        <f>HYPERLINK("https://twitter.com/JakartaStar","@JakartaStar")</f>
        <v>@JakartaStar</v>
      </c>
      <c r="C15754" t="s">
        <v>8000</v>
      </c>
      <c r="D15754">
        <v>2</v>
      </c>
      <c r="E15754">
        <v>1</v>
      </c>
      <c r="F15754">
        <v>5501</v>
      </c>
    </row>
    <row r="15755" spans="1:6" ht="12.75">
      <c r="A15755" s="2">
        <v>43878.126377314809</v>
      </c>
      <c r="B15755" t="str">
        <f>HYPERLINK("https://twitter.com/elmira_alkha","@elmira_alkha")</f>
        <v>@elmira_alkha</v>
      </c>
      <c r="C15755" t="s">
        <v>7298</v>
      </c>
      <c r="D15755">
        <v>71</v>
      </c>
      <c r="E15755">
        <v>0</v>
      </c>
      <c r="F15755">
        <v>528</v>
      </c>
    </row>
    <row r="15756" spans="1:6" ht="12.75">
      <c r="A15756" s="2">
        <v>43878.126261574071</v>
      </c>
      <c r="B15756" t="str">
        <f>HYPERLINK("https://twitter.com/BillTemporo","@BillTemporo")</f>
        <v>@BillTemporo</v>
      </c>
      <c r="C15756" t="s">
        <v>889</v>
      </c>
      <c r="D15756">
        <v>0</v>
      </c>
      <c r="E15756">
        <v>0</v>
      </c>
      <c r="F15756">
        <v>11</v>
      </c>
    </row>
    <row r="15757" spans="1:6" ht="12.75">
      <c r="A15757" s="2">
        <v>43878.126018518524</v>
      </c>
      <c r="B15757" t="str">
        <f>HYPERLINK("https://twitter.com/sagakom","@sagakom")</f>
        <v>@sagakom</v>
      </c>
      <c r="C15757" t="s">
        <v>8001</v>
      </c>
      <c r="D15757">
        <v>0</v>
      </c>
      <c r="E15757">
        <v>0</v>
      </c>
      <c r="F15757">
        <v>285</v>
      </c>
    </row>
    <row r="15758" spans="1:6" ht="12.75">
      <c r="A15758" s="2">
        <v>43878.125023148154</v>
      </c>
      <c r="B15758" t="str">
        <f>HYPERLINK("https://twitter.com/republikaonline","@republikaonline")</f>
        <v>@republikaonline</v>
      </c>
      <c r="C15758" t="s">
        <v>8002</v>
      </c>
      <c r="D15758">
        <v>0</v>
      </c>
      <c r="E15758">
        <v>0</v>
      </c>
      <c r="F15758">
        <v>1210736</v>
      </c>
    </row>
    <row r="15759" spans="1:6" ht="12.75">
      <c r="A15759" s="2">
        <v>43878.124074074076</v>
      </c>
      <c r="B15759" t="str">
        <f>HYPERLINK("https://twitter.com/egasshi","@egasshi")</f>
        <v>@egasshi</v>
      </c>
      <c r="C15759" t="s">
        <v>7242</v>
      </c>
      <c r="D15759">
        <v>2</v>
      </c>
      <c r="E15759">
        <v>0</v>
      </c>
      <c r="F15759">
        <v>95</v>
      </c>
    </row>
    <row r="15760" spans="1:6" ht="12.75">
      <c r="A15760" s="2">
        <v>43878.123090277775</v>
      </c>
      <c r="B15760" t="str">
        <f>HYPERLINK("https://twitter.com/hasan99on","@hasan99on")</f>
        <v>@hasan99on</v>
      </c>
      <c r="C15760" t="s">
        <v>8003</v>
      </c>
      <c r="D15760">
        <v>0</v>
      </c>
      <c r="E15760">
        <v>0</v>
      </c>
      <c r="F15760">
        <v>167</v>
      </c>
    </row>
    <row r="15761" spans="1:6" ht="12.75">
      <c r="A15761" s="2">
        <v>43878.122939814813</v>
      </c>
      <c r="B15761" t="str">
        <f>HYPERLINK("https://twitter.com/kompascom","@kompascom")</f>
        <v>@kompascom</v>
      </c>
      <c r="C15761" t="s">
        <v>7242</v>
      </c>
      <c r="D15761">
        <v>2</v>
      </c>
      <c r="E15761">
        <v>0</v>
      </c>
      <c r="F15761">
        <v>7500250</v>
      </c>
    </row>
    <row r="15762" spans="1:6" ht="12.75">
      <c r="A15762" s="2">
        <v>43878.122731481482</v>
      </c>
      <c r="B15762" t="str">
        <f>HYPERLINK("https://twitter.com/vanchelsea","@vanchelsea")</f>
        <v>@vanchelsea</v>
      </c>
      <c r="C15762" t="s">
        <v>8004</v>
      </c>
      <c r="D15762">
        <v>0</v>
      </c>
      <c r="E15762">
        <v>0</v>
      </c>
      <c r="F15762">
        <v>1</v>
      </c>
    </row>
    <row r="15763" spans="1:6" ht="12.75">
      <c r="A15763" s="2">
        <v>43878.122592592597</v>
      </c>
      <c r="B15763" t="str">
        <f>HYPERLINK("https://twitter.com/kompasiana","@kompasiana")</f>
        <v>@kompasiana</v>
      </c>
      <c r="C15763" t="s">
        <v>7338</v>
      </c>
      <c r="D15763">
        <v>2</v>
      </c>
      <c r="E15763">
        <v>3</v>
      </c>
      <c r="F15763">
        <v>928350</v>
      </c>
    </row>
    <row r="15764" spans="1:6" ht="12.75">
      <c r="A15764" s="2">
        <v>43878.121157407411</v>
      </c>
      <c r="B15764" t="str">
        <f>HYPERLINK("https://twitter.com/herubadala","@herubadala")</f>
        <v>@herubadala</v>
      </c>
      <c r="C15764" t="s">
        <v>7298</v>
      </c>
      <c r="D15764">
        <v>71</v>
      </c>
      <c r="E15764">
        <v>0</v>
      </c>
      <c r="F15764">
        <v>469</v>
      </c>
    </row>
    <row r="15765" spans="1:6" ht="12.75">
      <c r="A15765" s="2">
        <v>43878.119814814811</v>
      </c>
      <c r="B15765" t="str">
        <f>HYPERLINK("https://twitter.com/syakirasyakir","@syakirasyakir")</f>
        <v>@syakirasyakir</v>
      </c>
      <c r="C15765" t="s">
        <v>7338</v>
      </c>
      <c r="D15765">
        <v>0</v>
      </c>
      <c r="E15765">
        <v>0</v>
      </c>
      <c r="F15765">
        <v>677</v>
      </c>
    </row>
    <row r="15766" spans="1:6" ht="12.75">
      <c r="A15766" s="2">
        <v>43878.119432870371</v>
      </c>
      <c r="B15766" t="str">
        <f>HYPERLINK("https://twitter.com/herubadala","@herubadala")</f>
        <v>@herubadala</v>
      </c>
      <c r="C15766" t="s">
        <v>8005</v>
      </c>
      <c r="D15766">
        <v>0</v>
      </c>
      <c r="E15766">
        <v>0</v>
      </c>
      <c r="F15766">
        <v>469</v>
      </c>
    </row>
    <row r="15767" spans="1:6" ht="12.75">
      <c r="A15767" s="2">
        <v>43878.117615740739</v>
      </c>
      <c r="B15767" t="str">
        <f>HYPERLINK("https://twitter.com/UstianaRestian","@UstianaRestian")</f>
        <v>@UstianaRestian</v>
      </c>
      <c r="C15767" t="s">
        <v>8006</v>
      </c>
      <c r="D15767">
        <v>0</v>
      </c>
      <c r="E15767">
        <v>0</v>
      </c>
      <c r="F15767">
        <v>615</v>
      </c>
    </row>
    <row r="15768" spans="1:6" ht="12.75">
      <c r="A15768" s="2">
        <v>43878.116909722223</v>
      </c>
      <c r="B15768" t="str">
        <f>HYPERLINK("https://twitter.com/ienuli","@ienuli")</f>
        <v>@ienuli</v>
      </c>
      <c r="C15768" t="s">
        <v>3396</v>
      </c>
      <c r="D15768">
        <v>24</v>
      </c>
      <c r="E15768">
        <v>0</v>
      </c>
      <c r="F15768">
        <v>1398</v>
      </c>
    </row>
    <row r="15769" spans="1:6" ht="12.75">
      <c r="A15769" s="2">
        <v>43878.114594907413</v>
      </c>
      <c r="B15769" t="str">
        <f>HYPERLINK("https://twitter.com/republikaonline","@republikaonline")</f>
        <v>@republikaonline</v>
      </c>
      <c r="C15769" t="s">
        <v>6365</v>
      </c>
      <c r="D15769">
        <v>0</v>
      </c>
      <c r="E15769">
        <v>2</v>
      </c>
      <c r="F15769">
        <v>1210736</v>
      </c>
    </row>
    <row r="15770" spans="1:6" ht="12.75">
      <c r="A15770" s="2">
        <v>43878.113252314812</v>
      </c>
      <c r="B15770" t="str">
        <f>HYPERLINK("https://twitter.com/semua__info","@semua__info")</f>
        <v>@semua__info</v>
      </c>
      <c r="C15770" t="s">
        <v>8007</v>
      </c>
      <c r="D15770">
        <v>0</v>
      </c>
      <c r="E15770">
        <v>0</v>
      </c>
      <c r="F15770">
        <v>154</v>
      </c>
    </row>
    <row r="15771" spans="1:6" ht="12.75">
      <c r="A15771" s="2">
        <v>43878.113229166665</v>
      </c>
      <c r="B15771" t="str">
        <f>HYPERLINK("https://twitter.com/infoinajahh","@infoinajahh")</f>
        <v>@infoinajahh</v>
      </c>
      <c r="C15771" t="s">
        <v>8007</v>
      </c>
      <c r="D15771">
        <v>0</v>
      </c>
      <c r="E15771">
        <v>0</v>
      </c>
      <c r="F15771">
        <v>1087</v>
      </c>
    </row>
    <row r="15772" spans="1:6" ht="12.75">
      <c r="A15772" s="2">
        <v>43878.11010416667</v>
      </c>
      <c r="B15772" t="str">
        <f>HYPERLINK("https://twitter.com/AnasMungkid","@AnasMungkid")</f>
        <v>@AnasMungkid</v>
      </c>
      <c r="C15772" t="s">
        <v>8008</v>
      </c>
      <c r="D15772">
        <v>0</v>
      </c>
      <c r="E15772">
        <v>0</v>
      </c>
      <c r="F15772">
        <v>844</v>
      </c>
    </row>
    <row r="15773" spans="1:6" ht="12.75">
      <c r="A15773" s="2">
        <v>43878.108634259261</v>
      </c>
      <c r="B15773" t="str">
        <f>HYPERLINK("https://twitter.com/braun_fay52","@braun_fay52")</f>
        <v>@braun_fay52</v>
      </c>
      <c r="C15773" t="s">
        <v>3150</v>
      </c>
      <c r="D15773">
        <v>378</v>
      </c>
      <c r="E15773">
        <v>0</v>
      </c>
      <c r="F15773">
        <v>11333</v>
      </c>
    </row>
    <row r="15774" spans="1:6" ht="12.75">
      <c r="A15774" s="2">
        <v>43878.104305555556</v>
      </c>
      <c r="B15774" t="str">
        <f>HYPERLINK("https://twitter.com/YRadianto","@YRadianto")</f>
        <v>@YRadianto</v>
      </c>
      <c r="C15774" t="s">
        <v>3396</v>
      </c>
      <c r="D15774">
        <v>24</v>
      </c>
      <c r="E15774">
        <v>0</v>
      </c>
      <c r="F15774">
        <v>27811</v>
      </c>
    </row>
    <row r="15775" spans="1:6" ht="12.75">
      <c r="A15775" s="2">
        <v>43878.104050925926</v>
      </c>
      <c r="B15775" t="str">
        <f>HYPERLINK("https://twitter.com/AgusSup39011241","@AgusSup39011241")</f>
        <v>@AgusSup39011241</v>
      </c>
      <c r="C15775" t="s">
        <v>3396</v>
      </c>
      <c r="D15775">
        <v>24</v>
      </c>
      <c r="E15775">
        <v>0</v>
      </c>
      <c r="F15775">
        <v>10061</v>
      </c>
    </row>
    <row r="15776" spans="1:6" ht="12.75">
      <c r="A15776" s="2">
        <v>43878.098773148144</v>
      </c>
      <c r="B15776" t="str">
        <f>HYPERLINK("https://twitter.com/wisn_27u","@wisn_27u")</f>
        <v>@wisn_27u</v>
      </c>
      <c r="C15776" t="s">
        <v>2444</v>
      </c>
      <c r="D15776">
        <v>4564</v>
      </c>
      <c r="E15776">
        <v>0</v>
      </c>
      <c r="F15776">
        <v>245</v>
      </c>
    </row>
    <row r="15777" spans="1:6" ht="12.75">
      <c r="A15777" s="2">
        <v>43878.096562499995</v>
      </c>
      <c r="B15777" t="str">
        <f>HYPERLINK("https://twitter.com/Ocxie","@Ocxie")</f>
        <v>@Ocxie</v>
      </c>
      <c r="C15777" t="s">
        <v>8009</v>
      </c>
      <c r="D15777">
        <v>0</v>
      </c>
      <c r="E15777">
        <v>0</v>
      </c>
      <c r="F15777">
        <v>471</v>
      </c>
    </row>
    <row r="15778" spans="1:6" ht="12.75">
      <c r="A15778" s="2">
        <v>43878.095868055556</v>
      </c>
      <c r="B15778" t="str">
        <f>HYPERLINK("https://twitter.com/moccalxttee","@moccalxttee")</f>
        <v>@moccalxttee</v>
      </c>
      <c r="C15778" t="s">
        <v>8010</v>
      </c>
      <c r="D15778">
        <v>1</v>
      </c>
      <c r="E15778">
        <v>0</v>
      </c>
      <c r="F15778">
        <v>118</v>
      </c>
    </row>
    <row r="15779" spans="1:6" ht="12.75">
      <c r="A15779" s="2">
        <v>43878.095775462964</v>
      </c>
      <c r="B15779" t="str">
        <f>HYPERLINK("https://twitter.com/gaselpijinyanct","@gaselpijinyanct")</f>
        <v>@gaselpijinyanct</v>
      </c>
      <c r="C15779" t="s">
        <v>2745</v>
      </c>
      <c r="D15779">
        <v>12268</v>
      </c>
      <c r="E15779">
        <v>0</v>
      </c>
      <c r="F15779">
        <v>1494</v>
      </c>
    </row>
    <row r="15780" spans="1:6" ht="12.75">
      <c r="A15780" s="2">
        <v>43878.094594907408</v>
      </c>
      <c r="B15780" t="str">
        <f>HYPERLINK("https://twitter.com/YessyRft","@YessyRft")</f>
        <v>@YessyRft</v>
      </c>
      <c r="C15780" t="s">
        <v>8011</v>
      </c>
      <c r="D15780">
        <v>187</v>
      </c>
      <c r="E15780">
        <v>0</v>
      </c>
      <c r="F15780">
        <v>113</v>
      </c>
    </row>
    <row r="15781" spans="1:6" ht="12.75">
      <c r="A15781" s="2">
        <v>43878.093969907408</v>
      </c>
      <c r="B15781" t="str">
        <f>HYPERLINK("https://twitter.com/syakirasyakir","@syakirasyakir")</f>
        <v>@syakirasyakir</v>
      </c>
      <c r="C15781" t="s">
        <v>8012</v>
      </c>
      <c r="D15781">
        <v>0</v>
      </c>
      <c r="E15781">
        <v>0</v>
      </c>
      <c r="F15781">
        <v>677</v>
      </c>
    </row>
    <row r="15782" spans="1:6" ht="12.75">
      <c r="A15782" s="2">
        <v>43878.093599537038</v>
      </c>
      <c r="B15782" t="str">
        <f>HYPERLINK("https://twitter.com/adambaehaqi1993","@adambaehaqi1993")</f>
        <v>@adambaehaqi1993</v>
      </c>
      <c r="C15782" t="s">
        <v>619</v>
      </c>
      <c r="D15782">
        <v>1296</v>
      </c>
      <c r="E15782">
        <v>0</v>
      </c>
      <c r="F15782">
        <v>0</v>
      </c>
    </row>
    <row r="15783" spans="1:6" ht="12.75">
      <c r="A15783" s="2">
        <v>43878.092870370368</v>
      </c>
      <c r="B15783" t="str">
        <f>HYPERLINK("https://twitter.com/YusufNusantara1","@YusufNusantara1")</f>
        <v>@YusufNusantara1</v>
      </c>
      <c r="C15783" t="s">
        <v>8013</v>
      </c>
      <c r="D15783">
        <v>1</v>
      </c>
      <c r="E15783">
        <v>0</v>
      </c>
      <c r="F15783">
        <v>701</v>
      </c>
    </row>
    <row r="15784" spans="1:6" ht="12.75">
      <c r="A15784" s="2">
        <v>43878.092627314814</v>
      </c>
      <c r="B15784" t="str">
        <f>HYPERLINK("https://twitter.com/me_zhu__Yusra","@me_zhu__Yusra")</f>
        <v>@me_zhu__Yusra</v>
      </c>
      <c r="C15784" t="s">
        <v>8014</v>
      </c>
      <c r="D15784">
        <v>0</v>
      </c>
      <c r="E15784">
        <v>2</v>
      </c>
      <c r="F15784">
        <v>3058</v>
      </c>
    </row>
    <row r="15785" spans="1:6" ht="12.75">
      <c r="A15785" s="2">
        <v>43878.091828703706</v>
      </c>
      <c r="B15785" t="str">
        <f>HYPERLINK("https://twitter.com/renimerdk","@renimerdk")</f>
        <v>@renimerdk</v>
      </c>
      <c r="C15785" t="s">
        <v>2126</v>
      </c>
      <c r="D15785">
        <v>2804</v>
      </c>
      <c r="E15785">
        <v>0</v>
      </c>
      <c r="F15785">
        <v>487</v>
      </c>
    </row>
    <row r="15786" spans="1:6" ht="12.75">
      <c r="A15786" s="2">
        <v>43878.090775462959</v>
      </c>
      <c r="B15786" t="str">
        <f>HYPERLINK("https://twitter.com/Anonymous67973","@Anonymous67973")</f>
        <v>@Anonymous67973</v>
      </c>
      <c r="C15786" t="s">
        <v>8015</v>
      </c>
      <c r="D15786">
        <v>0</v>
      </c>
      <c r="E15786">
        <v>0</v>
      </c>
      <c r="F15786">
        <v>52</v>
      </c>
    </row>
    <row r="15787" spans="1:6" ht="12.75">
      <c r="A15787" s="2">
        <v>43878.090069444443</v>
      </c>
      <c r="B15787" t="str">
        <f>HYPERLINK("https://twitter.com/YessyRft","@YessyRft")</f>
        <v>@YessyRft</v>
      </c>
      <c r="C15787" t="s">
        <v>8016</v>
      </c>
      <c r="D15787">
        <v>220</v>
      </c>
      <c r="E15787">
        <v>0</v>
      </c>
      <c r="F15787">
        <v>113</v>
      </c>
    </row>
    <row r="15788" spans="1:6" ht="12.75">
      <c r="A15788" s="2">
        <v>43878.089837962965</v>
      </c>
      <c r="B15788" t="str">
        <f>HYPERLINK("https://twitter.com/kabarpolitik","@kabarpolitik")</f>
        <v>@kabarpolitik</v>
      </c>
      <c r="C15788" t="s">
        <v>8017</v>
      </c>
      <c r="D15788">
        <v>0</v>
      </c>
      <c r="E15788">
        <v>0</v>
      </c>
      <c r="F15788">
        <v>16771</v>
      </c>
    </row>
    <row r="15789" spans="1:6" ht="12.75">
      <c r="A15789" s="2">
        <v>43878.088287037041</v>
      </c>
      <c r="B15789" t="str">
        <f>HYPERLINK("https://twitter.com/YusufAkbarTriC1","@YusufAkbarTriC1")</f>
        <v>@YusufAkbarTriC1</v>
      </c>
      <c r="C15789" t="s">
        <v>513</v>
      </c>
      <c r="D15789">
        <v>23177</v>
      </c>
      <c r="E15789">
        <v>0</v>
      </c>
      <c r="F15789">
        <v>54</v>
      </c>
    </row>
    <row r="15790" spans="1:6" ht="12.75">
      <c r="A15790" s="2">
        <v>43878.085729166662</v>
      </c>
      <c r="B15790" t="str">
        <f>HYPERLINK("https://twitter.com/DJBourned","@DJBourned")</f>
        <v>@DJBourned</v>
      </c>
      <c r="C15790" t="s">
        <v>8018</v>
      </c>
      <c r="D15790">
        <v>0</v>
      </c>
      <c r="E15790">
        <v>0</v>
      </c>
      <c r="F15790">
        <v>1702</v>
      </c>
    </row>
    <row r="15791" spans="1:6" ht="12.75">
      <c r="A15791" s="2">
        <v>43878.084409722222</v>
      </c>
      <c r="B15791" t="str">
        <f>HYPERLINK("https://twitter.com/YusufNusantara1","@YusufNusantara1")</f>
        <v>@YusufNusantara1</v>
      </c>
      <c r="C15791" t="s">
        <v>7907</v>
      </c>
      <c r="D15791">
        <v>2</v>
      </c>
      <c r="E15791">
        <v>0</v>
      </c>
      <c r="F15791">
        <v>701</v>
      </c>
    </row>
    <row r="15792" spans="1:6" ht="12.75">
      <c r="A15792" s="2">
        <v>43878.083645833336</v>
      </c>
      <c r="B15792" t="str">
        <f>HYPERLINK("https://twitter.com/NyiGiri","@NyiGiri")</f>
        <v>@NyiGiri</v>
      </c>
      <c r="C15792" t="s">
        <v>7907</v>
      </c>
      <c r="D15792">
        <v>2</v>
      </c>
      <c r="E15792">
        <v>0</v>
      </c>
      <c r="F15792">
        <v>3606</v>
      </c>
    </row>
    <row r="15793" spans="1:6" ht="12.75">
      <c r="A15793" s="2">
        <v>43878.083333333328</v>
      </c>
      <c r="B15793" t="str">
        <f>HYPERLINK("https://twitter.com/GTVID_News","@GTVID_News")</f>
        <v>@GTVID_News</v>
      </c>
      <c r="C15793" t="s">
        <v>7747</v>
      </c>
      <c r="D15793">
        <v>0</v>
      </c>
      <c r="E15793">
        <v>0</v>
      </c>
      <c r="F15793">
        <v>10813</v>
      </c>
    </row>
    <row r="15794" spans="1:6" ht="12.75">
      <c r="A15794" s="2">
        <v>43878.083113425921</v>
      </c>
      <c r="B15794" t="str">
        <f>HYPERLINK("https://twitter.com/shojkmty","@shojkmty")</f>
        <v>@shojkmty</v>
      </c>
      <c r="C15794" t="s">
        <v>2444</v>
      </c>
      <c r="D15794">
        <v>4563</v>
      </c>
      <c r="E15794">
        <v>0</v>
      </c>
      <c r="F15794">
        <v>141</v>
      </c>
    </row>
    <row r="15795" spans="1:6" ht="12.75">
      <c r="A15795" s="2">
        <v>43878.082650462966</v>
      </c>
      <c r="B15795" t="str">
        <f>HYPERLINK("https://twitter.com/kabarpol","@kabarpol")</f>
        <v>@kabarpol</v>
      </c>
      <c r="C15795" t="s">
        <v>8017</v>
      </c>
      <c r="D15795">
        <v>0</v>
      </c>
      <c r="E15795">
        <v>0</v>
      </c>
      <c r="F15795">
        <v>50</v>
      </c>
    </row>
    <row r="15796" spans="1:6" ht="12.75">
      <c r="A15796" s="2">
        <v>43878.082604166666</v>
      </c>
      <c r="B15796" t="str">
        <f>HYPERLINK("https://twitter.com/kabarpolitik","@kabarpolitik")</f>
        <v>@kabarpolitik</v>
      </c>
      <c r="C15796" t="s">
        <v>8017</v>
      </c>
      <c r="D15796">
        <v>0</v>
      </c>
      <c r="E15796">
        <v>0</v>
      </c>
      <c r="F15796">
        <v>16771</v>
      </c>
    </row>
    <row r="15797" spans="1:6" ht="12.75">
      <c r="A15797" s="2">
        <v>43878.078935185185</v>
      </c>
      <c r="B15797" t="str">
        <f>HYPERLINK("https://twitter.com/Zulkifl16605089","@Zulkifl16605089")</f>
        <v>@Zulkifl16605089</v>
      </c>
      <c r="C15797" t="s">
        <v>8019</v>
      </c>
      <c r="D15797">
        <v>0</v>
      </c>
      <c r="E15797">
        <v>0</v>
      </c>
      <c r="F15797">
        <v>13</v>
      </c>
    </row>
    <row r="15798" spans="1:6" ht="12.75">
      <c r="A15798" s="2">
        <v>43878.078368055554</v>
      </c>
      <c r="B15798" t="str">
        <f>HYPERLINK("https://twitter.com/Wisangg21762934","@Wisangg21762934")</f>
        <v>@Wisangg21762934</v>
      </c>
      <c r="C15798" t="s">
        <v>3396</v>
      </c>
      <c r="D15798">
        <v>20</v>
      </c>
      <c r="E15798">
        <v>0</v>
      </c>
      <c r="F15798">
        <v>23</v>
      </c>
    </row>
    <row r="15799" spans="1:6" ht="12.75">
      <c r="A15799" s="2">
        <v>43878.077187499999</v>
      </c>
      <c r="B15799" t="str">
        <f>HYPERLINK("https://twitter.com/Zulkifl16605089","@Zulkifl16605089")</f>
        <v>@Zulkifl16605089</v>
      </c>
      <c r="C15799" t="s">
        <v>6201</v>
      </c>
      <c r="D15799">
        <v>557</v>
      </c>
      <c r="E15799">
        <v>0</v>
      </c>
      <c r="F15799">
        <v>13</v>
      </c>
    </row>
    <row r="15800" spans="1:6" ht="12.75">
      <c r="A15800" s="2">
        <v>43878.076990740738</v>
      </c>
      <c r="B15800" t="str">
        <f>HYPERLINK("https://twitter.com/BruNet_tes","@BruNet_tes")</f>
        <v>@BruNet_tes</v>
      </c>
      <c r="C15800" t="s">
        <v>8020</v>
      </c>
      <c r="D15800">
        <v>1</v>
      </c>
      <c r="E15800">
        <v>0</v>
      </c>
      <c r="F15800">
        <v>406</v>
      </c>
    </row>
    <row r="15801" spans="1:6" ht="12.75">
      <c r="A15801" s="2">
        <v>43878.076273148152</v>
      </c>
      <c r="B15801" t="str">
        <f>HYPERLINK("https://twitter.com/Redzuan_k4u","@Redzuan_k4u")</f>
        <v>@Redzuan_k4u</v>
      </c>
      <c r="C15801" t="s">
        <v>8021</v>
      </c>
      <c r="D15801">
        <v>22</v>
      </c>
      <c r="E15801">
        <v>0</v>
      </c>
      <c r="F15801">
        <v>70</v>
      </c>
    </row>
    <row r="15802" spans="1:6" ht="12.75">
      <c r="A15802" s="2">
        <v>43878.075648148151</v>
      </c>
      <c r="B15802" t="str">
        <f t="shared" ref="B15802:B15803" si="272">HYPERLINK("https://twitter.com/Indopolitika","@Indopolitika")</f>
        <v>@Indopolitika</v>
      </c>
      <c r="C15802" t="s">
        <v>8017</v>
      </c>
      <c r="D15802">
        <v>0</v>
      </c>
      <c r="E15802">
        <v>0</v>
      </c>
      <c r="F15802">
        <v>10612</v>
      </c>
    </row>
    <row r="15803" spans="1:6" ht="12.75">
      <c r="A15803" s="2">
        <v>43878.075555555552</v>
      </c>
      <c r="B15803" t="str">
        <f t="shared" si="272"/>
        <v>@Indopolitika</v>
      </c>
      <c r="C15803" t="s">
        <v>8022</v>
      </c>
      <c r="D15803">
        <v>0</v>
      </c>
      <c r="E15803">
        <v>0</v>
      </c>
      <c r="F15803">
        <v>10612</v>
      </c>
    </row>
    <row r="15804" spans="1:6" ht="12.75">
      <c r="A15804" s="2">
        <v>43878.072175925925</v>
      </c>
      <c r="B15804" t="str">
        <f>HYPERLINK("https://twitter.com/GintingAline","@GintingAline")</f>
        <v>@GintingAline</v>
      </c>
      <c r="C15804" t="s">
        <v>6338</v>
      </c>
      <c r="D15804">
        <v>774</v>
      </c>
      <c r="E15804">
        <v>0</v>
      </c>
      <c r="F15804">
        <v>2367</v>
      </c>
    </row>
    <row r="15805" spans="1:6" ht="12.75">
      <c r="A15805" s="2">
        <v>43878.071967592594</v>
      </c>
      <c r="B15805" t="str">
        <f>HYPERLINK("https://twitter.com/idpenamini","@idpenamini")</f>
        <v>@idpenamini</v>
      </c>
      <c r="C15805" t="s">
        <v>8023</v>
      </c>
      <c r="D15805">
        <v>0</v>
      </c>
      <c r="E15805">
        <v>0</v>
      </c>
      <c r="F15805">
        <v>169</v>
      </c>
    </row>
    <row r="15806" spans="1:6" ht="12.75">
      <c r="A15806" s="2">
        <v>43878.07104166667</v>
      </c>
      <c r="B15806" t="str">
        <f>HYPERLINK("https://twitter.com/Zaverri","@Zaverri")</f>
        <v>@Zaverri</v>
      </c>
      <c r="C15806" t="s">
        <v>7620</v>
      </c>
      <c r="D15806">
        <v>3</v>
      </c>
      <c r="E15806">
        <v>0</v>
      </c>
      <c r="F15806">
        <v>1067</v>
      </c>
    </row>
    <row r="15807" spans="1:6" ht="12.75">
      <c r="A15807" s="2">
        <v>43878.070393518516</v>
      </c>
      <c r="B15807" t="str">
        <f>HYPERLINK("https://twitter.com/AnugrahBerla","@AnugrahBerla")</f>
        <v>@AnugrahBerla</v>
      </c>
      <c r="C15807" t="s">
        <v>6867</v>
      </c>
      <c r="D15807">
        <v>60</v>
      </c>
      <c r="E15807">
        <v>0</v>
      </c>
      <c r="F15807">
        <v>19</v>
      </c>
    </row>
    <row r="15808" spans="1:6" ht="12.75">
      <c r="A15808" s="2">
        <v>43878.069212962961</v>
      </c>
      <c r="B15808" t="str">
        <f>HYPERLINK("https://twitter.com/channieboi_","@channieboi_")</f>
        <v>@channieboi_</v>
      </c>
      <c r="C15808" t="s">
        <v>8024</v>
      </c>
      <c r="D15808">
        <v>0</v>
      </c>
      <c r="E15808">
        <v>0</v>
      </c>
      <c r="F15808">
        <v>450</v>
      </c>
    </row>
    <row r="15809" spans="1:6" ht="12.75">
      <c r="A15809" s="2">
        <v>43878.068611111114</v>
      </c>
      <c r="B15809" t="str">
        <f>HYPERLINK("https://twitter.com/trisnaq","@trisnaq")</f>
        <v>@trisnaq</v>
      </c>
      <c r="C15809" t="s">
        <v>8025</v>
      </c>
      <c r="D15809">
        <v>0</v>
      </c>
      <c r="E15809">
        <v>0</v>
      </c>
      <c r="F15809">
        <v>451</v>
      </c>
    </row>
    <row r="15810" spans="1:6" ht="12.75">
      <c r="A15810" s="2">
        <v>43878.067708333328</v>
      </c>
      <c r="B15810" t="str">
        <f>HYPERLINK("https://twitter.com/SaSenyum","@SaSenyum")</f>
        <v>@SaSenyum</v>
      </c>
      <c r="C15810" t="s">
        <v>8026</v>
      </c>
      <c r="D15810">
        <v>0</v>
      </c>
      <c r="E15810">
        <v>0</v>
      </c>
      <c r="F15810">
        <v>101</v>
      </c>
    </row>
    <row r="15811" spans="1:6" ht="12.75">
      <c r="A15811" s="2">
        <v>43878.067245370374</v>
      </c>
      <c r="B15811" t="str">
        <f>HYPERLINK("https://twitter.com/Me02010","@Me02010")</f>
        <v>@Me02010</v>
      </c>
      <c r="C15811" t="s">
        <v>3150</v>
      </c>
      <c r="D15811">
        <v>377</v>
      </c>
      <c r="E15811">
        <v>0</v>
      </c>
      <c r="F15811">
        <v>145</v>
      </c>
    </row>
    <row r="15812" spans="1:6" ht="12.75">
      <c r="A15812" s="2">
        <v>43878.066041666665</v>
      </c>
      <c r="B15812" t="str">
        <f>HYPERLINK("https://twitter.com/LaRose78992426","@LaRose78992426")</f>
        <v>@LaRose78992426</v>
      </c>
      <c r="C15812" t="s">
        <v>3396</v>
      </c>
      <c r="D15812">
        <v>20</v>
      </c>
      <c r="E15812">
        <v>0</v>
      </c>
      <c r="F15812">
        <v>261</v>
      </c>
    </row>
    <row r="15813" spans="1:6" ht="12.75">
      <c r="A15813" s="2">
        <v>43878.064988425926</v>
      </c>
      <c r="B15813" t="str">
        <f>HYPERLINK("https://twitter.com/rahminova2","@rahminova2")</f>
        <v>@rahminova2</v>
      </c>
      <c r="C15813" t="s">
        <v>6867</v>
      </c>
      <c r="D15813">
        <v>60</v>
      </c>
      <c r="E15813">
        <v>0</v>
      </c>
      <c r="F15813">
        <v>1297</v>
      </c>
    </row>
    <row r="15814" spans="1:6" ht="12.75">
      <c r="A15814" s="2">
        <v>43878.061087962968</v>
      </c>
      <c r="B15814" t="str">
        <f>HYPERLINK("https://twitter.com/guguntertegun","@guguntertegun")</f>
        <v>@guguntertegun</v>
      </c>
      <c r="C15814" t="s">
        <v>8027</v>
      </c>
      <c r="D15814">
        <v>0</v>
      </c>
      <c r="E15814">
        <v>0</v>
      </c>
      <c r="F15814">
        <v>78</v>
      </c>
    </row>
    <row r="15815" spans="1:6" ht="12.75">
      <c r="A15815" s="2">
        <v>43878.060069444444</v>
      </c>
      <c r="B15815" t="str">
        <f>HYPERLINK("https://twitter.com/Anni_2204","@Anni_2204")</f>
        <v>@Anni_2204</v>
      </c>
      <c r="C15815" t="s">
        <v>7620</v>
      </c>
      <c r="D15815">
        <v>3</v>
      </c>
      <c r="E15815">
        <v>0</v>
      </c>
      <c r="F15815">
        <v>252</v>
      </c>
    </row>
    <row r="15816" spans="1:6" ht="12.75">
      <c r="A15816" s="2">
        <v>43878.060057870374</v>
      </c>
      <c r="B15816" t="str">
        <f>HYPERLINK("https://twitter.com/jehosuann","@jehosuann")</f>
        <v>@jehosuann</v>
      </c>
      <c r="C15816" t="s">
        <v>8028</v>
      </c>
      <c r="D15816">
        <v>241</v>
      </c>
      <c r="E15816">
        <v>0</v>
      </c>
      <c r="F15816">
        <v>81</v>
      </c>
    </row>
    <row r="15817" spans="1:6" ht="12.75">
      <c r="A15817" s="2">
        <v>43878.059398148151</v>
      </c>
      <c r="B15817" t="str">
        <f>HYPERLINK("https://twitter.com/liputan6dotcom","@liputan6dotcom")</f>
        <v>@liputan6dotcom</v>
      </c>
      <c r="C15817" t="s">
        <v>8029</v>
      </c>
      <c r="D15817">
        <v>1</v>
      </c>
      <c r="E15817">
        <v>9</v>
      </c>
      <c r="F15817">
        <v>3625425</v>
      </c>
    </row>
    <row r="15818" spans="1:6" ht="12.75">
      <c r="A15818" s="2">
        <v>43878.057627314818</v>
      </c>
      <c r="B15818" t="str">
        <f>HYPERLINK("https://twitter.com/g4suk4_pinokio","@g4suk4_pinokio")</f>
        <v>@g4suk4_pinokio</v>
      </c>
      <c r="C15818" t="s">
        <v>7113</v>
      </c>
      <c r="D15818">
        <v>20</v>
      </c>
      <c r="E15818">
        <v>0</v>
      </c>
      <c r="F15818">
        <v>1881</v>
      </c>
    </row>
    <row r="15819" spans="1:6" ht="12.75">
      <c r="A15819" s="2">
        <v>43878.056909722218</v>
      </c>
      <c r="B15819" t="str">
        <f>HYPERLINK("https://twitter.com/lorraineSW1","@lorraineSW1")</f>
        <v>@lorraineSW1</v>
      </c>
      <c r="C15819" t="s">
        <v>3150</v>
      </c>
      <c r="D15819">
        <v>377</v>
      </c>
      <c r="E15819">
        <v>0</v>
      </c>
      <c r="F15819">
        <v>3067</v>
      </c>
    </row>
    <row r="15820" spans="1:6" ht="12.75">
      <c r="A15820" s="2">
        <v>43878.056886574079</v>
      </c>
      <c r="B15820" t="str">
        <f>HYPERLINK("https://twitter.com/i_fateh_","@i_fateh_")</f>
        <v>@i_fateh_</v>
      </c>
      <c r="C15820" t="s">
        <v>7620</v>
      </c>
      <c r="D15820">
        <v>3</v>
      </c>
      <c r="E15820">
        <v>0</v>
      </c>
      <c r="F15820">
        <v>12667</v>
      </c>
    </row>
    <row r="15821" spans="1:6" ht="12.75">
      <c r="A15821" s="2">
        <v>43878.055601851855</v>
      </c>
      <c r="B15821" t="str">
        <f>HYPERLINK("https://twitter.com/BPN_CGK","@BPN_CGK")</f>
        <v>@BPN_CGK</v>
      </c>
      <c r="C15821" t="s">
        <v>8030</v>
      </c>
      <c r="D15821">
        <v>0</v>
      </c>
      <c r="E15821">
        <v>0</v>
      </c>
      <c r="F15821">
        <v>271</v>
      </c>
    </row>
    <row r="15822" spans="1:6" ht="12.75">
      <c r="A15822" s="2">
        <v>43878.05532407407</v>
      </c>
      <c r="B15822" t="str">
        <f>HYPERLINK("https://twitter.com/RAP1612RAP","@RAP1612RAP")</f>
        <v>@RAP1612RAP</v>
      </c>
      <c r="C15822" t="s">
        <v>6338</v>
      </c>
      <c r="D15822">
        <v>774</v>
      </c>
      <c r="E15822">
        <v>0</v>
      </c>
      <c r="F15822">
        <v>318</v>
      </c>
    </row>
    <row r="15823" spans="1:6" ht="12.75">
      <c r="A15823" s="2">
        <v>43878.054895833338</v>
      </c>
      <c r="B15823" t="str">
        <f>HYPERLINK("https://twitter.com/TheendTo","@TheendTo")</f>
        <v>@TheendTo</v>
      </c>
      <c r="C15823" t="s">
        <v>3396</v>
      </c>
      <c r="D15823">
        <v>20</v>
      </c>
      <c r="E15823">
        <v>0</v>
      </c>
      <c r="F15823">
        <v>1791</v>
      </c>
    </row>
    <row r="15824" spans="1:6" ht="12.75">
      <c r="A15824" s="2">
        <v>43878.053391203706</v>
      </c>
      <c r="B15824" t="str">
        <f>HYPERLINK("https://twitter.com/PojokNU","@PojokNU")</f>
        <v>@PojokNU</v>
      </c>
      <c r="C15824" t="s">
        <v>8031</v>
      </c>
      <c r="D15824">
        <v>0</v>
      </c>
      <c r="E15824">
        <v>0</v>
      </c>
      <c r="F15824">
        <v>697</v>
      </c>
    </row>
    <row r="15825" spans="1:6" ht="12.75">
      <c r="A15825" s="2">
        <v>43878.052407407406</v>
      </c>
      <c r="B15825" t="str">
        <f>HYPERLINK("https://twitter.com/HutomoRadzak","@HutomoRadzak")</f>
        <v>@HutomoRadzak</v>
      </c>
      <c r="C15825" t="s">
        <v>175</v>
      </c>
      <c r="D15825">
        <v>5375</v>
      </c>
      <c r="E15825">
        <v>0</v>
      </c>
      <c r="F15825">
        <v>447</v>
      </c>
    </row>
    <row r="15826" spans="1:6" ht="12.75">
      <c r="A15826" s="2">
        <v>43878.048622685186</v>
      </c>
      <c r="B15826" t="str">
        <f>HYPERLINK("https://twitter.com/Hendfry_Gerard","@Hendfry_Gerard")</f>
        <v>@Hendfry_Gerard</v>
      </c>
      <c r="C15826" t="s">
        <v>3396</v>
      </c>
      <c r="D15826">
        <v>20</v>
      </c>
      <c r="E15826">
        <v>0</v>
      </c>
      <c r="F15826">
        <v>2029</v>
      </c>
    </row>
    <row r="15827" spans="1:6" ht="12.75">
      <c r="A15827" s="2">
        <v>43878.048622685186</v>
      </c>
      <c r="B15827" t="str">
        <f>HYPERLINK("https://twitter.com/KevinAdam2017","@KevinAdam2017")</f>
        <v>@KevinAdam2017</v>
      </c>
      <c r="C15827" t="s">
        <v>8032</v>
      </c>
      <c r="D15827">
        <v>0</v>
      </c>
      <c r="E15827">
        <v>1</v>
      </c>
      <c r="F15827">
        <v>190</v>
      </c>
    </row>
    <row r="15828" spans="1:6" ht="12.75">
      <c r="A15828" s="2">
        <v>43878.045810185184</v>
      </c>
      <c r="B15828" t="str">
        <f>HYPERLINK("https://twitter.com/nihmap","@nihmap")</f>
        <v>@nihmap</v>
      </c>
      <c r="C15828" t="s">
        <v>175</v>
      </c>
      <c r="D15828">
        <v>5375</v>
      </c>
      <c r="E15828">
        <v>0</v>
      </c>
      <c r="F15828">
        <v>531</v>
      </c>
    </row>
    <row r="15829" spans="1:6" ht="12.75">
      <c r="A15829" s="2">
        <v>43878.045717592591</v>
      </c>
      <c r="B15829" t="str">
        <f>HYPERLINK("https://twitter.com/YosuaEric","@YosuaEric")</f>
        <v>@YosuaEric</v>
      </c>
      <c r="C15829" t="s">
        <v>6338</v>
      </c>
      <c r="D15829">
        <v>774</v>
      </c>
      <c r="E15829">
        <v>0</v>
      </c>
      <c r="F15829">
        <v>32</v>
      </c>
    </row>
    <row r="15830" spans="1:6" ht="12.75">
      <c r="A15830" s="2">
        <v>43878.045659722222</v>
      </c>
      <c r="B15830" t="str">
        <f>HYPERLINK("https://twitter.com/DramaBrother","@DramaBrother")</f>
        <v>@DramaBrother</v>
      </c>
      <c r="C15830" t="s">
        <v>2131</v>
      </c>
      <c r="D15830">
        <v>0</v>
      </c>
      <c r="E15830">
        <v>0</v>
      </c>
      <c r="F15830">
        <v>163</v>
      </c>
    </row>
    <row r="15831" spans="1:6" ht="12.75">
      <c r="A15831" s="2">
        <v>43878.045104166667</v>
      </c>
      <c r="B15831" t="str">
        <f>HYPERLINK("https://twitter.com/ImanezStovia","@ImanezStovia")</f>
        <v>@ImanezStovia</v>
      </c>
      <c r="C15831" t="s">
        <v>3396</v>
      </c>
      <c r="D15831">
        <v>20</v>
      </c>
      <c r="E15831">
        <v>0</v>
      </c>
      <c r="F15831">
        <v>748</v>
      </c>
    </row>
    <row r="15832" spans="1:6" ht="12.75">
      <c r="A15832" s="2">
        <v>43878.042534722219</v>
      </c>
      <c r="B15832" t="str">
        <f>HYPERLINK("https://twitter.com/friskanoya","@friskanoya")</f>
        <v>@friskanoya</v>
      </c>
      <c r="C15832" t="s">
        <v>752</v>
      </c>
      <c r="D15832">
        <v>3781</v>
      </c>
      <c r="E15832">
        <v>0</v>
      </c>
      <c r="F15832">
        <v>580</v>
      </c>
    </row>
    <row r="15833" spans="1:6" ht="12.75">
      <c r="A15833" s="2">
        <v>43878.042349537034</v>
      </c>
      <c r="B15833" t="str">
        <f>HYPERLINK("https://twitter.com/moneehitam","@moneehitam")</f>
        <v>@moneehitam</v>
      </c>
      <c r="C15833" t="s">
        <v>3412</v>
      </c>
      <c r="D15833">
        <v>1011</v>
      </c>
      <c r="E15833">
        <v>0</v>
      </c>
      <c r="F15833">
        <v>639</v>
      </c>
    </row>
    <row r="15834" spans="1:6" ht="12.75">
      <c r="A15834" s="2">
        <v>43878.041550925926</v>
      </c>
      <c r="B15834" t="str">
        <f>HYPERLINK("https://twitter.com/gambarjagad1926","@gambarjagad1926")</f>
        <v>@gambarjagad1926</v>
      </c>
      <c r="C15834" t="s">
        <v>8033</v>
      </c>
      <c r="D15834">
        <v>4</v>
      </c>
      <c r="E15834">
        <v>0</v>
      </c>
      <c r="F15834">
        <v>329</v>
      </c>
    </row>
    <row r="15835" spans="1:6" ht="12.75">
      <c r="A15835" s="2">
        <v>43878.041550925926</v>
      </c>
      <c r="B15835" t="str">
        <f>HYPERLINK("https://twitter.com/AEPishere","@AEPishere")</f>
        <v>@AEPishere</v>
      </c>
      <c r="C15835" t="s">
        <v>3340</v>
      </c>
      <c r="D15835">
        <v>2</v>
      </c>
      <c r="E15835">
        <v>0</v>
      </c>
      <c r="F15835">
        <v>3011</v>
      </c>
    </row>
    <row r="15836" spans="1:6" ht="12.75">
      <c r="A15836" s="2">
        <v>43878.039675925931</v>
      </c>
      <c r="B15836" t="str">
        <f>HYPERLINK("https://twitter.com/Mela_669","@Mela_669")</f>
        <v>@Mela_669</v>
      </c>
      <c r="C15836" t="s">
        <v>3396</v>
      </c>
      <c r="D15836">
        <v>15</v>
      </c>
      <c r="E15836">
        <v>0</v>
      </c>
      <c r="F15836">
        <v>813</v>
      </c>
    </row>
    <row r="15837" spans="1:6" ht="12.75">
      <c r="A15837" s="2">
        <v>43878.039594907408</v>
      </c>
      <c r="B15837" t="str">
        <f>HYPERLINK("https://twitter.com/republikaonline","@republikaonline")</f>
        <v>@republikaonline</v>
      </c>
      <c r="C15837" t="s">
        <v>8034</v>
      </c>
      <c r="D15837">
        <v>0</v>
      </c>
      <c r="E15837">
        <v>2</v>
      </c>
      <c r="F15837">
        <v>1210730</v>
      </c>
    </row>
    <row r="15838" spans="1:6" ht="12.75">
      <c r="A15838" s="2">
        <v>43878.038946759261</v>
      </c>
      <c r="B15838" t="str">
        <f>HYPERLINK("https://twitter.com/S1MB4H_EN0M","@S1MB4H_EN0M")</f>
        <v>@S1MB4H_EN0M</v>
      </c>
      <c r="C15838" t="s">
        <v>7298</v>
      </c>
      <c r="D15838">
        <v>68</v>
      </c>
      <c r="E15838">
        <v>0</v>
      </c>
      <c r="F15838">
        <v>603</v>
      </c>
    </row>
    <row r="15839" spans="1:6" ht="12.75">
      <c r="A15839" s="2">
        <v>43878.038611111115</v>
      </c>
      <c r="B15839" t="str">
        <f>HYPERLINK("https://twitter.com/AnnisaRistami","@AnnisaRistami")</f>
        <v>@AnnisaRistami</v>
      </c>
      <c r="C15839" t="s">
        <v>8035</v>
      </c>
      <c r="D15839">
        <v>0</v>
      </c>
      <c r="E15839">
        <v>0</v>
      </c>
      <c r="F15839">
        <v>529</v>
      </c>
    </row>
    <row r="15840" spans="1:6" ht="12.75">
      <c r="A15840" s="2">
        <v>43878.03770833333</v>
      </c>
      <c r="B15840" t="str">
        <f>HYPERLINK("https://twitter.com/YoyoRHyo","@YoyoRHyo")</f>
        <v>@YoyoRHyo</v>
      </c>
      <c r="C15840" t="s">
        <v>513</v>
      </c>
      <c r="D15840">
        <v>23176</v>
      </c>
      <c r="E15840">
        <v>0</v>
      </c>
      <c r="F15840">
        <v>38</v>
      </c>
    </row>
    <row r="15841" spans="1:6" ht="12.75">
      <c r="A15841" s="2">
        <v>43878.035590277781</v>
      </c>
      <c r="B15841" t="str">
        <f>HYPERLINK("https://twitter.com/Nitizen_Zen","@Nitizen_Zen")</f>
        <v>@Nitizen_Zen</v>
      </c>
      <c r="C15841" t="s">
        <v>3396</v>
      </c>
      <c r="D15841">
        <v>15</v>
      </c>
      <c r="E15841">
        <v>0</v>
      </c>
      <c r="F15841">
        <v>456</v>
      </c>
    </row>
    <row r="15842" spans="1:6" ht="12.75">
      <c r="A15842" s="2">
        <v>43878.03534722222</v>
      </c>
      <c r="B15842" t="str">
        <f>HYPERLINK("https://twitter.com/Dagdigduq","@Dagdigduq")</f>
        <v>@Dagdigduq</v>
      </c>
      <c r="C15842" t="s">
        <v>7956</v>
      </c>
      <c r="D15842">
        <v>61</v>
      </c>
      <c r="E15842">
        <v>0</v>
      </c>
      <c r="F15842">
        <v>1374</v>
      </c>
    </row>
    <row r="15843" spans="1:6" ht="12.75">
      <c r="A15843" s="2">
        <v>43878.034803240742</v>
      </c>
      <c r="B15843" t="str">
        <f>HYPERLINK("https://twitter.com/me_zhu__Yusra","@me_zhu__Yusra")</f>
        <v>@me_zhu__Yusra</v>
      </c>
      <c r="C15843" t="s">
        <v>8036</v>
      </c>
      <c r="D15843">
        <v>0</v>
      </c>
      <c r="E15843">
        <v>1</v>
      </c>
      <c r="F15843">
        <v>3056</v>
      </c>
    </row>
    <row r="15844" spans="1:6" ht="12.75">
      <c r="A15844" s="2">
        <v>43878.034699074073</v>
      </c>
      <c r="B15844" t="str">
        <f>HYPERLINK("https://twitter.com/jasmevcebong","@jasmevcebong")</f>
        <v>@jasmevcebong</v>
      </c>
      <c r="C15844" t="s">
        <v>7195</v>
      </c>
      <c r="D15844">
        <v>5</v>
      </c>
      <c r="E15844">
        <v>0</v>
      </c>
      <c r="F15844">
        <v>638</v>
      </c>
    </row>
    <row r="15845" spans="1:6" ht="12.75">
      <c r="A15845" s="2">
        <v>43878.034062499995</v>
      </c>
      <c r="B15845" t="str">
        <f>HYPERLINK("https://twitter.com/clusterfeck","@clusterfeck")</f>
        <v>@clusterfeck</v>
      </c>
      <c r="C15845" t="s">
        <v>3150</v>
      </c>
      <c r="D15845">
        <v>373</v>
      </c>
      <c r="E15845">
        <v>0</v>
      </c>
      <c r="F15845">
        <v>352</v>
      </c>
    </row>
    <row r="15846" spans="1:6" ht="12.75">
      <c r="A15846" s="2">
        <v>43878.03324074074</v>
      </c>
      <c r="B15846" t="str">
        <f>HYPERLINK("https://twitter.com/becak125cc","@becak125cc")</f>
        <v>@becak125cc</v>
      </c>
      <c r="C15846" t="s">
        <v>3396</v>
      </c>
      <c r="D15846">
        <v>15</v>
      </c>
      <c r="E15846">
        <v>0</v>
      </c>
      <c r="F15846">
        <v>499</v>
      </c>
    </row>
    <row r="15847" spans="1:6" ht="12.75">
      <c r="A15847" s="2">
        <v>43878.033078703702</v>
      </c>
      <c r="B15847" t="str">
        <f>HYPERLINK("https://twitter.com/moneehitam","@moneehitam")</f>
        <v>@moneehitam</v>
      </c>
      <c r="C15847" t="s">
        <v>2134</v>
      </c>
      <c r="D15847">
        <v>992</v>
      </c>
      <c r="E15847">
        <v>0</v>
      </c>
      <c r="F15847">
        <v>639</v>
      </c>
    </row>
    <row r="15848" spans="1:6" ht="12.75">
      <c r="A15848" s="2">
        <v>43878.032835648148</v>
      </c>
      <c r="B15848" t="str">
        <f>HYPERLINK("https://twitter.com/Cahkuwut","@Cahkuwut")</f>
        <v>@Cahkuwut</v>
      </c>
      <c r="C15848" t="s">
        <v>8033</v>
      </c>
      <c r="D15848">
        <v>4</v>
      </c>
      <c r="E15848">
        <v>0</v>
      </c>
      <c r="F15848">
        <v>650</v>
      </c>
    </row>
    <row r="15849" spans="1:6" ht="12.75">
      <c r="A15849" s="2">
        <v>43878.032048611116</v>
      </c>
      <c r="B15849" t="str">
        <f>HYPERLINK("https://twitter.com/Riddo_plur","@Riddo_plur")</f>
        <v>@Riddo_plur</v>
      </c>
      <c r="C15849" t="s">
        <v>3396</v>
      </c>
      <c r="D15849">
        <v>15</v>
      </c>
      <c r="E15849">
        <v>0</v>
      </c>
      <c r="F15849">
        <v>208</v>
      </c>
    </row>
    <row r="15850" spans="1:6" ht="12.75">
      <c r="A15850" s="2">
        <v>43878.031898148147</v>
      </c>
      <c r="B15850" t="str">
        <f>HYPERLINK("https://twitter.com/awan137","@awan137")</f>
        <v>@awan137</v>
      </c>
      <c r="C15850" t="s">
        <v>3396</v>
      </c>
      <c r="D15850">
        <v>15</v>
      </c>
      <c r="E15850">
        <v>0</v>
      </c>
      <c r="F15850">
        <v>192</v>
      </c>
    </row>
    <row r="15851" spans="1:6" ht="12.75">
      <c r="A15851" s="2">
        <v>43878.030868055561</v>
      </c>
      <c r="B15851" t="str">
        <f>HYPERLINK("https://twitter.com/jennyestensen","@jennyestensen")</f>
        <v>@jennyestensen</v>
      </c>
      <c r="C15851" t="s">
        <v>2127</v>
      </c>
      <c r="D15851">
        <v>0</v>
      </c>
      <c r="E15851">
        <v>0</v>
      </c>
      <c r="F15851">
        <v>125</v>
      </c>
    </row>
    <row r="15852" spans="1:6" ht="12.75">
      <c r="A15852" s="2">
        <v>43878.030277777776</v>
      </c>
      <c r="B15852" t="str">
        <f>HYPERLINK("https://twitter.com/zainal78142749","@zainal78142749")</f>
        <v>@zainal78142749</v>
      </c>
      <c r="C15852" t="s">
        <v>3396</v>
      </c>
      <c r="D15852">
        <v>15</v>
      </c>
      <c r="E15852">
        <v>0</v>
      </c>
      <c r="F15852">
        <v>413</v>
      </c>
    </row>
    <row r="15853" spans="1:6" ht="12.75">
      <c r="A15853" s="2">
        <v>43878.03024305556</v>
      </c>
      <c r="B15853" t="str">
        <f>HYPERLINK("https://twitter.com/BadjaNuswantara","@BadjaNuswantara")</f>
        <v>@BadjaNuswantara</v>
      </c>
      <c r="C15853" t="s">
        <v>3396</v>
      </c>
      <c r="D15853">
        <v>15</v>
      </c>
      <c r="E15853">
        <v>0</v>
      </c>
      <c r="F15853">
        <v>42442</v>
      </c>
    </row>
    <row r="15854" spans="1:6" ht="12.75">
      <c r="A15854" s="2">
        <v>43878.029548611114</v>
      </c>
      <c r="B15854" t="str">
        <f>HYPERLINK("https://twitter.com/hikam_husnul","@hikam_husnul")</f>
        <v>@hikam_husnul</v>
      </c>
      <c r="C15854" t="s">
        <v>8037</v>
      </c>
      <c r="D15854">
        <v>0</v>
      </c>
      <c r="E15854">
        <v>0</v>
      </c>
      <c r="F15854">
        <v>35</v>
      </c>
    </row>
    <row r="15855" spans="1:6" ht="12.75">
      <c r="A15855" s="2">
        <v>43878.028946759259</v>
      </c>
      <c r="B15855" t="str">
        <f>HYPERLINK("https://twitter.com/Juan26470158","@Juan26470158")</f>
        <v>@Juan26470158</v>
      </c>
      <c r="C15855" t="s">
        <v>8038</v>
      </c>
      <c r="D15855">
        <v>0</v>
      </c>
      <c r="E15855">
        <v>0</v>
      </c>
      <c r="F15855">
        <v>17</v>
      </c>
    </row>
    <row r="15856" spans="1:6" ht="12.75">
      <c r="A15856" s="2">
        <v>43878.028495370367</v>
      </c>
      <c r="B15856" t="str">
        <f>HYPERLINK("https://twitter.com/coymarino820","@coymarino820")</f>
        <v>@coymarino820</v>
      </c>
      <c r="C15856" t="s">
        <v>6867</v>
      </c>
      <c r="D15856">
        <v>58</v>
      </c>
      <c r="E15856">
        <v>0</v>
      </c>
      <c r="F15856">
        <v>346</v>
      </c>
    </row>
    <row r="15857" spans="1:6" ht="12.75">
      <c r="A15857" s="2">
        <v>43878.027175925927</v>
      </c>
      <c r="B15857" t="str">
        <f>HYPERLINK("https://twitter.com/grindiewiz","@grindiewiz")</f>
        <v>@grindiewiz</v>
      </c>
      <c r="C15857" t="s">
        <v>8039</v>
      </c>
      <c r="D15857">
        <v>0</v>
      </c>
      <c r="E15857">
        <v>0</v>
      </c>
      <c r="F15857">
        <v>456</v>
      </c>
    </row>
    <row r="15858" spans="1:6" ht="12.75">
      <c r="A15858" s="2">
        <v>43878.026874999996</v>
      </c>
      <c r="B15858" t="str">
        <f>HYPERLINK("https://twitter.com/TukangKetawa3ID","@TukangKetawa3ID")</f>
        <v>@TukangKetawa3ID</v>
      </c>
      <c r="C15858" t="s">
        <v>7195</v>
      </c>
      <c r="D15858">
        <v>5</v>
      </c>
      <c r="E15858">
        <v>0</v>
      </c>
      <c r="F15858">
        <v>74</v>
      </c>
    </row>
    <row r="15859" spans="1:6" ht="12.75">
      <c r="A15859" s="2">
        <v>43878.026064814811</v>
      </c>
      <c r="B15859" t="str">
        <f>HYPERLINK("https://twitter.com/jarkasih_p","@jarkasih_p")</f>
        <v>@jarkasih_p</v>
      </c>
      <c r="C15859" t="s">
        <v>3396</v>
      </c>
      <c r="D15859">
        <v>15</v>
      </c>
      <c r="E15859">
        <v>0</v>
      </c>
      <c r="F15859">
        <v>461</v>
      </c>
    </row>
    <row r="15860" spans="1:6" ht="12.75">
      <c r="A15860" s="2">
        <v>43878.025381944448</v>
      </c>
      <c r="B15860" t="str">
        <f>HYPERLINK("https://twitter.com/warkop_tkj","@warkop_tkj")</f>
        <v>@warkop_tkj</v>
      </c>
      <c r="C15860" t="s">
        <v>8040</v>
      </c>
      <c r="D15860">
        <v>0</v>
      </c>
      <c r="E15860">
        <v>0</v>
      </c>
      <c r="F15860">
        <v>52</v>
      </c>
    </row>
    <row r="15861" spans="1:6" ht="12.75">
      <c r="A15861" s="2">
        <v>43878.025335648148</v>
      </c>
      <c r="B15861" t="str">
        <f>HYPERLINK("https://twitter.com/AndromedaMcfc","@AndromedaMcfc")</f>
        <v>@AndromedaMcfc</v>
      </c>
      <c r="C15861" t="s">
        <v>8041</v>
      </c>
      <c r="D15861">
        <v>0</v>
      </c>
      <c r="E15861">
        <v>0</v>
      </c>
      <c r="F15861">
        <v>4003</v>
      </c>
    </row>
    <row r="15862" spans="1:6" ht="12.75">
      <c r="A15862" s="2">
        <v>43878.025081018517</v>
      </c>
      <c r="B15862" t="str">
        <f>HYPERLINK("https://twitter.com/GeorgeEdwardNe1","@GeorgeEdwardNe1")</f>
        <v>@GeorgeEdwardNe1</v>
      </c>
      <c r="C15862" t="s">
        <v>3150</v>
      </c>
      <c r="D15862">
        <v>373</v>
      </c>
      <c r="E15862">
        <v>0</v>
      </c>
      <c r="F15862">
        <v>272</v>
      </c>
    </row>
    <row r="15863" spans="1:6" ht="12.75">
      <c r="A15863" s="2">
        <v>43878.024571759262</v>
      </c>
      <c r="B15863" t="str">
        <f>HYPERLINK("https://twitter.com/NgaritCommunity","@NgaritCommunity")</f>
        <v>@NgaritCommunity</v>
      </c>
      <c r="C15863" t="s">
        <v>8042</v>
      </c>
      <c r="D15863">
        <v>0</v>
      </c>
      <c r="E15863">
        <v>0</v>
      </c>
      <c r="F15863">
        <v>423</v>
      </c>
    </row>
    <row r="15864" spans="1:6" ht="12.75">
      <c r="A15864" s="2">
        <v>43878.024270833332</v>
      </c>
      <c r="B15864" t="str">
        <f>HYPERLINK("https://twitter.com/AEPishere","@AEPishere")</f>
        <v>@AEPishere</v>
      </c>
      <c r="C15864" t="s">
        <v>7840</v>
      </c>
      <c r="D15864">
        <v>2</v>
      </c>
      <c r="E15864">
        <v>0</v>
      </c>
      <c r="F15864">
        <v>3011</v>
      </c>
    </row>
    <row r="15865" spans="1:6" ht="12.75">
      <c r="A15865" s="2">
        <v>43878.024259259255</v>
      </c>
      <c r="B15865" t="str">
        <f>HYPERLINK("https://twitter.com/DW_48w","@DW_48w")</f>
        <v>@DW_48w</v>
      </c>
      <c r="C15865" t="s">
        <v>7855</v>
      </c>
      <c r="D15865">
        <v>0</v>
      </c>
      <c r="E15865">
        <v>0</v>
      </c>
      <c r="F15865">
        <v>1980</v>
      </c>
    </row>
    <row r="15866" spans="1:6" ht="12.75">
      <c r="A15866" s="2">
        <v>43878.024178240739</v>
      </c>
      <c r="B15866" t="str">
        <f>HYPERLINK("https://twitter.com/prabowo81500786","@prabowo81500786")</f>
        <v>@prabowo81500786</v>
      </c>
      <c r="C15866" t="s">
        <v>8043</v>
      </c>
      <c r="D15866">
        <v>0</v>
      </c>
      <c r="E15866">
        <v>0</v>
      </c>
      <c r="F15866">
        <v>5</v>
      </c>
    </row>
    <row r="15867" spans="1:6" ht="12.75">
      <c r="A15867" s="2">
        <v>43878.023483796293</v>
      </c>
      <c r="B15867" t="str">
        <f>HYPERLINK("https://twitter.com/singgihk8","@singgihk8")</f>
        <v>@singgihk8</v>
      </c>
      <c r="C15867" t="s">
        <v>6989</v>
      </c>
      <c r="D15867">
        <v>168</v>
      </c>
      <c r="E15867">
        <v>0</v>
      </c>
      <c r="F15867">
        <v>1471</v>
      </c>
    </row>
    <row r="15868" spans="1:6" ht="12.75">
      <c r="A15868" s="2">
        <v>43878.021990740745</v>
      </c>
      <c r="B15868" t="str">
        <f>HYPERLINK("https://twitter.com/prabowo81500786","@prabowo81500786")</f>
        <v>@prabowo81500786</v>
      </c>
      <c r="C15868" t="s">
        <v>8044</v>
      </c>
      <c r="D15868">
        <v>0</v>
      </c>
      <c r="E15868">
        <v>0</v>
      </c>
      <c r="F15868">
        <v>5</v>
      </c>
    </row>
    <row r="15869" spans="1:6" ht="12.75">
      <c r="A15869" s="2">
        <v>43878.021967592591</v>
      </c>
      <c r="B15869" t="str">
        <f>HYPERLINK("https://twitter.com/aippait","@aippait")</f>
        <v>@aippait</v>
      </c>
      <c r="C15869" t="s">
        <v>6989</v>
      </c>
      <c r="D15869">
        <v>168</v>
      </c>
      <c r="E15869">
        <v>0</v>
      </c>
      <c r="F15869">
        <v>31</v>
      </c>
    </row>
    <row r="15870" spans="1:6" ht="12.75">
      <c r="A15870" s="2">
        <v>43878.021863425922</v>
      </c>
      <c r="B15870" t="str">
        <f>HYPERLINK("https://twitter.com/cantyxq","@cantyxq")</f>
        <v>@cantyxq</v>
      </c>
      <c r="C15870" t="s">
        <v>7298</v>
      </c>
      <c r="D15870">
        <v>68</v>
      </c>
      <c r="E15870">
        <v>0</v>
      </c>
      <c r="F15870">
        <v>295</v>
      </c>
    </row>
    <row r="15871" spans="1:6" ht="12.75">
      <c r="A15871" s="2">
        <v>43878.021701388891</v>
      </c>
      <c r="B15871" t="str">
        <f>HYPERLINK("https://twitter.com/aippait","@aippait")</f>
        <v>@aippait</v>
      </c>
      <c r="C15871" t="s">
        <v>8045</v>
      </c>
      <c r="D15871">
        <v>1</v>
      </c>
      <c r="E15871">
        <v>0</v>
      </c>
      <c r="F15871">
        <v>31</v>
      </c>
    </row>
    <row r="15872" spans="1:6" ht="12.75">
      <c r="A15872" s="2">
        <v>43878.021250000005</v>
      </c>
      <c r="B15872" t="str">
        <f>HYPERLINK("https://twitter.com/me_zhu__Yusra","@me_zhu__Yusra")</f>
        <v>@me_zhu__Yusra</v>
      </c>
      <c r="C15872" t="s">
        <v>8046</v>
      </c>
      <c r="D15872">
        <v>0</v>
      </c>
      <c r="E15872">
        <v>0</v>
      </c>
      <c r="F15872">
        <v>3056</v>
      </c>
    </row>
    <row r="15873" spans="1:6" ht="12.75">
      <c r="A15873" s="2">
        <v>43878.020949074074</v>
      </c>
      <c r="B15873" t="str">
        <f>HYPERLINK("https://twitter.com/febriyona","@febriyona")</f>
        <v>@febriyona</v>
      </c>
      <c r="C15873" t="s">
        <v>2444</v>
      </c>
      <c r="D15873">
        <v>4562</v>
      </c>
      <c r="E15873">
        <v>0</v>
      </c>
      <c r="F15873">
        <v>318</v>
      </c>
    </row>
    <row r="15874" spans="1:6" ht="12.75">
      <c r="A15874" s="2">
        <v>43878.019745370373</v>
      </c>
      <c r="B15874" t="str">
        <f>HYPERLINK("https://twitter.com/bickfordblue","@bickfordblue")</f>
        <v>@bickfordblue</v>
      </c>
      <c r="C15874" t="s">
        <v>3150</v>
      </c>
      <c r="D15874">
        <v>373</v>
      </c>
      <c r="E15874">
        <v>0</v>
      </c>
      <c r="F15874">
        <v>3487</v>
      </c>
    </row>
    <row r="15875" spans="1:6" ht="12.75">
      <c r="A15875" s="2">
        <v>43878.019548611112</v>
      </c>
      <c r="B15875" t="str">
        <f>HYPERLINK("https://twitter.com/prabowo81500786","@prabowo81500786")</f>
        <v>@prabowo81500786</v>
      </c>
      <c r="C15875" t="s">
        <v>8047</v>
      </c>
      <c r="D15875">
        <v>0</v>
      </c>
      <c r="E15875">
        <v>0</v>
      </c>
      <c r="F15875">
        <v>5</v>
      </c>
    </row>
    <row r="15876" spans="1:6" ht="12.75">
      <c r="A15876" s="2">
        <v>43878.017546296294</v>
      </c>
      <c r="B15876" t="str">
        <f>HYPERLINK("https://twitter.com/ZulfikarZ4karia","@ZulfikarZ4karia")</f>
        <v>@ZulfikarZ4karia</v>
      </c>
      <c r="C15876" t="s">
        <v>7195</v>
      </c>
      <c r="D15876">
        <v>5</v>
      </c>
      <c r="E15876">
        <v>0</v>
      </c>
      <c r="F15876">
        <v>1662</v>
      </c>
    </row>
    <row r="15877" spans="1:6" ht="12.75">
      <c r="A15877" s="2">
        <v>43878.017465277779</v>
      </c>
      <c r="B15877" t="str">
        <f>HYPERLINK("https://twitter.com/kevinb16199864","@kevinb16199864")</f>
        <v>@kevinb16199864</v>
      </c>
      <c r="C15877" t="s">
        <v>3150</v>
      </c>
      <c r="D15877">
        <v>373</v>
      </c>
      <c r="E15877">
        <v>0</v>
      </c>
      <c r="F15877">
        <v>817</v>
      </c>
    </row>
    <row r="15878" spans="1:6" ht="12.75">
      <c r="A15878" s="2">
        <v>43878.017337962963</v>
      </c>
      <c r="B15878" t="str">
        <f>HYPERLINK("https://twitter.com/SaSenyum","@SaSenyum")</f>
        <v>@SaSenyum</v>
      </c>
      <c r="C15878" t="s">
        <v>8048</v>
      </c>
      <c r="D15878">
        <v>0</v>
      </c>
      <c r="E15878">
        <v>1</v>
      </c>
      <c r="F15878">
        <v>101</v>
      </c>
    </row>
    <row r="15879" spans="1:6" ht="12.75">
      <c r="A15879" s="2">
        <v>43878.017094907409</v>
      </c>
      <c r="B15879" t="str">
        <f>HYPERLINK("https://twitter.com/_Arokk","@_Arokk")</f>
        <v>@_Arokk</v>
      </c>
      <c r="C15879" t="s">
        <v>8049</v>
      </c>
      <c r="D15879">
        <v>0</v>
      </c>
      <c r="E15879">
        <v>0</v>
      </c>
      <c r="F15879">
        <v>525</v>
      </c>
    </row>
    <row r="15880" spans="1:6" ht="12.75">
      <c r="A15880" s="2">
        <v>43878.016782407409</v>
      </c>
      <c r="B15880" t="str">
        <f>HYPERLINK("https://twitter.com/jktgtl","@jktgtl")</f>
        <v>@jktgtl</v>
      </c>
      <c r="C15880" t="s">
        <v>8050</v>
      </c>
      <c r="D15880">
        <v>9</v>
      </c>
      <c r="E15880">
        <v>0</v>
      </c>
      <c r="F15880">
        <v>206</v>
      </c>
    </row>
    <row r="15881" spans="1:6" ht="12.75">
      <c r="A15881" s="2">
        <v>43878.016099537039</v>
      </c>
      <c r="B15881" t="str">
        <f>HYPERLINK("https://twitter.com/BinarisSitumor1","@BinarisSitumor1")</f>
        <v>@BinarisSitumor1</v>
      </c>
      <c r="C15881" t="s">
        <v>7956</v>
      </c>
      <c r="D15881">
        <v>61</v>
      </c>
      <c r="E15881">
        <v>0</v>
      </c>
      <c r="F15881">
        <v>282</v>
      </c>
    </row>
    <row r="15882" spans="1:6" ht="12.75">
      <c r="A15882" s="2">
        <v>43878.015092592592</v>
      </c>
      <c r="B15882" t="str">
        <f>HYPERLINK("https://twitter.com/nabbiila","@nabbiila")</f>
        <v>@nabbiila</v>
      </c>
      <c r="C15882" t="s">
        <v>8051</v>
      </c>
      <c r="D15882">
        <v>0</v>
      </c>
      <c r="E15882">
        <v>0</v>
      </c>
      <c r="F15882">
        <v>568</v>
      </c>
    </row>
    <row r="15883" spans="1:6" ht="12.75">
      <c r="A15883" s="2">
        <v>43878.013738425929</v>
      </c>
      <c r="B15883" t="str">
        <f>HYPERLINK("https://twitter.com/mayaracqfraga22","@mayaracqfraga22")</f>
        <v>@mayaracqfraga22</v>
      </c>
      <c r="C15883" t="s">
        <v>8052</v>
      </c>
      <c r="D15883">
        <v>0</v>
      </c>
      <c r="E15883">
        <v>0</v>
      </c>
      <c r="F15883">
        <v>1004</v>
      </c>
    </row>
    <row r="15884" spans="1:6" ht="12.75">
      <c r="A15884" s="2">
        <v>43878.013726851852</v>
      </c>
      <c r="B15884" t="str">
        <f>HYPERLINK("https://twitter.com/sesa_dhafa","@sesa_dhafa")</f>
        <v>@sesa_dhafa</v>
      </c>
      <c r="C15884" t="s">
        <v>7734</v>
      </c>
      <c r="D15884">
        <v>34</v>
      </c>
      <c r="E15884">
        <v>0</v>
      </c>
      <c r="F15884">
        <v>178</v>
      </c>
    </row>
    <row r="15885" spans="1:6" ht="12.75">
      <c r="A15885" s="2">
        <v>43878.013518518521</v>
      </c>
      <c r="B15885" t="str">
        <f>HYPERLINK("https://twitter.com/EKODJONZHI","@EKODJONZHI")</f>
        <v>@EKODJONZHI</v>
      </c>
      <c r="C15885" t="s">
        <v>7195</v>
      </c>
      <c r="D15885">
        <v>5</v>
      </c>
      <c r="E15885">
        <v>0</v>
      </c>
      <c r="F15885">
        <v>4017</v>
      </c>
    </row>
    <row r="15886" spans="1:6" ht="12.75">
      <c r="A15886" s="2">
        <v>43878.012280092589</v>
      </c>
      <c r="B15886" t="str">
        <f>HYPERLINK("https://twitter.com/11brantakan","@11brantakan")</f>
        <v>@11brantakan</v>
      </c>
      <c r="C15886" t="s">
        <v>8053</v>
      </c>
      <c r="D15886">
        <v>31</v>
      </c>
      <c r="E15886">
        <v>0</v>
      </c>
      <c r="F15886">
        <v>349</v>
      </c>
    </row>
    <row r="15887" spans="1:6" ht="12.75">
      <c r="A15887" s="2">
        <v>43878.011817129634</v>
      </c>
      <c r="B15887" t="str">
        <f>HYPERLINK("https://twitter.com/dirgaler","@dirgaler")</f>
        <v>@dirgaler</v>
      </c>
      <c r="C15887" t="s">
        <v>8054</v>
      </c>
      <c r="D15887">
        <v>0</v>
      </c>
      <c r="E15887">
        <v>0</v>
      </c>
      <c r="F15887">
        <v>558</v>
      </c>
    </row>
    <row r="15888" spans="1:6" ht="12.75">
      <c r="A15888" s="2">
        <v>43878.011724537035</v>
      </c>
      <c r="B15888" t="str">
        <f>HYPERLINK("https://twitter.com/RoodGridance","@RoodGridance")</f>
        <v>@RoodGridance</v>
      </c>
      <c r="C15888" t="s">
        <v>3150</v>
      </c>
      <c r="D15888">
        <v>373</v>
      </c>
      <c r="E15888">
        <v>0</v>
      </c>
      <c r="F15888">
        <v>2764</v>
      </c>
    </row>
    <row r="15889" spans="1:6" ht="12.75">
      <c r="A15889" s="2">
        <v>43878.010196759264</v>
      </c>
      <c r="B15889" t="str">
        <f>HYPERLINK("https://twitter.com/alieffhabib","@alieffhabib")</f>
        <v>@alieffhabib</v>
      </c>
      <c r="C15889" t="s">
        <v>2147</v>
      </c>
      <c r="D15889">
        <v>544</v>
      </c>
      <c r="E15889">
        <v>0</v>
      </c>
      <c r="F15889">
        <v>32</v>
      </c>
    </row>
    <row r="15890" spans="1:6" ht="12.75">
      <c r="A15890" s="2">
        <v>43878.009652777779</v>
      </c>
      <c r="B15890" t="str">
        <f>HYPERLINK("https://twitter.com/bffb300aff02425","@bffb300aff02425")</f>
        <v>@bffb300aff02425</v>
      </c>
      <c r="C15890" t="s">
        <v>8055</v>
      </c>
      <c r="D15890">
        <v>7</v>
      </c>
      <c r="E15890">
        <v>0</v>
      </c>
      <c r="F15890">
        <v>514</v>
      </c>
    </row>
    <row r="15891" spans="1:6" ht="12.75">
      <c r="A15891" s="2">
        <v>43878.009120370371</v>
      </c>
      <c r="B15891" t="str">
        <f>HYPERLINK("https://twitter.com/GnpfBullshit212","@GnpfBullshit212")</f>
        <v>@GnpfBullshit212</v>
      </c>
      <c r="C15891" t="s">
        <v>6989</v>
      </c>
      <c r="D15891">
        <v>168</v>
      </c>
      <c r="E15891">
        <v>0</v>
      </c>
      <c r="F15891">
        <v>999</v>
      </c>
    </row>
    <row r="15892" spans="1:6" ht="12.75">
      <c r="A15892" s="2">
        <v>43878.008761574078</v>
      </c>
      <c r="B15892" t="str">
        <f>HYPERLINK("https://twitter.com/PermataBank","@PermataBank")</f>
        <v>@PermataBank</v>
      </c>
      <c r="C15892" t="s">
        <v>8056</v>
      </c>
      <c r="D15892">
        <v>0</v>
      </c>
      <c r="E15892">
        <v>0</v>
      </c>
      <c r="F15892">
        <v>18659</v>
      </c>
    </row>
    <row r="15893" spans="1:6" ht="12.75">
      <c r="A15893" s="2">
        <v>43878.0081712963</v>
      </c>
      <c r="B15893" t="str">
        <f>HYPERLINK("https://twitter.com/stfulilbaby","@stfulilbaby")</f>
        <v>@stfulilbaby</v>
      </c>
      <c r="C15893" t="s">
        <v>8057</v>
      </c>
      <c r="D15893">
        <v>0</v>
      </c>
      <c r="E15893">
        <v>0</v>
      </c>
      <c r="F15893">
        <v>2533</v>
      </c>
    </row>
    <row r="15894" spans="1:6" ht="12.75">
      <c r="A15894" s="2">
        <v>43878.008113425924</v>
      </c>
      <c r="B15894" t="str">
        <f>HYPERLINK("https://twitter.com/JacksQuevara","@JacksQuevara")</f>
        <v>@JacksQuevara</v>
      </c>
      <c r="C15894" t="s">
        <v>8058</v>
      </c>
      <c r="D15894">
        <v>1</v>
      </c>
      <c r="E15894">
        <v>0</v>
      </c>
      <c r="F15894">
        <v>1038</v>
      </c>
    </row>
    <row r="15895" spans="1:6" ht="12.75">
      <c r="A15895" s="2">
        <v>43878.007615740746</v>
      </c>
      <c r="B15895" t="str">
        <f>HYPERLINK("https://twitter.com/Aboriginandind1","@Aboriginandind1")</f>
        <v>@Aboriginandind1</v>
      </c>
      <c r="C15895" t="s">
        <v>8059</v>
      </c>
      <c r="D15895">
        <v>0</v>
      </c>
      <c r="E15895">
        <v>0</v>
      </c>
      <c r="F15895">
        <v>10</v>
      </c>
    </row>
    <row r="15896" spans="1:6" ht="12.75">
      <c r="A15896" s="2">
        <v>43878.007534722223</v>
      </c>
      <c r="B15896" t="str">
        <f>HYPERLINK("https://twitter.com/AMAN_Indonesia","@AMAN_Indonesia")</f>
        <v>@AMAN_Indonesia</v>
      </c>
      <c r="C15896" t="s">
        <v>8060</v>
      </c>
      <c r="D15896">
        <v>0</v>
      </c>
      <c r="E15896">
        <v>0</v>
      </c>
      <c r="F15896">
        <v>612</v>
      </c>
    </row>
    <row r="15897" spans="1:6" ht="12.75">
      <c r="A15897" s="2">
        <v>43878.006990740745</v>
      </c>
      <c r="B15897" t="str">
        <f>HYPERLINK("https://twitter.com/XpetzD","@XpetzD")</f>
        <v>@XpetzD</v>
      </c>
      <c r="C15897" t="s">
        <v>8061</v>
      </c>
      <c r="D15897">
        <v>1</v>
      </c>
      <c r="E15897">
        <v>0</v>
      </c>
      <c r="F15897">
        <v>1199</v>
      </c>
    </row>
    <row r="15898" spans="1:6" ht="12.75">
      <c r="A15898" s="2">
        <v>43878.006886574076</v>
      </c>
      <c r="B15898" t="str">
        <f>HYPERLINK("https://twitter.com/paulhollis2","@paulhollis2")</f>
        <v>@paulhollis2</v>
      </c>
      <c r="C15898" t="s">
        <v>3150</v>
      </c>
      <c r="D15898">
        <v>373</v>
      </c>
      <c r="E15898">
        <v>0</v>
      </c>
      <c r="F15898">
        <v>647</v>
      </c>
    </row>
    <row r="15899" spans="1:6" ht="12.75">
      <c r="A15899" s="2">
        <v>43878.006736111114</v>
      </c>
      <c r="B15899" t="str">
        <f>HYPERLINK("https://twitter.com/sirajapadoha","@sirajapadoha")</f>
        <v>@sirajapadoha</v>
      </c>
      <c r="C15899" t="s">
        <v>3396</v>
      </c>
      <c r="D15899">
        <v>15</v>
      </c>
      <c r="E15899">
        <v>0</v>
      </c>
      <c r="F15899">
        <v>2407</v>
      </c>
    </row>
    <row r="15900" spans="1:6" ht="12.75">
      <c r="A15900" s="2">
        <v>43878.006527777776</v>
      </c>
      <c r="B15900" t="str">
        <f>HYPERLINK("https://twitter.com/dunelmcuths","@dunelmcuths")</f>
        <v>@dunelmcuths</v>
      </c>
      <c r="C15900" t="s">
        <v>3150</v>
      </c>
      <c r="D15900">
        <v>373</v>
      </c>
      <c r="E15900">
        <v>0</v>
      </c>
      <c r="F15900">
        <v>260</v>
      </c>
    </row>
    <row r="15901" spans="1:6" ht="12.75">
      <c r="A15901" s="2">
        <v>43878.006296296298</v>
      </c>
      <c r="B15901" t="str">
        <f>HYPERLINK("https://twitter.com/nana040461","@nana040461")</f>
        <v>@nana040461</v>
      </c>
      <c r="C15901" t="s">
        <v>7195</v>
      </c>
      <c r="D15901">
        <v>5</v>
      </c>
      <c r="E15901">
        <v>0</v>
      </c>
      <c r="F15901">
        <v>1827</v>
      </c>
    </row>
    <row r="15902" spans="1:6" ht="12.75">
      <c r="A15902" s="2">
        <v>43878.006064814814</v>
      </c>
      <c r="B15902" t="str">
        <f>HYPERLINK("https://twitter.com/richqpr","@richqpr")</f>
        <v>@richqpr</v>
      </c>
      <c r="C15902" t="s">
        <v>3150</v>
      </c>
      <c r="D15902">
        <v>373</v>
      </c>
      <c r="E15902">
        <v>0</v>
      </c>
      <c r="F15902">
        <v>288</v>
      </c>
    </row>
    <row r="15903" spans="1:6" ht="12.75">
      <c r="A15903" s="2">
        <v>43878.005798611106</v>
      </c>
      <c r="B15903" t="str">
        <f>HYPERLINK("https://twitter.com/mar45","@mar45")</f>
        <v>@mar45</v>
      </c>
      <c r="C15903" t="s">
        <v>3150</v>
      </c>
      <c r="D15903">
        <v>373</v>
      </c>
      <c r="E15903">
        <v>0</v>
      </c>
      <c r="F15903">
        <v>1250</v>
      </c>
    </row>
    <row r="15904" spans="1:6" ht="12.75">
      <c r="A15904" s="2">
        <v>43878.00571759259</v>
      </c>
      <c r="B15904" t="str">
        <f>HYPERLINK("https://twitter.com/ahsan_wahid","@ahsan_wahid")</f>
        <v>@ahsan_wahid</v>
      </c>
      <c r="C15904" t="s">
        <v>8062</v>
      </c>
      <c r="D15904">
        <v>2</v>
      </c>
      <c r="E15904">
        <v>0</v>
      </c>
      <c r="F15904">
        <v>732</v>
      </c>
    </row>
    <row r="15905" spans="1:6" ht="12.75">
      <c r="A15905" s="2">
        <v>43878.005659722221</v>
      </c>
      <c r="B15905" t="str">
        <f>HYPERLINK("https://twitter.com/red1n1earth","@red1n1earth")</f>
        <v>@red1n1earth</v>
      </c>
      <c r="C15905" t="s">
        <v>3396</v>
      </c>
      <c r="D15905">
        <v>15</v>
      </c>
      <c r="E15905">
        <v>0</v>
      </c>
      <c r="F15905">
        <v>1717</v>
      </c>
    </row>
    <row r="15906" spans="1:6" ht="12.75">
      <c r="A15906" s="2">
        <v>43878.005567129629</v>
      </c>
      <c r="B15906" t="str">
        <f>HYPERLINK("https://twitter.com/eddies_song","@eddies_song")</f>
        <v>@eddies_song</v>
      </c>
      <c r="C15906" t="s">
        <v>3396</v>
      </c>
      <c r="D15906">
        <v>15</v>
      </c>
      <c r="E15906">
        <v>0</v>
      </c>
      <c r="F15906">
        <v>1244</v>
      </c>
    </row>
    <row r="15907" spans="1:6" ht="12.75">
      <c r="A15907" s="2">
        <v>43878.004942129628</v>
      </c>
      <c r="B15907" t="str">
        <f>HYPERLINK("https://twitter.com/sulistiawan_rd","@sulistiawan_rd")</f>
        <v>@sulistiawan_rd</v>
      </c>
      <c r="C15907" t="s">
        <v>8063</v>
      </c>
      <c r="D15907">
        <v>0</v>
      </c>
      <c r="E15907">
        <v>0</v>
      </c>
      <c r="F15907">
        <v>730</v>
      </c>
    </row>
    <row r="15908" spans="1:6" ht="12.75">
      <c r="A15908" s="2">
        <v>43878.004490740743</v>
      </c>
      <c r="B15908" t="str">
        <f>HYPERLINK("https://twitter.com/LahAkuKenapa","@LahAkuKenapa")</f>
        <v>@LahAkuKenapa</v>
      </c>
      <c r="C15908" t="s">
        <v>3396</v>
      </c>
      <c r="D15908">
        <v>15</v>
      </c>
      <c r="E15908">
        <v>0</v>
      </c>
      <c r="F15908">
        <v>3837</v>
      </c>
    </row>
    <row r="15909" spans="1:6" ht="12.75">
      <c r="A15909" s="2">
        <v>43878.004143518519</v>
      </c>
      <c r="B15909" t="str">
        <f>HYPERLINK("https://twitter.com/AnakKolong___","@AnakKolong___")</f>
        <v>@AnakKolong___</v>
      </c>
      <c r="C15909" t="s">
        <v>3396</v>
      </c>
      <c r="D15909">
        <v>15</v>
      </c>
      <c r="E15909">
        <v>0</v>
      </c>
      <c r="F15909">
        <v>5966</v>
      </c>
    </row>
    <row r="15910" spans="1:6" ht="12.75">
      <c r="A15910" s="2">
        <v>43878.00403935185</v>
      </c>
      <c r="B15910" t="str">
        <f>HYPERLINK("https://twitter.com/alvara80","@alvara80")</f>
        <v>@alvara80</v>
      </c>
      <c r="C15910" t="s">
        <v>3396</v>
      </c>
      <c r="D15910">
        <v>15</v>
      </c>
      <c r="E15910">
        <v>0</v>
      </c>
      <c r="F15910">
        <v>1243</v>
      </c>
    </row>
    <row r="15911" spans="1:6" ht="12.75">
      <c r="A15911" s="2">
        <v>43878.003483796296</v>
      </c>
      <c r="B15911" t="str">
        <f>HYPERLINK("https://twitter.com/republikaonline","@republikaonline")</f>
        <v>@republikaonline</v>
      </c>
      <c r="C15911" t="s">
        <v>8064</v>
      </c>
      <c r="D15911">
        <v>2</v>
      </c>
      <c r="E15911">
        <v>4</v>
      </c>
      <c r="F15911">
        <v>1210730</v>
      </c>
    </row>
    <row r="15912" spans="1:6" ht="12.75">
      <c r="A15912" s="2">
        <v>43878.003310185188</v>
      </c>
      <c r="B15912" t="str">
        <f>HYPERLINK("https://twitter.com/hartutiwiwi","@hartutiwiwi")</f>
        <v>@hartutiwiwi</v>
      </c>
      <c r="C15912" t="s">
        <v>7113</v>
      </c>
      <c r="D15912">
        <v>19</v>
      </c>
      <c r="E15912">
        <v>0</v>
      </c>
      <c r="F15912">
        <v>19</v>
      </c>
    </row>
    <row r="15913" spans="1:6" ht="12.75">
      <c r="A15913" s="2">
        <v>43878.003182870365</v>
      </c>
      <c r="B15913" t="str">
        <f>HYPERLINK("https://twitter.com/elHurryKoRn","@elHurryKoRn")</f>
        <v>@elHurryKoRn</v>
      </c>
      <c r="C15913" t="s">
        <v>8065</v>
      </c>
      <c r="D15913">
        <v>15</v>
      </c>
      <c r="E15913">
        <v>25</v>
      </c>
      <c r="F15913">
        <v>19239</v>
      </c>
    </row>
    <row r="15914" spans="1:6" ht="12.75">
      <c r="A15914" s="2">
        <v>43878.00299768518</v>
      </c>
      <c r="B15914" t="str">
        <f>HYPERLINK("https://twitter.com/JohnpiterT","@JohnpiterT")</f>
        <v>@JohnpiterT</v>
      </c>
      <c r="C15914" t="s">
        <v>8066</v>
      </c>
      <c r="D15914">
        <v>0</v>
      </c>
      <c r="E15914">
        <v>0</v>
      </c>
      <c r="F15914">
        <v>36</v>
      </c>
    </row>
    <row r="15915" spans="1:6" ht="12.75">
      <c r="A15915" s="2">
        <v>43878.002384259264</v>
      </c>
      <c r="B15915" t="str">
        <f>HYPERLINK("https://twitter.com/santidewi888","@santidewi888")</f>
        <v>@santidewi888</v>
      </c>
      <c r="C15915" t="s">
        <v>8067</v>
      </c>
      <c r="D15915">
        <v>0</v>
      </c>
      <c r="E15915">
        <v>0</v>
      </c>
      <c r="F15915">
        <v>724</v>
      </c>
    </row>
    <row r="15916" spans="1:6" ht="12.75">
      <c r="A15916" s="2">
        <v>43878.002280092594</v>
      </c>
      <c r="B15916" t="str">
        <f>HYPERLINK("https://twitter.com/Ulama_Sangean","@Ulama_Sangean")</f>
        <v>@Ulama_Sangean</v>
      </c>
      <c r="C15916" t="s">
        <v>8068</v>
      </c>
      <c r="D15916">
        <v>0</v>
      </c>
      <c r="E15916">
        <v>0</v>
      </c>
      <c r="F15916">
        <v>680</v>
      </c>
    </row>
    <row r="15917" spans="1:6" ht="12.75">
      <c r="A15917" s="2">
        <v>43878.001689814817</v>
      </c>
      <c r="B15917" t="str">
        <f>HYPERLINK("https://twitter.com/leoandalusialeo","@leoandalusialeo")</f>
        <v>@leoandalusialeo</v>
      </c>
      <c r="C15917" t="s">
        <v>6338</v>
      </c>
      <c r="D15917">
        <v>771</v>
      </c>
      <c r="E15917">
        <v>0</v>
      </c>
      <c r="F15917">
        <v>475</v>
      </c>
    </row>
    <row r="15918" spans="1:6" ht="12.75">
      <c r="A15918" s="2">
        <v>43878.001296296294</v>
      </c>
      <c r="B15918" t="str">
        <f>HYPERLINK("https://twitter.com/lins_andrews213","@lins_andrews213")</f>
        <v>@lins_andrews213</v>
      </c>
      <c r="C15918" t="s">
        <v>3150</v>
      </c>
      <c r="D15918">
        <v>363</v>
      </c>
      <c r="E15918">
        <v>0</v>
      </c>
      <c r="F15918">
        <v>1317</v>
      </c>
    </row>
    <row r="15919" spans="1:6" ht="12.75">
      <c r="A15919" s="2">
        <v>43878.001273148147</v>
      </c>
      <c r="B15919" t="str">
        <f>HYPERLINK("https://twitter.com/kafirliberal","@kafirliberal")</f>
        <v>@kafirliberal</v>
      </c>
      <c r="C15919" t="s">
        <v>8069</v>
      </c>
      <c r="D15919">
        <v>0</v>
      </c>
      <c r="E15919">
        <v>0</v>
      </c>
      <c r="F15919">
        <v>5191</v>
      </c>
    </row>
    <row r="15920" spans="1:6" ht="12.75">
      <c r="A15920" s="2">
        <v>43878.001250000001</v>
      </c>
      <c r="B15920" t="str">
        <f>HYPERLINK("https://twitter.com/sagakom","@sagakom")</f>
        <v>@sagakom</v>
      </c>
      <c r="C15920" t="s">
        <v>7696</v>
      </c>
      <c r="D15920">
        <v>0</v>
      </c>
      <c r="E15920">
        <v>0</v>
      </c>
      <c r="F15920">
        <v>285</v>
      </c>
    </row>
    <row r="15921" spans="1:6" ht="12.75">
      <c r="A15921" s="2">
        <v>43878.000173611115</v>
      </c>
      <c r="B15921" t="str">
        <f>HYPERLINK("https://twitter.com/TribunNew5","@TribunNew5")</f>
        <v>@TribunNew5</v>
      </c>
      <c r="C15921" t="s">
        <v>8070</v>
      </c>
      <c r="D15921">
        <v>0</v>
      </c>
      <c r="E15921">
        <v>0</v>
      </c>
      <c r="F15921">
        <v>517</v>
      </c>
    </row>
    <row r="15922" spans="1:6" ht="12.75">
      <c r="A15922" s="2">
        <v>43878.000092592592</v>
      </c>
      <c r="B15922" t="str">
        <f>HYPERLINK("https://twitter.com/pherasim","@pherasim")</f>
        <v>@pherasim</v>
      </c>
      <c r="C15922" t="s">
        <v>7298</v>
      </c>
      <c r="D15922">
        <v>66</v>
      </c>
      <c r="E15922">
        <v>0</v>
      </c>
      <c r="F15922">
        <v>238</v>
      </c>
    </row>
    <row r="15923" spans="1:6" ht="12.75">
      <c r="A15923" s="2">
        <v>43877.999837962961</v>
      </c>
      <c r="B15923" t="str">
        <f>HYPERLINK("https://twitter.com/Ali20955875","@Ali20955875")</f>
        <v>@Ali20955875</v>
      </c>
      <c r="C15923" t="s">
        <v>3150</v>
      </c>
      <c r="D15923">
        <v>363</v>
      </c>
      <c r="E15923">
        <v>0</v>
      </c>
      <c r="F15923">
        <v>136</v>
      </c>
    </row>
    <row r="15924" spans="1:6" ht="12.75">
      <c r="A15924" s="2">
        <v>43877.999594907407</v>
      </c>
      <c r="B15924" t="str">
        <f>HYPERLINK("https://twitter.com/isis_vic0","@isis_vic0")</f>
        <v>@isis_vic0</v>
      </c>
      <c r="C15924" t="s">
        <v>8071</v>
      </c>
      <c r="D15924">
        <v>0</v>
      </c>
      <c r="E15924">
        <v>0</v>
      </c>
      <c r="F15924">
        <v>203</v>
      </c>
    </row>
    <row r="15925" spans="1:6" ht="12.75">
      <c r="A15925" s="2">
        <v>43877.999131944445</v>
      </c>
      <c r="B15925" t="str">
        <f>HYPERLINK("https://twitter.com/JacksQuevara","@JacksQuevara")</f>
        <v>@JacksQuevara</v>
      </c>
      <c r="C15925" t="s">
        <v>8072</v>
      </c>
      <c r="D15925">
        <v>0</v>
      </c>
      <c r="E15925">
        <v>0</v>
      </c>
      <c r="F15925">
        <v>1039</v>
      </c>
    </row>
    <row r="15926" spans="1:6" ht="12.75">
      <c r="A15926" s="2">
        <v>43877.99800925926</v>
      </c>
      <c r="B15926" t="str">
        <f>HYPERLINK("https://twitter.com/Candraasmara85","@Candraasmara85")</f>
        <v>@Candraasmara85</v>
      </c>
      <c r="C15926" t="s">
        <v>7298</v>
      </c>
      <c r="D15926">
        <v>66</v>
      </c>
      <c r="E15926">
        <v>0</v>
      </c>
      <c r="F15926">
        <v>10521</v>
      </c>
    </row>
    <row r="15927" spans="1:6" ht="12.75">
      <c r="A15927" s="2">
        <v>43877.996504629627</v>
      </c>
      <c r="B15927" t="str">
        <f>HYPERLINK("https://twitter.com/Arifngk","@Arifngk")</f>
        <v>@Arifngk</v>
      </c>
      <c r="C15927" t="s">
        <v>6989</v>
      </c>
      <c r="D15927">
        <v>164</v>
      </c>
      <c r="E15927">
        <v>0</v>
      </c>
      <c r="F15927">
        <v>506</v>
      </c>
    </row>
    <row r="15928" spans="1:6" ht="12.75">
      <c r="A15928" s="2">
        <v>43877.995844907404</v>
      </c>
      <c r="B15928" t="str">
        <f>HYPERLINK("https://twitter.com/cakbajoel","@cakbajoel")</f>
        <v>@cakbajoel</v>
      </c>
      <c r="C15928" t="s">
        <v>8073</v>
      </c>
      <c r="D15928">
        <v>0</v>
      </c>
      <c r="E15928">
        <v>0</v>
      </c>
      <c r="F15928">
        <v>531</v>
      </c>
    </row>
    <row r="15929" spans="1:6" ht="12.75">
      <c r="A15929" s="2">
        <v>43877.995590277773</v>
      </c>
      <c r="B15929" t="str">
        <f>HYPERLINK("https://twitter.com/Realitarakyat01","@Realitarakyat01")</f>
        <v>@Realitarakyat01</v>
      </c>
      <c r="C15929" t="s">
        <v>8074</v>
      </c>
      <c r="D15929">
        <v>0</v>
      </c>
      <c r="E15929">
        <v>0</v>
      </c>
      <c r="F15929">
        <v>122</v>
      </c>
    </row>
    <row r="15930" spans="1:6" ht="12.75">
      <c r="A15930" s="2">
        <v>43877.994629629626</v>
      </c>
      <c r="B15930" t="str">
        <f>HYPERLINK("https://twitter.com/_Arokk","@_Arokk")</f>
        <v>@_Arokk</v>
      </c>
      <c r="C15930" t="s">
        <v>7820</v>
      </c>
      <c r="D15930">
        <v>141</v>
      </c>
      <c r="E15930">
        <v>0</v>
      </c>
      <c r="F15930">
        <v>525</v>
      </c>
    </row>
    <row r="15931" spans="1:6" ht="12.75">
      <c r="A15931" s="2">
        <v>43877.994143518517</v>
      </c>
      <c r="B15931" t="str">
        <f>HYPERLINK("https://twitter.com/InfoSeJogja","@InfoSeJogja")</f>
        <v>@InfoSeJogja</v>
      </c>
      <c r="C15931" t="s">
        <v>8040</v>
      </c>
      <c r="D15931">
        <v>0</v>
      </c>
      <c r="E15931">
        <v>0</v>
      </c>
      <c r="F15931">
        <v>78036</v>
      </c>
    </row>
    <row r="15932" spans="1:6" ht="12.75">
      <c r="A15932" s="2">
        <v>43877.991666666669</v>
      </c>
      <c r="B15932" t="str">
        <f>HYPERLINK("https://twitter.com/TRA7000","@TRA7000")</f>
        <v>@TRA7000</v>
      </c>
      <c r="C15932" t="s">
        <v>8075</v>
      </c>
      <c r="D15932">
        <v>0</v>
      </c>
      <c r="E15932">
        <v>0</v>
      </c>
      <c r="F15932">
        <v>377</v>
      </c>
    </row>
    <row r="15933" spans="1:6" ht="12.75">
      <c r="A15933" s="2">
        <v>43877.991423611107</v>
      </c>
      <c r="B15933" t="str">
        <f>HYPERLINK("https://twitter.com/ryolandafit","@ryolandafit")</f>
        <v>@ryolandafit</v>
      </c>
      <c r="C15933" t="s">
        <v>7840</v>
      </c>
      <c r="D15933">
        <v>1</v>
      </c>
      <c r="E15933">
        <v>0</v>
      </c>
      <c r="F15933">
        <v>650</v>
      </c>
    </row>
    <row r="15934" spans="1:6" ht="12.75">
      <c r="A15934" s="2">
        <v>43877.991273148145</v>
      </c>
      <c r="B15934" t="str">
        <f>HYPERLINK("https://twitter.com/Bravo_19PAS","@Bravo_19PAS")</f>
        <v>@Bravo_19PAS</v>
      </c>
      <c r="C15934" t="s">
        <v>6201</v>
      </c>
      <c r="D15934">
        <v>555</v>
      </c>
      <c r="E15934">
        <v>0</v>
      </c>
      <c r="F15934">
        <v>4115</v>
      </c>
    </row>
    <row r="15935" spans="1:6" ht="12.75">
      <c r="A15935" s="2">
        <v>43877.991249999999</v>
      </c>
      <c r="B15935" t="str">
        <f>HYPERLINK("https://twitter.com/yudifilteris","@yudifilteris")</f>
        <v>@yudifilteris</v>
      </c>
      <c r="C15935" t="s">
        <v>175</v>
      </c>
      <c r="D15935">
        <v>5373</v>
      </c>
      <c r="E15935">
        <v>0</v>
      </c>
      <c r="F15935">
        <v>11</v>
      </c>
    </row>
    <row r="15936" spans="1:6" ht="12.75">
      <c r="A15936" s="2">
        <v>43877.991041666668</v>
      </c>
      <c r="B15936" t="str">
        <f>HYPERLINK("https://twitter.com/FaradillaRmdn","@FaradillaRmdn")</f>
        <v>@FaradillaRmdn</v>
      </c>
      <c r="C15936" t="s">
        <v>8076</v>
      </c>
      <c r="D15936">
        <v>0</v>
      </c>
      <c r="E15936">
        <v>0</v>
      </c>
      <c r="F15936">
        <v>774</v>
      </c>
    </row>
    <row r="15937" spans="1:6" ht="12.75">
      <c r="A15937" s="2">
        <v>43877.990694444445</v>
      </c>
      <c r="B15937" t="str">
        <f>HYPERLINK("https://twitter.com/harihariono1","@harihariono1")</f>
        <v>@harihariono1</v>
      </c>
      <c r="C15937" t="s">
        <v>8077</v>
      </c>
      <c r="D15937">
        <v>0</v>
      </c>
      <c r="E15937">
        <v>0</v>
      </c>
      <c r="F15937">
        <v>9381</v>
      </c>
    </row>
    <row r="15938" spans="1:6" ht="12.75">
      <c r="A15938" s="2">
        <v>43877.990127314813</v>
      </c>
      <c r="B15938" t="str">
        <f>HYPERLINK("https://twitter.com/heru_kecu","@heru_kecu")</f>
        <v>@heru_kecu</v>
      </c>
      <c r="C15938" t="s">
        <v>8078</v>
      </c>
      <c r="D15938">
        <v>0</v>
      </c>
      <c r="E15938">
        <v>0</v>
      </c>
      <c r="F15938">
        <v>92</v>
      </c>
    </row>
    <row r="15939" spans="1:6" ht="12.75">
      <c r="A15939" s="2">
        <v>43877.989895833336</v>
      </c>
      <c r="B15939" t="str">
        <f>HYPERLINK("https://twitter.com/michael56965649","@michael56965649")</f>
        <v>@michael56965649</v>
      </c>
      <c r="C15939" t="s">
        <v>3150</v>
      </c>
      <c r="D15939">
        <v>363</v>
      </c>
      <c r="E15939">
        <v>0</v>
      </c>
      <c r="F15939">
        <v>952</v>
      </c>
    </row>
    <row r="15940" spans="1:6" ht="12.75">
      <c r="A15940" s="2">
        <v>43877.989282407405</v>
      </c>
      <c r="B15940" t="str">
        <f>HYPERLINK("https://twitter.com/ZulfikarZ4karia","@ZulfikarZ4karia")</f>
        <v>@ZulfikarZ4karia</v>
      </c>
      <c r="C15940" t="s">
        <v>8079</v>
      </c>
      <c r="D15940">
        <v>2</v>
      </c>
      <c r="E15940">
        <v>0</v>
      </c>
      <c r="F15940">
        <v>1662</v>
      </c>
    </row>
    <row r="15941" spans="1:6" ht="12.75">
      <c r="A15941" s="2">
        <v>43877.988032407404</v>
      </c>
      <c r="B15941" t="str">
        <f>HYPERLINK("https://twitter.com/Mi73Hel","@Mi73Hel")</f>
        <v>@Mi73Hel</v>
      </c>
      <c r="C15941" t="s">
        <v>8080</v>
      </c>
      <c r="D15941">
        <v>2</v>
      </c>
      <c r="E15941">
        <v>0</v>
      </c>
      <c r="F15941">
        <v>705</v>
      </c>
    </row>
    <row r="15942" spans="1:6" ht="12.75">
      <c r="A15942" s="2">
        <v>43877.987708333334</v>
      </c>
      <c r="B15942" t="str">
        <f>HYPERLINK("https://twitter.com/untoms","@untoms")</f>
        <v>@untoms</v>
      </c>
      <c r="C15942" t="s">
        <v>513</v>
      </c>
      <c r="D15942">
        <v>23176</v>
      </c>
      <c r="E15942">
        <v>0</v>
      </c>
      <c r="F15942">
        <v>109</v>
      </c>
    </row>
    <row r="15943" spans="1:6" ht="12.75">
      <c r="A15943" s="2">
        <v>43877.987685185188</v>
      </c>
      <c r="B15943" t="str">
        <f>HYPERLINK("https://twitter.com/gunbrenk70","@gunbrenk70")</f>
        <v>@gunbrenk70</v>
      </c>
      <c r="C15943" t="s">
        <v>8081</v>
      </c>
      <c r="D15943">
        <v>0</v>
      </c>
      <c r="E15943">
        <v>0</v>
      </c>
      <c r="F15943">
        <v>240</v>
      </c>
    </row>
    <row r="15944" spans="1:6" ht="12.75">
      <c r="A15944" s="2">
        <v>43877.987650462965</v>
      </c>
      <c r="B15944" t="str">
        <f>HYPERLINK("https://twitter.com/XpetzD","@XpetzD")</f>
        <v>@XpetzD</v>
      </c>
      <c r="C15944" t="s">
        <v>8082</v>
      </c>
      <c r="D15944">
        <v>0</v>
      </c>
      <c r="E15944">
        <v>5</v>
      </c>
      <c r="F15944">
        <v>1197</v>
      </c>
    </row>
    <row r="15945" spans="1:6" ht="12.75">
      <c r="A15945" s="2">
        <v>43877.987141203703</v>
      </c>
      <c r="B15945" t="str">
        <f>HYPERLINK("https://twitter.com/NasihSafiq","@NasihSafiq")</f>
        <v>@NasihSafiq</v>
      </c>
      <c r="C15945" t="s">
        <v>8083</v>
      </c>
      <c r="D15945">
        <v>54</v>
      </c>
      <c r="E15945">
        <v>0</v>
      </c>
      <c r="F15945">
        <v>33</v>
      </c>
    </row>
    <row r="15946" spans="1:6" ht="12.75">
      <c r="A15946" s="2">
        <v>43877.986412037033</v>
      </c>
      <c r="B15946" t="str">
        <f>HYPERLINK("https://twitter.com/preciosasum","@preciosasum")</f>
        <v>@preciosasum</v>
      </c>
      <c r="C15946" t="s">
        <v>8084</v>
      </c>
      <c r="D15946">
        <v>0</v>
      </c>
      <c r="E15946">
        <v>0</v>
      </c>
      <c r="F15946">
        <v>351</v>
      </c>
    </row>
    <row r="15947" spans="1:6" ht="12.75">
      <c r="A15947" s="2">
        <v>43877.986331018517</v>
      </c>
      <c r="B15947" t="str">
        <f>HYPERLINK("https://twitter.com/InsanityTrials","@InsanityTrials")</f>
        <v>@InsanityTrials</v>
      </c>
      <c r="C15947" t="s">
        <v>3150</v>
      </c>
      <c r="D15947">
        <v>363</v>
      </c>
      <c r="E15947">
        <v>0</v>
      </c>
      <c r="F15947">
        <v>685</v>
      </c>
    </row>
    <row r="15948" spans="1:6" ht="12.75">
      <c r="A15948" s="2">
        <v>43877.986296296294</v>
      </c>
      <c r="B15948" t="str">
        <f>HYPERLINK("https://twitter.com/HusinShihab","@HusinShihab")</f>
        <v>@HusinShihab</v>
      </c>
      <c r="C15948" t="s">
        <v>8085</v>
      </c>
      <c r="D15948">
        <v>2</v>
      </c>
      <c r="E15948">
        <v>2</v>
      </c>
      <c r="F15948">
        <v>3699</v>
      </c>
    </row>
    <row r="15949" spans="1:6" ht="12.75">
      <c r="A15949" s="2">
        <v>43877.985995370371</v>
      </c>
      <c r="B15949" t="str">
        <f>HYPERLINK("https://twitter.com/PJustitia7","@PJustitia7")</f>
        <v>@PJustitia7</v>
      </c>
      <c r="C15949" t="s">
        <v>8086</v>
      </c>
      <c r="D15949">
        <v>0</v>
      </c>
      <c r="E15949">
        <v>1</v>
      </c>
      <c r="F15949">
        <v>665</v>
      </c>
    </row>
    <row r="15950" spans="1:6" ht="12.75">
      <c r="A15950" s="2">
        <v>43877.98505787037</v>
      </c>
      <c r="B15950" t="str">
        <f>HYPERLINK("https://twitter.com/hoetamaroo","@hoetamaroo")</f>
        <v>@hoetamaroo</v>
      </c>
      <c r="C15950" t="s">
        <v>7765</v>
      </c>
      <c r="D15950">
        <v>3</v>
      </c>
      <c r="E15950">
        <v>0</v>
      </c>
      <c r="F15950">
        <v>422</v>
      </c>
    </row>
    <row r="15951" spans="1:6" ht="12.75">
      <c r="A15951" s="2">
        <v>43877.983668981484</v>
      </c>
      <c r="B15951" t="str">
        <f>HYPERLINK("https://twitter.com/husnipru","@husnipru")</f>
        <v>@husnipru</v>
      </c>
      <c r="C15951" t="s">
        <v>6989</v>
      </c>
      <c r="D15951">
        <v>164</v>
      </c>
      <c r="E15951">
        <v>0</v>
      </c>
      <c r="F15951">
        <v>832</v>
      </c>
    </row>
    <row r="15952" spans="1:6" ht="12.75">
      <c r="A15952" s="2">
        <v>43877.983576388884</v>
      </c>
      <c r="B15952" t="str">
        <f>HYPERLINK("https://twitter.com/solixin","@solixin")</f>
        <v>@solixin</v>
      </c>
      <c r="C15952" t="s">
        <v>2444</v>
      </c>
      <c r="D15952">
        <v>4560</v>
      </c>
      <c r="E15952">
        <v>0</v>
      </c>
      <c r="F15952">
        <v>51</v>
      </c>
    </row>
    <row r="15953" spans="1:6" ht="12.75">
      <c r="A15953" s="2">
        <v>43877.98332175926</v>
      </c>
      <c r="B15953" t="str">
        <f>HYPERLINK("https://twitter.com/hirn_rb","@hirn_rb")</f>
        <v>@hirn_rb</v>
      </c>
      <c r="C15953" t="s">
        <v>8087</v>
      </c>
      <c r="D15953">
        <v>1</v>
      </c>
      <c r="E15953">
        <v>0</v>
      </c>
      <c r="F15953">
        <v>449</v>
      </c>
    </row>
    <row r="15954" spans="1:6" ht="12.75">
      <c r="A15954" s="2">
        <v>43877.983101851853</v>
      </c>
      <c r="B15954" t="str">
        <f>HYPERLINK("https://twitter.com/tey_saja","@tey_saja")</f>
        <v>@tey_saja</v>
      </c>
      <c r="C15954" t="s">
        <v>8088</v>
      </c>
      <c r="D15954">
        <v>0</v>
      </c>
      <c r="E15954">
        <v>0</v>
      </c>
      <c r="F15954">
        <v>10519</v>
      </c>
    </row>
    <row r="15955" spans="1:6" ht="12.75">
      <c r="A15955" s="2">
        <v>43877.982824074075</v>
      </c>
      <c r="B15955" t="str">
        <f>HYPERLINK("https://twitter.com/AzwaJeffry","@AzwaJeffry")</f>
        <v>@AzwaJeffry</v>
      </c>
      <c r="C15955" t="s">
        <v>2147</v>
      </c>
      <c r="D15955">
        <v>543</v>
      </c>
      <c r="E15955">
        <v>0</v>
      </c>
      <c r="F15955">
        <v>0</v>
      </c>
    </row>
    <row r="15956" spans="1:6" ht="12.75">
      <c r="A15956" s="2">
        <v>43877.982349537036</v>
      </c>
      <c r="B15956" t="str">
        <f>HYPERLINK("https://twitter.com/MVVZ3","@MVVZ3")</f>
        <v>@MVVZ3</v>
      </c>
      <c r="C15956" t="s">
        <v>7956</v>
      </c>
      <c r="D15956">
        <v>58</v>
      </c>
      <c r="E15956">
        <v>0</v>
      </c>
      <c r="F15956">
        <v>1041</v>
      </c>
    </row>
    <row r="15957" spans="1:6" ht="12.75">
      <c r="A15957" s="2">
        <v>43877.982048611113</v>
      </c>
      <c r="B15957" t="str">
        <f>HYPERLINK("https://twitter.com/AjIa7alah_","@AjIa7alah_")</f>
        <v>@AjIa7alah_</v>
      </c>
      <c r="C15957" t="s">
        <v>7113</v>
      </c>
      <c r="D15957">
        <v>18</v>
      </c>
      <c r="E15957">
        <v>0</v>
      </c>
      <c r="F15957">
        <v>2095</v>
      </c>
    </row>
    <row r="15958" spans="1:6" ht="12.75">
      <c r="A15958" s="2">
        <v>43877.981747685189</v>
      </c>
      <c r="B15958" t="str">
        <f>HYPERLINK("https://twitter.com/fathirahyusrina","@fathirahyusrina")</f>
        <v>@fathirahyusrina</v>
      </c>
      <c r="C15958" t="s">
        <v>8089</v>
      </c>
      <c r="D15958">
        <v>11</v>
      </c>
      <c r="E15958">
        <v>0</v>
      </c>
      <c r="F15958">
        <v>389</v>
      </c>
    </row>
    <row r="15959" spans="1:6" ht="12.75">
      <c r="A15959" s="2">
        <v>43877.981307870374</v>
      </c>
      <c r="B15959" t="str">
        <f>HYPERLINK("https://twitter.com/KompasTV","@KompasTV")</f>
        <v>@KompasTV</v>
      </c>
      <c r="C15959" t="s">
        <v>8090</v>
      </c>
      <c r="D15959">
        <v>1</v>
      </c>
      <c r="E15959">
        <v>4</v>
      </c>
      <c r="F15959">
        <v>2942505</v>
      </c>
    </row>
    <row r="15960" spans="1:6" ht="12.75">
      <c r="A15960" s="2">
        <v>43877.980532407411</v>
      </c>
      <c r="B15960" t="str">
        <f>HYPERLINK("https://twitter.com/Yos5Ku","@Yos5Ku")</f>
        <v>@Yos5Ku</v>
      </c>
      <c r="C15960" t="s">
        <v>7298</v>
      </c>
      <c r="D15960">
        <v>66</v>
      </c>
      <c r="E15960">
        <v>0</v>
      </c>
      <c r="F15960">
        <v>1348</v>
      </c>
    </row>
    <row r="15961" spans="1:6" ht="12.75">
      <c r="A15961" s="2">
        <v>43877.979895833334</v>
      </c>
      <c r="B15961" t="str">
        <f>HYPERLINK("https://twitter.com/RMOL_TV","@RMOL_TV")</f>
        <v>@RMOL_TV</v>
      </c>
      <c r="C15961" t="s">
        <v>8091</v>
      </c>
      <c r="D15961">
        <v>0</v>
      </c>
      <c r="E15961">
        <v>0</v>
      </c>
      <c r="F15961">
        <v>853</v>
      </c>
    </row>
    <row r="15962" spans="1:6" ht="12.75">
      <c r="A15962" s="2">
        <v>43877.979803240742</v>
      </c>
      <c r="B15962" t="str">
        <f>HYPERLINK("https://twitter.com/LightTheWay16","@LightTheWay16")</f>
        <v>@LightTheWay16</v>
      </c>
      <c r="C15962" t="s">
        <v>3150</v>
      </c>
      <c r="D15962">
        <v>363</v>
      </c>
      <c r="E15962">
        <v>0</v>
      </c>
      <c r="F15962">
        <v>1209</v>
      </c>
    </row>
    <row r="15963" spans="1:6" ht="12.75">
      <c r="A15963" s="2">
        <v>43877.979039351849</v>
      </c>
      <c r="B15963" t="str">
        <f>HYPERLINK("https://twitter.com/tey_saja","@tey_saja")</f>
        <v>@tey_saja</v>
      </c>
      <c r="C15963" t="s">
        <v>8092</v>
      </c>
      <c r="D15963">
        <v>0</v>
      </c>
      <c r="E15963">
        <v>0</v>
      </c>
      <c r="F15963">
        <v>10519</v>
      </c>
    </row>
    <row r="15964" spans="1:6" ht="12.75">
      <c r="A15964" s="2">
        <v>43877.978668981479</v>
      </c>
      <c r="B15964" t="str">
        <f>HYPERLINK("https://twitter.com/sulistiawan_rd","@sulistiawan_rd")</f>
        <v>@sulistiawan_rd</v>
      </c>
      <c r="C15964" t="s">
        <v>8093</v>
      </c>
      <c r="D15964">
        <v>0</v>
      </c>
      <c r="E15964">
        <v>0</v>
      </c>
      <c r="F15964">
        <v>730</v>
      </c>
    </row>
    <row r="15965" spans="1:6" ht="12.75">
      <c r="A15965" s="2">
        <v>43877.978634259256</v>
      </c>
      <c r="B15965" t="str">
        <f>HYPERLINK("https://twitter.com/RickyKardjono","@RickyKardjono")</f>
        <v>@RickyKardjono</v>
      </c>
      <c r="C15965" t="s">
        <v>491</v>
      </c>
      <c r="D15965">
        <v>4729</v>
      </c>
      <c r="E15965">
        <v>0</v>
      </c>
      <c r="F15965">
        <v>1292</v>
      </c>
    </row>
    <row r="15966" spans="1:6" ht="12.75">
      <c r="A15966" s="2">
        <v>43877.978449074071</v>
      </c>
      <c r="B15966" t="str">
        <f>HYPERLINK("https://twitter.com/arTutor","@arTutor")</f>
        <v>@arTutor</v>
      </c>
      <c r="C15966" t="s">
        <v>2963</v>
      </c>
      <c r="D15966">
        <v>1303</v>
      </c>
      <c r="E15966">
        <v>0</v>
      </c>
      <c r="F15966">
        <v>449</v>
      </c>
    </row>
    <row r="15967" spans="1:6" ht="12.75">
      <c r="A15967" s="2">
        <v>43877.978368055556</v>
      </c>
      <c r="B15967" t="str">
        <f>HYPERLINK("https://twitter.com/IreumiKimmy","@IreumiKimmy")</f>
        <v>@IreumiKimmy</v>
      </c>
      <c r="C15967" t="s">
        <v>7113</v>
      </c>
      <c r="D15967">
        <v>18</v>
      </c>
      <c r="E15967">
        <v>0</v>
      </c>
      <c r="F15967">
        <v>2192</v>
      </c>
    </row>
    <row r="15968" spans="1:6" ht="12.75">
      <c r="A15968" s="2">
        <v>43877.977986111116</v>
      </c>
      <c r="B15968" t="str">
        <f>HYPERLINK("https://twitter.com/BORNEONEWS","@BORNEONEWS")</f>
        <v>@BORNEONEWS</v>
      </c>
      <c r="C15968" t="s">
        <v>8094</v>
      </c>
      <c r="D15968">
        <v>0</v>
      </c>
      <c r="E15968">
        <v>0</v>
      </c>
      <c r="F15968">
        <v>6859</v>
      </c>
    </row>
    <row r="15969" spans="1:6" ht="12.75">
      <c r="A15969" s="2">
        <v>43877.977986111116</v>
      </c>
      <c r="B15969" t="str">
        <f>HYPERLINK("https://twitter.com/tandanVradio","@tandanVradio")</f>
        <v>@tandanVradio</v>
      </c>
      <c r="C15969" t="s">
        <v>7927</v>
      </c>
      <c r="D15969">
        <v>1</v>
      </c>
      <c r="E15969">
        <v>0</v>
      </c>
      <c r="F15969">
        <v>2789</v>
      </c>
    </row>
    <row r="15970" spans="1:6" ht="12.75">
      <c r="A15970" s="2">
        <v>43877.977835648147</v>
      </c>
      <c r="B15970" t="str">
        <f>HYPERLINK("https://twitter.com/AkhmadR69358210","@AkhmadR69358210")</f>
        <v>@AkhmadR69358210</v>
      </c>
      <c r="C15970" t="s">
        <v>6201</v>
      </c>
      <c r="D15970">
        <v>555</v>
      </c>
      <c r="E15970">
        <v>0</v>
      </c>
      <c r="F15970">
        <v>658</v>
      </c>
    </row>
    <row r="15971" spans="1:6" ht="12.75">
      <c r="A15971" s="2">
        <v>43877.977708333332</v>
      </c>
      <c r="B15971" t="str">
        <f>HYPERLINK("https://twitter.com/budhartono","@budhartono")</f>
        <v>@budhartono</v>
      </c>
      <c r="C15971" t="s">
        <v>8095</v>
      </c>
      <c r="D15971">
        <v>1</v>
      </c>
      <c r="E15971">
        <v>1</v>
      </c>
      <c r="F15971">
        <v>547</v>
      </c>
    </row>
    <row r="15972" spans="1:6" ht="12.75">
      <c r="A15972" s="2">
        <v>43877.977708333332</v>
      </c>
      <c r="B15972" t="str">
        <f>HYPERLINK("https://twitter.com/WajahPribumi__","@WajahPribumi__")</f>
        <v>@WajahPribumi__</v>
      </c>
      <c r="C15972" t="s">
        <v>6989</v>
      </c>
      <c r="D15972">
        <v>164</v>
      </c>
      <c r="E15972">
        <v>0</v>
      </c>
      <c r="F15972">
        <v>3408</v>
      </c>
    </row>
    <row r="15973" spans="1:6" ht="12.75">
      <c r="A15973" s="2">
        <v>43877.977256944447</v>
      </c>
      <c r="B15973" t="str">
        <f>HYPERLINK("https://twitter.com/nomotm","@nomotm")</f>
        <v>@nomotm</v>
      </c>
      <c r="C15973" t="s">
        <v>8096</v>
      </c>
      <c r="D15973">
        <v>0</v>
      </c>
      <c r="E15973">
        <v>0</v>
      </c>
      <c r="F15973">
        <v>99</v>
      </c>
    </row>
    <row r="15974" spans="1:6" ht="12.75">
      <c r="A15974" s="2">
        <v>43877.977094907408</v>
      </c>
      <c r="B15974" t="str">
        <f>HYPERLINK("https://twitter.com/newsmerahputih","@newsmerahputih")</f>
        <v>@newsmerahputih</v>
      </c>
      <c r="C15974" t="s">
        <v>8097</v>
      </c>
      <c r="D15974">
        <v>0</v>
      </c>
      <c r="E15974">
        <v>0</v>
      </c>
      <c r="F15974">
        <v>8748</v>
      </c>
    </row>
    <row r="15975" spans="1:6" ht="12.75">
      <c r="A15975" s="2">
        <v>43877.9769212963</v>
      </c>
      <c r="B15975" t="str">
        <f>HYPERLINK("https://twitter.com/FerriNanto","@FerriNanto")</f>
        <v>@FerriNanto</v>
      </c>
      <c r="C15975" t="s">
        <v>6338</v>
      </c>
      <c r="D15975">
        <v>770</v>
      </c>
      <c r="E15975">
        <v>0</v>
      </c>
      <c r="F15975">
        <v>1162</v>
      </c>
    </row>
    <row r="15976" spans="1:6" ht="12.75">
      <c r="A15976" s="2">
        <v>43877.976759259254</v>
      </c>
      <c r="B15976" t="str">
        <f>HYPERLINK("https://twitter.com/QueenTulkiyem__","@QueenTulkiyem__")</f>
        <v>@QueenTulkiyem__</v>
      </c>
      <c r="C15976" t="s">
        <v>7113</v>
      </c>
      <c r="D15976">
        <v>18</v>
      </c>
      <c r="E15976">
        <v>0</v>
      </c>
      <c r="F15976">
        <v>1583</v>
      </c>
    </row>
    <row r="15977" spans="1:6" ht="12.75">
      <c r="A15977" s="2">
        <v>43877.976608796293</v>
      </c>
      <c r="B15977" t="str">
        <f>HYPERLINK("https://twitter.com/mr_supiansyah","@mr_supiansyah")</f>
        <v>@mr_supiansyah</v>
      </c>
      <c r="C15977" t="s">
        <v>7113</v>
      </c>
      <c r="D15977">
        <v>18</v>
      </c>
      <c r="E15977">
        <v>0</v>
      </c>
      <c r="F15977">
        <v>2023</v>
      </c>
    </row>
    <row r="15978" spans="1:6" ht="12.75">
      <c r="A15978" s="2">
        <v>43877.97619212963</v>
      </c>
      <c r="B15978" t="str">
        <f>HYPERLINK("https://twitter.com/rfristyr","@rfristyr")</f>
        <v>@rfristyr</v>
      </c>
      <c r="C15978" t="s">
        <v>513</v>
      </c>
      <c r="D15978">
        <v>23176</v>
      </c>
      <c r="E15978">
        <v>0</v>
      </c>
      <c r="F15978">
        <v>812</v>
      </c>
    </row>
    <row r="15979" spans="1:6" ht="12.75">
      <c r="A15979" s="2">
        <v>43877.975636574076</v>
      </c>
      <c r="B15979" t="str">
        <f>HYPERLINK("https://twitter.com/ciprutciprut6","@ciprutciprut6")</f>
        <v>@ciprutciprut6</v>
      </c>
      <c r="C15979" t="s">
        <v>8098</v>
      </c>
      <c r="D15979">
        <v>0</v>
      </c>
      <c r="E15979">
        <v>0</v>
      </c>
      <c r="F15979">
        <v>348</v>
      </c>
    </row>
    <row r="15980" spans="1:6" ht="12.75">
      <c r="A15980" s="2">
        <v>43877.975300925929</v>
      </c>
      <c r="B15980" t="str">
        <f>HYPERLINK("https://twitter.com/Riodavy","@Riodavy")</f>
        <v>@Riodavy</v>
      </c>
      <c r="C15980" t="s">
        <v>6989</v>
      </c>
      <c r="D15980">
        <v>164</v>
      </c>
      <c r="E15980">
        <v>0</v>
      </c>
      <c r="F15980">
        <v>173</v>
      </c>
    </row>
    <row r="15981" spans="1:6" ht="12.75">
      <c r="A15981" s="2">
        <v>43877.975266203706</v>
      </c>
      <c r="B15981" t="str">
        <f>HYPERLINK("https://twitter.com/EtekewerSepuh","@EtekewerSepuh")</f>
        <v>@EtekewerSepuh</v>
      </c>
      <c r="C15981" t="s">
        <v>7113</v>
      </c>
      <c r="D15981">
        <v>18</v>
      </c>
      <c r="E15981">
        <v>0</v>
      </c>
      <c r="F15981">
        <v>12357</v>
      </c>
    </row>
    <row r="15982" spans="1:6" ht="12.75">
      <c r="A15982" s="2">
        <v>43877.97519675926</v>
      </c>
      <c r="B15982" t="str">
        <f>HYPERLINK("https://twitter.com/bctbgtih2","@bctbgtih2")</f>
        <v>@bctbgtih2</v>
      </c>
      <c r="C15982" t="s">
        <v>8099</v>
      </c>
      <c r="D15982">
        <v>0</v>
      </c>
      <c r="E15982">
        <v>0</v>
      </c>
      <c r="F15982">
        <v>828</v>
      </c>
    </row>
    <row r="15983" spans="1:6" ht="12.75">
      <c r="A15983" s="2">
        <v>43877.974988425922</v>
      </c>
      <c r="B15983" t="str">
        <f>HYPERLINK("https://twitter.com/seruanhl","@seruanhl")</f>
        <v>@seruanhl</v>
      </c>
      <c r="C15983" t="s">
        <v>7298</v>
      </c>
      <c r="D15983">
        <v>66</v>
      </c>
      <c r="E15983">
        <v>0</v>
      </c>
      <c r="F15983">
        <v>12198</v>
      </c>
    </row>
    <row r="15984" spans="1:6" ht="12.75">
      <c r="A15984" s="2">
        <v>43877.974953703699</v>
      </c>
      <c r="B15984" t="str">
        <f>HYPERLINK("https://twitter.com/dhalfin_rich","@dhalfin_rich")</f>
        <v>@dhalfin_rich</v>
      </c>
      <c r="C15984" t="s">
        <v>2963</v>
      </c>
      <c r="D15984">
        <v>1303</v>
      </c>
      <c r="E15984">
        <v>0</v>
      </c>
      <c r="F15984">
        <v>48</v>
      </c>
    </row>
    <row r="15985" spans="1:6" ht="12.75">
      <c r="A15985" s="2">
        <v>43877.974826388891</v>
      </c>
      <c r="B15985" t="str">
        <f>HYPERLINK("https://twitter.com/tempikasarii","@tempikasarii")</f>
        <v>@tempikasarii</v>
      </c>
      <c r="C15985" t="s">
        <v>8100</v>
      </c>
      <c r="D15985">
        <v>0</v>
      </c>
      <c r="E15985">
        <v>0</v>
      </c>
      <c r="F15985">
        <v>1154</v>
      </c>
    </row>
    <row r="15986" spans="1:6" ht="12.75">
      <c r="A15986" s="2">
        <v>43877.974618055552</v>
      </c>
      <c r="B15986" t="str">
        <f>HYPERLINK("https://twitter.com/dhalfin_rich","@dhalfin_rich")</f>
        <v>@dhalfin_rich</v>
      </c>
      <c r="C15986" t="s">
        <v>2147</v>
      </c>
      <c r="D15986">
        <v>543</v>
      </c>
      <c r="E15986">
        <v>0</v>
      </c>
      <c r="F15986">
        <v>48</v>
      </c>
    </row>
    <row r="15987" spans="1:6" ht="12.75">
      <c r="A15987" s="2">
        <v>43877.974490740744</v>
      </c>
      <c r="B15987" t="str">
        <f>HYPERLINK("https://twitter.com/PojokNU","@PojokNU")</f>
        <v>@PojokNU</v>
      </c>
      <c r="C15987" t="s">
        <v>8101</v>
      </c>
      <c r="D15987">
        <v>0</v>
      </c>
      <c r="E15987">
        <v>0</v>
      </c>
      <c r="F15987">
        <v>697</v>
      </c>
    </row>
    <row r="15988" spans="1:6" ht="12.75">
      <c r="A15988" s="2">
        <v>43877.974479166667</v>
      </c>
      <c r="B15988" t="str">
        <f>HYPERLINK("https://twitter.com/bekchoy","@bekchoy")</f>
        <v>@bekchoy</v>
      </c>
      <c r="C15988" t="s">
        <v>6989</v>
      </c>
      <c r="D15988">
        <v>164</v>
      </c>
      <c r="E15988">
        <v>0</v>
      </c>
      <c r="F15988">
        <v>143</v>
      </c>
    </row>
    <row r="15989" spans="1:6" ht="12.75">
      <c r="A15989" s="2">
        <v>43877.97420138889</v>
      </c>
      <c r="B15989" t="str">
        <f>HYPERLINK("https://twitter.com/drnfaeh_12","@drnfaeh_12")</f>
        <v>@drnfaeh_12</v>
      </c>
      <c r="C15989" t="s">
        <v>8102</v>
      </c>
      <c r="D15989">
        <v>0</v>
      </c>
      <c r="E15989">
        <v>0</v>
      </c>
      <c r="F15989">
        <v>9</v>
      </c>
    </row>
    <row r="15990" spans="1:6" ht="12.75">
      <c r="A15990" s="2">
        <v>43877.973437499997</v>
      </c>
      <c r="B15990" t="str">
        <f>HYPERLINK("https://twitter.com/dedesudiahna","@dedesudiahna")</f>
        <v>@dedesudiahna</v>
      </c>
      <c r="C15990" t="s">
        <v>8103</v>
      </c>
      <c r="D15990">
        <v>15</v>
      </c>
      <c r="E15990">
        <v>0</v>
      </c>
      <c r="F15990">
        <v>672</v>
      </c>
    </row>
    <row r="15991" spans="1:6" ht="12.75">
      <c r="A15991" s="2">
        <v>43877.973101851851</v>
      </c>
      <c r="B15991" t="str">
        <f>HYPERLINK("https://twitter.com/ArdianZA_099","@ArdianZA_099")</f>
        <v>@ArdianZA_099</v>
      </c>
      <c r="C15991" t="s">
        <v>7298</v>
      </c>
      <c r="D15991">
        <v>66</v>
      </c>
      <c r="E15991">
        <v>0</v>
      </c>
      <c r="F15991">
        <v>1896</v>
      </c>
    </row>
    <row r="15992" spans="1:6" ht="12.75">
      <c r="A15992" s="2">
        <v>43877.972638888888</v>
      </c>
      <c r="B15992" t="str">
        <f>HYPERLINK("https://twitter.com/Susugaruda","@Susugaruda")</f>
        <v>@Susugaruda</v>
      </c>
      <c r="C15992" t="s">
        <v>8104</v>
      </c>
      <c r="D15992">
        <v>0</v>
      </c>
      <c r="E15992">
        <v>0</v>
      </c>
      <c r="F15992">
        <v>158</v>
      </c>
    </row>
    <row r="15993" spans="1:6" ht="12.75">
      <c r="A15993" s="2">
        <v>43877.972592592589</v>
      </c>
      <c r="B15993" t="str">
        <f>HYPERLINK("https://twitter.com/ibnazamanik","@ibnazamanik")</f>
        <v>@ibnazamanik</v>
      </c>
      <c r="C15993" t="s">
        <v>8105</v>
      </c>
      <c r="D15993">
        <v>8</v>
      </c>
      <c r="E15993">
        <v>0</v>
      </c>
      <c r="F15993">
        <v>477</v>
      </c>
    </row>
    <row r="15994" spans="1:6" ht="12.75">
      <c r="A15994" s="2">
        <v>43877.972199074073</v>
      </c>
      <c r="B15994" t="str">
        <f>HYPERLINK("https://twitter.com/Laz_Ansori","@Laz_Ansori")</f>
        <v>@Laz_Ansori</v>
      </c>
      <c r="C15994" t="s">
        <v>8106</v>
      </c>
      <c r="D15994">
        <v>0</v>
      </c>
      <c r="E15994">
        <v>0</v>
      </c>
      <c r="F15994">
        <v>658</v>
      </c>
    </row>
    <row r="15995" spans="1:6" ht="12.75">
      <c r="A15995" s="2">
        <v>43877.971990740742</v>
      </c>
      <c r="B15995" t="str">
        <f>HYPERLINK("https://twitter.com/binsbirowo","@binsbirowo")</f>
        <v>@binsbirowo</v>
      </c>
      <c r="C15995" t="s">
        <v>7113</v>
      </c>
      <c r="D15995">
        <v>18</v>
      </c>
      <c r="E15995">
        <v>0</v>
      </c>
      <c r="F15995">
        <v>2155</v>
      </c>
    </row>
    <row r="15996" spans="1:6" ht="12.75">
      <c r="A15996" s="2">
        <v>43877.971539351856</v>
      </c>
      <c r="B15996" t="str">
        <f>HYPERLINK("https://twitter.com/subtel1","@subtel1")</f>
        <v>@subtel1</v>
      </c>
      <c r="C15996" t="s">
        <v>3150</v>
      </c>
      <c r="D15996">
        <v>363</v>
      </c>
      <c r="E15996">
        <v>0</v>
      </c>
      <c r="F15996">
        <v>8696</v>
      </c>
    </row>
    <row r="15997" spans="1:6" ht="12.75">
      <c r="A15997" s="2">
        <v>43877.97146990741</v>
      </c>
      <c r="B15997" t="str">
        <f>HYPERLINK("https://twitter.com/bernadgh","@bernadgh")</f>
        <v>@bernadgh</v>
      </c>
      <c r="C15997" t="s">
        <v>8107</v>
      </c>
      <c r="D15997">
        <v>174</v>
      </c>
      <c r="E15997">
        <v>0</v>
      </c>
      <c r="F15997">
        <v>1626</v>
      </c>
    </row>
    <row r="15998" spans="1:6" ht="12.75">
      <c r="A15998" s="2">
        <v>43877.971273148149</v>
      </c>
      <c r="B15998" t="str">
        <f>HYPERLINK("https://twitter.com/seruanhl","@seruanhl")</f>
        <v>@seruanhl</v>
      </c>
      <c r="C15998" t="s">
        <v>6989</v>
      </c>
      <c r="D15998">
        <v>164</v>
      </c>
      <c r="E15998">
        <v>0</v>
      </c>
      <c r="F15998">
        <v>12198</v>
      </c>
    </row>
    <row r="15999" spans="1:6" ht="12.75">
      <c r="A15999" s="2">
        <v>43877.97079861111</v>
      </c>
      <c r="B15999" t="str">
        <f>HYPERLINK("https://twitter.com/T14503NG","@T14503NG")</f>
        <v>@T14503NG</v>
      </c>
      <c r="C15999" t="s">
        <v>7765</v>
      </c>
      <c r="D15999">
        <v>3</v>
      </c>
      <c r="E15999">
        <v>0</v>
      </c>
      <c r="F15999">
        <v>840</v>
      </c>
    </row>
    <row r="16000" spans="1:6" ht="12.75">
      <c r="A16000" s="2">
        <v>43877.970787037033</v>
      </c>
      <c r="B16000" t="str">
        <f>HYPERLINK("https://twitter.com/ImbKosta","@ImbKosta")</f>
        <v>@ImbKosta</v>
      </c>
      <c r="C16000" t="s">
        <v>6338</v>
      </c>
      <c r="D16000">
        <v>770</v>
      </c>
      <c r="E16000">
        <v>0</v>
      </c>
      <c r="F16000">
        <v>47</v>
      </c>
    </row>
    <row r="16001" spans="1:6" ht="12.75">
      <c r="A16001" s="2">
        <v>43877.97010416667</v>
      </c>
      <c r="B16001" t="str">
        <f>HYPERLINK("https://twitter.com/BORNEONEWS","@BORNEONEWS")</f>
        <v>@BORNEONEWS</v>
      </c>
      <c r="C16001" t="s">
        <v>8108</v>
      </c>
      <c r="D16001">
        <v>0</v>
      </c>
      <c r="E16001">
        <v>0</v>
      </c>
      <c r="F16001">
        <v>6859</v>
      </c>
    </row>
    <row r="16002" spans="1:6" ht="12.75">
      <c r="A16002" s="2">
        <v>43877.969687500001</v>
      </c>
      <c r="B16002" t="str">
        <f>HYPERLINK("https://twitter.com/MKhoirodin","@MKhoirodin")</f>
        <v>@MKhoirodin</v>
      </c>
      <c r="C16002" t="s">
        <v>8109</v>
      </c>
      <c r="D16002">
        <v>0</v>
      </c>
      <c r="E16002">
        <v>0</v>
      </c>
      <c r="F16002">
        <v>145</v>
      </c>
    </row>
    <row r="16003" spans="1:6" ht="12.75">
      <c r="A16003" s="2">
        <v>43877.968136574069</v>
      </c>
      <c r="B16003" t="str">
        <f>HYPERLINK("https://twitter.com/BORNEONEWS","@BORNEONEWS")</f>
        <v>@BORNEONEWS</v>
      </c>
      <c r="C16003" t="s">
        <v>8110</v>
      </c>
      <c r="D16003">
        <v>0</v>
      </c>
      <c r="E16003">
        <v>0</v>
      </c>
      <c r="F16003">
        <v>6859</v>
      </c>
    </row>
    <row r="16004" spans="1:6" ht="12.75">
      <c r="A16004" s="2">
        <v>43877.967893518522</v>
      </c>
      <c r="B16004" t="str">
        <f>HYPERLINK("https://twitter.com/RAP1612RAP","@RAP1612RAP")</f>
        <v>@RAP1612RAP</v>
      </c>
      <c r="C16004" t="s">
        <v>8111</v>
      </c>
      <c r="D16004">
        <v>1</v>
      </c>
      <c r="E16004">
        <v>0</v>
      </c>
      <c r="F16004">
        <v>318</v>
      </c>
    </row>
    <row r="16005" spans="1:6" ht="12.75">
      <c r="A16005" s="2">
        <v>43877.967187499999</v>
      </c>
      <c r="B16005" t="str">
        <f>HYPERLINK("https://twitter.com/smaskots","@smaskots")</f>
        <v>@smaskots</v>
      </c>
      <c r="C16005" t="s">
        <v>8112</v>
      </c>
      <c r="D16005">
        <v>0</v>
      </c>
      <c r="E16005">
        <v>0</v>
      </c>
      <c r="F16005">
        <v>79</v>
      </c>
    </row>
    <row r="16006" spans="1:6" ht="12.75">
      <c r="A16006" s="2">
        <v>43877.966157407413</v>
      </c>
      <c r="B16006" t="str">
        <f>HYPERLINK("https://twitter.com/fadiansinaga","@fadiansinaga")</f>
        <v>@fadiansinaga</v>
      </c>
      <c r="C16006" t="s">
        <v>7734</v>
      </c>
      <c r="D16006">
        <v>33</v>
      </c>
      <c r="E16006">
        <v>0</v>
      </c>
      <c r="F16006">
        <v>5</v>
      </c>
    </row>
    <row r="16007" spans="1:6" ht="12.75">
      <c r="A16007" s="2">
        <v>43877.965081018519</v>
      </c>
      <c r="B16007" t="str">
        <f>HYPERLINK("https://twitter.com/aris_be_ce","@aris_be_ce")</f>
        <v>@aris_be_ce</v>
      </c>
      <c r="C16007" t="s">
        <v>8113</v>
      </c>
      <c r="D16007">
        <v>0</v>
      </c>
      <c r="E16007">
        <v>0</v>
      </c>
      <c r="F16007">
        <v>3</v>
      </c>
    </row>
    <row r="16008" spans="1:6" ht="12.75">
      <c r="A16008" s="2">
        <v>43877.964675925927</v>
      </c>
      <c r="B16008" t="str">
        <f>HYPERLINK("https://twitter.com/SikumbangAprial","@SikumbangAprial")</f>
        <v>@SikumbangAprial</v>
      </c>
      <c r="C16008" t="s">
        <v>6867</v>
      </c>
      <c r="D16008">
        <v>57</v>
      </c>
      <c r="E16008">
        <v>0</v>
      </c>
      <c r="F16008">
        <v>77</v>
      </c>
    </row>
    <row r="16009" spans="1:6" ht="12.75">
      <c r="A16009" s="2">
        <v>43877.96429398148</v>
      </c>
      <c r="B16009" t="str">
        <f>HYPERLINK("https://twitter.com/HanipUmardi","@HanipUmardi")</f>
        <v>@HanipUmardi</v>
      </c>
      <c r="C16009" t="s">
        <v>8114</v>
      </c>
      <c r="D16009">
        <v>0</v>
      </c>
      <c r="E16009">
        <v>0</v>
      </c>
      <c r="F16009">
        <v>1</v>
      </c>
    </row>
    <row r="16010" spans="1:6" ht="12.75">
      <c r="A16010" s="2">
        <v>43877.963425925926</v>
      </c>
      <c r="B16010" t="str">
        <f>HYPERLINK("https://twitter.com/effendy_seven","@effendy_seven")</f>
        <v>@effendy_seven</v>
      </c>
      <c r="C16010" t="s">
        <v>7765</v>
      </c>
      <c r="D16010">
        <v>3</v>
      </c>
      <c r="E16010">
        <v>0</v>
      </c>
      <c r="F16010">
        <v>3805</v>
      </c>
    </row>
    <row r="16011" spans="1:6" ht="12.75">
      <c r="A16011" s="2">
        <v>43877.963113425925</v>
      </c>
      <c r="B16011" t="str">
        <f>HYPERLINK("https://twitter.com/MVVZ3","@MVVZ3")</f>
        <v>@MVVZ3</v>
      </c>
      <c r="C16011" t="s">
        <v>8115</v>
      </c>
      <c r="D16011">
        <v>5</v>
      </c>
      <c r="E16011">
        <v>0</v>
      </c>
      <c r="F16011">
        <v>1041</v>
      </c>
    </row>
    <row r="16012" spans="1:6" ht="12.75">
      <c r="A16012" s="2">
        <v>43877.962256944447</v>
      </c>
      <c r="B16012" t="str">
        <f>HYPERLINK("https://twitter.com/Takviri","@Takviri")</f>
        <v>@Takviri</v>
      </c>
      <c r="C16012" t="s">
        <v>8116</v>
      </c>
      <c r="D16012">
        <v>3</v>
      </c>
      <c r="E16012">
        <v>19</v>
      </c>
      <c r="F16012">
        <v>59328</v>
      </c>
    </row>
    <row r="16013" spans="1:6" ht="12.75">
      <c r="A16013" s="2">
        <v>43877.962256944447</v>
      </c>
      <c r="B16013" t="str">
        <f>HYPERLINK("https://twitter.com/dedis3688","@dedis3688")</f>
        <v>@dedis3688</v>
      </c>
      <c r="C16013" t="s">
        <v>8117</v>
      </c>
      <c r="D16013">
        <v>87</v>
      </c>
      <c r="E16013">
        <v>0</v>
      </c>
      <c r="F16013">
        <v>23</v>
      </c>
    </row>
    <row r="16014" spans="1:6" ht="12.75">
      <c r="A16014" s="2">
        <v>43877.961967592593</v>
      </c>
      <c r="B16014" t="str">
        <f>HYPERLINK("https://twitter.com/nicetrainner","@nicetrainner")</f>
        <v>@nicetrainner</v>
      </c>
      <c r="C16014" t="s">
        <v>8118</v>
      </c>
      <c r="D16014">
        <v>49</v>
      </c>
      <c r="E16014">
        <v>0</v>
      </c>
      <c r="F16014">
        <v>2688</v>
      </c>
    </row>
    <row r="16015" spans="1:6" ht="12.75">
      <c r="A16015" s="2">
        <v>43877.960810185185</v>
      </c>
      <c r="B16015" t="str">
        <f>HYPERLINK("https://twitter.com/merahh_putihh","@merahh_putihh")</f>
        <v>@merahh_putihh</v>
      </c>
      <c r="C16015" t="s">
        <v>8119</v>
      </c>
      <c r="D16015">
        <v>0</v>
      </c>
      <c r="E16015">
        <v>0</v>
      </c>
      <c r="F16015">
        <v>41</v>
      </c>
    </row>
    <row r="16016" spans="1:6" ht="12.75">
      <c r="A16016" s="2">
        <v>43877.959907407407</v>
      </c>
      <c r="B16016" t="str">
        <f>HYPERLINK("https://twitter.com/ganafmargi","@ganafmargi")</f>
        <v>@ganafmargi</v>
      </c>
      <c r="C16016" t="s">
        <v>8120</v>
      </c>
      <c r="D16016">
        <v>0</v>
      </c>
      <c r="E16016">
        <v>0</v>
      </c>
      <c r="F16016">
        <v>542</v>
      </c>
    </row>
    <row r="16017" spans="1:6" ht="12.75">
      <c r="A16017" s="2">
        <v>43877.95893518519</v>
      </c>
      <c r="B16017" t="str">
        <f>HYPERLINK("https://twitter.com/bagaspatifor","@bagaspatifor")</f>
        <v>@bagaspatifor</v>
      </c>
      <c r="C16017" t="s">
        <v>8121</v>
      </c>
      <c r="D16017">
        <v>0</v>
      </c>
      <c r="E16017">
        <v>0</v>
      </c>
      <c r="F16017">
        <v>3</v>
      </c>
    </row>
    <row r="16018" spans="1:6" ht="12.75">
      <c r="A16018" s="2">
        <v>43877.958877314813</v>
      </c>
      <c r="B16018" t="str">
        <f>HYPERLINK("https://twitter.com/Engineer_eee","@Engineer_eee")</f>
        <v>@Engineer_eee</v>
      </c>
      <c r="C16018" t="s">
        <v>8122</v>
      </c>
      <c r="D16018">
        <v>0</v>
      </c>
      <c r="E16018">
        <v>0</v>
      </c>
      <c r="F16018">
        <v>570</v>
      </c>
    </row>
    <row r="16019" spans="1:6" ht="12.75">
      <c r="A16019" s="2">
        <v>43877.958310185189</v>
      </c>
      <c r="B16019" t="str">
        <f>HYPERLINK("https://twitter.com/Charuvrat1","@Charuvrat1")</f>
        <v>@Charuvrat1</v>
      </c>
      <c r="C16019" t="s">
        <v>8121</v>
      </c>
      <c r="D16019">
        <v>0</v>
      </c>
      <c r="E16019">
        <v>0</v>
      </c>
      <c r="F16019">
        <v>4</v>
      </c>
    </row>
    <row r="16020" spans="1:6" ht="12.75">
      <c r="A16020" s="2">
        <v>43877.957268518519</v>
      </c>
      <c r="B16020" t="str">
        <f>HYPERLINK("https://twitter.com/Aadesh25823701","@Aadesh25823701")</f>
        <v>@Aadesh25823701</v>
      </c>
      <c r="C16020" t="s">
        <v>8121</v>
      </c>
      <c r="D16020">
        <v>0</v>
      </c>
      <c r="E16020">
        <v>0</v>
      </c>
      <c r="F16020">
        <v>1</v>
      </c>
    </row>
    <row r="16021" spans="1:6" ht="12.75">
      <c r="A16021" s="2">
        <v>43877.95711805555</v>
      </c>
      <c r="B16021" t="str">
        <f>HYPERLINK("https://twitter.com/Qiu912","@Qiu912")</f>
        <v>@Qiu912</v>
      </c>
      <c r="C16021" t="s">
        <v>8055</v>
      </c>
      <c r="D16021">
        <v>5</v>
      </c>
      <c r="E16021">
        <v>0</v>
      </c>
      <c r="F16021">
        <v>119</v>
      </c>
    </row>
    <row r="16022" spans="1:6" ht="12.75">
      <c r="A16022" s="2">
        <v>43877.956736111111</v>
      </c>
      <c r="B16022" t="str">
        <f>HYPERLINK("https://twitter.com/KakekHalal","@KakekHalal")</f>
        <v>@KakekHalal</v>
      </c>
      <c r="C16022" t="s">
        <v>8055</v>
      </c>
      <c r="D16022">
        <v>5</v>
      </c>
      <c r="E16022">
        <v>0</v>
      </c>
      <c r="F16022">
        <v>21761</v>
      </c>
    </row>
    <row r="16023" spans="1:6" ht="12.75">
      <c r="A16023" s="2">
        <v>43877.956550925926</v>
      </c>
      <c r="B16023" t="str">
        <f>HYPERLINK("https://twitter.com/KrisnaWuyung","@KrisnaWuyung")</f>
        <v>@KrisnaWuyung</v>
      </c>
      <c r="C16023" t="s">
        <v>8123</v>
      </c>
      <c r="D16023">
        <v>1</v>
      </c>
      <c r="E16023">
        <v>0</v>
      </c>
      <c r="F16023">
        <v>419</v>
      </c>
    </row>
    <row r="16024" spans="1:6" ht="12.75">
      <c r="A16024" s="2">
        <v>43877.956446759257</v>
      </c>
      <c r="B16024" t="str">
        <f>HYPERLINK("https://twitter.com/lembaranbaroe","@lembaranbaroe")</f>
        <v>@lembaranbaroe</v>
      </c>
      <c r="C16024" t="s">
        <v>8121</v>
      </c>
      <c r="D16024">
        <v>0</v>
      </c>
      <c r="E16024">
        <v>0</v>
      </c>
      <c r="F16024">
        <v>3724</v>
      </c>
    </row>
    <row r="16025" spans="1:6" ht="12.75">
      <c r="A16025" s="2">
        <v>43877.955509259264</v>
      </c>
      <c r="B16025" t="str">
        <f>HYPERLINK("https://twitter.com/countryRW","@countryRW")</f>
        <v>@countryRW</v>
      </c>
      <c r="C16025" t="s">
        <v>8121</v>
      </c>
      <c r="D16025">
        <v>0</v>
      </c>
      <c r="E16025">
        <v>0</v>
      </c>
      <c r="F16025">
        <v>35180</v>
      </c>
    </row>
    <row r="16026" spans="1:6" ht="12.75">
      <c r="A16026" s="2">
        <v>43877.955451388887</v>
      </c>
      <c r="B16026" t="str">
        <f>HYPERLINK("https://twitter.com/Rachman19661","@Rachman19661")</f>
        <v>@Rachman19661</v>
      </c>
      <c r="C16026" t="s">
        <v>7298</v>
      </c>
      <c r="D16026">
        <v>61</v>
      </c>
      <c r="E16026">
        <v>0</v>
      </c>
      <c r="F16026">
        <v>1237</v>
      </c>
    </row>
    <row r="16027" spans="1:6" ht="12.75">
      <c r="A16027" s="2">
        <v>43877.955335648148</v>
      </c>
      <c r="B16027" t="str">
        <f>HYPERLINK("https://twitter.com/republikaonline","@republikaonline")</f>
        <v>@republikaonline</v>
      </c>
      <c r="C16027" t="s">
        <v>8124</v>
      </c>
      <c r="D16027">
        <v>0</v>
      </c>
      <c r="E16027">
        <v>3</v>
      </c>
      <c r="F16027">
        <v>1210714</v>
      </c>
    </row>
    <row r="16028" spans="1:6" ht="12.75">
      <c r="A16028" s="2">
        <v>43877.955324074079</v>
      </c>
      <c r="B16028" t="str">
        <f>HYPERLINK("https://twitter.com/MaspiyuuuK","@MaspiyuuuK")</f>
        <v>@MaspiyuuuK</v>
      </c>
      <c r="C16028" t="s">
        <v>8125</v>
      </c>
      <c r="D16028">
        <v>0</v>
      </c>
      <c r="E16028">
        <v>0</v>
      </c>
      <c r="F16028">
        <v>3</v>
      </c>
    </row>
    <row r="16029" spans="1:6" ht="12.75">
      <c r="A16029" s="2">
        <v>43877.955057870371</v>
      </c>
      <c r="B16029" t="str">
        <f>HYPERLINK("https://twitter.com/komodoers","@komodoers")</f>
        <v>@komodoers</v>
      </c>
      <c r="C16029" t="s">
        <v>8126</v>
      </c>
      <c r="D16029">
        <v>0</v>
      </c>
      <c r="E16029">
        <v>0</v>
      </c>
      <c r="F16029">
        <v>18</v>
      </c>
    </row>
    <row r="16030" spans="1:6" ht="12.75">
      <c r="A16030" s="2">
        <v>43877.954930555556</v>
      </c>
      <c r="B16030" t="str">
        <f>HYPERLINK("https://twitter.com/SyamzaS","@SyamzaS")</f>
        <v>@SyamzaS</v>
      </c>
      <c r="C16030" t="s">
        <v>6338</v>
      </c>
      <c r="D16030">
        <v>766</v>
      </c>
      <c r="E16030">
        <v>0</v>
      </c>
      <c r="F16030">
        <v>27</v>
      </c>
    </row>
    <row r="16031" spans="1:6" ht="12.75">
      <c r="A16031" s="2">
        <v>43877.954814814817</v>
      </c>
      <c r="B16031" t="str">
        <f>HYPERLINK("https://twitter.com/rasudi__","@rasudi__")</f>
        <v>@rasudi__</v>
      </c>
      <c r="C16031" t="s">
        <v>8127</v>
      </c>
      <c r="D16031">
        <v>0</v>
      </c>
      <c r="E16031">
        <v>0</v>
      </c>
      <c r="F16031">
        <v>340</v>
      </c>
    </row>
    <row r="16032" spans="1:6" ht="12.75">
      <c r="A16032" s="2">
        <v>43877.954571759255</v>
      </c>
      <c r="B16032" t="str">
        <f>HYPERLINK("https://twitter.com/JinKoplakKe4","@JinKoplakKe4")</f>
        <v>@JinKoplakKe4</v>
      </c>
      <c r="C16032" t="s">
        <v>8128</v>
      </c>
      <c r="D16032">
        <v>0</v>
      </c>
      <c r="E16032">
        <v>0</v>
      </c>
      <c r="F16032">
        <v>786</v>
      </c>
    </row>
    <row r="16033" spans="1:6" ht="12.75">
      <c r="A16033" s="2">
        <v>43877.953553240739</v>
      </c>
      <c r="B16033" t="str">
        <f>HYPERLINK("https://twitter.com/bamsaza1","@bamsaza1")</f>
        <v>@bamsaza1</v>
      </c>
      <c r="C16033" t="s">
        <v>7298</v>
      </c>
      <c r="D16033">
        <v>61</v>
      </c>
      <c r="E16033">
        <v>0</v>
      </c>
      <c r="F16033">
        <v>3892</v>
      </c>
    </row>
    <row r="16034" spans="1:6" ht="12.75">
      <c r="A16034" s="2">
        <v>43877.952928240746</v>
      </c>
      <c r="B16034" t="str">
        <f>HYPERLINK("https://twitter.com/MizziyBasith","@MizziyBasith")</f>
        <v>@MizziyBasith</v>
      </c>
      <c r="C16034" t="s">
        <v>8129</v>
      </c>
      <c r="D16034">
        <v>0</v>
      </c>
      <c r="E16034">
        <v>0</v>
      </c>
      <c r="F16034">
        <v>112</v>
      </c>
    </row>
    <row r="16035" spans="1:6" ht="12.75">
      <c r="A16035" s="2">
        <v>43877.9527662037</v>
      </c>
      <c r="B16035" t="str">
        <f>HYPERLINK("https://twitter.com/Anggodomu","@Anggodomu")</f>
        <v>@Anggodomu</v>
      </c>
      <c r="C16035" t="s">
        <v>8130</v>
      </c>
      <c r="D16035">
        <v>0</v>
      </c>
      <c r="E16035">
        <v>0</v>
      </c>
      <c r="F16035">
        <v>229</v>
      </c>
    </row>
    <row r="16036" spans="1:6" ht="12.75">
      <c r="A16036" s="2">
        <v>43877.952083333337</v>
      </c>
      <c r="B16036" t="str">
        <f>HYPERLINK("https://twitter.com/Mataya16641870","@Mataya16641870")</f>
        <v>@Mataya16641870</v>
      </c>
      <c r="C16036" t="s">
        <v>6201</v>
      </c>
      <c r="D16036">
        <v>553</v>
      </c>
      <c r="E16036">
        <v>0</v>
      </c>
      <c r="F16036">
        <v>351</v>
      </c>
    </row>
    <row r="16037" spans="1:6" ht="12.75">
      <c r="A16037" s="2">
        <v>43877.949444444443</v>
      </c>
      <c r="B16037" t="str">
        <f>HYPERLINK("https://twitter.com/pengembarasiang","@pengembarasiang")</f>
        <v>@pengembarasiang</v>
      </c>
      <c r="C16037" t="s">
        <v>6338</v>
      </c>
      <c r="D16037">
        <v>766</v>
      </c>
      <c r="E16037">
        <v>0</v>
      </c>
      <c r="F16037">
        <v>287</v>
      </c>
    </row>
    <row r="16038" spans="1:6" ht="12.75">
      <c r="A16038" s="2">
        <v>43877.94939814815</v>
      </c>
      <c r="B16038" t="str">
        <f>HYPERLINK("https://twitter.com/Extrasun3","@Extrasun3")</f>
        <v>@Extrasun3</v>
      </c>
      <c r="C16038" t="s">
        <v>3150</v>
      </c>
      <c r="D16038">
        <v>357</v>
      </c>
      <c r="E16038">
        <v>0</v>
      </c>
      <c r="F16038">
        <v>211</v>
      </c>
    </row>
    <row r="16039" spans="1:6" ht="12.75">
      <c r="A16039" s="2">
        <v>43877.94902777778</v>
      </c>
      <c r="B16039" t="str">
        <f>HYPERLINK("https://twitter.com/josssexsee","@josssexsee")</f>
        <v>@josssexsee</v>
      </c>
      <c r="C16039" t="s">
        <v>6989</v>
      </c>
      <c r="D16039">
        <v>157</v>
      </c>
      <c r="E16039">
        <v>0</v>
      </c>
      <c r="F16039">
        <v>165</v>
      </c>
    </row>
    <row r="16040" spans="1:6" ht="12.75">
      <c r="A16040" s="2">
        <v>43877.948923611111</v>
      </c>
      <c r="B16040" t="str">
        <f>HYPERLINK("https://twitter.com/te_nago","@te_nago")</f>
        <v>@te_nago</v>
      </c>
      <c r="C16040" t="s">
        <v>8131</v>
      </c>
      <c r="D16040">
        <v>2412</v>
      </c>
      <c r="E16040">
        <v>0</v>
      </c>
      <c r="F16040">
        <v>220</v>
      </c>
    </row>
    <row r="16041" spans="1:6" ht="12.75">
      <c r="A16041" s="2">
        <v>43877.948680555557</v>
      </c>
      <c r="B16041" t="str">
        <f>HYPERLINK("https://twitter.com/yogapraditow","@yogapraditow")</f>
        <v>@yogapraditow</v>
      </c>
      <c r="C16041" t="s">
        <v>5168</v>
      </c>
      <c r="D16041">
        <v>1659</v>
      </c>
      <c r="E16041">
        <v>0</v>
      </c>
      <c r="F16041">
        <v>404</v>
      </c>
    </row>
    <row r="16042" spans="1:6" ht="12.75">
      <c r="A16042" s="2">
        <v>43877.948611111111</v>
      </c>
      <c r="B16042" t="str">
        <f>HYPERLINK("https://twitter.com/nu_online","@nu_online")</f>
        <v>@nu_online</v>
      </c>
      <c r="C16042" t="s">
        <v>8132</v>
      </c>
      <c r="D16042">
        <v>2</v>
      </c>
      <c r="E16042">
        <v>6</v>
      </c>
      <c r="F16042">
        <v>490611</v>
      </c>
    </row>
    <row r="16043" spans="1:6" ht="12.75">
      <c r="A16043" s="2">
        <v>43877.948564814811</v>
      </c>
      <c r="B16043" t="str">
        <f>HYPERLINK("https://twitter.com/veraagustian_","@veraagustian_")</f>
        <v>@veraagustian_</v>
      </c>
      <c r="C16043" t="s">
        <v>7897</v>
      </c>
      <c r="D16043">
        <v>9</v>
      </c>
      <c r="E16043">
        <v>0</v>
      </c>
      <c r="F16043">
        <v>2954</v>
      </c>
    </row>
    <row r="16044" spans="1:6" ht="12.75">
      <c r="A16044" s="2">
        <v>43877.948425925926</v>
      </c>
      <c r="B16044" t="str">
        <f>HYPERLINK("https://twitter.com/Nazarjuli16gma1","@Nazarjuli16gma1")</f>
        <v>@Nazarjuli16gma1</v>
      </c>
      <c r="C16044" t="s">
        <v>8133</v>
      </c>
      <c r="D16044">
        <v>1</v>
      </c>
      <c r="E16044">
        <v>1</v>
      </c>
      <c r="F16044">
        <v>773</v>
      </c>
    </row>
    <row r="16045" spans="1:6" ht="12.75">
      <c r="A16045" s="2">
        <v>43877.948194444441</v>
      </c>
      <c r="B16045" t="str">
        <f>HYPERLINK("https://twitter.com/KienAnd_","@KienAnd_")</f>
        <v>@KienAnd_</v>
      </c>
      <c r="C16045" t="s">
        <v>8134</v>
      </c>
      <c r="D16045">
        <v>0</v>
      </c>
      <c r="E16045">
        <v>1</v>
      </c>
      <c r="F16045">
        <v>11445</v>
      </c>
    </row>
    <row r="16046" spans="1:6" ht="12.75">
      <c r="A16046" s="2">
        <v>43877.947951388887</v>
      </c>
      <c r="B16046" t="str">
        <f>HYPERLINK("https://twitter.com/yudhapati88","@yudhapati88")</f>
        <v>@yudhapati88</v>
      </c>
      <c r="C16046" t="s">
        <v>7298</v>
      </c>
      <c r="D16046">
        <v>61</v>
      </c>
      <c r="E16046">
        <v>0</v>
      </c>
      <c r="F16046">
        <v>3406</v>
      </c>
    </row>
    <row r="16047" spans="1:6" ht="12.75">
      <c r="A16047" s="2">
        <v>43877.947337962964</v>
      </c>
      <c r="B16047" t="str">
        <f>HYPERLINK("https://twitter.com/AnakLolina","@AnakLolina")</f>
        <v>@AnakLolina</v>
      </c>
      <c r="C16047" t="s">
        <v>8135</v>
      </c>
      <c r="D16047">
        <v>1</v>
      </c>
      <c r="E16047">
        <v>0</v>
      </c>
      <c r="F16047">
        <v>14590</v>
      </c>
    </row>
    <row r="16048" spans="1:6" ht="12.75">
      <c r="A16048" s="2">
        <v>43877.947210648148</v>
      </c>
      <c r="B16048" t="str">
        <f>HYPERLINK("https://twitter.com/Abdul_Muchit5","@Abdul_Muchit5")</f>
        <v>@Abdul_Muchit5</v>
      </c>
      <c r="C16048" t="s">
        <v>175</v>
      </c>
      <c r="D16048">
        <v>5374</v>
      </c>
      <c r="E16048">
        <v>0</v>
      </c>
      <c r="F16048">
        <v>332</v>
      </c>
    </row>
    <row r="16049" spans="1:6" ht="12.75">
      <c r="A16049" s="2">
        <v>43877.947152777779</v>
      </c>
      <c r="B16049" t="str">
        <f>HYPERLINK("https://twitter.com/delaavyu","@delaavyu")</f>
        <v>@delaavyu</v>
      </c>
      <c r="C16049" t="s">
        <v>8136</v>
      </c>
      <c r="D16049">
        <v>0</v>
      </c>
      <c r="E16049">
        <v>1</v>
      </c>
      <c r="F16049">
        <v>673</v>
      </c>
    </row>
    <row r="16050" spans="1:6" ht="12.75">
      <c r="A16050" s="2">
        <v>43877.946550925924</v>
      </c>
      <c r="B16050" t="str">
        <f>HYPERLINK("https://twitter.com/VMalangbong","@VMalangbong")</f>
        <v>@VMalangbong</v>
      </c>
      <c r="C16050" t="s">
        <v>8137</v>
      </c>
      <c r="D16050">
        <v>0</v>
      </c>
      <c r="E16050">
        <v>0</v>
      </c>
      <c r="F16050">
        <v>51</v>
      </c>
    </row>
    <row r="16051" spans="1:6" ht="12.75">
      <c r="A16051" s="2">
        <v>43877.946342592593</v>
      </c>
      <c r="B16051" t="str">
        <f>HYPERLINK("https://twitter.com/idnafaluhtam4","@idnafaluhtam4")</f>
        <v>@idnafaluhtam4</v>
      </c>
      <c r="C16051" t="s">
        <v>6989</v>
      </c>
      <c r="D16051">
        <v>157</v>
      </c>
      <c r="E16051">
        <v>0</v>
      </c>
      <c r="F16051">
        <v>276</v>
      </c>
    </row>
    <row r="16052" spans="1:6" ht="12.75">
      <c r="A16052" s="2">
        <v>43877.945601851854</v>
      </c>
      <c r="B16052" t="str">
        <f>HYPERLINK("https://twitter.com/CGazee","@CGazee")</f>
        <v>@CGazee</v>
      </c>
      <c r="C16052" t="s">
        <v>8138</v>
      </c>
      <c r="D16052">
        <v>0</v>
      </c>
      <c r="E16052">
        <v>0</v>
      </c>
      <c r="F16052">
        <v>0</v>
      </c>
    </row>
    <row r="16053" spans="1:6" ht="12.75">
      <c r="A16053" s="2">
        <v>43877.945034722223</v>
      </c>
      <c r="B16053" t="str">
        <f>HYPERLINK("https://twitter.com/kelapamuda87","@kelapamuda87")</f>
        <v>@kelapamuda87</v>
      </c>
      <c r="C16053" t="s">
        <v>8139</v>
      </c>
      <c r="D16053">
        <v>0</v>
      </c>
      <c r="E16053">
        <v>0</v>
      </c>
      <c r="F16053">
        <v>10</v>
      </c>
    </row>
    <row r="16054" spans="1:6" ht="12.75">
      <c r="A16054" s="2">
        <v>43877.945023148146</v>
      </c>
      <c r="B16054" t="str">
        <f>HYPERLINK("https://twitter.com/deuxplaisir","@deuxplaisir")</f>
        <v>@deuxplaisir</v>
      </c>
      <c r="C16054" t="s">
        <v>2147</v>
      </c>
      <c r="D16054">
        <v>541</v>
      </c>
      <c r="E16054">
        <v>0</v>
      </c>
      <c r="F16054">
        <v>91</v>
      </c>
    </row>
    <row r="16055" spans="1:6" ht="12.75">
      <c r="A16055" s="2">
        <v>43877.94462962963</v>
      </c>
      <c r="B16055" t="str">
        <f>HYPERLINK("https://twitter.com/_kusno","@_kusno")</f>
        <v>@_kusno</v>
      </c>
      <c r="C16055" t="s">
        <v>6989</v>
      </c>
      <c r="D16055">
        <v>157</v>
      </c>
      <c r="E16055">
        <v>0</v>
      </c>
      <c r="F16055">
        <v>2293</v>
      </c>
    </row>
    <row r="16056" spans="1:6" ht="12.75">
      <c r="A16056" s="2">
        <v>43877.944571759261</v>
      </c>
      <c r="B16056" t="str">
        <f>HYPERLINK("https://twitter.com/HarianKalteng","@HarianKalteng")</f>
        <v>@HarianKalteng</v>
      </c>
      <c r="C16056" t="s">
        <v>8140</v>
      </c>
      <c r="D16056">
        <v>0</v>
      </c>
      <c r="E16056">
        <v>0</v>
      </c>
      <c r="F16056">
        <v>425</v>
      </c>
    </row>
    <row r="16057" spans="1:6" ht="12.75">
      <c r="A16057" s="2">
        <v>43877.944340277776</v>
      </c>
      <c r="B16057" t="str">
        <f>HYPERLINK("https://twitter.com/boeton84","@boeton84")</f>
        <v>@boeton84</v>
      </c>
      <c r="C16057" t="s">
        <v>8141</v>
      </c>
      <c r="D16057">
        <v>34</v>
      </c>
      <c r="E16057">
        <v>0</v>
      </c>
      <c r="F16057">
        <v>2307</v>
      </c>
    </row>
    <row r="16058" spans="1:6" ht="12.75">
      <c r="A16058" s="2">
        <v>43877.944212962961</v>
      </c>
      <c r="B16058" t="str">
        <f>HYPERLINK("https://twitter.com/oppaii48","@oppaii48")</f>
        <v>@oppaii48</v>
      </c>
      <c r="C16058" t="s">
        <v>8142</v>
      </c>
      <c r="D16058">
        <v>0</v>
      </c>
      <c r="E16058">
        <v>0</v>
      </c>
      <c r="F16058">
        <v>86</v>
      </c>
    </row>
    <row r="16059" spans="1:6" ht="12.75">
      <c r="A16059" s="2">
        <v>43877.943622685183</v>
      </c>
      <c r="B16059" t="str">
        <f>HYPERLINK("https://twitter.com/Johnyhunter66","@Johnyhunter66")</f>
        <v>@Johnyhunter66</v>
      </c>
      <c r="C16059" t="s">
        <v>8141</v>
      </c>
      <c r="D16059">
        <v>34</v>
      </c>
      <c r="E16059">
        <v>0</v>
      </c>
      <c r="F16059">
        <v>341</v>
      </c>
    </row>
    <row r="16060" spans="1:6" ht="12.75">
      <c r="A16060" s="2">
        <v>43877.941643518519</v>
      </c>
      <c r="B16060" t="str">
        <f>HYPERLINK("https://twitter.com/nggamau","@nggamau")</f>
        <v>@nggamau</v>
      </c>
      <c r="C16060" t="s">
        <v>8143</v>
      </c>
      <c r="D16060">
        <v>0</v>
      </c>
      <c r="E16060">
        <v>0</v>
      </c>
      <c r="F16060">
        <v>357</v>
      </c>
    </row>
    <row r="16061" spans="1:6" ht="12.75">
      <c r="A16061" s="2">
        <v>43877.941481481481</v>
      </c>
      <c r="B16061" t="str">
        <f>HYPERLINK("https://twitter.com/ColtYorkhunter1","@ColtYorkhunter1")</f>
        <v>@ColtYorkhunter1</v>
      </c>
      <c r="C16061" t="s">
        <v>3150</v>
      </c>
      <c r="D16061">
        <v>357</v>
      </c>
      <c r="E16061">
        <v>0</v>
      </c>
      <c r="F16061">
        <v>15874</v>
      </c>
    </row>
    <row r="16062" spans="1:6" ht="12.75">
      <c r="A16062" s="2">
        <v>43877.941435185188</v>
      </c>
      <c r="B16062" t="str">
        <f>HYPERLINK("https://twitter.com/TooManyRequest","@TooManyRequest")</f>
        <v>@TooManyRequest</v>
      </c>
      <c r="C16062" t="s">
        <v>8144</v>
      </c>
      <c r="D16062">
        <v>0</v>
      </c>
      <c r="E16062">
        <v>0</v>
      </c>
      <c r="F16062">
        <v>746</v>
      </c>
    </row>
    <row r="16063" spans="1:6" ht="12.75">
      <c r="A16063" s="2">
        <v>43877.94121527778</v>
      </c>
      <c r="B16063" t="str">
        <f>HYPERLINK("https://twitter.com/gadisresidu_b3","@gadisresidu_b3")</f>
        <v>@gadisresidu_b3</v>
      </c>
      <c r="C16063" t="s">
        <v>8145</v>
      </c>
      <c r="D16063">
        <v>0</v>
      </c>
      <c r="E16063">
        <v>1</v>
      </c>
      <c r="F16063">
        <v>1667</v>
      </c>
    </row>
    <row r="16064" spans="1:6" ht="12.75">
      <c r="A16064" s="2">
        <v>43877.941006944442</v>
      </c>
      <c r="B16064" t="str">
        <f>HYPERLINK("https://twitter.com/forddyce92","@forddyce92")</f>
        <v>@forddyce92</v>
      </c>
      <c r="C16064" t="s">
        <v>8146</v>
      </c>
      <c r="D16064">
        <v>0</v>
      </c>
      <c r="E16064">
        <v>0</v>
      </c>
      <c r="F16064">
        <v>24</v>
      </c>
    </row>
    <row r="16065" spans="1:6" ht="12.75">
      <c r="A16065" s="2">
        <v>43877.940902777773</v>
      </c>
      <c r="B16065" t="str">
        <f>HYPERLINK("https://twitter.com/21Lai21","@21Lai21")</f>
        <v>@21Lai21</v>
      </c>
      <c r="C16065" t="s">
        <v>7897</v>
      </c>
      <c r="D16065">
        <v>9</v>
      </c>
      <c r="E16065">
        <v>0</v>
      </c>
      <c r="F16065">
        <v>275</v>
      </c>
    </row>
    <row r="16066" spans="1:6" ht="12.75">
      <c r="A16066" s="2">
        <v>43877.940821759257</v>
      </c>
      <c r="B16066" t="str">
        <f>HYPERLINK("https://twitter.com/indozonemedia","@indozonemedia")</f>
        <v>@indozonemedia</v>
      </c>
      <c r="C16066" t="s">
        <v>8147</v>
      </c>
      <c r="D16066">
        <v>0</v>
      </c>
      <c r="E16066">
        <v>1</v>
      </c>
      <c r="F16066">
        <v>1787936</v>
      </c>
    </row>
    <row r="16067" spans="1:6" ht="12.75">
      <c r="A16067" s="2">
        <v>43877.940416666665</v>
      </c>
      <c r="B16067" t="str">
        <f>HYPERLINK("https://twitter.com/tjetjeksbutar","@tjetjeksbutar")</f>
        <v>@tjetjeksbutar</v>
      </c>
      <c r="C16067" t="s">
        <v>8148</v>
      </c>
      <c r="D16067">
        <v>0</v>
      </c>
      <c r="E16067">
        <v>0</v>
      </c>
      <c r="F16067">
        <v>35</v>
      </c>
    </row>
    <row r="16068" spans="1:6" ht="12.75">
      <c r="A16068" s="2">
        <v>43877.940046296295</v>
      </c>
      <c r="B16068" t="str">
        <f>HYPERLINK("https://twitter.com/Jojo_Entis","@Jojo_Entis")</f>
        <v>@Jojo_Entis</v>
      </c>
      <c r="C16068" t="s">
        <v>8149</v>
      </c>
      <c r="D16068">
        <v>3</v>
      </c>
      <c r="E16068">
        <v>0</v>
      </c>
      <c r="F16068">
        <v>127</v>
      </c>
    </row>
    <row r="16069" spans="1:6" ht="12.75">
      <c r="A16069" s="2">
        <v>43877.939884259264</v>
      </c>
      <c r="B16069" t="str">
        <f>HYPERLINK("https://twitter.com/r_djarot_s","@r_djarot_s")</f>
        <v>@r_djarot_s</v>
      </c>
      <c r="C16069" t="s">
        <v>7298</v>
      </c>
      <c r="D16069">
        <v>61</v>
      </c>
      <c r="E16069">
        <v>0</v>
      </c>
      <c r="F16069">
        <v>1441</v>
      </c>
    </row>
    <row r="16070" spans="1:6" ht="12.75">
      <c r="A16070" s="2">
        <v>43877.939641203702</v>
      </c>
      <c r="B16070" t="str">
        <f>HYPERLINK("https://twitter.com/soffel84103944","@soffel84103944")</f>
        <v>@soffel84103944</v>
      </c>
      <c r="C16070" t="s">
        <v>6989</v>
      </c>
      <c r="D16070">
        <v>157</v>
      </c>
      <c r="E16070">
        <v>0</v>
      </c>
      <c r="F16070">
        <v>460</v>
      </c>
    </row>
    <row r="16071" spans="1:6" ht="12.75">
      <c r="A16071" s="2">
        <v>43877.939328703702</v>
      </c>
      <c r="B16071" t="str">
        <f>HYPERLINK("https://twitter.com/Metrosidiknews","@Metrosidiknews")</f>
        <v>@Metrosidiknews</v>
      </c>
      <c r="C16071" t="s">
        <v>8150</v>
      </c>
      <c r="D16071">
        <v>0</v>
      </c>
      <c r="E16071">
        <v>0</v>
      </c>
      <c r="F16071">
        <v>28</v>
      </c>
    </row>
    <row r="16072" spans="1:6" ht="12.75">
      <c r="A16072" s="2">
        <v>43877.939189814817</v>
      </c>
      <c r="B16072" t="str">
        <f>HYPERLINK("https://twitter.com/VeritasArdentur","@VeritasArdentur")</f>
        <v>@VeritasArdentur</v>
      </c>
      <c r="C16072" t="s">
        <v>8151</v>
      </c>
      <c r="D16072">
        <v>1</v>
      </c>
      <c r="E16072">
        <v>1</v>
      </c>
      <c r="F16072">
        <v>15455</v>
      </c>
    </row>
    <row r="16073" spans="1:6" ht="12.75">
      <c r="A16073" s="2">
        <v>43877.939016203702</v>
      </c>
      <c r="B16073" t="str">
        <f>HYPERLINK("https://twitter.com/TAKASHIZULFIKAR","@TAKASHIZULFIKAR")</f>
        <v>@TAKASHIZULFIKAR</v>
      </c>
      <c r="C16073" t="s">
        <v>8152</v>
      </c>
      <c r="D16073">
        <v>0</v>
      </c>
      <c r="E16073">
        <v>0</v>
      </c>
      <c r="F16073">
        <v>740</v>
      </c>
    </row>
    <row r="16074" spans="1:6" ht="12.75">
      <c r="A16074" s="2">
        <v>43877.938194444447</v>
      </c>
      <c r="B16074" t="str">
        <f>HYPERLINK("https://twitter.com/Bnie18","@Bnie18")</f>
        <v>@Bnie18</v>
      </c>
      <c r="C16074" t="s">
        <v>7897</v>
      </c>
      <c r="D16074">
        <v>9</v>
      </c>
      <c r="E16074">
        <v>0</v>
      </c>
      <c r="F16074">
        <v>1634</v>
      </c>
    </row>
    <row r="16075" spans="1:6" ht="12.75">
      <c r="A16075" s="2">
        <v>43877.937881944439</v>
      </c>
      <c r="B16075" t="str">
        <f>HYPERLINK("https://twitter.com/danarjon","@danarjon")</f>
        <v>@danarjon</v>
      </c>
      <c r="C16075" t="s">
        <v>8153</v>
      </c>
      <c r="D16075">
        <v>0</v>
      </c>
      <c r="E16075">
        <v>1</v>
      </c>
      <c r="F16075">
        <v>94010</v>
      </c>
    </row>
    <row r="16076" spans="1:6" ht="12.75">
      <c r="A16076" s="2">
        <v>43877.937719907408</v>
      </c>
      <c r="B16076" t="str">
        <f>HYPERLINK("https://twitter.com/Vendra_Deje","@Vendra_Deje")</f>
        <v>@Vendra_Deje</v>
      </c>
      <c r="C16076" t="s">
        <v>8154</v>
      </c>
      <c r="D16076">
        <v>1</v>
      </c>
      <c r="E16076">
        <v>0</v>
      </c>
      <c r="F16076">
        <v>3132</v>
      </c>
    </row>
    <row r="16077" spans="1:6" ht="12.75">
      <c r="A16077" s="2">
        <v>43877.937650462962</v>
      </c>
      <c r="B16077" t="str">
        <f>HYPERLINK("https://twitter.com/JinKoplakKe4","@JinKoplakKe4")</f>
        <v>@JinKoplakKe4</v>
      </c>
      <c r="C16077" t="s">
        <v>8155</v>
      </c>
      <c r="D16077">
        <v>0</v>
      </c>
      <c r="E16077">
        <v>0</v>
      </c>
      <c r="F16077">
        <v>786</v>
      </c>
    </row>
    <row r="16078" spans="1:6" ht="12.75">
      <c r="A16078" s="2">
        <v>43877.937557870369</v>
      </c>
      <c r="B16078" t="str">
        <f>HYPERLINK("https://twitter.com/kopitoba","@kopitoba")</f>
        <v>@kopitoba</v>
      </c>
      <c r="C16078" t="s">
        <v>6989</v>
      </c>
      <c r="D16078">
        <v>157</v>
      </c>
      <c r="E16078">
        <v>0</v>
      </c>
      <c r="F16078">
        <v>312</v>
      </c>
    </row>
    <row r="16079" spans="1:6" ht="12.75">
      <c r="A16079" s="2">
        <v>43877.937303240746</v>
      </c>
      <c r="B16079" t="str">
        <f>HYPERLINK("https://twitter.com/katti_mohan","@katti_mohan")</f>
        <v>@katti_mohan</v>
      </c>
      <c r="C16079" t="s">
        <v>8156</v>
      </c>
      <c r="D16079">
        <v>2</v>
      </c>
      <c r="E16079">
        <v>0</v>
      </c>
      <c r="F16079">
        <v>715</v>
      </c>
    </row>
    <row r="16080" spans="1:6" ht="12.75">
      <c r="A16080" s="2">
        <v>43877.93681712963</v>
      </c>
      <c r="B16080" t="str">
        <f>HYPERLINK("https://twitter.com/NannyAlexendry","@NannyAlexendry")</f>
        <v>@NannyAlexendry</v>
      </c>
      <c r="C16080" t="s">
        <v>7760</v>
      </c>
      <c r="D16080">
        <v>1</v>
      </c>
      <c r="E16080">
        <v>0</v>
      </c>
      <c r="F16080">
        <v>2891</v>
      </c>
    </row>
    <row r="16081" spans="1:6" ht="12.75">
      <c r="A16081" s="2">
        <v>43877.936805555553</v>
      </c>
      <c r="B16081" t="str">
        <f>HYPERLINK("https://twitter.com/un_dreilukas","@un_dreilukas")</f>
        <v>@un_dreilukas</v>
      </c>
      <c r="C16081" t="s">
        <v>8157</v>
      </c>
      <c r="D16081">
        <v>0</v>
      </c>
      <c r="E16081">
        <v>0</v>
      </c>
      <c r="F16081">
        <v>115</v>
      </c>
    </row>
    <row r="16082" spans="1:6" ht="12.75">
      <c r="A16082" s="2">
        <v>43877.936076388884</v>
      </c>
      <c r="B16082" t="str">
        <f>HYPERLINK("https://twitter.com/UrubingDilah","@UrubingDilah")</f>
        <v>@UrubingDilah</v>
      </c>
      <c r="C16082" t="s">
        <v>6989</v>
      </c>
      <c r="D16082">
        <v>157</v>
      </c>
      <c r="E16082">
        <v>0</v>
      </c>
      <c r="F16082">
        <v>1331</v>
      </c>
    </row>
    <row r="16083" spans="1:6" ht="12.75">
      <c r="A16083" s="2">
        <v>43877.935810185183</v>
      </c>
      <c r="B16083" t="str">
        <f>HYPERLINK("https://twitter.com/ArielFatR","@ArielFatR")</f>
        <v>@ArielFatR</v>
      </c>
      <c r="C16083" t="s">
        <v>7298</v>
      </c>
      <c r="D16083">
        <v>61</v>
      </c>
      <c r="E16083">
        <v>0</v>
      </c>
      <c r="F16083">
        <v>568</v>
      </c>
    </row>
    <row r="16084" spans="1:6" ht="12.75">
      <c r="A16084" s="2">
        <v>43877.935590277775</v>
      </c>
      <c r="B16084" t="str">
        <f>HYPERLINK("https://twitter.com/AdifferentRubio","@AdifferentRubio")</f>
        <v>@AdifferentRubio</v>
      </c>
      <c r="C16084" t="s">
        <v>3150</v>
      </c>
      <c r="D16084">
        <v>357</v>
      </c>
      <c r="E16084">
        <v>0</v>
      </c>
      <c r="F16084">
        <v>12156</v>
      </c>
    </row>
    <row r="16085" spans="1:6" ht="12.75">
      <c r="A16085" s="2">
        <v>43877.935185185182</v>
      </c>
      <c r="B16085" t="str">
        <f>HYPERLINK("https://twitter.com/Yatie84991237","@Yatie84991237")</f>
        <v>@Yatie84991237</v>
      </c>
      <c r="C16085" t="s">
        <v>8158</v>
      </c>
      <c r="D16085">
        <v>0</v>
      </c>
      <c r="E16085">
        <v>1</v>
      </c>
      <c r="F16085">
        <v>1515</v>
      </c>
    </row>
    <row r="16086" spans="1:6" ht="12.75">
      <c r="A16086" s="2">
        <v>43877.934710648144</v>
      </c>
      <c r="B16086" t="str">
        <f>HYPERLINK("https://twitter.com/WahyoeKhairul","@WahyoeKhairul")</f>
        <v>@WahyoeKhairul</v>
      </c>
      <c r="C16086" t="s">
        <v>8159</v>
      </c>
      <c r="D16086">
        <v>4</v>
      </c>
      <c r="E16086">
        <v>0</v>
      </c>
      <c r="F16086">
        <v>855</v>
      </c>
    </row>
    <row r="16087" spans="1:6" ht="12.75">
      <c r="A16087" s="2">
        <v>43877.933738425927</v>
      </c>
      <c r="B16087" t="str">
        <f>HYPERLINK("https://twitter.com/FaktaNew5","@FaktaNew5")</f>
        <v>@FaktaNew5</v>
      </c>
      <c r="C16087" t="s">
        <v>7696</v>
      </c>
      <c r="D16087">
        <v>0</v>
      </c>
      <c r="E16087">
        <v>0</v>
      </c>
      <c r="F16087">
        <v>173</v>
      </c>
    </row>
    <row r="16088" spans="1:6" ht="12.75">
      <c r="A16088" s="2">
        <v>43877.933587962965</v>
      </c>
      <c r="B16088" t="str">
        <f>HYPERLINK("https://twitter.com/SuaraaMerdeka","@SuaraaMerdeka")</f>
        <v>@SuaraaMerdeka</v>
      </c>
      <c r="C16088" t="s">
        <v>8160</v>
      </c>
      <c r="D16088">
        <v>0</v>
      </c>
      <c r="E16088">
        <v>0</v>
      </c>
      <c r="F16088">
        <v>209</v>
      </c>
    </row>
    <row r="16089" spans="1:6" ht="12.75">
      <c r="A16089" s="2">
        <v>43877.932812500003</v>
      </c>
      <c r="B16089" t="str">
        <f>HYPERLINK("https://twitter.com/gw_radikal","@gw_radikal")</f>
        <v>@gw_radikal</v>
      </c>
      <c r="C16089" t="s">
        <v>6201</v>
      </c>
      <c r="D16089">
        <v>553</v>
      </c>
      <c r="E16089">
        <v>0</v>
      </c>
      <c r="F16089">
        <v>480</v>
      </c>
    </row>
    <row r="16090" spans="1:6" ht="12.75">
      <c r="A16090" s="2">
        <v>43877.931805555556</v>
      </c>
      <c r="B16090" t="str">
        <f>HYPERLINK("https://twitter.com/PaulinaNompetu2","@PaulinaNompetu2")</f>
        <v>@PaulinaNompetu2</v>
      </c>
      <c r="C16090" t="s">
        <v>6963</v>
      </c>
      <c r="D16090">
        <v>13</v>
      </c>
      <c r="E16090">
        <v>0</v>
      </c>
      <c r="F16090">
        <v>38</v>
      </c>
    </row>
    <row r="16091" spans="1:6" ht="12.75">
      <c r="A16091" s="2">
        <v>43877.931608796294</v>
      </c>
      <c r="B16091" t="str">
        <f>HYPERLINK("https://twitter.com/DJBourned","@DJBourned")</f>
        <v>@DJBourned</v>
      </c>
      <c r="C16091" t="s">
        <v>8161</v>
      </c>
      <c r="D16091">
        <v>0</v>
      </c>
      <c r="E16091">
        <v>0</v>
      </c>
      <c r="F16091">
        <v>1702</v>
      </c>
    </row>
    <row r="16092" spans="1:6" ht="12.75">
      <c r="A16092" s="2">
        <v>43877.931377314817</v>
      </c>
      <c r="B16092" t="str">
        <f>HYPERLINK("https://twitter.com/Rakha_boumi","@Rakha_boumi")</f>
        <v>@Rakha_boumi</v>
      </c>
      <c r="C16092" t="s">
        <v>8162</v>
      </c>
      <c r="D16092">
        <v>0</v>
      </c>
      <c r="E16092">
        <v>0</v>
      </c>
      <c r="F16092">
        <v>1353</v>
      </c>
    </row>
    <row r="16093" spans="1:6" ht="12.75">
      <c r="A16093" s="2">
        <v>43877.93105324074</v>
      </c>
      <c r="B16093" t="str">
        <f>HYPERLINK("https://twitter.com/renegad19207887","@renegad19207887")</f>
        <v>@renegad19207887</v>
      </c>
      <c r="C16093" t="s">
        <v>8163</v>
      </c>
      <c r="D16093">
        <v>1</v>
      </c>
      <c r="E16093">
        <v>1</v>
      </c>
      <c r="F16093">
        <v>1264</v>
      </c>
    </row>
    <row r="16094" spans="1:6" ht="12.75">
      <c r="A16094" s="2">
        <v>43877.930277777778</v>
      </c>
      <c r="B16094" t="str">
        <f>HYPERLINK("https://twitter.com/beritasumut","@beritasumut")</f>
        <v>@beritasumut</v>
      </c>
      <c r="C16094" t="s">
        <v>7696</v>
      </c>
      <c r="D16094">
        <v>0</v>
      </c>
      <c r="E16094">
        <v>0</v>
      </c>
      <c r="F16094">
        <v>1817</v>
      </c>
    </row>
    <row r="16095" spans="1:6" ht="12.75">
      <c r="A16095" s="2">
        <v>43877.930173611108</v>
      </c>
      <c r="B16095" t="str">
        <f>HYPERLINK("https://twitter.com/__beritaterkini","@__beritaterkini")</f>
        <v>@__beritaterkini</v>
      </c>
      <c r="C16095" t="s">
        <v>8164</v>
      </c>
      <c r="D16095">
        <v>0</v>
      </c>
      <c r="E16095">
        <v>0</v>
      </c>
      <c r="F16095">
        <v>430</v>
      </c>
    </row>
    <row r="16096" spans="1:6" ht="12.75">
      <c r="A16096" s="2">
        <v>43877.92967592593</v>
      </c>
      <c r="B16096" t="str">
        <f>HYPERLINK("https://twitter.com/3082Ardian","@3082Ardian")</f>
        <v>@3082Ardian</v>
      </c>
      <c r="C16096" t="s">
        <v>6989</v>
      </c>
      <c r="D16096">
        <v>157</v>
      </c>
      <c r="E16096">
        <v>0</v>
      </c>
      <c r="F16096">
        <v>22</v>
      </c>
    </row>
    <row r="16097" spans="1:6" ht="12.75">
      <c r="A16097" s="2">
        <v>43877.929375</v>
      </c>
      <c r="B16097" t="str">
        <f>HYPERLINK("https://twitter.com/juombloiyaiya","@juombloiyaiya")</f>
        <v>@juombloiyaiya</v>
      </c>
      <c r="C16097" t="s">
        <v>8165</v>
      </c>
      <c r="D16097">
        <v>1</v>
      </c>
      <c r="E16097">
        <v>1</v>
      </c>
      <c r="F16097">
        <v>509</v>
      </c>
    </row>
    <row r="16098" spans="1:6" ht="12.75">
      <c r="A16098" s="2">
        <v>43877.929201388892</v>
      </c>
      <c r="B16098" t="str">
        <f>HYPERLINK("https://twitter.com/anakdolan_","@anakdolan_")</f>
        <v>@anakdolan_</v>
      </c>
      <c r="C16098" t="s">
        <v>8166</v>
      </c>
      <c r="D16098">
        <v>0</v>
      </c>
      <c r="E16098">
        <v>0</v>
      </c>
      <c r="F16098">
        <v>127</v>
      </c>
    </row>
    <row r="16099" spans="1:6" ht="12.75">
      <c r="A16099" s="2">
        <v>43877.928842592592</v>
      </c>
      <c r="B16099" t="str">
        <f>HYPERLINK("https://twitter.com/ayaelectro","@ayaelectro")</f>
        <v>@ayaelectro</v>
      </c>
      <c r="C16099" t="s">
        <v>8167</v>
      </c>
      <c r="D16099">
        <v>1</v>
      </c>
      <c r="E16099">
        <v>0</v>
      </c>
      <c r="F16099">
        <v>1834</v>
      </c>
    </row>
    <row r="16100" spans="1:6" ht="12.75">
      <c r="A16100" s="2">
        <v>43877.928668981476</v>
      </c>
      <c r="B16100" t="str">
        <f>HYPERLINK("https://twitter.com/VeritasArdentur","@VeritasArdentur")</f>
        <v>@VeritasArdentur</v>
      </c>
      <c r="C16100" t="s">
        <v>8168</v>
      </c>
      <c r="D16100">
        <v>2</v>
      </c>
      <c r="E16100">
        <v>0</v>
      </c>
      <c r="F16100">
        <v>15455</v>
      </c>
    </row>
    <row r="16101" spans="1:6" ht="12.75">
      <c r="A16101" s="2">
        <v>43877.928472222222</v>
      </c>
      <c r="B16101" t="str">
        <f>HYPERLINK("https://twitter.com/ParmonanganRaja","@ParmonanganRaja")</f>
        <v>@ParmonanganRaja</v>
      </c>
      <c r="C16101" t="s">
        <v>8169</v>
      </c>
      <c r="D16101">
        <v>1</v>
      </c>
      <c r="E16101">
        <v>0</v>
      </c>
      <c r="F16101">
        <v>183</v>
      </c>
    </row>
    <row r="16102" spans="1:6" ht="12.75">
      <c r="A16102" s="2">
        <v>43877.928310185191</v>
      </c>
      <c r="B16102" t="str">
        <f>HYPERLINK("https://twitter.com/AminSiregar75","@AminSiregar75")</f>
        <v>@AminSiregar75</v>
      </c>
      <c r="C16102" t="s">
        <v>8170</v>
      </c>
      <c r="D16102">
        <v>1</v>
      </c>
      <c r="E16102">
        <v>0</v>
      </c>
      <c r="F16102">
        <v>2570</v>
      </c>
    </row>
    <row r="16103" spans="1:6" ht="12.75">
      <c r="A16103" s="2">
        <v>43877.927708333329</v>
      </c>
      <c r="B16103" t="str">
        <f>HYPERLINK("https://twitter.com/SofianJoheri","@SofianJoheri")</f>
        <v>@SofianJoheri</v>
      </c>
      <c r="C16103" t="s">
        <v>8171</v>
      </c>
      <c r="D16103">
        <v>0</v>
      </c>
      <c r="E16103">
        <v>0</v>
      </c>
      <c r="F16103">
        <v>585</v>
      </c>
    </row>
    <row r="16104" spans="1:6" ht="12.75">
      <c r="A16104" s="2">
        <v>43877.927534722221</v>
      </c>
      <c r="B16104" t="str">
        <f>HYPERLINK("https://twitter.com/KrisnaWuyung","@KrisnaWuyung")</f>
        <v>@KrisnaWuyung</v>
      </c>
      <c r="C16104" t="s">
        <v>8172</v>
      </c>
      <c r="D16104">
        <v>0</v>
      </c>
      <c r="E16104">
        <v>1</v>
      </c>
      <c r="F16104">
        <v>419</v>
      </c>
    </row>
    <row r="16105" spans="1:6" ht="12.75">
      <c r="A16105" s="2">
        <v>43877.926006944443</v>
      </c>
      <c r="B16105" t="str">
        <f>HYPERLINK("https://twitter.com/ValPillai","@ValPillai")</f>
        <v>@ValPillai</v>
      </c>
      <c r="C16105" t="s">
        <v>8156</v>
      </c>
      <c r="D16105">
        <v>2</v>
      </c>
      <c r="E16105">
        <v>0</v>
      </c>
      <c r="F16105">
        <v>1019</v>
      </c>
    </row>
    <row r="16106" spans="1:6" ht="12.75">
      <c r="A16106" s="2">
        <v>43877.925937499997</v>
      </c>
      <c r="B16106" t="str">
        <f>HYPERLINK("https://twitter.com/Vendra_Deje","@Vendra_Deje")</f>
        <v>@Vendra_Deje</v>
      </c>
      <c r="C16106" t="s">
        <v>8173</v>
      </c>
      <c r="D16106">
        <v>1</v>
      </c>
      <c r="E16106">
        <v>2</v>
      </c>
      <c r="F16106">
        <v>3132</v>
      </c>
    </row>
    <row r="16107" spans="1:6" ht="12.75">
      <c r="A16107" s="2">
        <v>43877.92569444445</v>
      </c>
      <c r="B16107" t="str">
        <f>HYPERLINK("https://twitter.com/anak_anakafir","@anak_anakafir")</f>
        <v>@anak_anakafir</v>
      </c>
      <c r="C16107" t="s">
        <v>8174</v>
      </c>
      <c r="D16107">
        <v>1</v>
      </c>
      <c r="E16107">
        <v>0</v>
      </c>
      <c r="F16107">
        <v>4120</v>
      </c>
    </row>
    <row r="16108" spans="1:6" ht="12.75">
      <c r="A16108" s="2">
        <v>43877.925347222219</v>
      </c>
      <c r="B16108" t="str">
        <f>HYPERLINK("https://twitter.com/Penangkalnegat1","@Penangkalnegat1")</f>
        <v>@Penangkalnegat1</v>
      </c>
      <c r="C16108" t="s">
        <v>8175</v>
      </c>
      <c r="D16108">
        <v>1</v>
      </c>
      <c r="E16108">
        <v>2</v>
      </c>
      <c r="F16108">
        <v>338</v>
      </c>
    </row>
    <row r="16109" spans="1:6" ht="12.75">
      <c r="A16109" s="2">
        <v>43877.925254629634</v>
      </c>
      <c r="B16109" t="str">
        <f>HYPERLINK("https://twitter.com/jodi_wirawan","@jodi_wirawan")</f>
        <v>@jodi_wirawan</v>
      </c>
      <c r="C16109" t="s">
        <v>8176</v>
      </c>
      <c r="D16109">
        <v>2</v>
      </c>
      <c r="E16109">
        <v>0</v>
      </c>
      <c r="F16109">
        <v>150</v>
      </c>
    </row>
    <row r="16110" spans="1:6" ht="12.75">
      <c r="A16110" s="2">
        <v>43877.925046296295</v>
      </c>
      <c r="B16110" t="str">
        <f>HYPERLINK("https://twitter.com/klikrmoltv","@klikrmoltv")</f>
        <v>@klikrmoltv</v>
      </c>
      <c r="C16110" t="s">
        <v>8177</v>
      </c>
      <c r="D16110">
        <v>0</v>
      </c>
      <c r="E16110">
        <v>0</v>
      </c>
      <c r="F16110">
        <v>204</v>
      </c>
    </row>
    <row r="16111" spans="1:6" ht="12.75">
      <c r="A16111" s="2">
        <v>43877.925034722226</v>
      </c>
      <c r="B16111" t="str">
        <f>HYPERLINK("https://twitter.com/jonedimanalu","@jonedimanalu")</f>
        <v>@jonedimanalu</v>
      </c>
      <c r="C16111" t="s">
        <v>8178</v>
      </c>
      <c r="D16111">
        <v>2</v>
      </c>
      <c r="E16111">
        <v>1</v>
      </c>
      <c r="F16111">
        <v>387</v>
      </c>
    </row>
    <row r="16112" spans="1:6" ht="12.75">
      <c r="A16112" s="2">
        <v>43877.924664351856</v>
      </c>
      <c r="B16112" t="str">
        <f>HYPERLINK("https://twitter.com/RjsAmerica","@RjsAmerica")</f>
        <v>@RjsAmerica</v>
      </c>
      <c r="C16112" t="s">
        <v>3150</v>
      </c>
      <c r="D16112">
        <v>357</v>
      </c>
      <c r="E16112">
        <v>0</v>
      </c>
      <c r="F16112">
        <v>3021</v>
      </c>
    </row>
    <row r="16113" spans="1:6" ht="12.75">
      <c r="A16113" s="2">
        <v>43877.924537037034</v>
      </c>
      <c r="B16113" t="str">
        <f>HYPERLINK("https://twitter.com/EricssenWen","@EricssenWen")</f>
        <v>@EricssenWen</v>
      </c>
      <c r="C16113" t="s">
        <v>8179</v>
      </c>
      <c r="D16113">
        <v>1</v>
      </c>
      <c r="E16113">
        <v>2</v>
      </c>
      <c r="F16113">
        <v>1907</v>
      </c>
    </row>
    <row r="16114" spans="1:6" ht="12.75">
      <c r="A16114" s="2">
        <v>43877.924421296295</v>
      </c>
      <c r="B16114" t="str">
        <f>HYPERLINK("https://twitter.com/PPxid","@PPxid")</f>
        <v>@PPxid</v>
      </c>
      <c r="C16114" t="s">
        <v>6989</v>
      </c>
      <c r="D16114">
        <v>157</v>
      </c>
      <c r="E16114">
        <v>0</v>
      </c>
      <c r="F16114">
        <v>126</v>
      </c>
    </row>
    <row r="16115" spans="1:6" ht="12.75">
      <c r="A16115" s="2">
        <v>43877.924224537041</v>
      </c>
      <c r="B16115" t="str">
        <f>HYPERLINK("https://twitter.com/suarasiber","@suarasiber")</f>
        <v>@suarasiber</v>
      </c>
      <c r="C16115" t="s">
        <v>8180</v>
      </c>
      <c r="D16115">
        <v>0</v>
      </c>
      <c r="E16115">
        <v>0</v>
      </c>
      <c r="F16115">
        <v>88</v>
      </c>
    </row>
    <row r="16116" spans="1:6" ht="12.75">
      <c r="A16116" s="2">
        <v>43877.918217592596</v>
      </c>
      <c r="B16116" t="str">
        <f>HYPERLINK("https://twitter.com/Ijtihadi27","@Ijtihadi27")</f>
        <v>@Ijtihadi27</v>
      </c>
      <c r="C16116" t="s">
        <v>7734</v>
      </c>
      <c r="D16116">
        <v>32</v>
      </c>
      <c r="E16116">
        <v>0</v>
      </c>
      <c r="F16116">
        <v>442</v>
      </c>
    </row>
    <row r="16117" spans="1:6" ht="12.75">
      <c r="A16117" s="2">
        <v>43877.917893518519</v>
      </c>
      <c r="B16117" t="str">
        <f>HYPERLINK("https://twitter.com/TeyengCekap","@TeyengCekap")</f>
        <v>@TeyengCekap</v>
      </c>
      <c r="C16117" t="s">
        <v>6989</v>
      </c>
      <c r="D16117">
        <v>143</v>
      </c>
      <c r="E16117">
        <v>0</v>
      </c>
      <c r="F16117">
        <v>4811</v>
      </c>
    </row>
    <row r="16118" spans="1:6" ht="12.75">
      <c r="A16118" s="2">
        <v>43877.91783564815</v>
      </c>
      <c r="B16118" t="str">
        <f>HYPERLINK("https://twitter.com/okezonenews","@okezonenews")</f>
        <v>@okezonenews</v>
      </c>
      <c r="C16118" t="s">
        <v>8181</v>
      </c>
      <c r="D16118">
        <v>0</v>
      </c>
      <c r="E16118">
        <v>0</v>
      </c>
      <c r="F16118">
        <v>1743944</v>
      </c>
    </row>
    <row r="16119" spans="1:6" ht="12.75">
      <c r="A16119" s="2">
        <v>43877.917164351849</v>
      </c>
      <c r="B16119" t="str">
        <f>HYPERLINK("https://twitter.com/didi_idid","@didi_idid")</f>
        <v>@didi_idid</v>
      </c>
      <c r="C16119" t="s">
        <v>8182</v>
      </c>
      <c r="D16119">
        <v>1</v>
      </c>
      <c r="E16119">
        <v>0</v>
      </c>
      <c r="F16119">
        <v>547</v>
      </c>
    </row>
    <row r="16120" spans="1:6" ht="12.75">
      <c r="A16120" s="2">
        <v>43877.91710648148</v>
      </c>
      <c r="B16120" t="str">
        <f>HYPERLINK("https://twitter.com/endeeste","@endeeste")</f>
        <v>@endeeste</v>
      </c>
      <c r="C16120" t="s">
        <v>8183</v>
      </c>
      <c r="D16120">
        <v>1</v>
      </c>
      <c r="E16120">
        <v>0</v>
      </c>
      <c r="F16120">
        <v>226</v>
      </c>
    </row>
    <row r="16121" spans="1:6" ht="12.75">
      <c r="A16121" s="2">
        <v>43877.917025462964</v>
      </c>
      <c r="B16121" t="str">
        <f>HYPERLINK("https://twitter.com/sanataniameric1","@sanataniameric1")</f>
        <v>@sanataniameric1</v>
      </c>
      <c r="C16121" t="s">
        <v>2127</v>
      </c>
      <c r="D16121">
        <v>0</v>
      </c>
      <c r="E16121">
        <v>0</v>
      </c>
      <c r="F16121">
        <v>961</v>
      </c>
    </row>
    <row r="16122" spans="1:6" ht="12.75">
      <c r="A16122" s="2">
        <v>43877.916932870372</v>
      </c>
      <c r="B16122" t="str">
        <f>HYPERLINK("https://twitter.com/KEZIAAM0UR","@KEZIAAM0UR")</f>
        <v>@KEZIAAM0UR</v>
      </c>
      <c r="C16122" t="s">
        <v>8184</v>
      </c>
      <c r="D16122">
        <v>0</v>
      </c>
      <c r="E16122">
        <v>0</v>
      </c>
      <c r="F16122">
        <v>100</v>
      </c>
    </row>
    <row r="16123" spans="1:6" ht="12.75">
      <c r="A16123" s="2">
        <v>43877.916041666671</v>
      </c>
      <c r="B16123" t="str">
        <f>HYPERLINK("https://twitter.com/dutamedan","@dutamedan")</f>
        <v>@dutamedan</v>
      </c>
      <c r="C16123" t="s">
        <v>8185</v>
      </c>
      <c r="D16123">
        <v>0</v>
      </c>
      <c r="E16123">
        <v>0</v>
      </c>
      <c r="F16123">
        <v>973</v>
      </c>
    </row>
    <row r="16124" spans="1:6" ht="12.75">
      <c r="A16124" s="2">
        <v>43877.915844907402</v>
      </c>
      <c r="B16124" t="str">
        <f>HYPERLINK("https://twitter.com/Didiariyanto5","@Didiariyanto5")</f>
        <v>@Didiariyanto5</v>
      </c>
      <c r="C16124" t="s">
        <v>8186</v>
      </c>
      <c r="D16124">
        <v>0</v>
      </c>
      <c r="E16124">
        <v>0</v>
      </c>
      <c r="F16124">
        <v>1</v>
      </c>
    </row>
    <row r="16125" spans="1:6" ht="12.75">
      <c r="A16125" s="2">
        <v>43877.915173611109</v>
      </c>
      <c r="B16125" t="str">
        <f>HYPERLINK("https://twitter.com/PrabuAngkara","@PrabuAngkara")</f>
        <v>@PrabuAngkara</v>
      </c>
      <c r="C16125" t="s">
        <v>7468</v>
      </c>
      <c r="D16125">
        <v>1</v>
      </c>
      <c r="E16125">
        <v>0</v>
      </c>
      <c r="F16125">
        <v>1042</v>
      </c>
    </row>
    <row r="16126" spans="1:6" ht="12.75">
      <c r="A16126" s="2">
        <v>43877.914618055554</v>
      </c>
      <c r="B16126" t="str">
        <f>HYPERLINK("https://twitter.com/RajeSiddarth","@RajeSiddarth")</f>
        <v>@RajeSiddarth</v>
      </c>
      <c r="C16126" t="s">
        <v>8187</v>
      </c>
      <c r="D16126">
        <v>0</v>
      </c>
      <c r="E16126">
        <v>0</v>
      </c>
      <c r="F16126">
        <v>138</v>
      </c>
    </row>
    <row r="16127" spans="1:6" ht="12.75">
      <c r="A16127" s="2">
        <v>43877.914467592593</v>
      </c>
      <c r="B16127" t="str">
        <f>HYPERLINK("https://twitter.com/kak_wew","@kak_wew")</f>
        <v>@kak_wew</v>
      </c>
      <c r="C16127" t="s">
        <v>8188</v>
      </c>
      <c r="D16127">
        <v>0</v>
      </c>
      <c r="E16127">
        <v>0</v>
      </c>
      <c r="F16127">
        <v>250</v>
      </c>
    </row>
    <row r="16128" spans="1:6" ht="12.75">
      <c r="A16128" s="2">
        <v>43877.914259259254</v>
      </c>
      <c r="B16128" t="str">
        <f>HYPERLINK("https://twitter.com/stephanusn","@stephanusn")</f>
        <v>@stephanusn</v>
      </c>
      <c r="C16128" t="s">
        <v>8189</v>
      </c>
      <c r="D16128">
        <v>2</v>
      </c>
      <c r="E16128">
        <v>0</v>
      </c>
      <c r="F16128">
        <v>243</v>
      </c>
    </row>
    <row r="16129" spans="1:6" ht="12.75">
      <c r="A16129" s="2">
        <v>43877.914143518516</v>
      </c>
      <c r="B16129" t="str">
        <f>HYPERLINK("https://twitter.com/MaknyaC","@MaknyaC")</f>
        <v>@MaknyaC</v>
      </c>
      <c r="C16129" t="s">
        <v>4926</v>
      </c>
      <c r="D16129">
        <v>197</v>
      </c>
      <c r="E16129">
        <v>0</v>
      </c>
      <c r="F16129">
        <v>268</v>
      </c>
    </row>
    <row r="16130" spans="1:6" ht="12.75">
      <c r="A16130" s="2">
        <v>43877.914039351846</v>
      </c>
      <c r="B16130" t="str">
        <f>HYPERLINK("https://twitter.com/Satrio1969","@Satrio1969")</f>
        <v>@Satrio1969</v>
      </c>
      <c r="C16130" t="s">
        <v>8190</v>
      </c>
      <c r="D16130">
        <v>0</v>
      </c>
      <c r="E16130">
        <v>0</v>
      </c>
      <c r="F16130">
        <v>624</v>
      </c>
    </row>
    <row r="16131" spans="1:6" ht="12.75">
      <c r="A16131" s="2">
        <v>43877.913599537038</v>
      </c>
      <c r="B16131" t="str">
        <f>HYPERLINK("https://twitter.com/sethrash666","@sethrash666")</f>
        <v>@sethrash666</v>
      </c>
      <c r="C16131" t="s">
        <v>8191</v>
      </c>
      <c r="D16131">
        <v>0</v>
      </c>
      <c r="E16131">
        <v>0</v>
      </c>
      <c r="F16131">
        <v>5825</v>
      </c>
    </row>
    <row r="16132" spans="1:6" ht="12.75">
      <c r="A16132" s="2">
        <v>43877.913356481484</v>
      </c>
      <c r="B16132" t="str">
        <f>HYPERLINK("https://twitter.com/Shari17444251","@Shari17444251")</f>
        <v>@Shari17444251</v>
      </c>
      <c r="C16132" t="s">
        <v>8192</v>
      </c>
      <c r="D16132">
        <v>0</v>
      </c>
      <c r="E16132">
        <v>0</v>
      </c>
      <c r="F16132">
        <v>30</v>
      </c>
    </row>
    <row r="16133" spans="1:6" ht="12.75">
      <c r="A16133" s="2">
        <v>43877.913078703699</v>
      </c>
      <c r="B16133" t="str">
        <f>HYPERLINK("https://twitter.com/RsRs26767107","@RsRs26767107")</f>
        <v>@RsRs26767107</v>
      </c>
      <c r="C16133" t="s">
        <v>7864</v>
      </c>
      <c r="D16133">
        <v>1</v>
      </c>
      <c r="E16133">
        <v>0</v>
      </c>
      <c r="F16133">
        <v>24</v>
      </c>
    </row>
    <row r="16134" spans="1:6" ht="12.75">
      <c r="A16134" s="2">
        <v>43877.912777777776</v>
      </c>
      <c r="B16134" t="str">
        <f>HYPERLINK("https://twitter.com/TukangMu","@TukangMu")</f>
        <v>@TukangMu</v>
      </c>
      <c r="C16134" t="s">
        <v>8193</v>
      </c>
      <c r="D16134">
        <v>2</v>
      </c>
      <c r="E16134">
        <v>0</v>
      </c>
      <c r="F16134">
        <v>1011</v>
      </c>
    </row>
    <row r="16135" spans="1:6" ht="12.75">
      <c r="A16135" s="2">
        <v>43877.912719907406</v>
      </c>
      <c r="B16135" t="str">
        <f>HYPERLINK("https://twitter.com/kak_wew","@kak_wew")</f>
        <v>@kak_wew</v>
      </c>
      <c r="C16135" t="s">
        <v>8194</v>
      </c>
      <c r="D16135">
        <v>1</v>
      </c>
      <c r="E16135">
        <v>0</v>
      </c>
      <c r="F16135">
        <v>250</v>
      </c>
    </row>
    <row r="16136" spans="1:6" ht="12.75">
      <c r="A16136" s="2">
        <v>43877.912662037037</v>
      </c>
      <c r="B16136" t="str">
        <f>HYPERLINK("https://twitter.com/MustaanAli4","@MustaanAli4")</f>
        <v>@MustaanAli4</v>
      </c>
      <c r="C16136" t="s">
        <v>8195</v>
      </c>
      <c r="D16136">
        <v>0</v>
      </c>
      <c r="E16136">
        <v>0</v>
      </c>
      <c r="F16136">
        <v>2561</v>
      </c>
    </row>
    <row r="16137" spans="1:6" ht="12.75">
      <c r="A16137" s="2">
        <v>43877.912418981483</v>
      </c>
      <c r="B16137" t="str">
        <f>HYPERLINK("https://twitter.com/MartafaniA","@MartafaniA")</f>
        <v>@MartafaniA</v>
      </c>
      <c r="C16137" t="s">
        <v>2444</v>
      </c>
      <c r="D16137">
        <v>4558</v>
      </c>
      <c r="E16137">
        <v>0</v>
      </c>
      <c r="F16137">
        <v>533</v>
      </c>
    </row>
    <row r="16138" spans="1:6" ht="12.75">
      <c r="A16138" s="2">
        <v>43877.911932870367</v>
      </c>
      <c r="B16138" t="str">
        <f>HYPERLINK("https://twitter.com/Dani86113065","@Dani86113065")</f>
        <v>@Dani86113065</v>
      </c>
      <c r="C16138" t="s">
        <v>8196</v>
      </c>
      <c r="D16138">
        <v>0</v>
      </c>
      <c r="E16138">
        <v>0</v>
      </c>
      <c r="F16138">
        <v>446</v>
      </c>
    </row>
    <row r="16139" spans="1:6" ht="12.75">
      <c r="A16139" s="2">
        <v>43877.911793981482</v>
      </c>
      <c r="B16139" t="str">
        <f>HYPERLINK("https://twitter.com/philocalict","@philocalict")</f>
        <v>@philocalict</v>
      </c>
      <c r="C16139" t="s">
        <v>7905</v>
      </c>
      <c r="D16139">
        <v>95</v>
      </c>
      <c r="E16139">
        <v>0</v>
      </c>
      <c r="F16139">
        <v>1363</v>
      </c>
    </row>
    <row r="16140" spans="1:6" ht="12.75">
      <c r="A16140" s="2">
        <v>43877.911296296297</v>
      </c>
      <c r="B16140" t="str">
        <f>HYPERLINK("https://twitter.com/bluesea_calm","@bluesea_calm")</f>
        <v>@bluesea_calm</v>
      </c>
      <c r="C16140" t="s">
        <v>8197</v>
      </c>
      <c r="D16140">
        <v>2</v>
      </c>
      <c r="E16140">
        <v>0</v>
      </c>
      <c r="F16140">
        <v>124</v>
      </c>
    </row>
    <row r="16141" spans="1:6" ht="12.75">
      <c r="A16141" s="2">
        <v>43877.911226851851</v>
      </c>
      <c r="B16141" t="str">
        <f>HYPERLINK("https://twitter.com/pogotrain","@pogotrain")</f>
        <v>@pogotrain</v>
      </c>
      <c r="C16141" t="s">
        <v>8198</v>
      </c>
      <c r="D16141">
        <v>0</v>
      </c>
      <c r="E16141">
        <v>0</v>
      </c>
      <c r="F16141">
        <v>16</v>
      </c>
    </row>
    <row r="16142" spans="1:6" ht="12.75">
      <c r="A16142" s="2">
        <v>43877.91106481482</v>
      </c>
      <c r="B16142" t="str">
        <f>HYPERLINK("https://twitter.com/Cebongmilitan1","@Cebongmilitan1")</f>
        <v>@Cebongmilitan1</v>
      </c>
      <c r="C16142" t="s">
        <v>8199</v>
      </c>
      <c r="D16142">
        <v>0</v>
      </c>
      <c r="E16142">
        <v>0</v>
      </c>
      <c r="F16142">
        <v>402</v>
      </c>
    </row>
    <row r="16143" spans="1:6" ht="12.75">
      <c r="A16143" s="2">
        <v>43877.910497685181</v>
      </c>
      <c r="B16143" t="str">
        <f>HYPERLINK("https://twitter.com/BadrunJamrud","@BadrunJamrud")</f>
        <v>@BadrunJamrud</v>
      </c>
      <c r="C16143" t="s">
        <v>8200</v>
      </c>
      <c r="D16143">
        <v>6</v>
      </c>
      <c r="E16143">
        <v>0</v>
      </c>
      <c r="F16143">
        <v>26</v>
      </c>
    </row>
    <row r="16144" spans="1:6" ht="12.75">
      <c r="A16144" s="2">
        <v>43877.910266203704</v>
      </c>
      <c r="B16144" t="str">
        <f>HYPERLINK("https://twitter.com/Lily_Raimun","@Lily_Raimun")</f>
        <v>@Lily_Raimun</v>
      </c>
      <c r="C16144" t="s">
        <v>6989</v>
      </c>
      <c r="D16144">
        <v>143</v>
      </c>
      <c r="E16144">
        <v>0</v>
      </c>
      <c r="F16144">
        <v>1142</v>
      </c>
    </row>
    <row r="16145" spans="1:6" ht="12.75">
      <c r="A16145" s="2">
        <v>43877.910138888888</v>
      </c>
      <c r="B16145" t="str">
        <f>HYPERLINK("https://twitter.com/FerryIrwanto4","@FerryIrwanto4")</f>
        <v>@FerryIrwanto4</v>
      </c>
      <c r="C16145" t="s">
        <v>8201</v>
      </c>
      <c r="D16145">
        <v>0</v>
      </c>
      <c r="E16145">
        <v>0</v>
      </c>
      <c r="F16145">
        <v>93</v>
      </c>
    </row>
    <row r="16146" spans="1:6" ht="12.75">
      <c r="A16146" s="2">
        <v>43877.910127314812</v>
      </c>
      <c r="B16146" t="str">
        <f>HYPERLINK("https://twitter.com/marpaung913","@marpaung913")</f>
        <v>@marpaung913</v>
      </c>
      <c r="C16146" t="s">
        <v>8202</v>
      </c>
      <c r="D16146">
        <v>0</v>
      </c>
      <c r="E16146">
        <v>0</v>
      </c>
      <c r="F16146">
        <v>525</v>
      </c>
    </row>
    <row r="16147" spans="1:6" ht="12.75">
      <c r="A16147" s="2">
        <v>43877.91</v>
      </c>
      <c r="B16147" t="str">
        <f>HYPERLINK("https://twitter.com/budi_ghozali","@budi_ghozali")</f>
        <v>@budi_ghozali</v>
      </c>
      <c r="C16147" t="s">
        <v>8203</v>
      </c>
      <c r="D16147">
        <v>192</v>
      </c>
      <c r="E16147">
        <v>0</v>
      </c>
      <c r="F16147">
        <v>610</v>
      </c>
    </row>
    <row r="16148" spans="1:6" ht="12.75">
      <c r="A16148" s="2">
        <v>43877.909768518519</v>
      </c>
      <c r="B16148" t="str">
        <f>HYPERLINK("https://twitter.com/Leel310","@Leel310")</f>
        <v>@Leel310</v>
      </c>
      <c r="C16148" t="s">
        <v>8204</v>
      </c>
      <c r="D16148">
        <v>0</v>
      </c>
      <c r="E16148">
        <v>0</v>
      </c>
      <c r="F16148">
        <v>1</v>
      </c>
    </row>
    <row r="16149" spans="1:6" ht="12.75">
      <c r="A16149" s="2">
        <v>43877.909259259264</v>
      </c>
      <c r="B16149" t="str">
        <f>HYPERLINK("https://twitter.com/SoemadiRito","@SoemadiRito")</f>
        <v>@SoemadiRito</v>
      </c>
      <c r="C16149" t="s">
        <v>8205</v>
      </c>
      <c r="D16149">
        <v>0</v>
      </c>
      <c r="E16149">
        <v>0</v>
      </c>
      <c r="F16149">
        <v>109</v>
      </c>
    </row>
    <row r="16150" spans="1:6" ht="12.75">
      <c r="A16150" s="2">
        <v>43877.90892361111</v>
      </c>
      <c r="B16150" t="str">
        <f>HYPERLINK("https://twitter.com/sitimustiani","@sitimustiani")</f>
        <v>@sitimustiani</v>
      </c>
      <c r="C16150" t="s">
        <v>2444</v>
      </c>
      <c r="D16150">
        <v>4558</v>
      </c>
      <c r="E16150">
        <v>0</v>
      </c>
      <c r="F16150">
        <v>1277</v>
      </c>
    </row>
    <row r="16151" spans="1:6" ht="12.75">
      <c r="A16151" s="2">
        <v>43877.908333333333</v>
      </c>
      <c r="B16151" t="str">
        <f>HYPERLINK("https://twitter.com/Cahkuwut","@Cahkuwut")</f>
        <v>@Cahkuwut</v>
      </c>
      <c r="C16151" t="s">
        <v>7298</v>
      </c>
      <c r="D16151">
        <v>53</v>
      </c>
      <c r="E16151">
        <v>0</v>
      </c>
      <c r="F16151">
        <v>642</v>
      </c>
    </row>
    <row r="16152" spans="1:6" ht="12.75">
      <c r="A16152" s="2">
        <v>43877.908159722225</v>
      </c>
      <c r="B16152" t="str">
        <f>HYPERLINK("https://twitter.com/ScottGuest7","@ScottGuest7")</f>
        <v>@ScottGuest7</v>
      </c>
      <c r="C16152" t="s">
        <v>3150</v>
      </c>
      <c r="D16152">
        <v>349</v>
      </c>
      <c r="E16152">
        <v>0</v>
      </c>
      <c r="F16152">
        <v>833</v>
      </c>
    </row>
    <row r="16153" spans="1:6" ht="12.75">
      <c r="A16153" s="2">
        <v>43877.907835648148</v>
      </c>
      <c r="B16153" t="str">
        <f>HYPERLINK("https://twitter.com/KrisnaWuyung","@KrisnaWuyung")</f>
        <v>@KrisnaWuyung</v>
      </c>
      <c r="C16153" t="s">
        <v>8206</v>
      </c>
      <c r="D16153">
        <v>0</v>
      </c>
      <c r="E16153">
        <v>0</v>
      </c>
      <c r="F16153">
        <v>418</v>
      </c>
    </row>
    <row r="16154" spans="1:6" ht="12.75">
      <c r="A16154" s="2">
        <v>43877.907673611116</v>
      </c>
      <c r="B16154" t="str">
        <f>HYPERLINK("https://twitter.com/vanillanye","@vanillanye")</f>
        <v>@vanillanye</v>
      </c>
      <c r="C16154" t="s">
        <v>8207</v>
      </c>
      <c r="D16154">
        <v>0</v>
      </c>
      <c r="E16154">
        <v>0</v>
      </c>
      <c r="F16154">
        <v>433</v>
      </c>
    </row>
    <row r="16155" spans="1:6" ht="12.75">
      <c r="A16155" s="2">
        <v>43877.907569444447</v>
      </c>
      <c r="B16155" t="str">
        <f>HYPERLINK("https://twitter.com/sulistia4999","@sulistia4999")</f>
        <v>@sulistia4999</v>
      </c>
      <c r="C16155" t="s">
        <v>8208</v>
      </c>
      <c r="D16155">
        <v>900</v>
      </c>
      <c r="E16155">
        <v>0</v>
      </c>
      <c r="F16155">
        <v>1445</v>
      </c>
    </row>
    <row r="16156" spans="1:6" ht="12.75">
      <c r="A16156" s="2">
        <v>43877.907453703709</v>
      </c>
      <c r="B16156" t="str">
        <f>HYPERLINK("https://twitter.com/JohnIrwan4","@JohnIrwan4")</f>
        <v>@JohnIrwan4</v>
      </c>
      <c r="C16156" t="s">
        <v>8193</v>
      </c>
      <c r="D16156">
        <v>2</v>
      </c>
      <c r="E16156">
        <v>0</v>
      </c>
      <c r="F16156">
        <v>2215</v>
      </c>
    </row>
    <row r="16157" spans="1:6" ht="12.75">
      <c r="A16157" s="2">
        <v>43877.907361111109</v>
      </c>
      <c r="B16157" t="str">
        <f>HYPERLINK("https://twitter.com/chuentoi","@chuentoi")</f>
        <v>@chuentoi</v>
      </c>
      <c r="C16157" t="s">
        <v>8209</v>
      </c>
      <c r="D16157">
        <v>0</v>
      </c>
      <c r="E16157">
        <v>0</v>
      </c>
      <c r="F16157">
        <v>2</v>
      </c>
    </row>
    <row r="16158" spans="1:6" ht="12.75">
      <c r="A16158" s="2">
        <v>43877.907314814816</v>
      </c>
      <c r="B16158" t="str">
        <f>HYPERLINK("https://twitter.com/maximvs09","@maximvs09")</f>
        <v>@maximvs09</v>
      </c>
      <c r="C16158" t="s">
        <v>8210</v>
      </c>
      <c r="D16158">
        <v>0</v>
      </c>
      <c r="E16158">
        <v>0</v>
      </c>
      <c r="F16158">
        <v>1933</v>
      </c>
    </row>
    <row r="16159" spans="1:6" ht="12.75">
      <c r="A16159" s="2">
        <v>43877.907129629632</v>
      </c>
      <c r="B16159" t="str">
        <f>HYPERLINK("https://twitter.com/C_AbinJKT48","@C_AbinJKT48")</f>
        <v>@C_AbinJKT48</v>
      </c>
      <c r="C16159" t="s">
        <v>4321</v>
      </c>
      <c r="D16159">
        <v>14</v>
      </c>
      <c r="E16159">
        <v>0</v>
      </c>
      <c r="F16159">
        <v>4</v>
      </c>
    </row>
    <row r="16160" spans="1:6" ht="12.75">
      <c r="A16160" s="2">
        <v>43877.907106481478</v>
      </c>
      <c r="B16160" t="str">
        <f>HYPERLINK("https://twitter.com/siBudakAngon","@siBudakAngon")</f>
        <v>@siBudakAngon</v>
      </c>
      <c r="C16160" t="s">
        <v>8189</v>
      </c>
      <c r="D16160">
        <v>2</v>
      </c>
      <c r="E16160">
        <v>0</v>
      </c>
      <c r="F16160">
        <v>179</v>
      </c>
    </row>
    <row r="16161" spans="1:6" ht="12.75">
      <c r="A16161" s="2">
        <v>43877.906585648147</v>
      </c>
      <c r="B16161" t="str">
        <f>HYPERLINK("https://twitter.com/dew_nanana","@dew_nanana")</f>
        <v>@dew_nanana</v>
      </c>
      <c r="C16161" t="s">
        <v>8211</v>
      </c>
      <c r="D16161">
        <v>1</v>
      </c>
      <c r="E16161">
        <v>1</v>
      </c>
      <c r="F16161">
        <v>804</v>
      </c>
    </row>
    <row r="16162" spans="1:6" ht="12.75">
      <c r="A16162" s="2">
        <v>43877.906481481477</v>
      </c>
      <c r="B16162" t="str">
        <f>HYPERLINK("https://twitter.com/Marrvelloo","@Marrvelloo")</f>
        <v>@Marrvelloo</v>
      </c>
      <c r="C16162" t="s">
        <v>8212</v>
      </c>
      <c r="D16162">
        <v>0</v>
      </c>
      <c r="E16162">
        <v>0</v>
      </c>
      <c r="F16162">
        <v>3</v>
      </c>
    </row>
    <row r="16163" spans="1:6" ht="12.75">
      <c r="A16163" s="2">
        <v>43877.906331018516</v>
      </c>
      <c r="B16163" t="str">
        <f>HYPERLINK("https://twitter.com/puspaswarna","@puspaswarna")</f>
        <v>@puspaswarna</v>
      </c>
      <c r="C16163" t="s">
        <v>8213</v>
      </c>
      <c r="D16163">
        <v>0</v>
      </c>
      <c r="E16163">
        <v>0</v>
      </c>
      <c r="F16163">
        <v>122</v>
      </c>
    </row>
    <row r="16164" spans="1:6" ht="12.75">
      <c r="A16164" s="2">
        <v>43877.906273148154</v>
      </c>
      <c r="B16164" t="str">
        <f>HYPERLINK("https://twitter.com/suaradotcom","@suaradotcom")</f>
        <v>@suaradotcom</v>
      </c>
      <c r="C16164" t="s">
        <v>8214</v>
      </c>
      <c r="D16164">
        <v>0</v>
      </c>
      <c r="E16164">
        <v>0</v>
      </c>
      <c r="F16164">
        <v>24156</v>
      </c>
    </row>
    <row r="16165" spans="1:6" ht="12.75">
      <c r="A16165" s="2">
        <v>43877.905173611114</v>
      </c>
      <c r="B16165" t="str">
        <f>HYPERLINK("https://twitter.com/pdipbandingan","@pdipbandingan")</f>
        <v>@pdipbandingan</v>
      </c>
      <c r="C16165" t="s">
        <v>8215</v>
      </c>
      <c r="D16165">
        <v>0</v>
      </c>
      <c r="E16165">
        <v>0</v>
      </c>
      <c r="F16165">
        <v>1483</v>
      </c>
    </row>
    <row r="16166" spans="1:6" ht="12.75">
      <c r="A16166" s="2">
        <v>43877.905162037037</v>
      </c>
      <c r="B16166" t="str">
        <f>HYPERLINK("https://twitter.com/JKadrun","@JKadrun")</f>
        <v>@JKadrun</v>
      </c>
      <c r="C16166" t="s">
        <v>8216</v>
      </c>
      <c r="D16166">
        <v>6</v>
      </c>
      <c r="E16166">
        <v>0</v>
      </c>
      <c r="F16166">
        <v>230</v>
      </c>
    </row>
    <row r="16167" spans="1:6" ht="12.75">
      <c r="A16167" s="2">
        <v>43877.905034722222</v>
      </c>
      <c r="B16167" t="str">
        <f>HYPERLINK("https://twitter.com/gunturwibowo77","@gunturwibowo77")</f>
        <v>@gunturwibowo77</v>
      </c>
      <c r="C16167" t="s">
        <v>6338</v>
      </c>
      <c r="D16167">
        <v>762</v>
      </c>
      <c r="E16167">
        <v>0</v>
      </c>
      <c r="F16167">
        <v>272</v>
      </c>
    </row>
    <row r="16168" spans="1:6" ht="12.75">
      <c r="A16168" s="2">
        <v>43877.903854166667</v>
      </c>
      <c r="B16168" t="str">
        <f>HYPERLINK("https://twitter.com/kompascom","@kompascom")</f>
        <v>@kompascom</v>
      </c>
      <c r="C16168" t="s">
        <v>8217</v>
      </c>
      <c r="D16168">
        <v>1</v>
      </c>
      <c r="E16168">
        <v>0</v>
      </c>
      <c r="F16168">
        <v>7500028</v>
      </c>
    </row>
    <row r="16169" spans="1:6" ht="12.75">
      <c r="A16169" s="2">
        <v>43877.90351851852</v>
      </c>
      <c r="B16169" t="str">
        <f>HYPERLINK("https://twitter.com/kompasiana","@kompasiana")</f>
        <v>@kompasiana</v>
      </c>
      <c r="C16169" t="s">
        <v>8218</v>
      </c>
      <c r="D16169">
        <v>1</v>
      </c>
      <c r="E16169">
        <v>0</v>
      </c>
      <c r="F16169">
        <v>928306</v>
      </c>
    </row>
    <row r="16170" spans="1:6" ht="12.75">
      <c r="A16170" s="2">
        <v>43877.902974537035</v>
      </c>
      <c r="B16170" t="str">
        <f>HYPERLINK("https://twitter.com/3rnyyy","@3rnyyy")</f>
        <v>@3rnyyy</v>
      </c>
      <c r="C16170" t="s">
        <v>6338</v>
      </c>
      <c r="D16170">
        <v>762</v>
      </c>
      <c r="E16170">
        <v>0</v>
      </c>
      <c r="F16170">
        <v>162</v>
      </c>
    </row>
    <row r="16171" spans="1:6" ht="12.75">
      <c r="A16171" s="2">
        <v>43877.902766203704</v>
      </c>
      <c r="B16171" t="str">
        <f>HYPERLINK("https://twitter.com/ibnujunior8","@ibnujunior8")</f>
        <v>@ibnujunior8</v>
      </c>
      <c r="C16171" t="s">
        <v>8219</v>
      </c>
      <c r="D16171">
        <v>4</v>
      </c>
      <c r="E16171">
        <v>0</v>
      </c>
      <c r="F16171">
        <v>88</v>
      </c>
    </row>
    <row r="16172" spans="1:6" ht="12.75">
      <c r="A16172" s="2">
        <v>43877.902060185181</v>
      </c>
      <c r="B16172" t="str">
        <f>HYPERLINK("https://twitter.com/absimor","@absimor")</f>
        <v>@absimor</v>
      </c>
      <c r="C16172" t="s">
        <v>8220</v>
      </c>
      <c r="D16172">
        <v>0</v>
      </c>
      <c r="E16172">
        <v>0</v>
      </c>
      <c r="F16172">
        <v>0</v>
      </c>
    </row>
    <row r="16173" spans="1:6" ht="12.75">
      <c r="A16173" s="2">
        <v>43877.901874999996</v>
      </c>
      <c r="B16173" t="str">
        <f>HYPERLINK("https://twitter.com/SlamatNKRI","@SlamatNKRI")</f>
        <v>@SlamatNKRI</v>
      </c>
      <c r="C16173" t="s">
        <v>8221</v>
      </c>
      <c r="D16173">
        <v>0</v>
      </c>
      <c r="E16173">
        <v>0</v>
      </c>
      <c r="F16173">
        <v>109</v>
      </c>
    </row>
    <row r="16174" spans="1:6" ht="12.75">
      <c r="A16174" s="2">
        <v>43877.901562500003</v>
      </c>
      <c r="B16174" t="str">
        <f>HYPERLINK("https://twitter.com/Butter_Flow","@Butter_Flow")</f>
        <v>@Butter_Flow</v>
      </c>
      <c r="C16174" t="s">
        <v>8222</v>
      </c>
      <c r="D16174">
        <v>0</v>
      </c>
      <c r="E16174">
        <v>0</v>
      </c>
      <c r="F16174">
        <v>671</v>
      </c>
    </row>
    <row r="16175" spans="1:6" ht="12.75">
      <c r="A16175" s="2">
        <v>43877.901342592595</v>
      </c>
      <c r="B16175" t="str">
        <f>HYPERLINK("https://twitter.com/ffikrinurull","@ffikrinurull")</f>
        <v>@ffikrinurull</v>
      </c>
      <c r="C16175" t="s">
        <v>8223</v>
      </c>
      <c r="D16175">
        <v>0</v>
      </c>
      <c r="E16175">
        <v>0</v>
      </c>
      <c r="F16175">
        <v>200</v>
      </c>
    </row>
    <row r="16176" spans="1:6" ht="12.75">
      <c r="A16176" s="2">
        <v>43877.901249999995</v>
      </c>
      <c r="B16176" t="str">
        <f>HYPERLINK("https://twitter.com/zaenalkase03","@zaenalkase03")</f>
        <v>@zaenalkase03</v>
      </c>
      <c r="C16176" t="s">
        <v>8224</v>
      </c>
      <c r="D16176">
        <v>2</v>
      </c>
      <c r="E16176">
        <v>3</v>
      </c>
      <c r="F16176">
        <v>2841</v>
      </c>
    </row>
    <row r="16177" spans="1:6" ht="12.75">
      <c r="A16177" s="2">
        <v>43877.900729166664</v>
      </c>
      <c r="B16177" t="str">
        <f>HYPERLINK("https://twitter.com/EkoSeputro13","@EkoSeputro13")</f>
        <v>@EkoSeputro13</v>
      </c>
      <c r="C16177" t="s">
        <v>8225</v>
      </c>
      <c r="D16177">
        <v>1</v>
      </c>
      <c r="E16177">
        <v>4</v>
      </c>
      <c r="F16177">
        <v>2144</v>
      </c>
    </row>
    <row r="16178" spans="1:6" ht="12.75">
      <c r="A16178" s="2">
        <v>43877.900497685187</v>
      </c>
      <c r="B16178" t="str">
        <f>HYPERLINK("https://twitter.com/SlamatNKRI","@SlamatNKRI")</f>
        <v>@SlamatNKRI</v>
      </c>
      <c r="C16178" t="s">
        <v>8226</v>
      </c>
      <c r="D16178">
        <v>1</v>
      </c>
      <c r="E16178">
        <v>0</v>
      </c>
      <c r="F16178">
        <v>109</v>
      </c>
    </row>
    <row r="16179" spans="1:6" ht="12.75">
      <c r="A16179" s="2">
        <v>43877.900185185186</v>
      </c>
      <c r="B16179" t="str">
        <f>HYPERLINK("https://twitter.com/thisiskareen","@thisiskareen")</f>
        <v>@thisiskareen</v>
      </c>
      <c r="C16179" t="s">
        <v>8227</v>
      </c>
      <c r="D16179">
        <v>0</v>
      </c>
      <c r="E16179">
        <v>0</v>
      </c>
      <c r="F16179">
        <v>891</v>
      </c>
    </row>
    <row r="16180" spans="1:6" ht="12.75">
      <c r="A16180" s="2">
        <v>43877.900150462963</v>
      </c>
      <c r="B16180" t="str">
        <f>HYPERLINK("https://twitter.com/darthcharles9","@darthcharles9")</f>
        <v>@darthcharles9</v>
      </c>
      <c r="C16180" t="s">
        <v>6963</v>
      </c>
      <c r="D16180">
        <v>12</v>
      </c>
      <c r="E16180">
        <v>0</v>
      </c>
      <c r="F16180">
        <v>276</v>
      </c>
    </row>
    <row r="16181" spans="1:6" ht="12.75">
      <c r="A16181" s="2">
        <v>43877.899583333332</v>
      </c>
      <c r="B16181" t="str">
        <f>HYPERLINK("https://twitter.com/emirfaiz_","@emirfaiz_")</f>
        <v>@emirfaiz_</v>
      </c>
      <c r="C16181" t="s">
        <v>8228</v>
      </c>
      <c r="D16181">
        <v>0</v>
      </c>
      <c r="E16181">
        <v>0</v>
      </c>
      <c r="F16181">
        <v>215</v>
      </c>
    </row>
    <row r="16182" spans="1:6" ht="12.75">
      <c r="A16182" s="2">
        <v>43877.899305555555</v>
      </c>
      <c r="B16182" t="str">
        <f>HYPERLINK("https://twitter.com/kendih_","@kendih_")</f>
        <v>@kendih_</v>
      </c>
      <c r="C16182" t="s">
        <v>6338</v>
      </c>
      <c r="D16182">
        <v>762</v>
      </c>
      <c r="E16182">
        <v>0</v>
      </c>
      <c r="F16182">
        <v>526</v>
      </c>
    </row>
    <row r="16183" spans="1:6" ht="12.75">
      <c r="A16183" s="2">
        <v>43877.898043981477</v>
      </c>
      <c r="B16183" t="str">
        <f>HYPERLINK("https://twitter.com/YCH7168","@YCH7168")</f>
        <v>@YCH7168</v>
      </c>
      <c r="C16183" t="s">
        <v>8229</v>
      </c>
      <c r="D16183">
        <v>1</v>
      </c>
      <c r="E16183">
        <v>0</v>
      </c>
      <c r="F16183">
        <v>7628</v>
      </c>
    </row>
    <row r="16184" spans="1:6" ht="12.75">
      <c r="A16184" s="2">
        <v>43877.897766203707</v>
      </c>
      <c r="B16184" t="str">
        <f>HYPERLINK("https://twitter.com/RizkyAlhameed","@RizkyAlhameed")</f>
        <v>@RizkyAlhameed</v>
      </c>
      <c r="C16184" t="s">
        <v>6338</v>
      </c>
      <c r="D16184">
        <v>762</v>
      </c>
      <c r="E16184">
        <v>0</v>
      </c>
      <c r="F16184">
        <v>296</v>
      </c>
    </row>
    <row r="16185" spans="1:6" ht="12.75">
      <c r="A16185" s="2">
        <v>43877.897615740745</v>
      </c>
      <c r="B16185" t="str">
        <f>HYPERLINK("https://twitter.com/BangIssan","@BangIssan")</f>
        <v>@BangIssan</v>
      </c>
      <c r="C16185" t="s">
        <v>2147</v>
      </c>
      <c r="D16185">
        <v>540</v>
      </c>
      <c r="E16185">
        <v>0</v>
      </c>
      <c r="F16185">
        <v>117</v>
      </c>
    </row>
    <row r="16186" spans="1:6" ht="12.75">
      <c r="A16186" s="2">
        <v>43877.897592592592</v>
      </c>
      <c r="B16186" t="str">
        <f>HYPERLINK("https://twitter.com/idpenamini","@idpenamini")</f>
        <v>@idpenamini</v>
      </c>
      <c r="C16186" t="s">
        <v>7855</v>
      </c>
      <c r="D16186">
        <v>0</v>
      </c>
      <c r="E16186">
        <v>0</v>
      </c>
      <c r="F16186">
        <v>169</v>
      </c>
    </row>
    <row r="16187" spans="1:6" ht="12.75">
      <c r="A16187" s="2">
        <v>43877.897534722222</v>
      </c>
      <c r="B16187" t="str">
        <f>HYPERLINK("https://twitter.com/imaniaghost","@imaniaghost")</f>
        <v>@imaniaghost</v>
      </c>
      <c r="C16187" t="s">
        <v>8230</v>
      </c>
      <c r="D16187">
        <v>0</v>
      </c>
      <c r="E16187">
        <v>0</v>
      </c>
      <c r="F16187">
        <v>494</v>
      </c>
    </row>
    <row r="16188" spans="1:6" ht="12.75">
      <c r="A16188" s="2">
        <v>43877.897164351853</v>
      </c>
      <c r="B16188" t="str">
        <f>HYPERLINK("https://twitter.com/keutwopark","@keutwopark")</f>
        <v>@keutwopark</v>
      </c>
      <c r="C16188" t="s">
        <v>8231</v>
      </c>
      <c r="D16188">
        <v>0</v>
      </c>
      <c r="E16188">
        <v>0</v>
      </c>
      <c r="F16188">
        <v>64</v>
      </c>
    </row>
    <row r="16189" spans="1:6" ht="12.75">
      <c r="A16189" s="2">
        <v>43877.896932870368</v>
      </c>
      <c r="B16189" t="str">
        <f>HYPERLINK("https://twitter.com/irvan_bach","@irvan_bach")</f>
        <v>@irvan_bach</v>
      </c>
      <c r="C16189" t="s">
        <v>513</v>
      </c>
      <c r="D16189">
        <v>23178</v>
      </c>
      <c r="E16189">
        <v>0</v>
      </c>
      <c r="F16189">
        <v>1</v>
      </c>
    </row>
    <row r="16190" spans="1:6" ht="12.75">
      <c r="A16190" s="2">
        <v>43877.896863425922</v>
      </c>
      <c r="B16190" t="str">
        <f>HYPERLINK("https://twitter.com/kiyudgirl","@kiyudgirl")</f>
        <v>@kiyudgirl</v>
      </c>
      <c r="C16190" t="s">
        <v>8232</v>
      </c>
      <c r="D16190">
        <v>0</v>
      </c>
      <c r="E16190">
        <v>0</v>
      </c>
      <c r="F16190">
        <v>1945</v>
      </c>
    </row>
    <row r="16191" spans="1:6" ht="12.75">
      <c r="A16191" s="2">
        <v>43877.896574074075</v>
      </c>
      <c r="B16191" t="str">
        <f>HYPERLINK("https://twitter.com/gusti__________","@gusti__________")</f>
        <v>@gusti__________</v>
      </c>
      <c r="C16191" t="s">
        <v>8233</v>
      </c>
      <c r="D16191">
        <v>538</v>
      </c>
      <c r="E16191">
        <v>0</v>
      </c>
      <c r="F16191">
        <v>1027</v>
      </c>
    </row>
    <row r="16192" spans="1:6" ht="12.75">
      <c r="A16192" s="2">
        <v>43877.89634259259</v>
      </c>
      <c r="B16192" t="str">
        <f>HYPERLINK("https://twitter.com/suka011","@suka011")</f>
        <v>@suka011</v>
      </c>
      <c r="C16192" t="s">
        <v>7298</v>
      </c>
      <c r="D16192">
        <v>53</v>
      </c>
      <c r="E16192">
        <v>0</v>
      </c>
      <c r="F16192">
        <v>1997</v>
      </c>
    </row>
    <row r="16193" spans="1:6" ht="12.75">
      <c r="A16193" s="2">
        <v>43877.895150462966</v>
      </c>
      <c r="B16193" t="str">
        <f>HYPERLINK("https://twitter.com/joeklysinaga16","@joeklysinaga16")</f>
        <v>@joeklysinaga16</v>
      </c>
      <c r="C16193" t="s">
        <v>8234</v>
      </c>
      <c r="D16193">
        <v>0</v>
      </c>
      <c r="E16193">
        <v>0</v>
      </c>
      <c r="F16193">
        <v>30</v>
      </c>
    </row>
    <row r="16194" spans="1:6" ht="12.75">
      <c r="A16194" s="2">
        <v>43877.894918981481</v>
      </c>
      <c r="B16194" t="str">
        <f>HYPERLINK("https://twitter.com/mrcviola","@mrcviola")</f>
        <v>@mrcviola</v>
      </c>
      <c r="C16194" t="s">
        <v>8235</v>
      </c>
      <c r="D16194">
        <v>3</v>
      </c>
      <c r="E16194">
        <v>0</v>
      </c>
      <c r="F16194">
        <v>713</v>
      </c>
    </row>
    <row r="16195" spans="1:6" ht="12.75">
      <c r="A16195" s="2">
        <v>43877.894606481481</v>
      </c>
      <c r="B16195" t="str">
        <f>HYPERLINK("https://twitter.com/mochmarsa_t","@mochmarsa_t")</f>
        <v>@mochmarsa_t</v>
      </c>
      <c r="C16195" t="s">
        <v>8216</v>
      </c>
      <c r="D16195">
        <v>6</v>
      </c>
      <c r="E16195">
        <v>0</v>
      </c>
      <c r="F16195">
        <v>2876</v>
      </c>
    </row>
    <row r="16196" spans="1:6" ht="12.75">
      <c r="A16196" s="2">
        <v>43877.894456018519</v>
      </c>
      <c r="B16196" t="str">
        <f>HYPERLINK("https://twitter.com/Saputra78914243","@Saputra78914243")</f>
        <v>@Saputra78914243</v>
      </c>
      <c r="C16196" t="s">
        <v>8236</v>
      </c>
      <c r="D16196">
        <v>0</v>
      </c>
      <c r="E16196">
        <v>0</v>
      </c>
      <c r="F16196">
        <v>0</v>
      </c>
    </row>
    <row r="16197" spans="1:6" ht="12.75">
      <c r="A16197" s="2">
        <v>43877.894456018519</v>
      </c>
      <c r="B16197" t="str">
        <f>HYPERLINK("https://twitter.com/raka4","@raka4")</f>
        <v>@raka4</v>
      </c>
      <c r="C16197" t="s">
        <v>7113</v>
      </c>
      <c r="D16197">
        <v>11</v>
      </c>
      <c r="E16197">
        <v>0</v>
      </c>
      <c r="F16197">
        <v>451</v>
      </c>
    </row>
    <row r="16198" spans="1:6" ht="12.75">
      <c r="A16198" s="2">
        <v>43877.893437499995</v>
      </c>
      <c r="B16198" t="str">
        <f>HYPERLINK("https://twitter.com/AnggunS53552236","@AnggunS53552236")</f>
        <v>@AnggunS53552236</v>
      </c>
      <c r="C16198" t="s">
        <v>8237</v>
      </c>
      <c r="D16198">
        <v>0</v>
      </c>
      <c r="E16198">
        <v>0</v>
      </c>
      <c r="F16198">
        <v>182</v>
      </c>
    </row>
    <row r="16199" spans="1:6" ht="12.75">
      <c r="A16199" s="2">
        <v>43877.892511574071</v>
      </c>
      <c r="B16199" t="str">
        <f>HYPERLINK("https://twitter.com/Anik_Araz","@Anik_Araz")</f>
        <v>@Anik_Araz</v>
      </c>
      <c r="C16199" t="s">
        <v>6338</v>
      </c>
      <c r="D16199">
        <v>762</v>
      </c>
      <c r="E16199">
        <v>0</v>
      </c>
      <c r="F16199">
        <v>30</v>
      </c>
    </row>
    <row r="16200" spans="1:6" ht="12.75">
      <c r="A16200" s="2">
        <v>43877.892418981486</v>
      </c>
      <c r="B16200" t="str">
        <f>HYPERLINK("https://twitter.com/ai_MarLeni","@ai_MarLeni")</f>
        <v>@ai_MarLeni</v>
      </c>
      <c r="C16200" t="s">
        <v>8105</v>
      </c>
      <c r="D16200">
        <v>7</v>
      </c>
      <c r="E16200">
        <v>0</v>
      </c>
      <c r="F16200">
        <v>846</v>
      </c>
    </row>
    <row r="16201" spans="1:6" ht="12.75">
      <c r="A16201" s="2">
        <v>43877.892245370371</v>
      </c>
      <c r="B16201" t="str">
        <f>HYPERLINK("https://twitter.com/Aliffitrindewor","@Aliffitrindewor")</f>
        <v>@Aliffitrindewor</v>
      </c>
      <c r="C16201" t="s">
        <v>7113</v>
      </c>
      <c r="D16201">
        <v>11</v>
      </c>
      <c r="E16201">
        <v>0</v>
      </c>
      <c r="F16201">
        <v>555</v>
      </c>
    </row>
    <row r="16202" spans="1:6" ht="12.75">
      <c r="A16202" s="2">
        <v>43877.891273148147</v>
      </c>
      <c r="B16202" t="str">
        <f>HYPERLINK("https://twitter.com/arthajaya82","@arthajaya82")</f>
        <v>@arthajaya82</v>
      </c>
      <c r="C16202" t="s">
        <v>6338</v>
      </c>
      <c r="D16202">
        <v>762</v>
      </c>
      <c r="E16202">
        <v>0</v>
      </c>
      <c r="F16202">
        <v>27</v>
      </c>
    </row>
    <row r="16203" spans="1:6" ht="12.75">
      <c r="A16203" s="2">
        <v>43877.890474537038</v>
      </c>
      <c r="B16203" t="str">
        <f>HYPERLINK("https://twitter.com/YusufNusantara1","@YusufNusantara1")</f>
        <v>@YusufNusantara1</v>
      </c>
      <c r="C16203" t="s">
        <v>7298</v>
      </c>
      <c r="D16203">
        <v>53</v>
      </c>
      <c r="E16203">
        <v>0</v>
      </c>
      <c r="F16203">
        <v>695</v>
      </c>
    </row>
    <row r="16204" spans="1:6" ht="12.75">
      <c r="A16204" s="2">
        <v>43877.8903125</v>
      </c>
      <c r="B16204" t="str">
        <f>HYPERLINK("https://twitter.com/mugiya_wardhany","@mugiya_wardhany")</f>
        <v>@mugiya_wardhany</v>
      </c>
      <c r="C16204" t="s">
        <v>6867</v>
      </c>
      <c r="D16204">
        <v>56</v>
      </c>
      <c r="E16204">
        <v>0</v>
      </c>
      <c r="F16204">
        <v>1629</v>
      </c>
    </row>
    <row r="16205" spans="1:6" ht="12.75">
      <c r="A16205" s="2">
        <v>43877.890092592592</v>
      </c>
      <c r="B16205" t="str">
        <f>HYPERLINK("https://twitter.com/adri_hilman","@adri_hilman")</f>
        <v>@adri_hilman</v>
      </c>
      <c r="C16205" t="s">
        <v>8238</v>
      </c>
      <c r="D16205">
        <v>1</v>
      </c>
      <c r="E16205">
        <v>0</v>
      </c>
      <c r="F16205">
        <v>100</v>
      </c>
    </row>
    <row r="16206" spans="1:6" ht="12.75">
      <c r="A16206" s="2">
        <v>43877.889664351853</v>
      </c>
      <c r="B16206" t="str">
        <f>HYPERLINK("https://twitter.com/ShaffieIsmail","@ShaffieIsmail")</f>
        <v>@ShaffieIsmail</v>
      </c>
      <c r="C16206" t="s">
        <v>8021</v>
      </c>
      <c r="D16206">
        <v>21</v>
      </c>
      <c r="E16206">
        <v>0</v>
      </c>
      <c r="F16206">
        <v>967</v>
      </c>
    </row>
    <row r="16207" spans="1:6" ht="12.75">
      <c r="A16207" s="2">
        <v>43877.88962962963</v>
      </c>
      <c r="B16207" t="str">
        <f>HYPERLINK("https://twitter.com/adri_hilman","@adri_hilman")</f>
        <v>@adri_hilman</v>
      </c>
      <c r="C16207" t="s">
        <v>8239</v>
      </c>
      <c r="D16207">
        <v>1</v>
      </c>
      <c r="E16207">
        <v>0</v>
      </c>
      <c r="F16207">
        <v>100</v>
      </c>
    </row>
    <row r="16208" spans="1:6" ht="12.75">
      <c r="A16208" s="2">
        <v>43877.889224537037</v>
      </c>
      <c r="B16208" t="str">
        <f>HYPERLINK("https://twitter.com/medcom_id","@medcom_id")</f>
        <v>@medcom_id</v>
      </c>
      <c r="C16208" t="s">
        <v>8240</v>
      </c>
      <c r="D16208">
        <v>0</v>
      </c>
      <c r="E16208">
        <v>0</v>
      </c>
      <c r="F16208">
        <v>18159</v>
      </c>
    </row>
    <row r="16209" spans="1:6" ht="12.75">
      <c r="A16209" s="2">
        <v>43877.889016203699</v>
      </c>
      <c r="B16209" t="str">
        <f>HYPERLINK("https://twitter.com/jawapos","@jawapos")</f>
        <v>@jawapos</v>
      </c>
      <c r="C16209" t="s">
        <v>8185</v>
      </c>
      <c r="D16209">
        <v>3</v>
      </c>
      <c r="E16209">
        <v>8</v>
      </c>
      <c r="F16209">
        <v>117476</v>
      </c>
    </row>
    <row r="16210" spans="1:6" ht="12.75">
      <c r="A16210" s="2">
        <v>43877.888356481482</v>
      </c>
      <c r="B16210" t="str">
        <f>HYPERLINK("https://twitter.com/owengerrad88","@owengerrad88")</f>
        <v>@owengerrad88</v>
      </c>
      <c r="C16210" t="s">
        <v>6989</v>
      </c>
      <c r="D16210">
        <v>143</v>
      </c>
      <c r="E16210">
        <v>0</v>
      </c>
      <c r="F16210">
        <v>315</v>
      </c>
    </row>
    <row r="16211" spans="1:6" ht="12.75">
      <c r="A16211" s="2">
        <v>43877.888124999998</v>
      </c>
      <c r="B16211" t="str">
        <f>HYPERLINK("https://twitter.com/sugembleb","@sugembleb")</f>
        <v>@sugembleb</v>
      </c>
      <c r="C16211" t="s">
        <v>7965</v>
      </c>
      <c r="D16211">
        <v>2</v>
      </c>
      <c r="E16211">
        <v>0</v>
      </c>
      <c r="F16211">
        <v>259</v>
      </c>
    </row>
    <row r="16212" spans="1:6" ht="12.75">
      <c r="A16212" s="2">
        <v>43877.887916666667</v>
      </c>
      <c r="B16212" t="str">
        <f>HYPERLINK("https://twitter.com/id_aksi","@id_aksi")</f>
        <v>@id_aksi</v>
      </c>
      <c r="C16212" t="s">
        <v>8241</v>
      </c>
      <c r="D16212">
        <v>0</v>
      </c>
      <c r="E16212">
        <v>0</v>
      </c>
      <c r="F16212">
        <v>78</v>
      </c>
    </row>
    <row r="16213" spans="1:6" ht="12.75">
      <c r="A16213" s="2">
        <v>43877.88653935185</v>
      </c>
      <c r="B16213" t="str">
        <f>HYPERLINK("https://twitter.com/GorengId","@GorengId")</f>
        <v>@GorengId</v>
      </c>
      <c r="C16213" t="s">
        <v>8242</v>
      </c>
      <c r="D16213">
        <v>0</v>
      </c>
      <c r="E16213">
        <v>0</v>
      </c>
      <c r="F16213">
        <v>116</v>
      </c>
    </row>
    <row r="16214" spans="1:6" ht="12.75">
      <c r="A16214" s="2">
        <v>43877.886423611111</v>
      </c>
      <c r="B16214" t="str">
        <f>HYPERLINK("https://twitter.com/aestchetic","@aestchetic")</f>
        <v>@aestchetic</v>
      </c>
      <c r="C16214" t="s">
        <v>8243</v>
      </c>
      <c r="D16214">
        <v>0</v>
      </c>
      <c r="E16214">
        <v>0</v>
      </c>
      <c r="F16214">
        <v>3116</v>
      </c>
    </row>
    <row r="16215" spans="1:6" ht="12.75">
      <c r="A16215" s="2">
        <v>43877.886111111111</v>
      </c>
      <c r="B16215" t="str">
        <f>HYPERLINK("https://twitter.com/anger_silent","@anger_silent")</f>
        <v>@anger_silent</v>
      </c>
      <c r="C16215" t="s">
        <v>7113</v>
      </c>
      <c r="D16215">
        <v>11</v>
      </c>
      <c r="E16215">
        <v>0</v>
      </c>
      <c r="F16215">
        <v>398</v>
      </c>
    </row>
    <row r="16216" spans="1:6" ht="12.75">
      <c r="A16216" s="2">
        <v>43877.876250000001</v>
      </c>
      <c r="B16216" t="str">
        <f>HYPERLINK("https://twitter.com/bennydjuwanda","@bennydjuwanda")</f>
        <v>@bennydjuwanda</v>
      </c>
      <c r="C16216" t="s">
        <v>7298</v>
      </c>
      <c r="D16216">
        <v>48</v>
      </c>
      <c r="E16216">
        <v>0</v>
      </c>
      <c r="F16216">
        <v>306</v>
      </c>
    </row>
    <row r="16217" spans="1:6" ht="12.75">
      <c r="A16217" s="2">
        <v>43877.876215277778</v>
      </c>
      <c r="B16217" t="str">
        <f>HYPERLINK("https://twitter.com/EngGuntur","@EngGuntur")</f>
        <v>@EngGuntur</v>
      </c>
      <c r="C16217" t="s">
        <v>6989</v>
      </c>
      <c r="D16217">
        <v>138</v>
      </c>
      <c r="E16217">
        <v>0</v>
      </c>
      <c r="F16217">
        <v>1442</v>
      </c>
    </row>
    <row r="16218" spans="1:6" ht="12.75">
      <c r="A16218" s="2">
        <v>43877.876203703709</v>
      </c>
      <c r="B16218" t="str">
        <f>HYPERLINK("https://twitter.com/LokadataID","@LokadataID")</f>
        <v>@LokadataID</v>
      </c>
      <c r="C16218" t="s">
        <v>8244</v>
      </c>
      <c r="D16218">
        <v>0</v>
      </c>
      <c r="E16218">
        <v>0</v>
      </c>
      <c r="F16218">
        <v>512729</v>
      </c>
    </row>
    <row r="16219" spans="1:6" ht="12.75">
      <c r="A16219" s="2">
        <v>43877.876122685186</v>
      </c>
      <c r="B16219" t="str">
        <f>HYPERLINK("https://twitter.com/Syafrizalgan","@Syafrizalgan")</f>
        <v>@Syafrizalgan</v>
      </c>
      <c r="C16219" t="s">
        <v>8245</v>
      </c>
      <c r="D16219">
        <v>0</v>
      </c>
      <c r="E16219">
        <v>0</v>
      </c>
      <c r="F16219">
        <v>47</v>
      </c>
    </row>
    <row r="16220" spans="1:6" ht="12.75">
      <c r="A16220" s="2">
        <v>43877.876064814816</v>
      </c>
      <c r="B16220" t="str">
        <f>HYPERLINK("https://twitter.com/VIVAcoid","@VIVAcoid")</f>
        <v>@VIVAcoid</v>
      </c>
      <c r="C16220" t="s">
        <v>8216</v>
      </c>
      <c r="D16220">
        <v>1</v>
      </c>
      <c r="E16220">
        <v>0</v>
      </c>
      <c r="F16220">
        <v>4169795</v>
      </c>
    </row>
    <row r="16221" spans="1:6" ht="12.75">
      <c r="A16221" s="2">
        <v>43877.875740740739</v>
      </c>
      <c r="B16221" t="str">
        <f>HYPERLINK("https://twitter.com/vivanewscom","@vivanewscom")</f>
        <v>@vivanewscom</v>
      </c>
      <c r="C16221" t="s">
        <v>8246</v>
      </c>
      <c r="D16221">
        <v>1</v>
      </c>
      <c r="E16221">
        <v>0</v>
      </c>
      <c r="F16221">
        <v>4113</v>
      </c>
    </row>
    <row r="16222" spans="1:6" ht="12.75">
      <c r="A16222" s="2">
        <v>43877.875451388885</v>
      </c>
      <c r="B16222" t="str">
        <f>HYPERLINK("https://twitter.com/MahmudRatni","@MahmudRatni")</f>
        <v>@MahmudRatni</v>
      </c>
      <c r="C16222" t="s">
        <v>175</v>
      </c>
      <c r="D16222">
        <v>5372</v>
      </c>
      <c r="E16222">
        <v>0</v>
      </c>
      <c r="F16222">
        <v>42</v>
      </c>
    </row>
    <row r="16223" spans="1:6" ht="12.75">
      <c r="A16223" s="2">
        <v>43877.875023148154</v>
      </c>
      <c r="B16223" t="str">
        <f>HYPERLINK("https://twitter.com/republikaonline","@republikaonline")</f>
        <v>@republikaonline</v>
      </c>
      <c r="C16223" t="s">
        <v>8247</v>
      </c>
      <c r="D16223">
        <v>0</v>
      </c>
      <c r="E16223">
        <v>1</v>
      </c>
      <c r="F16223">
        <v>1210695</v>
      </c>
    </row>
    <row r="16224" spans="1:6" ht="12.75">
      <c r="A16224" s="2">
        <v>43877.874895833331</v>
      </c>
      <c r="B16224" t="str">
        <f>HYPERLINK("https://twitter.com/bunk_tomysh","@bunk_tomysh")</f>
        <v>@bunk_tomysh</v>
      </c>
      <c r="C16224" t="s">
        <v>8248</v>
      </c>
      <c r="D16224">
        <v>0</v>
      </c>
      <c r="E16224">
        <v>0</v>
      </c>
      <c r="F16224">
        <v>650</v>
      </c>
    </row>
    <row r="16225" spans="1:6" ht="12.75">
      <c r="A16225" s="2">
        <v>43877.874814814815</v>
      </c>
      <c r="B16225" t="str">
        <f>HYPERLINK("https://twitter.com/suryapurnomo19","@suryapurnomo19")</f>
        <v>@suryapurnomo19</v>
      </c>
      <c r="C16225" t="s">
        <v>8249</v>
      </c>
      <c r="D16225">
        <v>0</v>
      </c>
      <c r="E16225">
        <v>0</v>
      </c>
      <c r="F16225">
        <v>7</v>
      </c>
    </row>
    <row r="16226" spans="1:6" ht="12.75">
      <c r="A16226" s="2">
        <v>43877.874247685184</v>
      </c>
      <c r="B16226" t="str">
        <f>HYPERLINK("https://twitter.com/hisnameisten","@hisnameisten")</f>
        <v>@hisnameisten</v>
      </c>
      <c r="C16226" t="s">
        <v>7905</v>
      </c>
      <c r="D16226">
        <v>92</v>
      </c>
      <c r="E16226">
        <v>0</v>
      </c>
      <c r="F16226">
        <v>87</v>
      </c>
    </row>
    <row r="16227" spans="1:6" ht="12.75">
      <c r="A16227" s="2">
        <v>43877.873923611114</v>
      </c>
      <c r="B16227" t="str">
        <f>HYPERLINK("https://twitter.com/IndraRossoneri","@IndraRossoneri")</f>
        <v>@IndraRossoneri</v>
      </c>
      <c r="C16227" t="s">
        <v>8250</v>
      </c>
      <c r="D16227">
        <v>0</v>
      </c>
      <c r="E16227">
        <v>0</v>
      </c>
      <c r="F16227">
        <v>5</v>
      </c>
    </row>
    <row r="16228" spans="1:6" ht="12.75">
      <c r="A16228" s="2">
        <v>43877.873761574076</v>
      </c>
      <c r="B16228" t="str">
        <f>HYPERLINK("https://twitter.com/inajlg","@inajlg")</f>
        <v>@inajlg</v>
      </c>
      <c r="C16228" t="s">
        <v>2444</v>
      </c>
      <c r="D16228">
        <v>4556</v>
      </c>
      <c r="E16228">
        <v>0</v>
      </c>
      <c r="F16228">
        <v>652</v>
      </c>
    </row>
    <row r="16229" spans="1:6" ht="12.75">
      <c r="A16229" s="2">
        <v>43877.873541666668</v>
      </c>
      <c r="B16229" t="str">
        <f>HYPERLINK("https://twitter.com/setjod812","@setjod812")</f>
        <v>@setjod812</v>
      </c>
      <c r="C16229" t="s">
        <v>2444</v>
      </c>
      <c r="D16229">
        <v>4556</v>
      </c>
      <c r="E16229">
        <v>0</v>
      </c>
      <c r="F16229">
        <v>10</v>
      </c>
    </row>
    <row r="16230" spans="1:6" ht="12.75">
      <c r="A16230" s="2">
        <v>43877.873472222222</v>
      </c>
      <c r="B16230" t="str">
        <f>HYPERLINK("https://twitter.com/jokosantoso_id","@jokosantoso_id")</f>
        <v>@jokosantoso_id</v>
      </c>
      <c r="C16230" t="s">
        <v>7298</v>
      </c>
      <c r="D16230">
        <v>48</v>
      </c>
      <c r="E16230">
        <v>0</v>
      </c>
      <c r="F16230">
        <v>175</v>
      </c>
    </row>
    <row r="16231" spans="1:6" ht="12.75">
      <c r="A16231" s="2">
        <v>43877.873159722221</v>
      </c>
      <c r="B16231" t="str">
        <f>HYPERLINK("https://twitter.com/Tanjungsari_GK","@Tanjungsari_GK")</f>
        <v>@Tanjungsari_GK</v>
      </c>
      <c r="C16231" t="s">
        <v>7734</v>
      </c>
      <c r="D16231">
        <v>31</v>
      </c>
      <c r="E16231">
        <v>0</v>
      </c>
      <c r="F16231">
        <v>15</v>
      </c>
    </row>
    <row r="16232" spans="1:6" ht="12.75">
      <c r="A16232" s="2">
        <v>43877.87300925926</v>
      </c>
      <c r="B16232" t="str">
        <f>HYPERLINK("https://twitter.com/yihaayihiiAK","@yihaayihiiAK")</f>
        <v>@yihaayihiiAK</v>
      </c>
      <c r="C16232" t="s">
        <v>7113</v>
      </c>
      <c r="D16232">
        <v>5</v>
      </c>
      <c r="E16232">
        <v>0</v>
      </c>
      <c r="F16232">
        <v>1536</v>
      </c>
    </row>
    <row r="16233" spans="1:6" ht="12.75">
      <c r="A16233" s="2">
        <v>43877.872592592597</v>
      </c>
      <c r="B16233" t="str">
        <f>HYPERLINK("https://twitter.com/MadingIndonesia","@MadingIndonesia")</f>
        <v>@MadingIndonesia</v>
      </c>
      <c r="C16233" t="s">
        <v>8251</v>
      </c>
      <c r="D16233">
        <v>0</v>
      </c>
      <c r="E16233">
        <v>0</v>
      </c>
      <c r="F16233">
        <v>8</v>
      </c>
    </row>
    <row r="16234" spans="1:6" ht="12.75">
      <c r="A16234" s="2">
        <v>43877.871932870374</v>
      </c>
      <c r="B16234" t="str">
        <f>HYPERLINK("https://twitter.com/ajulajul95","@ajulajul95")</f>
        <v>@ajulajul95</v>
      </c>
      <c r="C16234" t="s">
        <v>6127</v>
      </c>
      <c r="D16234">
        <v>555</v>
      </c>
      <c r="E16234">
        <v>0</v>
      </c>
      <c r="F16234">
        <v>342</v>
      </c>
    </row>
    <row r="16235" spans="1:6" ht="12.75">
      <c r="A16235" s="2">
        <v>43877.871620370366</v>
      </c>
      <c r="B16235" t="str">
        <f>HYPERLINK("https://twitter.com/mugiya_wardhany","@mugiya_wardhany")</f>
        <v>@mugiya_wardhany</v>
      </c>
      <c r="C16235" t="s">
        <v>7113</v>
      </c>
      <c r="D16235">
        <v>5</v>
      </c>
      <c r="E16235">
        <v>0</v>
      </c>
      <c r="F16235">
        <v>1625</v>
      </c>
    </row>
    <row r="16236" spans="1:6" ht="12.75">
      <c r="A16236" s="2">
        <v>43877.871504629627</v>
      </c>
      <c r="B16236" t="str">
        <f>HYPERLINK("https://twitter.com/Kenzo_Hamtaro","@Kenzo_Hamtaro")</f>
        <v>@Kenzo_Hamtaro</v>
      </c>
      <c r="C16236" t="s">
        <v>8252</v>
      </c>
      <c r="D16236">
        <v>501</v>
      </c>
      <c r="E16236">
        <v>0</v>
      </c>
      <c r="F16236">
        <v>1533</v>
      </c>
    </row>
    <row r="16237" spans="1:6" ht="12.75">
      <c r="A16237" s="2">
        <v>43877.871168981481</v>
      </c>
      <c r="B16237" t="str">
        <f>HYPERLINK("https://twitter.com/FissonYM","@FissonYM")</f>
        <v>@FissonYM</v>
      </c>
      <c r="C16237" t="s">
        <v>7154</v>
      </c>
      <c r="D16237">
        <v>55</v>
      </c>
      <c r="E16237">
        <v>0</v>
      </c>
      <c r="F16237">
        <v>407</v>
      </c>
    </row>
    <row r="16238" spans="1:6" ht="12.75">
      <c r="A16238" s="2">
        <v>43877.871134259258</v>
      </c>
      <c r="B16238" t="str">
        <f>HYPERLINK("https://twitter.com/adhinurdafina","@adhinurdafina")</f>
        <v>@adhinurdafina</v>
      </c>
      <c r="C16238" t="s">
        <v>8253</v>
      </c>
      <c r="D16238">
        <v>9</v>
      </c>
      <c r="E16238">
        <v>0</v>
      </c>
      <c r="F16238">
        <v>1263</v>
      </c>
    </row>
    <row r="16239" spans="1:6" ht="12.75">
      <c r="A16239" s="2">
        <v>43877.870798611111</v>
      </c>
      <c r="B16239" t="str">
        <f>HYPERLINK("https://twitter.com/prandisyah","@prandisyah")</f>
        <v>@prandisyah</v>
      </c>
      <c r="C16239" t="s">
        <v>2444</v>
      </c>
      <c r="D16239">
        <v>4556</v>
      </c>
      <c r="E16239">
        <v>0</v>
      </c>
      <c r="F16239">
        <v>5</v>
      </c>
    </row>
    <row r="16240" spans="1:6" ht="12.75">
      <c r="A16240" s="2">
        <v>43877.87018518518</v>
      </c>
      <c r="B16240" t="str">
        <f>HYPERLINK("https://twitter.com/bukuberbagi100","@bukuberbagi100")</f>
        <v>@bukuberbagi100</v>
      </c>
      <c r="C16240" t="s">
        <v>3412</v>
      </c>
      <c r="D16240">
        <v>1010</v>
      </c>
      <c r="E16240">
        <v>0</v>
      </c>
      <c r="F16240">
        <v>122</v>
      </c>
    </row>
    <row r="16241" spans="1:6" ht="12.75">
      <c r="A16241" s="2">
        <v>43877.870138888888</v>
      </c>
      <c r="B16241" t="str">
        <f>HYPERLINK("https://twitter.com/ArmandGusman","@ArmandGusman")</f>
        <v>@ArmandGusman</v>
      </c>
      <c r="C16241" t="s">
        <v>8254</v>
      </c>
      <c r="D16241">
        <v>0</v>
      </c>
      <c r="E16241">
        <v>0</v>
      </c>
      <c r="F16241">
        <v>193</v>
      </c>
    </row>
    <row r="16242" spans="1:6" ht="12.75">
      <c r="A16242" s="2">
        <v>43877.870057870372</v>
      </c>
      <c r="B16242" t="str">
        <f>HYPERLINK("https://twitter.com/Gobang09791575","@Gobang09791575")</f>
        <v>@Gobang09791575</v>
      </c>
      <c r="C16242" t="s">
        <v>6989</v>
      </c>
      <c r="D16242">
        <v>138</v>
      </c>
      <c r="E16242">
        <v>0</v>
      </c>
      <c r="F16242">
        <v>1219</v>
      </c>
    </row>
    <row r="16243" spans="1:6" ht="12.75">
      <c r="A16243" s="2">
        <v>43877.869872685187</v>
      </c>
      <c r="B16243" t="str">
        <f>HYPERLINK("https://twitter.com/AndrianaRustam","@AndrianaRustam")</f>
        <v>@AndrianaRustam</v>
      </c>
      <c r="C16243" t="s">
        <v>6989</v>
      </c>
      <c r="D16243">
        <v>138</v>
      </c>
      <c r="E16243">
        <v>0</v>
      </c>
      <c r="F16243">
        <v>296</v>
      </c>
    </row>
    <row r="16244" spans="1:6" ht="12.75">
      <c r="A16244" s="2">
        <v>43877.869745370372</v>
      </c>
      <c r="B16244" t="str">
        <f>HYPERLINK("https://twitter.com/DevrimciYol6","@DevrimciYol6")</f>
        <v>@DevrimciYol6</v>
      </c>
      <c r="C16244" t="s">
        <v>8255</v>
      </c>
      <c r="D16244">
        <v>0</v>
      </c>
      <c r="E16244">
        <v>0</v>
      </c>
      <c r="F16244">
        <v>86</v>
      </c>
    </row>
    <row r="16245" spans="1:6" ht="12.75">
      <c r="A16245" s="2">
        <v>43877.868622685186</v>
      </c>
      <c r="B16245" t="str">
        <f>HYPERLINK("https://twitter.com/r_iduy","@r_iduy")</f>
        <v>@r_iduy</v>
      </c>
      <c r="C16245" t="s">
        <v>8256</v>
      </c>
      <c r="D16245">
        <v>0</v>
      </c>
      <c r="E16245">
        <v>0</v>
      </c>
      <c r="F16245">
        <v>4</v>
      </c>
    </row>
    <row r="16246" spans="1:6" ht="12.75">
      <c r="A16246" s="2">
        <v>43877.868171296301</v>
      </c>
      <c r="B16246" t="str">
        <f>HYPERLINK("https://twitter.com/Tiyasyoungapril","@Tiyasyoungapril")</f>
        <v>@Tiyasyoungapril</v>
      </c>
      <c r="C16246" t="s">
        <v>7113</v>
      </c>
      <c r="D16246">
        <v>5</v>
      </c>
      <c r="E16246">
        <v>0</v>
      </c>
      <c r="F16246">
        <v>300</v>
      </c>
    </row>
    <row r="16247" spans="1:6" ht="12.75">
      <c r="A16247" s="2">
        <v>43877.867951388893</v>
      </c>
      <c r="B16247" t="str">
        <f>HYPERLINK("https://twitter.com/priBUMI_DATAR","@priBUMI_DATAR")</f>
        <v>@priBUMI_DATAR</v>
      </c>
      <c r="C16247" t="s">
        <v>8257</v>
      </c>
      <c r="D16247">
        <v>39</v>
      </c>
      <c r="E16247">
        <v>0</v>
      </c>
      <c r="F16247">
        <v>207</v>
      </c>
    </row>
    <row r="16248" spans="1:6" ht="12.75">
      <c r="A16248" s="2">
        <v>43877.86782407407</v>
      </c>
      <c r="B16248" t="str">
        <f>HYPERLINK("https://twitter.com/OrdeDungu","@OrdeDungu")</f>
        <v>@OrdeDungu</v>
      </c>
      <c r="C16248" t="s">
        <v>8258</v>
      </c>
      <c r="D16248">
        <v>0</v>
      </c>
      <c r="E16248">
        <v>0</v>
      </c>
      <c r="F16248">
        <v>134</v>
      </c>
    </row>
    <row r="16249" spans="1:6" ht="12.75">
      <c r="A16249" s="2">
        <v>43877.867002314815</v>
      </c>
      <c r="B16249" t="str">
        <f>HYPERLINK("https://twitter.com/jjsengui","@jjsengui")</f>
        <v>@jjsengui</v>
      </c>
      <c r="C16249" t="s">
        <v>6989</v>
      </c>
      <c r="D16249">
        <v>138</v>
      </c>
      <c r="E16249">
        <v>0</v>
      </c>
      <c r="F16249">
        <v>833</v>
      </c>
    </row>
    <row r="16250" spans="1:6" ht="12.75">
      <c r="A16250" s="2">
        <v>43877.866597222222</v>
      </c>
      <c r="B16250" t="str">
        <f>HYPERLINK("https://twitter.com/Yadie050977","@Yadie050977")</f>
        <v>@Yadie050977</v>
      </c>
      <c r="C16250" t="s">
        <v>6338</v>
      </c>
      <c r="D16250">
        <v>753</v>
      </c>
      <c r="E16250">
        <v>0</v>
      </c>
      <c r="F16250">
        <v>1174</v>
      </c>
    </row>
    <row r="16251" spans="1:6" ht="12.75">
      <c r="A16251" s="2">
        <v>43877.865902777776</v>
      </c>
      <c r="B16251" t="str">
        <f>HYPERLINK("https://twitter.com/LembahSunyi","@LembahSunyi")</f>
        <v>@LembahSunyi</v>
      </c>
      <c r="C16251" t="s">
        <v>8259</v>
      </c>
      <c r="D16251">
        <v>1</v>
      </c>
      <c r="E16251">
        <v>0</v>
      </c>
      <c r="F16251">
        <v>866</v>
      </c>
    </row>
    <row r="16252" spans="1:6" ht="12.75">
      <c r="A16252" s="2">
        <v>43877.86583333333</v>
      </c>
      <c r="B16252" t="str">
        <f>HYPERLINK("https://twitter.com/Assxxx7","@Assxxx7")</f>
        <v>@Assxxx7</v>
      </c>
      <c r="C16252" t="s">
        <v>7113</v>
      </c>
      <c r="D16252">
        <v>5</v>
      </c>
      <c r="E16252">
        <v>0</v>
      </c>
      <c r="F16252">
        <v>41</v>
      </c>
    </row>
    <row r="16253" spans="1:6" ht="12.75">
      <c r="A16253" s="2">
        <v>43877.865729166668</v>
      </c>
      <c r="B16253" t="str">
        <f>HYPERLINK("https://twitter.com/LaelaAmien","@LaelaAmien")</f>
        <v>@LaelaAmien</v>
      </c>
      <c r="C16253" t="s">
        <v>7113</v>
      </c>
      <c r="D16253">
        <v>5</v>
      </c>
      <c r="E16253">
        <v>0</v>
      </c>
      <c r="F16253">
        <v>791</v>
      </c>
    </row>
    <row r="16254" spans="1:6" ht="12.75">
      <c r="A16254" s="2">
        <v>43877.86519675926</v>
      </c>
      <c r="B16254" t="str">
        <f>HYPERLINK("https://twitter.com/HarianInhua","@HarianInhua")</f>
        <v>@HarianInhua</v>
      </c>
      <c r="C16254" t="s">
        <v>8260</v>
      </c>
      <c r="D16254">
        <v>0</v>
      </c>
      <c r="E16254">
        <v>0</v>
      </c>
      <c r="F16254">
        <v>87</v>
      </c>
    </row>
    <row r="16255" spans="1:6" ht="12.75">
      <c r="A16255" s="2">
        <v>43877.865081018521</v>
      </c>
      <c r="B16255" t="str">
        <f>HYPERLINK("https://twitter.com/mustofaAli6661","@mustofaAli6661")</f>
        <v>@mustofaAli6661</v>
      </c>
      <c r="C16255" t="s">
        <v>8261</v>
      </c>
      <c r="D16255">
        <v>0</v>
      </c>
      <c r="E16255">
        <v>0</v>
      </c>
      <c r="F16255">
        <v>46</v>
      </c>
    </row>
    <row r="16256" spans="1:6" ht="12.75">
      <c r="A16256" s="2">
        <v>43877.865069444444</v>
      </c>
      <c r="B16256" t="str">
        <f>HYPERLINK("https://twitter.com/wni_jmsri","@wni_jmsri")</f>
        <v>@wni_jmsri</v>
      </c>
      <c r="C16256" t="s">
        <v>8262</v>
      </c>
      <c r="D16256">
        <v>610</v>
      </c>
      <c r="E16256">
        <v>0</v>
      </c>
      <c r="F16256">
        <v>193</v>
      </c>
    </row>
    <row r="16257" spans="1:6" ht="12.75">
      <c r="A16257" s="2">
        <v>43877.864687499998</v>
      </c>
      <c r="B16257" t="str">
        <f>HYPERLINK("https://twitter.com/HaloBCA","@HaloBCA")</f>
        <v>@HaloBCA</v>
      </c>
      <c r="C16257" t="s">
        <v>8263</v>
      </c>
      <c r="D16257">
        <v>0</v>
      </c>
      <c r="E16257">
        <v>0</v>
      </c>
      <c r="F16257">
        <v>230620</v>
      </c>
    </row>
    <row r="16258" spans="1:6" ht="12.75">
      <c r="A16258" s="2">
        <v>43877.864664351851</v>
      </c>
      <c r="B16258" t="str">
        <f>HYPERLINK("https://twitter.com/PDI_Perjuangan","@PDI_Perjuangan")</f>
        <v>@PDI_Perjuangan</v>
      </c>
      <c r="C16258" t="s">
        <v>8264</v>
      </c>
      <c r="D16258">
        <v>0</v>
      </c>
      <c r="E16258">
        <v>7</v>
      </c>
      <c r="F16258">
        <v>219004</v>
      </c>
    </row>
    <row r="16259" spans="1:6" ht="12.75">
      <c r="A16259" s="2">
        <v>43877.864606481482</v>
      </c>
      <c r="B16259" t="str">
        <f>HYPERLINK("https://twitter.com/amyprovis1987","@amyprovis1987")</f>
        <v>@amyprovis1987</v>
      </c>
      <c r="C16259" t="s">
        <v>8265</v>
      </c>
      <c r="D16259">
        <v>0</v>
      </c>
      <c r="E16259">
        <v>0</v>
      </c>
      <c r="F16259">
        <v>101</v>
      </c>
    </row>
    <row r="16260" spans="1:6" ht="12.75">
      <c r="A16260" s="2">
        <v>43877.864502314813</v>
      </c>
      <c r="B16260" t="str">
        <f>HYPERLINK("https://twitter.com/joonethos","@joonethos")</f>
        <v>@joonethos</v>
      </c>
      <c r="C16260" t="s">
        <v>8266</v>
      </c>
      <c r="D16260">
        <v>0</v>
      </c>
      <c r="E16260">
        <v>0</v>
      </c>
      <c r="F16260">
        <v>938</v>
      </c>
    </row>
    <row r="16261" spans="1:6" ht="12.75">
      <c r="A16261" s="2">
        <v>43877.864444444444</v>
      </c>
      <c r="B16261" t="str">
        <f>HYPERLINK("https://twitter.com/mbah_nDoel","@mbah_nDoel")</f>
        <v>@mbah_nDoel</v>
      </c>
      <c r="C16261" t="s">
        <v>8267</v>
      </c>
      <c r="D16261">
        <v>5</v>
      </c>
      <c r="E16261">
        <v>8</v>
      </c>
      <c r="F16261">
        <v>18534</v>
      </c>
    </row>
    <row r="16262" spans="1:6" ht="12.75">
      <c r="A16262" s="2">
        <v>43877.864259259259</v>
      </c>
      <c r="B16262" t="str">
        <f>HYPERLINK("https://twitter.com/Josietlim","@Josietlim")</f>
        <v>@Josietlim</v>
      </c>
      <c r="C16262" t="s">
        <v>8268</v>
      </c>
      <c r="D16262">
        <v>0</v>
      </c>
      <c r="E16262">
        <v>0</v>
      </c>
      <c r="F16262">
        <v>1017</v>
      </c>
    </row>
    <row r="16263" spans="1:6" ht="12.75">
      <c r="A16263" s="2">
        <v>43877.863993055551</v>
      </c>
      <c r="B16263" t="str">
        <f>HYPERLINK("https://twitter.com/AlBanna57697952","@AlBanna57697952")</f>
        <v>@AlBanna57697952</v>
      </c>
      <c r="C16263" t="s">
        <v>6989</v>
      </c>
      <c r="D16263">
        <v>138</v>
      </c>
      <c r="E16263">
        <v>0</v>
      </c>
      <c r="F16263">
        <v>40</v>
      </c>
    </row>
    <row r="16264" spans="1:6" ht="12.75">
      <c r="A16264" s="2">
        <v>43877.863113425927</v>
      </c>
      <c r="B16264" t="str">
        <f>HYPERLINK("https://twitter.com/1hsan","@1hsan")</f>
        <v>@1hsan</v>
      </c>
      <c r="C16264" t="s">
        <v>7990</v>
      </c>
      <c r="D16264">
        <v>7</v>
      </c>
      <c r="E16264">
        <v>0</v>
      </c>
      <c r="F16264">
        <v>234</v>
      </c>
    </row>
    <row r="16265" spans="1:6" ht="12.75">
      <c r="A16265" s="2">
        <v>43877.862164351856</v>
      </c>
      <c r="B16265" t="str">
        <f>HYPERLINK("https://twitter.com/bakmiaceh","@bakmiaceh")</f>
        <v>@bakmiaceh</v>
      </c>
      <c r="C16265" t="s">
        <v>8269</v>
      </c>
      <c r="D16265">
        <v>0</v>
      </c>
      <c r="E16265">
        <v>0</v>
      </c>
      <c r="F16265">
        <v>58</v>
      </c>
    </row>
    <row r="16266" spans="1:6" ht="12.75">
      <c r="A16266" s="2">
        <v>43877.861608796295</v>
      </c>
      <c r="B16266" t="str">
        <f>HYPERLINK("https://twitter.com/ephraym8","@ephraym8")</f>
        <v>@ephraym8</v>
      </c>
      <c r="C16266" t="s">
        <v>7129</v>
      </c>
      <c r="D16266">
        <v>4</v>
      </c>
      <c r="E16266">
        <v>0</v>
      </c>
      <c r="F16266">
        <v>1131</v>
      </c>
    </row>
    <row r="16267" spans="1:6" ht="12.75">
      <c r="A16267" s="2">
        <v>43877.861319444448</v>
      </c>
      <c r="B16267" t="str">
        <f>HYPERLINK("https://twitter.com/DSumirane","@DSumirane")</f>
        <v>@DSumirane</v>
      </c>
      <c r="C16267" t="s">
        <v>8270</v>
      </c>
      <c r="D16267">
        <v>0</v>
      </c>
      <c r="E16267">
        <v>0</v>
      </c>
      <c r="F16267">
        <v>673</v>
      </c>
    </row>
    <row r="16268" spans="1:6" ht="12.75">
      <c r="A16268" s="2">
        <v>43877.861215277779</v>
      </c>
      <c r="B16268" t="str">
        <f>HYPERLINK("https://twitter.com/fazlazapla","@fazlazapla")</f>
        <v>@fazlazapla</v>
      </c>
      <c r="C16268" t="s">
        <v>8271</v>
      </c>
      <c r="D16268">
        <v>0</v>
      </c>
      <c r="E16268">
        <v>0</v>
      </c>
      <c r="F16268">
        <v>101</v>
      </c>
    </row>
    <row r="16269" spans="1:6" ht="12.75">
      <c r="A16269" s="2">
        <v>43877.860578703709</v>
      </c>
      <c r="B16269" t="str">
        <f>HYPERLINK("https://twitter.com/naruto31002259","@naruto31002259")</f>
        <v>@naruto31002259</v>
      </c>
      <c r="C16269" t="s">
        <v>3412</v>
      </c>
      <c r="D16269">
        <v>1010</v>
      </c>
      <c r="E16269">
        <v>0</v>
      </c>
      <c r="F16269">
        <v>1617</v>
      </c>
    </row>
    <row r="16270" spans="1:6" ht="12.75">
      <c r="A16270" s="2">
        <v>43877.860185185185</v>
      </c>
      <c r="B16270" t="str">
        <f>HYPERLINK("https://twitter.com/okezonenews","@okezonenews")</f>
        <v>@okezonenews</v>
      </c>
      <c r="C16270" t="s">
        <v>8272</v>
      </c>
      <c r="D16270">
        <v>1</v>
      </c>
      <c r="E16270">
        <v>2</v>
      </c>
      <c r="F16270">
        <v>1743929</v>
      </c>
    </row>
    <row r="16271" spans="1:6" ht="12.75">
      <c r="A16271" s="2">
        <v>43877.859594907408</v>
      </c>
      <c r="B16271" t="str">
        <f>HYPERLINK("https://twitter.com/NurKhayat18","@NurKhayat18")</f>
        <v>@NurKhayat18</v>
      </c>
      <c r="C16271" t="s">
        <v>8203</v>
      </c>
      <c r="D16271">
        <v>191</v>
      </c>
      <c r="E16271">
        <v>0</v>
      </c>
      <c r="F16271">
        <v>397</v>
      </c>
    </row>
    <row r="16272" spans="1:6" ht="12.75">
      <c r="A16272" s="2">
        <v>43877.859259259261</v>
      </c>
      <c r="B16272" t="str">
        <f>HYPERLINK("https://twitter.com/alan_whitham","@alan_whitham")</f>
        <v>@alan_whitham</v>
      </c>
      <c r="C16272" t="s">
        <v>3150</v>
      </c>
      <c r="D16272">
        <v>348</v>
      </c>
      <c r="E16272">
        <v>0</v>
      </c>
      <c r="F16272">
        <v>504</v>
      </c>
    </row>
    <row r="16273" spans="1:6" ht="12.75">
      <c r="A16273" s="2">
        <v>43877.859039351853</v>
      </c>
      <c r="B16273" t="str">
        <f>HYPERLINK("https://twitter.com/XIII_kamp","@XIII_kamp")</f>
        <v>@XIII_kamp</v>
      </c>
      <c r="C16273" t="s">
        <v>8273</v>
      </c>
      <c r="D16273">
        <v>0</v>
      </c>
      <c r="E16273">
        <v>0</v>
      </c>
      <c r="F16273">
        <v>169</v>
      </c>
    </row>
    <row r="16274" spans="1:6" ht="12.75">
      <c r="A16274" s="2">
        <v>43877.858495370368</v>
      </c>
      <c r="B16274" t="str">
        <f>HYPERLINK("https://twitter.com/damianusdalita6","@damianusdalita6")</f>
        <v>@damianusdalita6</v>
      </c>
      <c r="C16274" t="s">
        <v>8274</v>
      </c>
      <c r="D16274">
        <v>0</v>
      </c>
      <c r="E16274">
        <v>0</v>
      </c>
      <c r="F16274">
        <v>2173</v>
      </c>
    </row>
    <row r="16275" spans="1:6" ht="12.75">
      <c r="A16275" s="2">
        <v>43877.857534722221</v>
      </c>
      <c r="B16275" t="str">
        <f>HYPERLINK("https://twitter.com/Mataya16641870","@Mataya16641870")</f>
        <v>@Mataya16641870</v>
      </c>
      <c r="C16275" t="s">
        <v>8275</v>
      </c>
      <c r="D16275">
        <v>0</v>
      </c>
      <c r="E16275">
        <v>0</v>
      </c>
      <c r="F16275">
        <v>350</v>
      </c>
    </row>
    <row r="16276" spans="1:6" ht="12.75">
      <c r="A16276" s="2">
        <v>43877.857499999998</v>
      </c>
      <c r="B16276" t="str">
        <f>HYPERLINK("https://twitter.com/jurniscom","@jurniscom")</f>
        <v>@jurniscom</v>
      </c>
      <c r="C16276" t="s">
        <v>8276</v>
      </c>
      <c r="D16276">
        <v>0</v>
      </c>
      <c r="E16276">
        <v>0</v>
      </c>
      <c r="F16276">
        <v>2376</v>
      </c>
    </row>
    <row r="16277" spans="1:6" ht="12.75">
      <c r="A16277" s="2">
        <v>43877.856956018513</v>
      </c>
      <c r="B16277" t="str">
        <f>HYPERLINK("https://twitter.com/separuhitam","@separuhitam")</f>
        <v>@separuhitam</v>
      </c>
      <c r="C16277" t="s">
        <v>8277</v>
      </c>
      <c r="D16277">
        <v>0</v>
      </c>
      <c r="E16277">
        <v>0</v>
      </c>
      <c r="F16277">
        <v>343</v>
      </c>
    </row>
    <row r="16278" spans="1:6" ht="12.75">
      <c r="A16278" s="2">
        <v>43877.856446759259</v>
      </c>
      <c r="B16278" t="str">
        <f>HYPERLINK("https://twitter.com/JessicaRigga","@JessicaRigga")</f>
        <v>@JessicaRigga</v>
      </c>
      <c r="C16278" t="s">
        <v>3150</v>
      </c>
      <c r="D16278">
        <v>348</v>
      </c>
      <c r="E16278">
        <v>0</v>
      </c>
      <c r="F16278">
        <v>2</v>
      </c>
    </row>
    <row r="16279" spans="1:6" ht="12.75">
      <c r="A16279" s="2">
        <v>43877.856307870374</v>
      </c>
      <c r="B16279" t="str">
        <f>HYPERLINK("https://twitter.com/jark_dokes","@jark_dokes")</f>
        <v>@jark_dokes</v>
      </c>
      <c r="C16279" t="s">
        <v>8278</v>
      </c>
      <c r="D16279">
        <v>85</v>
      </c>
      <c r="E16279">
        <v>0</v>
      </c>
      <c r="F16279">
        <v>1366</v>
      </c>
    </row>
    <row r="16280" spans="1:6" ht="12.75">
      <c r="A16280" s="2">
        <v>43877.856099537035</v>
      </c>
      <c r="B16280" t="str">
        <f>HYPERLINK("https://twitter.com/triajaaa","@triajaaa")</f>
        <v>@triajaaa</v>
      </c>
      <c r="C16280" t="s">
        <v>8279</v>
      </c>
      <c r="D16280">
        <v>0</v>
      </c>
      <c r="E16280">
        <v>2</v>
      </c>
      <c r="F16280">
        <v>4498</v>
      </c>
    </row>
    <row r="16281" spans="1:6" ht="12.75">
      <c r="A16281" s="2">
        <v>43877.855590277773</v>
      </c>
      <c r="B16281" t="str">
        <f>HYPERLINK("https://twitter.com/Mataya16641870","@Mataya16641870")</f>
        <v>@Mataya16641870</v>
      </c>
      <c r="C16281" t="s">
        <v>8280</v>
      </c>
      <c r="D16281">
        <v>0</v>
      </c>
      <c r="E16281">
        <v>0</v>
      </c>
      <c r="F16281">
        <v>350</v>
      </c>
    </row>
    <row r="16282" spans="1:6" ht="12.75">
      <c r="A16282" s="2">
        <v>43877.855011574073</v>
      </c>
      <c r="B16282" t="str">
        <f>HYPERLINK("https://twitter.com/prahar_77","@prahar_77")</f>
        <v>@prahar_77</v>
      </c>
      <c r="C16282" t="s">
        <v>8281</v>
      </c>
      <c r="D16282">
        <v>0</v>
      </c>
      <c r="E16282">
        <v>0</v>
      </c>
      <c r="F16282">
        <v>1577</v>
      </c>
    </row>
    <row r="16283" spans="1:6" ht="12.75">
      <c r="A16283" s="2">
        <v>43877.853877314818</v>
      </c>
      <c r="B16283" t="str">
        <f>HYPERLINK("https://twitter.com/HAMBAAL31689329","@HAMBAAL31689329")</f>
        <v>@HAMBAAL31689329</v>
      </c>
      <c r="C16283" t="s">
        <v>8282</v>
      </c>
      <c r="D16283">
        <v>1</v>
      </c>
      <c r="E16283">
        <v>0</v>
      </c>
      <c r="F16283">
        <v>267</v>
      </c>
    </row>
    <row r="16284" spans="1:6" ht="12.75">
      <c r="A16284" s="2">
        <v>43877.853842592594</v>
      </c>
      <c r="B16284" t="str">
        <f>HYPERLINK("https://twitter.com/andiyogasID","@andiyogasID")</f>
        <v>@andiyogasID</v>
      </c>
      <c r="C16284" t="s">
        <v>8283</v>
      </c>
      <c r="D16284">
        <v>0</v>
      </c>
      <c r="E16284">
        <v>0</v>
      </c>
      <c r="F16284">
        <v>3</v>
      </c>
    </row>
    <row r="16285" spans="1:6" ht="12.75">
      <c r="A16285" s="2">
        <v>43877.853668981479</v>
      </c>
      <c r="B16285" t="str">
        <f>HYPERLINK("https://twitter.com/BaliHanafi","@BaliHanafi")</f>
        <v>@BaliHanafi</v>
      </c>
      <c r="C16285" t="s">
        <v>6989</v>
      </c>
      <c r="D16285">
        <v>138</v>
      </c>
      <c r="E16285">
        <v>0</v>
      </c>
      <c r="F16285">
        <v>402</v>
      </c>
    </row>
    <row r="16286" spans="1:6" ht="12.75">
      <c r="A16286" s="2">
        <v>43877.853645833333</v>
      </c>
      <c r="B16286" t="str">
        <f>HYPERLINK("https://twitter.com/555masteng","@555masteng")</f>
        <v>@555masteng</v>
      </c>
      <c r="C16286" t="s">
        <v>6989</v>
      </c>
      <c r="D16286">
        <v>138</v>
      </c>
      <c r="E16286">
        <v>0</v>
      </c>
      <c r="F16286">
        <v>5235</v>
      </c>
    </row>
    <row r="16287" spans="1:6" ht="12.75">
      <c r="A16287" s="2">
        <v>43877.852662037039</v>
      </c>
      <c r="B16287" t="str">
        <f>HYPERLINK("https://twitter.com/fyrekliawan","@fyrekliawan")</f>
        <v>@fyrekliawan</v>
      </c>
      <c r="C16287" t="s">
        <v>8284</v>
      </c>
      <c r="D16287">
        <v>0</v>
      </c>
      <c r="E16287">
        <v>0</v>
      </c>
      <c r="F16287">
        <v>59</v>
      </c>
    </row>
    <row r="16288" spans="1:6" ht="12.75">
      <c r="A16288" s="2">
        <v>43877.852500000001</v>
      </c>
      <c r="B16288" t="str">
        <f>HYPERLINK("https://twitter.com/omneevore","@omneevore")</f>
        <v>@omneevore</v>
      </c>
      <c r="C16288" t="s">
        <v>8285</v>
      </c>
      <c r="D16288">
        <v>0</v>
      </c>
      <c r="E16288">
        <v>0</v>
      </c>
      <c r="F16288">
        <v>70</v>
      </c>
    </row>
    <row r="16289" spans="1:6" ht="12.75">
      <c r="A16289" s="2">
        <v>43877.852037037039</v>
      </c>
      <c r="B16289" t="str">
        <f>HYPERLINK("https://twitter.com/prahar_77","@prahar_77")</f>
        <v>@prahar_77</v>
      </c>
      <c r="C16289" t="s">
        <v>6989</v>
      </c>
      <c r="D16289">
        <v>138</v>
      </c>
      <c r="E16289">
        <v>0</v>
      </c>
      <c r="F16289">
        <v>1577</v>
      </c>
    </row>
    <row r="16290" spans="1:6" ht="12.75">
      <c r="A16290" s="2">
        <v>43877.850462962961</v>
      </c>
      <c r="B16290" t="str">
        <f>HYPERLINK("https://twitter.com/samuelpanda_","@samuelpanda_")</f>
        <v>@samuelpanda_</v>
      </c>
      <c r="C16290" t="s">
        <v>8286</v>
      </c>
      <c r="D16290">
        <v>1</v>
      </c>
      <c r="E16290">
        <v>0</v>
      </c>
      <c r="F16290">
        <v>348</v>
      </c>
    </row>
    <row r="16291" spans="1:6" ht="12.75">
      <c r="A16291" s="2">
        <v>43877.849849537037</v>
      </c>
      <c r="B16291" t="str">
        <f>HYPERLINK("https://twitter.com/lelembutputih","@lelembutputih")</f>
        <v>@lelembutputih</v>
      </c>
      <c r="C16291" t="s">
        <v>8287</v>
      </c>
      <c r="D16291">
        <v>1</v>
      </c>
      <c r="E16291">
        <v>0</v>
      </c>
      <c r="F16291">
        <v>125</v>
      </c>
    </row>
    <row r="16292" spans="1:6" ht="12.75">
      <c r="A16292" s="2">
        <v>43877.84820601852</v>
      </c>
      <c r="B16292" t="str">
        <f>HYPERLINK("https://twitter.com/myname4571","@myname4571")</f>
        <v>@myname4571</v>
      </c>
      <c r="C16292" t="s">
        <v>7129</v>
      </c>
      <c r="D16292">
        <v>4</v>
      </c>
      <c r="E16292">
        <v>0</v>
      </c>
      <c r="F16292">
        <v>1284</v>
      </c>
    </row>
    <row r="16293" spans="1:6" ht="12.75">
      <c r="A16293" s="2">
        <v>43877.848148148143</v>
      </c>
      <c r="B16293" t="str">
        <f>HYPERLINK("https://twitter.com/Roma13054710","@Roma13054710")</f>
        <v>@Roma13054710</v>
      </c>
      <c r="C16293" t="s">
        <v>8288</v>
      </c>
      <c r="D16293">
        <v>1</v>
      </c>
      <c r="E16293">
        <v>0</v>
      </c>
      <c r="F16293">
        <v>48</v>
      </c>
    </row>
    <row r="16294" spans="1:6" ht="12.75">
      <c r="A16294" s="2">
        <v>43877.847986111112</v>
      </c>
      <c r="B16294" t="str">
        <f>HYPERLINK("https://twitter.com/Hazeskw","@Hazeskw")</f>
        <v>@Hazeskw</v>
      </c>
      <c r="C16294" t="s">
        <v>8141</v>
      </c>
      <c r="D16294">
        <v>30</v>
      </c>
      <c r="E16294">
        <v>0</v>
      </c>
      <c r="F16294">
        <v>545</v>
      </c>
    </row>
    <row r="16295" spans="1:6" ht="12.75">
      <c r="A16295" s="2">
        <v>43877.847858796296</v>
      </c>
      <c r="B16295" t="str">
        <f>HYPERLINK("https://twitter.com/mckymn","@mckymn")</f>
        <v>@mckymn</v>
      </c>
      <c r="C16295" t="s">
        <v>8289</v>
      </c>
      <c r="D16295">
        <v>24</v>
      </c>
      <c r="E16295">
        <v>0</v>
      </c>
      <c r="F16295">
        <v>1352</v>
      </c>
    </row>
    <row r="16296" spans="1:6" ht="12.75">
      <c r="A16296" s="2">
        <v>43877.847685185188</v>
      </c>
      <c r="B16296" t="str">
        <f>HYPERLINK("https://twitter.com/dandy1927","@dandy1927")</f>
        <v>@dandy1927</v>
      </c>
      <c r="C16296" t="s">
        <v>8290</v>
      </c>
      <c r="D16296">
        <v>3</v>
      </c>
      <c r="E16296">
        <v>0</v>
      </c>
      <c r="F16296">
        <v>261</v>
      </c>
    </row>
    <row r="16297" spans="1:6" ht="12.75">
      <c r="A16297" s="2">
        <v>43877.847025462965</v>
      </c>
      <c r="B16297" t="str">
        <f>HYPERLINK("https://twitter.com/KSUC","@KSUC")</f>
        <v>@KSUC</v>
      </c>
      <c r="C16297" t="s">
        <v>8291</v>
      </c>
      <c r="D16297">
        <v>0</v>
      </c>
      <c r="E16297">
        <v>0</v>
      </c>
      <c r="F16297">
        <v>569</v>
      </c>
    </row>
    <row r="16298" spans="1:6" ht="12.75">
      <c r="A16298" s="2">
        <v>43877.84679398148</v>
      </c>
      <c r="B16298" t="str">
        <f>HYPERLINK("https://twitter.com/AwamKiA46202919","@AwamKiA46202919")</f>
        <v>@AwamKiA46202919</v>
      </c>
      <c r="C16298" t="s">
        <v>8292</v>
      </c>
      <c r="D16298">
        <v>0</v>
      </c>
      <c r="E16298">
        <v>0</v>
      </c>
      <c r="F16298">
        <v>0</v>
      </c>
    </row>
    <row r="16299" spans="1:6" ht="12.75">
      <c r="A16299" s="2">
        <v>43877.846493055556</v>
      </c>
      <c r="B16299" t="str">
        <f>HYPERLINK("https://twitter.com/GoblokMasBebas","@GoblokMasBebas")</f>
        <v>@GoblokMasBebas</v>
      </c>
      <c r="C16299" t="s">
        <v>7298</v>
      </c>
      <c r="D16299">
        <v>48</v>
      </c>
      <c r="E16299">
        <v>0</v>
      </c>
      <c r="F16299">
        <v>276</v>
      </c>
    </row>
    <row r="16300" spans="1:6" ht="12.75">
      <c r="A16300" s="2">
        <v>43877.845069444447</v>
      </c>
      <c r="B16300" t="str">
        <f>HYPERLINK("https://twitter.com/Lvcaas_","@Lvcaas_")</f>
        <v>@Lvcaas_</v>
      </c>
      <c r="C16300" t="s">
        <v>8293</v>
      </c>
      <c r="D16300">
        <v>0</v>
      </c>
      <c r="E16300">
        <v>0</v>
      </c>
      <c r="F16300">
        <v>21</v>
      </c>
    </row>
    <row r="16301" spans="1:6" ht="12.75">
      <c r="A16301" s="2">
        <v>43877.844861111109</v>
      </c>
      <c r="B16301" t="str">
        <f>HYPERLINK("https://twitter.com/VictoriaSerbia","@VictoriaSerbia")</f>
        <v>@VictoriaSerbia</v>
      </c>
      <c r="C16301" t="s">
        <v>3150</v>
      </c>
      <c r="D16301">
        <v>348</v>
      </c>
      <c r="E16301">
        <v>0</v>
      </c>
      <c r="F16301">
        <v>1331</v>
      </c>
    </row>
    <row r="16302" spans="1:6" ht="12.75">
      <c r="A16302" s="2">
        <v>43877.844826388886</v>
      </c>
      <c r="B16302" t="str">
        <f>HYPERLINK("https://twitter.com/Owwie_Hio","@Owwie_Hio")</f>
        <v>@Owwie_Hio</v>
      </c>
      <c r="C16302" t="s">
        <v>6989</v>
      </c>
      <c r="D16302">
        <v>138</v>
      </c>
      <c r="E16302">
        <v>0</v>
      </c>
      <c r="F16302">
        <v>346</v>
      </c>
    </row>
    <row r="16303" spans="1:6" ht="12.75">
      <c r="A16303" s="2">
        <v>43877.844155092593</v>
      </c>
      <c r="B16303" t="str">
        <f>HYPERLINK("https://twitter.com/ryolandafit","@ryolandafit")</f>
        <v>@ryolandafit</v>
      </c>
      <c r="C16303" t="s">
        <v>8294</v>
      </c>
      <c r="D16303">
        <v>2</v>
      </c>
      <c r="E16303">
        <v>0</v>
      </c>
      <c r="F16303">
        <v>651</v>
      </c>
    </row>
    <row r="16304" spans="1:6" ht="12.75">
      <c r="A16304" s="2">
        <v>43877.843935185185</v>
      </c>
      <c r="B16304" t="str">
        <f>HYPERLINK("https://twitter.com/AgusAwe","@AgusAwe")</f>
        <v>@AgusAwe</v>
      </c>
      <c r="C16304" t="s">
        <v>8295</v>
      </c>
      <c r="D16304">
        <v>0</v>
      </c>
      <c r="E16304">
        <v>0</v>
      </c>
      <c r="F16304">
        <v>2000</v>
      </c>
    </row>
    <row r="16305" spans="1:6" ht="12.75">
      <c r="A16305" s="2">
        <v>43877.843634259261</v>
      </c>
      <c r="B16305" t="str">
        <f>HYPERLINK("https://twitter.com/Meanzhy3","@Meanzhy3")</f>
        <v>@Meanzhy3</v>
      </c>
      <c r="C16305" t="s">
        <v>8296</v>
      </c>
      <c r="D16305">
        <v>0</v>
      </c>
      <c r="E16305">
        <v>0</v>
      </c>
      <c r="F16305">
        <v>0</v>
      </c>
    </row>
    <row r="16306" spans="1:6" ht="12.75">
      <c r="A16306" s="2">
        <v>43877.843495370369</v>
      </c>
      <c r="B16306" t="str">
        <f>HYPERLINK("https://twitter.com/KBA_ONE","@KBA_ONE")</f>
        <v>@KBA_ONE</v>
      </c>
      <c r="C16306" t="s">
        <v>8297</v>
      </c>
      <c r="D16306">
        <v>0</v>
      </c>
      <c r="E16306">
        <v>0</v>
      </c>
      <c r="F16306">
        <v>581</v>
      </c>
    </row>
    <row r="16307" spans="1:6" ht="12.75">
      <c r="A16307" s="2">
        <v>43877.843449074076</v>
      </c>
      <c r="B16307" t="str">
        <f>HYPERLINK("https://twitter.com/affendijampar","@affendijampar")</f>
        <v>@affendijampar</v>
      </c>
      <c r="C16307" t="s">
        <v>8021</v>
      </c>
      <c r="D16307">
        <v>20</v>
      </c>
      <c r="E16307">
        <v>0</v>
      </c>
      <c r="F16307">
        <v>373</v>
      </c>
    </row>
    <row r="16308" spans="1:6" ht="12.75">
      <c r="A16308" s="2">
        <v>43877.843136574069</v>
      </c>
      <c r="B16308" t="str">
        <f>HYPERLINK("https://twitter.com/Lvcaas_","@Lvcaas_")</f>
        <v>@Lvcaas_</v>
      </c>
      <c r="C16308" t="s">
        <v>8298</v>
      </c>
      <c r="D16308">
        <v>0</v>
      </c>
      <c r="E16308">
        <v>0</v>
      </c>
      <c r="F16308">
        <v>21</v>
      </c>
    </row>
    <row r="16309" spans="1:6" ht="12.75">
      <c r="A16309" s="2">
        <v>43877.842974537038</v>
      </c>
      <c r="B16309" t="str">
        <f>HYPERLINK("https://twitter.com/esusumilo","@esusumilo")</f>
        <v>@esusumilo</v>
      </c>
      <c r="C16309" t="s">
        <v>8299</v>
      </c>
      <c r="D16309">
        <v>115</v>
      </c>
      <c r="E16309">
        <v>0</v>
      </c>
      <c r="F16309">
        <v>180</v>
      </c>
    </row>
    <row r="16310" spans="1:6" ht="12.75">
      <c r="A16310" s="2">
        <v>43877.842685185184</v>
      </c>
      <c r="B16310" t="str">
        <f>HYPERLINK("https://twitter.com/GoTotheJek","@GoTotheJek")</f>
        <v>@GoTotheJek</v>
      </c>
      <c r="C16310" t="s">
        <v>6989</v>
      </c>
      <c r="D16310">
        <v>138</v>
      </c>
      <c r="E16310">
        <v>0</v>
      </c>
      <c r="F16310">
        <v>772</v>
      </c>
    </row>
    <row r="16311" spans="1:6" ht="12.75">
      <c r="A16311" s="2">
        <v>43877.842499999999</v>
      </c>
      <c r="B16311" t="str">
        <f>HYPERLINK("https://twitter.com/KhSkoy","@KhSkoy")</f>
        <v>@KhSkoy</v>
      </c>
      <c r="C16311" t="s">
        <v>6338</v>
      </c>
      <c r="D16311">
        <v>753</v>
      </c>
      <c r="E16311">
        <v>0</v>
      </c>
      <c r="F16311">
        <v>10</v>
      </c>
    </row>
    <row r="16312" spans="1:6" ht="12.75">
      <c r="A16312" s="2">
        <v>43877.842499999999</v>
      </c>
      <c r="B16312" t="str">
        <f>HYPERLINK("https://twitter.com/rajawali888lim","@rajawali888lim")</f>
        <v>@rajawali888lim</v>
      </c>
      <c r="C16312" t="s">
        <v>8300</v>
      </c>
      <c r="D16312">
        <v>1</v>
      </c>
      <c r="E16312">
        <v>0</v>
      </c>
      <c r="F16312">
        <v>528</v>
      </c>
    </row>
    <row r="16313" spans="1:6" ht="12.75">
      <c r="A16313" s="2">
        <v>43877.842268518521</v>
      </c>
      <c r="B16313" t="str">
        <f>HYPERLINK("https://twitter.com/atikkkkah","@atikkkkah")</f>
        <v>@atikkkkah</v>
      </c>
      <c r="C16313" t="s">
        <v>8301</v>
      </c>
      <c r="D16313">
        <v>0</v>
      </c>
      <c r="E16313">
        <v>0</v>
      </c>
      <c r="F16313">
        <v>330</v>
      </c>
    </row>
    <row r="16314" spans="1:6" ht="12.75">
      <c r="A16314" s="2">
        <v>43877.842222222222</v>
      </c>
      <c r="B16314" t="str">
        <f>HYPERLINK("https://twitter.com/GoTotheJek","@GoTotheJek")</f>
        <v>@GoTotheJek</v>
      </c>
      <c r="C16314" t="s">
        <v>7298</v>
      </c>
      <c r="D16314">
        <v>48</v>
      </c>
      <c r="E16314">
        <v>0</v>
      </c>
      <c r="F16314">
        <v>772</v>
      </c>
    </row>
    <row r="16315" spans="1:6" ht="12.75">
      <c r="A16315" s="2">
        <v>43877.841851851852</v>
      </c>
      <c r="B16315" t="str">
        <f>HYPERLINK("https://twitter.com/andri000me","@andri000me")</f>
        <v>@andri000me</v>
      </c>
      <c r="C16315" t="s">
        <v>8290</v>
      </c>
      <c r="D16315">
        <v>0</v>
      </c>
      <c r="E16315">
        <v>0</v>
      </c>
      <c r="F16315">
        <v>175</v>
      </c>
    </row>
    <row r="16316" spans="1:6" ht="12.75">
      <c r="A16316" s="2">
        <v>43877.834895833337</v>
      </c>
      <c r="B16316" t="str">
        <f>HYPERLINK("https://twitter.com/MbiringD","@MbiringD")</f>
        <v>@MbiringD</v>
      </c>
      <c r="C16316" t="s">
        <v>8302</v>
      </c>
      <c r="D16316">
        <v>0</v>
      </c>
      <c r="E16316">
        <v>0</v>
      </c>
      <c r="F16316">
        <v>74</v>
      </c>
    </row>
    <row r="16317" spans="1:6" ht="12.75">
      <c r="A16317" s="2">
        <v>43877.834745370375</v>
      </c>
      <c r="B16317" t="str">
        <f>HYPERLINK("https://twitter.com/tokpitut","@tokpitut")</f>
        <v>@tokpitut</v>
      </c>
      <c r="C16317" t="s">
        <v>7298</v>
      </c>
      <c r="D16317">
        <v>42</v>
      </c>
      <c r="E16317">
        <v>0</v>
      </c>
      <c r="F16317">
        <v>813</v>
      </c>
    </row>
    <row r="16318" spans="1:6" ht="12.75">
      <c r="A16318" s="2">
        <v>43877.834733796291</v>
      </c>
      <c r="B16318" t="str">
        <f>HYPERLINK("https://twitter.com/AbyAlan_","@AbyAlan_")</f>
        <v>@AbyAlan_</v>
      </c>
      <c r="C16318" t="s">
        <v>8303</v>
      </c>
      <c r="D16318">
        <v>0</v>
      </c>
      <c r="E16318">
        <v>0</v>
      </c>
      <c r="F16318">
        <v>497</v>
      </c>
    </row>
    <row r="16319" spans="1:6" ht="12.75">
      <c r="A16319" s="2">
        <v>43877.834664351853</v>
      </c>
      <c r="B16319" t="str">
        <f>HYPERLINK("https://twitter.com/esemalattas","@esemalattas")</f>
        <v>@esemalattas</v>
      </c>
      <c r="C16319" t="s">
        <v>7956</v>
      </c>
      <c r="D16319">
        <v>55</v>
      </c>
      <c r="E16319">
        <v>0</v>
      </c>
      <c r="F16319">
        <v>1444</v>
      </c>
    </row>
    <row r="16320" spans="1:6" ht="12.75">
      <c r="A16320" s="2">
        <v>43877.834444444445</v>
      </c>
      <c r="B16320" t="str">
        <f>HYPERLINK("https://twitter.com/MAlexandriet","@MAlexandriet")</f>
        <v>@MAlexandriet</v>
      </c>
      <c r="C16320" t="s">
        <v>8304</v>
      </c>
      <c r="D16320">
        <v>3</v>
      </c>
      <c r="E16320">
        <v>0</v>
      </c>
      <c r="F16320">
        <v>196</v>
      </c>
    </row>
    <row r="16321" spans="1:6" ht="12.75">
      <c r="A16321" s="2">
        <v>43877.834374999999</v>
      </c>
      <c r="B16321" t="str">
        <f>HYPERLINK("https://twitter.com/vannymoonti","@vannymoonti")</f>
        <v>@vannymoonti</v>
      </c>
      <c r="C16321" t="s">
        <v>6338</v>
      </c>
      <c r="D16321">
        <v>748</v>
      </c>
      <c r="E16321">
        <v>0</v>
      </c>
      <c r="F16321">
        <v>387</v>
      </c>
    </row>
    <row r="16322" spans="1:6" ht="12.75">
      <c r="A16322" s="2">
        <v>43877.834282407406</v>
      </c>
      <c r="B16322" t="str">
        <f>HYPERLINK("https://twitter.com/MAlexandriet","@MAlexandriet")</f>
        <v>@MAlexandriet</v>
      </c>
      <c r="C16322" t="s">
        <v>8305</v>
      </c>
      <c r="D16322">
        <v>2</v>
      </c>
      <c r="E16322">
        <v>0</v>
      </c>
      <c r="F16322">
        <v>196</v>
      </c>
    </row>
    <row r="16323" spans="1:6" ht="12.75">
      <c r="A16323" s="2">
        <v>43877.833969907406</v>
      </c>
      <c r="B16323" t="str">
        <f>HYPERLINK("https://twitter.com/riskiapu","@riskiapu")</f>
        <v>@riskiapu</v>
      </c>
      <c r="C16323" t="s">
        <v>8306</v>
      </c>
      <c r="D16323">
        <v>1</v>
      </c>
      <c r="E16323">
        <v>0</v>
      </c>
      <c r="F16323">
        <v>108</v>
      </c>
    </row>
    <row r="16324" spans="1:6" ht="12.75">
      <c r="A16324" s="2">
        <v>43877.833680555559</v>
      </c>
      <c r="B16324" t="str">
        <f>HYPERLINK("https://twitter.com/adithlaziale","@adithlaziale")</f>
        <v>@adithlaziale</v>
      </c>
      <c r="C16324" t="s">
        <v>8307</v>
      </c>
      <c r="D16324">
        <v>0</v>
      </c>
      <c r="E16324">
        <v>0</v>
      </c>
      <c r="F16324">
        <v>195</v>
      </c>
    </row>
    <row r="16325" spans="1:6" ht="12.75">
      <c r="A16325" s="2">
        <v>43877.833553240736</v>
      </c>
      <c r="B16325" t="str">
        <f>HYPERLINK("https://twitter.com/Frying_Machine","@Frying_Machine")</f>
        <v>@Frying_Machine</v>
      </c>
      <c r="C16325" t="s">
        <v>3150</v>
      </c>
      <c r="D16325">
        <v>345</v>
      </c>
      <c r="E16325">
        <v>0</v>
      </c>
      <c r="F16325">
        <v>1149</v>
      </c>
    </row>
    <row r="16326" spans="1:6" ht="12.75">
      <c r="A16326" s="2">
        <v>43877.833483796298</v>
      </c>
      <c r="B16326" t="str">
        <f>HYPERLINK("https://twitter.com/ginga3294","@ginga3294")</f>
        <v>@ginga3294</v>
      </c>
      <c r="C16326" t="s">
        <v>6338</v>
      </c>
      <c r="D16326">
        <v>748</v>
      </c>
      <c r="E16326">
        <v>0</v>
      </c>
      <c r="F16326">
        <v>327</v>
      </c>
    </row>
    <row r="16327" spans="1:6" ht="12.75">
      <c r="A16327" s="2">
        <v>43877.833229166667</v>
      </c>
      <c r="B16327" t="str">
        <f>HYPERLINK("https://twitter.com/jinarsaskara","@jinarsaskara")</f>
        <v>@jinarsaskara</v>
      </c>
      <c r="C16327" t="s">
        <v>6989</v>
      </c>
      <c r="D16327">
        <v>127</v>
      </c>
      <c r="E16327">
        <v>0</v>
      </c>
      <c r="F16327">
        <v>2859</v>
      </c>
    </row>
    <row r="16328" spans="1:6" ht="12.75">
      <c r="A16328" s="2">
        <v>43877.832476851851</v>
      </c>
      <c r="B16328" t="str">
        <f>HYPERLINK("https://twitter.com/laperkaliloh","@laperkaliloh")</f>
        <v>@laperkaliloh</v>
      </c>
      <c r="C16328" t="s">
        <v>6338</v>
      </c>
      <c r="D16328">
        <v>748</v>
      </c>
      <c r="E16328">
        <v>0</v>
      </c>
      <c r="F16328">
        <v>1667</v>
      </c>
    </row>
    <row r="16329" spans="1:6" ht="12.75">
      <c r="A16329" s="2">
        <v>43877.832337962958</v>
      </c>
      <c r="B16329" t="str">
        <f>HYPERLINK("https://twitter.com/anak_anakafir","@anak_anakafir")</f>
        <v>@anak_anakafir</v>
      </c>
      <c r="C16329" t="s">
        <v>7298</v>
      </c>
      <c r="D16329">
        <v>42</v>
      </c>
      <c r="E16329">
        <v>0</v>
      </c>
      <c r="F16329">
        <v>4121</v>
      </c>
    </row>
    <row r="16330" spans="1:6" ht="12.75">
      <c r="A16330" s="2">
        <v>43877.832002314812</v>
      </c>
      <c r="B16330" t="str">
        <f>HYPERLINK("https://twitter.com/basidann","@basidann")</f>
        <v>@basidann</v>
      </c>
      <c r="C16330" t="s">
        <v>8308</v>
      </c>
      <c r="D16330">
        <v>0</v>
      </c>
      <c r="E16330">
        <v>0</v>
      </c>
      <c r="F16330">
        <v>180</v>
      </c>
    </row>
    <row r="16331" spans="1:6" ht="12.75">
      <c r="A16331" s="2">
        <v>43877.831967592589</v>
      </c>
      <c r="B16331" t="str">
        <f>HYPERLINK("https://twitter.com/_RahmatSetyawan","@_RahmatSetyawan")</f>
        <v>@_RahmatSetyawan</v>
      </c>
      <c r="C16331" t="s">
        <v>8309</v>
      </c>
      <c r="D16331">
        <v>0</v>
      </c>
      <c r="E16331">
        <v>0</v>
      </c>
      <c r="F16331">
        <v>422</v>
      </c>
    </row>
    <row r="16332" spans="1:6" ht="12.75">
      <c r="A16332" s="2">
        <v>43877.830937499995</v>
      </c>
      <c r="B16332" t="str">
        <f>HYPERLINK("https://twitter.com/denyspam","@denyspam")</f>
        <v>@denyspam</v>
      </c>
      <c r="C16332" t="s">
        <v>8310</v>
      </c>
      <c r="D16332">
        <v>0</v>
      </c>
      <c r="E16332">
        <v>0</v>
      </c>
      <c r="F16332">
        <v>200</v>
      </c>
    </row>
    <row r="16333" spans="1:6" ht="12.75">
      <c r="A16333" s="2">
        <v>43877.830497685187</v>
      </c>
      <c r="B16333" t="str">
        <f>HYPERLINK("https://twitter.com/kotaktisu4","@kotaktisu4")</f>
        <v>@kotaktisu4</v>
      </c>
      <c r="C16333" t="s">
        <v>8311</v>
      </c>
      <c r="D16333">
        <v>0</v>
      </c>
      <c r="E16333">
        <v>1</v>
      </c>
      <c r="F16333">
        <v>37</v>
      </c>
    </row>
    <row r="16334" spans="1:6" ht="12.75">
      <c r="A16334" s="2">
        <v>43877.830208333333</v>
      </c>
      <c r="B16334" t="str">
        <f>HYPERLINK("https://twitter.com/NgaritCommunity","@NgaritCommunity")</f>
        <v>@NgaritCommunity</v>
      </c>
      <c r="C16334" t="s">
        <v>6989</v>
      </c>
      <c r="D16334">
        <v>127</v>
      </c>
      <c r="E16334">
        <v>0</v>
      </c>
      <c r="F16334">
        <v>425</v>
      </c>
    </row>
    <row r="16335" spans="1:6" ht="12.75">
      <c r="A16335" s="2">
        <v>43877.829513888893</v>
      </c>
      <c r="B16335" t="str">
        <f>HYPERLINK("https://twitter.com/arysandi","@arysandi")</f>
        <v>@arysandi</v>
      </c>
      <c r="C16335" t="s">
        <v>6338</v>
      </c>
      <c r="D16335">
        <v>748</v>
      </c>
      <c r="E16335">
        <v>0</v>
      </c>
      <c r="F16335">
        <v>1168</v>
      </c>
    </row>
    <row r="16336" spans="1:6" ht="12.75">
      <c r="A16336" s="2">
        <v>43877.829270833332</v>
      </c>
      <c r="B16336" t="str">
        <f>HYPERLINK("https://twitter.com/narita_namaewa","@narita_namaewa")</f>
        <v>@narita_namaewa</v>
      </c>
      <c r="C16336" t="s">
        <v>8159</v>
      </c>
      <c r="D16336">
        <v>2</v>
      </c>
      <c r="E16336">
        <v>0</v>
      </c>
      <c r="F16336">
        <v>346</v>
      </c>
    </row>
    <row r="16337" spans="1:6" ht="12.75">
      <c r="A16337" s="2">
        <v>43877.829247685186</v>
      </c>
      <c r="B16337" t="str">
        <f>HYPERLINK("https://twitter.com/SantiLim14","@SantiLim14")</f>
        <v>@SantiLim14</v>
      </c>
      <c r="C16337" t="s">
        <v>8312</v>
      </c>
      <c r="D16337">
        <v>0</v>
      </c>
      <c r="E16337">
        <v>0</v>
      </c>
      <c r="F16337">
        <v>3997</v>
      </c>
    </row>
    <row r="16338" spans="1:6" ht="12.75">
      <c r="A16338" s="2">
        <v>43877.829189814816</v>
      </c>
      <c r="B16338" t="str">
        <f>HYPERLINK("https://twitter.com/robert868686","@robert868686")</f>
        <v>@robert868686</v>
      </c>
      <c r="C16338" t="s">
        <v>8313</v>
      </c>
      <c r="D16338">
        <v>0</v>
      </c>
      <c r="E16338">
        <v>1</v>
      </c>
      <c r="F16338">
        <v>248</v>
      </c>
    </row>
    <row r="16339" spans="1:6" ht="12.75">
      <c r="A16339" s="2">
        <v>43877.82913194444</v>
      </c>
      <c r="B16339" t="str">
        <f>HYPERLINK("https://twitter.com/Fitra2309","@Fitra2309")</f>
        <v>@Fitra2309</v>
      </c>
      <c r="C16339" t="s">
        <v>6338</v>
      </c>
      <c r="D16339">
        <v>748</v>
      </c>
      <c r="E16339">
        <v>0</v>
      </c>
      <c r="F16339">
        <v>12</v>
      </c>
    </row>
    <row r="16340" spans="1:6" ht="12.75">
      <c r="A16340" s="2">
        <v>43877.828460648147</v>
      </c>
      <c r="B16340" t="str">
        <f>HYPERLINK("https://twitter.com/nasharluthfi","@nasharluthfi")</f>
        <v>@nasharluthfi</v>
      </c>
      <c r="C16340" t="s">
        <v>6338</v>
      </c>
      <c r="D16340">
        <v>748</v>
      </c>
      <c r="E16340">
        <v>0</v>
      </c>
      <c r="F16340">
        <v>451</v>
      </c>
    </row>
    <row r="16341" spans="1:6" ht="12.75">
      <c r="A16341" s="2">
        <v>43877.828402777777</v>
      </c>
      <c r="B16341" t="str">
        <f>HYPERLINK("https://twitter.com/LubisMadina2","@LubisMadina2")</f>
        <v>@LubisMadina2</v>
      </c>
      <c r="C16341" t="s">
        <v>8314</v>
      </c>
      <c r="D16341">
        <v>0</v>
      </c>
      <c r="E16341">
        <v>0</v>
      </c>
      <c r="F16341">
        <v>2191</v>
      </c>
    </row>
    <row r="16342" spans="1:6" ht="12.75">
      <c r="A16342" s="2">
        <v>43877.827893518523</v>
      </c>
      <c r="B16342" t="str">
        <f>HYPERLINK("https://twitter.com/toasan","@toasan")</f>
        <v>@toasan</v>
      </c>
      <c r="C16342" t="s">
        <v>8315</v>
      </c>
      <c r="D16342">
        <v>0</v>
      </c>
      <c r="E16342">
        <v>0</v>
      </c>
      <c r="F16342">
        <v>20</v>
      </c>
    </row>
    <row r="16343" spans="1:6" ht="12.75">
      <c r="A16343" s="2">
        <v>43877.827662037038</v>
      </c>
      <c r="B16343" t="str">
        <f>HYPERLINK("https://twitter.com/Michael79820241","@Michael79820241")</f>
        <v>@Michael79820241</v>
      </c>
      <c r="C16343" t="s">
        <v>7298</v>
      </c>
      <c r="D16343">
        <v>42</v>
      </c>
      <c r="E16343">
        <v>0</v>
      </c>
      <c r="F16343">
        <v>96</v>
      </c>
    </row>
    <row r="16344" spans="1:6" ht="12.75">
      <c r="A16344" s="2">
        <v>43877.827418981484</v>
      </c>
      <c r="B16344" t="str">
        <f>HYPERLINK("https://twitter.com/mujibakm","@mujibakm")</f>
        <v>@mujibakm</v>
      </c>
      <c r="C16344" t="s">
        <v>8316</v>
      </c>
      <c r="D16344">
        <v>0</v>
      </c>
      <c r="E16344">
        <v>0</v>
      </c>
      <c r="F16344">
        <v>472</v>
      </c>
    </row>
    <row r="16345" spans="1:6" ht="12.75">
      <c r="A16345" s="2">
        <v>43877.827187499999</v>
      </c>
      <c r="B16345" t="str">
        <f>HYPERLINK("https://twitter.com/Nana_Wahab","@Nana_Wahab")</f>
        <v>@Nana_Wahab</v>
      </c>
      <c r="C16345" t="s">
        <v>8317</v>
      </c>
      <c r="D16345">
        <v>17</v>
      </c>
      <c r="E16345">
        <v>0</v>
      </c>
      <c r="F16345">
        <v>597</v>
      </c>
    </row>
    <row r="16346" spans="1:6" ht="12.75">
      <c r="A16346" s="2">
        <v>43877.82712962963</v>
      </c>
      <c r="B16346" t="str">
        <f>HYPERLINK("https://twitter.com/harun_saidi","@harun_saidi")</f>
        <v>@harun_saidi</v>
      </c>
      <c r="C16346" t="s">
        <v>7963</v>
      </c>
      <c r="D16346">
        <v>0</v>
      </c>
      <c r="E16346">
        <v>0</v>
      </c>
      <c r="F16346">
        <v>13</v>
      </c>
    </row>
    <row r="16347" spans="1:6" ht="12.75">
      <c r="A16347" s="2">
        <v>43877.826423611114</v>
      </c>
      <c r="B16347" t="str">
        <f>HYPERLINK("https://twitter.com/agung_setiyadi","@agung_setiyadi")</f>
        <v>@agung_setiyadi</v>
      </c>
      <c r="C16347" t="s">
        <v>8318</v>
      </c>
      <c r="D16347">
        <v>0</v>
      </c>
      <c r="E16347">
        <v>0</v>
      </c>
      <c r="F16347">
        <v>72</v>
      </c>
    </row>
    <row r="16348" spans="1:6" ht="12.75">
      <c r="A16348" s="2">
        <v>43877.82603009259</v>
      </c>
      <c r="B16348" t="str">
        <f>HYPERLINK("https://twitter.com/Samuja9","@Samuja9")</f>
        <v>@Samuja9</v>
      </c>
      <c r="C16348" t="s">
        <v>7298</v>
      </c>
      <c r="D16348">
        <v>42</v>
      </c>
      <c r="E16348">
        <v>0</v>
      </c>
      <c r="F16348">
        <v>1113</v>
      </c>
    </row>
    <row r="16349" spans="1:6" ht="12.75">
      <c r="A16349" s="2">
        <v>43877.825868055559</v>
      </c>
      <c r="B16349" t="str">
        <f>HYPERLINK("https://twitter.com/thaib_solehudin","@thaib_solehudin")</f>
        <v>@thaib_solehudin</v>
      </c>
      <c r="C16349" t="s">
        <v>6338</v>
      </c>
      <c r="D16349">
        <v>748</v>
      </c>
      <c r="E16349">
        <v>0</v>
      </c>
      <c r="F16349">
        <v>6</v>
      </c>
    </row>
    <row r="16350" spans="1:6" ht="12.75">
      <c r="A16350" s="2">
        <v>43877.825740740736</v>
      </c>
      <c r="B16350" t="str">
        <f>HYPERLINK("https://twitter.com/pendrxgxn","@pendrxgxn")</f>
        <v>@pendrxgxn</v>
      </c>
      <c r="C16350" t="s">
        <v>8089</v>
      </c>
      <c r="D16350">
        <v>10</v>
      </c>
      <c r="E16350">
        <v>0</v>
      </c>
      <c r="F16350">
        <v>491</v>
      </c>
    </row>
    <row r="16351" spans="1:6" ht="12.75">
      <c r="A16351" s="2">
        <v>43877.825555555552</v>
      </c>
      <c r="B16351" t="str">
        <f>HYPERLINK("https://twitter.com/LubisMadina2","@LubisMadina2")</f>
        <v>@LubisMadina2</v>
      </c>
      <c r="C16351" t="s">
        <v>8319</v>
      </c>
      <c r="D16351">
        <v>0</v>
      </c>
      <c r="E16351">
        <v>0</v>
      </c>
      <c r="F16351">
        <v>2191</v>
      </c>
    </row>
    <row r="16352" spans="1:6" ht="12.75">
      <c r="A16352" s="2">
        <v>43877.825532407413</v>
      </c>
      <c r="B16352" t="str">
        <f>HYPERLINK("https://twitter.com/republikaonline","@republikaonline")</f>
        <v>@republikaonline</v>
      </c>
      <c r="C16352" t="s">
        <v>8320</v>
      </c>
      <c r="D16352">
        <v>1</v>
      </c>
      <c r="E16352">
        <v>6</v>
      </c>
      <c r="F16352">
        <v>1210697</v>
      </c>
    </row>
    <row r="16353" spans="1:6" ht="12.75">
      <c r="A16353" s="2">
        <v>43877.825509259259</v>
      </c>
      <c r="B16353" t="str">
        <f>HYPERLINK("https://twitter.com/Moch_herianto","@Moch_herianto")</f>
        <v>@Moch_herianto</v>
      </c>
      <c r="C16353" t="s">
        <v>8321</v>
      </c>
      <c r="D16353">
        <v>0</v>
      </c>
      <c r="E16353">
        <v>1</v>
      </c>
      <c r="F16353">
        <v>3169</v>
      </c>
    </row>
    <row r="16354" spans="1:6" ht="12.75">
      <c r="A16354" s="2">
        <v>43877.824976851851</v>
      </c>
      <c r="B16354" t="str">
        <f>HYPERLINK("https://twitter.com/MelayuTulin72","@MelayuTulin72")</f>
        <v>@MelayuTulin72</v>
      </c>
      <c r="C16354" t="s">
        <v>8322</v>
      </c>
      <c r="D16354">
        <v>0</v>
      </c>
      <c r="E16354">
        <v>0</v>
      </c>
      <c r="F16354">
        <v>399</v>
      </c>
    </row>
    <row r="16355" spans="1:6" ht="12.75">
      <c r="A16355" s="2">
        <v>43877.824918981481</v>
      </c>
      <c r="B16355" t="str">
        <f>HYPERLINK("https://twitter.com/AlisonCandi","@AlisonCandi")</f>
        <v>@AlisonCandi</v>
      </c>
      <c r="C16355" t="s">
        <v>8323</v>
      </c>
      <c r="D16355">
        <v>2</v>
      </c>
      <c r="E16355">
        <v>0</v>
      </c>
      <c r="F16355">
        <v>36</v>
      </c>
    </row>
    <row r="16356" spans="1:6" ht="12.75">
      <c r="A16356" s="2">
        <v>43877.823958333334</v>
      </c>
      <c r="B16356" t="str">
        <f>HYPERLINK("https://twitter.com/120wombat","@120wombat")</f>
        <v>@120wombat</v>
      </c>
      <c r="C16356" t="s">
        <v>3150</v>
      </c>
      <c r="D16356">
        <v>345</v>
      </c>
      <c r="E16356">
        <v>0</v>
      </c>
      <c r="F16356">
        <v>146</v>
      </c>
    </row>
    <row r="16357" spans="1:6" ht="12.75">
      <c r="A16357" s="2">
        <v>43877.823738425926</v>
      </c>
      <c r="B16357" t="str">
        <f>HYPERLINK("https://twitter.com/ryndakarunia","@ryndakarunia")</f>
        <v>@ryndakarunia</v>
      </c>
      <c r="C16357" t="s">
        <v>8324</v>
      </c>
      <c r="D16357">
        <v>0</v>
      </c>
      <c r="E16357">
        <v>0</v>
      </c>
      <c r="F16357">
        <v>79</v>
      </c>
    </row>
    <row r="16358" spans="1:6" ht="12.75">
      <c r="A16358" s="2">
        <v>43877.82366898148</v>
      </c>
      <c r="B16358" t="str">
        <f>HYPERLINK("https://twitter.com/vioUul","@vioUul")</f>
        <v>@vioUul</v>
      </c>
      <c r="C16358" t="s">
        <v>8325</v>
      </c>
      <c r="D16358">
        <v>0</v>
      </c>
      <c r="E16358">
        <v>0</v>
      </c>
      <c r="F16358">
        <v>2641</v>
      </c>
    </row>
    <row r="16359" spans="1:6" ht="12.75">
      <c r="A16359" s="2">
        <v>43877.823333333334</v>
      </c>
      <c r="B16359" t="str">
        <f>HYPERLINK("https://twitter.com/KadalGu","@KadalGu")</f>
        <v>@KadalGu</v>
      </c>
      <c r="C16359" t="s">
        <v>8326</v>
      </c>
      <c r="D16359">
        <v>1</v>
      </c>
      <c r="E16359">
        <v>0</v>
      </c>
      <c r="F16359">
        <v>300</v>
      </c>
    </row>
    <row r="16360" spans="1:6" ht="12.75">
      <c r="A16360" s="2">
        <v>43877.823287037041</v>
      </c>
      <c r="B16360" t="str">
        <f>HYPERLINK("https://twitter.com/yogaadit25","@yogaadit25")</f>
        <v>@yogaadit25</v>
      </c>
      <c r="C16360" t="s">
        <v>6989</v>
      </c>
      <c r="D16360">
        <v>127</v>
      </c>
      <c r="E16360">
        <v>0</v>
      </c>
      <c r="F16360">
        <v>1140</v>
      </c>
    </row>
    <row r="16361" spans="1:6" ht="12.75">
      <c r="A16361" s="2">
        <v>43877.822384259256</v>
      </c>
      <c r="B16361" t="str">
        <f>HYPERLINK("https://twitter.com/badutttttt","@badutttttt")</f>
        <v>@badutttttt</v>
      </c>
      <c r="C16361" t="s">
        <v>8327</v>
      </c>
      <c r="D16361">
        <v>0</v>
      </c>
      <c r="E16361">
        <v>0</v>
      </c>
      <c r="F16361">
        <v>1637</v>
      </c>
    </row>
    <row r="16362" spans="1:6" ht="12.75">
      <c r="A16362" s="2">
        <v>43877.822268518517</v>
      </c>
      <c r="B16362" t="str">
        <f>HYPERLINK("https://twitter.com/Basha0114","@Basha0114")</f>
        <v>@Basha0114</v>
      </c>
      <c r="C16362" t="s">
        <v>6989</v>
      </c>
      <c r="D16362">
        <v>127</v>
      </c>
      <c r="E16362">
        <v>0</v>
      </c>
      <c r="F16362">
        <v>616</v>
      </c>
    </row>
    <row r="16363" spans="1:6" ht="12.75">
      <c r="A16363" s="2">
        <v>43877.82203703704</v>
      </c>
      <c r="B16363" t="str">
        <f>HYPERLINK("https://twitter.com/SolehudinSaeful","@SolehudinSaeful")</f>
        <v>@SolehudinSaeful</v>
      </c>
      <c r="C16363" t="s">
        <v>6338</v>
      </c>
      <c r="D16363">
        <v>748</v>
      </c>
      <c r="E16363">
        <v>0</v>
      </c>
      <c r="F16363">
        <v>142</v>
      </c>
    </row>
    <row r="16364" spans="1:6" ht="12.75">
      <c r="A16364" s="2">
        <v>43877.821828703702</v>
      </c>
      <c r="B16364" t="str">
        <f>HYPERLINK("https://twitter.com/jamiezamzam","@jamiezamzam")</f>
        <v>@jamiezamzam</v>
      </c>
      <c r="C16364" t="s">
        <v>8328</v>
      </c>
      <c r="D16364">
        <v>75</v>
      </c>
      <c r="E16364">
        <v>0</v>
      </c>
      <c r="F16364">
        <v>65</v>
      </c>
    </row>
    <row r="16365" spans="1:6" ht="12.75">
      <c r="A16365" s="2">
        <v>43877.821226851855</v>
      </c>
      <c r="B16365" t="str">
        <f>HYPERLINK("https://twitter.com/blemod","@blemod")</f>
        <v>@blemod</v>
      </c>
      <c r="C16365" t="s">
        <v>7298</v>
      </c>
      <c r="D16365">
        <v>42</v>
      </c>
      <c r="E16365">
        <v>0</v>
      </c>
      <c r="F16365">
        <v>1181</v>
      </c>
    </row>
    <row r="16366" spans="1:6" ht="12.75">
      <c r="A16366" s="2">
        <v>43877.820821759262</v>
      </c>
      <c r="B16366" t="str">
        <f>HYPERLINK("https://twitter.com/josep_ginting","@josep_ginting")</f>
        <v>@josep_ginting</v>
      </c>
      <c r="C16366" t="s">
        <v>6989</v>
      </c>
      <c r="D16366">
        <v>127</v>
      </c>
      <c r="E16366">
        <v>0</v>
      </c>
      <c r="F16366">
        <v>3939</v>
      </c>
    </row>
    <row r="16367" spans="1:6" ht="12.75">
      <c r="A16367" s="2">
        <v>43877.819664351853</v>
      </c>
      <c r="B16367" t="str">
        <f>HYPERLINK("https://twitter.com/rianku02","@rianku02")</f>
        <v>@rianku02</v>
      </c>
      <c r="C16367" t="s">
        <v>8329</v>
      </c>
      <c r="D16367">
        <v>8</v>
      </c>
      <c r="E16367">
        <v>0</v>
      </c>
      <c r="F16367">
        <v>271</v>
      </c>
    </row>
    <row r="16368" spans="1:6" ht="12.75">
      <c r="A16368" s="2">
        <v>43877.819479166668</v>
      </c>
      <c r="B16368" t="str">
        <f>HYPERLINK("https://twitter.com/ambargedon","@ambargedon")</f>
        <v>@ambargedon</v>
      </c>
      <c r="C16368" t="s">
        <v>8330</v>
      </c>
      <c r="D16368">
        <v>0</v>
      </c>
      <c r="E16368">
        <v>0</v>
      </c>
      <c r="F16368">
        <v>282</v>
      </c>
    </row>
    <row r="16369" spans="1:6" ht="12.75">
      <c r="A16369" s="2">
        <v>43877.818784722222</v>
      </c>
      <c r="B16369" t="str">
        <f>HYPERLINK("https://twitter.com/suaradotcom","@suaradotcom")</f>
        <v>@suaradotcom</v>
      </c>
      <c r="C16369" t="s">
        <v>8331</v>
      </c>
      <c r="D16369">
        <v>0</v>
      </c>
      <c r="E16369">
        <v>0</v>
      </c>
      <c r="F16369">
        <v>24154</v>
      </c>
    </row>
    <row r="16370" spans="1:6" ht="12.75">
      <c r="A16370" s="2">
        <v>43877.818506944444</v>
      </c>
      <c r="B16370" t="str">
        <f>HYPERLINK("https://twitter.com/DitaManggala","@DitaManggala")</f>
        <v>@DitaManggala</v>
      </c>
      <c r="C16370" t="s">
        <v>2147</v>
      </c>
      <c r="D16370">
        <v>538</v>
      </c>
      <c r="E16370">
        <v>0</v>
      </c>
      <c r="F16370">
        <v>3</v>
      </c>
    </row>
    <row r="16371" spans="1:6" ht="12.75">
      <c r="A16371" s="2">
        <v>43877.81832175926</v>
      </c>
      <c r="B16371" t="str">
        <f>HYPERLINK("https://twitter.com/dheniraaa","@dheniraaa")</f>
        <v>@dheniraaa</v>
      </c>
      <c r="C16371" t="s">
        <v>8332</v>
      </c>
      <c r="D16371">
        <v>0</v>
      </c>
      <c r="E16371">
        <v>0</v>
      </c>
      <c r="F16371">
        <v>319</v>
      </c>
    </row>
    <row r="16372" spans="1:6" ht="12.75">
      <c r="A16372" s="2">
        <v>43877.81831018519</v>
      </c>
      <c r="B16372" t="str">
        <f>HYPERLINK("https://twitter.com/DiantyYasmin3","@DiantyYasmin3")</f>
        <v>@DiantyYasmin3</v>
      </c>
      <c r="C16372" t="s">
        <v>8333</v>
      </c>
      <c r="D16372">
        <v>1</v>
      </c>
      <c r="E16372">
        <v>0</v>
      </c>
      <c r="F16372">
        <v>9557</v>
      </c>
    </row>
    <row r="16373" spans="1:6" ht="12.75">
      <c r="A16373" s="2">
        <v>43877.817962962959</v>
      </c>
      <c r="B16373" t="str">
        <f>HYPERLINK("https://twitter.com/triajaaa","@triajaaa")</f>
        <v>@triajaaa</v>
      </c>
      <c r="C16373" t="s">
        <v>8334</v>
      </c>
      <c r="D16373">
        <v>0</v>
      </c>
      <c r="E16373">
        <v>0</v>
      </c>
      <c r="F16373">
        <v>4504</v>
      </c>
    </row>
    <row r="16374" spans="1:6" ht="12.75">
      <c r="A16374" s="2">
        <v>43877.817719907413</v>
      </c>
      <c r="B16374" t="str">
        <f>HYPERLINK("https://twitter.com/bankdeny","@bankdeny")</f>
        <v>@bankdeny</v>
      </c>
      <c r="C16374" t="s">
        <v>7956</v>
      </c>
      <c r="D16374">
        <v>55</v>
      </c>
      <c r="E16374">
        <v>0</v>
      </c>
      <c r="F16374">
        <v>626</v>
      </c>
    </row>
    <row r="16375" spans="1:6" ht="12.75">
      <c r="A16375" s="2">
        <v>43877.817650462966</v>
      </c>
      <c r="B16375" t="str">
        <f>HYPERLINK("https://twitter.com/HoltHolt99","@HoltHolt99")</f>
        <v>@HoltHolt99</v>
      </c>
      <c r="C16375" t="s">
        <v>3150</v>
      </c>
      <c r="D16375">
        <v>345</v>
      </c>
      <c r="E16375">
        <v>0</v>
      </c>
      <c r="F16375">
        <v>1293</v>
      </c>
    </row>
    <row r="16376" spans="1:6" ht="12.75">
      <c r="A16376" s="2">
        <v>43877.81763888889</v>
      </c>
      <c r="B16376" t="str">
        <f>HYPERLINK("https://twitter.com/ImeldaTheQueen","@ImeldaTheQueen")</f>
        <v>@ImeldaTheQueen</v>
      </c>
      <c r="C16376" t="s">
        <v>7129</v>
      </c>
      <c r="D16376">
        <v>2</v>
      </c>
      <c r="E16376">
        <v>0</v>
      </c>
      <c r="F16376">
        <v>375</v>
      </c>
    </row>
    <row r="16377" spans="1:6" ht="12.75">
      <c r="A16377" s="2">
        <v>43877.817303240736</v>
      </c>
      <c r="B16377" t="str">
        <f>HYPERLINK("https://twitter.com/LathifahEdib","@LathifahEdib")</f>
        <v>@LathifahEdib</v>
      </c>
      <c r="C16377" t="s">
        <v>2444</v>
      </c>
      <c r="D16377">
        <v>4552</v>
      </c>
      <c r="E16377">
        <v>0</v>
      </c>
      <c r="F16377">
        <v>4765</v>
      </c>
    </row>
    <row r="16378" spans="1:6" ht="12.75">
      <c r="A16378" s="2">
        <v>43877.817291666666</v>
      </c>
      <c r="B16378" t="str">
        <f>HYPERLINK("https://twitter.com/Julia_Zeed","@Julia_Zeed")</f>
        <v>@Julia_Zeed</v>
      </c>
      <c r="C16378" t="s">
        <v>7129</v>
      </c>
      <c r="D16378">
        <v>2</v>
      </c>
      <c r="E16378">
        <v>0</v>
      </c>
      <c r="F16378">
        <v>2614</v>
      </c>
    </row>
    <row r="16379" spans="1:6" ht="12.75">
      <c r="A16379" s="2">
        <v>43877.816562499997</v>
      </c>
      <c r="B16379" t="str">
        <f>HYPERLINK("https://twitter.com/budikur001","@budikur001")</f>
        <v>@budikur001</v>
      </c>
      <c r="C16379" t="s">
        <v>8335</v>
      </c>
      <c r="D16379">
        <v>0</v>
      </c>
      <c r="E16379">
        <v>0</v>
      </c>
      <c r="F16379">
        <v>28</v>
      </c>
    </row>
    <row r="16380" spans="1:6" ht="12.75">
      <c r="A16380" s="2">
        <v>43877.816458333335</v>
      </c>
      <c r="B16380" t="str">
        <f>HYPERLINK("https://twitter.com/Dhinoe2","@Dhinoe2")</f>
        <v>@Dhinoe2</v>
      </c>
      <c r="C16380" t="s">
        <v>8336</v>
      </c>
      <c r="D16380">
        <v>0</v>
      </c>
      <c r="E16380">
        <v>1</v>
      </c>
      <c r="F16380">
        <v>266</v>
      </c>
    </row>
    <row r="16381" spans="1:6" ht="12.75">
      <c r="A16381" s="2">
        <v>43877.816412037035</v>
      </c>
      <c r="B16381" t="str">
        <f>HYPERLINK("https://twitter.com/tahupetismanis","@tahupetismanis")</f>
        <v>@tahupetismanis</v>
      </c>
      <c r="C16381" t="s">
        <v>7980</v>
      </c>
      <c r="D16381">
        <v>52</v>
      </c>
      <c r="E16381">
        <v>0</v>
      </c>
      <c r="F16381">
        <v>3976</v>
      </c>
    </row>
    <row r="16382" spans="1:6" ht="12.75">
      <c r="A16382" s="2">
        <v>43877.816192129627</v>
      </c>
      <c r="B16382" t="str">
        <f>HYPERLINK("https://twitter.com/Kars104","@Kars104")</f>
        <v>@Kars104</v>
      </c>
      <c r="C16382" t="s">
        <v>8337</v>
      </c>
      <c r="D16382">
        <v>2</v>
      </c>
      <c r="E16382">
        <v>2</v>
      </c>
      <c r="F16382">
        <v>1740</v>
      </c>
    </row>
    <row r="16383" spans="1:6" ht="12.75">
      <c r="A16383" s="2">
        <v>43877.816064814819</v>
      </c>
      <c r="B16383" t="str">
        <f>HYPERLINK("https://twitter.com/iamticka","@iamticka")</f>
        <v>@iamticka</v>
      </c>
      <c r="C16383" t="s">
        <v>8338</v>
      </c>
      <c r="D16383">
        <v>0</v>
      </c>
      <c r="E16383">
        <v>0</v>
      </c>
      <c r="F16383">
        <v>516</v>
      </c>
    </row>
    <row r="16384" spans="1:6" ht="12.75">
      <c r="A16384" s="2">
        <v>43877.81559027778</v>
      </c>
      <c r="B16384" t="str">
        <f>HYPERLINK("https://twitter.com/jagabhuwana","@jagabhuwana")</f>
        <v>@jagabhuwana</v>
      </c>
      <c r="C16384" t="s">
        <v>8339</v>
      </c>
      <c r="D16384">
        <v>0</v>
      </c>
      <c r="E16384">
        <v>0</v>
      </c>
      <c r="F16384">
        <v>161</v>
      </c>
    </row>
    <row r="16385" spans="1:6" ht="12.75">
      <c r="A16385" s="2">
        <v>43877.815578703703</v>
      </c>
      <c r="B16385" t="str">
        <f>HYPERLINK("https://twitter.com/Budiciptapesona","@Budiciptapesona")</f>
        <v>@Budiciptapesona</v>
      </c>
      <c r="C16385" t="s">
        <v>6989</v>
      </c>
      <c r="D16385">
        <v>127</v>
      </c>
      <c r="E16385">
        <v>0</v>
      </c>
      <c r="F16385">
        <v>2078</v>
      </c>
    </row>
    <row r="16386" spans="1:6" ht="12.75">
      <c r="A16386" s="2">
        <v>43877.815196759257</v>
      </c>
      <c r="B16386" t="str">
        <f>HYPERLINK("https://twitter.com/Mohamad60295497","@Mohamad60295497")</f>
        <v>@Mohamad60295497</v>
      </c>
      <c r="C16386" t="s">
        <v>8021</v>
      </c>
      <c r="D16386">
        <v>18</v>
      </c>
      <c r="E16386">
        <v>0</v>
      </c>
      <c r="F16386">
        <v>2305</v>
      </c>
    </row>
    <row r="16387" spans="1:6" ht="12.75">
      <c r="A16387" s="2">
        <v>43877.81517361111</v>
      </c>
      <c r="B16387" t="str">
        <f>HYPERLINK("https://twitter.com/kjrihkg","@kjrihkg")</f>
        <v>@kjrihkg</v>
      </c>
      <c r="C16387" t="s">
        <v>8340</v>
      </c>
      <c r="D16387">
        <v>0</v>
      </c>
      <c r="E16387">
        <v>1</v>
      </c>
      <c r="F16387">
        <v>333</v>
      </c>
    </row>
    <row r="16388" spans="1:6" ht="12.75">
      <c r="A16388" s="2">
        <v>43877.815092592587</v>
      </c>
      <c r="B16388" t="str">
        <f>HYPERLINK("https://twitter.com/CahayaBaktiGraf","@CahayaBaktiGraf")</f>
        <v>@CahayaBaktiGraf</v>
      </c>
      <c r="C16388" t="s">
        <v>8341</v>
      </c>
      <c r="D16388">
        <v>0</v>
      </c>
      <c r="E16388">
        <v>0</v>
      </c>
      <c r="F16388">
        <v>923</v>
      </c>
    </row>
    <row r="16389" spans="1:6" ht="12.75">
      <c r="A16389" s="2">
        <v>43877.814872685187</v>
      </c>
      <c r="B16389" t="str">
        <f>HYPERLINK("https://twitter.com/tumbzr","@tumbzr")</f>
        <v>@tumbzr</v>
      </c>
      <c r="C16389" t="s">
        <v>7905</v>
      </c>
      <c r="D16389">
        <v>90</v>
      </c>
      <c r="E16389">
        <v>0</v>
      </c>
      <c r="F16389">
        <v>7355</v>
      </c>
    </row>
    <row r="16390" spans="1:6" ht="12.75">
      <c r="A16390" s="2">
        <v>43877.814398148148</v>
      </c>
      <c r="B16390" t="str">
        <f>HYPERLINK("https://twitter.com/DurbsEdwards","@DurbsEdwards")</f>
        <v>@DurbsEdwards</v>
      </c>
      <c r="C16390" t="s">
        <v>3150</v>
      </c>
      <c r="D16390">
        <v>345</v>
      </c>
      <c r="E16390">
        <v>0</v>
      </c>
      <c r="F16390">
        <v>112</v>
      </c>
    </row>
    <row r="16391" spans="1:6" ht="12.75">
      <c r="A16391" s="2">
        <v>43877.814166666663</v>
      </c>
      <c r="B16391" t="str">
        <f>HYPERLINK("https://twitter.com/NandoPananda","@NandoPananda")</f>
        <v>@NandoPananda</v>
      </c>
      <c r="C16391" t="s">
        <v>7980</v>
      </c>
      <c r="D16391">
        <v>52</v>
      </c>
      <c r="E16391">
        <v>0</v>
      </c>
      <c r="F16391">
        <v>269</v>
      </c>
    </row>
    <row r="16392" spans="1:6" ht="12.75">
      <c r="A16392" s="2">
        <v>43877.813611111109</v>
      </c>
      <c r="B16392" t="str">
        <f>HYPERLINK("https://twitter.com/ProJustisiaNews","@ProJustisiaNews")</f>
        <v>@ProJustisiaNews</v>
      </c>
      <c r="C16392" t="s">
        <v>8342</v>
      </c>
      <c r="D16392">
        <v>0</v>
      </c>
      <c r="E16392">
        <v>0</v>
      </c>
      <c r="F16392">
        <v>33</v>
      </c>
    </row>
    <row r="16393" spans="1:6" ht="12.75">
      <c r="A16393" s="2">
        <v>43877.813518518524</v>
      </c>
      <c r="B16393" t="str">
        <f>HYPERLINK("https://twitter.com/erwansyah08","@erwansyah08")</f>
        <v>@erwansyah08</v>
      </c>
      <c r="C16393" t="s">
        <v>6963</v>
      </c>
      <c r="D16393">
        <v>8</v>
      </c>
      <c r="E16393">
        <v>0</v>
      </c>
      <c r="F16393">
        <v>52</v>
      </c>
    </row>
    <row r="16394" spans="1:6" ht="12.75">
      <c r="A16394" s="2">
        <v>43877.813344907408</v>
      </c>
      <c r="B16394" t="str">
        <f>HYPERLINK("https://twitter.com/SeptiOrizal","@SeptiOrizal")</f>
        <v>@SeptiOrizal</v>
      </c>
      <c r="C16394" t="s">
        <v>7298</v>
      </c>
      <c r="D16394">
        <v>42</v>
      </c>
      <c r="E16394">
        <v>0</v>
      </c>
      <c r="F16394">
        <v>1077</v>
      </c>
    </row>
    <row r="16395" spans="1:6" ht="12.75">
      <c r="A16395" s="2">
        <v>43877.813310185185</v>
      </c>
      <c r="B16395" t="str">
        <f>HYPERLINK("https://twitter.com/alntyu","@alntyu")</f>
        <v>@alntyu</v>
      </c>
      <c r="C16395" t="s">
        <v>7734</v>
      </c>
      <c r="D16395">
        <v>29</v>
      </c>
      <c r="E16395">
        <v>0</v>
      </c>
      <c r="F16395">
        <v>737</v>
      </c>
    </row>
    <row r="16396" spans="1:6" ht="12.75">
      <c r="A16396" s="2">
        <v>43877.813217592593</v>
      </c>
      <c r="B16396" t="str">
        <f>HYPERLINK("https://twitter.com/victorpangkey","@victorpangkey")</f>
        <v>@victorpangkey</v>
      </c>
      <c r="C16396" t="s">
        <v>8343</v>
      </c>
      <c r="D16396">
        <v>0</v>
      </c>
      <c r="E16396">
        <v>2</v>
      </c>
      <c r="F16396">
        <v>163</v>
      </c>
    </row>
    <row r="16397" spans="1:6" ht="12.75">
      <c r="A16397" s="2">
        <v>43877.813171296293</v>
      </c>
      <c r="B16397" t="str">
        <f>HYPERLINK("https://twitter.com/p_shone","@p_shone")</f>
        <v>@p_shone</v>
      </c>
      <c r="C16397" t="s">
        <v>8344</v>
      </c>
      <c r="D16397">
        <v>0</v>
      </c>
      <c r="E16397">
        <v>0</v>
      </c>
      <c r="F16397">
        <v>87</v>
      </c>
    </row>
    <row r="16398" spans="1:6" ht="12.75">
      <c r="A16398" s="2">
        <v>43877.813125000001</v>
      </c>
      <c r="B16398" t="str">
        <f>HYPERLINK("https://twitter.com/kicepkicep","@kicepkicep")</f>
        <v>@kicepkicep</v>
      </c>
      <c r="C16398" t="s">
        <v>7956</v>
      </c>
      <c r="D16398">
        <v>55</v>
      </c>
      <c r="E16398">
        <v>0</v>
      </c>
      <c r="F16398">
        <v>1219</v>
      </c>
    </row>
    <row r="16399" spans="1:6" ht="12.75">
      <c r="A16399" s="2">
        <v>43877.8127662037</v>
      </c>
      <c r="B16399" t="str">
        <f>HYPERLINK("https://twitter.com/MelayuSejahtera","@MelayuSejahtera")</f>
        <v>@MelayuSejahtera</v>
      </c>
      <c r="C16399" t="s">
        <v>8345</v>
      </c>
      <c r="D16399">
        <v>0</v>
      </c>
      <c r="E16399">
        <v>0</v>
      </c>
      <c r="F16399">
        <v>2081</v>
      </c>
    </row>
    <row r="16400" spans="1:6" ht="12.75">
      <c r="A16400" s="2">
        <v>43877.812743055554</v>
      </c>
      <c r="B16400" t="str">
        <f>HYPERLINK("https://twitter.com/sehungemez","@sehungemez")</f>
        <v>@sehungemez</v>
      </c>
      <c r="C16400" t="s">
        <v>7905</v>
      </c>
      <c r="D16400">
        <v>90</v>
      </c>
      <c r="E16400">
        <v>0</v>
      </c>
      <c r="F16400">
        <v>8</v>
      </c>
    </row>
    <row r="16401" spans="1:6" ht="12.75">
      <c r="A16401" s="2">
        <v>43877.812673611115</v>
      </c>
      <c r="B16401" t="str">
        <f>HYPERLINK("https://twitter.com/iNewsID","@iNewsID")</f>
        <v>@iNewsID</v>
      </c>
      <c r="C16401" t="s">
        <v>8346</v>
      </c>
      <c r="D16401">
        <v>0</v>
      </c>
      <c r="E16401">
        <v>0</v>
      </c>
      <c r="F16401">
        <v>1261</v>
      </c>
    </row>
    <row r="16402" spans="1:6" ht="12.75">
      <c r="A16402" s="2">
        <v>43877.811956018515</v>
      </c>
      <c r="B16402" t="str">
        <f>HYPERLINK("https://twitter.com/garismeniskus","@garismeniskus")</f>
        <v>@garismeniskus</v>
      </c>
      <c r="C16402" t="s">
        <v>8347</v>
      </c>
      <c r="D16402">
        <v>0</v>
      </c>
      <c r="E16402">
        <v>0</v>
      </c>
      <c r="F16402">
        <v>61</v>
      </c>
    </row>
    <row r="16403" spans="1:6" ht="12.75">
      <c r="A16403" s="2">
        <v>43877.811921296292</v>
      </c>
      <c r="B16403" t="str">
        <f>HYPERLINK("https://twitter.com/Sue36650435","@Sue36650435")</f>
        <v>@Sue36650435</v>
      </c>
      <c r="C16403" t="s">
        <v>3150</v>
      </c>
      <c r="D16403">
        <v>345</v>
      </c>
      <c r="E16403">
        <v>0</v>
      </c>
      <c r="F16403">
        <v>5205</v>
      </c>
    </row>
    <row r="16404" spans="1:6" ht="12.75">
      <c r="A16404" s="2">
        <v>43877.811898148153</v>
      </c>
      <c r="B16404" t="str">
        <f>HYPERLINK("https://twitter.com/mafu_0808","@mafu_0808")</f>
        <v>@mafu_0808</v>
      </c>
      <c r="C16404" t="s">
        <v>2444</v>
      </c>
      <c r="D16404">
        <v>4552</v>
      </c>
      <c r="E16404">
        <v>0</v>
      </c>
      <c r="F16404">
        <v>7</v>
      </c>
    </row>
    <row r="16405" spans="1:6" ht="12.75">
      <c r="A16405" s="2">
        <v>43877.811828703707</v>
      </c>
      <c r="B16405" t="str">
        <f>HYPERLINK("https://twitter.com/AlfaAlfarizy1","@AlfaAlfarizy1")</f>
        <v>@AlfaAlfarizy1</v>
      </c>
      <c r="C16405" t="s">
        <v>6338</v>
      </c>
      <c r="D16405">
        <v>748</v>
      </c>
      <c r="E16405">
        <v>0</v>
      </c>
      <c r="F16405">
        <v>575</v>
      </c>
    </row>
    <row r="16406" spans="1:6" ht="12.75">
      <c r="A16406" s="2">
        <v>43877.811736111107</v>
      </c>
      <c r="B16406" t="str">
        <f>HYPERLINK("https://twitter.com/eko_suhartanto","@eko_suhartanto")</f>
        <v>@eko_suhartanto</v>
      </c>
      <c r="C16406" t="s">
        <v>8348</v>
      </c>
      <c r="D16406">
        <v>9</v>
      </c>
      <c r="E16406">
        <v>0</v>
      </c>
      <c r="F16406">
        <v>345</v>
      </c>
    </row>
    <row r="16407" spans="1:6" ht="12.75">
      <c r="A16407" s="2">
        <v>43877.811643518522</v>
      </c>
      <c r="B16407" t="str">
        <f>HYPERLINK("https://twitter.com/Bilanabilah28","@Bilanabilah28")</f>
        <v>@Bilanabilah28</v>
      </c>
      <c r="C16407" t="s">
        <v>8349</v>
      </c>
      <c r="D16407">
        <v>21</v>
      </c>
      <c r="E16407">
        <v>0</v>
      </c>
      <c r="F16407">
        <v>3</v>
      </c>
    </row>
    <row r="16408" spans="1:6" ht="12.75">
      <c r="A16408" s="2">
        <v>43877.811608796299</v>
      </c>
      <c r="B16408" t="str">
        <f>HYPERLINK("https://twitter.com/kjrihkg","@kjrihkg")</f>
        <v>@kjrihkg</v>
      </c>
      <c r="C16408" t="s">
        <v>8350</v>
      </c>
      <c r="D16408">
        <v>0</v>
      </c>
      <c r="E16408">
        <v>1</v>
      </c>
      <c r="F16408">
        <v>333</v>
      </c>
    </row>
    <row r="16409" spans="1:6" ht="12.75">
      <c r="A16409" s="2">
        <v>43877.81149305556</v>
      </c>
      <c r="B16409" t="str">
        <f>HYPERLINK("https://twitter.com/tehcemplung","@tehcemplung")</f>
        <v>@tehcemplung</v>
      </c>
      <c r="C16409" t="s">
        <v>8309</v>
      </c>
      <c r="D16409">
        <v>0</v>
      </c>
      <c r="E16409">
        <v>0</v>
      </c>
      <c r="F16409">
        <v>5537</v>
      </c>
    </row>
    <row r="16410" spans="1:6" ht="12.75">
      <c r="A16410" s="2">
        <v>43877.811331018514</v>
      </c>
      <c r="B16410" t="str">
        <f>HYPERLINK("https://twitter.com/r2smarandana","@r2smarandana")</f>
        <v>@r2smarandana</v>
      </c>
      <c r="C16410" t="s">
        <v>7990</v>
      </c>
      <c r="D16410">
        <v>6</v>
      </c>
      <c r="E16410">
        <v>0</v>
      </c>
      <c r="F16410">
        <v>98</v>
      </c>
    </row>
    <row r="16411" spans="1:6" ht="12.75">
      <c r="A16411" s="2">
        <v>43877.810925925922</v>
      </c>
      <c r="B16411" t="str">
        <f>HYPERLINK("https://twitter.com/eko_suhartanto","@eko_suhartanto")</f>
        <v>@eko_suhartanto</v>
      </c>
      <c r="C16411" t="s">
        <v>8351</v>
      </c>
      <c r="D16411">
        <v>22</v>
      </c>
      <c r="E16411">
        <v>0</v>
      </c>
      <c r="F16411">
        <v>345</v>
      </c>
    </row>
    <row r="16412" spans="1:6" ht="12.75">
      <c r="A16412" s="2">
        <v>43877.810532407406</v>
      </c>
      <c r="B16412" t="str">
        <f>HYPERLINK("https://twitter.com/englishjustice","@englishjustice")</f>
        <v>@englishjustice</v>
      </c>
      <c r="C16412" t="s">
        <v>3150</v>
      </c>
      <c r="D16412">
        <v>345</v>
      </c>
      <c r="E16412">
        <v>0</v>
      </c>
      <c r="F16412">
        <v>297</v>
      </c>
    </row>
    <row r="16413" spans="1:6" ht="12.75">
      <c r="A16413" s="2">
        <v>43877.810312500005</v>
      </c>
      <c r="B16413" t="str">
        <f>HYPERLINK("https://twitter.com/airlanggakusum4","@airlanggakusum4")</f>
        <v>@airlanggakusum4</v>
      </c>
      <c r="C16413" t="s">
        <v>7990</v>
      </c>
      <c r="D16413">
        <v>6</v>
      </c>
      <c r="E16413">
        <v>0</v>
      </c>
      <c r="F16413">
        <v>738</v>
      </c>
    </row>
    <row r="16414" spans="1:6" ht="12.75">
      <c r="A16414" s="2">
        <v>43877.80976851852</v>
      </c>
      <c r="B16414" t="str">
        <f>HYPERLINK("https://twitter.com/Ferry92754797","@Ferry92754797")</f>
        <v>@Ferry92754797</v>
      </c>
      <c r="C16414" t="s">
        <v>6989</v>
      </c>
      <c r="D16414">
        <v>127</v>
      </c>
      <c r="E16414">
        <v>0</v>
      </c>
      <c r="F16414">
        <v>79</v>
      </c>
    </row>
    <row r="16415" spans="1:6" ht="12.75">
      <c r="A16415" s="2">
        <v>43877.809548611112</v>
      </c>
      <c r="B16415" t="str">
        <f>HYPERLINK("https://twitter.com/Ramdaniesme","@Ramdaniesme")</f>
        <v>@Ramdaniesme</v>
      </c>
      <c r="C16415" t="s">
        <v>8352</v>
      </c>
      <c r="D16415">
        <v>0</v>
      </c>
      <c r="E16415">
        <v>0</v>
      </c>
      <c r="F16415">
        <v>2</v>
      </c>
    </row>
    <row r="16416" spans="1:6" ht="12.75">
      <c r="A16416" s="2">
        <v>43877.792870370366</v>
      </c>
      <c r="B16416" t="str">
        <f>HYPERLINK("https://twitter.com/HutamaAnhar","@HutamaAnhar")</f>
        <v>@HutamaAnhar</v>
      </c>
      <c r="C16416" t="s">
        <v>5168</v>
      </c>
      <c r="D16416">
        <v>1656</v>
      </c>
      <c r="E16416">
        <v>0</v>
      </c>
      <c r="F16416">
        <v>359</v>
      </c>
    </row>
    <row r="16417" spans="1:6" ht="12.75">
      <c r="A16417" s="2">
        <v>43877.792638888888</v>
      </c>
      <c r="B16417" t="str">
        <f>HYPERLINK("https://twitter.com/YohanesMariono","@YohanesMariono")</f>
        <v>@YohanesMariono</v>
      </c>
      <c r="C16417" t="s">
        <v>2676</v>
      </c>
      <c r="D16417">
        <v>12</v>
      </c>
      <c r="E16417">
        <v>0</v>
      </c>
      <c r="F16417">
        <v>937</v>
      </c>
    </row>
    <row r="16418" spans="1:6" ht="12.75">
      <c r="A16418" s="2">
        <v>43877.791967592595</v>
      </c>
      <c r="B16418" t="str">
        <f>HYPERLINK("https://twitter.com/Vickih_worsnop","@Vickih_worsnop")</f>
        <v>@Vickih_worsnop</v>
      </c>
      <c r="C16418" t="s">
        <v>8353</v>
      </c>
      <c r="D16418">
        <v>21</v>
      </c>
      <c r="E16418">
        <v>0</v>
      </c>
      <c r="F16418">
        <v>218</v>
      </c>
    </row>
    <row r="16419" spans="1:6" ht="12.75">
      <c r="A16419" s="2">
        <v>43877.791805555556</v>
      </c>
      <c r="B16419" t="str">
        <f>HYPERLINK("https://twitter.com/wiriantowidjaya","@wiriantowidjaya")</f>
        <v>@wiriantowidjaya</v>
      </c>
      <c r="C16419" t="s">
        <v>6989</v>
      </c>
      <c r="D16419">
        <v>110</v>
      </c>
      <c r="E16419">
        <v>0</v>
      </c>
      <c r="F16419">
        <v>1532</v>
      </c>
    </row>
    <row r="16420" spans="1:6" ht="12.75">
      <c r="A16420" s="2">
        <v>43877.79173611111</v>
      </c>
      <c r="B16420" t="str">
        <f>HYPERLINK("https://twitter.com/itsfareezb","@itsfareezb")</f>
        <v>@itsfareezb</v>
      </c>
      <c r="C16420" t="s">
        <v>8089</v>
      </c>
      <c r="D16420">
        <v>8</v>
      </c>
      <c r="E16420">
        <v>0</v>
      </c>
      <c r="F16420">
        <v>40</v>
      </c>
    </row>
    <row r="16421" spans="1:6" ht="12.75">
      <c r="A16421" s="2">
        <v>43877.791712962964</v>
      </c>
      <c r="B16421" t="str">
        <f>HYPERLINK("https://twitter.com/rakadewangga2","@rakadewangga2")</f>
        <v>@rakadewangga2</v>
      </c>
      <c r="C16421" t="s">
        <v>7734</v>
      </c>
      <c r="D16421">
        <v>27</v>
      </c>
      <c r="E16421">
        <v>0</v>
      </c>
      <c r="F16421">
        <v>170</v>
      </c>
    </row>
    <row r="16422" spans="1:6" ht="12.75">
      <c r="A16422" s="2">
        <v>43877.791701388887</v>
      </c>
      <c r="B16422" t="str">
        <f>HYPERLINK("https://twitter.com/DreamersRadioID","@DreamersRadioID")</f>
        <v>@DreamersRadioID</v>
      </c>
      <c r="C16422" t="s">
        <v>7958</v>
      </c>
      <c r="D16422">
        <v>0</v>
      </c>
      <c r="E16422">
        <v>0</v>
      </c>
      <c r="F16422">
        <v>75570</v>
      </c>
    </row>
    <row r="16423" spans="1:6" ht="12.75">
      <c r="A16423" s="2">
        <v>43877.791666666672</v>
      </c>
      <c r="B16423" t="str">
        <f>HYPERLINK("https://twitter.com/tvOneNews","@tvOneNews")</f>
        <v>@tvOneNews</v>
      </c>
      <c r="C16423" t="s">
        <v>8354</v>
      </c>
      <c r="D16423">
        <v>0</v>
      </c>
      <c r="E16423">
        <v>1</v>
      </c>
      <c r="F16423">
        <v>8715673</v>
      </c>
    </row>
    <row r="16424" spans="1:6" ht="12.75">
      <c r="A16424" s="2">
        <v>43877.791562500002</v>
      </c>
      <c r="B16424" t="str">
        <f>HYPERLINK("https://twitter.com/shakuyaa","@shakuyaa")</f>
        <v>@shakuyaa</v>
      </c>
      <c r="C16424" t="s">
        <v>8355</v>
      </c>
      <c r="D16424">
        <v>0</v>
      </c>
      <c r="E16424">
        <v>0</v>
      </c>
      <c r="F16424">
        <v>2967</v>
      </c>
    </row>
    <row r="16425" spans="1:6" ht="12.75">
      <c r="A16425" s="2">
        <v>43877.791435185187</v>
      </c>
      <c r="B16425" t="str">
        <f>HYPERLINK("https://twitter.com/r_iduy","@r_iduy")</f>
        <v>@r_iduy</v>
      </c>
      <c r="C16425" t="s">
        <v>8356</v>
      </c>
      <c r="D16425">
        <v>0</v>
      </c>
      <c r="E16425">
        <v>0</v>
      </c>
      <c r="F16425">
        <v>4</v>
      </c>
    </row>
    <row r="16426" spans="1:6" ht="12.75">
      <c r="A16426" s="2">
        <v>43877.791319444441</v>
      </c>
      <c r="B16426" t="str">
        <f>HYPERLINK("https://twitter.com/arga_dermawan","@arga_dermawan")</f>
        <v>@arga_dermawan</v>
      </c>
      <c r="C16426" t="s">
        <v>8288</v>
      </c>
      <c r="D16426">
        <v>0</v>
      </c>
      <c r="E16426">
        <v>0</v>
      </c>
      <c r="F16426">
        <v>5</v>
      </c>
    </row>
    <row r="16427" spans="1:6" ht="12.75">
      <c r="A16427" s="2">
        <v>43877.79106481481</v>
      </c>
      <c r="B16427" t="str">
        <f>HYPERLINK("https://twitter.com/RinjaniJB","@RinjaniJB")</f>
        <v>@RinjaniJB</v>
      </c>
      <c r="C16427" t="s">
        <v>8357</v>
      </c>
      <c r="D16427">
        <v>0</v>
      </c>
      <c r="E16427">
        <v>2</v>
      </c>
      <c r="F16427">
        <v>19186</v>
      </c>
    </row>
    <row r="16428" spans="1:6" ht="12.75">
      <c r="A16428" s="2">
        <v>43877.790821759263</v>
      </c>
      <c r="B16428" t="str">
        <f>HYPERLINK("https://twitter.com/PoppyNurul1","@PoppyNurul1")</f>
        <v>@PoppyNurul1</v>
      </c>
      <c r="C16428" t="s">
        <v>7298</v>
      </c>
      <c r="D16428">
        <v>30</v>
      </c>
      <c r="E16428">
        <v>0</v>
      </c>
      <c r="F16428">
        <v>1091</v>
      </c>
    </row>
    <row r="16429" spans="1:6" ht="12.75">
      <c r="A16429" s="2">
        <v>43877.790706018517</v>
      </c>
      <c r="B16429" t="str">
        <f>HYPERLINK("https://twitter.com/Vickih_worsnop","@Vickih_worsnop")</f>
        <v>@Vickih_worsnop</v>
      </c>
      <c r="C16429" t="s">
        <v>8358</v>
      </c>
      <c r="D16429">
        <v>6</v>
      </c>
      <c r="E16429">
        <v>0</v>
      </c>
      <c r="F16429">
        <v>218</v>
      </c>
    </row>
    <row r="16430" spans="1:6" ht="12.75">
      <c r="A16430" s="2">
        <v>43877.790659722217</v>
      </c>
      <c r="B16430" t="str">
        <f>HYPERLINK("https://twitter.com/JohanesHehakaja","@JohanesHehakaja")</f>
        <v>@JohanesHehakaja</v>
      </c>
      <c r="C16430" t="s">
        <v>8359</v>
      </c>
      <c r="D16430">
        <v>0</v>
      </c>
      <c r="E16430">
        <v>0</v>
      </c>
      <c r="F16430">
        <v>0</v>
      </c>
    </row>
    <row r="16431" spans="1:6" ht="12.75">
      <c r="A16431" s="2">
        <v>43877.790648148148</v>
      </c>
      <c r="B16431" t="str">
        <f t="shared" ref="B16431:B16436" si="273">HYPERLINK("https://twitter.com/Vickih_worsnop","@Vickih_worsnop")</f>
        <v>@Vickih_worsnop</v>
      </c>
      <c r="C16431" t="s">
        <v>8360</v>
      </c>
      <c r="D16431">
        <v>3</v>
      </c>
      <c r="E16431">
        <v>0</v>
      </c>
      <c r="F16431">
        <v>218</v>
      </c>
    </row>
    <row r="16432" spans="1:6" ht="12.75">
      <c r="A16432" s="2">
        <v>43877.790613425925</v>
      </c>
      <c r="B16432" t="str">
        <f t="shared" si="273"/>
        <v>@Vickih_worsnop</v>
      </c>
      <c r="C16432" t="s">
        <v>8361</v>
      </c>
      <c r="D16432">
        <v>2</v>
      </c>
      <c r="E16432">
        <v>0</v>
      </c>
      <c r="F16432">
        <v>218</v>
      </c>
    </row>
    <row r="16433" spans="1:6" ht="12.75">
      <c r="A16433" s="2">
        <v>43877.790578703702</v>
      </c>
      <c r="B16433" t="str">
        <f t="shared" si="273"/>
        <v>@Vickih_worsnop</v>
      </c>
      <c r="C16433" t="s">
        <v>8362</v>
      </c>
      <c r="D16433">
        <v>4</v>
      </c>
      <c r="E16433">
        <v>0</v>
      </c>
      <c r="F16433">
        <v>218</v>
      </c>
    </row>
    <row r="16434" spans="1:6" ht="12.75">
      <c r="A16434" s="2">
        <v>43877.790486111116</v>
      </c>
      <c r="B16434" t="str">
        <f t="shared" si="273"/>
        <v>@Vickih_worsnop</v>
      </c>
      <c r="C16434" t="s">
        <v>8363</v>
      </c>
      <c r="D16434">
        <v>3</v>
      </c>
      <c r="E16434">
        <v>0</v>
      </c>
      <c r="F16434">
        <v>218</v>
      </c>
    </row>
    <row r="16435" spans="1:6" ht="12.75">
      <c r="A16435" s="2">
        <v>43877.790324074071</v>
      </c>
      <c r="B16435" t="str">
        <f t="shared" si="273"/>
        <v>@Vickih_worsnop</v>
      </c>
      <c r="C16435" t="s">
        <v>8364</v>
      </c>
      <c r="D16435">
        <v>2</v>
      </c>
      <c r="E16435">
        <v>0</v>
      </c>
      <c r="F16435">
        <v>218</v>
      </c>
    </row>
    <row r="16436" spans="1:6" ht="12.75">
      <c r="A16436" s="2">
        <v>43877.790196759262</v>
      </c>
      <c r="B16436" t="str">
        <f t="shared" si="273"/>
        <v>@Vickih_worsnop</v>
      </c>
      <c r="C16436" t="s">
        <v>8365</v>
      </c>
      <c r="D16436">
        <v>3</v>
      </c>
      <c r="E16436">
        <v>0</v>
      </c>
      <c r="F16436">
        <v>218</v>
      </c>
    </row>
    <row r="16437" spans="1:6" ht="12.75">
      <c r="A16437" s="2">
        <v>43877.789988425924</v>
      </c>
      <c r="B16437" t="str">
        <f>HYPERLINK("https://twitter.com/santuuykupi","@santuuykupi")</f>
        <v>@santuuykupi</v>
      </c>
      <c r="C16437" t="s">
        <v>7298</v>
      </c>
      <c r="D16437">
        <v>30</v>
      </c>
      <c r="E16437">
        <v>0</v>
      </c>
      <c r="F16437">
        <v>1648</v>
      </c>
    </row>
    <row r="16438" spans="1:6" ht="12.75">
      <c r="A16438" s="2">
        <v>43877.789976851855</v>
      </c>
      <c r="B16438" t="str">
        <f t="shared" ref="B16438:B16441" si="274">HYPERLINK("https://twitter.com/Vickih_worsnop","@Vickih_worsnop")</f>
        <v>@Vickih_worsnop</v>
      </c>
      <c r="C16438" t="s">
        <v>8366</v>
      </c>
      <c r="D16438">
        <v>6</v>
      </c>
      <c r="E16438">
        <v>0</v>
      </c>
      <c r="F16438">
        <v>218</v>
      </c>
    </row>
    <row r="16439" spans="1:6" ht="12.75">
      <c r="A16439" s="2">
        <v>43877.789942129632</v>
      </c>
      <c r="B16439" t="str">
        <f t="shared" si="274"/>
        <v>@Vickih_worsnop</v>
      </c>
      <c r="C16439" t="s">
        <v>8367</v>
      </c>
      <c r="D16439">
        <v>6</v>
      </c>
      <c r="E16439">
        <v>0</v>
      </c>
      <c r="F16439">
        <v>218</v>
      </c>
    </row>
    <row r="16440" spans="1:6" ht="12.75">
      <c r="A16440" s="2">
        <v>43877.789895833332</v>
      </c>
      <c r="B16440" t="str">
        <f t="shared" si="274"/>
        <v>@Vickih_worsnop</v>
      </c>
      <c r="C16440" t="s">
        <v>8368</v>
      </c>
      <c r="D16440">
        <v>4</v>
      </c>
      <c r="E16440">
        <v>0</v>
      </c>
      <c r="F16440">
        <v>218</v>
      </c>
    </row>
    <row r="16441" spans="1:6" ht="12.75">
      <c r="A16441" s="2">
        <v>43877.789814814816</v>
      </c>
      <c r="B16441" t="str">
        <f t="shared" si="274"/>
        <v>@Vickih_worsnop</v>
      </c>
      <c r="C16441" t="s">
        <v>8369</v>
      </c>
      <c r="D16441">
        <v>2</v>
      </c>
      <c r="E16441">
        <v>0</v>
      </c>
      <c r="F16441">
        <v>218</v>
      </c>
    </row>
    <row r="16442" spans="1:6" ht="12.75">
      <c r="A16442" s="2">
        <v>43877.78974537037</v>
      </c>
      <c r="B16442" t="str">
        <f>HYPERLINK("https://twitter.com/Cahkuwut","@Cahkuwut")</f>
        <v>@Cahkuwut</v>
      </c>
      <c r="C16442" t="s">
        <v>8370</v>
      </c>
      <c r="D16442">
        <v>9</v>
      </c>
      <c r="E16442">
        <v>0</v>
      </c>
      <c r="F16442">
        <v>635</v>
      </c>
    </row>
    <row r="16443" spans="1:6" ht="12.75">
      <c r="A16443" s="2">
        <v>43877.789687500001</v>
      </c>
      <c r="B16443" t="str">
        <f>HYPERLINK("https://twitter.com/Vickih_worsnop","@Vickih_worsnop")</f>
        <v>@Vickih_worsnop</v>
      </c>
      <c r="C16443" t="s">
        <v>8371</v>
      </c>
      <c r="D16443">
        <v>3</v>
      </c>
      <c r="E16443">
        <v>0</v>
      </c>
      <c r="F16443">
        <v>218</v>
      </c>
    </row>
    <row r="16444" spans="1:6" ht="12.75">
      <c r="A16444" s="2">
        <v>43877.789652777778</v>
      </c>
      <c r="B16444" t="str">
        <f>HYPERLINK("https://twitter.com/akuratnews","@akuratnews")</f>
        <v>@akuratnews</v>
      </c>
      <c r="C16444" t="s">
        <v>8372</v>
      </c>
      <c r="D16444">
        <v>0</v>
      </c>
      <c r="E16444">
        <v>0</v>
      </c>
      <c r="F16444">
        <v>319</v>
      </c>
    </row>
    <row r="16445" spans="1:6" ht="12.75">
      <c r="A16445" s="2">
        <v>43877.789652777778</v>
      </c>
      <c r="B16445" t="str">
        <f t="shared" ref="B16445:B16447" si="275">HYPERLINK("https://twitter.com/Vickih_worsnop","@Vickih_worsnop")</f>
        <v>@Vickih_worsnop</v>
      </c>
      <c r="C16445" t="s">
        <v>8373</v>
      </c>
      <c r="D16445">
        <v>2</v>
      </c>
      <c r="E16445">
        <v>0</v>
      </c>
      <c r="F16445">
        <v>218</v>
      </c>
    </row>
    <row r="16446" spans="1:6" ht="12.75">
      <c r="A16446" s="2">
        <v>43877.789629629631</v>
      </c>
      <c r="B16446" t="str">
        <f t="shared" si="275"/>
        <v>@Vickih_worsnop</v>
      </c>
      <c r="C16446" t="s">
        <v>8374</v>
      </c>
      <c r="D16446">
        <v>2</v>
      </c>
      <c r="E16446">
        <v>0</v>
      </c>
      <c r="F16446">
        <v>218</v>
      </c>
    </row>
    <row r="16447" spans="1:6" ht="12.75">
      <c r="A16447" s="2">
        <v>43877.789571759262</v>
      </c>
      <c r="B16447" t="str">
        <f t="shared" si="275"/>
        <v>@Vickih_worsnop</v>
      </c>
      <c r="C16447" t="s">
        <v>8375</v>
      </c>
      <c r="D16447">
        <v>5</v>
      </c>
      <c r="E16447">
        <v>0</v>
      </c>
      <c r="F16447">
        <v>218</v>
      </c>
    </row>
    <row r="16448" spans="1:6" ht="12.75">
      <c r="A16448" s="2">
        <v>43877.789490740739</v>
      </c>
      <c r="B16448" t="str">
        <f>HYPERLINK("https://twitter.com/J4ck_Pipp0","@J4ck_Pipp0")</f>
        <v>@J4ck_Pipp0</v>
      </c>
      <c r="C16448" t="s">
        <v>8376</v>
      </c>
      <c r="D16448">
        <v>0</v>
      </c>
      <c r="E16448">
        <v>0</v>
      </c>
      <c r="F16448">
        <v>1119</v>
      </c>
    </row>
    <row r="16449" spans="1:6" ht="12.75">
      <c r="A16449" s="2">
        <v>43877.789444444439</v>
      </c>
      <c r="B16449" t="str">
        <f>HYPERLINK("https://twitter.com/Winsontrotz1","@Winsontrotz1")</f>
        <v>@Winsontrotz1</v>
      </c>
      <c r="C16449" t="s">
        <v>7298</v>
      </c>
      <c r="D16449">
        <v>30</v>
      </c>
      <c r="E16449">
        <v>0</v>
      </c>
      <c r="F16449">
        <v>2613</v>
      </c>
    </row>
    <row r="16450" spans="1:6" ht="12.75">
      <c r="A16450" s="2">
        <v>43877.789409722223</v>
      </c>
      <c r="B16450" t="str">
        <f t="shared" ref="B16450:B16452" si="276">HYPERLINK("https://twitter.com/Vickih_worsnop","@Vickih_worsnop")</f>
        <v>@Vickih_worsnop</v>
      </c>
      <c r="C16450" t="s">
        <v>8377</v>
      </c>
      <c r="D16450">
        <v>6</v>
      </c>
      <c r="E16450">
        <v>0</v>
      </c>
      <c r="F16450">
        <v>218</v>
      </c>
    </row>
    <row r="16451" spans="1:6" ht="12.75">
      <c r="A16451" s="2">
        <v>43877.789386574077</v>
      </c>
      <c r="B16451" t="str">
        <f t="shared" si="276"/>
        <v>@Vickih_worsnop</v>
      </c>
      <c r="C16451" t="s">
        <v>8378</v>
      </c>
      <c r="D16451">
        <v>2</v>
      </c>
      <c r="E16451">
        <v>0</v>
      </c>
      <c r="F16451">
        <v>218</v>
      </c>
    </row>
    <row r="16452" spans="1:6" ht="12.75">
      <c r="A16452" s="2">
        <v>43877.789351851854</v>
      </c>
      <c r="B16452" t="str">
        <f t="shared" si="276"/>
        <v>@Vickih_worsnop</v>
      </c>
      <c r="C16452" t="s">
        <v>8379</v>
      </c>
      <c r="D16452">
        <v>6</v>
      </c>
      <c r="E16452">
        <v>0</v>
      </c>
      <c r="F16452">
        <v>218</v>
      </c>
    </row>
    <row r="16453" spans="1:6" ht="12.75">
      <c r="A16453" s="2">
        <v>43877.789201388892</v>
      </c>
      <c r="B16453" t="str">
        <f>HYPERLINK("https://twitter.com/Ardy76311962","@Ardy76311962")</f>
        <v>@Ardy76311962</v>
      </c>
      <c r="C16453" t="s">
        <v>8380</v>
      </c>
      <c r="D16453">
        <v>0</v>
      </c>
      <c r="E16453">
        <v>0</v>
      </c>
      <c r="F16453">
        <v>24</v>
      </c>
    </row>
    <row r="16454" spans="1:6" ht="12.75">
      <c r="A16454" s="2">
        <v>43877.789120370369</v>
      </c>
      <c r="B16454" t="str">
        <f>HYPERLINK("https://twitter.com/itsBOBBIH","@itsBOBBIH")</f>
        <v>@itsBOBBIH</v>
      </c>
      <c r="C16454" t="s">
        <v>8089</v>
      </c>
      <c r="D16454">
        <v>8</v>
      </c>
      <c r="E16454">
        <v>0</v>
      </c>
      <c r="F16454">
        <v>1749</v>
      </c>
    </row>
    <row r="16455" spans="1:6" ht="12.75">
      <c r="A16455" s="2">
        <v>43877.788946759261</v>
      </c>
      <c r="B16455" t="str">
        <f>HYPERLINK("https://twitter.com/KailPancing","@KailPancing")</f>
        <v>@KailPancing</v>
      </c>
      <c r="C16455" t="s">
        <v>8381</v>
      </c>
      <c r="D16455">
        <v>0</v>
      </c>
      <c r="E16455">
        <v>0</v>
      </c>
      <c r="F16455">
        <v>1083</v>
      </c>
    </row>
    <row r="16456" spans="1:6" ht="12.75">
      <c r="A16456" s="2">
        <v>43877.788622685184</v>
      </c>
      <c r="B16456" t="str">
        <f>HYPERLINK("https://twitter.com/soffel84103944","@soffel84103944")</f>
        <v>@soffel84103944</v>
      </c>
      <c r="C16456" t="s">
        <v>8382</v>
      </c>
      <c r="D16456">
        <v>270</v>
      </c>
      <c r="E16456">
        <v>0</v>
      </c>
      <c r="F16456">
        <v>443</v>
      </c>
    </row>
    <row r="16457" spans="1:6" ht="12.75">
      <c r="A16457" s="2">
        <v>43877.78837962963</v>
      </c>
      <c r="B16457" t="str">
        <f>HYPERLINK("https://twitter.com/NPaihaly","@NPaihaly")</f>
        <v>@NPaihaly</v>
      </c>
      <c r="C16457" t="s">
        <v>2444</v>
      </c>
      <c r="D16457">
        <v>4552</v>
      </c>
      <c r="E16457">
        <v>0</v>
      </c>
      <c r="F16457">
        <v>836</v>
      </c>
    </row>
    <row r="16458" spans="1:6" ht="12.75">
      <c r="A16458" s="2">
        <v>43877.788171296299</v>
      </c>
      <c r="B16458" t="str">
        <f>HYPERLINK("https://twitter.com/zainala66","@zainala66")</f>
        <v>@zainala66</v>
      </c>
      <c r="C16458" t="s">
        <v>6338</v>
      </c>
      <c r="D16458">
        <v>727</v>
      </c>
      <c r="E16458">
        <v>0</v>
      </c>
      <c r="F16458">
        <v>137</v>
      </c>
    </row>
    <row r="16459" spans="1:6" ht="12.75">
      <c r="A16459" s="2">
        <v>43877.787604166668</v>
      </c>
      <c r="B16459" t="str">
        <f>HYPERLINK("https://twitter.com/nabbuhubba","@nabbuhubba")</f>
        <v>@nabbuhubba</v>
      </c>
      <c r="C16459" t="s">
        <v>8089</v>
      </c>
      <c r="D16459">
        <v>8</v>
      </c>
      <c r="E16459">
        <v>0</v>
      </c>
      <c r="F16459">
        <v>403</v>
      </c>
    </row>
    <row r="16460" spans="1:6" ht="12.75">
      <c r="A16460" s="2">
        <v>43877.787557870368</v>
      </c>
      <c r="B16460" t="str">
        <f>HYPERLINK("https://twitter.com/BabahnoA","@BabahnoA")</f>
        <v>@BabahnoA</v>
      </c>
      <c r="C16460" t="s">
        <v>8383</v>
      </c>
      <c r="D16460">
        <v>0</v>
      </c>
      <c r="E16460">
        <v>2</v>
      </c>
      <c r="F16460">
        <v>2251</v>
      </c>
    </row>
    <row r="16461" spans="1:6" ht="12.75">
      <c r="A16461" s="2">
        <v>43877.787499999999</v>
      </c>
      <c r="B16461" t="str">
        <f>HYPERLINK("https://twitter.com/ISIS_Balik_NO","@ISIS_Balik_NO")</f>
        <v>@ISIS_Balik_NO</v>
      </c>
      <c r="C16461" t="s">
        <v>8384</v>
      </c>
      <c r="D16461">
        <v>78</v>
      </c>
      <c r="E16461">
        <v>0</v>
      </c>
      <c r="F16461">
        <v>5945</v>
      </c>
    </row>
    <row r="16462" spans="1:6" ht="12.75">
      <c r="A16462" s="2">
        <v>43877.787395833337</v>
      </c>
      <c r="B16462" t="str">
        <f>HYPERLINK("https://twitter.com/wiriantowidjaya","@wiriantowidjaya")</f>
        <v>@wiriantowidjaya</v>
      </c>
      <c r="C16462" t="s">
        <v>7298</v>
      </c>
      <c r="D16462">
        <v>30</v>
      </c>
      <c r="E16462">
        <v>0</v>
      </c>
      <c r="F16462">
        <v>1532</v>
      </c>
    </row>
    <row r="16463" spans="1:6" ht="12.75">
      <c r="A16463" s="2">
        <v>43877.786956018521</v>
      </c>
      <c r="B16463" t="str">
        <f t="shared" ref="B16463:B16464" si="277">HYPERLINK("https://twitter.com/ISIS_Balik_NO","@ISIS_Balik_NO")</f>
        <v>@ISIS_Balik_NO</v>
      </c>
      <c r="C16463" t="s">
        <v>8385</v>
      </c>
      <c r="D16463">
        <v>47</v>
      </c>
      <c r="E16463">
        <v>0</v>
      </c>
      <c r="F16463">
        <v>5945</v>
      </c>
    </row>
    <row r="16464" spans="1:6" ht="12.75">
      <c r="A16464" s="2">
        <v>43877.786539351851</v>
      </c>
      <c r="B16464" t="str">
        <f t="shared" si="277"/>
        <v>@ISIS_Balik_NO</v>
      </c>
      <c r="C16464" t="s">
        <v>8386</v>
      </c>
      <c r="D16464">
        <v>10</v>
      </c>
      <c r="E16464">
        <v>0</v>
      </c>
      <c r="F16464">
        <v>5945</v>
      </c>
    </row>
    <row r="16465" spans="1:6" ht="12.75">
      <c r="A16465" s="2">
        <v>43877.785752314812</v>
      </c>
      <c r="B16465" t="str">
        <f>HYPERLINK("https://twitter.com/Totox_her","@Totox_her")</f>
        <v>@Totox_her</v>
      </c>
      <c r="C16465" t="s">
        <v>6989</v>
      </c>
      <c r="D16465">
        <v>110</v>
      </c>
      <c r="E16465">
        <v>0</v>
      </c>
      <c r="F16465">
        <v>429</v>
      </c>
    </row>
    <row r="16466" spans="1:6" ht="12.75">
      <c r="A16466" s="2">
        <v>43877.78506944445</v>
      </c>
      <c r="B16466" t="str">
        <f>HYPERLINK("https://twitter.com/danieleskay","@danieleskay")</f>
        <v>@danieleskay</v>
      </c>
      <c r="C16466" t="s">
        <v>8089</v>
      </c>
      <c r="D16466">
        <v>8</v>
      </c>
      <c r="E16466">
        <v>0</v>
      </c>
      <c r="F16466">
        <v>4648</v>
      </c>
    </row>
    <row r="16467" spans="1:6" ht="12.75">
      <c r="A16467" s="2">
        <v>43877.784675925926</v>
      </c>
      <c r="B16467" t="str">
        <f>HYPERLINK("https://twitter.com/suey35eating","@suey35eating")</f>
        <v>@suey35eating</v>
      </c>
      <c r="C16467" t="s">
        <v>3150</v>
      </c>
      <c r="D16467">
        <v>335</v>
      </c>
      <c r="E16467">
        <v>0</v>
      </c>
      <c r="F16467">
        <v>204</v>
      </c>
    </row>
    <row r="16468" spans="1:6" ht="12.75">
      <c r="A16468" s="2">
        <v>43877.784444444449</v>
      </c>
      <c r="B16468" t="str">
        <f>HYPERLINK("https://twitter.com/BabahnoA","@BabahnoA")</f>
        <v>@BabahnoA</v>
      </c>
      <c r="C16468" t="s">
        <v>8387</v>
      </c>
      <c r="D16468">
        <v>0</v>
      </c>
      <c r="E16468">
        <v>1</v>
      </c>
      <c r="F16468">
        <v>2251</v>
      </c>
    </row>
    <row r="16469" spans="1:6" ht="12.75">
      <c r="A16469" s="2">
        <v>43877.784386574072</v>
      </c>
      <c r="B16469" t="str">
        <f>HYPERLINK("https://twitter.com/enny_endah","@enny_endah")</f>
        <v>@enny_endah</v>
      </c>
      <c r="C16469" t="s">
        <v>7298</v>
      </c>
      <c r="D16469">
        <v>30</v>
      </c>
      <c r="E16469">
        <v>0</v>
      </c>
      <c r="F16469">
        <v>10607</v>
      </c>
    </row>
    <row r="16470" spans="1:6" ht="12.75">
      <c r="A16470" s="2">
        <v>43877.783715277779</v>
      </c>
      <c r="B16470" t="str">
        <f>HYPERLINK("https://twitter.com/KadrunHunter99","@KadrunHunter99")</f>
        <v>@KadrunHunter99</v>
      </c>
      <c r="C16470" t="s">
        <v>8388</v>
      </c>
      <c r="D16470">
        <v>46</v>
      </c>
      <c r="E16470">
        <v>0</v>
      </c>
      <c r="F16470">
        <v>3970</v>
      </c>
    </row>
    <row r="16471" spans="1:6" ht="12.75">
      <c r="A16471" s="2">
        <v>43877.783668981487</v>
      </c>
      <c r="B16471" t="str">
        <f>HYPERLINK("https://twitter.com/sihol72","@sihol72")</f>
        <v>@sihol72</v>
      </c>
      <c r="C16471" t="s">
        <v>8389</v>
      </c>
      <c r="D16471">
        <v>0</v>
      </c>
      <c r="E16471">
        <v>0</v>
      </c>
      <c r="F16471">
        <v>147</v>
      </c>
    </row>
    <row r="16472" spans="1:6" ht="12.75">
      <c r="A16472" s="2">
        <v>43877.783668981487</v>
      </c>
      <c r="B16472" t="str">
        <f>HYPERLINK("https://twitter.com/KadrunHunter99","@KadrunHunter99")</f>
        <v>@KadrunHunter99</v>
      </c>
      <c r="C16472" t="s">
        <v>8390</v>
      </c>
      <c r="D16472">
        <v>45</v>
      </c>
      <c r="E16472">
        <v>0</v>
      </c>
      <c r="F16472">
        <v>3970</v>
      </c>
    </row>
    <row r="16473" spans="1:6" ht="12.75">
      <c r="A16473" s="2">
        <v>43877.782141203701</v>
      </c>
      <c r="B16473" t="str">
        <f>HYPERLINK("https://twitter.com/Josua17894689","@Josua17894689")</f>
        <v>@Josua17894689</v>
      </c>
      <c r="C16473" t="s">
        <v>4845</v>
      </c>
      <c r="D16473">
        <v>16</v>
      </c>
      <c r="E16473">
        <v>0</v>
      </c>
      <c r="F16473">
        <v>16</v>
      </c>
    </row>
    <row r="16474" spans="1:6" ht="12.75">
      <c r="A16474" s="2">
        <v>43877.781967592593</v>
      </c>
      <c r="B16474" t="str">
        <f>HYPERLINK("https://twitter.com/srpsr2","@srpsr2")</f>
        <v>@srpsr2</v>
      </c>
      <c r="C16474" t="s">
        <v>8370</v>
      </c>
      <c r="D16474">
        <v>9</v>
      </c>
      <c r="E16474">
        <v>0</v>
      </c>
      <c r="F16474">
        <v>107</v>
      </c>
    </row>
    <row r="16475" spans="1:6" ht="12.75">
      <c r="A16475" s="2">
        <v>43877.781793981485</v>
      </c>
      <c r="B16475" t="str">
        <f>HYPERLINK("https://twitter.com/day_one_noob","@day_one_noob")</f>
        <v>@day_one_noob</v>
      </c>
      <c r="C16475" t="s">
        <v>3150</v>
      </c>
      <c r="D16475">
        <v>335</v>
      </c>
      <c r="E16475">
        <v>0</v>
      </c>
      <c r="F16475">
        <v>2730</v>
      </c>
    </row>
    <row r="16476" spans="1:6" ht="12.75">
      <c r="A16476" s="2">
        <v>43877.781527777777</v>
      </c>
      <c r="B16476" t="str">
        <f>HYPERLINK("https://twitter.com/Muhammadmufari3","@Muhammadmufari3")</f>
        <v>@Muhammadmufari3</v>
      </c>
      <c r="C16476" t="s">
        <v>6989</v>
      </c>
      <c r="D16476">
        <v>110</v>
      </c>
      <c r="E16476">
        <v>0</v>
      </c>
      <c r="F16476">
        <v>643</v>
      </c>
    </row>
    <row r="16477" spans="1:6" ht="12.75">
      <c r="A16477" s="2">
        <v>43877.781192129631</v>
      </c>
      <c r="B16477" t="str">
        <f>HYPERLINK("https://twitter.com/SINDOnews","@SINDOnews")</f>
        <v>@SINDOnews</v>
      </c>
      <c r="C16477" t="s">
        <v>8159</v>
      </c>
      <c r="D16477">
        <v>1</v>
      </c>
      <c r="E16477">
        <v>0</v>
      </c>
      <c r="F16477">
        <v>270516</v>
      </c>
    </row>
    <row r="16478" spans="1:6" ht="12.75">
      <c r="A16478" s="2">
        <v>43877.781180555554</v>
      </c>
      <c r="B16478" t="str">
        <f>HYPERLINK("https://twitter.com/bucineunshinhae","@bucineunshinhae")</f>
        <v>@bucineunshinhae</v>
      </c>
      <c r="C16478" t="s">
        <v>8391</v>
      </c>
      <c r="D16478">
        <v>1</v>
      </c>
      <c r="E16478">
        <v>0</v>
      </c>
      <c r="F16478">
        <v>371</v>
      </c>
    </row>
    <row r="16479" spans="1:6" ht="12.75">
      <c r="A16479" s="2">
        <v>43877.780648148153</v>
      </c>
      <c r="B16479" t="str">
        <f>HYPERLINK("https://twitter.com/triputri_","@triputri_")</f>
        <v>@triputri_</v>
      </c>
      <c r="C16479" t="s">
        <v>7734</v>
      </c>
      <c r="D16479">
        <v>27</v>
      </c>
      <c r="E16479">
        <v>0</v>
      </c>
      <c r="F16479">
        <v>374</v>
      </c>
    </row>
    <row r="16480" spans="1:6" ht="12.75">
      <c r="A16480" s="2">
        <v>43877.780451388884</v>
      </c>
      <c r="B16480" t="str">
        <f>HYPERLINK("https://twitter.com/Purwa_wicak","@Purwa_wicak")</f>
        <v>@Purwa_wicak</v>
      </c>
      <c r="C16480" t="s">
        <v>6989</v>
      </c>
      <c r="D16480">
        <v>110</v>
      </c>
      <c r="E16480">
        <v>0</v>
      </c>
      <c r="F16480">
        <v>272</v>
      </c>
    </row>
    <row r="16481" spans="1:6" ht="12.75">
      <c r="A16481" s="2">
        <v>43877.780115740738</v>
      </c>
      <c r="B16481" t="str">
        <f>HYPERLINK("https://twitter.com/pakehelem","@pakehelem")</f>
        <v>@pakehelem</v>
      </c>
      <c r="C16481" t="s">
        <v>8392</v>
      </c>
      <c r="D16481">
        <v>1</v>
      </c>
      <c r="E16481">
        <v>1</v>
      </c>
      <c r="F16481">
        <v>1124</v>
      </c>
    </row>
    <row r="16482" spans="1:6" ht="12.75">
      <c r="A16482" s="2">
        <v>43877.780104166668</v>
      </c>
      <c r="B16482" t="str">
        <f>HYPERLINK("https://twitter.com/Raisadnan","@Raisadnan")</f>
        <v>@Raisadnan</v>
      </c>
      <c r="C16482" t="s">
        <v>8393</v>
      </c>
      <c r="D16482">
        <v>0</v>
      </c>
      <c r="E16482">
        <v>0</v>
      </c>
      <c r="F16482">
        <v>1482</v>
      </c>
    </row>
    <row r="16483" spans="1:6" ht="12.75">
      <c r="A16483" s="2">
        <v>43877.780011574076</v>
      </c>
      <c r="B16483" t="str">
        <f>HYPERLINK("https://twitter.com/Roger177777","@Roger177777")</f>
        <v>@Roger177777</v>
      </c>
      <c r="C16483" t="s">
        <v>8394</v>
      </c>
      <c r="D16483">
        <v>42</v>
      </c>
      <c r="E16483">
        <v>0</v>
      </c>
      <c r="F16483">
        <v>71</v>
      </c>
    </row>
    <row r="16484" spans="1:6" ht="12.75">
      <c r="A16484" s="2">
        <v>43877.779965277776</v>
      </c>
      <c r="B16484" t="str">
        <f>HYPERLINK("https://twitter.com/AdhamLukman","@AdhamLukman")</f>
        <v>@AdhamLukman</v>
      </c>
      <c r="C16484" t="s">
        <v>8395</v>
      </c>
      <c r="D16484">
        <v>0</v>
      </c>
      <c r="E16484">
        <v>0</v>
      </c>
      <c r="F16484">
        <v>7</v>
      </c>
    </row>
    <row r="16485" spans="1:6" ht="12.75">
      <c r="A16485" s="2">
        <v>43877.779814814814</v>
      </c>
      <c r="B16485" t="str">
        <f>HYPERLINK("https://twitter.com/KwanLusi","@KwanLusi")</f>
        <v>@KwanLusi</v>
      </c>
      <c r="C16485" t="s">
        <v>8396</v>
      </c>
      <c r="D16485">
        <v>0</v>
      </c>
      <c r="E16485">
        <v>0</v>
      </c>
      <c r="F16485">
        <v>2</v>
      </c>
    </row>
    <row r="16486" spans="1:6" ht="12.75">
      <c r="A16486" s="2">
        <v>43877.779722222222</v>
      </c>
      <c r="B16486" t="str">
        <f>HYPERLINK("https://twitter.com/yaziddech","@yaziddech")</f>
        <v>@yaziddech</v>
      </c>
      <c r="C16486" t="s">
        <v>8397</v>
      </c>
      <c r="D16486">
        <v>8</v>
      </c>
      <c r="E16486">
        <v>0</v>
      </c>
      <c r="F16486">
        <v>507</v>
      </c>
    </row>
    <row r="16487" spans="1:6" ht="12.75">
      <c r="A16487" s="2">
        <v>43877.779317129629</v>
      </c>
      <c r="B16487" t="str">
        <f>HYPERLINK("https://twitter.com/Irfanitya","@Irfanitya")</f>
        <v>@Irfanitya</v>
      </c>
      <c r="C16487" t="s">
        <v>8398</v>
      </c>
      <c r="D16487">
        <v>0</v>
      </c>
      <c r="E16487">
        <v>0</v>
      </c>
      <c r="F16487">
        <v>174</v>
      </c>
    </row>
    <row r="16488" spans="1:6" ht="12.75">
      <c r="A16488" s="2">
        <v>43877.779166666667</v>
      </c>
      <c r="B16488" t="str">
        <f>HYPERLINK("https://twitter.com/batamtoday","@batamtoday")</f>
        <v>@batamtoday</v>
      </c>
      <c r="C16488" t="s">
        <v>8399</v>
      </c>
      <c r="D16488">
        <v>0</v>
      </c>
      <c r="E16488">
        <v>0</v>
      </c>
      <c r="F16488">
        <v>27074</v>
      </c>
    </row>
    <row r="16489" spans="1:6" ht="12.75">
      <c r="A16489" s="2">
        <v>43877.778761574074</v>
      </c>
      <c r="B16489" t="str">
        <f>HYPERLINK("https://twitter.com/efekerk","@efekerk")</f>
        <v>@efekerk</v>
      </c>
      <c r="C16489" t="s">
        <v>8400</v>
      </c>
      <c r="D16489">
        <v>0</v>
      </c>
      <c r="E16489">
        <v>0</v>
      </c>
      <c r="F16489">
        <v>36</v>
      </c>
    </row>
    <row r="16490" spans="1:6" ht="12.75">
      <c r="A16490" s="2">
        <v>43877.778703703705</v>
      </c>
      <c r="B16490" t="str">
        <f>HYPERLINK("https://twitter.com/RickyVSim","@RickyVSim")</f>
        <v>@RickyVSim</v>
      </c>
      <c r="C16490" t="s">
        <v>6338</v>
      </c>
      <c r="D16490">
        <v>727</v>
      </c>
      <c r="E16490">
        <v>0</v>
      </c>
      <c r="F16490">
        <v>536</v>
      </c>
    </row>
    <row r="16491" spans="1:6" ht="12.75">
      <c r="A16491" s="2">
        <v>43877.77857638889</v>
      </c>
      <c r="B16491" t="str">
        <f>HYPERLINK("https://twitter.com/BRANDLY39852550","@BRANDLY39852550")</f>
        <v>@BRANDLY39852550</v>
      </c>
      <c r="C16491" t="s">
        <v>8401</v>
      </c>
      <c r="D16491">
        <v>0</v>
      </c>
      <c r="E16491">
        <v>0</v>
      </c>
      <c r="F16491">
        <v>12</v>
      </c>
    </row>
    <row r="16492" spans="1:6" ht="12.75">
      <c r="A16492" s="2">
        <v>43877.778402777782</v>
      </c>
      <c r="B16492" t="str">
        <f>HYPERLINK("https://twitter.com/2Harjo","@2Harjo")</f>
        <v>@2Harjo</v>
      </c>
      <c r="C16492" t="s">
        <v>8402</v>
      </c>
      <c r="D16492">
        <v>0</v>
      </c>
      <c r="E16492">
        <v>2</v>
      </c>
      <c r="F16492">
        <v>1534</v>
      </c>
    </row>
    <row r="16493" spans="1:6" ht="12.75">
      <c r="A16493" s="2">
        <v>43877.777708333335</v>
      </c>
      <c r="B16493" t="str">
        <f>HYPERLINK("https://twitter.com/Mpok_Hanum","@Mpok_Hanum")</f>
        <v>@Mpok_Hanum</v>
      </c>
      <c r="C16493" t="s">
        <v>6338</v>
      </c>
      <c r="D16493">
        <v>727</v>
      </c>
      <c r="E16493">
        <v>0</v>
      </c>
      <c r="F16493">
        <v>541</v>
      </c>
    </row>
    <row r="16494" spans="1:6" ht="12.75">
      <c r="A16494" s="2">
        <v>43877.777662037042</v>
      </c>
      <c r="B16494" t="str">
        <f>HYPERLINK("https://twitter.com/seftafianiw","@seftafianiw")</f>
        <v>@seftafianiw</v>
      </c>
      <c r="C16494" t="s">
        <v>7734</v>
      </c>
      <c r="D16494">
        <v>27</v>
      </c>
      <c r="E16494">
        <v>0</v>
      </c>
      <c r="F16494">
        <v>593</v>
      </c>
    </row>
    <row r="16495" spans="1:6" ht="12.75">
      <c r="A16495" s="2">
        <v>43877.77753472222</v>
      </c>
      <c r="B16495" t="str">
        <f>HYPERLINK("https://twitter.com/sasktoba","@sasktoba")</f>
        <v>@sasktoba</v>
      </c>
      <c r="C16495" t="s">
        <v>3150</v>
      </c>
      <c r="D16495">
        <v>335</v>
      </c>
      <c r="E16495">
        <v>0</v>
      </c>
      <c r="F16495">
        <v>264</v>
      </c>
    </row>
    <row r="16496" spans="1:6" ht="12.75">
      <c r="A16496" s="2">
        <v>43877.777106481481</v>
      </c>
      <c r="B16496" t="str">
        <f>HYPERLINK("https://twitter.com/Sobroski1982","@Sobroski1982")</f>
        <v>@Sobroski1982</v>
      </c>
      <c r="C16496" t="s">
        <v>3150</v>
      </c>
      <c r="D16496">
        <v>335</v>
      </c>
      <c r="E16496">
        <v>0</v>
      </c>
      <c r="F16496">
        <v>7338</v>
      </c>
    </row>
    <row r="16497" spans="1:6" ht="12.75">
      <c r="A16497" s="2">
        <v>43877.777060185181</v>
      </c>
      <c r="B16497" t="str">
        <f>HYPERLINK("https://twitter.com/SitompulYunus","@SitompulYunus")</f>
        <v>@SitompulYunus</v>
      </c>
      <c r="C16497" t="s">
        <v>7298</v>
      </c>
      <c r="D16497">
        <v>30</v>
      </c>
      <c r="E16497">
        <v>0</v>
      </c>
      <c r="F16497">
        <v>857</v>
      </c>
    </row>
    <row r="16498" spans="1:6" ht="12.75">
      <c r="A16498" s="2">
        <v>43877.777048611111</v>
      </c>
      <c r="B16498" t="str">
        <f>HYPERLINK("https://twitter.com/ISIS_Balik_NO","@ISIS_Balik_NO")</f>
        <v>@ISIS_Balik_NO</v>
      </c>
      <c r="C16498" t="s">
        <v>8403</v>
      </c>
      <c r="D16498">
        <v>0</v>
      </c>
      <c r="E16498">
        <v>1</v>
      </c>
      <c r="F16498">
        <v>5945</v>
      </c>
    </row>
    <row r="16499" spans="1:6" ht="12.75">
      <c r="A16499" s="2">
        <v>43877.776979166665</v>
      </c>
      <c r="B16499" t="str">
        <f>HYPERLINK("https://twitter.com/alfihaqiqi","@alfihaqiqi")</f>
        <v>@alfihaqiqi</v>
      </c>
      <c r="C16499" t="s">
        <v>7734</v>
      </c>
      <c r="D16499">
        <v>27</v>
      </c>
      <c r="E16499">
        <v>0</v>
      </c>
      <c r="F16499">
        <v>268</v>
      </c>
    </row>
    <row r="16500" spans="1:6" ht="12.75">
      <c r="A16500" s="2">
        <v>43877.776921296296</v>
      </c>
      <c r="B16500" t="str">
        <f>HYPERLINK("https://twitter.com/zubhan08","@zubhan08")</f>
        <v>@zubhan08</v>
      </c>
      <c r="C16500" t="s">
        <v>6338</v>
      </c>
      <c r="D16500">
        <v>727</v>
      </c>
      <c r="E16500">
        <v>0</v>
      </c>
      <c r="F16500">
        <v>1093</v>
      </c>
    </row>
    <row r="16501" spans="1:6" ht="12.75">
      <c r="A16501" s="2">
        <v>43877.776342592595</v>
      </c>
      <c r="B16501" t="str">
        <f>HYPERLINK("https://twitter.com/ISIS_Balik_NO","@ISIS_Balik_NO")</f>
        <v>@ISIS_Balik_NO</v>
      </c>
      <c r="C16501" t="s">
        <v>8404</v>
      </c>
      <c r="D16501">
        <v>211</v>
      </c>
      <c r="E16501">
        <v>0</v>
      </c>
      <c r="F16501">
        <v>5945</v>
      </c>
    </row>
    <row r="16502" spans="1:6" ht="12.75">
      <c r="A16502" s="2">
        <v>43877.776180555556</v>
      </c>
      <c r="B16502" t="str">
        <f>HYPERLINK("https://twitter.com/sweethellena","@sweethellena")</f>
        <v>@sweethellena</v>
      </c>
      <c r="C16502" t="s">
        <v>8405</v>
      </c>
      <c r="D16502">
        <v>0</v>
      </c>
      <c r="E16502">
        <v>0</v>
      </c>
      <c r="F16502">
        <v>6143</v>
      </c>
    </row>
    <row r="16503" spans="1:6" ht="12.75">
      <c r="A16503" s="2">
        <v>43877.775671296295</v>
      </c>
      <c r="B16503" t="str">
        <f>HYPERLINK("https://twitter.com/Ardy76311962","@Ardy76311962")</f>
        <v>@Ardy76311962</v>
      </c>
      <c r="C16503" t="s">
        <v>8406</v>
      </c>
      <c r="D16503">
        <v>0</v>
      </c>
      <c r="E16503">
        <v>0</v>
      </c>
      <c r="F16503">
        <v>24</v>
      </c>
    </row>
    <row r="16504" spans="1:6" ht="12.75">
      <c r="A16504" s="2">
        <v>43877.77553240741</v>
      </c>
      <c r="B16504" t="str">
        <f>HYPERLINK("https://twitter.com/annelis2311","@annelis2311")</f>
        <v>@annelis2311</v>
      </c>
      <c r="C16504" t="s">
        <v>6338</v>
      </c>
      <c r="D16504">
        <v>727</v>
      </c>
      <c r="E16504">
        <v>0</v>
      </c>
      <c r="F16504">
        <v>14</v>
      </c>
    </row>
    <row r="16505" spans="1:6" ht="12.75">
      <c r="A16505" s="2">
        <v>43877.77542824074</v>
      </c>
      <c r="B16505" t="str">
        <f>HYPERLINK("https://twitter.com/MahfudSAHMASYBO","@MahfudSAHMASYBO")</f>
        <v>@MahfudSAHMASYBO</v>
      </c>
      <c r="C16505" t="s">
        <v>2147</v>
      </c>
      <c r="D16505">
        <v>537</v>
      </c>
      <c r="E16505">
        <v>0</v>
      </c>
      <c r="F16505">
        <v>66</v>
      </c>
    </row>
    <row r="16506" spans="1:6" ht="12.75">
      <c r="A16506" s="2">
        <v>43877.775416666671</v>
      </c>
      <c r="B16506" t="str">
        <f>HYPERLINK("https://twitter.com/2Harjo","@2Harjo")</f>
        <v>@2Harjo</v>
      </c>
      <c r="C16506" t="s">
        <v>6338</v>
      </c>
      <c r="D16506">
        <v>727</v>
      </c>
      <c r="E16506">
        <v>0</v>
      </c>
      <c r="F16506">
        <v>1534</v>
      </c>
    </row>
    <row r="16507" spans="1:6" ht="12.75">
      <c r="A16507" s="2">
        <v>43877.775370370371</v>
      </c>
      <c r="B16507" t="str">
        <f>HYPERLINK("https://twitter.com/darminhe","@darminhe")</f>
        <v>@darminhe</v>
      </c>
      <c r="C16507" t="s">
        <v>8407</v>
      </c>
      <c r="D16507">
        <v>0</v>
      </c>
      <c r="E16507">
        <v>0</v>
      </c>
      <c r="F16507">
        <v>511</v>
      </c>
    </row>
    <row r="16508" spans="1:6" ht="12.75">
      <c r="A16508" s="2">
        <v>43877.774351851855</v>
      </c>
      <c r="B16508" t="str">
        <f>HYPERLINK("https://twitter.com/DSSGBR","@DSSGBR")</f>
        <v>@DSSGBR</v>
      </c>
      <c r="C16508" t="s">
        <v>3150</v>
      </c>
      <c r="D16508">
        <v>335</v>
      </c>
      <c r="E16508">
        <v>0</v>
      </c>
      <c r="F16508">
        <v>429</v>
      </c>
    </row>
    <row r="16509" spans="1:6" ht="12.75">
      <c r="A16509" s="2">
        <v>43877.774143518516</v>
      </c>
      <c r="B16509" t="str">
        <f>HYPERLINK("https://twitter.com/Gaius2013","@Gaius2013")</f>
        <v>@Gaius2013</v>
      </c>
      <c r="C16509" t="s">
        <v>3150</v>
      </c>
      <c r="D16509">
        <v>335</v>
      </c>
      <c r="E16509">
        <v>0</v>
      </c>
      <c r="F16509">
        <v>1531</v>
      </c>
    </row>
    <row r="16510" spans="1:6" ht="12.75">
      <c r="A16510" s="2">
        <v>43877.773773148147</v>
      </c>
      <c r="B16510" t="str">
        <f>HYPERLINK("https://twitter.com/KurnadiD","@KurnadiD")</f>
        <v>@KurnadiD</v>
      </c>
      <c r="C16510" t="s">
        <v>6963</v>
      </c>
      <c r="D16510">
        <v>5</v>
      </c>
      <c r="E16510">
        <v>0</v>
      </c>
      <c r="F16510">
        <v>1134</v>
      </c>
    </row>
    <row r="16511" spans="1:6" ht="12.75">
      <c r="A16511" s="2">
        <v>43877.77375</v>
      </c>
      <c r="B16511" t="str">
        <f>HYPERLINK("https://twitter.com/wijaya_48","@wijaya_48")</f>
        <v>@wijaya_48</v>
      </c>
      <c r="C16511" t="s">
        <v>8408</v>
      </c>
      <c r="D16511">
        <v>9</v>
      </c>
      <c r="E16511">
        <v>0</v>
      </c>
      <c r="F16511">
        <v>382</v>
      </c>
    </row>
    <row r="16512" spans="1:6" ht="12.75">
      <c r="A16512" s="2">
        <v>43877.773726851854</v>
      </c>
      <c r="B16512" t="str">
        <f>HYPERLINK("https://twitter.com/GivenToThink","@GivenToThink")</f>
        <v>@GivenToThink</v>
      </c>
      <c r="C16512" t="s">
        <v>3150</v>
      </c>
      <c r="D16512">
        <v>335</v>
      </c>
      <c r="E16512">
        <v>0</v>
      </c>
      <c r="F16512">
        <v>544</v>
      </c>
    </row>
    <row r="16513" spans="1:6" ht="12.75">
      <c r="A16513" s="2">
        <v>43877.773657407408</v>
      </c>
      <c r="B16513" t="str">
        <f>HYPERLINK("https://twitter.com/tiaradmh","@tiaradmh")</f>
        <v>@tiaradmh</v>
      </c>
      <c r="C16513" t="s">
        <v>8409</v>
      </c>
      <c r="D16513">
        <v>0</v>
      </c>
      <c r="E16513">
        <v>0</v>
      </c>
      <c r="F16513">
        <v>313</v>
      </c>
    </row>
    <row r="16514" spans="1:6" ht="12.75">
      <c r="A16514" s="2">
        <v>43877.77344907407</v>
      </c>
      <c r="B16514" t="str">
        <f>HYPERLINK("https://twitter.com/om_iswdg","@om_iswdg")</f>
        <v>@om_iswdg</v>
      </c>
      <c r="C16514" t="s">
        <v>6963</v>
      </c>
      <c r="D16514">
        <v>5</v>
      </c>
      <c r="E16514">
        <v>0</v>
      </c>
      <c r="F16514">
        <v>2147</v>
      </c>
    </row>
    <row r="16515" spans="1:6" ht="12.75">
      <c r="A16515" s="2">
        <v>43877.772662037038</v>
      </c>
      <c r="B16515" t="str">
        <f>HYPERLINK("https://twitter.com/urehheru","@urehheru")</f>
        <v>@urehheru</v>
      </c>
      <c r="C16515" t="s">
        <v>6338</v>
      </c>
      <c r="D16515">
        <v>727</v>
      </c>
      <c r="E16515">
        <v>0</v>
      </c>
      <c r="F16515">
        <v>433</v>
      </c>
    </row>
    <row r="16516" spans="1:6" ht="12.75">
      <c r="A16516" s="2">
        <v>43877.751388888893</v>
      </c>
      <c r="B16516" t="str">
        <f>HYPERLINK("https://twitter.com/Sutrisn22965703","@Sutrisn22965703")</f>
        <v>@Sutrisn22965703</v>
      </c>
      <c r="C16516" t="s">
        <v>6338</v>
      </c>
      <c r="D16516">
        <v>709</v>
      </c>
      <c r="E16516">
        <v>0</v>
      </c>
      <c r="F16516">
        <v>19</v>
      </c>
    </row>
    <row r="16517" spans="1:6" ht="12.75">
      <c r="A16517" s="2">
        <v>43877.751168981486</v>
      </c>
      <c r="B16517" t="str">
        <f t="shared" ref="B16517:B16518" si="278">HYPERLINK("https://twitter.com/Cahkuwut","@Cahkuwut")</f>
        <v>@Cahkuwut</v>
      </c>
      <c r="C16517" t="s">
        <v>8304</v>
      </c>
      <c r="D16517">
        <v>2</v>
      </c>
      <c r="E16517">
        <v>0</v>
      </c>
      <c r="F16517">
        <v>629</v>
      </c>
    </row>
    <row r="16518" spans="1:6" ht="12.75">
      <c r="A16518" s="2">
        <v>43877.751064814816</v>
      </c>
      <c r="B16518" t="str">
        <f t="shared" si="278"/>
        <v>@Cahkuwut</v>
      </c>
      <c r="C16518" t="s">
        <v>6989</v>
      </c>
      <c r="D16518">
        <v>93</v>
      </c>
      <c r="E16518">
        <v>0</v>
      </c>
      <c r="F16518">
        <v>629</v>
      </c>
    </row>
    <row r="16519" spans="1:6" ht="12.75">
      <c r="A16519" s="2">
        <v>43877.751018518524</v>
      </c>
      <c r="B16519" t="str">
        <f>HYPERLINK("https://twitter.com/oLs_st","@oLs_st")</f>
        <v>@oLs_st</v>
      </c>
      <c r="C16519" t="s">
        <v>8410</v>
      </c>
      <c r="D16519">
        <v>0</v>
      </c>
      <c r="E16519">
        <v>0</v>
      </c>
      <c r="F16519">
        <v>34</v>
      </c>
    </row>
    <row r="16520" spans="1:6" ht="12.75">
      <c r="A16520" s="2">
        <v>43877.75100694444</v>
      </c>
      <c r="B16520" t="str">
        <f>HYPERLINK("https://twitter.com/daybpp","@daybpp")</f>
        <v>@daybpp</v>
      </c>
      <c r="C16520" t="s">
        <v>8411</v>
      </c>
      <c r="D16520">
        <v>0</v>
      </c>
      <c r="E16520">
        <v>0</v>
      </c>
      <c r="F16520">
        <v>3</v>
      </c>
    </row>
    <row r="16521" spans="1:6" ht="12.75">
      <c r="A16521" s="2">
        <v>43877.750902777778</v>
      </c>
      <c r="B16521" t="str">
        <f>HYPERLINK("https://twitter.com/dteleer","@dteleer")</f>
        <v>@dteleer</v>
      </c>
      <c r="C16521" t="s">
        <v>6989</v>
      </c>
      <c r="D16521">
        <v>93</v>
      </c>
      <c r="E16521">
        <v>0</v>
      </c>
      <c r="F16521">
        <v>3383</v>
      </c>
    </row>
    <row r="16522" spans="1:6" ht="12.75">
      <c r="A16522" s="2">
        <v>43877.7502662037</v>
      </c>
      <c r="B16522" t="str">
        <f>HYPERLINK("https://twitter.com/laviaxa","@laviaxa")</f>
        <v>@laviaxa</v>
      </c>
      <c r="C16522" t="s">
        <v>175</v>
      </c>
      <c r="D16522">
        <v>5373</v>
      </c>
      <c r="E16522">
        <v>0</v>
      </c>
      <c r="F16522">
        <v>253</v>
      </c>
    </row>
    <row r="16523" spans="1:6" ht="12.75">
      <c r="A16523" s="2">
        <v>43877.750162037039</v>
      </c>
      <c r="B16523" t="str">
        <f>HYPERLINK("https://twitter.com/MediaDayak","@MediaDayak")</f>
        <v>@MediaDayak</v>
      </c>
      <c r="C16523" t="s">
        <v>8185</v>
      </c>
      <c r="D16523">
        <v>0</v>
      </c>
      <c r="E16523">
        <v>0</v>
      </c>
      <c r="F16523">
        <v>29</v>
      </c>
    </row>
    <row r="16524" spans="1:6" ht="12.75">
      <c r="A16524" s="2">
        <v>43877.749918981484</v>
      </c>
      <c r="B16524" t="str">
        <f>HYPERLINK("https://twitter.com/riaupagi","@riaupagi")</f>
        <v>@riaupagi</v>
      </c>
      <c r="C16524" t="s">
        <v>8412</v>
      </c>
      <c r="D16524">
        <v>0</v>
      </c>
      <c r="E16524">
        <v>0</v>
      </c>
      <c r="F16524">
        <v>102</v>
      </c>
    </row>
    <row r="16525" spans="1:6" ht="12.75">
      <c r="A16525" s="2">
        <v>43877.749351851853</v>
      </c>
      <c r="B16525" t="str">
        <f>HYPERLINK("https://twitter.com/suka_motoran","@suka_motoran")</f>
        <v>@suka_motoran</v>
      </c>
      <c r="C16525" t="s">
        <v>6338</v>
      </c>
      <c r="D16525">
        <v>709</v>
      </c>
      <c r="E16525">
        <v>0</v>
      </c>
      <c r="F16525">
        <v>952</v>
      </c>
    </row>
    <row r="16526" spans="1:6" ht="12.75">
      <c r="A16526" s="2">
        <v>43877.749108796299</v>
      </c>
      <c r="B16526" t="str">
        <f>HYPERLINK("https://twitter.com/dteleer","@dteleer")</f>
        <v>@dteleer</v>
      </c>
      <c r="C16526" t="s">
        <v>7298</v>
      </c>
      <c r="D16526">
        <v>10</v>
      </c>
      <c r="E16526">
        <v>0</v>
      </c>
      <c r="F16526">
        <v>3383</v>
      </c>
    </row>
    <row r="16527" spans="1:6" ht="12.75">
      <c r="A16527" s="2">
        <v>43877.748472222222</v>
      </c>
      <c r="B16527" t="str">
        <f>HYPERLINK("https://twitter.com/MABurrowes","@MABurrowes")</f>
        <v>@MABurrowes</v>
      </c>
      <c r="C16527" t="s">
        <v>3150</v>
      </c>
      <c r="D16527">
        <v>319</v>
      </c>
      <c r="E16527">
        <v>0</v>
      </c>
      <c r="F16527">
        <v>385</v>
      </c>
    </row>
    <row r="16528" spans="1:6" ht="12.75">
      <c r="A16528" s="2">
        <v>43877.748391203699</v>
      </c>
      <c r="B16528" t="str">
        <f>HYPERLINK("https://twitter.com/Abdussa78534939","@Abdussa78534939")</f>
        <v>@Abdussa78534939</v>
      </c>
      <c r="C16528" t="s">
        <v>7897</v>
      </c>
      <c r="D16528">
        <v>5</v>
      </c>
      <c r="E16528">
        <v>0</v>
      </c>
      <c r="F16528">
        <v>131</v>
      </c>
    </row>
    <row r="16529" spans="1:6" ht="12.75">
      <c r="A16529" s="2">
        <v>43877.748263888891</v>
      </c>
      <c r="B16529" t="str">
        <f>HYPERLINK("https://twitter.com/8_fero_8","@8_fero_8")</f>
        <v>@8_fero_8</v>
      </c>
      <c r="C16529" t="s">
        <v>8413</v>
      </c>
      <c r="D16529">
        <v>7</v>
      </c>
      <c r="E16529">
        <v>0</v>
      </c>
      <c r="F16529">
        <v>1868</v>
      </c>
    </row>
    <row r="16530" spans="1:6" ht="12.75">
      <c r="A16530" s="2">
        <v>43877.747962962967</v>
      </c>
      <c r="B16530" t="str">
        <f>HYPERLINK("https://twitter.com/exelrockstar","@exelrockstar")</f>
        <v>@exelrockstar</v>
      </c>
      <c r="C16530" t="s">
        <v>8414</v>
      </c>
      <c r="D16530">
        <v>0</v>
      </c>
      <c r="E16530">
        <v>0</v>
      </c>
      <c r="F16530">
        <v>82</v>
      </c>
    </row>
    <row r="16531" spans="1:6" ht="12.75">
      <c r="A16531" s="2">
        <v>43877.747858796298</v>
      </c>
      <c r="B16531" t="str">
        <f>HYPERLINK("https://twitter.com/JohnIrwan4","@JohnIrwan4")</f>
        <v>@JohnIrwan4</v>
      </c>
      <c r="C16531" t="s">
        <v>8415</v>
      </c>
      <c r="D16531">
        <v>1</v>
      </c>
      <c r="E16531">
        <v>0</v>
      </c>
      <c r="F16531">
        <v>2213</v>
      </c>
    </row>
    <row r="16532" spans="1:6" ht="12.75">
      <c r="A16532" s="2">
        <v>43877.747777777782</v>
      </c>
      <c r="B16532" t="str">
        <f>HYPERLINK("https://twitter.com/Jambumenyan","@Jambumenyan")</f>
        <v>@Jambumenyan</v>
      </c>
      <c r="C16532" t="s">
        <v>6338</v>
      </c>
      <c r="D16532">
        <v>709</v>
      </c>
      <c r="E16532">
        <v>0</v>
      </c>
      <c r="F16532">
        <v>115</v>
      </c>
    </row>
    <row r="16533" spans="1:6" ht="12.75">
      <c r="A16533" s="2">
        <v>43877.747557870374</v>
      </c>
      <c r="B16533" t="str">
        <f>HYPERLINK("https://twitter.com/Morodi5","@Morodi5")</f>
        <v>@Morodi5</v>
      </c>
      <c r="C16533" t="s">
        <v>6338</v>
      </c>
      <c r="D16533">
        <v>709</v>
      </c>
      <c r="E16533">
        <v>0</v>
      </c>
      <c r="F16533">
        <v>480</v>
      </c>
    </row>
    <row r="16534" spans="1:6" ht="12.75">
      <c r="A16534" s="2">
        <v>43877.747129629628</v>
      </c>
      <c r="B16534" t="str">
        <f>HYPERLINK("https://twitter.com/Laurentcianw","@Laurentcianw")</f>
        <v>@Laurentcianw</v>
      </c>
      <c r="C16534" t="s">
        <v>8416</v>
      </c>
      <c r="D16534">
        <v>0</v>
      </c>
      <c r="E16534">
        <v>0</v>
      </c>
      <c r="F16534">
        <v>500</v>
      </c>
    </row>
    <row r="16535" spans="1:6" ht="12.75">
      <c r="A16535" s="2">
        <v>43877.747013888889</v>
      </c>
      <c r="B16535" t="str">
        <f>HYPERLINK("https://twitter.com/AgoesBlankon","@AgoesBlankon")</f>
        <v>@AgoesBlankon</v>
      </c>
      <c r="C16535" t="s">
        <v>6338</v>
      </c>
      <c r="D16535">
        <v>709</v>
      </c>
      <c r="E16535">
        <v>0</v>
      </c>
      <c r="F16535">
        <v>716</v>
      </c>
    </row>
    <row r="16536" spans="1:6" ht="12.75">
      <c r="A16536" s="2">
        <v>43877.746990740736</v>
      </c>
      <c r="B16536" t="str">
        <f>HYPERLINK("https://twitter.com/RonaldLampard8","@RonaldLampard8")</f>
        <v>@RonaldLampard8</v>
      </c>
      <c r="C16536" t="s">
        <v>8417</v>
      </c>
      <c r="D16536">
        <v>1</v>
      </c>
      <c r="E16536">
        <v>0</v>
      </c>
      <c r="F16536">
        <v>3051</v>
      </c>
    </row>
    <row r="16537" spans="1:6" ht="12.75">
      <c r="A16537" s="2">
        <v>43877.746944444443</v>
      </c>
      <c r="B16537" t="str">
        <f>HYPERLINK("https://twitter.com/poer72878042","@poer72878042")</f>
        <v>@poer72878042</v>
      </c>
      <c r="C16537" t="s">
        <v>6338</v>
      </c>
      <c r="D16537">
        <v>709</v>
      </c>
      <c r="E16537">
        <v>0</v>
      </c>
      <c r="F16537">
        <v>13</v>
      </c>
    </row>
    <row r="16538" spans="1:6" ht="12.75">
      <c r="A16538" s="2">
        <v>43877.746736111112</v>
      </c>
      <c r="B16538" t="str">
        <f>HYPERLINK("https://twitter.com/SPhilip18","@SPhilip18")</f>
        <v>@SPhilip18</v>
      </c>
      <c r="C16538" t="s">
        <v>3150</v>
      </c>
      <c r="D16538">
        <v>319</v>
      </c>
      <c r="E16538">
        <v>0</v>
      </c>
      <c r="F16538">
        <v>3411</v>
      </c>
    </row>
    <row r="16539" spans="1:6" ht="12.75">
      <c r="A16539" s="2">
        <v>43877.746585648143</v>
      </c>
      <c r="B16539" t="str">
        <f>HYPERLINK("https://twitter.com/luthfizenius","@luthfizenius")</f>
        <v>@luthfizenius</v>
      </c>
      <c r="C16539" t="s">
        <v>8418</v>
      </c>
      <c r="D16539">
        <v>0</v>
      </c>
      <c r="E16539">
        <v>0</v>
      </c>
      <c r="F16539">
        <v>161</v>
      </c>
    </row>
    <row r="16540" spans="1:6" ht="12.75">
      <c r="A16540" s="2">
        <v>43877.746157407411</v>
      </c>
      <c r="B16540" t="str">
        <f>HYPERLINK("https://twitter.com/banglintas","@banglintas")</f>
        <v>@banglintas</v>
      </c>
      <c r="C16540" t="s">
        <v>7696</v>
      </c>
      <c r="D16540">
        <v>0</v>
      </c>
      <c r="E16540">
        <v>0</v>
      </c>
      <c r="F16540">
        <v>53</v>
      </c>
    </row>
    <row r="16541" spans="1:6" ht="12.75">
      <c r="A16541" s="2">
        <v>43877.746030092589</v>
      </c>
      <c r="B16541" t="str">
        <f>HYPERLINK("https://twitter.com/Rah61mad","@Rah61mad")</f>
        <v>@Rah61mad</v>
      </c>
      <c r="C16541" t="s">
        <v>8021</v>
      </c>
      <c r="D16541">
        <v>16</v>
      </c>
      <c r="E16541">
        <v>0</v>
      </c>
      <c r="F16541">
        <v>158</v>
      </c>
    </row>
    <row r="16542" spans="1:6" ht="12.75">
      <c r="A16542" s="2">
        <v>43877.746018518519</v>
      </c>
      <c r="B16542" t="str">
        <f>HYPERLINK("https://twitter.com/beatrice_health","@beatrice_health")</f>
        <v>@beatrice_health</v>
      </c>
      <c r="C16542" t="s">
        <v>8419</v>
      </c>
      <c r="D16542">
        <v>3</v>
      </c>
      <c r="E16542">
        <v>0</v>
      </c>
      <c r="F16542">
        <v>121</v>
      </c>
    </row>
    <row r="16543" spans="1:6" ht="12.75">
      <c r="A16543" s="2">
        <v>43877.745972222227</v>
      </c>
      <c r="B16543" t="str">
        <f>HYPERLINK("https://twitter.com/KadrunHunter99","@KadrunHunter99")</f>
        <v>@KadrunHunter99</v>
      </c>
      <c r="C16543" t="s">
        <v>8419</v>
      </c>
      <c r="D16543">
        <v>3</v>
      </c>
      <c r="E16543">
        <v>0</v>
      </c>
      <c r="F16543">
        <v>3969</v>
      </c>
    </row>
    <row r="16544" spans="1:6" ht="12.75">
      <c r="A16544" s="2">
        <v>43877.745405092588</v>
      </c>
      <c r="B16544" t="str">
        <f>HYPERLINK("https://twitter.com/sopansantun55","@sopansantun55")</f>
        <v>@sopansantun55</v>
      </c>
      <c r="C16544" t="s">
        <v>6338</v>
      </c>
      <c r="D16544">
        <v>709</v>
      </c>
      <c r="E16544">
        <v>0</v>
      </c>
      <c r="F16544">
        <v>514</v>
      </c>
    </row>
    <row r="16545" spans="1:6" ht="12.75">
      <c r="A16545" s="2">
        <v>43877.745324074072</v>
      </c>
      <c r="B16545" t="str">
        <f>HYPERLINK("https://twitter.com/PMahaendra","@PMahaendra")</f>
        <v>@PMahaendra</v>
      </c>
      <c r="C16545" t="s">
        <v>2702</v>
      </c>
      <c r="D16545">
        <v>337</v>
      </c>
      <c r="E16545">
        <v>0</v>
      </c>
      <c r="F16545">
        <v>605</v>
      </c>
    </row>
    <row r="16546" spans="1:6" ht="12.75">
      <c r="A16546" s="2">
        <v>43877.745243055557</v>
      </c>
      <c r="B16546" t="str">
        <f>HYPERLINK("https://twitter.com/editya77","@editya77")</f>
        <v>@editya77</v>
      </c>
      <c r="C16546" t="s">
        <v>6989</v>
      </c>
      <c r="D16546">
        <v>93</v>
      </c>
      <c r="E16546">
        <v>0</v>
      </c>
      <c r="F16546">
        <v>828</v>
      </c>
    </row>
    <row r="16547" spans="1:6" ht="12.75">
      <c r="A16547" s="2">
        <v>43877.745150462964</v>
      </c>
      <c r="B16547" t="str">
        <f>HYPERLINK("https://twitter.com/rizkhamaliaw","@rizkhamaliaw")</f>
        <v>@rizkhamaliaw</v>
      </c>
      <c r="C16547" t="s">
        <v>7734</v>
      </c>
      <c r="D16547">
        <v>17</v>
      </c>
      <c r="E16547">
        <v>0</v>
      </c>
      <c r="F16547">
        <v>59</v>
      </c>
    </row>
    <row r="16548" spans="1:6" ht="12.75">
      <c r="A16548" s="2">
        <v>43877.745092592595</v>
      </c>
      <c r="B16548" t="str">
        <f>HYPERLINK("https://twitter.com/mudha_satriya","@mudha_satriya")</f>
        <v>@mudha_satriya</v>
      </c>
      <c r="C16548" t="s">
        <v>8420</v>
      </c>
      <c r="D16548">
        <v>4</v>
      </c>
      <c r="E16548">
        <v>0</v>
      </c>
      <c r="F16548">
        <v>1876</v>
      </c>
    </row>
    <row r="16549" spans="1:6" ht="12.75">
      <c r="A16549" s="2">
        <v>43877.744814814811</v>
      </c>
      <c r="B16549" t="str">
        <f>HYPERLINK("https://twitter.com/putri_lior4","@putri_lior4")</f>
        <v>@putri_lior4</v>
      </c>
      <c r="C16549" t="s">
        <v>8421</v>
      </c>
      <c r="D16549">
        <v>1</v>
      </c>
      <c r="E16549">
        <v>2</v>
      </c>
      <c r="F16549">
        <v>4457</v>
      </c>
    </row>
    <row r="16550" spans="1:6" ht="12.75">
      <c r="A16550" s="2">
        <v>43877.744606481487</v>
      </c>
      <c r="B16550" t="str">
        <f>HYPERLINK("https://twitter.com/hadenberg_ryan","@hadenberg_ryan")</f>
        <v>@hadenberg_ryan</v>
      </c>
      <c r="C16550" t="s">
        <v>6989</v>
      </c>
      <c r="D16550">
        <v>93</v>
      </c>
      <c r="E16550">
        <v>0</v>
      </c>
      <c r="F16550">
        <v>256</v>
      </c>
    </row>
    <row r="16551" spans="1:6" ht="12.75">
      <c r="A16551" s="2">
        <v>43877.744537037041</v>
      </c>
      <c r="B16551" t="str">
        <f>HYPERLINK("https://twitter.com/exelrockstar","@exelrockstar")</f>
        <v>@exelrockstar</v>
      </c>
      <c r="C16551" t="s">
        <v>8422</v>
      </c>
      <c r="D16551">
        <v>0</v>
      </c>
      <c r="E16551">
        <v>0</v>
      </c>
      <c r="F16551">
        <v>82</v>
      </c>
    </row>
    <row r="16552" spans="1:6" ht="12.75">
      <c r="A16552" s="2">
        <v>43877.744328703702</v>
      </c>
      <c r="B16552" t="str">
        <f>HYPERLINK("https://twitter.com/dwicell1200","@dwicell1200")</f>
        <v>@dwicell1200</v>
      </c>
      <c r="C16552" t="s">
        <v>7259</v>
      </c>
      <c r="D16552">
        <v>48</v>
      </c>
      <c r="E16552">
        <v>0</v>
      </c>
      <c r="F16552">
        <v>414</v>
      </c>
    </row>
    <row r="16553" spans="1:6" ht="12.75">
      <c r="A16553" s="2">
        <v>43877.743946759263</v>
      </c>
      <c r="B16553" t="str">
        <f>HYPERLINK("https://twitter.com/De_Bondress","@De_Bondress")</f>
        <v>@De_Bondress</v>
      </c>
      <c r="C16553" t="s">
        <v>8423</v>
      </c>
      <c r="D16553">
        <v>0</v>
      </c>
      <c r="E16553">
        <v>0</v>
      </c>
      <c r="F16553">
        <v>515</v>
      </c>
    </row>
    <row r="16554" spans="1:6" ht="12.75">
      <c r="A16554" s="2">
        <v>43877.74386574074</v>
      </c>
      <c r="B16554" t="str">
        <f>HYPERLINK("https://twitter.com/exelrockstar","@exelrockstar")</f>
        <v>@exelrockstar</v>
      </c>
      <c r="C16554" t="s">
        <v>8424</v>
      </c>
      <c r="D16554">
        <v>0</v>
      </c>
      <c r="E16554">
        <v>0</v>
      </c>
      <c r="F16554">
        <v>82</v>
      </c>
    </row>
    <row r="16555" spans="1:6" ht="12.75">
      <c r="A16555" s="2">
        <v>43877.743854166663</v>
      </c>
      <c r="B16555" t="str">
        <f>HYPERLINK("https://twitter.com/neyrashazeyra","@neyrashazeyra")</f>
        <v>@neyrashazeyra</v>
      </c>
      <c r="C16555" t="s">
        <v>2444</v>
      </c>
      <c r="D16555">
        <v>4547</v>
      </c>
      <c r="E16555">
        <v>0</v>
      </c>
      <c r="F16555">
        <v>11782</v>
      </c>
    </row>
    <row r="16556" spans="1:6" ht="12.75">
      <c r="A16556" s="2">
        <v>43877.743842592594</v>
      </c>
      <c r="B16556" t="str">
        <f>HYPERLINK("https://twitter.com/Finsensiadaeli","@Finsensiadaeli")</f>
        <v>@Finsensiadaeli</v>
      </c>
      <c r="C16556" t="s">
        <v>8425</v>
      </c>
      <c r="D16556">
        <v>1</v>
      </c>
      <c r="E16556">
        <v>0</v>
      </c>
      <c r="F16556">
        <v>1656</v>
      </c>
    </row>
    <row r="16557" spans="1:6" ht="12.75">
      <c r="A16557" s="2">
        <v>43877.743807870371</v>
      </c>
      <c r="B16557" t="str">
        <f>HYPERLINK("https://twitter.com/aquareg1a","@aquareg1a")</f>
        <v>@aquareg1a</v>
      </c>
      <c r="C16557" t="s">
        <v>8426</v>
      </c>
      <c r="D16557">
        <v>0</v>
      </c>
      <c r="E16557">
        <v>0</v>
      </c>
      <c r="F16557">
        <v>1030</v>
      </c>
    </row>
    <row r="16558" spans="1:6" ht="12.75">
      <c r="A16558" s="2">
        <v>43877.743784722217</v>
      </c>
      <c r="B16558" t="str">
        <f>HYPERLINK("https://twitter.com/anti_mager","@anti_mager")</f>
        <v>@anti_mager</v>
      </c>
      <c r="C16558" t="s">
        <v>8427</v>
      </c>
      <c r="D16558">
        <v>0</v>
      </c>
      <c r="E16558">
        <v>0</v>
      </c>
      <c r="F16558">
        <v>6690</v>
      </c>
    </row>
    <row r="16559" spans="1:6" ht="12.75">
      <c r="A16559" s="2">
        <v>43877.743564814809</v>
      </c>
      <c r="B16559" t="str">
        <f>HYPERLINK("https://twitter.com/agnizar4","@agnizar4")</f>
        <v>@agnizar4</v>
      </c>
      <c r="C16559" t="s">
        <v>6989</v>
      </c>
      <c r="D16559">
        <v>93</v>
      </c>
      <c r="E16559">
        <v>0</v>
      </c>
      <c r="F16559">
        <v>1073</v>
      </c>
    </row>
    <row r="16560" spans="1:6" ht="12.75">
      <c r="A16560" s="2">
        <v>43877.743449074071</v>
      </c>
      <c r="B16560" t="str">
        <f>HYPERLINK("https://twitter.com/portalpantura","@portalpantura")</f>
        <v>@portalpantura</v>
      </c>
      <c r="C16560" t="s">
        <v>8428</v>
      </c>
      <c r="D16560">
        <v>0</v>
      </c>
      <c r="E16560">
        <v>0</v>
      </c>
      <c r="F16560">
        <v>35</v>
      </c>
    </row>
    <row r="16561" spans="1:6" ht="12.75">
      <c r="A16561" s="2">
        <v>43877.743425925924</v>
      </c>
      <c r="B16561" t="str">
        <f>HYPERLINK("https://twitter.com/anti_mager","@anti_mager")</f>
        <v>@anti_mager</v>
      </c>
      <c r="C16561" t="s">
        <v>8429</v>
      </c>
      <c r="D16561">
        <v>0</v>
      </c>
      <c r="E16561">
        <v>0</v>
      </c>
      <c r="F16561">
        <v>6690</v>
      </c>
    </row>
    <row r="16562" spans="1:6" ht="12.75">
      <c r="A16562" s="2">
        <v>43877.743414351848</v>
      </c>
      <c r="B16562" t="str">
        <f>HYPERLINK("https://twitter.com/ratnazaoldyeck","@ratnazaoldyeck")</f>
        <v>@ratnazaoldyeck</v>
      </c>
      <c r="C16562" t="s">
        <v>2444</v>
      </c>
      <c r="D16562">
        <v>4547</v>
      </c>
      <c r="E16562">
        <v>0</v>
      </c>
      <c r="F16562">
        <v>31</v>
      </c>
    </row>
    <row r="16563" spans="1:6" ht="12.75">
      <c r="A16563" s="2">
        <v>43877.743263888886</v>
      </c>
      <c r="B16563" t="str">
        <f>HYPERLINK("https://twitter.com/ryuu132","@ryuu132")</f>
        <v>@ryuu132</v>
      </c>
      <c r="C16563" t="s">
        <v>2444</v>
      </c>
      <c r="D16563">
        <v>4547</v>
      </c>
      <c r="E16563">
        <v>0</v>
      </c>
      <c r="F16563">
        <v>1</v>
      </c>
    </row>
    <row r="16564" spans="1:6" ht="12.75">
      <c r="A16564" s="2">
        <v>43877.74324074074</v>
      </c>
      <c r="B16564" t="str">
        <f>HYPERLINK("https://twitter.com/deewpd","@deewpd")</f>
        <v>@deewpd</v>
      </c>
      <c r="C16564" t="s">
        <v>8430</v>
      </c>
      <c r="D16564">
        <v>0</v>
      </c>
      <c r="E16564">
        <v>0</v>
      </c>
      <c r="F16564">
        <v>1892</v>
      </c>
    </row>
    <row r="16565" spans="1:6" ht="12.75">
      <c r="A16565" s="2">
        <v>43877.743206018524</v>
      </c>
      <c r="B16565" t="str">
        <f>HYPERLINK("https://twitter.com/BahlulMaman","@BahlulMaman")</f>
        <v>@BahlulMaman</v>
      </c>
      <c r="C16565" t="s">
        <v>7850</v>
      </c>
      <c r="D16565">
        <v>0</v>
      </c>
      <c r="E16565">
        <v>0</v>
      </c>
      <c r="F16565">
        <v>353</v>
      </c>
    </row>
    <row r="16566" spans="1:6" ht="12.75">
      <c r="A16566" s="2">
        <v>43877.743067129632</v>
      </c>
      <c r="B16566" t="str">
        <f>HYPERLINK("https://twitter.com/fnsalsaif","@fnsalsaif")</f>
        <v>@fnsalsaif</v>
      </c>
      <c r="C16566" t="s">
        <v>3150</v>
      </c>
      <c r="D16566">
        <v>319</v>
      </c>
      <c r="E16566">
        <v>0</v>
      </c>
      <c r="F16566">
        <v>386</v>
      </c>
    </row>
    <row r="16567" spans="1:6" ht="12.75">
      <c r="A16567" s="2">
        <v>43877.743020833332</v>
      </c>
      <c r="B16567" t="str">
        <f>HYPERLINK("https://twitter.com/AfriliaHilda2","@AfriliaHilda2")</f>
        <v>@AfriliaHilda2</v>
      </c>
      <c r="C16567" t="s">
        <v>7734</v>
      </c>
      <c r="D16567">
        <v>17</v>
      </c>
      <c r="E16567">
        <v>0</v>
      </c>
      <c r="F16567">
        <v>6</v>
      </c>
    </row>
    <row r="16568" spans="1:6" ht="12.75">
      <c r="A16568" s="2">
        <v>43877.743020833332</v>
      </c>
      <c r="B16568" t="str">
        <f>HYPERLINK("https://twitter.com/avia_noer","@avia_noer")</f>
        <v>@avia_noer</v>
      </c>
      <c r="C16568" t="s">
        <v>6338</v>
      </c>
      <c r="D16568">
        <v>709</v>
      </c>
      <c r="E16568">
        <v>0</v>
      </c>
      <c r="F16568">
        <v>546</v>
      </c>
    </row>
    <row r="16569" spans="1:6" ht="12.75">
      <c r="A16569" s="2">
        <v>43877.742905092593</v>
      </c>
      <c r="B16569" t="str">
        <f>HYPERLINK("https://twitter.com/Dianadjiemunaji","@Dianadjiemunaji")</f>
        <v>@Dianadjiemunaji</v>
      </c>
      <c r="C16569" t="s">
        <v>7298</v>
      </c>
      <c r="D16569">
        <v>10</v>
      </c>
      <c r="E16569">
        <v>0</v>
      </c>
      <c r="F16569">
        <v>1411</v>
      </c>
    </row>
    <row r="16570" spans="1:6" ht="12.75">
      <c r="A16570" s="2">
        <v>43877.742789351847</v>
      </c>
      <c r="B16570" t="str">
        <f>HYPERLINK("https://twitter.com/Sarah_Pndj","@Sarah_Pndj")</f>
        <v>@Sarah_Pndj</v>
      </c>
      <c r="C16570" t="s">
        <v>8420</v>
      </c>
      <c r="D16570">
        <v>4</v>
      </c>
      <c r="E16570">
        <v>0</v>
      </c>
      <c r="F16570">
        <v>26652</v>
      </c>
    </row>
    <row r="16571" spans="1:6" ht="12.75">
      <c r="A16571" s="2">
        <v>43877.742581018523</v>
      </c>
      <c r="B16571" t="str">
        <f>HYPERLINK("https://twitter.com/Abdussa78534939","@Abdussa78534939")</f>
        <v>@Abdussa78534939</v>
      </c>
      <c r="C16571" t="s">
        <v>8203</v>
      </c>
      <c r="D16571">
        <v>191</v>
      </c>
      <c r="E16571">
        <v>0</v>
      </c>
      <c r="F16571">
        <v>131</v>
      </c>
    </row>
    <row r="16572" spans="1:6" ht="12.75">
      <c r="A16572" s="2">
        <v>43877.742152777777</v>
      </c>
      <c r="B16572" t="str">
        <f>HYPERLINK("https://twitter.com/EryKusuma4","@EryKusuma4")</f>
        <v>@EryKusuma4</v>
      </c>
      <c r="C16572" t="s">
        <v>7956</v>
      </c>
      <c r="D16572">
        <v>47</v>
      </c>
      <c r="E16572">
        <v>0</v>
      </c>
      <c r="F16572">
        <v>1083</v>
      </c>
    </row>
    <row r="16573" spans="1:6" ht="12.75">
      <c r="A16573" s="2">
        <v>43877.741967592592</v>
      </c>
      <c r="B16573" t="str">
        <f>HYPERLINK("https://twitter.com/the_geotimes","@the_geotimes")</f>
        <v>@the_geotimes</v>
      </c>
      <c r="C16573" t="s">
        <v>7933</v>
      </c>
      <c r="D16573">
        <v>0</v>
      </c>
      <c r="E16573">
        <v>1</v>
      </c>
      <c r="F16573">
        <v>49316</v>
      </c>
    </row>
    <row r="16574" spans="1:6" ht="12.75">
      <c r="A16574" s="2">
        <v>43877.741840277777</v>
      </c>
      <c r="B16574" t="str">
        <f>HYPERLINK("https://twitter.com/IxNdheso","@IxNdheso")</f>
        <v>@IxNdheso</v>
      </c>
      <c r="C16574" t="s">
        <v>8431</v>
      </c>
      <c r="D16574">
        <v>0</v>
      </c>
      <c r="E16574">
        <v>0</v>
      </c>
      <c r="F16574">
        <v>1208</v>
      </c>
    </row>
    <row r="16575" spans="1:6" ht="12.75">
      <c r="A16575" s="2">
        <v>43877.741840277777</v>
      </c>
      <c r="B16575" t="str">
        <f>HYPERLINK("https://twitter.com/terjituu","@terjituu")</f>
        <v>@terjituu</v>
      </c>
      <c r="C16575" t="s">
        <v>8432</v>
      </c>
      <c r="D16575">
        <v>0</v>
      </c>
      <c r="E16575">
        <v>0</v>
      </c>
      <c r="F16575">
        <v>5084</v>
      </c>
    </row>
    <row r="16576" spans="1:6" ht="12.75">
      <c r="A16576" s="2">
        <v>43877.7418287037</v>
      </c>
      <c r="B16576" t="str">
        <f>HYPERLINK("https://twitter.com/SahlanAmin4","@SahlanAmin4")</f>
        <v>@SahlanAmin4</v>
      </c>
      <c r="C16576" t="s">
        <v>8433</v>
      </c>
      <c r="D16576">
        <v>0</v>
      </c>
      <c r="E16576">
        <v>0</v>
      </c>
      <c r="F16576">
        <v>635</v>
      </c>
    </row>
    <row r="16577" spans="1:6" ht="12.75">
      <c r="A16577" s="2">
        <v>43877.7418287037</v>
      </c>
      <c r="B16577" t="str">
        <f>HYPERLINK("https://twitter.com/sirajapadoha","@sirajapadoha")</f>
        <v>@sirajapadoha</v>
      </c>
      <c r="C16577" t="s">
        <v>8434</v>
      </c>
      <c r="D16577">
        <v>1</v>
      </c>
      <c r="E16577">
        <v>0</v>
      </c>
      <c r="F16577">
        <v>2407</v>
      </c>
    </row>
    <row r="16578" spans="1:6" ht="12.75">
      <c r="A16578" s="2">
        <v>43877.74119212963</v>
      </c>
      <c r="B16578" t="str">
        <f>HYPERLINK("https://twitter.com/autobots5699","@autobots5699")</f>
        <v>@autobots5699</v>
      </c>
      <c r="C16578" t="s">
        <v>8435</v>
      </c>
      <c r="D16578">
        <v>0</v>
      </c>
      <c r="E16578">
        <v>0</v>
      </c>
      <c r="F16578">
        <v>195</v>
      </c>
    </row>
    <row r="16579" spans="1:6" ht="12.75">
      <c r="A16579" s="2">
        <v>43877.740972222222</v>
      </c>
      <c r="B16579" t="str">
        <f>HYPERLINK("https://twitter.com/Hery091068","@Hery091068")</f>
        <v>@Hery091068</v>
      </c>
      <c r="C16579" t="s">
        <v>6338</v>
      </c>
      <c r="D16579">
        <v>709</v>
      </c>
      <c r="E16579">
        <v>0</v>
      </c>
      <c r="F16579">
        <v>568</v>
      </c>
    </row>
    <row r="16580" spans="1:6" ht="12.75">
      <c r="A16580" s="2">
        <v>43877.740925925929</v>
      </c>
      <c r="B16580" t="str">
        <f>HYPERLINK("https://twitter.com/siskaniastuti","@siskaniastuti")</f>
        <v>@siskaniastuti</v>
      </c>
      <c r="C16580" t="s">
        <v>7734</v>
      </c>
      <c r="D16580">
        <v>17</v>
      </c>
      <c r="E16580">
        <v>0</v>
      </c>
      <c r="F16580">
        <v>187</v>
      </c>
    </row>
    <row r="16581" spans="1:6" ht="12.75">
      <c r="A16581" s="2">
        <v>43877.74055555556</v>
      </c>
      <c r="B16581" t="str">
        <f>HYPERLINK("https://twitter.com/syahroeladjah","@syahroeladjah")</f>
        <v>@syahroeladjah</v>
      </c>
      <c r="C16581" t="s">
        <v>7956</v>
      </c>
      <c r="D16581">
        <v>47</v>
      </c>
      <c r="E16581">
        <v>0</v>
      </c>
      <c r="F16581">
        <v>1247</v>
      </c>
    </row>
    <row r="16582" spans="1:6" ht="12.75">
      <c r="A16582" s="2">
        <v>43877.740324074075</v>
      </c>
      <c r="B16582" t="str">
        <f>HYPERLINK("https://twitter.com/Inisiatifnews","@Inisiatifnews")</f>
        <v>@Inisiatifnews</v>
      </c>
      <c r="C16582" t="s">
        <v>8436</v>
      </c>
      <c r="D16582">
        <v>0</v>
      </c>
      <c r="E16582">
        <v>0</v>
      </c>
      <c r="F16582">
        <v>61</v>
      </c>
    </row>
    <row r="16583" spans="1:6" ht="12.75">
      <c r="A16583" s="2">
        <v>43877.740266203706</v>
      </c>
      <c r="B16583" t="str">
        <f>HYPERLINK("https://twitter.com/eoshiwin","@eoshiwin")</f>
        <v>@eoshiwin</v>
      </c>
      <c r="C16583" t="s">
        <v>8437</v>
      </c>
      <c r="D16583">
        <v>0</v>
      </c>
      <c r="E16583">
        <v>0</v>
      </c>
      <c r="F16583">
        <v>80</v>
      </c>
    </row>
    <row r="16584" spans="1:6" ht="12.75">
      <c r="A16584" s="2">
        <v>43877.740208333329</v>
      </c>
      <c r="B16584" t="str">
        <f>HYPERLINK("https://twitter.com/bimbimwidan","@bimbimwidan")</f>
        <v>@bimbimwidan</v>
      </c>
      <c r="C16584" t="s">
        <v>7734</v>
      </c>
      <c r="D16584">
        <v>17</v>
      </c>
      <c r="E16584">
        <v>0</v>
      </c>
      <c r="F16584">
        <v>195</v>
      </c>
    </row>
    <row r="16585" spans="1:6" ht="12.75">
      <c r="A16585" s="2">
        <v>43877.74013888889</v>
      </c>
      <c r="B16585" t="str">
        <f>HYPERLINK("https://twitter.com/aaddiinnii","@aaddiinnii")</f>
        <v>@aaddiinnii</v>
      </c>
      <c r="C16585" t="s">
        <v>8438</v>
      </c>
      <c r="D16585">
        <v>0</v>
      </c>
      <c r="E16585">
        <v>0</v>
      </c>
      <c r="F16585">
        <v>561</v>
      </c>
    </row>
    <row r="16586" spans="1:6" ht="12.75">
      <c r="A16586" s="2">
        <v>43877.739652777775</v>
      </c>
      <c r="B16586" t="str">
        <f>HYPERLINK("https://twitter.com/clarisawida","@clarisawida")</f>
        <v>@clarisawida</v>
      </c>
      <c r="C16586" t="s">
        <v>7734</v>
      </c>
      <c r="D16586">
        <v>17</v>
      </c>
      <c r="E16586">
        <v>0</v>
      </c>
      <c r="F16586">
        <v>349</v>
      </c>
    </row>
    <row r="16587" spans="1:6" ht="12.75">
      <c r="A16587" s="2">
        <v>43877.739618055552</v>
      </c>
      <c r="B16587" t="str">
        <f>HYPERLINK("https://twitter.com/Av1Dlm","@Av1Dlm")</f>
        <v>@Av1Dlm</v>
      </c>
      <c r="C16587" t="s">
        <v>6989</v>
      </c>
      <c r="D16587">
        <v>93</v>
      </c>
      <c r="E16587">
        <v>0</v>
      </c>
      <c r="F16587">
        <v>317</v>
      </c>
    </row>
    <row r="16588" spans="1:6" ht="12.75">
      <c r="A16588" s="2">
        <v>43877.739444444444</v>
      </c>
      <c r="B16588" t="str">
        <f>HYPERLINK("https://twitter.com/irannewsdaily","@irannewsdaily")</f>
        <v>@irannewsdaily</v>
      </c>
      <c r="C16588" t="s">
        <v>8439</v>
      </c>
      <c r="D16588">
        <v>0</v>
      </c>
      <c r="E16588">
        <v>2</v>
      </c>
      <c r="F16588">
        <v>2197</v>
      </c>
    </row>
    <row r="16589" spans="1:6" ht="12.75">
      <c r="A16589" s="2">
        <v>43877.739386574074</v>
      </c>
      <c r="B16589" t="str">
        <f>HYPERLINK("https://twitter.com/sirajapadoha","@sirajapadoha")</f>
        <v>@sirajapadoha</v>
      </c>
      <c r="C16589" t="s">
        <v>7897</v>
      </c>
      <c r="D16589">
        <v>5</v>
      </c>
      <c r="E16589">
        <v>0</v>
      </c>
      <c r="F16589">
        <v>2407</v>
      </c>
    </row>
    <row r="16590" spans="1:6" ht="12.75">
      <c r="A16590" s="2">
        <v>43877.739201388889</v>
      </c>
      <c r="B16590" t="str">
        <f t="shared" ref="B16590:B16591" si="279">HYPERLINK("https://twitter.com/enoveri1","@enoveri1")</f>
        <v>@enoveri1</v>
      </c>
      <c r="C16590" t="s">
        <v>5168</v>
      </c>
      <c r="D16590">
        <v>1651</v>
      </c>
      <c r="E16590">
        <v>0</v>
      </c>
      <c r="F16590">
        <v>4</v>
      </c>
    </row>
    <row r="16591" spans="1:6" ht="12.75">
      <c r="A16591" s="2">
        <v>43877.739108796297</v>
      </c>
      <c r="B16591" t="str">
        <f t="shared" si="279"/>
        <v>@enoveri1</v>
      </c>
      <c r="C16591" t="s">
        <v>2444</v>
      </c>
      <c r="D16591">
        <v>4547</v>
      </c>
      <c r="E16591">
        <v>0</v>
      </c>
      <c r="F16591">
        <v>4</v>
      </c>
    </row>
    <row r="16592" spans="1:6" ht="12.75">
      <c r="A16592" s="2">
        <v>43877.739074074074</v>
      </c>
      <c r="B16592" t="str">
        <f>HYPERLINK("https://twitter.com/i_Pras","@i_Pras")</f>
        <v>@i_Pras</v>
      </c>
      <c r="C16592" t="s">
        <v>6989</v>
      </c>
      <c r="D16592">
        <v>93</v>
      </c>
      <c r="E16592">
        <v>0</v>
      </c>
      <c r="F16592">
        <v>1045</v>
      </c>
    </row>
    <row r="16593" spans="1:6" ht="12.75">
      <c r="A16593" s="2">
        <v>43877.738958333328</v>
      </c>
      <c r="B16593" t="str">
        <f>HYPERLINK("https://twitter.com/memtest86","@memtest86")</f>
        <v>@memtest86</v>
      </c>
      <c r="C16593" t="s">
        <v>8440</v>
      </c>
      <c r="D16593">
        <v>0</v>
      </c>
      <c r="E16593">
        <v>0</v>
      </c>
      <c r="F16593">
        <v>31</v>
      </c>
    </row>
    <row r="16594" spans="1:6" ht="12.75">
      <c r="A16594" s="2">
        <v>43877.738773148143</v>
      </c>
      <c r="B16594" t="str">
        <f>HYPERLINK("https://twitter.com/sandrakent38","@sandrakent38")</f>
        <v>@sandrakent38</v>
      </c>
      <c r="C16594" t="s">
        <v>3150</v>
      </c>
      <c r="D16594">
        <v>319</v>
      </c>
      <c r="E16594">
        <v>0</v>
      </c>
      <c r="F16594">
        <v>217</v>
      </c>
    </row>
    <row r="16595" spans="1:6" ht="12.75">
      <c r="A16595" s="2">
        <v>43877.738645833335</v>
      </c>
      <c r="B16595" t="str">
        <f>HYPERLINK("https://twitter.com/YohanesPatty2","@YohanesPatty2")</f>
        <v>@YohanesPatty2</v>
      </c>
      <c r="C16595" t="s">
        <v>7298</v>
      </c>
      <c r="D16595">
        <v>10</v>
      </c>
      <c r="E16595">
        <v>0</v>
      </c>
      <c r="F16595">
        <v>5571</v>
      </c>
    </row>
    <row r="16596" spans="1:6" ht="12.75">
      <c r="A16596" s="2">
        <v>43877.738611111112</v>
      </c>
      <c r="B16596" t="str">
        <f>HYPERLINK("https://twitter.com/mashiho_t13","@mashiho_t13")</f>
        <v>@mashiho_t13</v>
      </c>
      <c r="C16596" t="s">
        <v>7734</v>
      </c>
      <c r="D16596">
        <v>17</v>
      </c>
      <c r="E16596">
        <v>0</v>
      </c>
      <c r="F16596">
        <v>192</v>
      </c>
    </row>
    <row r="16597" spans="1:6" ht="12.75">
      <c r="A16597" s="2">
        <v>43877.737592592588</v>
      </c>
      <c r="B16597" t="str">
        <f>HYPERLINK("https://twitter.com/lelembutputih","@lelembutputih")</f>
        <v>@lelembutputih</v>
      </c>
      <c r="C16597" t="s">
        <v>8419</v>
      </c>
      <c r="D16597">
        <v>3</v>
      </c>
      <c r="E16597">
        <v>0</v>
      </c>
      <c r="F16597">
        <v>121</v>
      </c>
    </row>
    <row r="16598" spans="1:6" ht="12.75">
      <c r="A16598" s="2">
        <v>43877.737569444449</v>
      </c>
      <c r="B16598" t="str">
        <f>HYPERLINK("https://twitter.com/K60437243","@K60437243")</f>
        <v>@K60437243</v>
      </c>
      <c r="C16598" t="s">
        <v>8441</v>
      </c>
      <c r="D16598">
        <v>0</v>
      </c>
      <c r="E16598">
        <v>0</v>
      </c>
      <c r="F16598">
        <v>0</v>
      </c>
    </row>
    <row r="16599" spans="1:6" ht="12.75">
      <c r="A16599" s="2">
        <v>43877.737523148149</v>
      </c>
      <c r="B16599" t="str">
        <f>HYPERLINK("https://twitter.com/roslynbae","@roslynbae")</f>
        <v>@roslynbae</v>
      </c>
      <c r="C16599" t="s">
        <v>7734</v>
      </c>
      <c r="D16599">
        <v>17</v>
      </c>
      <c r="E16599">
        <v>0</v>
      </c>
      <c r="F16599">
        <v>104</v>
      </c>
    </row>
    <row r="16600" spans="1:6" ht="12.75">
      <c r="A16600" s="2">
        <v>43877.737326388888</v>
      </c>
      <c r="B16600" t="str">
        <f>HYPERLINK("https://twitter.com/Ade_gerak","@Ade_gerak")</f>
        <v>@Ade_gerak</v>
      </c>
      <c r="C16600" t="s">
        <v>8442</v>
      </c>
      <c r="D16600">
        <v>0</v>
      </c>
      <c r="E16600">
        <v>0</v>
      </c>
      <c r="F16600">
        <v>28</v>
      </c>
    </row>
    <row r="16601" spans="1:6" ht="12.75">
      <c r="A16601" s="2">
        <v>43877.737233796295</v>
      </c>
      <c r="B16601" t="str">
        <f>HYPERLINK("https://twitter.com/KelianBanjar_GK","@KelianBanjar_GK")</f>
        <v>@KelianBanjar_GK</v>
      </c>
      <c r="C16601" t="s">
        <v>8370</v>
      </c>
      <c r="D16601">
        <v>7</v>
      </c>
      <c r="E16601">
        <v>0</v>
      </c>
      <c r="F16601">
        <v>8475</v>
      </c>
    </row>
    <row r="16602" spans="1:6" ht="12.75">
      <c r="A16602" s="2">
        <v>43877.737233796295</v>
      </c>
      <c r="B16602" t="str">
        <f>HYPERLINK("https://twitter.com/paul_jas","@paul_jas")</f>
        <v>@paul_jas</v>
      </c>
      <c r="C16602" t="s">
        <v>8443</v>
      </c>
      <c r="D16602">
        <v>0</v>
      </c>
      <c r="E16602">
        <v>0</v>
      </c>
      <c r="F16602">
        <v>56</v>
      </c>
    </row>
    <row r="16603" spans="1:6" ht="12.75">
      <c r="A16603" s="2">
        <v>43877.737118055556</v>
      </c>
      <c r="B16603" t="str">
        <f>HYPERLINK("https://twitter.com/umaremania87","@umaremania87")</f>
        <v>@umaremania87</v>
      </c>
      <c r="C16603" t="s">
        <v>8444</v>
      </c>
      <c r="D16603">
        <v>2</v>
      </c>
      <c r="E16603">
        <v>0</v>
      </c>
      <c r="F16603">
        <v>312</v>
      </c>
    </row>
    <row r="16604" spans="1:6" ht="12.75">
      <c r="A16604" s="2">
        <v>43877.736770833333</v>
      </c>
      <c r="B16604" t="str">
        <f>HYPERLINK("https://twitter.com/vwxyzda","@vwxyzda")</f>
        <v>@vwxyzda</v>
      </c>
      <c r="C16604" t="s">
        <v>7734</v>
      </c>
      <c r="D16604">
        <v>17</v>
      </c>
      <c r="E16604">
        <v>0</v>
      </c>
      <c r="F16604">
        <v>58</v>
      </c>
    </row>
    <row r="16605" spans="1:6" ht="12.75">
      <c r="A16605" s="2">
        <v>43877.736192129625</v>
      </c>
      <c r="B16605" t="str">
        <f>HYPERLINK("https://twitter.com/Rosabeys","@Rosabeys")</f>
        <v>@Rosabeys</v>
      </c>
      <c r="C16605" t="s">
        <v>8445</v>
      </c>
      <c r="D16605">
        <v>0</v>
      </c>
      <c r="E16605">
        <v>0</v>
      </c>
      <c r="F16605">
        <v>39</v>
      </c>
    </row>
    <row r="16606" spans="1:6" ht="12.75">
      <c r="A16606" s="2">
        <v>43877.735810185186</v>
      </c>
      <c r="B16606" t="str">
        <f>HYPERLINK("https://twitter.com/InfoCOVID19_id","@InfoCOVID19_id")</f>
        <v>@InfoCOVID19_id</v>
      </c>
      <c r="C16606" t="s">
        <v>7734</v>
      </c>
      <c r="D16606">
        <v>17</v>
      </c>
      <c r="E16606">
        <v>0</v>
      </c>
      <c r="F16606">
        <v>38</v>
      </c>
    </row>
    <row r="16607" spans="1:6" ht="12.75">
      <c r="A16607" s="2">
        <v>43877.735717592594</v>
      </c>
      <c r="B16607" t="str">
        <f>HYPERLINK("https://twitter.com/graha_nusantara","@graha_nusantara")</f>
        <v>@graha_nusantara</v>
      </c>
      <c r="C16607" t="s">
        <v>8446</v>
      </c>
      <c r="D16607">
        <v>0</v>
      </c>
      <c r="E16607">
        <v>0</v>
      </c>
      <c r="F16607">
        <v>11</v>
      </c>
    </row>
    <row r="16608" spans="1:6" ht="12.75">
      <c r="A16608" s="2">
        <v>43877.735659722224</v>
      </c>
      <c r="B16608" t="str">
        <f>HYPERLINK("https://twitter.com/elanghaq","@elanghaq")</f>
        <v>@elanghaq</v>
      </c>
      <c r="C16608" t="s">
        <v>8447</v>
      </c>
      <c r="D16608">
        <v>0</v>
      </c>
      <c r="E16608">
        <v>1</v>
      </c>
      <c r="F16608">
        <v>150</v>
      </c>
    </row>
    <row r="16609" spans="1:6" ht="12.75">
      <c r="A16609" s="2">
        <v>43877.735451388886</v>
      </c>
      <c r="B16609" t="str">
        <f>HYPERLINK("https://twitter.com/miraeyahh","@miraeyahh")</f>
        <v>@miraeyahh</v>
      </c>
      <c r="C16609" t="s">
        <v>2444</v>
      </c>
      <c r="D16609">
        <v>4547</v>
      </c>
      <c r="E16609">
        <v>0</v>
      </c>
      <c r="F16609">
        <v>344</v>
      </c>
    </row>
    <row r="16610" spans="1:6" ht="12.75">
      <c r="A16610" s="2">
        <v>43877.735405092593</v>
      </c>
      <c r="B16610" t="str">
        <f>HYPERLINK("https://twitter.com/vonbronbiru","@vonbronbiru")</f>
        <v>@vonbronbiru</v>
      </c>
      <c r="C16610" t="s">
        <v>7298</v>
      </c>
      <c r="D16610">
        <v>10</v>
      </c>
      <c r="E16610">
        <v>0</v>
      </c>
      <c r="F16610">
        <v>1036</v>
      </c>
    </row>
    <row r="16611" spans="1:6" ht="12.75">
      <c r="A16611" s="2">
        <v>43877.735358796301</v>
      </c>
      <c r="B16611" t="str">
        <f>HYPERLINK("https://twitter.com/rika_nafahatul","@rika_nafahatul")</f>
        <v>@rika_nafahatul</v>
      </c>
      <c r="C16611" t="s">
        <v>7734</v>
      </c>
      <c r="D16611">
        <v>17</v>
      </c>
      <c r="E16611">
        <v>0</v>
      </c>
      <c r="F16611">
        <v>88</v>
      </c>
    </row>
    <row r="16612" spans="1:6" ht="12.75">
      <c r="A16612" s="2">
        <v>43877.734722222223</v>
      </c>
      <c r="B16612" t="str">
        <f>HYPERLINK("https://twitter.com/MoonMacaroon27","@MoonMacaroon27")</f>
        <v>@MoonMacaroon27</v>
      </c>
      <c r="C16612" t="s">
        <v>7734</v>
      </c>
      <c r="D16612">
        <v>17</v>
      </c>
      <c r="E16612">
        <v>0</v>
      </c>
      <c r="F16612">
        <v>104</v>
      </c>
    </row>
    <row r="16613" spans="1:6" ht="12.75">
      <c r="A16613" s="2">
        <v>43877.734282407408</v>
      </c>
      <c r="B16613" t="str">
        <f>HYPERLINK("https://twitter.com/KemenkesRI","@KemenkesRI")</f>
        <v>@KemenkesRI</v>
      </c>
      <c r="C16613" t="s">
        <v>8448</v>
      </c>
      <c r="D16613">
        <v>17</v>
      </c>
      <c r="E16613">
        <v>32</v>
      </c>
      <c r="F16613">
        <v>245633</v>
      </c>
    </row>
    <row r="16614" spans="1:6" ht="12.75">
      <c r="A16614" s="2">
        <v>43877.733437499999</v>
      </c>
      <c r="B16614" t="str">
        <f>HYPERLINK("https://twitter.com/Alfster8","@Alfster8")</f>
        <v>@Alfster8</v>
      </c>
      <c r="C16614" t="s">
        <v>3150</v>
      </c>
      <c r="D16614">
        <v>319</v>
      </c>
      <c r="E16614">
        <v>0</v>
      </c>
      <c r="F16614">
        <v>917</v>
      </c>
    </row>
    <row r="16615" spans="1:6" ht="12.75">
      <c r="A16615" s="2">
        <v>43877.733240740738</v>
      </c>
      <c r="B16615" t="str">
        <f>HYPERLINK("https://twitter.com/absimor","@absimor")</f>
        <v>@absimor</v>
      </c>
      <c r="C16615" t="s">
        <v>8449</v>
      </c>
      <c r="D16615">
        <v>0</v>
      </c>
      <c r="E16615">
        <v>0</v>
      </c>
      <c r="F16615">
        <v>0</v>
      </c>
    </row>
    <row r="16616" spans="1:6" ht="12.75">
      <c r="A16616" s="2">
        <v>43877.709131944444</v>
      </c>
      <c r="B16616" t="str">
        <f>HYPERLINK("https://twitter.com/nustya88","@nustya88")</f>
        <v>@nustya88</v>
      </c>
      <c r="C16616" t="s">
        <v>8450</v>
      </c>
      <c r="D16616">
        <v>2</v>
      </c>
      <c r="E16616">
        <v>0</v>
      </c>
      <c r="F16616">
        <v>101</v>
      </c>
    </row>
    <row r="16617" spans="1:6" ht="12.75">
      <c r="A16617" s="2">
        <v>43877.708912037036</v>
      </c>
      <c r="B16617" t="str">
        <f>HYPERLINK("https://twitter.com/Andri_C1AB","@Andri_C1AB")</f>
        <v>@Andri_C1AB</v>
      </c>
      <c r="C16617" t="s">
        <v>8413</v>
      </c>
      <c r="D16617">
        <v>6</v>
      </c>
      <c r="E16617">
        <v>0</v>
      </c>
      <c r="F16617">
        <v>4896</v>
      </c>
    </row>
    <row r="16618" spans="1:6" ht="12.75">
      <c r="A16618" s="2">
        <v>43877.70884259259</v>
      </c>
      <c r="B16618" t="str">
        <f>HYPERLINK("https://twitter.com/Samidi86233792","@Samidi86233792")</f>
        <v>@Samidi86233792</v>
      </c>
      <c r="C16618" t="s">
        <v>6338</v>
      </c>
      <c r="D16618">
        <v>685</v>
      </c>
      <c r="E16618">
        <v>0</v>
      </c>
      <c r="F16618">
        <v>0</v>
      </c>
    </row>
    <row r="16619" spans="1:6" ht="12.75">
      <c r="A16619" s="2">
        <v>43877.708773148144</v>
      </c>
      <c r="B16619" t="str">
        <f>HYPERLINK("https://twitter.com/yhono1212","@yhono1212")</f>
        <v>@yhono1212</v>
      </c>
      <c r="C16619" t="s">
        <v>6338</v>
      </c>
      <c r="D16619">
        <v>685</v>
      </c>
      <c r="E16619">
        <v>0</v>
      </c>
      <c r="F16619">
        <v>139</v>
      </c>
    </row>
    <row r="16620" spans="1:6" ht="12.75">
      <c r="A16620" s="2">
        <v>43877.708761574075</v>
      </c>
      <c r="B16620" t="str">
        <f>HYPERLINK("https://twitter.com/AderadianDian","@AderadianDian")</f>
        <v>@AderadianDian</v>
      </c>
      <c r="C16620" t="s">
        <v>8451</v>
      </c>
      <c r="D16620">
        <v>0</v>
      </c>
      <c r="E16620">
        <v>0</v>
      </c>
      <c r="F16620">
        <v>46</v>
      </c>
    </row>
    <row r="16621" spans="1:6" ht="12.75">
      <c r="A16621" s="2">
        <v>43877.708460648151</v>
      </c>
      <c r="B16621" t="str">
        <f>HYPERLINK("https://twitter.com/edo_great","@edo_great")</f>
        <v>@edo_great</v>
      </c>
      <c r="C16621" t="s">
        <v>6338</v>
      </c>
      <c r="D16621">
        <v>685</v>
      </c>
      <c r="E16621">
        <v>0</v>
      </c>
      <c r="F16621">
        <v>752</v>
      </c>
    </row>
    <row r="16622" spans="1:6" ht="12.75">
      <c r="A16622" s="2">
        <v>43877.708449074074</v>
      </c>
      <c r="B16622" t="str">
        <f>HYPERLINK("https://twitter.com/Kumbanghutan18","@Kumbanghutan18")</f>
        <v>@Kumbanghutan18</v>
      </c>
      <c r="C16622" t="s">
        <v>7990</v>
      </c>
      <c r="D16622">
        <v>4</v>
      </c>
      <c r="E16622">
        <v>0</v>
      </c>
      <c r="F16622">
        <v>655</v>
      </c>
    </row>
    <row r="16623" spans="1:6" ht="12.75">
      <c r="A16623" s="2">
        <v>43877.708298611113</v>
      </c>
      <c r="B16623" t="str">
        <f>HYPERLINK("https://twitter.com/nustya88","@nustya88")</f>
        <v>@nustya88</v>
      </c>
      <c r="C16623" t="s">
        <v>8452</v>
      </c>
      <c r="D16623">
        <v>0</v>
      </c>
      <c r="E16623">
        <v>0</v>
      </c>
      <c r="F16623">
        <v>101</v>
      </c>
    </row>
    <row r="16624" spans="1:6" ht="12.75">
      <c r="A16624" s="2">
        <v>43877.707719907412</v>
      </c>
      <c r="B16624" t="str">
        <f>HYPERLINK("https://twitter.com/Darussa63306696","@Darussa63306696")</f>
        <v>@Darussa63306696</v>
      </c>
      <c r="C16624" t="s">
        <v>6338</v>
      </c>
      <c r="D16624">
        <v>685</v>
      </c>
      <c r="E16624">
        <v>0</v>
      </c>
      <c r="F16624">
        <v>176</v>
      </c>
    </row>
    <row r="16625" spans="1:6" ht="12.75">
      <c r="A16625" s="2">
        <v>43877.707245370373</v>
      </c>
      <c r="B16625" t="str">
        <f>HYPERLINK("https://twitter.com/berirese","@berirese")</f>
        <v>@berirese</v>
      </c>
      <c r="C16625" t="s">
        <v>8453</v>
      </c>
      <c r="D16625">
        <v>1</v>
      </c>
      <c r="E16625">
        <v>0</v>
      </c>
      <c r="F16625">
        <v>24</v>
      </c>
    </row>
    <row r="16626" spans="1:6" ht="12.75">
      <c r="A16626" s="2">
        <v>43877.707175925927</v>
      </c>
      <c r="B16626" t="str">
        <f>HYPERLINK("https://twitter.com/luidarryl","@luidarryl")</f>
        <v>@luidarryl</v>
      </c>
      <c r="C16626" t="s">
        <v>6338</v>
      </c>
      <c r="D16626">
        <v>685</v>
      </c>
      <c r="E16626">
        <v>0</v>
      </c>
      <c r="F16626">
        <v>18</v>
      </c>
    </row>
    <row r="16627" spans="1:6" ht="12.75">
      <c r="A16627" s="2">
        <v>43877.707141203704</v>
      </c>
      <c r="B16627" t="str">
        <f>HYPERLINK("https://twitter.com/ni2ekninot","@ni2ekninot")</f>
        <v>@ni2ekninot</v>
      </c>
      <c r="C16627" t="s">
        <v>6338</v>
      </c>
      <c r="D16627">
        <v>685</v>
      </c>
      <c r="E16627">
        <v>0</v>
      </c>
      <c r="F16627">
        <v>40</v>
      </c>
    </row>
    <row r="16628" spans="1:6" ht="12.75">
      <c r="A16628" s="2">
        <v>43877.707025462965</v>
      </c>
      <c r="B16628" t="str">
        <f>HYPERLINK("https://twitter.com/yoojungmu","@yoojungmu")</f>
        <v>@yoojungmu</v>
      </c>
      <c r="C16628" t="s">
        <v>8454</v>
      </c>
      <c r="D16628">
        <v>0</v>
      </c>
      <c r="E16628">
        <v>0</v>
      </c>
      <c r="F16628">
        <v>8645</v>
      </c>
    </row>
    <row r="16629" spans="1:6" ht="12.75">
      <c r="A16629" s="2">
        <v>43877.70684027778</v>
      </c>
      <c r="B16629" t="str">
        <f>HYPERLINK("https://twitter.com/berirese","@berirese")</f>
        <v>@berirese</v>
      </c>
      <c r="C16629" t="s">
        <v>8455</v>
      </c>
      <c r="D16629">
        <v>1</v>
      </c>
      <c r="E16629">
        <v>0</v>
      </c>
      <c r="F16629">
        <v>24</v>
      </c>
    </row>
    <row r="16630" spans="1:6" ht="12.75">
      <c r="A16630" s="2">
        <v>43877.706805555557</v>
      </c>
      <c r="B16630" t="str">
        <f>HYPERLINK("https://twitter.com/FreeNajib2018","@FreeNajib2018")</f>
        <v>@FreeNajib2018</v>
      </c>
      <c r="C16630" t="s">
        <v>8021</v>
      </c>
      <c r="D16630">
        <v>14</v>
      </c>
      <c r="E16630">
        <v>0</v>
      </c>
      <c r="F16630">
        <v>166</v>
      </c>
    </row>
    <row r="16631" spans="1:6" ht="12.75">
      <c r="A16631" s="2">
        <v>43877.706793981481</v>
      </c>
      <c r="B16631" t="str">
        <f>HYPERLINK("https://twitter.com/rangermera","@rangermera")</f>
        <v>@rangermera</v>
      </c>
      <c r="C16631" t="s">
        <v>8456</v>
      </c>
      <c r="D16631">
        <v>0</v>
      </c>
      <c r="E16631">
        <v>0</v>
      </c>
      <c r="F16631">
        <v>82</v>
      </c>
    </row>
    <row r="16632" spans="1:6" ht="12.75">
      <c r="A16632" s="2">
        <v>43877.706759259258</v>
      </c>
      <c r="B16632" t="str">
        <f>HYPERLINK("https://twitter.com/hyaikuto","@hyaikuto")</f>
        <v>@hyaikuto</v>
      </c>
      <c r="C16632" t="s">
        <v>7905</v>
      </c>
      <c r="D16632">
        <v>78</v>
      </c>
      <c r="E16632">
        <v>0</v>
      </c>
      <c r="F16632">
        <v>60</v>
      </c>
    </row>
    <row r="16633" spans="1:6" ht="12.75">
      <c r="A16633" s="2">
        <v>43877.706724537042</v>
      </c>
      <c r="B16633" t="str">
        <f>HYPERLINK("https://twitter.com/tribunbatamku","@tribunbatamku")</f>
        <v>@tribunbatamku</v>
      </c>
      <c r="C16633" t="s">
        <v>8457</v>
      </c>
      <c r="D16633">
        <v>0</v>
      </c>
      <c r="E16633">
        <v>0</v>
      </c>
      <c r="F16633">
        <v>5269</v>
      </c>
    </row>
    <row r="16634" spans="1:6" ht="12.75">
      <c r="A16634" s="2">
        <v>43877.706446759257</v>
      </c>
      <c r="B16634" t="str">
        <f>HYPERLINK("https://twitter.com/pinginsakti","@pinginsakti")</f>
        <v>@pinginsakti</v>
      </c>
      <c r="C16634" t="s">
        <v>8458</v>
      </c>
      <c r="D16634">
        <v>0</v>
      </c>
      <c r="E16634">
        <v>0</v>
      </c>
      <c r="F16634">
        <v>62</v>
      </c>
    </row>
    <row r="16635" spans="1:6" ht="12.75">
      <c r="A16635" s="2">
        <v>43877.706064814818</v>
      </c>
      <c r="B16635" t="str">
        <f>HYPERLINK("https://twitter.com/Purwa_wicak","@Purwa_wicak")</f>
        <v>@Purwa_wicak</v>
      </c>
      <c r="C16635" t="s">
        <v>8459</v>
      </c>
      <c r="D16635">
        <v>1</v>
      </c>
      <c r="E16635">
        <v>0</v>
      </c>
      <c r="F16635">
        <v>271</v>
      </c>
    </row>
    <row r="16636" spans="1:6" ht="12.75">
      <c r="A16636" s="2">
        <v>43877.705451388887</v>
      </c>
      <c r="B16636" t="str">
        <f>HYPERLINK("https://twitter.com/Dhealestri","@Dhealestri")</f>
        <v>@Dhealestri</v>
      </c>
      <c r="C16636" t="s">
        <v>8460</v>
      </c>
      <c r="D16636">
        <v>0</v>
      </c>
      <c r="E16636">
        <v>0</v>
      </c>
      <c r="F16636">
        <v>194</v>
      </c>
    </row>
    <row r="16637" spans="1:6" ht="12.75">
      <c r="A16637" s="2">
        <v>43877.705381944441</v>
      </c>
      <c r="B16637" t="str">
        <f>HYPERLINK("https://twitter.com/imran_mu","@imran_mu")</f>
        <v>@imran_mu</v>
      </c>
      <c r="C16637" t="s">
        <v>2444</v>
      </c>
      <c r="D16637">
        <v>4542</v>
      </c>
      <c r="E16637">
        <v>0</v>
      </c>
      <c r="F16637">
        <v>810</v>
      </c>
    </row>
    <row r="16638" spans="1:6" ht="12.75">
      <c r="A16638" s="2">
        <v>43877.705231481479</v>
      </c>
      <c r="B16638" t="str">
        <f>HYPERLINK("https://twitter.com/aminjasc","@aminjasc")</f>
        <v>@aminjasc</v>
      </c>
      <c r="C16638" t="s">
        <v>6825</v>
      </c>
      <c r="D16638">
        <v>24</v>
      </c>
      <c r="E16638">
        <v>0</v>
      </c>
      <c r="F16638">
        <v>371</v>
      </c>
    </row>
    <row r="16639" spans="1:6" ht="12.75">
      <c r="A16639" s="2">
        <v>43877.705000000002</v>
      </c>
      <c r="B16639" t="str">
        <f>HYPERLINK("https://twitter.com/RidwanRoti","@RidwanRoti")</f>
        <v>@RidwanRoti</v>
      </c>
      <c r="C16639" t="s">
        <v>8461</v>
      </c>
      <c r="D16639">
        <v>1</v>
      </c>
      <c r="E16639">
        <v>0</v>
      </c>
      <c r="F16639">
        <v>124</v>
      </c>
    </row>
    <row r="16640" spans="1:6" ht="12.75">
      <c r="A16640" s="2">
        <v>43877.704733796301</v>
      </c>
      <c r="B16640" t="str">
        <f>HYPERLINK("https://twitter.com/erdobani","@erdobani")</f>
        <v>@erdobani</v>
      </c>
      <c r="C16640" t="s">
        <v>8462</v>
      </c>
      <c r="D16640">
        <v>0</v>
      </c>
      <c r="E16640">
        <v>0</v>
      </c>
      <c r="F16640">
        <v>104</v>
      </c>
    </row>
    <row r="16641" spans="1:6" ht="12.75">
      <c r="A16641" s="2">
        <v>43877.704317129625</v>
      </c>
      <c r="B16641" t="str">
        <f>HYPERLINK("https://twitter.com/okezonenews","@okezonenews")</f>
        <v>@okezonenews</v>
      </c>
      <c r="C16641" t="s">
        <v>8463</v>
      </c>
      <c r="D16641">
        <v>0</v>
      </c>
      <c r="E16641">
        <v>0</v>
      </c>
      <c r="F16641">
        <v>1743913</v>
      </c>
    </row>
    <row r="16642" spans="1:6" ht="12.75">
      <c r="A16642" s="2">
        <v>43877.704189814816</v>
      </c>
      <c r="B16642" t="str">
        <f>HYPERLINK("https://twitter.com/JhonniSinaga20","@JhonniSinaga20")</f>
        <v>@JhonniSinaga20</v>
      </c>
      <c r="C16642" t="s">
        <v>8464</v>
      </c>
      <c r="D16642">
        <v>0</v>
      </c>
      <c r="E16642">
        <v>0</v>
      </c>
      <c r="F16642">
        <v>526</v>
      </c>
    </row>
    <row r="16643" spans="1:6" ht="12.75">
      <c r="A16643" s="2">
        <v>43877.70380787037</v>
      </c>
      <c r="B16643" t="str">
        <f>HYPERLINK("https://twitter.com/3_devout","@3_devout")</f>
        <v>@3_devout</v>
      </c>
      <c r="C16643" t="s">
        <v>8465</v>
      </c>
      <c r="D16643">
        <v>0</v>
      </c>
      <c r="E16643">
        <v>1</v>
      </c>
      <c r="F16643">
        <v>1033</v>
      </c>
    </row>
    <row r="16644" spans="1:6" ht="12.75">
      <c r="A16644" s="2">
        <v>43877.703715277778</v>
      </c>
      <c r="B16644" t="str">
        <f>HYPERLINK("https://twitter.com/C_AjiMahameru52","@C_AjiMahameru52")</f>
        <v>@C_AjiMahameru52</v>
      </c>
      <c r="C16644" t="s">
        <v>6989</v>
      </c>
      <c r="D16644">
        <v>72</v>
      </c>
      <c r="E16644">
        <v>0</v>
      </c>
      <c r="F16644">
        <v>3046</v>
      </c>
    </row>
    <row r="16645" spans="1:6" ht="12.75">
      <c r="A16645" s="2">
        <v>43877.703657407408</v>
      </c>
      <c r="B16645" t="str">
        <f>HYPERLINK("https://twitter.com/eriskaagustin14","@eriskaagustin14")</f>
        <v>@eriskaagustin14</v>
      </c>
      <c r="C16645" t="s">
        <v>8466</v>
      </c>
      <c r="D16645">
        <v>0</v>
      </c>
      <c r="E16645">
        <v>0</v>
      </c>
      <c r="F16645">
        <v>1018</v>
      </c>
    </row>
    <row r="16646" spans="1:6" ht="12.75">
      <c r="A16646" s="2">
        <v>43877.703645833331</v>
      </c>
      <c r="B16646" t="str">
        <f>HYPERLINK("https://twitter.com/YoRa_yo_opo_ora","@YoRa_yo_opo_ora")</f>
        <v>@YoRa_yo_opo_ora</v>
      </c>
      <c r="C16646" t="s">
        <v>8467</v>
      </c>
      <c r="D16646">
        <v>0</v>
      </c>
      <c r="E16646">
        <v>2</v>
      </c>
      <c r="F16646">
        <v>686</v>
      </c>
    </row>
    <row r="16647" spans="1:6" ht="12.75">
      <c r="A16647" s="2">
        <v>43877.702962962961</v>
      </c>
      <c r="B16647" t="str">
        <f>HYPERLINK("https://twitter.com/hfejin","@hfejin")</f>
        <v>@hfejin</v>
      </c>
      <c r="C16647" t="s">
        <v>8468</v>
      </c>
      <c r="D16647">
        <v>0</v>
      </c>
      <c r="E16647">
        <v>0</v>
      </c>
      <c r="F16647">
        <v>1877</v>
      </c>
    </row>
    <row r="16648" spans="1:6" ht="12.75">
      <c r="A16648" s="2">
        <v>43877.702881944446</v>
      </c>
      <c r="B16648" t="str">
        <f>HYPERLINK("https://twitter.com/Hendra97678031","@Hendra97678031")</f>
        <v>@Hendra97678031</v>
      </c>
      <c r="C16648" t="s">
        <v>8469</v>
      </c>
      <c r="D16648">
        <v>0</v>
      </c>
      <c r="E16648">
        <v>0</v>
      </c>
      <c r="F16648">
        <v>13</v>
      </c>
    </row>
    <row r="16649" spans="1:6" ht="12.75">
      <c r="A16649" s="2">
        <v>43877.702314814815</v>
      </c>
      <c r="B16649" t="str">
        <f>HYPERLINK("https://twitter.com/EkoCahyoYuliant","@EkoCahyoYuliant")</f>
        <v>@EkoCahyoYuliant</v>
      </c>
      <c r="C16649" t="s">
        <v>8470</v>
      </c>
      <c r="D16649">
        <v>136</v>
      </c>
      <c r="E16649">
        <v>0</v>
      </c>
      <c r="F16649">
        <v>137</v>
      </c>
    </row>
    <row r="16650" spans="1:6" ht="12.75">
      <c r="A16650" s="2">
        <v>43877.701979166668</v>
      </c>
      <c r="B16650" t="str">
        <f>HYPERLINK("https://twitter.com/hillalsaputra","@hillalsaputra")</f>
        <v>@hillalsaputra</v>
      </c>
      <c r="C16650" t="s">
        <v>8471</v>
      </c>
      <c r="D16650">
        <v>0</v>
      </c>
      <c r="E16650">
        <v>0</v>
      </c>
      <c r="F16650">
        <v>87</v>
      </c>
    </row>
    <row r="16651" spans="1:6" ht="12.75">
      <c r="A16651" s="2">
        <v>43877.701805555553</v>
      </c>
      <c r="B16651" t="str">
        <f>HYPERLINK("https://twitter.com/V_Stone_Kardol","@V_Stone_Kardol")</f>
        <v>@V_Stone_Kardol</v>
      </c>
      <c r="C16651" t="s">
        <v>2702</v>
      </c>
      <c r="D16651">
        <v>331</v>
      </c>
      <c r="E16651">
        <v>0</v>
      </c>
      <c r="F16651">
        <v>7737</v>
      </c>
    </row>
    <row r="16652" spans="1:6" ht="12.75">
      <c r="A16652" s="2">
        <v>43877.701782407406</v>
      </c>
      <c r="B16652" t="str">
        <f>HYPERLINK("https://twitter.com/Ferry13602224","@Ferry13602224")</f>
        <v>@Ferry13602224</v>
      </c>
      <c r="C16652" t="s">
        <v>6989</v>
      </c>
      <c r="D16652">
        <v>72</v>
      </c>
      <c r="E16652">
        <v>0</v>
      </c>
      <c r="F16652">
        <v>344</v>
      </c>
    </row>
    <row r="16653" spans="1:6" ht="12.75">
      <c r="A16653" s="2">
        <v>43877.701412037037</v>
      </c>
      <c r="B16653" t="str">
        <f>HYPERLINK("https://twitter.com/nadreaselta","@nadreaselta")</f>
        <v>@nadreaselta</v>
      </c>
      <c r="C16653" t="s">
        <v>2702</v>
      </c>
      <c r="D16653">
        <v>331</v>
      </c>
      <c r="E16653">
        <v>0</v>
      </c>
      <c r="F16653">
        <v>6548</v>
      </c>
    </row>
    <row r="16654" spans="1:6" ht="12.75">
      <c r="A16654" s="2">
        <v>43877.70107638889</v>
      </c>
      <c r="B16654" t="str">
        <f>HYPERLINK("https://twitter.com/JohnIrwan4","@JohnIrwan4")</f>
        <v>@JohnIrwan4</v>
      </c>
      <c r="C16654" t="s">
        <v>8472</v>
      </c>
      <c r="D16654">
        <v>0</v>
      </c>
      <c r="E16654">
        <v>1</v>
      </c>
      <c r="F16654">
        <v>2203</v>
      </c>
    </row>
    <row r="16655" spans="1:6" ht="12.75">
      <c r="A16655" s="2">
        <v>43877.700879629629</v>
      </c>
      <c r="B16655" t="str">
        <f>HYPERLINK("https://twitter.com/vdaviswa","@vdaviswa")</f>
        <v>@vdaviswa</v>
      </c>
      <c r="C16655" t="s">
        <v>3150</v>
      </c>
      <c r="D16655">
        <v>304</v>
      </c>
      <c r="E16655">
        <v>0</v>
      </c>
      <c r="F16655">
        <v>843</v>
      </c>
    </row>
    <row r="16656" spans="1:6" ht="12.75">
      <c r="A16656" s="2">
        <v>43877.700810185182</v>
      </c>
      <c r="B16656" t="str">
        <f>HYPERLINK("https://twitter.com/yoojungmu","@yoojungmu")</f>
        <v>@yoojungmu</v>
      </c>
      <c r="C16656" t="s">
        <v>8473</v>
      </c>
      <c r="D16656">
        <v>1</v>
      </c>
      <c r="E16656">
        <v>0</v>
      </c>
      <c r="F16656">
        <v>8645</v>
      </c>
    </row>
    <row r="16657" spans="1:6" ht="12.75">
      <c r="A16657" s="2">
        <v>43877.700509259259</v>
      </c>
      <c r="B16657" t="str">
        <f>HYPERLINK("https://twitter.com/RidwanRoti","@RidwanRoti")</f>
        <v>@RidwanRoti</v>
      </c>
      <c r="C16657" t="s">
        <v>8474</v>
      </c>
      <c r="D16657">
        <v>0</v>
      </c>
      <c r="E16657">
        <v>0</v>
      </c>
      <c r="F16657">
        <v>124</v>
      </c>
    </row>
    <row r="16658" spans="1:6" ht="12.75">
      <c r="A16658" s="2">
        <v>43877.700277777782</v>
      </c>
      <c r="B16658" t="str">
        <f>HYPERLINK("https://twitter.com/JohnIrwan4","@JohnIrwan4")</f>
        <v>@JohnIrwan4</v>
      </c>
      <c r="C16658" t="s">
        <v>7897</v>
      </c>
      <c r="D16658">
        <v>2</v>
      </c>
      <c r="E16658">
        <v>0</v>
      </c>
      <c r="F16658">
        <v>2203</v>
      </c>
    </row>
    <row r="16659" spans="1:6" ht="12.75">
      <c r="A16659" s="2">
        <v>43877.700173611112</v>
      </c>
      <c r="B16659" t="str">
        <f>HYPERLINK("https://twitter.com/esposibel","@esposibel")</f>
        <v>@esposibel</v>
      </c>
      <c r="C16659" t="s">
        <v>6338</v>
      </c>
      <c r="D16659">
        <v>685</v>
      </c>
      <c r="E16659">
        <v>0</v>
      </c>
      <c r="F16659">
        <v>0</v>
      </c>
    </row>
    <row r="16660" spans="1:6" ht="12.75">
      <c r="A16660" s="2">
        <v>43877.700115740736</v>
      </c>
      <c r="B16660" t="str">
        <f>HYPERLINK("https://twitter.com/linderette","@linderette")</f>
        <v>@linderette</v>
      </c>
      <c r="C16660" t="s">
        <v>3150</v>
      </c>
      <c r="D16660">
        <v>304</v>
      </c>
      <c r="E16660">
        <v>0</v>
      </c>
      <c r="F16660">
        <v>1664</v>
      </c>
    </row>
    <row r="16661" spans="1:6" ht="12.75">
      <c r="A16661" s="2">
        <v>43877.699942129635</v>
      </c>
      <c r="B16661" t="str">
        <f>HYPERLINK("https://twitter.com/antobalboa1","@antobalboa1")</f>
        <v>@antobalboa1</v>
      </c>
      <c r="C16661" t="s">
        <v>8475</v>
      </c>
      <c r="D16661">
        <v>0</v>
      </c>
      <c r="E16661">
        <v>0</v>
      </c>
      <c r="F16661">
        <v>7</v>
      </c>
    </row>
    <row r="16662" spans="1:6" ht="12.75">
      <c r="A16662" s="2">
        <v>43877.699317129634</v>
      </c>
      <c r="B16662" t="str">
        <f>HYPERLINK("https://twitter.com/joahhamnida","@joahhamnida")</f>
        <v>@joahhamnida</v>
      </c>
      <c r="C16662" t="s">
        <v>7905</v>
      </c>
      <c r="D16662">
        <v>78</v>
      </c>
      <c r="E16662">
        <v>0</v>
      </c>
      <c r="F16662">
        <v>930</v>
      </c>
    </row>
    <row r="16663" spans="1:6" ht="12.75">
      <c r="A16663" s="2">
        <v>43877.699016203704</v>
      </c>
      <c r="B16663" t="str">
        <f>HYPERLINK("https://twitter.com/rizki_rezap","@rizki_rezap")</f>
        <v>@rizki_rezap</v>
      </c>
      <c r="C16663" t="s">
        <v>8476</v>
      </c>
      <c r="D16663">
        <v>0</v>
      </c>
      <c r="E16663">
        <v>0</v>
      </c>
      <c r="F16663">
        <v>90</v>
      </c>
    </row>
    <row r="16664" spans="1:6" ht="12.75">
      <c r="A16664" s="2">
        <v>43877.698912037042</v>
      </c>
      <c r="B16664" t="str">
        <f>HYPERLINK("https://twitter.com/PetirTiara","@PetirTiara")</f>
        <v>@PetirTiara</v>
      </c>
      <c r="C16664" t="s">
        <v>6338</v>
      </c>
      <c r="D16664">
        <v>685</v>
      </c>
      <c r="E16664">
        <v>0</v>
      </c>
      <c r="F16664">
        <v>20</v>
      </c>
    </row>
    <row r="16665" spans="1:6" ht="12.75">
      <c r="A16665" s="2">
        <v>43877.698206018518</v>
      </c>
      <c r="B16665" t="str">
        <f>HYPERLINK("https://twitter.com/visitortwt1","@visitortwt1")</f>
        <v>@visitortwt1</v>
      </c>
      <c r="C16665" t="s">
        <v>6989</v>
      </c>
      <c r="D16665">
        <v>72</v>
      </c>
      <c r="E16665">
        <v>0</v>
      </c>
      <c r="F16665">
        <v>362</v>
      </c>
    </row>
    <row r="16666" spans="1:6" ht="12.75">
      <c r="A16666" s="2">
        <v>43877.698124999995</v>
      </c>
      <c r="B16666" t="str">
        <f>HYPERLINK("https://twitter.com/DebbyNiken","@DebbyNiken")</f>
        <v>@DebbyNiken</v>
      </c>
      <c r="C16666" t="s">
        <v>8477</v>
      </c>
      <c r="D16666">
        <v>1</v>
      </c>
      <c r="E16666">
        <v>0</v>
      </c>
      <c r="F16666">
        <v>524</v>
      </c>
    </row>
    <row r="16667" spans="1:6" ht="12.75">
      <c r="A16667" s="2">
        <v>43877.697916666672</v>
      </c>
      <c r="B16667" t="str">
        <f>HYPERLINK("https://twitter.com/julianto24","@julianto24")</f>
        <v>@julianto24</v>
      </c>
      <c r="C16667" t="s">
        <v>6338</v>
      </c>
      <c r="D16667">
        <v>685</v>
      </c>
      <c r="E16667">
        <v>0</v>
      </c>
      <c r="F16667">
        <v>160</v>
      </c>
    </row>
    <row r="16668" spans="1:6" ht="12.75">
      <c r="A16668" s="2">
        <v>43877.697569444441</v>
      </c>
      <c r="B16668" t="str">
        <f>HYPERLINK("https://twitter.com/kodokpangeran5","@kodokpangeran5")</f>
        <v>@kodokpangeran5</v>
      </c>
      <c r="C16668" t="s">
        <v>8478</v>
      </c>
      <c r="D16668">
        <v>0</v>
      </c>
      <c r="E16668">
        <v>0</v>
      </c>
      <c r="F16668">
        <v>98</v>
      </c>
    </row>
    <row r="16669" spans="1:6" ht="12.75">
      <c r="A16669" s="2">
        <v>43877.697476851856</v>
      </c>
      <c r="B16669" t="str">
        <f>HYPERLINK("https://twitter.com/KiranaMelya","@KiranaMelya")</f>
        <v>@KiranaMelya</v>
      </c>
      <c r="C16669" t="s">
        <v>8479</v>
      </c>
      <c r="D16669">
        <v>0</v>
      </c>
      <c r="E16669">
        <v>0</v>
      </c>
      <c r="F16669">
        <v>4</v>
      </c>
    </row>
    <row r="16670" spans="1:6" ht="12.75">
      <c r="A16670" s="2">
        <v>43877.697430555556</v>
      </c>
      <c r="B16670" t="str">
        <f>HYPERLINK("https://twitter.com/DebbyNiken","@DebbyNiken")</f>
        <v>@DebbyNiken</v>
      </c>
      <c r="C16670" t="s">
        <v>8480</v>
      </c>
      <c r="D16670">
        <v>0</v>
      </c>
      <c r="E16670">
        <v>0</v>
      </c>
      <c r="F16670">
        <v>524</v>
      </c>
    </row>
    <row r="16671" spans="1:6" ht="12.75">
      <c r="A16671" s="2">
        <v>43877.697384259256</v>
      </c>
      <c r="B16671" t="str">
        <f>HYPERLINK("https://twitter.com/cagubnyinyir2","@cagubnyinyir2")</f>
        <v>@cagubnyinyir2</v>
      </c>
      <c r="C16671" t="s">
        <v>8481</v>
      </c>
      <c r="D16671">
        <v>2</v>
      </c>
      <c r="E16671">
        <v>3</v>
      </c>
      <c r="F16671">
        <v>4263</v>
      </c>
    </row>
    <row r="16672" spans="1:6" ht="12.75">
      <c r="A16672" s="2">
        <v>43877.697129629625</v>
      </c>
      <c r="B16672" t="str">
        <f>HYPERLINK("https://twitter.com/GheaKulisolaya","@GheaKulisolaya")</f>
        <v>@GheaKulisolaya</v>
      </c>
      <c r="C16672" t="s">
        <v>6989</v>
      </c>
      <c r="D16672">
        <v>72</v>
      </c>
      <c r="E16672">
        <v>0</v>
      </c>
      <c r="F16672">
        <v>4416</v>
      </c>
    </row>
    <row r="16673" spans="1:6" ht="12.75">
      <c r="A16673" s="2">
        <v>43877.697013888886</v>
      </c>
      <c r="B16673" t="str">
        <f>HYPERLINK("https://twitter.com/rizki_rezap","@rizki_rezap")</f>
        <v>@rizki_rezap</v>
      </c>
      <c r="C16673" t="s">
        <v>8482</v>
      </c>
      <c r="D16673">
        <v>0</v>
      </c>
      <c r="E16673">
        <v>0</v>
      </c>
      <c r="F16673">
        <v>90</v>
      </c>
    </row>
    <row r="16674" spans="1:6" ht="12.75">
      <c r="A16674" s="2">
        <v>43877.696388888886</v>
      </c>
      <c r="B16674" t="str">
        <f>HYPERLINK("https://twitter.com/alziqran","@alziqran")</f>
        <v>@alziqran</v>
      </c>
      <c r="C16674" t="s">
        <v>8021</v>
      </c>
      <c r="D16674">
        <v>14</v>
      </c>
      <c r="E16674">
        <v>0</v>
      </c>
      <c r="F16674">
        <v>6591</v>
      </c>
    </row>
    <row r="16675" spans="1:6" ht="12.75">
      <c r="A16675" s="2">
        <v>43877.695972222224</v>
      </c>
      <c r="B16675" t="str">
        <f>HYPERLINK("https://twitter.com/solomonchan","@solomonchan")</f>
        <v>@solomonchan</v>
      </c>
      <c r="C16675" t="s">
        <v>8483</v>
      </c>
      <c r="D16675">
        <v>5</v>
      </c>
      <c r="E16675">
        <v>0</v>
      </c>
      <c r="F16675">
        <v>10047</v>
      </c>
    </row>
    <row r="16676" spans="1:6" ht="12.75">
      <c r="A16676" s="2">
        <v>43877.695694444439</v>
      </c>
      <c r="B16676" t="str">
        <f>HYPERLINK("https://twitter.com/K60437243","@K60437243")</f>
        <v>@K60437243</v>
      </c>
      <c r="C16676" t="s">
        <v>8484</v>
      </c>
      <c r="D16676">
        <v>0</v>
      </c>
      <c r="E16676">
        <v>0</v>
      </c>
      <c r="F16676">
        <v>0</v>
      </c>
    </row>
    <row r="16677" spans="1:6" ht="12.75">
      <c r="A16677" s="2">
        <v>43877.695381944446</v>
      </c>
      <c r="B16677" t="str">
        <f>HYPERLINK("https://twitter.com/Budixusilo","@Budixusilo")</f>
        <v>@Budixusilo</v>
      </c>
      <c r="C16677" t="s">
        <v>8485</v>
      </c>
      <c r="D16677">
        <v>0</v>
      </c>
      <c r="E16677">
        <v>1</v>
      </c>
      <c r="F16677">
        <v>120</v>
      </c>
    </row>
    <row r="16678" spans="1:6" ht="12.75">
      <c r="A16678" s="2">
        <v>43877.695266203707</v>
      </c>
      <c r="B16678" t="str">
        <f>HYPERLINK("https://twitter.com/Dhiemasseko","@Dhiemasseko")</f>
        <v>@Dhiemasseko</v>
      </c>
      <c r="C16678" t="s">
        <v>6338</v>
      </c>
      <c r="D16678">
        <v>685</v>
      </c>
      <c r="E16678">
        <v>0</v>
      </c>
      <c r="F16678">
        <v>2233</v>
      </c>
    </row>
    <row r="16679" spans="1:6" ht="12.75">
      <c r="A16679" s="2">
        <v>43877.695196759261</v>
      </c>
      <c r="B16679" t="str">
        <f>HYPERLINK("https://twitter.com/anton_kaktuo","@anton_kaktuo")</f>
        <v>@anton_kaktuo</v>
      </c>
      <c r="C16679" t="s">
        <v>8486</v>
      </c>
      <c r="D16679">
        <v>0</v>
      </c>
      <c r="E16679">
        <v>0</v>
      </c>
      <c r="F16679">
        <v>252</v>
      </c>
    </row>
    <row r="16680" spans="1:6" ht="12.75">
      <c r="A16680" s="2">
        <v>43877.695185185185</v>
      </c>
      <c r="B16680" t="str">
        <f>HYPERLINK("https://twitter.com/Darmalik3","@Darmalik3")</f>
        <v>@Darmalik3</v>
      </c>
      <c r="C16680" t="s">
        <v>6338</v>
      </c>
      <c r="D16680">
        <v>685</v>
      </c>
      <c r="E16680">
        <v>0</v>
      </c>
      <c r="F16680">
        <v>1695</v>
      </c>
    </row>
    <row r="16681" spans="1:6" ht="12.75">
      <c r="A16681" s="2">
        <v>43877.694791666669</v>
      </c>
      <c r="B16681" t="str">
        <f>HYPERLINK("https://twitter.com/a1882k","@a1882k")</f>
        <v>@a1882k</v>
      </c>
      <c r="C16681" t="s">
        <v>3150</v>
      </c>
      <c r="D16681">
        <v>304</v>
      </c>
      <c r="E16681">
        <v>0</v>
      </c>
      <c r="F16681">
        <v>548</v>
      </c>
    </row>
    <row r="16682" spans="1:6" ht="12.75">
      <c r="A16682" s="2">
        <v>43877.694513888884</v>
      </c>
      <c r="B16682" t="str">
        <f>HYPERLINK("https://twitter.com/vinceney","@vinceney")</f>
        <v>@vinceney</v>
      </c>
      <c r="C16682" t="s">
        <v>8487</v>
      </c>
      <c r="D16682">
        <v>0</v>
      </c>
      <c r="E16682">
        <v>3</v>
      </c>
      <c r="F16682">
        <v>610</v>
      </c>
    </row>
    <row r="16683" spans="1:6" ht="12.75">
      <c r="A16683" s="2">
        <v>43877.694328703699</v>
      </c>
      <c r="B16683" t="str">
        <f>HYPERLINK("https://twitter.com/MataReat","@MataReat")</f>
        <v>@MataReat</v>
      </c>
      <c r="C16683" t="s">
        <v>8488</v>
      </c>
      <c r="D16683">
        <v>0</v>
      </c>
      <c r="E16683">
        <v>0</v>
      </c>
      <c r="F16683">
        <v>2</v>
      </c>
    </row>
    <row r="16684" spans="1:6" ht="12.75">
      <c r="A16684" s="2">
        <v>43877.693935185191</v>
      </c>
      <c r="B16684" t="str">
        <f>HYPERLINK("https://twitter.com/julianto24","@julianto24")</f>
        <v>@julianto24</v>
      </c>
      <c r="C16684" t="s">
        <v>6989</v>
      </c>
      <c r="D16684">
        <v>72</v>
      </c>
      <c r="E16684">
        <v>0</v>
      </c>
      <c r="F16684">
        <v>160</v>
      </c>
    </row>
    <row r="16685" spans="1:6" ht="12.75">
      <c r="A16685" s="2">
        <v>43877.693657407406</v>
      </c>
      <c r="B16685" t="str">
        <f>HYPERLINK("https://twitter.com/Si_SesatTimur","@Si_SesatTimur")</f>
        <v>@Si_SesatTimur</v>
      </c>
      <c r="C16685" t="s">
        <v>8489</v>
      </c>
      <c r="D16685">
        <v>0</v>
      </c>
      <c r="E16685">
        <v>0</v>
      </c>
      <c r="F16685">
        <v>107</v>
      </c>
    </row>
    <row r="16686" spans="1:6" ht="12.75">
      <c r="A16686" s="2">
        <v>43877.693240740744</v>
      </c>
      <c r="B16686" t="str">
        <f>HYPERLINK("https://twitter.com/MasHarun12","@MasHarun12")</f>
        <v>@MasHarun12</v>
      </c>
      <c r="C16686" t="s">
        <v>6201</v>
      </c>
      <c r="D16686">
        <v>549</v>
      </c>
      <c r="E16686">
        <v>0</v>
      </c>
      <c r="F16686">
        <v>11</v>
      </c>
    </row>
    <row r="16687" spans="1:6" ht="12.75">
      <c r="A16687" s="2">
        <v>43877.692569444444</v>
      </c>
      <c r="B16687" t="str">
        <f>HYPERLINK("https://twitter.com/DidikGani","@DidikGani")</f>
        <v>@DidikGani</v>
      </c>
      <c r="C16687" t="s">
        <v>8490</v>
      </c>
      <c r="D16687">
        <v>0</v>
      </c>
      <c r="E16687">
        <v>1</v>
      </c>
      <c r="F16687">
        <v>5061</v>
      </c>
    </row>
    <row r="16688" spans="1:6" ht="12.75">
      <c r="A16688" s="2">
        <v>43877.692430555559</v>
      </c>
      <c r="B16688" t="str">
        <f>HYPERLINK("https://twitter.com/omuzito73","@omuzito73")</f>
        <v>@omuzito73</v>
      </c>
      <c r="C16688" t="s">
        <v>8491</v>
      </c>
      <c r="D16688">
        <v>0</v>
      </c>
      <c r="E16688">
        <v>0</v>
      </c>
      <c r="F16688">
        <v>37</v>
      </c>
    </row>
    <row r="16689" spans="1:6" ht="12.75">
      <c r="A16689" s="2">
        <v>43877.692129629635</v>
      </c>
      <c r="B16689" t="str">
        <f>HYPERLINK("https://twitter.com/DeTravem","@DeTravem")</f>
        <v>@DeTravem</v>
      </c>
      <c r="C16689" t="s">
        <v>3150</v>
      </c>
      <c r="D16689">
        <v>304</v>
      </c>
      <c r="E16689">
        <v>0</v>
      </c>
      <c r="F16689">
        <v>90</v>
      </c>
    </row>
    <row r="16690" spans="1:6" ht="12.75">
      <c r="A16690" s="2">
        <v>43877.691979166666</v>
      </c>
      <c r="B16690" t="str">
        <f t="shared" ref="B16690:B16691" si="280">HYPERLINK("https://twitter.com/andisarinahrri","@andisarinahrri")</f>
        <v>@andisarinahrri</v>
      </c>
      <c r="C16690" t="s">
        <v>8492</v>
      </c>
      <c r="D16690">
        <v>3</v>
      </c>
      <c r="E16690">
        <v>0</v>
      </c>
      <c r="F16690">
        <v>3139</v>
      </c>
    </row>
    <row r="16691" spans="1:6" ht="12.75">
      <c r="A16691" s="2">
        <v>43877.691863425927</v>
      </c>
      <c r="B16691" t="str">
        <f t="shared" si="280"/>
        <v>@andisarinahrri</v>
      </c>
      <c r="C16691" t="s">
        <v>8493</v>
      </c>
      <c r="D16691">
        <v>55</v>
      </c>
      <c r="E16691">
        <v>0</v>
      </c>
      <c r="F16691">
        <v>3139</v>
      </c>
    </row>
    <row r="16692" spans="1:6" ht="12.75">
      <c r="A16692" s="2">
        <v>43877.690810185188</v>
      </c>
      <c r="B16692" t="str">
        <f>HYPERLINK("https://twitter.com/AlvaroDeBazan2","@AlvaroDeBazan2")</f>
        <v>@AlvaroDeBazan2</v>
      </c>
      <c r="C16692" t="s">
        <v>8494</v>
      </c>
      <c r="D16692">
        <v>0</v>
      </c>
      <c r="E16692">
        <v>0</v>
      </c>
      <c r="F16692">
        <v>247</v>
      </c>
    </row>
    <row r="16693" spans="1:6" ht="12.75">
      <c r="A16693" s="2">
        <v>43877.690682870365</v>
      </c>
      <c r="B16693" t="str">
        <f>HYPERLINK("https://twitter.com/SangSiPena","@SangSiPena")</f>
        <v>@SangSiPena</v>
      </c>
      <c r="C16693" t="s">
        <v>8495</v>
      </c>
      <c r="D16693">
        <v>5</v>
      </c>
      <c r="E16693">
        <v>0</v>
      </c>
      <c r="F16693">
        <v>56</v>
      </c>
    </row>
    <row r="16694" spans="1:6" ht="12.75">
      <c r="A16694" s="2">
        <v>43877.690347222218</v>
      </c>
      <c r="B16694" t="str">
        <f>HYPERLINK("https://twitter.com/harrythebigdog","@harrythebigdog")</f>
        <v>@harrythebigdog</v>
      </c>
      <c r="C16694" t="s">
        <v>3150</v>
      </c>
      <c r="D16694">
        <v>304</v>
      </c>
      <c r="E16694">
        <v>0</v>
      </c>
      <c r="F16694">
        <v>150</v>
      </c>
    </row>
    <row r="16695" spans="1:6" ht="12.75">
      <c r="A16695" s="2">
        <v>43877.690324074079</v>
      </c>
      <c r="B16695" t="str">
        <f>HYPERLINK("https://twitter.com/ibnujunior8","@ibnujunior8")</f>
        <v>@ibnujunior8</v>
      </c>
      <c r="C16695" t="s">
        <v>8496</v>
      </c>
      <c r="D16695">
        <v>7</v>
      </c>
      <c r="E16695">
        <v>0</v>
      </c>
      <c r="F16695">
        <v>83</v>
      </c>
    </row>
    <row r="16696" spans="1:6" ht="12.75">
      <c r="A16696" s="2">
        <v>43877.69027777778</v>
      </c>
      <c r="B16696" t="str">
        <f>HYPERLINK("https://twitter.com/AlvaroDeBazan2","@AlvaroDeBazan2")</f>
        <v>@AlvaroDeBazan2</v>
      </c>
      <c r="C16696" t="s">
        <v>8497</v>
      </c>
      <c r="D16696">
        <v>0</v>
      </c>
      <c r="E16696">
        <v>0</v>
      </c>
      <c r="F16696">
        <v>247</v>
      </c>
    </row>
    <row r="16697" spans="1:6" ht="12.75">
      <c r="A16697" s="2">
        <v>43877.689976851849</v>
      </c>
      <c r="B16697" t="str">
        <f>HYPERLINK("https://twitter.com/elzazazu","@elzazazu")</f>
        <v>@elzazazu</v>
      </c>
      <c r="C16697" t="s">
        <v>8498</v>
      </c>
      <c r="D16697">
        <v>0</v>
      </c>
      <c r="E16697">
        <v>0</v>
      </c>
      <c r="F16697">
        <v>1027</v>
      </c>
    </row>
    <row r="16698" spans="1:6" ht="12.75">
      <c r="A16698" s="2">
        <v>43877.689953703702</v>
      </c>
      <c r="B16698" t="str">
        <f>HYPERLINK("https://twitter.com/bambang_hesti","@bambang_hesti")</f>
        <v>@bambang_hesti</v>
      </c>
      <c r="C16698" t="s">
        <v>8499</v>
      </c>
      <c r="D16698">
        <v>0</v>
      </c>
      <c r="E16698">
        <v>0</v>
      </c>
      <c r="F16698">
        <v>15</v>
      </c>
    </row>
    <row r="16699" spans="1:6" ht="12.75">
      <c r="A16699" s="2">
        <v>43877.689895833333</v>
      </c>
      <c r="B16699" t="str">
        <f>HYPERLINK("https://twitter.com/KiranaMelya","@KiranaMelya")</f>
        <v>@KiranaMelya</v>
      </c>
      <c r="C16699" t="s">
        <v>8500</v>
      </c>
      <c r="D16699">
        <v>0</v>
      </c>
      <c r="E16699">
        <v>0</v>
      </c>
      <c r="F16699">
        <v>4</v>
      </c>
    </row>
    <row r="16700" spans="1:6" ht="12.75">
      <c r="A16700" s="2">
        <v>43877.689884259264</v>
      </c>
      <c r="B16700" t="str">
        <f>HYPERLINK("https://twitter.com/AlvaroDeBazan2","@AlvaroDeBazan2")</f>
        <v>@AlvaroDeBazan2</v>
      </c>
      <c r="C16700" t="s">
        <v>8501</v>
      </c>
      <c r="D16700">
        <v>0</v>
      </c>
      <c r="E16700">
        <v>0</v>
      </c>
      <c r="F16700">
        <v>247</v>
      </c>
    </row>
    <row r="16701" spans="1:6" ht="12.75">
      <c r="A16701" s="2">
        <v>43877.689745370371</v>
      </c>
      <c r="B16701" t="str">
        <f>HYPERLINK("https://twitter.com/rmoljateng","@rmoljateng")</f>
        <v>@rmoljateng</v>
      </c>
      <c r="C16701" t="s">
        <v>8502</v>
      </c>
      <c r="D16701">
        <v>0</v>
      </c>
      <c r="E16701">
        <v>0</v>
      </c>
      <c r="F16701">
        <v>178</v>
      </c>
    </row>
    <row r="16702" spans="1:6" ht="12.75">
      <c r="A16702" s="2">
        <v>43877.689467592594</v>
      </c>
      <c r="B16702" t="str">
        <f>HYPERLINK("https://twitter.com/AlvaroDeBazan2","@AlvaroDeBazan2")</f>
        <v>@AlvaroDeBazan2</v>
      </c>
      <c r="C16702" t="s">
        <v>8503</v>
      </c>
      <c r="D16702">
        <v>0</v>
      </c>
      <c r="E16702">
        <v>0</v>
      </c>
      <c r="F16702">
        <v>247</v>
      </c>
    </row>
    <row r="16703" spans="1:6" ht="12.75">
      <c r="A16703" s="2">
        <v>43877.689467592594</v>
      </c>
      <c r="B16703" t="str">
        <f>HYPERLINK("https://twitter.com/Hudzaifah_UJE","@Hudzaifah_UJE")</f>
        <v>@Hudzaifah_UJE</v>
      </c>
      <c r="C16703" t="s">
        <v>8504</v>
      </c>
      <c r="D16703">
        <v>0</v>
      </c>
      <c r="E16703">
        <v>0</v>
      </c>
      <c r="F16703">
        <v>2554</v>
      </c>
    </row>
    <row r="16704" spans="1:6" ht="12.75">
      <c r="A16704" s="2">
        <v>43877.689004629632</v>
      </c>
      <c r="B16704" t="str">
        <f>HYPERLINK("https://twitter.com/AlvaroDeBazan2","@AlvaroDeBazan2")</f>
        <v>@AlvaroDeBazan2</v>
      </c>
      <c r="C16704" t="s">
        <v>8505</v>
      </c>
      <c r="D16704">
        <v>0</v>
      </c>
      <c r="E16704">
        <v>0</v>
      </c>
      <c r="F16704">
        <v>247</v>
      </c>
    </row>
    <row r="16705" spans="1:6" ht="12.75">
      <c r="A16705" s="2">
        <v>43877.688923611116</v>
      </c>
      <c r="B16705" t="str">
        <f>HYPERLINK("https://twitter.com/richardofbutar","@richardofbutar")</f>
        <v>@richardofbutar</v>
      </c>
      <c r="C16705" t="s">
        <v>8506</v>
      </c>
      <c r="D16705">
        <v>0</v>
      </c>
      <c r="E16705">
        <v>0</v>
      </c>
      <c r="F16705">
        <v>19</v>
      </c>
    </row>
    <row r="16706" spans="1:6" ht="12.75">
      <c r="A16706" s="2">
        <v>43877.688773148147</v>
      </c>
      <c r="B16706" t="str">
        <f>HYPERLINK("https://twitter.com/AlvaroDeBazan2","@AlvaroDeBazan2")</f>
        <v>@AlvaroDeBazan2</v>
      </c>
      <c r="C16706" t="s">
        <v>8501</v>
      </c>
      <c r="D16706">
        <v>0</v>
      </c>
      <c r="E16706">
        <v>0</v>
      </c>
      <c r="F16706">
        <v>247</v>
      </c>
    </row>
    <row r="16707" spans="1:6" ht="12.75">
      <c r="A16707" s="2">
        <v>43877.688657407409</v>
      </c>
      <c r="B16707" t="str">
        <f>HYPERLINK("https://twitter.com/KangJokerr","@KangJokerr")</f>
        <v>@KangJokerr</v>
      </c>
      <c r="C16707" t="s">
        <v>8507</v>
      </c>
      <c r="D16707">
        <v>0</v>
      </c>
      <c r="E16707">
        <v>0</v>
      </c>
      <c r="F16707">
        <v>33</v>
      </c>
    </row>
    <row r="16708" spans="1:6" ht="12.75">
      <c r="A16708" s="2">
        <v>43877.688657407409</v>
      </c>
      <c r="B16708" t="str">
        <f>HYPERLINK("https://twitter.com/AlvaroDeBazan2","@AlvaroDeBazan2")</f>
        <v>@AlvaroDeBazan2</v>
      </c>
      <c r="C16708" t="s">
        <v>8508</v>
      </c>
      <c r="D16708">
        <v>0</v>
      </c>
      <c r="E16708">
        <v>0</v>
      </c>
      <c r="F16708">
        <v>247</v>
      </c>
    </row>
    <row r="16709" spans="1:6" ht="12.75">
      <c r="A16709" s="2">
        <v>43877.688009259262</v>
      </c>
      <c r="B16709" t="str">
        <f>HYPERLINK("https://twitter.com/Endriyanson","@Endriyanson")</f>
        <v>@Endriyanson</v>
      </c>
      <c r="C16709" t="s">
        <v>8509</v>
      </c>
      <c r="D16709">
        <v>0</v>
      </c>
      <c r="E16709">
        <v>0</v>
      </c>
      <c r="F16709">
        <v>1298</v>
      </c>
    </row>
    <row r="16710" spans="1:6" ht="12.75">
      <c r="A16710" s="2">
        <v>43877.687986111108</v>
      </c>
      <c r="B16710" t="str">
        <f>HYPERLINK("https://twitter.com/zoedsign","@zoedsign")</f>
        <v>@zoedsign</v>
      </c>
      <c r="C16710" t="s">
        <v>8510</v>
      </c>
      <c r="D16710">
        <v>0</v>
      </c>
      <c r="E16710">
        <v>0</v>
      </c>
      <c r="F16710">
        <v>55</v>
      </c>
    </row>
    <row r="16711" spans="1:6" ht="12.75">
      <c r="A16711" s="2">
        <v>43877.687847222223</v>
      </c>
      <c r="B16711" t="str">
        <f>HYPERLINK("https://twitter.com/AlvaroDeBazan2","@AlvaroDeBazan2")</f>
        <v>@AlvaroDeBazan2</v>
      </c>
      <c r="C16711" t="s">
        <v>8511</v>
      </c>
      <c r="D16711">
        <v>0</v>
      </c>
      <c r="E16711">
        <v>0</v>
      </c>
      <c r="F16711">
        <v>247</v>
      </c>
    </row>
    <row r="16712" spans="1:6" ht="12.75">
      <c r="A16712" s="2">
        <v>43877.6877662037</v>
      </c>
      <c r="B16712" t="str">
        <f>HYPERLINK("https://twitter.com/aldirockstar","@aldirockstar")</f>
        <v>@aldirockstar</v>
      </c>
      <c r="C16712" t="s">
        <v>6338</v>
      </c>
      <c r="D16712">
        <v>685</v>
      </c>
      <c r="E16712">
        <v>0</v>
      </c>
      <c r="F16712">
        <v>388</v>
      </c>
    </row>
    <row r="16713" spans="1:6" ht="12.75">
      <c r="A16713" s="2">
        <v>43877.687650462962</v>
      </c>
      <c r="B16713" t="str">
        <f t="shared" ref="B16713:B16714" si="281">HYPERLINK("https://twitter.com/AlvaroDeBazan2","@AlvaroDeBazan2")</f>
        <v>@AlvaroDeBazan2</v>
      </c>
      <c r="C16713" t="s">
        <v>8512</v>
      </c>
      <c r="D16713">
        <v>0</v>
      </c>
      <c r="E16713">
        <v>0</v>
      </c>
      <c r="F16713">
        <v>247</v>
      </c>
    </row>
    <row r="16714" spans="1:6" ht="12.75">
      <c r="A16714" s="2">
        <v>43877.687337962961</v>
      </c>
      <c r="B16714" t="str">
        <f t="shared" si="281"/>
        <v>@AlvaroDeBazan2</v>
      </c>
      <c r="C16714" t="s">
        <v>8513</v>
      </c>
      <c r="D16714">
        <v>0</v>
      </c>
      <c r="E16714">
        <v>0</v>
      </c>
      <c r="F16714">
        <v>247</v>
      </c>
    </row>
    <row r="16715" spans="1:6" ht="12.75">
      <c r="A16715" s="2">
        <v>43877.687280092592</v>
      </c>
      <c r="B16715" t="str">
        <f>HYPERLINK("https://twitter.com/MJebrut","@MJebrut")</f>
        <v>@MJebrut</v>
      </c>
      <c r="C16715" t="s">
        <v>6338</v>
      </c>
      <c r="D16715">
        <v>685</v>
      </c>
      <c r="E16715">
        <v>0</v>
      </c>
      <c r="F16715">
        <v>23</v>
      </c>
    </row>
    <row r="16716" spans="1:6" ht="12.75">
      <c r="A16716" s="2">
        <v>43877.668171296296</v>
      </c>
      <c r="B16716" t="str">
        <f>HYPERLINK("https://twitter.com/putrimarsellina","@putrimarsellina")</f>
        <v>@putrimarsellina</v>
      </c>
      <c r="C16716" t="s">
        <v>8514</v>
      </c>
      <c r="D16716">
        <v>0</v>
      </c>
      <c r="E16716">
        <v>0</v>
      </c>
      <c r="F16716">
        <v>459</v>
      </c>
    </row>
    <row r="16717" spans="1:6" ht="12.75">
      <c r="A16717" s="2">
        <v>43877.668124999997</v>
      </c>
      <c r="B16717" t="str">
        <f>HYPERLINK("https://twitter.com/xbabyneptune","@xbabyneptune")</f>
        <v>@xbabyneptune</v>
      </c>
      <c r="C16717" t="s">
        <v>2444</v>
      </c>
      <c r="D16717">
        <v>4542</v>
      </c>
      <c r="E16717">
        <v>0</v>
      </c>
      <c r="F16717">
        <v>1671</v>
      </c>
    </row>
    <row r="16718" spans="1:6" ht="12.75">
      <c r="A16718" s="2">
        <v>43877.66783564815</v>
      </c>
      <c r="B16718" t="str">
        <f>HYPERLINK("https://twitter.com/ajimdafi","@ajimdafi")</f>
        <v>@ajimdafi</v>
      </c>
      <c r="C16718" t="s">
        <v>8515</v>
      </c>
      <c r="D16718">
        <v>0</v>
      </c>
      <c r="E16718">
        <v>0</v>
      </c>
      <c r="F16718">
        <v>1215</v>
      </c>
    </row>
    <row r="16719" spans="1:6" ht="12.75">
      <c r="A16719" s="2">
        <v>43877.667615740742</v>
      </c>
      <c r="B16719" t="str">
        <f>HYPERLINK("https://twitter.com/b17vic_Public","@b17vic_Public")</f>
        <v>@b17vic_Public</v>
      </c>
      <c r="C16719" t="s">
        <v>3150</v>
      </c>
      <c r="D16719">
        <v>288</v>
      </c>
      <c r="E16719">
        <v>0</v>
      </c>
      <c r="F16719">
        <v>769</v>
      </c>
    </row>
    <row r="16720" spans="1:6" ht="12.75">
      <c r="A16720" s="2">
        <v>43877.667430555557</v>
      </c>
      <c r="B16720" t="str">
        <f>HYPERLINK("https://twitter.com/bejo99652536","@bejo99652536")</f>
        <v>@bejo99652536</v>
      </c>
      <c r="C16720" t="s">
        <v>6338</v>
      </c>
      <c r="D16720">
        <v>662</v>
      </c>
      <c r="E16720">
        <v>0</v>
      </c>
      <c r="F16720">
        <v>358</v>
      </c>
    </row>
    <row r="16721" spans="1:6" ht="12.75">
      <c r="A16721" s="2">
        <v>43877.667337962965</v>
      </c>
      <c r="B16721" t="str">
        <f>HYPERLINK("https://twitter.com/MrsC_46","@MrsC_46")</f>
        <v>@MrsC_46</v>
      </c>
      <c r="C16721" t="s">
        <v>3150</v>
      </c>
      <c r="D16721">
        <v>288</v>
      </c>
      <c r="E16721">
        <v>0</v>
      </c>
      <c r="F16721">
        <v>648</v>
      </c>
    </row>
    <row r="16722" spans="1:6" ht="12.75">
      <c r="A16722" s="2">
        <v>43877.666666666672</v>
      </c>
      <c r="B16722" t="str">
        <f>HYPERLINK("https://twitter.com/GTVID_News","@GTVID_News")</f>
        <v>@GTVID_News</v>
      </c>
      <c r="C16722" t="s">
        <v>8516</v>
      </c>
      <c r="D16722">
        <v>0</v>
      </c>
      <c r="E16722">
        <v>0</v>
      </c>
      <c r="F16722">
        <v>10815</v>
      </c>
    </row>
    <row r="16723" spans="1:6" ht="12.75">
      <c r="A16723" s="2">
        <v>43877.666504629626</v>
      </c>
      <c r="B16723" t="str">
        <f>HYPERLINK("https://twitter.com/poer72878042","@poer72878042")</f>
        <v>@poer72878042</v>
      </c>
      <c r="C16723" t="s">
        <v>2147</v>
      </c>
      <c r="D16723">
        <v>535</v>
      </c>
      <c r="E16723">
        <v>0</v>
      </c>
      <c r="F16723">
        <v>13</v>
      </c>
    </row>
    <row r="16724" spans="1:6" ht="12.75">
      <c r="A16724" s="2">
        <v>43877.666377314818</v>
      </c>
      <c r="B16724" t="str">
        <f>HYPERLINK("https://twitter.com/LamanKita_","@LamanKita_")</f>
        <v>@LamanKita_</v>
      </c>
      <c r="C16724" t="s">
        <v>8517</v>
      </c>
      <c r="D16724">
        <v>0</v>
      </c>
      <c r="E16724">
        <v>0</v>
      </c>
      <c r="F16724">
        <v>139612</v>
      </c>
    </row>
    <row r="16725" spans="1:6" ht="12.75">
      <c r="A16725" s="2">
        <v>43877.666319444441</v>
      </c>
      <c r="B16725" t="str">
        <f>HYPERLINK("https://twitter.com/johhhnygudhel","@johhhnygudhel")</f>
        <v>@johhhnygudhel</v>
      </c>
      <c r="C16725" t="s">
        <v>8141</v>
      </c>
      <c r="D16725">
        <v>25</v>
      </c>
      <c r="E16725">
        <v>0</v>
      </c>
      <c r="F16725">
        <v>2452</v>
      </c>
    </row>
    <row r="16726" spans="1:6" ht="12.75">
      <c r="A16726" s="2">
        <v>43877.665891203702</v>
      </c>
      <c r="B16726" t="str">
        <f>HYPERLINK("https://twitter.com/arsensjuventini","@arsensjuventini")</f>
        <v>@arsensjuventini</v>
      </c>
      <c r="C16726" t="s">
        <v>6989</v>
      </c>
      <c r="D16726">
        <v>59</v>
      </c>
      <c r="E16726">
        <v>0</v>
      </c>
      <c r="F16726">
        <v>2062</v>
      </c>
    </row>
    <row r="16727" spans="1:6" ht="12.75">
      <c r="A16727" s="2">
        <v>43877.665891203702</v>
      </c>
      <c r="B16727" t="str">
        <f>HYPERLINK("https://twitter.com/harihariono1","@harihariono1")</f>
        <v>@harihariono1</v>
      </c>
      <c r="C16727" t="s">
        <v>8518</v>
      </c>
      <c r="D16727">
        <v>1</v>
      </c>
      <c r="E16727">
        <v>0</v>
      </c>
      <c r="F16727">
        <v>9361</v>
      </c>
    </row>
    <row r="16728" spans="1:6" ht="12.75">
      <c r="A16728" s="2">
        <v>43877.664629629631</v>
      </c>
      <c r="B16728" t="str">
        <f>HYPERLINK("https://twitter.com/bukanperokokk","@bukanperokokk")</f>
        <v>@bukanperokokk</v>
      </c>
      <c r="C16728" t="s">
        <v>8519</v>
      </c>
      <c r="D16728">
        <v>0</v>
      </c>
      <c r="E16728">
        <v>0</v>
      </c>
      <c r="F16728">
        <v>630</v>
      </c>
    </row>
    <row r="16729" spans="1:6" ht="12.75">
      <c r="A16729" s="2">
        <v>43877.664606481485</v>
      </c>
      <c r="B16729" t="str">
        <f>HYPERLINK("https://twitter.com/azrief_aziz","@azrief_aziz")</f>
        <v>@azrief_aziz</v>
      </c>
      <c r="C16729" t="s">
        <v>8520</v>
      </c>
      <c r="D16729">
        <v>2</v>
      </c>
      <c r="E16729">
        <v>0</v>
      </c>
      <c r="F16729">
        <v>661</v>
      </c>
    </row>
    <row r="16730" spans="1:6" ht="12.75">
      <c r="A16730" s="2">
        <v>43877.664594907408</v>
      </c>
      <c r="B16730" t="str">
        <f>HYPERLINK("https://twitter.com/saiiawinona","@saiiawinona")</f>
        <v>@saiiawinona</v>
      </c>
      <c r="C16730" t="s">
        <v>5168</v>
      </c>
      <c r="D16730">
        <v>1650</v>
      </c>
      <c r="E16730">
        <v>0</v>
      </c>
      <c r="F16730">
        <v>1643</v>
      </c>
    </row>
    <row r="16731" spans="1:6" ht="12.75">
      <c r="A16731" s="2">
        <v>43877.664571759262</v>
      </c>
      <c r="B16731" t="str">
        <f>HYPERLINK("https://twitter.com/Sketsa_","@Sketsa_")</f>
        <v>@Sketsa_</v>
      </c>
      <c r="C16731" t="s">
        <v>8521</v>
      </c>
      <c r="D16731">
        <v>1</v>
      </c>
      <c r="E16731">
        <v>0</v>
      </c>
      <c r="F16731">
        <v>424</v>
      </c>
    </row>
    <row r="16732" spans="1:6" ht="12.75">
      <c r="A16732" s="2">
        <v>43877.664270833338</v>
      </c>
      <c r="B16732" t="str">
        <f>HYPERLINK("https://twitter.com/IndonesiaRAW","@IndonesiaRAW")</f>
        <v>@IndonesiaRAW</v>
      </c>
      <c r="C16732" t="s">
        <v>8522</v>
      </c>
      <c r="D16732">
        <v>0</v>
      </c>
      <c r="E16732">
        <v>1</v>
      </c>
      <c r="F16732">
        <v>201843</v>
      </c>
    </row>
    <row r="16733" spans="1:6" ht="12.75">
      <c r="A16733" s="2">
        <v>43877.663807870369</v>
      </c>
      <c r="B16733" t="str">
        <f>HYPERLINK("https://twitter.com/buruhmigran","@buruhmigran")</f>
        <v>@buruhmigran</v>
      </c>
      <c r="C16733" t="s">
        <v>8523</v>
      </c>
      <c r="D16733">
        <v>0</v>
      </c>
      <c r="E16733">
        <v>0</v>
      </c>
      <c r="F16733">
        <v>173</v>
      </c>
    </row>
    <row r="16734" spans="1:6" ht="12.75">
      <c r="A16734" s="2">
        <v>43877.663726851853</v>
      </c>
      <c r="B16734" t="str">
        <f>HYPERLINK("https://twitter.com/IndonesiaRAW","@IndonesiaRAW")</f>
        <v>@IndonesiaRAW</v>
      </c>
      <c r="C16734" t="s">
        <v>8524</v>
      </c>
      <c r="D16734">
        <v>0</v>
      </c>
      <c r="E16734">
        <v>1</v>
      </c>
      <c r="F16734">
        <v>201843</v>
      </c>
    </row>
    <row r="16735" spans="1:6" ht="12.75">
      <c r="A16735" s="2">
        <v>43877.663599537038</v>
      </c>
      <c r="B16735" t="str">
        <f>HYPERLINK("https://twitter.com/sopansantun55","@sopansantun55")</f>
        <v>@sopansantun55</v>
      </c>
      <c r="C16735" t="s">
        <v>6989</v>
      </c>
      <c r="D16735">
        <v>59</v>
      </c>
      <c r="E16735">
        <v>0</v>
      </c>
      <c r="F16735">
        <v>514</v>
      </c>
    </row>
    <row r="16736" spans="1:6" ht="12.75">
      <c r="A16736" s="2">
        <v>43877.663495370369</v>
      </c>
      <c r="B16736" t="str">
        <f>HYPERLINK("https://twitter.com/IndonesiaRAW","@IndonesiaRAW")</f>
        <v>@IndonesiaRAW</v>
      </c>
      <c r="C16736" t="s">
        <v>8525</v>
      </c>
      <c r="D16736">
        <v>0</v>
      </c>
      <c r="E16736">
        <v>1</v>
      </c>
      <c r="F16736">
        <v>201843</v>
      </c>
    </row>
    <row r="16737" spans="1:6" ht="12.75">
      <c r="A16737" s="2">
        <v>43877.663460648153</v>
      </c>
      <c r="B16737" t="str">
        <f>HYPERLINK("https://twitter.com/ombaxradja","@ombaxradja")</f>
        <v>@ombaxradja</v>
      </c>
      <c r="C16737" t="s">
        <v>8526</v>
      </c>
      <c r="D16737">
        <v>0</v>
      </c>
      <c r="E16737">
        <v>0</v>
      </c>
      <c r="F16737">
        <v>186</v>
      </c>
    </row>
    <row r="16738" spans="1:6" ht="12.75">
      <c r="A16738" s="2">
        <v>43877.663402777776</v>
      </c>
      <c r="B16738" t="str">
        <f>HYPERLINK("https://twitter.com/fajaralam9","@fajaralam9")</f>
        <v>@fajaralam9</v>
      </c>
      <c r="C16738" t="s">
        <v>8527</v>
      </c>
      <c r="D16738">
        <v>1</v>
      </c>
      <c r="E16738">
        <v>1</v>
      </c>
      <c r="F16738">
        <v>1914</v>
      </c>
    </row>
    <row r="16739" spans="1:6" ht="12.75">
      <c r="A16739" s="2">
        <v>43877.663321759261</v>
      </c>
      <c r="B16739" t="str">
        <f>HYPERLINK("https://twitter.com/starjogja","@starjogja")</f>
        <v>@starjogja</v>
      </c>
      <c r="C16739" t="s">
        <v>8528</v>
      </c>
      <c r="D16739">
        <v>0</v>
      </c>
      <c r="E16739">
        <v>0</v>
      </c>
      <c r="F16739">
        <v>27988</v>
      </c>
    </row>
    <row r="16740" spans="1:6" ht="12.75">
      <c r="A16740" s="2">
        <v>43877.663275462968</v>
      </c>
      <c r="B16740" t="str">
        <f>HYPERLINK("https://twitter.com/IndonesiaRAW","@IndonesiaRAW")</f>
        <v>@IndonesiaRAW</v>
      </c>
      <c r="C16740" t="s">
        <v>8529</v>
      </c>
      <c r="D16740">
        <v>0</v>
      </c>
      <c r="E16740">
        <v>1</v>
      </c>
      <c r="F16740">
        <v>201843</v>
      </c>
    </row>
    <row r="16741" spans="1:6" ht="12.75">
      <c r="A16741" s="2">
        <v>43877.663182870368</v>
      </c>
      <c r="B16741" t="str">
        <f>HYPERLINK("https://twitter.com/Driin8","@Driin8")</f>
        <v>@Driin8</v>
      </c>
      <c r="C16741" t="s">
        <v>2444</v>
      </c>
      <c r="D16741">
        <v>4542</v>
      </c>
      <c r="E16741">
        <v>0</v>
      </c>
      <c r="F16741">
        <v>1</v>
      </c>
    </row>
    <row r="16742" spans="1:6" ht="12.75">
      <c r="A16742" s="2">
        <v>43877.662939814814</v>
      </c>
      <c r="B16742" t="str">
        <f>HYPERLINK("https://twitter.com/tiaracornelia","@tiaracornelia")</f>
        <v>@tiaracornelia</v>
      </c>
      <c r="C16742" t="s">
        <v>8530</v>
      </c>
      <c r="D16742">
        <v>0</v>
      </c>
      <c r="E16742">
        <v>0</v>
      </c>
      <c r="F16742">
        <v>328</v>
      </c>
    </row>
    <row r="16743" spans="1:6" ht="12.75">
      <c r="A16743" s="2">
        <v>43877.662881944445</v>
      </c>
      <c r="B16743" t="str">
        <f>HYPERLINK("https://twitter.com/udapilliang","@udapilliang")</f>
        <v>@udapilliang</v>
      </c>
      <c r="C16743" t="s">
        <v>6989</v>
      </c>
      <c r="D16743">
        <v>59</v>
      </c>
      <c r="E16743">
        <v>0</v>
      </c>
      <c r="F16743">
        <v>559</v>
      </c>
    </row>
    <row r="16744" spans="1:6" ht="12.75">
      <c r="A16744" s="2">
        <v>43877.662743055553</v>
      </c>
      <c r="B16744" t="str">
        <f>HYPERLINK("https://twitter.com/FahmiYusup10","@FahmiYusup10")</f>
        <v>@FahmiYusup10</v>
      </c>
      <c r="C16744" t="s">
        <v>6867</v>
      </c>
      <c r="D16744">
        <v>52</v>
      </c>
      <c r="E16744">
        <v>0</v>
      </c>
      <c r="F16744">
        <v>735</v>
      </c>
    </row>
    <row r="16745" spans="1:6" ht="12.75">
      <c r="A16745" s="2">
        <v>43877.662604166668</v>
      </c>
      <c r="B16745" t="str">
        <f>HYPERLINK("https://twitter.com/IndonesiaRAW","@IndonesiaRAW")</f>
        <v>@IndonesiaRAW</v>
      </c>
      <c r="C16745" t="s">
        <v>8531</v>
      </c>
      <c r="D16745">
        <v>0</v>
      </c>
      <c r="E16745">
        <v>1</v>
      </c>
      <c r="F16745">
        <v>201843</v>
      </c>
    </row>
    <row r="16746" spans="1:6" ht="12.75">
      <c r="A16746" s="2">
        <v>43877.662395833337</v>
      </c>
      <c r="B16746" t="str">
        <f>HYPERLINK("https://twitter.com/madeyogaw","@madeyogaw")</f>
        <v>@madeyogaw</v>
      </c>
      <c r="C16746" t="s">
        <v>8532</v>
      </c>
      <c r="D16746">
        <v>2</v>
      </c>
      <c r="E16746">
        <v>0</v>
      </c>
      <c r="F16746">
        <v>315</v>
      </c>
    </row>
    <row r="16747" spans="1:6" ht="12.75">
      <c r="A16747" s="2">
        <v>43877.66238425926</v>
      </c>
      <c r="B16747" t="str">
        <f>HYPERLINK("https://twitter.com/IndonesiaRAW","@IndonesiaRAW")</f>
        <v>@IndonesiaRAW</v>
      </c>
      <c r="C16747" t="s">
        <v>8533</v>
      </c>
      <c r="D16747">
        <v>0</v>
      </c>
      <c r="E16747">
        <v>1</v>
      </c>
      <c r="F16747">
        <v>201843</v>
      </c>
    </row>
    <row r="16748" spans="1:6" ht="12.75">
      <c r="A16748" s="2">
        <v>43877.66238425926</v>
      </c>
      <c r="B16748" t="str">
        <f>HYPERLINK("https://twitter.com/andreoespirita","@andreoespirita")</f>
        <v>@andreoespirita</v>
      </c>
      <c r="C16748" t="s">
        <v>8534</v>
      </c>
      <c r="D16748">
        <v>0</v>
      </c>
      <c r="E16748">
        <v>1</v>
      </c>
      <c r="F16748">
        <v>397</v>
      </c>
    </row>
    <row r="16749" spans="1:6" ht="12.75">
      <c r="A16749" s="2">
        <v>43877.66206018519</v>
      </c>
      <c r="B16749" t="str">
        <f>HYPERLINK("https://twitter.com/IndonesiaRAW","@IndonesiaRAW")</f>
        <v>@IndonesiaRAW</v>
      </c>
      <c r="C16749" t="s">
        <v>8535</v>
      </c>
      <c r="D16749">
        <v>0</v>
      </c>
      <c r="E16749">
        <v>1</v>
      </c>
      <c r="F16749">
        <v>201843</v>
      </c>
    </row>
    <row r="16750" spans="1:6" ht="12.75">
      <c r="A16750" s="2">
        <v>43877.66206018519</v>
      </c>
      <c r="B16750" t="str">
        <f>HYPERLINK("https://twitter.com/Menirenn","@Menirenn")</f>
        <v>@Menirenn</v>
      </c>
      <c r="C16750" t="s">
        <v>8536</v>
      </c>
      <c r="D16750">
        <v>1</v>
      </c>
      <c r="E16750">
        <v>0</v>
      </c>
      <c r="F16750">
        <v>15</v>
      </c>
    </row>
    <row r="16751" spans="1:6" ht="12.75">
      <c r="A16751" s="2">
        <v>43877.661793981482</v>
      </c>
      <c r="B16751" t="str">
        <f>HYPERLINK("https://twitter.com/IndonesiaRAW","@IndonesiaRAW")</f>
        <v>@IndonesiaRAW</v>
      </c>
      <c r="C16751" t="s">
        <v>8537</v>
      </c>
      <c r="D16751">
        <v>0</v>
      </c>
      <c r="E16751">
        <v>1</v>
      </c>
      <c r="F16751">
        <v>201843</v>
      </c>
    </row>
    <row r="16752" spans="1:6" ht="12.75">
      <c r="A16752" s="2">
        <v>43877.661400462966</v>
      </c>
      <c r="B16752" t="str">
        <f>HYPERLINK("https://twitter.com/JatimPemprov","@JatimPemprov")</f>
        <v>@JatimPemprov</v>
      </c>
      <c r="C16752" t="s">
        <v>8538</v>
      </c>
      <c r="D16752">
        <v>0</v>
      </c>
      <c r="E16752">
        <v>0</v>
      </c>
      <c r="F16752">
        <v>26862</v>
      </c>
    </row>
    <row r="16753" spans="1:6" ht="12.75">
      <c r="A16753" s="2">
        <v>43877.661157407405</v>
      </c>
      <c r="B16753" t="str">
        <f>HYPERLINK("https://twitter.com/alkarharis","@alkarharis")</f>
        <v>@alkarharis</v>
      </c>
      <c r="C16753" t="s">
        <v>8539</v>
      </c>
      <c r="D16753">
        <v>0</v>
      </c>
      <c r="E16753">
        <v>0</v>
      </c>
      <c r="F16753">
        <v>118</v>
      </c>
    </row>
    <row r="16754" spans="1:6" ht="12.75">
      <c r="A16754" s="2">
        <v>43877.661030092597</v>
      </c>
      <c r="B16754" t="str">
        <f>HYPERLINK("https://twitter.com/maxmaskom","@maxmaskom")</f>
        <v>@maxmaskom</v>
      </c>
      <c r="C16754" t="s">
        <v>8540</v>
      </c>
      <c r="D16754">
        <v>0</v>
      </c>
      <c r="E16754">
        <v>0</v>
      </c>
      <c r="F16754">
        <v>14</v>
      </c>
    </row>
    <row r="16755" spans="1:6" ht="12.75">
      <c r="A16755" s="2">
        <v>43877.660682870366</v>
      </c>
      <c r="B16755" t="str">
        <f>HYPERLINK("https://twitter.com/rajivgaluh","@rajivgaluh")</f>
        <v>@rajivgaluh</v>
      </c>
      <c r="C16755" t="s">
        <v>8541</v>
      </c>
      <c r="D16755">
        <v>50</v>
      </c>
      <c r="E16755">
        <v>0</v>
      </c>
      <c r="F16755">
        <v>1903</v>
      </c>
    </row>
    <row r="16756" spans="1:6" ht="12.75">
      <c r="A16756" s="2">
        <v>43877.660671296297</v>
      </c>
      <c r="B16756" t="str">
        <f>HYPERLINK("https://twitter.com/liberatas2","@liberatas2")</f>
        <v>@liberatas2</v>
      </c>
      <c r="C16756" t="s">
        <v>3150</v>
      </c>
      <c r="D16756">
        <v>288</v>
      </c>
      <c r="E16756">
        <v>0</v>
      </c>
      <c r="F16756">
        <v>1494</v>
      </c>
    </row>
    <row r="16757" spans="1:6" ht="12.75">
      <c r="A16757" s="2">
        <v>43877.660428240742</v>
      </c>
      <c r="B16757" t="str">
        <f>HYPERLINK("https://twitter.com/jsrdell","@jsrdell")</f>
        <v>@jsrdell</v>
      </c>
      <c r="C16757" t="s">
        <v>3150</v>
      </c>
      <c r="D16757">
        <v>288</v>
      </c>
      <c r="E16757">
        <v>0</v>
      </c>
      <c r="F16757">
        <v>232</v>
      </c>
    </row>
    <row r="16758" spans="1:6" ht="12.75">
      <c r="A16758" s="2">
        <v>43877.659710648149</v>
      </c>
      <c r="B16758" t="str">
        <f>HYPERLINK("https://twitter.com/Ray78F","@Ray78F")</f>
        <v>@Ray78F</v>
      </c>
      <c r="C16758" t="s">
        <v>8542</v>
      </c>
      <c r="D16758">
        <v>10</v>
      </c>
      <c r="E16758">
        <v>0</v>
      </c>
      <c r="F16758">
        <v>188</v>
      </c>
    </row>
    <row r="16759" spans="1:6" ht="12.75">
      <c r="A16759" s="2">
        <v>43877.659675925926</v>
      </c>
      <c r="B16759" t="str">
        <f>HYPERLINK("https://twitter.com/suryaferdian","@suryaferdian")</f>
        <v>@suryaferdian</v>
      </c>
      <c r="C16759" t="s">
        <v>8543</v>
      </c>
      <c r="D16759">
        <v>17</v>
      </c>
      <c r="E16759">
        <v>0</v>
      </c>
      <c r="F16759">
        <v>620</v>
      </c>
    </row>
    <row r="16760" spans="1:6" ht="12.75">
      <c r="A16760" s="2">
        <v>43877.659479166672</v>
      </c>
      <c r="B16760" t="str">
        <f>HYPERLINK("https://twitter.com/AJangJoDo","@AJangJoDo")</f>
        <v>@AJangJoDo</v>
      </c>
      <c r="C16760" t="s">
        <v>8544</v>
      </c>
      <c r="D16760">
        <v>0</v>
      </c>
      <c r="E16760">
        <v>0</v>
      </c>
      <c r="F16760">
        <v>122</v>
      </c>
    </row>
    <row r="16761" spans="1:6" ht="12.75">
      <c r="A16761" s="2">
        <v>43877.659282407403</v>
      </c>
      <c r="B16761" t="str">
        <f>HYPERLINK("https://twitter.com/rajivgaluh","@rajivgaluh")</f>
        <v>@rajivgaluh</v>
      </c>
      <c r="C16761" t="s">
        <v>3604</v>
      </c>
      <c r="D16761">
        <v>425</v>
      </c>
      <c r="E16761">
        <v>0</v>
      </c>
      <c r="F16761">
        <v>1903</v>
      </c>
    </row>
    <row r="16762" spans="1:6" ht="12.75">
      <c r="A16762" s="2">
        <v>43877.659270833334</v>
      </c>
      <c r="B16762" t="str">
        <f>HYPERLINK("https://twitter.com/ALMAHDIDAUDZ","@ALMAHDIDAUDZ")</f>
        <v>@ALMAHDIDAUDZ</v>
      </c>
      <c r="C16762" t="s">
        <v>6989</v>
      </c>
      <c r="D16762">
        <v>59</v>
      </c>
      <c r="E16762">
        <v>0</v>
      </c>
      <c r="F16762">
        <v>4001</v>
      </c>
    </row>
    <row r="16763" spans="1:6" ht="12.75">
      <c r="A16763" s="2">
        <v>43877.65898148148</v>
      </c>
      <c r="B16763" t="str">
        <f>HYPERLINK("https://twitter.com/AgungWidrajat","@AgungWidrajat")</f>
        <v>@AgungWidrajat</v>
      </c>
      <c r="C16763" t="s">
        <v>6989</v>
      </c>
      <c r="D16763">
        <v>59</v>
      </c>
      <c r="E16763">
        <v>0</v>
      </c>
      <c r="F16763">
        <v>2294</v>
      </c>
    </row>
    <row r="16764" spans="1:6" ht="12.75">
      <c r="A16764" s="2">
        <v>43877.658819444448</v>
      </c>
      <c r="B16764" t="str">
        <f>HYPERLINK("https://twitter.com/LaingenLisa","@LaingenLisa")</f>
        <v>@LaingenLisa</v>
      </c>
      <c r="C16764" t="s">
        <v>6989</v>
      </c>
      <c r="D16764">
        <v>59</v>
      </c>
      <c r="E16764">
        <v>0</v>
      </c>
      <c r="F16764">
        <v>3009</v>
      </c>
    </row>
    <row r="16765" spans="1:6" ht="12.75">
      <c r="A16765" s="2">
        <v>43877.658761574072</v>
      </c>
      <c r="B16765" t="str">
        <f>HYPERLINK("https://twitter.com/antarajatimcom","@antarajatimcom")</f>
        <v>@antarajatimcom</v>
      </c>
      <c r="C16765" t="s">
        <v>8545</v>
      </c>
      <c r="D16765">
        <v>0</v>
      </c>
      <c r="E16765">
        <v>0</v>
      </c>
      <c r="F16765">
        <v>832</v>
      </c>
    </row>
    <row r="16766" spans="1:6" ht="12.75">
      <c r="A16766" s="2">
        <v>43877.658657407403</v>
      </c>
      <c r="B16766" t="str">
        <f>HYPERLINK("https://twitter.com/Novelawai","@Novelawai")</f>
        <v>@Novelawai</v>
      </c>
      <c r="C16766" t="s">
        <v>8546</v>
      </c>
      <c r="D16766">
        <v>0</v>
      </c>
      <c r="E16766">
        <v>0</v>
      </c>
      <c r="F16766">
        <v>494</v>
      </c>
    </row>
    <row r="16767" spans="1:6" ht="12.75">
      <c r="A16767" s="2">
        <v>43877.658587962964</v>
      </c>
      <c r="B16767" t="str">
        <f>HYPERLINK("https://twitter.com/jamar257","@jamar257")</f>
        <v>@jamar257</v>
      </c>
      <c r="C16767" t="s">
        <v>6338</v>
      </c>
      <c r="D16767">
        <v>662</v>
      </c>
      <c r="E16767">
        <v>0</v>
      </c>
      <c r="F16767">
        <v>146</v>
      </c>
    </row>
    <row r="16768" spans="1:6" ht="12.75">
      <c r="A16768" s="2">
        <v>43877.658449074079</v>
      </c>
      <c r="B16768" t="str">
        <f>HYPERLINK("https://twitter.com/JulianErido","@JulianErido")</f>
        <v>@JulianErido</v>
      </c>
      <c r="C16768" t="s">
        <v>8547</v>
      </c>
      <c r="D16768">
        <v>35</v>
      </c>
      <c r="E16768">
        <v>0</v>
      </c>
      <c r="F16768">
        <v>785</v>
      </c>
    </row>
    <row r="16769" spans="1:6" ht="12.75">
      <c r="A16769" s="2">
        <v>43877.658414351856</v>
      </c>
      <c r="B16769" t="str">
        <f>HYPERLINK("https://twitter.com/akuratco","@akuratco")</f>
        <v>@akuratco</v>
      </c>
      <c r="C16769" t="s">
        <v>8548</v>
      </c>
      <c r="D16769">
        <v>0</v>
      </c>
      <c r="E16769">
        <v>0</v>
      </c>
      <c r="F16769">
        <v>8452</v>
      </c>
    </row>
    <row r="16770" spans="1:6" ht="12.75">
      <c r="A16770" s="2">
        <v>43877.658356481479</v>
      </c>
      <c r="B16770" t="str">
        <f>HYPERLINK("https://twitter.com/HakimGarisLurus","@HakimGarisLurus")</f>
        <v>@HakimGarisLurus</v>
      </c>
      <c r="C16770" t="s">
        <v>6338</v>
      </c>
      <c r="D16770">
        <v>662</v>
      </c>
      <c r="E16770">
        <v>0</v>
      </c>
      <c r="F16770">
        <v>1446</v>
      </c>
    </row>
    <row r="16771" spans="1:6" ht="12.75">
      <c r="A16771" s="2">
        <v>43877.658020833333</v>
      </c>
      <c r="B16771" t="str">
        <f>HYPERLINK("https://twitter.com/KikiNmaKecilku","@KikiNmaKecilku")</f>
        <v>@KikiNmaKecilku</v>
      </c>
      <c r="C16771" t="s">
        <v>8549</v>
      </c>
      <c r="D16771">
        <v>0</v>
      </c>
      <c r="E16771">
        <v>0</v>
      </c>
      <c r="F16771">
        <v>1449</v>
      </c>
    </row>
    <row r="16772" spans="1:6" ht="12.75">
      <c r="A16772" s="2">
        <v>43877.657893518517</v>
      </c>
      <c r="B16772" t="str">
        <f>HYPERLINK("https://twitter.com/RedReddex","@RedReddex")</f>
        <v>@RedReddex</v>
      </c>
      <c r="C16772" t="s">
        <v>6338</v>
      </c>
      <c r="D16772">
        <v>662</v>
      </c>
      <c r="E16772">
        <v>0</v>
      </c>
      <c r="F16772">
        <v>538</v>
      </c>
    </row>
    <row r="16773" spans="1:6" ht="12.75">
      <c r="A16773" s="2">
        <v>43877.657824074078</v>
      </c>
      <c r="B16773" t="str">
        <f>HYPERLINK("https://twitter.com/IndonesiaRAW","@IndonesiaRAW")</f>
        <v>@IndonesiaRAW</v>
      </c>
      <c r="C16773" t="s">
        <v>8550</v>
      </c>
      <c r="D16773">
        <v>0</v>
      </c>
      <c r="E16773">
        <v>1</v>
      </c>
      <c r="F16773">
        <v>201843</v>
      </c>
    </row>
    <row r="16774" spans="1:6" ht="12.75">
      <c r="A16774" s="2">
        <v>43877.657708333332</v>
      </c>
      <c r="B16774" t="str">
        <f>HYPERLINK("https://twitter.com/terriertearaway","@terriertearaway")</f>
        <v>@terriertearaway</v>
      </c>
      <c r="C16774" t="s">
        <v>3150</v>
      </c>
      <c r="D16774">
        <v>288</v>
      </c>
      <c r="E16774">
        <v>0</v>
      </c>
      <c r="F16774">
        <v>129</v>
      </c>
    </row>
    <row r="16775" spans="1:6" ht="12.75">
      <c r="A16775" s="2">
        <v>43877.657314814816</v>
      </c>
      <c r="B16775" t="str">
        <f t="shared" ref="B16775:B16776" si="282">HYPERLINK("https://twitter.com/IndonesiaRAW","@IndonesiaRAW")</f>
        <v>@IndonesiaRAW</v>
      </c>
      <c r="C16775" t="s">
        <v>8551</v>
      </c>
      <c r="D16775">
        <v>0</v>
      </c>
      <c r="E16775">
        <v>1</v>
      </c>
      <c r="F16775">
        <v>201843</v>
      </c>
    </row>
    <row r="16776" spans="1:6" ht="12.75">
      <c r="A16776" s="2">
        <v>43877.656898148147</v>
      </c>
      <c r="B16776" t="str">
        <f t="shared" si="282"/>
        <v>@IndonesiaRAW</v>
      </c>
      <c r="C16776" t="s">
        <v>8552</v>
      </c>
      <c r="D16776">
        <v>0</v>
      </c>
      <c r="E16776">
        <v>1</v>
      </c>
      <c r="F16776">
        <v>201843</v>
      </c>
    </row>
    <row r="16777" spans="1:6" ht="12.75">
      <c r="A16777" s="2">
        <v>43877.656712962962</v>
      </c>
      <c r="B16777" t="str">
        <f>HYPERLINK("https://twitter.com/DodiSaputra03","@DodiSaputra03")</f>
        <v>@DodiSaputra03</v>
      </c>
      <c r="C16777" t="s">
        <v>8553</v>
      </c>
      <c r="D16777">
        <v>0</v>
      </c>
      <c r="E16777">
        <v>0</v>
      </c>
      <c r="F16777">
        <v>8</v>
      </c>
    </row>
    <row r="16778" spans="1:6" ht="12.75">
      <c r="A16778" s="2">
        <v>43877.65662037037</v>
      </c>
      <c r="B16778" t="str">
        <f>HYPERLINK("https://twitter.com/dannysoepangat","@dannysoepangat")</f>
        <v>@dannysoepangat</v>
      </c>
      <c r="C16778" t="s">
        <v>6989</v>
      </c>
      <c r="D16778">
        <v>59</v>
      </c>
      <c r="E16778">
        <v>0</v>
      </c>
      <c r="F16778">
        <v>429</v>
      </c>
    </row>
    <row r="16779" spans="1:6" ht="12.75">
      <c r="A16779" s="2">
        <v>43877.6565162037</v>
      </c>
      <c r="B16779" t="str">
        <f>HYPERLINK("https://twitter.com/IndonesiaRAW","@IndonesiaRAW")</f>
        <v>@IndonesiaRAW</v>
      </c>
      <c r="C16779" t="s">
        <v>8554</v>
      </c>
      <c r="D16779">
        <v>0</v>
      </c>
      <c r="E16779">
        <v>1</v>
      </c>
      <c r="F16779">
        <v>201843</v>
      </c>
    </row>
    <row r="16780" spans="1:6" ht="12.75">
      <c r="A16780" s="2">
        <v>43877.655729166669</v>
      </c>
      <c r="B16780" t="str">
        <f>HYPERLINK("https://twitter.com/PujiantoHary","@PujiantoHary")</f>
        <v>@PujiantoHary</v>
      </c>
      <c r="C16780" t="s">
        <v>8555</v>
      </c>
      <c r="D16780">
        <v>0</v>
      </c>
      <c r="E16780">
        <v>0</v>
      </c>
      <c r="F16780">
        <v>3</v>
      </c>
    </row>
    <row r="16781" spans="1:6" ht="12.75">
      <c r="A16781" s="2">
        <v>43877.655671296292</v>
      </c>
      <c r="B16781" t="str">
        <f>HYPERLINK("https://twitter.com/TangRoy17","@TangRoy17")</f>
        <v>@TangRoy17</v>
      </c>
      <c r="C16781" t="s">
        <v>3150</v>
      </c>
      <c r="D16781">
        <v>288</v>
      </c>
      <c r="E16781">
        <v>0</v>
      </c>
      <c r="F16781">
        <v>5359</v>
      </c>
    </row>
    <row r="16782" spans="1:6" ht="12.75">
      <c r="A16782" s="2">
        <v>43877.655648148153</v>
      </c>
      <c r="B16782" t="str">
        <f>HYPERLINK("https://twitter.com/memcbrexit","@memcbrexit")</f>
        <v>@memcbrexit</v>
      </c>
      <c r="C16782" t="s">
        <v>3150</v>
      </c>
      <c r="D16782">
        <v>288</v>
      </c>
      <c r="E16782">
        <v>0</v>
      </c>
      <c r="F16782">
        <v>2859</v>
      </c>
    </row>
    <row r="16783" spans="1:6" ht="12.75">
      <c r="A16783" s="2">
        <v>43877.655590277776</v>
      </c>
      <c r="B16783" t="str">
        <f>HYPERLINK("https://twitter.com/Jaysyku","@Jaysyku")</f>
        <v>@Jaysyku</v>
      </c>
      <c r="C16783" t="s">
        <v>6989</v>
      </c>
      <c r="D16783">
        <v>59</v>
      </c>
      <c r="E16783">
        <v>0</v>
      </c>
      <c r="F16783">
        <v>214</v>
      </c>
    </row>
    <row r="16784" spans="1:6" ht="12.75">
      <c r="A16784" s="2">
        <v>43877.655023148152</v>
      </c>
      <c r="B16784" t="str">
        <f>HYPERLINK("https://twitter.com/pwtrea","@pwtrea")</f>
        <v>@pwtrea</v>
      </c>
      <c r="C16784" t="s">
        <v>3150</v>
      </c>
      <c r="D16784">
        <v>288</v>
      </c>
      <c r="E16784">
        <v>0</v>
      </c>
      <c r="F16784">
        <v>2394</v>
      </c>
    </row>
    <row r="16785" spans="1:6" ht="12.75">
      <c r="A16785" s="2">
        <v>43877.654976851853</v>
      </c>
      <c r="B16785" t="str">
        <f>HYPERLINK("https://twitter.com/jangandiemin","@jangandiemin")</f>
        <v>@jangandiemin</v>
      </c>
      <c r="C16785" t="s">
        <v>8556</v>
      </c>
      <c r="D16785">
        <v>0</v>
      </c>
      <c r="E16785">
        <v>0</v>
      </c>
      <c r="F16785">
        <v>484</v>
      </c>
    </row>
    <row r="16786" spans="1:6" ht="12.75">
      <c r="A16786" s="2">
        <v>43877.654918981483</v>
      </c>
      <c r="B16786" t="str">
        <f>HYPERLINK("https://twitter.com/NothingsFree1","@NothingsFree1")</f>
        <v>@NothingsFree1</v>
      </c>
      <c r="C16786" t="s">
        <v>3150</v>
      </c>
      <c r="D16786">
        <v>288</v>
      </c>
      <c r="E16786">
        <v>0</v>
      </c>
      <c r="F16786">
        <v>311</v>
      </c>
    </row>
    <row r="16787" spans="1:6" ht="12.75">
      <c r="A16787" s="2">
        <v>43877.654733796298</v>
      </c>
      <c r="B16787" t="str">
        <f>HYPERLINK("https://twitter.com/RuleBrexitannia","@RuleBrexitannia")</f>
        <v>@RuleBrexitannia</v>
      </c>
      <c r="C16787" t="s">
        <v>3150</v>
      </c>
      <c r="D16787">
        <v>288</v>
      </c>
      <c r="E16787">
        <v>0</v>
      </c>
      <c r="F16787">
        <v>8911</v>
      </c>
    </row>
    <row r="16788" spans="1:6" ht="12.75">
      <c r="A16788" s="2">
        <v>43877.654351851852</v>
      </c>
      <c r="B16788" t="str">
        <f t="shared" ref="B16788:B16791" si="283">HYPERLINK("https://twitter.com/LamanKita_","@LamanKita_")</f>
        <v>@LamanKita_</v>
      </c>
      <c r="C16788" t="s">
        <v>8557</v>
      </c>
      <c r="D16788">
        <v>0</v>
      </c>
      <c r="E16788">
        <v>1</v>
      </c>
      <c r="F16788">
        <v>139612</v>
      </c>
    </row>
    <row r="16789" spans="1:6" ht="12.75">
      <c r="A16789" s="2">
        <v>43877.654351851852</v>
      </c>
      <c r="B16789" t="str">
        <f t="shared" si="283"/>
        <v>@LamanKita_</v>
      </c>
      <c r="C16789" t="s">
        <v>8558</v>
      </c>
      <c r="D16789">
        <v>0</v>
      </c>
      <c r="E16789">
        <v>0</v>
      </c>
      <c r="F16789">
        <v>139612</v>
      </c>
    </row>
    <row r="16790" spans="1:6" ht="12.75">
      <c r="A16790" s="2">
        <v>43877.654340277775</v>
      </c>
      <c r="B16790" t="str">
        <f t="shared" si="283"/>
        <v>@LamanKita_</v>
      </c>
      <c r="C16790" t="s">
        <v>8559</v>
      </c>
      <c r="D16790">
        <v>0</v>
      </c>
      <c r="E16790">
        <v>0</v>
      </c>
      <c r="F16790">
        <v>139612</v>
      </c>
    </row>
    <row r="16791" spans="1:6" ht="12.75">
      <c r="A16791" s="2">
        <v>43877.654328703706</v>
      </c>
      <c r="B16791" t="str">
        <f t="shared" si="283"/>
        <v>@LamanKita_</v>
      </c>
      <c r="C16791" t="s">
        <v>8560</v>
      </c>
      <c r="D16791">
        <v>0</v>
      </c>
      <c r="E16791">
        <v>0</v>
      </c>
      <c r="F16791">
        <v>139612</v>
      </c>
    </row>
    <row r="16792" spans="1:6" ht="12.75">
      <c r="A16792" s="2">
        <v>43877.654178240744</v>
      </c>
      <c r="B16792" t="str">
        <f>HYPERLINK("https://twitter.com/EscapeEUSlavery","@EscapeEUSlavery")</f>
        <v>@EscapeEUSlavery</v>
      </c>
      <c r="C16792" t="s">
        <v>3150</v>
      </c>
      <c r="D16792">
        <v>288</v>
      </c>
      <c r="E16792">
        <v>0</v>
      </c>
      <c r="F16792">
        <v>6471</v>
      </c>
    </row>
    <row r="16793" spans="1:6" ht="12.75">
      <c r="A16793" s="2">
        <v>43877.653715277775</v>
      </c>
      <c r="B16793" t="str">
        <f>HYPERLINK("https://twitter.com/dedesrafli","@dedesrafli")</f>
        <v>@dedesrafli</v>
      </c>
      <c r="C16793" t="s">
        <v>8561</v>
      </c>
      <c r="D16793">
        <v>0</v>
      </c>
      <c r="E16793">
        <v>0</v>
      </c>
      <c r="F16793">
        <v>180</v>
      </c>
    </row>
    <row r="16794" spans="1:6" ht="12.75">
      <c r="A16794" s="2">
        <v>43877.653634259259</v>
      </c>
      <c r="B16794" t="str">
        <f>HYPERLINK("https://twitter.com/AAPurba1","@AAPurba1")</f>
        <v>@AAPurba1</v>
      </c>
      <c r="C16794" t="s">
        <v>8562</v>
      </c>
      <c r="D16794">
        <v>0</v>
      </c>
      <c r="E16794">
        <v>0</v>
      </c>
      <c r="F16794">
        <v>14</v>
      </c>
    </row>
    <row r="16795" spans="1:6" ht="12.75">
      <c r="A16795" s="2">
        <v>43877.65347222222</v>
      </c>
      <c r="B16795" t="str">
        <f>HYPERLINK("https://twitter.com/gusdureen","@gusdureen")</f>
        <v>@gusdureen</v>
      </c>
      <c r="C16795" t="s">
        <v>7259</v>
      </c>
      <c r="D16795">
        <v>46</v>
      </c>
      <c r="E16795">
        <v>0</v>
      </c>
      <c r="F16795">
        <v>503</v>
      </c>
    </row>
    <row r="16796" spans="1:6" ht="12.75">
      <c r="A16796" s="2">
        <v>43877.65347222222</v>
      </c>
      <c r="B16796" t="str">
        <f>HYPERLINK("https://twitter.com/voidotid","@voidotid")</f>
        <v>@voidotid</v>
      </c>
      <c r="C16796" t="s">
        <v>8563</v>
      </c>
      <c r="D16796">
        <v>0</v>
      </c>
      <c r="E16796">
        <v>0</v>
      </c>
      <c r="F16796">
        <v>1741</v>
      </c>
    </row>
    <row r="16797" spans="1:6" ht="12.75">
      <c r="A16797" s="2">
        <v>43877.652824074074</v>
      </c>
      <c r="B16797" t="str">
        <f>HYPERLINK("https://twitter.com/AhmadRi24953035","@AhmadRi24953035")</f>
        <v>@AhmadRi24953035</v>
      </c>
      <c r="C16797" t="s">
        <v>8564</v>
      </c>
      <c r="D16797">
        <v>4</v>
      </c>
      <c r="E16797">
        <v>0</v>
      </c>
      <c r="F16797">
        <v>372</v>
      </c>
    </row>
    <row r="16798" spans="1:6" ht="12.75">
      <c r="A16798" s="2">
        <v>43877.652754629627</v>
      </c>
      <c r="B16798" t="str">
        <f>HYPERLINK("https://twitter.com/AnthonySigalin1","@AnthonySigalin1")</f>
        <v>@AnthonySigalin1</v>
      </c>
      <c r="C16798" t="s">
        <v>6989</v>
      </c>
      <c r="D16798">
        <v>59</v>
      </c>
      <c r="E16798">
        <v>0</v>
      </c>
      <c r="F16798">
        <v>260</v>
      </c>
    </row>
    <row r="16799" spans="1:6" ht="12.75">
      <c r="A16799" s="2">
        <v>43877.652615740742</v>
      </c>
      <c r="B16799" t="str">
        <f>HYPERLINK("https://twitter.com/3_devout","@3_devout")</f>
        <v>@3_devout</v>
      </c>
      <c r="C16799" t="s">
        <v>8413</v>
      </c>
      <c r="D16799">
        <v>5</v>
      </c>
      <c r="E16799">
        <v>0</v>
      </c>
      <c r="F16799">
        <v>1033</v>
      </c>
    </row>
    <row r="16800" spans="1:6" ht="12.75">
      <c r="A16800" s="2">
        <v>43877.652604166666</v>
      </c>
      <c r="B16800" t="str">
        <f>HYPERLINK("https://twitter.com/billyg267","@billyg267")</f>
        <v>@billyg267</v>
      </c>
      <c r="C16800" t="s">
        <v>3150</v>
      </c>
      <c r="D16800">
        <v>288</v>
      </c>
      <c r="E16800">
        <v>0</v>
      </c>
      <c r="F16800">
        <v>87</v>
      </c>
    </row>
    <row r="16801" spans="1:6" ht="12.75">
      <c r="A16801" s="2">
        <v>43877.652511574073</v>
      </c>
      <c r="B16801" t="str">
        <f>HYPERLINK("https://twitter.com/SatoeGaruda","@SatoeGaruda")</f>
        <v>@SatoeGaruda</v>
      </c>
      <c r="C16801" t="s">
        <v>8565</v>
      </c>
      <c r="D16801">
        <v>0</v>
      </c>
      <c r="E16801">
        <v>0</v>
      </c>
      <c r="F16801">
        <v>500</v>
      </c>
    </row>
    <row r="16802" spans="1:6" ht="12.75">
      <c r="A16802" s="2">
        <v>43877.652106481481</v>
      </c>
      <c r="B16802" t="str">
        <f>HYPERLINK("https://twitter.com/dianarosita112","@dianarosita112")</f>
        <v>@dianarosita112</v>
      </c>
      <c r="C16802" t="s">
        <v>8166</v>
      </c>
      <c r="D16802">
        <v>0</v>
      </c>
      <c r="E16802">
        <v>0</v>
      </c>
      <c r="F16802">
        <v>66</v>
      </c>
    </row>
    <row r="16803" spans="1:6" ht="12.75">
      <c r="A16803" s="2">
        <v>43877.652094907404</v>
      </c>
      <c r="B16803" t="str">
        <f>HYPERLINK("https://twitter.com/giovani_arista","@giovani_arista")</f>
        <v>@giovani_arista</v>
      </c>
      <c r="C16803" t="s">
        <v>8166</v>
      </c>
      <c r="D16803">
        <v>0</v>
      </c>
      <c r="E16803">
        <v>0</v>
      </c>
      <c r="F16803">
        <v>87</v>
      </c>
    </row>
    <row r="16804" spans="1:6" ht="12.75">
      <c r="A16804" s="2">
        <v>43877.652060185181</v>
      </c>
      <c r="B16804" t="str">
        <f>HYPERLINK("https://twitter.com/dedesrafli","@dedesrafli")</f>
        <v>@dedesrafli</v>
      </c>
      <c r="C16804" t="s">
        <v>8566</v>
      </c>
      <c r="D16804">
        <v>0</v>
      </c>
      <c r="E16804">
        <v>0</v>
      </c>
      <c r="F16804">
        <v>180</v>
      </c>
    </row>
    <row r="16805" spans="1:6" ht="12.75">
      <c r="A16805" s="2">
        <v>43877.652048611111</v>
      </c>
      <c r="B16805" t="str">
        <f>HYPERLINK("https://twitter.com/buaygon","@buaygon")</f>
        <v>@buaygon</v>
      </c>
      <c r="C16805" t="s">
        <v>7905</v>
      </c>
      <c r="D16805">
        <v>75</v>
      </c>
      <c r="E16805">
        <v>0</v>
      </c>
      <c r="F16805">
        <v>1453</v>
      </c>
    </row>
    <row r="16806" spans="1:6" ht="12.75">
      <c r="A16806" s="2">
        <v>43877.651400462964</v>
      </c>
      <c r="B16806" t="str">
        <f>HYPERLINK("https://twitter.com/SatoeGaruda","@SatoeGaruda")</f>
        <v>@SatoeGaruda</v>
      </c>
      <c r="C16806" t="s">
        <v>8567</v>
      </c>
      <c r="D16806">
        <v>1</v>
      </c>
      <c r="E16806">
        <v>0</v>
      </c>
      <c r="F16806">
        <v>500</v>
      </c>
    </row>
    <row r="16807" spans="1:6" ht="12.75">
      <c r="A16807" s="2">
        <v>43877.650671296295</v>
      </c>
      <c r="B16807" t="str">
        <f>HYPERLINK("https://twitter.com/ArdianZA_099","@ArdianZA_099")</f>
        <v>@ArdianZA_099</v>
      </c>
      <c r="C16807" t="s">
        <v>8413</v>
      </c>
      <c r="D16807">
        <v>5</v>
      </c>
      <c r="E16807">
        <v>0</v>
      </c>
      <c r="F16807">
        <v>1897</v>
      </c>
    </row>
    <row r="16808" spans="1:6" ht="12.75">
      <c r="A16808" s="2">
        <v>43877.650543981479</v>
      </c>
      <c r="B16808" t="str">
        <f t="shared" ref="B16808:B16810" si="284">HYPERLINK("https://twitter.com/LamanKita_","@LamanKita_")</f>
        <v>@LamanKita_</v>
      </c>
      <c r="C16808" t="s">
        <v>8568</v>
      </c>
      <c r="D16808">
        <v>0</v>
      </c>
      <c r="E16808">
        <v>2</v>
      </c>
      <c r="F16808">
        <v>139612</v>
      </c>
    </row>
    <row r="16809" spans="1:6" ht="12.75">
      <c r="A16809" s="2">
        <v>43877.65053240741</v>
      </c>
      <c r="B16809" t="str">
        <f t="shared" si="284"/>
        <v>@LamanKita_</v>
      </c>
      <c r="C16809" t="s">
        <v>8569</v>
      </c>
      <c r="D16809">
        <v>0</v>
      </c>
      <c r="E16809">
        <v>0</v>
      </c>
      <c r="F16809">
        <v>139612</v>
      </c>
    </row>
    <row r="16810" spans="1:6" ht="12.75">
      <c r="A16810" s="2">
        <v>43877.650520833333</v>
      </c>
      <c r="B16810" t="str">
        <f t="shared" si="284"/>
        <v>@LamanKita_</v>
      </c>
      <c r="C16810" t="s">
        <v>8570</v>
      </c>
      <c r="D16810">
        <v>0</v>
      </c>
      <c r="E16810">
        <v>0</v>
      </c>
      <c r="F16810">
        <v>139612</v>
      </c>
    </row>
    <row r="16811" spans="1:6" ht="12.75">
      <c r="A16811" s="2">
        <v>43877.650497685187</v>
      </c>
      <c r="B16811" t="str">
        <f>HYPERLINK("https://twitter.com/PradiptaArya4","@PradiptaArya4")</f>
        <v>@PradiptaArya4</v>
      </c>
      <c r="C16811" t="s">
        <v>6989</v>
      </c>
      <c r="D16811">
        <v>59</v>
      </c>
      <c r="E16811">
        <v>0</v>
      </c>
      <c r="F16811">
        <v>2520</v>
      </c>
    </row>
    <row r="16812" spans="1:6" ht="12.75">
      <c r="A16812" s="2">
        <v>43877.650405092594</v>
      </c>
      <c r="B16812" t="str">
        <f>HYPERLINK("https://twitter.com/Aderizky759","@Aderizky759")</f>
        <v>@Aderizky759</v>
      </c>
      <c r="C16812" t="s">
        <v>8571</v>
      </c>
      <c r="D16812">
        <v>43</v>
      </c>
      <c r="E16812">
        <v>0</v>
      </c>
      <c r="F16812">
        <v>13</v>
      </c>
    </row>
    <row r="16813" spans="1:6" ht="12.75">
      <c r="A16813" s="2">
        <v>43877.650289351848</v>
      </c>
      <c r="B16813" t="str">
        <f>HYPERLINK("https://twitter.com/JEStwitttz","@JEStwitttz")</f>
        <v>@JEStwitttz</v>
      </c>
      <c r="C16813" t="s">
        <v>8572</v>
      </c>
      <c r="D16813">
        <v>1</v>
      </c>
      <c r="E16813">
        <v>0</v>
      </c>
      <c r="F16813">
        <v>3375</v>
      </c>
    </row>
    <row r="16814" spans="1:6" ht="12.75">
      <c r="A16814" s="2">
        <v>43877.650196759263</v>
      </c>
      <c r="B16814" t="str">
        <f>HYPERLINK("https://twitter.com/AbuGhaGha","@AbuGhaGha")</f>
        <v>@AbuGhaGha</v>
      </c>
      <c r="C16814" t="s">
        <v>8573</v>
      </c>
      <c r="D16814">
        <v>0</v>
      </c>
      <c r="E16814">
        <v>0</v>
      </c>
      <c r="F16814">
        <v>497</v>
      </c>
    </row>
    <row r="16815" spans="1:6" ht="12.75">
      <c r="A16815" s="2">
        <v>43877.650185185186</v>
      </c>
      <c r="B16815" t="str">
        <f>HYPERLINK("https://twitter.com/endeeste","@endeeste")</f>
        <v>@endeeste</v>
      </c>
      <c r="C16815" t="s">
        <v>6989</v>
      </c>
      <c r="D16815">
        <v>59</v>
      </c>
      <c r="E16815">
        <v>0</v>
      </c>
      <c r="F16815">
        <v>226</v>
      </c>
    </row>
    <row r="16816" spans="1:6" ht="12.75">
      <c r="A16816" s="2">
        <v>43877.626238425924</v>
      </c>
      <c r="B16816" t="str">
        <f>HYPERLINK("https://twitter.com/annasantoz318","@annasantoz318")</f>
        <v>@annasantoz318</v>
      </c>
      <c r="C16816" t="s">
        <v>8574</v>
      </c>
      <c r="D16816">
        <v>0</v>
      </c>
      <c r="E16816">
        <v>0</v>
      </c>
      <c r="F16816">
        <v>12429</v>
      </c>
    </row>
    <row r="16817" spans="1:6" ht="12.75">
      <c r="A16817" s="2">
        <v>43877.626215277778</v>
      </c>
      <c r="B16817" t="str">
        <f>HYPERLINK("https://twitter.com/DzulfahmiFauzan","@DzulfahmiFauzan")</f>
        <v>@DzulfahmiFauzan</v>
      </c>
      <c r="C16817" t="s">
        <v>8575</v>
      </c>
      <c r="D16817">
        <v>0</v>
      </c>
      <c r="E16817">
        <v>0</v>
      </c>
      <c r="F16817">
        <v>235</v>
      </c>
    </row>
    <row r="16818" spans="1:6" ht="12.75">
      <c r="A16818" s="2">
        <v>43877.625983796301</v>
      </c>
      <c r="B16818" t="str">
        <f>HYPERLINK("https://twitter.com/Velin52821243","@Velin52821243")</f>
        <v>@Velin52821243</v>
      </c>
      <c r="C16818" t="s">
        <v>8576</v>
      </c>
      <c r="D16818">
        <v>0</v>
      </c>
      <c r="E16818">
        <v>0</v>
      </c>
      <c r="F16818">
        <v>113</v>
      </c>
    </row>
    <row r="16819" spans="1:6" ht="12.75">
      <c r="A16819" s="2">
        <v>43877.625706018516</v>
      </c>
      <c r="B16819" t="str">
        <f>HYPERLINK("https://twitter.com/sucilaila96","@sucilaila96")</f>
        <v>@sucilaila96</v>
      </c>
      <c r="C16819" t="s">
        <v>7905</v>
      </c>
      <c r="D16819">
        <v>72</v>
      </c>
      <c r="E16819">
        <v>0</v>
      </c>
      <c r="F16819">
        <v>2320</v>
      </c>
    </row>
    <row r="16820" spans="1:6" ht="12.75">
      <c r="A16820" s="2">
        <v>43877.625601851847</v>
      </c>
      <c r="B16820" t="str">
        <f>HYPERLINK("https://twitter.com/Ganta271","@Ganta271")</f>
        <v>@Ganta271</v>
      </c>
      <c r="C16820" t="s">
        <v>8577</v>
      </c>
      <c r="D16820">
        <v>0</v>
      </c>
      <c r="E16820">
        <v>0</v>
      </c>
      <c r="F16820">
        <v>5</v>
      </c>
    </row>
    <row r="16821" spans="1:6" ht="12.75">
      <c r="A16821" s="2">
        <v>43877.625555555554</v>
      </c>
      <c r="B16821" t="str">
        <f>HYPERLINK("https://twitter.com/BornLondoner","@BornLondoner")</f>
        <v>@BornLondoner</v>
      </c>
      <c r="C16821" t="s">
        <v>3150</v>
      </c>
      <c r="D16821">
        <v>270</v>
      </c>
      <c r="E16821">
        <v>0</v>
      </c>
      <c r="F16821">
        <v>2415</v>
      </c>
    </row>
    <row r="16822" spans="1:6" ht="12.75">
      <c r="A16822" s="2">
        <v>43877.625</v>
      </c>
      <c r="B16822" t="str">
        <f>HYPERLINK("https://twitter.com/SeputariNews","@SeputariNews")</f>
        <v>@SeputariNews</v>
      </c>
      <c r="C16822" t="s">
        <v>8516</v>
      </c>
      <c r="D16822">
        <v>0</v>
      </c>
      <c r="E16822">
        <v>0</v>
      </c>
      <c r="F16822">
        <v>438654</v>
      </c>
    </row>
    <row r="16823" spans="1:6" ht="12.75">
      <c r="A16823" s="2">
        <v>43877.625</v>
      </c>
      <c r="B16823" t="str">
        <f>HYPERLINK("https://twitter.com/Lintas_MNCTV","@Lintas_MNCTV")</f>
        <v>@Lintas_MNCTV</v>
      </c>
      <c r="C16823" t="s">
        <v>8578</v>
      </c>
      <c r="D16823">
        <v>0</v>
      </c>
      <c r="E16823">
        <v>0</v>
      </c>
      <c r="F16823">
        <v>35907</v>
      </c>
    </row>
    <row r="16824" spans="1:6" ht="12.75">
      <c r="A16824" s="2">
        <v>43877.624490740738</v>
      </c>
      <c r="B16824" t="str">
        <f>HYPERLINK("https://twitter.com/suka011","@suka011")</f>
        <v>@suka011</v>
      </c>
      <c r="C16824" t="s">
        <v>6338</v>
      </c>
      <c r="D16824">
        <v>643</v>
      </c>
      <c r="E16824">
        <v>0</v>
      </c>
      <c r="F16824">
        <v>1996</v>
      </c>
    </row>
    <row r="16825" spans="1:6" ht="12.75">
      <c r="A16825" s="2">
        <v>43877.624444444446</v>
      </c>
      <c r="B16825" t="str">
        <f>HYPERLINK("https://twitter.com/legreens_marani","@legreens_marani")</f>
        <v>@legreens_marani</v>
      </c>
      <c r="C16825" t="s">
        <v>8203</v>
      </c>
      <c r="D16825">
        <v>189</v>
      </c>
      <c r="E16825">
        <v>0</v>
      </c>
      <c r="F16825">
        <v>292</v>
      </c>
    </row>
    <row r="16826" spans="1:6" ht="12.75">
      <c r="A16826" s="2">
        <v>43877.624236111107</v>
      </c>
      <c r="B16826" t="str">
        <f>HYPERLINK("https://twitter.com/PojokNU","@PojokNU")</f>
        <v>@PojokNU</v>
      </c>
      <c r="C16826" t="s">
        <v>8579</v>
      </c>
      <c r="D16826">
        <v>0</v>
      </c>
      <c r="E16826">
        <v>0</v>
      </c>
      <c r="F16826">
        <v>698</v>
      </c>
    </row>
    <row r="16827" spans="1:6" ht="12.75">
      <c r="A16827" s="2">
        <v>43877.624212962968</v>
      </c>
      <c r="B16827" t="str">
        <f>HYPERLINK("https://twitter.com/dawiguna","@dawiguna")</f>
        <v>@dawiguna</v>
      </c>
      <c r="C16827" t="s">
        <v>8580</v>
      </c>
      <c r="D16827">
        <v>0</v>
      </c>
      <c r="E16827">
        <v>0</v>
      </c>
      <c r="F16827">
        <v>1433</v>
      </c>
    </row>
    <row r="16828" spans="1:6" ht="12.75">
      <c r="A16828" s="2">
        <v>43877.62400462963</v>
      </c>
      <c r="B16828" t="str">
        <f>HYPERLINK("https://twitter.com/divinecohmedy","@divinecohmedy")</f>
        <v>@divinecohmedy</v>
      </c>
      <c r="C16828" t="s">
        <v>2444</v>
      </c>
      <c r="D16828">
        <v>4537</v>
      </c>
      <c r="E16828">
        <v>0</v>
      </c>
      <c r="F16828">
        <v>1075</v>
      </c>
    </row>
    <row r="16829" spans="1:6" ht="12.75">
      <c r="A16829" s="2">
        <v>43877.623900462961</v>
      </c>
      <c r="B16829" t="str">
        <f>HYPERLINK("https://twitter.com/rorienovriana","@rorienovriana")</f>
        <v>@rorienovriana</v>
      </c>
      <c r="C16829" t="s">
        <v>8581</v>
      </c>
      <c r="D16829">
        <v>1</v>
      </c>
      <c r="E16829">
        <v>0</v>
      </c>
      <c r="F16829">
        <v>542</v>
      </c>
    </row>
    <row r="16830" spans="1:6" ht="12.75">
      <c r="A16830" s="2">
        <v>43877.623680555553</v>
      </c>
      <c r="B16830" t="str">
        <f>HYPERLINK("https://twitter.com/RedWineMalbec","@RedWineMalbec")</f>
        <v>@RedWineMalbec</v>
      </c>
      <c r="C16830" t="s">
        <v>8582</v>
      </c>
      <c r="D16830">
        <v>1</v>
      </c>
      <c r="E16830">
        <v>0</v>
      </c>
      <c r="F16830">
        <v>514</v>
      </c>
    </row>
    <row r="16831" spans="1:6" ht="12.75">
      <c r="A16831" s="2">
        <v>43877.623657407406</v>
      </c>
      <c r="B16831" t="str">
        <f>HYPERLINK("https://twitter.com/anonapostate","@anonapostate")</f>
        <v>@anonapostate</v>
      </c>
      <c r="C16831" t="s">
        <v>8583</v>
      </c>
      <c r="D16831">
        <v>0</v>
      </c>
      <c r="E16831">
        <v>0</v>
      </c>
      <c r="F16831">
        <v>284</v>
      </c>
    </row>
    <row r="16832" spans="1:6" ht="12.75">
      <c r="A16832" s="2">
        <v>43877.623657407406</v>
      </c>
      <c r="B16832" t="str">
        <f>HYPERLINK("https://twitter.com/hamaro_id","@hamaro_id")</f>
        <v>@hamaro_id</v>
      </c>
      <c r="C16832" t="s">
        <v>6989</v>
      </c>
      <c r="D16832">
        <v>37</v>
      </c>
      <c r="E16832">
        <v>0</v>
      </c>
      <c r="F16832">
        <v>1570</v>
      </c>
    </row>
    <row r="16833" spans="1:6" ht="12.75">
      <c r="A16833" s="2">
        <v>43877.62336805556</v>
      </c>
      <c r="B16833" t="str">
        <f>HYPERLINK("https://twitter.com/_ykristian_","@_ykristian_")</f>
        <v>@_ykristian_</v>
      </c>
      <c r="C16833" t="s">
        <v>6338</v>
      </c>
      <c r="D16833">
        <v>643</v>
      </c>
      <c r="E16833">
        <v>0</v>
      </c>
      <c r="F16833">
        <v>509</v>
      </c>
    </row>
    <row r="16834" spans="1:6" ht="12.75">
      <c r="A16834" s="2">
        <v>43877.623252314814</v>
      </c>
      <c r="B16834" t="str">
        <f>HYPERLINK("https://twitter.com/AbdMuin87293941","@AbdMuin87293941")</f>
        <v>@AbdMuin87293941</v>
      </c>
      <c r="C16834" t="s">
        <v>8105</v>
      </c>
      <c r="D16834">
        <v>6</v>
      </c>
      <c r="E16834">
        <v>0</v>
      </c>
      <c r="F16834">
        <v>110</v>
      </c>
    </row>
    <row r="16835" spans="1:6" ht="12.75">
      <c r="A16835" s="2">
        <v>43877.62300925926</v>
      </c>
      <c r="B16835" t="str">
        <f>HYPERLINK("https://twitter.com/Andyoshinobu","@Andyoshinobu")</f>
        <v>@Andyoshinobu</v>
      </c>
      <c r="C16835" t="s">
        <v>175</v>
      </c>
      <c r="D16835">
        <v>5370</v>
      </c>
      <c r="E16835">
        <v>0</v>
      </c>
      <c r="F16835">
        <v>3</v>
      </c>
    </row>
    <row r="16836" spans="1:6" ht="12.75">
      <c r="A16836" s="2">
        <v>43877.622962962967</v>
      </c>
      <c r="B16836" t="str">
        <f>HYPERLINK("https://twitter.com/Yanti08506717","@Yanti08506717")</f>
        <v>@Yanti08506717</v>
      </c>
      <c r="C16836" t="s">
        <v>8584</v>
      </c>
      <c r="D16836">
        <v>0</v>
      </c>
      <c r="E16836">
        <v>0</v>
      </c>
      <c r="F16836">
        <v>0</v>
      </c>
    </row>
    <row r="16837" spans="1:6" ht="12.75">
      <c r="A16837" s="2">
        <v>43877.622916666667</v>
      </c>
      <c r="B16837" t="str">
        <f>HYPERLINK("https://twitter.com/De_rezha","@De_rezha")</f>
        <v>@De_rezha</v>
      </c>
      <c r="C16837" t="s">
        <v>8585</v>
      </c>
      <c r="D16837">
        <v>6</v>
      </c>
      <c r="E16837">
        <v>0</v>
      </c>
      <c r="F16837">
        <v>257</v>
      </c>
    </row>
    <row r="16838" spans="1:6" ht="12.75">
      <c r="A16838" s="2">
        <v>43877.622395833328</v>
      </c>
      <c r="B16838" t="str">
        <f>HYPERLINK("https://twitter.com/Rian170363Az","@Rian170363Az")</f>
        <v>@Rian170363Az</v>
      </c>
      <c r="C16838" t="s">
        <v>8586</v>
      </c>
      <c r="D16838">
        <v>0</v>
      </c>
      <c r="E16838">
        <v>0</v>
      </c>
      <c r="F16838">
        <v>5</v>
      </c>
    </row>
    <row r="16839" spans="1:6" ht="12.75">
      <c r="A16839" s="2">
        <v>43877.622337962966</v>
      </c>
      <c r="B16839" t="str">
        <f>HYPERLINK("https://twitter.com/Jokowi_FClub","@Jokowi_FClub")</f>
        <v>@Jokowi_FClub</v>
      </c>
      <c r="C16839" t="s">
        <v>8587</v>
      </c>
      <c r="D16839">
        <v>0</v>
      </c>
      <c r="E16839">
        <v>0</v>
      </c>
      <c r="F16839">
        <v>246</v>
      </c>
    </row>
    <row r="16840" spans="1:6" ht="12.75">
      <c r="A16840" s="2">
        <v>43877.622256944444</v>
      </c>
      <c r="B16840" t="str">
        <f>HYPERLINK("https://twitter.com/Yohananabila01","@Yohananabila01")</f>
        <v>@Yohananabila01</v>
      </c>
      <c r="C16840" t="s">
        <v>6989</v>
      </c>
      <c r="D16840">
        <v>37</v>
      </c>
      <c r="E16840">
        <v>0</v>
      </c>
      <c r="F16840">
        <v>2123</v>
      </c>
    </row>
    <row r="16841" spans="1:6" ht="12.75">
      <c r="A16841" s="2">
        <v>43877.622013888889</v>
      </c>
      <c r="B16841" t="str">
        <f>HYPERLINK("https://twitter.com/stevy_mende","@stevy_mende")</f>
        <v>@stevy_mende</v>
      </c>
      <c r="C16841" t="s">
        <v>6338</v>
      </c>
      <c r="D16841">
        <v>643</v>
      </c>
      <c r="E16841">
        <v>0</v>
      </c>
      <c r="F16841">
        <v>1966</v>
      </c>
    </row>
    <row r="16842" spans="1:6" ht="12.75">
      <c r="A16842" s="2">
        <v>43877.621319444443</v>
      </c>
      <c r="B16842" t="str">
        <f>HYPERLINK("https://twitter.com/republikaonline","@republikaonline")</f>
        <v>@republikaonline</v>
      </c>
      <c r="C16842" t="s">
        <v>8588</v>
      </c>
      <c r="D16842">
        <v>0</v>
      </c>
      <c r="E16842">
        <v>3</v>
      </c>
      <c r="F16842">
        <v>1210650</v>
      </c>
    </row>
    <row r="16843" spans="1:6" ht="12.75">
      <c r="A16843" s="2">
        <v>43877.620763888888</v>
      </c>
      <c r="B16843" t="str">
        <f>HYPERLINK("https://twitter.com/kembarsuputra14","@kembarsuputra14")</f>
        <v>@kembarsuputra14</v>
      </c>
      <c r="C16843" t="s">
        <v>6338</v>
      </c>
      <c r="D16843">
        <v>643</v>
      </c>
      <c r="E16843">
        <v>0</v>
      </c>
      <c r="F16843">
        <v>183</v>
      </c>
    </row>
    <row r="16844" spans="1:6" ht="12.75">
      <c r="A16844" s="2">
        <v>43877.620416666672</v>
      </c>
      <c r="B16844" t="str">
        <f>HYPERLINK("https://twitter.com/putragaruda27","@putragaruda27")</f>
        <v>@putragaruda27</v>
      </c>
      <c r="C16844" t="s">
        <v>8589</v>
      </c>
      <c r="D16844">
        <v>25</v>
      </c>
      <c r="E16844">
        <v>0</v>
      </c>
      <c r="F16844">
        <v>5745</v>
      </c>
    </row>
    <row r="16845" spans="1:6" ht="12.75">
      <c r="A16845" s="2">
        <v>43877.619999999995</v>
      </c>
      <c r="B16845" t="str">
        <f>HYPERLINK("https://twitter.com/SoniMsi07","@SoniMsi07")</f>
        <v>@SoniMsi07</v>
      </c>
      <c r="C16845" t="s">
        <v>6989</v>
      </c>
      <c r="D16845">
        <v>37</v>
      </c>
      <c r="E16845">
        <v>0</v>
      </c>
      <c r="F16845">
        <v>239</v>
      </c>
    </row>
    <row r="16846" spans="1:6" ht="12.75">
      <c r="A16846" s="2">
        <v>43877.61991898148</v>
      </c>
      <c r="B16846" t="str">
        <f>HYPERLINK("https://twitter.com/no_micin99","@no_micin99")</f>
        <v>@no_micin99</v>
      </c>
      <c r="C16846" t="s">
        <v>6338</v>
      </c>
      <c r="D16846">
        <v>643</v>
      </c>
      <c r="E16846">
        <v>0</v>
      </c>
      <c r="F16846">
        <v>1759</v>
      </c>
    </row>
    <row r="16847" spans="1:6" ht="12.75">
      <c r="A16847" s="2">
        <v>43877.619837962964</v>
      </c>
      <c r="B16847" t="str">
        <f>HYPERLINK("https://twitter.com/ilhamjati4","@ilhamjati4")</f>
        <v>@ilhamjati4</v>
      </c>
      <c r="C16847" t="s">
        <v>8590</v>
      </c>
      <c r="D16847">
        <v>0</v>
      </c>
      <c r="E16847">
        <v>0</v>
      </c>
      <c r="F16847">
        <v>55</v>
      </c>
    </row>
    <row r="16848" spans="1:6" ht="12.75">
      <c r="A16848" s="2">
        <v>43877.619305555556</v>
      </c>
      <c r="B16848" t="str">
        <f>HYPERLINK("https://twitter.com/loeyeaah","@loeyeaah")</f>
        <v>@loeyeaah</v>
      </c>
      <c r="C16848" t="s">
        <v>7905</v>
      </c>
      <c r="D16848">
        <v>72</v>
      </c>
      <c r="E16848">
        <v>0</v>
      </c>
      <c r="F16848">
        <v>440</v>
      </c>
    </row>
    <row r="16849" spans="1:6" ht="12.75">
      <c r="A16849" s="2">
        <v>43877.61923611111</v>
      </c>
      <c r="B16849" t="str">
        <f>HYPERLINK("https://twitter.com/Roni64831039","@Roni64831039")</f>
        <v>@Roni64831039</v>
      </c>
      <c r="C16849" t="s">
        <v>6989</v>
      </c>
      <c r="D16849">
        <v>37</v>
      </c>
      <c r="E16849">
        <v>0</v>
      </c>
      <c r="F16849">
        <v>167</v>
      </c>
    </row>
    <row r="16850" spans="1:6" ht="12.75">
      <c r="A16850" s="2">
        <v>43877.619027777779</v>
      </c>
      <c r="B16850" t="str">
        <f>HYPERLINK("https://twitter.com/antonpoet1","@antonpoet1")</f>
        <v>@antonpoet1</v>
      </c>
      <c r="C16850" t="s">
        <v>6989</v>
      </c>
      <c r="D16850">
        <v>37</v>
      </c>
      <c r="E16850">
        <v>0</v>
      </c>
      <c r="F16850">
        <v>1456</v>
      </c>
    </row>
    <row r="16851" spans="1:6" ht="12.75">
      <c r="A16851" s="2">
        <v>43877.618784722217</v>
      </c>
      <c r="B16851" t="str">
        <f>HYPERLINK("https://twitter.com/heniunique","@heniunique")</f>
        <v>@heniunique</v>
      </c>
      <c r="C16851" t="s">
        <v>6989</v>
      </c>
      <c r="D16851">
        <v>37</v>
      </c>
      <c r="E16851">
        <v>0</v>
      </c>
      <c r="F16851">
        <v>9751</v>
      </c>
    </row>
    <row r="16852" spans="1:6" ht="12.75">
      <c r="A16852" s="2">
        <v>43877.618726851855</v>
      </c>
      <c r="B16852" t="str">
        <f>HYPERLINK("https://twitter.com/kondrow","@kondrow")</f>
        <v>@kondrow</v>
      </c>
      <c r="C16852" t="s">
        <v>6338</v>
      </c>
      <c r="D16852">
        <v>643</v>
      </c>
      <c r="E16852">
        <v>0</v>
      </c>
      <c r="F16852">
        <v>741</v>
      </c>
    </row>
    <row r="16853" spans="1:6" ht="12.75">
      <c r="A16853" s="2">
        <v>43877.618460648147</v>
      </c>
      <c r="B16853" t="str">
        <f>HYPERLINK("https://twitter.com/Yanti08506717","@Yanti08506717")</f>
        <v>@Yanti08506717</v>
      </c>
      <c r="C16853" t="s">
        <v>8591</v>
      </c>
      <c r="D16853">
        <v>0</v>
      </c>
      <c r="E16853">
        <v>0</v>
      </c>
      <c r="F16853">
        <v>0</v>
      </c>
    </row>
    <row r="16854" spans="1:6" ht="12.75">
      <c r="A16854" s="2">
        <v>43877.618402777778</v>
      </c>
      <c r="B16854" t="str">
        <f>HYPERLINK("https://twitter.com/RMansyuer","@RMansyuer")</f>
        <v>@RMansyuer</v>
      </c>
      <c r="C16854" t="s">
        <v>6338</v>
      </c>
      <c r="D16854">
        <v>643</v>
      </c>
      <c r="E16854">
        <v>0</v>
      </c>
      <c r="F16854">
        <v>15</v>
      </c>
    </row>
    <row r="16855" spans="1:6" ht="12.75">
      <c r="A16855" s="2">
        <v>43877.618263888886</v>
      </c>
      <c r="B16855" t="str">
        <f>HYPERLINK("https://twitter.com/musashi_masabi","@musashi_masabi")</f>
        <v>@musashi_masabi</v>
      </c>
      <c r="C16855" t="s">
        <v>8592</v>
      </c>
      <c r="D16855">
        <v>1</v>
      </c>
      <c r="E16855">
        <v>0</v>
      </c>
      <c r="F16855">
        <v>1081</v>
      </c>
    </row>
    <row r="16856" spans="1:6" ht="12.75">
      <c r="A16856" s="2">
        <v>43877.61818287037</v>
      </c>
      <c r="B16856" t="str">
        <f>HYPERLINK("https://twitter.com/Khairul33577477","@Khairul33577477")</f>
        <v>@Khairul33577477</v>
      </c>
      <c r="C16856" t="s">
        <v>7956</v>
      </c>
      <c r="D16856">
        <v>39</v>
      </c>
      <c r="E16856">
        <v>0</v>
      </c>
      <c r="F16856">
        <v>226</v>
      </c>
    </row>
    <row r="16857" spans="1:6" ht="12.75">
      <c r="A16857" s="2">
        <v>43877.618032407408</v>
      </c>
      <c r="B16857" t="str">
        <f>HYPERLINK("https://twitter.com/doelkemplang","@doelkemplang")</f>
        <v>@doelkemplang</v>
      </c>
      <c r="C16857" t="s">
        <v>8593</v>
      </c>
      <c r="D16857">
        <v>0</v>
      </c>
      <c r="E16857">
        <v>2</v>
      </c>
      <c r="F16857">
        <v>1798</v>
      </c>
    </row>
    <row r="16858" spans="1:6" ht="12.75">
      <c r="A16858" s="2">
        <v>43877.617604166662</v>
      </c>
      <c r="B16858" t="str">
        <f>HYPERLINK("https://twitter.com/Abdussa78534939","@Abdussa78534939")</f>
        <v>@Abdussa78534939</v>
      </c>
      <c r="C16858" t="s">
        <v>6989</v>
      </c>
      <c r="D16858">
        <v>37</v>
      </c>
      <c r="E16858">
        <v>0</v>
      </c>
      <c r="F16858">
        <v>131</v>
      </c>
    </row>
    <row r="16859" spans="1:6" ht="12.75">
      <c r="A16859" s="2">
        <v>43877.616932870369</v>
      </c>
      <c r="B16859" t="str">
        <f>HYPERLINK("https://twitter.com/svargadrinks","@svargadrinks")</f>
        <v>@svargadrinks</v>
      </c>
      <c r="C16859" t="s">
        <v>6338</v>
      </c>
      <c r="D16859">
        <v>643</v>
      </c>
      <c r="E16859">
        <v>0</v>
      </c>
      <c r="F16859">
        <v>27</v>
      </c>
    </row>
    <row r="16860" spans="1:6" ht="12.75">
      <c r="A16860" s="2">
        <v>43877.616689814815</v>
      </c>
      <c r="B16860" t="str">
        <f>HYPERLINK("https://twitter.com/abadikinicom","@abadikinicom")</f>
        <v>@abadikinicom</v>
      </c>
      <c r="C16860" t="s">
        <v>8594</v>
      </c>
      <c r="D16860">
        <v>0</v>
      </c>
      <c r="E16860">
        <v>0</v>
      </c>
      <c r="F16860">
        <v>5379</v>
      </c>
    </row>
    <row r="16861" spans="1:6" ht="12.75">
      <c r="A16861" s="2">
        <v>43877.61650462963</v>
      </c>
      <c r="B16861" t="str">
        <f>HYPERLINK("https://twitter.com/muhtarblue","@muhtarblue")</f>
        <v>@muhtarblue</v>
      </c>
      <c r="C16861" t="s">
        <v>8595</v>
      </c>
      <c r="D16861">
        <v>0</v>
      </c>
      <c r="E16861">
        <v>0</v>
      </c>
      <c r="F16861">
        <v>2604</v>
      </c>
    </row>
    <row r="16862" spans="1:6" ht="12.75">
      <c r="A16862" s="2">
        <v>43877.616296296299</v>
      </c>
      <c r="B16862" t="str">
        <f>HYPERLINK("https://twitter.com/MISAKUBA55pk","@MISAKUBA55pk")</f>
        <v>@MISAKUBA55pk</v>
      </c>
      <c r="C16862" t="s">
        <v>8596</v>
      </c>
      <c r="D16862">
        <v>0</v>
      </c>
      <c r="E16862">
        <v>0</v>
      </c>
      <c r="F16862">
        <v>4016</v>
      </c>
    </row>
    <row r="16863" spans="1:6" ht="12.75">
      <c r="A16863" s="2">
        <v>43877.616111111114</v>
      </c>
      <c r="B16863" t="str">
        <f>HYPERLINK("https://twitter.com/Fm98Sonora","@Fm98Sonora")</f>
        <v>@Fm98Sonora</v>
      </c>
      <c r="C16863" t="s">
        <v>8597</v>
      </c>
      <c r="D16863">
        <v>1</v>
      </c>
      <c r="E16863">
        <v>0</v>
      </c>
      <c r="F16863">
        <v>19</v>
      </c>
    </row>
    <row r="16864" spans="1:6" ht="12.75">
      <c r="A16864" s="2">
        <v>43877.616111111114</v>
      </c>
      <c r="B16864" t="str">
        <f>HYPERLINK("https://twitter.com/koreshgeorge","@koreshgeorge")</f>
        <v>@koreshgeorge</v>
      </c>
      <c r="C16864" t="s">
        <v>8598</v>
      </c>
      <c r="D16864">
        <v>10</v>
      </c>
      <c r="E16864">
        <v>0</v>
      </c>
      <c r="F16864">
        <v>1726</v>
      </c>
    </row>
    <row r="16865" spans="1:6" ht="12.75">
      <c r="A16865" s="2">
        <v>43877.616030092591</v>
      </c>
      <c r="B16865" t="str">
        <f>HYPERLINK("https://twitter.com/HariMulyawan50","@HariMulyawan50")</f>
        <v>@HariMulyawan50</v>
      </c>
      <c r="C16865" t="s">
        <v>6338</v>
      </c>
      <c r="D16865">
        <v>643</v>
      </c>
      <c r="E16865">
        <v>0</v>
      </c>
      <c r="F16865">
        <v>50</v>
      </c>
    </row>
    <row r="16866" spans="1:6" ht="12.75">
      <c r="A16866" s="2">
        <v>43877.615798611107</v>
      </c>
      <c r="B16866" t="str">
        <f>HYPERLINK("https://twitter.com/WargaBanua","@WargaBanua")</f>
        <v>@WargaBanua</v>
      </c>
      <c r="C16866" t="s">
        <v>8599</v>
      </c>
      <c r="D16866">
        <v>0</v>
      </c>
      <c r="E16866">
        <v>0</v>
      </c>
      <c r="F16866">
        <v>58290</v>
      </c>
    </row>
    <row r="16867" spans="1:6" ht="12.75">
      <c r="A16867" s="2">
        <v>43877.615624999999</v>
      </c>
      <c r="B16867" t="str">
        <f>HYPERLINK("https://twitter.com/JagoanMelon","@JagoanMelon")</f>
        <v>@JagoanMelon</v>
      </c>
      <c r="C16867" t="s">
        <v>6989</v>
      </c>
      <c r="D16867">
        <v>37</v>
      </c>
      <c r="E16867">
        <v>0</v>
      </c>
      <c r="F16867">
        <v>519</v>
      </c>
    </row>
    <row r="16868" spans="1:6" ht="12.75">
      <c r="A16868" s="2">
        <v>43877.615543981483</v>
      </c>
      <c r="B16868" t="str">
        <f>HYPERLINK("https://twitter.com/m9tels","@m9tels")</f>
        <v>@m9tels</v>
      </c>
      <c r="C16868" t="s">
        <v>8600</v>
      </c>
      <c r="D16868">
        <v>0</v>
      </c>
      <c r="E16868">
        <v>0</v>
      </c>
      <c r="F16868">
        <v>1205</v>
      </c>
    </row>
    <row r="16869" spans="1:6" ht="12.75">
      <c r="A16869" s="2">
        <v>43877.615405092598</v>
      </c>
      <c r="B16869" t="str">
        <f>HYPERLINK("https://twitter.com/SoniMsi07","@SoniMsi07")</f>
        <v>@SoniMsi07</v>
      </c>
      <c r="C16869" t="s">
        <v>8601</v>
      </c>
      <c r="D16869">
        <v>3</v>
      </c>
      <c r="E16869">
        <v>0</v>
      </c>
      <c r="F16869">
        <v>239</v>
      </c>
    </row>
    <row r="16870" spans="1:6" ht="12.75">
      <c r="A16870" s="2">
        <v>43877.615081018521</v>
      </c>
      <c r="B16870" t="str">
        <f>HYPERLINK("https://twitter.com/hendry_martien","@hendry_martien")</f>
        <v>@hendry_martien</v>
      </c>
      <c r="C16870" t="s">
        <v>6989</v>
      </c>
      <c r="D16870">
        <v>37</v>
      </c>
      <c r="E16870">
        <v>0</v>
      </c>
      <c r="F16870">
        <v>632</v>
      </c>
    </row>
    <row r="16871" spans="1:6" ht="12.75">
      <c r="A16871" s="2">
        <v>43877.614525462966</v>
      </c>
      <c r="B16871" t="str">
        <f>HYPERLINK("https://twitter.com/arieparikesit","@arieparikesit")</f>
        <v>@arieparikesit</v>
      </c>
      <c r="C16871" t="s">
        <v>8602</v>
      </c>
      <c r="D16871">
        <v>0</v>
      </c>
      <c r="E16871">
        <v>0</v>
      </c>
      <c r="F16871">
        <v>148174</v>
      </c>
    </row>
    <row r="16872" spans="1:6" ht="12.75">
      <c r="A16872" s="2">
        <v>43877.61445601852</v>
      </c>
      <c r="B16872" t="str">
        <f>HYPERLINK("https://twitter.com/citraDwibisana","@citraDwibisana")</f>
        <v>@citraDwibisana</v>
      </c>
      <c r="C16872" t="s">
        <v>6338</v>
      </c>
      <c r="D16872">
        <v>643</v>
      </c>
      <c r="E16872">
        <v>0</v>
      </c>
      <c r="F16872">
        <v>68</v>
      </c>
    </row>
    <row r="16873" spans="1:6" ht="12.75">
      <c r="A16873" s="2">
        <v>43877.613981481481</v>
      </c>
      <c r="B16873" t="str">
        <f>HYPERLINK("https://twitter.com/maswuranto","@maswuranto")</f>
        <v>@maswuranto</v>
      </c>
      <c r="C16873" t="s">
        <v>7987</v>
      </c>
      <c r="D16873">
        <v>14</v>
      </c>
      <c r="E16873">
        <v>0</v>
      </c>
      <c r="F16873">
        <v>157</v>
      </c>
    </row>
    <row r="16874" spans="1:6" ht="12.75">
      <c r="A16874" s="2">
        <v>43877.613726851851</v>
      </c>
      <c r="B16874" t="str">
        <f>HYPERLINK("https://twitter.com/xatya_ak","@xatya_ak")</f>
        <v>@xatya_ak</v>
      </c>
      <c r="C16874" t="s">
        <v>8603</v>
      </c>
      <c r="D16874">
        <v>5</v>
      </c>
      <c r="E16874">
        <v>0</v>
      </c>
      <c r="F16874">
        <v>521</v>
      </c>
    </row>
    <row r="16875" spans="1:6" ht="12.75">
      <c r="A16875" s="2">
        <v>43877.613483796296</v>
      </c>
      <c r="B16875" t="str">
        <f>HYPERLINK("https://twitter.com/amrudinnejad_","@amrudinnejad_")</f>
        <v>@amrudinnejad_</v>
      </c>
      <c r="C16875" t="s">
        <v>6989</v>
      </c>
      <c r="D16875">
        <v>37</v>
      </c>
      <c r="E16875">
        <v>0</v>
      </c>
      <c r="F16875">
        <v>7772</v>
      </c>
    </row>
    <row r="16876" spans="1:6" ht="12.75">
      <c r="A16876" s="2">
        <v>43877.613113425927</v>
      </c>
      <c r="B16876" t="str">
        <f>HYPERLINK("https://twitter.com/spagetyuse","@spagetyuse")</f>
        <v>@spagetyuse</v>
      </c>
      <c r="C16876" t="s">
        <v>3150</v>
      </c>
      <c r="D16876">
        <v>270</v>
      </c>
      <c r="E16876">
        <v>0</v>
      </c>
      <c r="F16876">
        <v>2109</v>
      </c>
    </row>
    <row r="16877" spans="1:6" ht="12.75">
      <c r="A16877" s="2">
        <v>43877.612812499996</v>
      </c>
      <c r="B16877" t="str">
        <f>HYPERLINK("https://twitter.com/IDWS","@IDWS")</f>
        <v>@IDWS</v>
      </c>
      <c r="C16877" t="s">
        <v>8604</v>
      </c>
      <c r="D16877">
        <v>0</v>
      </c>
      <c r="E16877">
        <v>1</v>
      </c>
      <c r="F16877">
        <v>33003</v>
      </c>
    </row>
    <row r="16878" spans="1:6" ht="12.75">
      <c r="A16878" s="2">
        <v>43877.612673611111</v>
      </c>
      <c r="B16878" t="str">
        <f>HYPERLINK("https://twitter.com/dina88_","@dina88_")</f>
        <v>@dina88_</v>
      </c>
      <c r="C16878" t="s">
        <v>8605</v>
      </c>
      <c r="D16878">
        <v>6</v>
      </c>
      <c r="E16878">
        <v>0</v>
      </c>
      <c r="F16878">
        <v>770</v>
      </c>
    </row>
    <row r="16879" spans="1:6" ht="12.75">
      <c r="A16879" s="2">
        <v>43877.612592592588</v>
      </c>
      <c r="B16879" t="str">
        <f>HYPERLINK("https://twitter.com/bbygemzin","@bbygemzin")</f>
        <v>@bbygemzin</v>
      </c>
      <c r="C16879" t="s">
        <v>2444</v>
      </c>
      <c r="D16879">
        <v>4537</v>
      </c>
      <c r="E16879">
        <v>0</v>
      </c>
      <c r="F16879">
        <v>7449</v>
      </c>
    </row>
    <row r="16880" spans="1:6" ht="12.75">
      <c r="A16880" s="2">
        <v>43877.612511574072</v>
      </c>
      <c r="B16880" t="str">
        <f>HYPERLINK("https://twitter.com/NYOOOOOOOO1","@NYOOOOOOOO1")</f>
        <v>@NYOOOOOOOO1</v>
      </c>
      <c r="C16880" t="s">
        <v>175</v>
      </c>
      <c r="D16880">
        <v>5370</v>
      </c>
      <c r="E16880">
        <v>0</v>
      </c>
      <c r="F16880">
        <v>0</v>
      </c>
    </row>
    <row r="16881" spans="1:6" ht="12.75">
      <c r="A16881" s="2">
        <v>43877.612384259264</v>
      </c>
      <c r="B16881" t="str">
        <f>HYPERLINK("https://twitter.com/suherma90911292","@suherma90911292")</f>
        <v>@suherma90911292</v>
      </c>
      <c r="C16881" t="s">
        <v>6989</v>
      </c>
      <c r="D16881">
        <v>37</v>
      </c>
      <c r="E16881">
        <v>0</v>
      </c>
      <c r="F16881">
        <v>33</v>
      </c>
    </row>
    <row r="16882" spans="1:6" ht="12.75">
      <c r="A16882" s="2">
        <v>43877.612361111111</v>
      </c>
      <c r="B16882" t="str">
        <f>HYPERLINK("https://twitter.com/dina88_","@dina88_")</f>
        <v>@dina88_</v>
      </c>
      <c r="C16882" t="s">
        <v>8606</v>
      </c>
      <c r="D16882">
        <v>7</v>
      </c>
      <c r="E16882">
        <v>0</v>
      </c>
      <c r="F16882">
        <v>770</v>
      </c>
    </row>
    <row r="16883" spans="1:6" ht="12.75">
      <c r="A16883" s="2">
        <v>43877.612291666665</v>
      </c>
      <c r="B16883" t="str">
        <f>HYPERLINK("https://twitter.com/ArdianZA_099","@ArdianZA_099")</f>
        <v>@ArdianZA_099</v>
      </c>
      <c r="C16883" t="s">
        <v>8607</v>
      </c>
      <c r="D16883">
        <v>1</v>
      </c>
      <c r="E16883">
        <v>0</v>
      </c>
      <c r="F16883">
        <v>1896</v>
      </c>
    </row>
    <row r="16884" spans="1:6" ht="12.75">
      <c r="A16884" s="2">
        <v>43877.61215277778</v>
      </c>
      <c r="B16884" t="str">
        <f>HYPERLINK("https://twitter.com/B1503","@B1503")</f>
        <v>@B1503</v>
      </c>
      <c r="C16884" t="s">
        <v>6338</v>
      </c>
      <c r="D16884">
        <v>643</v>
      </c>
      <c r="E16884">
        <v>0</v>
      </c>
      <c r="F16884">
        <v>59</v>
      </c>
    </row>
    <row r="16885" spans="1:6" ht="12.75">
      <c r="A16885" s="2">
        <v>43877.611921296295</v>
      </c>
      <c r="B16885" t="str">
        <f>HYPERLINK("https://twitter.com/wikusabira","@wikusabira")</f>
        <v>@wikusabira</v>
      </c>
      <c r="C16885" t="s">
        <v>8608</v>
      </c>
      <c r="D16885">
        <v>1</v>
      </c>
      <c r="E16885">
        <v>0</v>
      </c>
      <c r="F16885">
        <v>103</v>
      </c>
    </row>
    <row r="16886" spans="1:6" ht="12.75">
      <c r="A16886" s="2">
        <v>43877.61173611111</v>
      </c>
      <c r="B16886" t="str">
        <f>HYPERLINK("https://twitter.com/dodi_ahmad07","@dodi_ahmad07")</f>
        <v>@dodi_ahmad07</v>
      </c>
      <c r="C16886" t="s">
        <v>6989</v>
      </c>
      <c r="D16886">
        <v>37</v>
      </c>
      <c r="E16886">
        <v>0</v>
      </c>
      <c r="F16886">
        <v>620</v>
      </c>
    </row>
    <row r="16887" spans="1:6" ht="12.75">
      <c r="A16887" s="2">
        <v>43877.611446759256</v>
      </c>
      <c r="B16887" t="str">
        <f>HYPERLINK("https://twitter.com/MondyJacob","@MondyJacob")</f>
        <v>@MondyJacob</v>
      </c>
      <c r="C16887" t="s">
        <v>6989</v>
      </c>
      <c r="D16887">
        <v>37</v>
      </c>
      <c r="E16887">
        <v>0</v>
      </c>
      <c r="F16887">
        <v>190</v>
      </c>
    </row>
    <row r="16888" spans="1:6" ht="12.75">
      <c r="A16888" s="2">
        <v>43877.611296296294</v>
      </c>
      <c r="B16888" t="str">
        <f>HYPERLINK("https://twitter.com/ayah_risang","@ayah_risang")</f>
        <v>@ayah_risang</v>
      </c>
      <c r="C16888" t="s">
        <v>6989</v>
      </c>
      <c r="D16888">
        <v>37</v>
      </c>
      <c r="E16888">
        <v>0</v>
      </c>
      <c r="F16888">
        <v>1145</v>
      </c>
    </row>
    <row r="16889" spans="1:6" ht="12.75">
      <c r="A16889" s="2">
        <v>43877.611226851848</v>
      </c>
      <c r="B16889" t="str">
        <f>HYPERLINK("https://twitter.com/24Raptors","@24Raptors")</f>
        <v>@24Raptors</v>
      </c>
      <c r="C16889" t="s">
        <v>6338</v>
      </c>
      <c r="D16889">
        <v>643</v>
      </c>
      <c r="E16889">
        <v>0</v>
      </c>
      <c r="F16889">
        <v>23</v>
      </c>
    </row>
    <row r="16890" spans="1:6" ht="12.75">
      <c r="A16890" s="2">
        <v>43877.610879629632</v>
      </c>
      <c r="B16890" t="str">
        <f>HYPERLINK("https://twitter.com/Hayik02","@Hayik02")</f>
        <v>@Hayik02</v>
      </c>
      <c r="C16890" t="s">
        <v>6338</v>
      </c>
      <c r="D16890">
        <v>643</v>
      </c>
      <c r="E16890">
        <v>0</v>
      </c>
      <c r="F16890">
        <v>274</v>
      </c>
    </row>
    <row r="16891" spans="1:6" ht="12.75">
      <c r="A16891" s="2">
        <v>43877.610682870371</v>
      </c>
      <c r="B16891" t="str">
        <f>HYPERLINK("https://twitter.com/nugraha80","@nugraha80")</f>
        <v>@nugraha80</v>
      </c>
      <c r="C16891" t="s">
        <v>8609</v>
      </c>
      <c r="D16891">
        <v>0</v>
      </c>
      <c r="E16891">
        <v>0</v>
      </c>
      <c r="F16891">
        <v>454</v>
      </c>
    </row>
    <row r="16892" spans="1:6" ht="12.75">
      <c r="A16892" s="2">
        <v>43877.610578703709</v>
      </c>
      <c r="B16892" t="str">
        <f>HYPERLINK("https://twitter.com/raymond_frans","@raymond_frans")</f>
        <v>@raymond_frans</v>
      </c>
      <c r="C16892" t="s">
        <v>8610</v>
      </c>
      <c r="D16892">
        <v>0</v>
      </c>
      <c r="E16892">
        <v>0</v>
      </c>
      <c r="F16892">
        <v>357</v>
      </c>
    </row>
    <row r="16893" spans="1:6" ht="12.75">
      <c r="A16893" s="2">
        <v>43877.610532407409</v>
      </c>
      <c r="B16893" t="str">
        <f>HYPERLINK("https://twitter.com/AliAm36","@AliAm36")</f>
        <v>@AliAm36</v>
      </c>
      <c r="C16893" t="s">
        <v>8603</v>
      </c>
      <c r="D16893">
        <v>5</v>
      </c>
      <c r="E16893">
        <v>0</v>
      </c>
      <c r="F16893">
        <v>546</v>
      </c>
    </row>
    <row r="16894" spans="1:6" ht="12.75">
      <c r="A16894" s="2">
        <v>43877.610474537039</v>
      </c>
      <c r="B16894" t="str">
        <f>HYPERLINK("https://twitter.com/Riyanskuter","@Riyanskuter")</f>
        <v>@Riyanskuter</v>
      </c>
      <c r="C16894" t="s">
        <v>8611</v>
      </c>
      <c r="D16894">
        <v>0</v>
      </c>
      <c r="E16894">
        <v>0</v>
      </c>
      <c r="F16894">
        <v>66</v>
      </c>
    </row>
    <row r="16895" spans="1:6" ht="12.75">
      <c r="A16895" s="2">
        <v>43877.610393518524</v>
      </c>
      <c r="B16895" t="str">
        <f>HYPERLINK("https://twitter.com/Arkarna007","@Arkarna007")</f>
        <v>@Arkarna007</v>
      </c>
      <c r="C16895" t="s">
        <v>8612</v>
      </c>
      <c r="D16895">
        <v>2</v>
      </c>
      <c r="E16895">
        <v>0</v>
      </c>
      <c r="F16895">
        <v>2003</v>
      </c>
    </row>
    <row r="16896" spans="1:6" ht="12.75">
      <c r="A16896" s="2">
        <v>43877.610347222224</v>
      </c>
      <c r="B16896" t="str">
        <f>HYPERLINK("https://twitter.com/Chris17147695","@Chris17147695")</f>
        <v>@Chris17147695</v>
      </c>
      <c r="C16896" t="s">
        <v>8613</v>
      </c>
      <c r="D16896">
        <v>0</v>
      </c>
      <c r="E16896">
        <v>0</v>
      </c>
      <c r="F16896">
        <v>121</v>
      </c>
    </row>
    <row r="16897" spans="1:6" ht="12.75">
      <c r="A16897" s="2">
        <v>43877.609965277778</v>
      </c>
      <c r="B16897" t="str">
        <f>HYPERLINK("https://twitter.com/usmangu03461785","@usmangu03461785")</f>
        <v>@usmangu03461785</v>
      </c>
      <c r="C16897" t="s">
        <v>8614</v>
      </c>
      <c r="D16897">
        <v>0</v>
      </c>
      <c r="E16897">
        <v>0</v>
      </c>
      <c r="F16897">
        <v>0</v>
      </c>
    </row>
    <row r="16898" spans="1:6" ht="12.75">
      <c r="A16898" s="2">
        <v>43877.609861111108</v>
      </c>
      <c r="B16898" t="str">
        <f>HYPERLINK("https://twitter.com/WR_4AG226","@WR_4AG226")</f>
        <v>@WR_4AG226</v>
      </c>
      <c r="C16898" t="s">
        <v>8305</v>
      </c>
      <c r="D16898">
        <v>1</v>
      </c>
      <c r="E16898">
        <v>0</v>
      </c>
      <c r="F16898">
        <v>54714</v>
      </c>
    </row>
    <row r="16899" spans="1:6" ht="12.75">
      <c r="A16899" s="2">
        <v>43877.609502314815</v>
      </c>
      <c r="B16899" t="str">
        <f>HYPERLINK("https://twitter.com/Asyrafverymalay","@Asyrafverymalay")</f>
        <v>@Asyrafverymalay</v>
      </c>
      <c r="C16899" t="s">
        <v>8089</v>
      </c>
      <c r="D16899">
        <v>1</v>
      </c>
      <c r="E16899">
        <v>0</v>
      </c>
      <c r="F16899">
        <v>1772</v>
      </c>
    </row>
    <row r="16900" spans="1:6" ht="12.75">
      <c r="A16900" s="2">
        <v>43877.609432870369</v>
      </c>
      <c r="B16900" t="str">
        <f>HYPERLINK("https://twitter.com/onlyforksoo","@onlyforksoo")</f>
        <v>@onlyforksoo</v>
      </c>
      <c r="C16900" t="s">
        <v>7905</v>
      </c>
      <c r="D16900">
        <v>72</v>
      </c>
      <c r="E16900">
        <v>0</v>
      </c>
      <c r="F16900">
        <v>6</v>
      </c>
    </row>
    <row r="16901" spans="1:6" ht="12.75">
      <c r="A16901" s="2">
        <v>43877.60936342593</v>
      </c>
      <c r="B16901" t="str">
        <f>HYPERLINK("https://twitter.com/agama_nusantara","@agama_nusantara")</f>
        <v>@agama_nusantara</v>
      </c>
      <c r="C16901" t="s">
        <v>6989</v>
      </c>
      <c r="D16901">
        <v>37</v>
      </c>
      <c r="E16901">
        <v>0</v>
      </c>
      <c r="F16901">
        <v>7326</v>
      </c>
    </row>
    <row r="16902" spans="1:6" ht="12.75">
      <c r="A16902" s="2">
        <v>43877.609259259261</v>
      </c>
      <c r="B16902" t="str">
        <f>HYPERLINK("https://twitter.com/mahmudfauzinas1","@mahmudfauzinas1")</f>
        <v>@mahmudfauzinas1</v>
      </c>
      <c r="C16902" t="s">
        <v>6989</v>
      </c>
      <c r="D16902">
        <v>37</v>
      </c>
      <c r="E16902">
        <v>0</v>
      </c>
      <c r="F16902">
        <v>107</v>
      </c>
    </row>
    <row r="16903" spans="1:6" ht="12.75">
      <c r="A16903" s="2">
        <v>43877.608912037038</v>
      </c>
      <c r="B16903" t="str">
        <f>HYPERLINK("https://twitter.com/reii_naissance","@reii_naissance")</f>
        <v>@reii_naissance</v>
      </c>
      <c r="C16903" t="s">
        <v>8615</v>
      </c>
      <c r="D16903">
        <v>9424</v>
      </c>
      <c r="E16903">
        <v>0</v>
      </c>
      <c r="F16903">
        <v>8</v>
      </c>
    </row>
    <row r="16904" spans="1:6" ht="12.75">
      <c r="A16904" s="2">
        <v>43877.608576388884</v>
      </c>
      <c r="B16904" t="str">
        <f>HYPERLINK("https://twitter.com/Cherul16","@Cherul16")</f>
        <v>@Cherul16</v>
      </c>
      <c r="C16904" t="s">
        <v>6989</v>
      </c>
      <c r="D16904">
        <v>37</v>
      </c>
      <c r="E16904">
        <v>0</v>
      </c>
      <c r="F16904">
        <v>1173</v>
      </c>
    </row>
    <row r="16905" spans="1:6" ht="12.75">
      <c r="A16905" s="2">
        <v>43877.60837962963</v>
      </c>
      <c r="B16905" t="str">
        <f>HYPERLINK("https://twitter.com/KompasTV","@KompasTV")</f>
        <v>@KompasTV</v>
      </c>
      <c r="C16905" t="s">
        <v>8616</v>
      </c>
      <c r="D16905">
        <v>1</v>
      </c>
      <c r="E16905">
        <v>2</v>
      </c>
      <c r="F16905">
        <v>2942211</v>
      </c>
    </row>
    <row r="16906" spans="1:6" ht="12.75">
      <c r="A16906" s="2">
        <v>43877.608148148152</v>
      </c>
      <c r="B16906" t="str">
        <f t="shared" ref="B16906:B16907" si="285">HYPERLINK("https://twitter.com/GreatSpiderman7","@GreatSpiderman7")</f>
        <v>@GreatSpiderman7</v>
      </c>
      <c r="C16906" t="s">
        <v>7263</v>
      </c>
      <c r="D16906">
        <v>6</v>
      </c>
      <c r="E16906">
        <v>0</v>
      </c>
      <c r="F16906">
        <v>189</v>
      </c>
    </row>
    <row r="16907" spans="1:6" ht="12.75">
      <c r="A16907" s="2">
        <v>43877.608113425929</v>
      </c>
      <c r="B16907" t="str">
        <f t="shared" si="285"/>
        <v>@GreatSpiderman7</v>
      </c>
      <c r="C16907" t="s">
        <v>7956</v>
      </c>
      <c r="D16907">
        <v>39</v>
      </c>
      <c r="E16907">
        <v>0</v>
      </c>
      <c r="F16907">
        <v>189</v>
      </c>
    </row>
    <row r="16908" spans="1:6" ht="12.75">
      <c r="A16908" s="2">
        <v>43877.607939814814</v>
      </c>
      <c r="B16908" t="str">
        <f>HYPERLINK("https://twitter.com/harsohananto","@harsohananto")</f>
        <v>@harsohananto</v>
      </c>
      <c r="C16908" t="s">
        <v>7956</v>
      </c>
      <c r="D16908">
        <v>39</v>
      </c>
      <c r="E16908">
        <v>0</v>
      </c>
      <c r="F16908">
        <v>632</v>
      </c>
    </row>
    <row r="16909" spans="1:6" ht="12.75">
      <c r="A16909" s="2">
        <v>43877.607800925922</v>
      </c>
      <c r="B16909" t="str">
        <f>HYPERLINK("https://twitter.com/Ulama_Sangean","@Ulama_Sangean")</f>
        <v>@Ulama_Sangean</v>
      </c>
      <c r="C16909" t="s">
        <v>8617</v>
      </c>
      <c r="D16909">
        <v>0</v>
      </c>
      <c r="E16909">
        <v>0</v>
      </c>
      <c r="F16909">
        <v>677</v>
      </c>
    </row>
    <row r="16910" spans="1:6" ht="12.75">
      <c r="A16910" s="2">
        <v>43877.607604166667</v>
      </c>
      <c r="B16910" t="str">
        <f>HYPERLINK("https://twitter.com/nta_mama4","@nta_mama4")</f>
        <v>@nta_mama4</v>
      </c>
      <c r="C16910" t="s">
        <v>8618</v>
      </c>
      <c r="D16910">
        <v>0</v>
      </c>
      <c r="E16910">
        <v>0</v>
      </c>
      <c r="F16910">
        <v>37</v>
      </c>
    </row>
    <row r="16911" spans="1:6" ht="12.75">
      <c r="A16911" s="2">
        <v>43877.606724537036</v>
      </c>
      <c r="B16911" t="str">
        <f>HYPERLINK("https://twitter.com/arditord","@arditord")</f>
        <v>@arditord</v>
      </c>
      <c r="C16911" t="s">
        <v>8619</v>
      </c>
      <c r="D16911">
        <v>0</v>
      </c>
      <c r="E16911">
        <v>0</v>
      </c>
      <c r="F16911">
        <v>258</v>
      </c>
    </row>
    <row r="16912" spans="1:6" ht="12.75">
      <c r="A16912" s="2">
        <v>43877.606678240743</v>
      </c>
      <c r="B16912" t="str">
        <f>HYPERLINK("https://twitter.com/shabrina_adliah","@shabrina_adliah")</f>
        <v>@shabrina_adliah</v>
      </c>
      <c r="C16912" t="s">
        <v>8585</v>
      </c>
      <c r="D16912">
        <v>6</v>
      </c>
      <c r="E16912">
        <v>0</v>
      </c>
      <c r="F16912">
        <v>43</v>
      </c>
    </row>
    <row r="16913" spans="1:6" ht="12.75">
      <c r="A16913" s="2">
        <v>43877.606527777782</v>
      </c>
      <c r="B16913" t="str">
        <f>HYPERLINK("https://twitter.com/agustin_sastra","@agustin_sastra")</f>
        <v>@agustin_sastra</v>
      </c>
      <c r="C16913" t="s">
        <v>6989</v>
      </c>
      <c r="D16913">
        <v>37</v>
      </c>
      <c r="E16913">
        <v>0</v>
      </c>
      <c r="F16913">
        <v>518</v>
      </c>
    </row>
    <row r="16914" spans="1:6" ht="12.75">
      <c r="A16914" s="2">
        <v>43877.606388888889</v>
      </c>
      <c r="B16914" t="str">
        <f>HYPERLINK("https://twitter.com/adityapentaK","@adityapentaK")</f>
        <v>@adityapentaK</v>
      </c>
      <c r="C16914" t="s">
        <v>8620</v>
      </c>
      <c r="D16914">
        <v>1</v>
      </c>
      <c r="E16914">
        <v>0</v>
      </c>
      <c r="F16914">
        <v>382</v>
      </c>
    </row>
    <row r="16915" spans="1:6" ht="12.75">
      <c r="A16915" s="2">
        <v>43877.605960648143</v>
      </c>
      <c r="B16915" t="str">
        <f>HYPERLINK("https://twitter.com/fransucipto","@fransucipto")</f>
        <v>@fransucipto</v>
      </c>
      <c r="C16915" t="s">
        <v>6338</v>
      </c>
      <c r="D16915">
        <v>643</v>
      </c>
      <c r="E16915">
        <v>0</v>
      </c>
      <c r="F16915">
        <v>272</v>
      </c>
    </row>
    <row r="16916" spans="1:6" ht="12.75">
      <c r="A16916" s="2">
        <v>43877.584814814814</v>
      </c>
      <c r="B16916" t="str">
        <f>HYPERLINK("https://twitter.com/rizki_rezap","@rizki_rezap")</f>
        <v>@rizki_rezap</v>
      </c>
      <c r="C16916" t="s">
        <v>8621</v>
      </c>
      <c r="D16916">
        <v>0</v>
      </c>
      <c r="E16916">
        <v>0</v>
      </c>
      <c r="F16916">
        <v>90</v>
      </c>
    </row>
    <row r="16917" spans="1:6" ht="12.75">
      <c r="A16917" s="2">
        <v>43877.584722222222</v>
      </c>
      <c r="B16917" t="str">
        <f>HYPERLINK("https://twitter.com/BillTemporo","@BillTemporo")</f>
        <v>@BillTemporo</v>
      </c>
      <c r="C16917" t="s">
        <v>832</v>
      </c>
      <c r="D16917">
        <v>0</v>
      </c>
      <c r="E16917">
        <v>0</v>
      </c>
      <c r="F16917">
        <v>11</v>
      </c>
    </row>
    <row r="16918" spans="1:6" ht="12.75">
      <c r="A16918" s="2">
        <v>43877.584247685183</v>
      </c>
      <c r="B16918" t="str">
        <f>HYPERLINK("https://twitter.com/irfanrhtg","@irfanrhtg")</f>
        <v>@irfanrhtg</v>
      </c>
      <c r="C16918" t="s">
        <v>8622</v>
      </c>
      <c r="D16918">
        <v>0</v>
      </c>
      <c r="E16918">
        <v>0</v>
      </c>
      <c r="F16918">
        <v>518</v>
      </c>
    </row>
    <row r="16919" spans="1:6" ht="12.75">
      <c r="A16919" s="2">
        <v>43877.583009259259</v>
      </c>
      <c r="B16919" t="str">
        <f>HYPERLINK("https://twitter.com/antar_kabar","@antar_kabar")</f>
        <v>@antar_kabar</v>
      </c>
      <c r="C16919" t="s">
        <v>8623</v>
      </c>
      <c r="D16919">
        <v>0</v>
      </c>
      <c r="E16919">
        <v>0</v>
      </c>
      <c r="F16919">
        <v>1127</v>
      </c>
    </row>
    <row r="16920" spans="1:6" ht="12.75">
      <c r="A16920" s="2">
        <v>43877.582314814819</v>
      </c>
      <c r="B16920" t="str">
        <f>HYPERLINK("https://twitter.com/Realitarakyat01","@Realitarakyat01")</f>
        <v>@Realitarakyat01</v>
      </c>
      <c r="C16920" t="s">
        <v>8624</v>
      </c>
      <c r="D16920">
        <v>0</v>
      </c>
      <c r="E16920">
        <v>0</v>
      </c>
      <c r="F16920">
        <v>121</v>
      </c>
    </row>
    <row r="16921" spans="1:6" ht="12.75">
      <c r="A16921" s="2">
        <v>43877.582291666666</v>
      </c>
      <c r="B16921" t="str">
        <f>HYPERLINK("https://twitter.com/RoisRoyan","@RoisRoyan")</f>
        <v>@RoisRoyan</v>
      </c>
      <c r="C16921" t="s">
        <v>8625</v>
      </c>
      <c r="D16921">
        <v>0</v>
      </c>
      <c r="E16921">
        <v>0</v>
      </c>
      <c r="F16921">
        <v>133</v>
      </c>
    </row>
    <row r="16922" spans="1:6" ht="12.75">
      <c r="A16922" s="2">
        <v>43877.581990740742</v>
      </c>
      <c r="B16922" t="str">
        <f>HYPERLINK("https://twitter.com/hgberry","@hgberry")</f>
        <v>@hgberry</v>
      </c>
      <c r="C16922" t="s">
        <v>8626</v>
      </c>
      <c r="D16922">
        <v>9</v>
      </c>
      <c r="E16922">
        <v>0</v>
      </c>
      <c r="F16922">
        <v>1646</v>
      </c>
    </row>
    <row r="16923" spans="1:6" ht="12.75">
      <c r="A16923" s="2">
        <v>43877.581956018519</v>
      </c>
      <c r="B16923" t="str">
        <f>HYPERLINK("https://twitter.com/LaJoef","@LaJoef")</f>
        <v>@LaJoef</v>
      </c>
      <c r="C16923" t="s">
        <v>7956</v>
      </c>
      <c r="D16923">
        <v>32</v>
      </c>
      <c r="E16923">
        <v>0</v>
      </c>
      <c r="F16923">
        <v>595</v>
      </c>
    </row>
    <row r="16924" spans="1:6" ht="12.75">
      <c r="A16924" s="2">
        <v>43877.581793981481</v>
      </c>
      <c r="B16924" t="str">
        <f>HYPERLINK("https://twitter.com/Feraaals","@Feraaals")</f>
        <v>@Feraaals</v>
      </c>
      <c r="C16924" t="s">
        <v>7905</v>
      </c>
      <c r="D16924">
        <v>69</v>
      </c>
      <c r="E16924">
        <v>0</v>
      </c>
      <c r="F16924">
        <v>751</v>
      </c>
    </row>
    <row r="16925" spans="1:6" ht="12.75">
      <c r="A16925" s="2">
        <v>43877.581724537042</v>
      </c>
      <c r="B16925" t="str">
        <f>HYPERLINK("https://twitter.com/okezonenews","@okezonenews")</f>
        <v>@okezonenews</v>
      </c>
      <c r="C16925" t="s">
        <v>8627</v>
      </c>
      <c r="D16925">
        <v>0</v>
      </c>
      <c r="E16925">
        <v>0</v>
      </c>
      <c r="F16925">
        <v>1743930</v>
      </c>
    </row>
    <row r="16926" spans="1:6" ht="12.75">
      <c r="A16926" s="2">
        <v>43877.581631944442</v>
      </c>
      <c r="B16926" t="str">
        <f>HYPERLINK("https://twitter.com/NabilaZahree","@NabilaZahree")</f>
        <v>@NabilaZahree</v>
      </c>
      <c r="C16926" t="s">
        <v>8628</v>
      </c>
      <c r="D16926">
        <v>132</v>
      </c>
      <c r="E16926">
        <v>0</v>
      </c>
      <c r="F16926">
        <v>991</v>
      </c>
    </row>
    <row r="16927" spans="1:6" ht="12.75">
      <c r="A16927" s="2">
        <v>43877.581412037034</v>
      </c>
      <c r="B16927" t="str">
        <f>HYPERLINK("https://twitter.com/novinagunawan1","@novinagunawan1")</f>
        <v>@novinagunawan1</v>
      </c>
      <c r="C16927" t="s">
        <v>8629</v>
      </c>
      <c r="D16927">
        <v>0</v>
      </c>
      <c r="E16927">
        <v>0</v>
      </c>
      <c r="F16927">
        <v>5</v>
      </c>
    </row>
    <row r="16928" spans="1:6" ht="12.75">
      <c r="A16928" s="2">
        <v>43877.581354166672</v>
      </c>
      <c r="B16928" t="str">
        <f>HYPERLINK("https://twitter.com/yaziddech","@yaziddech")</f>
        <v>@yaziddech</v>
      </c>
      <c r="C16928" t="s">
        <v>7662</v>
      </c>
      <c r="D16928">
        <v>536</v>
      </c>
      <c r="E16928">
        <v>0</v>
      </c>
      <c r="F16928">
        <v>509</v>
      </c>
    </row>
    <row r="16929" spans="1:6" ht="12.75">
      <c r="A16929" s="2">
        <v>43877.581284722226</v>
      </c>
      <c r="B16929" t="str">
        <f>HYPERLINK("https://twitter.com/kompascom","@kompascom")</f>
        <v>@kompascom</v>
      </c>
      <c r="C16929" t="s">
        <v>8630</v>
      </c>
      <c r="D16929">
        <v>0</v>
      </c>
      <c r="E16929">
        <v>3</v>
      </c>
      <c r="F16929">
        <v>7499548</v>
      </c>
    </row>
    <row r="16930" spans="1:6" ht="12.75">
      <c r="A16930" s="2">
        <v>43877.581226851849</v>
      </c>
      <c r="B16930" t="str">
        <f>HYPERLINK("https://twitter.com/Zahrah40291660","@Zahrah40291660")</f>
        <v>@Zahrah40291660</v>
      </c>
      <c r="C16930" t="s">
        <v>8631</v>
      </c>
      <c r="D16930">
        <v>0</v>
      </c>
      <c r="E16930">
        <v>0</v>
      </c>
      <c r="F16930">
        <v>1505</v>
      </c>
    </row>
    <row r="16931" spans="1:6" ht="12.75">
      <c r="A16931" s="2">
        <v>43877.581064814818</v>
      </c>
      <c r="B16931" t="str">
        <f>HYPERLINK("https://twitter.com/Syaifuddinnor7","@Syaifuddinnor7")</f>
        <v>@Syaifuddinnor7</v>
      </c>
      <c r="C16931" t="s">
        <v>7990</v>
      </c>
      <c r="D16931">
        <v>1</v>
      </c>
      <c r="E16931">
        <v>0</v>
      </c>
      <c r="F16931">
        <v>554</v>
      </c>
    </row>
    <row r="16932" spans="1:6" ht="12.75">
      <c r="A16932" s="2">
        <v>43877.581018518518</v>
      </c>
      <c r="B16932" t="str">
        <f>HYPERLINK("https://twitter.com/IDWS","@IDWS")</f>
        <v>@IDWS</v>
      </c>
      <c r="C16932" t="s">
        <v>8632</v>
      </c>
      <c r="D16932">
        <v>0</v>
      </c>
      <c r="E16932">
        <v>0</v>
      </c>
      <c r="F16932">
        <v>33003</v>
      </c>
    </row>
    <row r="16933" spans="1:6" ht="12.75">
      <c r="A16933" s="2">
        <v>43877.580787037034</v>
      </c>
      <c r="B16933" t="str">
        <f>HYPERLINK("https://twitter.com/bayusigit13","@bayusigit13")</f>
        <v>@bayusigit13</v>
      </c>
      <c r="C16933" t="s">
        <v>6338</v>
      </c>
      <c r="D16933">
        <v>617</v>
      </c>
      <c r="E16933">
        <v>0</v>
      </c>
      <c r="F16933">
        <v>297</v>
      </c>
    </row>
    <row r="16934" spans="1:6" ht="12.75">
      <c r="A16934" s="2">
        <v>43877.580729166672</v>
      </c>
      <c r="B16934" t="str">
        <f>HYPERLINK("https://twitter.com/loeewin","@loeewin")</f>
        <v>@loeewin</v>
      </c>
      <c r="C16934" t="s">
        <v>8633</v>
      </c>
      <c r="D16934">
        <v>0</v>
      </c>
      <c r="E16934">
        <v>0</v>
      </c>
      <c r="F16934">
        <v>270</v>
      </c>
    </row>
    <row r="16935" spans="1:6" ht="12.75">
      <c r="A16935" s="2">
        <v>43877.580625000002</v>
      </c>
      <c r="B16935" t="str">
        <f>HYPERLINK("https://twitter.com/unclebear69","@unclebear69")</f>
        <v>@unclebear69</v>
      </c>
      <c r="C16935" t="s">
        <v>8634</v>
      </c>
      <c r="D16935">
        <v>0</v>
      </c>
      <c r="E16935">
        <v>0</v>
      </c>
      <c r="F16935">
        <v>1</v>
      </c>
    </row>
    <row r="16936" spans="1:6" ht="12.75">
      <c r="A16936" s="2">
        <v>43877.580462962964</v>
      </c>
      <c r="B16936" t="str">
        <f>HYPERLINK("https://twitter.com/Ekofalls47","@Ekofalls47")</f>
        <v>@Ekofalls47</v>
      </c>
      <c r="C16936" t="s">
        <v>3150</v>
      </c>
      <c r="D16936">
        <v>264</v>
      </c>
      <c r="E16936">
        <v>0</v>
      </c>
      <c r="F16936">
        <v>1017</v>
      </c>
    </row>
    <row r="16937" spans="1:6" ht="12.75">
      <c r="A16937" s="2">
        <v>43877.580150462964</v>
      </c>
      <c r="B16937" t="str">
        <f>HYPERLINK("https://twitter.com/GusNadjib","@GusNadjib")</f>
        <v>@GusNadjib</v>
      </c>
      <c r="C16937" t="s">
        <v>8141</v>
      </c>
      <c r="D16937">
        <v>23</v>
      </c>
      <c r="E16937">
        <v>0</v>
      </c>
      <c r="F16937">
        <v>6888</v>
      </c>
    </row>
    <row r="16938" spans="1:6" ht="12.75">
      <c r="A16938" s="2">
        <v>43877.578993055555</v>
      </c>
      <c r="B16938" t="str">
        <f>HYPERLINK("https://twitter.com/dhl34","@dhl34")</f>
        <v>@dhl34</v>
      </c>
      <c r="C16938" t="s">
        <v>8635</v>
      </c>
      <c r="D16938">
        <v>0</v>
      </c>
      <c r="E16938">
        <v>0</v>
      </c>
      <c r="F16938">
        <v>46</v>
      </c>
    </row>
    <row r="16939" spans="1:6" ht="12.75">
      <c r="A16939" s="2">
        <v>43877.578912037032</v>
      </c>
      <c r="B16939" t="str">
        <f>HYPERLINK("https://twitter.com/t_rachmanto","@t_rachmanto")</f>
        <v>@t_rachmanto</v>
      </c>
      <c r="C16939" t="s">
        <v>3059</v>
      </c>
      <c r="D16939">
        <v>297</v>
      </c>
      <c r="E16939">
        <v>0</v>
      </c>
      <c r="F16939">
        <v>578</v>
      </c>
    </row>
    <row r="16940" spans="1:6" ht="12.75">
      <c r="A16940" s="2">
        <v>43877.578703703708</v>
      </c>
      <c r="B16940" t="str">
        <f>HYPERLINK("https://twitter.com/djokotri28","@djokotri28")</f>
        <v>@djokotri28</v>
      </c>
      <c r="C16940" t="s">
        <v>8636</v>
      </c>
      <c r="D16940">
        <v>0</v>
      </c>
      <c r="E16940">
        <v>1</v>
      </c>
      <c r="F16940">
        <v>506</v>
      </c>
    </row>
    <row r="16941" spans="1:6" ht="12.75">
      <c r="A16941" s="2">
        <v>43877.578333333338</v>
      </c>
      <c r="B16941" t="str">
        <f>HYPERLINK("https://twitter.com/Sudung57052195","@Sudung57052195")</f>
        <v>@Sudung57052195</v>
      </c>
      <c r="C16941" t="s">
        <v>8637</v>
      </c>
      <c r="D16941">
        <v>0</v>
      </c>
      <c r="E16941">
        <v>0</v>
      </c>
      <c r="F16941">
        <v>0</v>
      </c>
    </row>
    <row r="16942" spans="1:6" ht="12.75">
      <c r="A16942" s="2">
        <v>43877.577881944446</v>
      </c>
      <c r="B16942" t="str">
        <f>HYPERLINK("https://twitter.com/suketi666","@suketi666")</f>
        <v>@suketi666</v>
      </c>
      <c r="C16942" t="s">
        <v>8638</v>
      </c>
      <c r="D16942">
        <v>0</v>
      </c>
      <c r="E16942">
        <v>0</v>
      </c>
      <c r="F16942">
        <v>471</v>
      </c>
    </row>
    <row r="16943" spans="1:6" ht="12.75">
      <c r="A16943" s="2">
        <v>43877.576145833329</v>
      </c>
      <c r="B16943" t="str">
        <f>HYPERLINK("https://twitter.com/Ilhm141","@Ilhm141")</f>
        <v>@Ilhm141</v>
      </c>
      <c r="C16943" t="s">
        <v>6338</v>
      </c>
      <c r="D16943">
        <v>617</v>
      </c>
      <c r="E16943">
        <v>0</v>
      </c>
      <c r="F16943">
        <v>28</v>
      </c>
    </row>
    <row r="16944" spans="1:6" ht="12.75">
      <c r="A16944" s="2">
        <v>43877.576087962967</v>
      </c>
      <c r="B16944" t="str">
        <f>HYPERLINK("https://twitter.com/emasfarhan","@emasfarhan")</f>
        <v>@emasfarhan</v>
      </c>
      <c r="C16944" t="s">
        <v>8639</v>
      </c>
      <c r="D16944">
        <v>0</v>
      </c>
      <c r="E16944">
        <v>0</v>
      </c>
      <c r="F16944">
        <v>304</v>
      </c>
    </row>
    <row r="16945" spans="1:6" ht="12.75">
      <c r="A16945" s="2">
        <v>43877.575775462959</v>
      </c>
      <c r="B16945" t="str">
        <f>HYPERLINK("https://twitter.com/indroprayitno39","@indroprayitno39")</f>
        <v>@indroprayitno39</v>
      </c>
      <c r="C16945" t="s">
        <v>8612</v>
      </c>
      <c r="D16945">
        <v>1</v>
      </c>
      <c r="E16945">
        <v>0</v>
      </c>
      <c r="F16945">
        <v>160</v>
      </c>
    </row>
    <row r="16946" spans="1:6" ht="12.75">
      <c r="A16946" s="2">
        <v>43877.575243055559</v>
      </c>
      <c r="B16946" t="str">
        <f>HYPERLINK("https://twitter.com/hgberry","@hgberry")</f>
        <v>@hgberry</v>
      </c>
      <c r="C16946" t="s">
        <v>6338</v>
      </c>
      <c r="D16946">
        <v>617</v>
      </c>
      <c r="E16946">
        <v>0</v>
      </c>
      <c r="F16946">
        <v>1646</v>
      </c>
    </row>
    <row r="16947" spans="1:6" ht="12.75">
      <c r="A16947" s="2">
        <v>43877.575185185182</v>
      </c>
      <c r="B16947" t="str">
        <f>HYPERLINK("https://twitter.com/ManafSamuel","@ManafSamuel")</f>
        <v>@ManafSamuel</v>
      </c>
      <c r="C16947" t="s">
        <v>8640</v>
      </c>
      <c r="D16947">
        <v>0</v>
      </c>
      <c r="E16947">
        <v>0</v>
      </c>
      <c r="F16947">
        <v>1772</v>
      </c>
    </row>
    <row r="16948" spans="1:6" ht="12.75">
      <c r="A16948" s="2">
        <v>43877.57508101852</v>
      </c>
      <c r="B16948" t="str">
        <f>HYPERLINK("https://twitter.com/ardiwit","@ardiwit")</f>
        <v>@ardiwit</v>
      </c>
      <c r="C16948" t="s">
        <v>5168</v>
      </c>
      <c r="D16948">
        <v>1647</v>
      </c>
      <c r="E16948">
        <v>0</v>
      </c>
      <c r="F16948">
        <v>455</v>
      </c>
    </row>
    <row r="16949" spans="1:6" ht="12.75">
      <c r="A16949" s="2">
        <v>43877.574155092589</v>
      </c>
      <c r="B16949" t="str">
        <f>HYPERLINK("https://twitter.com/maximus_syukur","@maximus_syukur")</f>
        <v>@maximus_syukur</v>
      </c>
      <c r="C16949" t="s">
        <v>8641</v>
      </c>
      <c r="D16949">
        <v>3</v>
      </c>
      <c r="E16949">
        <v>0</v>
      </c>
      <c r="F16949">
        <v>1560</v>
      </c>
    </row>
    <row r="16950" spans="1:6" ht="12.75">
      <c r="A16950" s="2">
        <v>43877.573981481481</v>
      </c>
      <c r="B16950" t="str">
        <f>HYPERLINK("https://twitter.com/SouthTangerang","@SouthTangerang")</f>
        <v>@SouthTangerang</v>
      </c>
      <c r="C16950" t="s">
        <v>8642</v>
      </c>
      <c r="D16950">
        <v>0</v>
      </c>
      <c r="E16950">
        <v>0</v>
      </c>
      <c r="F16950">
        <v>1972</v>
      </c>
    </row>
    <row r="16951" spans="1:6" ht="12.75">
      <c r="A16951" s="2">
        <v>43877.573981481481</v>
      </c>
      <c r="B16951" t="str">
        <f>HYPERLINK("https://twitter.com/tangselupdates","@tangselupdates")</f>
        <v>@tangselupdates</v>
      </c>
      <c r="C16951" t="s">
        <v>8643</v>
      </c>
      <c r="D16951">
        <v>0</v>
      </c>
      <c r="E16951">
        <v>0</v>
      </c>
      <c r="F16951">
        <v>2415</v>
      </c>
    </row>
    <row r="16952" spans="1:6" ht="12.75">
      <c r="A16952" s="2">
        <v>43877.573888888888</v>
      </c>
      <c r="B16952" t="str">
        <f>HYPERLINK("https://twitter.com/pacarmerah1897","@pacarmerah1897")</f>
        <v>@pacarmerah1897</v>
      </c>
      <c r="C16952" t="s">
        <v>8644</v>
      </c>
      <c r="D16952">
        <v>64</v>
      </c>
      <c r="E16952">
        <v>0</v>
      </c>
      <c r="F16952">
        <v>404</v>
      </c>
    </row>
    <row r="16953" spans="1:6" ht="12.75">
      <c r="A16953" s="2">
        <v>43877.573611111111</v>
      </c>
      <c r="B16953" t="str">
        <f>HYPERLINK("https://twitter.com/romiiraq","@romiiraq")</f>
        <v>@romiiraq</v>
      </c>
      <c r="C16953" t="s">
        <v>8645</v>
      </c>
      <c r="D16953">
        <v>0</v>
      </c>
      <c r="E16953">
        <v>0</v>
      </c>
      <c r="F16953">
        <v>0</v>
      </c>
    </row>
    <row r="16954" spans="1:6" ht="12.75">
      <c r="A16954" s="2">
        <v>43877.573506944449</v>
      </c>
      <c r="B16954" t="str">
        <f>HYPERLINK("https://twitter.com/maximus_syukur","@maximus_syukur")</f>
        <v>@maximus_syukur</v>
      </c>
      <c r="C16954" t="s">
        <v>8646</v>
      </c>
      <c r="D16954">
        <v>0</v>
      </c>
      <c r="E16954">
        <v>0</v>
      </c>
      <c r="F16954">
        <v>1560</v>
      </c>
    </row>
    <row r="16955" spans="1:6" ht="12.75">
      <c r="A16955" s="2">
        <v>43877.573506944449</v>
      </c>
      <c r="B16955" t="str">
        <f>HYPERLINK("https://twitter.com/devimanda5","@devimanda5")</f>
        <v>@devimanda5</v>
      </c>
      <c r="C16955" t="s">
        <v>8647</v>
      </c>
      <c r="D16955">
        <v>1</v>
      </c>
      <c r="E16955">
        <v>0</v>
      </c>
      <c r="F16955">
        <v>159</v>
      </c>
    </row>
    <row r="16956" spans="1:6" ht="12.75">
      <c r="A16956" s="2">
        <v>43877.573263888888</v>
      </c>
      <c r="B16956" t="str">
        <f>HYPERLINK("https://twitter.com/bagoes_harianto","@bagoes_harianto")</f>
        <v>@bagoes_harianto</v>
      </c>
      <c r="C16956" t="s">
        <v>8648</v>
      </c>
      <c r="D16956">
        <v>0</v>
      </c>
      <c r="E16956">
        <v>0</v>
      </c>
      <c r="F16956">
        <v>506</v>
      </c>
    </row>
    <row r="16957" spans="1:6" ht="12.75">
      <c r="A16957" s="2">
        <v>43877.57298611111</v>
      </c>
      <c r="B16957" t="str">
        <f>HYPERLINK("https://twitter.com/__beritaterkini","@__beritaterkini")</f>
        <v>@__beritaterkini</v>
      </c>
      <c r="C16957" t="s">
        <v>8649</v>
      </c>
      <c r="D16957">
        <v>0</v>
      </c>
      <c r="E16957">
        <v>0</v>
      </c>
      <c r="F16957">
        <v>426</v>
      </c>
    </row>
    <row r="16958" spans="1:6" ht="12.75">
      <c r="A16958" s="2">
        <v>43877.572870370372</v>
      </c>
      <c r="B16958" t="str">
        <f>HYPERLINK("https://twitter.com/xxsyaisa","@xxsyaisa")</f>
        <v>@xxsyaisa</v>
      </c>
      <c r="C16958" t="s">
        <v>7905</v>
      </c>
      <c r="D16958">
        <v>69</v>
      </c>
      <c r="E16958">
        <v>0</v>
      </c>
      <c r="F16958">
        <v>45</v>
      </c>
    </row>
    <row r="16959" spans="1:6" ht="12.75">
      <c r="A16959" s="2">
        <v>43877.572731481487</v>
      </c>
      <c r="B16959" t="str">
        <f>HYPERLINK("https://twitter.com/ienuli","@ienuli")</f>
        <v>@ienuli</v>
      </c>
      <c r="C16959" t="s">
        <v>8650</v>
      </c>
      <c r="D16959">
        <v>84</v>
      </c>
      <c r="E16959">
        <v>0</v>
      </c>
      <c r="F16959">
        <v>1399</v>
      </c>
    </row>
    <row r="16960" spans="1:6" ht="12.75">
      <c r="A16960" s="2">
        <v>43877.572499999995</v>
      </c>
      <c r="B16960" t="str">
        <f>HYPERLINK("https://twitter.com/TatanFarhatani","@TatanFarhatani")</f>
        <v>@TatanFarhatani</v>
      </c>
      <c r="C16960" t="s">
        <v>8651</v>
      </c>
      <c r="D16960">
        <v>0</v>
      </c>
      <c r="E16960">
        <v>0</v>
      </c>
      <c r="F16960">
        <v>1250</v>
      </c>
    </row>
    <row r="16961" spans="1:6" ht="12.75">
      <c r="A16961" s="2">
        <v>43877.57203703704</v>
      </c>
      <c r="B16961" t="str">
        <f>HYPERLINK("https://twitter.com/elsarhma_09","@elsarhma_09")</f>
        <v>@elsarhma_09</v>
      </c>
      <c r="C16961" t="s">
        <v>513</v>
      </c>
      <c r="D16961">
        <v>23183</v>
      </c>
      <c r="E16961">
        <v>0</v>
      </c>
      <c r="F16961">
        <v>2</v>
      </c>
    </row>
    <row r="16962" spans="1:6" ht="12.75">
      <c r="A16962" s="2">
        <v>43877.571840277778</v>
      </c>
      <c r="B16962" t="str">
        <f>HYPERLINK("https://twitter.com/Antara_Jabar","@Antara_Jabar")</f>
        <v>@Antara_Jabar</v>
      </c>
      <c r="C16962" t="s">
        <v>8652</v>
      </c>
      <c r="D16962">
        <v>0</v>
      </c>
      <c r="E16962">
        <v>0</v>
      </c>
      <c r="F16962">
        <v>1549</v>
      </c>
    </row>
    <row r="16963" spans="1:6" ht="12.75">
      <c r="A16963" s="2">
        <v>43877.57166666667</v>
      </c>
      <c r="B16963" t="str">
        <f>HYPERLINK("https://twitter.com/Santo_Amora","@Santo_Amora")</f>
        <v>@Santo_Amora</v>
      </c>
      <c r="C16963" t="s">
        <v>8653</v>
      </c>
      <c r="D16963">
        <v>1</v>
      </c>
      <c r="E16963">
        <v>0</v>
      </c>
      <c r="F16963">
        <v>403</v>
      </c>
    </row>
    <row r="16964" spans="1:6" ht="12.75">
      <c r="A16964" s="2">
        <v>43877.571481481486</v>
      </c>
      <c r="B16964" t="str">
        <f>HYPERLINK("https://twitter.com/saifaliebahri_","@saifaliebahri_")</f>
        <v>@saifaliebahri_</v>
      </c>
      <c r="C16964" t="s">
        <v>8654</v>
      </c>
      <c r="D16964">
        <v>0</v>
      </c>
      <c r="E16964">
        <v>1</v>
      </c>
      <c r="F16964">
        <v>1020</v>
      </c>
    </row>
    <row r="16965" spans="1:6" ht="12.75">
      <c r="A16965" s="2">
        <v>43877.571342592593</v>
      </c>
      <c r="B16965" t="str">
        <f>HYPERLINK("https://twitter.com/doyoulogy","@doyoulogy")</f>
        <v>@doyoulogy</v>
      </c>
      <c r="C16965" t="s">
        <v>5168</v>
      </c>
      <c r="D16965">
        <v>1647</v>
      </c>
      <c r="E16965">
        <v>0</v>
      </c>
      <c r="F16965">
        <v>160</v>
      </c>
    </row>
    <row r="16966" spans="1:6" ht="12.75">
      <c r="A16966" s="2">
        <v>43877.571122685185</v>
      </c>
      <c r="B16966" t="str">
        <f>HYPERLINK("https://twitter.com/WR_4AG226","@WR_4AG226")</f>
        <v>@WR_4AG226</v>
      </c>
      <c r="C16966" t="s">
        <v>8655</v>
      </c>
      <c r="D16966">
        <v>1</v>
      </c>
      <c r="E16966">
        <v>0</v>
      </c>
      <c r="F16966">
        <v>54713</v>
      </c>
    </row>
    <row r="16967" spans="1:6" ht="12.75">
      <c r="A16967" s="2">
        <v>43877.570891203708</v>
      </c>
      <c r="B16967" t="str">
        <f>HYPERLINK("https://twitter.com/gunbrenk70","@gunbrenk70")</f>
        <v>@gunbrenk70</v>
      </c>
      <c r="C16967" t="s">
        <v>8203</v>
      </c>
      <c r="D16967">
        <v>186</v>
      </c>
      <c r="E16967">
        <v>0</v>
      </c>
      <c r="F16967">
        <v>238</v>
      </c>
    </row>
    <row r="16968" spans="1:6" ht="12.75">
      <c r="A16968" s="2">
        <v>43877.570763888885</v>
      </c>
      <c r="B16968" t="str">
        <f>HYPERLINK("https://twitter.com/yolskey","@yolskey")</f>
        <v>@yolskey</v>
      </c>
      <c r="C16968" t="s">
        <v>8644</v>
      </c>
      <c r="D16968">
        <v>64</v>
      </c>
      <c r="E16968">
        <v>0</v>
      </c>
      <c r="F16968">
        <v>1330</v>
      </c>
    </row>
    <row r="16969" spans="1:6" ht="12.75">
      <c r="A16969" s="2">
        <v>43877.570497685185</v>
      </c>
      <c r="B16969" t="str">
        <f>HYPERLINK("https://twitter.com/salsabilaayu131","@salsabilaayu131")</f>
        <v>@salsabilaayu131</v>
      </c>
      <c r="C16969" t="s">
        <v>8656</v>
      </c>
      <c r="D16969">
        <v>1</v>
      </c>
      <c r="E16969">
        <v>1</v>
      </c>
      <c r="F16969">
        <v>0</v>
      </c>
    </row>
    <row r="16970" spans="1:6" ht="12.75">
      <c r="A16970" s="2">
        <v>43877.570358796293</v>
      </c>
      <c r="B16970" t="str">
        <f>HYPERLINK("https://twitter.com/iqbaalyahyaa","@iqbaalyahyaa")</f>
        <v>@iqbaalyahyaa</v>
      </c>
      <c r="C16970" t="s">
        <v>8657</v>
      </c>
      <c r="D16970">
        <v>0</v>
      </c>
      <c r="E16970">
        <v>0</v>
      </c>
      <c r="F16970">
        <v>189</v>
      </c>
    </row>
    <row r="16971" spans="1:6" ht="12.75">
      <c r="A16971" s="2">
        <v>43877.570219907408</v>
      </c>
      <c r="B16971" t="str">
        <f>HYPERLINK("https://twitter.com/fahmiwehh","@fahmiwehh")</f>
        <v>@fahmiwehh</v>
      </c>
      <c r="C16971" t="s">
        <v>8547</v>
      </c>
      <c r="D16971">
        <v>33</v>
      </c>
      <c r="E16971">
        <v>0</v>
      </c>
      <c r="F16971">
        <v>239</v>
      </c>
    </row>
    <row r="16972" spans="1:6" ht="12.75">
      <c r="A16972" s="2">
        <v>43877.570196759261</v>
      </c>
      <c r="B16972" t="str">
        <f>HYPERLINK("https://twitter.com/Hidup_Toleransi","@Hidup_Toleransi")</f>
        <v>@Hidup_Toleransi</v>
      </c>
      <c r="C16972" t="s">
        <v>8658</v>
      </c>
      <c r="D16972">
        <v>0</v>
      </c>
      <c r="E16972">
        <v>1</v>
      </c>
      <c r="F16972">
        <v>27</v>
      </c>
    </row>
    <row r="16973" spans="1:6" ht="12.75">
      <c r="A16973" s="2">
        <v>43877.56994212963</v>
      </c>
      <c r="B16973" t="str">
        <f>HYPERLINK("https://twitter.com/coryameleo","@coryameleo")</f>
        <v>@coryameleo</v>
      </c>
      <c r="C16973" t="s">
        <v>8659</v>
      </c>
      <c r="D16973">
        <v>0</v>
      </c>
      <c r="E16973">
        <v>0</v>
      </c>
      <c r="F16973">
        <v>743</v>
      </c>
    </row>
    <row r="16974" spans="1:6" ht="12.75">
      <c r="A16974" s="2">
        <v>43877.569861111115</v>
      </c>
      <c r="B16974" t="str">
        <f>HYPERLINK("https://twitter.com/RD_4WR1212","@RD_4WR1212")</f>
        <v>@RD_4WR1212</v>
      </c>
      <c r="C16974" t="s">
        <v>8660</v>
      </c>
      <c r="D16974">
        <v>1</v>
      </c>
      <c r="E16974">
        <v>2</v>
      </c>
      <c r="F16974">
        <v>8822</v>
      </c>
    </row>
    <row r="16975" spans="1:6" ht="12.75">
      <c r="A16975" s="2">
        <v>43877.569837962961</v>
      </c>
      <c r="B16975" t="str">
        <f>HYPERLINK("https://twitter.com/Frend81739521","@Frend81739521")</f>
        <v>@Frend81739521</v>
      </c>
      <c r="C16975" t="s">
        <v>8661</v>
      </c>
      <c r="D16975">
        <v>0</v>
      </c>
      <c r="E16975">
        <v>0</v>
      </c>
      <c r="F16975">
        <v>3</v>
      </c>
    </row>
    <row r="16976" spans="1:6" ht="12.75">
      <c r="A16976" s="2">
        <v>43877.569456018522</v>
      </c>
      <c r="B16976" t="str">
        <f>HYPERLINK("https://twitter.com/dittkuss","@dittkuss")</f>
        <v>@dittkuss</v>
      </c>
      <c r="C16976" t="s">
        <v>8662</v>
      </c>
      <c r="D16976">
        <v>0</v>
      </c>
      <c r="E16976">
        <v>0</v>
      </c>
      <c r="F16976">
        <v>121</v>
      </c>
    </row>
    <row r="16977" spans="1:6" ht="12.75">
      <c r="A16977" s="2">
        <v>43877.569016203706</v>
      </c>
      <c r="B16977" t="str">
        <f>HYPERLINK("https://twitter.com/Frend81739521","@Frend81739521")</f>
        <v>@Frend81739521</v>
      </c>
      <c r="C16977" t="s">
        <v>8663</v>
      </c>
      <c r="D16977">
        <v>0</v>
      </c>
      <c r="E16977">
        <v>0</v>
      </c>
      <c r="F16977">
        <v>3</v>
      </c>
    </row>
    <row r="16978" spans="1:6" ht="12.75">
      <c r="A16978" s="2">
        <v>43877.568738425922</v>
      </c>
      <c r="B16978" t="str">
        <f>HYPERLINK("https://twitter.com/AyasSipenk","@AyasSipenk")</f>
        <v>@AyasSipenk</v>
      </c>
      <c r="C16978" t="s">
        <v>6338</v>
      </c>
      <c r="D16978">
        <v>617</v>
      </c>
      <c r="E16978">
        <v>0</v>
      </c>
      <c r="F16978">
        <v>1390</v>
      </c>
    </row>
    <row r="16979" spans="1:6" ht="12.75">
      <c r="A16979" s="2">
        <v>43877.56868055556</v>
      </c>
      <c r="B16979" t="str">
        <f>HYPERLINK("https://twitter.com/PrasetyaImann","@PrasetyaImann")</f>
        <v>@PrasetyaImann</v>
      </c>
      <c r="C16979" t="s">
        <v>8664</v>
      </c>
      <c r="D16979">
        <v>0</v>
      </c>
      <c r="E16979">
        <v>0</v>
      </c>
      <c r="F16979">
        <v>8</v>
      </c>
    </row>
    <row r="16980" spans="1:6" ht="12.75">
      <c r="A16980" s="2">
        <v>43877.568402777775</v>
      </c>
      <c r="B16980" t="str">
        <f>HYPERLINK("https://twitter.com/OffieSander","@OffieSander")</f>
        <v>@OffieSander</v>
      </c>
      <c r="C16980" t="s">
        <v>8665</v>
      </c>
      <c r="D16980">
        <v>251</v>
      </c>
      <c r="E16980">
        <v>0</v>
      </c>
      <c r="F16980">
        <v>504</v>
      </c>
    </row>
    <row r="16981" spans="1:6" ht="12.75">
      <c r="A16981" s="2">
        <v>43877.568194444444</v>
      </c>
      <c r="B16981" t="str">
        <f>HYPERLINK("https://twitter.com/DedenDilah","@DedenDilah")</f>
        <v>@DedenDilah</v>
      </c>
      <c r="C16981" t="s">
        <v>8666</v>
      </c>
      <c r="D16981">
        <v>0</v>
      </c>
      <c r="E16981">
        <v>0</v>
      </c>
      <c r="F16981">
        <v>214</v>
      </c>
    </row>
    <row r="16982" spans="1:6" ht="12.75">
      <c r="A16982" s="2">
        <v>43877.568043981482</v>
      </c>
      <c r="B16982" t="str">
        <f>HYPERLINK("https://twitter.com/jonrasyid1","@jonrasyid1")</f>
        <v>@jonrasyid1</v>
      </c>
      <c r="C16982" t="s">
        <v>6867</v>
      </c>
      <c r="D16982">
        <v>49</v>
      </c>
      <c r="E16982">
        <v>0</v>
      </c>
      <c r="F16982">
        <v>126</v>
      </c>
    </row>
    <row r="16983" spans="1:6" ht="12.75">
      <c r="A16983" s="2">
        <v>43877.568009259259</v>
      </c>
      <c r="B16983" t="str">
        <f>HYPERLINK("https://twitter.com/rifqiub","@rifqiub")</f>
        <v>@rifqiub</v>
      </c>
      <c r="C16983" t="s">
        <v>6338</v>
      </c>
      <c r="D16983">
        <v>617</v>
      </c>
      <c r="E16983">
        <v>0</v>
      </c>
      <c r="F16983">
        <v>2</v>
      </c>
    </row>
    <row r="16984" spans="1:6" ht="12.75">
      <c r="A16984" s="2">
        <v>43877.567881944444</v>
      </c>
      <c r="B16984" t="str">
        <f>HYPERLINK("https://twitter.com/KepengenLagi","@KepengenLagi")</f>
        <v>@KepengenLagi</v>
      </c>
      <c r="C16984" t="s">
        <v>6338</v>
      </c>
      <c r="D16984">
        <v>617</v>
      </c>
      <c r="E16984">
        <v>0</v>
      </c>
      <c r="F16984">
        <v>41</v>
      </c>
    </row>
    <row r="16985" spans="1:6" ht="12.75">
      <c r="A16985" s="2">
        <v>43877.567175925928</v>
      </c>
      <c r="B16985" t="str">
        <f>HYPERLINK("https://twitter.com/WidyantoNR1","@WidyantoNR1")</f>
        <v>@WidyantoNR1</v>
      </c>
      <c r="C16985" t="s">
        <v>8667</v>
      </c>
      <c r="D16985">
        <v>0</v>
      </c>
      <c r="E16985">
        <v>0</v>
      </c>
      <c r="F16985">
        <v>37</v>
      </c>
    </row>
    <row r="16986" spans="1:6" ht="12.75">
      <c r="A16986" s="2">
        <v>43877.567129629635</v>
      </c>
      <c r="B16986" t="str">
        <f>HYPERLINK("https://twitter.com/ziofzeus","@ziofzeus")</f>
        <v>@ziofzeus</v>
      </c>
      <c r="C16986" t="s">
        <v>8543</v>
      </c>
      <c r="D16986">
        <v>16</v>
      </c>
      <c r="E16986">
        <v>0</v>
      </c>
      <c r="F16986">
        <v>8132</v>
      </c>
    </row>
    <row r="16987" spans="1:6" ht="12.75">
      <c r="A16987" s="2">
        <v>43877.567060185189</v>
      </c>
      <c r="B16987" t="str">
        <f>HYPERLINK("https://twitter.com/yogagregorius","@yogagregorius")</f>
        <v>@yogagregorius</v>
      </c>
      <c r="C16987" t="s">
        <v>8668</v>
      </c>
      <c r="D16987">
        <v>1</v>
      </c>
      <c r="E16987">
        <v>0</v>
      </c>
      <c r="F16987">
        <v>136</v>
      </c>
    </row>
    <row r="16988" spans="1:6" ht="12.75">
      <c r="A16988" s="2">
        <v>43877.567037037035</v>
      </c>
      <c r="B16988" t="str">
        <f>HYPERLINK("https://twitter.com/asasofi","@asasofi")</f>
        <v>@asasofi</v>
      </c>
      <c r="C16988" t="s">
        <v>8669</v>
      </c>
      <c r="D16988">
        <v>0</v>
      </c>
      <c r="E16988">
        <v>0</v>
      </c>
      <c r="F16988">
        <v>99</v>
      </c>
    </row>
    <row r="16989" spans="1:6" ht="12.75">
      <c r="A16989" s="2">
        <v>43877.566840277781</v>
      </c>
      <c r="B16989" t="str">
        <f>HYPERLINK("https://twitter.com/supportmybias","@supportmybias")</f>
        <v>@supportmybias</v>
      </c>
      <c r="C16989" t="s">
        <v>513</v>
      </c>
      <c r="D16989">
        <v>23183</v>
      </c>
      <c r="E16989">
        <v>0</v>
      </c>
      <c r="F16989">
        <v>2295</v>
      </c>
    </row>
    <row r="16990" spans="1:6" ht="12.75">
      <c r="A16990" s="2">
        <v>43877.566747685181</v>
      </c>
      <c r="B16990" t="str">
        <f>HYPERLINK("https://twitter.com/myatharva","@myatharva")</f>
        <v>@myatharva</v>
      </c>
      <c r="C16990" t="s">
        <v>8670</v>
      </c>
      <c r="D16990">
        <v>0</v>
      </c>
      <c r="E16990">
        <v>1</v>
      </c>
      <c r="F16990">
        <v>4013</v>
      </c>
    </row>
    <row r="16991" spans="1:6" ht="12.75">
      <c r="A16991" s="2">
        <v>43877.566655092596</v>
      </c>
      <c r="B16991" t="str">
        <f>HYPERLINK("https://twitter.com/CetakTukang","@CetakTukang")</f>
        <v>@CetakTukang</v>
      </c>
      <c r="C16991" t="s">
        <v>6338</v>
      </c>
      <c r="D16991">
        <v>617</v>
      </c>
      <c r="E16991">
        <v>0</v>
      </c>
      <c r="F16991">
        <v>575</v>
      </c>
    </row>
    <row r="16992" spans="1:6" ht="12.75">
      <c r="A16992" s="2">
        <v>43877.566562499997</v>
      </c>
      <c r="B16992" t="str">
        <f>HYPERLINK("https://twitter.com/KJRI_Guangzhou","@KJRI_Guangzhou")</f>
        <v>@KJRI_Guangzhou</v>
      </c>
      <c r="C16992" t="s">
        <v>8671</v>
      </c>
      <c r="D16992">
        <v>1</v>
      </c>
      <c r="E16992">
        <v>0</v>
      </c>
      <c r="F16992">
        <v>637</v>
      </c>
    </row>
    <row r="16993" spans="1:6" ht="12.75">
      <c r="A16993" s="2">
        <v>43877.56649305555</v>
      </c>
      <c r="B16993" t="str">
        <f>HYPERLINK("https://twitter.com/Mahrus_A","@Mahrus_A")</f>
        <v>@Mahrus_A</v>
      </c>
      <c r="C16993" t="s">
        <v>7820</v>
      </c>
      <c r="D16993">
        <v>140</v>
      </c>
      <c r="E16993">
        <v>0</v>
      </c>
      <c r="F16993">
        <v>83</v>
      </c>
    </row>
    <row r="16994" spans="1:6" ht="12.75">
      <c r="A16994" s="2">
        <v>43877.566354166665</v>
      </c>
      <c r="B16994" t="str">
        <f>HYPERLINK("https://twitter.com/MMargani5","@MMargani5")</f>
        <v>@MMargani5</v>
      </c>
      <c r="C16994" t="s">
        <v>8672</v>
      </c>
      <c r="D16994">
        <v>1</v>
      </c>
      <c r="E16994">
        <v>4</v>
      </c>
      <c r="F16994">
        <v>5358</v>
      </c>
    </row>
    <row r="16995" spans="1:6" ht="12.75">
      <c r="A16995" s="2">
        <v>43877.56622685185</v>
      </c>
      <c r="B16995" t="str">
        <f>HYPERLINK("https://twitter.com/edisandras","@edisandras")</f>
        <v>@edisandras</v>
      </c>
      <c r="C16995" t="s">
        <v>7595</v>
      </c>
      <c r="D16995">
        <v>5</v>
      </c>
      <c r="E16995">
        <v>0</v>
      </c>
      <c r="F16995">
        <v>577</v>
      </c>
    </row>
    <row r="16996" spans="1:6" ht="12.75">
      <c r="A16996" s="2">
        <v>43877.565995370373</v>
      </c>
      <c r="B16996" t="str">
        <f>HYPERLINK("https://twitter.com/ChikaMSA","@ChikaMSA")</f>
        <v>@ChikaMSA</v>
      </c>
      <c r="C16996" t="s">
        <v>8673</v>
      </c>
      <c r="D16996">
        <v>4</v>
      </c>
      <c r="E16996">
        <v>0</v>
      </c>
      <c r="F16996">
        <v>461</v>
      </c>
    </row>
    <row r="16997" spans="1:6" ht="12.75">
      <c r="A16997" s="2">
        <v>43877.565578703703</v>
      </c>
      <c r="B16997" t="str">
        <f>HYPERLINK("https://twitter.com/kudorism","@kudorism")</f>
        <v>@kudorism</v>
      </c>
      <c r="C16997" t="s">
        <v>8674</v>
      </c>
      <c r="D16997">
        <v>0</v>
      </c>
      <c r="E16997">
        <v>1</v>
      </c>
      <c r="F16997">
        <v>531</v>
      </c>
    </row>
    <row r="16998" spans="1:6" ht="12.75">
      <c r="A16998" s="2">
        <v>43877.565462962964</v>
      </c>
      <c r="B16998" t="str">
        <f>HYPERLINK("https://twitter.com/ARuleMelancholy","@ARuleMelancholy")</f>
        <v>@ARuleMelancholy</v>
      </c>
      <c r="C16998" t="s">
        <v>6867</v>
      </c>
      <c r="D16998">
        <v>49</v>
      </c>
      <c r="E16998">
        <v>0</v>
      </c>
      <c r="F16998">
        <v>219</v>
      </c>
    </row>
    <row r="16999" spans="1:6" ht="12.75">
      <c r="A16999" s="2">
        <v>43877.565439814818</v>
      </c>
      <c r="B16999" t="str">
        <f>HYPERLINK("https://twitter.com/ajimdafi","@ajimdafi")</f>
        <v>@ajimdafi</v>
      </c>
      <c r="C16999" t="s">
        <v>8675</v>
      </c>
      <c r="D16999">
        <v>0</v>
      </c>
      <c r="E16999">
        <v>1</v>
      </c>
      <c r="F16999">
        <v>1215</v>
      </c>
    </row>
    <row r="17000" spans="1:6" ht="12.75">
      <c r="A17000" s="2">
        <v>43877.564849537041</v>
      </c>
      <c r="B17000" t="str">
        <f>HYPERLINK("https://twitter.com/sugito43334255","@sugito43334255")</f>
        <v>@sugito43334255</v>
      </c>
      <c r="C17000" t="s">
        <v>7152</v>
      </c>
      <c r="D17000">
        <v>30</v>
      </c>
      <c r="E17000">
        <v>0</v>
      </c>
      <c r="F17000">
        <v>561</v>
      </c>
    </row>
    <row r="17001" spans="1:6" ht="12.75">
      <c r="A17001" s="2">
        <v>43877.564837962964</v>
      </c>
      <c r="B17001" t="str">
        <f>HYPERLINK("https://twitter.com/yaziddech","@yaziddech")</f>
        <v>@yaziddech</v>
      </c>
      <c r="C17001" t="s">
        <v>8676</v>
      </c>
      <c r="D17001">
        <v>8</v>
      </c>
      <c r="E17001">
        <v>0</v>
      </c>
      <c r="F17001">
        <v>509</v>
      </c>
    </row>
    <row r="17002" spans="1:6" ht="12.75">
      <c r="A17002" s="2">
        <v>43877.564826388887</v>
      </c>
      <c r="B17002" t="str">
        <f>HYPERLINK("https://twitter.com/EBRoestono","@EBRoestono")</f>
        <v>@EBRoestono</v>
      </c>
      <c r="C17002" t="s">
        <v>7956</v>
      </c>
      <c r="D17002">
        <v>32</v>
      </c>
      <c r="E17002">
        <v>0</v>
      </c>
      <c r="F17002">
        <v>730</v>
      </c>
    </row>
    <row r="17003" spans="1:6" ht="12.75">
      <c r="A17003" s="2">
        <v>43877.564768518518</v>
      </c>
      <c r="B17003" t="str">
        <f>HYPERLINK("https://twitter.com/AlvaroDeBazan2","@AlvaroDeBazan2")</f>
        <v>@AlvaroDeBazan2</v>
      </c>
      <c r="C17003" t="s">
        <v>8677</v>
      </c>
      <c r="D17003">
        <v>1</v>
      </c>
      <c r="E17003">
        <v>0</v>
      </c>
      <c r="F17003">
        <v>247</v>
      </c>
    </row>
    <row r="17004" spans="1:6" ht="12.75">
      <c r="A17004" s="2">
        <v>43877.564421296294</v>
      </c>
      <c r="B17004" t="str">
        <f>HYPERLINK("https://twitter.com/___luvanne","@___luvanne")</f>
        <v>@___luvanne</v>
      </c>
      <c r="C17004" t="s">
        <v>6867</v>
      </c>
      <c r="D17004">
        <v>49</v>
      </c>
      <c r="E17004">
        <v>0</v>
      </c>
      <c r="F17004">
        <v>2426</v>
      </c>
    </row>
    <row r="17005" spans="1:6" ht="12.75">
      <c r="A17005" s="2">
        <v>43877.563912037032</v>
      </c>
      <c r="B17005" t="str">
        <f>HYPERLINK("https://twitter.com/republikaonline","@republikaonline")</f>
        <v>@republikaonline</v>
      </c>
      <c r="C17005" t="s">
        <v>8678</v>
      </c>
      <c r="D17005">
        <v>1</v>
      </c>
      <c r="E17005">
        <v>0</v>
      </c>
      <c r="F17005">
        <v>1210646</v>
      </c>
    </row>
    <row r="17006" spans="1:6" ht="12.75">
      <c r="A17006" s="2">
        <v>43877.563877314809</v>
      </c>
      <c r="B17006" t="str">
        <f>HYPERLINK("https://twitter.com/Bs53711368","@Bs53711368")</f>
        <v>@Bs53711368</v>
      </c>
      <c r="C17006" t="s">
        <v>8679</v>
      </c>
      <c r="D17006">
        <v>0</v>
      </c>
      <c r="E17006">
        <v>0</v>
      </c>
      <c r="F17006">
        <v>3</v>
      </c>
    </row>
    <row r="17007" spans="1:6" ht="12.75">
      <c r="A17007" s="2">
        <v>43877.563842592594</v>
      </c>
      <c r="B17007" t="str">
        <f>HYPERLINK("https://twitter.com/BillTemporo","@BillTemporo")</f>
        <v>@BillTemporo</v>
      </c>
      <c r="C17007" t="s">
        <v>2092</v>
      </c>
      <c r="D17007">
        <v>0</v>
      </c>
      <c r="E17007">
        <v>0</v>
      </c>
      <c r="F17007">
        <v>11</v>
      </c>
    </row>
    <row r="17008" spans="1:6" ht="12.75">
      <c r="A17008" s="2">
        <v>43877.563819444447</v>
      </c>
      <c r="B17008" t="str">
        <f>HYPERLINK("https://twitter.com/yaziddech","@yaziddech")</f>
        <v>@yaziddech</v>
      </c>
      <c r="C17008" t="s">
        <v>7259</v>
      </c>
      <c r="D17008">
        <v>45</v>
      </c>
      <c r="E17008">
        <v>0</v>
      </c>
      <c r="F17008">
        <v>509</v>
      </c>
    </row>
    <row r="17009" spans="1:6" ht="12.75">
      <c r="A17009" s="2">
        <v>43877.563449074078</v>
      </c>
      <c r="B17009" t="str">
        <f>HYPERLINK("https://twitter.com/harrypotterbrb","@harrypotterbrb")</f>
        <v>@harrypotterbrb</v>
      </c>
      <c r="C17009" t="s">
        <v>513</v>
      </c>
      <c r="D17009">
        <v>23183</v>
      </c>
      <c r="E17009">
        <v>0</v>
      </c>
      <c r="F17009">
        <v>135</v>
      </c>
    </row>
    <row r="17010" spans="1:6" ht="12.75">
      <c r="A17010" s="2">
        <v>43877.563055555554</v>
      </c>
      <c r="B17010" t="str">
        <f>HYPERLINK("https://twitter.com/RismaStgg","@RismaStgg")</f>
        <v>@RismaStgg</v>
      </c>
      <c r="C17010" t="s">
        <v>8680</v>
      </c>
      <c r="D17010">
        <v>4</v>
      </c>
      <c r="E17010">
        <v>0</v>
      </c>
      <c r="F17010">
        <v>107</v>
      </c>
    </row>
    <row r="17011" spans="1:6" ht="12.75">
      <c r="A17011" s="2">
        <v>43877.563009259262</v>
      </c>
      <c r="B17011" t="str">
        <f>HYPERLINK("https://twitter.com/agama_nusantara","@agama_nusantara")</f>
        <v>@agama_nusantara</v>
      </c>
      <c r="C17011" t="s">
        <v>8681</v>
      </c>
      <c r="D17011">
        <v>1</v>
      </c>
      <c r="E17011">
        <v>0</v>
      </c>
      <c r="F17011">
        <v>7325</v>
      </c>
    </row>
    <row r="17012" spans="1:6" ht="12.75">
      <c r="A17012" s="2">
        <v>43877.562962962962</v>
      </c>
      <c r="B17012" t="str">
        <f>HYPERLINK("https://twitter.com/agenmossad","@agenmossad")</f>
        <v>@agenmossad</v>
      </c>
      <c r="C17012" t="s">
        <v>8682</v>
      </c>
      <c r="D17012">
        <v>0</v>
      </c>
      <c r="E17012">
        <v>0</v>
      </c>
      <c r="F17012">
        <v>1288</v>
      </c>
    </row>
    <row r="17013" spans="1:6" ht="12.75">
      <c r="A17013" s="2">
        <v>43877.562557870369</v>
      </c>
      <c r="B17013" t="str">
        <f>HYPERLINK("https://twitter.com/titteril","@titteril")</f>
        <v>@titteril</v>
      </c>
      <c r="C17013" t="s">
        <v>6867</v>
      </c>
      <c r="D17013">
        <v>49</v>
      </c>
      <c r="E17013">
        <v>0</v>
      </c>
      <c r="F17013">
        <v>2061</v>
      </c>
    </row>
    <row r="17014" spans="1:6" ht="12.75">
      <c r="A17014" s="2">
        <v>43877.561527777776</v>
      </c>
      <c r="B17014" t="str">
        <f>HYPERLINK("https://twitter.com/Abudiman20","@Abudiman20")</f>
        <v>@Abudiman20</v>
      </c>
      <c r="C17014" t="s">
        <v>8683</v>
      </c>
      <c r="D17014">
        <v>1</v>
      </c>
      <c r="E17014">
        <v>0</v>
      </c>
      <c r="F17014">
        <v>465</v>
      </c>
    </row>
    <row r="17015" spans="1:6" ht="12.75">
      <c r="A17015" s="2">
        <v>43877.561307870375</v>
      </c>
      <c r="B17015" t="str">
        <f>HYPERLINK("https://twitter.com/dede_np","@dede_np")</f>
        <v>@dede_np</v>
      </c>
      <c r="C17015" t="s">
        <v>8684</v>
      </c>
      <c r="D17015">
        <v>0</v>
      </c>
      <c r="E17015">
        <v>0</v>
      </c>
      <c r="F17015">
        <v>36</v>
      </c>
    </row>
    <row r="17016" spans="1:6" ht="12.75">
      <c r="A17016" s="2">
        <v>43877.54315972222</v>
      </c>
      <c r="B17016" t="str">
        <f>HYPERLINK("https://twitter.com/Cangkemaaannn","@Cangkemaaannn")</f>
        <v>@Cangkemaaannn</v>
      </c>
      <c r="C17016" t="s">
        <v>8685</v>
      </c>
      <c r="D17016">
        <v>0</v>
      </c>
      <c r="E17016">
        <v>0</v>
      </c>
      <c r="F17016">
        <v>8471</v>
      </c>
    </row>
    <row r="17017" spans="1:6" ht="12.75">
      <c r="A17017" s="2">
        <v>43877.54305555555</v>
      </c>
      <c r="B17017" t="str">
        <f>HYPERLINK("https://twitter.com/BillTemporo","@BillTemporo")</f>
        <v>@BillTemporo</v>
      </c>
      <c r="C17017" t="s">
        <v>889</v>
      </c>
      <c r="D17017">
        <v>0</v>
      </c>
      <c r="E17017">
        <v>0</v>
      </c>
      <c r="F17017">
        <v>11</v>
      </c>
    </row>
    <row r="17018" spans="1:6" ht="12.75">
      <c r="A17018" s="2">
        <v>43877.542604166665</v>
      </c>
      <c r="B17018" t="str">
        <f>HYPERLINK("https://twitter.com/Santiira2","@Santiira2")</f>
        <v>@Santiira2</v>
      </c>
      <c r="C17018" t="s">
        <v>7041</v>
      </c>
      <c r="D17018">
        <v>0</v>
      </c>
      <c r="E17018">
        <v>0</v>
      </c>
      <c r="F17018">
        <v>355</v>
      </c>
    </row>
    <row r="17019" spans="1:6" ht="12.75">
      <c r="A17019" s="2">
        <v>43877.542337962965</v>
      </c>
      <c r="B17019" t="str">
        <f>HYPERLINK("https://twitter.com/d_poyz","@d_poyz")</f>
        <v>@d_poyz</v>
      </c>
      <c r="C17019" t="s">
        <v>8053</v>
      </c>
      <c r="D17019">
        <v>30</v>
      </c>
      <c r="E17019">
        <v>0</v>
      </c>
      <c r="F17019">
        <v>406</v>
      </c>
    </row>
    <row r="17020" spans="1:6" ht="12.75">
      <c r="A17020" s="2">
        <v>43877.542245370365</v>
      </c>
      <c r="B17020" t="str">
        <f>HYPERLINK("https://twitter.com/republikaonline","@republikaonline")</f>
        <v>@republikaonline</v>
      </c>
      <c r="C17020" t="s">
        <v>8686</v>
      </c>
      <c r="D17020">
        <v>0</v>
      </c>
      <c r="E17020">
        <v>0</v>
      </c>
      <c r="F17020">
        <v>1210631</v>
      </c>
    </row>
    <row r="17021" spans="1:6" ht="12.75">
      <c r="A17021" s="2">
        <v>43877.542233796295</v>
      </c>
      <c r="B17021" t="str">
        <f>HYPERLINK("https://twitter.com/hiYano","@hiYano")</f>
        <v>@hiYano</v>
      </c>
      <c r="C17021" t="s">
        <v>8687</v>
      </c>
      <c r="D17021">
        <v>1</v>
      </c>
      <c r="E17021">
        <v>0</v>
      </c>
      <c r="F17021">
        <v>1201</v>
      </c>
    </row>
    <row r="17022" spans="1:6" ht="12.75">
      <c r="A17022" s="2">
        <v>43877.542164351849</v>
      </c>
      <c r="B17022" t="str">
        <f>HYPERLINK("https://twitter.com/Sidin79901699","@Sidin79901699")</f>
        <v>@Sidin79901699</v>
      </c>
      <c r="C17022" t="s">
        <v>8141</v>
      </c>
      <c r="D17022">
        <v>21</v>
      </c>
      <c r="E17022">
        <v>0</v>
      </c>
      <c r="F17022">
        <v>970</v>
      </c>
    </row>
    <row r="17023" spans="1:6" ht="12.75">
      <c r="A17023" s="2">
        <v>43877.541956018518</v>
      </c>
      <c r="B17023" t="str">
        <f>HYPERLINK("https://twitter.com/kabarrantaucom","@kabarrantaucom")</f>
        <v>@kabarrantaucom</v>
      </c>
      <c r="C17023" t="s">
        <v>8688</v>
      </c>
      <c r="D17023">
        <v>0</v>
      </c>
      <c r="E17023">
        <v>0</v>
      </c>
      <c r="F17023">
        <v>13</v>
      </c>
    </row>
    <row r="17024" spans="1:6" ht="12.75">
      <c r="A17024" s="2">
        <v>43877.54184027778</v>
      </c>
      <c r="B17024" t="str">
        <f>HYPERLINK("https://twitter.com/Joglosemarnews","@Joglosemarnews")</f>
        <v>@Joglosemarnews</v>
      </c>
      <c r="C17024" t="s">
        <v>8689</v>
      </c>
      <c r="D17024">
        <v>0</v>
      </c>
      <c r="E17024">
        <v>0</v>
      </c>
      <c r="F17024">
        <v>305</v>
      </c>
    </row>
    <row r="17025" spans="1:6" ht="12.75">
      <c r="A17025" s="2">
        <v>43877.541666666672</v>
      </c>
      <c r="B17025" t="str">
        <f>HYPERLINK("https://twitter.com/BrisikId","@BrisikId")</f>
        <v>@BrisikId</v>
      </c>
      <c r="C17025" t="s">
        <v>8690</v>
      </c>
      <c r="D17025">
        <v>0</v>
      </c>
      <c r="E17025">
        <v>0</v>
      </c>
      <c r="F17025">
        <v>8</v>
      </c>
    </row>
    <row r="17026" spans="1:6" ht="12.75">
      <c r="A17026" s="2">
        <v>43877.541666666672</v>
      </c>
      <c r="B17026" t="str">
        <f>HYPERLINK("https://twitter.com/indonesiana","@indonesiana")</f>
        <v>@indonesiana</v>
      </c>
      <c r="C17026" t="s">
        <v>8185</v>
      </c>
      <c r="D17026">
        <v>0</v>
      </c>
      <c r="E17026">
        <v>0</v>
      </c>
      <c r="F17026">
        <v>49526</v>
      </c>
    </row>
    <row r="17027" spans="1:6" ht="12.75">
      <c r="A17027" s="2">
        <v>43877.541481481487</v>
      </c>
      <c r="B17027" t="str">
        <f>HYPERLINK("https://twitter.com/makna_ruci","@makna_ruci")</f>
        <v>@makna_ruci</v>
      </c>
      <c r="C17027" t="s">
        <v>8601</v>
      </c>
      <c r="D17027">
        <v>2</v>
      </c>
      <c r="E17027">
        <v>0</v>
      </c>
      <c r="F17027">
        <v>3590</v>
      </c>
    </row>
    <row r="17028" spans="1:6" ht="12.75">
      <c r="A17028" s="2">
        <v>43877.541307870371</v>
      </c>
      <c r="B17028" t="str">
        <f>HYPERLINK("https://twitter.com/Donie248","@Donie248")</f>
        <v>@Donie248</v>
      </c>
      <c r="C17028" t="s">
        <v>6338</v>
      </c>
      <c r="D17028">
        <v>598</v>
      </c>
      <c r="E17028">
        <v>0</v>
      </c>
      <c r="F17028">
        <v>192</v>
      </c>
    </row>
    <row r="17029" spans="1:6" ht="12.75">
      <c r="A17029" s="2">
        <v>43877.541238425925</v>
      </c>
      <c r="B17029" t="str">
        <f t="shared" ref="B17029:B17032" si="286">HYPERLINK("https://twitter.com/rizkycsaragih","@rizkycsaragih")</f>
        <v>@rizkycsaragih</v>
      </c>
      <c r="C17029" t="s">
        <v>8691</v>
      </c>
      <c r="D17029">
        <v>0</v>
      </c>
      <c r="E17029">
        <v>0</v>
      </c>
      <c r="F17029">
        <v>1740</v>
      </c>
    </row>
    <row r="17030" spans="1:6" ht="12.75">
      <c r="A17030" s="2">
        <v>43877.541238425925</v>
      </c>
      <c r="B17030" t="str">
        <f t="shared" si="286"/>
        <v>@rizkycsaragih</v>
      </c>
      <c r="C17030" t="s">
        <v>8692</v>
      </c>
      <c r="D17030">
        <v>0</v>
      </c>
      <c r="E17030">
        <v>0</v>
      </c>
      <c r="F17030">
        <v>1740</v>
      </c>
    </row>
    <row r="17031" spans="1:6" ht="12.75">
      <c r="A17031" s="2">
        <v>43877.541226851856</v>
      </c>
      <c r="B17031" t="str">
        <f t="shared" si="286"/>
        <v>@rizkycsaragih</v>
      </c>
      <c r="C17031" t="s">
        <v>8693</v>
      </c>
      <c r="D17031">
        <v>0</v>
      </c>
      <c r="E17031">
        <v>0</v>
      </c>
      <c r="F17031">
        <v>1740</v>
      </c>
    </row>
    <row r="17032" spans="1:6" ht="12.75">
      <c r="A17032" s="2">
        <v>43877.541226851856</v>
      </c>
      <c r="B17032" t="str">
        <f t="shared" si="286"/>
        <v>@rizkycsaragih</v>
      </c>
      <c r="C17032" t="s">
        <v>8694</v>
      </c>
      <c r="D17032">
        <v>0</v>
      </c>
      <c r="E17032">
        <v>0</v>
      </c>
      <c r="F17032">
        <v>1740</v>
      </c>
    </row>
    <row r="17033" spans="1:6" ht="12.75">
      <c r="A17033" s="2">
        <v>43877.541018518517</v>
      </c>
      <c r="B17033" t="str">
        <f>HYPERLINK("https://twitter.com/bangyupi_006","@bangyupi_006")</f>
        <v>@bangyupi_006</v>
      </c>
      <c r="C17033" t="s">
        <v>8695</v>
      </c>
      <c r="D17033">
        <v>0</v>
      </c>
      <c r="E17033">
        <v>0</v>
      </c>
      <c r="F17033">
        <v>7635</v>
      </c>
    </row>
    <row r="17034" spans="1:6" ht="12.75">
      <c r="A17034" s="2">
        <v>43877.540937500002</v>
      </c>
      <c r="B17034" t="str">
        <f>HYPERLINK("https://twitter.com/Rererefaldi","@Rererefaldi")</f>
        <v>@Rererefaldi</v>
      </c>
      <c r="C17034" t="s">
        <v>8547</v>
      </c>
      <c r="D17034">
        <v>29</v>
      </c>
      <c r="E17034">
        <v>0</v>
      </c>
      <c r="F17034">
        <v>174</v>
      </c>
    </row>
    <row r="17035" spans="1:6" ht="12.75">
      <c r="A17035" s="2">
        <v>43877.540844907402</v>
      </c>
      <c r="B17035" t="str">
        <f>HYPERLINK("https://twitter.com/ANaufal59","@ANaufal59")</f>
        <v>@ANaufal59</v>
      </c>
      <c r="C17035" t="s">
        <v>8603</v>
      </c>
      <c r="D17035">
        <v>3</v>
      </c>
      <c r="E17035">
        <v>0</v>
      </c>
      <c r="F17035">
        <v>470</v>
      </c>
    </row>
    <row r="17036" spans="1:6" ht="12.75">
      <c r="A17036" s="2">
        <v>43877.54074074074</v>
      </c>
      <c r="B17036" t="str">
        <f>HYPERLINK("https://twitter.com/_ptrds","@_ptrds")</f>
        <v>@_ptrds</v>
      </c>
      <c r="C17036" t="s">
        <v>8696</v>
      </c>
      <c r="D17036">
        <v>1</v>
      </c>
      <c r="E17036">
        <v>0</v>
      </c>
      <c r="F17036">
        <v>236</v>
      </c>
    </row>
    <row r="17037" spans="1:6" ht="12.75">
      <c r="A17037" s="2">
        <v>43877.539988425924</v>
      </c>
      <c r="B17037" t="str">
        <f>HYPERLINK("https://twitter.com/Coki03055491","@Coki03055491")</f>
        <v>@Coki03055491</v>
      </c>
      <c r="C17037" t="s">
        <v>6338</v>
      </c>
      <c r="D17037">
        <v>598</v>
      </c>
      <c r="E17037">
        <v>0</v>
      </c>
      <c r="F17037">
        <v>24</v>
      </c>
    </row>
    <row r="17038" spans="1:6" ht="12.75">
      <c r="A17038" s="2">
        <v>43877.539861111116</v>
      </c>
      <c r="B17038" t="str">
        <f>HYPERLINK("https://twitter.com/9unawann","@9unawann")</f>
        <v>@9unawann</v>
      </c>
      <c r="C17038" t="s">
        <v>6338</v>
      </c>
      <c r="D17038">
        <v>598</v>
      </c>
      <c r="E17038">
        <v>0</v>
      </c>
      <c r="F17038">
        <v>57</v>
      </c>
    </row>
    <row r="17039" spans="1:6" ht="12.75">
      <c r="A17039" s="2">
        <v>43877.539722222224</v>
      </c>
      <c r="B17039" t="str">
        <f>HYPERLINK("https://twitter.com/ChikaMSA","@ChikaMSA")</f>
        <v>@ChikaMSA</v>
      </c>
      <c r="C17039" t="s">
        <v>8697</v>
      </c>
      <c r="D17039">
        <v>1</v>
      </c>
      <c r="E17039">
        <v>0</v>
      </c>
      <c r="F17039">
        <v>461</v>
      </c>
    </row>
    <row r="17040" spans="1:6" ht="12.75">
      <c r="A17040" s="2">
        <v>43877.539525462962</v>
      </c>
      <c r="B17040" t="str">
        <f>HYPERLINK("https://twitter.com/umaremania87","@umaremania87")</f>
        <v>@umaremania87</v>
      </c>
      <c r="C17040" t="s">
        <v>6338</v>
      </c>
      <c r="D17040">
        <v>598</v>
      </c>
      <c r="E17040">
        <v>0</v>
      </c>
      <c r="F17040">
        <v>312</v>
      </c>
    </row>
    <row r="17041" spans="1:6" ht="12.75">
      <c r="A17041" s="2">
        <v>43877.539502314816</v>
      </c>
      <c r="B17041" t="str">
        <f>HYPERLINK("https://twitter.com/ibradhik","@ibradhik")</f>
        <v>@ibradhik</v>
      </c>
      <c r="C17041" t="s">
        <v>6338</v>
      </c>
      <c r="D17041">
        <v>598</v>
      </c>
      <c r="E17041">
        <v>0</v>
      </c>
      <c r="F17041">
        <v>220</v>
      </c>
    </row>
    <row r="17042" spans="1:6" ht="12.75">
      <c r="A17042" s="2">
        <v>43877.5393287037</v>
      </c>
      <c r="B17042" t="str">
        <f>HYPERLINK("https://twitter.com/enny_endah","@enny_endah")</f>
        <v>@enny_endah</v>
      </c>
      <c r="C17042" t="s">
        <v>8698</v>
      </c>
      <c r="D17042">
        <v>0</v>
      </c>
      <c r="E17042">
        <v>0</v>
      </c>
      <c r="F17042">
        <v>10606</v>
      </c>
    </row>
    <row r="17043" spans="1:6" ht="12.75">
      <c r="A17043" s="2">
        <v>43877.539108796293</v>
      </c>
      <c r="B17043" t="str">
        <f>HYPERLINK("https://twitter.com/hputrantoadi","@hputrantoadi")</f>
        <v>@hputrantoadi</v>
      </c>
      <c r="C17043" t="s">
        <v>8699</v>
      </c>
      <c r="D17043">
        <v>0</v>
      </c>
      <c r="E17043">
        <v>0</v>
      </c>
      <c r="F17043">
        <v>1850</v>
      </c>
    </row>
    <row r="17044" spans="1:6" ht="12.75">
      <c r="A17044" s="2">
        <v>43877.538923611108</v>
      </c>
      <c r="B17044" t="str">
        <f>HYPERLINK("https://twitter.com/kompascom","@kompascom")</f>
        <v>@kompascom</v>
      </c>
      <c r="C17044" t="s">
        <v>8700</v>
      </c>
      <c r="D17044">
        <v>0</v>
      </c>
      <c r="E17044">
        <v>4</v>
      </c>
      <c r="F17044">
        <v>7499482</v>
      </c>
    </row>
    <row r="17045" spans="1:6" ht="12.75">
      <c r="A17045" s="2">
        <v>43877.538923611108</v>
      </c>
      <c r="B17045" t="str">
        <f>HYPERLINK("https://twitter.com/Masartono","@Masartono")</f>
        <v>@Masartono</v>
      </c>
      <c r="C17045" t="s">
        <v>6201</v>
      </c>
      <c r="D17045">
        <v>548</v>
      </c>
      <c r="E17045">
        <v>0</v>
      </c>
      <c r="F17045">
        <v>532</v>
      </c>
    </row>
    <row r="17046" spans="1:6" ht="12.75">
      <c r="A17046" s="2">
        <v>43877.53875</v>
      </c>
      <c r="B17046" t="str">
        <f>HYPERLINK("https://twitter.com/DhiazPradana","@DhiazPradana")</f>
        <v>@DhiazPradana</v>
      </c>
      <c r="C17046" t="s">
        <v>8701</v>
      </c>
      <c r="D17046">
        <v>1</v>
      </c>
      <c r="E17046">
        <v>0</v>
      </c>
      <c r="F17046">
        <v>94</v>
      </c>
    </row>
    <row r="17047" spans="1:6" ht="12.75">
      <c r="A17047" s="2">
        <v>43877.538680555561</v>
      </c>
      <c r="B17047" t="str">
        <f>HYPERLINK("https://twitter.com/damarilham","@damarilham")</f>
        <v>@damarilham</v>
      </c>
      <c r="C17047" t="s">
        <v>2097</v>
      </c>
      <c r="D17047">
        <v>413</v>
      </c>
      <c r="E17047">
        <v>0</v>
      </c>
      <c r="F17047">
        <v>224</v>
      </c>
    </row>
    <row r="17048" spans="1:6" ht="12.75">
      <c r="A17048" s="2">
        <v>43877.538645833338</v>
      </c>
      <c r="B17048" t="str">
        <f>HYPERLINK("https://twitter.com/indozonemedia","@indozonemedia")</f>
        <v>@indozonemedia</v>
      </c>
      <c r="C17048" t="s">
        <v>8702</v>
      </c>
      <c r="D17048">
        <v>0</v>
      </c>
      <c r="E17048">
        <v>0</v>
      </c>
      <c r="F17048">
        <v>1787942</v>
      </c>
    </row>
    <row r="17049" spans="1:6" ht="12.75">
      <c r="A17049" s="2">
        <v>43877.538599537038</v>
      </c>
      <c r="B17049" t="str">
        <f>HYPERLINK("https://twitter.com/ThePowerOfindo1","@ThePowerOfindo1")</f>
        <v>@ThePowerOfindo1</v>
      </c>
      <c r="C17049" t="s">
        <v>8703</v>
      </c>
      <c r="D17049">
        <v>1</v>
      </c>
      <c r="E17049">
        <v>0</v>
      </c>
      <c r="F17049">
        <v>5</v>
      </c>
    </row>
    <row r="17050" spans="1:6" ht="12.75">
      <c r="A17050" s="2">
        <v>43877.538587962961</v>
      </c>
      <c r="B17050" t="str">
        <f>HYPERLINK("https://twitter.com/soepono42","@soepono42")</f>
        <v>@soepono42</v>
      </c>
      <c r="C17050" t="s">
        <v>8704</v>
      </c>
      <c r="D17050">
        <v>2</v>
      </c>
      <c r="E17050">
        <v>0</v>
      </c>
      <c r="F17050">
        <v>1208</v>
      </c>
    </row>
    <row r="17051" spans="1:6" ht="12.75">
      <c r="A17051" s="2">
        <v>43877.53837962963</v>
      </c>
      <c r="B17051" t="str">
        <f>HYPERLINK("https://twitter.com/kodokpangeran5","@kodokpangeran5")</f>
        <v>@kodokpangeran5</v>
      </c>
      <c r="C17051" t="s">
        <v>8705</v>
      </c>
      <c r="D17051">
        <v>1</v>
      </c>
      <c r="E17051">
        <v>0</v>
      </c>
      <c r="F17051">
        <v>98</v>
      </c>
    </row>
    <row r="17052" spans="1:6" ht="12.75">
      <c r="A17052" s="2">
        <v>43877.538344907407</v>
      </c>
      <c r="B17052" t="str">
        <f>HYPERLINK("https://twitter.com/koloni_saham","@koloni_saham")</f>
        <v>@koloni_saham</v>
      </c>
      <c r="C17052" t="s">
        <v>8706</v>
      </c>
      <c r="D17052">
        <v>0</v>
      </c>
      <c r="E17052">
        <v>0</v>
      </c>
      <c r="F17052">
        <v>51</v>
      </c>
    </row>
    <row r="17053" spans="1:6" ht="12.75">
      <c r="A17053" s="2">
        <v>43877.538310185184</v>
      </c>
      <c r="B17053" t="str">
        <f>HYPERLINK("https://twitter.com/IdamanNegri","@IdamanNegri")</f>
        <v>@IdamanNegri</v>
      </c>
      <c r="C17053" t="s">
        <v>8707</v>
      </c>
      <c r="D17053">
        <v>1</v>
      </c>
      <c r="E17053">
        <v>0</v>
      </c>
      <c r="F17053">
        <v>12</v>
      </c>
    </row>
    <row r="17054" spans="1:6" ht="12.75">
      <c r="A17054" s="2">
        <v>43877.538275462968</v>
      </c>
      <c r="B17054" t="str">
        <f>HYPERLINK("https://twitter.com/Gudagulana","@Gudagulana")</f>
        <v>@Gudagulana</v>
      </c>
      <c r="C17054" t="s">
        <v>8708</v>
      </c>
      <c r="D17054">
        <v>1</v>
      </c>
      <c r="E17054">
        <v>0</v>
      </c>
      <c r="F17054">
        <v>30</v>
      </c>
    </row>
    <row r="17055" spans="1:6" ht="12.75">
      <c r="A17055" s="2">
        <v>43877.538252314815</v>
      </c>
      <c r="B17055" t="str">
        <f>HYPERLINK("https://twitter.com/cnbcindonesia","@cnbcindonesia")</f>
        <v>@cnbcindonesia</v>
      </c>
      <c r="C17055" t="s">
        <v>8008</v>
      </c>
      <c r="D17055">
        <v>1</v>
      </c>
      <c r="E17055">
        <v>0</v>
      </c>
      <c r="F17055">
        <v>30091</v>
      </c>
    </row>
    <row r="17056" spans="1:6" ht="12.75">
      <c r="A17056" s="2">
        <v>43877.538229166668</v>
      </c>
      <c r="B17056" t="str">
        <f>HYPERLINK("https://twitter.com/tyhon9","@tyhon9")</f>
        <v>@tyhon9</v>
      </c>
      <c r="C17056" t="s">
        <v>8709</v>
      </c>
      <c r="D17056">
        <v>1</v>
      </c>
      <c r="E17056">
        <v>0</v>
      </c>
      <c r="F17056">
        <v>4372</v>
      </c>
    </row>
    <row r="17057" spans="1:6" ht="12.75">
      <c r="A17057" s="2">
        <v>43877.538217592592</v>
      </c>
      <c r="B17057" t="str">
        <f>HYPERLINK("https://twitter.com/Gudagulana","@Gudagulana")</f>
        <v>@Gudagulana</v>
      </c>
      <c r="C17057" t="s">
        <v>8710</v>
      </c>
      <c r="D17057">
        <v>1</v>
      </c>
      <c r="E17057">
        <v>0</v>
      </c>
      <c r="F17057">
        <v>30</v>
      </c>
    </row>
    <row r="17058" spans="1:6" ht="12.75">
      <c r="A17058" s="2">
        <v>43877.538136574076</v>
      </c>
      <c r="B17058" t="str">
        <f>HYPERLINK("https://twitter.com/Nobynan","@Nobynan")</f>
        <v>@Nobynan</v>
      </c>
      <c r="C17058" t="s">
        <v>2444</v>
      </c>
      <c r="D17058">
        <v>4531</v>
      </c>
      <c r="E17058">
        <v>0</v>
      </c>
      <c r="F17058">
        <v>844</v>
      </c>
    </row>
    <row r="17059" spans="1:6" ht="12.75">
      <c r="A17059" s="2">
        <v>43877.538124999999</v>
      </c>
      <c r="B17059" t="str">
        <f>HYPERLINK("https://twitter.com/Dikairwan2","@Dikairwan2")</f>
        <v>@Dikairwan2</v>
      </c>
      <c r="C17059" t="s">
        <v>8711</v>
      </c>
      <c r="D17059">
        <v>1</v>
      </c>
      <c r="E17059">
        <v>0</v>
      </c>
      <c r="F17059">
        <v>1</v>
      </c>
    </row>
    <row r="17060" spans="1:6" ht="12.75">
      <c r="A17060" s="2">
        <v>43877.537986111114</v>
      </c>
      <c r="B17060" t="str">
        <f>HYPERLINK("https://twitter.com/EJunaedee","@EJunaedee")</f>
        <v>@EJunaedee</v>
      </c>
      <c r="C17060" t="s">
        <v>7913</v>
      </c>
      <c r="D17060">
        <v>3</v>
      </c>
      <c r="E17060">
        <v>0</v>
      </c>
      <c r="F17060">
        <v>150</v>
      </c>
    </row>
    <row r="17061" spans="1:6" ht="12.75">
      <c r="A17061" s="2">
        <v>43877.537881944445</v>
      </c>
      <c r="B17061" t="str">
        <f>HYPERLINK("https://twitter.com/DeAkatsuki1","@DeAkatsuki1")</f>
        <v>@DeAkatsuki1</v>
      </c>
      <c r="C17061" t="s">
        <v>8712</v>
      </c>
      <c r="D17061">
        <v>1</v>
      </c>
      <c r="E17061">
        <v>0</v>
      </c>
      <c r="F17061">
        <v>8</v>
      </c>
    </row>
    <row r="17062" spans="1:6" ht="12.75">
      <c r="A17062" s="2">
        <v>43877.537858796291</v>
      </c>
      <c r="B17062" t="str">
        <f>HYPERLINK("https://twitter.com/masdwika","@masdwika")</f>
        <v>@masdwika</v>
      </c>
      <c r="C17062" t="s">
        <v>8713</v>
      </c>
      <c r="D17062">
        <v>1</v>
      </c>
      <c r="E17062">
        <v>0</v>
      </c>
      <c r="F17062">
        <v>1904</v>
      </c>
    </row>
    <row r="17063" spans="1:6" ht="12.75">
      <c r="A17063" s="2">
        <v>43877.537754629629</v>
      </c>
      <c r="B17063" t="str">
        <f>HYPERLINK("https://twitter.com/12_ashura","@12_ashura")</f>
        <v>@12_ashura</v>
      </c>
      <c r="C17063" t="s">
        <v>8714</v>
      </c>
      <c r="D17063">
        <v>1</v>
      </c>
      <c r="E17063">
        <v>0</v>
      </c>
      <c r="F17063">
        <v>8</v>
      </c>
    </row>
    <row r="17064" spans="1:6" ht="12.75">
      <c r="A17064" s="2">
        <v>43877.53706018519</v>
      </c>
      <c r="B17064" t="str">
        <f>HYPERLINK("https://twitter.com/NalarDanLogika","@NalarDanLogika")</f>
        <v>@NalarDanLogika</v>
      </c>
      <c r="C17064" t="s">
        <v>8715</v>
      </c>
      <c r="D17064">
        <v>0</v>
      </c>
      <c r="E17064">
        <v>0</v>
      </c>
      <c r="F17064">
        <v>81</v>
      </c>
    </row>
    <row r="17065" spans="1:6" ht="12.75">
      <c r="A17065" s="2">
        <v>43877.537048611106</v>
      </c>
      <c r="B17065" t="str">
        <f>HYPERLINK("https://twitter.com/axbarock","@axbarock")</f>
        <v>@axbarock</v>
      </c>
      <c r="C17065" t="s">
        <v>8716</v>
      </c>
      <c r="D17065">
        <v>0</v>
      </c>
      <c r="E17065">
        <v>0</v>
      </c>
      <c r="F17065">
        <v>570</v>
      </c>
    </row>
    <row r="17066" spans="1:6" ht="12.75">
      <c r="A17066" s="2">
        <v>43877.536909722221</v>
      </c>
      <c r="B17066" t="str">
        <f>HYPERLINK("https://twitter.com/sayainieka","@sayainieka")</f>
        <v>@sayainieka</v>
      </c>
      <c r="C17066" t="s">
        <v>2444</v>
      </c>
      <c r="D17066">
        <v>4531</v>
      </c>
      <c r="E17066">
        <v>0</v>
      </c>
      <c r="F17066">
        <v>12</v>
      </c>
    </row>
    <row r="17067" spans="1:6" ht="12.75">
      <c r="A17067" s="2">
        <v>43877.536898148144</v>
      </c>
      <c r="B17067" t="str">
        <f>HYPERLINK("https://twitter.com/faturtakumi","@faturtakumi")</f>
        <v>@faturtakumi</v>
      </c>
      <c r="C17067" t="s">
        <v>2444</v>
      </c>
      <c r="D17067">
        <v>4531</v>
      </c>
      <c r="E17067">
        <v>0</v>
      </c>
      <c r="F17067">
        <v>15</v>
      </c>
    </row>
    <row r="17068" spans="1:6" ht="12.75">
      <c r="A17068" s="2">
        <v>43877.536817129629</v>
      </c>
      <c r="B17068" t="str">
        <f>HYPERLINK("https://twitter.com/yoojungmu","@yoojungmu")</f>
        <v>@yoojungmu</v>
      </c>
      <c r="C17068" t="s">
        <v>8717</v>
      </c>
      <c r="D17068">
        <v>2</v>
      </c>
      <c r="E17068">
        <v>0</v>
      </c>
      <c r="F17068">
        <v>8645</v>
      </c>
    </row>
    <row r="17069" spans="1:6" ht="12.75">
      <c r="A17069" s="2">
        <v>43877.536782407406</v>
      </c>
      <c r="B17069" t="str">
        <f>HYPERLINK("https://twitter.com/rkselvia","@rkselvia")</f>
        <v>@rkselvia</v>
      </c>
      <c r="C17069" t="s">
        <v>8717</v>
      </c>
      <c r="D17069">
        <v>2</v>
      </c>
      <c r="E17069">
        <v>0</v>
      </c>
      <c r="F17069">
        <v>43</v>
      </c>
    </row>
    <row r="17070" spans="1:6" ht="12.75">
      <c r="A17070" s="2">
        <v>43877.536736111113</v>
      </c>
      <c r="B17070" t="str">
        <f>HYPERLINK("https://twitter.com/voeusctal","@voeusctal")</f>
        <v>@voeusctal</v>
      </c>
      <c r="C17070" t="s">
        <v>8718</v>
      </c>
      <c r="D17070">
        <v>2</v>
      </c>
      <c r="E17070">
        <v>0</v>
      </c>
      <c r="F17070">
        <v>4644</v>
      </c>
    </row>
    <row r="17071" spans="1:6" ht="12.75">
      <c r="A17071" s="2">
        <v>43877.53670138889</v>
      </c>
      <c r="B17071" t="str">
        <f>HYPERLINK("https://twitter.com/minhyunsc","@minhyunsc")</f>
        <v>@minhyunsc</v>
      </c>
      <c r="C17071" t="s">
        <v>8718</v>
      </c>
      <c r="D17071">
        <v>2</v>
      </c>
      <c r="E17071">
        <v>0</v>
      </c>
      <c r="F17071">
        <v>7539</v>
      </c>
    </row>
    <row r="17072" spans="1:6" ht="12.75">
      <c r="A17072" s="2">
        <v>43877.536446759259</v>
      </c>
      <c r="B17072" t="str">
        <f>HYPERLINK("https://twitter.com/yoojungmu","@yoojungmu")</f>
        <v>@yoojungmu</v>
      </c>
      <c r="C17072" t="s">
        <v>8719</v>
      </c>
      <c r="D17072">
        <v>2</v>
      </c>
      <c r="E17072">
        <v>0</v>
      </c>
      <c r="F17072">
        <v>8645</v>
      </c>
    </row>
    <row r="17073" spans="1:6" ht="12.75">
      <c r="A17073" s="2">
        <v>43877.536400462966</v>
      </c>
      <c r="B17073" t="str">
        <f>HYPERLINK("https://twitter.com/rkselvia","@rkselvia")</f>
        <v>@rkselvia</v>
      </c>
      <c r="C17073" t="s">
        <v>8719</v>
      </c>
      <c r="D17073">
        <v>2</v>
      </c>
      <c r="E17073">
        <v>0</v>
      </c>
      <c r="F17073">
        <v>43</v>
      </c>
    </row>
    <row r="17074" spans="1:6" ht="12.75">
      <c r="A17074" s="2">
        <v>43877.53638888889</v>
      </c>
      <c r="B17074" t="str">
        <f>HYPERLINK("https://twitter.com/damarilham","@damarilham")</f>
        <v>@damarilham</v>
      </c>
      <c r="C17074" t="s">
        <v>8720</v>
      </c>
      <c r="D17074">
        <v>49</v>
      </c>
      <c r="E17074">
        <v>0</v>
      </c>
      <c r="F17074">
        <v>224</v>
      </c>
    </row>
    <row r="17075" spans="1:6" ht="12.75">
      <c r="A17075" s="2">
        <v>43877.536354166667</v>
      </c>
      <c r="B17075" t="str">
        <f>HYPERLINK("https://twitter.com/voeusctal","@voeusctal")</f>
        <v>@voeusctal</v>
      </c>
      <c r="C17075" t="s">
        <v>8721</v>
      </c>
      <c r="D17075">
        <v>2</v>
      </c>
      <c r="E17075">
        <v>0</v>
      </c>
      <c r="F17075">
        <v>4644</v>
      </c>
    </row>
    <row r="17076" spans="1:6" ht="12.75">
      <c r="A17076" s="2">
        <v>43877.536307870367</v>
      </c>
      <c r="B17076" t="str">
        <f>HYPERLINK("https://twitter.com/minhyunsc","@minhyunsc")</f>
        <v>@minhyunsc</v>
      </c>
      <c r="C17076" t="s">
        <v>8721</v>
      </c>
      <c r="D17076">
        <v>2</v>
      </c>
      <c r="E17076">
        <v>0</v>
      </c>
      <c r="F17076">
        <v>7539</v>
      </c>
    </row>
    <row r="17077" spans="1:6" ht="12.75">
      <c r="A17077" s="2">
        <v>43877.536250000005</v>
      </c>
      <c r="B17077" t="str">
        <f>HYPERLINK("https://twitter.com/yoojungmu","@yoojungmu")</f>
        <v>@yoojungmu</v>
      </c>
      <c r="C17077" t="s">
        <v>8722</v>
      </c>
      <c r="D17077">
        <v>2</v>
      </c>
      <c r="E17077">
        <v>0</v>
      </c>
      <c r="F17077">
        <v>8645</v>
      </c>
    </row>
    <row r="17078" spans="1:6" ht="12.75">
      <c r="A17078" s="2">
        <v>43877.536192129628</v>
      </c>
      <c r="B17078" t="str">
        <f>HYPERLINK("https://twitter.com/rkselvia","@rkselvia")</f>
        <v>@rkselvia</v>
      </c>
      <c r="C17078" t="s">
        <v>8722</v>
      </c>
      <c r="D17078">
        <v>2</v>
      </c>
      <c r="E17078">
        <v>0</v>
      </c>
      <c r="F17078">
        <v>43</v>
      </c>
    </row>
    <row r="17079" spans="1:6" ht="12.75">
      <c r="A17079" s="2">
        <v>43877.536145833335</v>
      </c>
      <c r="B17079" t="str">
        <f>HYPERLINK("https://twitter.com/voeusctal","@voeusctal")</f>
        <v>@voeusctal</v>
      </c>
      <c r="C17079" t="s">
        <v>8723</v>
      </c>
      <c r="D17079">
        <v>2</v>
      </c>
      <c r="E17079">
        <v>0</v>
      </c>
      <c r="F17079">
        <v>4644</v>
      </c>
    </row>
    <row r="17080" spans="1:6" ht="12.75">
      <c r="A17080" s="2">
        <v>43877.536099537036</v>
      </c>
      <c r="B17080" t="str">
        <f>HYPERLINK("https://twitter.com/minhyunsc","@minhyunsc")</f>
        <v>@minhyunsc</v>
      </c>
      <c r="C17080" t="s">
        <v>8723</v>
      </c>
      <c r="D17080">
        <v>2</v>
      </c>
      <c r="E17080">
        <v>0</v>
      </c>
      <c r="F17080">
        <v>7539</v>
      </c>
    </row>
    <row r="17081" spans="1:6" ht="12.75">
      <c r="A17081" s="2">
        <v>43877.535868055551</v>
      </c>
      <c r="B17081" t="str">
        <f>HYPERLINK("https://twitter.com/yoojungmu","@yoojungmu")</f>
        <v>@yoojungmu</v>
      </c>
      <c r="C17081" t="s">
        <v>8724</v>
      </c>
      <c r="D17081">
        <v>2</v>
      </c>
      <c r="E17081">
        <v>0</v>
      </c>
      <c r="F17081">
        <v>8645</v>
      </c>
    </row>
    <row r="17082" spans="1:6" ht="12.75">
      <c r="A17082" s="2">
        <v>43877.535775462966</v>
      </c>
      <c r="B17082" t="str">
        <f>HYPERLINK("https://twitter.com/rkselvia","@rkselvia")</f>
        <v>@rkselvia</v>
      </c>
      <c r="C17082" t="s">
        <v>8724</v>
      </c>
      <c r="D17082">
        <v>2</v>
      </c>
      <c r="E17082">
        <v>0</v>
      </c>
      <c r="F17082">
        <v>43</v>
      </c>
    </row>
    <row r="17083" spans="1:6" ht="12.75">
      <c r="A17083" s="2">
        <v>43877.535729166666</v>
      </c>
      <c r="B17083" t="str">
        <f>HYPERLINK("https://twitter.com/voeusctal","@voeusctal")</f>
        <v>@voeusctal</v>
      </c>
      <c r="C17083" t="s">
        <v>8725</v>
      </c>
      <c r="D17083">
        <v>2</v>
      </c>
      <c r="E17083">
        <v>0</v>
      </c>
      <c r="F17083">
        <v>4644</v>
      </c>
    </row>
    <row r="17084" spans="1:6" ht="12.75">
      <c r="A17084" s="2">
        <v>43877.535671296297</v>
      </c>
      <c r="B17084" t="str">
        <f>HYPERLINK("https://twitter.com/minhyunsc","@minhyunsc")</f>
        <v>@minhyunsc</v>
      </c>
      <c r="C17084" t="s">
        <v>8725</v>
      </c>
      <c r="D17084">
        <v>2</v>
      </c>
      <c r="E17084">
        <v>0</v>
      </c>
      <c r="F17084">
        <v>7539</v>
      </c>
    </row>
    <row r="17085" spans="1:6" ht="12.75">
      <c r="A17085" s="2">
        <v>43877.535613425927</v>
      </c>
      <c r="B17085" t="str">
        <f>HYPERLINK("https://twitter.com/i_Pras","@i_Pras")</f>
        <v>@i_Pras</v>
      </c>
      <c r="C17085" t="s">
        <v>6338</v>
      </c>
      <c r="D17085">
        <v>598</v>
      </c>
      <c r="E17085">
        <v>0</v>
      </c>
      <c r="F17085">
        <v>1044</v>
      </c>
    </row>
    <row r="17086" spans="1:6" ht="12.75">
      <c r="A17086" s="2">
        <v>43877.535590277781</v>
      </c>
      <c r="B17086" t="str">
        <f>HYPERLINK("https://twitter.com/rosniarike","@rosniarike")</f>
        <v>@rosniarike</v>
      </c>
      <c r="C17086" t="s">
        <v>8208</v>
      </c>
      <c r="D17086">
        <v>899</v>
      </c>
      <c r="E17086">
        <v>0</v>
      </c>
      <c r="F17086">
        <v>27</v>
      </c>
    </row>
    <row r="17087" spans="1:6" ht="12.75">
      <c r="A17087" s="2">
        <v>43877.535555555558</v>
      </c>
      <c r="B17087" t="str">
        <f>HYPERLINK("https://twitter.com/lenkarelie","@lenkarelie")</f>
        <v>@lenkarelie</v>
      </c>
      <c r="C17087" t="s">
        <v>8726</v>
      </c>
      <c r="D17087">
        <v>2</v>
      </c>
      <c r="E17087">
        <v>0</v>
      </c>
      <c r="F17087">
        <v>225</v>
      </c>
    </row>
    <row r="17088" spans="1:6" ht="12.75">
      <c r="A17088" s="2">
        <v>43877.535451388889</v>
      </c>
      <c r="B17088" t="str">
        <f>HYPERLINK("https://twitter.com/umaremania87","@umaremania87")</f>
        <v>@umaremania87</v>
      </c>
      <c r="C17088" t="s">
        <v>8727</v>
      </c>
      <c r="D17088">
        <v>1</v>
      </c>
      <c r="E17088">
        <v>0</v>
      </c>
      <c r="F17088">
        <v>312</v>
      </c>
    </row>
    <row r="17089" spans="1:6" ht="12.75">
      <c r="A17089" s="2">
        <v>43877.535405092596</v>
      </c>
      <c r="B17089" t="str">
        <f>HYPERLINK("https://twitter.com/Tigans2","@Tigans2")</f>
        <v>@Tigans2</v>
      </c>
      <c r="C17089" t="s">
        <v>6338</v>
      </c>
      <c r="D17089">
        <v>598</v>
      </c>
      <c r="E17089">
        <v>0</v>
      </c>
      <c r="F17089">
        <v>0</v>
      </c>
    </row>
    <row r="17090" spans="1:6" ht="12.75">
      <c r="A17090" s="2">
        <v>43877.535324074073</v>
      </c>
      <c r="B17090" t="str">
        <f>HYPERLINK("https://twitter.com/4aSunlight","@4aSunlight")</f>
        <v>@4aSunlight</v>
      </c>
      <c r="C17090" t="s">
        <v>8728</v>
      </c>
      <c r="D17090">
        <v>0</v>
      </c>
      <c r="E17090">
        <v>0</v>
      </c>
      <c r="F17090">
        <v>413</v>
      </c>
    </row>
    <row r="17091" spans="1:6" ht="12.75">
      <c r="A17091" s="2">
        <v>43877.53528935185</v>
      </c>
      <c r="B17091" t="str">
        <f>HYPERLINK("https://twitter.com/harakatuna","@harakatuna")</f>
        <v>@harakatuna</v>
      </c>
      <c r="C17091" t="s">
        <v>8729</v>
      </c>
      <c r="D17091">
        <v>0</v>
      </c>
      <c r="E17091">
        <v>0</v>
      </c>
      <c r="F17091">
        <v>408</v>
      </c>
    </row>
    <row r="17092" spans="1:6" ht="12.75">
      <c r="A17092" s="2">
        <v>43877.534629629634</v>
      </c>
      <c r="B17092" t="str">
        <f>HYPERLINK("https://twitter.com/lase_dhanil","@lase_dhanil")</f>
        <v>@lase_dhanil</v>
      </c>
      <c r="C17092" t="s">
        <v>8203</v>
      </c>
      <c r="D17092">
        <v>181</v>
      </c>
      <c r="E17092">
        <v>0</v>
      </c>
      <c r="F17092">
        <v>467</v>
      </c>
    </row>
    <row r="17093" spans="1:6" ht="12.75">
      <c r="A17093" s="2">
        <v>43877.533912037034</v>
      </c>
      <c r="B17093" t="str">
        <f>HYPERLINK("https://twitter.com/soepono42","@soepono42")</f>
        <v>@soepono42</v>
      </c>
      <c r="C17093" t="s">
        <v>6338</v>
      </c>
      <c r="D17093">
        <v>598</v>
      </c>
      <c r="E17093">
        <v>0</v>
      </c>
      <c r="F17093">
        <v>1208</v>
      </c>
    </row>
    <row r="17094" spans="1:6" ht="12.75">
      <c r="A17094" s="2">
        <v>43877.53324074074</v>
      </c>
      <c r="B17094" t="str">
        <f>HYPERLINK("https://twitter.com/BerylKlz","@BerylKlz")</f>
        <v>@BerylKlz</v>
      </c>
      <c r="C17094" t="s">
        <v>8730</v>
      </c>
      <c r="D17094">
        <v>0</v>
      </c>
      <c r="E17094">
        <v>0</v>
      </c>
      <c r="F17094">
        <v>54</v>
      </c>
    </row>
    <row r="17095" spans="1:6" ht="12.75">
      <c r="A17095" s="2">
        <v>43877.532997685186</v>
      </c>
      <c r="B17095" t="str">
        <f>HYPERLINK("https://twitter.com/idpenamini","@idpenamini")</f>
        <v>@idpenamini</v>
      </c>
      <c r="C17095" t="s">
        <v>8731</v>
      </c>
      <c r="D17095">
        <v>0</v>
      </c>
      <c r="E17095">
        <v>0</v>
      </c>
      <c r="F17095">
        <v>169</v>
      </c>
    </row>
    <row r="17096" spans="1:6" ht="12.75">
      <c r="A17096" s="2">
        <v>43877.532847222217</v>
      </c>
      <c r="B17096" t="str">
        <f>HYPERLINK("https://twitter.com/777juniblack","@777juniblack")</f>
        <v>@777juniblack</v>
      </c>
      <c r="C17096" t="s">
        <v>8732</v>
      </c>
      <c r="D17096">
        <v>3</v>
      </c>
      <c r="E17096">
        <v>0</v>
      </c>
      <c r="F17096">
        <v>2680</v>
      </c>
    </row>
    <row r="17097" spans="1:6" ht="12.75">
      <c r="A17097" s="2">
        <v>43877.53260416667</v>
      </c>
      <c r="B17097" t="str">
        <f>HYPERLINK("https://twitter.com/UAlla02","@UAlla02")</f>
        <v>@UAlla02</v>
      </c>
      <c r="C17097" t="s">
        <v>8733</v>
      </c>
      <c r="D17097">
        <v>0</v>
      </c>
      <c r="E17097">
        <v>0</v>
      </c>
      <c r="F17097">
        <v>163</v>
      </c>
    </row>
    <row r="17098" spans="1:6" ht="12.75">
      <c r="A17098" s="2">
        <v>43877.532500000001</v>
      </c>
      <c r="B17098" t="str">
        <f>HYPERLINK("https://twitter.com/NapiPKS","@NapiPKS")</f>
        <v>@NapiPKS</v>
      </c>
      <c r="C17098" t="s">
        <v>6338</v>
      </c>
      <c r="D17098">
        <v>598</v>
      </c>
      <c r="E17098">
        <v>0</v>
      </c>
      <c r="F17098">
        <v>6111</v>
      </c>
    </row>
    <row r="17099" spans="1:6" ht="12.75">
      <c r="A17099" s="2">
        <v>43877.532280092593</v>
      </c>
      <c r="B17099" t="str">
        <f>HYPERLINK("https://twitter.com/GendhisMheswari","@GendhisMheswari")</f>
        <v>@GendhisMheswari</v>
      </c>
      <c r="C17099" t="s">
        <v>8734</v>
      </c>
      <c r="D17099">
        <v>7</v>
      </c>
      <c r="E17099">
        <v>0</v>
      </c>
      <c r="F17099">
        <v>617</v>
      </c>
    </row>
    <row r="17100" spans="1:6" ht="12.75">
      <c r="A17100" s="2">
        <v>43877.532280092593</v>
      </c>
      <c r="B17100" t="str">
        <f>HYPERLINK("https://twitter.com/conan_idn","@conan_idn")</f>
        <v>@conan_idn</v>
      </c>
      <c r="C17100" t="s">
        <v>8735</v>
      </c>
      <c r="D17100">
        <v>1</v>
      </c>
      <c r="E17100">
        <v>1</v>
      </c>
      <c r="F17100">
        <v>48021</v>
      </c>
    </row>
    <row r="17101" spans="1:6" ht="12.75">
      <c r="A17101" s="2">
        <v>43877.532060185185</v>
      </c>
      <c r="B17101" t="str">
        <f>HYPERLINK("https://twitter.com/chikidzz","@chikidzz")</f>
        <v>@chikidzz</v>
      </c>
      <c r="C17101" t="s">
        <v>2444</v>
      </c>
      <c r="D17101">
        <v>4531</v>
      </c>
      <c r="E17101">
        <v>0</v>
      </c>
      <c r="F17101">
        <v>130</v>
      </c>
    </row>
    <row r="17102" spans="1:6" ht="12.75">
      <c r="A17102" s="2">
        <v>43877.531805555554</v>
      </c>
      <c r="B17102" t="str">
        <f>HYPERLINK("https://twitter.com/herlambang_tan","@herlambang_tan")</f>
        <v>@herlambang_tan</v>
      </c>
      <c r="C17102" t="s">
        <v>8736</v>
      </c>
      <c r="D17102">
        <v>1</v>
      </c>
      <c r="E17102">
        <v>0</v>
      </c>
      <c r="F17102">
        <v>2347</v>
      </c>
    </row>
    <row r="17103" spans="1:6" ht="12.75">
      <c r="A17103" s="2">
        <v>43877.531736111108</v>
      </c>
      <c r="B17103" t="str">
        <f>HYPERLINK("https://twitter.com/lilylazer7","@lilylazer7")</f>
        <v>@lilylazer7</v>
      </c>
      <c r="C17103" t="s">
        <v>8021</v>
      </c>
      <c r="D17103">
        <v>12</v>
      </c>
      <c r="E17103">
        <v>0</v>
      </c>
      <c r="F17103">
        <v>300</v>
      </c>
    </row>
    <row r="17104" spans="1:6" ht="12.75">
      <c r="A17104" s="2">
        <v>43877.531712962962</v>
      </c>
      <c r="B17104" t="str">
        <f>HYPERLINK("https://twitter.com/BORNEONEWS","@BORNEONEWS")</f>
        <v>@BORNEONEWS</v>
      </c>
      <c r="C17104" t="s">
        <v>8737</v>
      </c>
      <c r="D17104">
        <v>0</v>
      </c>
      <c r="E17104">
        <v>0</v>
      </c>
      <c r="F17104">
        <v>6857</v>
      </c>
    </row>
    <row r="17105" spans="1:6" ht="12.75">
      <c r="A17105" s="2">
        <v>43877.531365740739</v>
      </c>
      <c r="B17105" t="str">
        <f>HYPERLINK("https://twitter.com/IndonesiaRAW","@IndonesiaRAW")</f>
        <v>@IndonesiaRAW</v>
      </c>
      <c r="C17105" t="s">
        <v>8738</v>
      </c>
      <c r="D17105">
        <v>2</v>
      </c>
      <c r="E17105">
        <v>0</v>
      </c>
      <c r="F17105">
        <v>201850</v>
      </c>
    </row>
    <row r="17106" spans="1:6" ht="12.75">
      <c r="A17106" s="2">
        <v>43877.53123842593</v>
      </c>
      <c r="B17106" t="str">
        <f>HYPERLINK("https://twitter.com/_estiana_","@_estiana_")</f>
        <v>@_estiana_</v>
      </c>
      <c r="C17106" t="s">
        <v>8739</v>
      </c>
      <c r="D17106">
        <v>5</v>
      </c>
      <c r="E17106">
        <v>0</v>
      </c>
      <c r="F17106">
        <v>776</v>
      </c>
    </row>
    <row r="17107" spans="1:6" ht="12.75">
      <c r="A17107" s="2">
        <v>43877.531168981484</v>
      </c>
      <c r="B17107" t="str">
        <f>HYPERLINK("https://twitter.com/nkri_i","@nkri_i")</f>
        <v>@nkri_i</v>
      </c>
      <c r="C17107" t="s">
        <v>8740</v>
      </c>
      <c r="D17107">
        <v>0</v>
      </c>
      <c r="E17107">
        <v>0</v>
      </c>
      <c r="F17107">
        <v>673</v>
      </c>
    </row>
    <row r="17108" spans="1:6" ht="12.75">
      <c r="A17108" s="2">
        <v>43877.531122685185</v>
      </c>
      <c r="B17108" t="str">
        <f>HYPERLINK("https://twitter.com/IndonesiaRAW","@IndonesiaRAW")</f>
        <v>@IndonesiaRAW</v>
      </c>
      <c r="C17108" t="s">
        <v>8741</v>
      </c>
      <c r="D17108">
        <v>2</v>
      </c>
      <c r="E17108">
        <v>1</v>
      </c>
      <c r="F17108">
        <v>201850</v>
      </c>
    </row>
    <row r="17109" spans="1:6" ht="12.75">
      <c r="A17109" s="2">
        <v>43877.530844907407</v>
      </c>
      <c r="B17109" t="str">
        <f>HYPERLINK("https://twitter.com/sir_usil","@sir_usil")</f>
        <v>@sir_usil</v>
      </c>
      <c r="C17109" t="s">
        <v>6338</v>
      </c>
      <c r="D17109">
        <v>598</v>
      </c>
      <c r="E17109">
        <v>0</v>
      </c>
      <c r="F17109">
        <v>217</v>
      </c>
    </row>
    <row r="17110" spans="1:6" ht="12.75">
      <c r="A17110" s="2">
        <v>43877.530347222222</v>
      </c>
      <c r="B17110" t="str">
        <f>HYPERLINK("https://twitter.com/pecintagarfit","@pecintagarfit")</f>
        <v>@pecintagarfit</v>
      </c>
      <c r="C17110" t="s">
        <v>8742</v>
      </c>
      <c r="D17110">
        <v>0</v>
      </c>
      <c r="E17110">
        <v>0</v>
      </c>
      <c r="F17110">
        <v>83</v>
      </c>
    </row>
    <row r="17111" spans="1:6" ht="12.75">
      <c r="A17111" s="2">
        <v>43877.530162037037</v>
      </c>
      <c r="B17111" t="str">
        <f>HYPERLINK("https://twitter.com/BenJogja4","@BenJogja4")</f>
        <v>@BenJogja4</v>
      </c>
      <c r="C17111" t="s">
        <v>8743</v>
      </c>
      <c r="D17111">
        <v>5</v>
      </c>
      <c r="E17111">
        <v>0</v>
      </c>
      <c r="F17111">
        <v>1028</v>
      </c>
    </row>
    <row r="17112" spans="1:6" ht="12.75">
      <c r="A17112" s="2">
        <v>43877.529872685191</v>
      </c>
      <c r="B17112" t="str">
        <f>HYPERLINK("https://twitter.com/faqirah82","@faqirah82")</f>
        <v>@faqirah82</v>
      </c>
      <c r="C17112" t="s">
        <v>8744</v>
      </c>
      <c r="D17112">
        <v>5</v>
      </c>
      <c r="E17112">
        <v>0</v>
      </c>
      <c r="F17112">
        <v>1812</v>
      </c>
    </row>
    <row r="17113" spans="1:6" ht="12.75">
      <c r="A17113" s="2">
        <v>43877.529837962968</v>
      </c>
      <c r="B17113" t="str">
        <f>HYPERLINK("https://twitter.com/IrvanKurniaF","@IrvanKurniaF")</f>
        <v>@IrvanKurniaF</v>
      </c>
      <c r="C17113" t="s">
        <v>6338</v>
      </c>
      <c r="D17113">
        <v>598</v>
      </c>
      <c r="E17113">
        <v>0</v>
      </c>
      <c r="F17113">
        <v>437</v>
      </c>
    </row>
    <row r="17114" spans="1:6" ht="12.75">
      <c r="A17114" s="2">
        <v>43877.529780092591</v>
      </c>
      <c r="B17114" t="str">
        <f>HYPERLINK("https://twitter.com/IndonesiaRAW","@IndonesiaRAW")</f>
        <v>@IndonesiaRAW</v>
      </c>
      <c r="C17114" t="s">
        <v>8745</v>
      </c>
      <c r="D17114">
        <v>2</v>
      </c>
      <c r="E17114">
        <v>0</v>
      </c>
      <c r="F17114">
        <v>201850</v>
      </c>
    </row>
    <row r="17115" spans="1:6" ht="12.75">
      <c r="A17115" s="2">
        <v>43877.529548611114</v>
      </c>
      <c r="B17115" t="str">
        <f>HYPERLINK("https://twitter.com/RHNurcahyo","@RHNurcahyo")</f>
        <v>@RHNurcahyo</v>
      </c>
      <c r="C17115" t="s">
        <v>8543</v>
      </c>
      <c r="D17115">
        <v>15</v>
      </c>
      <c r="E17115">
        <v>0</v>
      </c>
      <c r="F17115">
        <v>458</v>
      </c>
    </row>
    <row r="17116" spans="1:6" ht="12.75">
      <c r="A17116" s="2">
        <v>43877.501481481479</v>
      </c>
      <c r="B17116" t="str">
        <f>HYPERLINK("https://twitter.com/mudha_satriya","@mudha_satriya")</f>
        <v>@mudha_satriya</v>
      </c>
      <c r="C17116" t="s">
        <v>7595</v>
      </c>
      <c r="D17116">
        <v>3</v>
      </c>
      <c r="E17116">
        <v>0</v>
      </c>
      <c r="F17116">
        <v>1875</v>
      </c>
    </row>
    <row r="17117" spans="1:6" ht="12.75">
      <c r="A17117" s="2">
        <v>43877.500856481478</v>
      </c>
      <c r="B17117" t="str">
        <f>HYPERLINK("https://twitter.com/Pithenk1","@Pithenk1")</f>
        <v>@Pithenk1</v>
      </c>
      <c r="C17117" t="s">
        <v>8746</v>
      </c>
      <c r="D17117">
        <v>0</v>
      </c>
      <c r="E17117">
        <v>0</v>
      </c>
      <c r="F17117">
        <v>44</v>
      </c>
    </row>
    <row r="17118" spans="1:6" ht="12.75">
      <c r="A17118" s="2">
        <v>43877.500856481478</v>
      </c>
      <c r="B17118" t="str">
        <f>HYPERLINK("https://twitter.com/PojokNU","@PojokNU")</f>
        <v>@PojokNU</v>
      </c>
      <c r="C17118" t="s">
        <v>8747</v>
      </c>
      <c r="D17118">
        <v>0</v>
      </c>
      <c r="E17118">
        <v>0</v>
      </c>
      <c r="F17118">
        <v>699</v>
      </c>
    </row>
    <row r="17119" spans="1:6" ht="12.75">
      <c r="A17119" s="2">
        <v>43877.500289351854</v>
      </c>
      <c r="B17119" t="str">
        <f>HYPERLINK("https://twitter.com/yudha666prtma","@yudha666prtma")</f>
        <v>@yudha666prtma</v>
      </c>
      <c r="C17119" t="s">
        <v>8748</v>
      </c>
      <c r="D17119">
        <v>0</v>
      </c>
      <c r="E17119">
        <v>0</v>
      </c>
      <c r="F17119">
        <v>76</v>
      </c>
    </row>
    <row r="17120" spans="1:6" ht="12.75">
      <c r="A17120" s="2">
        <v>43877.499942129631</v>
      </c>
      <c r="B17120" t="str">
        <f>HYPERLINK("https://twitter.com/MeymaesarohF","@MeymaesarohF")</f>
        <v>@MeymaesarohF</v>
      </c>
      <c r="C17120" t="s">
        <v>7814</v>
      </c>
      <c r="D17120">
        <v>4</v>
      </c>
      <c r="E17120">
        <v>0</v>
      </c>
      <c r="F17120">
        <v>7</v>
      </c>
    </row>
    <row r="17121" spans="1:6" ht="12.75">
      <c r="A17121" s="2">
        <v>43877.499745370369</v>
      </c>
      <c r="B17121" t="str">
        <f>HYPERLINK("https://twitter.com/danielgintingm","@danielgintingm")</f>
        <v>@danielgintingm</v>
      </c>
      <c r="C17121" t="s">
        <v>8749</v>
      </c>
      <c r="D17121">
        <v>0</v>
      </c>
      <c r="E17121">
        <v>0</v>
      </c>
      <c r="F17121">
        <v>1001</v>
      </c>
    </row>
    <row r="17122" spans="1:6" ht="12.75">
      <c r="A17122" s="2">
        <v>43877.499537037038</v>
      </c>
      <c r="B17122" t="str">
        <f>HYPERLINK("https://twitter.com/swaosHD","@swaosHD")</f>
        <v>@swaosHD</v>
      </c>
      <c r="C17122" t="s">
        <v>8750</v>
      </c>
      <c r="D17122">
        <v>0</v>
      </c>
      <c r="E17122">
        <v>1</v>
      </c>
      <c r="F17122">
        <v>19</v>
      </c>
    </row>
    <row r="17123" spans="1:6" ht="12.75">
      <c r="A17123" s="2">
        <v>43877.499490740738</v>
      </c>
      <c r="B17123" t="str">
        <f>HYPERLINK("https://twitter.com/karmatiranda","@karmatiranda")</f>
        <v>@karmatiranda</v>
      </c>
      <c r="C17123" t="s">
        <v>8751</v>
      </c>
      <c r="D17123">
        <v>0</v>
      </c>
      <c r="E17123">
        <v>0</v>
      </c>
      <c r="F17123">
        <v>6</v>
      </c>
    </row>
    <row r="17124" spans="1:6" ht="12.75">
      <c r="A17124" s="2">
        <v>43877.499490740738</v>
      </c>
      <c r="B17124" t="str">
        <f t="shared" ref="B17124:B17125" si="287">HYPERLINK("https://twitter.com/mudha_satriya","@mudha_satriya")</f>
        <v>@mudha_satriya</v>
      </c>
      <c r="C17124" t="s">
        <v>8752</v>
      </c>
      <c r="D17124">
        <v>1</v>
      </c>
      <c r="E17124">
        <v>0</v>
      </c>
      <c r="F17124">
        <v>1875</v>
      </c>
    </row>
    <row r="17125" spans="1:6" ht="12.75">
      <c r="A17125" s="2">
        <v>43877.499409722222</v>
      </c>
      <c r="B17125" t="str">
        <f t="shared" si="287"/>
        <v>@mudha_satriya</v>
      </c>
      <c r="C17125" t="s">
        <v>8753</v>
      </c>
      <c r="D17125">
        <v>1</v>
      </c>
      <c r="E17125">
        <v>0</v>
      </c>
      <c r="F17125">
        <v>1875</v>
      </c>
    </row>
    <row r="17126" spans="1:6" ht="12.75">
      <c r="A17126" s="2">
        <v>43877.49931712963</v>
      </c>
      <c r="B17126" t="str">
        <f>HYPERLINK("https://twitter.com/02fc71ba00c2451","@02fc71ba00c2451")</f>
        <v>@02fc71ba00c2451</v>
      </c>
      <c r="C17126" t="s">
        <v>8754</v>
      </c>
      <c r="D17126">
        <v>96</v>
      </c>
      <c r="E17126">
        <v>0</v>
      </c>
      <c r="F17126">
        <v>409</v>
      </c>
    </row>
    <row r="17127" spans="1:6" ht="12.75">
      <c r="A17127" s="2">
        <v>43877.499247685184</v>
      </c>
      <c r="B17127" t="str">
        <f>HYPERLINK("https://twitter.com/D4D4NGLH","@D4D4NGLH")</f>
        <v>@D4D4NGLH</v>
      </c>
      <c r="C17127" t="s">
        <v>7956</v>
      </c>
      <c r="D17127">
        <v>26</v>
      </c>
      <c r="E17127">
        <v>0</v>
      </c>
      <c r="F17127">
        <v>933</v>
      </c>
    </row>
    <row r="17128" spans="1:6" ht="12.75">
      <c r="A17128" s="2">
        <v>43877.499212962968</v>
      </c>
      <c r="B17128" t="str">
        <f>HYPERLINK("https://twitter.com/yuliaboe1","@yuliaboe1")</f>
        <v>@yuliaboe1</v>
      </c>
      <c r="C17128" t="s">
        <v>6338</v>
      </c>
      <c r="D17128">
        <v>564</v>
      </c>
      <c r="E17128">
        <v>0</v>
      </c>
      <c r="F17128">
        <v>11</v>
      </c>
    </row>
    <row r="17129" spans="1:6" ht="12.75">
      <c r="A17129" s="2">
        <v>43877.498819444445</v>
      </c>
      <c r="B17129" t="str">
        <f>HYPERLINK("https://twitter.com/AlvaroDeBazan2","@AlvaroDeBazan2")</f>
        <v>@AlvaroDeBazan2</v>
      </c>
      <c r="C17129" t="s">
        <v>8601</v>
      </c>
      <c r="D17129">
        <v>1</v>
      </c>
      <c r="E17129">
        <v>0</v>
      </c>
      <c r="F17129">
        <v>247</v>
      </c>
    </row>
    <row r="17130" spans="1:6" ht="12.75">
      <c r="A17130" s="2">
        <v>43877.497592592597</v>
      </c>
      <c r="B17130" t="str">
        <f>HYPERLINK("https://twitter.com/MadingIndonesia","@MadingIndonesia")</f>
        <v>@MadingIndonesia</v>
      </c>
      <c r="C17130" t="s">
        <v>8755</v>
      </c>
      <c r="D17130">
        <v>0</v>
      </c>
      <c r="E17130">
        <v>0</v>
      </c>
      <c r="F17130">
        <v>8</v>
      </c>
    </row>
    <row r="17131" spans="1:6" ht="12.75">
      <c r="A17131" s="2">
        <v>43877.497372685189</v>
      </c>
      <c r="B17131" t="str">
        <f>HYPERLINK("https://twitter.com/j_manra","@j_manra")</f>
        <v>@j_manra</v>
      </c>
      <c r="C17131" t="s">
        <v>8756</v>
      </c>
      <c r="D17131">
        <v>0</v>
      </c>
      <c r="E17131">
        <v>0</v>
      </c>
      <c r="F17131">
        <v>279</v>
      </c>
    </row>
    <row r="17132" spans="1:6" ht="12.75">
      <c r="A17132" s="2">
        <v>43877.497291666667</v>
      </c>
      <c r="B17132" t="str">
        <f>HYPERLINK("https://twitter.com/Maswiro3","@Maswiro3")</f>
        <v>@Maswiro3</v>
      </c>
      <c r="C17132" t="s">
        <v>7259</v>
      </c>
      <c r="D17132">
        <v>44</v>
      </c>
      <c r="E17132">
        <v>0</v>
      </c>
      <c r="F17132">
        <v>1677</v>
      </c>
    </row>
    <row r="17133" spans="1:6" ht="12.75">
      <c r="A17133" s="2">
        <v>43877.49726851852</v>
      </c>
      <c r="B17133" t="str">
        <f>HYPERLINK("https://twitter.com/Sketsa_","@Sketsa_")</f>
        <v>@Sketsa_</v>
      </c>
      <c r="C17133" t="s">
        <v>8757</v>
      </c>
      <c r="D17133">
        <v>1</v>
      </c>
      <c r="E17133">
        <v>0</v>
      </c>
      <c r="F17133">
        <v>424</v>
      </c>
    </row>
    <row r="17134" spans="1:6" ht="12.75">
      <c r="A17134" s="2">
        <v>43877.497245370367</v>
      </c>
      <c r="B17134" t="str">
        <f>HYPERLINK("https://twitter.com/KompasTV","@KompasTV")</f>
        <v>@KompasTV</v>
      </c>
      <c r="C17134" t="s">
        <v>8758</v>
      </c>
      <c r="D17134">
        <v>0</v>
      </c>
      <c r="E17134">
        <v>0</v>
      </c>
      <c r="F17134">
        <v>2942137</v>
      </c>
    </row>
    <row r="17135" spans="1:6" ht="12.75">
      <c r="A17135" s="2">
        <v>43877.497187500005</v>
      </c>
      <c r="B17135" t="str">
        <f>HYPERLINK("https://twitter.com/beruang_gembul","@beruang_gembul")</f>
        <v>@beruang_gembul</v>
      </c>
      <c r="C17135" t="s">
        <v>6338</v>
      </c>
      <c r="D17135">
        <v>564</v>
      </c>
      <c r="E17135">
        <v>0</v>
      </c>
      <c r="F17135">
        <v>115</v>
      </c>
    </row>
    <row r="17136" spans="1:6" ht="12.75">
      <c r="A17136" s="2">
        <v>43877.497118055559</v>
      </c>
      <c r="B17136" t="str">
        <f>HYPERLINK("https://twitter.com/HendroJenn","@HendroJenn")</f>
        <v>@HendroJenn</v>
      </c>
      <c r="C17136" t="s">
        <v>8759</v>
      </c>
      <c r="D17136">
        <v>0</v>
      </c>
      <c r="E17136">
        <v>0</v>
      </c>
      <c r="F17136">
        <v>312</v>
      </c>
    </row>
    <row r="17137" spans="1:6" ht="12.75">
      <c r="A17137" s="2">
        <v>43877.496631944443</v>
      </c>
      <c r="B17137" t="str">
        <f>HYPERLINK("https://twitter.com/henrysaudale","@henrysaudale")</f>
        <v>@henrysaudale</v>
      </c>
      <c r="C17137" t="s">
        <v>8760</v>
      </c>
      <c r="D17137">
        <v>0</v>
      </c>
      <c r="E17137">
        <v>0</v>
      </c>
      <c r="F17137">
        <v>1319</v>
      </c>
    </row>
    <row r="17138" spans="1:6" ht="12.75">
      <c r="A17138" s="2">
        <v>43877.496527777781</v>
      </c>
      <c r="B17138" t="str">
        <f>HYPERLINK("https://twitter.com/FYozze","@FYozze")</f>
        <v>@FYozze</v>
      </c>
      <c r="C17138" t="s">
        <v>6338</v>
      </c>
      <c r="D17138">
        <v>564</v>
      </c>
      <c r="E17138">
        <v>0</v>
      </c>
      <c r="F17138">
        <v>1425</v>
      </c>
    </row>
    <row r="17139" spans="1:6" ht="12.75">
      <c r="A17139" s="2">
        <v>43877.496388888889</v>
      </c>
      <c r="B17139" t="str">
        <f>HYPERLINK("https://twitter.com/dashouts","@dashouts")</f>
        <v>@dashouts</v>
      </c>
      <c r="C17139" t="s">
        <v>2444</v>
      </c>
      <c r="D17139">
        <v>4523</v>
      </c>
      <c r="E17139">
        <v>0</v>
      </c>
      <c r="F17139">
        <v>5</v>
      </c>
    </row>
    <row r="17140" spans="1:6" ht="12.75">
      <c r="A17140" s="2">
        <v>43877.496342592596</v>
      </c>
      <c r="B17140" t="str">
        <f t="shared" ref="B17140:B17141" si="288">HYPERLINK("https://twitter.com/sunarko_suwito","@sunarko_suwito")</f>
        <v>@sunarko_suwito</v>
      </c>
      <c r="C17140" t="s">
        <v>8761</v>
      </c>
      <c r="D17140">
        <v>1</v>
      </c>
      <c r="E17140">
        <v>0</v>
      </c>
      <c r="F17140">
        <v>9</v>
      </c>
    </row>
    <row r="17141" spans="1:6" ht="12.75">
      <c r="A17141" s="2">
        <v>43877.496307870373</v>
      </c>
      <c r="B17141" t="str">
        <f t="shared" si="288"/>
        <v>@sunarko_suwito</v>
      </c>
      <c r="C17141" t="s">
        <v>8762</v>
      </c>
      <c r="D17141">
        <v>1</v>
      </c>
      <c r="E17141">
        <v>0</v>
      </c>
      <c r="F17141">
        <v>9</v>
      </c>
    </row>
    <row r="17142" spans="1:6" ht="12.75">
      <c r="A17142" s="2">
        <v>43877.495844907404</v>
      </c>
      <c r="B17142" t="str">
        <f>HYPERLINK("https://twitter.com/HeriFerdinand5","@HeriFerdinand5")</f>
        <v>@HeriFerdinand5</v>
      </c>
      <c r="C17142" t="s">
        <v>7259</v>
      </c>
      <c r="D17142">
        <v>44</v>
      </c>
      <c r="E17142">
        <v>0</v>
      </c>
      <c r="F17142">
        <v>2850</v>
      </c>
    </row>
    <row r="17143" spans="1:6" ht="12.75">
      <c r="A17143" s="2">
        <v>43877.495752314819</v>
      </c>
      <c r="B17143" t="str">
        <f>HYPERLINK("https://twitter.com/canthingku","@canthingku")</f>
        <v>@canthingku</v>
      </c>
      <c r="C17143" t="s">
        <v>6338</v>
      </c>
      <c r="D17143">
        <v>564</v>
      </c>
      <c r="E17143">
        <v>0</v>
      </c>
      <c r="F17143">
        <v>1078</v>
      </c>
    </row>
    <row r="17144" spans="1:6" ht="12.75">
      <c r="A17144" s="2">
        <v>43877.495682870373</v>
      </c>
      <c r="B17144" t="str">
        <f>HYPERLINK("https://twitter.com/mudha_satriya","@mudha_satriya")</f>
        <v>@mudha_satriya</v>
      </c>
      <c r="C17144" t="s">
        <v>8763</v>
      </c>
      <c r="D17144">
        <v>1</v>
      </c>
      <c r="E17144">
        <v>0</v>
      </c>
      <c r="F17144">
        <v>1875</v>
      </c>
    </row>
    <row r="17145" spans="1:6" ht="12.75">
      <c r="A17145" s="2">
        <v>43877.495393518519</v>
      </c>
      <c r="B17145" t="str">
        <f>HYPERLINK("https://twitter.com/AntonHamid1","@AntonHamid1")</f>
        <v>@AntonHamid1</v>
      </c>
      <c r="C17145" t="s">
        <v>8105</v>
      </c>
      <c r="D17145">
        <v>2</v>
      </c>
      <c r="E17145">
        <v>0</v>
      </c>
      <c r="F17145">
        <v>32</v>
      </c>
    </row>
    <row r="17146" spans="1:6" ht="12.75">
      <c r="A17146" s="2">
        <v>43877.49518518518</v>
      </c>
      <c r="B17146" t="str">
        <f>HYPERLINK("https://twitter.com/dugongjelitaaa","@dugongjelitaaa")</f>
        <v>@dugongjelitaaa</v>
      </c>
      <c r="C17146" t="s">
        <v>2444</v>
      </c>
      <c r="D17146">
        <v>4523</v>
      </c>
      <c r="E17146">
        <v>0</v>
      </c>
      <c r="F17146">
        <v>139</v>
      </c>
    </row>
    <row r="17147" spans="1:6" ht="12.75">
      <c r="A17147" s="2">
        <v>43877.494942129633</v>
      </c>
      <c r="B17147" t="str">
        <f>HYPERLINK("https://twitter.com/kepriinfo","@kepriinfo")</f>
        <v>@kepriinfo</v>
      </c>
      <c r="C17147" t="s">
        <v>8764</v>
      </c>
      <c r="D17147">
        <v>0</v>
      </c>
      <c r="E17147">
        <v>0</v>
      </c>
      <c r="F17147">
        <v>18706</v>
      </c>
    </row>
    <row r="17148" spans="1:6" ht="12.75">
      <c r="A17148" s="2">
        <v>43877.494930555556</v>
      </c>
      <c r="B17148" t="str">
        <f>HYPERLINK("https://twitter.com/arjunakiriti","@arjunakiriti")</f>
        <v>@arjunakiriti</v>
      </c>
      <c r="C17148" t="s">
        <v>6825</v>
      </c>
      <c r="D17148">
        <v>23</v>
      </c>
      <c r="E17148">
        <v>0</v>
      </c>
      <c r="F17148">
        <v>383</v>
      </c>
    </row>
    <row r="17149" spans="1:6" ht="12.75">
      <c r="A17149" s="2">
        <v>43877.49491898148</v>
      </c>
      <c r="B17149" t="str">
        <f>HYPERLINK("https://twitter.com/PRESMEDIA_id","@PRESMEDIA_id")</f>
        <v>@PRESMEDIA_id</v>
      </c>
      <c r="C17149" t="s">
        <v>8764</v>
      </c>
      <c r="D17149">
        <v>0</v>
      </c>
      <c r="E17149">
        <v>0</v>
      </c>
      <c r="F17149">
        <v>12</v>
      </c>
    </row>
    <row r="17150" spans="1:6" ht="12.75">
      <c r="A17150" s="2">
        <v>43877.494687500002</v>
      </c>
      <c r="B17150" t="str">
        <f>HYPERLINK("https://twitter.com/integrity160171","@integrity160171")</f>
        <v>@integrity160171</v>
      </c>
      <c r="C17150" t="s">
        <v>7913</v>
      </c>
      <c r="D17150">
        <v>2</v>
      </c>
      <c r="E17150">
        <v>0</v>
      </c>
      <c r="F17150">
        <v>494</v>
      </c>
    </row>
    <row r="17151" spans="1:6" ht="12.75">
      <c r="A17151" s="2">
        <v>43877.494652777779</v>
      </c>
      <c r="B17151" t="str">
        <f>HYPERLINK("https://twitter.com/CIIA_Ind","@CIIA_Ind")</f>
        <v>@CIIA_Ind</v>
      </c>
      <c r="C17151" t="s">
        <v>8765</v>
      </c>
      <c r="D17151">
        <v>0</v>
      </c>
      <c r="E17151">
        <v>0</v>
      </c>
      <c r="F17151">
        <v>179</v>
      </c>
    </row>
    <row r="17152" spans="1:6" ht="12.75">
      <c r="A17152" s="2">
        <v>43877.494641203702</v>
      </c>
      <c r="B17152" t="str">
        <f>HYPERLINK("https://twitter.com/timandteam2","@timandteam2")</f>
        <v>@timandteam2</v>
      </c>
      <c r="C17152" t="s">
        <v>6338</v>
      </c>
      <c r="D17152">
        <v>564</v>
      </c>
      <c r="E17152">
        <v>0</v>
      </c>
      <c r="F17152">
        <v>65</v>
      </c>
    </row>
    <row r="17153" spans="1:6" ht="12.75">
      <c r="A17153" s="2">
        <v>43877.494525462964</v>
      </c>
      <c r="B17153" t="str">
        <f>HYPERLINK("https://twitter.com/elHurryKoRn","@elHurryKoRn")</f>
        <v>@elHurryKoRn</v>
      </c>
      <c r="C17153" t="s">
        <v>8766</v>
      </c>
      <c r="D17153">
        <v>1</v>
      </c>
      <c r="E17153">
        <v>3</v>
      </c>
      <c r="F17153">
        <v>19227</v>
      </c>
    </row>
    <row r="17154" spans="1:6" ht="12.75">
      <c r="A17154" s="2">
        <v>43877.494479166664</v>
      </c>
      <c r="B17154" t="str">
        <f>HYPERLINK("https://twitter.com/Sudung57052195","@Sudung57052195")</f>
        <v>@Sudung57052195</v>
      </c>
      <c r="C17154" t="s">
        <v>8767</v>
      </c>
      <c r="D17154">
        <v>0</v>
      </c>
      <c r="E17154">
        <v>0</v>
      </c>
      <c r="F17154">
        <v>0</v>
      </c>
    </row>
    <row r="17155" spans="1:6" ht="12.75">
      <c r="A17155" s="2">
        <v>43877.493958333333</v>
      </c>
      <c r="B17155" t="str">
        <f>HYPERLINK("https://twitter.com/jawapos","@jawapos")</f>
        <v>@jawapos</v>
      </c>
      <c r="C17155" t="s">
        <v>8768</v>
      </c>
      <c r="D17155">
        <v>1</v>
      </c>
      <c r="E17155">
        <v>1</v>
      </c>
      <c r="F17155">
        <v>117238</v>
      </c>
    </row>
    <row r="17156" spans="1:6" ht="12.75">
      <c r="A17156" s="2">
        <v>43877.493784722217</v>
      </c>
      <c r="B17156" t="str">
        <f>HYPERLINK("https://twitter.com/HvzIndo","@HvzIndo")</f>
        <v>@HvzIndo</v>
      </c>
      <c r="C17156" t="s">
        <v>6338</v>
      </c>
      <c r="D17156">
        <v>564</v>
      </c>
      <c r="E17156">
        <v>0</v>
      </c>
      <c r="F17156">
        <v>85</v>
      </c>
    </row>
    <row r="17157" spans="1:6" ht="12.75">
      <c r="A17157" s="2">
        <v>43877.493761574078</v>
      </c>
      <c r="B17157" t="str">
        <f>HYPERLINK("https://twitter.com/taksukabegitu","@taksukabegitu")</f>
        <v>@taksukabegitu</v>
      </c>
      <c r="C17157" t="s">
        <v>8769</v>
      </c>
      <c r="D17157">
        <v>0</v>
      </c>
      <c r="E17157">
        <v>0</v>
      </c>
      <c r="F17157">
        <v>35</v>
      </c>
    </row>
    <row r="17158" spans="1:6" ht="12.75">
      <c r="A17158" s="2">
        <v>43877.493530092594</v>
      </c>
      <c r="B17158" t="str">
        <f>HYPERLINK("https://twitter.com/erispie","@erispie")</f>
        <v>@erispie</v>
      </c>
      <c r="C17158" t="s">
        <v>8770</v>
      </c>
      <c r="D17158">
        <v>4</v>
      </c>
      <c r="E17158">
        <v>0</v>
      </c>
      <c r="F17158">
        <v>863</v>
      </c>
    </row>
    <row r="17159" spans="1:6" ht="12.75">
      <c r="A17159" s="2">
        <v>43877.493344907409</v>
      </c>
      <c r="B17159" t="str">
        <f>HYPERLINK("https://twitter.com/RikiFernanda14","@RikiFernanda14")</f>
        <v>@RikiFernanda14</v>
      </c>
      <c r="C17159" t="s">
        <v>513</v>
      </c>
      <c r="D17159">
        <v>23183</v>
      </c>
      <c r="E17159">
        <v>0</v>
      </c>
      <c r="F17159">
        <v>13</v>
      </c>
    </row>
    <row r="17160" spans="1:6" ht="12.75">
      <c r="A17160" s="2">
        <v>43877.493310185186</v>
      </c>
      <c r="B17160" t="str">
        <f>HYPERLINK("https://twitter.com/medcom_id","@medcom_id")</f>
        <v>@medcom_id</v>
      </c>
      <c r="C17160" t="s">
        <v>8771</v>
      </c>
      <c r="D17160">
        <v>0</v>
      </c>
      <c r="E17160">
        <v>1</v>
      </c>
      <c r="F17160">
        <v>18148</v>
      </c>
    </row>
    <row r="17161" spans="1:6" ht="12.75">
      <c r="A17161" s="2">
        <v>43877.493275462963</v>
      </c>
      <c r="B17161" t="str">
        <f>HYPERLINK("https://twitter.com/BeritaCenter","@BeritaCenter")</f>
        <v>@BeritaCenter</v>
      </c>
      <c r="C17161" t="s">
        <v>8772</v>
      </c>
      <c r="D17161">
        <v>0</v>
      </c>
      <c r="E17161">
        <v>0</v>
      </c>
      <c r="F17161">
        <v>9429</v>
      </c>
    </row>
    <row r="17162" spans="1:6" ht="12.75">
      <c r="A17162" s="2">
        <v>43877.49324074074</v>
      </c>
      <c r="B17162" t="str">
        <f>HYPERLINK("https://twitter.com/Sentjoko","@Sentjoko")</f>
        <v>@Sentjoko</v>
      </c>
      <c r="C17162" t="s">
        <v>8773</v>
      </c>
      <c r="D17162">
        <v>0</v>
      </c>
      <c r="E17162">
        <v>0</v>
      </c>
      <c r="F17162">
        <v>1476</v>
      </c>
    </row>
    <row r="17163" spans="1:6" ht="12.75">
      <c r="A17163" s="2">
        <v>43877.493229166663</v>
      </c>
      <c r="B17163" t="str">
        <f>HYPERLINK("https://twitter.com/ephraym8","@ephraym8")</f>
        <v>@ephraym8</v>
      </c>
      <c r="C17163" t="s">
        <v>8774</v>
      </c>
      <c r="D17163">
        <v>125</v>
      </c>
      <c r="E17163">
        <v>0</v>
      </c>
      <c r="F17163">
        <v>1123</v>
      </c>
    </row>
    <row r="17164" spans="1:6" ht="12.75">
      <c r="A17164" s="2">
        <v>43877.49291666667</v>
      </c>
      <c r="B17164" t="str">
        <f>HYPERLINK("https://twitter.com/erispie","@erispie")</f>
        <v>@erispie</v>
      </c>
      <c r="C17164" t="s">
        <v>7905</v>
      </c>
      <c r="D17164">
        <v>65</v>
      </c>
      <c r="E17164">
        <v>0</v>
      </c>
      <c r="F17164">
        <v>863</v>
      </c>
    </row>
    <row r="17165" spans="1:6" ht="12.75">
      <c r="A17165" s="2">
        <v>43877.492835648147</v>
      </c>
      <c r="B17165" t="str">
        <f>HYPERLINK("https://twitter.com/Vaniasonia1","@Vaniasonia1")</f>
        <v>@Vaniasonia1</v>
      </c>
      <c r="C17165" t="s">
        <v>8203</v>
      </c>
      <c r="D17165">
        <v>176</v>
      </c>
      <c r="E17165">
        <v>0</v>
      </c>
      <c r="F17165">
        <v>38</v>
      </c>
    </row>
    <row r="17166" spans="1:6" ht="12.75">
      <c r="A17166" s="2">
        <v>43877.492800925931</v>
      </c>
      <c r="B17166" t="str">
        <f>HYPERLINK("https://twitter.com/dstrkusumast","@dstrkusumast")</f>
        <v>@dstrkusumast</v>
      </c>
      <c r="C17166" t="s">
        <v>8775</v>
      </c>
      <c r="D17166">
        <v>0</v>
      </c>
      <c r="E17166">
        <v>0</v>
      </c>
      <c r="F17166">
        <v>35</v>
      </c>
    </row>
    <row r="17167" spans="1:6" ht="12.75">
      <c r="A17167" s="2">
        <v>43877.492615740739</v>
      </c>
      <c r="B17167" t="str">
        <f>HYPERLINK("https://twitter.com/RadioElshinta","@RadioElshinta")</f>
        <v>@RadioElshinta</v>
      </c>
      <c r="C17167" t="s">
        <v>8776</v>
      </c>
      <c r="D17167">
        <v>0</v>
      </c>
      <c r="E17167">
        <v>1</v>
      </c>
      <c r="F17167">
        <v>3633467</v>
      </c>
    </row>
    <row r="17168" spans="1:6" ht="12.75">
      <c r="A17168" s="2">
        <v>43877.492384259254</v>
      </c>
      <c r="B17168" t="str">
        <f>HYPERLINK("https://twitter.com/john65802895","@john65802895")</f>
        <v>@john65802895</v>
      </c>
      <c r="C17168" t="s">
        <v>8777</v>
      </c>
      <c r="D17168">
        <v>0</v>
      </c>
      <c r="E17168">
        <v>0</v>
      </c>
      <c r="F17168">
        <v>33</v>
      </c>
    </row>
    <row r="17169" spans="1:6" ht="12.75">
      <c r="A17169" s="2">
        <v>43877.491990740746</v>
      </c>
      <c r="B17169" t="str">
        <f>HYPERLINK("https://twitter.com/KodokBankkong","@KodokBankkong")</f>
        <v>@KodokBankkong</v>
      </c>
      <c r="C17169" t="s">
        <v>8203</v>
      </c>
      <c r="D17169">
        <v>176</v>
      </c>
      <c r="E17169">
        <v>0</v>
      </c>
      <c r="F17169">
        <v>507</v>
      </c>
    </row>
    <row r="17170" spans="1:6" ht="12.75">
      <c r="A17170" s="2">
        <v>43877.491840277777</v>
      </c>
      <c r="B17170" t="str">
        <f>HYPERLINK("https://twitter.com/Bugshatesnake","@Bugshatesnake")</f>
        <v>@Bugshatesnake</v>
      </c>
      <c r="C17170" t="s">
        <v>8778</v>
      </c>
      <c r="D17170">
        <v>0</v>
      </c>
      <c r="E17170">
        <v>0</v>
      </c>
      <c r="F17170">
        <v>55</v>
      </c>
    </row>
    <row r="17171" spans="1:6" ht="12.75">
      <c r="A17171" s="2">
        <v>43877.491655092592</v>
      </c>
      <c r="B17171" t="str">
        <f>HYPERLINK("https://twitter.com/xo_chimay","@xo_chimay")</f>
        <v>@xo_chimay</v>
      </c>
      <c r="C17171" t="s">
        <v>2147</v>
      </c>
      <c r="D17171">
        <v>524</v>
      </c>
      <c r="E17171">
        <v>0</v>
      </c>
      <c r="F17171">
        <v>11</v>
      </c>
    </row>
    <row r="17172" spans="1:6" ht="12.75">
      <c r="A17172" s="2">
        <v>43877.491412037038</v>
      </c>
      <c r="B17172" t="str">
        <f>HYPERLINK("https://twitter.com/KedaiPenaCom","@KedaiPenaCom")</f>
        <v>@KedaiPenaCom</v>
      </c>
      <c r="C17172" t="s">
        <v>8779</v>
      </c>
      <c r="D17172">
        <v>1</v>
      </c>
      <c r="E17172">
        <v>0</v>
      </c>
      <c r="F17172">
        <v>696</v>
      </c>
    </row>
    <row r="17173" spans="1:6" ht="12.75">
      <c r="A17173" s="2">
        <v>43877.491273148145</v>
      </c>
      <c r="B17173" t="str">
        <f>HYPERLINK("https://twitter.com/kikitibiki","@kikitibiki")</f>
        <v>@kikitibiki</v>
      </c>
      <c r="C17173" t="s">
        <v>2147</v>
      </c>
      <c r="D17173">
        <v>524</v>
      </c>
      <c r="E17173">
        <v>0</v>
      </c>
      <c r="F17173">
        <v>135</v>
      </c>
    </row>
    <row r="17174" spans="1:6" ht="12.75">
      <c r="A17174" s="2">
        <v>43877.491145833337</v>
      </c>
      <c r="B17174" t="str">
        <f>HYPERLINK("https://twitter.com/ceknricekcom_id","@ceknricekcom_id")</f>
        <v>@ceknricekcom_id</v>
      </c>
      <c r="C17174" t="s">
        <v>8780</v>
      </c>
      <c r="D17174">
        <v>0</v>
      </c>
      <c r="E17174">
        <v>1</v>
      </c>
      <c r="F17174">
        <v>29561</v>
      </c>
    </row>
    <row r="17175" spans="1:6" ht="12.75">
      <c r="A17175" s="2">
        <v>43877.491145833337</v>
      </c>
      <c r="B17175" t="str">
        <f>HYPERLINK("https://twitter.com/puji1809","@puji1809")</f>
        <v>@puji1809</v>
      </c>
      <c r="C17175" t="s">
        <v>7662</v>
      </c>
      <c r="D17175">
        <v>535</v>
      </c>
      <c r="E17175">
        <v>0</v>
      </c>
      <c r="F17175">
        <v>62</v>
      </c>
    </row>
    <row r="17176" spans="1:6" ht="12.75">
      <c r="A17176" s="2">
        <v>43877.491111111114</v>
      </c>
      <c r="B17176" t="str">
        <f>HYPERLINK("https://twitter.com/NeidiAli","@NeidiAli")</f>
        <v>@NeidiAli</v>
      </c>
      <c r="C17176" t="s">
        <v>7595</v>
      </c>
      <c r="D17176">
        <v>3</v>
      </c>
      <c r="E17176">
        <v>0</v>
      </c>
      <c r="F17176">
        <v>732</v>
      </c>
    </row>
    <row r="17177" spans="1:6" ht="12.75">
      <c r="A17177" s="2">
        <v>43877.490856481483</v>
      </c>
      <c r="B17177" t="str">
        <f>HYPERLINK("https://twitter.com/badutulangtahun","@badutulangtahun")</f>
        <v>@badutulangtahun</v>
      </c>
      <c r="C17177" t="s">
        <v>8781</v>
      </c>
      <c r="D17177">
        <v>1</v>
      </c>
      <c r="E17177">
        <v>0</v>
      </c>
      <c r="F17177">
        <v>100</v>
      </c>
    </row>
    <row r="17178" spans="1:6" ht="12.75">
      <c r="A17178" s="2">
        <v>43877.490787037037</v>
      </c>
      <c r="B17178" t="str">
        <f>HYPERLINK("https://twitter.com/MThebrexitparty","@MThebrexitparty")</f>
        <v>@MThebrexitparty</v>
      </c>
      <c r="C17178" t="s">
        <v>7096</v>
      </c>
      <c r="D17178">
        <v>0</v>
      </c>
      <c r="E17178">
        <v>0</v>
      </c>
      <c r="F17178">
        <v>503</v>
      </c>
    </row>
    <row r="17179" spans="1:6" ht="12.75">
      <c r="A17179" s="2">
        <v>43877.490659722222</v>
      </c>
      <c r="B17179" t="str">
        <f>HYPERLINK("https://twitter.com/PrabuSili001","@PrabuSili001")</f>
        <v>@PrabuSili001</v>
      </c>
      <c r="C17179" t="s">
        <v>8782</v>
      </c>
      <c r="D17179">
        <v>0</v>
      </c>
      <c r="E17179">
        <v>0</v>
      </c>
      <c r="F17179">
        <v>0</v>
      </c>
    </row>
    <row r="17180" spans="1:6" ht="12.75">
      <c r="A17180" s="2">
        <v>43877.490486111114</v>
      </c>
      <c r="B17180" t="str">
        <f>HYPERLINK("https://twitter.com/vrtt_","@vrtt_")</f>
        <v>@vrtt_</v>
      </c>
      <c r="C17180" t="s">
        <v>2444</v>
      </c>
      <c r="D17180">
        <v>4523</v>
      </c>
      <c r="E17180">
        <v>0</v>
      </c>
      <c r="F17180">
        <v>238</v>
      </c>
    </row>
    <row r="17181" spans="1:6" ht="12.75">
      <c r="A17181" s="2">
        <v>43877.490173611106</v>
      </c>
      <c r="B17181" t="str">
        <f>HYPERLINK("https://twitter.com/peachy_vxx","@peachy_vxx")</f>
        <v>@peachy_vxx</v>
      </c>
      <c r="C17181" t="s">
        <v>8783</v>
      </c>
      <c r="D17181">
        <v>5</v>
      </c>
      <c r="E17181">
        <v>0</v>
      </c>
      <c r="F17181">
        <v>44</v>
      </c>
    </row>
    <row r="17182" spans="1:6" ht="12.75">
      <c r="A17182" s="2">
        <v>43877.490069444444</v>
      </c>
      <c r="B17182" t="str">
        <f>HYPERLINK("https://twitter.com/Dnugroho11","@Dnugroho11")</f>
        <v>@Dnugroho11</v>
      </c>
      <c r="C17182" t="s">
        <v>8743</v>
      </c>
      <c r="D17182">
        <v>4</v>
      </c>
      <c r="E17182">
        <v>0</v>
      </c>
      <c r="F17182">
        <v>724</v>
      </c>
    </row>
    <row r="17183" spans="1:6" ht="12.75">
      <c r="A17183" s="2">
        <v>43877.489953703705</v>
      </c>
      <c r="B17183" t="str">
        <f>HYPERLINK("https://twitter.com/Sudung57052195","@Sudung57052195")</f>
        <v>@Sudung57052195</v>
      </c>
      <c r="C17183" t="s">
        <v>8784</v>
      </c>
      <c r="D17183">
        <v>0</v>
      </c>
      <c r="E17183">
        <v>0</v>
      </c>
      <c r="F17183">
        <v>0</v>
      </c>
    </row>
    <row r="17184" spans="1:6" ht="12.75">
      <c r="A17184" s="2">
        <v>43877.489918981482</v>
      </c>
      <c r="B17184" t="str">
        <f>HYPERLINK("https://twitter.com/okezonenews","@okezonenews")</f>
        <v>@okezonenews</v>
      </c>
      <c r="C17184" t="s">
        <v>8785</v>
      </c>
      <c r="D17184">
        <v>1</v>
      </c>
      <c r="E17184">
        <v>1</v>
      </c>
      <c r="F17184">
        <v>1743923</v>
      </c>
    </row>
    <row r="17185" spans="1:6" ht="12.75">
      <c r="A17185" s="2">
        <v>43877.489490740743</v>
      </c>
      <c r="B17185" t="str">
        <f>HYPERLINK("https://twitter.com/HoofdbureauID","@HoofdbureauID")</f>
        <v>@HoofdbureauID</v>
      </c>
      <c r="C17185" t="s">
        <v>8786</v>
      </c>
      <c r="D17185">
        <v>0</v>
      </c>
      <c r="E17185">
        <v>0</v>
      </c>
      <c r="F17185">
        <v>11104</v>
      </c>
    </row>
    <row r="17186" spans="1:6" ht="12.75">
      <c r="A17186" s="2">
        <v>43877.48946759259</v>
      </c>
      <c r="B17186" t="str">
        <f>HYPERLINK("https://twitter.com/cs_tkt","@cs_tkt")</f>
        <v>@cs_tkt</v>
      </c>
      <c r="C17186" t="s">
        <v>7261</v>
      </c>
      <c r="D17186">
        <v>107</v>
      </c>
      <c r="E17186">
        <v>0</v>
      </c>
      <c r="F17186">
        <v>2276</v>
      </c>
    </row>
    <row r="17187" spans="1:6" ht="12.75">
      <c r="A17187" s="2">
        <v>43877.489398148144</v>
      </c>
      <c r="B17187" t="str">
        <f>HYPERLINK("https://twitter.com/fr33masonry","@fr33masonry")</f>
        <v>@fr33masonry</v>
      </c>
      <c r="C17187" t="s">
        <v>2147</v>
      </c>
      <c r="D17187">
        <v>524</v>
      </c>
      <c r="E17187">
        <v>0</v>
      </c>
      <c r="F17187">
        <v>95</v>
      </c>
    </row>
    <row r="17188" spans="1:6" ht="12.75">
      <c r="A17188" s="2">
        <v>43877.489074074074</v>
      </c>
      <c r="B17188" t="str">
        <f>HYPERLINK("https://twitter.com/Sudung57052195","@Sudung57052195")</f>
        <v>@Sudung57052195</v>
      </c>
      <c r="C17188" t="s">
        <v>8787</v>
      </c>
      <c r="D17188">
        <v>0</v>
      </c>
      <c r="E17188">
        <v>0</v>
      </c>
      <c r="F17188">
        <v>0</v>
      </c>
    </row>
    <row r="17189" spans="1:6" ht="12.75">
      <c r="A17189" s="2">
        <v>43877.488564814819</v>
      </c>
      <c r="B17189" t="str">
        <f>HYPERLINK("https://twitter.com/dhoniedwiputra","@dhoniedwiputra")</f>
        <v>@dhoniedwiputra</v>
      </c>
      <c r="C17189" t="s">
        <v>8788</v>
      </c>
      <c r="D17189">
        <v>3</v>
      </c>
      <c r="E17189">
        <v>0</v>
      </c>
      <c r="F17189">
        <v>405</v>
      </c>
    </row>
    <row r="17190" spans="1:6" ht="12.75">
      <c r="A17190" s="2">
        <v>43877.488564814819</v>
      </c>
      <c r="B17190" t="str">
        <f>HYPERLINK("https://twitter.com/ananthanazna","@ananthanazna")</f>
        <v>@ananthanazna</v>
      </c>
      <c r="C17190" t="s">
        <v>8788</v>
      </c>
      <c r="D17190">
        <v>3</v>
      </c>
      <c r="E17190">
        <v>0</v>
      </c>
      <c r="F17190">
        <v>190</v>
      </c>
    </row>
    <row r="17191" spans="1:6" ht="12.75">
      <c r="A17191" s="2">
        <v>43877.48847222222</v>
      </c>
      <c r="B17191" t="str">
        <f>HYPERLINK("https://twitter.com/Beritasatu","@Beritasatu")</f>
        <v>@Beritasatu</v>
      </c>
      <c r="C17191" t="s">
        <v>8789</v>
      </c>
      <c r="D17191">
        <v>0</v>
      </c>
      <c r="E17191">
        <v>0</v>
      </c>
      <c r="F17191">
        <v>614040</v>
      </c>
    </row>
    <row r="17192" spans="1:6" ht="12.75">
      <c r="A17192" s="2">
        <v>43877.48846064815</v>
      </c>
      <c r="B17192" t="str">
        <f>HYPERLINK("https://twitter.com/corona_karma","@corona_karma")</f>
        <v>@corona_karma</v>
      </c>
      <c r="C17192" t="s">
        <v>7876</v>
      </c>
      <c r="D17192">
        <v>71</v>
      </c>
      <c r="E17192">
        <v>0</v>
      </c>
      <c r="F17192">
        <v>693</v>
      </c>
    </row>
    <row r="17193" spans="1:6" ht="12.75">
      <c r="A17193" s="2">
        <v>43877.488356481481</v>
      </c>
      <c r="B17193" t="str">
        <f>HYPERLINK("https://twitter.com/Kareen_Sadaf","@Kareen_Sadaf")</f>
        <v>@Kareen_Sadaf</v>
      </c>
      <c r="C17193" t="s">
        <v>8323</v>
      </c>
      <c r="D17193">
        <v>0</v>
      </c>
      <c r="E17193">
        <v>0</v>
      </c>
      <c r="F17193">
        <v>1083</v>
      </c>
    </row>
    <row r="17194" spans="1:6" ht="12.75">
      <c r="A17194" s="2">
        <v>43877.488171296296</v>
      </c>
      <c r="B17194" t="str">
        <f>HYPERLINK("https://twitter.com/p_priyambodo","@p_priyambodo")</f>
        <v>@p_priyambodo</v>
      </c>
      <c r="C17194" t="s">
        <v>8790</v>
      </c>
      <c r="D17194">
        <v>0</v>
      </c>
      <c r="E17194">
        <v>0</v>
      </c>
      <c r="F17194">
        <v>307</v>
      </c>
    </row>
    <row r="17195" spans="1:6" ht="12.75">
      <c r="A17195" s="2">
        <v>43877.487708333334</v>
      </c>
      <c r="B17195" t="str">
        <f>HYPERLINK("https://twitter.com/axbarock","@axbarock")</f>
        <v>@axbarock</v>
      </c>
      <c r="C17195" t="s">
        <v>8791</v>
      </c>
      <c r="D17195">
        <v>0</v>
      </c>
      <c r="E17195">
        <v>0</v>
      </c>
      <c r="F17195">
        <v>570</v>
      </c>
    </row>
    <row r="17196" spans="1:6" ht="12.75">
      <c r="A17196" s="2">
        <v>43877.48741898148</v>
      </c>
      <c r="B17196" t="str">
        <f>HYPERLINK("https://twitter.com/augustpride_","@augustpride_")</f>
        <v>@augustpride_</v>
      </c>
      <c r="C17196" t="s">
        <v>2444</v>
      </c>
      <c r="D17196">
        <v>4523</v>
      </c>
      <c r="E17196">
        <v>0</v>
      </c>
      <c r="F17196">
        <v>3</v>
      </c>
    </row>
    <row r="17197" spans="1:6" ht="12.75">
      <c r="A17197" s="2">
        <v>43877.487361111111</v>
      </c>
      <c r="B17197" t="str">
        <f>HYPERLINK("https://twitter.com/OdriSeva","@OdriSeva")</f>
        <v>@OdriSeva</v>
      </c>
      <c r="C17197" t="s">
        <v>8792</v>
      </c>
      <c r="D17197">
        <v>1</v>
      </c>
      <c r="E17197">
        <v>0</v>
      </c>
      <c r="F17197">
        <v>4425</v>
      </c>
    </row>
    <row r="17198" spans="1:6" ht="12.75">
      <c r="A17198" s="2">
        <v>43877.487164351856</v>
      </c>
      <c r="B17198" t="str">
        <f>HYPERLINK("https://twitter.com/medianaFS","@medianaFS")</f>
        <v>@medianaFS</v>
      </c>
      <c r="C17198" t="s">
        <v>8788</v>
      </c>
      <c r="D17198">
        <v>3</v>
      </c>
      <c r="E17198">
        <v>0</v>
      </c>
      <c r="F17198">
        <v>829</v>
      </c>
    </row>
    <row r="17199" spans="1:6" ht="12.75">
      <c r="A17199" s="2">
        <v>43877.486840277779</v>
      </c>
      <c r="B17199" t="str">
        <f>HYPERLINK("https://twitter.com/riauaktual","@riauaktual")</f>
        <v>@riauaktual</v>
      </c>
      <c r="C17199" t="s">
        <v>8793</v>
      </c>
      <c r="D17199">
        <v>3</v>
      </c>
      <c r="E17199">
        <v>0</v>
      </c>
      <c r="F17199">
        <v>2618</v>
      </c>
    </row>
    <row r="17200" spans="1:6" ht="12.75">
      <c r="A17200" s="2">
        <v>43877.486840277779</v>
      </c>
      <c r="B17200" t="str">
        <f>HYPERLINK("https://twitter.com/Agung71117365","@Agung71117365")</f>
        <v>@Agung71117365</v>
      </c>
      <c r="C17200" t="s">
        <v>8794</v>
      </c>
      <c r="D17200">
        <v>0</v>
      </c>
      <c r="E17200">
        <v>0</v>
      </c>
      <c r="F17200">
        <v>14</v>
      </c>
    </row>
    <row r="17201" spans="1:6" ht="12.75">
      <c r="A17201" s="2">
        <v>43877.486759259264</v>
      </c>
      <c r="B17201" t="str">
        <f>HYPERLINK("https://twitter.com/aprillianadp","@aprillianadp")</f>
        <v>@aprillianadp</v>
      </c>
      <c r="C17201" t="s">
        <v>2444</v>
      </c>
      <c r="D17201">
        <v>4523</v>
      </c>
      <c r="E17201">
        <v>0</v>
      </c>
      <c r="F17201">
        <v>354</v>
      </c>
    </row>
    <row r="17202" spans="1:6" ht="12.75">
      <c r="A17202" s="2">
        <v>43877.486712962964</v>
      </c>
      <c r="B17202" t="str">
        <f>HYPERLINK("https://twitter.com/abkar73","@abkar73")</f>
        <v>@abkar73</v>
      </c>
      <c r="C17202" t="s">
        <v>6338</v>
      </c>
      <c r="D17202">
        <v>564</v>
      </c>
      <c r="E17202">
        <v>0</v>
      </c>
      <c r="F17202">
        <v>26</v>
      </c>
    </row>
    <row r="17203" spans="1:6" ht="12.75">
      <c r="A17203" s="2">
        <v>43877.486562499995</v>
      </c>
      <c r="B17203" t="str">
        <f>HYPERLINK("https://twitter.com/blekpinkkk","@blekpinkkk")</f>
        <v>@blekpinkkk</v>
      </c>
      <c r="C17203" t="s">
        <v>2444</v>
      </c>
      <c r="D17203">
        <v>4523</v>
      </c>
      <c r="E17203">
        <v>0</v>
      </c>
      <c r="F17203">
        <v>122</v>
      </c>
    </row>
    <row r="17204" spans="1:6" ht="12.75">
      <c r="A17204" s="2">
        <v>43877.486192129625</v>
      </c>
      <c r="B17204" t="str">
        <f>HYPERLINK("https://twitter.com/forddyce92","@forddyce92")</f>
        <v>@forddyce92</v>
      </c>
      <c r="C17204" t="s">
        <v>8795</v>
      </c>
      <c r="D17204">
        <v>0</v>
      </c>
      <c r="E17204">
        <v>0</v>
      </c>
      <c r="F17204">
        <v>24</v>
      </c>
    </row>
    <row r="17205" spans="1:6" ht="12.75">
      <c r="A17205" s="2">
        <v>43877.48574074074</v>
      </c>
      <c r="B17205" t="str">
        <f>HYPERLINK("https://twitter.com/qronoz","@qronoz")</f>
        <v>@qronoz</v>
      </c>
      <c r="C17205" t="s">
        <v>8796</v>
      </c>
      <c r="D17205">
        <v>0</v>
      </c>
      <c r="E17205">
        <v>1</v>
      </c>
      <c r="F17205">
        <v>16326</v>
      </c>
    </row>
    <row r="17206" spans="1:6" ht="12.75">
      <c r="A17206" s="2">
        <v>43877.485578703709</v>
      </c>
      <c r="B17206" t="str">
        <f>HYPERLINK("https://twitter.com/budidiep","@budidiep")</f>
        <v>@budidiep</v>
      </c>
      <c r="C17206" t="s">
        <v>6338</v>
      </c>
      <c r="D17206">
        <v>564</v>
      </c>
      <c r="E17206">
        <v>0</v>
      </c>
      <c r="F17206">
        <v>2509</v>
      </c>
    </row>
    <row r="17207" spans="1:6" ht="12.75">
      <c r="A17207" s="2">
        <v>43877.485277777778</v>
      </c>
      <c r="B17207" t="str">
        <f>HYPERLINK("https://twitter.com/crownhunters","@crownhunters")</f>
        <v>@crownhunters</v>
      </c>
      <c r="C17207" t="s">
        <v>6338</v>
      </c>
      <c r="D17207">
        <v>564</v>
      </c>
      <c r="E17207">
        <v>0</v>
      </c>
      <c r="F17207">
        <v>1139</v>
      </c>
    </row>
    <row r="17208" spans="1:6" ht="12.75">
      <c r="A17208" s="2">
        <v>43877.485115740739</v>
      </c>
      <c r="B17208" t="str">
        <f>HYPERLINK("https://twitter.com/terungkupilu","@terungkupilu")</f>
        <v>@terungkupilu</v>
      </c>
      <c r="C17208" t="s">
        <v>8797</v>
      </c>
      <c r="D17208">
        <v>0</v>
      </c>
      <c r="E17208">
        <v>0</v>
      </c>
      <c r="F17208">
        <v>48</v>
      </c>
    </row>
    <row r="17209" spans="1:6" ht="12.75">
      <c r="A17209" s="2">
        <v>43877.484918981485</v>
      </c>
      <c r="B17209" t="str">
        <f>HYPERLINK("https://twitter.com/Kidungjiwa1","@Kidungjiwa1")</f>
        <v>@Kidungjiwa1</v>
      </c>
      <c r="C17209" t="s">
        <v>8798</v>
      </c>
      <c r="D17209">
        <v>0</v>
      </c>
      <c r="E17209">
        <v>0</v>
      </c>
      <c r="F17209">
        <v>15</v>
      </c>
    </row>
    <row r="17210" spans="1:6" ht="12.75">
      <c r="A17210" s="2">
        <v>43877.484618055554</v>
      </c>
      <c r="B17210" t="str">
        <f>HYPERLINK("https://twitter.com/Richard1975Sas","@Richard1975Sas")</f>
        <v>@Richard1975Sas</v>
      </c>
      <c r="C17210" t="s">
        <v>2150</v>
      </c>
      <c r="D17210">
        <v>307</v>
      </c>
      <c r="E17210">
        <v>0</v>
      </c>
      <c r="F17210">
        <v>2177</v>
      </c>
    </row>
    <row r="17211" spans="1:6" ht="12.75">
      <c r="A17211" s="2">
        <v>43877.484189814815</v>
      </c>
      <c r="B17211" t="str">
        <f>HYPERLINK("https://twitter.com/aldirrf","@aldirrf")</f>
        <v>@aldirrf</v>
      </c>
      <c r="C17211" t="s">
        <v>8799</v>
      </c>
      <c r="D17211">
        <v>0</v>
      </c>
      <c r="E17211">
        <v>0</v>
      </c>
      <c r="F17211">
        <v>203</v>
      </c>
    </row>
    <row r="17212" spans="1:6" ht="12.75">
      <c r="A17212" s="2">
        <v>43877.484155092592</v>
      </c>
      <c r="B17212" t="str">
        <f>HYPERLINK("https://twitter.com/Boemi_Pertiwi12","@Boemi_Pertiwi12")</f>
        <v>@Boemi_Pertiwi12</v>
      </c>
      <c r="C17212" t="s">
        <v>8800</v>
      </c>
      <c r="D17212">
        <v>0</v>
      </c>
      <c r="E17212">
        <v>0</v>
      </c>
      <c r="F17212">
        <v>18745</v>
      </c>
    </row>
    <row r="17213" spans="1:6" ht="12.75">
      <c r="A17213" s="2">
        <v>43877.484155092592</v>
      </c>
      <c r="B17213" t="str">
        <f>HYPERLINK("https://twitter.com/wilarmono","@wilarmono")</f>
        <v>@wilarmono</v>
      </c>
      <c r="C17213" t="s">
        <v>8801</v>
      </c>
      <c r="D17213">
        <v>0</v>
      </c>
      <c r="E17213">
        <v>0</v>
      </c>
      <c r="F17213">
        <v>29</v>
      </c>
    </row>
    <row r="17214" spans="1:6" ht="12.75">
      <c r="A17214" s="2">
        <v>43877.483993055561</v>
      </c>
      <c r="B17214" t="str">
        <f>HYPERLINK("https://twitter.com/berdoeritadjam","@berdoeritadjam")</f>
        <v>@berdoeritadjam</v>
      </c>
      <c r="C17214" t="s">
        <v>8802</v>
      </c>
      <c r="D17214">
        <v>5</v>
      </c>
      <c r="E17214">
        <v>0</v>
      </c>
      <c r="F17214">
        <v>603</v>
      </c>
    </row>
    <row r="17215" spans="1:6" ht="12.75">
      <c r="A17215" s="2">
        <v>43877.483657407407</v>
      </c>
      <c r="B17215" t="str">
        <f>HYPERLINK("https://twitter.com/RiriJreeng","@RiriJreeng")</f>
        <v>@RiriJreeng</v>
      </c>
      <c r="C17215" t="s">
        <v>7980</v>
      </c>
      <c r="D17215">
        <v>47</v>
      </c>
      <c r="E17215">
        <v>0</v>
      </c>
      <c r="F17215">
        <v>5699</v>
      </c>
    </row>
    <row r="17216" spans="1:6" ht="12.75">
      <c r="A17216" s="2">
        <v>43877.459710648152</v>
      </c>
      <c r="B17216" t="str">
        <f>HYPERLINK("https://twitter.com/bindunada","@bindunada")</f>
        <v>@bindunada</v>
      </c>
      <c r="C17216" t="s">
        <v>8803</v>
      </c>
      <c r="D17216">
        <v>2</v>
      </c>
      <c r="E17216">
        <v>0</v>
      </c>
      <c r="F17216">
        <v>1058</v>
      </c>
    </row>
    <row r="17217" spans="1:6" ht="12.75">
      <c r="A17217" s="2">
        <v>43877.459456018521</v>
      </c>
      <c r="B17217" t="str">
        <f>HYPERLINK("https://twitter.com/ibrocksfuck38","@ibrocksfuck38")</f>
        <v>@ibrocksfuck38</v>
      </c>
      <c r="C17217" t="s">
        <v>6338</v>
      </c>
      <c r="D17217">
        <v>533</v>
      </c>
      <c r="E17217">
        <v>0</v>
      </c>
      <c r="F17217">
        <v>318</v>
      </c>
    </row>
    <row r="17218" spans="1:6" ht="12.75">
      <c r="A17218" s="2">
        <v>43877.459143518514</v>
      </c>
      <c r="B17218" t="str">
        <f>HYPERLINK("https://twitter.com/NannyAlexendry","@NannyAlexendry")</f>
        <v>@NannyAlexendry</v>
      </c>
      <c r="C17218" t="s">
        <v>8804</v>
      </c>
      <c r="D17218">
        <v>1</v>
      </c>
      <c r="E17218">
        <v>0</v>
      </c>
      <c r="F17218">
        <v>2889</v>
      </c>
    </row>
    <row r="17219" spans="1:6" ht="12.75">
      <c r="A17219" s="2">
        <v>43877.459120370375</v>
      </c>
      <c r="B17219" t="str">
        <f>HYPERLINK("https://twitter.com/Alexand39364677","@Alexand39364677")</f>
        <v>@Alexand39364677</v>
      </c>
      <c r="C17219" t="s">
        <v>6338</v>
      </c>
      <c r="D17219">
        <v>533</v>
      </c>
      <c r="E17219">
        <v>0</v>
      </c>
      <c r="F17219">
        <v>4</v>
      </c>
    </row>
    <row r="17220" spans="1:6" ht="12.75">
      <c r="A17220" s="2">
        <v>43877.459016203706</v>
      </c>
      <c r="B17220" t="str">
        <f>HYPERLINK("https://twitter.com/ZulfikarZ4karia","@ZulfikarZ4karia")</f>
        <v>@ZulfikarZ4karia</v>
      </c>
      <c r="C17220" t="s">
        <v>8805</v>
      </c>
      <c r="D17220">
        <v>1</v>
      </c>
      <c r="E17220">
        <v>0</v>
      </c>
      <c r="F17220">
        <v>1664</v>
      </c>
    </row>
    <row r="17221" spans="1:6" ht="12.75">
      <c r="A17221" s="2">
        <v>43877.458969907406</v>
      </c>
      <c r="B17221" t="str">
        <f>HYPERLINK("https://twitter.com/bagaswa32317478","@bagaswa32317478")</f>
        <v>@bagaswa32317478</v>
      </c>
      <c r="C17221" t="s">
        <v>6338</v>
      </c>
      <c r="D17221">
        <v>533</v>
      </c>
      <c r="E17221">
        <v>0</v>
      </c>
      <c r="F17221">
        <v>22</v>
      </c>
    </row>
    <row r="17222" spans="1:6" ht="12.75">
      <c r="A17222" s="2">
        <v>43877.45888888889</v>
      </c>
      <c r="B17222" t="str">
        <f>HYPERLINK("https://twitter.com/robert868686","@robert868686")</f>
        <v>@robert868686</v>
      </c>
      <c r="C17222" t="s">
        <v>8806</v>
      </c>
      <c r="D17222">
        <v>0</v>
      </c>
      <c r="E17222">
        <v>0</v>
      </c>
      <c r="F17222">
        <v>247</v>
      </c>
    </row>
    <row r="17223" spans="1:6" ht="12.75">
      <c r="A17223" s="2">
        <v>43877.458865740744</v>
      </c>
      <c r="B17223" t="str">
        <f t="shared" ref="B17223:B17224" si="289">HYPERLINK("https://twitter.com/ZulfikarZ4karia","@ZulfikarZ4karia")</f>
        <v>@ZulfikarZ4karia</v>
      </c>
      <c r="C17223" t="s">
        <v>7263</v>
      </c>
      <c r="D17223">
        <v>5</v>
      </c>
      <c r="E17223">
        <v>0</v>
      </c>
      <c r="F17223">
        <v>1664</v>
      </c>
    </row>
    <row r="17224" spans="1:6" ht="12.75">
      <c r="A17224" s="2">
        <v>43877.458796296298</v>
      </c>
      <c r="B17224" t="str">
        <f t="shared" si="289"/>
        <v>@ZulfikarZ4karia</v>
      </c>
      <c r="C17224" t="s">
        <v>7956</v>
      </c>
      <c r="D17224">
        <v>23</v>
      </c>
      <c r="E17224">
        <v>0</v>
      </c>
      <c r="F17224">
        <v>1664</v>
      </c>
    </row>
    <row r="17225" spans="1:6" ht="12.75">
      <c r="A17225" s="2">
        <v>43877.458796296298</v>
      </c>
      <c r="B17225" t="str">
        <f t="shared" ref="B17225:B17226" si="290">HYPERLINK("https://twitter.com/viskaya","@viskaya")</f>
        <v>@viskaya</v>
      </c>
      <c r="C17225" t="s">
        <v>7263</v>
      </c>
      <c r="D17225">
        <v>5</v>
      </c>
      <c r="E17225">
        <v>0</v>
      </c>
      <c r="F17225">
        <v>773</v>
      </c>
    </row>
    <row r="17226" spans="1:6" ht="12.75">
      <c r="A17226" s="2">
        <v>43877.458726851852</v>
      </c>
      <c r="B17226" t="str">
        <f t="shared" si="290"/>
        <v>@viskaya</v>
      </c>
      <c r="C17226" t="s">
        <v>7956</v>
      </c>
      <c r="D17226">
        <v>23</v>
      </c>
      <c r="E17226">
        <v>0</v>
      </c>
      <c r="F17226">
        <v>773</v>
      </c>
    </row>
    <row r="17227" spans="1:6" ht="12.75">
      <c r="A17227" s="2">
        <v>43877.458715277782</v>
      </c>
      <c r="B17227" t="str">
        <f>HYPERLINK("https://twitter.com/tehcemplung","@tehcemplung")</f>
        <v>@tehcemplung</v>
      </c>
      <c r="C17227" t="s">
        <v>8807</v>
      </c>
      <c r="D17227">
        <v>0</v>
      </c>
      <c r="E17227">
        <v>0</v>
      </c>
      <c r="F17227">
        <v>5537</v>
      </c>
    </row>
    <row r="17228" spans="1:6" ht="12.75">
      <c r="A17228" s="2">
        <v>43877.458692129629</v>
      </c>
      <c r="B17228" t="str">
        <f>HYPERLINK("https://twitter.com/AyummaTanaka","@AyummaTanaka")</f>
        <v>@AyummaTanaka</v>
      </c>
      <c r="C17228" t="s">
        <v>2161</v>
      </c>
      <c r="D17228">
        <v>0</v>
      </c>
      <c r="E17228">
        <v>0</v>
      </c>
      <c r="F17228">
        <v>1097</v>
      </c>
    </row>
    <row r="17229" spans="1:6" ht="12.75">
      <c r="A17229" s="2">
        <v>43877.458622685182</v>
      </c>
      <c r="B17229" t="str">
        <f>HYPERLINK("https://twitter.com/diyass","@diyass")</f>
        <v>@diyass</v>
      </c>
      <c r="C17229" t="s">
        <v>2147</v>
      </c>
      <c r="D17229">
        <v>519</v>
      </c>
      <c r="E17229">
        <v>0</v>
      </c>
      <c r="F17229">
        <v>3953</v>
      </c>
    </row>
    <row r="17230" spans="1:6" ht="12.75">
      <c r="A17230" s="2">
        <v>43877.458414351851</v>
      </c>
      <c r="B17230" t="str">
        <f>HYPERLINK("https://twitter.com/Alrumy5","@Alrumy5")</f>
        <v>@Alrumy5</v>
      </c>
      <c r="C17230" t="s">
        <v>6338</v>
      </c>
      <c r="D17230">
        <v>533</v>
      </c>
      <c r="E17230">
        <v>0</v>
      </c>
      <c r="F17230">
        <v>180</v>
      </c>
    </row>
    <row r="17231" spans="1:6" ht="12.75">
      <c r="A17231" s="2">
        <v>43877.458414351851</v>
      </c>
      <c r="B17231" t="str">
        <f>HYPERLINK("https://twitter.com/Radar_Cirebon","@Radar_Cirebon")</f>
        <v>@Radar_Cirebon</v>
      </c>
      <c r="C17231" t="s">
        <v>8808</v>
      </c>
      <c r="D17231">
        <v>0</v>
      </c>
      <c r="E17231">
        <v>0</v>
      </c>
      <c r="F17231">
        <v>21748</v>
      </c>
    </row>
    <row r="17232" spans="1:6" ht="12.75">
      <c r="A17232" s="2">
        <v>43877.458344907413</v>
      </c>
      <c r="B17232" t="str">
        <f>HYPERLINK("https://twitter.com/republikaonline","@republikaonline")</f>
        <v>@republikaonline</v>
      </c>
      <c r="C17232" t="s">
        <v>8809</v>
      </c>
      <c r="D17232">
        <v>0</v>
      </c>
      <c r="E17232">
        <v>0</v>
      </c>
      <c r="F17232">
        <v>1210612</v>
      </c>
    </row>
    <row r="17233" spans="1:6" ht="12.75">
      <c r="A17233" s="2">
        <v>43877.458333333328</v>
      </c>
      <c r="B17233" t="str">
        <f>HYPERLINK("https://twitter.com/MeTubeID","@MeTubeID")</f>
        <v>@MeTubeID</v>
      </c>
      <c r="C17233" t="s">
        <v>5014</v>
      </c>
      <c r="D17233">
        <v>0</v>
      </c>
      <c r="E17233">
        <v>0</v>
      </c>
      <c r="F17233">
        <v>6296</v>
      </c>
    </row>
    <row r="17234" spans="1:6" ht="12.75">
      <c r="A17234" s="2">
        <v>43877.458055555559</v>
      </c>
      <c r="B17234" t="str">
        <f>HYPERLINK("https://twitter.com/ryolandafit","@ryolandafit")</f>
        <v>@ryolandafit</v>
      </c>
      <c r="C17234" t="s">
        <v>8810</v>
      </c>
      <c r="D17234">
        <v>2</v>
      </c>
      <c r="E17234">
        <v>0</v>
      </c>
      <c r="F17234">
        <v>651</v>
      </c>
    </row>
    <row r="17235" spans="1:6" ht="12.75">
      <c r="A17235" s="2">
        <v>43877.458043981482</v>
      </c>
      <c r="B17235" t="str">
        <f>HYPERLINK("https://twitter.com/daw_nanda","@daw_nanda")</f>
        <v>@daw_nanda</v>
      </c>
      <c r="C17235" t="s">
        <v>8810</v>
      </c>
      <c r="D17235">
        <v>2</v>
      </c>
      <c r="E17235">
        <v>0</v>
      </c>
      <c r="F17235">
        <v>649</v>
      </c>
    </row>
    <row r="17236" spans="1:6" ht="12.75">
      <c r="A17236" s="2">
        <v>43877.45784722222</v>
      </c>
      <c r="B17236" t="str">
        <f>HYPERLINK("https://twitter.com/JefriLaymena","@JefriLaymena")</f>
        <v>@JefriLaymena</v>
      </c>
      <c r="C17236" t="s">
        <v>8811</v>
      </c>
      <c r="D17236">
        <v>0</v>
      </c>
      <c r="E17236">
        <v>0</v>
      </c>
      <c r="F17236">
        <v>25</v>
      </c>
    </row>
    <row r="17237" spans="1:6" ht="12.75">
      <c r="A17237" s="2">
        <v>43877.457685185189</v>
      </c>
      <c r="B17237" t="str">
        <f>HYPERLINK("https://twitter.com/livlaughxlove","@livlaughxlove")</f>
        <v>@livlaughxlove</v>
      </c>
      <c r="C17237" t="s">
        <v>7905</v>
      </c>
      <c r="D17237">
        <v>59</v>
      </c>
      <c r="E17237">
        <v>0</v>
      </c>
      <c r="F17237">
        <v>553</v>
      </c>
    </row>
    <row r="17238" spans="1:6" ht="12.75">
      <c r="A17238" s="2">
        <v>43877.457673611112</v>
      </c>
      <c r="B17238" t="str">
        <f>HYPERLINK("https://twitter.com/RMSGRT","@RMSGRT")</f>
        <v>@RMSGRT</v>
      </c>
      <c r="C17238" t="s">
        <v>6338</v>
      </c>
      <c r="D17238">
        <v>533</v>
      </c>
      <c r="E17238">
        <v>0</v>
      </c>
      <c r="F17238">
        <v>417</v>
      </c>
    </row>
    <row r="17239" spans="1:6" ht="12.75">
      <c r="A17239" s="2">
        <v>43877.45758101852</v>
      </c>
      <c r="B17239" t="str">
        <f>HYPERLINK("https://twitter.com/apisakbr122","@apisakbr122")</f>
        <v>@apisakbr122</v>
      </c>
      <c r="C17239" t="s">
        <v>8812</v>
      </c>
      <c r="D17239">
        <v>0</v>
      </c>
      <c r="E17239">
        <v>0</v>
      </c>
      <c r="F17239">
        <v>744</v>
      </c>
    </row>
    <row r="17240" spans="1:6" ht="12.75">
      <c r="A17240" s="2">
        <v>43877.457384259258</v>
      </c>
      <c r="B17240" t="str">
        <f>HYPERLINK("https://twitter.com/ErickoDicaprio1","@ErickoDicaprio1")</f>
        <v>@ErickoDicaprio1</v>
      </c>
      <c r="C17240" t="s">
        <v>6338</v>
      </c>
      <c r="D17240">
        <v>533</v>
      </c>
      <c r="E17240">
        <v>0</v>
      </c>
      <c r="F17240">
        <v>12</v>
      </c>
    </row>
    <row r="17241" spans="1:6" ht="12.75">
      <c r="A17241" s="2">
        <v>43877.457326388889</v>
      </c>
      <c r="B17241" t="str">
        <f>HYPERLINK("https://twitter.com/KompasTV","@KompasTV")</f>
        <v>@KompasTV</v>
      </c>
      <c r="C17241" t="s">
        <v>8813</v>
      </c>
      <c r="D17241">
        <v>2</v>
      </c>
      <c r="E17241">
        <v>1</v>
      </c>
      <c r="F17241">
        <v>2942107</v>
      </c>
    </row>
    <row r="17242" spans="1:6" ht="12.75">
      <c r="A17242" s="2">
        <v>43877.457303240742</v>
      </c>
      <c r="B17242" t="str">
        <f>HYPERLINK("https://twitter.com/AZainurrochim","@AZainurrochim")</f>
        <v>@AZainurrochim</v>
      </c>
      <c r="C17242" t="s">
        <v>8814</v>
      </c>
      <c r="D17242">
        <v>0</v>
      </c>
      <c r="E17242">
        <v>0</v>
      </c>
      <c r="F17242">
        <v>118</v>
      </c>
    </row>
    <row r="17243" spans="1:6" ht="12.75">
      <c r="A17243" s="2">
        <v>43877.456817129627</v>
      </c>
      <c r="B17243" t="str">
        <f>HYPERLINK("https://twitter.com/Jean_Aprilia97","@Jean_Aprilia97")</f>
        <v>@Jean_Aprilia97</v>
      </c>
      <c r="C17243" t="s">
        <v>8815</v>
      </c>
      <c r="D17243">
        <v>0</v>
      </c>
      <c r="E17243">
        <v>2</v>
      </c>
      <c r="F17243">
        <v>10966</v>
      </c>
    </row>
    <row r="17244" spans="1:6" ht="12.75">
      <c r="A17244" s="2">
        <v>43877.456782407404</v>
      </c>
      <c r="B17244" t="str">
        <f>HYPERLINK("https://twitter.com/PutiRani3","@PutiRani3")</f>
        <v>@PutiRani3</v>
      </c>
      <c r="C17244" t="s">
        <v>6867</v>
      </c>
      <c r="D17244">
        <v>40</v>
      </c>
      <c r="E17244">
        <v>0</v>
      </c>
      <c r="F17244">
        <v>7</v>
      </c>
    </row>
    <row r="17245" spans="1:6" ht="12.75">
      <c r="A17245" s="2">
        <v>43877.456666666665</v>
      </c>
      <c r="B17245" t="str">
        <f>HYPERLINK("https://twitter.com/bennydjuwanda","@bennydjuwanda")</f>
        <v>@bennydjuwanda</v>
      </c>
      <c r="C17245" t="s">
        <v>6825</v>
      </c>
      <c r="D17245">
        <v>22</v>
      </c>
      <c r="E17245">
        <v>0</v>
      </c>
      <c r="F17245">
        <v>308</v>
      </c>
    </row>
    <row r="17246" spans="1:6" ht="12.75">
      <c r="A17246" s="2">
        <v>43877.456655092596</v>
      </c>
      <c r="B17246" t="str">
        <f>HYPERLINK("https://twitter.com/adasiapasiapa","@adasiapasiapa")</f>
        <v>@adasiapasiapa</v>
      </c>
      <c r="C17246" t="s">
        <v>7905</v>
      </c>
      <c r="D17246">
        <v>59</v>
      </c>
      <c r="E17246">
        <v>0</v>
      </c>
      <c r="F17246">
        <v>105</v>
      </c>
    </row>
    <row r="17247" spans="1:6" ht="12.75">
      <c r="A17247" s="2">
        <v>43877.456643518519</v>
      </c>
      <c r="B17247" t="str">
        <f>HYPERLINK("https://twitter.com/momybastian","@momybastian")</f>
        <v>@momybastian</v>
      </c>
      <c r="C17247" t="s">
        <v>8203</v>
      </c>
      <c r="D17247">
        <v>170</v>
      </c>
      <c r="E17247">
        <v>0</v>
      </c>
      <c r="F17247">
        <v>875</v>
      </c>
    </row>
    <row r="17248" spans="1:6" ht="12.75">
      <c r="A17248" s="2">
        <v>43877.456412037034</v>
      </c>
      <c r="B17248" t="str">
        <f>HYPERLINK("https://twitter.com/Alekowski31","@Alekowski31")</f>
        <v>@Alekowski31</v>
      </c>
      <c r="C17248" t="s">
        <v>8816</v>
      </c>
      <c r="D17248">
        <v>0</v>
      </c>
      <c r="E17248">
        <v>0</v>
      </c>
      <c r="F17248">
        <v>69</v>
      </c>
    </row>
    <row r="17249" spans="1:6" ht="12.75">
      <c r="A17249" s="2">
        <v>43877.456180555557</v>
      </c>
      <c r="B17249" t="str">
        <f>HYPERLINK("https://twitter.com/meymay16","@meymay16")</f>
        <v>@meymay16</v>
      </c>
      <c r="C17249" t="s">
        <v>175</v>
      </c>
      <c r="D17249">
        <v>5361</v>
      </c>
      <c r="E17249">
        <v>0</v>
      </c>
      <c r="F17249">
        <v>4</v>
      </c>
    </row>
    <row r="17250" spans="1:6" ht="12.75">
      <c r="A17250" s="2">
        <v>43877.456087962964</v>
      </c>
      <c r="B17250" t="str">
        <f>HYPERLINK("https://twitter.com/ninalea","@ninalea")</f>
        <v>@ninalea</v>
      </c>
      <c r="C17250" t="s">
        <v>8817</v>
      </c>
      <c r="D17250">
        <v>139</v>
      </c>
      <c r="E17250">
        <v>0</v>
      </c>
      <c r="F17250">
        <v>139</v>
      </c>
    </row>
    <row r="17251" spans="1:6" ht="12.75">
      <c r="A17251" s="2">
        <v>43877.456076388888</v>
      </c>
      <c r="B17251" t="str">
        <f>HYPERLINK("https://twitter.com/2Harjo","@2Harjo")</f>
        <v>@2Harjo</v>
      </c>
      <c r="C17251" t="s">
        <v>8818</v>
      </c>
      <c r="D17251">
        <v>0</v>
      </c>
      <c r="E17251">
        <v>1</v>
      </c>
      <c r="F17251">
        <v>1535</v>
      </c>
    </row>
    <row r="17252" spans="1:6" ht="12.75">
      <c r="A17252" s="2">
        <v>43877.456030092595</v>
      </c>
      <c r="B17252" t="str">
        <f>HYPERLINK("https://twitter.com/puspasari_maya","@puspasari_maya")</f>
        <v>@puspasari_maya</v>
      </c>
      <c r="C17252" t="s">
        <v>8819</v>
      </c>
      <c r="D17252">
        <v>0</v>
      </c>
      <c r="E17252">
        <v>0</v>
      </c>
      <c r="F17252">
        <v>102</v>
      </c>
    </row>
    <row r="17253" spans="1:6" ht="12.75">
      <c r="A17253" s="2">
        <v>43877.455636574072</v>
      </c>
      <c r="B17253" t="str">
        <f>HYPERLINK("https://twitter.com/don_rahmad","@don_rahmad")</f>
        <v>@don_rahmad</v>
      </c>
      <c r="C17253" t="s">
        <v>8820</v>
      </c>
      <c r="D17253">
        <v>0</v>
      </c>
      <c r="E17253">
        <v>0</v>
      </c>
      <c r="F17253">
        <v>495</v>
      </c>
    </row>
    <row r="17254" spans="1:6" ht="12.75">
      <c r="A17254" s="2">
        <v>43877.455104166671</v>
      </c>
      <c r="B17254" t="str">
        <f>HYPERLINK("https://twitter.com/ryolandafit","@ryolandafit")</f>
        <v>@ryolandafit</v>
      </c>
      <c r="C17254" t="s">
        <v>8821</v>
      </c>
      <c r="D17254">
        <v>2</v>
      </c>
      <c r="E17254">
        <v>0</v>
      </c>
      <c r="F17254">
        <v>651</v>
      </c>
    </row>
    <row r="17255" spans="1:6" ht="12.75">
      <c r="A17255" s="2">
        <v>43877.454710648148</v>
      </c>
      <c r="B17255" t="str">
        <f>HYPERLINK("https://twitter.com/MrsRachelIn","@MrsRachelIn")</f>
        <v>@MrsRachelIn</v>
      </c>
      <c r="C17255" t="s">
        <v>8822</v>
      </c>
      <c r="D17255">
        <v>1</v>
      </c>
      <c r="E17255">
        <v>2</v>
      </c>
      <c r="F17255">
        <v>3115</v>
      </c>
    </row>
    <row r="17256" spans="1:6" ht="12.75">
      <c r="A17256" s="2">
        <v>43877.454513888893</v>
      </c>
      <c r="B17256" t="str">
        <f>HYPERLINK("https://twitter.com/N7demus","@N7demus")</f>
        <v>@N7demus</v>
      </c>
      <c r="C17256" t="s">
        <v>6338</v>
      </c>
      <c r="D17256">
        <v>533</v>
      </c>
      <c r="E17256">
        <v>0</v>
      </c>
      <c r="F17256">
        <v>341</v>
      </c>
    </row>
    <row r="17257" spans="1:6" ht="12.75">
      <c r="A17257" s="2">
        <v>43877.45449074074</v>
      </c>
      <c r="B17257" t="str">
        <f>HYPERLINK("https://twitter.com/taexlwt","@taexlwt")</f>
        <v>@taexlwt</v>
      </c>
      <c r="C17257" t="s">
        <v>8823</v>
      </c>
      <c r="D17257">
        <v>0</v>
      </c>
      <c r="E17257">
        <v>0</v>
      </c>
      <c r="F17257">
        <v>1453</v>
      </c>
    </row>
    <row r="17258" spans="1:6" ht="12.75">
      <c r="A17258" s="2">
        <v>43877.45447916667</v>
      </c>
      <c r="B17258" t="str">
        <f>HYPERLINK("https://twitter.com/hanyabayangan4","@hanyabayangan4")</f>
        <v>@hanyabayangan4</v>
      </c>
      <c r="C17258" t="s">
        <v>3059</v>
      </c>
      <c r="D17258">
        <v>294</v>
      </c>
      <c r="E17258">
        <v>0</v>
      </c>
      <c r="F17258">
        <v>33</v>
      </c>
    </row>
    <row r="17259" spans="1:6" ht="12.75">
      <c r="A17259" s="2">
        <v>43877.454421296294</v>
      </c>
      <c r="B17259" t="str">
        <f>HYPERLINK("https://twitter.com/ryan_p_delarosa","@ryan_p_delarosa")</f>
        <v>@ryan_p_delarosa</v>
      </c>
      <c r="C17259" t="s">
        <v>6338</v>
      </c>
      <c r="D17259">
        <v>533</v>
      </c>
      <c r="E17259">
        <v>0</v>
      </c>
      <c r="F17259">
        <v>201</v>
      </c>
    </row>
    <row r="17260" spans="1:6" ht="12.75">
      <c r="A17260" s="2">
        <v>43877.454282407409</v>
      </c>
      <c r="B17260" t="str">
        <f>HYPERLINK("https://twitter.com/akmalarif90","@akmalarif90")</f>
        <v>@akmalarif90</v>
      </c>
      <c r="C17260" t="s">
        <v>8821</v>
      </c>
      <c r="D17260">
        <v>2</v>
      </c>
      <c r="E17260">
        <v>0</v>
      </c>
      <c r="F17260">
        <v>1009</v>
      </c>
    </row>
    <row r="17261" spans="1:6" ht="12.75">
      <c r="A17261" s="2">
        <v>43877.454224537039</v>
      </c>
      <c r="B17261" t="str">
        <f>HYPERLINK("https://twitter.com/AZainurrochim","@AZainurrochim")</f>
        <v>@AZainurrochim</v>
      </c>
      <c r="C17261" t="s">
        <v>8824</v>
      </c>
      <c r="D17261">
        <v>0</v>
      </c>
      <c r="E17261">
        <v>0</v>
      </c>
      <c r="F17261">
        <v>118</v>
      </c>
    </row>
    <row r="17262" spans="1:6" ht="12.75">
      <c r="A17262" s="2">
        <v>43877.453773148147</v>
      </c>
      <c r="B17262" t="str">
        <f>HYPERLINK("https://twitter.com/anwaroviic","@anwaroviic")</f>
        <v>@anwaroviic</v>
      </c>
      <c r="C17262" t="s">
        <v>8203</v>
      </c>
      <c r="D17262">
        <v>170</v>
      </c>
      <c r="E17262">
        <v>0</v>
      </c>
      <c r="F17262">
        <v>144</v>
      </c>
    </row>
    <row r="17263" spans="1:6" ht="12.75">
      <c r="A17263" s="2">
        <v>43877.453576388885</v>
      </c>
      <c r="B17263" t="str">
        <f>HYPERLINK("https://twitter.com/nugrh_adi","@nugrh_adi")</f>
        <v>@nugrh_adi</v>
      </c>
      <c r="C17263" t="s">
        <v>8825</v>
      </c>
      <c r="D17263">
        <v>0</v>
      </c>
      <c r="E17263">
        <v>0</v>
      </c>
      <c r="F17263">
        <v>139</v>
      </c>
    </row>
    <row r="17264" spans="1:6" ht="12.75">
      <c r="A17264" s="2">
        <v>43877.453229166669</v>
      </c>
      <c r="B17264" t="str">
        <f>HYPERLINK("https://twitter.com/antaranews","@antaranews")</f>
        <v>@antaranews</v>
      </c>
      <c r="C17264" t="s">
        <v>8826</v>
      </c>
      <c r="D17264">
        <v>0</v>
      </c>
      <c r="E17264">
        <v>0</v>
      </c>
      <c r="F17264">
        <v>1103438</v>
      </c>
    </row>
    <row r="17265" spans="1:6" ht="12.75">
      <c r="A17265" s="2">
        <v>43877.453148148154</v>
      </c>
      <c r="B17265" t="str">
        <f t="shared" ref="B17265:B17266" si="291">HYPERLINK("https://twitter.com/eeeevrill","@eeeevrill")</f>
        <v>@eeeevrill</v>
      </c>
      <c r="C17265" t="s">
        <v>2444</v>
      </c>
      <c r="D17265">
        <v>4509</v>
      </c>
      <c r="E17265">
        <v>0</v>
      </c>
      <c r="F17265">
        <v>16</v>
      </c>
    </row>
    <row r="17266" spans="1:6" ht="12.75">
      <c r="A17266" s="2">
        <v>43877.453020833331</v>
      </c>
      <c r="B17266" t="str">
        <f t="shared" si="291"/>
        <v>@eeeevrill</v>
      </c>
      <c r="C17266" t="s">
        <v>5168</v>
      </c>
      <c r="D17266">
        <v>1644</v>
      </c>
      <c r="E17266">
        <v>0</v>
      </c>
      <c r="F17266">
        <v>16</v>
      </c>
    </row>
    <row r="17267" spans="1:6" ht="12.75">
      <c r="A17267" s="2">
        <v>43877.45275462963</v>
      </c>
      <c r="B17267" t="str">
        <f>HYPERLINK("https://twitter.com/rinovadafariz","@rinovadafariz")</f>
        <v>@rinovadafariz</v>
      </c>
      <c r="C17267" t="s">
        <v>8585</v>
      </c>
      <c r="D17267">
        <v>3</v>
      </c>
      <c r="E17267">
        <v>0</v>
      </c>
      <c r="F17267">
        <v>7</v>
      </c>
    </row>
    <row r="17268" spans="1:6" ht="12.75">
      <c r="A17268" s="2">
        <v>43877.452523148153</v>
      </c>
      <c r="B17268" t="str">
        <f>HYPERLINK("https://twitter.com/annidara","@annidara")</f>
        <v>@annidara</v>
      </c>
      <c r="C17268" t="s">
        <v>7905</v>
      </c>
      <c r="D17268">
        <v>59</v>
      </c>
      <c r="E17268">
        <v>0</v>
      </c>
      <c r="F17268">
        <v>1571</v>
      </c>
    </row>
    <row r="17269" spans="1:6" ht="12.75">
      <c r="A17269" s="2">
        <v>43877.452511574069</v>
      </c>
      <c r="B17269" t="str">
        <f>HYPERLINK("https://twitter.com/ptrmghdlna","@ptrmghdlna")</f>
        <v>@ptrmghdlna</v>
      </c>
      <c r="C17269" t="s">
        <v>2444</v>
      </c>
      <c r="D17269">
        <v>4509</v>
      </c>
      <c r="E17269">
        <v>0</v>
      </c>
      <c r="F17269">
        <v>234</v>
      </c>
    </row>
    <row r="17270" spans="1:6" ht="12.75">
      <c r="A17270" s="2">
        <v>43877.452453703707</v>
      </c>
      <c r="B17270" t="str">
        <f>HYPERLINK("https://twitter.com/KompasTV","@KompasTV")</f>
        <v>@KompasTV</v>
      </c>
      <c r="C17270" t="s">
        <v>8827</v>
      </c>
      <c r="D17270">
        <v>2</v>
      </c>
      <c r="E17270">
        <v>6</v>
      </c>
      <c r="F17270">
        <v>2942107</v>
      </c>
    </row>
    <row r="17271" spans="1:6" ht="12.75">
      <c r="A17271" s="2">
        <v>43877.452372685184</v>
      </c>
      <c r="B17271" t="str">
        <f>HYPERLINK("https://twitter.com/Alexand31194753","@Alexand31194753")</f>
        <v>@Alexand31194753</v>
      </c>
      <c r="C17271" t="s">
        <v>8828</v>
      </c>
      <c r="D17271">
        <v>0</v>
      </c>
      <c r="E17271">
        <v>0</v>
      </c>
      <c r="F17271">
        <v>0</v>
      </c>
    </row>
    <row r="17272" spans="1:6" ht="12.75">
      <c r="A17272" s="2">
        <v>43877.452013888891</v>
      </c>
      <c r="B17272" t="str">
        <f>HYPERLINK("https://twitter.com/notifymeasap","@notifymeasap")</f>
        <v>@notifymeasap</v>
      </c>
      <c r="C17272" t="s">
        <v>8829</v>
      </c>
      <c r="D17272">
        <v>0</v>
      </c>
      <c r="E17272">
        <v>0</v>
      </c>
      <c r="F17272">
        <v>9</v>
      </c>
    </row>
    <row r="17273" spans="1:6" ht="12.75">
      <c r="A17273" s="2">
        <v>43877.451712962968</v>
      </c>
      <c r="B17273" t="str">
        <f>HYPERLINK("https://twitter.com/ryolandafit","@ryolandafit")</f>
        <v>@ryolandafit</v>
      </c>
      <c r="C17273" t="s">
        <v>8830</v>
      </c>
      <c r="D17273">
        <v>1</v>
      </c>
      <c r="E17273">
        <v>0</v>
      </c>
      <c r="F17273">
        <v>651</v>
      </c>
    </row>
    <row r="17274" spans="1:6" ht="12.75">
      <c r="A17274" s="2">
        <v>43877.451539351852</v>
      </c>
      <c r="B17274" t="str">
        <f>HYPERLINK("https://twitter.com/AZainurrochim","@AZainurrochim")</f>
        <v>@AZainurrochim</v>
      </c>
      <c r="C17274" t="s">
        <v>8831</v>
      </c>
      <c r="D17274">
        <v>0</v>
      </c>
      <c r="E17274">
        <v>0</v>
      </c>
      <c r="F17274">
        <v>118</v>
      </c>
    </row>
    <row r="17275" spans="1:6" ht="12.75">
      <c r="A17275" s="2">
        <v>43877.451469907406</v>
      </c>
      <c r="B17275" t="str">
        <f>HYPERLINK("https://twitter.com/EdoFernandes14","@EdoFernandes14")</f>
        <v>@EdoFernandes14</v>
      </c>
      <c r="C17275" t="s">
        <v>6338</v>
      </c>
      <c r="D17275">
        <v>533</v>
      </c>
      <c r="E17275">
        <v>0</v>
      </c>
      <c r="F17275">
        <v>8</v>
      </c>
    </row>
    <row r="17276" spans="1:6" ht="12.75">
      <c r="A17276" s="2">
        <v>43877.451388888891</v>
      </c>
      <c r="B17276" t="str">
        <f>HYPERLINK("https://twitter.com/panggilanku1","@panggilanku1")</f>
        <v>@panggilanku1</v>
      </c>
      <c r="C17276" t="s">
        <v>7814</v>
      </c>
      <c r="D17276">
        <v>3</v>
      </c>
      <c r="E17276">
        <v>0</v>
      </c>
      <c r="F17276">
        <v>1011</v>
      </c>
    </row>
    <row r="17277" spans="1:6" ht="12.75">
      <c r="A17277" s="2">
        <v>43877.451377314814</v>
      </c>
      <c r="B17277" t="str">
        <f t="shared" ref="B17277:B17278" si="292">HYPERLINK("https://twitter.com/ryolandafit","@ryolandafit")</f>
        <v>@ryolandafit</v>
      </c>
      <c r="C17277" t="s">
        <v>7814</v>
      </c>
      <c r="D17277">
        <v>3</v>
      </c>
      <c r="E17277">
        <v>0</v>
      </c>
      <c r="F17277">
        <v>651</v>
      </c>
    </row>
    <row r="17278" spans="1:6" ht="12.75">
      <c r="A17278" s="2">
        <v>43877.451296296298</v>
      </c>
      <c r="B17278" t="str">
        <f t="shared" si="292"/>
        <v>@ryolandafit</v>
      </c>
      <c r="C17278" t="s">
        <v>8585</v>
      </c>
      <c r="D17278">
        <v>3</v>
      </c>
      <c r="E17278">
        <v>0</v>
      </c>
      <c r="F17278">
        <v>651</v>
      </c>
    </row>
    <row r="17279" spans="1:6" ht="12.75">
      <c r="A17279" s="2">
        <v>43877.451273148152</v>
      </c>
      <c r="B17279" t="str">
        <f>HYPERLINK("https://twitter.com/masmaul_","@masmaul_")</f>
        <v>@masmaul_</v>
      </c>
      <c r="C17279" t="s">
        <v>8832</v>
      </c>
      <c r="D17279">
        <v>0</v>
      </c>
      <c r="E17279">
        <v>0</v>
      </c>
      <c r="F17279">
        <v>138</v>
      </c>
    </row>
    <row r="17280" spans="1:6" ht="12.75">
      <c r="A17280" s="2">
        <v>43877.451249999998</v>
      </c>
      <c r="B17280" t="str">
        <f>HYPERLINK("https://twitter.com/MrsRachelIn","@MrsRachelIn")</f>
        <v>@MrsRachelIn</v>
      </c>
      <c r="C17280" t="s">
        <v>8833</v>
      </c>
      <c r="D17280">
        <v>0</v>
      </c>
      <c r="E17280">
        <v>3</v>
      </c>
      <c r="F17280">
        <v>3115</v>
      </c>
    </row>
    <row r="17281" spans="1:6" ht="12.75">
      <c r="A17281" s="2">
        <v>43877.450740740736</v>
      </c>
      <c r="B17281" t="str">
        <f>HYPERLINK("https://twitter.com/HatiBerdebu","@HatiBerdebu")</f>
        <v>@HatiBerdebu</v>
      </c>
      <c r="C17281" t="s">
        <v>6338</v>
      </c>
      <c r="D17281">
        <v>533</v>
      </c>
      <c r="E17281">
        <v>0</v>
      </c>
      <c r="F17281">
        <v>297</v>
      </c>
    </row>
    <row r="17282" spans="1:6" ht="12.75">
      <c r="A17282" s="2">
        <v>43877.450567129628</v>
      </c>
      <c r="B17282" t="str">
        <f>HYPERLINK("https://twitter.com/Indosiar","@Indosiar")</f>
        <v>@Indosiar</v>
      </c>
      <c r="C17282" t="s">
        <v>8834</v>
      </c>
      <c r="D17282">
        <v>3</v>
      </c>
      <c r="E17282">
        <v>4</v>
      </c>
      <c r="F17282">
        <v>2002820</v>
      </c>
    </row>
    <row r="17283" spans="1:6" ht="12.75">
      <c r="A17283" s="2">
        <v>43877.450381944444</v>
      </c>
      <c r="B17283" t="str">
        <f>HYPERLINK("https://twitter.com/Lingga_WG","@Lingga_WG")</f>
        <v>@Lingga_WG</v>
      </c>
      <c r="C17283" t="s">
        <v>8547</v>
      </c>
      <c r="D17283">
        <v>22</v>
      </c>
      <c r="E17283">
        <v>0</v>
      </c>
      <c r="F17283">
        <v>545</v>
      </c>
    </row>
    <row r="17284" spans="1:6" ht="12.75">
      <c r="A17284" s="2">
        <v>43877.450312500005</v>
      </c>
      <c r="B17284" t="str">
        <f>HYPERLINK("https://twitter.com/fadjroeL","@fadjroeL")</f>
        <v>@fadjroeL</v>
      </c>
      <c r="C17284" t="s">
        <v>8835</v>
      </c>
      <c r="D17284">
        <v>0</v>
      </c>
      <c r="E17284">
        <v>4</v>
      </c>
      <c r="F17284">
        <v>994924</v>
      </c>
    </row>
    <row r="17285" spans="1:6" ht="12.75">
      <c r="A17285" s="2">
        <v>43877.450185185182</v>
      </c>
      <c r="B17285" t="str">
        <f>HYPERLINK("https://twitter.com/yosaris9","@yosaris9")</f>
        <v>@yosaris9</v>
      </c>
      <c r="C17285" t="s">
        <v>8836</v>
      </c>
      <c r="D17285">
        <v>1</v>
      </c>
      <c r="E17285">
        <v>0</v>
      </c>
      <c r="F17285">
        <v>564</v>
      </c>
    </row>
    <row r="17286" spans="1:6" ht="12.75">
      <c r="A17286" s="2">
        <v>43877.449884259258</v>
      </c>
      <c r="B17286" t="str">
        <f>HYPERLINK("https://twitter.com/Arinda_green","@Arinda_green")</f>
        <v>@Arinda_green</v>
      </c>
      <c r="C17286" t="s">
        <v>8837</v>
      </c>
      <c r="D17286">
        <v>0</v>
      </c>
      <c r="E17286">
        <v>0</v>
      </c>
      <c r="F17286">
        <v>51</v>
      </c>
    </row>
    <row r="17287" spans="1:6" ht="12.75">
      <c r="A17287" s="2">
        <v>43877.449444444443</v>
      </c>
      <c r="B17287" t="str">
        <f>HYPERLINK("https://twitter.com/wni_jmsri","@wni_jmsri")</f>
        <v>@wni_jmsri</v>
      </c>
      <c r="C17287" t="s">
        <v>8838</v>
      </c>
      <c r="D17287">
        <v>7742</v>
      </c>
      <c r="E17287">
        <v>0</v>
      </c>
      <c r="F17287">
        <v>194</v>
      </c>
    </row>
    <row r="17288" spans="1:6" ht="12.75">
      <c r="A17288" s="2">
        <v>43877.44935185185</v>
      </c>
      <c r="B17288" t="str">
        <f>HYPERLINK("https://twitter.com/IjamKloppo","@IjamKloppo")</f>
        <v>@IjamKloppo</v>
      </c>
      <c r="C17288" t="s">
        <v>8839</v>
      </c>
      <c r="D17288">
        <v>5</v>
      </c>
      <c r="E17288">
        <v>0</v>
      </c>
      <c r="F17288">
        <v>184</v>
      </c>
    </row>
    <row r="17289" spans="1:6" ht="12.75">
      <c r="A17289" s="2">
        <v>43877.449236111112</v>
      </c>
      <c r="B17289" t="str">
        <f>HYPERLINK("https://twitter.com/masmaul_","@masmaul_")</f>
        <v>@masmaul_</v>
      </c>
      <c r="C17289" t="s">
        <v>8840</v>
      </c>
      <c r="D17289">
        <v>0</v>
      </c>
      <c r="E17289">
        <v>0</v>
      </c>
      <c r="F17289">
        <v>138</v>
      </c>
    </row>
    <row r="17290" spans="1:6" ht="12.75">
      <c r="A17290" s="2">
        <v>43877.448912037042</v>
      </c>
      <c r="B17290" t="str">
        <f>HYPERLINK("https://twitter.com/Rm_lndr4one4587","@Rm_lndr4one4587")</f>
        <v>@Rm_lndr4one4587</v>
      </c>
      <c r="C17290" t="s">
        <v>8841</v>
      </c>
      <c r="D17290">
        <v>0</v>
      </c>
      <c r="E17290">
        <v>0</v>
      </c>
      <c r="F17290">
        <v>571</v>
      </c>
    </row>
    <row r="17291" spans="1:6" ht="12.75">
      <c r="A17291" s="2">
        <v>43877.448599537034</v>
      </c>
      <c r="B17291" t="str">
        <f>HYPERLINK("https://twitter.com/bffb300aff02425","@bffb300aff02425")</f>
        <v>@bffb300aff02425</v>
      </c>
      <c r="C17291" t="s">
        <v>6338</v>
      </c>
      <c r="D17291">
        <v>533</v>
      </c>
      <c r="E17291">
        <v>0</v>
      </c>
      <c r="F17291">
        <v>514</v>
      </c>
    </row>
    <row r="17292" spans="1:6" ht="12.75">
      <c r="A17292" s="2">
        <v>43877.448368055557</v>
      </c>
      <c r="B17292" t="str">
        <f>HYPERLINK("https://twitter.com/elshinta_smg","@elshinta_smg")</f>
        <v>@elshinta_smg</v>
      </c>
      <c r="C17292" t="s">
        <v>8842</v>
      </c>
      <c r="D17292">
        <v>0</v>
      </c>
      <c r="E17292">
        <v>0</v>
      </c>
      <c r="F17292">
        <v>3733</v>
      </c>
    </row>
    <row r="17293" spans="1:6" ht="12.75">
      <c r="A17293" s="2">
        <v>43877.448148148149</v>
      </c>
      <c r="B17293" t="str">
        <f>HYPERLINK("https://twitter.com/muchamadhusyein","@muchamadhusyein")</f>
        <v>@muchamadhusyein</v>
      </c>
      <c r="C17293" t="s">
        <v>8843</v>
      </c>
      <c r="D17293">
        <v>0</v>
      </c>
      <c r="E17293">
        <v>0</v>
      </c>
      <c r="F17293">
        <v>1898</v>
      </c>
    </row>
    <row r="17294" spans="1:6" ht="12.75">
      <c r="A17294" s="2">
        <v>43877.447650462964</v>
      </c>
      <c r="B17294" t="str">
        <f>HYPERLINK("https://twitter.com/Pujiant87830836","@Pujiant87830836")</f>
        <v>@Pujiant87830836</v>
      </c>
      <c r="C17294" t="s">
        <v>8844</v>
      </c>
      <c r="D17294">
        <v>0</v>
      </c>
      <c r="E17294">
        <v>0</v>
      </c>
      <c r="F17294">
        <v>8</v>
      </c>
    </row>
    <row r="17295" spans="1:6" ht="12.75">
      <c r="A17295" s="2">
        <v>43877.447638888887</v>
      </c>
      <c r="B17295" t="str">
        <f>HYPERLINK("https://twitter.com/mascoker90","@mascoker90")</f>
        <v>@mascoker90</v>
      </c>
      <c r="C17295" t="s">
        <v>6355</v>
      </c>
      <c r="D17295">
        <v>239</v>
      </c>
      <c r="E17295">
        <v>0</v>
      </c>
      <c r="F17295">
        <v>132</v>
      </c>
    </row>
    <row r="17296" spans="1:6" ht="12.75">
      <c r="A17296" s="2">
        <v>43877.447291666671</v>
      </c>
      <c r="B17296" t="str">
        <f>HYPERLINK("https://twitter.com/wni_jmsri","@wni_jmsri")</f>
        <v>@wni_jmsri</v>
      </c>
      <c r="C17296" t="s">
        <v>8845</v>
      </c>
      <c r="D17296">
        <v>371</v>
      </c>
      <c r="E17296">
        <v>0</v>
      </c>
      <c r="F17296">
        <v>194</v>
      </c>
    </row>
    <row r="17297" spans="1:6" ht="12.75">
      <c r="A17297" s="2">
        <v>43877.447280092594</v>
      </c>
      <c r="B17297" t="str">
        <f>HYPERLINK("https://twitter.com/BarzanyWA","@BarzanyWA")</f>
        <v>@BarzanyWA</v>
      </c>
      <c r="C17297" t="s">
        <v>7876</v>
      </c>
      <c r="D17297">
        <v>70</v>
      </c>
      <c r="E17297">
        <v>0</v>
      </c>
      <c r="F17297">
        <v>509</v>
      </c>
    </row>
    <row r="17298" spans="1:6" ht="12.75">
      <c r="A17298" s="2">
        <v>43877.447280092594</v>
      </c>
      <c r="B17298" t="str">
        <f>HYPERLINK("https://twitter.com/Rachman19661","@Rachman19661")</f>
        <v>@Rachman19661</v>
      </c>
      <c r="C17298" t="s">
        <v>6338</v>
      </c>
      <c r="D17298">
        <v>533</v>
      </c>
      <c r="E17298">
        <v>0</v>
      </c>
      <c r="F17298">
        <v>1236</v>
      </c>
    </row>
    <row r="17299" spans="1:6" ht="12.75">
      <c r="A17299" s="2">
        <v>43877.447106481486</v>
      </c>
      <c r="B17299" t="str">
        <f>HYPERLINK("https://twitter.com/Emelia64988940","@Emelia64988940")</f>
        <v>@Emelia64988940</v>
      </c>
      <c r="C17299" t="s">
        <v>6338</v>
      </c>
      <c r="D17299">
        <v>533</v>
      </c>
      <c r="E17299">
        <v>0</v>
      </c>
      <c r="F17299">
        <v>5</v>
      </c>
    </row>
    <row r="17300" spans="1:6" ht="12.75">
      <c r="A17300" s="2">
        <v>43877.447060185186</v>
      </c>
      <c r="B17300" t="str">
        <f>HYPERLINK("https://twitter.com/TresnaCyber","@TresnaCyber")</f>
        <v>@TresnaCyber</v>
      </c>
      <c r="C17300" t="s">
        <v>6338</v>
      </c>
      <c r="D17300">
        <v>533</v>
      </c>
      <c r="E17300">
        <v>0</v>
      </c>
      <c r="F17300">
        <v>203</v>
      </c>
    </row>
    <row r="17301" spans="1:6" ht="12.75">
      <c r="A17301" s="2">
        <v>43877.44703703704</v>
      </c>
      <c r="B17301" t="str">
        <f>HYPERLINK("https://twitter.com/padlanmaulana","@padlanmaulana")</f>
        <v>@padlanmaulana</v>
      </c>
      <c r="C17301" t="s">
        <v>8846</v>
      </c>
      <c r="D17301">
        <v>0</v>
      </c>
      <c r="E17301">
        <v>0</v>
      </c>
      <c r="F17301">
        <v>486</v>
      </c>
    </row>
    <row r="17302" spans="1:6" ht="12.75">
      <c r="A17302" s="2">
        <v>43877.446840277778</v>
      </c>
      <c r="B17302" t="str">
        <f>HYPERLINK("https://twitter.com/tlitaay","@tlitaay")</f>
        <v>@tlitaay</v>
      </c>
      <c r="C17302" t="s">
        <v>175</v>
      </c>
      <c r="D17302">
        <v>5361</v>
      </c>
      <c r="E17302">
        <v>0</v>
      </c>
      <c r="F17302">
        <v>1052</v>
      </c>
    </row>
    <row r="17303" spans="1:6" ht="12.75">
      <c r="A17303" s="2">
        <v>43877.446701388893</v>
      </c>
      <c r="B17303" t="str">
        <f>HYPERLINK("https://twitter.com/agungelsastra","@agungelsastra")</f>
        <v>@agungelsastra</v>
      </c>
      <c r="C17303" t="s">
        <v>7152</v>
      </c>
      <c r="D17303">
        <v>29</v>
      </c>
      <c r="E17303">
        <v>0</v>
      </c>
      <c r="F17303">
        <v>768</v>
      </c>
    </row>
    <row r="17304" spans="1:6" ht="12.75">
      <c r="A17304" s="2">
        <v>43877.446585648147</v>
      </c>
      <c r="B17304" t="str">
        <f>HYPERLINK("https://twitter.com/wni_jmsri","@wni_jmsri")</f>
        <v>@wni_jmsri</v>
      </c>
      <c r="C17304" t="s">
        <v>8847</v>
      </c>
      <c r="D17304">
        <v>596</v>
      </c>
      <c r="E17304">
        <v>0</v>
      </c>
      <c r="F17304">
        <v>194</v>
      </c>
    </row>
    <row r="17305" spans="1:6" ht="12.75">
      <c r="A17305" s="2">
        <v>43877.446469907409</v>
      </c>
      <c r="B17305" t="str">
        <f>HYPERLINK("https://twitter.com/ucok_62","@ucok_62")</f>
        <v>@ucok_62</v>
      </c>
      <c r="C17305" t="s">
        <v>6338</v>
      </c>
      <c r="D17305">
        <v>533</v>
      </c>
      <c r="E17305">
        <v>0</v>
      </c>
      <c r="F17305">
        <v>82</v>
      </c>
    </row>
    <row r="17306" spans="1:6" ht="12.75">
      <c r="A17306" s="2">
        <v>43877.446458333332</v>
      </c>
      <c r="B17306" t="str">
        <f>HYPERLINK("https://twitter.com/BadjaNuswantara","@BadjaNuswantara")</f>
        <v>@BadjaNuswantara</v>
      </c>
      <c r="C17306" t="s">
        <v>6338</v>
      </c>
      <c r="D17306">
        <v>533</v>
      </c>
      <c r="E17306">
        <v>0</v>
      </c>
      <c r="F17306">
        <v>42395</v>
      </c>
    </row>
    <row r="17307" spans="1:6" ht="12.75">
      <c r="A17307" s="2">
        <v>43877.446226851855</v>
      </c>
      <c r="B17307" t="str">
        <f>HYPERLINK("https://twitter.com/AndiSumantri","@AndiSumantri")</f>
        <v>@AndiSumantri</v>
      </c>
      <c r="C17307" t="s">
        <v>8848</v>
      </c>
      <c r="D17307">
        <v>1</v>
      </c>
      <c r="E17307">
        <v>0</v>
      </c>
      <c r="F17307">
        <v>1390</v>
      </c>
    </row>
    <row r="17308" spans="1:6" ht="12.75">
      <c r="A17308" s="2">
        <v>43877.445856481485</v>
      </c>
      <c r="B17308" t="str">
        <f>HYPERLINK("https://twitter.com/__pijan___","@__pijan___")</f>
        <v>@__pijan___</v>
      </c>
      <c r="C17308" t="s">
        <v>8839</v>
      </c>
      <c r="D17308">
        <v>5</v>
      </c>
      <c r="E17308">
        <v>0</v>
      </c>
      <c r="F17308">
        <v>18</v>
      </c>
    </row>
    <row r="17309" spans="1:6" ht="12.75">
      <c r="A17309" s="2">
        <v>43877.44568287037</v>
      </c>
      <c r="B17309" t="str">
        <f>HYPERLINK("https://twitter.com/ariikuss","@ariikuss")</f>
        <v>@ariikuss</v>
      </c>
      <c r="C17309" t="s">
        <v>6338</v>
      </c>
      <c r="D17309">
        <v>533</v>
      </c>
      <c r="E17309">
        <v>0</v>
      </c>
      <c r="F17309">
        <v>25</v>
      </c>
    </row>
    <row r="17310" spans="1:6" ht="12.75">
      <c r="A17310" s="2">
        <v>43877.445428240739</v>
      </c>
      <c r="B17310" t="str">
        <f>HYPERLINK("https://twitter.com/NannyAlexendry","@NannyAlexendry")</f>
        <v>@NannyAlexendry</v>
      </c>
      <c r="C17310" t="s">
        <v>6338</v>
      </c>
      <c r="D17310">
        <v>533</v>
      </c>
      <c r="E17310">
        <v>0</v>
      </c>
      <c r="F17310">
        <v>2889</v>
      </c>
    </row>
    <row r="17311" spans="1:6" ht="12.75">
      <c r="A17311" s="2">
        <v>43877.445428240739</v>
      </c>
      <c r="B17311" t="str">
        <f>HYPERLINK("https://twitter.com/Jokotengger","@Jokotengger")</f>
        <v>@Jokotengger</v>
      </c>
      <c r="C17311" t="s">
        <v>8849</v>
      </c>
      <c r="D17311">
        <v>0</v>
      </c>
      <c r="E17311">
        <v>0</v>
      </c>
      <c r="F17311">
        <v>43</v>
      </c>
    </row>
    <row r="17312" spans="1:6" ht="12.75">
      <c r="A17312" s="2">
        <v>43877.445416666669</v>
      </c>
      <c r="B17312" t="str">
        <f>HYPERLINK("https://twitter.com/Parew4_Minang","@Parew4_Minang")</f>
        <v>@Parew4_Minang</v>
      </c>
      <c r="C17312" t="s">
        <v>8850</v>
      </c>
      <c r="D17312">
        <v>0</v>
      </c>
      <c r="E17312">
        <v>1</v>
      </c>
      <c r="F17312">
        <v>3138</v>
      </c>
    </row>
    <row r="17313" spans="1:6" ht="12.75">
      <c r="A17313" s="2">
        <v>43877.445266203707</v>
      </c>
      <c r="B17313" t="str">
        <f>HYPERLINK("https://twitter.com/Robby555920","@Robby555920")</f>
        <v>@Robby555920</v>
      </c>
      <c r="C17313" t="s">
        <v>3970</v>
      </c>
      <c r="D17313">
        <v>561</v>
      </c>
      <c r="E17313">
        <v>0</v>
      </c>
      <c r="F17313">
        <v>3061</v>
      </c>
    </row>
    <row r="17314" spans="1:6" ht="12.75">
      <c r="A17314" s="2">
        <v>43877.444872685184</v>
      </c>
      <c r="B17314" t="str">
        <f>HYPERLINK("https://twitter.com/marissssah","@marissssah")</f>
        <v>@marissssah</v>
      </c>
      <c r="C17314" t="s">
        <v>2088</v>
      </c>
      <c r="D17314">
        <v>16114</v>
      </c>
      <c r="E17314">
        <v>0</v>
      </c>
      <c r="F17314">
        <v>519</v>
      </c>
    </row>
    <row r="17315" spans="1:6" ht="12.75">
      <c r="A17315" s="2">
        <v>43877.444722222222</v>
      </c>
      <c r="B17315" t="str">
        <f>HYPERLINK("https://twitter.com/MrsRachelIn","@MrsRachelIn")</f>
        <v>@MrsRachelIn</v>
      </c>
      <c r="C17315" t="s">
        <v>8851</v>
      </c>
      <c r="D17315">
        <v>0</v>
      </c>
      <c r="E17315">
        <v>1</v>
      </c>
      <c r="F17315">
        <v>3115</v>
      </c>
    </row>
    <row r="17316" spans="1:6" ht="12.75">
      <c r="A17316" s="2">
        <v>43877.418113425927</v>
      </c>
      <c r="B17316" t="str">
        <f>HYPERLINK("https://twitter.com/kompascom","@kompascom")</f>
        <v>@kompascom</v>
      </c>
      <c r="C17316" t="s">
        <v>8852</v>
      </c>
      <c r="D17316">
        <v>0</v>
      </c>
      <c r="E17316">
        <v>0</v>
      </c>
      <c r="F17316">
        <v>7499326</v>
      </c>
    </row>
    <row r="17317" spans="1:6" ht="12.75">
      <c r="A17317" s="2">
        <v>43877.417569444442</v>
      </c>
      <c r="B17317" t="str">
        <f>HYPERLINK("https://twitter.com/anditoaja","@anditoaja")</f>
        <v>@anditoaja</v>
      </c>
      <c r="C17317" t="s">
        <v>8853</v>
      </c>
      <c r="D17317">
        <v>0</v>
      </c>
      <c r="E17317">
        <v>0</v>
      </c>
      <c r="F17317">
        <v>1412</v>
      </c>
    </row>
    <row r="17318" spans="1:6" ht="12.75">
      <c r="A17318" s="2">
        <v>43877.41710648148</v>
      </c>
      <c r="B17318" t="str">
        <f>HYPERLINK("https://twitter.com/marwan35933953","@marwan35933953")</f>
        <v>@marwan35933953</v>
      </c>
      <c r="C17318" t="s">
        <v>8854</v>
      </c>
      <c r="D17318">
        <v>1</v>
      </c>
      <c r="E17318">
        <v>0</v>
      </c>
      <c r="F17318">
        <v>7</v>
      </c>
    </row>
    <row r="17319" spans="1:6" ht="12.75">
      <c r="A17319" s="2">
        <v>43877.417083333334</v>
      </c>
      <c r="B17319" t="str">
        <f>HYPERLINK("https://twitter.com/tattock","@tattock")</f>
        <v>@tattock</v>
      </c>
      <c r="C17319" t="s">
        <v>8855</v>
      </c>
      <c r="D17319">
        <v>3</v>
      </c>
      <c r="E17319">
        <v>0</v>
      </c>
      <c r="F17319">
        <v>1141</v>
      </c>
    </row>
    <row r="17320" spans="1:6" ht="12.75">
      <c r="A17320" s="2">
        <v>43877.416898148149</v>
      </c>
      <c r="B17320" t="str">
        <f>HYPERLINK("https://twitter.com/semogagondrong","@semogagondrong")</f>
        <v>@semogagondrong</v>
      </c>
      <c r="C17320" t="s">
        <v>8856</v>
      </c>
      <c r="D17320">
        <v>0</v>
      </c>
      <c r="E17320">
        <v>0</v>
      </c>
      <c r="F17320">
        <v>41</v>
      </c>
    </row>
    <row r="17321" spans="1:6" ht="12.75">
      <c r="A17321" s="2">
        <v>43877.416805555556</v>
      </c>
      <c r="B17321" t="str">
        <f>HYPERLINK("https://twitter.com/Bob_Bee28","@Bob_Bee28")</f>
        <v>@Bob_Bee28</v>
      </c>
      <c r="C17321" t="s">
        <v>6338</v>
      </c>
      <c r="D17321">
        <v>490</v>
      </c>
      <c r="E17321">
        <v>0</v>
      </c>
      <c r="F17321">
        <v>55</v>
      </c>
    </row>
    <row r="17322" spans="1:6" ht="12.75">
      <c r="A17322" s="2">
        <v>43877.416701388887</v>
      </c>
      <c r="B17322" t="str">
        <f>HYPERLINK("https://twitter.com/MBaroes1","@MBaroes1")</f>
        <v>@MBaroes1</v>
      </c>
      <c r="C17322" t="s">
        <v>6338</v>
      </c>
      <c r="D17322">
        <v>490</v>
      </c>
      <c r="E17322">
        <v>0</v>
      </c>
      <c r="F17322">
        <v>0</v>
      </c>
    </row>
    <row r="17323" spans="1:6" ht="12.75">
      <c r="A17323" s="2">
        <v>43877.416435185187</v>
      </c>
      <c r="B17323" t="str">
        <f>HYPERLINK("https://twitter.com/santuuykupi","@santuuykupi")</f>
        <v>@santuuykupi</v>
      </c>
      <c r="C17323" t="s">
        <v>8665</v>
      </c>
      <c r="D17323">
        <v>248</v>
      </c>
      <c r="E17323">
        <v>0</v>
      </c>
      <c r="F17323">
        <v>1647</v>
      </c>
    </row>
    <row r="17324" spans="1:6" ht="12.75">
      <c r="A17324" s="2">
        <v>43877.416354166664</v>
      </c>
      <c r="B17324" t="str">
        <f>HYPERLINK("https://twitter.com/Jkt_Networks","@Jkt_Networks")</f>
        <v>@Jkt_Networks</v>
      </c>
      <c r="C17324" t="s">
        <v>8857</v>
      </c>
      <c r="D17324">
        <v>2</v>
      </c>
      <c r="E17324">
        <v>0</v>
      </c>
      <c r="F17324">
        <v>82</v>
      </c>
    </row>
    <row r="17325" spans="1:6" ht="12.75">
      <c r="A17325" s="2">
        <v>43877.416168981479</v>
      </c>
      <c r="B17325" t="str">
        <f>HYPERLINK("https://twitter.com/madeyogaw","@madeyogaw")</f>
        <v>@madeyogaw</v>
      </c>
      <c r="C17325" t="s">
        <v>8858</v>
      </c>
      <c r="D17325">
        <v>0</v>
      </c>
      <c r="E17325">
        <v>1</v>
      </c>
      <c r="F17325">
        <v>315</v>
      </c>
    </row>
    <row r="17326" spans="1:6" ht="12.75">
      <c r="A17326" s="2">
        <v>43877.415462962963</v>
      </c>
      <c r="B17326" t="str">
        <f>HYPERLINK("https://twitter.com/budi_es2580","@budi_es2580")</f>
        <v>@budi_es2580</v>
      </c>
      <c r="C17326" t="s">
        <v>8603</v>
      </c>
      <c r="D17326">
        <v>2</v>
      </c>
      <c r="E17326">
        <v>0</v>
      </c>
      <c r="F17326">
        <v>1207</v>
      </c>
    </row>
    <row r="17327" spans="1:6" ht="12.75">
      <c r="A17327" s="2">
        <v>43877.41542824074</v>
      </c>
      <c r="B17327" t="str">
        <f>HYPERLINK("https://twitter.com/StzYadi","@StzYadi")</f>
        <v>@StzYadi</v>
      </c>
      <c r="C17327" t="s">
        <v>6338</v>
      </c>
      <c r="D17327">
        <v>490</v>
      </c>
      <c r="E17327">
        <v>0</v>
      </c>
      <c r="F17327">
        <v>112</v>
      </c>
    </row>
    <row r="17328" spans="1:6" ht="12.75">
      <c r="A17328" s="2">
        <v>43877.415347222224</v>
      </c>
      <c r="B17328" t="str">
        <f>HYPERLINK("https://twitter.com/_n_1_7_","@_n_1_7_")</f>
        <v>@_n_1_7_</v>
      </c>
      <c r="C17328" t="s">
        <v>8859</v>
      </c>
      <c r="D17328">
        <v>0</v>
      </c>
      <c r="E17328">
        <v>0</v>
      </c>
      <c r="F17328">
        <v>298</v>
      </c>
    </row>
    <row r="17329" spans="1:6" ht="12.75">
      <c r="A17329" s="2">
        <v>43877.415277777778</v>
      </c>
      <c r="B17329" t="str">
        <f>HYPERLINK("https://twitter.com/agoessp","@agoessp")</f>
        <v>@agoessp</v>
      </c>
      <c r="C17329" t="s">
        <v>6338</v>
      </c>
      <c r="D17329">
        <v>490</v>
      </c>
      <c r="E17329">
        <v>0</v>
      </c>
      <c r="F17329">
        <v>132</v>
      </c>
    </row>
    <row r="17330" spans="1:6" ht="12.75">
      <c r="A17330" s="2">
        <v>43877.415219907409</v>
      </c>
      <c r="B17330" t="str">
        <f>HYPERLINK("https://twitter.com/marwan35933953","@marwan35933953")</f>
        <v>@marwan35933953</v>
      </c>
      <c r="C17330" t="s">
        <v>8860</v>
      </c>
      <c r="D17330">
        <v>3</v>
      </c>
      <c r="E17330">
        <v>0</v>
      </c>
      <c r="F17330">
        <v>7</v>
      </c>
    </row>
    <row r="17331" spans="1:6" ht="12.75">
      <c r="A17331" s="2">
        <v>43877.415081018524</v>
      </c>
      <c r="B17331" t="str">
        <f>HYPERLINK("https://twitter.com/cangcingiss","@cangcingiss")</f>
        <v>@cangcingiss</v>
      </c>
      <c r="C17331" t="s">
        <v>6338</v>
      </c>
      <c r="D17331">
        <v>490</v>
      </c>
      <c r="E17331">
        <v>0</v>
      </c>
      <c r="F17331">
        <v>260</v>
      </c>
    </row>
    <row r="17332" spans="1:6" ht="12.75">
      <c r="A17332" s="2">
        <v>43877.414918981478</v>
      </c>
      <c r="B17332" t="str">
        <f>HYPERLINK("https://twitter.com/marwan35933953","@marwan35933953")</f>
        <v>@marwan35933953</v>
      </c>
      <c r="C17332" t="s">
        <v>5761</v>
      </c>
      <c r="D17332">
        <v>98</v>
      </c>
      <c r="E17332">
        <v>0</v>
      </c>
      <c r="F17332">
        <v>7</v>
      </c>
    </row>
    <row r="17333" spans="1:6" ht="12.75">
      <c r="A17333" s="2">
        <v>43877.414675925931</v>
      </c>
      <c r="B17333" t="str">
        <f>HYPERLINK("https://twitter.com/Dee06644722","@Dee06644722")</f>
        <v>@Dee06644722</v>
      </c>
      <c r="C17333" t="s">
        <v>8861</v>
      </c>
      <c r="D17333">
        <v>1</v>
      </c>
      <c r="E17333">
        <v>0</v>
      </c>
      <c r="F17333">
        <v>234</v>
      </c>
    </row>
    <row r="17334" spans="1:6" ht="12.75">
      <c r="A17334" s="2">
        <v>43877.414571759262</v>
      </c>
      <c r="B17334" t="str">
        <f>HYPERLINK("https://twitter.com/oldmatefire","@oldmatefire")</f>
        <v>@oldmatefire</v>
      </c>
      <c r="C17334" t="s">
        <v>6338</v>
      </c>
      <c r="D17334">
        <v>490</v>
      </c>
      <c r="E17334">
        <v>0</v>
      </c>
      <c r="F17334">
        <v>252</v>
      </c>
    </row>
    <row r="17335" spans="1:6" ht="12.75">
      <c r="A17335" s="2">
        <v>43877.413946759261</v>
      </c>
      <c r="B17335" t="str">
        <f>HYPERLINK("https://twitter.com/kompascom","@kompascom")</f>
        <v>@kompascom</v>
      </c>
      <c r="C17335" t="s">
        <v>8862</v>
      </c>
      <c r="D17335">
        <v>0</v>
      </c>
      <c r="E17335">
        <v>6</v>
      </c>
      <c r="F17335">
        <v>7499326</v>
      </c>
    </row>
    <row r="17336" spans="1:6" ht="12.75">
      <c r="A17336" s="2">
        <v>43877.413761574076</v>
      </c>
      <c r="B17336" t="str">
        <f>HYPERLINK("https://twitter.com/yohanagril","@yohanagril")</f>
        <v>@yohanagril</v>
      </c>
      <c r="C17336" t="s">
        <v>8863</v>
      </c>
      <c r="D17336">
        <v>0</v>
      </c>
      <c r="E17336">
        <v>0</v>
      </c>
      <c r="F17336">
        <v>626</v>
      </c>
    </row>
    <row r="17337" spans="1:6" ht="12.75">
      <c r="A17337" s="2">
        <v>43877.413738425923</v>
      </c>
      <c r="B17337" t="str">
        <f>HYPERLINK("https://twitter.com/dienurfachrie","@dienurfachrie")</f>
        <v>@dienurfachrie</v>
      </c>
      <c r="C17337" t="s">
        <v>2147</v>
      </c>
      <c r="D17337">
        <v>514</v>
      </c>
      <c r="E17337">
        <v>0</v>
      </c>
      <c r="F17337">
        <v>478</v>
      </c>
    </row>
    <row r="17338" spans="1:6" ht="12.75">
      <c r="A17338" s="2">
        <v>43877.4137037037</v>
      </c>
      <c r="B17338" t="str">
        <f>HYPERLINK("https://twitter.com/okezonenews","@okezonenews")</f>
        <v>@okezonenews</v>
      </c>
      <c r="C17338" t="s">
        <v>8864</v>
      </c>
      <c r="D17338">
        <v>0</v>
      </c>
      <c r="E17338">
        <v>0</v>
      </c>
      <c r="F17338">
        <v>1743917</v>
      </c>
    </row>
    <row r="17339" spans="1:6" ht="12.75">
      <c r="A17339" s="2">
        <v>43877.413194444445</v>
      </c>
      <c r="B17339" t="str">
        <f>HYPERLINK("https://twitter.com/aa_argun","@aa_argun")</f>
        <v>@aa_argun</v>
      </c>
      <c r="C17339" t="s">
        <v>8865</v>
      </c>
      <c r="D17339">
        <v>2</v>
      </c>
      <c r="E17339">
        <v>0</v>
      </c>
      <c r="F17339">
        <v>108</v>
      </c>
    </row>
    <row r="17340" spans="1:6" ht="12.75">
      <c r="A17340" s="2">
        <v>43877.413159722222</v>
      </c>
      <c r="B17340" t="str">
        <f>HYPERLINK("https://twitter.com/AriKhismianto","@AriKhismianto")</f>
        <v>@AriKhismianto</v>
      </c>
      <c r="C17340" t="s">
        <v>2147</v>
      </c>
      <c r="D17340">
        <v>514</v>
      </c>
      <c r="E17340">
        <v>0</v>
      </c>
      <c r="F17340">
        <v>27</v>
      </c>
    </row>
    <row r="17341" spans="1:6" ht="12.75">
      <c r="A17341" s="2">
        <v>43877.413136574076</v>
      </c>
      <c r="B17341" t="str">
        <f>HYPERLINK("https://twitter.com/Fadlan48320812","@Fadlan48320812")</f>
        <v>@Fadlan48320812</v>
      </c>
      <c r="C17341" t="s">
        <v>8866</v>
      </c>
      <c r="D17341">
        <v>0</v>
      </c>
      <c r="E17341">
        <v>0</v>
      </c>
      <c r="F17341">
        <v>3</v>
      </c>
    </row>
    <row r="17342" spans="1:6" ht="12.75">
      <c r="A17342" s="2">
        <v>43877.412974537037</v>
      </c>
      <c r="B17342" t="str">
        <f>HYPERLINK("https://twitter.com/the_geotimes","@the_geotimes")</f>
        <v>@the_geotimes</v>
      </c>
      <c r="C17342" t="s">
        <v>8867</v>
      </c>
      <c r="D17342">
        <v>1</v>
      </c>
      <c r="E17342">
        <v>0</v>
      </c>
      <c r="F17342">
        <v>49309</v>
      </c>
    </row>
    <row r="17343" spans="1:6" ht="12.75">
      <c r="A17343" s="2">
        <v>43877.412939814814</v>
      </c>
      <c r="B17343" t="str">
        <f>HYPERLINK("https://twitter.com/biancainforme","@biancainforme")</f>
        <v>@biancainforme</v>
      </c>
      <c r="C17343" t="s">
        <v>8868</v>
      </c>
      <c r="D17343">
        <v>0</v>
      </c>
      <c r="E17343">
        <v>0</v>
      </c>
      <c r="F17343">
        <v>176</v>
      </c>
    </row>
    <row r="17344" spans="1:6" ht="12.75">
      <c r="A17344" s="2">
        <v>43877.412835648152</v>
      </c>
      <c r="B17344" t="str">
        <f>HYPERLINK("https://twitter.com/the_geotimes","@the_geotimes")</f>
        <v>@the_geotimes</v>
      </c>
      <c r="C17344" t="s">
        <v>8802</v>
      </c>
      <c r="D17344">
        <v>1</v>
      </c>
      <c r="E17344">
        <v>0</v>
      </c>
      <c r="F17344">
        <v>49309</v>
      </c>
    </row>
    <row r="17345" spans="1:6" ht="12.75">
      <c r="A17345" s="2">
        <v>43877.412499999999</v>
      </c>
      <c r="B17345" t="str">
        <f>HYPERLINK("https://twitter.com/__beritaterkini","@__beritaterkini")</f>
        <v>@__beritaterkini</v>
      </c>
      <c r="C17345" t="s">
        <v>8869</v>
      </c>
      <c r="D17345">
        <v>0</v>
      </c>
      <c r="E17345">
        <v>0</v>
      </c>
      <c r="F17345">
        <v>426</v>
      </c>
    </row>
    <row r="17346" spans="1:6" ht="12.75">
      <c r="A17346" s="2">
        <v>43877.412407407406</v>
      </c>
      <c r="B17346" t="str">
        <f>HYPERLINK("https://twitter.com/21Lai21","@21Lai21")</f>
        <v>@21Lai21</v>
      </c>
      <c r="C17346" t="s">
        <v>8547</v>
      </c>
      <c r="D17346">
        <v>17</v>
      </c>
      <c r="E17346">
        <v>0</v>
      </c>
      <c r="F17346">
        <v>275</v>
      </c>
    </row>
    <row r="17347" spans="1:6" ht="12.75">
      <c r="A17347" s="2">
        <v>43877.411921296298</v>
      </c>
      <c r="B17347" t="str">
        <f>HYPERLINK("https://twitter.com/dutdut13_","@dutdut13_")</f>
        <v>@dutdut13_</v>
      </c>
      <c r="C17347" t="s">
        <v>7154</v>
      </c>
      <c r="D17347">
        <v>51</v>
      </c>
      <c r="E17347">
        <v>0</v>
      </c>
      <c r="F17347">
        <v>390</v>
      </c>
    </row>
    <row r="17348" spans="1:6" ht="12.75">
      <c r="A17348" s="2">
        <v>43877.411400462966</v>
      </c>
      <c r="B17348" t="str">
        <f>HYPERLINK("https://twitter.com/diandrasabella","@diandrasabella")</f>
        <v>@diandrasabella</v>
      </c>
      <c r="C17348" t="s">
        <v>8870</v>
      </c>
      <c r="D17348">
        <v>2</v>
      </c>
      <c r="E17348">
        <v>0</v>
      </c>
      <c r="F17348">
        <v>1592</v>
      </c>
    </row>
    <row r="17349" spans="1:6" ht="12.75">
      <c r="A17349" s="2">
        <v>43877.411400462966</v>
      </c>
      <c r="B17349" t="str">
        <f>HYPERLINK("https://twitter.com/me_zhu__Yusra","@me_zhu__Yusra")</f>
        <v>@me_zhu__Yusra</v>
      </c>
      <c r="C17349" t="s">
        <v>8871</v>
      </c>
      <c r="D17349">
        <v>0</v>
      </c>
      <c r="E17349">
        <v>0</v>
      </c>
      <c r="F17349">
        <v>3050</v>
      </c>
    </row>
    <row r="17350" spans="1:6" ht="12.75">
      <c r="A17350" s="2">
        <v>43877.411134259259</v>
      </c>
      <c r="B17350" t="str">
        <f>HYPERLINK("https://twitter.com/bagiinfolengkap","@bagiinfolengkap")</f>
        <v>@bagiinfolengkap</v>
      </c>
      <c r="C17350" t="s">
        <v>8872</v>
      </c>
      <c r="D17350">
        <v>0</v>
      </c>
      <c r="E17350">
        <v>0</v>
      </c>
      <c r="F17350">
        <v>265</v>
      </c>
    </row>
    <row r="17351" spans="1:6" ht="12.75">
      <c r="A17351" s="2">
        <v>43877.411030092597</v>
      </c>
      <c r="B17351" t="str">
        <f>HYPERLINK("https://twitter.com/Chocopinkz","@Chocopinkz")</f>
        <v>@Chocopinkz</v>
      </c>
      <c r="C17351" t="s">
        <v>8603</v>
      </c>
      <c r="D17351">
        <v>2</v>
      </c>
      <c r="E17351">
        <v>0</v>
      </c>
      <c r="F17351">
        <v>1925</v>
      </c>
    </row>
    <row r="17352" spans="1:6" ht="12.75">
      <c r="A17352" s="2">
        <v>43877.410902777774</v>
      </c>
      <c r="B17352" t="str">
        <f>HYPERLINK("https://twitter.com/syamsulhadi_ae","@syamsulhadi_ae")</f>
        <v>@syamsulhadi_ae</v>
      </c>
      <c r="C17352" t="s">
        <v>8203</v>
      </c>
      <c r="D17352">
        <v>162</v>
      </c>
      <c r="E17352">
        <v>0</v>
      </c>
      <c r="F17352">
        <v>233</v>
      </c>
    </row>
    <row r="17353" spans="1:6" ht="12.75">
      <c r="A17353" s="2">
        <v>43877.410844907412</v>
      </c>
      <c r="B17353" t="str">
        <f>HYPERLINK("https://twitter.com/Yusuferyy","@Yusuferyy")</f>
        <v>@Yusuferyy</v>
      </c>
      <c r="C17353" t="s">
        <v>6338</v>
      </c>
      <c r="D17353">
        <v>490</v>
      </c>
      <c r="E17353">
        <v>0</v>
      </c>
      <c r="F17353">
        <v>91</v>
      </c>
    </row>
    <row r="17354" spans="1:6" ht="12.75">
      <c r="A17354" s="2">
        <v>43877.410486111112</v>
      </c>
      <c r="B17354" t="str">
        <f>HYPERLINK("https://twitter.com/juliaroopi","@juliaroopi")</f>
        <v>@juliaroopi</v>
      </c>
      <c r="C17354" t="s">
        <v>8873</v>
      </c>
      <c r="D17354">
        <v>0</v>
      </c>
      <c r="E17354">
        <v>0</v>
      </c>
      <c r="F17354">
        <v>984</v>
      </c>
    </row>
    <row r="17355" spans="1:6" ht="12.75">
      <c r="A17355" s="2">
        <v>43877.41028935185</v>
      </c>
      <c r="B17355" t="str">
        <f>HYPERLINK("https://twitter.com/lase_dhanil","@lase_dhanil")</f>
        <v>@lase_dhanil</v>
      </c>
      <c r="C17355" t="s">
        <v>6338</v>
      </c>
      <c r="D17355">
        <v>490</v>
      </c>
      <c r="E17355">
        <v>0</v>
      </c>
      <c r="F17355">
        <v>466</v>
      </c>
    </row>
    <row r="17356" spans="1:6" ht="12.75">
      <c r="A17356" s="2">
        <v>43877.410219907411</v>
      </c>
      <c r="B17356" t="str">
        <f>HYPERLINK("https://twitter.com/KacongWage","@KacongWage")</f>
        <v>@KacongWage</v>
      </c>
      <c r="C17356" t="s">
        <v>8203</v>
      </c>
      <c r="D17356">
        <v>162</v>
      </c>
      <c r="E17356">
        <v>0</v>
      </c>
      <c r="F17356">
        <v>72</v>
      </c>
    </row>
    <row r="17357" spans="1:6" ht="12.75">
      <c r="A17357" s="2">
        <v>43877.410196759258</v>
      </c>
      <c r="B17357" t="str">
        <f>HYPERLINK("https://twitter.com/1Obefiend","@1Obefiend")</f>
        <v>@1Obefiend</v>
      </c>
      <c r="C17357" t="s">
        <v>8874</v>
      </c>
      <c r="D17357">
        <v>0</v>
      </c>
      <c r="E17357">
        <v>2</v>
      </c>
      <c r="F17357">
        <v>75009</v>
      </c>
    </row>
    <row r="17358" spans="1:6" ht="12.75">
      <c r="A17358" s="2">
        <v>43877.409895833334</v>
      </c>
      <c r="B17358" t="str">
        <f>HYPERLINK("https://twitter.com/options_n","@options_n")</f>
        <v>@options_n</v>
      </c>
      <c r="C17358" t="s">
        <v>7478</v>
      </c>
      <c r="D17358">
        <v>541</v>
      </c>
      <c r="E17358">
        <v>0</v>
      </c>
      <c r="F17358">
        <v>497</v>
      </c>
    </row>
    <row r="17359" spans="1:6" ht="12.75">
      <c r="A17359" s="2">
        <v>43877.409687499996</v>
      </c>
      <c r="B17359" t="str">
        <f>HYPERLINK("https://twitter.com/GarmeoNatan","@GarmeoNatan")</f>
        <v>@GarmeoNatan</v>
      </c>
      <c r="C17359" t="s">
        <v>8665</v>
      </c>
      <c r="D17359">
        <v>248</v>
      </c>
      <c r="E17359">
        <v>0</v>
      </c>
      <c r="F17359">
        <v>3058</v>
      </c>
    </row>
    <row r="17360" spans="1:6" ht="12.75">
      <c r="A17360" s="2">
        <v>43877.409409722226</v>
      </c>
      <c r="B17360" t="str">
        <f>HYPERLINK("https://twitter.com/bimaadjiN","@bimaadjiN")</f>
        <v>@bimaadjiN</v>
      </c>
      <c r="C17360" t="s">
        <v>6338</v>
      </c>
      <c r="D17360">
        <v>490</v>
      </c>
      <c r="E17360">
        <v>0</v>
      </c>
      <c r="F17360">
        <v>322</v>
      </c>
    </row>
    <row r="17361" spans="1:6" ht="12.75">
      <c r="A17361" s="2">
        <v>43877.409097222218</v>
      </c>
      <c r="B17361" t="str">
        <f>HYPERLINK("https://twitter.com/dabenone2","@dabenone2")</f>
        <v>@dabenone2</v>
      </c>
      <c r="C17361" t="s">
        <v>8520</v>
      </c>
      <c r="D17361">
        <v>1</v>
      </c>
      <c r="E17361">
        <v>0</v>
      </c>
      <c r="F17361">
        <v>44</v>
      </c>
    </row>
    <row r="17362" spans="1:6" ht="12.75">
      <c r="A17362" s="2">
        <v>43877.408854166672</v>
      </c>
      <c r="B17362" t="str">
        <f>HYPERLINK("https://twitter.com/BusranMekar","@BusranMekar")</f>
        <v>@BusranMekar</v>
      </c>
      <c r="C17362" t="s">
        <v>8875</v>
      </c>
      <c r="D17362">
        <v>0</v>
      </c>
      <c r="E17362">
        <v>0</v>
      </c>
      <c r="F17362">
        <v>2223</v>
      </c>
    </row>
    <row r="17363" spans="1:6" ht="12.75">
      <c r="A17363" s="2">
        <v>43877.408796296295</v>
      </c>
      <c r="B17363" t="str">
        <f>HYPERLINK("https://twitter.com/142_124_97","@142_124_97")</f>
        <v>@142_124_97</v>
      </c>
      <c r="C17363" t="s">
        <v>2147</v>
      </c>
      <c r="D17363">
        <v>514</v>
      </c>
      <c r="E17363">
        <v>0</v>
      </c>
      <c r="F17363">
        <v>428</v>
      </c>
    </row>
    <row r="17364" spans="1:6" ht="12.75">
      <c r="A17364" s="2">
        <v>43877.408784722225</v>
      </c>
      <c r="B17364" t="str">
        <f>HYPERLINK("https://twitter.com/Ulama_Sangean","@Ulama_Sangean")</f>
        <v>@Ulama_Sangean</v>
      </c>
      <c r="C17364" t="s">
        <v>8876</v>
      </c>
      <c r="D17364">
        <v>0</v>
      </c>
      <c r="E17364">
        <v>0</v>
      </c>
      <c r="F17364">
        <v>677</v>
      </c>
    </row>
    <row r="17365" spans="1:6" ht="12.75">
      <c r="A17365" s="2">
        <v>43877.408599537041</v>
      </c>
      <c r="B17365" t="str">
        <f>HYPERLINK("https://twitter.com/DediRWidodo2","@DediRWidodo2")</f>
        <v>@DediRWidodo2</v>
      </c>
      <c r="C17365" t="s">
        <v>8877</v>
      </c>
      <c r="D17365">
        <v>0</v>
      </c>
      <c r="E17365">
        <v>0</v>
      </c>
      <c r="F17365">
        <v>2</v>
      </c>
    </row>
    <row r="17366" spans="1:6" ht="12.75">
      <c r="A17366" s="2">
        <v>43877.408483796295</v>
      </c>
      <c r="B17366" t="str">
        <f>HYPERLINK("https://twitter.com/SautM1","@SautM1")</f>
        <v>@SautM1</v>
      </c>
      <c r="C17366" t="s">
        <v>6338</v>
      </c>
      <c r="D17366">
        <v>490</v>
      </c>
      <c r="E17366">
        <v>0</v>
      </c>
      <c r="F17366">
        <v>33</v>
      </c>
    </row>
    <row r="17367" spans="1:6" ht="12.75">
      <c r="A17367" s="2">
        <v>43877.408275462964</v>
      </c>
      <c r="B17367" t="str">
        <f>HYPERLINK("https://twitter.com/herwatoe","@herwatoe")</f>
        <v>@herwatoe</v>
      </c>
      <c r="C17367" t="s">
        <v>8878</v>
      </c>
      <c r="D17367">
        <v>0</v>
      </c>
      <c r="E17367">
        <v>1</v>
      </c>
      <c r="F17367">
        <v>2696</v>
      </c>
    </row>
    <row r="17368" spans="1:6" ht="12.75">
      <c r="A17368" s="2">
        <v>43877.407835648148</v>
      </c>
      <c r="B17368" t="str">
        <f>HYPERLINK("https://twitter.com/DhievaQ","@DhievaQ")</f>
        <v>@DhievaQ</v>
      </c>
      <c r="C17368" t="s">
        <v>8879</v>
      </c>
      <c r="D17368">
        <v>0</v>
      </c>
      <c r="E17368">
        <v>0</v>
      </c>
      <c r="F17368">
        <v>58</v>
      </c>
    </row>
    <row r="17369" spans="1:6" ht="12.75">
      <c r="A17369" s="2">
        <v>43877.407789351855</v>
      </c>
      <c r="B17369" t="str">
        <f>HYPERLINK("https://twitter.com/Mamangku2","@Mamangku2")</f>
        <v>@Mamangku2</v>
      </c>
      <c r="C17369" t="s">
        <v>6338</v>
      </c>
      <c r="D17369">
        <v>490</v>
      </c>
      <c r="E17369">
        <v>0</v>
      </c>
      <c r="F17369">
        <v>42</v>
      </c>
    </row>
    <row r="17370" spans="1:6" ht="12.75">
      <c r="A17370" s="2">
        <v>43877.407569444447</v>
      </c>
      <c r="B17370" t="str">
        <f>HYPERLINK("https://twitter.com/aris_apuesto","@aris_apuesto")</f>
        <v>@aris_apuesto</v>
      </c>
      <c r="C17370" t="s">
        <v>7956</v>
      </c>
      <c r="D17370">
        <v>17</v>
      </c>
      <c r="E17370">
        <v>0</v>
      </c>
      <c r="F17370">
        <v>428</v>
      </c>
    </row>
    <row r="17371" spans="1:6" ht="12.75">
      <c r="A17371" s="2">
        <v>43877.40725694444</v>
      </c>
      <c r="B17371" t="str">
        <f>HYPERLINK("https://twitter.com/DeniFaisal20","@DeniFaisal20")</f>
        <v>@DeniFaisal20</v>
      </c>
      <c r="C17371" t="s">
        <v>8880</v>
      </c>
      <c r="D17371">
        <v>1</v>
      </c>
      <c r="E17371">
        <v>0</v>
      </c>
      <c r="F17371">
        <v>6252</v>
      </c>
    </row>
    <row r="17372" spans="1:6" ht="12.75">
      <c r="A17372" s="2">
        <v>43877.406597222223</v>
      </c>
      <c r="B17372" t="str">
        <f>HYPERLINK("https://twitter.com/Ferry92754797","@Ferry92754797")</f>
        <v>@Ferry92754797</v>
      </c>
      <c r="C17372" t="s">
        <v>8881</v>
      </c>
      <c r="D17372">
        <v>280</v>
      </c>
      <c r="E17372">
        <v>0</v>
      </c>
      <c r="F17372">
        <v>78</v>
      </c>
    </row>
    <row r="17373" spans="1:6" ht="12.75">
      <c r="A17373" s="2">
        <v>43877.406539351854</v>
      </c>
      <c r="B17373" t="str">
        <f>HYPERLINK("https://twitter.com/sumarsono_tito","@sumarsono_tito")</f>
        <v>@sumarsono_tito</v>
      </c>
      <c r="C17373" t="s">
        <v>8882</v>
      </c>
      <c r="D17373">
        <v>0</v>
      </c>
      <c r="E17373">
        <v>0</v>
      </c>
      <c r="F17373">
        <v>13</v>
      </c>
    </row>
    <row r="17374" spans="1:6" ht="12.75">
      <c r="A17374" s="2">
        <v>43877.406377314815</v>
      </c>
      <c r="B17374" t="str">
        <f>HYPERLINK("https://twitter.com/CurhatGaring","@CurhatGaring")</f>
        <v>@CurhatGaring</v>
      </c>
      <c r="C17374" t="s">
        <v>8883</v>
      </c>
      <c r="D17374">
        <v>0</v>
      </c>
      <c r="E17374">
        <v>0</v>
      </c>
      <c r="F17374">
        <v>1</v>
      </c>
    </row>
    <row r="17375" spans="1:6" ht="12.75">
      <c r="A17375" s="2">
        <v>43877.406319444446</v>
      </c>
      <c r="B17375" t="str">
        <f>HYPERLINK("https://twitter.com/erwanice","@erwanice")</f>
        <v>@erwanice</v>
      </c>
      <c r="C17375" t="s">
        <v>8884</v>
      </c>
      <c r="D17375">
        <v>2</v>
      </c>
      <c r="E17375">
        <v>3</v>
      </c>
      <c r="F17375">
        <v>2488</v>
      </c>
    </row>
    <row r="17376" spans="1:6" ht="12.75">
      <c r="A17376" s="2">
        <v>43877.405914351853</v>
      </c>
      <c r="B17376" t="str">
        <f>HYPERLINK("https://twitter.com/sunnyohsunnyy","@sunnyohsunnyy")</f>
        <v>@sunnyohsunnyy</v>
      </c>
      <c r="C17376" t="s">
        <v>8885</v>
      </c>
      <c r="D17376">
        <v>1</v>
      </c>
      <c r="E17376">
        <v>0</v>
      </c>
      <c r="F17376">
        <v>920</v>
      </c>
    </row>
    <row r="17377" spans="1:6" ht="12.75">
      <c r="A17377" s="2">
        <v>43877.405752314815</v>
      </c>
      <c r="B17377" t="str">
        <f>HYPERLINK("https://twitter.com/manggarxz","@manggarxz")</f>
        <v>@manggarxz</v>
      </c>
      <c r="C17377" t="s">
        <v>8021</v>
      </c>
      <c r="D17377">
        <v>5</v>
      </c>
      <c r="E17377">
        <v>0</v>
      </c>
      <c r="F17377">
        <v>168</v>
      </c>
    </row>
    <row r="17378" spans="1:6" ht="12.75">
      <c r="A17378" s="2">
        <v>43877.405740740738</v>
      </c>
      <c r="B17378" t="str">
        <f>HYPERLINK("https://twitter.com/republikaonline","@republikaonline")</f>
        <v>@republikaonline</v>
      </c>
      <c r="C17378" t="s">
        <v>8886</v>
      </c>
      <c r="D17378">
        <v>0</v>
      </c>
      <c r="E17378">
        <v>1</v>
      </c>
      <c r="F17378">
        <v>1210606</v>
      </c>
    </row>
    <row r="17379" spans="1:6" ht="12.75">
      <c r="A17379" s="2">
        <v>43877.40561342593</v>
      </c>
      <c r="B17379" t="str">
        <f>HYPERLINK("https://twitter.com/secuilkeju","@secuilkeju")</f>
        <v>@secuilkeju</v>
      </c>
      <c r="C17379" t="s">
        <v>2444</v>
      </c>
      <c r="D17379">
        <v>4503</v>
      </c>
      <c r="E17379">
        <v>0</v>
      </c>
      <c r="F17379">
        <v>1137</v>
      </c>
    </row>
    <row r="17380" spans="1:6" ht="12.75">
      <c r="A17380" s="2">
        <v>43877.405601851853</v>
      </c>
      <c r="B17380" t="str">
        <f>HYPERLINK("https://twitter.com/AniesSubianto","@AniesSubianto")</f>
        <v>@AniesSubianto</v>
      </c>
      <c r="C17380" t="s">
        <v>8857</v>
      </c>
      <c r="D17380">
        <v>2</v>
      </c>
      <c r="E17380">
        <v>0</v>
      </c>
      <c r="F17380">
        <v>212</v>
      </c>
    </row>
    <row r="17381" spans="1:6" ht="12.75">
      <c r="A17381" s="2">
        <v>43877.405208333337</v>
      </c>
      <c r="B17381" t="str">
        <f>HYPERLINK("https://twitter.com/EngGuntur","@EngGuntur")</f>
        <v>@EngGuntur</v>
      </c>
      <c r="C17381" t="s">
        <v>8665</v>
      </c>
      <c r="D17381">
        <v>248</v>
      </c>
      <c r="E17381">
        <v>0</v>
      </c>
      <c r="F17381">
        <v>1423</v>
      </c>
    </row>
    <row r="17382" spans="1:6" ht="12.75">
      <c r="A17382" s="2">
        <v>43877.405057870375</v>
      </c>
      <c r="B17382" t="str">
        <f>HYPERLINK("https://twitter.com/ganjarpranowo","@ganjarpranowo")</f>
        <v>@ganjarpranowo</v>
      </c>
      <c r="C17382" t="s">
        <v>8887</v>
      </c>
      <c r="D17382">
        <v>2</v>
      </c>
      <c r="E17382">
        <v>26</v>
      </c>
      <c r="F17382">
        <v>1378442</v>
      </c>
    </row>
    <row r="17383" spans="1:6" ht="12.75">
      <c r="A17383" s="2">
        <v>43877.404907407406</v>
      </c>
      <c r="B17383" t="str">
        <f>HYPERLINK("https://twitter.com/stannxxxx","@stannxxxx")</f>
        <v>@stannxxxx</v>
      </c>
      <c r="C17383" t="s">
        <v>8547</v>
      </c>
      <c r="D17383">
        <v>17</v>
      </c>
      <c r="E17383">
        <v>0</v>
      </c>
      <c r="F17383">
        <v>46</v>
      </c>
    </row>
    <row r="17384" spans="1:6" ht="12.75">
      <c r="A17384" s="2">
        <v>43877.40489583333</v>
      </c>
      <c r="B17384" t="str">
        <f>HYPERLINK("https://twitter.com/Ferysplace","@Ferysplace")</f>
        <v>@Ferysplace</v>
      </c>
      <c r="C17384" t="s">
        <v>8203</v>
      </c>
      <c r="D17384">
        <v>162</v>
      </c>
      <c r="E17384">
        <v>0</v>
      </c>
      <c r="F17384">
        <v>579</v>
      </c>
    </row>
    <row r="17385" spans="1:6" ht="12.75">
      <c r="A17385" s="2">
        <v>43877.404872685191</v>
      </c>
      <c r="B17385" t="str">
        <f>HYPERLINK("https://twitter.com/Ahmadsyaifudd1n","@Ahmadsyaifudd1n")</f>
        <v>@Ahmadsyaifudd1n</v>
      </c>
      <c r="C17385" t="s">
        <v>8888</v>
      </c>
      <c r="D17385">
        <v>1</v>
      </c>
      <c r="E17385">
        <v>0</v>
      </c>
      <c r="F17385">
        <v>406</v>
      </c>
    </row>
    <row r="17386" spans="1:6" ht="12.75">
      <c r="A17386" s="2">
        <v>43877.404826388884</v>
      </c>
      <c r="B17386" t="str">
        <f>HYPERLINK("https://twitter.com/Chris60504098","@Chris60504098")</f>
        <v>@Chris60504098</v>
      </c>
      <c r="C17386" t="s">
        <v>6338</v>
      </c>
      <c r="D17386">
        <v>490</v>
      </c>
      <c r="E17386">
        <v>0</v>
      </c>
      <c r="F17386">
        <v>31</v>
      </c>
    </row>
    <row r="17387" spans="1:6" ht="12.75">
      <c r="A17387" s="2">
        <v>43877.404502314814</v>
      </c>
      <c r="B17387" t="str">
        <f>HYPERLINK("https://twitter.com/RlanGara","@RlanGara")</f>
        <v>@RlanGara</v>
      </c>
      <c r="C17387" t="s">
        <v>6338</v>
      </c>
      <c r="D17387">
        <v>490</v>
      </c>
      <c r="E17387">
        <v>0</v>
      </c>
      <c r="F17387">
        <v>68</v>
      </c>
    </row>
    <row r="17388" spans="1:6" ht="12.75">
      <c r="A17388" s="2">
        <v>43877.404409722221</v>
      </c>
      <c r="B17388" t="str">
        <f>HYPERLINK("https://twitter.com/w98_firdaus","@w98_firdaus")</f>
        <v>@w98_firdaus</v>
      </c>
      <c r="C17388" t="s">
        <v>8889</v>
      </c>
      <c r="D17388">
        <v>0</v>
      </c>
      <c r="E17388">
        <v>0</v>
      </c>
      <c r="F17388">
        <v>1100</v>
      </c>
    </row>
    <row r="17389" spans="1:6" ht="12.75">
      <c r="A17389" s="2">
        <v>43877.404074074075</v>
      </c>
      <c r="B17389" t="str">
        <f>HYPERLINK("https://twitter.com/gilangyudha45","@gilangyudha45")</f>
        <v>@gilangyudha45</v>
      </c>
      <c r="C17389" t="s">
        <v>6338</v>
      </c>
      <c r="D17389">
        <v>490</v>
      </c>
      <c r="E17389">
        <v>0</v>
      </c>
      <c r="F17389">
        <v>159</v>
      </c>
    </row>
    <row r="17390" spans="1:6" ht="12.75">
      <c r="A17390" s="2">
        <v>43877.404016203705</v>
      </c>
      <c r="B17390" t="str">
        <f>HYPERLINK("https://twitter.com/sitaamelia2","@sitaamelia2")</f>
        <v>@sitaamelia2</v>
      </c>
      <c r="C17390" t="s">
        <v>8890</v>
      </c>
      <c r="D17390">
        <v>14</v>
      </c>
      <c r="E17390">
        <v>0</v>
      </c>
      <c r="F17390">
        <v>389</v>
      </c>
    </row>
    <row r="17391" spans="1:6" ht="12.75">
      <c r="A17391" s="2">
        <v>43877.404004629629</v>
      </c>
      <c r="B17391" t="str">
        <f>HYPERLINK("https://twitter.com/SumaHan65560614","@SumaHan65560614")</f>
        <v>@SumaHan65560614</v>
      </c>
      <c r="C17391" t="s">
        <v>7956</v>
      </c>
      <c r="D17391">
        <v>17</v>
      </c>
      <c r="E17391">
        <v>0</v>
      </c>
      <c r="F17391">
        <v>50</v>
      </c>
    </row>
    <row r="17392" spans="1:6" ht="12.75">
      <c r="A17392" s="2">
        <v>43877.403460648144</v>
      </c>
      <c r="B17392" t="str">
        <f>HYPERLINK("https://twitter.com/Ferysplace","@Ferysplace")</f>
        <v>@Ferysplace</v>
      </c>
      <c r="C17392" t="s">
        <v>6338</v>
      </c>
      <c r="D17392">
        <v>490</v>
      </c>
      <c r="E17392">
        <v>0</v>
      </c>
      <c r="F17392">
        <v>579</v>
      </c>
    </row>
    <row r="17393" spans="1:6" ht="12.75">
      <c r="A17393" s="2">
        <v>43877.403379629628</v>
      </c>
      <c r="B17393" t="str">
        <f>HYPERLINK("https://twitter.com/rryyrrmmddhhnn","@rryyrrmmddhhnn")</f>
        <v>@rryyrrmmddhhnn</v>
      </c>
      <c r="C17393" t="s">
        <v>2088</v>
      </c>
      <c r="D17393">
        <v>16115</v>
      </c>
      <c r="E17393">
        <v>0</v>
      </c>
      <c r="F17393">
        <v>42</v>
      </c>
    </row>
    <row r="17394" spans="1:6" ht="12.75">
      <c r="A17394" s="2">
        <v>43877.40325231482</v>
      </c>
      <c r="B17394" t="str">
        <f>HYPERLINK("https://twitter.com/abdulha81873381","@abdulha81873381")</f>
        <v>@abdulha81873381</v>
      </c>
      <c r="C17394" t="s">
        <v>6338</v>
      </c>
      <c r="D17394">
        <v>490</v>
      </c>
      <c r="E17394">
        <v>0</v>
      </c>
      <c r="F17394">
        <v>323</v>
      </c>
    </row>
    <row r="17395" spans="1:6" ht="12.75">
      <c r="A17395" s="2">
        <v>43877.403194444443</v>
      </c>
      <c r="B17395" t="str">
        <f>HYPERLINK("https://twitter.com/fazargummy","@fazargummy")</f>
        <v>@fazargummy</v>
      </c>
      <c r="C17395" t="s">
        <v>8891</v>
      </c>
      <c r="D17395">
        <v>0</v>
      </c>
      <c r="E17395">
        <v>0</v>
      </c>
      <c r="F17395">
        <v>51</v>
      </c>
    </row>
    <row r="17396" spans="1:6" ht="12.75">
      <c r="A17396" s="2">
        <v>43877.403090277774</v>
      </c>
      <c r="B17396" t="str">
        <f>HYPERLINK("https://twitter.com/tribunnews","@tribunnews")</f>
        <v>@tribunnews</v>
      </c>
      <c r="C17396" t="s">
        <v>8892</v>
      </c>
      <c r="D17396">
        <v>0</v>
      </c>
      <c r="E17396">
        <v>2</v>
      </c>
      <c r="F17396">
        <v>874394</v>
      </c>
    </row>
    <row r="17397" spans="1:6" ht="12.75">
      <c r="A17397" s="2">
        <v>43877.402222222227</v>
      </c>
      <c r="B17397" t="str">
        <f>HYPERLINK("https://twitter.com/republikaonline","@republikaonline")</f>
        <v>@republikaonline</v>
      </c>
      <c r="C17397" t="s">
        <v>8893</v>
      </c>
      <c r="D17397">
        <v>2</v>
      </c>
      <c r="E17397">
        <v>3</v>
      </c>
      <c r="F17397">
        <v>1210606</v>
      </c>
    </row>
    <row r="17398" spans="1:6" ht="12.75">
      <c r="A17398" s="2">
        <v>43877.402187500003</v>
      </c>
      <c r="B17398" t="str">
        <f>HYPERLINK("https://twitter.com/nanuths","@nanuths")</f>
        <v>@nanuths</v>
      </c>
      <c r="C17398" t="s">
        <v>6338</v>
      </c>
      <c r="D17398">
        <v>490</v>
      </c>
      <c r="E17398">
        <v>0</v>
      </c>
      <c r="F17398">
        <v>653</v>
      </c>
    </row>
    <row r="17399" spans="1:6" ht="12.75">
      <c r="A17399" s="2">
        <v>43877.40215277778</v>
      </c>
      <c r="B17399" t="str">
        <f>HYPERLINK("https://twitter.com/firman_alisyah","@firman_alisyah")</f>
        <v>@firman_alisyah</v>
      </c>
      <c r="C17399" t="s">
        <v>8894</v>
      </c>
      <c r="D17399">
        <v>0</v>
      </c>
      <c r="E17399">
        <v>0</v>
      </c>
      <c r="F17399">
        <v>22</v>
      </c>
    </row>
    <row r="17400" spans="1:6" ht="12.75">
      <c r="A17400" s="2">
        <v>43877.402129629627</v>
      </c>
      <c r="B17400" t="str">
        <f>HYPERLINK("https://twitter.com/AliAm36","@AliAm36")</f>
        <v>@AliAm36</v>
      </c>
      <c r="C17400" t="s">
        <v>6338</v>
      </c>
      <c r="D17400">
        <v>490</v>
      </c>
      <c r="E17400">
        <v>0</v>
      </c>
      <c r="F17400">
        <v>544</v>
      </c>
    </row>
    <row r="17401" spans="1:6" ht="12.75">
      <c r="A17401" s="2">
        <v>43877.402048611111</v>
      </c>
      <c r="B17401" t="str">
        <f>HYPERLINK("https://twitter.com/henhenz7","@henhenz7")</f>
        <v>@henhenz7</v>
      </c>
      <c r="C17401" t="s">
        <v>8141</v>
      </c>
      <c r="D17401">
        <v>16</v>
      </c>
      <c r="E17401">
        <v>0</v>
      </c>
      <c r="F17401">
        <v>21</v>
      </c>
    </row>
    <row r="17402" spans="1:6" ht="12.75">
      <c r="A17402" s="2">
        <v>43877.401990740742</v>
      </c>
      <c r="B17402" t="str">
        <f>HYPERLINK("https://twitter.com/tribunnews","@tribunnews")</f>
        <v>@tribunnews</v>
      </c>
      <c r="C17402" t="s">
        <v>8895</v>
      </c>
      <c r="D17402">
        <v>0</v>
      </c>
      <c r="E17402">
        <v>2</v>
      </c>
      <c r="F17402">
        <v>874394</v>
      </c>
    </row>
    <row r="17403" spans="1:6" ht="12.75">
      <c r="A17403" s="2">
        <v>43877.401655092588</v>
      </c>
      <c r="B17403" t="str">
        <f>HYPERLINK("https://twitter.com/danielagus13","@danielagus13")</f>
        <v>@danielagus13</v>
      </c>
      <c r="C17403" t="s">
        <v>6338</v>
      </c>
      <c r="D17403">
        <v>490</v>
      </c>
      <c r="E17403">
        <v>0</v>
      </c>
      <c r="F17403">
        <v>158</v>
      </c>
    </row>
    <row r="17404" spans="1:6" ht="12.75">
      <c r="A17404" s="2">
        <v>43877.401504629626</v>
      </c>
      <c r="B17404" t="str">
        <f>HYPERLINK("https://twitter.com/ndahfi","@ndahfi")</f>
        <v>@ndahfi</v>
      </c>
      <c r="C17404" t="s">
        <v>8896</v>
      </c>
      <c r="D17404">
        <v>6</v>
      </c>
      <c r="E17404">
        <v>0</v>
      </c>
      <c r="F17404">
        <v>22</v>
      </c>
    </row>
    <row r="17405" spans="1:6" ht="12.75">
      <c r="A17405" s="2">
        <v>43877.401423611111</v>
      </c>
      <c r="B17405" t="str">
        <f>HYPERLINK("https://twitter.com/igoen_anindya","@igoen_anindya")</f>
        <v>@igoen_anindya</v>
      </c>
      <c r="C17405" t="s">
        <v>6338</v>
      </c>
      <c r="D17405">
        <v>490</v>
      </c>
      <c r="E17405">
        <v>0</v>
      </c>
      <c r="F17405">
        <v>408</v>
      </c>
    </row>
    <row r="17406" spans="1:6" ht="12.75">
      <c r="A17406" s="2">
        <v>43877.401226851856</v>
      </c>
      <c r="B17406" t="str">
        <f>HYPERLINK("https://twitter.com/lord_sbt","@lord_sbt")</f>
        <v>@lord_sbt</v>
      </c>
      <c r="C17406" t="s">
        <v>8897</v>
      </c>
      <c r="D17406">
        <v>46</v>
      </c>
      <c r="E17406">
        <v>0</v>
      </c>
      <c r="F17406">
        <v>708</v>
      </c>
    </row>
    <row r="17407" spans="1:6" ht="12.75">
      <c r="A17407" s="2">
        <v>43877.401064814811</v>
      </c>
      <c r="B17407" t="str">
        <f>HYPERLINK("https://twitter.com/Juang_Ralo","@Juang_Ralo")</f>
        <v>@Juang_Ralo</v>
      </c>
      <c r="C17407" t="s">
        <v>6338</v>
      </c>
      <c r="D17407">
        <v>490</v>
      </c>
      <c r="E17407">
        <v>0</v>
      </c>
      <c r="F17407">
        <v>18</v>
      </c>
    </row>
    <row r="17408" spans="1:6" ht="12.75">
      <c r="A17408" s="2">
        <v>43877.400868055556</v>
      </c>
      <c r="B17408" t="str">
        <f>HYPERLINK("https://twitter.com/jawapos","@jawapos")</f>
        <v>@jawapos</v>
      </c>
      <c r="C17408" t="s">
        <v>8898</v>
      </c>
      <c r="D17408">
        <v>0</v>
      </c>
      <c r="E17408">
        <v>2</v>
      </c>
      <c r="F17408">
        <v>117197</v>
      </c>
    </row>
    <row r="17409" spans="1:6" ht="12.75">
      <c r="A17409" s="2">
        <v>43877.400763888887</v>
      </c>
      <c r="B17409" t="str">
        <f>HYPERLINK("https://twitter.com/cakoleg","@cakoleg")</f>
        <v>@cakoleg</v>
      </c>
      <c r="C17409" t="s">
        <v>8141</v>
      </c>
      <c r="D17409">
        <v>16</v>
      </c>
      <c r="E17409">
        <v>0</v>
      </c>
      <c r="F17409">
        <v>880</v>
      </c>
    </row>
    <row r="17410" spans="1:6" ht="12.75">
      <c r="A17410" s="2">
        <v>43877.40048611111</v>
      </c>
      <c r="B17410" t="str">
        <f>HYPERLINK("https://twitter.com/PRFMnews","@PRFMnews")</f>
        <v>@PRFMnews</v>
      </c>
      <c r="C17410" t="s">
        <v>8899</v>
      </c>
      <c r="D17410">
        <v>0</v>
      </c>
      <c r="E17410">
        <v>0</v>
      </c>
      <c r="F17410">
        <v>242852</v>
      </c>
    </row>
    <row r="17411" spans="1:6" ht="12.75">
      <c r="A17411" s="2">
        <v>43877.400312500002</v>
      </c>
      <c r="B17411" t="str">
        <f>HYPERLINK("https://twitter.com/Ngambissyok","@Ngambissyok")</f>
        <v>@Ngambissyok</v>
      </c>
      <c r="C17411" t="s">
        <v>3342</v>
      </c>
      <c r="D17411">
        <v>2473</v>
      </c>
      <c r="E17411">
        <v>0</v>
      </c>
      <c r="F17411">
        <v>329</v>
      </c>
    </row>
    <row r="17412" spans="1:6" ht="12.75">
      <c r="A17412" s="2">
        <v>43877.400277777779</v>
      </c>
      <c r="B17412" t="str">
        <f>HYPERLINK("https://twitter.com/annedowns","@annedowns")</f>
        <v>@annedowns</v>
      </c>
      <c r="C17412" t="s">
        <v>2963</v>
      </c>
      <c r="D17412">
        <v>1294</v>
      </c>
      <c r="E17412">
        <v>0</v>
      </c>
      <c r="F17412">
        <v>137</v>
      </c>
    </row>
    <row r="17413" spans="1:6" ht="12.75">
      <c r="A17413" s="2">
        <v>43877.400266203702</v>
      </c>
      <c r="B17413" t="str">
        <f>HYPERLINK("https://twitter.com/410aries","@410aries")</f>
        <v>@410aries</v>
      </c>
      <c r="C17413" t="s">
        <v>8021</v>
      </c>
      <c r="D17413">
        <v>5</v>
      </c>
      <c r="E17413">
        <v>0</v>
      </c>
      <c r="F17413">
        <v>823</v>
      </c>
    </row>
    <row r="17414" spans="1:6" ht="12.75">
      <c r="A17414" s="2">
        <v>43877.400254629625</v>
      </c>
      <c r="B17414" t="str">
        <f>HYPERLINK("https://twitter.com/Alsanusi6","@Alsanusi6")</f>
        <v>@Alsanusi6</v>
      </c>
      <c r="C17414" t="s">
        <v>8598</v>
      </c>
      <c r="D17414">
        <v>8</v>
      </c>
      <c r="E17414">
        <v>0</v>
      </c>
      <c r="F17414">
        <v>261</v>
      </c>
    </row>
    <row r="17415" spans="1:6" ht="12.75">
      <c r="A17415" s="2">
        <v>43877.400219907402</v>
      </c>
      <c r="B17415" t="str">
        <f>HYPERLINK("https://twitter.com/putucangkiri","@putucangkiri")</f>
        <v>@putucangkiri</v>
      </c>
      <c r="C17415" t="s">
        <v>7041</v>
      </c>
      <c r="D17415">
        <v>0</v>
      </c>
      <c r="E17415">
        <v>0</v>
      </c>
      <c r="F17415">
        <v>86</v>
      </c>
    </row>
    <row r="17416" spans="1:6" ht="12.75">
      <c r="A17416" s="2">
        <v>43877.376608796301</v>
      </c>
      <c r="B17416" t="str">
        <f>HYPERLINK("https://twitter.com/jerry_gemini","@jerry_gemini")</f>
        <v>@jerry_gemini</v>
      </c>
      <c r="C17416" t="s">
        <v>8900</v>
      </c>
      <c r="D17416">
        <v>0</v>
      </c>
      <c r="E17416">
        <v>0</v>
      </c>
      <c r="F17416">
        <v>1662</v>
      </c>
    </row>
    <row r="17417" spans="1:6" ht="12.75">
      <c r="A17417" s="2">
        <v>43877.37636574074</v>
      </c>
      <c r="B17417" t="str">
        <f>HYPERLINK("https://twitter.com/wiedwongkenthir","@wiedwongkenthir")</f>
        <v>@wiedwongkenthir</v>
      </c>
      <c r="C17417" t="s">
        <v>6338</v>
      </c>
      <c r="D17417">
        <v>448</v>
      </c>
      <c r="E17417">
        <v>0</v>
      </c>
      <c r="F17417">
        <v>1144</v>
      </c>
    </row>
    <row r="17418" spans="1:6" ht="12.75">
      <c r="A17418" s="2">
        <v>43877.376342592594</v>
      </c>
      <c r="B17418" t="str">
        <f>HYPERLINK("https://twitter.com/master303online","@master303online")</f>
        <v>@master303online</v>
      </c>
      <c r="C17418" t="s">
        <v>8901</v>
      </c>
      <c r="D17418">
        <v>0</v>
      </c>
      <c r="E17418">
        <v>0</v>
      </c>
      <c r="F17418">
        <v>8</v>
      </c>
    </row>
    <row r="17419" spans="1:6" ht="12.75">
      <c r="A17419" s="2">
        <v>43877.376273148147</v>
      </c>
      <c r="B17419" t="str">
        <f>HYPERLINK("https://twitter.com/AnitaRa75390469","@AnitaRa75390469")</f>
        <v>@AnitaRa75390469</v>
      </c>
      <c r="C17419" t="s">
        <v>8902</v>
      </c>
      <c r="D17419">
        <v>0</v>
      </c>
      <c r="E17419">
        <v>0</v>
      </c>
      <c r="F17419">
        <v>123</v>
      </c>
    </row>
    <row r="17420" spans="1:6" ht="12.75">
      <c r="A17420" s="2">
        <v>43877.376273148147</v>
      </c>
      <c r="B17420" t="str">
        <f>HYPERLINK("https://twitter.com/rahilhamsaf17_","@rahilhamsaf17_")</f>
        <v>@rahilhamsaf17_</v>
      </c>
      <c r="C17420" t="s">
        <v>6338</v>
      </c>
      <c r="D17420">
        <v>448</v>
      </c>
      <c r="E17420">
        <v>0</v>
      </c>
      <c r="F17420">
        <v>171</v>
      </c>
    </row>
    <row r="17421" spans="1:6" ht="12.75">
      <c r="A17421" s="2">
        <v>43877.376238425924</v>
      </c>
      <c r="B17421" t="str">
        <f>HYPERLINK("https://twitter.com/yudhapati88","@yudhapati88")</f>
        <v>@yudhapati88</v>
      </c>
      <c r="C17421" t="s">
        <v>8897</v>
      </c>
      <c r="D17421">
        <v>44</v>
      </c>
      <c r="E17421">
        <v>0</v>
      </c>
      <c r="F17421">
        <v>3408</v>
      </c>
    </row>
    <row r="17422" spans="1:6" ht="12.75">
      <c r="A17422" s="2">
        <v>43877.376192129625</v>
      </c>
      <c r="B17422" t="str">
        <f>HYPERLINK("https://twitter.com/Arfan_AT","@Arfan_AT")</f>
        <v>@Arfan_AT</v>
      </c>
      <c r="C17422" t="s">
        <v>6338</v>
      </c>
      <c r="D17422">
        <v>448</v>
      </c>
      <c r="E17422">
        <v>0</v>
      </c>
      <c r="F17422">
        <v>207</v>
      </c>
    </row>
    <row r="17423" spans="1:6" ht="12.75">
      <c r="A17423" s="2">
        <v>43877.376064814816</v>
      </c>
      <c r="B17423" t="str">
        <f>HYPERLINK("https://twitter.com/kompascom","@kompascom")</f>
        <v>@kompascom</v>
      </c>
      <c r="C17423" t="s">
        <v>8903</v>
      </c>
      <c r="D17423">
        <v>0</v>
      </c>
      <c r="E17423">
        <v>0</v>
      </c>
      <c r="F17423">
        <v>7499284</v>
      </c>
    </row>
    <row r="17424" spans="1:6" ht="12.75">
      <c r="A17424" s="2">
        <v>43877.375092592592</v>
      </c>
      <c r="B17424" t="str">
        <f>HYPERLINK("https://twitter.com/whattameaan","@whattameaan")</f>
        <v>@whattameaan</v>
      </c>
      <c r="C17424" t="s">
        <v>7905</v>
      </c>
      <c r="D17424">
        <v>51</v>
      </c>
      <c r="E17424">
        <v>0</v>
      </c>
      <c r="F17424">
        <v>225</v>
      </c>
    </row>
    <row r="17425" spans="1:6" ht="12.75">
      <c r="A17425" s="2">
        <v>43877.375092592592</v>
      </c>
      <c r="B17425" t="str">
        <f>HYPERLINK("https://twitter.com/kiki36370399","@kiki36370399")</f>
        <v>@kiki36370399</v>
      </c>
      <c r="C17425" t="s">
        <v>8904</v>
      </c>
      <c r="D17425">
        <v>0</v>
      </c>
      <c r="E17425">
        <v>0</v>
      </c>
      <c r="F17425">
        <v>72</v>
      </c>
    </row>
    <row r="17426" spans="1:6" ht="12.75">
      <c r="A17426" s="2">
        <v>43877.375046296293</v>
      </c>
      <c r="B17426" t="str">
        <f>HYPERLINK("https://twitter.com/MbahSemesta","@MbahSemesta")</f>
        <v>@MbahSemesta</v>
      </c>
      <c r="C17426" t="s">
        <v>6338</v>
      </c>
      <c r="D17426">
        <v>448</v>
      </c>
      <c r="E17426">
        <v>0</v>
      </c>
      <c r="F17426">
        <v>328</v>
      </c>
    </row>
    <row r="17427" spans="1:6" ht="12.75">
      <c r="A17427" s="2">
        <v>43877.375034722223</v>
      </c>
      <c r="B17427" t="str">
        <f>HYPERLINK("https://twitter.com/IsmailMangngaga","@IsmailMangngaga")</f>
        <v>@IsmailMangngaga</v>
      </c>
      <c r="C17427" t="s">
        <v>8905</v>
      </c>
      <c r="D17427">
        <v>0</v>
      </c>
      <c r="E17427">
        <v>0</v>
      </c>
      <c r="F17427">
        <v>1087</v>
      </c>
    </row>
    <row r="17428" spans="1:6" ht="12.75">
      <c r="A17428" s="2">
        <v>43877.374849537038</v>
      </c>
      <c r="B17428" t="str">
        <f>HYPERLINK("https://twitter.com/xxrianmaryxx","@xxrianmaryxx")</f>
        <v>@xxrianmaryxx</v>
      </c>
      <c r="C17428" t="s">
        <v>8203</v>
      </c>
      <c r="D17428">
        <v>153</v>
      </c>
      <c r="E17428">
        <v>0</v>
      </c>
      <c r="F17428">
        <v>1496</v>
      </c>
    </row>
    <row r="17429" spans="1:6" ht="12.75">
      <c r="A17429" s="2">
        <v>43877.374745370369</v>
      </c>
      <c r="B17429" t="str">
        <f>HYPERLINK("https://twitter.com/cokymarbun","@cokymarbun")</f>
        <v>@cokymarbun</v>
      </c>
      <c r="C17429" t="s">
        <v>2147</v>
      </c>
      <c r="D17429">
        <v>503</v>
      </c>
      <c r="E17429">
        <v>0</v>
      </c>
      <c r="F17429">
        <v>1348</v>
      </c>
    </row>
    <row r="17430" spans="1:6" ht="12.75">
      <c r="A17430" s="2">
        <v>43877.374386574069</v>
      </c>
      <c r="B17430" t="str">
        <f>HYPERLINK("https://twitter.com/DcEliana","@DcEliana")</f>
        <v>@DcEliana</v>
      </c>
      <c r="C17430" t="s">
        <v>8896</v>
      </c>
      <c r="D17430">
        <v>5</v>
      </c>
      <c r="E17430">
        <v>0</v>
      </c>
      <c r="F17430">
        <v>150</v>
      </c>
    </row>
    <row r="17431" spans="1:6" ht="12.75">
      <c r="A17431" s="2">
        <v>43877.374374999999</v>
      </c>
      <c r="B17431" t="str">
        <f>HYPERLINK("https://twitter.com/aldirrf","@aldirrf")</f>
        <v>@aldirrf</v>
      </c>
      <c r="C17431" t="s">
        <v>8906</v>
      </c>
      <c r="D17431">
        <v>0</v>
      </c>
      <c r="E17431">
        <v>0</v>
      </c>
      <c r="F17431">
        <v>203</v>
      </c>
    </row>
    <row r="17432" spans="1:6" ht="12.75">
      <c r="A17432" s="2">
        <v>43877.374340277776</v>
      </c>
      <c r="B17432" t="str">
        <f>HYPERLINK("https://twitter.com/spiderr__matrix","@spiderr__matrix")</f>
        <v>@spiderr__matrix</v>
      </c>
      <c r="C17432" t="s">
        <v>6338</v>
      </c>
      <c r="D17432">
        <v>448</v>
      </c>
      <c r="E17432">
        <v>0</v>
      </c>
      <c r="F17432">
        <v>4793</v>
      </c>
    </row>
    <row r="17433" spans="1:6" ht="12.75">
      <c r="A17433" s="2">
        <v>43877.374247685184</v>
      </c>
      <c r="B17433" t="str">
        <f>HYPERLINK("https://twitter.com/suwanto_yip","@suwanto_yip")</f>
        <v>@suwanto_yip</v>
      </c>
      <c r="C17433" t="s">
        <v>6338</v>
      </c>
      <c r="D17433">
        <v>448</v>
      </c>
      <c r="E17433">
        <v>0</v>
      </c>
      <c r="F17433">
        <v>437</v>
      </c>
    </row>
    <row r="17434" spans="1:6" ht="12.75">
      <c r="A17434" s="2">
        <v>43877.373981481476</v>
      </c>
      <c r="B17434" t="str">
        <f>HYPERLINK("https://twitter.com/aretti_sari","@aretti_sari")</f>
        <v>@aretti_sari</v>
      </c>
      <c r="C17434" t="s">
        <v>8907</v>
      </c>
      <c r="D17434">
        <v>1</v>
      </c>
      <c r="E17434">
        <v>0</v>
      </c>
      <c r="F17434">
        <v>112</v>
      </c>
    </row>
    <row r="17435" spans="1:6" ht="12.75">
      <c r="A17435" s="2">
        <v>43877.373900462961</v>
      </c>
      <c r="B17435" t="str">
        <f>HYPERLINK("https://twitter.com/Qiu912","@Qiu912")</f>
        <v>@Qiu912</v>
      </c>
      <c r="C17435" t="s">
        <v>8908</v>
      </c>
      <c r="D17435">
        <v>0</v>
      </c>
      <c r="E17435">
        <v>0</v>
      </c>
      <c r="F17435">
        <v>115</v>
      </c>
    </row>
    <row r="17436" spans="1:6" ht="12.75">
      <c r="A17436" s="2">
        <v>43877.373749999999</v>
      </c>
      <c r="B17436" t="str">
        <f>HYPERLINK("https://twitter.com/umay_patria","@umay_patria")</f>
        <v>@umay_patria</v>
      </c>
      <c r="C17436" t="s">
        <v>8257</v>
      </c>
      <c r="D17436">
        <v>38</v>
      </c>
      <c r="E17436">
        <v>0</v>
      </c>
      <c r="F17436">
        <v>1136</v>
      </c>
    </row>
    <row r="17437" spans="1:6" ht="12.75">
      <c r="A17437" s="2">
        <v>43877.37364583333</v>
      </c>
      <c r="B17437" t="str">
        <f>HYPERLINK("https://twitter.com/moeslim_choice","@moeslim_choice")</f>
        <v>@moeslim_choice</v>
      </c>
      <c r="C17437" t="s">
        <v>8909</v>
      </c>
      <c r="D17437">
        <v>0</v>
      </c>
      <c r="E17437">
        <v>0</v>
      </c>
      <c r="F17437">
        <v>130</v>
      </c>
    </row>
    <row r="17438" spans="1:6" ht="12.75">
      <c r="A17438" s="2">
        <v>43877.373136574075</v>
      </c>
      <c r="B17438" t="str">
        <f>HYPERLINK("https://twitter.com/EviEfendy_","@EviEfendy_")</f>
        <v>@EviEfendy_</v>
      </c>
      <c r="C17438" t="s">
        <v>8547</v>
      </c>
      <c r="D17438">
        <v>8</v>
      </c>
      <c r="E17438">
        <v>0</v>
      </c>
      <c r="F17438">
        <v>273</v>
      </c>
    </row>
    <row r="17439" spans="1:6" ht="12.75">
      <c r="A17439" s="2">
        <v>43877.373113425929</v>
      </c>
      <c r="B17439" t="str">
        <f>HYPERLINK("https://twitter.com/jemycheristo","@jemycheristo")</f>
        <v>@jemycheristo</v>
      </c>
      <c r="C17439" t="s">
        <v>6338</v>
      </c>
      <c r="D17439">
        <v>448</v>
      </c>
      <c r="E17439">
        <v>0</v>
      </c>
      <c r="F17439">
        <v>291</v>
      </c>
    </row>
    <row r="17440" spans="1:6" ht="12.75">
      <c r="A17440" s="2">
        <v>43877.372962962967</v>
      </c>
      <c r="B17440" t="str">
        <f>HYPERLINK("https://twitter.com/Lonewolf2910","@Lonewolf2910")</f>
        <v>@Lonewolf2910</v>
      </c>
      <c r="C17440" t="s">
        <v>8910</v>
      </c>
      <c r="D17440">
        <v>0</v>
      </c>
      <c r="E17440">
        <v>0</v>
      </c>
      <c r="F17440">
        <v>86</v>
      </c>
    </row>
    <row r="17441" spans="1:6" ht="12.75">
      <c r="A17441" s="2">
        <v>43877.372916666667</v>
      </c>
      <c r="B17441" t="str">
        <f>HYPERLINK("https://twitter.com/adamdams","@adamdams")</f>
        <v>@adamdams</v>
      </c>
      <c r="C17441" t="s">
        <v>6338</v>
      </c>
      <c r="D17441">
        <v>448</v>
      </c>
      <c r="E17441">
        <v>0</v>
      </c>
      <c r="F17441">
        <v>403</v>
      </c>
    </row>
    <row r="17442" spans="1:6" ht="12.75">
      <c r="A17442" s="2">
        <v>43877.372743055559</v>
      </c>
      <c r="B17442" t="str">
        <f>HYPERLINK("https://twitter.com/yekasutikno87","@yekasutikno87")</f>
        <v>@yekasutikno87</v>
      </c>
      <c r="C17442" t="s">
        <v>8911</v>
      </c>
      <c r="D17442">
        <v>0</v>
      </c>
      <c r="E17442">
        <v>0</v>
      </c>
      <c r="F17442">
        <v>191</v>
      </c>
    </row>
    <row r="17443" spans="1:6" ht="12.75">
      <c r="A17443" s="2">
        <v>43877.372731481482</v>
      </c>
      <c r="B17443" t="str">
        <f>HYPERLINK("https://twitter.com/AdamElrahma","@AdamElrahma")</f>
        <v>@AdamElrahma</v>
      </c>
      <c r="C17443" t="s">
        <v>8912</v>
      </c>
      <c r="D17443">
        <v>0</v>
      </c>
      <c r="E17443">
        <v>0</v>
      </c>
      <c r="F17443">
        <v>148</v>
      </c>
    </row>
    <row r="17444" spans="1:6" ht="12.75">
      <c r="A17444" s="2">
        <v>43877.372546296298</v>
      </c>
      <c r="B17444" t="str">
        <f>HYPERLINK("https://twitter.com/ovick2000","@ovick2000")</f>
        <v>@ovick2000</v>
      </c>
      <c r="C17444" t="s">
        <v>8913</v>
      </c>
      <c r="D17444">
        <v>0</v>
      </c>
      <c r="E17444">
        <v>0</v>
      </c>
      <c r="F17444">
        <v>1461</v>
      </c>
    </row>
    <row r="17445" spans="1:6" ht="12.75">
      <c r="A17445" s="2">
        <v>43877.372395833328</v>
      </c>
      <c r="B17445" t="str">
        <f>HYPERLINK("https://twitter.com/aldirrf","@aldirrf")</f>
        <v>@aldirrf</v>
      </c>
      <c r="C17445" t="s">
        <v>8914</v>
      </c>
      <c r="D17445">
        <v>0</v>
      </c>
      <c r="E17445">
        <v>0</v>
      </c>
      <c r="F17445">
        <v>203</v>
      </c>
    </row>
    <row r="17446" spans="1:6" ht="12.75">
      <c r="A17446" s="2">
        <v>43877.37222222222</v>
      </c>
      <c r="B17446" t="str">
        <f>HYPERLINK("https://twitter.com/BurhanuddinDom2","@BurhanuddinDom2")</f>
        <v>@BurhanuddinDom2</v>
      </c>
      <c r="C17446" t="s">
        <v>8915</v>
      </c>
      <c r="D17446">
        <v>0</v>
      </c>
      <c r="E17446">
        <v>0</v>
      </c>
      <c r="F17446">
        <v>1</v>
      </c>
    </row>
    <row r="17447" spans="1:6" ht="12.75">
      <c r="A17447" s="2">
        <v>43877.372152777782</v>
      </c>
      <c r="B17447" t="str">
        <f>HYPERLINK("https://twitter.com/browntimmy10","@browntimmy10")</f>
        <v>@browntimmy10</v>
      </c>
      <c r="C17447" t="s">
        <v>8916</v>
      </c>
      <c r="D17447">
        <v>0</v>
      </c>
      <c r="E17447">
        <v>0</v>
      </c>
      <c r="F17447">
        <v>148</v>
      </c>
    </row>
    <row r="17448" spans="1:6" ht="12.75">
      <c r="A17448" s="2">
        <v>43877.371620370366</v>
      </c>
      <c r="B17448" t="str">
        <f>HYPERLINK("https://twitter.com/Ulama_Sangean","@Ulama_Sangean")</f>
        <v>@Ulama_Sangean</v>
      </c>
      <c r="C17448" t="s">
        <v>8917</v>
      </c>
      <c r="D17448">
        <v>0</v>
      </c>
      <c r="E17448">
        <v>0</v>
      </c>
      <c r="F17448">
        <v>677</v>
      </c>
    </row>
    <row r="17449" spans="1:6" ht="12.75">
      <c r="A17449" s="2">
        <v>43877.371516203704</v>
      </c>
      <c r="B17449" t="str">
        <f>HYPERLINK("https://twitter.com/warz1232","@warz1232")</f>
        <v>@warz1232</v>
      </c>
      <c r="C17449" t="s">
        <v>3059</v>
      </c>
      <c r="D17449">
        <v>292</v>
      </c>
      <c r="E17449">
        <v>0</v>
      </c>
      <c r="F17449">
        <v>17</v>
      </c>
    </row>
    <row r="17450" spans="1:6" ht="12.75">
      <c r="A17450" s="2">
        <v>43877.370856481481</v>
      </c>
      <c r="B17450" t="str">
        <f>HYPERLINK("https://twitter.com/PoernomoDanny","@PoernomoDanny")</f>
        <v>@PoernomoDanny</v>
      </c>
      <c r="C17450" t="s">
        <v>8918</v>
      </c>
      <c r="D17450">
        <v>0</v>
      </c>
      <c r="E17450">
        <v>0</v>
      </c>
      <c r="F17450">
        <v>202</v>
      </c>
    </row>
    <row r="17451" spans="1:6" ht="12.75">
      <c r="A17451" s="2">
        <v>43877.370821759258</v>
      </c>
      <c r="B17451" t="str">
        <f>HYPERLINK("https://twitter.com/arcticylena","@arcticylena")</f>
        <v>@arcticylena</v>
      </c>
      <c r="C17451" t="s">
        <v>7905</v>
      </c>
      <c r="D17451">
        <v>51</v>
      </c>
      <c r="E17451">
        <v>0</v>
      </c>
      <c r="F17451">
        <v>855</v>
      </c>
    </row>
    <row r="17452" spans="1:6" ht="12.75">
      <c r="A17452" s="2">
        <v>43877.370694444442</v>
      </c>
      <c r="B17452" t="str">
        <f>HYPERLINK("https://twitter.com/marzochi8518","@marzochi8518")</f>
        <v>@marzochi8518</v>
      </c>
      <c r="C17452" t="s">
        <v>6338</v>
      </c>
      <c r="D17452">
        <v>448</v>
      </c>
      <c r="E17452">
        <v>0</v>
      </c>
      <c r="F17452">
        <v>46</v>
      </c>
    </row>
    <row r="17453" spans="1:6" ht="12.75">
      <c r="A17453" s="2">
        <v>43877.37018518518</v>
      </c>
      <c r="B17453" t="str">
        <f>HYPERLINK("https://twitter.com/arivpermana","@arivpermana")</f>
        <v>@arivpermana</v>
      </c>
      <c r="C17453" t="s">
        <v>8919</v>
      </c>
      <c r="D17453">
        <v>0</v>
      </c>
      <c r="E17453">
        <v>0</v>
      </c>
      <c r="F17453">
        <v>38</v>
      </c>
    </row>
    <row r="17454" spans="1:6" ht="12.75">
      <c r="A17454" s="2">
        <v>43877.370150462964</v>
      </c>
      <c r="B17454" t="str">
        <f>HYPERLINK("https://twitter.com/aryahave","@aryahave")</f>
        <v>@aryahave</v>
      </c>
      <c r="C17454" t="s">
        <v>7154</v>
      </c>
      <c r="D17454">
        <v>46</v>
      </c>
      <c r="E17454">
        <v>0</v>
      </c>
      <c r="F17454">
        <v>315</v>
      </c>
    </row>
    <row r="17455" spans="1:6" ht="12.75">
      <c r="A17455" s="2">
        <v>43877.370081018518</v>
      </c>
      <c r="B17455" t="str">
        <f>HYPERLINK("https://twitter.com/apr_doang","@apr_doang")</f>
        <v>@apr_doang</v>
      </c>
      <c r="C17455" t="s">
        <v>8920</v>
      </c>
      <c r="D17455">
        <v>0</v>
      </c>
      <c r="E17455">
        <v>1</v>
      </c>
      <c r="F17455">
        <v>310</v>
      </c>
    </row>
    <row r="17456" spans="1:6" ht="12.75">
      <c r="A17456" s="2">
        <v>43877.370023148149</v>
      </c>
      <c r="B17456" t="str">
        <f>HYPERLINK("https://twitter.com/basuki_rakhmad","@basuki_rakhmad")</f>
        <v>@basuki_rakhmad</v>
      </c>
      <c r="C17456" t="s">
        <v>8921</v>
      </c>
      <c r="D17456">
        <v>0</v>
      </c>
      <c r="E17456">
        <v>1</v>
      </c>
      <c r="F17456">
        <v>2644</v>
      </c>
    </row>
    <row r="17457" spans="1:6" ht="12.75">
      <c r="A17457" s="2">
        <v>43877.369942129633</v>
      </c>
      <c r="B17457" t="str">
        <f>HYPERLINK("https://twitter.com/MasSuyatno1","@MasSuyatno1")</f>
        <v>@MasSuyatno1</v>
      </c>
      <c r="C17457" t="s">
        <v>6338</v>
      </c>
      <c r="D17457">
        <v>448</v>
      </c>
      <c r="E17457">
        <v>0</v>
      </c>
      <c r="F17457">
        <v>149</v>
      </c>
    </row>
    <row r="17458" spans="1:6" ht="12.75">
      <c r="A17458" s="2">
        <v>43877.369895833333</v>
      </c>
      <c r="B17458" t="str">
        <f>HYPERLINK("https://twitter.com/tsantosa844","@tsantosa844")</f>
        <v>@tsantosa844</v>
      </c>
      <c r="C17458" t="s">
        <v>6338</v>
      </c>
      <c r="D17458">
        <v>448</v>
      </c>
      <c r="E17458">
        <v>0</v>
      </c>
      <c r="F17458">
        <v>858</v>
      </c>
    </row>
    <row r="17459" spans="1:6" ht="12.75">
      <c r="A17459" s="2">
        <v>43877.369710648149</v>
      </c>
      <c r="B17459" t="str">
        <f>HYPERLINK("https://twitter.com/amelina_melly","@amelina_melly")</f>
        <v>@amelina_melly</v>
      </c>
      <c r="C17459" t="s">
        <v>8922</v>
      </c>
      <c r="D17459">
        <v>2</v>
      </c>
      <c r="E17459">
        <v>0</v>
      </c>
      <c r="F17459">
        <v>149</v>
      </c>
    </row>
    <row r="17460" spans="1:6" ht="12.75">
      <c r="A17460" s="2">
        <v>43877.369409722218</v>
      </c>
      <c r="B17460" t="str">
        <f>HYPERLINK("https://twitter.com/hanpsol","@hanpsol")</f>
        <v>@hanpsol</v>
      </c>
      <c r="C17460" t="s">
        <v>2444</v>
      </c>
      <c r="D17460">
        <v>4499</v>
      </c>
      <c r="E17460">
        <v>0</v>
      </c>
      <c r="F17460">
        <v>61</v>
      </c>
    </row>
    <row r="17461" spans="1:6" ht="12.75">
      <c r="A17461" s="2">
        <v>43877.369259259256</v>
      </c>
      <c r="B17461" t="str">
        <f>HYPERLINK("https://twitter.com/adventyas","@adventyas")</f>
        <v>@adventyas</v>
      </c>
      <c r="C17461" t="s">
        <v>6338</v>
      </c>
      <c r="D17461">
        <v>448</v>
      </c>
      <c r="E17461">
        <v>0</v>
      </c>
      <c r="F17461">
        <v>427</v>
      </c>
    </row>
    <row r="17462" spans="1:6" ht="12.75">
      <c r="A17462" s="2">
        <v>43877.368900462963</v>
      </c>
      <c r="B17462" t="str">
        <f>HYPERLINK("https://twitter.com/sukatanyaj","@sukatanyaj")</f>
        <v>@sukatanyaj</v>
      </c>
      <c r="C17462" t="s">
        <v>6867</v>
      </c>
      <c r="D17462">
        <v>37</v>
      </c>
      <c r="E17462">
        <v>0</v>
      </c>
      <c r="F17462">
        <v>5685</v>
      </c>
    </row>
    <row r="17463" spans="1:6" ht="12.75">
      <c r="A17463" s="2">
        <v>43877.368750000001</v>
      </c>
      <c r="B17463" t="str">
        <f>HYPERLINK("https://twitter.com/RajaCEBONG_01","@RajaCEBONG_01")</f>
        <v>@RajaCEBONG_01</v>
      </c>
      <c r="C17463" t="s">
        <v>8923</v>
      </c>
      <c r="D17463">
        <v>0</v>
      </c>
      <c r="E17463">
        <v>1</v>
      </c>
      <c r="F17463">
        <v>118</v>
      </c>
    </row>
    <row r="17464" spans="1:6" ht="12.75">
      <c r="A17464" s="2">
        <v>43877.368645833332</v>
      </c>
      <c r="B17464" t="str">
        <f>HYPERLINK("https://twitter.com/sssugarette","@sssugarette")</f>
        <v>@sssugarette</v>
      </c>
      <c r="C17464" t="s">
        <v>8924</v>
      </c>
      <c r="D17464">
        <v>0</v>
      </c>
      <c r="E17464">
        <v>1</v>
      </c>
      <c r="F17464">
        <v>7186</v>
      </c>
    </row>
    <row r="17465" spans="1:6" ht="12.75">
      <c r="A17465" s="2">
        <v>43877.368298611109</v>
      </c>
      <c r="B17465" t="str">
        <f>HYPERLINK("https://twitter.com/MohSyfri","@MohSyfri")</f>
        <v>@MohSyfri</v>
      </c>
      <c r="C17465" t="s">
        <v>6338</v>
      </c>
      <c r="D17465">
        <v>448</v>
      </c>
      <c r="E17465">
        <v>0</v>
      </c>
      <c r="F17465">
        <v>535</v>
      </c>
    </row>
    <row r="17466" spans="1:6" ht="12.75">
      <c r="A17466" s="2">
        <v>43877.36824074074</v>
      </c>
      <c r="B17466" t="str">
        <f>HYPERLINK("https://twitter.com/AnaResti5","@AnaResti5")</f>
        <v>@AnaResti5</v>
      </c>
      <c r="C17466" t="s">
        <v>8925</v>
      </c>
      <c r="D17466">
        <v>0</v>
      </c>
      <c r="E17466">
        <v>0</v>
      </c>
      <c r="F17466">
        <v>9</v>
      </c>
    </row>
    <row r="17467" spans="1:6" ht="12.75">
      <c r="A17467" s="2">
        <v>43877.36818287037</v>
      </c>
      <c r="B17467" t="str">
        <f>HYPERLINK("https://twitter.com/yaya__nh","@yaya__nh")</f>
        <v>@yaya__nh</v>
      </c>
      <c r="C17467" t="s">
        <v>8926</v>
      </c>
      <c r="D17467">
        <v>6</v>
      </c>
      <c r="E17467">
        <v>0</v>
      </c>
      <c r="F17467">
        <v>2901</v>
      </c>
    </row>
    <row r="17468" spans="1:6" ht="12.75">
      <c r="A17468" s="2">
        <v>43877.368043981478</v>
      </c>
      <c r="B17468" t="str">
        <f>HYPERLINK("https://twitter.com/ArysMj93","@ArysMj93")</f>
        <v>@ArysMj93</v>
      </c>
      <c r="C17468" t="s">
        <v>8141</v>
      </c>
      <c r="D17468">
        <v>11</v>
      </c>
      <c r="E17468">
        <v>0</v>
      </c>
      <c r="F17468">
        <v>214</v>
      </c>
    </row>
    <row r="17469" spans="1:6" ht="12.75">
      <c r="A17469" s="2">
        <v>43877.367858796293</v>
      </c>
      <c r="B17469" t="str">
        <f>HYPERLINK("https://twitter.com/AnaResti5","@AnaResti5")</f>
        <v>@AnaResti5</v>
      </c>
      <c r="C17469" t="s">
        <v>8927</v>
      </c>
      <c r="D17469">
        <v>0</v>
      </c>
      <c r="E17469">
        <v>0</v>
      </c>
      <c r="F17469">
        <v>9</v>
      </c>
    </row>
    <row r="17470" spans="1:6" ht="12.75">
      <c r="A17470" s="2">
        <v>43877.367847222224</v>
      </c>
      <c r="B17470" t="str">
        <f>HYPERLINK("https://twitter.com/Supriatun9","@Supriatun9")</f>
        <v>@Supriatun9</v>
      </c>
      <c r="C17470" t="s">
        <v>6338</v>
      </c>
      <c r="D17470">
        <v>448</v>
      </c>
      <c r="E17470">
        <v>0</v>
      </c>
      <c r="F17470">
        <v>252</v>
      </c>
    </row>
    <row r="17471" spans="1:6" ht="12.75">
      <c r="A17471" s="2">
        <v>43877.36782407407</v>
      </c>
      <c r="B17471" t="str">
        <f>HYPERLINK("https://twitter.com/Dani_BKR","@Dani_BKR")</f>
        <v>@Dani_BKR</v>
      </c>
      <c r="C17471" t="s">
        <v>6338</v>
      </c>
      <c r="D17471">
        <v>448</v>
      </c>
      <c r="E17471">
        <v>0</v>
      </c>
      <c r="F17471">
        <v>1923</v>
      </c>
    </row>
    <row r="17472" spans="1:6" ht="12.75">
      <c r="A17472" s="2">
        <v>43877.367800925931</v>
      </c>
      <c r="B17472" t="str">
        <f>HYPERLINK("https://twitter.com/Masdjodi1","@Masdjodi1")</f>
        <v>@Masdjodi1</v>
      </c>
      <c r="C17472" t="s">
        <v>6867</v>
      </c>
      <c r="D17472">
        <v>37</v>
      </c>
      <c r="E17472">
        <v>0</v>
      </c>
      <c r="F17472">
        <v>679</v>
      </c>
    </row>
    <row r="17473" spans="1:6" ht="12.75">
      <c r="A17473" s="2">
        <v>43877.367534722223</v>
      </c>
      <c r="B17473" t="str">
        <f>HYPERLINK("https://twitter.com/Supirangkot12","@Supirangkot12")</f>
        <v>@Supirangkot12</v>
      </c>
      <c r="C17473" t="s">
        <v>8928</v>
      </c>
      <c r="D17473">
        <v>0</v>
      </c>
      <c r="E17473">
        <v>0</v>
      </c>
      <c r="F17473">
        <v>37</v>
      </c>
    </row>
    <row r="17474" spans="1:6" ht="12.75">
      <c r="A17474" s="2">
        <v>43877.367476851854</v>
      </c>
      <c r="B17474" t="str">
        <f>HYPERLINK("https://twitter.com/AnaResti5","@AnaResti5")</f>
        <v>@AnaResti5</v>
      </c>
      <c r="C17474" t="s">
        <v>8929</v>
      </c>
      <c r="D17474">
        <v>0</v>
      </c>
      <c r="E17474">
        <v>0</v>
      </c>
      <c r="F17474">
        <v>9</v>
      </c>
    </row>
    <row r="17475" spans="1:6" ht="12.75">
      <c r="A17475" s="2">
        <v>43877.367164351846</v>
      </c>
      <c r="B17475" t="str">
        <f>HYPERLINK("https://twitter.com/AriefAnarya","@AriefAnarya")</f>
        <v>@AriefAnarya</v>
      </c>
      <c r="C17475" t="s">
        <v>6338</v>
      </c>
      <c r="D17475">
        <v>448</v>
      </c>
      <c r="E17475">
        <v>0</v>
      </c>
      <c r="F17475">
        <v>2708</v>
      </c>
    </row>
    <row r="17476" spans="1:6" ht="12.75">
      <c r="A17476" s="2">
        <v>43877.367060185185</v>
      </c>
      <c r="B17476" t="str">
        <f>HYPERLINK("https://twitter.com/kamsidi_alex","@kamsidi_alex")</f>
        <v>@kamsidi_alex</v>
      </c>
      <c r="C17476" t="s">
        <v>2963</v>
      </c>
      <c r="D17476">
        <v>1292</v>
      </c>
      <c r="E17476">
        <v>0</v>
      </c>
      <c r="F17476">
        <v>2179</v>
      </c>
    </row>
    <row r="17477" spans="1:6" ht="12.75">
      <c r="A17477" s="2">
        <v>43877.366944444446</v>
      </c>
      <c r="B17477" t="str">
        <f>HYPERLINK("https://twitter.com/agnizar4","@agnizar4")</f>
        <v>@agnizar4</v>
      </c>
      <c r="C17477" t="s">
        <v>6338</v>
      </c>
      <c r="D17477">
        <v>448</v>
      </c>
      <c r="E17477">
        <v>0</v>
      </c>
      <c r="F17477">
        <v>1074</v>
      </c>
    </row>
    <row r="17478" spans="1:6" ht="12.75">
      <c r="A17478" s="2">
        <v>43877.366932870369</v>
      </c>
      <c r="B17478" t="str">
        <f>HYPERLINK("https://twitter.com/AnaResti5","@AnaResti5")</f>
        <v>@AnaResti5</v>
      </c>
      <c r="C17478" t="s">
        <v>8930</v>
      </c>
      <c r="D17478">
        <v>0</v>
      </c>
      <c r="E17478">
        <v>0</v>
      </c>
      <c r="F17478">
        <v>9</v>
      </c>
    </row>
    <row r="17479" spans="1:6" ht="12.75">
      <c r="A17479" s="2">
        <v>43877.366863425923</v>
      </c>
      <c r="B17479" t="str">
        <f>HYPERLINK("https://twitter.com/Surya84Adty","@Surya84Adty")</f>
        <v>@Surya84Adty</v>
      </c>
      <c r="C17479" t="s">
        <v>8896</v>
      </c>
      <c r="D17479">
        <v>5</v>
      </c>
      <c r="E17479">
        <v>0</v>
      </c>
      <c r="F17479">
        <v>197</v>
      </c>
    </row>
    <row r="17480" spans="1:6" ht="12.75">
      <c r="A17480" s="2">
        <v>43877.366516203707</v>
      </c>
      <c r="B17480" t="str">
        <f>HYPERLINK("https://twitter.com/AnaResti5","@AnaResti5")</f>
        <v>@AnaResti5</v>
      </c>
      <c r="C17480" t="s">
        <v>8931</v>
      </c>
      <c r="D17480">
        <v>0</v>
      </c>
      <c r="E17480">
        <v>0</v>
      </c>
      <c r="F17480">
        <v>9</v>
      </c>
    </row>
    <row r="17481" spans="1:6" ht="12.75">
      <c r="A17481" s="2">
        <v>43877.366423611107</v>
      </c>
      <c r="B17481" t="str">
        <f>HYPERLINK("https://twitter.com/aainunika","@aainunika")</f>
        <v>@aainunika</v>
      </c>
      <c r="C17481" t="s">
        <v>8932</v>
      </c>
      <c r="D17481">
        <v>2</v>
      </c>
      <c r="E17481">
        <v>0</v>
      </c>
      <c r="F17481">
        <v>439</v>
      </c>
    </row>
    <row r="17482" spans="1:6" ht="12.75">
      <c r="A17482" s="2">
        <v>43877.365717592591</v>
      </c>
      <c r="B17482" t="str">
        <f>HYPERLINK("https://twitter.com/Aramdhankp","@Aramdhankp")</f>
        <v>@Aramdhankp</v>
      </c>
      <c r="C17482" t="s">
        <v>6338</v>
      </c>
      <c r="D17482">
        <v>448</v>
      </c>
      <c r="E17482">
        <v>0</v>
      </c>
      <c r="F17482">
        <v>209</v>
      </c>
    </row>
    <row r="17483" spans="1:6" ht="12.75">
      <c r="A17483" s="2">
        <v>43877.365381944444</v>
      </c>
      <c r="B17483" t="str">
        <f>HYPERLINK("https://twitter.com/RizalSaenong","@RizalSaenong")</f>
        <v>@RizalSaenong</v>
      </c>
      <c r="C17483" t="s">
        <v>6338</v>
      </c>
      <c r="D17483">
        <v>448</v>
      </c>
      <c r="E17483">
        <v>0</v>
      </c>
      <c r="F17483">
        <v>642</v>
      </c>
    </row>
    <row r="17484" spans="1:6" ht="12.75">
      <c r="A17484" s="2">
        <v>43877.365370370375</v>
      </c>
      <c r="B17484" t="str">
        <f>HYPERLINK("https://twitter.com/kawal_sumut","@kawal_sumut")</f>
        <v>@kawal_sumut</v>
      </c>
      <c r="C17484" t="s">
        <v>8933</v>
      </c>
      <c r="D17484">
        <v>0</v>
      </c>
      <c r="E17484">
        <v>0</v>
      </c>
      <c r="F17484">
        <v>28</v>
      </c>
    </row>
    <row r="17485" spans="1:6" ht="12.75">
      <c r="A17485" s="2">
        <v>43877.365231481483</v>
      </c>
      <c r="B17485" t="str">
        <f>HYPERLINK("https://twitter.com/beatrice_health","@beatrice_health")</f>
        <v>@beatrice_health</v>
      </c>
      <c r="C17485" t="s">
        <v>8934</v>
      </c>
      <c r="D17485">
        <v>1</v>
      </c>
      <c r="E17485">
        <v>0</v>
      </c>
      <c r="F17485">
        <v>112</v>
      </c>
    </row>
    <row r="17486" spans="1:6" ht="12.75">
      <c r="A17486" s="2">
        <v>43877.365162037036</v>
      </c>
      <c r="B17486" t="str">
        <f>HYPERLINK("https://twitter.com/Embun20956246","@Embun20956246")</f>
        <v>@Embun20956246</v>
      </c>
      <c r="C17486" t="s">
        <v>6338</v>
      </c>
      <c r="D17486">
        <v>448</v>
      </c>
      <c r="E17486">
        <v>0</v>
      </c>
      <c r="F17486">
        <v>3</v>
      </c>
    </row>
    <row r="17487" spans="1:6" ht="12.75">
      <c r="A17487" s="2">
        <v>43877.36513888889</v>
      </c>
      <c r="B17487" t="str">
        <f>HYPERLINK("https://twitter.com/IAkurat","@IAkurat")</f>
        <v>@IAkurat</v>
      </c>
      <c r="C17487" t="s">
        <v>7041</v>
      </c>
      <c r="D17487">
        <v>1</v>
      </c>
      <c r="E17487">
        <v>0</v>
      </c>
      <c r="F17487">
        <v>242</v>
      </c>
    </row>
    <row r="17488" spans="1:6" ht="12.75">
      <c r="A17488" s="2">
        <v>43877.364745370374</v>
      </c>
      <c r="B17488" t="str">
        <f>HYPERLINK("https://twitter.com/SayHeiYu","@SayHeiYu")</f>
        <v>@SayHeiYu</v>
      </c>
      <c r="C17488" t="s">
        <v>7958</v>
      </c>
      <c r="D17488">
        <v>0</v>
      </c>
      <c r="E17488">
        <v>0</v>
      </c>
      <c r="F17488">
        <v>120168</v>
      </c>
    </row>
    <row r="17489" spans="1:6" ht="12.75">
      <c r="A17489" s="2">
        <v>43877.364594907413</v>
      </c>
      <c r="B17489" t="str">
        <f>HYPERLINK("https://twitter.com/AriefAnarya","@AriefAnarya")</f>
        <v>@AriefAnarya</v>
      </c>
      <c r="C17489" t="s">
        <v>2702</v>
      </c>
      <c r="D17489">
        <v>327</v>
      </c>
      <c r="E17489">
        <v>0</v>
      </c>
      <c r="F17489">
        <v>2708</v>
      </c>
    </row>
    <row r="17490" spans="1:6" ht="12.75">
      <c r="A17490" s="2">
        <v>43877.364247685182</v>
      </c>
      <c r="B17490" t="str">
        <f>HYPERLINK("https://twitter.com/katamereka7","@katamereka7")</f>
        <v>@katamereka7</v>
      </c>
      <c r="C17490" t="s">
        <v>8935</v>
      </c>
      <c r="D17490">
        <v>0</v>
      </c>
      <c r="E17490">
        <v>1</v>
      </c>
      <c r="F17490">
        <v>296</v>
      </c>
    </row>
    <row r="17491" spans="1:6" ht="12.75">
      <c r="A17491" s="2">
        <v>43877.363946759258</v>
      </c>
      <c r="B17491" t="str">
        <f>HYPERLINK("https://twitter.com/Imrajula2","@Imrajula2")</f>
        <v>@Imrajula2</v>
      </c>
      <c r="C17491" t="s">
        <v>8936</v>
      </c>
      <c r="D17491">
        <v>0</v>
      </c>
      <c r="E17491">
        <v>0</v>
      </c>
      <c r="F17491">
        <v>361</v>
      </c>
    </row>
    <row r="17492" spans="1:6" ht="12.75">
      <c r="A17492" s="2">
        <v>43877.363761574074</v>
      </c>
      <c r="B17492" t="str">
        <f>HYPERLINK("https://twitter.com/rezharac","@rezharac")</f>
        <v>@rezharac</v>
      </c>
      <c r="C17492" t="s">
        <v>8896</v>
      </c>
      <c r="D17492">
        <v>5</v>
      </c>
      <c r="E17492">
        <v>0</v>
      </c>
      <c r="F17492">
        <v>451</v>
      </c>
    </row>
    <row r="17493" spans="1:6" ht="12.75">
      <c r="A17493" s="2">
        <v>43877.363263888888</v>
      </c>
      <c r="B17493" t="str">
        <f>HYPERLINK("https://twitter.com/TUKANGUMBAHI","@TUKANGUMBAHI")</f>
        <v>@TUKANGUMBAHI</v>
      </c>
      <c r="C17493" t="s">
        <v>8896</v>
      </c>
      <c r="D17493">
        <v>5</v>
      </c>
      <c r="E17493">
        <v>0</v>
      </c>
      <c r="F17493">
        <v>487</v>
      </c>
    </row>
    <row r="17494" spans="1:6" ht="12.75">
      <c r="A17494" s="2">
        <v>43877.362939814819</v>
      </c>
      <c r="B17494" t="str">
        <f>HYPERLINK("https://twitter.com/rio_ayong","@rio_ayong")</f>
        <v>@rio_ayong</v>
      </c>
      <c r="C17494" t="s">
        <v>6338</v>
      </c>
      <c r="D17494">
        <v>448</v>
      </c>
      <c r="E17494">
        <v>0</v>
      </c>
      <c r="F17494">
        <v>178</v>
      </c>
    </row>
    <row r="17495" spans="1:6" ht="12.75">
      <c r="A17495" s="2">
        <v>43877.362777777773</v>
      </c>
      <c r="B17495" t="str">
        <f>HYPERLINK("https://twitter.com/DinSaripuddin","@DinSaripuddin")</f>
        <v>@DinSaripuddin</v>
      </c>
      <c r="C17495" t="s">
        <v>8937</v>
      </c>
      <c r="D17495">
        <v>1</v>
      </c>
      <c r="E17495">
        <v>0</v>
      </c>
      <c r="F17495">
        <v>1190</v>
      </c>
    </row>
    <row r="17496" spans="1:6" ht="12.75">
      <c r="A17496" s="2">
        <v>43877.362407407403</v>
      </c>
      <c r="B17496" t="str">
        <f>HYPERLINK("https://twitter.com/ulinyusron","@ulinyusron")</f>
        <v>@ulinyusron</v>
      </c>
      <c r="C17496" t="s">
        <v>8938</v>
      </c>
      <c r="D17496">
        <v>5</v>
      </c>
      <c r="E17496">
        <v>2</v>
      </c>
      <c r="F17496">
        <v>142875</v>
      </c>
    </row>
    <row r="17497" spans="1:6" ht="12.75">
      <c r="A17497" s="2">
        <v>43877.36237268518</v>
      </c>
      <c r="B17497" t="str">
        <f>HYPERLINK("https://twitter.com/Miptul","@Miptul")</f>
        <v>@Miptul</v>
      </c>
      <c r="C17497" t="s">
        <v>8939</v>
      </c>
      <c r="D17497">
        <v>0</v>
      </c>
      <c r="E17497">
        <v>0</v>
      </c>
      <c r="F17497">
        <v>824</v>
      </c>
    </row>
    <row r="17498" spans="1:6" ht="12.75">
      <c r="A17498" s="2">
        <v>43877.362233796295</v>
      </c>
      <c r="B17498" t="str">
        <f>HYPERLINK("https://twitter.com/rosauruss","@rosauruss")</f>
        <v>@rosauruss</v>
      </c>
      <c r="C17498" t="s">
        <v>8940</v>
      </c>
      <c r="D17498">
        <v>194</v>
      </c>
      <c r="E17498">
        <v>0</v>
      </c>
      <c r="F17498">
        <v>919</v>
      </c>
    </row>
    <row r="17499" spans="1:6" ht="12.75">
      <c r="A17499" s="2">
        <v>43877.361851851849</v>
      </c>
      <c r="B17499" t="str">
        <f>HYPERLINK("https://twitter.com/rio_ayong","@rio_ayong")</f>
        <v>@rio_ayong</v>
      </c>
      <c r="C17499" t="s">
        <v>7980</v>
      </c>
      <c r="D17499">
        <v>42</v>
      </c>
      <c r="E17499">
        <v>0</v>
      </c>
      <c r="F17499">
        <v>178</v>
      </c>
    </row>
    <row r="17500" spans="1:6" ht="12.75">
      <c r="A17500" s="2">
        <v>43877.361168981486</v>
      </c>
      <c r="B17500" t="str">
        <f>HYPERLINK("https://twitter.com/M2402","@M2402")</f>
        <v>@M2402</v>
      </c>
      <c r="C17500" t="s">
        <v>8941</v>
      </c>
      <c r="D17500">
        <v>0</v>
      </c>
      <c r="E17500">
        <v>0</v>
      </c>
      <c r="F17500">
        <v>27</v>
      </c>
    </row>
    <row r="17501" spans="1:6" ht="12.75">
      <c r="A17501" s="2">
        <v>43877.360625000001</v>
      </c>
      <c r="B17501" t="str">
        <f>HYPERLINK("https://twitter.com/AkipFirmanshah","@AkipFirmanshah")</f>
        <v>@AkipFirmanshah</v>
      </c>
      <c r="C17501" t="s">
        <v>8942</v>
      </c>
      <c r="D17501">
        <v>0</v>
      </c>
      <c r="E17501">
        <v>0</v>
      </c>
      <c r="F17501">
        <v>1450</v>
      </c>
    </row>
    <row r="17502" spans="1:6" ht="12.75">
      <c r="A17502" s="2">
        <v>43877.360613425924</v>
      </c>
      <c r="B17502" t="str">
        <f>HYPERLINK("https://twitter.com/harakatuna","@harakatuna")</f>
        <v>@harakatuna</v>
      </c>
      <c r="C17502" t="s">
        <v>8943</v>
      </c>
      <c r="D17502">
        <v>0</v>
      </c>
      <c r="E17502">
        <v>0</v>
      </c>
      <c r="F17502">
        <v>408</v>
      </c>
    </row>
    <row r="17503" spans="1:6" ht="12.75">
      <c r="A17503" s="2">
        <v>43877.360567129625</v>
      </c>
      <c r="B17503" t="str">
        <f>HYPERLINK("https://twitter.com/DianVeei","@DianVeei")</f>
        <v>@DianVeei</v>
      </c>
      <c r="C17503" t="s">
        <v>8944</v>
      </c>
      <c r="D17503">
        <v>3</v>
      </c>
      <c r="E17503">
        <v>0</v>
      </c>
      <c r="F17503">
        <v>1149</v>
      </c>
    </row>
    <row r="17504" spans="1:6" ht="12.75">
      <c r="A17504" s="2">
        <v>43877.360555555555</v>
      </c>
      <c r="B17504" t="str">
        <f>HYPERLINK("https://twitter.com/__beritaterkini","@__beritaterkini")</f>
        <v>@__beritaterkini</v>
      </c>
      <c r="C17504" t="s">
        <v>8945</v>
      </c>
      <c r="D17504">
        <v>0</v>
      </c>
      <c r="E17504">
        <v>0</v>
      </c>
      <c r="F17504">
        <v>426</v>
      </c>
    </row>
    <row r="17505" spans="1:6" ht="12.75">
      <c r="A17505" s="2">
        <v>43877.360451388886</v>
      </c>
      <c r="B17505" t="str">
        <f>HYPERLINK("https://twitter.com/jee_creepers","@jee_creepers")</f>
        <v>@jee_creepers</v>
      </c>
      <c r="C17505" t="s">
        <v>6338</v>
      </c>
      <c r="D17505">
        <v>448</v>
      </c>
      <c r="E17505">
        <v>0</v>
      </c>
      <c r="F17505">
        <v>699</v>
      </c>
    </row>
    <row r="17506" spans="1:6" ht="12.75">
      <c r="A17506" s="2">
        <v>43877.36042824074</v>
      </c>
      <c r="B17506" t="str">
        <f>HYPERLINK("https://twitter.com/Aisyah19527681","@Aisyah19527681")</f>
        <v>@Aisyah19527681</v>
      </c>
      <c r="C17506" t="s">
        <v>8946</v>
      </c>
      <c r="D17506">
        <v>483</v>
      </c>
      <c r="E17506">
        <v>0</v>
      </c>
      <c r="F17506">
        <v>2299</v>
      </c>
    </row>
    <row r="17507" spans="1:6" ht="12.75">
      <c r="A17507" s="2">
        <v>43877.360393518524</v>
      </c>
      <c r="B17507" t="str">
        <f>HYPERLINK("https://twitter.com/anjarsuryatama","@anjarsuryatama")</f>
        <v>@anjarsuryatama</v>
      </c>
      <c r="C17507" t="s">
        <v>2444</v>
      </c>
      <c r="D17507">
        <v>4499</v>
      </c>
      <c r="E17507">
        <v>0</v>
      </c>
      <c r="F17507">
        <v>165</v>
      </c>
    </row>
    <row r="17508" spans="1:6" ht="12.75">
      <c r="A17508" s="2">
        <v>43877.360358796301</v>
      </c>
      <c r="B17508" t="str">
        <f>HYPERLINK("https://twitter.com/Erlyna_erlin","@Erlyna_erlin")</f>
        <v>@Erlyna_erlin</v>
      </c>
      <c r="C17508" t="s">
        <v>7905</v>
      </c>
      <c r="D17508">
        <v>51</v>
      </c>
      <c r="E17508">
        <v>0</v>
      </c>
      <c r="F17508">
        <v>907</v>
      </c>
    </row>
    <row r="17509" spans="1:6" ht="12.75">
      <c r="A17509" s="2">
        <v>43877.36001157407</v>
      </c>
      <c r="B17509" t="str">
        <f>HYPERLINK("https://twitter.com/Hendrick215","@Hendrick215")</f>
        <v>@Hendrick215</v>
      </c>
      <c r="C17509" t="s">
        <v>8665</v>
      </c>
      <c r="D17509">
        <v>245</v>
      </c>
      <c r="E17509">
        <v>0</v>
      </c>
      <c r="F17509">
        <v>124</v>
      </c>
    </row>
    <row r="17510" spans="1:6" ht="12.75">
      <c r="A17510" s="2">
        <v>43877.359837962962</v>
      </c>
      <c r="B17510" t="str">
        <f>HYPERLINK("https://twitter.com/Girinaldi88","@Girinaldi88")</f>
        <v>@Girinaldi88</v>
      </c>
      <c r="C17510" t="s">
        <v>7956</v>
      </c>
      <c r="D17510">
        <v>10</v>
      </c>
      <c r="E17510">
        <v>0</v>
      </c>
      <c r="F17510">
        <v>1436</v>
      </c>
    </row>
    <row r="17511" spans="1:6" ht="12.75">
      <c r="A17511" s="2">
        <v>43877.359560185185</v>
      </c>
      <c r="B17511" t="str">
        <f>HYPERLINK("https://twitter.com/mbalei23","@mbalei23")</f>
        <v>@mbalei23</v>
      </c>
      <c r="C17511" t="s">
        <v>7980</v>
      </c>
      <c r="D17511">
        <v>42</v>
      </c>
      <c r="E17511">
        <v>0</v>
      </c>
      <c r="F17511">
        <v>735</v>
      </c>
    </row>
    <row r="17512" spans="1:6" ht="12.75">
      <c r="A17512" s="2">
        <v>43877.359444444446</v>
      </c>
      <c r="B17512" t="str">
        <f>HYPERLINK("https://twitter.com/Reninura313","@Reninura313")</f>
        <v>@Reninura313</v>
      </c>
      <c r="C17512" t="s">
        <v>8947</v>
      </c>
      <c r="D17512">
        <v>0</v>
      </c>
      <c r="E17512">
        <v>1</v>
      </c>
      <c r="F17512">
        <v>480</v>
      </c>
    </row>
    <row r="17513" spans="1:6" ht="12.75">
      <c r="A17513" s="2">
        <v>43877.3591087963</v>
      </c>
      <c r="B17513" t="str">
        <f>HYPERLINK("https://twitter.com/IyhanRumi","@IyhanRumi")</f>
        <v>@IyhanRumi</v>
      </c>
      <c r="C17513" t="s">
        <v>8547</v>
      </c>
      <c r="D17513">
        <v>8</v>
      </c>
      <c r="E17513">
        <v>0</v>
      </c>
      <c r="F17513">
        <v>280</v>
      </c>
    </row>
    <row r="17514" spans="1:6" ht="12.75">
      <c r="A17514" s="2">
        <v>43877.359050925923</v>
      </c>
      <c r="B17514" t="str">
        <f>HYPERLINK("https://twitter.com/A7jiii","@A7jiii")</f>
        <v>@A7jiii</v>
      </c>
      <c r="C17514" t="s">
        <v>7956</v>
      </c>
      <c r="D17514">
        <v>10</v>
      </c>
      <c r="E17514">
        <v>0</v>
      </c>
      <c r="F17514">
        <v>1768</v>
      </c>
    </row>
    <row r="17515" spans="1:6" ht="12.75">
      <c r="A17515" s="2">
        <v>43877.358923611115</v>
      </c>
      <c r="B17515" t="str">
        <f>HYPERLINK("https://twitter.com/DianVeei","@DianVeei")</f>
        <v>@DianVeei</v>
      </c>
      <c r="C17515" t="s">
        <v>8948</v>
      </c>
      <c r="D17515">
        <v>6</v>
      </c>
      <c r="E17515">
        <v>0</v>
      </c>
      <c r="F17515">
        <v>1149</v>
      </c>
    </row>
    <row r="17516" spans="1:6" ht="12.75">
      <c r="A17516" s="2">
        <v>43877.334340277783</v>
      </c>
      <c r="B17516" t="str">
        <f>HYPERLINK("https://twitter.com/ND45MUpetal","@ND45MUpetal")</f>
        <v>@ND45MUpetal</v>
      </c>
      <c r="C17516" t="s">
        <v>6867</v>
      </c>
      <c r="D17516">
        <v>25</v>
      </c>
      <c r="E17516">
        <v>0</v>
      </c>
      <c r="F17516">
        <v>586</v>
      </c>
    </row>
    <row r="17517" spans="1:6" ht="12.75">
      <c r="A17517" s="2">
        <v>43877.333344907413</v>
      </c>
      <c r="B17517" t="str">
        <f>HYPERLINK("https://twitter.com/Heri_aja","@Heri_aja")</f>
        <v>@Heri_aja</v>
      </c>
      <c r="C17517" t="s">
        <v>6338</v>
      </c>
      <c r="D17517">
        <v>402</v>
      </c>
      <c r="E17517">
        <v>0</v>
      </c>
      <c r="F17517">
        <v>1688</v>
      </c>
    </row>
    <row r="17518" spans="1:6" ht="12.75">
      <c r="A17518" s="2">
        <v>43877.332916666666</v>
      </c>
      <c r="B17518" t="str">
        <f>HYPERLINK("https://twitter.com/FarhanGdzy","@FarhanGdzy")</f>
        <v>@FarhanGdzy</v>
      </c>
      <c r="C17518" t="s">
        <v>8949</v>
      </c>
      <c r="D17518">
        <v>0</v>
      </c>
      <c r="E17518">
        <v>0</v>
      </c>
      <c r="F17518">
        <v>18</v>
      </c>
    </row>
    <row r="17519" spans="1:6" ht="12.75">
      <c r="A17519" s="2">
        <v>43877.332430555558</v>
      </c>
      <c r="B17519" t="str">
        <f>HYPERLINK("https://twitter.com/SemaneiD","@SemaneiD")</f>
        <v>@SemaneiD</v>
      </c>
      <c r="C17519" t="s">
        <v>7152</v>
      </c>
      <c r="D17519">
        <v>25</v>
      </c>
      <c r="E17519">
        <v>0</v>
      </c>
      <c r="F17519">
        <v>127</v>
      </c>
    </row>
    <row r="17520" spans="1:6" ht="12.75">
      <c r="A17520" s="2">
        <v>43877.332372685181</v>
      </c>
      <c r="B17520" t="str">
        <f>HYPERLINK("https://twitter.com/Choe01772968","@Choe01772968")</f>
        <v>@Choe01772968</v>
      </c>
      <c r="C17520" t="s">
        <v>8950</v>
      </c>
      <c r="D17520">
        <v>0</v>
      </c>
      <c r="E17520">
        <v>0</v>
      </c>
      <c r="F17520">
        <v>4</v>
      </c>
    </row>
    <row r="17521" spans="1:6" ht="12.75">
      <c r="A17521" s="2">
        <v>43877.331087962964</v>
      </c>
      <c r="B17521" t="str">
        <f>HYPERLINK("https://twitter.com/maibyunb","@maibyunb")</f>
        <v>@maibyunb</v>
      </c>
      <c r="C17521" t="s">
        <v>8951</v>
      </c>
      <c r="D17521">
        <v>0</v>
      </c>
      <c r="E17521">
        <v>0</v>
      </c>
      <c r="F17521">
        <v>836</v>
      </c>
    </row>
    <row r="17522" spans="1:6" ht="12.75">
      <c r="A17522" s="2">
        <v>43877.331006944441</v>
      </c>
      <c r="B17522" t="str">
        <f t="shared" ref="B17522:B17523" si="293">HYPERLINK("https://twitter.com/Erwin_Sahari","@Erwin_Sahari")</f>
        <v>@Erwin_Sahari</v>
      </c>
      <c r="C17522" t="s">
        <v>8952</v>
      </c>
      <c r="D17522">
        <v>12</v>
      </c>
      <c r="E17522">
        <v>0</v>
      </c>
      <c r="F17522">
        <v>245</v>
      </c>
    </row>
    <row r="17523" spans="1:6" ht="12.75">
      <c r="A17523" s="2">
        <v>43877.330868055556</v>
      </c>
      <c r="B17523" t="str">
        <f t="shared" si="293"/>
        <v>@Erwin_Sahari</v>
      </c>
      <c r="C17523" t="s">
        <v>8953</v>
      </c>
      <c r="D17523">
        <v>5</v>
      </c>
      <c r="E17523">
        <v>0</v>
      </c>
      <c r="F17523">
        <v>245</v>
      </c>
    </row>
    <row r="17524" spans="1:6" ht="12.75">
      <c r="A17524" s="2">
        <v>43877.330740740741</v>
      </c>
      <c r="B17524" t="str">
        <f>HYPERLINK("https://twitter.com/SATRIAN09792416","@SATRIAN09792416")</f>
        <v>@SATRIAN09792416</v>
      </c>
      <c r="C17524" t="s">
        <v>8954</v>
      </c>
      <c r="D17524">
        <v>0</v>
      </c>
      <c r="E17524">
        <v>0</v>
      </c>
      <c r="F17524">
        <v>1347</v>
      </c>
    </row>
    <row r="17525" spans="1:6" ht="12.75">
      <c r="A17525" s="2">
        <v>43877.330462962964</v>
      </c>
      <c r="B17525" t="str">
        <f>HYPERLINK("https://twitter.com/bilfikr","@bilfikr")</f>
        <v>@bilfikr</v>
      </c>
      <c r="C17525" t="s">
        <v>2444</v>
      </c>
      <c r="D17525">
        <v>4492</v>
      </c>
      <c r="E17525">
        <v>0</v>
      </c>
      <c r="F17525">
        <v>186</v>
      </c>
    </row>
    <row r="17526" spans="1:6" ht="12.75">
      <c r="A17526" s="2">
        <v>43877.330358796295</v>
      </c>
      <c r="B17526" t="str">
        <f>HYPERLINK("https://twitter.com/_aLLhibah","@_aLLhibah")</f>
        <v>@_aLLhibah</v>
      </c>
      <c r="C17526" t="s">
        <v>8955</v>
      </c>
      <c r="D17526">
        <v>0</v>
      </c>
      <c r="E17526">
        <v>2</v>
      </c>
      <c r="F17526">
        <v>1889</v>
      </c>
    </row>
    <row r="17527" spans="1:6" ht="12.75">
      <c r="A17527" s="2">
        <v>43877.330185185187</v>
      </c>
      <c r="B17527" t="str">
        <f>HYPERLINK("https://twitter.com/Charles40883182","@Charles40883182")</f>
        <v>@Charles40883182</v>
      </c>
      <c r="C17527" t="s">
        <v>8956</v>
      </c>
      <c r="D17527">
        <v>0</v>
      </c>
      <c r="E17527">
        <v>0</v>
      </c>
      <c r="F17527">
        <v>246</v>
      </c>
    </row>
    <row r="17528" spans="1:6" ht="12.75">
      <c r="A17528" s="2">
        <v>43877.329814814817</v>
      </c>
      <c r="B17528" t="str">
        <f>HYPERLINK("https://twitter.com/moprat02255","@moprat02255")</f>
        <v>@moprat02255</v>
      </c>
      <c r="C17528" t="s">
        <v>8957</v>
      </c>
      <c r="D17528">
        <v>0</v>
      </c>
      <c r="E17528">
        <v>1</v>
      </c>
      <c r="F17528">
        <v>2001</v>
      </c>
    </row>
    <row r="17529" spans="1:6" ht="12.75">
      <c r="A17529" s="2">
        <v>43877.329664351855</v>
      </c>
      <c r="B17529" t="str">
        <f t="shared" ref="B17529:B17530" si="294">HYPERLINK("https://twitter.com/Ferry13602224","@Ferry13602224")</f>
        <v>@Ferry13602224</v>
      </c>
      <c r="C17529" t="s">
        <v>8203</v>
      </c>
      <c r="D17529">
        <v>146</v>
      </c>
      <c r="E17529">
        <v>0</v>
      </c>
      <c r="F17529">
        <v>343</v>
      </c>
    </row>
    <row r="17530" spans="1:6" ht="12.75">
      <c r="A17530" s="2">
        <v>43877.329432870371</v>
      </c>
      <c r="B17530" t="str">
        <f t="shared" si="294"/>
        <v>@Ferry13602224</v>
      </c>
      <c r="C17530" t="s">
        <v>6338</v>
      </c>
      <c r="D17530">
        <v>402</v>
      </c>
      <c r="E17530">
        <v>0</v>
      </c>
      <c r="F17530">
        <v>343</v>
      </c>
    </row>
    <row r="17531" spans="1:6" ht="12.75">
      <c r="A17531" s="2">
        <v>43877.329409722224</v>
      </c>
      <c r="B17531" t="str">
        <f>HYPERLINK("https://twitter.com/tasya_aru","@tasya_aru")</f>
        <v>@tasya_aru</v>
      </c>
      <c r="C17531" t="s">
        <v>2147</v>
      </c>
      <c r="D17531">
        <v>497</v>
      </c>
      <c r="E17531">
        <v>0</v>
      </c>
      <c r="F17531">
        <v>96</v>
      </c>
    </row>
    <row r="17532" spans="1:6" ht="12.75">
      <c r="A17532" s="2">
        <v>43877.329340277778</v>
      </c>
      <c r="B17532" t="str">
        <f>HYPERLINK("https://twitter.com/Mupti6","@Mupti6")</f>
        <v>@Mupti6</v>
      </c>
      <c r="C17532" t="s">
        <v>7956</v>
      </c>
      <c r="D17532">
        <v>2</v>
      </c>
      <c r="E17532">
        <v>0</v>
      </c>
      <c r="F17532">
        <v>1186</v>
      </c>
    </row>
    <row r="17533" spans="1:6" ht="12.75">
      <c r="A17533" s="2">
        <v>43877.329340277778</v>
      </c>
      <c r="B17533" t="str">
        <f>HYPERLINK("https://twitter.com/wni_jmsri","@wni_jmsri")</f>
        <v>@wni_jmsri</v>
      </c>
      <c r="C17533" t="s">
        <v>8958</v>
      </c>
      <c r="D17533">
        <v>0</v>
      </c>
      <c r="E17533">
        <v>0</v>
      </c>
      <c r="F17533">
        <v>194</v>
      </c>
    </row>
    <row r="17534" spans="1:6" ht="12.75">
      <c r="A17534" s="2">
        <v>43877.329236111109</v>
      </c>
      <c r="B17534" t="str">
        <f>HYPERLINK("https://twitter.com/KekeySRiana","@KekeySRiana")</f>
        <v>@KekeySRiana</v>
      </c>
      <c r="C17534" t="s">
        <v>8897</v>
      </c>
      <c r="D17534">
        <v>42</v>
      </c>
      <c r="E17534">
        <v>0</v>
      </c>
      <c r="F17534">
        <v>1062</v>
      </c>
    </row>
    <row r="17535" spans="1:6" ht="12.75">
      <c r="A17535" s="2">
        <v>43877.328703703708</v>
      </c>
      <c r="B17535" t="str">
        <f>HYPERLINK("https://twitter.com/mury_eko","@mury_eko")</f>
        <v>@mury_eko</v>
      </c>
      <c r="C17535" t="s">
        <v>8141</v>
      </c>
      <c r="D17535">
        <v>7</v>
      </c>
      <c r="E17535">
        <v>0</v>
      </c>
      <c r="F17535">
        <v>1530</v>
      </c>
    </row>
    <row r="17536" spans="1:6" ht="12.75">
      <c r="A17536" s="2">
        <v>43877.328657407408</v>
      </c>
      <c r="B17536" t="str">
        <f>HYPERLINK("https://twitter.com/Choe01772968","@Choe01772968")</f>
        <v>@Choe01772968</v>
      </c>
      <c r="C17536" t="s">
        <v>8959</v>
      </c>
      <c r="D17536">
        <v>0</v>
      </c>
      <c r="E17536">
        <v>0</v>
      </c>
      <c r="F17536">
        <v>4</v>
      </c>
    </row>
    <row r="17537" spans="1:6" ht="12.75">
      <c r="A17537" s="2">
        <v>43877.328634259262</v>
      </c>
      <c r="B17537" t="str">
        <f>HYPERLINK("https://twitter.com/Reemeora1","@Reemeora1")</f>
        <v>@Reemeora1</v>
      </c>
      <c r="C17537" t="s">
        <v>6338</v>
      </c>
      <c r="D17537">
        <v>402</v>
      </c>
      <c r="E17537">
        <v>0</v>
      </c>
      <c r="F17537">
        <v>1293</v>
      </c>
    </row>
    <row r="17538" spans="1:6" ht="12.75">
      <c r="A17538" s="2">
        <v>43877.328553240739</v>
      </c>
      <c r="B17538" t="str">
        <f>HYPERLINK("https://twitter.com/Sukaberteman1","@Sukaberteman1")</f>
        <v>@Sukaberteman1</v>
      </c>
      <c r="C17538" t="s">
        <v>8960</v>
      </c>
      <c r="D17538">
        <v>0</v>
      </c>
      <c r="E17538">
        <v>0</v>
      </c>
      <c r="F17538">
        <v>8</v>
      </c>
    </row>
    <row r="17539" spans="1:6" ht="12.75">
      <c r="A17539" s="2">
        <v>43877.328460648147</v>
      </c>
      <c r="B17539" t="str">
        <f>HYPERLINK("https://twitter.com/iqbal230891","@iqbal230891")</f>
        <v>@iqbal230891</v>
      </c>
      <c r="C17539" t="s">
        <v>6201</v>
      </c>
      <c r="D17539">
        <v>547</v>
      </c>
      <c r="E17539">
        <v>0</v>
      </c>
      <c r="F17539">
        <v>178</v>
      </c>
    </row>
    <row r="17540" spans="1:6" ht="12.75">
      <c r="A17540" s="2">
        <v>43877.328287037039</v>
      </c>
      <c r="B17540" t="str">
        <f>HYPERLINK("https://twitter.com/PakTuasudahlah","@PakTuasudahlah")</f>
        <v>@PakTuasudahlah</v>
      </c>
      <c r="C17540" t="s">
        <v>8961</v>
      </c>
      <c r="D17540">
        <v>0</v>
      </c>
      <c r="E17540">
        <v>0</v>
      </c>
      <c r="F17540">
        <v>246</v>
      </c>
    </row>
    <row r="17541" spans="1:6" ht="12.75">
      <c r="A17541" s="2">
        <v>43877.3278587963</v>
      </c>
      <c r="B17541" t="str">
        <f>HYPERLINK("https://twitter.com/hari_mawon","@hari_mawon")</f>
        <v>@hari_mawon</v>
      </c>
      <c r="C17541" t="s">
        <v>8962</v>
      </c>
      <c r="D17541">
        <v>0</v>
      </c>
      <c r="E17541">
        <v>0</v>
      </c>
      <c r="F17541">
        <v>1042</v>
      </c>
    </row>
    <row r="17542" spans="1:6" ht="12.75">
      <c r="A17542" s="2">
        <v>43877.32775462963</v>
      </c>
      <c r="B17542" t="str">
        <f>HYPERLINK("https://twitter.com/MaryanaNunung","@MaryanaNunung")</f>
        <v>@MaryanaNunung</v>
      </c>
      <c r="C17542" t="s">
        <v>8963</v>
      </c>
      <c r="D17542">
        <v>0</v>
      </c>
      <c r="E17542">
        <v>0</v>
      </c>
      <c r="F17542">
        <v>1345</v>
      </c>
    </row>
    <row r="17543" spans="1:6" ht="12.75">
      <c r="A17543" s="2">
        <v>43877.327581018515</v>
      </c>
      <c r="B17543" t="str">
        <f>HYPERLINK("https://twitter.com/Dianadjiemunaji","@Dianadjiemunaji")</f>
        <v>@Dianadjiemunaji</v>
      </c>
      <c r="C17543" t="s">
        <v>8964</v>
      </c>
      <c r="D17543">
        <v>5</v>
      </c>
      <c r="E17543">
        <v>0</v>
      </c>
      <c r="F17543">
        <v>1399</v>
      </c>
    </row>
    <row r="17544" spans="1:6" ht="12.75">
      <c r="A17544" s="2">
        <v>43877.327337962968</v>
      </c>
      <c r="B17544" t="str">
        <f>HYPERLINK("https://twitter.com/FilzanissaQu","@FilzanissaQu")</f>
        <v>@FilzanissaQu</v>
      </c>
      <c r="C17544" t="s">
        <v>8141</v>
      </c>
      <c r="D17544">
        <v>7</v>
      </c>
      <c r="E17544">
        <v>0</v>
      </c>
      <c r="F17544">
        <v>1525</v>
      </c>
    </row>
    <row r="17545" spans="1:6" ht="12.75">
      <c r="A17545" s="2">
        <v>43877.32712962963</v>
      </c>
      <c r="B17545" t="str">
        <f>HYPERLINK("https://twitter.com/adamsaiful86","@adamsaiful86")</f>
        <v>@adamsaiful86</v>
      </c>
      <c r="C17545" t="s">
        <v>8965</v>
      </c>
      <c r="D17545">
        <v>0</v>
      </c>
      <c r="E17545">
        <v>0</v>
      </c>
      <c r="F17545">
        <v>76</v>
      </c>
    </row>
    <row r="17546" spans="1:6" ht="12.75">
      <c r="A17546" s="2">
        <v>43877.327106481476</v>
      </c>
      <c r="B17546" t="str">
        <f>HYPERLINK("https://twitter.com/EkonomiMonitor","@EkonomiMonitor")</f>
        <v>@EkonomiMonitor</v>
      </c>
      <c r="C17546" t="s">
        <v>8966</v>
      </c>
      <c r="D17546">
        <v>0</v>
      </c>
      <c r="E17546">
        <v>0</v>
      </c>
      <c r="F17546">
        <v>280</v>
      </c>
    </row>
    <row r="17547" spans="1:6" ht="12.75">
      <c r="A17547" s="2">
        <v>43877.327013888891</v>
      </c>
      <c r="B17547" t="str">
        <f>HYPERLINK("https://twitter.com/NormanAhmad6","@NormanAhmad6")</f>
        <v>@NormanAhmad6</v>
      </c>
      <c r="C17547" t="s">
        <v>6338</v>
      </c>
      <c r="D17547">
        <v>402</v>
      </c>
      <c r="E17547">
        <v>0</v>
      </c>
      <c r="F17547">
        <v>1146</v>
      </c>
    </row>
    <row r="17548" spans="1:6" ht="12.75">
      <c r="A17548" s="2">
        <v>43877.326956018514</v>
      </c>
      <c r="B17548" t="str">
        <f>HYPERLINK("https://twitter.com/debiecyntia","@debiecyntia")</f>
        <v>@debiecyntia</v>
      </c>
      <c r="C17548" t="s">
        <v>8967</v>
      </c>
      <c r="D17548">
        <v>8</v>
      </c>
      <c r="E17548">
        <v>0</v>
      </c>
      <c r="F17548">
        <v>753</v>
      </c>
    </row>
    <row r="17549" spans="1:6" ht="12.75">
      <c r="A17549" s="2">
        <v>43877.326712962968</v>
      </c>
      <c r="B17549" t="str">
        <f>HYPERLINK("https://twitter.com/Moreinfomate","@Moreinfomate")</f>
        <v>@Moreinfomate</v>
      </c>
      <c r="C17549" t="s">
        <v>3150</v>
      </c>
      <c r="D17549">
        <v>252</v>
      </c>
      <c r="E17549">
        <v>0</v>
      </c>
      <c r="F17549">
        <v>752</v>
      </c>
    </row>
    <row r="17550" spans="1:6" ht="12.75">
      <c r="A17550" s="2">
        <v>43877.326712962968</v>
      </c>
      <c r="B17550" t="str">
        <f>HYPERLINK("https://twitter.com/SoniMsi07","@SoniMsi07")</f>
        <v>@SoniMsi07</v>
      </c>
      <c r="C17550" t="s">
        <v>6338</v>
      </c>
      <c r="D17550">
        <v>402</v>
      </c>
      <c r="E17550">
        <v>0</v>
      </c>
      <c r="F17550">
        <v>237</v>
      </c>
    </row>
    <row r="17551" spans="1:6" ht="12.75">
      <c r="A17551" s="2">
        <v>43877.326678240745</v>
      </c>
      <c r="B17551" t="str">
        <f>HYPERLINK("https://twitter.com/elshinta_smg","@elshinta_smg")</f>
        <v>@elshinta_smg</v>
      </c>
      <c r="C17551" t="s">
        <v>8968</v>
      </c>
      <c r="D17551">
        <v>0</v>
      </c>
      <c r="E17551">
        <v>0</v>
      </c>
      <c r="F17551">
        <v>3733</v>
      </c>
    </row>
    <row r="17552" spans="1:6" ht="12.75">
      <c r="A17552" s="2">
        <v>43877.326655092591</v>
      </c>
      <c r="B17552" t="str">
        <f>HYPERLINK("https://twitter.com/BintoroReina","@BintoroReina")</f>
        <v>@BintoroReina</v>
      </c>
      <c r="C17552" t="s">
        <v>2147</v>
      </c>
      <c r="D17552">
        <v>497</v>
      </c>
      <c r="E17552">
        <v>0</v>
      </c>
      <c r="F17552">
        <v>35</v>
      </c>
    </row>
    <row r="17553" spans="1:6" ht="12.75">
      <c r="A17553" s="2">
        <v>43877.326631944445</v>
      </c>
      <c r="B17553" t="str">
        <f>HYPERLINK("https://twitter.com/marutiahs","@marutiahs")</f>
        <v>@marutiahs</v>
      </c>
      <c r="C17553" t="s">
        <v>2147</v>
      </c>
      <c r="D17553">
        <v>497</v>
      </c>
      <c r="E17553">
        <v>0</v>
      </c>
      <c r="F17553">
        <v>426</v>
      </c>
    </row>
    <row r="17554" spans="1:6" ht="12.75">
      <c r="A17554" s="2">
        <v>43877.32613425926</v>
      </c>
      <c r="B17554" t="str">
        <f>HYPERLINK("https://twitter.com/raratna_kim","@raratna_kim")</f>
        <v>@raratna_kim</v>
      </c>
      <c r="C17554" t="s">
        <v>7905</v>
      </c>
      <c r="D17554">
        <v>47</v>
      </c>
      <c r="E17554">
        <v>0</v>
      </c>
      <c r="F17554">
        <v>757</v>
      </c>
    </row>
    <row r="17555" spans="1:6" ht="12.75">
      <c r="A17555" s="2">
        <v>43877.325185185182</v>
      </c>
      <c r="B17555" t="str">
        <f>HYPERLINK("https://twitter.com/HD_hadirochman","@HD_hadirochman")</f>
        <v>@HD_hadirochman</v>
      </c>
      <c r="C17555" t="s">
        <v>8141</v>
      </c>
      <c r="D17555">
        <v>7</v>
      </c>
      <c r="E17555">
        <v>0</v>
      </c>
      <c r="F17555">
        <v>1581</v>
      </c>
    </row>
    <row r="17556" spans="1:6" ht="12.75">
      <c r="A17556" s="2">
        <v>43877.324872685189</v>
      </c>
      <c r="B17556" t="str">
        <f>HYPERLINK("https://twitter.com/affanusman","@affanusman")</f>
        <v>@affanusman</v>
      </c>
      <c r="C17556" t="s">
        <v>8665</v>
      </c>
      <c r="D17556">
        <v>243</v>
      </c>
      <c r="E17556">
        <v>0</v>
      </c>
      <c r="F17556">
        <v>120</v>
      </c>
    </row>
    <row r="17557" spans="1:6" ht="12.75">
      <c r="A17557" s="2">
        <v>43877.324525462958</v>
      </c>
      <c r="B17557" t="str">
        <f>HYPERLINK("https://twitter.com/rustanafa","@rustanafa")</f>
        <v>@rustanafa</v>
      </c>
      <c r="C17557" t="s">
        <v>8969</v>
      </c>
      <c r="D17557">
        <v>0</v>
      </c>
      <c r="E17557">
        <v>0</v>
      </c>
      <c r="F17557">
        <v>8</v>
      </c>
    </row>
    <row r="17558" spans="1:6" ht="12.75">
      <c r="A17558" s="2">
        <v>43877.324444444443</v>
      </c>
      <c r="B17558" t="str">
        <f>HYPERLINK("https://twitter.com/nitotino","@nitotino")</f>
        <v>@nitotino</v>
      </c>
      <c r="C17558" t="s">
        <v>2444</v>
      </c>
      <c r="D17558">
        <v>4492</v>
      </c>
      <c r="E17558">
        <v>0</v>
      </c>
      <c r="F17558">
        <v>99</v>
      </c>
    </row>
    <row r="17559" spans="1:6" ht="12.75">
      <c r="A17559" s="2">
        <v>43877.32435185185</v>
      </c>
      <c r="B17559" t="str">
        <f>HYPERLINK("https://twitter.com/nanininaninna","@nanininaninna")</f>
        <v>@nanininaninna</v>
      </c>
      <c r="C17559" t="s">
        <v>8970</v>
      </c>
      <c r="D17559">
        <v>0</v>
      </c>
      <c r="E17559">
        <v>0</v>
      </c>
      <c r="F17559">
        <v>2748</v>
      </c>
    </row>
    <row r="17560" spans="1:6" ht="12.75">
      <c r="A17560" s="2">
        <v>43877.324108796296</v>
      </c>
      <c r="B17560" t="str">
        <f>HYPERLINK("https://twitter.com/AllenKahfi","@AllenKahfi")</f>
        <v>@AllenKahfi</v>
      </c>
      <c r="C17560" t="s">
        <v>3059</v>
      </c>
      <c r="D17560">
        <v>291</v>
      </c>
      <c r="E17560">
        <v>0</v>
      </c>
      <c r="F17560">
        <v>16</v>
      </c>
    </row>
    <row r="17561" spans="1:6" ht="12.75">
      <c r="A17561" s="2">
        <v>43877.324097222227</v>
      </c>
      <c r="B17561" t="str">
        <f>HYPERLINK("https://twitter.com/RikiSyafruddin","@RikiSyafruddin")</f>
        <v>@RikiSyafruddin</v>
      </c>
      <c r="C17561" t="s">
        <v>6867</v>
      </c>
      <c r="D17561">
        <v>25</v>
      </c>
      <c r="E17561">
        <v>0</v>
      </c>
      <c r="F17561">
        <v>12</v>
      </c>
    </row>
    <row r="17562" spans="1:6" ht="12.75">
      <c r="A17562" s="2">
        <v>43877.323726851857</v>
      </c>
      <c r="B17562" t="str">
        <f>HYPERLINK("https://twitter.com/patricktingz","@patricktingz")</f>
        <v>@patricktingz</v>
      </c>
      <c r="C17562" t="s">
        <v>3150</v>
      </c>
      <c r="D17562">
        <v>252</v>
      </c>
      <c r="E17562">
        <v>0</v>
      </c>
      <c r="F17562">
        <v>330</v>
      </c>
    </row>
    <row r="17563" spans="1:6" ht="12.75">
      <c r="A17563" s="2">
        <v>43877.323726851857</v>
      </c>
      <c r="B17563" t="str">
        <f>HYPERLINK("https://twitter.com/LaelaAmien","@LaelaAmien")</f>
        <v>@LaelaAmien</v>
      </c>
      <c r="C17563" t="s">
        <v>6867</v>
      </c>
      <c r="D17563">
        <v>25</v>
      </c>
      <c r="E17563">
        <v>0</v>
      </c>
      <c r="F17563">
        <v>785</v>
      </c>
    </row>
    <row r="17564" spans="1:6" ht="12.75">
      <c r="A17564" s="2">
        <v>43877.323703703703</v>
      </c>
      <c r="B17564" t="str">
        <f>HYPERLINK("https://twitter.com/GusNadjib","@GusNadjib")</f>
        <v>@GusNadjib</v>
      </c>
      <c r="C17564" t="s">
        <v>8971</v>
      </c>
      <c r="D17564">
        <v>0</v>
      </c>
      <c r="E17564">
        <v>1</v>
      </c>
      <c r="F17564">
        <v>6886</v>
      </c>
    </row>
    <row r="17565" spans="1:6" ht="12.75">
      <c r="A17565" s="2">
        <v>43877.323634259257</v>
      </c>
      <c r="B17565" t="str">
        <f>HYPERLINK("https://twitter.com/yriswandha","@yriswandha")</f>
        <v>@yriswandha</v>
      </c>
      <c r="C17565" t="s">
        <v>8203</v>
      </c>
      <c r="D17565">
        <v>146</v>
      </c>
      <c r="E17565">
        <v>0</v>
      </c>
      <c r="F17565">
        <v>423</v>
      </c>
    </row>
    <row r="17566" spans="1:6" ht="12.75">
      <c r="A17566" s="2">
        <v>43877.323333333334</v>
      </c>
      <c r="B17566" t="str">
        <f>HYPERLINK("https://twitter.com/Frend81739521","@Frend81739521")</f>
        <v>@Frend81739521</v>
      </c>
      <c r="C17566" t="s">
        <v>8972</v>
      </c>
      <c r="D17566">
        <v>0</v>
      </c>
      <c r="E17566">
        <v>0</v>
      </c>
      <c r="F17566">
        <v>3</v>
      </c>
    </row>
    <row r="17567" spans="1:6" ht="12.75">
      <c r="A17567" s="2">
        <v>43877.323240740741</v>
      </c>
      <c r="B17567" t="str">
        <f>HYPERLINK("https://twitter.com/imamyahya200780","@imamyahya200780")</f>
        <v>@imamyahya200780</v>
      </c>
      <c r="C17567" t="s">
        <v>6338</v>
      </c>
      <c r="D17567">
        <v>402</v>
      </c>
      <c r="E17567">
        <v>0</v>
      </c>
      <c r="F17567">
        <v>400</v>
      </c>
    </row>
    <row r="17568" spans="1:6" ht="12.75">
      <c r="A17568" s="2">
        <v>43877.323136574079</v>
      </c>
      <c r="B17568" t="str">
        <f>HYPERLINK("https://twitter.com/ahm4dz4in","@ahm4dz4in")</f>
        <v>@ahm4dz4in</v>
      </c>
      <c r="C17568" t="s">
        <v>7956</v>
      </c>
      <c r="D17568">
        <v>2</v>
      </c>
      <c r="E17568">
        <v>0</v>
      </c>
      <c r="F17568">
        <v>1129</v>
      </c>
    </row>
    <row r="17569" spans="1:6" ht="12.75">
      <c r="A17569" s="2">
        <v>43877.32309027778</v>
      </c>
      <c r="B17569" t="str">
        <f>HYPERLINK("https://twitter.com/Kasraleasifa","@Kasraleasifa")</f>
        <v>@Kasraleasifa</v>
      </c>
      <c r="C17569" t="s">
        <v>8973</v>
      </c>
      <c r="D17569">
        <v>0</v>
      </c>
      <c r="E17569">
        <v>0</v>
      </c>
      <c r="F17569">
        <v>414</v>
      </c>
    </row>
    <row r="17570" spans="1:6" ht="12.75">
      <c r="A17570" s="2">
        <v>43877.322997685187</v>
      </c>
      <c r="B17570" t="str">
        <f>HYPERLINK("https://twitter.com/g4m4r333","@g4m4r333")</f>
        <v>@g4m4r333</v>
      </c>
      <c r="C17570" t="s">
        <v>6867</v>
      </c>
      <c r="D17570">
        <v>25</v>
      </c>
      <c r="E17570">
        <v>0</v>
      </c>
      <c r="F17570">
        <v>11</v>
      </c>
    </row>
    <row r="17571" spans="1:6" ht="12.75">
      <c r="A17571" s="2">
        <v>43877.322916666672</v>
      </c>
      <c r="B17571" t="str">
        <f>HYPERLINK("https://twitter.com/MuhIrza","@MuhIrza")</f>
        <v>@MuhIrza</v>
      </c>
      <c r="C17571" t="s">
        <v>8974</v>
      </c>
      <c r="D17571">
        <v>0</v>
      </c>
      <c r="E17571">
        <v>0</v>
      </c>
      <c r="F17571">
        <v>254</v>
      </c>
    </row>
    <row r="17572" spans="1:6" ht="12.75">
      <c r="A17572" s="2">
        <v>43877.322916666672</v>
      </c>
      <c r="B17572" t="str">
        <f>HYPERLINK("https://twitter.com/Darmalik3","@Darmalik3")</f>
        <v>@Darmalik3</v>
      </c>
      <c r="C17572" t="s">
        <v>8665</v>
      </c>
      <c r="D17572">
        <v>243</v>
      </c>
      <c r="E17572">
        <v>0</v>
      </c>
      <c r="F17572">
        <v>1691</v>
      </c>
    </row>
    <row r="17573" spans="1:6" ht="12.75">
      <c r="A17573" s="2">
        <v>43877.322557870371</v>
      </c>
      <c r="B17573" t="str">
        <f>HYPERLINK("https://twitter.com/NaylaOnnelBaki","@NaylaOnnelBaki")</f>
        <v>@NaylaOnnelBaki</v>
      </c>
      <c r="C17573" t="s">
        <v>8141</v>
      </c>
      <c r="D17573">
        <v>7</v>
      </c>
      <c r="E17573">
        <v>0</v>
      </c>
      <c r="F17573">
        <v>2072</v>
      </c>
    </row>
    <row r="17574" spans="1:6" ht="12.75">
      <c r="A17574" s="2">
        <v>43877.32231481481</v>
      </c>
      <c r="B17574" t="str">
        <f>HYPERLINK("https://twitter.com/athallahzr1","@athallahzr1")</f>
        <v>@athallahzr1</v>
      </c>
      <c r="C17574" t="s">
        <v>8233</v>
      </c>
      <c r="D17574">
        <v>538</v>
      </c>
      <c r="E17574">
        <v>0</v>
      </c>
      <c r="F17574">
        <v>41</v>
      </c>
    </row>
    <row r="17575" spans="1:6" ht="12.75">
      <c r="A17575" s="2">
        <v>43877.322268518517</v>
      </c>
      <c r="B17575" t="str">
        <f>HYPERLINK("https://twitter.com/hmrmauldh","@hmrmauldh")</f>
        <v>@hmrmauldh</v>
      </c>
      <c r="C17575" t="s">
        <v>8493</v>
      </c>
      <c r="D17575">
        <v>53</v>
      </c>
      <c r="E17575">
        <v>0</v>
      </c>
      <c r="F17575">
        <v>1078</v>
      </c>
    </row>
    <row r="17576" spans="1:6" ht="12.75">
      <c r="A17576" s="2">
        <v>43877.322106481486</v>
      </c>
      <c r="B17576" t="str">
        <f>HYPERLINK("https://twitter.com/Jafartoktil84","@Jafartoktil84")</f>
        <v>@Jafartoktil84</v>
      </c>
      <c r="C17576" t="s">
        <v>8975</v>
      </c>
      <c r="D17576">
        <v>0</v>
      </c>
      <c r="E17576">
        <v>0</v>
      </c>
      <c r="F17576">
        <v>7</v>
      </c>
    </row>
    <row r="17577" spans="1:6" ht="12.75">
      <c r="A17577" s="2">
        <v>43877.321828703702</v>
      </c>
      <c r="B17577" t="str">
        <f>HYPERLINK("https://twitter.com/mederjun","@mederjun")</f>
        <v>@mederjun</v>
      </c>
      <c r="C17577" t="s">
        <v>2147</v>
      </c>
      <c r="D17577">
        <v>497</v>
      </c>
      <c r="E17577">
        <v>0</v>
      </c>
      <c r="F17577">
        <v>489</v>
      </c>
    </row>
    <row r="17578" spans="1:6" ht="12.75">
      <c r="A17578" s="2">
        <v>43877.32166666667</v>
      </c>
      <c r="B17578" t="str">
        <f>HYPERLINK("https://twitter.com/BintoroReina","@BintoroReina")</f>
        <v>@BintoroReina</v>
      </c>
      <c r="C17578" t="s">
        <v>8493</v>
      </c>
      <c r="D17578">
        <v>53</v>
      </c>
      <c r="E17578">
        <v>0</v>
      </c>
      <c r="F17578">
        <v>35</v>
      </c>
    </row>
    <row r="17579" spans="1:6" ht="12.75">
      <c r="A17579" s="2">
        <v>43877.321539351848</v>
      </c>
      <c r="B17579" t="str">
        <f>HYPERLINK("https://twitter.com/Jean_Aprilia97","@Jean_Aprilia97")</f>
        <v>@Jean_Aprilia97</v>
      </c>
      <c r="C17579" t="s">
        <v>8976</v>
      </c>
      <c r="D17579">
        <v>2</v>
      </c>
      <c r="E17579">
        <v>19</v>
      </c>
      <c r="F17579">
        <v>10950</v>
      </c>
    </row>
    <row r="17580" spans="1:6" ht="12.75">
      <c r="A17580" s="2">
        <v>43877.321516203709</v>
      </c>
      <c r="B17580" t="str">
        <f>HYPERLINK("https://twitter.com/AlBanna57697952","@AlBanna57697952")</f>
        <v>@AlBanna57697952</v>
      </c>
      <c r="C17580" t="s">
        <v>6338</v>
      </c>
      <c r="D17580">
        <v>402</v>
      </c>
      <c r="E17580">
        <v>0</v>
      </c>
      <c r="F17580">
        <v>42</v>
      </c>
    </row>
    <row r="17581" spans="1:6" ht="12.75">
      <c r="A17581" s="2">
        <v>43877.321284722224</v>
      </c>
      <c r="B17581" t="str">
        <f>HYPERLINK("https://twitter.com/Nuryati_D","@Nuryati_D")</f>
        <v>@Nuryati_D</v>
      </c>
      <c r="C17581" t="s">
        <v>8977</v>
      </c>
      <c r="D17581">
        <v>48</v>
      </c>
      <c r="E17581">
        <v>0</v>
      </c>
      <c r="F17581">
        <v>1192</v>
      </c>
    </row>
    <row r="17582" spans="1:6" ht="12.75">
      <c r="A17582" s="2">
        <v>43877.321053240739</v>
      </c>
      <c r="B17582" t="str">
        <f>HYPERLINK("https://twitter.com/dyah_penny","@dyah_penny")</f>
        <v>@dyah_penny</v>
      </c>
      <c r="C17582" t="s">
        <v>8978</v>
      </c>
      <c r="D17582">
        <v>0</v>
      </c>
      <c r="E17582">
        <v>1</v>
      </c>
      <c r="F17582">
        <v>2772</v>
      </c>
    </row>
    <row r="17583" spans="1:6" ht="12.75">
      <c r="A17583" s="2">
        <v>43877.321053240739</v>
      </c>
      <c r="B17583" t="str">
        <f>HYPERLINK("https://twitter.com/witantochand","@witantochand")</f>
        <v>@witantochand</v>
      </c>
      <c r="C17583" t="s">
        <v>8979</v>
      </c>
      <c r="D17583">
        <v>0</v>
      </c>
      <c r="E17583">
        <v>1</v>
      </c>
      <c r="F17583">
        <v>58</v>
      </c>
    </row>
    <row r="17584" spans="1:6" ht="12.75">
      <c r="A17584" s="2">
        <v>43877.320810185185</v>
      </c>
      <c r="B17584" t="str">
        <f>HYPERLINK("https://twitter.com/snjayajonggrang","@snjayajonggrang")</f>
        <v>@snjayajonggrang</v>
      </c>
      <c r="C17584" t="s">
        <v>8897</v>
      </c>
      <c r="D17584">
        <v>42</v>
      </c>
      <c r="E17584">
        <v>0</v>
      </c>
      <c r="F17584">
        <v>3794</v>
      </c>
    </row>
    <row r="17585" spans="1:6" ht="12.75">
      <c r="A17585" s="2">
        <v>43877.320289351846</v>
      </c>
      <c r="B17585" t="str">
        <f>HYPERLINK("https://twitter.com/SyemaNur","@SyemaNur")</f>
        <v>@SyemaNur</v>
      </c>
      <c r="C17585" t="s">
        <v>6867</v>
      </c>
      <c r="D17585">
        <v>25</v>
      </c>
      <c r="E17585">
        <v>0</v>
      </c>
      <c r="F17585">
        <v>51</v>
      </c>
    </row>
    <row r="17586" spans="1:6" ht="12.75">
      <c r="A17586" s="2">
        <v>43877.319976851853</v>
      </c>
      <c r="B17586" t="str">
        <f>HYPERLINK("https://twitter.com/Gandawan","@Gandawan")</f>
        <v>@Gandawan</v>
      </c>
      <c r="C17586" t="s">
        <v>6867</v>
      </c>
      <c r="D17586">
        <v>25</v>
      </c>
      <c r="E17586">
        <v>0</v>
      </c>
      <c r="F17586">
        <v>1381</v>
      </c>
    </row>
    <row r="17587" spans="1:6" ht="12.75">
      <c r="A17587" s="2">
        <v>43877.319421296299</v>
      </c>
      <c r="B17587" t="str">
        <f>HYPERLINK("https://twitter.com/zazaputih","@zazaputih")</f>
        <v>@zazaputih</v>
      </c>
      <c r="C17587" t="s">
        <v>8980</v>
      </c>
      <c r="D17587">
        <v>10</v>
      </c>
      <c r="E17587">
        <v>0</v>
      </c>
      <c r="F17587">
        <v>33</v>
      </c>
    </row>
    <row r="17588" spans="1:6" ht="12.75">
      <c r="A17588" s="2">
        <v>43877.319363425922</v>
      </c>
      <c r="B17588" t="str">
        <f>HYPERLINK("https://twitter.com/SKHery8","@SKHery8")</f>
        <v>@SKHery8</v>
      </c>
      <c r="C17588" t="s">
        <v>2147</v>
      </c>
      <c r="D17588">
        <v>497</v>
      </c>
      <c r="E17588">
        <v>0</v>
      </c>
      <c r="F17588">
        <v>3323</v>
      </c>
    </row>
    <row r="17589" spans="1:6" ht="12.75">
      <c r="A17589" s="2">
        <v>43877.319328703699</v>
      </c>
      <c r="B17589" t="str">
        <f>HYPERLINK("https://twitter.com/Indones1a_ku","@Indones1a_ku")</f>
        <v>@Indones1a_ku</v>
      </c>
      <c r="C17589" t="s">
        <v>8981</v>
      </c>
      <c r="D17589">
        <v>0</v>
      </c>
      <c r="E17589">
        <v>0</v>
      </c>
      <c r="F17589">
        <v>112</v>
      </c>
    </row>
    <row r="17590" spans="1:6" ht="12.75">
      <c r="A17590" s="2">
        <v>43877.31925925926</v>
      </c>
      <c r="B17590" t="str">
        <f t="shared" ref="B17590:B17591" si="295">HYPERLINK("https://twitter.com/randyp112","@randyp112")</f>
        <v>@randyp112</v>
      </c>
      <c r="C17590" t="s">
        <v>8982</v>
      </c>
      <c r="D17590">
        <v>417</v>
      </c>
      <c r="E17590">
        <v>0</v>
      </c>
      <c r="F17590">
        <v>2</v>
      </c>
    </row>
    <row r="17591" spans="1:6" ht="12.75">
      <c r="A17591" s="2">
        <v>43877.31895833333</v>
      </c>
      <c r="B17591" t="str">
        <f t="shared" si="295"/>
        <v>@randyp112</v>
      </c>
      <c r="C17591" t="s">
        <v>175</v>
      </c>
      <c r="D17591">
        <v>5358</v>
      </c>
      <c r="E17591">
        <v>0</v>
      </c>
      <c r="F17591">
        <v>2</v>
      </c>
    </row>
    <row r="17592" spans="1:6" ht="12.75">
      <c r="A17592" s="2">
        <v>43877.318761574075</v>
      </c>
      <c r="B17592" t="str">
        <f>HYPERLINK("https://twitter.com/Nabillanajmii","@Nabillanajmii")</f>
        <v>@Nabillanajmii</v>
      </c>
      <c r="C17592" t="s">
        <v>6338</v>
      </c>
      <c r="D17592">
        <v>402</v>
      </c>
      <c r="E17592">
        <v>0</v>
      </c>
      <c r="F17592">
        <v>865</v>
      </c>
    </row>
    <row r="17593" spans="1:6" ht="12.75">
      <c r="A17593" s="2">
        <v>43877.318368055552</v>
      </c>
      <c r="B17593" t="str">
        <f>HYPERLINK("https://twitter.com/R_D_Isis","@R_D_Isis")</f>
        <v>@R_D_Isis</v>
      </c>
      <c r="C17593" t="s">
        <v>8983</v>
      </c>
      <c r="D17593">
        <v>376</v>
      </c>
      <c r="E17593">
        <v>0</v>
      </c>
      <c r="F17593">
        <v>98</v>
      </c>
    </row>
    <row r="17594" spans="1:6" ht="12.75">
      <c r="A17594" s="2">
        <v>43877.318368055552</v>
      </c>
      <c r="B17594" t="str">
        <f>HYPERLINK("https://twitter.com/khairolidris89","@khairolidris89")</f>
        <v>@khairolidris89</v>
      </c>
      <c r="C17594" t="s">
        <v>8984</v>
      </c>
      <c r="D17594">
        <v>0</v>
      </c>
      <c r="E17594">
        <v>0</v>
      </c>
      <c r="F17594">
        <v>4</v>
      </c>
    </row>
    <row r="17595" spans="1:6" ht="12.75">
      <c r="A17595" s="2">
        <v>43877.318275462967</v>
      </c>
      <c r="B17595" t="str">
        <f>HYPERLINK("https://twitter.com/BromoB29","@BromoB29")</f>
        <v>@BromoB29</v>
      </c>
      <c r="C17595" t="s">
        <v>8985</v>
      </c>
      <c r="D17595">
        <v>0</v>
      </c>
      <c r="E17595">
        <v>0</v>
      </c>
      <c r="F17595">
        <v>1</v>
      </c>
    </row>
    <row r="17596" spans="1:6" ht="12.75">
      <c r="A17596" s="2">
        <v>43877.318101851852</v>
      </c>
      <c r="B17596" t="str">
        <f>HYPERLINK("https://twitter.com/Willy_jb","@Willy_jb")</f>
        <v>@Willy_jb</v>
      </c>
      <c r="C17596" t="s">
        <v>8986</v>
      </c>
      <c r="D17596">
        <v>0</v>
      </c>
      <c r="E17596">
        <v>0</v>
      </c>
      <c r="F17596">
        <v>65</v>
      </c>
    </row>
    <row r="17597" spans="1:6" ht="12.75">
      <c r="A17597" s="2">
        <v>43877.318101851852</v>
      </c>
      <c r="B17597" t="str">
        <f>HYPERLINK("https://twitter.com/niwablezinky","@niwablezinky")</f>
        <v>@niwablezinky</v>
      </c>
      <c r="C17597" t="s">
        <v>6338</v>
      </c>
      <c r="D17597">
        <v>402</v>
      </c>
      <c r="E17597">
        <v>0</v>
      </c>
      <c r="F17597">
        <v>998</v>
      </c>
    </row>
    <row r="17598" spans="1:6" ht="12.75">
      <c r="A17598" s="2">
        <v>43877.318032407406</v>
      </c>
      <c r="B17598" t="str">
        <f>HYPERLINK("https://twitter.com/GusNadjib","@GusNadjib")</f>
        <v>@GusNadjib</v>
      </c>
      <c r="C17598" t="s">
        <v>8987</v>
      </c>
      <c r="D17598">
        <v>0</v>
      </c>
      <c r="E17598">
        <v>2</v>
      </c>
      <c r="F17598">
        <v>6886</v>
      </c>
    </row>
    <row r="17599" spans="1:6" ht="12.75">
      <c r="A17599" s="2">
        <v>43877.317719907413</v>
      </c>
      <c r="B17599" t="str">
        <f>HYPERLINK("https://twitter.com/Risky_Official","@Risky_Official")</f>
        <v>@Risky_Official</v>
      </c>
      <c r="C17599" t="s">
        <v>8988</v>
      </c>
      <c r="D17599">
        <v>0</v>
      </c>
      <c r="E17599">
        <v>0</v>
      </c>
      <c r="F17599">
        <v>925</v>
      </c>
    </row>
    <row r="17600" spans="1:6" ht="12.75">
      <c r="A17600" s="2">
        <v>43877.317662037036</v>
      </c>
      <c r="B17600" t="str">
        <f>HYPERLINK("https://twitter.com/Buce313","@Buce313")</f>
        <v>@Buce313</v>
      </c>
      <c r="C17600" t="s">
        <v>6338</v>
      </c>
      <c r="D17600">
        <v>402</v>
      </c>
      <c r="E17600">
        <v>0</v>
      </c>
      <c r="F17600">
        <v>2000</v>
      </c>
    </row>
    <row r="17601" spans="1:6" ht="12.75">
      <c r="A17601" s="2">
        <v>43877.317650462966</v>
      </c>
      <c r="B17601" t="str">
        <f>HYPERLINK("https://twitter.com/DARMOGATY","@DARMOGATY")</f>
        <v>@DARMOGATY</v>
      </c>
      <c r="C17601" t="s">
        <v>7937</v>
      </c>
      <c r="D17601">
        <v>1</v>
      </c>
      <c r="E17601">
        <v>0</v>
      </c>
      <c r="F17601">
        <v>1369</v>
      </c>
    </row>
    <row r="17602" spans="1:6" ht="12.75">
      <c r="A17602" s="2">
        <v>43877.31759259259</v>
      </c>
      <c r="B17602" t="str">
        <f>HYPERLINK("https://twitter.com/sendysuwanto","@sendysuwanto")</f>
        <v>@sendysuwanto</v>
      </c>
      <c r="C17602" t="s">
        <v>6338</v>
      </c>
      <c r="D17602">
        <v>402</v>
      </c>
      <c r="E17602">
        <v>0</v>
      </c>
      <c r="F17602">
        <v>1000</v>
      </c>
    </row>
    <row r="17603" spans="1:6" ht="12.75">
      <c r="A17603" s="2">
        <v>43877.317476851851</v>
      </c>
      <c r="B17603" t="str">
        <f>HYPERLINK("https://twitter.com/windapp_","@windapp_")</f>
        <v>@windapp_</v>
      </c>
      <c r="C17603" t="s">
        <v>2444</v>
      </c>
      <c r="D17603">
        <v>4492</v>
      </c>
      <c r="E17603">
        <v>0</v>
      </c>
      <c r="F17603">
        <v>357</v>
      </c>
    </row>
    <row r="17604" spans="1:6" ht="12.75">
      <c r="A17604" s="2">
        <v>43877.317199074074</v>
      </c>
      <c r="B17604" t="str">
        <f>HYPERLINK("https://twitter.com/amaliaharuni","@amaliaharuni")</f>
        <v>@amaliaharuni</v>
      </c>
      <c r="C17604" t="s">
        <v>3970</v>
      </c>
      <c r="D17604">
        <v>559</v>
      </c>
      <c r="E17604">
        <v>0</v>
      </c>
      <c r="F17604">
        <v>343</v>
      </c>
    </row>
    <row r="17605" spans="1:6" ht="12.75">
      <c r="A17605" s="2">
        <v>43877.316979166666</v>
      </c>
      <c r="B17605" t="str">
        <f>HYPERLINK("https://twitter.com/putro","@putro")</f>
        <v>@putro</v>
      </c>
      <c r="C17605" t="s">
        <v>8989</v>
      </c>
      <c r="D17605">
        <v>0</v>
      </c>
      <c r="E17605">
        <v>0</v>
      </c>
      <c r="F17605">
        <v>53</v>
      </c>
    </row>
    <row r="17606" spans="1:6" ht="12.75">
      <c r="A17606" s="2">
        <v>43877.316643518519</v>
      </c>
      <c r="B17606" t="str">
        <f>HYPERLINK("https://twitter.com/BUSAM_SAMARINDA","@BUSAM_SAMARINDA")</f>
        <v>@BUSAM_SAMARINDA</v>
      </c>
      <c r="C17606" t="s">
        <v>8990</v>
      </c>
      <c r="D17606">
        <v>0</v>
      </c>
      <c r="E17606">
        <v>1</v>
      </c>
      <c r="F17606">
        <v>14543</v>
      </c>
    </row>
    <row r="17607" spans="1:6" ht="12.75">
      <c r="A17607" s="2">
        <v>43877.31659722222</v>
      </c>
      <c r="B17607" t="str">
        <f>HYPERLINK("https://twitter.com/Khong_Beng","@Khong_Beng")</f>
        <v>@Khong_Beng</v>
      </c>
      <c r="C17607" t="s">
        <v>6338</v>
      </c>
      <c r="D17607">
        <v>402</v>
      </c>
      <c r="E17607">
        <v>0</v>
      </c>
      <c r="F17607">
        <v>162</v>
      </c>
    </row>
    <row r="17608" spans="1:6" ht="12.75">
      <c r="A17608" s="2">
        <v>43877.31658564815</v>
      </c>
      <c r="B17608" t="str">
        <f>HYPERLINK("https://twitter.com/amanidelm","@amanidelm")</f>
        <v>@amanidelm</v>
      </c>
      <c r="C17608" t="s">
        <v>8991</v>
      </c>
      <c r="D17608">
        <v>1</v>
      </c>
      <c r="E17608">
        <v>0</v>
      </c>
      <c r="F17608">
        <v>1811</v>
      </c>
    </row>
    <row r="17609" spans="1:6" ht="12.75">
      <c r="A17609" s="2">
        <v>43877.316481481481</v>
      </c>
      <c r="B17609" t="str">
        <f>HYPERLINK("https://twitter.com/ZoelFawzie","@ZoelFawzie")</f>
        <v>@ZoelFawzie</v>
      </c>
      <c r="C17609" t="s">
        <v>6338</v>
      </c>
      <c r="D17609">
        <v>402</v>
      </c>
      <c r="E17609">
        <v>0</v>
      </c>
      <c r="F17609">
        <v>5756</v>
      </c>
    </row>
    <row r="17610" spans="1:6" ht="12.75">
      <c r="A17610" s="2">
        <v>43877.316307870366</v>
      </c>
      <c r="B17610" t="str">
        <f>HYPERLINK("https://twitter.com/Petanicengkeh3","@Petanicengkeh3")</f>
        <v>@Petanicengkeh3</v>
      </c>
      <c r="C17610" t="s">
        <v>7259</v>
      </c>
      <c r="D17610">
        <v>36</v>
      </c>
      <c r="E17610">
        <v>0</v>
      </c>
      <c r="F17610">
        <v>476</v>
      </c>
    </row>
    <row r="17611" spans="1:6" ht="12.75">
      <c r="A17611" s="2">
        <v>43877.316180555557</v>
      </c>
      <c r="B17611" t="str">
        <f>HYPERLINK("https://twitter.com/syahrulsyah_","@syahrulsyah_")</f>
        <v>@syahrulsyah_</v>
      </c>
      <c r="C17611" t="s">
        <v>8141</v>
      </c>
      <c r="D17611">
        <v>7</v>
      </c>
      <c r="E17611">
        <v>0</v>
      </c>
      <c r="F17611">
        <v>376</v>
      </c>
    </row>
    <row r="17612" spans="1:6" ht="12.75">
      <c r="A17612" s="2">
        <v>43877.315937499996</v>
      </c>
      <c r="B17612" t="str">
        <f>HYPERLINK("https://twitter.com/Majeh19","@Majeh19")</f>
        <v>@Majeh19</v>
      </c>
      <c r="C17612" t="s">
        <v>3150</v>
      </c>
      <c r="D17612">
        <v>252</v>
      </c>
      <c r="E17612">
        <v>0</v>
      </c>
      <c r="F17612">
        <v>3911</v>
      </c>
    </row>
    <row r="17613" spans="1:6" ht="12.75">
      <c r="A17613" s="2">
        <v>43877.315868055557</v>
      </c>
      <c r="B17613" t="str">
        <f>HYPERLINK("https://twitter.com/BustamyKarmen","@BustamyKarmen")</f>
        <v>@BustamyKarmen</v>
      </c>
      <c r="C17613" t="s">
        <v>8992</v>
      </c>
      <c r="D17613">
        <v>0</v>
      </c>
      <c r="E17613">
        <v>0</v>
      </c>
      <c r="F17613">
        <v>0</v>
      </c>
    </row>
    <row r="17614" spans="1:6" ht="12.75">
      <c r="A17614" s="2">
        <v>43877.31585648148</v>
      </c>
      <c r="B17614" t="str">
        <f>HYPERLINK("https://twitter.com/deandry","@deandry")</f>
        <v>@deandry</v>
      </c>
      <c r="C17614" t="s">
        <v>8993</v>
      </c>
      <c r="D17614">
        <v>1</v>
      </c>
      <c r="E17614">
        <v>0</v>
      </c>
      <c r="F17614">
        <v>2142</v>
      </c>
    </row>
    <row r="17615" spans="1:6" ht="12.75">
      <c r="A17615" s="2">
        <v>43877.315763888888</v>
      </c>
      <c r="B17615" t="str">
        <f>HYPERLINK("https://twitter.com/Beritasatu","@Beritasatu")</f>
        <v>@Beritasatu</v>
      </c>
      <c r="C17615" t="s">
        <v>8994</v>
      </c>
      <c r="D17615">
        <v>0</v>
      </c>
      <c r="E17615">
        <v>1</v>
      </c>
      <c r="F17615">
        <v>613996</v>
      </c>
    </row>
    <row r="17616" spans="1:6" ht="12.75">
      <c r="A17616" s="2">
        <v>43877.293067129634</v>
      </c>
      <c r="B17616" t="str">
        <f>HYPERLINK("https://twitter.com/blue_facez","@blue_facez")</f>
        <v>@blue_facez</v>
      </c>
      <c r="C17616" t="s">
        <v>6867</v>
      </c>
      <c r="D17616">
        <v>6</v>
      </c>
      <c r="E17616">
        <v>0</v>
      </c>
      <c r="F17616">
        <v>1197</v>
      </c>
    </row>
    <row r="17617" spans="1:6" ht="12.75">
      <c r="A17617" s="2">
        <v>43877.293067129634</v>
      </c>
      <c r="B17617" t="str">
        <f>HYPERLINK("https://twitter.com/danieeeelc","@danieeeelc")</f>
        <v>@danieeeelc</v>
      </c>
      <c r="C17617" t="s">
        <v>6338</v>
      </c>
      <c r="D17617">
        <v>352</v>
      </c>
      <c r="E17617">
        <v>0</v>
      </c>
      <c r="F17617">
        <v>195</v>
      </c>
    </row>
    <row r="17618" spans="1:6" ht="12.75">
      <c r="A17618" s="2">
        <v>43877.292928240742</v>
      </c>
      <c r="B17618" t="str">
        <f>HYPERLINK("https://twitter.com/fadhlanyazid","@fadhlanyazid")</f>
        <v>@fadhlanyazid</v>
      </c>
      <c r="C17618" t="s">
        <v>2444</v>
      </c>
      <c r="D17618">
        <v>4489</v>
      </c>
      <c r="E17618">
        <v>0</v>
      </c>
      <c r="F17618">
        <v>801</v>
      </c>
    </row>
    <row r="17619" spans="1:6" ht="12.75">
      <c r="A17619" s="2">
        <v>43877.292754629627</v>
      </c>
      <c r="B17619" t="str">
        <f>HYPERLINK("https://twitter.com/Berita_TU","@Berita_TU")</f>
        <v>@Berita_TU</v>
      </c>
      <c r="C17619" t="s">
        <v>8995</v>
      </c>
      <c r="D17619">
        <v>0</v>
      </c>
      <c r="E17619">
        <v>0</v>
      </c>
      <c r="F17619">
        <v>1083</v>
      </c>
    </row>
    <row r="17620" spans="1:6" ht="12.75">
      <c r="A17620" s="2">
        <v>43877.292650462958</v>
      </c>
      <c r="B17620" t="str">
        <f>HYPERLINK("https://twitter.com/AspendiTanjung","@AspendiTanjung")</f>
        <v>@AspendiTanjung</v>
      </c>
      <c r="C17620" t="s">
        <v>6867</v>
      </c>
      <c r="D17620">
        <v>6</v>
      </c>
      <c r="E17620">
        <v>0</v>
      </c>
      <c r="F17620">
        <v>570</v>
      </c>
    </row>
    <row r="17621" spans="1:6" ht="12.75">
      <c r="A17621" s="2">
        <v>43877.292395833334</v>
      </c>
      <c r="B17621" t="str">
        <f>HYPERLINK("https://twitter.com/PETERGONZALEST","@PETERGONZALEST")</f>
        <v>@PETERGONZALEST</v>
      </c>
      <c r="C17621" t="s">
        <v>8996</v>
      </c>
      <c r="D17621">
        <v>0</v>
      </c>
      <c r="E17621">
        <v>0</v>
      </c>
      <c r="F17621">
        <v>1334</v>
      </c>
    </row>
    <row r="17622" spans="1:6" ht="12.75">
      <c r="A17622" s="2">
        <v>43877.292164351849</v>
      </c>
      <c r="B17622" t="str">
        <f>HYPERLINK("https://twitter.com/herditiya1","@herditiya1")</f>
        <v>@herditiya1</v>
      </c>
      <c r="C17622" t="s">
        <v>8997</v>
      </c>
      <c r="D17622">
        <v>0</v>
      </c>
      <c r="E17622">
        <v>0</v>
      </c>
      <c r="F17622">
        <v>4859</v>
      </c>
    </row>
    <row r="17623" spans="1:6" ht="12.75">
      <c r="A17623" s="2">
        <v>43877.292118055557</v>
      </c>
      <c r="B17623" t="str">
        <f>HYPERLINK("https://twitter.com/Kematia78104047","@Kematia78104047")</f>
        <v>@Kematia78104047</v>
      </c>
      <c r="C17623" t="s">
        <v>8598</v>
      </c>
      <c r="D17623">
        <v>5</v>
      </c>
      <c r="E17623">
        <v>0</v>
      </c>
      <c r="F17623">
        <v>1968</v>
      </c>
    </row>
    <row r="17624" spans="1:6" ht="12.75">
      <c r="A17624" s="2">
        <v>43877.29210648148</v>
      </c>
      <c r="B17624" t="str">
        <f>HYPERLINK("https://twitter.com/Afifahazrh","@Afifahazrh")</f>
        <v>@Afifahazrh</v>
      </c>
      <c r="C17624" t="s">
        <v>7905</v>
      </c>
      <c r="D17624">
        <v>44</v>
      </c>
      <c r="E17624">
        <v>0</v>
      </c>
      <c r="F17624">
        <v>298</v>
      </c>
    </row>
    <row r="17625" spans="1:6" ht="12.75">
      <c r="A17625" s="2">
        <v>43877.29178240741</v>
      </c>
      <c r="B17625" t="str">
        <f>HYPERLINK("https://twitter.com/wahhabicc_jabar","@wahhabicc_jabar")</f>
        <v>@wahhabicc_jabar</v>
      </c>
      <c r="C17625" t="s">
        <v>6338</v>
      </c>
      <c r="D17625">
        <v>352</v>
      </c>
      <c r="E17625">
        <v>0</v>
      </c>
      <c r="F17625">
        <v>30207</v>
      </c>
    </row>
    <row r="17626" spans="1:6" ht="12.75">
      <c r="A17626" s="2">
        <v>43877.291550925926</v>
      </c>
      <c r="B17626" t="str">
        <f>HYPERLINK("https://twitter.com/RedaksiL","@RedaksiL")</f>
        <v>@RedaksiL</v>
      </c>
      <c r="C17626" t="s">
        <v>8996</v>
      </c>
      <c r="D17626">
        <v>0</v>
      </c>
      <c r="E17626">
        <v>0</v>
      </c>
      <c r="F17626">
        <v>1326</v>
      </c>
    </row>
    <row r="17627" spans="1:6" ht="12.75">
      <c r="A17627" s="2">
        <v>43877.291527777779</v>
      </c>
      <c r="B17627" t="str">
        <f>HYPERLINK("https://twitter.com/AniesSubianto","@AniesSubianto")</f>
        <v>@AniesSubianto</v>
      </c>
      <c r="C17627" t="s">
        <v>8203</v>
      </c>
      <c r="D17627">
        <v>141</v>
      </c>
      <c r="E17627">
        <v>0</v>
      </c>
      <c r="F17627">
        <v>211</v>
      </c>
    </row>
    <row r="17628" spans="1:6" ht="12.75">
      <c r="A17628" s="2">
        <v>43877.290856481486</v>
      </c>
      <c r="B17628" t="str">
        <f>HYPERLINK("https://twitter.com/abuachmad9","@abuachmad9")</f>
        <v>@abuachmad9</v>
      </c>
      <c r="C17628" t="s">
        <v>6338</v>
      </c>
      <c r="D17628">
        <v>352</v>
      </c>
      <c r="E17628">
        <v>0</v>
      </c>
      <c r="F17628">
        <v>673</v>
      </c>
    </row>
    <row r="17629" spans="1:6" ht="12.75">
      <c r="A17629" s="2">
        <v>43877.290856481486</v>
      </c>
      <c r="B17629" t="str">
        <f>HYPERLINK("https://twitter.com/alexandra_helga","@alexandra_helga")</f>
        <v>@alexandra_helga</v>
      </c>
      <c r="C17629" t="s">
        <v>8996</v>
      </c>
      <c r="D17629">
        <v>0</v>
      </c>
      <c r="E17629">
        <v>0</v>
      </c>
      <c r="F17629">
        <v>1373</v>
      </c>
    </row>
    <row r="17630" spans="1:6" ht="12.75">
      <c r="A17630" s="2">
        <v>43877.290196759262</v>
      </c>
      <c r="B17630" t="str">
        <f>HYPERLINK("https://twitter.com/beatrice_health","@beatrice_health")</f>
        <v>@beatrice_health</v>
      </c>
      <c r="C17630" t="s">
        <v>8998</v>
      </c>
      <c r="D17630">
        <v>1</v>
      </c>
      <c r="E17630">
        <v>0</v>
      </c>
      <c r="F17630">
        <v>112</v>
      </c>
    </row>
    <row r="17631" spans="1:6" ht="12.75">
      <c r="A17631" s="2">
        <v>43877.290162037039</v>
      </c>
      <c r="B17631" t="str">
        <f>HYPERLINK("https://twitter.com/mrsnurulhotimah","@mrsnurulhotimah")</f>
        <v>@mrsnurulhotimah</v>
      </c>
      <c r="C17631" t="s">
        <v>8996</v>
      </c>
      <c r="D17631">
        <v>1</v>
      </c>
      <c r="E17631">
        <v>0</v>
      </c>
      <c r="F17631">
        <v>987</v>
      </c>
    </row>
    <row r="17632" spans="1:6" ht="12.75">
      <c r="A17632" s="2">
        <v>43877.289918981478</v>
      </c>
      <c r="B17632" t="str">
        <f>HYPERLINK("https://twitter.com/cintada17","@cintada17")</f>
        <v>@cintada17</v>
      </c>
      <c r="C17632" t="s">
        <v>6338</v>
      </c>
      <c r="D17632">
        <v>352</v>
      </c>
      <c r="E17632">
        <v>0</v>
      </c>
      <c r="F17632">
        <v>7400</v>
      </c>
    </row>
    <row r="17633" spans="1:6" ht="12.75">
      <c r="A17633" s="2">
        <v>43877.289687500001</v>
      </c>
      <c r="B17633" t="str">
        <f>HYPERLINK("https://twitter.com/SMBS_rio","@SMBS_rio")</f>
        <v>@SMBS_rio</v>
      </c>
      <c r="C17633" t="s">
        <v>6338</v>
      </c>
      <c r="D17633">
        <v>352</v>
      </c>
      <c r="E17633">
        <v>0</v>
      </c>
      <c r="F17633">
        <v>2167</v>
      </c>
    </row>
    <row r="17634" spans="1:6" ht="12.75">
      <c r="A17634" s="2">
        <v>43877.289375</v>
      </c>
      <c r="B17634" t="str">
        <f>HYPERLINK("https://twitter.com/ags_irwansyah","@ags_irwansyah")</f>
        <v>@ags_irwansyah</v>
      </c>
      <c r="C17634" t="s">
        <v>6867</v>
      </c>
      <c r="D17634">
        <v>6</v>
      </c>
      <c r="E17634">
        <v>0</v>
      </c>
      <c r="F17634">
        <v>1184</v>
      </c>
    </row>
    <row r="17635" spans="1:6" ht="12.75">
      <c r="A17635" s="2">
        <v>43877.289305555554</v>
      </c>
      <c r="B17635" t="str">
        <f>HYPERLINK("https://twitter.com/DapurSeksi","@DapurSeksi")</f>
        <v>@DapurSeksi</v>
      </c>
      <c r="C17635" t="s">
        <v>8203</v>
      </c>
      <c r="D17635">
        <v>141</v>
      </c>
      <c r="E17635">
        <v>0</v>
      </c>
      <c r="F17635">
        <v>55</v>
      </c>
    </row>
    <row r="17636" spans="1:6" ht="12.75">
      <c r="A17636" s="2">
        <v>43877.289236111115</v>
      </c>
      <c r="B17636" t="str">
        <f>HYPERLINK("https://twitter.com/0pposite6890","@0pposite6890")</f>
        <v>@0pposite6890</v>
      </c>
      <c r="C17636" t="s">
        <v>8999</v>
      </c>
      <c r="D17636">
        <v>0</v>
      </c>
      <c r="E17636">
        <v>0</v>
      </c>
      <c r="F17636">
        <v>43</v>
      </c>
    </row>
    <row r="17637" spans="1:6" ht="12.75">
      <c r="A17637" s="2">
        <v>43877.289224537039</v>
      </c>
      <c r="B17637" t="str">
        <f>HYPERLINK("https://twitter.com/relawanperak2","@relawanperak2")</f>
        <v>@relawanperak2</v>
      </c>
      <c r="C17637" t="s">
        <v>9000</v>
      </c>
      <c r="D17637">
        <v>1</v>
      </c>
      <c r="E17637">
        <v>0</v>
      </c>
      <c r="F17637">
        <v>2404</v>
      </c>
    </row>
    <row r="17638" spans="1:6" ht="12.75">
      <c r="A17638" s="2">
        <v>43877.289201388892</v>
      </c>
      <c r="B17638" t="str">
        <f>HYPERLINK("https://twitter.com/dwitama_k","@dwitama_k")</f>
        <v>@dwitama_k</v>
      </c>
      <c r="C17638" t="s">
        <v>6867</v>
      </c>
      <c r="D17638">
        <v>6</v>
      </c>
      <c r="E17638">
        <v>0</v>
      </c>
      <c r="F17638">
        <v>366</v>
      </c>
    </row>
    <row r="17639" spans="1:6" ht="12.75">
      <c r="A17639" s="2">
        <v>43877.288946759261</v>
      </c>
      <c r="B17639" t="str">
        <f>HYPERLINK("https://twitter.com/Normann01David","@Normann01David")</f>
        <v>@Normann01David</v>
      </c>
      <c r="C17639" t="s">
        <v>9001</v>
      </c>
      <c r="D17639">
        <v>2</v>
      </c>
      <c r="E17639">
        <v>0</v>
      </c>
      <c r="F17639">
        <v>149</v>
      </c>
    </row>
    <row r="17640" spans="1:6" ht="12.75">
      <c r="A17640" s="2">
        <v>43877.288726851853</v>
      </c>
      <c r="B17640" t="str">
        <f>HYPERLINK("https://twitter.com/Andiammulia3","@Andiammulia3")</f>
        <v>@Andiammulia3</v>
      </c>
      <c r="C17640" t="s">
        <v>6867</v>
      </c>
      <c r="D17640">
        <v>6</v>
      </c>
      <c r="E17640">
        <v>0</v>
      </c>
      <c r="F17640">
        <v>547</v>
      </c>
    </row>
    <row r="17641" spans="1:6" ht="12.75">
      <c r="A17641" s="2">
        <v>43877.2887037037</v>
      </c>
      <c r="B17641" t="str">
        <f>HYPERLINK("https://twitter.com/DiartonoSapto","@DiartonoSapto")</f>
        <v>@DiartonoSapto</v>
      </c>
      <c r="C17641" t="s">
        <v>6867</v>
      </c>
      <c r="D17641">
        <v>6</v>
      </c>
      <c r="E17641">
        <v>0</v>
      </c>
      <c r="F17641">
        <v>476</v>
      </c>
    </row>
    <row r="17642" spans="1:6" ht="12.75">
      <c r="A17642" s="2">
        <v>43877.28837962963</v>
      </c>
      <c r="B17642" t="str">
        <f>HYPERLINK("https://twitter.com/DavidDarmawan14","@DavidDarmawan14")</f>
        <v>@DavidDarmawan14</v>
      </c>
      <c r="C17642" t="s">
        <v>9002</v>
      </c>
      <c r="D17642">
        <v>0</v>
      </c>
      <c r="E17642">
        <v>0</v>
      </c>
      <c r="F17642">
        <v>214</v>
      </c>
    </row>
    <row r="17643" spans="1:6" ht="12.75">
      <c r="A17643" s="2">
        <v>43877.288206018522</v>
      </c>
      <c r="B17643" t="str">
        <f>HYPERLINK("https://twitter.com/msaid_didu","@msaid_didu")</f>
        <v>@msaid_didu</v>
      </c>
      <c r="C17643" t="s">
        <v>9003</v>
      </c>
      <c r="D17643">
        <v>6</v>
      </c>
      <c r="E17643">
        <v>31</v>
      </c>
      <c r="F17643">
        <v>229352</v>
      </c>
    </row>
    <row r="17644" spans="1:6" ht="12.75">
      <c r="A17644" s="2">
        <v>43877.28805555556</v>
      </c>
      <c r="B17644" t="str">
        <f>HYPERLINK("https://twitter.com/tetsu0724d","@tetsu0724d")</f>
        <v>@tetsu0724d</v>
      </c>
      <c r="C17644" t="s">
        <v>9004</v>
      </c>
      <c r="D17644">
        <v>15</v>
      </c>
      <c r="E17644">
        <v>0</v>
      </c>
      <c r="F17644">
        <v>0</v>
      </c>
    </row>
    <row r="17645" spans="1:6" ht="12.75">
      <c r="A17645" s="2">
        <v>43877.288020833337</v>
      </c>
      <c r="B17645" t="str">
        <f>HYPERLINK("https://twitter.com/Gunanto87031659","@Gunanto87031659")</f>
        <v>@Gunanto87031659</v>
      </c>
      <c r="C17645" t="s">
        <v>6825</v>
      </c>
      <c r="D17645">
        <v>21</v>
      </c>
      <c r="E17645">
        <v>0</v>
      </c>
      <c r="F17645">
        <v>348</v>
      </c>
    </row>
    <row r="17646" spans="1:6" ht="12.75">
      <c r="A17646" s="2">
        <v>43877.287777777776</v>
      </c>
      <c r="B17646" t="str">
        <f>HYPERLINK("https://twitter.com/leedoangowk","@leedoangowk")</f>
        <v>@leedoangowk</v>
      </c>
      <c r="C17646" t="s">
        <v>6338</v>
      </c>
      <c r="D17646">
        <v>352</v>
      </c>
      <c r="E17646">
        <v>0</v>
      </c>
      <c r="F17646">
        <v>144</v>
      </c>
    </row>
    <row r="17647" spans="1:6" ht="12.75">
      <c r="A17647" s="2">
        <v>43877.287453703699</v>
      </c>
      <c r="B17647" t="str">
        <f>HYPERLINK("https://twitter.com/vinthegreat25","@vinthegreat25")</f>
        <v>@vinthegreat25</v>
      </c>
      <c r="C17647" t="s">
        <v>9005</v>
      </c>
      <c r="D17647">
        <v>0</v>
      </c>
      <c r="E17647">
        <v>0</v>
      </c>
      <c r="F17647">
        <v>226</v>
      </c>
    </row>
    <row r="17648" spans="1:6" ht="12.75">
      <c r="A17648" s="2">
        <v>43877.287395833337</v>
      </c>
      <c r="B17648" t="str">
        <f>HYPERLINK("https://twitter.com/apr_doang","@apr_doang")</f>
        <v>@apr_doang</v>
      </c>
      <c r="C17648" t="s">
        <v>9006</v>
      </c>
      <c r="D17648">
        <v>0</v>
      </c>
      <c r="E17648">
        <v>0</v>
      </c>
      <c r="F17648">
        <v>310</v>
      </c>
    </row>
    <row r="17649" spans="1:6" ht="12.75">
      <c r="A17649" s="2">
        <v>43877.286608796298</v>
      </c>
      <c r="B17649" t="str">
        <f>HYPERLINK("https://twitter.com/Erna2303","@Erna2303")</f>
        <v>@Erna2303</v>
      </c>
      <c r="C17649" t="s">
        <v>9007</v>
      </c>
      <c r="D17649">
        <v>1</v>
      </c>
      <c r="E17649">
        <v>0</v>
      </c>
      <c r="F17649">
        <v>255</v>
      </c>
    </row>
    <row r="17650" spans="1:6" ht="12.75">
      <c r="A17650" s="2">
        <v>43877.286192129628</v>
      </c>
      <c r="B17650" t="str">
        <f>HYPERLINK("https://twitter.com/ChefRsyah","@ChefRsyah")</f>
        <v>@ChefRsyah</v>
      </c>
      <c r="C17650" t="s">
        <v>9008</v>
      </c>
      <c r="D17650">
        <v>0</v>
      </c>
      <c r="E17650">
        <v>0</v>
      </c>
      <c r="F17650">
        <v>1</v>
      </c>
    </row>
    <row r="17651" spans="1:6" ht="12.75">
      <c r="A17651" s="2">
        <v>43877.285983796297</v>
      </c>
      <c r="B17651" t="str">
        <f>HYPERLINK("https://twitter.com/LindaOktaviona","@LindaOktaviona")</f>
        <v>@LindaOktaviona</v>
      </c>
      <c r="C17651" t="s">
        <v>8996</v>
      </c>
      <c r="D17651">
        <v>0</v>
      </c>
      <c r="E17651">
        <v>0</v>
      </c>
      <c r="F17651">
        <v>985</v>
      </c>
    </row>
    <row r="17652" spans="1:6" ht="12.75">
      <c r="A17652" s="2">
        <v>43877.285925925928</v>
      </c>
      <c r="B17652" t="str">
        <f>HYPERLINK("https://twitter.com/Boemi_Pertiwi12","@Boemi_Pertiwi12")</f>
        <v>@Boemi_Pertiwi12</v>
      </c>
      <c r="C17652" t="s">
        <v>9009</v>
      </c>
      <c r="D17652">
        <v>0</v>
      </c>
      <c r="E17652">
        <v>2</v>
      </c>
      <c r="F17652">
        <v>18744</v>
      </c>
    </row>
    <row r="17653" spans="1:6" ht="12.75">
      <c r="A17653" s="2">
        <v>43877.285844907412</v>
      </c>
      <c r="B17653" t="str">
        <f>HYPERLINK("https://twitter.com/akoesophoo","@akoesophoo")</f>
        <v>@akoesophoo</v>
      </c>
      <c r="C17653" t="s">
        <v>6338</v>
      </c>
      <c r="D17653">
        <v>352</v>
      </c>
      <c r="E17653">
        <v>0</v>
      </c>
      <c r="F17653">
        <v>43</v>
      </c>
    </row>
    <row r="17654" spans="1:6" ht="12.75">
      <c r="A17654" s="2">
        <v>43877.285787037035</v>
      </c>
      <c r="B17654" t="str">
        <f>HYPERLINK("https://twitter.com/republikaonline","@republikaonline")</f>
        <v>@republikaonline</v>
      </c>
      <c r="C17654" t="s">
        <v>9010</v>
      </c>
      <c r="D17654">
        <v>1</v>
      </c>
      <c r="E17654">
        <v>7</v>
      </c>
      <c r="F17654">
        <v>1210594</v>
      </c>
    </row>
    <row r="17655" spans="1:6" ht="12.75">
      <c r="A17655" s="2">
        <v>43877.285682870366</v>
      </c>
      <c r="B17655" t="str">
        <f>HYPERLINK("https://twitter.com/chepie_sugali","@chepie_sugali")</f>
        <v>@chepie_sugali</v>
      </c>
      <c r="C17655" t="s">
        <v>175</v>
      </c>
      <c r="D17655">
        <v>5357</v>
      </c>
      <c r="E17655">
        <v>0</v>
      </c>
      <c r="F17655">
        <v>460</v>
      </c>
    </row>
    <row r="17656" spans="1:6" ht="12.75">
      <c r="A17656" s="2">
        <v>43877.285613425927</v>
      </c>
      <c r="B17656" t="str">
        <f>HYPERLINK("https://twitter.com/QianaAnuradha","@QianaAnuradha")</f>
        <v>@QianaAnuradha</v>
      </c>
      <c r="C17656" t="s">
        <v>8996</v>
      </c>
      <c r="D17656">
        <v>0</v>
      </c>
      <c r="E17656">
        <v>0</v>
      </c>
      <c r="F17656">
        <v>900</v>
      </c>
    </row>
    <row r="17657" spans="1:6" ht="12.75">
      <c r="A17657" s="2">
        <v>43877.285532407404</v>
      </c>
      <c r="B17657" t="str">
        <f>HYPERLINK("https://twitter.com/ipang_berkat","@ipang_berkat")</f>
        <v>@ipang_berkat</v>
      </c>
      <c r="C17657" t="s">
        <v>9011</v>
      </c>
      <c r="D17657">
        <v>0</v>
      </c>
      <c r="E17657">
        <v>1</v>
      </c>
      <c r="F17657">
        <v>394</v>
      </c>
    </row>
    <row r="17658" spans="1:6" ht="12.75">
      <c r="A17658" s="2">
        <v>43877.285509259258</v>
      </c>
      <c r="B17658" t="str">
        <f>HYPERLINK("https://twitter.com/nicohenryp","@nicohenryp")</f>
        <v>@nicohenryp</v>
      </c>
      <c r="C17658" t="s">
        <v>9012</v>
      </c>
      <c r="D17658">
        <v>0</v>
      </c>
      <c r="E17658">
        <v>0</v>
      </c>
      <c r="F17658">
        <v>643</v>
      </c>
    </row>
    <row r="17659" spans="1:6" ht="12.75">
      <c r="A17659" s="2">
        <v>43877.285324074073</v>
      </c>
      <c r="B17659" t="str">
        <f>HYPERLINK("https://twitter.com/KurniasihSafira","@KurniasihSafira")</f>
        <v>@KurniasihSafira</v>
      </c>
      <c r="C17659" t="s">
        <v>9013</v>
      </c>
      <c r="D17659">
        <v>0</v>
      </c>
      <c r="E17659">
        <v>0</v>
      </c>
      <c r="F17659">
        <v>1623</v>
      </c>
    </row>
    <row r="17660" spans="1:6" ht="12.75">
      <c r="A17660" s="2">
        <v>43877.285277777773</v>
      </c>
      <c r="B17660" t="str">
        <f>HYPERLINK("https://twitter.com/Nandaaa_AV","@Nandaaa_AV")</f>
        <v>@Nandaaa_AV</v>
      </c>
      <c r="C17660" t="s">
        <v>9014</v>
      </c>
      <c r="D17660">
        <v>9</v>
      </c>
      <c r="E17660">
        <v>0</v>
      </c>
      <c r="F17660">
        <v>936</v>
      </c>
    </row>
    <row r="17661" spans="1:6" ht="12.75">
      <c r="A17661" s="2">
        <v>43877.285092592589</v>
      </c>
      <c r="B17661" t="str">
        <f>HYPERLINK("https://twitter.com/jullietap_","@jullietap_")</f>
        <v>@jullietap_</v>
      </c>
      <c r="C17661" t="s">
        <v>2147</v>
      </c>
      <c r="D17661">
        <v>490</v>
      </c>
      <c r="E17661">
        <v>0</v>
      </c>
      <c r="F17661">
        <v>94</v>
      </c>
    </row>
    <row r="17662" spans="1:6" ht="12.75">
      <c r="A17662" s="2">
        <v>43877.285057870366</v>
      </c>
      <c r="B17662" t="str">
        <f>HYPERLINK("https://twitter.com/LarisaGrania","@LarisaGrania")</f>
        <v>@LarisaGrania</v>
      </c>
      <c r="C17662" t="s">
        <v>8996</v>
      </c>
      <c r="D17662">
        <v>0</v>
      </c>
      <c r="E17662">
        <v>0</v>
      </c>
      <c r="F17662">
        <v>1461</v>
      </c>
    </row>
    <row r="17663" spans="1:6" ht="12.75">
      <c r="A17663" s="2">
        <v>43877.284872685181</v>
      </c>
      <c r="B17663" t="str">
        <f>HYPERLINK("https://twitter.com/ISIS_Balik_NO","@ISIS_Balik_NO")</f>
        <v>@ISIS_Balik_NO</v>
      </c>
      <c r="C17663" t="s">
        <v>9015</v>
      </c>
      <c r="D17663">
        <v>54</v>
      </c>
      <c r="E17663">
        <v>0</v>
      </c>
      <c r="F17663">
        <v>5938</v>
      </c>
    </row>
    <row r="17664" spans="1:6" ht="12.75">
      <c r="A17664" s="2">
        <v>43877.284641203703</v>
      </c>
      <c r="B17664" t="str">
        <f>HYPERLINK("https://twitter.com/meow_leader","@meow_leader")</f>
        <v>@meow_leader</v>
      </c>
      <c r="C17664" t="s">
        <v>9016</v>
      </c>
      <c r="D17664">
        <v>0</v>
      </c>
      <c r="E17664">
        <v>0</v>
      </c>
      <c r="F17664">
        <v>3689</v>
      </c>
    </row>
    <row r="17665" spans="1:6" ht="12.75">
      <c r="A17665" s="2">
        <v>43877.284618055557</v>
      </c>
      <c r="B17665" t="str">
        <f>HYPERLINK("https://twitter.com/ZhenMee","@ZhenMee")</f>
        <v>@ZhenMee</v>
      </c>
      <c r="C17665" t="s">
        <v>8996</v>
      </c>
      <c r="D17665">
        <v>0</v>
      </c>
      <c r="E17665">
        <v>0</v>
      </c>
      <c r="F17665">
        <v>1329</v>
      </c>
    </row>
    <row r="17666" spans="1:6" ht="12.75">
      <c r="A17666" s="2">
        <v>43877.284444444449</v>
      </c>
      <c r="B17666" t="str">
        <f>HYPERLINK("https://twitter.com/indr4hermawan","@indr4hermawan")</f>
        <v>@indr4hermawan</v>
      </c>
      <c r="C17666" t="s">
        <v>8203</v>
      </c>
      <c r="D17666">
        <v>141</v>
      </c>
      <c r="E17666">
        <v>0</v>
      </c>
      <c r="F17666">
        <v>210</v>
      </c>
    </row>
    <row r="17667" spans="1:6" ht="12.75">
      <c r="A17667" s="2">
        <v>43877.284444444449</v>
      </c>
      <c r="B17667" t="str">
        <f>HYPERLINK("https://twitter.com/idpenamini","@idpenamini")</f>
        <v>@idpenamini</v>
      </c>
      <c r="C17667" t="s">
        <v>9017</v>
      </c>
      <c r="D17667">
        <v>0</v>
      </c>
      <c r="E17667">
        <v>0</v>
      </c>
      <c r="F17667">
        <v>168</v>
      </c>
    </row>
    <row r="17668" spans="1:6" ht="12.75">
      <c r="A17668" s="2">
        <v>43877.284328703703</v>
      </c>
      <c r="B17668" t="str">
        <f>HYPERLINK("https://twitter.com/jo_wiyono","@jo_wiyono")</f>
        <v>@jo_wiyono</v>
      </c>
      <c r="C17668" t="s">
        <v>2147</v>
      </c>
      <c r="D17668">
        <v>490</v>
      </c>
      <c r="E17668">
        <v>0</v>
      </c>
      <c r="F17668">
        <v>13</v>
      </c>
    </row>
    <row r="17669" spans="1:6" ht="12.75">
      <c r="A17669" s="2">
        <v>43877.284097222218</v>
      </c>
      <c r="B17669" t="str">
        <f>HYPERLINK("https://twitter.com/RichardSalmany","@RichardSalmany")</f>
        <v>@RichardSalmany</v>
      </c>
      <c r="C17669" t="s">
        <v>8996</v>
      </c>
      <c r="D17669">
        <v>0</v>
      </c>
      <c r="E17669">
        <v>0</v>
      </c>
      <c r="F17669">
        <v>1041</v>
      </c>
    </row>
    <row r="17670" spans="1:6" ht="12.75">
      <c r="A17670" s="2">
        <v>43877.284085648149</v>
      </c>
      <c r="B17670" t="str">
        <f>HYPERLINK("https://twitter.com/Piala96676876","@Piala96676876")</f>
        <v>@Piala96676876</v>
      </c>
      <c r="C17670" t="s">
        <v>9018</v>
      </c>
      <c r="D17670">
        <v>0</v>
      </c>
      <c r="E17670">
        <v>0</v>
      </c>
      <c r="F17670">
        <v>1156</v>
      </c>
    </row>
    <row r="17671" spans="1:6" ht="12.75">
      <c r="A17671" s="2">
        <v>43877.283946759257</v>
      </c>
      <c r="B17671" t="str">
        <f>HYPERLINK("https://twitter.com/edhi_shi","@edhi_shi")</f>
        <v>@edhi_shi</v>
      </c>
      <c r="C17671" t="s">
        <v>9019</v>
      </c>
      <c r="D17671">
        <v>0</v>
      </c>
      <c r="E17671">
        <v>1</v>
      </c>
      <c r="F17671">
        <v>666</v>
      </c>
    </row>
    <row r="17672" spans="1:6" ht="12.75">
      <c r="A17672" s="2">
        <v>43877.283946759257</v>
      </c>
      <c r="B17672" t="str">
        <f>HYPERLINK("https://twitter.com/johnbralink","@johnbralink")</f>
        <v>@johnbralink</v>
      </c>
      <c r="C17672" t="s">
        <v>8203</v>
      </c>
      <c r="D17672">
        <v>141</v>
      </c>
      <c r="E17672">
        <v>0</v>
      </c>
      <c r="F17672">
        <v>254</v>
      </c>
    </row>
    <row r="17673" spans="1:6" ht="12.75">
      <c r="A17673" s="2">
        <v>43877.283657407403</v>
      </c>
      <c r="B17673" t="str">
        <f>HYPERLINK("https://twitter.com/sundarikece","@sundarikece")</f>
        <v>@sundarikece</v>
      </c>
      <c r="C17673" t="s">
        <v>8996</v>
      </c>
      <c r="D17673">
        <v>0</v>
      </c>
      <c r="E17673">
        <v>0</v>
      </c>
      <c r="F17673">
        <v>1365</v>
      </c>
    </row>
    <row r="17674" spans="1:6" ht="12.75">
      <c r="A17674" s="2">
        <v>43877.283437499995</v>
      </c>
      <c r="B17674" t="str">
        <f>HYPERLINK("https://twitter.com/dingpadiding","@dingpadiding")</f>
        <v>@dingpadiding</v>
      </c>
      <c r="C17674" t="s">
        <v>7905</v>
      </c>
      <c r="D17674">
        <v>44</v>
      </c>
      <c r="E17674">
        <v>0</v>
      </c>
      <c r="F17674">
        <v>250</v>
      </c>
    </row>
    <row r="17675" spans="1:6" ht="12.75">
      <c r="A17675" s="2">
        <v>43877.283194444448</v>
      </c>
      <c r="B17675" t="str">
        <f>HYPERLINK("https://twitter.com/beatrice_health","@beatrice_health")</f>
        <v>@beatrice_health</v>
      </c>
      <c r="C17675" t="s">
        <v>9020</v>
      </c>
      <c r="D17675">
        <v>1</v>
      </c>
      <c r="E17675">
        <v>0</v>
      </c>
      <c r="F17675">
        <v>112</v>
      </c>
    </row>
    <row r="17676" spans="1:6" ht="12.75">
      <c r="A17676" s="2">
        <v>43877.283171296294</v>
      </c>
      <c r="B17676" t="str">
        <f>HYPERLINK("https://twitter.com/AnnisaXiaoFeng","@AnnisaXiaoFeng")</f>
        <v>@AnnisaXiaoFeng</v>
      </c>
      <c r="C17676" t="s">
        <v>8996</v>
      </c>
      <c r="D17676">
        <v>1</v>
      </c>
      <c r="E17676">
        <v>0</v>
      </c>
      <c r="F17676">
        <v>654</v>
      </c>
    </row>
    <row r="17677" spans="1:6" ht="12.75">
      <c r="A17677" s="2">
        <v>43877.283113425925</v>
      </c>
      <c r="B17677" t="str">
        <f>HYPERLINK("https://twitter.com/starrydezzx","@starrydezzx")</f>
        <v>@starrydezzx</v>
      </c>
      <c r="C17677" t="s">
        <v>9021</v>
      </c>
      <c r="D17677">
        <v>216</v>
      </c>
      <c r="E17677">
        <v>0</v>
      </c>
      <c r="F17677">
        <v>1492</v>
      </c>
    </row>
    <row r="17678" spans="1:6" ht="12.75">
      <c r="A17678" s="2">
        <v>43877.282789351855</v>
      </c>
      <c r="B17678" t="str">
        <f>HYPERLINK("https://twitter.com/ossafarahnz","@ossafarahnz")</f>
        <v>@ossafarahnz</v>
      </c>
      <c r="C17678" t="s">
        <v>2147</v>
      </c>
      <c r="D17678">
        <v>490</v>
      </c>
      <c r="E17678">
        <v>0</v>
      </c>
      <c r="F17678">
        <v>129</v>
      </c>
    </row>
    <row r="17679" spans="1:6" ht="12.75">
      <c r="A17679" s="2">
        <v>43877.282754629632</v>
      </c>
      <c r="B17679" t="str">
        <f>HYPERLINK("https://twitter.com/Wizqi1","@Wizqi1")</f>
        <v>@Wizqi1</v>
      </c>
      <c r="C17679" t="s">
        <v>9022</v>
      </c>
      <c r="D17679">
        <v>3</v>
      </c>
      <c r="E17679">
        <v>0</v>
      </c>
      <c r="F17679">
        <v>138</v>
      </c>
    </row>
    <row r="17680" spans="1:6" ht="12.75">
      <c r="A17680" s="2">
        <v>43877.282743055555</v>
      </c>
      <c r="B17680" t="str">
        <f>HYPERLINK("https://twitter.com/dwiharyanto26","@dwiharyanto26")</f>
        <v>@dwiharyanto26</v>
      </c>
      <c r="C17680" t="s">
        <v>2084</v>
      </c>
      <c r="D17680">
        <v>0</v>
      </c>
      <c r="E17680">
        <v>0</v>
      </c>
      <c r="F17680">
        <v>13</v>
      </c>
    </row>
    <row r="17681" spans="1:6" ht="12.75">
      <c r="A17681" s="2">
        <v>43877.282662037032</v>
      </c>
      <c r="B17681" t="str">
        <f>HYPERLINK("https://twitter.com/SashaVeronica3","@SashaVeronica3")</f>
        <v>@SashaVeronica3</v>
      </c>
      <c r="C17681" t="s">
        <v>8996</v>
      </c>
      <c r="D17681">
        <v>0</v>
      </c>
      <c r="E17681">
        <v>0</v>
      </c>
      <c r="F17681">
        <v>884</v>
      </c>
    </row>
    <row r="17682" spans="1:6" ht="12.75">
      <c r="A17682" s="2">
        <v>43877.282453703709</v>
      </c>
      <c r="B17682" t="str">
        <f>HYPERLINK("https://twitter.com/Fajar_Nurcah","@Fajar_Nurcah")</f>
        <v>@Fajar_Nurcah</v>
      </c>
      <c r="C17682" t="s">
        <v>6338</v>
      </c>
      <c r="D17682">
        <v>352</v>
      </c>
      <c r="E17682">
        <v>0</v>
      </c>
      <c r="F17682">
        <v>61</v>
      </c>
    </row>
    <row r="17683" spans="1:6" ht="12.75">
      <c r="A17683" s="2">
        <v>43877.282210648147</v>
      </c>
      <c r="B17683" t="str">
        <f>HYPERLINK("https://twitter.com/PatriciaFlorens","@PatriciaFlorens")</f>
        <v>@PatriciaFlorens</v>
      </c>
      <c r="C17683" t="s">
        <v>8996</v>
      </c>
      <c r="D17683">
        <v>0</v>
      </c>
      <c r="E17683">
        <v>0</v>
      </c>
      <c r="F17683">
        <v>2005</v>
      </c>
    </row>
    <row r="17684" spans="1:6" ht="12.75">
      <c r="A17684" s="2">
        <v>43877.282025462962</v>
      </c>
      <c r="B17684" t="str">
        <f>HYPERLINK("https://twitter.com/Celdaaakiyowo_","@Celdaaakiyowo_")</f>
        <v>@Celdaaakiyowo_</v>
      </c>
      <c r="C17684" t="s">
        <v>7905</v>
      </c>
      <c r="D17684">
        <v>44</v>
      </c>
      <c r="E17684">
        <v>0</v>
      </c>
      <c r="F17684">
        <v>3848</v>
      </c>
    </row>
    <row r="17685" spans="1:6" ht="12.75">
      <c r="A17685" s="2">
        <v>43877.281990740739</v>
      </c>
      <c r="B17685" t="str">
        <f>HYPERLINK("https://twitter.com/hadi_1976","@hadi_1976")</f>
        <v>@hadi_1976</v>
      </c>
      <c r="C17685" t="s">
        <v>6338</v>
      </c>
      <c r="D17685">
        <v>352</v>
      </c>
      <c r="E17685">
        <v>0</v>
      </c>
      <c r="F17685">
        <v>157</v>
      </c>
    </row>
    <row r="17686" spans="1:6" ht="12.75">
      <c r="A17686" s="2">
        <v>43877.28197916667</v>
      </c>
      <c r="B17686" t="str">
        <f>HYPERLINK("https://twitter.com/nicohenryp","@nicohenryp")</f>
        <v>@nicohenryp</v>
      </c>
      <c r="C17686" t="s">
        <v>9023</v>
      </c>
      <c r="D17686">
        <v>0</v>
      </c>
      <c r="E17686">
        <v>0</v>
      </c>
      <c r="F17686">
        <v>643</v>
      </c>
    </row>
    <row r="17687" spans="1:6" ht="12.75">
      <c r="A17687" s="2">
        <v>43877.281793981485</v>
      </c>
      <c r="B17687" t="str">
        <f>HYPERLINK("https://twitter.com/04_adisetiawan","@04_adisetiawan")</f>
        <v>@04_adisetiawan</v>
      </c>
      <c r="C17687" t="s">
        <v>9024</v>
      </c>
      <c r="D17687">
        <v>0</v>
      </c>
      <c r="E17687">
        <v>0</v>
      </c>
      <c r="F17687">
        <v>153</v>
      </c>
    </row>
    <row r="17688" spans="1:6" ht="12.75">
      <c r="A17688" s="2">
        <v>43877.281759259262</v>
      </c>
      <c r="B17688" t="str">
        <f>HYPERLINK("https://twitter.com/DetikNewsDotID","@DetikNewsDotID")</f>
        <v>@DetikNewsDotID</v>
      </c>
      <c r="C17688" t="s">
        <v>9025</v>
      </c>
      <c r="D17688">
        <v>0</v>
      </c>
      <c r="E17688">
        <v>0</v>
      </c>
      <c r="F17688">
        <v>77</v>
      </c>
    </row>
    <row r="17689" spans="1:6" ht="12.75">
      <c r="A17689" s="2">
        <v>43877.281643518523</v>
      </c>
      <c r="B17689" t="str">
        <f>HYPERLINK("https://twitter.com/AryaKRIDA","@AryaKRIDA")</f>
        <v>@AryaKRIDA</v>
      </c>
      <c r="C17689" t="s">
        <v>9026</v>
      </c>
      <c r="D17689">
        <v>0</v>
      </c>
      <c r="E17689">
        <v>0</v>
      </c>
      <c r="F17689">
        <v>9951</v>
      </c>
    </row>
    <row r="17690" spans="1:6" ht="12.75">
      <c r="A17690" s="2">
        <v>43877.281400462962</v>
      </c>
      <c r="B17690" t="str">
        <f>HYPERLINK("https://twitter.com/zhuanzezao","@zhuanzezao")</f>
        <v>@zhuanzezao</v>
      </c>
      <c r="C17690" t="s">
        <v>6338</v>
      </c>
      <c r="D17690">
        <v>352</v>
      </c>
      <c r="E17690">
        <v>0</v>
      </c>
      <c r="F17690">
        <v>531</v>
      </c>
    </row>
    <row r="17691" spans="1:6" ht="12.75">
      <c r="A17691" s="2">
        <v>43877.280925925923</v>
      </c>
      <c r="B17691" t="str">
        <f>HYPERLINK("https://twitter.com/Harian_Jogja","@Harian_Jogja")</f>
        <v>@Harian_Jogja</v>
      </c>
      <c r="C17691" t="s">
        <v>9027</v>
      </c>
      <c r="D17691">
        <v>0</v>
      </c>
      <c r="E17691">
        <v>0</v>
      </c>
      <c r="F17691">
        <v>153317</v>
      </c>
    </row>
    <row r="17692" spans="1:6" ht="12.75">
      <c r="A17692" s="2">
        <v>43877.2808912037</v>
      </c>
      <c r="B17692" t="str">
        <f>HYPERLINK("https://twitter.com/KurniasihSafira","@KurniasihSafira")</f>
        <v>@KurniasihSafira</v>
      </c>
      <c r="C17692" t="s">
        <v>9028</v>
      </c>
      <c r="D17692">
        <v>0</v>
      </c>
      <c r="E17692">
        <v>0</v>
      </c>
      <c r="F17692">
        <v>1623</v>
      </c>
    </row>
    <row r="17693" spans="1:6" ht="12.75">
      <c r="A17693" s="2">
        <v>43877.280810185184</v>
      </c>
      <c r="B17693" t="str">
        <f>HYPERLINK("https://twitter.com/AniesSubianto","@AniesSubianto")</f>
        <v>@AniesSubianto</v>
      </c>
      <c r="C17693" t="s">
        <v>2147</v>
      </c>
      <c r="D17693">
        <v>490</v>
      </c>
      <c r="E17693">
        <v>0</v>
      </c>
      <c r="F17693">
        <v>211</v>
      </c>
    </row>
    <row r="17694" spans="1:6" ht="12.75">
      <c r="A17694" s="2">
        <v>43877.280694444446</v>
      </c>
      <c r="B17694" t="str">
        <f>HYPERLINK("https://twitter.com/JasmineClaudya1","@JasmineClaudya1")</f>
        <v>@JasmineClaudya1</v>
      </c>
      <c r="C17694" t="s">
        <v>8996</v>
      </c>
      <c r="D17694">
        <v>0</v>
      </c>
      <c r="E17694">
        <v>0</v>
      </c>
      <c r="F17694">
        <v>1314</v>
      </c>
    </row>
    <row r="17695" spans="1:6" ht="12.75">
      <c r="A17695" s="2">
        <v>43877.280486111107</v>
      </c>
      <c r="B17695" t="str">
        <f>HYPERLINK("https://twitter.com/HAPPYBIMA","@HAPPYBIMA")</f>
        <v>@HAPPYBIMA</v>
      </c>
      <c r="C17695" t="s">
        <v>8203</v>
      </c>
      <c r="D17695">
        <v>141</v>
      </c>
      <c r="E17695">
        <v>0</v>
      </c>
      <c r="F17695">
        <v>1169</v>
      </c>
    </row>
    <row r="17696" spans="1:6" ht="12.75">
      <c r="A17696" s="2">
        <v>43877.28024305556</v>
      </c>
      <c r="B17696" t="str">
        <f>HYPERLINK("https://twitter.com/ScreamerClown","@ScreamerClown")</f>
        <v>@ScreamerClown</v>
      </c>
      <c r="C17696" t="s">
        <v>9029</v>
      </c>
      <c r="D17696">
        <v>0</v>
      </c>
      <c r="E17696">
        <v>1</v>
      </c>
      <c r="F17696">
        <v>76</v>
      </c>
    </row>
    <row r="17697" spans="1:6" ht="12.75">
      <c r="A17697" s="2">
        <v>43877.280081018514</v>
      </c>
      <c r="B17697" t="str">
        <f>HYPERLINK("https://twitter.com/GisoTrso","@GisoTrso")</f>
        <v>@GisoTrso</v>
      </c>
      <c r="C17697" t="s">
        <v>9030</v>
      </c>
      <c r="D17697">
        <v>0</v>
      </c>
      <c r="E17697">
        <v>0</v>
      </c>
      <c r="F17697">
        <v>2645</v>
      </c>
    </row>
    <row r="17698" spans="1:6" ht="12.75">
      <c r="A17698" s="2">
        <v>43877.280046296291</v>
      </c>
      <c r="B17698" t="str">
        <f>HYPERLINK("https://twitter.com/JokoFighter01","@JokoFighter01")</f>
        <v>@JokoFighter01</v>
      </c>
      <c r="C17698" t="s">
        <v>8203</v>
      </c>
      <c r="D17698">
        <v>141</v>
      </c>
      <c r="E17698">
        <v>0</v>
      </c>
      <c r="F17698">
        <v>533</v>
      </c>
    </row>
    <row r="17699" spans="1:6" ht="12.75">
      <c r="A17699" s="2">
        <v>43877.279965277776</v>
      </c>
      <c r="B17699" t="str">
        <f>HYPERLINK("https://twitter.com/ketawatakutdos_","@ketawatakutdos_")</f>
        <v>@ketawatakutdos_</v>
      </c>
      <c r="C17699" t="s">
        <v>9031</v>
      </c>
      <c r="D17699">
        <v>1</v>
      </c>
      <c r="E17699">
        <v>0</v>
      </c>
      <c r="F17699">
        <v>31615</v>
      </c>
    </row>
    <row r="17700" spans="1:6" ht="12.75">
      <c r="A17700" s="2">
        <v>43877.27989583333</v>
      </c>
      <c r="B17700" t="str">
        <f>HYPERLINK("https://twitter.com/makLambeTurah","@makLambeTurah")</f>
        <v>@makLambeTurah</v>
      </c>
      <c r="C17700" t="s">
        <v>9032</v>
      </c>
      <c r="D17700">
        <v>0</v>
      </c>
      <c r="E17700">
        <v>3</v>
      </c>
      <c r="F17700">
        <v>134276</v>
      </c>
    </row>
    <row r="17701" spans="1:6" ht="12.75">
      <c r="A17701" s="2">
        <v>43877.279780092591</v>
      </c>
      <c r="B17701" t="str">
        <f>HYPERLINK("https://twitter.com/adventrimarias","@adventrimarias")</f>
        <v>@adventrimarias</v>
      </c>
      <c r="C17701" t="s">
        <v>9033</v>
      </c>
      <c r="D17701">
        <v>0</v>
      </c>
      <c r="E17701">
        <v>0</v>
      </c>
      <c r="F17701">
        <v>261</v>
      </c>
    </row>
    <row r="17702" spans="1:6" ht="12.75">
      <c r="A17702" s="2">
        <v>43877.279675925922</v>
      </c>
      <c r="B17702" t="str">
        <f>HYPERLINK("https://twitter.com/EmorBroery","@EmorBroery")</f>
        <v>@EmorBroery</v>
      </c>
      <c r="C17702" t="s">
        <v>9034</v>
      </c>
      <c r="D17702">
        <v>0</v>
      </c>
      <c r="E17702">
        <v>0</v>
      </c>
      <c r="F17702">
        <v>63</v>
      </c>
    </row>
    <row r="17703" spans="1:6" ht="12.75">
      <c r="A17703" s="2">
        <v>43877.279502314814</v>
      </c>
      <c r="B17703" t="str">
        <f>HYPERLINK("https://twitter.com/555masteng","@555masteng")</f>
        <v>@555masteng</v>
      </c>
      <c r="C17703" t="s">
        <v>6338</v>
      </c>
      <c r="D17703">
        <v>352</v>
      </c>
      <c r="E17703">
        <v>0</v>
      </c>
      <c r="F17703">
        <v>5214</v>
      </c>
    </row>
    <row r="17704" spans="1:6" ht="12.75">
      <c r="A17704" s="2">
        <v>43877.279421296298</v>
      </c>
      <c r="B17704" t="str">
        <f>HYPERLINK("https://twitter.com/riceainaa","@riceainaa")</f>
        <v>@riceainaa</v>
      </c>
      <c r="C17704" t="s">
        <v>2444</v>
      </c>
      <c r="D17704">
        <v>4489</v>
      </c>
      <c r="E17704">
        <v>0</v>
      </c>
      <c r="F17704">
        <v>16</v>
      </c>
    </row>
    <row r="17705" spans="1:6" ht="12.75">
      <c r="A17705" s="2">
        <v>43877.278495370367</v>
      </c>
      <c r="B17705" t="str">
        <f>HYPERLINK("https://twitter.com/ZainulA42038361","@ZainulA42038361")</f>
        <v>@ZainulA42038361</v>
      </c>
      <c r="C17705" t="s">
        <v>7980</v>
      </c>
      <c r="D17705">
        <v>37</v>
      </c>
      <c r="E17705">
        <v>0</v>
      </c>
      <c r="F17705">
        <v>282</v>
      </c>
    </row>
    <row r="17706" spans="1:6" ht="12.75">
      <c r="A17706" s="2">
        <v>43877.278333333335</v>
      </c>
      <c r="B17706" t="str">
        <f>HYPERLINK("https://twitter.com/ISIS_Balik_NO","@ISIS_Balik_NO")</f>
        <v>@ISIS_Balik_NO</v>
      </c>
      <c r="C17706" t="s">
        <v>9035</v>
      </c>
      <c r="D17706">
        <v>1</v>
      </c>
      <c r="E17706">
        <v>1</v>
      </c>
      <c r="F17706">
        <v>5938</v>
      </c>
    </row>
    <row r="17707" spans="1:6" ht="12.75">
      <c r="A17707" s="2">
        <v>43877.278287037036</v>
      </c>
      <c r="B17707" t="str">
        <f>HYPERLINK("https://twitter.com/Andika_pmp","@Andika_pmp")</f>
        <v>@Andika_pmp</v>
      </c>
      <c r="C17707" t="s">
        <v>8977</v>
      </c>
      <c r="D17707">
        <v>47</v>
      </c>
      <c r="E17707">
        <v>0</v>
      </c>
      <c r="F17707">
        <v>113</v>
      </c>
    </row>
    <row r="17708" spans="1:6" ht="12.75">
      <c r="A17708" s="2">
        <v>43877.278043981481</v>
      </c>
      <c r="B17708" t="str">
        <f>HYPERLINK("https://twitter.com/aguscosmo","@aguscosmo")</f>
        <v>@aguscosmo</v>
      </c>
      <c r="C17708" t="s">
        <v>9036</v>
      </c>
      <c r="D17708">
        <v>1</v>
      </c>
      <c r="E17708">
        <v>0</v>
      </c>
      <c r="F17708">
        <v>313</v>
      </c>
    </row>
    <row r="17709" spans="1:6" ht="12.75">
      <c r="A17709" s="2">
        <v>43877.277939814812</v>
      </c>
      <c r="B17709" t="str">
        <f>HYPERLINK("https://twitter.com/Nouna_jessica94","@Nouna_jessica94")</f>
        <v>@Nouna_jessica94</v>
      </c>
      <c r="C17709" t="s">
        <v>9037</v>
      </c>
      <c r="D17709">
        <v>0</v>
      </c>
      <c r="E17709">
        <v>1</v>
      </c>
      <c r="F17709">
        <v>13105</v>
      </c>
    </row>
    <row r="17710" spans="1:6" ht="12.75">
      <c r="A17710" s="2">
        <v>43877.277824074074</v>
      </c>
      <c r="B17710" t="str">
        <f>HYPERLINK("https://twitter.com/GhinaaMrt","@GhinaaMrt")</f>
        <v>@GhinaaMrt</v>
      </c>
      <c r="C17710" t="s">
        <v>175</v>
      </c>
      <c r="D17710">
        <v>5357</v>
      </c>
      <c r="E17710">
        <v>0</v>
      </c>
      <c r="F17710">
        <v>503</v>
      </c>
    </row>
    <row r="17711" spans="1:6" ht="12.75">
      <c r="A17711" s="2">
        <v>43877.277442129634</v>
      </c>
      <c r="B17711" t="str">
        <f>HYPERLINK("https://twitter.com/mayeseymoo","@mayeseymoo")</f>
        <v>@mayeseymoo</v>
      </c>
      <c r="C17711" t="s">
        <v>3150</v>
      </c>
      <c r="D17711">
        <v>247</v>
      </c>
      <c r="E17711">
        <v>0</v>
      </c>
      <c r="F17711">
        <v>445</v>
      </c>
    </row>
    <row r="17712" spans="1:6" ht="12.75">
      <c r="A17712" s="2">
        <v>43877.277349537035</v>
      </c>
      <c r="B17712" t="str">
        <f>HYPERLINK("https://twitter.com/ForianaToto","@ForianaToto")</f>
        <v>@ForianaToto</v>
      </c>
      <c r="C17712" t="s">
        <v>7980</v>
      </c>
      <c r="D17712">
        <v>37</v>
      </c>
      <c r="E17712">
        <v>0</v>
      </c>
      <c r="F17712">
        <v>527</v>
      </c>
    </row>
    <row r="17713" spans="1:6" ht="12.75">
      <c r="A17713" s="2">
        <v>43877.27725694445</v>
      </c>
      <c r="B17713" t="str">
        <f>HYPERLINK("https://twitter.com/Andika_pmp","@Andika_pmp")</f>
        <v>@Andika_pmp</v>
      </c>
      <c r="C17713" t="s">
        <v>6338</v>
      </c>
      <c r="D17713">
        <v>352</v>
      </c>
      <c r="E17713">
        <v>0</v>
      </c>
      <c r="F17713">
        <v>113</v>
      </c>
    </row>
    <row r="17714" spans="1:6" ht="12.75">
      <c r="A17714" s="2">
        <v>43877.276817129634</v>
      </c>
      <c r="B17714" t="str">
        <f>HYPERLINK("https://twitter.com/jehosuann","@jehosuann")</f>
        <v>@jehosuann</v>
      </c>
      <c r="C17714" t="s">
        <v>6338</v>
      </c>
      <c r="D17714">
        <v>352</v>
      </c>
      <c r="E17714">
        <v>0</v>
      </c>
      <c r="F17714">
        <v>79</v>
      </c>
    </row>
    <row r="17715" spans="1:6" ht="12.75">
      <c r="A17715" s="2">
        <v>43877.276724537034</v>
      </c>
      <c r="B17715" t="str">
        <f>HYPERLINK("https://twitter.com/wahyuuwibowoo","@wahyuuwibowoo")</f>
        <v>@wahyuuwibowoo</v>
      </c>
      <c r="C17715" t="s">
        <v>2147</v>
      </c>
      <c r="D17715">
        <v>490</v>
      </c>
      <c r="E17715">
        <v>0</v>
      </c>
      <c r="F17715">
        <v>270</v>
      </c>
    </row>
    <row r="17716" spans="1:6" ht="12.75">
      <c r="A17716" s="2">
        <v>43877.251516203702</v>
      </c>
      <c r="B17716" t="str">
        <f>HYPERLINK("https://twitter.com/RickyLo03813307","@RickyLo03813307")</f>
        <v>@RickyLo03813307</v>
      </c>
      <c r="C17716" t="s">
        <v>9038</v>
      </c>
      <c r="D17716">
        <v>0</v>
      </c>
      <c r="E17716">
        <v>0</v>
      </c>
      <c r="F17716">
        <v>3</v>
      </c>
    </row>
    <row r="17717" spans="1:6" ht="12.75">
      <c r="A17717" s="2">
        <v>43877.251192129625</v>
      </c>
      <c r="B17717" t="str">
        <f>HYPERLINK("https://twitter.com/mayadi_effendi","@mayadi_effendi")</f>
        <v>@mayadi_effendi</v>
      </c>
      <c r="C17717" t="s">
        <v>7261</v>
      </c>
      <c r="D17717">
        <v>96</v>
      </c>
      <c r="E17717">
        <v>0</v>
      </c>
      <c r="F17717">
        <v>3393</v>
      </c>
    </row>
    <row r="17718" spans="1:6" ht="12.75">
      <c r="A17718" s="2">
        <v>43877.250879629632</v>
      </c>
      <c r="B17718" t="str">
        <f>HYPERLINK("https://twitter.com/Ainurrizqial","@Ainurrizqial")</f>
        <v>@Ainurrizqial</v>
      </c>
      <c r="C17718" t="s">
        <v>2444</v>
      </c>
      <c r="D17718">
        <v>4486</v>
      </c>
      <c r="E17718">
        <v>0</v>
      </c>
      <c r="F17718">
        <v>18</v>
      </c>
    </row>
    <row r="17719" spans="1:6" ht="12.75">
      <c r="A17719" s="2">
        <v>43877.250833333332</v>
      </c>
      <c r="B17719" t="str">
        <f>HYPERLINK("https://twitter.com/andi_pramulanto","@andi_pramulanto")</f>
        <v>@andi_pramulanto</v>
      </c>
      <c r="C17719" t="s">
        <v>7261</v>
      </c>
      <c r="D17719">
        <v>96</v>
      </c>
      <c r="E17719">
        <v>0</v>
      </c>
      <c r="F17719">
        <v>406</v>
      </c>
    </row>
    <row r="17720" spans="1:6" ht="12.75">
      <c r="A17720" s="2">
        <v>43877.250810185185</v>
      </c>
      <c r="B17720" t="str">
        <f>HYPERLINK("https://twitter.com/DeriusDeffarou","@DeriusDeffarou")</f>
        <v>@DeriusDeffarou</v>
      </c>
      <c r="C17720" t="s">
        <v>6338</v>
      </c>
      <c r="D17720">
        <v>309</v>
      </c>
      <c r="E17720">
        <v>0</v>
      </c>
      <c r="F17720">
        <v>801</v>
      </c>
    </row>
    <row r="17721" spans="1:6" ht="12.75">
      <c r="A17721" s="2">
        <v>43877.250381944439</v>
      </c>
      <c r="B17721" t="str">
        <f>HYPERLINK("https://twitter.com/tribunnews","@tribunnews")</f>
        <v>@tribunnews</v>
      </c>
      <c r="C17721" t="s">
        <v>9039</v>
      </c>
      <c r="D17721">
        <v>0</v>
      </c>
      <c r="E17721">
        <v>1</v>
      </c>
      <c r="F17721">
        <v>874289</v>
      </c>
    </row>
    <row r="17722" spans="1:6" ht="12.75">
      <c r="A17722" s="2">
        <v>43877.249872685185</v>
      </c>
      <c r="B17722" t="str">
        <f>HYPERLINK("https://twitter.com/PPNG_DRF","@PPNG_DRF")</f>
        <v>@PPNG_DRF</v>
      </c>
      <c r="C17722" t="s">
        <v>9040</v>
      </c>
      <c r="D17722">
        <v>0</v>
      </c>
      <c r="E17722">
        <v>0</v>
      </c>
      <c r="F17722">
        <v>441</v>
      </c>
    </row>
    <row r="17723" spans="1:6" ht="12.75">
      <c r="A17723" s="2">
        <v>43877.249282407407</v>
      </c>
      <c r="B17723" t="str">
        <f>HYPERLINK("https://twitter.com/imanarya192","@imanarya192")</f>
        <v>@imanarya192</v>
      </c>
      <c r="C17723" t="s">
        <v>9041</v>
      </c>
      <c r="D17723">
        <v>1</v>
      </c>
      <c r="E17723">
        <v>0</v>
      </c>
      <c r="F17723">
        <v>330</v>
      </c>
    </row>
    <row r="17724" spans="1:6" ht="12.75">
      <c r="A17724" s="2">
        <v>43877.249120370368</v>
      </c>
      <c r="B17724" t="str">
        <f>HYPERLINK("https://twitter.com/hanzelrestdhani","@hanzelrestdhani")</f>
        <v>@hanzelrestdhani</v>
      </c>
      <c r="C17724" t="s">
        <v>9042</v>
      </c>
      <c r="D17724">
        <v>3</v>
      </c>
      <c r="E17724">
        <v>0</v>
      </c>
      <c r="F17724">
        <v>414</v>
      </c>
    </row>
    <row r="17725" spans="1:6" ht="12.75">
      <c r="A17725" s="2">
        <v>43877.248935185184</v>
      </c>
      <c r="B17725" t="str">
        <f>HYPERLINK("https://twitter.com/RubenLumalessi1","@RubenLumalessi1")</f>
        <v>@RubenLumalessi1</v>
      </c>
      <c r="C17725" t="s">
        <v>9043</v>
      </c>
      <c r="D17725">
        <v>29</v>
      </c>
      <c r="E17725">
        <v>0</v>
      </c>
      <c r="F17725">
        <v>753</v>
      </c>
    </row>
    <row r="17726" spans="1:6" ht="12.75">
      <c r="A17726" s="2">
        <v>43877.248865740738</v>
      </c>
      <c r="B17726" t="str">
        <f>HYPERLINK("https://twitter.com/elansuh34270070","@elansuh34270070")</f>
        <v>@elansuh34270070</v>
      </c>
      <c r="C17726" t="s">
        <v>7876</v>
      </c>
      <c r="D17726">
        <v>63</v>
      </c>
      <c r="E17726">
        <v>0</v>
      </c>
      <c r="F17726">
        <v>349</v>
      </c>
    </row>
    <row r="17727" spans="1:6" ht="12.75">
      <c r="A17727" s="2">
        <v>43877.248854166668</v>
      </c>
      <c r="B17727" t="str">
        <f>HYPERLINK("https://twitter.com/21Lai21","@21Lai21")</f>
        <v>@21Lai21</v>
      </c>
      <c r="C17727" t="s">
        <v>8665</v>
      </c>
      <c r="D17727">
        <v>233</v>
      </c>
      <c r="E17727">
        <v>0</v>
      </c>
      <c r="F17727">
        <v>272</v>
      </c>
    </row>
    <row r="17728" spans="1:6" ht="12.75">
      <c r="A17728" s="2">
        <v>43877.248749999999</v>
      </c>
      <c r="B17728" t="str">
        <f>HYPERLINK("https://twitter.com/elhadhramiy","@elhadhramiy")</f>
        <v>@elhadhramiy</v>
      </c>
      <c r="C17728" t="s">
        <v>3059</v>
      </c>
      <c r="D17728">
        <v>289</v>
      </c>
      <c r="E17728">
        <v>0</v>
      </c>
      <c r="F17728">
        <v>481</v>
      </c>
    </row>
    <row r="17729" spans="1:6" ht="12.75">
      <c r="A17729" s="2">
        <v>43877.248159722221</v>
      </c>
      <c r="B17729" t="str">
        <f>HYPERLINK("https://twitter.com/Purwa_wicak","@Purwa_wicak")</f>
        <v>@Purwa_wicak</v>
      </c>
      <c r="C17729" t="s">
        <v>7980</v>
      </c>
      <c r="D17729">
        <v>33</v>
      </c>
      <c r="E17729">
        <v>0</v>
      </c>
      <c r="F17729">
        <v>270</v>
      </c>
    </row>
    <row r="17730" spans="1:6" ht="12.75">
      <c r="A17730" s="2">
        <v>43877.247847222221</v>
      </c>
      <c r="B17730" t="str">
        <f>HYPERLINK("https://twitter.com/AgusPudjiana","@AgusPudjiana")</f>
        <v>@AgusPudjiana</v>
      </c>
      <c r="C17730" t="s">
        <v>9044</v>
      </c>
      <c r="D17730">
        <v>0</v>
      </c>
      <c r="E17730">
        <v>0</v>
      </c>
      <c r="F17730">
        <v>5</v>
      </c>
    </row>
    <row r="17731" spans="1:6" ht="12.75">
      <c r="A17731" s="2">
        <v>43877.247511574074</v>
      </c>
      <c r="B17731" t="str">
        <f>HYPERLINK("https://twitter.com/bukanwibukok","@bukanwibukok")</f>
        <v>@bukanwibukok</v>
      </c>
      <c r="C17731" t="s">
        <v>9045</v>
      </c>
      <c r="D17731">
        <v>0</v>
      </c>
      <c r="E17731">
        <v>0</v>
      </c>
      <c r="F17731">
        <v>154</v>
      </c>
    </row>
    <row r="17732" spans="1:6" ht="12.75">
      <c r="A17732" s="2">
        <v>43877.24726851852</v>
      </c>
      <c r="B17732" t="str">
        <f>HYPERLINK("https://twitter.com/herubadala","@herubadala")</f>
        <v>@herubadala</v>
      </c>
      <c r="C17732" t="s">
        <v>6338</v>
      </c>
      <c r="D17732">
        <v>309</v>
      </c>
      <c r="E17732">
        <v>0</v>
      </c>
      <c r="F17732">
        <v>469</v>
      </c>
    </row>
    <row r="17733" spans="1:6" ht="12.75">
      <c r="A17733" s="2">
        <v>43877.247071759259</v>
      </c>
      <c r="B17733" t="str">
        <f>HYPERLINK("https://twitter.com/gilang_MP","@gilang_MP")</f>
        <v>@gilang_MP</v>
      </c>
      <c r="C17733" t="s">
        <v>6338</v>
      </c>
      <c r="D17733">
        <v>309</v>
      </c>
      <c r="E17733">
        <v>0</v>
      </c>
      <c r="F17733">
        <v>169</v>
      </c>
    </row>
    <row r="17734" spans="1:6" ht="12.75">
      <c r="A17734" s="2">
        <v>43877.246574074074</v>
      </c>
      <c r="B17734" t="str">
        <f>HYPERLINK("https://twitter.com/AJudakusumah","@AJudakusumah")</f>
        <v>@AJudakusumah</v>
      </c>
      <c r="C17734" t="s">
        <v>6338</v>
      </c>
      <c r="D17734">
        <v>309</v>
      </c>
      <c r="E17734">
        <v>0</v>
      </c>
      <c r="F17734">
        <v>3107</v>
      </c>
    </row>
    <row r="17735" spans="1:6" ht="12.75">
      <c r="A17735" s="2">
        <v>43877.246435185181</v>
      </c>
      <c r="B17735" t="str">
        <f>HYPERLINK("https://twitter.com/KevinPerwira007","@KevinPerwira007")</f>
        <v>@KevinPerwira007</v>
      </c>
      <c r="C17735" t="s">
        <v>9046</v>
      </c>
      <c r="D17735">
        <v>6</v>
      </c>
      <c r="E17735">
        <v>0</v>
      </c>
      <c r="F17735">
        <v>900</v>
      </c>
    </row>
    <row r="17736" spans="1:6" ht="12.75">
      <c r="A17736" s="2">
        <v>43877.246296296296</v>
      </c>
      <c r="B17736" t="str">
        <f>HYPERLINK("https://twitter.com/sabriahrazak","@sabriahrazak")</f>
        <v>@sabriahrazak</v>
      </c>
      <c r="C17736" t="s">
        <v>7152</v>
      </c>
      <c r="D17736">
        <v>21</v>
      </c>
      <c r="E17736">
        <v>0</v>
      </c>
      <c r="F17736">
        <v>2278</v>
      </c>
    </row>
    <row r="17737" spans="1:6" ht="12.75">
      <c r="A17737" s="2">
        <v>43877.246041666665</v>
      </c>
      <c r="B17737" t="str">
        <f>HYPERLINK("https://twitter.com/RajaMandiri70","@RajaMandiri70")</f>
        <v>@RajaMandiri70</v>
      </c>
      <c r="C17737" t="s">
        <v>7152</v>
      </c>
      <c r="D17737">
        <v>21</v>
      </c>
      <c r="E17737">
        <v>0</v>
      </c>
      <c r="F17737">
        <v>479</v>
      </c>
    </row>
    <row r="17738" spans="1:6" ht="12.75">
      <c r="A17738" s="2">
        <v>43877.245706018519</v>
      </c>
      <c r="B17738" t="str">
        <f>HYPERLINK("https://twitter.com/panjianom102","@panjianom102")</f>
        <v>@panjianom102</v>
      </c>
      <c r="C17738" t="s">
        <v>6338</v>
      </c>
      <c r="D17738">
        <v>309</v>
      </c>
      <c r="E17738">
        <v>0</v>
      </c>
      <c r="F17738">
        <v>1267</v>
      </c>
    </row>
    <row r="17739" spans="1:6" ht="12.75">
      <c r="A17739" s="2">
        <v>43877.245706018519</v>
      </c>
      <c r="B17739" t="str">
        <f>HYPERLINK("https://twitter.com/eliezer_hans","@eliezer_hans")</f>
        <v>@eliezer_hans</v>
      </c>
      <c r="C17739" t="s">
        <v>8203</v>
      </c>
      <c r="D17739">
        <v>130</v>
      </c>
      <c r="E17739">
        <v>0</v>
      </c>
      <c r="F17739">
        <v>357</v>
      </c>
    </row>
    <row r="17740" spans="1:6" ht="12.75">
      <c r="A17740" s="2">
        <v>43877.245462962965</v>
      </c>
      <c r="B17740" t="str">
        <f>HYPERLINK("https://twitter.com/agataizalabdi","@agataizalabdi")</f>
        <v>@agataizalabdi</v>
      </c>
      <c r="C17740" t="s">
        <v>6201</v>
      </c>
      <c r="D17740">
        <v>543</v>
      </c>
      <c r="E17740">
        <v>0</v>
      </c>
      <c r="F17740">
        <v>247</v>
      </c>
    </row>
    <row r="17741" spans="1:6" ht="12.75">
      <c r="A17741" s="2">
        <v>43877.245335648149</v>
      </c>
      <c r="B17741" t="str">
        <f>HYPERLINK("https://twitter.com/3363yasri","@3363yasri")</f>
        <v>@3363yasri</v>
      </c>
      <c r="C17741" t="s">
        <v>6338</v>
      </c>
      <c r="D17741">
        <v>309</v>
      </c>
      <c r="E17741">
        <v>0</v>
      </c>
      <c r="F17741">
        <v>200</v>
      </c>
    </row>
    <row r="17742" spans="1:6" ht="12.75">
      <c r="A17742" s="2">
        <v>43877.244976851856</v>
      </c>
      <c r="B17742" t="str">
        <f>HYPERLINK("https://twitter.com/bgydhtm2","@bgydhtm2")</f>
        <v>@bgydhtm2</v>
      </c>
      <c r="C17742" t="s">
        <v>7905</v>
      </c>
      <c r="D17742">
        <v>40</v>
      </c>
      <c r="E17742">
        <v>0</v>
      </c>
      <c r="F17742">
        <v>1323</v>
      </c>
    </row>
    <row r="17743" spans="1:6" ht="12.75">
      <c r="A17743" s="2">
        <v>43877.24496527778</v>
      </c>
      <c r="B17743" t="str">
        <f>HYPERLINK("https://twitter.com/abimaLTR","@abimaLTR")</f>
        <v>@abimaLTR</v>
      </c>
      <c r="C17743" t="s">
        <v>9047</v>
      </c>
      <c r="D17743">
        <v>0</v>
      </c>
      <c r="E17743">
        <v>0</v>
      </c>
      <c r="F17743">
        <v>8</v>
      </c>
    </row>
    <row r="17744" spans="1:6" ht="12.75">
      <c r="A17744" s="2">
        <v>43877.244930555556</v>
      </c>
      <c r="B17744" t="str">
        <f>HYPERLINK("https://twitter.com/kicepkicep","@kicepkicep")</f>
        <v>@kicepkicep</v>
      </c>
      <c r="C17744" t="s">
        <v>7261</v>
      </c>
      <c r="D17744">
        <v>96</v>
      </c>
      <c r="E17744">
        <v>0</v>
      </c>
      <c r="F17744">
        <v>1223</v>
      </c>
    </row>
    <row r="17745" spans="1:6" ht="12.75">
      <c r="A17745" s="2">
        <v>43877.244837962964</v>
      </c>
      <c r="B17745" t="str">
        <f>HYPERLINK("https://twitter.com/adisaelangi_id","@adisaelangi_id")</f>
        <v>@adisaelangi_id</v>
      </c>
      <c r="C17745" t="s">
        <v>9046</v>
      </c>
      <c r="D17745">
        <v>6</v>
      </c>
      <c r="E17745">
        <v>0</v>
      </c>
      <c r="F17745">
        <v>1723</v>
      </c>
    </row>
    <row r="17746" spans="1:6" ht="12.75">
      <c r="A17746" s="2">
        <v>43877.244432870371</v>
      </c>
      <c r="B17746" t="str">
        <f>HYPERLINK("https://twitter.com/akubucin17","@akubucin17")</f>
        <v>@akubucin17</v>
      </c>
      <c r="C17746" t="s">
        <v>7905</v>
      </c>
      <c r="D17746">
        <v>40</v>
      </c>
      <c r="E17746">
        <v>0</v>
      </c>
      <c r="F17746">
        <v>749</v>
      </c>
    </row>
    <row r="17747" spans="1:6" ht="12.75">
      <c r="A17747" s="2">
        <v>43877.24423611111</v>
      </c>
      <c r="B17747" t="str">
        <f>HYPERLINK("https://twitter.com/Ujang84290070","@Ujang84290070")</f>
        <v>@Ujang84290070</v>
      </c>
      <c r="C17747" t="s">
        <v>6338</v>
      </c>
      <c r="D17747">
        <v>309</v>
      </c>
      <c r="E17747">
        <v>0</v>
      </c>
      <c r="F17747">
        <v>171</v>
      </c>
    </row>
    <row r="17748" spans="1:6" ht="12.75">
      <c r="A17748" s="2">
        <v>43877.243680555555</v>
      </c>
      <c r="B17748" t="str">
        <f>HYPERLINK("https://twitter.com/judhiawisnuw","@judhiawisnuw")</f>
        <v>@judhiawisnuw</v>
      </c>
      <c r="C17748" t="s">
        <v>9048</v>
      </c>
      <c r="D17748">
        <v>0</v>
      </c>
      <c r="E17748">
        <v>0</v>
      </c>
      <c r="F17748">
        <v>115</v>
      </c>
    </row>
    <row r="17749" spans="1:6" ht="12.75">
      <c r="A17749" s="2">
        <v>43877.243414351848</v>
      </c>
      <c r="B17749" t="str">
        <f>HYPERLINK("https://twitter.com/mrsnail22","@mrsnail22")</f>
        <v>@mrsnail22</v>
      </c>
      <c r="C17749" t="s">
        <v>6338</v>
      </c>
      <c r="D17749">
        <v>309</v>
      </c>
      <c r="E17749">
        <v>0</v>
      </c>
      <c r="F17749">
        <v>404</v>
      </c>
    </row>
    <row r="17750" spans="1:6" ht="12.75">
      <c r="A17750" s="2">
        <v>43877.242384259254</v>
      </c>
      <c r="B17750" t="str">
        <f>HYPERLINK("https://twitter.com/fluffyeclaire","@fluffyeclaire")</f>
        <v>@fluffyeclaire</v>
      </c>
      <c r="C17750" t="s">
        <v>2444</v>
      </c>
      <c r="D17750">
        <v>4486</v>
      </c>
      <c r="E17750">
        <v>0</v>
      </c>
      <c r="F17750">
        <v>136</v>
      </c>
    </row>
    <row r="17751" spans="1:6" ht="12.75">
      <c r="A17751" s="2">
        <v>43877.242245370369</v>
      </c>
      <c r="B17751" t="str">
        <f>HYPERLINK("https://twitter.com/Restti__","@Restti__")</f>
        <v>@Restti__</v>
      </c>
      <c r="C17751" t="s">
        <v>7905</v>
      </c>
      <c r="D17751">
        <v>40</v>
      </c>
      <c r="E17751">
        <v>0</v>
      </c>
      <c r="F17751">
        <v>413</v>
      </c>
    </row>
    <row r="17752" spans="1:6" ht="12.75">
      <c r="A17752" s="2">
        <v>43877.241909722223</v>
      </c>
      <c r="B17752" t="str">
        <f>HYPERLINK("https://twitter.com/Anjlok7","@Anjlok7")</f>
        <v>@Anjlok7</v>
      </c>
      <c r="C17752" t="s">
        <v>6338</v>
      </c>
      <c r="D17752">
        <v>309</v>
      </c>
      <c r="E17752">
        <v>0</v>
      </c>
      <c r="F17752">
        <v>38</v>
      </c>
    </row>
    <row r="17753" spans="1:6" ht="12.75">
      <c r="A17753" s="2">
        <v>43877.241840277777</v>
      </c>
      <c r="B17753" t="str">
        <f>HYPERLINK("https://twitter.com/MonitorCOID","@MonitorCOID")</f>
        <v>@MonitorCOID</v>
      </c>
      <c r="C17753" t="s">
        <v>9049</v>
      </c>
      <c r="D17753">
        <v>0</v>
      </c>
      <c r="E17753">
        <v>0</v>
      </c>
      <c r="F17753">
        <v>2629</v>
      </c>
    </row>
    <row r="17754" spans="1:6" ht="12.75">
      <c r="A17754" s="2">
        <v>43877.241064814814</v>
      </c>
      <c r="B17754" t="str">
        <f>HYPERLINK("https://twitter.com/PeciPecinta","@PeciPecinta")</f>
        <v>@PeciPecinta</v>
      </c>
      <c r="C17754" t="s">
        <v>2084</v>
      </c>
      <c r="D17754">
        <v>0</v>
      </c>
      <c r="E17754">
        <v>0</v>
      </c>
      <c r="F17754">
        <v>18</v>
      </c>
    </row>
    <row r="17755" spans="1:6" ht="12.75">
      <c r="A17755" s="2">
        <v>43877.241030092591</v>
      </c>
      <c r="B17755" t="str">
        <f>HYPERLINK("https://twitter.com/Sumedi69148274","@Sumedi69148274")</f>
        <v>@Sumedi69148274</v>
      </c>
      <c r="C17755" t="s">
        <v>6338</v>
      </c>
      <c r="D17755">
        <v>309</v>
      </c>
      <c r="E17755">
        <v>0</v>
      </c>
      <c r="F17755">
        <v>770</v>
      </c>
    </row>
    <row r="17756" spans="1:6" ht="12.75">
      <c r="A17756" s="2">
        <v>43877.240868055553</v>
      </c>
      <c r="B17756" t="str">
        <f>HYPERLINK("https://twitter.com/rainerpoillot","@rainerpoillot")</f>
        <v>@rainerpoillot</v>
      </c>
      <c r="C17756" t="s">
        <v>6338</v>
      </c>
      <c r="D17756">
        <v>309</v>
      </c>
      <c r="E17756">
        <v>0</v>
      </c>
      <c r="F17756">
        <v>639</v>
      </c>
    </row>
    <row r="17757" spans="1:6" ht="12.75">
      <c r="A17757" s="2">
        <v>43877.240532407406</v>
      </c>
      <c r="B17757" t="str">
        <f>HYPERLINK("https://twitter.com/99garislucu","@99garislucu")</f>
        <v>@99garislucu</v>
      </c>
      <c r="C17757" t="s">
        <v>9050</v>
      </c>
      <c r="D17757">
        <v>1</v>
      </c>
      <c r="E17757">
        <v>0</v>
      </c>
      <c r="F17757">
        <v>962</v>
      </c>
    </row>
    <row r="17758" spans="1:6" ht="12.75">
      <c r="A17758" s="2">
        <v>43877.239953703705</v>
      </c>
      <c r="B17758" t="str">
        <f>HYPERLINK("https://twitter.com/Ba_ntara","@Ba_ntara")</f>
        <v>@Ba_ntara</v>
      </c>
      <c r="C17758" t="s">
        <v>9051</v>
      </c>
      <c r="D17758">
        <v>0</v>
      </c>
      <c r="E17758">
        <v>0</v>
      </c>
      <c r="F17758">
        <v>9</v>
      </c>
    </row>
    <row r="17759" spans="1:6" ht="12.75">
      <c r="A17759" s="2">
        <v>43877.239571759259</v>
      </c>
      <c r="B17759" t="str">
        <f>HYPERLINK("https://twitter.com/ntrahman2013","@ntrahman2013")</f>
        <v>@ntrahman2013</v>
      </c>
      <c r="C17759" t="s">
        <v>8665</v>
      </c>
      <c r="D17759">
        <v>233</v>
      </c>
      <c r="E17759">
        <v>0</v>
      </c>
      <c r="F17759">
        <v>1753</v>
      </c>
    </row>
    <row r="17760" spans="1:6" ht="12.75">
      <c r="A17760" s="2">
        <v>43877.239548611113</v>
      </c>
      <c r="B17760" t="str">
        <f>HYPERLINK("https://twitter.com/faridrizal21","@faridrizal21")</f>
        <v>@faridrizal21</v>
      </c>
      <c r="C17760" t="s">
        <v>3059</v>
      </c>
      <c r="D17760">
        <v>289</v>
      </c>
      <c r="E17760">
        <v>0</v>
      </c>
      <c r="F17760">
        <v>304</v>
      </c>
    </row>
    <row r="17761" spans="1:6" ht="12.75">
      <c r="A17761" s="2">
        <v>43877.239328703705</v>
      </c>
      <c r="B17761" t="str">
        <f>HYPERLINK("https://twitter.com/mediato61982789","@mediato61982789")</f>
        <v>@mediato61982789</v>
      </c>
      <c r="C17761" t="s">
        <v>3150</v>
      </c>
      <c r="D17761">
        <v>241</v>
      </c>
      <c r="E17761">
        <v>0</v>
      </c>
      <c r="F17761">
        <v>294</v>
      </c>
    </row>
    <row r="17762" spans="1:6" ht="12.75">
      <c r="A17762" s="2">
        <v>43877.238587962958</v>
      </c>
      <c r="B17762" t="str">
        <f>HYPERLINK("https://twitter.com/bromo_eyang","@bromo_eyang")</f>
        <v>@bromo_eyang</v>
      </c>
      <c r="C17762" t="s">
        <v>6338</v>
      </c>
      <c r="D17762">
        <v>309</v>
      </c>
      <c r="E17762">
        <v>0</v>
      </c>
      <c r="F17762">
        <v>69</v>
      </c>
    </row>
    <row r="17763" spans="1:6" ht="12.75">
      <c r="A17763" s="2">
        <v>43877.236481481479</v>
      </c>
      <c r="B17763" t="str">
        <f>HYPERLINK("https://twitter.com/jarot99","@jarot99")</f>
        <v>@jarot99</v>
      </c>
      <c r="C17763" t="s">
        <v>9052</v>
      </c>
      <c r="D17763">
        <v>0</v>
      </c>
      <c r="E17763">
        <v>0</v>
      </c>
      <c r="F17763">
        <v>2151</v>
      </c>
    </row>
    <row r="17764" spans="1:6" ht="12.75">
      <c r="A17764" s="2">
        <v>43877.236284722225</v>
      </c>
      <c r="B17764" t="str">
        <f>HYPERLINK("https://twitter.com/TruthsHurtNews","@TruthsHurtNews")</f>
        <v>@TruthsHurtNews</v>
      </c>
      <c r="C17764" t="s">
        <v>3150</v>
      </c>
      <c r="D17764">
        <v>241</v>
      </c>
      <c r="E17764">
        <v>0</v>
      </c>
      <c r="F17764">
        <v>3579</v>
      </c>
    </row>
    <row r="17765" spans="1:6" ht="12.75">
      <c r="A17765" s="2">
        <v>43877.23600694444</v>
      </c>
      <c r="B17765" t="str">
        <f>HYPERLINK("https://twitter.com/indrapg","@indrapg")</f>
        <v>@indrapg</v>
      </c>
      <c r="C17765" t="s">
        <v>6201</v>
      </c>
      <c r="D17765">
        <v>543</v>
      </c>
      <c r="E17765">
        <v>0</v>
      </c>
      <c r="F17765">
        <v>126</v>
      </c>
    </row>
    <row r="17766" spans="1:6" ht="12.75">
      <c r="A17766" s="2">
        <v>43877.235763888893</v>
      </c>
      <c r="B17766" t="str">
        <f>HYPERLINK("https://twitter.com/cheppy_wartono","@cheppy_wartono")</f>
        <v>@cheppy_wartono</v>
      </c>
      <c r="C17766" t="s">
        <v>9053</v>
      </c>
      <c r="D17766">
        <v>1</v>
      </c>
      <c r="E17766">
        <v>0</v>
      </c>
      <c r="F17766">
        <v>1612</v>
      </c>
    </row>
    <row r="17767" spans="1:6" ht="12.75">
      <c r="A17767" s="2">
        <v>43877.23574074074</v>
      </c>
      <c r="B17767" t="str">
        <f>HYPERLINK("https://twitter.com/hartanto_mas","@hartanto_mas")</f>
        <v>@hartanto_mas</v>
      </c>
      <c r="C17767" t="s">
        <v>7876</v>
      </c>
      <c r="D17767">
        <v>63</v>
      </c>
      <c r="E17767">
        <v>0</v>
      </c>
      <c r="F17767">
        <v>1050</v>
      </c>
    </row>
    <row r="17768" spans="1:6" ht="12.75">
      <c r="A17768" s="2">
        <v>43877.235497685186</v>
      </c>
      <c r="B17768" t="str">
        <f>HYPERLINK("https://twitter.com/Bondan93083393","@Bondan93083393")</f>
        <v>@Bondan93083393</v>
      </c>
      <c r="C17768" t="s">
        <v>9054</v>
      </c>
      <c r="D17768">
        <v>0</v>
      </c>
      <c r="E17768">
        <v>0</v>
      </c>
      <c r="F17768">
        <v>17</v>
      </c>
    </row>
    <row r="17769" spans="1:6" ht="12.75">
      <c r="A17769" s="2">
        <v>43877.235046296293</v>
      </c>
      <c r="B17769" t="str">
        <f>HYPERLINK("https://twitter.com/mond_golan","@mond_golan")</f>
        <v>@mond_golan</v>
      </c>
      <c r="C17769" t="s">
        <v>6338</v>
      </c>
      <c r="D17769">
        <v>309</v>
      </c>
      <c r="E17769">
        <v>0</v>
      </c>
      <c r="F17769">
        <v>60</v>
      </c>
    </row>
    <row r="17770" spans="1:6" ht="12.75">
      <c r="A17770" s="2">
        <v>43877.234814814816</v>
      </c>
      <c r="B17770" t="str">
        <f>HYPERLINK("https://twitter.com/iramehara","@iramehara")</f>
        <v>@iramehara</v>
      </c>
      <c r="C17770" t="s">
        <v>9055</v>
      </c>
      <c r="D17770">
        <v>0</v>
      </c>
      <c r="E17770">
        <v>0</v>
      </c>
      <c r="F17770">
        <v>233</v>
      </c>
    </row>
    <row r="17771" spans="1:6" ht="12.75">
      <c r="A17771" s="2">
        <v>43877.234328703707</v>
      </c>
      <c r="B17771" t="str">
        <f>HYPERLINK("https://twitter.com/hartanto_mas","@hartanto_mas")</f>
        <v>@hartanto_mas</v>
      </c>
      <c r="C17771" t="s">
        <v>9056</v>
      </c>
      <c r="D17771">
        <v>26</v>
      </c>
      <c r="E17771">
        <v>0</v>
      </c>
      <c r="F17771">
        <v>1050</v>
      </c>
    </row>
    <row r="17772" spans="1:6" ht="12.75">
      <c r="A17772" s="2">
        <v>43877.233865740738</v>
      </c>
      <c r="B17772" t="str">
        <f>HYPERLINK("https://twitter.com/harits_pasha","@harits_pasha")</f>
        <v>@harits_pasha</v>
      </c>
      <c r="C17772" t="s">
        <v>2179</v>
      </c>
      <c r="D17772">
        <v>46</v>
      </c>
      <c r="E17772">
        <v>0</v>
      </c>
      <c r="F17772">
        <v>1669</v>
      </c>
    </row>
    <row r="17773" spans="1:6" ht="12.75">
      <c r="A17773" s="2">
        <v>43877.232974537037</v>
      </c>
      <c r="B17773" t="str">
        <f>HYPERLINK("https://twitter.com/antok_eni","@antok_eni")</f>
        <v>@antok_eni</v>
      </c>
      <c r="C17773" t="s">
        <v>6338</v>
      </c>
      <c r="D17773">
        <v>309</v>
      </c>
      <c r="E17773">
        <v>0</v>
      </c>
      <c r="F17773">
        <v>406</v>
      </c>
    </row>
    <row r="17774" spans="1:6" ht="12.75">
      <c r="A17774" s="2">
        <v>43877.232928240745</v>
      </c>
      <c r="B17774" t="str">
        <f>HYPERLINK("https://twitter.com/hartanto_mas","@hartanto_mas")</f>
        <v>@hartanto_mas</v>
      </c>
      <c r="C17774" t="s">
        <v>3059</v>
      </c>
      <c r="D17774">
        <v>289</v>
      </c>
      <c r="E17774">
        <v>0</v>
      </c>
      <c r="F17774">
        <v>1050</v>
      </c>
    </row>
    <row r="17775" spans="1:6" ht="12.75">
      <c r="A17775" s="2">
        <v>43877.231956018513</v>
      </c>
      <c r="B17775" t="str">
        <f>HYPERLINK("https://twitter.com/yaakulaaah","@yaakulaaah")</f>
        <v>@yaakulaaah</v>
      </c>
      <c r="C17775" t="s">
        <v>513</v>
      </c>
      <c r="D17775">
        <v>23188</v>
      </c>
      <c r="E17775">
        <v>0</v>
      </c>
      <c r="F17775">
        <v>14</v>
      </c>
    </row>
    <row r="17776" spans="1:6" ht="12.75">
      <c r="A17776" s="2">
        <v>43877.231099537035</v>
      </c>
      <c r="B17776" t="str">
        <f>HYPERLINK("https://twitter.com/mahmudsany9","@mahmudsany9")</f>
        <v>@mahmudsany9</v>
      </c>
      <c r="C17776" t="s">
        <v>2147</v>
      </c>
      <c r="D17776">
        <v>482</v>
      </c>
      <c r="E17776">
        <v>0</v>
      </c>
      <c r="F17776">
        <v>73</v>
      </c>
    </row>
    <row r="17777" spans="1:6" ht="12.75">
      <c r="A17777" s="2">
        <v>43877.230972222227</v>
      </c>
      <c r="B17777" t="str">
        <f>HYPERLINK("https://twitter.com/realmolotovfc","@realmolotovfc")</f>
        <v>@realmolotovfc</v>
      </c>
      <c r="C17777" t="s">
        <v>9057</v>
      </c>
      <c r="D17777">
        <v>0</v>
      </c>
      <c r="E17777">
        <v>0</v>
      </c>
      <c r="F17777">
        <v>898</v>
      </c>
    </row>
    <row r="17778" spans="1:6" ht="12.75">
      <c r="A17778" s="2">
        <v>43877.230868055558</v>
      </c>
      <c r="B17778" t="str">
        <f>HYPERLINK("https://twitter.com/iminR84","@iminR84")</f>
        <v>@iminR84</v>
      </c>
      <c r="C17778" t="s">
        <v>6338</v>
      </c>
      <c r="D17778">
        <v>309</v>
      </c>
      <c r="E17778">
        <v>0</v>
      </c>
      <c r="F17778">
        <v>1434</v>
      </c>
    </row>
    <row r="17779" spans="1:6" ht="12.75">
      <c r="A17779" s="2">
        <v>43877.230775462958</v>
      </c>
      <c r="B17779" t="str">
        <f>HYPERLINK("https://twitter.com/hajinewsonline","@hajinewsonline")</f>
        <v>@hajinewsonline</v>
      </c>
      <c r="C17779" t="s">
        <v>9058</v>
      </c>
      <c r="D17779">
        <v>0</v>
      </c>
      <c r="E17779">
        <v>0</v>
      </c>
      <c r="F17779">
        <v>20</v>
      </c>
    </row>
    <row r="17780" spans="1:6" ht="12.75">
      <c r="A17780" s="2">
        <v>43877.230752314819</v>
      </c>
      <c r="B17780" t="str">
        <f>HYPERLINK("https://twitter.com/sash1970","@sash1970")</f>
        <v>@sash1970</v>
      </c>
      <c r="C17780" t="s">
        <v>3150</v>
      </c>
      <c r="D17780">
        <v>241</v>
      </c>
      <c r="E17780">
        <v>0</v>
      </c>
      <c r="F17780">
        <v>295</v>
      </c>
    </row>
    <row r="17781" spans="1:6" ht="12.75">
      <c r="A17781" s="2">
        <v>43877.229166666672</v>
      </c>
      <c r="B17781" t="str">
        <f>HYPERLINK("https://twitter.com/MeTubeID","@MeTubeID")</f>
        <v>@MeTubeID</v>
      </c>
      <c r="C17781" t="s">
        <v>9059</v>
      </c>
      <c r="D17781">
        <v>0</v>
      </c>
      <c r="E17781">
        <v>0</v>
      </c>
      <c r="F17781">
        <v>6296</v>
      </c>
    </row>
    <row r="17782" spans="1:6" ht="12.75">
      <c r="A17782" s="2">
        <v>43877.229027777779</v>
      </c>
      <c r="B17782" t="str">
        <f>HYPERLINK("https://twitter.com/indovoices_com","@indovoices_com")</f>
        <v>@indovoices_com</v>
      </c>
      <c r="C17782" t="s">
        <v>9060</v>
      </c>
      <c r="D17782">
        <v>0</v>
      </c>
      <c r="E17782">
        <v>0</v>
      </c>
      <c r="F17782">
        <v>123</v>
      </c>
    </row>
    <row r="17783" spans="1:6" ht="12.75">
      <c r="A17783" s="2">
        <v>43877.228993055556</v>
      </c>
      <c r="B17783" t="str">
        <f>HYPERLINK("https://twitter.com/soenardo","@soenardo")</f>
        <v>@soenardo</v>
      </c>
      <c r="C17783" t="s">
        <v>9060</v>
      </c>
      <c r="D17783">
        <v>0</v>
      </c>
      <c r="E17783">
        <v>1</v>
      </c>
      <c r="F17783">
        <v>50</v>
      </c>
    </row>
    <row r="17784" spans="1:6" ht="12.75">
      <c r="A17784" s="2">
        <v>43877.228576388894</v>
      </c>
      <c r="B17784" t="str">
        <f>HYPERLINK("https://twitter.com/Subagyo67808988","@Subagyo67808988")</f>
        <v>@Subagyo67808988</v>
      </c>
      <c r="C17784" t="s">
        <v>9061</v>
      </c>
      <c r="D17784">
        <v>0</v>
      </c>
      <c r="E17784">
        <v>0</v>
      </c>
      <c r="F17784">
        <v>2</v>
      </c>
    </row>
    <row r="17785" spans="1:6" ht="12.75">
      <c r="A17785" s="2">
        <v>43877.228020833332</v>
      </c>
      <c r="B17785" t="str">
        <f>HYPERLINK("https://twitter.com/andi_saja","@andi_saja")</f>
        <v>@andi_saja</v>
      </c>
      <c r="C17785" t="s">
        <v>8897</v>
      </c>
      <c r="D17785">
        <v>39</v>
      </c>
      <c r="E17785">
        <v>0</v>
      </c>
      <c r="F17785">
        <v>1652</v>
      </c>
    </row>
    <row r="17786" spans="1:6" ht="12.75">
      <c r="A17786" s="2">
        <v>43877.227604166663</v>
      </c>
      <c r="B17786" t="str">
        <f>HYPERLINK("https://twitter.com/Agust30888907","@Agust30888907")</f>
        <v>@Agust30888907</v>
      </c>
      <c r="C17786" t="s">
        <v>6338</v>
      </c>
      <c r="D17786">
        <v>309</v>
      </c>
      <c r="E17786">
        <v>0</v>
      </c>
      <c r="F17786">
        <v>358</v>
      </c>
    </row>
    <row r="17787" spans="1:6" ht="12.75">
      <c r="A17787" s="2">
        <v>43877.227268518516</v>
      </c>
      <c r="B17787" t="str">
        <f>HYPERLINK("https://twitter.com/tedi_pirmansyah","@tedi_pirmansyah")</f>
        <v>@tedi_pirmansyah</v>
      </c>
      <c r="C17787" t="s">
        <v>9062</v>
      </c>
      <c r="D17787">
        <v>1</v>
      </c>
      <c r="E17787">
        <v>0</v>
      </c>
      <c r="F17787">
        <v>431</v>
      </c>
    </row>
    <row r="17788" spans="1:6" ht="12.75">
      <c r="A17788" s="2">
        <v>43877.227152777778</v>
      </c>
      <c r="B17788" t="str">
        <f>HYPERLINK("https://twitter.com/seputarbaliNews","@seputarbaliNews")</f>
        <v>@seputarbaliNews</v>
      </c>
      <c r="C17788" t="s">
        <v>9063</v>
      </c>
      <c r="D17788">
        <v>0</v>
      </c>
      <c r="E17788">
        <v>1</v>
      </c>
      <c r="F17788">
        <v>4762</v>
      </c>
    </row>
    <row r="17789" spans="1:6" ht="12.75">
      <c r="A17789" s="2">
        <v>43877.226643518516</v>
      </c>
      <c r="B17789" t="str">
        <f>HYPERLINK("https://twitter.com/KBRIMexicoCity","@KBRIMexicoCity")</f>
        <v>@KBRIMexicoCity</v>
      </c>
      <c r="C17789" t="s">
        <v>9064</v>
      </c>
      <c r="D17789">
        <v>1</v>
      </c>
      <c r="E17789">
        <v>1</v>
      </c>
      <c r="F17789">
        <v>1310</v>
      </c>
    </row>
    <row r="17790" spans="1:6" ht="12.75">
      <c r="A17790" s="2">
        <v>43877.226134259261</v>
      </c>
      <c r="B17790" t="str">
        <f>HYPERLINK("https://twitter.com/MAlexandriet","@MAlexandriet")</f>
        <v>@MAlexandriet</v>
      </c>
      <c r="C17790" t="s">
        <v>8203</v>
      </c>
      <c r="D17790">
        <v>130</v>
      </c>
      <c r="E17790">
        <v>0</v>
      </c>
      <c r="F17790">
        <v>194</v>
      </c>
    </row>
    <row r="17791" spans="1:6" ht="12.75">
      <c r="A17791" s="2">
        <v>43877.226053240738</v>
      </c>
      <c r="B17791" t="str">
        <f>HYPERLINK("https://twitter.com/ical776","@ical776")</f>
        <v>@ical776</v>
      </c>
      <c r="C17791" t="s">
        <v>9065</v>
      </c>
      <c r="D17791">
        <v>94</v>
      </c>
      <c r="E17791">
        <v>0</v>
      </c>
      <c r="F17791">
        <v>88</v>
      </c>
    </row>
    <row r="17792" spans="1:6" ht="12.75">
      <c r="A17792" s="2">
        <v>43877.225914351853</v>
      </c>
      <c r="B17792" t="str">
        <f>HYPERLINK("https://twitter.com/AChamplads","@AChamplads")</f>
        <v>@AChamplads</v>
      </c>
      <c r="C17792" t="s">
        <v>6201</v>
      </c>
      <c r="D17792">
        <v>543</v>
      </c>
      <c r="E17792">
        <v>0</v>
      </c>
      <c r="F17792">
        <v>29</v>
      </c>
    </row>
    <row r="17793" spans="1:6" ht="12.75">
      <c r="A17793" s="2">
        <v>43877.225717592592</v>
      </c>
      <c r="B17793" t="str">
        <f>HYPERLINK("https://twitter.com/syahirularif","@syahirularif")</f>
        <v>@syahirularif</v>
      </c>
      <c r="C17793" t="s">
        <v>6338</v>
      </c>
      <c r="D17793">
        <v>309</v>
      </c>
      <c r="E17793">
        <v>0</v>
      </c>
      <c r="F17793">
        <v>839</v>
      </c>
    </row>
    <row r="17794" spans="1:6" ht="12.75">
      <c r="A17794" s="2">
        <v>43877.225601851853</v>
      </c>
      <c r="B17794" t="str">
        <f>HYPERLINK("https://twitter.com/IdaAyuMadeOkaA1","@IdaAyuMadeOkaA1")</f>
        <v>@IdaAyuMadeOkaA1</v>
      </c>
      <c r="C17794" t="s">
        <v>6338</v>
      </c>
      <c r="D17794">
        <v>309</v>
      </c>
      <c r="E17794">
        <v>0</v>
      </c>
      <c r="F17794">
        <v>236</v>
      </c>
    </row>
    <row r="17795" spans="1:6" ht="12.75">
      <c r="A17795" s="2">
        <v>43877.225543981476</v>
      </c>
      <c r="B17795" t="str">
        <f>HYPERLINK("https://twitter.com/ical776","@ical776")</f>
        <v>@ical776</v>
      </c>
      <c r="C17795" t="s">
        <v>9066</v>
      </c>
      <c r="D17795">
        <v>0</v>
      </c>
      <c r="E17795">
        <v>0</v>
      </c>
      <c r="F17795">
        <v>88</v>
      </c>
    </row>
    <row r="17796" spans="1:6" ht="12.75">
      <c r="A17796" s="2">
        <v>43877.225520833337</v>
      </c>
      <c r="B17796" t="str">
        <f>HYPERLINK("https://twitter.com/P_ysf","@P_ysf")</f>
        <v>@P_ysf</v>
      </c>
      <c r="C17796" t="s">
        <v>6338</v>
      </c>
      <c r="D17796">
        <v>309</v>
      </c>
      <c r="E17796">
        <v>0</v>
      </c>
      <c r="F17796">
        <v>494</v>
      </c>
    </row>
    <row r="17797" spans="1:6" ht="12.75">
      <c r="A17797" s="2">
        <v>43877.225358796291</v>
      </c>
      <c r="B17797" t="str">
        <f>HYPERLINK("https://twitter.com/feelinpeachyou","@feelinpeachyou")</f>
        <v>@feelinpeachyou</v>
      </c>
      <c r="C17797" t="s">
        <v>9067</v>
      </c>
      <c r="D17797">
        <v>85</v>
      </c>
      <c r="E17797">
        <v>0</v>
      </c>
      <c r="F17797">
        <v>119</v>
      </c>
    </row>
    <row r="17798" spans="1:6" ht="12.75">
      <c r="A17798" s="2">
        <v>43877.225300925929</v>
      </c>
      <c r="B17798" t="str">
        <f>HYPERLINK("https://twitter.com/mustttPRO","@mustttPRO")</f>
        <v>@mustttPRO</v>
      </c>
      <c r="C17798" t="s">
        <v>6338</v>
      </c>
      <c r="D17798">
        <v>309</v>
      </c>
      <c r="E17798">
        <v>0</v>
      </c>
      <c r="F17798">
        <v>524</v>
      </c>
    </row>
    <row r="17799" spans="1:6" ht="12.75">
      <c r="A17799" s="2">
        <v>43877.224745370375</v>
      </c>
      <c r="B17799" t="str">
        <f>HYPERLINK("https://twitter.com/LaRose78992426","@LaRose78992426")</f>
        <v>@LaRose78992426</v>
      </c>
      <c r="C17799" t="s">
        <v>6338</v>
      </c>
      <c r="D17799">
        <v>309</v>
      </c>
      <c r="E17799">
        <v>0</v>
      </c>
      <c r="F17799">
        <v>261</v>
      </c>
    </row>
    <row r="17800" spans="1:6" ht="12.75">
      <c r="A17800" s="2">
        <v>43877.224016203705</v>
      </c>
      <c r="B17800" t="str">
        <f>HYPERLINK("https://twitter.com/AryaWBPinatih47","@AryaWBPinatih47")</f>
        <v>@AryaWBPinatih47</v>
      </c>
      <c r="C17800" t="s">
        <v>9068</v>
      </c>
      <c r="D17800">
        <v>3</v>
      </c>
      <c r="E17800">
        <v>0</v>
      </c>
      <c r="F17800">
        <v>2327</v>
      </c>
    </row>
    <row r="17801" spans="1:6" ht="12.75">
      <c r="A17801" s="2">
        <v>43877.223680555559</v>
      </c>
      <c r="B17801" t="str">
        <f>HYPERLINK("https://twitter.com/AndrewJMullen","@AndrewJMullen")</f>
        <v>@AndrewJMullen</v>
      </c>
      <c r="C17801" t="s">
        <v>3150</v>
      </c>
      <c r="D17801">
        <v>241</v>
      </c>
      <c r="E17801">
        <v>0</v>
      </c>
      <c r="F17801">
        <v>2274</v>
      </c>
    </row>
    <row r="17802" spans="1:6" ht="12.75">
      <c r="A17802" s="2">
        <v>43877.223611111112</v>
      </c>
      <c r="B17802" t="str">
        <f>HYPERLINK("https://twitter.com/setiawan1710","@setiawan1710")</f>
        <v>@setiawan1710</v>
      </c>
      <c r="C17802" t="s">
        <v>8628</v>
      </c>
      <c r="D17802">
        <v>129</v>
      </c>
      <c r="E17802">
        <v>0</v>
      </c>
      <c r="F17802">
        <v>469</v>
      </c>
    </row>
    <row r="17803" spans="1:6" ht="12.75">
      <c r="A17803" s="2">
        <v>43877.223541666666</v>
      </c>
      <c r="B17803" t="str">
        <f>HYPERLINK("https://twitter.com/weirdniss","@weirdniss")</f>
        <v>@weirdniss</v>
      </c>
      <c r="C17803" t="s">
        <v>5168</v>
      </c>
      <c r="D17803">
        <v>1634</v>
      </c>
      <c r="E17803">
        <v>0</v>
      </c>
      <c r="F17803">
        <v>543</v>
      </c>
    </row>
    <row r="17804" spans="1:6" ht="12.75">
      <c r="A17804" s="2">
        <v>43877.223217592589</v>
      </c>
      <c r="B17804" t="str">
        <f>HYPERLINK("https://twitter.com/Evialfa20","@Evialfa20")</f>
        <v>@Evialfa20</v>
      </c>
      <c r="C17804" t="s">
        <v>8589</v>
      </c>
      <c r="D17804">
        <v>23</v>
      </c>
      <c r="E17804">
        <v>0</v>
      </c>
      <c r="F17804">
        <v>2719</v>
      </c>
    </row>
    <row r="17805" spans="1:6" ht="12.75">
      <c r="A17805" s="2">
        <v>43877.223067129627</v>
      </c>
      <c r="B17805" t="str">
        <f>HYPERLINK("https://twitter.com/IwanNurwulan","@IwanNurwulan")</f>
        <v>@IwanNurwulan</v>
      </c>
      <c r="C17805" t="s">
        <v>6201</v>
      </c>
      <c r="D17805">
        <v>543</v>
      </c>
      <c r="E17805">
        <v>0</v>
      </c>
      <c r="F17805">
        <v>34</v>
      </c>
    </row>
    <row r="17806" spans="1:6" ht="12.75">
      <c r="A17806" s="2">
        <v>43877.223032407404</v>
      </c>
      <c r="B17806" t="str">
        <f>HYPERLINK("https://twitter.com/AMorintoh","@AMorintoh")</f>
        <v>@AMorintoh</v>
      </c>
      <c r="C17806" t="s">
        <v>6338</v>
      </c>
      <c r="D17806">
        <v>309</v>
      </c>
      <c r="E17806">
        <v>0</v>
      </c>
      <c r="F17806">
        <v>89</v>
      </c>
    </row>
    <row r="17807" spans="1:6" ht="12.75">
      <c r="A17807" s="2">
        <v>43877.222557870366</v>
      </c>
      <c r="B17807" t="str">
        <f>HYPERLINK("https://twitter.com/WSetyorini2","@WSetyorini2")</f>
        <v>@WSetyorini2</v>
      </c>
      <c r="C17807" t="s">
        <v>9069</v>
      </c>
      <c r="D17807">
        <v>1</v>
      </c>
      <c r="E17807">
        <v>0</v>
      </c>
      <c r="F17807">
        <v>1139</v>
      </c>
    </row>
    <row r="17808" spans="1:6" ht="12.75">
      <c r="A17808" s="2">
        <v>43877.221956018519</v>
      </c>
      <c r="B17808" t="str">
        <f>HYPERLINK("https://twitter.com/SOMAJENAR","@SOMAJENAR")</f>
        <v>@SOMAJENAR</v>
      </c>
      <c r="C17808" t="s">
        <v>2147</v>
      </c>
      <c r="D17808">
        <v>482</v>
      </c>
      <c r="E17808">
        <v>0</v>
      </c>
      <c r="F17808">
        <v>1157</v>
      </c>
    </row>
    <row r="17809" spans="1:6" ht="12.75">
      <c r="A17809" s="2">
        <v>43877.22148148148</v>
      </c>
      <c r="B17809" t="str">
        <f>HYPERLINK("https://twitter.com/priyawicaksana","@priyawicaksana")</f>
        <v>@priyawicaksana</v>
      </c>
      <c r="C17809" t="s">
        <v>9070</v>
      </c>
      <c r="D17809">
        <v>0</v>
      </c>
      <c r="E17809">
        <v>0</v>
      </c>
      <c r="F17809">
        <v>169</v>
      </c>
    </row>
    <row r="17810" spans="1:6" ht="12.75">
      <c r="A17810" s="2">
        <v>43877.221226851849</v>
      </c>
      <c r="B17810" t="str">
        <f>HYPERLINK("https://twitter.com/odetoddaeng_","@odetoddaeng_")</f>
        <v>@odetoddaeng_</v>
      </c>
      <c r="C17810" t="s">
        <v>9071</v>
      </c>
      <c r="D17810">
        <v>0</v>
      </c>
      <c r="E17810">
        <v>0</v>
      </c>
      <c r="F17810">
        <v>604</v>
      </c>
    </row>
    <row r="17811" spans="1:6" ht="12.75">
      <c r="A17811" s="2">
        <v>43877.221099537041</v>
      </c>
      <c r="B17811" t="str">
        <f>HYPERLINK("https://twitter.com/Rosestonetravel","@Rosestonetravel")</f>
        <v>@Rosestonetravel</v>
      </c>
      <c r="C17811" t="s">
        <v>3150</v>
      </c>
      <c r="D17811">
        <v>241</v>
      </c>
      <c r="E17811">
        <v>0</v>
      </c>
      <c r="F17811">
        <v>5116</v>
      </c>
    </row>
    <row r="17812" spans="1:6" ht="12.75">
      <c r="A17812" s="2">
        <v>43877.221087962964</v>
      </c>
      <c r="B17812" t="str">
        <f>HYPERLINK("https://twitter.com/BirinJawi","@BirinJawi")</f>
        <v>@BirinJawi</v>
      </c>
      <c r="C17812" t="s">
        <v>6338</v>
      </c>
      <c r="D17812">
        <v>309</v>
      </c>
      <c r="E17812">
        <v>0</v>
      </c>
      <c r="F17812">
        <v>68</v>
      </c>
    </row>
    <row r="17813" spans="1:6" ht="12.75">
      <c r="A17813" s="2">
        <v>43877.220972222218</v>
      </c>
      <c r="B17813" t="str">
        <f>HYPERLINK("https://twitter.com/YesmieA","@YesmieA")</f>
        <v>@YesmieA</v>
      </c>
      <c r="C17813" t="s">
        <v>9072</v>
      </c>
      <c r="D17813">
        <v>0</v>
      </c>
      <c r="E17813">
        <v>0</v>
      </c>
      <c r="F17813">
        <v>411</v>
      </c>
    </row>
    <row r="17814" spans="1:6" ht="12.75">
      <c r="A17814" s="2">
        <v>43877.220590277779</v>
      </c>
      <c r="B17814" t="str">
        <f>HYPERLINK("https://twitter.com/27Zaziza","@27Zaziza")</f>
        <v>@27Zaziza</v>
      </c>
      <c r="C17814" t="s">
        <v>9065</v>
      </c>
      <c r="D17814">
        <v>94</v>
      </c>
      <c r="E17814">
        <v>0</v>
      </c>
      <c r="F17814">
        <v>201</v>
      </c>
    </row>
    <row r="17815" spans="1:6" ht="12.75">
      <c r="A17815" s="2">
        <v>43877.220520833333</v>
      </c>
      <c r="B17815" t="str">
        <f>HYPERLINK("https://twitter.com/MAfianto3","@MAfianto3")</f>
        <v>@MAfianto3</v>
      </c>
      <c r="C17815" t="s">
        <v>9043</v>
      </c>
      <c r="D17815">
        <v>29</v>
      </c>
      <c r="E17815">
        <v>0</v>
      </c>
      <c r="F17815">
        <v>103</v>
      </c>
    </row>
    <row r="17816" spans="1:6" ht="12.75">
      <c r="A17816" s="2">
        <v>43877.209768518514</v>
      </c>
      <c r="B17816" t="str">
        <f>HYPERLINK("https://twitter.com/SagaSantorini","@SagaSantorini")</f>
        <v>@SagaSantorini</v>
      </c>
      <c r="C17816" t="s">
        <v>2147</v>
      </c>
      <c r="D17816">
        <v>479</v>
      </c>
      <c r="E17816">
        <v>0</v>
      </c>
      <c r="F17816">
        <v>36</v>
      </c>
    </row>
    <row r="17817" spans="1:6" ht="12.75">
      <c r="A17817" s="2">
        <v>43877.209513888884</v>
      </c>
      <c r="B17817" t="str">
        <f>HYPERLINK("https://twitter.com/blemod","@blemod")</f>
        <v>@blemod</v>
      </c>
      <c r="C17817" t="s">
        <v>2147</v>
      </c>
      <c r="D17817">
        <v>479</v>
      </c>
      <c r="E17817">
        <v>0</v>
      </c>
      <c r="F17817">
        <v>1183</v>
      </c>
    </row>
    <row r="17818" spans="1:6" ht="12.75">
      <c r="A17818" s="2">
        <v>43877.208912037036</v>
      </c>
      <c r="B17818" t="str">
        <f>HYPERLINK("https://twitter.com/prettybitchdior","@prettybitchdior")</f>
        <v>@prettybitchdior</v>
      </c>
      <c r="C17818" t="s">
        <v>9073</v>
      </c>
      <c r="D17818">
        <v>0</v>
      </c>
      <c r="E17818">
        <v>0</v>
      </c>
      <c r="F17818">
        <v>2218</v>
      </c>
    </row>
    <row r="17819" spans="1:6" ht="12.75">
      <c r="A17819" s="2">
        <v>43877.208912037036</v>
      </c>
      <c r="B17819" t="str">
        <f>HYPERLINK("https://twitter.com/SeijiNobel","@SeijiNobel")</f>
        <v>@SeijiNobel</v>
      </c>
      <c r="C17819" t="s">
        <v>9074</v>
      </c>
      <c r="D17819">
        <v>0</v>
      </c>
      <c r="E17819">
        <v>0</v>
      </c>
      <c r="F17819">
        <v>65</v>
      </c>
    </row>
    <row r="17820" spans="1:6" ht="12.75">
      <c r="A17820" s="2">
        <v>43877.208379629628</v>
      </c>
      <c r="B17820" t="str">
        <f>HYPERLINK("https://twitter.com/abglawas","@abglawas")</f>
        <v>@abglawas</v>
      </c>
      <c r="C17820" t="s">
        <v>9075</v>
      </c>
      <c r="D17820">
        <v>0</v>
      </c>
      <c r="E17820">
        <v>0</v>
      </c>
      <c r="F17820">
        <v>104</v>
      </c>
    </row>
    <row r="17821" spans="1:6" ht="12.75">
      <c r="A17821" s="2">
        <v>43877.20826388889</v>
      </c>
      <c r="B17821" t="str">
        <f>HYPERLINK("https://twitter.com/putralief","@putralief")</f>
        <v>@putralief</v>
      </c>
      <c r="C17821" t="s">
        <v>8203</v>
      </c>
      <c r="D17821">
        <v>127</v>
      </c>
      <c r="E17821">
        <v>0</v>
      </c>
      <c r="F17821">
        <v>374</v>
      </c>
    </row>
    <row r="17822" spans="1:6" ht="12.75">
      <c r="A17822" s="2">
        <v>43877.208136574074</v>
      </c>
      <c r="B17822" t="str">
        <f>HYPERLINK("https://twitter.com/idpenamini","@idpenamini")</f>
        <v>@idpenamini</v>
      </c>
      <c r="C17822" t="s">
        <v>9076</v>
      </c>
      <c r="D17822">
        <v>0</v>
      </c>
      <c r="E17822">
        <v>0</v>
      </c>
      <c r="F17822">
        <v>168</v>
      </c>
    </row>
    <row r="17823" spans="1:6" ht="12.75">
      <c r="A17823" s="2">
        <v>43877.206932870366</v>
      </c>
      <c r="B17823" t="str">
        <f>HYPERLINK("https://twitter.com/HartartoA","@HartartoA")</f>
        <v>@HartartoA</v>
      </c>
      <c r="C17823" t="s">
        <v>9077</v>
      </c>
      <c r="D17823">
        <v>9</v>
      </c>
      <c r="E17823">
        <v>0</v>
      </c>
      <c r="F17823">
        <v>2</v>
      </c>
    </row>
    <row r="17824" spans="1:6" ht="12.75">
      <c r="A17824" s="2">
        <v>43877.206643518519</v>
      </c>
      <c r="B17824" t="str">
        <f>HYPERLINK("https://twitter.com/prawotoaji24","@prawotoaji24")</f>
        <v>@prawotoaji24</v>
      </c>
      <c r="C17824" t="s">
        <v>9078</v>
      </c>
      <c r="D17824">
        <v>0</v>
      </c>
      <c r="E17824">
        <v>0</v>
      </c>
      <c r="F17824">
        <v>153</v>
      </c>
    </row>
    <row r="17825" spans="1:6" ht="12.75">
      <c r="A17825" s="2">
        <v>43877.206423611111</v>
      </c>
      <c r="B17825" t="str">
        <f>HYPERLINK("https://twitter.com/Plastic_Zombies","@Plastic_Zombies")</f>
        <v>@Plastic_Zombies</v>
      </c>
      <c r="C17825" t="s">
        <v>9079</v>
      </c>
      <c r="D17825">
        <v>0</v>
      </c>
      <c r="E17825">
        <v>1</v>
      </c>
      <c r="F17825">
        <v>664</v>
      </c>
    </row>
    <row r="17826" spans="1:6" ht="12.75">
      <c r="A17826" s="2">
        <v>43877.20621527778</v>
      </c>
      <c r="B17826" t="str">
        <f>HYPERLINK("https://twitter.com/SagaSantorini","@SagaSantorini")</f>
        <v>@SagaSantorini</v>
      </c>
      <c r="C17826" t="s">
        <v>6338</v>
      </c>
      <c r="D17826">
        <v>278</v>
      </c>
      <c r="E17826">
        <v>0</v>
      </c>
      <c r="F17826">
        <v>36</v>
      </c>
    </row>
    <row r="17827" spans="1:6" ht="12.75">
      <c r="A17827" s="2">
        <v>43877.206030092595</v>
      </c>
      <c r="B17827" t="str">
        <f>HYPERLINK("https://twitter.com/purnomo_jati1","@purnomo_jati1")</f>
        <v>@purnomo_jati1</v>
      </c>
      <c r="C17827" t="s">
        <v>6338</v>
      </c>
      <c r="D17827">
        <v>278</v>
      </c>
      <c r="E17827">
        <v>0</v>
      </c>
      <c r="F17827">
        <v>324</v>
      </c>
    </row>
    <row r="17828" spans="1:6" ht="12.75">
      <c r="A17828" s="2">
        <v>43877.205671296295</v>
      </c>
      <c r="B17828" t="str">
        <f>HYPERLINK("https://twitter.com/jrwang11","@jrwang11")</f>
        <v>@jrwang11</v>
      </c>
      <c r="C17828" t="s">
        <v>6338</v>
      </c>
      <c r="D17828">
        <v>278</v>
      </c>
      <c r="E17828">
        <v>0</v>
      </c>
      <c r="F17828">
        <v>19</v>
      </c>
    </row>
    <row r="17829" spans="1:6" ht="12.75">
      <c r="A17829" s="2">
        <v>43877.205347222218</v>
      </c>
      <c r="B17829" t="str">
        <f>HYPERLINK("https://twitter.com/idpenamini","@idpenamini")</f>
        <v>@idpenamini</v>
      </c>
      <c r="C17829" t="s">
        <v>9080</v>
      </c>
      <c r="D17829">
        <v>0</v>
      </c>
      <c r="E17829">
        <v>0</v>
      </c>
      <c r="F17829">
        <v>168</v>
      </c>
    </row>
    <row r="17830" spans="1:6" ht="12.75">
      <c r="A17830" s="2">
        <v>43877.205092592594</v>
      </c>
      <c r="B17830" t="str">
        <f>HYPERLINK("https://twitter.com/RickyKardjono","@RickyKardjono")</f>
        <v>@RickyKardjono</v>
      </c>
      <c r="C17830" t="s">
        <v>9081</v>
      </c>
      <c r="D17830">
        <v>0</v>
      </c>
      <c r="E17830">
        <v>0</v>
      </c>
      <c r="F17830">
        <v>1222</v>
      </c>
    </row>
    <row r="17831" spans="1:6" ht="12.75">
      <c r="A17831" s="2">
        <v>43877.204780092594</v>
      </c>
      <c r="B17831" t="str">
        <f>HYPERLINK("https://twitter.com/GerceklerThe","@GerceklerThe")</f>
        <v>@GerceklerThe</v>
      </c>
      <c r="C17831" t="s">
        <v>9082</v>
      </c>
      <c r="D17831">
        <v>101</v>
      </c>
      <c r="E17831">
        <v>0</v>
      </c>
      <c r="F17831">
        <v>33</v>
      </c>
    </row>
    <row r="17832" spans="1:6" ht="12.75">
      <c r="A17832" s="2">
        <v>43877.202916666662</v>
      </c>
      <c r="B17832" t="str">
        <f>HYPERLINK("https://twitter.com/Kabar_Tangsel","@Kabar_Tangsel")</f>
        <v>@Kabar_Tangsel</v>
      </c>
      <c r="C17832" t="s">
        <v>9083</v>
      </c>
      <c r="D17832">
        <v>0</v>
      </c>
      <c r="E17832">
        <v>0</v>
      </c>
      <c r="F17832">
        <v>14882</v>
      </c>
    </row>
    <row r="17833" spans="1:6" ht="12.75">
      <c r="A17833" s="2">
        <v>43877.202708333338</v>
      </c>
      <c r="B17833" t="str">
        <f>HYPERLINK("https://twitter.com/mikaherna","@mikaherna")</f>
        <v>@mikaherna</v>
      </c>
      <c r="C17833" t="s">
        <v>8493</v>
      </c>
      <c r="D17833">
        <v>49</v>
      </c>
      <c r="E17833">
        <v>0</v>
      </c>
      <c r="F17833">
        <v>53</v>
      </c>
    </row>
    <row r="17834" spans="1:6" ht="12.75">
      <c r="A17834" s="2">
        <v>43877.202245370368</v>
      </c>
      <c r="B17834" t="str">
        <f>HYPERLINK("https://twitter.com/CikalJsp","@CikalJsp")</f>
        <v>@CikalJsp</v>
      </c>
      <c r="C17834" t="s">
        <v>7261</v>
      </c>
      <c r="D17834">
        <v>93</v>
      </c>
      <c r="E17834">
        <v>0</v>
      </c>
      <c r="F17834">
        <v>150</v>
      </c>
    </row>
    <row r="17835" spans="1:6" ht="12.75">
      <c r="A17835" s="2">
        <v>43877.201504629629</v>
      </c>
      <c r="B17835" t="str">
        <f>HYPERLINK("https://twitter.com/nimssayu","@nimssayu")</f>
        <v>@nimssayu</v>
      </c>
      <c r="C17835" t="s">
        <v>8203</v>
      </c>
      <c r="D17835">
        <v>127</v>
      </c>
      <c r="E17835">
        <v>0</v>
      </c>
      <c r="F17835">
        <v>61</v>
      </c>
    </row>
    <row r="17836" spans="1:6" ht="12.75">
      <c r="A17836" s="2">
        <v>43877.200740740736</v>
      </c>
      <c r="B17836" t="str">
        <f>HYPERLINK("https://twitter.com/rpprastio","@rpprastio")</f>
        <v>@rpprastio</v>
      </c>
      <c r="C17836" t="s">
        <v>9084</v>
      </c>
      <c r="D17836">
        <v>0</v>
      </c>
      <c r="E17836">
        <v>0</v>
      </c>
      <c r="F17836">
        <v>157</v>
      </c>
    </row>
    <row r="17837" spans="1:6" ht="12.75">
      <c r="A17837" s="2">
        <v>43877.199664351851</v>
      </c>
      <c r="B17837" t="str">
        <f>HYPERLINK("https://twitter.com/ardoryza","@ardoryza")</f>
        <v>@ardoryza</v>
      </c>
      <c r="C17837" t="s">
        <v>6338</v>
      </c>
      <c r="D17837">
        <v>278</v>
      </c>
      <c r="E17837">
        <v>0</v>
      </c>
      <c r="F17837">
        <v>26</v>
      </c>
    </row>
    <row r="17838" spans="1:6" ht="12.75">
      <c r="A17838" s="2">
        <v>43877.199270833335</v>
      </c>
      <c r="B17838" t="str">
        <f>HYPERLINK("https://twitter.com/Muhd__wada","@Muhd__wada")</f>
        <v>@Muhd__wada</v>
      </c>
      <c r="C17838" t="s">
        <v>9085</v>
      </c>
      <c r="D17838">
        <v>0</v>
      </c>
      <c r="E17838">
        <v>0</v>
      </c>
      <c r="F17838">
        <v>3164</v>
      </c>
    </row>
    <row r="17839" spans="1:6" ht="12.75">
      <c r="A17839" s="2">
        <v>43877.19903935185</v>
      </c>
      <c r="B17839" t="str">
        <f>HYPERLINK("https://twitter.com/Edipurw61113168","@Edipurw61113168")</f>
        <v>@Edipurw61113168</v>
      </c>
      <c r="C17839" t="s">
        <v>9065</v>
      </c>
      <c r="D17839">
        <v>91</v>
      </c>
      <c r="E17839">
        <v>0</v>
      </c>
      <c r="F17839">
        <v>1201</v>
      </c>
    </row>
    <row r="17840" spans="1:6" ht="12.75">
      <c r="A17840" s="2">
        <v>43877.197789351849</v>
      </c>
      <c r="B17840" t="str">
        <f>HYPERLINK("https://twitter.com/kipyiksamgong","@kipyiksamgong")</f>
        <v>@kipyiksamgong</v>
      </c>
      <c r="C17840" t="s">
        <v>2147</v>
      </c>
      <c r="D17840">
        <v>479</v>
      </c>
      <c r="E17840">
        <v>0</v>
      </c>
      <c r="F17840">
        <v>1501</v>
      </c>
    </row>
    <row r="17841" spans="1:6" ht="12.75">
      <c r="A17841" s="2">
        <v>43877.197685185187</v>
      </c>
      <c r="B17841" t="str">
        <f>HYPERLINK("https://twitter.com/papamidnite_","@papamidnite_")</f>
        <v>@papamidnite_</v>
      </c>
      <c r="C17841" t="s">
        <v>6338</v>
      </c>
      <c r="D17841">
        <v>278</v>
      </c>
      <c r="E17841">
        <v>0</v>
      </c>
      <c r="F17841">
        <v>201</v>
      </c>
    </row>
    <row r="17842" spans="1:6" ht="12.75">
      <c r="A17842" s="2">
        <v>43877.197662037041</v>
      </c>
      <c r="B17842" t="str">
        <f>HYPERLINK("https://twitter.com/Iqbalalfiyan96","@Iqbalalfiyan96")</f>
        <v>@Iqbalalfiyan96</v>
      </c>
      <c r="C17842" t="s">
        <v>9086</v>
      </c>
      <c r="D17842">
        <v>0</v>
      </c>
      <c r="E17842">
        <v>0</v>
      </c>
      <c r="F17842">
        <v>64</v>
      </c>
    </row>
    <row r="17843" spans="1:6" ht="12.75">
      <c r="A17843" s="2">
        <v>43877.197534722218</v>
      </c>
      <c r="B17843" t="str">
        <f>HYPERLINK("https://twitter.com/__beritaterkini","@__beritaterkini")</f>
        <v>@__beritaterkini</v>
      </c>
      <c r="C17843" t="s">
        <v>9087</v>
      </c>
      <c r="D17843">
        <v>0</v>
      </c>
      <c r="E17843">
        <v>0</v>
      </c>
      <c r="F17843">
        <v>426</v>
      </c>
    </row>
    <row r="17844" spans="1:6" ht="12.75">
      <c r="A17844" s="2">
        <v>43877.197199074071</v>
      </c>
      <c r="B17844" t="str">
        <f>HYPERLINK("https://twitter.com/AEPishere","@AEPishere")</f>
        <v>@AEPishere</v>
      </c>
      <c r="C17844" t="s">
        <v>9068</v>
      </c>
      <c r="D17844">
        <v>2</v>
      </c>
      <c r="E17844">
        <v>0</v>
      </c>
      <c r="F17844">
        <v>3011</v>
      </c>
    </row>
    <row r="17845" spans="1:6" ht="12.75">
      <c r="A17845" s="2">
        <v>43877.196851851855</v>
      </c>
      <c r="B17845" t="str">
        <f>HYPERLINK("https://twitter.com/pelagandonge","@pelagandonge")</f>
        <v>@pelagandonge</v>
      </c>
      <c r="C17845" t="s">
        <v>9088</v>
      </c>
      <c r="D17845">
        <v>0</v>
      </c>
      <c r="E17845">
        <v>0</v>
      </c>
      <c r="F17845">
        <v>12</v>
      </c>
    </row>
    <row r="17846" spans="1:6" ht="12.75">
      <c r="A17846" s="2">
        <v>43877.195914351847</v>
      </c>
      <c r="B17846" t="str">
        <f>HYPERLINK("https://twitter.com/eddyranan","@eddyranan")</f>
        <v>@eddyranan</v>
      </c>
      <c r="C17846" t="s">
        <v>9089</v>
      </c>
      <c r="D17846">
        <v>0</v>
      </c>
      <c r="E17846">
        <v>0</v>
      </c>
      <c r="F17846">
        <v>31</v>
      </c>
    </row>
    <row r="17847" spans="1:6" ht="12.75">
      <c r="A17847" s="2">
        <v>43877.195810185185</v>
      </c>
      <c r="B17847" t="str">
        <f>HYPERLINK("https://twitter.com/erickjunjungan","@erickjunjungan")</f>
        <v>@erickjunjungan</v>
      </c>
      <c r="C17847" t="s">
        <v>6338</v>
      </c>
      <c r="D17847">
        <v>278</v>
      </c>
      <c r="E17847">
        <v>0</v>
      </c>
      <c r="F17847">
        <v>15</v>
      </c>
    </row>
    <row r="17848" spans="1:6" ht="12.75">
      <c r="A17848" s="2">
        <v>43877.19568287037</v>
      </c>
      <c r="B17848" t="str">
        <f>HYPERLINK("https://twitter.com/raissautami","@raissautami")</f>
        <v>@raissautami</v>
      </c>
      <c r="C17848" t="s">
        <v>2444</v>
      </c>
      <c r="D17848">
        <v>4483</v>
      </c>
      <c r="E17848">
        <v>0</v>
      </c>
      <c r="F17848">
        <v>629</v>
      </c>
    </row>
    <row r="17849" spans="1:6" ht="12.75">
      <c r="A17849" s="2">
        <v>43877.195474537039</v>
      </c>
      <c r="B17849" t="str">
        <f>HYPERLINK("https://twitter.com/mizog366","@mizog366")</f>
        <v>@mizog366</v>
      </c>
      <c r="C17849" t="s">
        <v>3150</v>
      </c>
      <c r="D17849">
        <v>235</v>
      </c>
      <c r="E17849">
        <v>0</v>
      </c>
      <c r="F17849">
        <v>1419</v>
      </c>
    </row>
    <row r="17850" spans="1:6" ht="12.75">
      <c r="A17850" s="2">
        <v>43877.1950462963</v>
      </c>
      <c r="B17850" t="str">
        <f>HYPERLINK("https://twitter.com/Carabayne666","@Carabayne666")</f>
        <v>@Carabayne666</v>
      </c>
      <c r="C17850" t="s">
        <v>3150</v>
      </c>
      <c r="D17850">
        <v>235</v>
      </c>
      <c r="E17850">
        <v>0</v>
      </c>
      <c r="F17850">
        <v>318</v>
      </c>
    </row>
    <row r="17851" spans="1:6" ht="12.75">
      <c r="A17851" s="2">
        <v>43877.1950462963</v>
      </c>
      <c r="B17851" t="str">
        <f>HYPERLINK("https://twitter.com/MuchammadChadr1","@MuchammadChadr1")</f>
        <v>@MuchammadChadr1</v>
      </c>
      <c r="C17851" t="s">
        <v>9090</v>
      </c>
      <c r="D17851">
        <v>0</v>
      </c>
      <c r="E17851">
        <v>0</v>
      </c>
      <c r="F17851">
        <v>3</v>
      </c>
    </row>
    <row r="17852" spans="1:6" ht="12.75">
      <c r="A17852" s="2">
        <v>43877.195034722223</v>
      </c>
      <c r="B17852" t="str">
        <f>HYPERLINK("https://twitter.com/initclnotbcl","@initclnotbcl")</f>
        <v>@initclnotbcl</v>
      </c>
      <c r="C17852" t="s">
        <v>2444</v>
      </c>
      <c r="D17852">
        <v>4483</v>
      </c>
      <c r="E17852">
        <v>0</v>
      </c>
      <c r="F17852">
        <v>193</v>
      </c>
    </row>
    <row r="17853" spans="1:6" ht="12.75">
      <c r="A17853" s="2">
        <v>43877.194641203707</v>
      </c>
      <c r="B17853" t="str">
        <f>HYPERLINK("https://twitter.com/RahmatTran","@RahmatTran")</f>
        <v>@RahmatTran</v>
      </c>
      <c r="C17853" t="s">
        <v>6338</v>
      </c>
      <c r="D17853">
        <v>278</v>
      </c>
      <c r="E17853">
        <v>0</v>
      </c>
      <c r="F17853">
        <v>67</v>
      </c>
    </row>
    <row r="17854" spans="1:6" ht="12.75">
      <c r="A17854" s="2">
        <v>43877.194189814814</v>
      </c>
      <c r="B17854" t="str">
        <f>HYPERLINK("https://twitter.com/ny_tan_jun_kim","@ny_tan_jun_kim")</f>
        <v>@ny_tan_jun_kim</v>
      </c>
      <c r="C17854" t="s">
        <v>6338</v>
      </c>
      <c r="D17854">
        <v>278</v>
      </c>
      <c r="E17854">
        <v>0</v>
      </c>
      <c r="F17854">
        <v>89</v>
      </c>
    </row>
    <row r="17855" spans="1:6" ht="12.75">
      <c r="A17855" s="2">
        <v>43877.193078703705</v>
      </c>
      <c r="B17855" t="str">
        <f>HYPERLINK("https://twitter.com/veraagustian_","@veraagustian_")</f>
        <v>@veraagustian_</v>
      </c>
      <c r="C17855" t="s">
        <v>8203</v>
      </c>
      <c r="D17855">
        <v>127</v>
      </c>
      <c r="E17855">
        <v>0</v>
      </c>
      <c r="F17855">
        <v>2960</v>
      </c>
    </row>
    <row r="17856" spans="1:6" ht="12.75">
      <c r="A17856" s="2">
        <v>43877.192465277782</v>
      </c>
      <c r="B17856" t="str">
        <f>HYPERLINK("https://twitter.com/emarlasmono","@emarlasmono")</f>
        <v>@emarlasmono</v>
      </c>
      <c r="C17856" t="s">
        <v>9091</v>
      </c>
      <c r="D17856">
        <v>30</v>
      </c>
      <c r="E17856">
        <v>0</v>
      </c>
      <c r="F17856">
        <v>986</v>
      </c>
    </row>
    <row r="17857" spans="1:6" ht="12.75">
      <c r="A17857" s="2">
        <v>43877.192048611112</v>
      </c>
      <c r="B17857" t="str">
        <f>HYPERLINK("https://twitter.com/IwanArp13","@IwanArp13")</f>
        <v>@IwanArp13</v>
      </c>
      <c r="C17857" t="s">
        <v>8053</v>
      </c>
      <c r="D17857">
        <v>29</v>
      </c>
      <c r="E17857">
        <v>0</v>
      </c>
      <c r="F17857">
        <v>55</v>
      </c>
    </row>
    <row r="17858" spans="1:6" ht="12.75">
      <c r="A17858" s="2">
        <v>43877.191516203704</v>
      </c>
      <c r="B17858" t="str">
        <f>HYPERLINK("https://twitter.com/kompasiana","@kompasiana")</f>
        <v>@kompasiana</v>
      </c>
      <c r="C17858" t="s">
        <v>9092</v>
      </c>
      <c r="D17858">
        <v>0</v>
      </c>
      <c r="E17858">
        <v>2</v>
      </c>
      <c r="F17858">
        <v>928154</v>
      </c>
    </row>
    <row r="17859" spans="1:6" ht="12.75">
      <c r="A17859" s="2">
        <v>43877.191354166665</v>
      </c>
      <c r="B17859" t="str">
        <f>HYPERLINK("https://twitter.com/Gobang09791575","@Gobang09791575")</f>
        <v>@Gobang09791575</v>
      </c>
      <c r="C17859" t="s">
        <v>6338</v>
      </c>
      <c r="D17859">
        <v>278</v>
      </c>
      <c r="E17859">
        <v>0</v>
      </c>
      <c r="F17859">
        <v>1217</v>
      </c>
    </row>
    <row r="17860" spans="1:6" ht="12.75">
      <c r="A17860" s="2">
        <v>43877.190972222219</v>
      </c>
      <c r="B17860" t="str">
        <f>HYPERLINK("https://twitter.com/BungaranMario","@BungaranMario")</f>
        <v>@BungaranMario</v>
      </c>
      <c r="C17860" t="s">
        <v>6338</v>
      </c>
      <c r="D17860">
        <v>278</v>
      </c>
      <c r="E17860">
        <v>0</v>
      </c>
      <c r="F17860">
        <v>89</v>
      </c>
    </row>
    <row r="17861" spans="1:6" ht="12.75">
      <c r="A17861" s="2">
        <v>43877.190879629634</v>
      </c>
      <c r="B17861" t="str">
        <f>HYPERLINK("https://twitter.com/BirchJonh","@BirchJonh")</f>
        <v>@BirchJonh</v>
      </c>
      <c r="C17861" t="s">
        <v>3150</v>
      </c>
      <c r="D17861">
        <v>235</v>
      </c>
      <c r="E17861">
        <v>0</v>
      </c>
      <c r="F17861">
        <v>17135</v>
      </c>
    </row>
    <row r="17862" spans="1:6" ht="12.75">
      <c r="A17862" s="2">
        <v>43877.189849537041</v>
      </c>
      <c r="B17862" t="str">
        <f>HYPERLINK("https://twitter.com/gfaithlee","@gfaithlee")</f>
        <v>@gfaithlee</v>
      </c>
      <c r="C17862" t="s">
        <v>8203</v>
      </c>
      <c r="D17862">
        <v>127</v>
      </c>
      <c r="E17862">
        <v>0</v>
      </c>
      <c r="F17862">
        <v>148</v>
      </c>
    </row>
    <row r="17863" spans="1:6" ht="12.75">
      <c r="A17863" s="2">
        <v>43877.189513888894</v>
      </c>
      <c r="B17863" t="str">
        <f>HYPERLINK("https://twitter.com/sgspurr","@sgspurr")</f>
        <v>@sgspurr</v>
      </c>
      <c r="C17863" t="s">
        <v>3150</v>
      </c>
      <c r="D17863">
        <v>235</v>
      </c>
      <c r="E17863">
        <v>0</v>
      </c>
      <c r="F17863">
        <v>10699</v>
      </c>
    </row>
    <row r="17864" spans="1:6" ht="12.75">
      <c r="A17864" s="2">
        <v>43877.189062500001</v>
      </c>
      <c r="B17864" t="str">
        <f>HYPERLINK("https://twitter.com/GbdJayakarta","@GbdJayakarta")</f>
        <v>@GbdJayakarta</v>
      </c>
      <c r="C17864" t="s">
        <v>8598</v>
      </c>
      <c r="D17864">
        <v>4</v>
      </c>
      <c r="E17864">
        <v>0</v>
      </c>
      <c r="F17864">
        <v>248</v>
      </c>
    </row>
    <row r="17865" spans="1:6" ht="12.75">
      <c r="A17865" s="2">
        <v>43877.188020833331</v>
      </c>
      <c r="B17865" t="str">
        <f>HYPERLINK("https://twitter.com/AmidalaNiang","@AmidalaNiang")</f>
        <v>@AmidalaNiang</v>
      </c>
      <c r="C17865" t="s">
        <v>6338</v>
      </c>
      <c r="D17865">
        <v>278</v>
      </c>
      <c r="E17865">
        <v>0</v>
      </c>
      <c r="F17865">
        <v>1479</v>
      </c>
    </row>
    <row r="17866" spans="1:6" ht="12.75">
      <c r="A17866" s="2">
        <v>43877.187974537039</v>
      </c>
      <c r="B17866" t="str">
        <f>HYPERLINK("https://twitter.com/KadrunK","@KadrunK")</f>
        <v>@KadrunK</v>
      </c>
      <c r="C17866" t="s">
        <v>3461</v>
      </c>
      <c r="D17866">
        <v>236</v>
      </c>
      <c r="E17866">
        <v>0</v>
      </c>
      <c r="F17866">
        <v>10</v>
      </c>
    </row>
    <row r="17867" spans="1:6" ht="12.75">
      <c r="A17867" s="2">
        <v>43877.187951388885</v>
      </c>
      <c r="B17867" t="str">
        <f>HYPERLINK("https://twitter.com/cendananews","@cendananews")</f>
        <v>@cendananews</v>
      </c>
      <c r="C17867" t="s">
        <v>9093</v>
      </c>
      <c r="D17867">
        <v>0</v>
      </c>
      <c r="E17867">
        <v>0</v>
      </c>
      <c r="F17867">
        <v>4569</v>
      </c>
    </row>
    <row r="17868" spans="1:6" ht="12.75">
      <c r="A17868" s="2">
        <v>43877.187534722223</v>
      </c>
      <c r="B17868" t="str">
        <f>HYPERLINK("https://twitter.com/AtiekKusriani","@AtiekKusriani")</f>
        <v>@AtiekKusriani</v>
      </c>
      <c r="C17868" t="s">
        <v>8665</v>
      </c>
      <c r="D17868">
        <v>231</v>
      </c>
      <c r="E17868">
        <v>0</v>
      </c>
      <c r="F17868">
        <v>1</v>
      </c>
    </row>
    <row r="17869" spans="1:6" ht="12.75">
      <c r="A17869" s="2">
        <v>43877.183958333335</v>
      </c>
      <c r="B17869" t="str">
        <f>HYPERLINK("https://twitter.com/kakguna1","@kakguna1")</f>
        <v>@kakguna1</v>
      </c>
      <c r="C17869" t="s">
        <v>9094</v>
      </c>
      <c r="D17869">
        <v>0</v>
      </c>
      <c r="E17869">
        <v>0</v>
      </c>
      <c r="F17869">
        <v>4</v>
      </c>
    </row>
    <row r="17870" spans="1:6" ht="12.75">
      <c r="A17870" s="2">
        <v>43877.183946759258</v>
      </c>
      <c r="B17870" t="str">
        <f>HYPERLINK("https://twitter.com/AmidalaNiang","@AmidalaNiang")</f>
        <v>@AmidalaNiang</v>
      </c>
      <c r="C17870" t="s">
        <v>8897</v>
      </c>
      <c r="D17870">
        <v>38</v>
      </c>
      <c r="E17870">
        <v>0</v>
      </c>
      <c r="F17870">
        <v>1479</v>
      </c>
    </row>
    <row r="17871" spans="1:6" ht="12.75">
      <c r="A17871" s="2">
        <v>43877.182754629626</v>
      </c>
      <c r="B17871" t="str">
        <f>HYPERLINK("https://twitter.com/dedisetiawan30","@dedisetiawan30")</f>
        <v>@dedisetiawan30</v>
      </c>
      <c r="C17871" t="s">
        <v>6338</v>
      </c>
      <c r="D17871">
        <v>278</v>
      </c>
      <c r="E17871">
        <v>0</v>
      </c>
      <c r="F17871">
        <v>342</v>
      </c>
    </row>
    <row r="17872" spans="1:6" ht="12.75">
      <c r="A17872" s="2">
        <v>43877.182060185187</v>
      </c>
      <c r="B17872" t="str">
        <f>HYPERLINK("https://twitter.com/abs131","@abs131")</f>
        <v>@abs131</v>
      </c>
      <c r="C17872" t="s">
        <v>9095</v>
      </c>
      <c r="D17872">
        <v>0</v>
      </c>
      <c r="E17872">
        <v>0</v>
      </c>
      <c r="F17872">
        <v>27</v>
      </c>
    </row>
    <row r="17873" spans="1:6" ht="12.75">
      <c r="A17873" s="2">
        <v>43877.181898148148</v>
      </c>
      <c r="B17873" t="str">
        <f>HYPERLINK("https://twitter.com/xiyulinglee","@xiyulinglee")</f>
        <v>@xiyulinglee</v>
      </c>
      <c r="C17873" t="s">
        <v>9096</v>
      </c>
      <c r="D17873">
        <v>213</v>
      </c>
      <c r="E17873">
        <v>0</v>
      </c>
      <c r="F17873">
        <v>244</v>
      </c>
    </row>
    <row r="17874" spans="1:6" ht="12.75">
      <c r="A17874" s="2">
        <v>43877.180590277778</v>
      </c>
      <c r="B17874" t="str">
        <f>HYPERLINK("https://twitter.com/a_hastara","@a_hastara")</f>
        <v>@a_hastara</v>
      </c>
      <c r="C17874" t="s">
        <v>6338</v>
      </c>
      <c r="D17874">
        <v>278</v>
      </c>
      <c r="E17874">
        <v>0</v>
      </c>
      <c r="F17874">
        <v>77</v>
      </c>
    </row>
    <row r="17875" spans="1:6" ht="12.75">
      <c r="A17875" s="2">
        <v>43877.18</v>
      </c>
      <c r="B17875" t="str">
        <f>HYPERLINK("https://twitter.com/mrzzaap","@mrzzaap")</f>
        <v>@mrzzaap</v>
      </c>
      <c r="C17875" t="s">
        <v>175</v>
      </c>
      <c r="D17875">
        <v>5353</v>
      </c>
      <c r="E17875">
        <v>0</v>
      </c>
      <c r="F17875">
        <v>259</v>
      </c>
    </row>
    <row r="17876" spans="1:6" ht="12.75">
      <c r="A17876" s="2">
        <v>43877.179895833338</v>
      </c>
      <c r="B17876" t="str">
        <f>HYPERLINK("https://twitter.com/SugiMauk","@SugiMauk")</f>
        <v>@SugiMauk</v>
      </c>
      <c r="C17876" t="s">
        <v>6338</v>
      </c>
      <c r="D17876">
        <v>278</v>
      </c>
      <c r="E17876">
        <v>0</v>
      </c>
      <c r="F17876">
        <v>1506</v>
      </c>
    </row>
    <row r="17877" spans="1:6" ht="12.75">
      <c r="A17877" s="2">
        <v>43877.17895833333</v>
      </c>
      <c r="B17877" t="str">
        <f>HYPERLINK("https://twitter.com/akucantekbanget","@akucantekbanget")</f>
        <v>@akucantekbanget</v>
      </c>
      <c r="C17877" t="s">
        <v>9097</v>
      </c>
      <c r="D17877">
        <v>0</v>
      </c>
      <c r="E17877">
        <v>0</v>
      </c>
      <c r="F17877">
        <v>6</v>
      </c>
    </row>
    <row r="17878" spans="1:6" ht="12.75">
      <c r="A17878" s="2">
        <v>43877.178541666668</v>
      </c>
      <c r="B17878" t="str">
        <f>HYPERLINK("https://twitter.com/HalimTeuku","@HalimTeuku")</f>
        <v>@HalimTeuku</v>
      </c>
      <c r="C17878" t="s">
        <v>9098</v>
      </c>
      <c r="D17878">
        <v>0</v>
      </c>
      <c r="E17878">
        <v>0</v>
      </c>
      <c r="F17878">
        <v>3442</v>
      </c>
    </row>
    <row r="17879" spans="1:6" ht="12.75">
      <c r="A17879" s="2">
        <v>43877.177789351852</v>
      </c>
      <c r="B17879" t="str">
        <f>HYPERLINK("https://twitter.com/becak125cc","@becak125cc")</f>
        <v>@becak125cc</v>
      </c>
      <c r="C17879" t="s">
        <v>8665</v>
      </c>
      <c r="D17879">
        <v>231</v>
      </c>
      <c r="E17879">
        <v>0</v>
      </c>
      <c r="F17879">
        <v>500</v>
      </c>
    </row>
    <row r="17880" spans="1:6" ht="12.75">
      <c r="A17880" s="2">
        <v>43877.177650462967</v>
      </c>
      <c r="B17880" t="str">
        <f>HYPERLINK("https://twitter.com/inveritas15","@inveritas15")</f>
        <v>@inveritas15</v>
      </c>
      <c r="C17880" t="s">
        <v>3150</v>
      </c>
      <c r="D17880">
        <v>235</v>
      </c>
      <c r="E17880">
        <v>0</v>
      </c>
      <c r="F17880">
        <v>906</v>
      </c>
    </row>
    <row r="17881" spans="1:6" ht="12.75">
      <c r="A17881" s="2">
        <v>43877.177118055552</v>
      </c>
      <c r="B17881" t="str">
        <f>HYPERLINK("https://twitter.com/SayHeiYu","@SayHeiYu")</f>
        <v>@SayHeiYu</v>
      </c>
      <c r="C17881" t="s">
        <v>7958</v>
      </c>
      <c r="D17881">
        <v>0</v>
      </c>
      <c r="E17881">
        <v>0</v>
      </c>
      <c r="F17881">
        <v>120168</v>
      </c>
    </row>
    <row r="17882" spans="1:6" ht="12.75">
      <c r="A17882" s="2">
        <v>43877.175729166665</v>
      </c>
      <c r="B17882" t="str">
        <f>HYPERLINK("https://twitter.com/suaradotcom","@suaradotcom")</f>
        <v>@suaradotcom</v>
      </c>
      <c r="C17882" t="s">
        <v>9099</v>
      </c>
      <c r="D17882">
        <v>0</v>
      </c>
      <c r="E17882">
        <v>0</v>
      </c>
      <c r="F17882">
        <v>24158</v>
      </c>
    </row>
    <row r="17883" spans="1:6" ht="12.75">
      <c r="A17883" s="2">
        <v>43877.175706018519</v>
      </c>
      <c r="B17883" t="str">
        <f>HYPERLINK("https://twitter.com/adindaafitriii_","@adindaafitriii_")</f>
        <v>@adindaafitriii_</v>
      </c>
      <c r="C17883" t="s">
        <v>5168</v>
      </c>
      <c r="D17883">
        <v>1633</v>
      </c>
      <c r="E17883">
        <v>0</v>
      </c>
      <c r="F17883">
        <v>266</v>
      </c>
    </row>
    <row r="17884" spans="1:6" ht="12.75">
      <c r="A17884" s="2">
        <v>43877.175347222219</v>
      </c>
      <c r="B17884" t="str">
        <f>HYPERLINK("https://twitter.com/tokpitut","@tokpitut")</f>
        <v>@tokpitut</v>
      </c>
      <c r="C17884" t="s">
        <v>8977</v>
      </c>
      <c r="D17884">
        <v>44</v>
      </c>
      <c r="E17884">
        <v>0</v>
      </c>
      <c r="F17884">
        <v>786</v>
      </c>
    </row>
    <row r="17885" spans="1:6" ht="12.75">
      <c r="A17885" s="2">
        <v>43877.174988425926</v>
      </c>
      <c r="B17885" t="str">
        <f>HYPERLINK("https://twitter.com/fachrusayapemas","@fachrusayapemas")</f>
        <v>@fachrusayapemas</v>
      </c>
      <c r="C17885" t="s">
        <v>8257</v>
      </c>
      <c r="D17885">
        <v>36</v>
      </c>
      <c r="E17885">
        <v>0</v>
      </c>
      <c r="F17885">
        <v>151</v>
      </c>
    </row>
    <row r="17886" spans="1:6" ht="12.75">
      <c r="A17886" s="2">
        <v>43877.174155092594</v>
      </c>
      <c r="B17886" t="str">
        <f>HYPERLINK("https://twitter.com/AldhimFauzi","@AldhimFauzi")</f>
        <v>@AldhimFauzi</v>
      </c>
      <c r="C17886" t="s">
        <v>9100</v>
      </c>
      <c r="D17886">
        <v>0</v>
      </c>
      <c r="E17886">
        <v>0</v>
      </c>
      <c r="F17886">
        <v>40</v>
      </c>
    </row>
    <row r="17887" spans="1:6" ht="12.75">
      <c r="A17887" s="2">
        <v>43877.174120370371</v>
      </c>
      <c r="B17887" t="str">
        <f>HYPERLINK("https://twitter.com/Awal_Kembara","@Awal_Kembara")</f>
        <v>@Awal_Kembara</v>
      </c>
      <c r="C17887" t="s">
        <v>3059</v>
      </c>
      <c r="D17887">
        <v>286</v>
      </c>
      <c r="E17887">
        <v>0</v>
      </c>
      <c r="F17887">
        <v>337</v>
      </c>
    </row>
    <row r="17888" spans="1:6" ht="12.75">
      <c r="A17888" s="2">
        <v>43877.173819444448</v>
      </c>
      <c r="B17888" t="str">
        <f>HYPERLINK("https://twitter.com/FernandhoPrata1","@FernandhoPrata1")</f>
        <v>@FernandhoPrata1</v>
      </c>
      <c r="C17888" t="s">
        <v>9101</v>
      </c>
      <c r="D17888">
        <v>0</v>
      </c>
      <c r="E17888">
        <v>0</v>
      </c>
      <c r="F17888">
        <v>40</v>
      </c>
    </row>
    <row r="17889" spans="1:6" ht="12.75">
      <c r="A17889" s="2">
        <v>43877.173657407402</v>
      </c>
      <c r="B17889" t="str">
        <f>HYPERLINK("https://twitter.com/SaputtraArdi","@SaputtraArdi")</f>
        <v>@SaputtraArdi</v>
      </c>
      <c r="C17889" t="s">
        <v>9102</v>
      </c>
      <c r="D17889">
        <v>0</v>
      </c>
      <c r="E17889">
        <v>0</v>
      </c>
      <c r="F17889">
        <v>31</v>
      </c>
    </row>
    <row r="17890" spans="1:6" ht="12.75">
      <c r="A17890" s="2">
        <v>43877.173634259263</v>
      </c>
      <c r="B17890" t="str">
        <f>HYPERLINK("https://twitter.com/alineadotid","@alineadotid")</f>
        <v>@alineadotid</v>
      </c>
      <c r="C17890" t="s">
        <v>9103</v>
      </c>
      <c r="D17890">
        <v>0</v>
      </c>
      <c r="E17890">
        <v>0</v>
      </c>
      <c r="F17890">
        <v>611992</v>
      </c>
    </row>
    <row r="17891" spans="1:6" ht="12.75">
      <c r="A17891" s="2">
        <v>43877.173611111109</v>
      </c>
      <c r="B17891" t="str">
        <f>HYPERLINK("https://twitter.com/indonesiana","@indonesiana")</f>
        <v>@indonesiana</v>
      </c>
      <c r="C17891" t="s">
        <v>9104</v>
      </c>
      <c r="D17891">
        <v>0</v>
      </c>
      <c r="E17891">
        <v>0</v>
      </c>
      <c r="F17891">
        <v>49521</v>
      </c>
    </row>
    <row r="17892" spans="1:6" ht="12.75">
      <c r="A17892" s="2">
        <v>43877.173495370371</v>
      </c>
      <c r="B17892" t="str">
        <f>HYPERLINK("https://twitter.com/ElvaIndahsari","@ElvaIndahsari")</f>
        <v>@ElvaIndahsari</v>
      </c>
      <c r="C17892" t="s">
        <v>9105</v>
      </c>
      <c r="D17892">
        <v>0</v>
      </c>
      <c r="E17892">
        <v>0</v>
      </c>
      <c r="F17892">
        <v>32</v>
      </c>
    </row>
    <row r="17893" spans="1:6" ht="12.75">
      <c r="A17893" s="2">
        <v>43877.172453703708</v>
      </c>
      <c r="B17893" t="str">
        <f>HYPERLINK("https://twitter.com/marzuki450","@marzuki450")</f>
        <v>@marzuki450</v>
      </c>
      <c r="C17893" t="s">
        <v>9106</v>
      </c>
      <c r="D17893">
        <v>1</v>
      </c>
      <c r="E17893">
        <v>0</v>
      </c>
      <c r="F17893">
        <v>43</v>
      </c>
    </row>
    <row r="17894" spans="1:6" ht="12.75">
      <c r="A17894" s="2">
        <v>43877.172152777777</v>
      </c>
      <c r="B17894" t="str">
        <f>HYPERLINK("https://twitter.com/Zackf77156873","@Zackf77156873")</f>
        <v>@Zackf77156873</v>
      </c>
      <c r="C17894" t="s">
        <v>6338</v>
      </c>
      <c r="D17894">
        <v>278</v>
      </c>
      <c r="E17894">
        <v>0</v>
      </c>
      <c r="F17894">
        <v>227</v>
      </c>
    </row>
    <row r="17895" spans="1:6" ht="12.75">
      <c r="A17895" s="2">
        <v>43877.171203703707</v>
      </c>
      <c r="B17895" t="str">
        <f>HYPERLINK("https://twitter.com/PetunjukSehat","@PetunjukSehat")</f>
        <v>@PetunjukSehat</v>
      </c>
      <c r="C17895" t="s">
        <v>9107</v>
      </c>
      <c r="D17895">
        <v>0</v>
      </c>
      <c r="E17895">
        <v>0</v>
      </c>
      <c r="F17895">
        <v>503</v>
      </c>
    </row>
    <row r="17896" spans="1:6" ht="12.75">
      <c r="A17896" s="2">
        <v>43877.170729166668</v>
      </c>
      <c r="B17896" t="str">
        <f>HYPERLINK("https://twitter.com/riorzkypratama","@riorzkypratama")</f>
        <v>@riorzkypratama</v>
      </c>
      <c r="C17896" t="s">
        <v>9108</v>
      </c>
      <c r="D17896">
        <v>0</v>
      </c>
      <c r="E17896">
        <v>0</v>
      </c>
      <c r="F17896">
        <v>549</v>
      </c>
    </row>
    <row r="17897" spans="1:6" ht="12.75">
      <c r="A17897" s="2">
        <v>43877.169548611113</v>
      </c>
      <c r="B17897" t="str">
        <f>HYPERLINK("https://twitter.com/diditmuhammad","@diditmuhammad")</f>
        <v>@diditmuhammad</v>
      </c>
      <c r="C17897" t="s">
        <v>7261</v>
      </c>
      <c r="D17897">
        <v>93</v>
      </c>
      <c r="E17897">
        <v>0</v>
      </c>
      <c r="F17897">
        <v>499</v>
      </c>
    </row>
    <row r="17898" spans="1:6" ht="12.75">
      <c r="A17898" s="2">
        <v>43877.167696759258</v>
      </c>
      <c r="B17898" t="str">
        <f>HYPERLINK("https://twitter.com/dundeefloplove","@dundeefloplove")</f>
        <v>@dundeefloplove</v>
      </c>
      <c r="C17898" t="s">
        <v>6338</v>
      </c>
      <c r="D17898">
        <v>260</v>
      </c>
      <c r="E17898">
        <v>0</v>
      </c>
      <c r="F17898">
        <v>18</v>
      </c>
    </row>
    <row r="17899" spans="1:6" ht="12.75">
      <c r="A17899" s="2">
        <v>43877.16673611111</v>
      </c>
      <c r="B17899" t="str">
        <f>HYPERLINK("https://twitter.com/HarianKalteng","@HarianKalteng")</f>
        <v>@HarianKalteng</v>
      </c>
      <c r="C17899" t="s">
        <v>9109</v>
      </c>
      <c r="D17899">
        <v>0</v>
      </c>
      <c r="E17899">
        <v>0</v>
      </c>
      <c r="F17899">
        <v>424</v>
      </c>
    </row>
    <row r="17900" spans="1:6" ht="12.75">
      <c r="A17900" s="2">
        <v>43877.164953703701</v>
      </c>
      <c r="B17900" t="str">
        <f>HYPERLINK("https://twitter.com/POTRETNEWSriau","@POTRETNEWSriau")</f>
        <v>@POTRETNEWSriau</v>
      </c>
      <c r="C17900" t="s">
        <v>9110</v>
      </c>
      <c r="D17900">
        <v>0</v>
      </c>
      <c r="E17900">
        <v>0</v>
      </c>
      <c r="F17900">
        <v>8695</v>
      </c>
    </row>
    <row r="17901" spans="1:6" ht="12.75">
      <c r="A17901" s="2">
        <v>43877.162581018521</v>
      </c>
      <c r="B17901" t="str">
        <f>HYPERLINK("https://twitter.com/__beritaterkini","@__beritaterkini")</f>
        <v>@__beritaterkini</v>
      </c>
      <c r="C17901" t="s">
        <v>9111</v>
      </c>
      <c r="D17901">
        <v>0</v>
      </c>
      <c r="E17901">
        <v>0</v>
      </c>
      <c r="F17901">
        <v>426</v>
      </c>
    </row>
    <row r="17902" spans="1:6" ht="12.75">
      <c r="A17902" s="2">
        <v>43877.161481481482</v>
      </c>
      <c r="B17902" t="str">
        <f>HYPERLINK("https://twitter.com/Antono79158001","@Antono79158001")</f>
        <v>@Antono79158001</v>
      </c>
      <c r="C17902" t="s">
        <v>2147</v>
      </c>
      <c r="D17902">
        <v>475</v>
      </c>
      <c r="E17902">
        <v>0</v>
      </c>
      <c r="F17902">
        <v>92</v>
      </c>
    </row>
    <row r="17903" spans="1:6" ht="12.75">
      <c r="A17903" s="2">
        <v>43877.160451388889</v>
      </c>
      <c r="B17903" t="str">
        <f>HYPERLINK("https://twitter.com/utamanewscom","@utamanewscom")</f>
        <v>@utamanewscom</v>
      </c>
      <c r="C17903" t="s">
        <v>8185</v>
      </c>
      <c r="D17903">
        <v>0</v>
      </c>
      <c r="E17903">
        <v>0</v>
      </c>
      <c r="F17903">
        <v>959</v>
      </c>
    </row>
    <row r="17904" spans="1:6" ht="12.75">
      <c r="A17904" s="2">
        <v>43877.160451388889</v>
      </c>
      <c r="B17904" t="str">
        <f>HYPERLINK("https://twitter.com/lsm_mrtbt_sumut","@lsm_mrtbt_sumut")</f>
        <v>@lsm_mrtbt_sumut</v>
      </c>
      <c r="C17904" t="s">
        <v>8185</v>
      </c>
      <c r="D17904">
        <v>0</v>
      </c>
      <c r="E17904">
        <v>0</v>
      </c>
      <c r="F17904">
        <v>127</v>
      </c>
    </row>
    <row r="17905" spans="1:6" ht="12.75">
      <c r="A17905" s="2">
        <v>43877.159386574072</v>
      </c>
      <c r="B17905" t="str">
        <f>HYPERLINK("https://twitter.com/XpetzD","@XpetzD")</f>
        <v>@XpetzD</v>
      </c>
      <c r="C17905" t="s">
        <v>9112</v>
      </c>
      <c r="D17905">
        <v>0</v>
      </c>
      <c r="E17905">
        <v>0</v>
      </c>
      <c r="F17905">
        <v>1190</v>
      </c>
    </row>
    <row r="17906" spans="1:6" ht="12.75">
      <c r="A17906" s="2">
        <v>43877.15896990741</v>
      </c>
      <c r="B17906" t="str">
        <f>HYPERLINK("https://twitter.com/bukan_doblehh","@bukan_doblehh")</f>
        <v>@bukan_doblehh</v>
      </c>
      <c r="C17906" t="s">
        <v>9113</v>
      </c>
      <c r="D17906">
        <v>312</v>
      </c>
      <c r="E17906">
        <v>0</v>
      </c>
      <c r="F17906">
        <v>3</v>
      </c>
    </row>
    <row r="17907" spans="1:6" ht="12.75">
      <c r="A17907" s="2">
        <v>43877.158854166672</v>
      </c>
      <c r="B17907" t="str">
        <f>HYPERLINK("https://twitter.com/AbangSiapa","@AbangSiapa")</f>
        <v>@AbangSiapa</v>
      </c>
      <c r="C17907" t="s">
        <v>9114</v>
      </c>
      <c r="D17907">
        <v>0</v>
      </c>
      <c r="E17907">
        <v>0</v>
      </c>
      <c r="F17907">
        <v>103</v>
      </c>
    </row>
    <row r="17908" spans="1:6" ht="12.75">
      <c r="A17908" s="2">
        <v>43877.158692129626</v>
      </c>
      <c r="B17908" t="str">
        <f>HYPERLINK("https://twitter.com/koloni_saham","@koloni_saham")</f>
        <v>@koloni_saham</v>
      </c>
      <c r="C17908" t="s">
        <v>9115</v>
      </c>
      <c r="D17908">
        <v>0</v>
      </c>
      <c r="E17908">
        <v>0</v>
      </c>
      <c r="F17908">
        <v>51</v>
      </c>
    </row>
    <row r="17909" spans="1:6" ht="12.75">
      <c r="A17909" s="2">
        <v>43877.157557870371</v>
      </c>
      <c r="B17909" t="str">
        <f>HYPERLINK("https://twitter.com/sipenakecil","@sipenakecil")</f>
        <v>@sipenakecil</v>
      </c>
      <c r="C17909" t="s">
        <v>6338</v>
      </c>
      <c r="D17909">
        <v>260</v>
      </c>
      <c r="E17909">
        <v>0</v>
      </c>
      <c r="F17909">
        <v>11464</v>
      </c>
    </row>
    <row r="17910" spans="1:6" ht="12.75">
      <c r="A17910" s="2">
        <v>43877.156724537039</v>
      </c>
      <c r="B17910" t="str">
        <f>HYPERLINK("https://twitter.com/Maulida42410037","@Maulida42410037")</f>
        <v>@Maulida42410037</v>
      </c>
      <c r="C17910" t="s">
        <v>9116</v>
      </c>
      <c r="D17910">
        <v>0</v>
      </c>
      <c r="E17910">
        <v>0</v>
      </c>
      <c r="F17910">
        <v>55</v>
      </c>
    </row>
    <row r="17911" spans="1:6" ht="12.75">
      <c r="A17911" s="2">
        <v>43877.156284722223</v>
      </c>
      <c r="B17911" t="str">
        <f>HYPERLINK("https://twitter.com/bimapranantaa","@bimapranantaa")</f>
        <v>@bimapranantaa</v>
      </c>
      <c r="C17911" t="s">
        <v>8977</v>
      </c>
      <c r="D17911">
        <v>43</v>
      </c>
      <c r="E17911">
        <v>0</v>
      </c>
      <c r="F17911">
        <v>2604</v>
      </c>
    </row>
    <row r="17912" spans="1:6" ht="12.75">
      <c r="A17912" s="2">
        <v>43877.15552083333</v>
      </c>
      <c r="B17912" t="str">
        <f>HYPERLINK("https://twitter.com/fachrusayapemas","@fachrusayapemas")</f>
        <v>@fachrusayapemas</v>
      </c>
      <c r="C17912" t="s">
        <v>9117</v>
      </c>
      <c r="D17912">
        <v>58</v>
      </c>
      <c r="E17912">
        <v>0</v>
      </c>
      <c r="F17912">
        <v>151</v>
      </c>
    </row>
    <row r="17913" spans="1:6" ht="12.75">
      <c r="A17913" s="2">
        <v>43877.155011574076</v>
      </c>
      <c r="B17913" t="str">
        <f>HYPERLINK("https://twitter.com/ManokPokena","@ManokPokena")</f>
        <v>@ManokPokena</v>
      </c>
      <c r="C17913" t="s">
        <v>6338</v>
      </c>
      <c r="D17913">
        <v>260</v>
      </c>
      <c r="E17913">
        <v>0</v>
      </c>
      <c r="F17913">
        <v>395</v>
      </c>
    </row>
    <row r="17914" spans="1:6" ht="12.75">
      <c r="A17914" s="2">
        <v>43877.15489583333</v>
      </c>
      <c r="B17914" t="str">
        <f>HYPERLINK("https://twitter.com/AbolichdZ","@AbolichdZ")</f>
        <v>@AbolichdZ</v>
      </c>
      <c r="C17914" t="s">
        <v>9118</v>
      </c>
      <c r="D17914">
        <v>3</v>
      </c>
      <c r="E17914">
        <v>0</v>
      </c>
      <c r="F17914">
        <v>807</v>
      </c>
    </row>
    <row r="17915" spans="1:6" ht="12.75">
      <c r="A17915" s="2">
        <v>43877.15457175926</v>
      </c>
      <c r="B17915" t="str">
        <f t="shared" ref="B17915:B17916" si="296">HYPERLINK("https://twitter.com/fachrusayapemas","@fachrusayapemas")</f>
        <v>@fachrusayapemas</v>
      </c>
      <c r="C17915" t="s">
        <v>9119</v>
      </c>
      <c r="D17915">
        <v>54</v>
      </c>
      <c r="E17915">
        <v>0</v>
      </c>
      <c r="F17915">
        <v>151</v>
      </c>
    </row>
    <row r="17916" spans="1:6" ht="12.75">
      <c r="A17916" s="2">
        <v>43877.153668981482</v>
      </c>
      <c r="B17916" t="str">
        <f t="shared" si="296"/>
        <v>@fachrusayapemas</v>
      </c>
      <c r="C17916" t="s">
        <v>7152</v>
      </c>
      <c r="D17916">
        <v>19</v>
      </c>
      <c r="E17916">
        <v>0</v>
      </c>
      <c r="F17916">
        <v>151</v>
      </c>
    </row>
    <row r="17917" spans="1:6" ht="12.75">
      <c r="A17917" s="2">
        <v>43877.153506944444</v>
      </c>
      <c r="B17917" t="str">
        <f>HYPERLINK("https://twitter.com/sixbacklive","@sixbacklive")</f>
        <v>@sixbacklive</v>
      </c>
      <c r="C17917" t="s">
        <v>6854</v>
      </c>
      <c r="D17917">
        <v>0</v>
      </c>
      <c r="E17917">
        <v>0</v>
      </c>
      <c r="F17917">
        <v>101</v>
      </c>
    </row>
    <row r="17918" spans="1:6" ht="12.75">
      <c r="A17918" s="2">
        <v>43877.151620370365</v>
      </c>
      <c r="B17918" t="str">
        <f>HYPERLINK("https://twitter.com/afsarsha8","@afsarsha8")</f>
        <v>@afsarsha8</v>
      </c>
      <c r="C17918" t="s">
        <v>9120</v>
      </c>
      <c r="D17918">
        <v>0</v>
      </c>
      <c r="E17918">
        <v>0</v>
      </c>
      <c r="F17918">
        <v>5</v>
      </c>
    </row>
    <row r="17919" spans="1:6" ht="12.75">
      <c r="A17919" s="2">
        <v>43877.150717592594</v>
      </c>
      <c r="B17919" t="str">
        <f>HYPERLINK("https://twitter.com/republikaonline","@republikaonline")</f>
        <v>@republikaonline</v>
      </c>
      <c r="C17919" t="s">
        <v>9121</v>
      </c>
      <c r="D17919">
        <v>0</v>
      </c>
      <c r="E17919">
        <v>2</v>
      </c>
      <c r="F17919">
        <v>1210576</v>
      </c>
    </row>
    <row r="17920" spans="1:6" ht="12.75">
      <c r="A17920" s="2">
        <v>43877.148379629631</v>
      </c>
      <c r="B17920" t="str">
        <f>HYPERLINK("https://twitter.com/beatrice_health","@beatrice_health")</f>
        <v>@beatrice_health</v>
      </c>
      <c r="C17920" t="s">
        <v>2078</v>
      </c>
      <c r="D17920">
        <v>22</v>
      </c>
      <c r="E17920">
        <v>0</v>
      </c>
      <c r="F17920">
        <v>107</v>
      </c>
    </row>
    <row r="17921" spans="1:6" ht="12.75">
      <c r="A17921" s="2">
        <v>43877.148287037038</v>
      </c>
      <c r="B17921" t="str">
        <f>HYPERLINK("https://twitter.com/KBRIHARARE","@KBRIHARARE")</f>
        <v>@KBRIHARARE</v>
      </c>
      <c r="C17921" t="s">
        <v>2078</v>
      </c>
      <c r="D17921">
        <v>22</v>
      </c>
      <c r="E17921">
        <v>0</v>
      </c>
      <c r="F17921">
        <v>1294</v>
      </c>
    </row>
    <row r="17922" spans="1:6" ht="12.75">
      <c r="A17922" s="2">
        <v>43877.148217592592</v>
      </c>
      <c r="B17922" t="str">
        <f>HYPERLINK("https://twitter.com/Repansyahm","@Repansyahm")</f>
        <v>@Repansyahm</v>
      </c>
      <c r="C17922" t="s">
        <v>9122</v>
      </c>
      <c r="D17922">
        <v>0</v>
      </c>
      <c r="E17922">
        <v>0</v>
      </c>
      <c r="F17922">
        <v>151</v>
      </c>
    </row>
    <row r="17923" spans="1:6" ht="12.75">
      <c r="A17923" s="2">
        <v>43877.148101851853</v>
      </c>
      <c r="B17923" t="str">
        <f>HYPERLINK("https://twitter.com/RedWineMalbec","@RedWineMalbec")</f>
        <v>@RedWineMalbec</v>
      </c>
      <c r="C17923" t="s">
        <v>8732</v>
      </c>
      <c r="D17923">
        <v>2</v>
      </c>
      <c r="E17923">
        <v>0</v>
      </c>
      <c r="F17923">
        <v>506</v>
      </c>
    </row>
    <row r="17924" spans="1:6" ht="12.75">
      <c r="A17924" s="2">
        <v>43877.146967592591</v>
      </c>
      <c r="B17924" t="str">
        <f>HYPERLINK("https://twitter.com/Rvladitya88","@Rvladitya88")</f>
        <v>@Rvladitya88</v>
      </c>
      <c r="C17924" t="s">
        <v>6338</v>
      </c>
      <c r="D17924">
        <v>260</v>
      </c>
      <c r="E17924">
        <v>0</v>
      </c>
      <c r="F17924">
        <v>920</v>
      </c>
    </row>
    <row r="17925" spans="1:6" ht="12.75">
      <c r="A17925" s="2">
        <v>43877.145613425921</v>
      </c>
      <c r="B17925" t="str">
        <f>HYPERLINK("https://twitter.com/stanparkjihyo","@stanparkjihyo")</f>
        <v>@stanparkjihyo</v>
      </c>
      <c r="C17925" t="s">
        <v>2444</v>
      </c>
      <c r="D17925">
        <v>4481</v>
      </c>
      <c r="E17925">
        <v>0</v>
      </c>
      <c r="F17925">
        <v>175</v>
      </c>
    </row>
    <row r="17926" spans="1:6" ht="12.75">
      <c r="A17926" s="2">
        <v>43877.144490740742</v>
      </c>
      <c r="B17926" t="str">
        <f>HYPERLINK("https://twitter.com/FRANSPAKDE","@FRANSPAKDE")</f>
        <v>@FRANSPAKDE</v>
      </c>
      <c r="C17926" t="s">
        <v>2147</v>
      </c>
      <c r="D17926">
        <v>475</v>
      </c>
      <c r="E17926">
        <v>0</v>
      </c>
      <c r="F17926">
        <v>67</v>
      </c>
    </row>
    <row r="17927" spans="1:6" ht="12.75">
      <c r="A17927" s="2">
        <v>43877.14267361111</v>
      </c>
      <c r="B17927" t="str">
        <f>HYPERLINK("https://twitter.com/AbolichdZ","@AbolichdZ")</f>
        <v>@AbolichdZ</v>
      </c>
      <c r="C17927" t="s">
        <v>8257</v>
      </c>
      <c r="D17927">
        <v>35</v>
      </c>
      <c r="E17927">
        <v>0</v>
      </c>
      <c r="F17927">
        <v>807</v>
      </c>
    </row>
    <row r="17928" spans="1:6" ht="12.75">
      <c r="A17928" s="2">
        <v>43877.142395833333</v>
      </c>
      <c r="B17928" t="str">
        <f>HYPERLINK("https://twitter.com/Hendar93339029","@Hendar93339029")</f>
        <v>@Hendar93339029</v>
      </c>
      <c r="C17928" t="s">
        <v>3059</v>
      </c>
      <c r="D17928">
        <v>285</v>
      </c>
      <c r="E17928">
        <v>0</v>
      </c>
      <c r="F17928">
        <v>1</v>
      </c>
    </row>
    <row r="17929" spans="1:6" ht="12.75">
      <c r="A17929" s="2">
        <v>43877.142199074078</v>
      </c>
      <c r="B17929" t="str">
        <f>HYPERLINK("https://twitter.com/aqilnurrahman","@aqilnurrahman")</f>
        <v>@aqilnurrahman</v>
      </c>
      <c r="C17929" t="s">
        <v>9123</v>
      </c>
      <c r="D17929">
        <v>331</v>
      </c>
      <c r="E17929">
        <v>0</v>
      </c>
      <c r="F17929">
        <v>877</v>
      </c>
    </row>
    <row r="17930" spans="1:6" ht="12.75">
      <c r="A17930" s="2">
        <v>43877.142187500001</v>
      </c>
      <c r="B17930" t="str">
        <f>HYPERLINK("https://twitter.com/godonggedang46","@godonggedang46")</f>
        <v>@godonggedang46</v>
      </c>
      <c r="C17930" t="s">
        <v>6338</v>
      </c>
      <c r="D17930">
        <v>260</v>
      </c>
      <c r="E17930">
        <v>0</v>
      </c>
      <c r="F17930">
        <v>629</v>
      </c>
    </row>
    <row r="17931" spans="1:6" ht="12.75">
      <c r="A17931" s="2">
        <v>43877.141840277778</v>
      </c>
      <c r="B17931" t="str">
        <f>HYPERLINK("https://twitter.com/EEA_citizen","@EEA_citizen")</f>
        <v>@EEA_citizen</v>
      </c>
      <c r="C17931" t="s">
        <v>3150</v>
      </c>
      <c r="D17931">
        <v>228</v>
      </c>
      <c r="E17931">
        <v>0</v>
      </c>
      <c r="F17931">
        <v>238</v>
      </c>
    </row>
    <row r="17932" spans="1:6" ht="12.75">
      <c r="A17932" s="2">
        <v>43877.141736111109</v>
      </c>
      <c r="B17932" t="str">
        <f>HYPERLINK("https://twitter.com/mamihanafi","@mamihanafi")</f>
        <v>@mamihanafi</v>
      </c>
      <c r="C17932" t="s">
        <v>6338</v>
      </c>
      <c r="D17932">
        <v>260</v>
      </c>
      <c r="E17932">
        <v>0</v>
      </c>
      <c r="F17932">
        <v>1475</v>
      </c>
    </row>
    <row r="17933" spans="1:6" ht="12.75">
      <c r="A17933" s="2">
        <v>43877.141342592593</v>
      </c>
      <c r="B17933" t="str">
        <f>HYPERLINK("https://twitter.com/aqilnurrahman","@aqilnurrahman")</f>
        <v>@aqilnurrahman</v>
      </c>
      <c r="C17933" t="s">
        <v>2444</v>
      </c>
      <c r="D17933">
        <v>4481</v>
      </c>
      <c r="E17933">
        <v>0</v>
      </c>
      <c r="F17933">
        <v>877</v>
      </c>
    </row>
    <row r="17934" spans="1:6" ht="12.75">
      <c r="A17934" s="2">
        <v>43877.141053240739</v>
      </c>
      <c r="B17934" t="str">
        <f>HYPERLINK("https://twitter.com/alexandreanov","@alexandreanov")</f>
        <v>@alexandreanov</v>
      </c>
      <c r="C17934" t="s">
        <v>6201</v>
      </c>
      <c r="D17934">
        <v>539</v>
      </c>
      <c r="E17934">
        <v>0</v>
      </c>
      <c r="F17934">
        <v>149</v>
      </c>
    </row>
    <row r="17935" spans="1:6" ht="12.75">
      <c r="A17935" s="2">
        <v>43877.138344907406</v>
      </c>
      <c r="B17935" t="str">
        <f>HYPERLINK("https://twitter.com/sukatanyaj","@sukatanyaj")</f>
        <v>@sukatanyaj</v>
      </c>
      <c r="C17935" t="s">
        <v>8754</v>
      </c>
      <c r="D17935">
        <v>97</v>
      </c>
      <c r="E17935">
        <v>0</v>
      </c>
      <c r="F17935">
        <v>5685</v>
      </c>
    </row>
    <row r="17936" spans="1:6" ht="12.75">
      <c r="A17936" s="2">
        <v>43877.137812500005</v>
      </c>
      <c r="B17936" t="str">
        <f>HYPERLINK("https://twitter.com/Subhifazririan1","@Subhifazririan1")</f>
        <v>@Subhifazririan1</v>
      </c>
      <c r="C17936" t="s">
        <v>6338</v>
      </c>
      <c r="D17936">
        <v>260</v>
      </c>
      <c r="E17936">
        <v>0</v>
      </c>
      <c r="F17936">
        <v>119</v>
      </c>
    </row>
    <row r="17937" spans="1:6" ht="12.75">
      <c r="A17937" s="2">
        <v>43877.13689814815</v>
      </c>
      <c r="B17937" t="str">
        <f>HYPERLINK("https://twitter.com/amarilis_ayu","@amarilis_ayu")</f>
        <v>@amarilis_ayu</v>
      </c>
      <c r="C17937" t="s">
        <v>9124</v>
      </c>
      <c r="D17937">
        <v>0</v>
      </c>
      <c r="E17937">
        <v>0</v>
      </c>
      <c r="F17937">
        <v>1369</v>
      </c>
    </row>
    <row r="17938" spans="1:6" ht="12.75">
      <c r="A17938" s="2">
        <v>43877.135069444441</v>
      </c>
      <c r="B17938" t="str">
        <f>HYPERLINK("https://twitter.com/dewanurcahya88","@dewanurcahya88")</f>
        <v>@dewanurcahya88</v>
      </c>
      <c r="C17938" t="s">
        <v>6338</v>
      </c>
      <c r="D17938">
        <v>260</v>
      </c>
      <c r="E17938">
        <v>0</v>
      </c>
      <c r="F17938">
        <v>87</v>
      </c>
    </row>
    <row r="17939" spans="1:6" ht="12.75">
      <c r="A17939" s="2">
        <v>43877.135046296295</v>
      </c>
      <c r="B17939" t="str">
        <f>HYPERLINK("https://twitter.com/jovian_wrinto","@jovian_wrinto")</f>
        <v>@jovian_wrinto</v>
      </c>
      <c r="C17939" t="s">
        <v>491</v>
      </c>
      <c r="D17939">
        <v>4730</v>
      </c>
      <c r="E17939">
        <v>0</v>
      </c>
      <c r="F17939">
        <v>9</v>
      </c>
    </row>
    <row r="17940" spans="1:6" ht="12.75">
      <c r="A17940" s="2">
        <v>43877.135023148148</v>
      </c>
      <c r="B17940" t="str">
        <f>HYPERLINK("https://twitter.com/TiN4ivanto","@TiN4ivanto")</f>
        <v>@TiN4ivanto</v>
      </c>
      <c r="C17940" t="s">
        <v>6338</v>
      </c>
      <c r="D17940">
        <v>260</v>
      </c>
      <c r="E17940">
        <v>0</v>
      </c>
      <c r="F17940">
        <v>128</v>
      </c>
    </row>
    <row r="17941" spans="1:6" ht="12.75">
      <c r="A17941" s="2">
        <v>43877.134745370371</v>
      </c>
      <c r="B17941" t="str">
        <f>HYPERLINK("https://twitter.com/suaradotcom","@suaradotcom")</f>
        <v>@suaradotcom</v>
      </c>
      <c r="C17941" t="s">
        <v>9125</v>
      </c>
      <c r="D17941">
        <v>0</v>
      </c>
      <c r="E17941">
        <v>0</v>
      </c>
      <c r="F17941">
        <v>24158</v>
      </c>
    </row>
    <row r="17942" spans="1:6" ht="12.75">
      <c r="A17942" s="2">
        <v>43877.133773148147</v>
      </c>
      <c r="B17942" t="str">
        <f>HYPERLINK("https://twitter.com/BenderaKuu","@BenderaKuu")</f>
        <v>@BenderaKuu</v>
      </c>
      <c r="C17942" t="s">
        <v>6201</v>
      </c>
      <c r="D17942">
        <v>539</v>
      </c>
      <c r="E17942">
        <v>0</v>
      </c>
      <c r="F17942">
        <v>541</v>
      </c>
    </row>
    <row r="17943" spans="1:6" ht="12.75">
      <c r="A17943" s="2">
        <v>43877.131365740745</v>
      </c>
      <c r="B17943" t="str">
        <f>HYPERLINK("https://twitter.com/DaiKamor","@DaiKamor")</f>
        <v>@DaiKamor</v>
      </c>
      <c r="C17943" t="s">
        <v>9126</v>
      </c>
      <c r="D17943">
        <v>0</v>
      </c>
      <c r="E17943">
        <v>0</v>
      </c>
      <c r="F17943">
        <v>162</v>
      </c>
    </row>
    <row r="17944" spans="1:6" ht="12.75">
      <c r="A17944" s="2">
        <v>43877.130983796298</v>
      </c>
      <c r="B17944" t="str">
        <f>HYPERLINK("https://twitter.com/nuninu9","@nuninu9")</f>
        <v>@nuninu9</v>
      </c>
      <c r="C17944" t="s">
        <v>7152</v>
      </c>
      <c r="D17944">
        <v>19</v>
      </c>
      <c r="E17944">
        <v>0</v>
      </c>
      <c r="F17944">
        <v>1224</v>
      </c>
    </row>
    <row r="17945" spans="1:6" ht="12.75">
      <c r="A17945" s="2">
        <v>43877.130659722221</v>
      </c>
      <c r="B17945" t="str">
        <f>HYPERLINK("https://twitter.com/MAliSubhan2","@MAliSubhan2")</f>
        <v>@MAliSubhan2</v>
      </c>
      <c r="C17945" t="s">
        <v>6338</v>
      </c>
      <c r="D17945">
        <v>260</v>
      </c>
      <c r="E17945">
        <v>0</v>
      </c>
      <c r="F17945">
        <v>1120</v>
      </c>
    </row>
    <row r="17946" spans="1:6" ht="12.75">
      <c r="A17946" s="2">
        <v>43877.127951388888</v>
      </c>
      <c r="B17946" t="str">
        <f>HYPERLINK("https://twitter.com/marissagunawan9","@marissagunawan9")</f>
        <v>@marissagunawan9</v>
      </c>
      <c r="C17946" t="s">
        <v>9124</v>
      </c>
      <c r="D17946">
        <v>0</v>
      </c>
      <c r="E17946">
        <v>0</v>
      </c>
      <c r="F17946">
        <v>465</v>
      </c>
    </row>
    <row r="17947" spans="1:6" ht="12.75">
      <c r="A17947" s="2">
        <v>43877.127546296295</v>
      </c>
      <c r="B17947" t="str">
        <f>HYPERLINK("https://twitter.com/kuaajajaalajuja","@kuaajajaalajuja")</f>
        <v>@kuaajajaalajuja</v>
      </c>
      <c r="C17947" t="s">
        <v>9127</v>
      </c>
      <c r="D17947">
        <v>9</v>
      </c>
      <c r="E17947">
        <v>0</v>
      </c>
      <c r="F17947">
        <v>254</v>
      </c>
    </row>
    <row r="17948" spans="1:6" ht="12.75">
      <c r="A17948" s="2">
        <v>43877.127465277779</v>
      </c>
      <c r="B17948" t="str">
        <f>HYPERLINK("https://twitter.com/HowardWilkins56","@HowardWilkins56")</f>
        <v>@HowardWilkins56</v>
      </c>
      <c r="C17948" t="s">
        <v>3150</v>
      </c>
      <c r="D17948">
        <v>228</v>
      </c>
      <c r="E17948">
        <v>0</v>
      </c>
      <c r="F17948">
        <v>2548</v>
      </c>
    </row>
    <row r="17949" spans="1:6" ht="12.75">
      <c r="A17949" s="2">
        <v>43877.12700231481</v>
      </c>
      <c r="B17949" t="str">
        <f>HYPERLINK("https://twitter.com/AndikaShaap","@AndikaShaap")</f>
        <v>@AndikaShaap</v>
      </c>
      <c r="C17949" t="s">
        <v>9128</v>
      </c>
      <c r="D17949">
        <v>0</v>
      </c>
      <c r="E17949">
        <v>0</v>
      </c>
      <c r="F17949">
        <v>28</v>
      </c>
    </row>
    <row r="17950" spans="1:6" ht="12.75">
      <c r="A17950" s="2">
        <v>43877.126817129625</v>
      </c>
      <c r="B17950" t="str">
        <f>HYPERLINK("https://twitter.com/sagakom","@sagakom")</f>
        <v>@sagakom</v>
      </c>
      <c r="C17950" t="s">
        <v>9129</v>
      </c>
      <c r="D17950">
        <v>0</v>
      </c>
      <c r="E17950">
        <v>0</v>
      </c>
      <c r="F17950">
        <v>285</v>
      </c>
    </row>
    <row r="17951" spans="1:6" ht="12.75">
      <c r="A17951" s="2">
        <v>43877.126539351855</v>
      </c>
      <c r="B17951" t="str">
        <f>HYPERLINK("https://twitter.com/FacelessOne4","@FacelessOne4")</f>
        <v>@FacelessOne4</v>
      </c>
      <c r="C17951" t="s">
        <v>6338</v>
      </c>
      <c r="D17951">
        <v>249</v>
      </c>
      <c r="E17951">
        <v>0</v>
      </c>
      <c r="F17951">
        <v>1</v>
      </c>
    </row>
    <row r="17952" spans="1:6" ht="12.75">
      <c r="A17952" s="2">
        <v>43877.126469907409</v>
      </c>
      <c r="B17952" t="str">
        <f>HYPERLINK("https://twitter.com/KavindraOemar","@KavindraOemar")</f>
        <v>@KavindraOemar</v>
      </c>
      <c r="C17952" t="s">
        <v>7152</v>
      </c>
      <c r="D17952">
        <v>17</v>
      </c>
      <c r="E17952">
        <v>0</v>
      </c>
      <c r="F17952">
        <v>3673</v>
      </c>
    </row>
    <row r="17953" spans="1:6" ht="12.75">
      <c r="A17953" s="2">
        <v>43877.126458333332</v>
      </c>
      <c r="B17953" t="str">
        <f>HYPERLINK("https://twitter.com/steveforman72","@steveforman72")</f>
        <v>@steveforman72</v>
      </c>
      <c r="C17953" t="s">
        <v>3150</v>
      </c>
      <c r="D17953">
        <v>226</v>
      </c>
      <c r="E17953">
        <v>0</v>
      </c>
      <c r="F17953">
        <v>1333</v>
      </c>
    </row>
    <row r="17954" spans="1:6" ht="12.75">
      <c r="A17954" s="2">
        <v>43877.124074074076</v>
      </c>
      <c r="B17954" t="str">
        <f>HYPERLINK("https://twitter.com/pakBuena","@pakBuena")</f>
        <v>@pakBuena</v>
      </c>
      <c r="C17954" t="s">
        <v>9130</v>
      </c>
      <c r="D17954">
        <v>0</v>
      </c>
      <c r="E17954">
        <v>1</v>
      </c>
      <c r="F17954">
        <v>416</v>
      </c>
    </row>
    <row r="17955" spans="1:6" ht="12.75">
      <c r="A17955" s="2">
        <v>43877.123877314814</v>
      </c>
      <c r="B17955" t="str">
        <f>HYPERLINK("https://twitter.com/KavindraOemar","@KavindraOemar")</f>
        <v>@KavindraOemar</v>
      </c>
      <c r="C17955" t="s">
        <v>9065</v>
      </c>
      <c r="D17955">
        <v>90</v>
      </c>
      <c r="E17955">
        <v>0</v>
      </c>
      <c r="F17955">
        <v>3673</v>
      </c>
    </row>
    <row r="17956" spans="1:6" ht="12.75">
      <c r="A17956" s="2">
        <v>43877.123217592598</v>
      </c>
      <c r="B17956" t="str">
        <f>HYPERLINK("https://twitter.com/IamYogas","@IamYogas")</f>
        <v>@IamYogas</v>
      </c>
      <c r="C17956" t="s">
        <v>6338</v>
      </c>
      <c r="D17956">
        <v>249</v>
      </c>
      <c r="E17956">
        <v>0</v>
      </c>
      <c r="F17956">
        <v>268</v>
      </c>
    </row>
    <row r="17957" spans="1:6" ht="12.75">
      <c r="A17957" s="2">
        <v>43877.122615740736</v>
      </c>
      <c r="B17957" t="str">
        <f>HYPERLINK("https://twitter.com/fans_ayanami","@fans_ayanami")</f>
        <v>@fans_ayanami</v>
      </c>
      <c r="C17957" t="s">
        <v>7261</v>
      </c>
      <c r="D17957">
        <v>91</v>
      </c>
      <c r="E17957">
        <v>0</v>
      </c>
      <c r="F17957">
        <v>455</v>
      </c>
    </row>
    <row r="17958" spans="1:6" ht="12.75">
      <c r="A17958" s="2">
        <v>43877.122488425928</v>
      </c>
      <c r="B17958" t="str">
        <f>HYPERLINK("https://twitter.com/Dipanaya","@Dipanaya")</f>
        <v>@Dipanaya</v>
      </c>
      <c r="C17958" t="s">
        <v>9131</v>
      </c>
      <c r="D17958">
        <v>0</v>
      </c>
      <c r="E17958">
        <v>0</v>
      </c>
      <c r="F17958">
        <v>67</v>
      </c>
    </row>
    <row r="17959" spans="1:6" ht="12.75">
      <c r="A17959" s="2">
        <v>43877.121863425928</v>
      </c>
      <c r="B17959" t="str">
        <f>HYPERLINK("https://twitter.com/KavindraOemar","@KavindraOemar")</f>
        <v>@KavindraOemar</v>
      </c>
      <c r="C17959" t="s">
        <v>9118</v>
      </c>
      <c r="D17959">
        <v>2</v>
      </c>
      <c r="E17959">
        <v>0</v>
      </c>
      <c r="F17959">
        <v>3673</v>
      </c>
    </row>
    <row r="17960" spans="1:6" ht="12.75">
      <c r="A17960" s="2">
        <v>43877.121678240743</v>
      </c>
      <c r="B17960" t="str">
        <f>HYPERLINK("https://twitter.com/pejuangkhilaf","@pejuangkhilaf")</f>
        <v>@pejuangkhilaf</v>
      </c>
      <c r="C17960" t="s">
        <v>6338</v>
      </c>
      <c r="D17960">
        <v>249</v>
      </c>
      <c r="E17960">
        <v>0</v>
      </c>
      <c r="F17960">
        <v>69</v>
      </c>
    </row>
    <row r="17961" spans="1:6" ht="12.75">
      <c r="A17961" s="2">
        <v>43877.121249999997</v>
      </c>
      <c r="B17961" t="str">
        <f>HYPERLINK("https://twitter.com/__beritaterkini","@__beritaterkini")</f>
        <v>@__beritaterkini</v>
      </c>
      <c r="C17961" t="s">
        <v>9132</v>
      </c>
      <c r="D17961">
        <v>0</v>
      </c>
      <c r="E17961">
        <v>0</v>
      </c>
      <c r="F17961">
        <v>426</v>
      </c>
    </row>
    <row r="17962" spans="1:6" ht="12.75">
      <c r="A17962" s="2">
        <v>43877.120335648149</v>
      </c>
      <c r="B17962" t="str">
        <f>HYPERLINK("https://twitter.com/RiniSyafriani8","@RiniSyafriani8")</f>
        <v>@RiniSyafriani8</v>
      </c>
      <c r="C17962" t="s">
        <v>9133</v>
      </c>
      <c r="D17962">
        <v>19</v>
      </c>
      <c r="E17962">
        <v>0</v>
      </c>
      <c r="F17962">
        <v>40</v>
      </c>
    </row>
    <row r="17963" spans="1:6" ht="12.75">
      <c r="A17963" s="2">
        <v>43877.119062500002</v>
      </c>
      <c r="B17963" t="str">
        <f>HYPERLINK("https://twitter.com/dioyudha2","@dioyudha2")</f>
        <v>@dioyudha2</v>
      </c>
      <c r="C17963" t="s">
        <v>9134</v>
      </c>
      <c r="D17963">
        <v>0</v>
      </c>
      <c r="E17963">
        <v>0</v>
      </c>
      <c r="F17963">
        <v>1</v>
      </c>
    </row>
    <row r="17964" spans="1:6" ht="12.75">
      <c r="A17964" s="2">
        <v>43877.119016203702</v>
      </c>
      <c r="B17964" t="str">
        <f>HYPERLINK("https://twitter.com/drnewstwit","@drnewstwit")</f>
        <v>@drnewstwit</v>
      </c>
      <c r="C17964" t="s">
        <v>5168</v>
      </c>
      <c r="D17964">
        <v>1631</v>
      </c>
      <c r="E17964">
        <v>0</v>
      </c>
      <c r="F17964">
        <v>131</v>
      </c>
    </row>
    <row r="17965" spans="1:6" ht="12.75">
      <c r="A17965" s="2">
        <v>43877.118564814809</v>
      </c>
      <c r="B17965" t="str">
        <f>HYPERLINK("https://twitter.com/Novelis11","@Novelis11")</f>
        <v>@Novelis11</v>
      </c>
      <c r="C17965" t="s">
        <v>9135</v>
      </c>
      <c r="D17965">
        <v>0</v>
      </c>
      <c r="E17965">
        <v>0</v>
      </c>
      <c r="F17965">
        <v>150</v>
      </c>
    </row>
    <row r="17966" spans="1:6" ht="12.75">
      <c r="A17966" s="2">
        <v>43877.118379629625</v>
      </c>
      <c r="B17966" t="str">
        <f>HYPERLINK("https://twitter.com/LesbumiSumut","@LesbumiSumut")</f>
        <v>@LesbumiSumut</v>
      </c>
      <c r="C17966" t="s">
        <v>2963</v>
      </c>
      <c r="D17966">
        <v>1290</v>
      </c>
      <c r="E17966">
        <v>0</v>
      </c>
      <c r="F17966">
        <v>41</v>
      </c>
    </row>
    <row r="17967" spans="1:6" ht="12.75">
      <c r="A17967" s="2">
        <v>43877.118229166663</v>
      </c>
      <c r="B17967" t="str">
        <f>HYPERLINK("https://twitter.com/LtotheL2","@LtotheL2")</f>
        <v>@LtotheL2</v>
      </c>
      <c r="C17967" t="s">
        <v>3150</v>
      </c>
      <c r="D17967">
        <v>226</v>
      </c>
      <c r="E17967">
        <v>0</v>
      </c>
      <c r="F17967">
        <v>1093</v>
      </c>
    </row>
    <row r="17968" spans="1:6" ht="12.75">
      <c r="A17968" s="2">
        <v>43877.118136574078</v>
      </c>
      <c r="B17968" t="str">
        <f>HYPERLINK("https://twitter.com/HarianKalteng","@HarianKalteng")</f>
        <v>@HarianKalteng</v>
      </c>
      <c r="C17968" t="s">
        <v>9136</v>
      </c>
      <c r="D17968">
        <v>0</v>
      </c>
      <c r="E17968">
        <v>0</v>
      </c>
      <c r="F17968">
        <v>424</v>
      </c>
    </row>
    <row r="17969" spans="1:6" ht="12.75">
      <c r="A17969" s="2">
        <v>43877.117928240739</v>
      </c>
      <c r="B17969" t="str">
        <f>HYPERLINK("https://twitter.com/RiniSyafriani8","@RiniSyafriani8")</f>
        <v>@RiniSyafriani8</v>
      </c>
      <c r="C17969" t="s">
        <v>9137</v>
      </c>
      <c r="D17969">
        <v>13</v>
      </c>
      <c r="E17969">
        <v>0</v>
      </c>
      <c r="F17969">
        <v>40</v>
      </c>
    </row>
    <row r="17970" spans="1:6" ht="12.75">
      <c r="A17970" s="2">
        <v>43877.117638888885</v>
      </c>
      <c r="B17970" t="str">
        <f>HYPERLINK("https://twitter.com/AlbarokahToko","@AlbarokahToko")</f>
        <v>@AlbarokahToko</v>
      </c>
      <c r="C17970" t="s">
        <v>6338</v>
      </c>
      <c r="D17970">
        <v>249</v>
      </c>
      <c r="E17970">
        <v>0</v>
      </c>
      <c r="F17970">
        <v>167</v>
      </c>
    </row>
    <row r="17971" spans="1:6" ht="12.75">
      <c r="A17971" s="2">
        <v>43877.117534722223</v>
      </c>
      <c r="B17971" t="str">
        <f>HYPERLINK("https://twitter.com/AghisFathul","@AghisFathul")</f>
        <v>@AghisFathul</v>
      </c>
      <c r="C17971" t="s">
        <v>5847</v>
      </c>
      <c r="D17971">
        <v>1596</v>
      </c>
      <c r="E17971">
        <v>0</v>
      </c>
      <c r="F17971">
        <v>76</v>
      </c>
    </row>
    <row r="17972" spans="1:6" ht="12.75">
      <c r="A17972" s="2">
        <v>43877.116574074069</v>
      </c>
      <c r="B17972" t="str">
        <f>HYPERLINK("https://twitter.com/kopitoba","@kopitoba")</f>
        <v>@kopitoba</v>
      </c>
      <c r="C17972" t="s">
        <v>8203</v>
      </c>
      <c r="D17972">
        <v>122</v>
      </c>
      <c r="E17972">
        <v>0</v>
      </c>
      <c r="F17972">
        <v>310</v>
      </c>
    </row>
    <row r="17973" spans="1:6" ht="12.75">
      <c r="A17973" s="2">
        <v>43877.115636574075</v>
      </c>
      <c r="B17973" t="str">
        <f>HYPERLINK("https://twitter.com/koecing_pasar","@koecing_pasar")</f>
        <v>@koecing_pasar</v>
      </c>
      <c r="C17973" t="s">
        <v>6338</v>
      </c>
      <c r="D17973">
        <v>249</v>
      </c>
      <c r="E17973">
        <v>0</v>
      </c>
      <c r="F17973">
        <v>1222</v>
      </c>
    </row>
    <row r="17974" spans="1:6" ht="12.75">
      <c r="A17974" s="2">
        <v>43877.115358796298</v>
      </c>
      <c r="B17974" t="str">
        <f>HYPERLINK("https://twitter.com/ddwihendro","@ddwihendro")</f>
        <v>@ddwihendro</v>
      </c>
      <c r="C17974" t="s">
        <v>9138</v>
      </c>
      <c r="D17974">
        <v>0</v>
      </c>
      <c r="E17974">
        <v>0</v>
      </c>
      <c r="F17974">
        <v>239</v>
      </c>
    </row>
    <row r="17975" spans="1:6" ht="12.75">
      <c r="A17975" s="2">
        <v>43877.113576388889</v>
      </c>
      <c r="B17975" t="str">
        <f>HYPERLINK("https://twitter.com/sutanakhir","@sutanakhir")</f>
        <v>@sutanakhir</v>
      </c>
      <c r="C17975" t="s">
        <v>7152</v>
      </c>
      <c r="D17975">
        <v>17</v>
      </c>
      <c r="E17975">
        <v>0</v>
      </c>
      <c r="F17975">
        <v>197</v>
      </c>
    </row>
    <row r="17976" spans="1:6" ht="12.75">
      <c r="A17976" s="2">
        <v>43877.113564814819</v>
      </c>
      <c r="B17976" t="str">
        <f>HYPERLINK("https://twitter.com/Duneemperorpaul","@Duneemperorpaul")</f>
        <v>@Duneemperorpaul</v>
      </c>
      <c r="C17976" t="s">
        <v>9139</v>
      </c>
      <c r="D17976">
        <v>0</v>
      </c>
      <c r="E17976">
        <v>0</v>
      </c>
      <c r="F17976">
        <v>155</v>
      </c>
    </row>
    <row r="17977" spans="1:6" ht="12.75">
      <c r="A17977" s="2">
        <v>43877.113310185188</v>
      </c>
      <c r="B17977" t="str">
        <f>HYPERLINK("https://twitter.com/gentayangin","@gentayangin")</f>
        <v>@gentayangin</v>
      </c>
      <c r="C17977" t="s">
        <v>2444</v>
      </c>
      <c r="D17977">
        <v>4479</v>
      </c>
      <c r="E17977">
        <v>0</v>
      </c>
      <c r="F17977">
        <v>39</v>
      </c>
    </row>
    <row r="17978" spans="1:6" ht="12.75">
      <c r="A17978" s="2">
        <v>43877.112939814819</v>
      </c>
      <c r="B17978" t="str">
        <f>HYPERLINK("https://twitter.com/Hendfry_Gerard","@Hendfry_Gerard")</f>
        <v>@Hendfry_Gerard</v>
      </c>
      <c r="C17978" t="s">
        <v>9140</v>
      </c>
      <c r="D17978">
        <v>1</v>
      </c>
      <c r="E17978">
        <v>0</v>
      </c>
      <c r="F17978">
        <v>2027</v>
      </c>
    </row>
    <row r="17979" spans="1:6" ht="12.75">
      <c r="A17979" s="2">
        <v>43877.112870370373</v>
      </c>
      <c r="B17979" t="str">
        <f>HYPERLINK("https://twitter.com/martabaya","@martabaya")</f>
        <v>@martabaya</v>
      </c>
      <c r="C17979" t="s">
        <v>9141</v>
      </c>
      <c r="D17979">
        <v>0</v>
      </c>
      <c r="E17979">
        <v>0</v>
      </c>
      <c r="F17979">
        <v>136</v>
      </c>
    </row>
    <row r="17980" spans="1:6" ht="12.75">
      <c r="A17980" s="2">
        <v>43877.112708333334</v>
      </c>
      <c r="B17980" t="str">
        <f>HYPERLINK("https://twitter.com/wijaya_48","@wijaya_48")</f>
        <v>@wijaya_48</v>
      </c>
      <c r="C17980" t="s">
        <v>7987</v>
      </c>
      <c r="D17980">
        <v>11</v>
      </c>
      <c r="E17980">
        <v>0</v>
      </c>
      <c r="F17980">
        <v>379</v>
      </c>
    </row>
    <row r="17981" spans="1:6" ht="12.75">
      <c r="A17981" s="2">
        <v>43877.112280092595</v>
      </c>
      <c r="B17981" t="str">
        <f>HYPERLINK("https://twitter.com/SeeHandy","@SeeHandy")</f>
        <v>@SeeHandy</v>
      </c>
      <c r="C17981" t="s">
        <v>6338</v>
      </c>
      <c r="D17981">
        <v>249</v>
      </c>
      <c r="E17981">
        <v>0</v>
      </c>
      <c r="F17981">
        <v>799</v>
      </c>
    </row>
    <row r="17982" spans="1:6" ht="12.75">
      <c r="A17982" s="2">
        <v>43877.112233796295</v>
      </c>
      <c r="B17982" t="str">
        <f>HYPERLINK("https://twitter.com/junwatu","@junwatu")</f>
        <v>@junwatu</v>
      </c>
      <c r="C17982" t="s">
        <v>2147</v>
      </c>
      <c r="D17982">
        <v>473</v>
      </c>
      <c r="E17982">
        <v>0</v>
      </c>
      <c r="F17982">
        <v>128</v>
      </c>
    </row>
    <row r="17983" spans="1:6" ht="12.75">
      <c r="A17983" s="2">
        <v>43877.112175925926</v>
      </c>
      <c r="B17983" t="str">
        <f>HYPERLINK("https://twitter.com/chocolotos13_","@chocolotos13_")</f>
        <v>@chocolotos13_</v>
      </c>
      <c r="C17983" t="s">
        <v>9142</v>
      </c>
      <c r="D17983">
        <v>0</v>
      </c>
      <c r="E17983">
        <v>0</v>
      </c>
      <c r="F17983">
        <v>599</v>
      </c>
    </row>
    <row r="17984" spans="1:6" ht="12.75">
      <c r="A17984" s="2">
        <v>43877.111770833333</v>
      </c>
      <c r="B17984" t="str">
        <f>HYPERLINK("https://twitter.com/edhy_dharman","@edhy_dharman")</f>
        <v>@edhy_dharman</v>
      </c>
      <c r="C17984" t="s">
        <v>6338</v>
      </c>
      <c r="D17984">
        <v>249</v>
      </c>
      <c r="E17984">
        <v>0</v>
      </c>
      <c r="F17984">
        <v>86</v>
      </c>
    </row>
    <row r="17985" spans="1:6" ht="12.75">
      <c r="A17985" s="2">
        <v>43877.111701388887</v>
      </c>
      <c r="B17985" t="str">
        <f>HYPERLINK("https://twitter.com/liputan6dotcom","@liputan6dotcom")</f>
        <v>@liputan6dotcom</v>
      </c>
      <c r="C17985" t="s">
        <v>9143</v>
      </c>
      <c r="D17985">
        <v>0</v>
      </c>
      <c r="E17985">
        <v>1</v>
      </c>
      <c r="F17985">
        <v>3625086</v>
      </c>
    </row>
    <row r="17986" spans="1:6" ht="12.75">
      <c r="A17986" s="2">
        <v>43877.111446759256</v>
      </c>
      <c r="B17986" t="str">
        <f>HYPERLINK("https://twitter.com/Buchekborneo","@Buchekborneo")</f>
        <v>@Buchekborneo</v>
      </c>
      <c r="C17986" t="s">
        <v>6338</v>
      </c>
      <c r="D17986">
        <v>249</v>
      </c>
      <c r="E17986">
        <v>0</v>
      </c>
      <c r="F17986">
        <v>463</v>
      </c>
    </row>
    <row r="17987" spans="1:6" ht="12.75">
      <c r="A17987" s="2">
        <v>43877.110983796301</v>
      </c>
      <c r="B17987" t="str">
        <f t="shared" ref="B17987:B17988" si="297">HYPERLINK("https://twitter.com/Etan3Wong","@Etan3Wong")</f>
        <v>@Etan3Wong</v>
      </c>
      <c r="C17987" t="s">
        <v>9144</v>
      </c>
      <c r="D17987">
        <v>0</v>
      </c>
      <c r="E17987">
        <v>0</v>
      </c>
      <c r="F17987">
        <v>34</v>
      </c>
    </row>
    <row r="17988" spans="1:6" ht="12.75">
      <c r="A17988" s="2">
        <v>43877.110972222217</v>
      </c>
      <c r="B17988" t="str">
        <f t="shared" si="297"/>
        <v>@Etan3Wong</v>
      </c>
      <c r="C17988" t="s">
        <v>9145</v>
      </c>
      <c r="D17988">
        <v>0</v>
      </c>
      <c r="E17988">
        <v>0</v>
      </c>
      <c r="F17988">
        <v>34</v>
      </c>
    </row>
    <row r="17989" spans="1:6" ht="12.75">
      <c r="A17989" s="2">
        <v>43877.110543981486</v>
      </c>
      <c r="B17989" t="str">
        <f>HYPERLINK("https://twitter.com/R4den_aria","@R4den_aria")</f>
        <v>@R4den_aria</v>
      </c>
      <c r="C17989" t="s">
        <v>9146</v>
      </c>
      <c r="D17989">
        <v>22</v>
      </c>
      <c r="E17989">
        <v>0</v>
      </c>
      <c r="F17989">
        <v>581</v>
      </c>
    </row>
    <row r="17990" spans="1:6" ht="12.75">
      <c r="A17990" s="2">
        <v>43877.110451388886</v>
      </c>
      <c r="B17990" t="str">
        <f t="shared" ref="B17990:B17991" si="298">HYPERLINK("https://twitter.com/AripApriandi","@AripApriandi")</f>
        <v>@AripApriandi</v>
      </c>
      <c r="C17990" t="s">
        <v>9147</v>
      </c>
      <c r="D17990">
        <v>43</v>
      </c>
      <c r="E17990">
        <v>0</v>
      </c>
      <c r="F17990">
        <v>31</v>
      </c>
    </row>
    <row r="17991" spans="1:6" ht="12.75">
      <c r="A17991" s="2">
        <v>43877.110196759255</v>
      </c>
      <c r="B17991" t="str">
        <f t="shared" si="298"/>
        <v>@AripApriandi</v>
      </c>
      <c r="C17991" t="s">
        <v>9148</v>
      </c>
      <c r="D17991">
        <v>1</v>
      </c>
      <c r="E17991">
        <v>0</v>
      </c>
      <c r="F17991">
        <v>31</v>
      </c>
    </row>
    <row r="17992" spans="1:6" ht="12.75">
      <c r="A17992" s="2">
        <v>43877.10938657407</v>
      </c>
      <c r="B17992" t="str">
        <f>HYPERLINK("https://twitter.com/idpenamini","@idpenamini")</f>
        <v>@idpenamini</v>
      </c>
      <c r="C17992" t="s">
        <v>9149</v>
      </c>
      <c r="D17992">
        <v>0</v>
      </c>
      <c r="E17992">
        <v>0</v>
      </c>
      <c r="F17992">
        <v>168</v>
      </c>
    </row>
    <row r="17993" spans="1:6" ht="12.75">
      <c r="A17993" s="2">
        <v>43877.108344907407</v>
      </c>
      <c r="B17993" t="str">
        <f>HYPERLINK("https://twitter.com/BinarisSitumor1","@BinarisSitumor1")</f>
        <v>@BinarisSitumor1</v>
      </c>
      <c r="C17993" t="s">
        <v>9150</v>
      </c>
      <c r="D17993">
        <v>154</v>
      </c>
      <c r="E17993">
        <v>0</v>
      </c>
      <c r="F17993">
        <v>281</v>
      </c>
    </row>
    <row r="17994" spans="1:6" ht="12.75">
      <c r="A17994" s="2">
        <v>43877.107754629629</v>
      </c>
      <c r="B17994" t="str">
        <f>HYPERLINK("https://twitter.com/Bubut871","@Bubut871")</f>
        <v>@Bubut871</v>
      </c>
      <c r="C17994" t="s">
        <v>6338</v>
      </c>
      <c r="D17994">
        <v>249</v>
      </c>
      <c r="E17994">
        <v>0</v>
      </c>
      <c r="F17994">
        <v>1624</v>
      </c>
    </row>
    <row r="17995" spans="1:6" ht="12.75">
      <c r="A17995" s="2">
        <v>43877.107569444444</v>
      </c>
      <c r="B17995" t="str">
        <f>HYPERLINK("https://twitter.com/DonAdam68","@DonAdam68")</f>
        <v>@DonAdam68</v>
      </c>
      <c r="C17995" t="s">
        <v>7152</v>
      </c>
      <c r="D17995">
        <v>17</v>
      </c>
      <c r="E17995">
        <v>0</v>
      </c>
      <c r="F17995">
        <v>48148</v>
      </c>
    </row>
    <row r="17996" spans="1:6" ht="12.75">
      <c r="A17996" s="2">
        <v>43877.106423611112</v>
      </c>
      <c r="B17996" t="str">
        <f t="shared" ref="B17996:B17997" si="299">HYPERLINK("https://twitter.com/Indopolitika","@Indopolitika")</f>
        <v>@Indopolitika</v>
      </c>
      <c r="C17996" t="s">
        <v>9151</v>
      </c>
      <c r="D17996">
        <v>0</v>
      </c>
      <c r="E17996">
        <v>0</v>
      </c>
      <c r="F17996">
        <v>10611</v>
      </c>
    </row>
    <row r="17997" spans="1:6" ht="12.75">
      <c r="A17997" s="2">
        <v>43877.106307870374</v>
      </c>
      <c r="B17997" t="str">
        <f t="shared" si="299"/>
        <v>@Indopolitika</v>
      </c>
      <c r="C17997" t="s">
        <v>9152</v>
      </c>
      <c r="D17997">
        <v>0</v>
      </c>
      <c r="E17997">
        <v>0</v>
      </c>
      <c r="F17997">
        <v>10611</v>
      </c>
    </row>
    <row r="17998" spans="1:6" ht="12.75">
      <c r="A17998" s="2">
        <v>43877.105405092589</v>
      </c>
      <c r="B17998" t="str">
        <f>HYPERLINK("https://twitter.com/RoiElghifar","@RoiElghifar")</f>
        <v>@RoiElghifar</v>
      </c>
      <c r="C17998" t="s">
        <v>9153</v>
      </c>
      <c r="D17998">
        <v>0</v>
      </c>
      <c r="E17998">
        <v>0</v>
      </c>
      <c r="F17998">
        <v>108</v>
      </c>
    </row>
    <row r="17999" spans="1:6" ht="12.75">
      <c r="A17999" s="2">
        <v>43877.104826388888</v>
      </c>
      <c r="B17999" t="str">
        <f>HYPERLINK("https://twitter.com/WKL_III","@WKL_III")</f>
        <v>@WKL_III</v>
      </c>
      <c r="C17999" t="s">
        <v>2147</v>
      </c>
      <c r="D17999">
        <v>473</v>
      </c>
      <c r="E17999">
        <v>0</v>
      </c>
      <c r="F17999">
        <v>1</v>
      </c>
    </row>
    <row r="18000" spans="1:6" ht="12.75">
      <c r="A18000" s="2">
        <v>43877.104722222226</v>
      </c>
      <c r="B18000" t="str">
        <f>HYPERLINK("https://twitter.com/Sugiant37774688","@Sugiant37774688")</f>
        <v>@Sugiant37774688</v>
      </c>
      <c r="C18000" t="s">
        <v>2963</v>
      </c>
      <c r="D18000">
        <v>1290</v>
      </c>
      <c r="E18000">
        <v>0</v>
      </c>
      <c r="F18000">
        <v>4</v>
      </c>
    </row>
    <row r="18001" spans="1:6" ht="12.75">
      <c r="A18001" s="2">
        <v>43877.104027777779</v>
      </c>
      <c r="B18001" t="str">
        <f>HYPERLINK("https://twitter.com/AsadGibran","@AsadGibran")</f>
        <v>@AsadGibran</v>
      </c>
      <c r="C18001" t="s">
        <v>9154</v>
      </c>
      <c r="D18001">
        <v>0</v>
      </c>
      <c r="E18001">
        <v>0</v>
      </c>
      <c r="F18001">
        <v>1584</v>
      </c>
    </row>
    <row r="18002" spans="1:6" ht="12.75">
      <c r="A18002" s="2">
        <v>43877.104004629626</v>
      </c>
      <c r="B18002" t="str">
        <f>HYPERLINK("https://twitter.com/Real_kudo","@Real_kudo")</f>
        <v>@Real_kudo</v>
      </c>
      <c r="C18002" t="s">
        <v>6338</v>
      </c>
      <c r="D18002">
        <v>249</v>
      </c>
      <c r="E18002">
        <v>0</v>
      </c>
      <c r="F18002">
        <v>4528</v>
      </c>
    </row>
    <row r="18003" spans="1:6" ht="12.75">
      <c r="A18003" s="2">
        <v>43877.102962962963</v>
      </c>
      <c r="B18003" t="str">
        <f>HYPERLINK("https://twitter.com/Bubut871","@Bubut871")</f>
        <v>@Bubut871</v>
      </c>
      <c r="C18003" t="s">
        <v>7980</v>
      </c>
      <c r="D18003">
        <v>32</v>
      </c>
      <c r="E18003">
        <v>0</v>
      </c>
      <c r="F18003">
        <v>1624</v>
      </c>
    </row>
    <row r="18004" spans="1:6" ht="12.75">
      <c r="A18004" s="2">
        <v>43877.102673611109</v>
      </c>
      <c r="B18004" t="str">
        <f t="shared" ref="B18004:B18005" si="300">HYPERLINK("https://twitter.com/TONZ6","@TONZ6")</f>
        <v>@TONZ6</v>
      </c>
      <c r="C18004" t="s">
        <v>8628</v>
      </c>
      <c r="D18004">
        <v>128</v>
      </c>
      <c r="E18004">
        <v>0</v>
      </c>
      <c r="F18004">
        <v>103</v>
      </c>
    </row>
    <row r="18005" spans="1:6" ht="12.75">
      <c r="A18005" s="2">
        <v>43877.101770833338</v>
      </c>
      <c r="B18005" t="str">
        <f t="shared" si="300"/>
        <v>@TONZ6</v>
      </c>
      <c r="C18005" t="s">
        <v>8203</v>
      </c>
      <c r="D18005">
        <v>122</v>
      </c>
      <c r="E18005">
        <v>0</v>
      </c>
      <c r="F18005">
        <v>103</v>
      </c>
    </row>
    <row r="18006" spans="1:6" ht="12.75">
      <c r="A18006" s="2">
        <v>43877.101724537039</v>
      </c>
      <c r="B18006" t="str">
        <f>HYPERLINK("https://twitter.com/Sugiant37774688","@Sugiant37774688")</f>
        <v>@Sugiant37774688</v>
      </c>
      <c r="C18006" t="s">
        <v>2147</v>
      </c>
      <c r="D18006">
        <v>473</v>
      </c>
      <c r="E18006">
        <v>0</v>
      </c>
      <c r="F18006">
        <v>4</v>
      </c>
    </row>
    <row r="18007" spans="1:6" ht="12.75">
      <c r="A18007" s="2">
        <v>43877.100636574076</v>
      </c>
      <c r="B18007" t="str">
        <f>HYPERLINK("https://twitter.com/Hendfry_Gerard","@Hendfry_Gerard")</f>
        <v>@Hendfry_Gerard</v>
      </c>
      <c r="C18007" t="s">
        <v>6338</v>
      </c>
      <c r="D18007">
        <v>249</v>
      </c>
      <c r="E18007">
        <v>0</v>
      </c>
      <c r="F18007">
        <v>2027</v>
      </c>
    </row>
    <row r="18008" spans="1:6" ht="12.75">
      <c r="A18008" s="2">
        <v>43877.100462962961</v>
      </c>
      <c r="B18008" t="str">
        <f>HYPERLINK("https://twitter.com/zupatista","@zupatista")</f>
        <v>@zupatista</v>
      </c>
      <c r="C18008" t="s">
        <v>9065</v>
      </c>
      <c r="D18008">
        <v>90</v>
      </c>
      <c r="E18008">
        <v>0</v>
      </c>
      <c r="F18008">
        <v>68</v>
      </c>
    </row>
    <row r="18009" spans="1:6" ht="12.75">
      <c r="A18009" s="2">
        <v>43877.100428240738</v>
      </c>
      <c r="B18009" t="str">
        <f>HYPERLINK("https://twitter.com/idpenamini","@idpenamini")</f>
        <v>@idpenamini</v>
      </c>
      <c r="C18009" t="s">
        <v>8260</v>
      </c>
      <c r="D18009">
        <v>0</v>
      </c>
      <c r="E18009">
        <v>0</v>
      </c>
      <c r="F18009">
        <v>168</v>
      </c>
    </row>
    <row r="18010" spans="1:6" ht="12.75">
      <c r="A18010" s="2">
        <v>43877.100162037037</v>
      </c>
      <c r="B18010" t="str">
        <f>HYPERLINK("https://twitter.com/DeassyChandra","@DeassyChandra")</f>
        <v>@DeassyChandra</v>
      </c>
      <c r="C18010" t="s">
        <v>6338</v>
      </c>
      <c r="D18010">
        <v>249</v>
      </c>
      <c r="E18010">
        <v>0</v>
      </c>
      <c r="F18010">
        <v>10402</v>
      </c>
    </row>
    <row r="18011" spans="1:6" ht="12.75">
      <c r="A18011" s="2">
        <v>43877.099965277783</v>
      </c>
      <c r="B18011" t="str">
        <f>HYPERLINK("https://twitter.com/idpenamini","@idpenamini")</f>
        <v>@idpenamini</v>
      </c>
      <c r="C18011" t="s">
        <v>9155</v>
      </c>
      <c r="D18011">
        <v>0</v>
      </c>
      <c r="E18011">
        <v>0</v>
      </c>
      <c r="F18011">
        <v>168</v>
      </c>
    </row>
    <row r="18012" spans="1:6" ht="12.75">
      <c r="A18012" s="2">
        <v>43877.099803240737</v>
      </c>
      <c r="B18012" t="str">
        <f>HYPERLINK("https://twitter.com/BayuRRK","@BayuRRK")</f>
        <v>@BayuRRK</v>
      </c>
      <c r="C18012" t="s">
        <v>9156</v>
      </c>
      <c r="D18012">
        <v>0</v>
      </c>
      <c r="E18012">
        <v>0</v>
      </c>
      <c r="F18012">
        <v>561</v>
      </c>
    </row>
    <row r="18013" spans="1:6" ht="12.75">
      <c r="A18013" s="2">
        <v>43877.098981481482</v>
      </c>
      <c r="B18013" t="str">
        <f>HYPERLINK("https://twitter.com/InfoPasuruan","@InfoPasuruan")</f>
        <v>@InfoPasuruan</v>
      </c>
      <c r="C18013" t="s">
        <v>9157</v>
      </c>
      <c r="D18013">
        <v>0</v>
      </c>
      <c r="E18013">
        <v>0</v>
      </c>
      <c r="F18013">
        <v>5305</v>
      </c>
    </row>
    <row r="18014" spans="1:6" ht="12.75">
      <c r="A18014" s="2">
        <v>43877.098946759259</v>
      </c>
      <c r="B18014" t="str">
        <f>HYPERLINK("https://twitter.com/HotmaTaylor","@HotmaTaylor")</f>
        <v>@HotmaTaylor</v>
      </c>
      <c r="C18014" t="s">
        <v>9158</v>
      </c>
      <c r="D18014">
        <v>0</v>
      </c>
      <c r="E18014">
        <v>0</v>
      </c>
      <c r="F18014">
        <v>19</v>
      </c>
    </row>
    <row r="18015" spans="1:6" ht="12.75">
      <c r="A18015" s="2">
        <v>43877.097951388889</v>
      </c>
      <c r="B18015" t="str">
        <f>HYPERLINK("https://twitter.com/infoMGL","@infoMGL")</f>
        <v>@infoMGL</v>
      </c>
      <c r="C18015" t="s">
        <v>9159</v>
      </c>
      <c r="D18015">
        <v>0</v>
      </c>
      <c r="E18015">
        <v>0</v>
      </c>
      <c r="F18015">
        <v>12717</v>
      </c>
    </row>
    <row r="18016" spans="1:6" ht="12.75">
      <c r="A18016" s="2">
        <v>43877.097581018519</v>
      </c>
      <c r="B18016" t="str">
        <f>HYPERLINK("https://twitter.com/maulidyarobia","@maulidyarobia")</f>
        <v>@maulidyarobia</v>
      </c>
      <c r="C18016" t="s">
        <v>9160</v>
      </c>
      <c r="D18016">
        <v>0</v>
      </c>
      <c r="E18016">
        <v>0</v>
      </c>
      <c r="F18016">
        <v>238</v>
      </c>
    </row>
    <row r="18017" spans="1:6" ht="12.75">
      <c r="A18017" s="2">
        <v>43877.097291666665</v>
      </c>
      <c r="B18017" t="str">
        <f>HYPERLINK("https://twitter.com/dubie_tina","@dubie_tina")</f>
        <v>@dubie_tina</v>
      </c>
      <c r="C18017" t="s">
        <v>9161</v>
      </c>
      <c r="D18017">
        <v>2</v>
      </c>
      <c r="E18017">
        <v>0</v>
      </c>
      <c r="F18017">
        <v>1025</v>
      </c>
    </row>
    <row r="18018" spans="1:6" ht="12.75">
      <c r="A18018" s="2">
        <v>43877.097233796296</v>
      </c>
      <c r="B18018" t="str">
        <f>HYPERLINK("https://twitter.com/RadarNegeriku","@RadarNegeriku")</f>
        <v>@RadarNegeriku</v>
      </c>
      <c r="C18018" t="s">
        <v>9162</v>
      </c>
      <c r="D18018">
        <v>0</v>
      </c>
      <c r="E18018">
        <v>0</v>
      </c>
      <c r="F18018">
        <v>129</v>
      </c>
    </row>
    <row r="18019" spans="1:6" ht="12.75">
      <c r="A18019" s="2">
        <v>43877.096967592588</v>
      </c>
      <c r="B18019" t="str">
        <f>HYPERLINK("https://twitter.com/JakartaStar","@JakartaStar")</f>
        <v>@JakartaStar</v>
      </c>
      <c r="C18019" t="s">
        <v>9163</v>
      </c>
      <c r="D18019">
        <v>1</v>
      </c>
      <c r="E18019">
        <v>0</v>
      </c>
      <c r="F18019">
        <v>5484</v>
      </c>
    </row>
    <row r="18020" spans="1:6" ht="12.75">
      <c r="A18020" s="2">
        <v>43877.095995370371</v>
      </c>
      <c r="B18020" t="str">
        <f>HYPERLINK("https://twitter.com/dubie_tina","@dubie_tina")</f>
        <v>@dubie_tina</v>
      </c>
      <c r="C18020" t="s">
        <v>9164</v>
      </c>
      <c r="D18020">
        <v>2</v>
      </c>
      <c r="E18020">
        <v>1</v>
      </c>
      <c r="F18020">
        <v>1025</v>
      </c>
    </row>
    <row r="18021" spans="1:6" ht="12.75">
      <c r="A18021" s="2">
        <v>43877.095706018517</v>
      </c>
      <c r="B18021" t="str">
        <f>HYPERLINK("https://twitter.com/zupatista","@zupatista")</f>
        <v>@zupatista</v>
      </c>
      <c r="C18021" t="s">
        <v>8754</v>
      </c>
      <c r="D18021">
        <v>96</v>
      </c>
      <c r="E18021">
        <v>0</v>
      </c>
      <c r="F18021">
        <v>68</v>
      </c>
    </row>
    <row r="18022" spans="1:6" ht="12.75">
      <c r="A18022" s="2">
        <v>43877.095694444448</v>
      </c>
      <c r="B18022" t="str">
        <f>HYPERLINK("https://twitter.com/Novian15061989","@Novian15061989")</f>
        <v>@Novian15061989</v>
      </c>
      <c r="C18022" t="s">
        <v>9165</v>
      </c>
      <c r="D18022">
        <v>0</v>
      </c>
      <c r="E18022">
        <v>0</v>
      </c>
      <c r="F18022">
        <v>18</v>
      </c>
    </row>
    <row r="18023" spans="1:6" ht="12.75">
      <c r="A18023" s="2">
        <v>43877.09511574074</v>
      </c>
      <c r="B18023" t="str">
        <f>HYPERLINK("https://twitter.com/genostlly","@genostlly")</f>
        <v>@genostlly</v>
      </c>
      <c r="C18023" t="s">
        <v>8977</v>
      </c>
      <c r="D18023">
        <v>42</v>
      </c>
      <c r="E18023">
        <v>0</v>
      </c>
      <c r="F18023">
        <v>704</v>
      </c>
    </row>
    <row r="18024" spans="1:6" ht="12.75">
      <c r="A18024" s="2">
        <v>43877.094907407409</v>
      </c>
      <c r="B18024" t="str">
        <f>HYPERLINK("https://twitter.com/IyusSofyan7","@IyusSofyan7")</f>
        <v>@IyusSofyan7</v>
      </c>
      <c r="C18024" t="s">
        <v>9166</v>
      </c>
      <c r="D18024">
        <v>4</v>
      </c>
      <c r="E18024">
        <v>0</v>
      </c>
      <c r="F18024">
        <v>1630</v>
      </c>
    </row>
    <row r="18025" spans="1:6" ht="12.75">
      <c r="A18025" s="2">
        <v>43877.094837962963</v>
      </c>
      <c r="B18025" t="str">
        <f>HYPERLINK("https://twitter.com/dikz94","@dikz94")</f>
        <v>@dikz94</v>
      </c>
      <c r="C18025" t="s">
        <v>9167</v>
      </c>
      <c r="D18025">
        <v>0</v>
      </c>
      <c r="E18025">
        <v>0</v>
      </c>
      <c r="F18025">
        <v>43</v>
      </c>
    </row>
    <row r="18026" spans="1:6" ht="12.75">
      <c r="A18026" s="2">
        <v>43877.09475694444</v>
      </c>
      <c r="B18026" t="str">
        <f>HYPERLINK("https://twitter.com/inisyafafatika","@inisyafafatika")</f>
        <v>@inisyafafatika</v>
      </c>
      <c r="C18026" t="s">
        <v>7905</v>
      </c>
      <c r="D18026">
        <v>36</v>
      </c>
      <c r="E18026">
        <v>0</v>
      </c>
      <c r="F18026">
        <v>440</v>
      </c>
    </row>
    <row r="18027" spans="1:6" ht="12.75">
      <c r="A18027" s="2">
        <v>43877.094652777778</v>
      </c>
      <c r="B18027" t="str">
        <f>HYPERLINK("https://twitter.com/wijaya_48","@wijaya_48")</f>
        <v>@wijaya_48</v>
      </c>
      <c r="C18027" t="s">
        <v>8980</v>
      </c>
      <c r="D18027">
        <v>9</v>
      </c>
      <c r="E18027">
        <v>0</v>
      </c>
      <c r="F18027">
        <v>379</v>
      </c>
    </row>
    <row r="18028" spans="1:6" ht="12.75">
      <c r="A18028" s="2">
        <v>43877.094166666662</v>
      </c>
      <c r="B18028" t="str">
        <f>HYPERLINK("https://twitter.com/Andrian_Y064","@Andrian_Y064")</f>
        <v>@Andrian_Y064</v>
      </c>
      <c r="C18028" t="s">
        <v>6338</v>
      </c>
      <c r="D18028">
        <v>249</v>
      </c>
      <c r="E18028">
        <v>0</v>
      </c>
      <c r="F18028">
        <v>5</v>
      </c>
    </row>
    <row r="18029" spans="1:6" ht="12.75">
      <c r="A18029" s="2">
        <v>43877.093773148154</v>
      </c>
      <c r="B18029" t="str">
        <f>HYPERLINK("https://twitter.com/psychosaligia","@psychosaligia")</f>
        <v>@psychosaligia</v>
      </c>
      <c r="C18029" t="s">
        <v>6338</v>
      </c>
      <c r="D18029">
        <v>249</v>
      </c>
      <c r="E18029">
        <v>0</v>
      </c>
      <c r="F18029">
        <v>71</v>
      </c>
    </row>
    <row r="18030" spans="1:6" ht="12.75">
      <c r="A18030" s="2">
        <v>43877.093136574069</v>
      </c>
      <c r="B18030" t="str">
        <f>HYPERLINK("https://twitter.com/htssurabaya","@htssurabaya")</f>
        <v>@htssurabaya</v>
      </c>
      <c r="C18030" t="s">
        <v>7154</v>
      </c>
      <c r="D18030">
        <v>41</v>
      </c>
      <c r="E18030">
        <v>0</v>
      </c>
      <c r="F18030">
        <v>3</v>
      </c>
    </row>
    <row r="18031" spans="1:6" ht="12.75">
      <c r="A18031" s="2">
        <v>43877.092997685184</v>
      </c>
      <c r="B18031" t="str">
        <f>HYPERLINK("https://twitter.com/KompasTV","@KompasTV")</f>
        <v>@KompasTV</v>
      </c>
      <c r="C18031" t="s">
        <v>9168</v>
      </c>
      <c r="D18031">
        <v>1</v>
      </c>
      <c r="E18031">
        <v>6</v>
      </c>
      <c r="F18031">
        <v>2941945</v>
      </c>
    </row>
    <row r="18032" spans="1:6" ht="12.75">
      <c r="A18032" s="2">
        <v>43877.092488425929</v>
      </c>
      <c r="B18032" t="str">
        <f>HYPERLINK("https://twitter.com/rendroko","@rendroko")</f>
        <v>@rendroko</v>
      </c>
      <c r="C18032" t="s">
        <v>9166</v>
      </c>
      <c r="D18032">
        <v>4</v>
      </c>
      <c r="E18032">
        <v>0</v>
      </c>
      <c r="F18032">
        <v>1026</v>
      </c>
    </row>
    <row r="18033" spans="1:6" ht="12.75">
      <c r="A18033" s="2">
        <v>43877.09138888889</v>
      </c>
      <c r="B18033" t="str">
        <f>HYPERLINK("https://twitter.com/spetznatz81","@spetznatz81")</f>
        <v>@spetznatz81</v>
      </c>
      <c r="C18033" t="s">
        <v>9169</v>
      </c>
      <c r="D18033">
        <v>0</v>
      </c>
      <c r="E18033">
        <v>0</v>
      </c>
      <c r="F18033">
        <v>0</v>
      </c>
    </row>
    <row r="18034" spans="1:6" ht="12.75">
      <c r="A18034" s="2">
        <v>43877.090624999997</v>
      </c>
      <c r="B18034" t="str">
        <f>HYPERLINK("https://twitter.com/ojandanny1","@ojandanny1")</f>
        <v>@ojandanny1</v>
      </c>
      <c r="C18034" t="s">
        <v>6338</v>
      </c>
      <c r="D18034">
        <v>249</v>
      </c>
      <c r="E18034">
        <v>0</v>
      </c>
      <c r="F18034">
        <v>24</v>
      </c>
    </row>
    <row r="18035" spans="1:6" ht="12.75">
      <c r="A18035" s="2">
        <v>43877.090543981481</v>
      </c>
      <c r="B18035" t="str">
        <f>HYPERLINK("https://twitter.com/AjijahDar","@AjijahDar")</f>
        <v>@AjijahDar</v>
      </c>
      <c r="C18035" t="s">
        <v>4321</v>
      </c>
      <c r="D18035">
        <v>11</v>
      </c>
      <c r="E18035">
        <v>0</v>
      </c>
      <c r="F18035">
        <v>317</v>
      </c>
    </row>
    <row r="18036" spans="1:6" ht="12.75">
      <c r="A18036" s="2">
        <v>43877.090312500004</v>
      </c>
      <c r="B18036" t="str">
        <f>HYPERLINK("https://twitter.com/kumpulanSMG","@kumpulanSMG")</f>
        <v>@kumpulanSMG</v>
      </c>
      <c r="C18036" t="s">
        <v>9170</v>
      </c>
      <c r="D18036">
        <v>0</v>
      </c>
      <c r="E18036">
        <v>0</v>
      </c>
      <c r="F18036">
        <v>908</v>
      </c>
    </row>
    <row r="18037" spans="1:6" ht="12.75">
      <c r="A18037" s="2">
        <v>43877.090219907404</v>
      </c>
      <c r="B18037" t="str">
        <f>HYPERLINK("https://twitter.com/syafdennys","@syafdennys")</f>
        <v>@syafdennys</v>
      </c>
      <c r="C18037" t="s">
        <v>6338</v>
      </c>
      <c r="D18037">
        <v>249</v>
      </c>
      <c r="E18037">
        <v>0</v>
      </c>
      <c r="F18037">
        <v>76</v>
      </c>
    </row>
    <row r="18038" spans="1:6" ht="12.75">
      <c r="A18038" s="2">
        <v>43877.090150462958</v>
      </c>
      <c r="B18038" t="str">
        <f>HYPERLINK("https://twitter.com/liputan6dotcom","@liputan6dotcom")</f>
        <v>@liputan6dotcom</v>
      </c>
      <c r="C18038" t="s">
        <v>8523</v>
      </c>
      <c r="D18038">
        <v>1</v>
      </c>
      <c r="E18038">
        <v>2</v>
      </c>
      <c r="F18038">
        <v>3625086</v>
      </c>
    </row>
    <row r="18039" spans="1:6" ht="12.75">
      <c r="A18039" s="2">
        <v>43877.089907407411</v>
      </c>
      <c r="B18039" t="str">
        <f>HYPERLINK("https://twitter.com/msyafrudin_ntb","@msyafrudin_ntb")</f>
        <v>@msyafrudin_ntb</v>
      </c>
      <c r="C18039" t="s">
        <v>9171</v>
      </c>
      <c r="D18039">
        <v>0</v>
      </c>
      <c r="E18039">
        <v>0</v>
      </c>
      <c r="F18039">
        <v>253</v>
      </c>
    </row>
    <row r="18040" spans="1:6" ht="12.75">
      <c r="A18040" s="2">
        <v>43877.089513888888</v>
      </c>
      <c r="B18040" t="str">
        <f>HYPERLINK("https://twitter.com/Jaya_Ind","@Jaya_Ind")</f>
        <v>@Jaya_Ind</v>
      </c>
      <c r="C18040" t="s">
        <v>6338</v>
      </c>
      <c r="D18040">
        <v>249</v>
      </c>
      <c r="E18040">
        <v>0</v>
      </c>
      <c r="F18040">
        <v>2661</v>
      </c>
    </row>
    <row r="18041" spans="1:6" ht="12.75">
      <c r="A18041" s="2">
        <v>43877.088946759264</v>
      </c>
      <c r="B18041" t="str">
        <f>HYPERLINK("https://twitter.com/INDRAARDIAWAN2","@INDRAARDIAWAN2")</f>
        <v>@INDRAARDIAWAN2</v>
      </c>
      <c r="C18041" t="s">
        <v>9172</v>
      </c>
      <c r="D18041">
        <v>0</v>
      </c>
      <c r="E18041">
        <v>0</v>
      </c>
      <c r="F18041">
        <v>802</v>
      </c>
    </row>
    <row r="18042" spans="1:6" ht="12.75">
      <c r="A18042" s="2">
        <v>43877.088865740741</v>
      </c>
      <c r="B18042" t="str">
        <f>HYPERLINK("https://twitter.com/CarolGr45452761","@CarolGr45452761")</f>
        <v>@CarolGr45452761</v>
      </c>
      <c r="C18042" t="s">
        <v>3150</v>
      </c>
      <c r="D18042">
        <v>226</v>
      </c>
      <c r="E18042">
        <v>0</v>
      </c>
      <c r="F18042">
        <v>126</v>
      </c>
    </row>
    <row r="18043" spans="1:6" ht="12.75">
      <c r="A18043" s="2">
        <v>43877.087893518517</v>
      </c>
      <c r="B18043" t="str">
        <f>HYPERLINK("https://twitter.com/isis_cervantes3","@isis_cervantes3")</f>
        <v>@isis_cervantes3</v>
      </c>
      <c r="C18043" t="s">
        <v>9173</v>
      </c>
      <c r="D18043">
        <v>0</v>
      </c>
      <c r="E18043">
        <v>0</v>
      </c>
      <c r="F18043">
        <v>490</v>
      </c>
    </row>
    <row r="18044" spans="1:6" ht="12.75">
      <c r="A18044" s="2">
        <v>43877.087719907402</v>
      </c>
      <c r="B18044" t="str">
        <f>HYPERLINK("https://twitter.com/sudirwan_iwan","@sudirwan_iwan")</f>
        <v>@sudirwan_iwan</v>
      </c>
      <c r="C18044" t="s">
        <v>9174</v>
      </c>
      <c r="D18044">
        <v>0</v>
      </c>
      <c r="E18044">
        <v>0</v>
      </c>
      <c r="F18044">
        <v>20</v>
      </c>
    </row>
    <row r="18045" spans="1:6" ht="12.75">
      <c r="A18045" s="2">
        <v>43877.087523148148</v>
      </c>
      <c r="B18045" t="str">
        <f>HYPERLINK("https://twitter.com/PNawacita","@PNawacita")</f>
        <v>@PNawacita</v>
      </c>
      <c r="C18045" t="s">
        <v>9175</v>
      </c>
      <c r="D18045">
        <v>0</v>
      </c>
      <c r="E18045">
        <v>0</v>
      </c>
      <c r="F18045">
        <v>69</v>
      </c>
    </row>
    <row r="18046" spans="1:6" ht="12.75">
      <c r="A18046" s="2">
        <v>43877.086539351847</v>
      </c>
      <c r="B18046" t="str">
        <f>HYPERLINK("https://twitter.com/masmugialba","@masmugialba")</f>
        <v>@masmugialba</v>
      </c>
      <c r="C18046" t="s">
        <v>6338</v>
      </c>
      <c r="D18046">
        <v>249</v>
      </c>
      <c r="E18046">
        <v>0</v>
      </c>
      <c r="F18046">
        <v>919</v>
      </c>
    </row>
    <row r="18047" spans="1:6" ht="12.75">
      <c r="A18047" s="2">
        <v>43877.086030092592</v>
      </c>
      <c r="B18047" t="str">
        <f>HYPERLINK("https://twitter.com/AlwiyaDoni","@AlwiyaDoni")</f>
        <v>@AlwiyaDoni</v>
      </c>
      <c r="C18047" t="s">
        <v>3059</v>
      </c>
      <c r="D18047">
        <v>284</v>
      </c>
      <c r="E18047">
        <v>0</v>
      </c>
      <c r="F18047">
        <v>211</v>
      </c>
    </row>
    <row r="18048" spans="1:6" ht="12.75">
      <c r="A18048" s="2">
        <v>43877.085914351846</v>
      </c>
      <c r="B18048" t="str">
        <f>HYPERLINK("https://twitter.com/ArilGuci","@ArilGuci")</f>
        <v>@ArilGuci</v>
      </c>
      <c r="C18048" t="s">
        <v>9065</v>
      </c>
      <c r="D18048">
        <v>90</v>
      </c>
      <c r="E18048">
        <v>0</v>
      </c>
      <c r="F18048">
        <v>305</v>
      </c>
    </row>
    <row r="18049" spans="1:6" ht="12.75">
      <c r="A18049" s="2">
        <v>43877.085868055554</v>
      </c>
      <c r="B18049" t="str">
        <f>HYPERLINK("https://twitter.com/farajnassar_","@farajnassar_")</f>
        <v>@farajnassar_</v>
      </c>
      <c r="C18049" t="s">
        <v>6338</v>
      </c>
      <c r="D18049">
        <v>249</v>
      </c>
      <c r="E18049">
        <v>0</v>
      </c>
      <c r="F18049">
        <v>600</v>
      </c>
    </row>
    <row r="18050" spans="1:6" ht="12.75">
      <c r="A18050" s="2">
        <v>43877.085625</v>
      </c>
      <c r="B18050" t="str">
        <f>HYPERLINK("https://twitter.com/djiwa86","@djiwa86")</f>
        <v>@djiwa86</v>
      </c>
      <c r="C18050" t="s">
        <v>8053</v>
      </c>
      <c r="D18050">
        <v>28</v>
      </c>
      <c r="E18050">
        <v>0</v>
      </c>
      <c r="F18050">
        <v>943</v>
      </c>
    </row>
    <row r="18051" spans="1:6" ht="12.75">
      <c r="A18051" s="2">
        <v>43877.084409722222</v>
      </c>
      <c r="B18051" t="str">
        <f>HYPERLINK("https://twitter.com/de_dew98","@de_dew98")</f>
        <v>@de_dew98</v>
      </c>
      <c r="C18051" t="s">
        <v>9176</v>
      </c>
      <c r="D18051">
        <v>0</v>
      </c>
      <c r="E18051">
        <v>0</v>
      </c>
      <c r="F18051">
        <v>80</v>
      </c>
    </row>
    <row r="18052" spans="1:6" ht="12.75">
      <c r="A18052" s="2">
        <v>43877.084282407406</v>
      </c>
      <c r="B18052" t="str">
        <f>HYPERLINK("https://twitter.com/adzakyarrosyid","@adzakyarrosyid")</f>
        <v>@adzakyarrosyid</v>
      </c>
      <c r="C18052" t="s">
        <v>7905</v>
      </c>
      <c r="D18052">
        <v>35</v>
      </c>
      <c r="E18052">
        <v>0</v>
      </c>
      <c r="F18052">
        <v>71</v>
      </c>
    </row>
    <row r="18053" spans="1:6" ht="12.75">
      <c r="A18053" s="2">
        <v>43877.084131944444</v>
      </c>
      <c r="B18053" t="str">
        <f>HYPERLINK("https://twitter.com/r96sperstar","@r96sperstar")</f>
        <v>@r96sperstar</v>
      </c>
      <c r="C18053" t="s">
        <v>6338</v>
      </c>
      <c r="D18053">
        <v>227</v>
      </c>
      <c r="E18053">
        <v>0</v>
      </c>
      <c r="F18053">
        <v>387</v>
      </c>
    </row>
    <row r="18054" spans="1:6" ht="12.75">
      <c r="A18054" s="2">
        <v>43877.083969907406</v>
      </c>
      <c r="B18054" t="str">
        <f>HYPERLINK("https://twitter.com/Nier48909238","@Nier48909238")</f>
        <v>@Nier48909238</v>
      </c>
      <c r="C18054" t="s">
        <v>6338</v>
      </c>
      <c r="D18054">
        <v>227</v>
      </c>
      <c r="E18054">
        <v>0</v>
      </c>
      <c r="F18054">
        <v>99</v>
      </c>
    </row>
    <row r="18055" spans="1:6" ht="12.75">
      <c r="A18055" s="2">
        <v>43877.083877314813</v>
      </c>
      <c r="B18055" t="str">
        <f>HYPERLINK("https://twitter.com/Lilou_skye","@Lilou_skye")</f>
        <v>@Lilou_skye</v>
      </c>
      <c r="C18055" t="s">
        <v>9177</v>
      </c>
      <c r="D18055">
        <v>136</v>
      </c>
      <c r="E18055">
        <v>0</v>
      </c>
      <c r="F18055">
        <v>132</v>
      </c>
    </row>
    <row r="18056" spans="1:6" ht="12.75">
      <c r="A18056" s="2">
        <v>43877.083599537036</v>
      </c>
      <c r="B18056" t="str">
        <f>HYPERLINK("https://twitter.com/rustitour","@rustitour")</f>
        <v>@rustitour</v>
      </c>
      <c r="C18056" t="s">
        <v>2131</v>
      </c>
      <c r="D18056">
        <v>0</v>
      </c>
      <c r="E18056">
        <v>0</v>
      </c>
      <c r="F18056">
        <v>1</v>
      </c>
    </row>
    <row r="18057" spans="1:6" ht="12.75">
      <c r="A18057" s="2">
        <v>43877.083356481482</v>
      </c>
      <c r="B18057" t="str">
        <f>HYPERLINK("https://twitter.com/KGD_BoneBolango","@KGD_BoneBolango")</f>
        <v>@KGD_BoneBolango</v>
      </c>
      <c r="C18057" t="s">
        <v>8105</v>
      </c>
      <c r="D18057">
        <v>1</v>
      </c>
      <c r="E18057">
        <v>0</v>
      </c>
      <c r="F18057">
        <v>23</v>
      </c>
    </row>
    <row r="18058" spans="1:6" ht="12.75">
      <c r="A18058" s="2">
        <v>43877.083333333328</v>
      </c>
      <c r="B18058" t="str">
        <f>HYPERLINK("https://twitter.com/Lintas_MNCTV","@Lintas_MNCTV")</f>
        <v>@Lintas_MNCTV</v>
      </c>
      <c r="C18058" t="s">
        <v>9178</v>
      </c>
      <c r="D18058">
        <v>0</v>
      </c>
      <c r="E18058">
        <v>0</v>
      </c>
      <c r="F18058">
        <v>35904</v>
      </c>
    </row>
    <row r="18059" spans="1:6" ht="12.75">
      <c r="A18059" s="2">
        <v>43877.083333333328</v>
      </c>
      <c r="B18059" t="str">
        <f>HYPERLINK("https://twitter.com/OfficialiNewsTV","@OfficialiNewsTV")</f>
        <v>@OfficialiNewsTV</v>
      </c>
      <c r="C18059" t="s">
        <v>9179</v>
      </c>
      <c r="D18059">
        <v>0</v>
      </c>
      <c r="E18059">
        <v>0</v>
      </c>
      <c r="F18059">
        <v>95869</v>
      </c>
    </row>
    <row r="18060" spans="1:6" ht="12.75">
      <c r="A18060" s="2">
        <v>43877.083321759259</v>
      </c>
      <c r="B18060" t="str">
        <f>HYPERLINK("https://twitter.com/Yash_xxx","@Yash_xxx")</f>
        <v>@Yash_xxx</v>
      </c>
      <c r="C18060" t="s">
        <v>6338</v>
      </c>
      <c r="D18060">
        <v>227</v>
      </c>
      <c r="E18060">
        <v>0</v>
      </c>
      <c r="F18060">
        <v>165</v>
      </c>
    </row>
    <row r="18061" spans="1:6" ht="12.75">
      <c r="A18061" s="2">
        <v>43877.083229166667</v>
      </c>
      <c r="B18061" t="str">
        <f>HYPERLINK("https://twitter.com/dubie_tina","@dubie_tina")</f>
        <v>@dubie_tina</v>
      </c>
      <c r="C18061" t="s">
        <v>6338</v>
      </c>
      <c r="D18061">
        <v>227</v>
      </c>
      <c r="E18061">
        <v>0</v>
      </c>
      <c r="F18061">
        <v>1025</v>
      </c>
    </row>
    <row r="18062" spans="1:6" ht="12.75">
      <c r="A18062" s="2">
        <v>43877.083101851851</v>
      </c>
      <c r="B18062" t="str">
        <f>HYPERLINK("https://twitter.com/Endarto59769219","@Endarto59769219")</f>
        <v>@Endarto59769219</v>
      </c>
      <c r="C18062" t="s">
        <v>6338</v>
      </c>
      <c r="D18062">
        <v>227</v>
      </c>
      <c r="E18062">
        <v>0</v>
      </c>
      <c r="F18062">
        <v>338</v>
      </c>
    </row>
    <row r="18063" spans="1:6" ht="12.75">
      <c r="A18063" s="2">
        <v>43877.083020833335</v>
      </c>
      <c r="B18063" t="str">
        <f>HYPERLINK("https://twitter.com/ryolandafit","@ryolandafit")</f>
        <v>@ryolandafit</v>
      </c>
      <c r="C18063" t="s">
        <v>9180</v>
      </c>
      <c r="D18063">
        <v>1</v>
      </c>
      <c r="E18063">
        <v>0</v>
      </c>
      <c r="F18063">
        <v>651</v>
      </c>
    </row>
    <row r="18064" spans="1:6" ht="12.75">
      <c r="A18064" s="2">
        <v>43877.082870370374</v>
      </c>
      <c r="B18064" t="str">
        <f>HYPERLINK("https://twitter.com/willysuteja","@willysuteja")</f>
        <v>@willysuteja</v>
      </c>
      <c r="C18064" t="s">
        <v>8317</v>
      </c>
      <c r="D18064">
        <v>16</v>
      </c>
      <c r="E18064">
        <v>0</v>
      </c>
      <c r="F18064">
        <v>3632</v>
      </c>
    </row>
    <row r="18065" spans="1:6" ht="12.75">
      <c r="A18065" s="2">
        <v>43877.082743055551</v>
      </c>
      <c r="B18065" t="str">
        <f>HYPERLINK("https://twitter.com/djournal_ssluzf","@djournal_ssluzf")</f>
        <v>@djournal_ssluzf</v>
      </c>
      <c r="C18065" t="s">
        <v>2147</v>
      </c>
      <c r="D18065">
        <v>469</v>
      </c>
      <c r="E18065">
        <v>0</v>
      </c>
      <c r="F18065">
        <v>804</v>
      </c>
    </row>
    <row r="18066" spans="1:6" ht="12.75">
      <c r="A18066" s="2">
        <v>43877.082500000004</v>
      </c>
      <c r="B18066" t="str">
        <f>HYPERLINK("https://twitter.com/336184","@336184")</f>
        <v>@336184</v>
      </c>
      <c r="C18066" t="s">
        <v>9181</v>
      </c>
      <c r="D18066">
        <v>2</v>
      </c>
      <c r="E18066">
        <v>0</v>
      </c>
      <c r="F18066">
        <v>6</v>
      </c>
    </row>
    <row r="18067" spans="1:6" ht="12.75">
      <c r="A18067" s="2">
        <v>43877.082488425927</v>
      </c>
      <c r="B18067" t="str">
        <f>HYPERLINK("https://twitter.com/myoborbali","@myoborbali")</f>
        <v>@myoborbali</v>
      </c>
      <c r="C18067" t="s">
        <v>9182</v>
      </c>
      <c r="D18067">
        <v>4</v>
      </c>
      <c r="E18067">
        <v>0</v>
      </c>
      <c r="F18067">
        <v>0</v>
      </c>
    </row>
    <row r="18068" spans="1:6" ht="12.75">
      <c r="A18068" s="2">
        <v>43877.082314814819</v>
      </c>
      <c r="B18068" t="str">
        <f t="shared" ref="B18068:B18069" si="301">HYPERLINK("https://twitter.com/FireBirdFeniks","@FireBirdFeniks")</f>
        <v>@FireBirdFeniks</v>
      </c>
      <c r="C18068" t="s">
        <v>8203</v>
      </c>
      <c r="D18068">
        <v>119</v>
      </c>
      <c r="E18068">
        <v>0</v>
      </c>
      <c r="F18068">
        <v>1750</v>
      </c>
    </row>
    <row r="18069" spans="1:6" ht="12.75">
      <c r="A18069" s="2">
        <v>43877.082280092596</v>
      </c>
      <c r="B18069" t="str">
        <f t="shared" si="301"/>
        <v>@FireBirdFeniks</v>
      </c>
      <c r="C18069" t="s">
        <v>2147</v>
      </c>
      <c r="D18069">
        <v>469</v>
      </c>
      <c r="E18069">
        <v>0</v>
      </c>
      <c r="F18069">
        <v>1750</v>
      </c>
    </row>
    <row r="18070" spans="1:6" ht="12.75">
      <c r="A18070" s="2">
        <v>43877.082094907411</v>
      </c>
      <c r="B18070" t="str">
        <f>HYPERLINK("https://twitter.com/hendrikk168","@hendrikk168")</f>
        <v>@hendrikk168</v>
      </c>
      <c r="C18070" t="s">
        <v>6338</v>
      </c>
      <c r="D18070">
        <v>227</v>
      </c>
      <c r="E18070">
        <v>0</v>
      </c>
      <c r="F18070">
        <v>873</v>
      </c>
    </row>
    <row r="18071" spans="1:6" ht="12.75">
      <c r="A18071" s="2">
        <v>43877.081956018519</v>
      </c>
      <c r="B18071" t="str">
        <f>HYPERLINK("https://twitter.com/junajameshoran","@junajameshoran")</f>
        <v>@junajameshoran</v>
      </c>
      <c r="C18071" t="s">
        <v>9183</v>
      </c>
      <c r="D18071">
        <v>2</v>
      </c>
      <c r="E18071">
        <v>0</v>
      </c>
      <c r="F18071">
        <v>159</v>
      </c>
    </row>
    <row r="18072" spans="1:6" ht="12.75">
      <c r="A18072" s="2">
        <v>43877.081770833334</v>
      </c>
      <c r="B18072" t="str">
        <f>HYPERLINK("https://twitter.com/rudi2929","@rudi2929")</f>
        <v>@rudi2929</v>
      </c>
      <c r="C18072" t="s">
        <v>6338</v>
      </c>
      <c r="D18072">
        <v>227</v>
      </c>
      <c r="E18072">
        <v>0</v>
      </c>
      <c r="F18072">
        <v>1</v>
      </c>
    </row>
    <row r="18073" spans="1:6" ht="12.75">
      <c r="A18073" s="2">
        <v>43877.081493055557</v>
      </c>
      <c r="B18073" t="str">
        <f>HYPERLINK("https://twitter.com/Amir_Faesal_70","@Amir_Faesal_70")</f>
        <v>@Amir_Faesal_70</v>
      </c>
      <c r="C18073" t="s">
        <v>6338</v>
      </c>
      <c r="D18073">
        <v>227</v>
      </c>
      <c r="E18073">
        <v>0</v>
      </c>
      <c r="F18073">
        <v>1637</v>
      </c>
    </row>
    <row r="18074" spans="1:6" ht="12.75">
      <c r="A18074" s="2">
        <v>43877.081226851849</v>
      </c>
      <c r="B18074" t="str">
        <f>HYPERLINK("https://twitter.com/ErvineKiddies","@ErvineKiddies")</f>
        <v>@ErvineKiddies</v>
      </c>
      <c r="C18074" t="s">
        <v>7259</v>
      </c>
      <c r="D18074">
        <v>31</v>
      </c>
      <c r="E18074">
        <v>0</v>
      </c>
      <c r="F18074">
        <v>739</v>
      </c>
    </row>
    <row r="18075" spans="1:6" ht="12.75">
      <c r="A18075" s="2">
        <v>43877.081018518518</v>
      </c>
      <c r="B18075" t="str">
        <f>HYPERLINK("https://twitter.com/JOEPUBLIC20171","@JOEPUBLIC20171")</f>
        <v>@JOEPUBLIC20171</v>
      </c>
      <c r="C18075" t="s">
        <v>3150</v>
      </c>
      <c r="D18075">
        <v>220</v>
      </c>
      <c r="E18075">
        <v>0</v>
      </c>
      <c r="F18075">
        <v>2651</v>
      </c>
    </row>
    <row r="18076" spans="1:6" ht="12.75">
      <c r="A18076" s="2">
        <v>43877.080949074079</v>
      </c>
      <c r="B18076" t="str">
        <f>HYPERLINK("https://twitter.com/daudaliyafie","@daudaliyafie")</f>
        <v>@daudaliyafie</v>
      </c>
      <c r="C18076" t="s">
        <v>9184</v>
      </c>
      <c r="D18076">
        <v>0</v>
      </c>
      <c r="E18076">
        <v>0</v>
      </c>
      <c r="F18076">
        <v>175</v>
      </c>
    </row>
    <row r="18077" spans="1:6" ht="12.75">
      <c r="A18077" s="2">
        <v>43877.080428240741</v>
      </c>
      <c r="B18077" t="str">
        <f>HYPERLINK("https://twitter.com/Tom_Tom78","@Tom_Tom78")</f>
        <v>@Tom_Tom78</v>
      </c>
      <c r="C18077" t="s">
        <v>3150</v>
      </c>
      <c r="D18077">
        <v>220</v>
      </c>
      <c r="E18077">
        <v>0</v>
      </c>
      <c r="F18077">
        <v>1147</v>
      </c>
    </row>
    <row r="18078" spans="1:6" ht="12.75">
      <c r="A18078" s="2">
        <v>43877.080104166671</v>
      </c>
      <c r="B18078" t="str">
        <f>HYPERLINK("https://twitter.com/swearingbrexit","@swearingbrexit")</f>
        <v>@swearingbrexit</v>
      </c>
      <c r="C18078" t="s">
        <v>3150</v>
      </c>
      <c r="D18078">
        <v>220</v>
      </c>
      <c r="E18078">
        <v>0</v>
      </c>
      <c r="F18078">
        <v>1587</v>
      </c>
    </row>
    <row r="18079" spans="1:6" ht="12.75">
      <c r="A18079" s="2">
        <v>43877.079745370371</v>
      </c>
      <c r="B18079" t="str">
        <f>HYPERLINK("https://twitter.com/FireBirdFeniks","@FireBirdFeniks")</f>
        <v>@FireBirdFeniks</v>
      </c>
      <c r="C18079" t="s">
        <v>6338</v>
      </c>
      <c r="D18079">
        <v>227</v>
      </c>
      <c r="E18079">
        <v>0</v>
      </c>
      <c r="F18079">
        <v>1750</v>
      </c>
    </row>
    <row r="18080" spans="1:6" ht="12.75">
      <c r="A18080" s="2">
        <v>43877.079305555555</v>
      </c>
      <c r="B18080" t="str">
        <f>HYPERLINK("https://twitter.com/m45ib","@m45ib")</f>
        <v>@m45ib</v>
      </c>
      <c r="C18080" t="s">
        <v>9185</v>
      </c>
      <c r="D18080">
        <v>0</v>
      </c>
      <c r="E18080">
        <v>0</v>
      </c>
      <c r="F18080">
        <v>315</v>
      </c>
    </row>
    <row r="18081" spans="1:6" ht="12.75">
      <c r="A18081" s="2">
        <v>43877.079293981486</v>
      </c>
      <c r="B18081" t="str">
        <f>HYPERLINK("https://twitter.com/JokoFighter01","@JokoFighter01")</f>
        <v>@JokoFighter01</v>
      </c>
      <c r="C18081" t="s">
        <v>9186</v>
      </c>
      <c r="D18081">
        <v>114</v>
      </c>
      <c r="E18081">
        <v>0</v>
      </c>
      <c r="F18081">
        <v>532</v>
      </c>
    </row>
    <row r="18082" spans="1:6" ht="12.75">
      <c r="A18082" s="2">
        <v>43877.079259259262</v>
      </c>
      <c r="B18082" t="str">
        <f>HYPERLINK("https://twitter.com/inisiapaatuh","@inisiapaatuh")</f>
        <v>@inisiapaatuh</v>
      </c>
      <c r="C18082" t="s">
        <v>2444</v>
      </c>
      <c r="D18082">
        <v>4480</v>
      </c>
      <c r="E18082">
        <v>0</v>
      </c>
      <c r="F18082">
        <v>2260</v>
      </c>
    </row>
    <row r="18083" spans="1:6" ht="12.75">
      <c r="A18083" s="2">
        <v>43877.078912037032</v>
      </c>
      <c r="B18083" t="str">
        <f>HYPERLINK("https://twitter.com/fazririzkiya","@fazririzkiya")</f>
        <v>@fazririzkiya</v>
      </c>
      <c r="C18083" t="s">
        <v>9065</v>
      </c>
      <c r="D18083">
        <v>86</v>
      </c>
      <c r="E18083">
        <v>0</v>
      </c>
      <c r="F18083">
        <v>354</v>
      </c>
    </row>
    <row r="18084" spans="1:6" ht="12.75">
      <c r="A18084" s="2">
        <v>43877.07880787037</v>
      </c>
      <c r="B18084" t="str">
        <f>HYPERLINK("https://twitter.com/Boeluxs1","@Boeluxs1")</f>
        <v>@Boeluxs1</v>
      </c>
      <c r="C18084" t="s">
        <v>6338</v>
      </c>
      <c r="D18084">
        <v>227</v>
      </c>
      <c r="E18084">
        <v>0</v>
      </c>
      <c r="F18084">
        <v>181</v>
      </c>
    </row>
    <row r="18085" spans="1:6" ht="12.75">
      <c r="A18085" s="2">
        <v>43877.0783912037</v>
      </c>
      <c r="B18085" t="str">
        <f>HYPERLINK("https://twitter.com/las3acc","@las3acc")</f>
        <v>@las3acc</v>
      </c>
      <c r="C18085" t="s">
        <v>6338</v>
      </c>
      <c r="D18085">
        <v>227</v>
      </c>
      <c r="E18085">
        <v>0</v>
      </c>
      <c r="F18085">
        <v>4728</v>
      </c>
    </row>
    <row r="18086" spans="1:6" ht="12.75">
      <c r="A18086" s="2">
        <v>43877.078321759254</v>
      </c>
      <c r="B18086" t="str">
        <f>HYPERLINK("https://twitter.com/masmugialba","@masmugialba")</f>
        <v>@masmugialba</v>
      </c>
      <c r="C18086" t="s">
        <v>7876</v>
      </c>
      <c r="D18086">
        <v>59</v>
      </c>
      <c r="E18086">
        <v>0</v>
      </c>
      <c r="F18086">
        <v>919</v>
      </c>
    </row>
    <row r="18087" spans="1:6" ht="12.75">
      <c r="A18087" s="2">
        <v>43877.077824074076</v>
      </c>
      <c r="B18087" t="str">
        <f>HYPERLINK("https://twitter.com/harset2013","@harset2013")</f>
        <v>@harset2013</v>
      </c>
      <c r="C18087" t="s">
        <v>6338</v>
      </c>
      <c r="D18087">
        <v>227</v>
      </c>
      <c r="E18087">
        <v>0</v>
      </c>
      <c r="F18087">
        <v>654</v>
      </c>
    </row>
    <row r="18088" spans="1:6" ht="12.75">
      <c r="A18088" s="2">
        <v>43877.077650462961</v>
      </c>
      <c r="B18088" t="str">
        <f>HYPERLINK("https://twitter.com/me_zhu__Yusra","@me_zhu__Yusra")</f>
        <v>@me_zhu__Yusra</v>
      </c>
      <c r="C18088" t="s">
        <v>9187</v>
      </c>
      <c r="D18088">
        <v>0</v>
      </c>
      <c r="E18088">
        <v>0</v>
      </c>
      <c r="F18088">
        <v>3031</v>
      </c>
    </row>
    <row r="18089" spans="1:6" ht="12.75">
      <c r="A18089" s="2">
        <v>43877.077569444446</v>
      </c>
      <c r="B18089" t="str">
        <f>HYPERLINK("https://twitter.com/moonicatcp","@moonicatcp")</f>
        <v>@moonicatcp</v>
      </c>
      <c r="C18089" t="s">
        <v>7068</v>
      </c>
      <c r="D18089">
        <v>53</v>
      </c>
      <c r="E18089">
        <v>0</v>
      </c>
      <c r="F18089">
        <v>769</v>
      </c>
    </row>
    <row r="18090" spans="1:6" ht="12.75">
      <c r="A18090" s="2">
        <v>43877.077280092592</v>
      </c>
      <c r="B18090" t="str">
        <f>HYPERLINK("https://twitter.com/noranoo_bebe","@noranoo_bebe")</f>
        <v>@noranoo_bebe</v>
      </c>
      <c r="C18090" t="s">
        <v>3150</v>
      </c>
      <c r="D18090">
        <v>220</v>
      </c>
      <c r="E18090">
        <v>0</v>
      </c>
      <c r="F18090">
        <v>1175</v>
      </c>
    </row>
    <row r="18091" spans="1:6" ht="12.75">
      <c r="A18091" s="2">
        <v>43877.07712962963</v>
      </c>
      <c r="B18091" t="str">
        <f>HYPERLINK("https://twitter.com/TrioMacari2000","@TrioMacari2000")</f>
        <v>@TrioMacari2000</v>
      </c>
      <c r="C18091" t="s">
        <v>8598</v>
      </c>
      <c r="D18091">
        <v>3</v>
      </c>
      <c r="E18091">
        <v>0</v>
      </c>
      <c r="F18091">
        <v>6503</v>
      </c>
    </row>
    <row r="18092" spans="1:6" ht="12.75">
      <c r="A18092" s="2">
        <v>43877.076238425929</v>
      </c>
      <c r="B18092" t="str">
        <f>HYPERLINK("https://twitter.com/Blogger_Cilacap","@Blogger_Cilacap")</f>
        <v>@Blogger_Cilacap</v>
      </c>
      <c r="C18092" t="s">
        <v>9188</v>
      </c>
      <c r="D18092">
        <v>0</v>
      </c>
      <c r="E18092">
        <v>0</v>
      </c>
      <c r="F18092">
        <v>130</v>
      </c>
    </row>
    <row r="18093" spans="1:6" ht="12.75">
      <c r="A18093" s="2">
        <v>43877.076192129629</v>
      </c>
      <c r="B18093" t="str">
        <f>HYPERLINK("https://twitter.com/CilacapTerkini","@CilacapTerkini")</f>
        <v>@CilacapTerkini</v>
      </c>
      <c r="C18093" t="s">
        <v>9188</v>
      </c>
      <c r="D18093">
        <v>0</v>
      </c>
      <c r="E18093">
        <v>0</v>
      </c>
      <c r="F18093">
        <v>105</v>
      </c>
    </row>
    <row r="18094" spans="1:6" ht="12.75">
      <c r="A18094" s="2">
        <v>43877.076145833329</v>
      </c>
      <c r="B18094" t="str">
        <f>HYPERLINK("https://twitter.com/news_cilacap","@news_cilacap")</f>
        <v>@news_cilacap</v>
      </c>
      <c r="C18094" t="s">
        <v>9188</v>
      </c>
      <c r="D18094">
        <v>0</v>
      </c>
      <c r="E18094">
        <v>0</v>
      </c>
      <c r="F18094">
        <v>85</v>
      </c>
    </row>
    <row r="18095" spans="1:6" ht="12.75">
      <c r="A18095" s="2">
        <v>43877.07607638889</v>
      </c>
      <c r="B18095" t="str">
        <f>HYPERLINK("https://twitter.com/KompasTV","@KompasTV")</f>
        <v>@KompasTV</v>
      </c>
      <c r="C18095" t="s">
        <v>9189</v>
      </c>
      <c r="D18095">
        <v>1</v>
      </c>
      <c r="E18095">
        <v>6</v>
      </c>
      <c r="F18095">
        <v>2941934</v>
      </c>
    </row>
    <row r="18096" spans="1:6" ht="12.75">
      <c r="A18096" s="2">
        <v>43877.075729166667</v>
      </c>
      <c r="B18096" t="str">
        <f>HYPERLINK("https://twitter.com/RayMair3","@RayMair3")</f>
        <v>@RayMair3</v>
      </c>
      <c r="C18096" t="s">
        <v>3150</v>
      </c>
      <c r="D18096">
        <v>220</v>
      </c>
      <c r="E18096">
        <v>0</v>
      </c>
      <c r="F18096">
        <v>275</v>
      </c>
    </row>
    <row r="18097" spans="1:6" ht="12.75">
      <c r="A18097" s="2">
        <v>43877.075497685189</v>
      </c>
      <c r="B18097" t="str">
        <f>HYPERLINK("https://twitter.com/FarelmaxL","@FarelmaxL")</f>
        <v>@FarelmaxL</v>
      </c>
      <c r="C18097" t="s">
        <v>8732</v>
      </c>
      <c r="D18097">
        <v>1</v>
      </c>
      <c r="E18097">
        <v>0</v>
      </c>
      <c r="F18097">
        <v>1290</v>
      </c>
    </row>
    <row r="18098" spans="1:6" ht="12.75">
      <c r="A18098" s="2">
        <v>43877.075335648144</v>
      </c>
      <c r="B18098" t="str">
        <f>HYPERLINK("https://twitter.com/bang_jijie","@bang_jijie")</f>
        <v>@bang_jijie</v>
      </c>
      <c r="C18098" t="s">
        <v>8493</v>
      </c>
      <c r="D18098">
        <v>48</v>
      </c>
      <c r="E18098">
        <v>0</v>
      </c>
      <c r="F18098">
        <v>734</v>
      </c>
    </row>
    <row r="18099" spans="1:6" ht="12.75">
      <c r="A18099" s="2">
        <v>43877.07512731482</v>
      </c>
      <c r="B18099" t="str">
        <f>HYPERLINK("https://twitter.com/Rob_E_Dresser","@Rob_E_Dresser")</f>
        <v>@Rob_E_Dresser</v>
      </c>
      <c r="C18099" t="s">
        <v>3150</v>
      </c>
      <c r="D18099">
        <v>220</v>
      </c>
      <c r="E18099">
        <v>0</v>
      </c>
      <c r="F18099">
        <v>4509</v>
      </c>
    </row>
    <row r="18100" spans="1:6" ht="12.75">
      <c r="A18100" s="2">
        <v>43877.074571759258</v>
      </c>
      <c r="B18100" t="str">
        <f>HYPERLINK("https://twitter.com/shamirsetyadi","@shamirsetyadi")</f>
        <v>@shamirsetyadi</v>
      </c>
      <c r="C18100" t="s">
        <v>8598</v>
      </c>
      <c r="D18100">
        <v>3</v>
      </c>
      <c r="E18100">
        <v>0</v>
      </c>
      <c r="F18100">
        <v>676</v>
      </c>
    </row>
    <row r="18101" spans="1:6" ht="12.75">
      <c r="A18101" s="2">
        <v>43877.074432870373</v>
      </c>
      <c r="B18101" t="str">
        <f>HYPERLINK("https://twitter.com/FireBirdFeniks","@FireBirdFeniks")</f>
        <v>@FireBirdFeniks</v>
      </c>
      <c r="C18101" t="s">
        <v>9190</v>
      </c>
      <c r="D18101">
        <v>1</v>
      </c>
      <c r="E18101">
        <v>1</v>
      </c>
      <c r="F18101">
        <v>1750</v>
      </c>
    </row>
    <row r="18102" spans="1:6" ht="12.75">
      <c r="A18102" s="2">
        <v>43877.073541666672</v>
      </c>
      <c r="B18102" t="str">
        <f>HYPERLINK("https://twitter.com/YusufNusantara1","@YusufNusantara1")</f>
        <v>@YusufNusantara1</v>
      </c>
      <c r="C18102" t="s">
        <v>8964</v>
      </c>
      <c r="D18102">
        <v>4</v>
      </c>
      <c r="E18102">
        <v>0</v>
      </c>
      <c r="F18102">
        <v>693</v>
      </c>
    </row>
    <row r="18103" spans="1:6" ht="12.75">
      <c r="A18103" s="2">
        <v>43877.073275462964</v>
      </c>
      <c r="B18103" t="str">
        <f>HYPERLINK("https://twitter.com/auliarahmanl","@auliarahmanl")</f>
        <v>@auliarahmanl</v>
      </c>
      <c r="C18103" t="s">
        <v>9191</v>
      </c>
      <c r="D18103">
        <v>0</v>
      </c>
      <c r="E18103">
        <v>0</v>
      </c>
      <c r="F18103">
        <v>8719</v>
      </c>
    </row>
    <row r="18104" spans="1:6" ht="12.75">
      <c r="A18104" s="2">
        <v>43877.072893518518</v>
      </c>
      <c r="B18104" t="str">
        <f>HYPERLINK("https://twitter.com/billysmbring366","@billysmbring366")</f>
        <v>@billysmbring366</v>
      </c>
      <c r="C18104" t="s">
        <v>6338</v>
      </c>
      <c r="D18104">
        <v>227</v>
      </c>
      <c r="E18104">
        <v>0</v>
      </c>
      <c r="F18104">
        <v>148</v>
      </c>
    </row>
    <row r="18105" spans="1:6" ht="12.75">
      <c r="A18105" s="2">
        <v>43877.07236111111</v>
      </c>
      <c r="B18105" t="str">
        <f>HYPERLINK("https://twitter.com/rickykim27","@rickykim27")</f>
        <v>@rickykim27</v>
      </c>
      <c r="C18105" t="s">
        <v>6338</v>
      </c>
      <c r="D18105">
        <v>227</v>
      </c>
      <c r="E18105">
        <v>0</v>
      </c>
      <c r="F18105">
        <v>3235</v>
      </c>
    </row>
    <row r="18106" spans="1:6" ht="12.75">
      <c r="A18106" s="2">
        <v>43877.07231481481</v>
      </c>
      <c r="B18106" t="str">
        <f>HYPERLINK("https://twitter.com/livinlikea","@livinlikea")</f>
        <v>@livinlikea</v>
      </c>
      <c r="C18106" t="s">
        <v>7905</v>
      </c>
      <c r="D18106">
        <v>35</v>
      </c>
      <c r="E18106">
        <v>0</v>
      </c>
      <c r="F18106">
        <v>2281</v>
      </c>
    </row>
    <row r="18107" spans="1:6" ht="12.75">
      <c r="A18107" s="2">
        <v>43877.07130787037</v>
      </c>
      <c r="B18107" t="str">
        <f>HYPERLINK("https://twitter.com/datuakpolai","@datuakpolai")</f>
        <v>@datuakpolai</v>
      </c>
      <c r="C18107" t="s">
        <v>6338</v>
      </c>
      <c r="D18107">
        <v>227</v>
      </c>
      <c r="E18107">
        <v>0</v>
      </c>
      <c r="F18107">
        <v>32</v>
      </c>
    </row>
    <row r="18108" spans="1:6" ht="12.75">
      <c r="A18108" s="2">
        <v>43877.071145833332</v>
      </c>
      <c r="B18108" t="str">
        <f>HYPERLINK("https://twitter.com/MisRitaKalang","@MisRitaKalang")</f>
        <v>@MisRitaKalang</v>
      </c>
      <c r="C18108" t="s">
        <v>3059</v>
      </c>
      <c r="D18108">
        <v>282</v>
      </c>
      <c r="E18108">
        <v>0</v>
      </c>
      <c r="F18108">
        <v>1159</v>
      </c>
    </row>
    <row r="18109" spans="1:6" ht="12.75">
      <c r="A18109" s="2">
        <v>43877.070613425924</v>
      </c>
      <c r="B18109" t="str">
        <f>HYPERLINK("https://twitter.com/bidook","@bidook")</f>
        <v>@bidook</v>
      </c>
      <c r="C18109" t="s">
        <v>9082</v>
      </c>
      <c r="D18109">
        <v>100</v>
      </c>
      <c r="E18109">
        <v>0</v>
      </c>
      <c r="F18109">
        <v>27</v>
      </c>
    </row>
    <row r="18110" spans="1:6" ht="12.75">
      <c r="A18110" s="2">
        <v>43877.070173611108</v>
      </c>
      <c r="B18110" t="str">
        <f>HYPERLINK("https://twitter.com/hah_apaann","@hah_apaann")</f>
        <v>@hah_apaann</v>
      </c>
      <c r="C18110" t="s">
        <v>9192</v>
      </c>
      <c r="D18110">
        <v>0</v>
      </c>
      <c r="E18110">
        <v>0</v>
      </c>
      <c r="F18110">
        <v>336</v>
      </c>
    </row>
    <row r="18111" spans="1:6" ht="12.75">
      <c r="A18111" s="2">
        <v>43877.068726851852</v>
      </c>
      <c r="B18111" t="str">
        <f>HYPERLINK("https://twitter.com/dagmar3700","@dagmar3700")</f>
        <v>@dagmar3700</v>
      </c>
      <c r="C18111" t="s">
        <v>3150</v>
      </c>
      <c r="D18111">
        <v>220</v>
      </c>
      <c r="E18111">
        <v>0</v>
      </c>
      <c r="F18111">
        <v>198</v>
      </c>
    </row>
    <row r="18112" spans="1:6" ht="12.75">
      <c r="A18112" s="2">
        <v>43877.068287037036</v>
      </c>
      <c r="B18112" t="str">
        <f>HYPERLINK("https://twitter.com/Gusmar16","@Gusmar16")</f>
        <v>@Gusmar16</v>
      </c>
      <c r="C18112" t="s">
        <v>6338</v>
      </c>
      <c r="D18112">
        <v>227</v>
      </c>
      <c r="E18112">
        <v>0</v>
      </c>
      <c r="F18112">
        <v>1101</v>
      </c>
    </row>
    <row r="18113" spans="1:6" ht="12.75">
      <c r="A18113" s="2">
        <v>43877.067349537036</v>
      </c>
      <c r="B18113" t="str">
        <f>HYPERLINK("https://twitter.com/Ifa_kimdouhara","@Ifa_kimdouhara")</f>
        <v>@Ifa_kimdouhara</v>
      </c>
      <c r="C18113" t="s">
        <v>2444</v>
      </c>
      <c r="D18113">
        <v>4480</v>
      </c>
      <c r="E18113">
        <v>0</v>
      </c>
      <c r="F18113">
        <v>1108</v>
      </c>
    </row>
    <row r="18114" spans="1:6" ht="12.75">
      <c r="A18114" s="2">
        <v>43877.06731481482</v>
      </c>
      <c r="B18114" t="str">
        <f>HYPERLINK("https://twitter.com/Boowiie","@Boowiie")</f>
        <v>@Boowiie</v>
      </c>
      <c r="C18114" t="s">
        <v>8967</v>
      </c>
      <c r="D18114">
        <v>4</v>
      </c>
      <c r="E18114">
        <v>0</v>
      </c>
      <c r="F18114">
        <v>143</v>
      </c>
    </row>
    <row r="18115" spans="1:6" ht="12.75">
      <c r="A18115" s="2">
        <v>43877.066400462965</v>
      </c>
      <c r="B18115" t="str">
        <f>HYPERLINK("https://twitter.com/chairulachir","@chairulachir")</f>
        <v>@chairulachir</v>
      </c>
      <c r="C18115" t="s">
        <v>6338</v>
      </c>
      <c r="D18115">
        <v>227</v>
      </c>
      <c r="E18115">
        <v>0</v>
      </c>
      <c r="F18115">
        <v>2468</v>
      </c>
    </row>
    <row r="18116" spans="1:6" ht="12.75">
      <c r="A18116" s="2">
        <v>43877.066238425927</v>
      </c>
      <c r="B18116" t="str">
        <f>HYPERLINK("https://twitter.com/BNewsCoID","@BNewsCoID")</f>
        <v>@BNewsCoID</v>
      </c>
      <c r="C18116" t="s">
        <v>9193</v>
      </c>
      <c r="D18116">
        <v>0</v>
      </c>
      <c r="E18116">
        <v>0</v>
      </c>
      <c r="F18116">
        <v>30639</v>
      </c>
    </row>
    <row r="18117" spans="1:6" ht="12.75">
      <c r="A18117" s="2">
        <v>43877.066168981481</v>
      </c>
      <c r="B18117" t="str">
        <f>HYPERLINK("https://twitter.com/Aq64987848","@Aq64987848")</f>
        <v>@Aq64987848</v>
      </c>
      <c r="C18117" t="s">
        <v>7261</v>
      </c>
      <c r="D18117">
        <v>90</v>
      </c>
      <c r="E18117">
        <v>0</v>
      </c>
      <c r="F18117">
        <v>130</v>
      </c>
    </row>
    <row r="18118" spans="1:6" ht="12.75">
      <c r="A18118" s="2">
        <v>43877.065844907411</v>
      </c>
      <c r="B18118" t="str">
        <f>HYPERLINK("https://twitter.com/Ifa_kimdouhara","@Ifa_kimdouhara")</f>
        <v>@Ifa_kimdouhara</v>
      </c>
      <c r="C18118" t="s">
        <v>5168</v>
      </c>
      <c r="D18118">
        <v>1631</v>
      </c>
      <c r="E18118">
        <v>0</v>
      </c>
      <c r="F18118">
        <v>1108</v>
      </c>
    </row>
    <row r="18119" spans="1:6" ht="12.75">
      <c r="A18119" s="2">
        <v>43877.065509259264</v>
      </c>
      <c r="B18119" t="str">
        <f>HYPERLINK("https://twitter.com/wuyiyian","@wuyiyian")</f>
        <v>@wuyiyian</v>
      </c>
      <c r="C18119" t="s">
        <v>2444</v>
      </c>
      <c r="D18119">
        <v>4480</v>
      </c>
      <c r="E18119">
        <v>0</v>
      </c>
      <c r="F18119">
        <v>2</v>
      </c>
    </row>
    <row r="18120" spans="1:6" ht="12.75">
      <c r="A18120" s="2">
        <v>43877.065324074079</v>
      </c>
      <c r="B18120" t="str">
        <f>HYPERLINK("https://twitter.com/kompascom","@kompascom")</f>
        <v>@kompascom</v>
      </c>
      <c r="C18120" t="s">
        <v>8967</v>
      </c>
      <c r="D18120">
        <v>4</v>
      </c>
      <c r="E18120">
        <v>0</v>
      </c>
      <c r="F18120">
        <v>7499058</v>
      </c>
    </row>
    <row r="18121" spans="1:6" ht="12.75">
      <c r="A18121" s="2">
        <v>43877.064733796295</v>
      </c>
      <c r="B18121" t="str">
        <f>HYPERLINK("https://twitter.com/FarelmaxL","@FarelmaxL")</f>
        <v>@FarelmaxL</v>
      </c>
      <c r="C18121" t="s">
        <v>8203</v>
      </c>
      <c r="D18121">
        <v>119</v>
      </c>
      <c r="E18121">
        <v>0</v>
      </c>
      <c r="F18121">
        <v>1290</v>
      </c>
    </row>
    <row r="18122" spans="1:6" ht="12.75">
      <c r="A18122" s="2">
        <v>43877.064675925925</v>
      </c>
      <c r="B18122" t="str">
        <f>HYPERLINK("https://twitter.com/Winsontrotz1","@Winsontrotz1")</f>
        <v>@Winsontrotz1</v>
      </c>
      <c r="C18122" t="s">
        <v>6338</v>
      </c>
      <c r="D18122">
        <v>227</v>
      </c>
      <c r="E18122">
        <v>0</v>
      </c>
      <c r="F18122">
        <v>2600</v>
      </c>
    </row>
    <row r="18123" spans="1:6" ht="12.75">
      <c r="A18123" s="2">
        <v>43877.064664351856</v>
      </c>
      <c r="B18123" t="str">
        <f>HYPERLINK("https://twitter.com/Hermanbach","@Hermanbach")</f>
        <v>@Hermanbach</v>
      </c>
      <c r="C18123" t="s">
        <v>6338</v>
      </c>
      <c r="D18123">
        <v>227</v>
      </c>
      <c r="E18123">
        <v>0</v>
      </c>
      <c r="F18123">
        <v>552</v>
      </c>
    </row>
    <row r="18124" spans="1:6" ht="12.75">
      <c r="A18124" s="2">
        <v>43877.064606481479</v>
      </c>
      <c r="B18124" t="str">
        <f>HYPERLINK("https://twitter.com/kompasiana","@kompasiana")</f>
        <v>@kompasiana</v>
      </c>
      <c r="C18124" t="s">
        <v>9194</v>
      </c>
      <c r="D18124">
        <v>4</v>
      </c>
      <c r="E18124">
        <v>3</v>
      </c>
      <c r="F18124">
        <v>928140</v>
      </c>
    </row>
    <row r="18125" spans="1:6" ht="12.75">
      <c r="A18125" s="2">
        <v>43877.064560185187</v>
      </c>
      <c r="B18125" t="str">
        <f>HYPERLINK("https://twitter.com/nanndy5","@nanndy5")</f>
        <v>@nanndy5</v>
      </c>
      <c r="C18125" t="s">
        <v>6338</v>
      </c>
      <c r="D18125">
        <v>227</v>
      </c>
      <c r="E18125">
        <v>0</v>
      </c>
      <c r="F18125">
        <v>27</v>
      </c>
    </row>
    <row r="18126" spans="1:6" ht="12.75">
      <c r="A18126" s="2">
        <v>43877.063900462963</v>
      </c>
      <c r="B18126" t="str">
        <f>HYPERLINK("https://twitter.com/Candraasmara85","@Candraasmara85")</f>
        <v>@Candraasmara85</v>
      </c>
      <c r="C18126" t="s">
        <v>6338</v>
      </c>
      <c r="D18126">
        <v>227</v>
      </c>
      <c r="E18126">
        <v>0</v>
      </c>
      <c r="F18126">
        <v>10500</v>
      </c>
    </row>
    <row r="18127" spans="1:6" ht="12.75">
      <c r="A18127" s="2">
        <v>43877.063819444447</v>
      </c>
      <c r="B18127" t="str">
        <f>HYPERLINK("https://twitter.com/Jitr0_Tor0i","@Jitr0_Tor0i")</f>
        <v>@Jitr0_Tor0i</v>
      </c>
      <c r="C18127" t="s">
        <v>6338</v>
      </c>
      <c r="D18127">
        <v>227</v>
      </c>
      <c r="E18127">
        <v>0</v>
      </c>
      <c r="F18127">
        <v>520</v>
      </c>
    </row>
    <row r="18128" spans="1:6" ht="12.75">
      <c r="A18128" s="2">
        <v>43877.063483796301</v>
      </c>
      <c r="B18128" t="str">
        <f>HYPERLINK("https://twitter.com/Mang_Aldo","@Mang_Aldo")</f>
        <v>@Mang_Aldo</v>
      </c>
      <c r="C18128" t="s">
        <v>9195</v>
      </c>
      <c r="D18128">
        <v>3</v>
      </c>
      <c r="E18128">
        <v>0</v>
      </c>
      <c r="F18128">
        <v>467</v>
      </c>
    </row>
    <row r="18129" spans="1:6" ht="12.75">
      <c r="A18129" s="2">
        <v>43877.063425925924</v>
      </c>
      <c r="B18129" t="str">
        <f>HYPERLINK("https://twitter.com/silvaa_mm","@silvaa_mm")</f>
        <v>@silvaa_mm</v>
      </c>
      <c r="C18129" t="s">
        <v>7905</v>
      </c>
      <c r="D18129">
        <v>35</v>
      </c>
      <c r="E18129">
        <v>0</v>
      </c>
      <c r="F18129">
        <v>3918</v>
      </c>
    </row>
    <row r="18130" spans="1:6" ht="12.75">
      <c r="A18130" s="2">
        <v>43877.062824074077</v>
      </c>
      <c r="B18130" t="str">
        <f>HYPERLINK("https://twitter.com/Lubissafa","@Lubissafa")</f>
        <v>@Lubissafa</v>
      </c>
      <c r="C18130" t="s">
        <v>6338</v>
      </c>
      <c r="D18130">
        <v>227</v>
      </c>
      <c r="E18130">
        <v>0</v>
      </c>
      <c r="F18130">
        <v>5879</v>
      </c>
    </row>
    <row r="18131" spans="1:6" ht="12.75">
      <c r="A18131" s="2">
        <v>43877.062777777777</v>
      </c>
      <c r="B18131" t="str">
        <f>HYPERLINK("https://twitter.com/Mar33Cj","@Mar33Cj")</f>
        <v>@Mar33Cj</v>
      </c>
      <c r="C18131" t="s">
        <v>8203</v>
      </c>
      <c r="D18131">
        <v>119</v>
      </c>
      <c r="E18131">
        <v>0</v>
      </c>
      <c r="F18131">
        <v>4594</v>
      </c>
    </row>
    <row r="18132" spans="1:6" ht="12.75">
      <c r="A18132" s="2">
        <v>43877.062361111108</v>
      </c>
      <c r="B18132" t="str">
        <f>HYPERLINK("https://twitter.com/Mang_Aldo","@Mang_Aldo")</f>
        <v>@Mang_Aldo</v>
      </c>
      <c r="C18132" t="s">
        <v>7259</v>
      </c>
      <c r="D18132">
        <v>31</v>
      </c>
      <c r="E18132">
        <v>0</v>
      </c>
      <c r="F18132">
        <v>467</v>
      </c>
    </row>
    <row r="18133" spans="1:6" ht="12.75">
      <c r="A18133" s="2">
        <v>43877.0621412037</v>
      </c>
      <c r="B18133" t="str">
        <f>HYPERLINK("https://twitter.com/AriePutraWijay1","@AriePutraWijay1")</f>
        <v>@AriePutraWijay1</v>
      </c>
      <c r="C18133" t="s">
        <v>6338</v>
      </c>
      <c r="D18133">
        <v>227</v>
      </c>
      <c r="E18133">
        <v>0</v>
      </c>
      <c r="F18133">
        <v>127</v>
      </c>
    </row>
    <row r="18134" spans="1:6" ht="12.75">
      <c r="A18134" s="2">
        <v>43877.061539351853</v>
      </c>
      <c r="B18134" t="str">
        <f>HYPERLINK("https://twitter.com/floralfall","@floralfall")</f>
        <v>@floralfall</v>
      </c>
      <c r="C18134" t="s">
        <v>9196</v>
      </c>
      <c r="D18134">
        <v>0</v>
      </c>
      <c r="E18134">
        <v>0</v>
      </c>
      <c r="F18134">
        <v>2178</v>
      </c>
    </row>
    <row r="18135" spans="1:6" ht="12.75">
      <c r="A18135" s="2">
        <v>43877.061053240745</v>
      </c>
      <c r="B18135" t="str">
        <f>HYPERLINK("https://twitter.com/mildredcybill","@mildredcybill")</f>
        <v>@mildredcybill</v>
      </c>
      <c r="C18135" t="s">
        <v>2444</v>
      </c>
      <c r="D18135">
        <v>4480</v>
      </c>
      <c r="E18135">
        <v>0</v>
      </c>
      <c r="F18135">
        <v>615</v>
      </c>
    </row>
    <row r="18136" spans="1:6" ht="12.75">
      <c r="A18136" s="2">
        <v>43877.060694444444</v>
      </c>
      <c r="B18136" t="str">
        <f>HYPERLINK("https://twitter.com/aldofrizi4","@aldofrizi4")</f>
        <v>@aldofrizi4</v>
      </c>
      <c r="C18136" t="s">
        <v>9197</v>
      </c>
      <c r="D18136">
        <v>0</v>
      </c>
      <c r="E18136">
        <v>0</v>
      </c>
      <c r="F18136">
        <v>20</v>
      </c>
    </row>
    <row r="18137" spans="1:6" ht="12.75">
      <c r="A18137" s="2">
        <v>43877.060300925921</v>
      </c>
      <c r="B18137" t="str">
        <f>HYPERLINK("https://twitter.com/ittihadm007","@ittihadm007")</f>
        <v>@ittihadm007</v>
      </c>
      <c r="C18137" t="s">
        <v>9198</v>
      </c>
      <c r="D18137">
        <v>164</v>
      </c>
      <c r="E18137">
        <v>0</v>
      </c>
      <c r="F18137">
        <v>61</v>
      </c>
    </row>
    <row r="18138" spans="1:6" ht="12.75">
      <c r="A18138" s="2">
        <v>43877.059895833328</v>
      </c>
      <c r="B18138" t="str">
        <f>HYPERLINK("https://twitter.com/billysmbring366","@billysmbring366")</f>
        <v>@billysmbring366</v>
      </c>
      <c r="C18138" t="s">
        <v>8203</v>
      </c>
      <c r="D18138">
        <v>119</v>
      </c>
      <c r="E18138">
        <v>0</v>
      </c>
      <c r="F18138">
        <v>148</v>
      </c>
    </row>
    <row r="18139" spans="1:6" ht="12.75">
      <c r="A18139" s="2">
        <v>43877.059756944444</v>
      </c>
      <c r="B18139" t="str">
        <f>HYPERLINK("https://twitter.com/Ame_De_Soldat","@Ame_De_Soldat")</f>
        <v>@Ame_De_Soldat</v>
      </c>
      <c r="C18139" t="s">
        <v>3150</v>
      </c>
      <c r="D18139">
        <v>220</v>
      </c>
      <c r="E18139">
        <v>0</v>
      </c>
      <c r="F18139">
        <v>1522</v>
      </c>
    </row>
    <row r="18140" spans="1:6" ht="12.75">
      <c r="A18140" s="2">
        <v>43877.059513888889</v>
      </c>
      <c r="B18140" t="str">
        <f>HYPERLINK("https://twitter.com/Bellvadear3","@Bellvadear3")</f>
        <v>@Bellvadear3</v>
      </c>
      <c r="C18140" t="s">
        <v>3150</v>
      </c>
      <c r="D18140">
        <v>220</v>
      </c>
      <c r="E18140">
        <v>0</v>
      </c>
      <c r="F18140">
        <v>690</v>
      </c>
    </row>
    <row r="18141" spans="1:6" ht="12.75">
      <c r="A18141" s="2">
        <v>43877.059398148151</v>
      </c>
      <c r="B18141" t="str">
        <f>HYPERLINK("https://twitter.com/ChamimCahaya","@ChamimCahaya")</f>
        <v>@ChamimCahaya</v>
      </c>
      <c r="C18141" t="s">
        <v>6338</v>
      </c>
      <c r="D18141">
        <v>227</v>
      </c>
      <c r="E18141">
        <v>0</v>
      </c>
      <c r="F18141">
        <v>653</v>
      </c>
    </row>
    <row r="18142" spans="1:6" ht="12.75">
      <c r="A18142" s="2">
        <v>43877.059201388889</v>
      </c>
      <c r="B18142" t="str">
        <f t="shared" ref="B18142:B18143" si="302">HYPERLINK("https://twitter.com/ryolandafit","@ryolandafit")</f>
        <v>@ryolandafit</v>
      </c>
      <c r="C18142" t="s">
        <v>9199</v>
      </c>
      <c r="D18142">
        <v>3</v>
      </c>
      <c r="E18142">
        <v>0</v>
      </c>
      <c r="F18142">
        <v>651</v>
      </c>
    </row>
    <row r="18143" spans="1:6" ht="12.75">
      <c r="A18143" s="2">
        <v>43877.059178240743</v>
      </c>
      <c r="B18143" t="str">
        <f t="shared" si="302"/>
        <v>@ryolandafit</v>
      </c>
      <c r="C18143" t="s">
        <v>9200</v>
      </c>
      <c r="D18143">
        <v>6</v>
      </c>
      <c r="E18143">
        <v>0</v>
      </c>
      <c r="F18143">
        <v>651</v>
      </c>
    </row>
    <row r="18144" spans="1:6" ht="12.75">
      <c r="A18144" s="2">
        <v>43877.059062500004</v>
      </c>
      <c r="B18144" t="str">
        <f>HYPERLINK("https://twitter.com/gigihadiguna","@gigihadiguna")</f>
        <v>@gigihadiguna</v>
      </c>
      <c r="C18144" t="s">
        <v>9201</v>
      </c>
      <c r="D18144">
        <v>0</v>
      </c>
      <c r="E18144">
        <v>1</v>
      </c>
      <c r="F18144">
        <v>3005</v>
      </c>
    </row>
    <row r="18145" spans="1:6" ht="12.75">
      <c r="A18145" s="2">
        <v>43877.059039351851</v>
      </c>
      <c r="B18145" t="str">
        <f>HYPERLINK("https://twitter.com/Lovemypresiden4","@Lovemypresiden4")</f>
        <v>@Lovemypresiden4</v>
      </c>
      <c r="C18145" t="s">
        <v>3150</v>
      </c>
      <c r="D18145">
        <v>220</v>
      </c>
      <c r="E18145">
        <v>0</v>
      </c>
      <c r="F18145">
        <v>7122</v>
      </c>
    </row>
    <row r="18146" spans="1:6" ht="12.75">
      <c r="A18146" s="2">
        <v>43877.058912037042</v>
      </c>
      <c r="B18146" t="str">
        <f>HYPERLINK("https://twitter.com/bernadgh","@bernadgh")</f>
        <v>@bernadgh</v>
      </c>
      <c r="C18146" t="s">
        <v>8964</v>
      </c>
      <c r="D18146">
        <v>4</v>
      </c>
      <c r="E18146">
        <v>0</v>
      </c>
      <c r="F18146">
        <v>1608</v>
      </c>
    </row>
    <row r="18147" spans="1:6" ht="12.75">
      <c r="A18147" s="2">
        <v>43877.058657407411</v>
      </c>
      <c r="B18147" t="str">
        <f>HYPERLINK("https://twitter.com/ryolandafit","@ryolandafit")</f>
        <v>@ryolandafit</v>
      </c>
      <c r="C18147" t="s">
        <v>9202</v>
      </c>
      <c r="D18147">
        <v>1</v>
      </c>
      <c r="E18147">
        <v>0</v>
      </c>
      <c r="F18147">
        <v>651</v>
      </c>
    </row>
    <row r="18148" spans="1:6" ht="12.75">
      <c r="A18148" s="2">
        <v>43877.058622685188</v>
      </c>
      <c r="B18148" t="str">
        <f>HYPERLINK("https://twitter.com/Dhan61152962","@Dhan61152962")</f>
        <v>@Dhan61152962</v>
      </c>
      <c r="C18148" t="s">
        <v>8203</v>
      </c>
      <c r="D18148">
        <v>119</v>
      </c>
      <c r="E18148">
        <v>0</v>
      </c>
      <c r="F18148">
        <v>331</v>
      </c>
    </row>
    <row r="18149" spans="1:6" ht="12.75">
      <c r="A18149" s="2">
        <v>43877.058182870373</v>
      </c>
      <c r="B18149" t="str">
        <f>HYPERLINK("https://twitter.com/FarelmaxL","@FarelmaxL")</f>
        <v>@FarelmaxL</v>
      </c>
      <c r="C18149" t="s">
        <v>8977</v>
      </c>
      <c r="D18149">
        <v>41</v>
      </c>
      <c r="E18149">
        <v>0</v>
      </c>
      <c r="F18149">
        <v>1290</v>
      </c>
    </row>
    <row r="18150" spans="1:6" ht="12.75">
      <c r="A18150" s="2">
        <v>43877.057893518519</v>
      </c>
      <c r="B18150" t="str">
        <f>HYPERLINK("https://twitter.com/MeyKarunia","@MeyKarunia")</f>
        <v>@MeyKarunia</v>
      </c>
      <c r="C18150" t="s">
        <v>9203</v>
      </c>
      <c r="D18150">
        <v>0</v>
      </c>
      <c r="E18150">
        <v>1</v>
      </c>
      <c r="F18150">
        <v>699</v>
      </c>
    </row>
    <row r="18151" spans="1:6" ht="12.75">
      <c r="A18151" s="2">
        <v>43877.043136574073</v>
      </c>
      <c r="B18151" t="str">
        <f>HYPERLINK("https://twitter.com/bananoninable","@bananoninable")</f>
        <v>@bananoninable</v>
      </c>
      <c r="C18151" t="s">
        <v>7905</v>
      </c>
      <c r="D18151">
        <v>32</v>
      </c>
      <c r="E18151">
        <v>0</v>
      </c>
      <c r="F18151">
        <v>588</v>
      </c>
    </row>
    <row r="18152" spans="1:6" ht="12.75">
      <c r="A18152" s="2">
        <v>43877.042141203703</v>
      </c>
      <c r="B18152" t="str">
        <f>HYPERLINK("https://twitter.com/tugujaya","@tugujaya")</f>
        <v>@tugujaya</v>
      </c>
      <c r="C18152" t="s">
        <v>7876</v>
      </c>
      <c r="D18152">
        <v>56</v>
      </c>
      <c r="E18152">
        <v>0</v>
      </c>
      <c r="F18152">
        <v>313</v>
      </c>
    </row>
    <row r="18153" spans="1:6" ht="12.75">
      <c r="A18153" s="2">
        <v>43877.042071759264</v>
      </c>
      <c r="B18153" t="str">
        <f t="shared" ref="B18153:B18154" si="303">HYPERLINK("https://twitter.com/mudha_satriya","@mudha_satriya")</f>
        <v>@mudha_satriya</v>
      </c>
      <c r="C18153" t="s">
        <v>9199</v>
      </c>
      <c r="D18153">
        <v>2</v>
      </c>
      <c r="E18153">
        <v>0</v>
      </c>
      <c r="F18153">
        <v>1874</v>
      </c>
    </row>
    <row r="18154" spans="1:6" ht="12.75">
      <c r="A18154" s="2">
        <v>43877.042002314818</v>
      </c>
      <c r="B18154" t="str">
        <f t="shared" si="303"/>
        <v>@mudha_satriya</v>
      </c>
      <c r="C18154" t="s">
        <v>9200</v>
      </c>
      <c r="D18154">
        <v>5</v>
      </c>
      <c r="E18154">
        <v>0</v>
      </c>
      <c r="F18154">
        <v>1874</v>
      </c>
    </row>
    <row r="18155" spans="1:6" ht="12.75">
      <c r="A18155" s="2">
        <v>43877.041666666672</v>
      </c>
      <c r="B18155" t="str">
        <f>HYPERLINK("https://twitter.com/Lintas_MNCTV","@Lintas_MNCTV")</f>
        <v>@Lintas_MNCTV</v>
      </c>
      <c r="C18155" t="s">
        <v>9204</v>
      </c>
      <c r="D18155">
        <v>0</v>
      </c>
      <c r="E18155">
        <v>0</v>
      </c>
      <c r="F18155">
        <v>35904</v>
      </c>
    </row>
    <row r="18156" spans="1:6" ht="12.75">
      <c r="A18156" s="2">
        <v>43877.040960648148</v>
      </c>
      <c r="B18156" t="str">
        <f>HYPERLINK("https://twitter.com/smartAde091","@smartAde091")</f>
        <v>@smartAde091</v>
      </c>
      <c r="C18156" t="s">
        <v>9205</v>
      </c>
      <c r="D18156">
        <v>0</v>
      </c>
      <c r="E18156">
        <v>0</v>
      </c>
      <c r="F18156">
        <v>12</v>
      </c>
    </row>
    <row r="18157" spans="1:6" ht="12.75">
      <c r="A18157" s="2">
        <v>43877.040914351848</v>
      </c>
      <c r="B18157" t="str">
        <f>HYPERLINK("https://twitter.com/AndySastrawina1","@AndySastrawina1")</f>
        <v>@AndySastrawina1</v>
      </c>
      <c r="C18157" t="s">
        <v>8977</v>
      </c>
      <c r="D18157">
        <v>40</v>
      </c>
      <c r="E18157">
        <v>0</v>
      </c>
      <c r="F18157">
        <v>1974</v>
      </c>
    </row>
    <row r="18158" spans="1:6" ht="12.75">
      <c r="A18158" s="2">
        <v>43877.040902777779</v>
      </c>
      <c r="B18158" t="str">
        <f>HYPERLINK("https://twitter.com/tugujaya","@tugujaya")</f>
        <v>@tugujaya</v>
      </c>
      <c r="C18158" t="s">
        <v>3059</v>
      </c>
      <c r="D18158">
        <v>281</v>
      </c>
      <c r="E18158">
        <v>0</v>
      </c>
      <c r="F18158">
        <v>313</v>
      </c>
    </row>
    <row r="18159" spans="1:6" ht="12.75">
      <c r="A18159" s="2">
        <v>43877.040775462963</v>
      </c>
      <c r="B18159" t="str">
        <f>HYPERLINK("https://twitter.com/MJFGD","@MJFGD")</f>
        <v>@MJFGD</v>
      </c>
      <c r="C18159" t="s">
        <v>3150</v>
      </c>
      <c r="D18159">
        <v>205</v>
      </c>
      <c r="E18159">
        <v>0</v>
      </c>
      <c r="F18159">
        <v>1424</v>
      </c>
    </row>
    <row r="18160" spans="1:6" ht="12.75">
      <c r="A18160" s="2">
        <v>43877.040462962963</v>
      </c>
      <c r="B18160" t="str">
        <f>HYPERLINK("https://twitter.com/rifqimaudy10","@rifqimaudy10")</f>
        <v>@rifqimaudy10</v>
      </c>
      <c r="C18160" t="s">
        <v>6338</v>
      </c>
      <c r="D18160">
        <v>181</v>
      </c>
      <c r="E18160">
        <v>0</v>
      </c>
      <c r="F18160">
        <v>818</v>
      </c>
    </row>
    <row r="18161" spans="1:6" ht="12.75">
      <c r="A18161" s="2">
        <v>43877.040335648147</v>
      </c>
      <c r="B18161" t="str">
        <f>HYPERLINK("https://twitter.com/5p100n","@5p100n")</f>
        <v>@5p100n</v>
      </c>
      <c r="C18161" t="s">
        <v>9206</v>
      </c>
      <c r="D18161">
        <v>1</v>
      </c>
      <c r="E18161">
        <v>0</v>
      </c>
      <c r="F18161">
        <v>63</v>
      </c>
    </row>
    <row r="18162" spans="1:6" ht="12.75">
      <c r="A18162" s="2">
        <v>43877.040046296301</v>
      </c>
      <c r="B18162" t="str">
        <f>HYPERLINK("https://twitter.com/soetejos","@soetejos")</f>
        <v>@soetejos</v>
      </c>
      <c r="C18162" t="s">
        <v>9207</v>
      </c>
      <c r="D18162">
        <v>0</v>
      </c>
      <c r="E18162">
        <v>0</v>
      </c>
      <c r="F18162">
        <v>15</v>
      </c>
    </row>
    <row r="18163" spans="1:6" ht="12.75">
      <c r="A18163" s="2">
        <v>43877.040034722224</v>
      </c>
      <c r="B18163" t="str">
        <f>HYPERLINK("https://twitter.com/DadangRusian","@DadangRusian")</f>
        <v>@DadangRusian</v>
      </c>
      <c r="C18163" t="s">
        <v>9208</v>
      </c>
      <c r="D18163">
        <v>0</v>
      </c>
      <c r="E18163">
        <v>0</v>
      </c>
      <c r="F18163">
        <v>814</v>
      </c>
    </row>
    <row r="18164" spans="1:6" ht="12.75">
      <c r="A18164" s="2">
        <v>43877.03969907407</v>
      </c>
      <c r="B18164" t="str">
        <f>HYPERLINK("https://twitter.com/wahidulqohhar","@wahidulqohhar")</f>
        <v>@wahidulqohhar</v>
      </c>
      <c r="C18164" t="s">
        <v>3059</v>
      </c>
      <c r="D18164">
        <v>281</v>
      </c>
      <c r="E18164">
        <v>0</v>
      </c>
      <c r="F18164">
        <v>1996</v>
      </c>
    </row>
    <row r="18165" spans="1:6" ht="12.75">
      <c r="A18165" s="2">
        <v>43877.03969907407</v>
      </c>
      <c r="B18165" t="str">
        <f>HYPERLINK("https://twitter.com/kak_wew","@kak_wew")</f>
        <v>@kak_wew</v>
      </c>
      <c r="C18165" t="s">
        <v>9209</v>
      </c>
      <c r="D18165">
        <v>0</v>
      </c>
      <c r="E18165">
        <v>0</v>
      </c>
      <c r="F18165">
        <v>244</v>
      </c>
    </row>
    <row r="18166" spans="1:6" ht="12.75">
      <c r="A18166" s="2">
        <v>43877.039490740739</v>
      </c>
      <c r="B18166" t="str">
        <f>HYPERLINK("https://twitter.com/AndySastrawina1","@AndySastrawina1")</f>
        <v>@AndySastrawina1</v>
      </c>
      <c r="C18166" t="s">
        <v>6338</v>
      </c>
      <c r="D18166">
        <v>181</v>
      </c>
      <c r="E18166">
        <v>0</v>
      </c>
      <c r="F18166">
        <v>1974</v>
      </c>
    </row>
    <row r="18167" spans="1:6" ht="12.75">
      <c r="A18167" s="2">
        <v>43877.038541666669</v>
      </c>
      <c r="B18167" t="str">
        <f>HYPERLINK("https://twitter.com/HarahapRivaldi","@HarahapRivaldi")</f>
        <v>@HarahapRivaldi</v>
      </c>
      <c r="C18167" t="s">
        <v>9210</v>
      </c>
      <c r="D18167">
        <v>0</v>
      </c>
      <c r="E18167">
        <v>0</v>
      </c>
      <c r="F18167">
        <v>156</v>
      </c>
    </row>
    <row r="18168" spans="1:6" ht="12.75">
      <c r="A18168" s="2">
        <v>43877.036643518513</v>
      </c>
      <c r="B18168" t="str">
        <f>HYPERLINK("https://twitter.com/bram5705","@bram5705")</f>
        <v>@bram5705</v>
      </c>
      <c r="C18168" t="s">
        <v>2444</v>
      </c>
      <c r="D18168">
        <v>4473</v>
      </c>
      <c r="E18168">
        <v>0</v>
      </c>
      <c r="F18168">
        <v>26</v>
      </c>
    </row>
    <row r="18169" spans="1:6" ht="12.75">
      <c r="A18169" s="2">
        <v>43877.036550925928</v>
      </c>
      <c r="B18169" t="str">
        <f>HYPERLINK("https://twitter.com/ks_PDIP_Projo","@ks_PDIP_Projo")</f>
        <v>@ks_PDIP_Projo</v>
      </c>
      <c r="C18169" t="s">
        <v>8650</v>
      </c>
      <c r="D18169">
        <v>81</v>
      </c>
      <c r="E18169">
        <v>0</v>
      </c>
      <c r="F18169">
        <v>5057</v>
      </c>
    </row>
    <row r="18170" spans="1:6" ht="12.75">
      <c r="A18170" s="2">
        <v>43877.036273148144</v>
      </c>
      <c r="B18170" t="str">
        <f>HYPERLINK("https://twitter.com/garysmith2301","@garysmith2301")</f>
        <v>@garysmith2301</v>
      </c>
      <c r="C18170" t="s">
        <v>3150</v>
      </c>
      <c r="D18170">
        <v>205</v>
      </c>
      <c r="E18170">
        <v>0</v>
      </c>
      <c r="F18170">
        <v>848</v>
      </c>
    </row>
    <row r="18171" spans="1:6" ht="12.75">
      <c r="A18171" s="2">
        <v>43877.036215277782</v>
      </c>
      <c r="B18171" t="str">
        <f>HYPERLINK("https://twitter.com/f24nk1","@f24nk1")</f>
        <v>@f24nk1</v>
      </c>
      <c r="C18171" t="s">
        <v>9211</v>
      </c>
      <c r="D18171">
        <v>23</v>
      </c>
      <c r="E18171">
        <v>0</v>
      </c>
      <c r="F18171">
        <v>1168</v>
      </c>
    </row>
    <row r="18172" spans="1:6" ht="12.75">
      <c r="A18172" s="2">
        <v>43877.036099537036</v>
      </c>
      <c r="B18172" t="str">
        <f>HYPERLINK("https://twitter.com/chamikmiks","@chamikmiks")</f>
        <v>@chamikmiks</v>
      </c>
      <c r="C18172" t="s">
        <v>9212</v>
      </c>
      <c r="D18172">
        <v>0</v>
      </c>
      <c r="E18172">
        <v>0</v>
      </c>
      <c r="F18172">
        <v>456</v>
      </c>
    </row>
    <row r="18173" spans="1:6" ht="12.75">
      <c r="A18173" s="2">
        <v>43877.036041666666</v>
      </c>
      <c r="B18173" t="str">
        <f>HYPERLINK("https://twitter.com/ricky4763","@ricky4763")</f>
        <v>@ricky4763</v>
      </c>
      <c r="C18173" t="s">
        <v>6338</v>
      </c>
      <c r="D18173">
        <v>181</v>
      </c>
      <c r="E18173">
        <v>0</v>
      </c>
      <c r="F18173">
        <v>1346</v>
      </c>
    </row>
    <row r="18174" spans="1:6" ht="12.75">
      <c r="A18174" s="2">
        <v>43877.035625000004</v>
      </c>
      <c r="B18174" t="str">
        <f>HYPERLINK("https://twitter.com/YGandasasra","@YGandasasra")</f>
        <v>@YGandasasra</v>
      </c>
      <c r="C18174" t="s">
        <v>7987</v>
      </c>
      <c r="D18174">
        <v>9</v>
      </c>
      <c r="E18174">
        <v>0</v>
      </c>
      <c r="F18174">
        <v>71</v>
      </c>
    </row>
    <row r="18175" spans="1:6" ht="12.75">
      <c r="A18175" s="2">
        <v>43877.035532407404</v>
      </c>
      <c r="B18175" t="str">
        <f>HYPERLINK("https://twitter.com/Jackelkotjo","@Jackelkotjo")</f>
        <v>@Jackelkotjo</v>
      </c>
      <c r="C18175" t="s">
        <v>9213</v>
      </c>
      <c r="D18175">
        <v>5</v>
      </c>
      <c r="E18175">
        <v>0</v>
      </c>
      <c r="F18175">
        <v>605</v>
      </c>
    </row>
    <row r="18176" spans="1:6" ht="12.75">
      <c r="A18176" s="2">
        <v>43877.035231481481</v>
      </c>
      <c r="B18176" t="str">
        <f>HYPERLINK("https://twitter.com/YusufNusantara1","@YusufNusantara1")</f>
        <v>@YusufNusantara1</v>
      </c>
      <c r="C18176" t="s">
        <v>7980</v>
      </c>
      <c r="D18176">
        <v>30</v>
      </c>
      <c r="E18176">
        <v>0</v>
      </c>
      <c r="F18176">
        <v>694</v>
      </c>
    </row>
    <row r="18177" spans="1:6" ht="12.75">
      <c r="A18177" s="2">
        <v>43877.035081018519</v>
      </c>
      <c r="B18177" t="str">
        <f>HYPERLINK("https://twitter.com/Rimba_Kelana7","@Rimba_Kelana7")</f>
        <v>@Rimba_Kelana7</v>
      </c>
      <c r="C18177" t="s">
        <v>9214</v>
      </c>
      <c r="D18177">
        <v>0</v>
      </c>
      <c r="E18177">
        <v>0</v>
      </c>
      <c r="F18177">
        <v>167</v>
      </c>
    </row>
    <row r="18178" spans="1:6" ht="12.75">
      <c r="A18178" s="2">
        <v>43877.034837962958</v>
      </c>
      <c r="B18178" t="str">
        <f>HYPERLINK("https://twitter.com/yogi_koster","@yogi_koster")</f>
        <v>@yogi_koster</v>
      </c>
      <c r="C18178" t="s">
        <v>6338</v>
      </c>
      <c r="D18178">
        <v>181</v>
      </c>
      <c r="E18178">
        <v>0</v>
      </c>
      <c r="F18178">
        <v>1764</v>
      </c>
    </row>
    <row r="18179" spans="1:6" ht="12.75">
      <c r="A18179" s="2">
        <v>43877.034722222219</v>
      </c>
      <c r="B18179" t="str">
        <f>HYPERLINK("https://twitter.com/Nuradi11349292","@Nuradi11349292")</f>
        <v>@Nuradi11349292</v>
      </c>
      <c r="C18179" t="s">
        <v>2147</v>
      </c>
      <c r="D18179">
        <v>464</v>
      </c>
      <c r="E18179">
        <v>0</v>
      </c>
      <c r="F18179">
        <v>25</v>
      </c>
    </row>
    <row r="18180" spans="1:6" ht="12.75">
      <c r="A18180" s="2">
        <v>43877.03429398148</v>
      </c>
      <c r="B18180" t="str">
        <f>HYPERLINK("https://twitter.com/gowestmor","@gowestmor")</f>
        <v>@gowestmor</v>
      </c>
      <c r="C18180" t="s">
        <v>6338</v>
      </c>
      <c r="D18180">
        <v>181</v>
      </c>
      <c r="E18180">
        <v>0</v>
      </c>
      <c r="F18180">
        <v>1584</v>
      </c>
    </row>
    <row r="18181" spans="1:6" ht="12.75">
      <c r="A18181" s="2">
        <v>43877.034212962964</v>
      </c>
      <c r="B18181" t="str">
        <f>HYPERLINK("https://twitter.com/ivonescence","@ivonescence")</f>
        <v>@ivonescence</v>
      </c>
      <c r="C18181" t="s">
        <v>6338</v>
      </c>
      <c r="D18181">
        <v>181</v>
      </c>
      <c r="E18181">
        <v>0</v>
      </c>
      <c r="F18181">
        <v>66</v>
      </c>
    </row>
    <row r="18182" spans="1:6" ht="12.75">
      <c r="A18182" s="2">
        <v>43877.034189814818</v>
      </c>
      <c r="B18182" t="str">
        <f>HYPERLINK("https://twitter.com/dewanurcahya88","@dewanurcahya88")</f>
        <v>@dewanurcahya88</v>
      </c>
      <c r="C18182" t="s">
        <v>9215</v>
      </c>
      <c r="D18182">
        <v>0</v>
      </c>
      <c r="E18182">
        <v>0</v>
      </c>
      <c r="F18182">
        <v>87</v>
      </c>
    </row>
    <row r="18183" spans="1:6" ht="12.75">
      <c r="A18183" s="2">
        <v>43877.033645833333</v>
      </c>
      <c r="B18183" t="str">
        <f>HYPERLINK("https://twitter.com/Rimba_Kelana7","@Rimba_Kelana7")</f>
        <v>@Rimba_Kelana7</v>
      </c>
      <c r="C18183" t="s">
        <v>9216</v>
      </c>
      <c r="D18183">
        <v>0</v>
      </c>
      <c r="E18183">
        <v>0</v>
      </c>
      <c r="F18183">
        <v>167</v>
      </c>
    </row>
    <row r="18184" spans="1:6" ht="12.75">
      <c r="A18184" s="2">
        <v>43877.033379629633</v>
      </c>
      <c r="B18184" t="str">
        <f>HYPERLINK("https://twitter.com/YehosyuaYosef","@YehosyuaYosef")</f>
        <v>@YehosyuaYosef</v>
      </c>
      <c r="C18184" t="s">
        <v>9200</v>
      </c>
      <c r="D18184">
        <v>5</v>
      </c>
      <c r="E18184">
        <v>0</v>
      </c>
      <c r="F18184">
        <v>60</v>
      </c>
    </row>
    <row r="18185" spans="1:6" ht="12.75">
      <c r="A18185" s="2">
        <v>43877.033148148148</v>
      </c>
      <c r="B18185" t="str">
        <f>HYPERLINK("https://twitter.com/Rimba_Kelana7","@Rimba_Kelana7")</f>
        <v>@Rimba_Kelana7</v>
      </c>
      <c r="C18185" t="s">
        <v>9217</v>
      </c>
      <c r="D18185">
        <v>0</v>
      </c>
      <c r="E18185">
        <v>0</v>
      </c>
      <c r="F18185">
        <v>167</v>
      </c>
    </row>
    <row r="18186" spans="1:6" ht="12.75">
      <c r="A18186" s="2">
        <v>43877.032986111109</v>
      </c>
      <c r="B18186" t="str">
        <f>HYPERLINK("https://twitter.com/Erryb2gmailcom1","@Erryb2gmailcom1")</f>
        <v>@Erryb2gmailcom1</v>
      </c>
      <c r="C18186" t="s">
        <v>9218</v>
      </c>
      <c r="D18186">
        <v>0</v>
      </c>
      <c r="E18186">
        <v>0</v>
      </c>
      <c r="F18186">
        <v>1086</v>
      </c>
    </row>
    <row r="18187" spans="1:6" ht="12.75">
      <c r="A18187" s="2">
        <v>43877.031921296293</v>
      </c>
      <c r="B18187" t="str">
        <f>HYPERLINK("https://twitter.com/MayAiniLutfi","@MayAiniLutfi")</f>
        <v>@MayAiniLutfi</v>
      </c>
      <c r="C18187" t="s">
        <v>9219</v>
      </c>
      <c r="D18187">
        <v>0</v>
      </c>
      <c r="E18187">
        <v>0</v>
      </c>
      <c r="F18187">
        <v>32</v>
      </c>
    </row>
    <row r="18188" spans="1:6" ht="12.75">
      <c r="A18188" s="2">
        <v>43877.031481481477</v>
      </c>
      <c r="B18188" t="str">
        <f>HYPERLINK("https://twitter.com/wea_wuda","@wea_wuda")</f>
        <v>@wea_wuda</v>
      </c>
      <c r="C18188" t="s">
        <v>9220</v>
      </c>
      <c r="D18188">
        <v>0</v>
      </c>
      <c r="E18188">
        <v>0</v>
      </c>
      <c r="F18188">
        <v>48</v>
      </c>
    </row>
    <row r="18189" spans="1:6" ht="12.75">
      <c r="A18189" s="2">
        <v>43877.031458333338</v>
      </c>
      <c r="B18189" t="str">
        <f>HYPERLINK("https://twitter.com/dhani_bs28","@dhani_bs28")</f>
        <v>@dhani_bs28</v>
      </c>
      <c r="C18189" t="s">
        <v>6825</v>
      </c>
      <c r="D18189">
        <v>17</v>
      </c>
      <c r="E18189">
        <v>0</v>
      </c>
      <c r="F18189">
        <v>91</v>
      </c>
    </row>
    <row r="18190" spans="1:6" ht="12.75">
      <c r="A18190" s="2">
        <v>43877.030868055561</v>
      </c>
      <c r="B18190" t="str">
        <f>HYPERLINK("https://twitter.com/sanuri118","@sanuri118")</f>
        <v>@sanuri118</v>
      </c>
      <c r="C18190" t="s">
        <v>8977</v>
      </c>
      <c r="D18190">
        <v>40</v>
      </c>
      <c r="E18190">
        <v>0</v>
      </c>
      <c r="F18190">
        <v>1501</v>
      </c>
    </row>
    <row r="18191" spans="1:6" ht="12.75">
      <c r="A18191" s="2">
        <v>43877.030659722222</v>
      </c>
      <c r="B18191" t="str">
        <f>HYPERLINK("https://twitter.com/rizki_pona","@rizki_pona")</f>
        <v>@rizki_pona</v>
      </c>
      <c r="C18191" t="s">
        <v>9200</v>
      </c>
      <c r="D18191">
        <v>5</v>
      </c>
      <c r="E18191">
        <v>0</v>
      </c>
      <c r="F18191">
        <v>249</v>
      </c>
    </row>
    <row r="18192" spans="1:6" ht="12.75">
      <c r="A18192" s="2">
        <v>43877.030092592591</v>
      </c>
      <c r="B18192" t="str">
        <f>HYPERLINK("https://twitter.com/Alphaville69","@Alphaville69")</f>
        <v>@Alphaville69</v>
      </c>
      <c r="C18192" t="s">
        <v>9221</v>
      </c>
      <c r="D18192">
        <v>0</v>
      </c>
      <c r="E18192">
        <v>1</v>
      </c>
      <c r="F18192">
        <v>1460</v>
      </c>
    </row>
    <row r="18193" spans="1:6" ht="12.75">
      <c r="A18193" s="2">
        <v>43877.030011574076</v>
      </c>
      <c r="B18193" t="str">
        <f>HYPERLINK("https://twitter.com/reg_rover","@reg_rover")</f>
        <v>@reg_rover</v>
      </c>
      <c r="C18193" t="s">
        <v>3150</v>
      </c>
      <c r="D18193">
        <v>205</v>
      </c>
      <c r="E18193">
        <v>0</v>
      </c>
      <c r="F18193">
        <v>373</v>
      </c>
    </row>
    <row r="18194" spans="1:6" ht="12.75">
      <c r="A18194" s="2">
        <v>43877.029745370368</v>
      </c>
      <c r="B18194" t="str">
        <f>HYPERLINK("https://twitter.com/Mang_Adil","@Mang_Adil")</f>
        <v>@Mang_Adil</v>
      </c>
      <c r="C18194" t="s">
        <v>9222</v>
      </c>
      <c r="D18194">
        <v>0</v>
      </c>
      <c r="E18194">
        <v>1</v>
      </c>
      <c r="F18194">
        <v>145</v>
      </c>
    </row>
    <row r="18195" spans="1:6" ht="12.75">
      <c r="A18195" s="2">
        <v>43877.029120370367</v>
      </c>
      <c r="B18195" t="str">
        <f>HYPERLINK("https://twitter.com/gokmay","@gokmay")</f>
        <v>@gokmay</v>
      </c>
      <c r="C18195" t="s">
        <v>9223</v>
      </c>
      <c r="D18195">
        <v>0</v>
      </c>
      <c r="E18195">
        <v>0</v>
      </c>
      <c r="F18195">
        <v>4</v>
      </c>
    </row>
    <row r="18196" spans="1:6" ht="12.75">
      <c r="A18196" s="2">
        <v>43877.029085648144</v>
      </c>
      <c r="B18196" t="str">
        <f>HYPERLINK("https://twitter.com/anto244342","@anto244342")</f>
        <v>@anto244342</v>
      </c>
      <c r="C18196" t="s">
        <v>7261</v>
      </c>
      <c r="D18196">
        <v>89</v>
      </c>
      <c r="E18196">
        <v>0</v>
      </c>
      <c r="F18196">
        <v>355</v>
      </c>
    </row>
    <row r="18197" spans="1:6" ht="12.75">
      <c r="A18197" s="2">
        <v>43877.028912037036</v>
      </c>
      <c r="B18197" t="str">
        <f>HYPERLINK("https://twitter.com/Dhiemasseko","@Dhiemasseko")</f>
        <v>@Dhiemasseko</v>
      </c>
      <c r="C18197" t="s">
        <v>4745</v>
      </c>
      <c r="D18197">
        <v>859</v>
      </c>
      <c r="E18197">
        <v>0</v>
      </c>
      <c r="F18197">
        <v>2233</v>
      </c>
    </row>
    <row r="18198" spans="1:6" ht="12.75">
      <c r="A18198" s="2">
        <v>43877.028807870374</v>
      </c>
      <c r="B18198" t="str">
        <f>HYPERLINK("https://twitter.com/kopral_jon00","@kopral_jon00")</f>
        <v>@kopral_jon00</v>
      </c>
      <c r="C18198" t="s">
        <v>9224</v>
      </c>
      <c r="D18198">
        <v>3</v>
      </c>
      <c r="E18198">
        <v>0</v>
      </c>
      <c r="F18198">
        <v>807</v>
      </c>
    </row>
    <row r="18199" spans="1:6" ht="12.75">
      <c r="A18199" s="2">
        <v>43877.028703703705</v>
      </c>
      <c r="B18199" t="str">
        <f>HYPERLINK("https://twitter.com/zulham_z","@zulham_z")</f>
        <v>@zulham_z</v>
      </c>
      <c r="C18199" t="s">
        <v>2147</v>
      </c>
      <c r="D18199">
        <v>464</v>
      </c>
      <c r="E18199">
        <v>0</v>
      </c>
      <c r="F18199">
        <v>6</v>
      </c>
    </row>
    <row r="18200" spans="1:6" ht="12.75">
      <c r="A18200" s="2">
        <v>43877.028541666667</v>
      </c>
      <c r="B18200" t="str">
        <f>HYPERLINK("https://twitter.com/kurniaven","@kurniaven")</f>
        <v>@kurniaven</v>
      </c>
      <c r="C18200" t="s">
        <v>8644</v>
      </c>
      <c r="D18200">
        <v>57</v>
      </c>
      <c r="E18200">
        <v>0</v>
      </c>
      <c r="F18200">
        <v>534</v>
      </c>
    </row>
    <row r="18201" spans="1:6" ht="12.75">
      <c r="A18201" s="2">
        <v>43877.027881944443</v>
      </c>
      <c r="B18201" t="str">
        <f>HYPERLINK("https://twitter.com/AgusSiregat","@AgusSiregat")</f>
        <v>@AgusSiregat</v>
      </c>
      <c r="C18201" t="s">
        <v>9225</v>
      </c>
      <c r="D18201">
        <v>0</v>
      </c>
      <c r="E18201">
        <v>0</v>
      </c>
      <c r="F18201">
        <v>0</v>
      </c>
    </row>
    <row r="18202" spans="1:6" ht="12.75">
      <c r="A18202" s="2">
        <v>43877.027268518519</v>
      </c>
      <c r="B18202" t="str">
        <f>HYPERLINK("https://twitter.com/min_wahab","@min_wahab")</f>
        <v>@min_wahab</v>
      </c>
      <c r="C18202" t="s">
        <v>8650</v>
      </c>
      <c r="D18202">
        <v>81</v>
      </c>
      <c r="E18202">
        <v>0</v>
      </c>
      <c r="F18202">
        <v>172</v>
      </c>
    </row>
    <row r="18203" spans="1:6" ht="12.75">
      <c r="A18203" s="2">
        <v>43877.027013888888</v>
      </c>
      <c r="B18203" t="str">
        <f>HYPERLINK("https://twitter.com/febrycardorebel","@febrycardorebel")</f>
        <v>@febrycardorebel</v>
      </c>
      <c r="C18203" t="s">
        <v>6338</v>
      </c>
      <c r="D18203">
        <v>181</v>
      </c>
      <c r="E18203">
        <v>0</v>
      </c>
      <c r="F18203">
        <v>397</v>
      </c>
    </row>
    <row r="18204" spans="1:6" ht="12.75">
      <c r="A18204" s="2">
        <v>43877.027002314819</v>
      </c>
      <c r="B18204" t="str">
        <f>HYPERLINK("https://twitter.com/__beritaterkini","@__beritaterkini")</f>
        <v>@__beritaterkini</v>
      </c>
      <c r="C18204" t="s">
        <v>9226</v>
      </c>
      <c r="D18204">
        <v>0</v>
      </c>
      <c r="E18204">
        <v>0</v>
      </c>
      <c r="F18204">
        <v>426</v>
      </c>
    </row>
    <row r="18205" spans="1:6" ht="12.75">
      <c r="A18205" s="2">
        <v>43877.026377314818</v>
      </c>
      <c r="B18205" t="str">
        <f>HYPERLINK("https://twitter.com/emastok","@emastok")</f>
        <v>@emastok</v>
      </c>
      <c r="C18205" t="s">
        <v>6338</v>
      </c>
      <c r="D18205">
        <v>181</v>
      </c>
      <c r="E18205">
        <v>0</v>
      </c>
      <c r="F18205">
        <v>1832</v>
      </c>
    </row>
    <row r="18206" spans="1:6" ht="12.75">
      <c r="A18206" s="2">
        <v>43877.026087962964</v>
      </c>
      <c r="B18206" t="str">
        <f>HYPERLINK("https://twitter.com/sayHazra","@sayHazra")</f>
        <v>@sayHazra</v>
      </c>
      <c r="C18206" t="s">
        <v>9227</v>
      </c>
      <c r="D18206">
        <v>1</v>
      </c>
      <c r="E18206">
        <v>0</v>
      </c>
      <c r="F18206">
        <v>4983</v>
      </c>
    </row>
    <row r="18207" spans="1:6" ht="12.75">
      <c r="A18207" s="2">
        <v>43877.026053240741</v>
      </c>
      <c r="B18207" t="str">
        <f>HYPERLINK("https://twitter.com/dennyandra","@dennyandra")</f>
        <v>@dennyandra</v>
      </c>
      <c r="C18207" t="s">
        <v>6338</v>
      </c>
      <c r="D18207">
        <v>181</v>
      </c>
      <c r="E18207">
        <v>0</v>
      </c>
      <c r="F18207">
        <v>145</v>
      </c>
    </row>
    <row r="18208" spans="1:6" ht="12.75">
      <c r="A18208" s="2">
        <v>43877.02579861111</v>
      </c>
      <c r="B18208" t="str">
        <f>HYPERLINK("https://twitter.com/kingsleywdcrft","@kingsleywdcrft")</f>
        <v>@kingsleywdcrft</v>
      </c>
      <c r="C18208" t="s">
        <v>3150</v>
      </c>
      <c r="D18208">
        <v>205</v>
      </c>
      <c r="E18208">
        <v>0</v>
      </c>
      <c r="F18208">
        <v>424</v>
      </c>
    </row>
    <row r="18209" spans="1:6" ht="12.75">
      <c r="A18209" s="2">
        <v>43877.025706018518</v>
      </c>
      <c r="B18209" t="str">
        <f>HYPERLINK("https://twitter.com/matahatiini","@matahatiini")</f>
        <v>@matahatiini</v>
      </c>
      <c r="C18209" t="s">
        <v>7261</v>
      </c>
      <c r="D18209">
        <v>89</v>
      </c>
      <c r="E18209">
        <v>0</v>
      </c>
      <c r="F18209">
        <v>3153</v>
      </c>
    </row>
    <row r="18210" spans="1:6" ht="12.75">
      <c r="A18210" s="2">
        <v>43877.025474537033</v>
      </c>
      <c r="B18210" t="str">
        <f>HYPERLINK("https://twitter.com/M_ali_s79","@M_ali_s79")</f>
        <v>@M_ali_s79</v>
      </c>
      <c r="C18210" t="s">
        <v>9228</v>
      </c>
      <c r="D18210">
        <v>0</v>
      </c>
      <c r="E18210">
        <v>0</v>
      </c>
      <c r="F18210">
        <v>23</v>
      </c>
    </row>
    <row r="18211" spans="1:6" ht="12.75">
      <c r="A18211" s="2">
        <v>43877.025173611109</v>
      </c>
      <c r="B18211" t="str">
        <f>HYPERLINK("https://twitter.com/ZPanyalai","@ZPanyalai")</f>
        <v>@ZPanyalai</v>
      </c>
      <c r="C18211" t="s">
        <v>9224</v>
      </c>
      <c r="D18211">
        <v>3</v>
      </c>
      <c r="E18211">
        <v>0</v>
      </c>
      <c r="F18211">
        <v>4987</v>
      </c>
    </row>
    <row r="18212" spans="1:6" ht="12.75">
      <c r="A18212" s="2">
        <v>43877.024965277778</v>
      </c>
      <c r="B18212" t="str">
        <f>HYPERLINK("https://twitter.com/ks_PDIP_Projo","@ks_PDIP_Projo")</f>
        <v>@ks_PDIP_Projo</v>
      </c>
      <c r="C18212" t="s">
        <v>9229</v>
      </c>
      <c r="D18212">
        <v>27</v>
      </c>
      <c r="E18212">
        <v>0</v>
      </c>
      <c r="F18212">
        <v>5057</v>
      </c>
    </row>
    <row r="18213" spans="1:6" ht="12.75">
      <c r="A18213" s="2">
        <v>43877.024398148147</v>
      </c>
      <c r="B18213" t="str">
        <f>HYPERLINK("https://twitter.com/M_ali_s79","@M_ali_s79")</f>
        <v>@M_ali_s79</v>
      </c>
      <c r="C18213" t="s">
        <v>9230</v>
      </c>
      <c r="D18213">
        <v>0</v>
      </c>
      <c r="E18213">
        <v>0</v>
      </c>
      <c r="F18213">
        <v>23</v>
      </c>
    </row>
    <row r="18214" spans="1:6" ht="12.75">
      <c r="A18214" s="2">
        <v>43877.023946759262</v>
      </c>
      <c r="B18214" t="str">
        <f>HYPERLINK("https://twitter.com/Rudiambarita7","@Rudiambarita7")</f>
        <v>@Rudiambarita7</v>
      </c>
      <c r="C18214" t="s">
        <v>2179</v>
      </c>
      <c r="D18214">
        <v>45</v>
      </c>
      <c r="E18214">
        <v>0</v>
      </c>
      <c r="F18214">
        <v>2041</v>
      </c>
    </row>
    <row r="18215" spans="1:6" ht="12.75">
      <c r="A18215" s="2">
        <v>43877.023576388892</v>
      </c>
      <c r="B18215" t="str">
        <f>HYPERLINK("https://twitter.com/cazaliaa","@cazaliaa")</f>
        <v>@cazaliaa</v>
      </c>
      <c r="C18215" t="s">
        <v>2147</v>
      </c>
      <c r="D18215">
        <v>464</v>
      </c>
      <c r="E18215">
        <v>0</v>
      </c>
      <c r="F18215">
        <v>351</v>
      </c>
    </row>
    <row r="18216" spans="1:6" ht="12.75">
      <c r="A18216" s="2">
        <v>43877.022835648153</v>
      </c>
      <c r="B18216" t="str">
        <f>HYPERLINK("https://twitter.com/rinjufajar","@rinjufajar")</f>
        <v>@rinjufajar</v>
      </c>
      <c r="C18216" t="s">
        <v>9231</v>
      </c>
      <c r="D18216">
        <v>0</v>
      </c>
      <c r="E18216">
        <v>0</v>
      </c>
      <c r="F18216">
        <v>304</v>
      </c>
    </row>
    <row r="18217" spans="1:6" ht="12.75">
      <c r="A18217" s="2">
        <v>43877.022546296299</v>
      </c>
      <c r="B18217" t="str">
        <f>HYPERLINK("https://twitter.com/Jalakovic","@Jalakovic")</f>
        <v>@Jalakovic</v>
      </c>
      <c r="C18217" t="s">
        <v>9232</v>
      </c>
      <c r="D18217">
        <v>0</v>
      </c>
      <c r="E18217">
        <v>0</v>
      </c>
      <c r="F18217">
        <v>34</v>
      </c>
    </row>
    <row r="18218" spans="1:6" ht="12.75">
      <c r="A18218" s="2">
        <v>43877.022499999999</v>
      </c>
      <c r="B18218" t="str">
        <f>HYPERLINK("https://twitter.com/santriberkat","@santriberkat")</f>
        <v>@santriberkat</v>
      </c>
      <c r="C18218" t="s">
        <v>9233</v>
      </c>
      <c r="D18218">
        <v>0</v>
      </c>
      <c r="E18218">
        <v>0</v>
      </c>
      <c r="F18218">
        <v>3</v>
      </c>
    </row>
    <row r="18219" spans="1:6" ht="12.75">
      <c r="A18219" s="2">
        <v>43877.02243055556</v>
      </c>
      <c r="B18219" t="str">
        <f>HYPERLINK("https://twitter.com/AngkieYudistia","@AngkieYudistia")</f>
        <v>@AngkieYudistia</v>
      </c>
      <c r="C18219" t="s">
        <v>9234</v>
      </c>
      <c r="D18219">
        <v>0</v>
      </c>
      <c r="E18219">
        <v>2</v>
      </c>
      <c r="F18219">
        <v>25622</v>
      </c>
    </row>
    <row r="18220" spans="1:6" ht="12.75">
      <c r="A18220" s="2">
        <v>43877.022164351853</v>
      </c>
      <c r="B18220" t="str">
        <f>HYPERLINK("https://twitter.com/HarnoNdut","@HarnoNdut")</f>
        <v>@HarnoNdut</v>
      </c>
      <c r="C18220" t="s">
        <v>9235</v>
      </c>
      <c r="D18220">
        <v>0</v>
      </c>
      <c r="E18220">
        <v>0</v>
      </c>
      <c r="F18220">
        <v>0</v>
      </c>
    </row>
    <row r="18221" spans="1:6" ht="12.75">
      <c r="A18221" s="2">
        <v>43877.022118055553</v>
      </c>
      <c r="B18221" t="str">
        <f>HYPERLINK("https://twitter.com/Daniel86708686","@Daniel86708686")</f>
        <v>@Daniel86708686</v>
      </c>
      <c r="C18221" t="s">
        <v>9236</v>
      </c>
      <c r="D18221">
        <v>0</v>
      </c>
      <c r="E18221">
        <v>0</v>
      </c>
      <c r="F18221">
        <v>6</v>
      </c>
    </row>
    <row r="18222" spans="1:6" ht="12.75">
      <c r="A18222" s="2">
        <v>43877.021898148145</v>
      </c>
      <c r="B18222" t="str">
        <f>HYPERLINK("https://twitter.com/VIVAcoid","@VIVAcoid")</f>
        <v>@VIVAcoid</v>
      </c>
      <c r="C18222" t="s">
        <v>9237</v>
      </c>
      <c r="D18222">
        <v>1</v>
      </c>
      <c r="E18222">
        <v>0</v>
      </c>
      <c r="F18222">
        <v>4169565</v>
      </c>
    </row>
    <row r="18223" spans="1:6" ht="12.75">
      <c r="A18223" s="2">
        <v>43877.021597222221</v>
      </c>
      <c r="B18223" t="str">
        <f>HYPERLINK("https://twitter.com/vivanewscom","@vivanewscom")</f>
        <v>@vivanewscom</v>
      </c>
      <c r="C18223" t="s">
        <v>9238</v>
      </c>
      <c r="D18223">
        <v>1</v>
      </c>
      <c r="E18223">
        <v>3</v>
      </c>
      <c r="F18223">
        <v>4099</v>
      </c>
    </row>
    <row r="18224" spans="1:6" ht="12.75">
      <c r="A18224" s="2">
        <v>43877.021504629629</v>
      </c>
      <c r="B18224" t="str">
        <f>HYPERLINK("https://twitter.com/SilalahiFabian","@SilalahiFabian")</f>
        <v>@SilalahiFabian</v>
      </c>
      <c r="C18224" t="s">
        <v>7980</v>
      </c>
      <c r="D18224">
        <v>30</v>
      </c>
      <c r="E18224">
        <v>0</v>
      </c>
      <c r="F18224">
        <v>163</v>
      </c>
    </row>
    <row r="18225" spans="1:6" ht="12.75">
      <c r="A18225" s="2">
        <v>43877.021192129629</v>
      </c>
      <c r="B18225" t="str">
        <f>HYPERLINK("https://twitter.com/bakarricaicha1","@bakarricaicha1")</f>
        <v>@bakarricaicha1</v>
      </c>
      <c r="C18225" t="s">
        <v>2179</v>
      </c>
      <c r="D18225">
        <v>45</v>
      </c>
      <c r="E18225">
        <v>0</v>
      </c>
      <c r="F18225">
        <v>1928</v>
      </c>
    </row>
    <row r="18226" spans="1:6" ht="12.75">
      <c r="A18226" s="2">
        <v>43877.020844907413</v>
      </c>
      <c r="B18226" t="str">
        <f>HYPERLINK("https://twitter.com/justice191270","@justice191270")</f>
        <v>@justice191270</v>
      </c>
      <c r="C18226" t="s">
        <v>9239</v>
      </c>
      <c r="D18226">
        <v>0</v>
      </c>
      <c r="E18226">
        <v>0</v>
      </c>
      <c r="F18226">
        <v>73</v>
      </c>
    </row>
    <row r="18227" spans="1:6" ht="12.75">
      <c r="A18227" s="2">
        <v>43877.020729166667</v>
      </c>
      <c r="B18227" t="str">
        <f>HYPERLINK("https://twitter.com/andiaprabowo","@andiaprabowo")</f>
        <v>@andiaprabowo</v>
      </c>
      <c r="C18227" t="s">
        <v>6201</v>
      </c>
      <c r="D18227">
        <v>536</v>
      </c>
      <c r="E18227">
        <v>0</v>
      </c>
      <c r="F18227">
        <v>794</v>
      </c>
    </row>
    <row r="18228" spans="1:6" ht="12.75">
      <c r="A18228" s="2">
        <v>43877.020694444444</v>
      </c>
      <c r="B18228" t="str">
        <f>HYPERLINK("https://twitter.com/edy_purnomo","@edy_purnomo")</f>
        <v>@edy_purnomo</v>
      </c>
      <c r="C18228" t="s">
        <v>2147</v>
      </c>
      <c r="D18228">
        <v>464</v>
      </c>
      <c r="E18228">
        <v>0</v>
      </c>
      <c r="F18228">
        <v>51</v>
      </c>
    </row>
    <row r="18229" spans="1:6" ht="12.75">
      <c r="A18229" s="2">
        <v>43877.020173611112</v>
      </c>
      <c r="B18229" t="str">
        <f>HYPERLINK("https://twitter.com/min_wahab","@min_wahab")</f>
        <v>@min_wahab</v>
      </c>
      <c r="C18229" t="s">
        <v>9182</v>
      </c>
      <c r="D18229">
        <v>3</v>
      </c>
      <c r="E18229">
        <v>0</v>
      </c>
      <c r="F18229">
        <v>172</v>
      </c>
    </row>
    <row r="18230" spans="1:6" ht="12.75">
      <c r="A18230" s="2">
        <v>43877.019872685181</v>
      </c>
      <c r="B18230" t="str">
        <f>HYPERLINK("https://twitter.com/nosa_her","@nosa_her")</f>
        <v>@nosa_her</v>
      </c>
      <c r="C18230" t="s">
        <v>8897</v>
      </c>
      <c r="D18230">
        <v>37</v>
      </c>
      <c r="E18230">
        <v>0</v>
      </c>
      <c r="F18230">
        <v>73</v>
      </c>
    </row>
    <row r="18231" spans="1:6" ht="12.75">
      <c r="A18231" s="2">
        <v>43877.019328703704</v>
      </c>
      <c r="B18231" t="str">
        <f>HYPERLINK("https://twitter.com/YoungmandayS","@YoungmandayS")</f>
        <v>@YoungmandayS</v>
      </c>
      <c r="C18231" t="s">
        <v>9240</v>
      </c>
      <c r="D18231">
        <v>2</v>
      </c>
      <c r="E18231">
        <v>0</v>
      </c>
      <c r="F18231">
        <v>166</v>
      </c>
    </row>
    <row r="18232" spans="1:6" ht="12.75">
      <c r="A18232" s="2">
        <v>43877.019143518519</v>
      </c>
      <c r="B18232" t="str">
        <f>HYPERLINK("https://twitter.com/AriePutraWijay1","@AriePutraWijay1")</f>
        <v>@AriePutraWijay1</v>
      </c>
      <c r="C18232" t="s">
        <v>9182</v>
      </c>
      <c r="D18232">
        <v>3</v>
      </c>
      <c r="E18232">
        <v>0</v>
      </c>
      <c r="F18232">
        <v>125</v>
      </c>
    </row>
    <row r="18233" spans="1:6" ht="12.75">
      <c r="A18233" s="2">
        <v>43877.019131944442</v>
      </c>
      <c r="B18233" t="str">
        <f>HYPERLINK("https://twitter.com/kiraimonogatari","@kiraimonogatari")</f>
        <v>@kiraimonogatari</v>
      </c>
      <c r="C18233" t="s">
        <v>175</v>
      </c>
      <c r="D18233">
        <v>5350</v>
      </c>
      <c r="E18233">
        <v>0</v>
      </c>
      <c r="F18233">
        <v>60</v>
      </c>
    </row>
    <row r="18234" spans="1:6" ht="12.75">
      <c r="A18234" s="2">
        <v>43877.019004629634</v>
      </c>
      <c r="B18234" t="str">
        <f>HYPERLINK("https://twitter.com/iNewsID","@iNewsID")</f>
        <v>@iNewsID</v>
      </c>
      <c r="C18234" t="s">
        <v>9241</v>
      </c>
      <c r="D18234">
        <v>1</v>
      </c>
      <c r="E18234">
        <v>0</v>
      </c>
      <c r="F18234">
        <v>1260</v>
      </c>
    </row>
    <row r="18235" spans="1:6" ht="12.75">
      <c r="A18235" s="2">
        <v>43877.018912037034</v>
      </c>
      <c r="B18235" t="str">
        <f>HYPERLINK("https://twitter.com/CherryRnld","@CherryRnld")</f>
        <v>@CherryRnld</v>
      </c>
      <c r="C18235" t="s">
        <v>6338</v>
      </c>
      <c r="D18235">
        <v>181</v>
      </c>
      <c r="E18235">
        <v>0</v>
      </c>
      <c r="F18235">
        <v>377</v>
      </c>
    </row>
    <row r="18236" spans="1:6" ht="12.75">
      <c r="A18236" s="2">
        <v>43877.018692129626</v>
      </c>
      <c r="B18236" t="str">
        <f>HYPERLINK("https://twitter.com/hapeproperti","@hapeproperti")</f>
        <v>@hapeproperti</v>
      </c>
      <c r="C18236" t="s">
        <v>6338</v>
      </c>
      <c r="D18236">
        <v>181</v>
      </c>
      <c r="E18236">
        <v>0</v>
      </c>
      <c r="F18236">
        <v>1602</v>
      </c>
    </row>
    <row r="18237" spans="1:6" ht="12.75">
      <c r="A18237" s="2">
        <v>43877.018692129626</v>
      </c>
      <c r="B18237" t="str">
        <f>HYPERLINK("https://twitter.com/rzviir","@rzviir")</f>
        <v>@rzviir</v>
      </c>
      <c r="C18237" t="s">
        <v>2444</v>
      </c>
      <c r="D18237">
        <v>4473</v>
      </c>
      <c r="E18237">
        <v>0</v>
      </c>
      <c r="F18237">
        <v>40</v>
      </c>
    </row>
    <row r="18238" spans="1:6" ht="12.75">
      <c r="A18238" s="2">
        <v>43877.01866898148</v>
      </c>
      <c r="B18238" t="str">
        <f>HYPERLINK("https://twitter.com/vluesnain","@vluesnain")</f>
        <v>@vluesnain</v>
      </c>
      <c r="C18238" t="s">
        <v>7905</v>
      </c>
      <c r="D18238">
        <v>32</v>
      </c>
      <c r="E18238">
        <v>0</v>
      </c>
      <c r="F18238">
        <v>1125</v>
      </c>
    </row>
    <row r="18239" spans="1:6" ht="12.75">
      <c r="A18239" s="2">
        <v>43877.018495370372</v>
      </c>
      <c r="B18239" t="str">
        <f>HYPERLINK("https://twitter.com/rzviir","@rzviir")</f>
        <v>@rzviir</v>
      </c>
      <c r="C18239" t="s">
        <v>5168</v>
      </c>
      <c r="D18239">
        <v>1631</v>
      </c>
      <c r="E18239">
        <v>0</v>
      </c>
      <c r="F18239">
        <v>40</v>
      </c>
    </row>
    <row r="18240" spans="1:6" ht="12.75">
      <c r="A18240" s="2">
        <v>43877.018472222218</v>
      </c>
      <c r="B18240" t="str">
        <f>HYPERLINK("https://twitter.com/nosa_her","@nosa_her")</f>
        <v>@nosa_her</v>
      </c>
      <c r="C18240" t="s">
        <v>7980</v>
      </c>
      <c r="D18240">
        <v>30</v>
      </c>
      <c r="E18240">
        <v>0</v>
      </c>
      <c r="F18240">
        <v>73</v>
      </c>
    </row>
    <row r="18241" spans="1:6" ht="12.75">
      <c r="A18241" s="2">
        <v>43877.018425925926</v>
      </c>
      <c r="B18241" t="str">
        <f>HYPERLINK("https://twitter.com/SilalahiFabian","@SilalahiFabian")</f>
        <v>@SilalahiFabian</v>
      </c>
      <c r="C18241" t="s">
        <v>6338</v>
      </c>
      <c r="D18241">
        <v>181</v>
      </c>
      <c r="E18241">
        <v>0</v>
      </c>
      <c r="F18241">
        <v>163</v>
      </c>
    </row>
    <row r="18242" spans="1:6" ht="12.75">
      <c r="A18242" s="2">
        <v>43877.018333333333</v>
      </c>
      <c r="B18242" t="str">
        <f>HYPERLINK("https://twitter.com/wsbli","@wsbli")</f>
        <v>@wsbli</v>
      </c>
      <c r="C18242" t="s">
        <v>7261</v>
      </c>
      <c r="D18242">
        <v>89</v>
      </c>
      <c r="E18242">
        <v>0</v>
      </c>
      <c r="F18242">
        <v>102</v>
      </c>
    </row>
    <row r="18243" spans="1:6" ht="12.75">
      <c r="A18243" s="2">
        <v>43877.018020833333</v>
      </c>
      <c r="B18243" t="str">
        <f>HYPERLINK("https://twitter.com/masovics","@masovics")</f>
        <v>@masovics</v>
      </c>
      <c r="C18243" t="s">
        <v>7261</v>
      </c>
      <c r="D18243">
        <v>89</v>
      </c>
      <c r="E18243">
        <v>0</v>
      </c>
      <c r="F18243">
        <v>852</v>
      </c>
    </row>
    <row r="18244" spans="1:6" ht="12.75">
      <c r="A18244" s="2">
        <v>43877.017731481479</v>
      </c>
      <c r="B18244" t="str">
        <f>HYPERLINK("https://twitter.com/iNewsID","@iNewsID")</f>
        <v>@iNewsID</v>
      </c>
      <c r="C18244" t="s">
        <v>9242</v>
      </c>
      <c r="D18244">
        <v>0</v>
      </c>
      <c r="E18244">
        <v>0</v>
      </c>
      <c r="F18244">
        <v>1260</v>
      </c>
    </row>
    <row r="18245" spans="1:6" ht="12.75">
      <c r="A18245" s="2">
        <v>43877.017569444448</v>
      </c>
      <c r="B18245" t="str">
        <f>HYPERLINK("https://twitter.com/RadioElshinta","@RadioElshinta")</f>
        <v>@RadioElshinta</v>
      </c>
      <c r="C18245" t="s">
        <v>9240</v>
      </c>
      <c r="D18245">
        <v>2</v>
      </c>
      <c r="E18245">
        <v>0</v>
      </c>
      <c r="F18245">
        <v>3633403</v>
      </c>
    </row>
    <row r="18246" spans="1:6" ht="12.75">
      <c r="A18246" s="2">
        <v>43877.016817129625</v>
      </c>
      <c r="B18246" t="str">
        <f>HYPERLINK("https://twitter.com/Megatop99","@Megatop99")</f>
        <v>@Megatop99</v>
      </c>
      <c r="C18246" t="s">
        <v>9243</v>
      </c>
      <c r="D18246">
        <v>0</v>
      </c>
      <c r="E18246">
        <v>0</v>
      </c>
      <c r="F18246">
        <v>1667</v>
      </c>
    </row>
    <row r="18247" spans="1:6" ht="12.75">
      <c r="A18247" s="2">
        <v>43877.016805555555</v>
      </c>
      <c r="B18247" t="str">
        <f>HYPERLINK("https://twitter.com/Genta57027194","@Genta57027194")</f>
        <v>@Genta57027194</v>
      </c>
      <c r="C18247" t="s">
        <v>9244</v>
      </c>
      <c r="D18247">
        <v>0</v>
      </c>
      <c r="E18247">
        <v>0</v>
      </c>
      <c r="F18247">
        <v>165</v>
      </c>
    </row>
    <row r="18248" spans="1:6" ht="12.75">
      <c r="A18248" s="2">
        <v>43877.016701388886</v>
      </c>
      <c r="B18248" t="str">
        <f>HYPERLINK("https://twitter.com/becak125cc","@becak125cc")</f>
        <v>@becak125cc</v>
      </c>
      <c r="C18248" t="s">
        <v>6338</v>
      </c>
      <c r="D18248">
        <v>181</v>
      </c>
      <c r="E18248">
        <v>0</v>
      </c>
      <c r="F18248">
        <v>499</v>
      </c>
    </row>
    <row r="18249" spans="1:6" ht="12.75">
      <c r="A18249" s="2">
        <v>43877.016643518524</v>
      </c>
      <c r="B18249" t="str">
        <f>HYPERLINK("https://twitter.com/aa_chambari","@aa_chambari")</f>
        <v>@aa_chambari</v>
      </c>
      <c r="C18249" t="s">
        <v>6338</v>
      </c>
      <c r="D18249">
        <v>181</v>
      </c>
      <c r="E18249">
        <v>0</v>
      </c>
      <c r="F18249">
        <v>3448</v>
      </c>
    </row>
    <row r="18250" spans="1:6" ht="12.75">
      <c r="A18250" s="2">
        <v>43877.016168981485</v>
      </c>
      <c r="B18250" t="str">
        <f>HYPERLINK("https://twitter.com/masarisgoplo","@masarisgoplo")</f>
        <v>@masarisgoplo</v>
      </c>
      <c r="C18250" t="s">
        <v>8203</v>
      </c>
      <c r="D18250">
        <v>111</v>
      </c>
      <c r="E18250">
        <v>0</v>
      </c>
      <c r="F18250">
        <v>745</v>
      </c>
    </row>
    <row r="18251" spans="1:6" ht="12.75">
      <c r="A18251" s="2">
        <v>43877.001377314809</v>
      </c>
      <c r="B18251" t="str">
        <f>HYPERLINK("https://twitter.com/ALINGGAon6","@ALINGGAon6")</f>
        <v>@ALINGGAon6</v>
      </c>
      <c r="C18251" t="s">
        <v>6338</v>
      </c>
      <c r="D18251">
        <v>145</v>
      </c>
      <c r="E18251">
        <v>0</v>
      </c>
      <c r="F18251">
        <v>774</v>
      </c>
    </row>
    <row r="18252" spans="1:6" ht="12.75">
      <c r="A18252" s="2">
        <v>43877.001284722224</v>
      </c>
      <c r="B18252" t="str">
        <f>HYPERLINK("https://twitter.com/BillTemporo","@BillTemporo")</f>
        <v>@BillTemporo</v>
      </c>
      <c r="C18252" t="s">
        <v>832</v>
      </c>
      <c r="D18252">
        <v>0</v>
      </c>
      <c r="E18252">
        <v>0</v>
      </c>
      <c r="F18252">
        <v>11</v>
      </c>
    </row>
    <row r="18253" spans="1:6" ht="12.75">
      <c r="A18253" s="2">
        <v>43877.000752314816</v>
      </c>
      <c r="B18253" t="str">
        <f>HYPERLINK("https://twitter.com/ferryadrian__","@ferryadrian__")</f>
        <v>@ferryadrian__</v>
      </c>
      <c r="C18253" t="s">
        <v>9245</v>
      </c>
      <c r="D18253">
        <v>0</v>
      </c>
      <c r="E18253">
        <v>0</v>
      </c>
      <c r="F18253">
        <v>51</v>
      </c>
    </row>
    <row r="18254" spans="1:6" ht="12.75">
      <c r="A18254" s="2">
        <v>43877.000648148147</v>
      </c>
      <c r="B18254" t="str">
        <f>HYPERLINK("https://twitter.com/iyayaal","@iyayaal")</f>
        <v>@iyayaal</v>
      </c>
      <c r="C18254" t="s">
        <v>2444</v>
      </c>
      <c r="D18254">
        <v>4469</v>
      </c>
      <c r="E18254">
        <v>0</v>
      </c>
      <c r="F18254">
        <v>216</v>
      </c>
    </row>
    <row r="18255" spans="1:6" ht="12.75">
      <c r="A18255" s="2">
        <v>43877.000462962962</v>
      </c>
      <c r="B18255" t="str">
        <f>HYPERLINK("https://twitter.com/nurulshanti","@nurulshanti")</f>
        <v>@nurulshanti</v>
      </c>
      <c r="C18255" t="s">
        <v>8650</v>
      </c>
      <c r="D18255">
        <v>80</v>
      </c>
      <c r="E18255">
        <v>0</v>
      </c>
      <c r="F18255">
        <v>2087</v>
      </c>
    </row>
    <row r="18256" spans="1:6" ht="12.75">
      <c r="A18256" s="2">
        <v>43877.000254629631</v>
      </c>
      <c r="B18256" t="str">
        <f>HYPERLINK("https://twitter.com/samiwanggi","@samiwanggi")</f>
        <v>@samiwanggi</v>
      </c>
      <c r="C18256" t="s">
        <v>6338</v>
      </c>
      <c r="D18256">
        <v>145</v>
      </c>
      <c r="E18256">
        <v>0</v>
      </c>
      <c r="F18256">
        <v>11</v>
      </c>
    </row>
    <row r="18257" spans="1:6" ht="12.75">
      <c r="A18257" s="2">
        <v>43876.999953703707</v>
      </c>
      <c r="B18257" t="str">
        <f>HYPERLINK("https://twitter.com/riodc_voll","@riodc_voll")</f>
        <v>@riodc_voll</v>
      </c>
      <c r="C18257" t="s">
        <v>9199</v>
      </c>
      <c r="D18257">
        <v>1</v>
      </c>
      <c r="E18257">
        <v>0</v>
      </c>
      <c r="F18257">
        <v>286</v>
      </c>
    </row>
    <row r="18258" spans="1:6" ht="12.75">
      <c r="A18258" s="2">
        <v>43876.999953703707</v>
      </c>
      <c r="B18258" t="str">
        <f>HYPERLINK("https://twitter.com/Nitizen_Zen","@Nitizen_Zen")</f>
        <v>@Nitizen_Zen</v>
      </c>
      <c r="C18258" t="s">
        <v>9246</v>
      </c>
      <c r="D18258">
        <v>2</v>
      </c>
      <c r="E18258">
        <v>0</v>
      </c>
      <c r="F18258">
        <v>453</v>
      </c>
    </row>
    <row r="18259" spans="1:6" ht="12.75">
      <c r="A18259" s="2">
        <v>43876.999907407408</v>
      </c>
      <c r="B18259" t="str">
        <f>HYPERLINK("https://twitter.com/riodc_voll","@riodc_voll")</f>
        <v>@riodc_voll</v>
      </c>
      <c r="C18259" t="s">
        <v>9200</v>
      </c>
      <c r="D18259">
        <v>2</v>
      </c>
      <c r="E18259">
        <v>0</v>
      </c>
      <c r="F18259">
        <v>286</v>
      </c>
    </row>
    <row r="18260" spans="1:6" ht="12.75">
      <c r="A18260" s="2">
        <v>43876.9996412037</v>
      </c>
      <c r="B18260" t="str">
        <f>HYPERLINK("https://twitter.com/kopral_jon00","@kopral_jon00")</f>
        <v>@kopral_jon00</v>
      </c>
      <c r="C18260" t="s">
        <v>9247</v>
      </c>
      <c r="D18260">
        <v>0</v>
      </c>
      <c r="E18260">
        <v>0</v>
      </c>
      <c r="F18260">
        <v>807</v>
      </c>
    </row>
    <row r="18261" spans="1:6" ht="12.75">
      <c r="A18261" s="2">
        <v>43876.999386574069</v>
      </c>
      <c r="B18261" t="str">
        <f>HYPERLINK("https://twitter.com/FanDhiyaA","@FanDhiyaA")</f>
        <v>@FanDhiyaA</v>
      </c>
      <c r="C18261" t="s">
        <v>2147</v>
      </c>
      <c r="D18261">
        <v>459</v>
      </c>
      <c r="E18261">
        <v>0</v>
      </c>
      <c r="F18261">
        <v>262</v>
      </c>
    </row>
    <row r="18262" spans="1:6" ht="12.75">
      <c r="A18262" s="2">
        <v>43876.999328703707</v>
      </c>
      <c r="B18262" t="str">
        <f>HYPERLINK("https://twitter.com/geralldlnyadua","@geralldlnyadua")</f>
        <v>@geralldlnyadua</v>
      </c>
      <c r="C18262" t="s">
        <v>9248</v>
      </c>
      <c r="D18262">
        <v>0</v>
      </c>
      <c r="E18262">
        <v>0</v>
      </c>
      <c r="F18262">
        <v>32</v>
      </c>
    </row>
    <row r="18263" spans="1:6" ht="12.75">
      <c r="A18263" s="2">
        <v>43876.998958333337</v>
      </c>
      <c r="B18263" t="str">
        <f>HYPERLINK("https://twitter.com/Hendra27122013","@Hendra27122013")</f>
        <v>@Hendra27122013</v>
      </c>
      <c r="C18263" t="s">
        <v>6338</v>
      </c>
      <c r="D18263">
        <v>145</v>
      </c>
      <c r="E18263">
        <v>0</v>
      </c>
      <c r="F18263">
        <v>553</v>
      </c>
    </row>
    <row r="18264" spans="1:6" ht="12.75">
      <c r="A18264" s="2">
        <v>43876.998784722222</v>
      </c>
      <c r="B18264" t="str">
        <f>HYPERLINK("https://twitter.com/Ryan_Nazmi","@Ryan_Nazmi")</f>
        <v>@Ryan_Nazmi</v>
      </c>
      <c r="C18264" t="s">
        <v>7154</v>
      </c>
      <c r="D18264">
        <v>39</v>
      </c>
      <c r="E18264">
        <v>0</v>
      </c>
      <c r="F18264">
        <v>291</v>
      </c>
    </row>
    <row r="18265" spans="1:6" ht="12.75">
      <c r="A18265" s="2">
        <v>43876.998576388884</v>
      </c>
      <c r="B18265" t="str">
        <f>HYPERLINK("https://twitter.com/Charistttt","@Charistttt")</f>
        <v>@Charistttt</v>
      </c>
      <c r="C18265" t="s">
        <v>9249</v>
      </c>
      <c r="D18265">
        <v>0</v>
      </c>
      <c r="E18265">
        <v>0</v>
      </c>
      <c r="F18265">
        <v>1127</v>
      </c>
    </row>
    <row r="18266" spans="1:6" ht="12.75">
      <c r="A18266" s="2">
        <v>43876.998043981483</v>
      </c>
      <c r="B18266" t="str">
        <f>HYPERLINK("https://twitter.com/ndesokesakeso","@ndesokesakeso")</f>
        <v>@ndesokesakeso</v>
      </c>
      <c r="C18266" t="s">
        <v>6338</v>
      </c>
      <c r="D18266">
        <v>145</v>
      </c>
      <c r="E18266">
        <v>0</v>
      </c>
      <c r="F18266">
        <v>2473</v>
      </c>
    </row>
    <row r="18267" spans="1:6" ht="12.75">
      <c r="A18267" s="2">
        <v>43876.997511574074</v>
      </c>
      <c r="B18267" t="str">
        <f>HYPERLINK("https://twitter.com/UjKomar","@UjKomar")</f>
        <v>@UjKomar</v>
      </c>
      <c r="C18267" t="s">
        <v>6338</v>
      </c>
      <c r="D18267">
        <v>145</v>
      </c>
      <c r="E18267">
        <v>0</v>
      </c>
      <c r="F18267">
        <v>1162</v>
      </c>
    </row>
    <row r="18268" spans="1:6" ht="12.75">
      <c r="A18268" s="2">
        <v>43876.997418981482</v>
      </c>
      <c r="B18268" t="str">
        <f>HYPERLINK("https://twitter.com/akjailanireal","@akjailanireal")</f>
        <v>@akjailanireal</v>
      </c>
      <c r="C18268" t="s">
        <v>9250</v>
      </c>
      <c r="D18268">
        <v>0</v>
      </c>
      <c r="E18268">
        <v>0</v>
      </c>
      <c r="F18268">
        <v>280</v>
      </c>
    </row>
    <row r="18269" spans="1:6" ht="12.75">
      <c r="A18269" s="2">
        <v>43876.997361111113</v>
      </c>
      <c r="B18269" t="str">
        <f>HYPERLINK("https://twitter.com/acehimagecom","@acehimagecom")</f>
        <v>@acehimagecom</v>
      </c>
      <c r="C18269" t="s">
        <v>9250</v>
      </c>
      <c r="D18269">
        <v>0</v>
      </c>
      <c r="E18269">
        <v>0</v>
      </c>
      <c r="F18269">
        <v>297</v>
      </c>
    </row>
    <row r="18270" spans="1:6" ht="12.75">
      <c r="A18270" s="2">
        <v>43876.997199074074</v>
      </c>
      <c r="B18270" t="str">
        <f>HYPERLINK("https://twitter.com/BaruMasuk8","@BaruMasuk8")</f>
        <v>@BaruMasuk8</v>
      </c>
      <c r="C18270" t="s">
        <v>9251</v>
      </c>
      <c r="D18270">
        <v>0</v>
      </c>
      <c r="E18270">
        <v>0</v>
      </c>
      <c r="F18270">
        <v>4</v>
      </c>
    </row>
    <row r="18271" spans="1:6" ht="12.75">
      <c r="A18271" s="2">
        <v>43876.997175925921</v>
      </c>
      <c r="B18271" t="str">
        <f>HYPERLINK("https://twitter.com/Tulang_Godang","@Tulang_Godang")</f>
        <v>@Tulang_Godang</v>
      </c>
      <c r="C18271" t="s">
        <v>6338</v>
      </c>
      <c r="D18271">
        <v>145</v>
      </c>
      <c r="E18271">
        <v>0</v>
      </c>
      <c r="F18271">
        <v>568</v>
      </c>
    </row>
    <row r="18272" spans="1:6" ht="12.75">
      <c r="A18272" s="2">
        <v>43876.997118055559</v>
      </c>
      <c r="B18272" t="str">
        <f>HYPERLINK("https://twitter.com/risolpepes","@risolpepes")</f>
        <v>@risolpepes</v>
      </c>
      <c r="C18272" t="s">
        <v>9252</v>
      </c>
      <c r="D18272">
        <v>0</v>
      </c>
      <c r="E18272">
        <v>0</v>
      </c>
      <c r="F18272">
        <v>676</v>
      </c>
    </row>
    <row r="18273" spans="1:6" ht="12.75">
      <c r="A18273" s="2">
        <v>43876.996759259258</v>
      </c>
      <c r="B18273" t="str">
        <f>HYPERLINK("https://twitter.com/AndromedaMcfc","@AndromedaMcfc")</f>
        <v>@AndromedaMcfc</v>
      </c>
      <c r="C18273" t="s">
        <v>9253</v>
      </c>
      <c r="D18273">
        <v>0</v>
      </c>
      <c r="E18273">
        <v>0</v>
      </c>
      <c r="F18273">
        <v>3946</v>
      </c>
    </row>
    <row r="18274" spans="1:6" ht="12.75">
      <c r="A18274" s="2">
        <v>43876.996678240743</v>
      </c>
      <c r="B18274" t="str">
        <f>HYPERLINK("https://twitter.com/NTRFLD48","@NTRFLD48")</f>
        <v>@NTRFLD48</v>
      </c>
      <c r="C18274" t="s">
        <v>6338</v>
      </c>
      <c r="D18274">
        <v>145</v>
      </c>
      <c r="E18274">
        <v>0</v>
      </c>
      <c r="F18274">
        <v>596</v>
      </c>
    </row>
    <row r="18275" spans="1:6" ht="12.75">
      <c r="A18275" s="2">
        <v>43876.996631944443</v>
      </c>
      <c r="B18275" t="str">
        <f>HYPERLINK("https://twitter.com/woohbear97","@woohbear97")</f>
        <v>@woohbear97</v>
      </c>
      <c r="C18275" t="s">
        <v>7905</v>
      </c>
      <c r="D18275">
        <v>29</v>
      </c>
      <c r="E18275">
        <v>0</v>
      </c>
      <c r="F18275">
        <v>671</v>
      </c>
    </row>
    <row r="18276" spans="1:6" ht="12.75">
      <c r="A18276" s="2">
        <v>43876.996574074074</v>
      </c>
      <c r="B18276" t="str">
        <f>HYPERLINK("https://twitter.com/Sifudan_mora","@Sifudan_mora")</f>
        <v>@Sifudan_mora</v>
      </c>
      <c r="C18276" t="s">
        <v>9254</v>
      </c>
      <c r="D18276">
        <v>2</v>
      </c>
      <c r="E18276">
        <v>0</v>
      </c>
      <c r="F18276">
        <v>1996</v>
      </c>
    </row>
    <row r="18277" spans="1:6" ht="12.75">
      <c r="A18277" s="2">
        <v>43876.996400462958</v>
      </c>
      <c r="B18277" t="str">
        <f>HYPERLINK("https://twitter.com/RiyantAriel","@RiyantAriel")</f>
        <v>@RiyantAriel</v>
      </c>
      <c r="C18277" t="s">
        <v>2147</v>
      </c>
      <c r="D18277">
        <v>459</v>
      </c>
      <c r="E18277">
        <v>0</v>
      </c>
      <c r="F18277">
        <v>2294</v>
      </c>
    </row>
    <row r="18278" spans="1:6" ht="12.75">
      <c r="A18278" s="2">
        <v>43876.996307870373</v>
      </c>
      <c r="B18278" t="str">
        <f>HYPERLINK("https://twitter.com/ricosiswandi","@ricosiswandi")</f>
        <v>@ricosiswandi</v>
      </c>
      <c r="C18278" t="s">
        <v>6338</v>
      </c>
      <c r="D18278">
        <v>145</v>
      </c>
      <c r="E18278">
        <v>0</v>
      </c>
      <c r="F18278">
        <v>2327</v>
      </c>
    </row>
    <row r="18279" spans="1:6" ht="12.75">
      <c r="A18279" s="2">
        <v>43876.996122685188</v>
      </c>
      <c r="B18279" t="str">
        <f>HYPERLINK("https://twitter.com/mellenk_kacong","@mellenk_kacong")</f>
        <v>@mellenk_kacong</v>
      </c>
      <c r="C18279" t="s">
        <v>2963</v>
      </c>
      <c r="D18279">
        <v>1287</v>
      </c>
      <c r="E18279">
        <v>0</v>
      </c>
      <c r="F18279">
        <v>22</v>
      </c>
    </row>
    <row r="18280" spans="1:6" ht="12.75">
      <c r="A18280" s="2">
        <v>43876.995706018519</v>
      </c>
      <c r="B18280" t="str">
        <f>HYPERLINK("https://twitter.com/Markeso56576675","@Markeso56576675")</f>
        <v>@Markeso56576675</v>
      </c>
      <c r="C18280" t="s">
        <v>6201</v>
      </c>
      <c r="D18280">
        <v>535</v>
      </c>
      <c r="E18280">
        <v>0</v>
      </c>
      <c r="F18280">
        <v>66</v>
      </c>
    </row>
    <row r="18281" spans="1:6" ht="12.75">
      <c r="A18281" s="2">
        <v>43876.995601851857</v>
      </c>
      <c r="B18281" t="str">
        <f>HYPERLINK("https://twitter.com/Fm98Sonora","@Fm98Sonora")</f>
        <v>@Fm98Sonora</v>
      </c>
      <c r="C18281" t="s">
        <v>9200</v>
      </c>
      <c r="D18281">
        <v>2</v>
      </c>
      <c r="E18281">
        <v>0</v>
      </c>
      <c r="F18281">
        <v>19</v>
      </c>
    </row>
    <row r="18282" spans="1:6" ht="12.75">
      <c r="A18282" s="2">
        <v>43876.995509259257</v>
      </c>
      <c r="B18282" t="str">
        <f>HYPERLINK("https://twitter.com/BayuSet26765246","@BayuSet26765246")</f>
        <v>@BayuSet26765246</v>
      </c>
      <c r="C18282" t="s">
        <v>6338</v>
      </c>
      <c r="D18282">
        <v>145</v>
      </c>
      <c r="E18282">
        <v>0</v>
      </c>
      <c r="F18282">
        <v>1387</v>
      </c>
    </row>
    <row r="18283" spans="1:6" ht="12.75">
      <c r="A18283" s="2">
        <v>43876.995462962965</v>
      </c>
      <c r="B18283" t="str">
        <f>HYPERLINK("https://twitter.com/akun_easy","@akun_easy")</f>
        <v>@akun_easy</v>
      </c>
      <c r="C18283" t="s">
        <v>9229</v>
      </c>
      <c r="D18283">
        <v>26</v>
      </c>
      <c r="E18283">
        <v>0</v>
      </c>
      <c r="F18283">
        <v>2439</v>
      </c>
    </row>
    <row r="18284" spans="1:6" ht="12.75">
      <c r="A18284" s="2">
        <v>43876.99518518518</v>
      </c>
      <c r="B18284" t="str">
        <f t="shared" ref="B18284:B18285" si="304">HYPERLINK("https://twitter.com/KompasTV","@KompasTV")</f>
        <v>@KompasTV</v>
      </c>
      <c r="C18284" t="s">
        <v>9255</v>
      </c>
      <c r="D18284">
        <v>2</v>
      </c>
      <c r="E18284">
        <v>5</v>
      </c>
      <c r="F18284">
        <v>2941903</v>
      </c>
    </row>
    <row r="18285" spans="1:6" ht="12.75">
      <c r="A18285" s="2">
        <v>43876.995173611111</v>
      </c>
      <c r="B18285" t="str">
        <f t="shared" si="304"/>
        <v>@KompasTV</v>
      </c>
      <c r="C18285" t="s">
        <v>9256</v>
      </c>
      <c r="D18285">
        <v>1</v>
      </c>
      <c r="E18285">
        <v>1</v>
      </c>
      <c r="F18285">
        <v>2941903</v>
      </c>
    </row>
    <row r="18286" spans="1:6" ht="12.75">
      <c r="A18286" s="2">
        <v>43876.994745370372</v>
      </c>
      <c r="B18286" t="str">
        <f>HYPERLINK("https://twitter.com/jerry_gemini","@jerry_gemini")</f>
        <v>@jerry_gemini</v>
      </c>
      <c r="C18286" t="s">
        <v>9257</v>
      </c>
      <c r="D18286">
        <v>0</v>
      </c>
      <c r="E18286">
        <v>0</v>
      </c>
      <c r="F18286">
        <v>1661</v>
      </c>
    </row>
    <row r="18287" spans="1:6" ht="12.75">
      <c r="A18287" s="2">
        <v>43876.994733796295</v>
      </c>
      <c r="B18287" t="str">
        <f>HYPERLINK("https://twitter.com/Kanghary8","@Kanghary8")</f>
        <v>@Kanghary8</v>
      </c>
      <c r="C18287" t="s">
        <v>9258</v>
      </c>
      <c r="D18287">
        <v>0</v>
      </c>
      <c r="E18287">
        <v>0</v>
      </c>
      <c r="F18287">
        <v>1</v>
      </c>
    </row>
    <row r="18288" spans="1:6" ht="12.75">
      <c r="A18288" s="2">
        <v>43876.994027777779</v>
      </c>
      <c r="B18288" t="str">
        <f>HYPERLINK("https://twitter.com/MichaelHarto77","@MichaelHarto77")</f>
        <v>@MichaelHarto77</v>
      </c>
      <c r="C18288" t="s">
        <v>8203</v>
      </c>
      <c r="D18288">
        <v>104</v>
      </c>
      <c r="E18288">
        <v>0</v>
      </c>
      <c r="F18288">
        <v>4417</v>
      </c>
    </row>
    <row r="18289" spans="1:6" ht="12.75">
      <c r="A18289" s="2">
        <v>43876.993935185186</v>
      </c>
      <c r="B18289" t="str">
        <f>HYPERLINK("https://twitter.com/JakartaStar","@JakartaStar")</f>
        <v>@JakartaStar</v>
      </c>
      <c r="C18289" t="s">
        <v>9246</v>
      </c>
      <c r="D18289">
        <v>2</v>
      </c>
      <c r="E18289">
        <v>0</v>
      </c>
      <c r="F18289">
        <v>5483</v>
      </c>
    </row>
    <row r="18290" spans="1:6" ht="12.75">
      <c r="A18290" s="2">
        <v>43876.993888888886</v>
      </c>
      <c r="B18290" t="str">
        <f>HYPERLINK("https://twitter.com/indri_nastiti","@indri_nastiti")</f>
        <v>@indri_nastiti</v>
      </c>
      <c r="C18290" t="s">
        <v>9259</v>
      </c>
      <c r="D18290">
        <v>72</v>
      </c>
      <c r="E18290">
        <v>0</v>
      </c>
      <c r="F18290">
        <v>86</v>
      </c>
    </row>
    <row r="18291" spans="1:6" ht="12.75">
      <c r="A18291" s="2">
        <v>43876.993807870371</v>
      </c>
      <c r="B18291" t="str">
        <f>HYPERLINK("https://twitter.com/Syamsud41732201","@Syamsud41732201")</f>
        <v>@Syamsud41732201</v>
      </c>
      <c r="C18291" t="s">
        <v>9004</v>
      </c>
      <c r="D18291">
        <v>14</v>
      </c>
      <c r="E18291">
        <v>0</v>
      </c>
      <c r="F18291">
        <v>732</v>
      </c>
    </row>
    <row r="18292" spans="1:6" ht="12.75">
      <c r="A18292" s="2">
        <v>43876.993738425925</v>
      </c>
      <c r="B18292" t="str">
        <f>HYPERLINK("https://twitter.com/ElangLuck","@ElangLuck")</f>
        <v>@ElangLuck</v>
      </c>
      <c r="C18292" t="s">
        <v>8665</v>
      </c>
      <c r="D18292">
        <v>229</v>
      </c>
      <c r="E18292">
        <v>0</v>
      </c>
      <c r="F18292">
        <v>2691</v>
      </c>
    </row>
    <row r="18293" spans="1:6" ht="12.75">
      <c r="A18293" s="2">
        <v>43876.993703703702</v>
      </c>
      <c r="B18293" t="str">
        <f>HYPERLINK("https://twitter.com/rendroko","@rendroko")</f>
        <v>@rendroko</v>
      </c>
      <c r="C18293" t="s">
        <v>9260</v>
      </c>
      <c r="D18293">
        <v>20</v>
      </c>
      <c r="E18293">
        <v>0</v>
      </c>
      <c r="F18293">
        <v>1026</v>
      </c>
    </row>
    <row r="18294" spans="1:6" ht="12.75">
      <c r="A18294" s="2">
        <v>43876.993668981479</v>
      </c>
      <c r="B18294" t="str">
        <f>HYPERLINK("https://twitter.com/Alfian54449262","@Alfian54449262")</f>
        <v>@Alfian54449262</v>
      </c>
      <c r="C18294" t="s">
        <v>9261</v>
      </c>
      <c r="D18294">
        <v>0</v>
      </c>
      <c r="E18294">
        <v>0</v>
      </c>
      <c r="F18294">
        <v>136</v>
      </c>
    </row>
    <row r="18295" spans="1:6" ht="12.75">
      <c r="A18295" s="2">
        <v>43876.993657407409</v>
      </c>
      <c r="B18295" t="str">
        <f>HYPERLINK("https://twitter.com/bolgem","@bolgem")</f>
        <v>@bolgem</v>
      </c>
      <c r="C18295" t="s">
        <v>6338</v>
      </c>
      <c r="D18295">
        <v>145</v>
      </c>
      <c r="E18295">
        <v>0</v>
      </c>
      <c r="F18295">
        <v>477</v>
      </c>
    </row>
    <row r="18296" spans="1:6" ht="12.75">
      <c r="A18296" s="2">
        <v>43876.993356481486</v>
      </c>
      <c r="B18296" t="str">
        <f>HYPERLINK("https://twitter.com/sirajapadoha","@sirajapadoha")</f>
        <v>@sirajapadoha</v>
      </c>
      <c r="C18296" t="s">
        <v>6338</v>
      </c>
      <c r="D18296">
        <v>145</v>
      </c>
      <c r="E18296">
        <v>0</v>
      </c>
      <c r="F18296">
        <v>2406</v>
      </c>
    </row>
    <row r="18297" spans="1:6" ht="12.75">
      <c r="A18297" s="2">
        <v>43876.993356481486</v>
      </c>
      <c r="B18297" t="str">
        <f>HYPERLINK("https://twitter.com/sunmandis","@sunmandis")</f>
        <v>@sunmandis</v>
      </c>
      <c r="C18297" t="s">
        <v>2963</v>
      </c>
      <c r="D18297">
        <v>1287</v>
      </c>
      <c r="E18297">
        <v>0</v>
      </c>
      <c r="F18297">
        <v>10308</v>
      </c>
    </row>
    <row r="18298" spans="1:6" ht="12.75">
      <c r="A18298" s="2">
        <v>43876.993252314816</v>
      </c>
      <c r="B18298" t="str">
        <f>HYPERLINK("https://twitter.com/Ndrews1162011","@Ndrews1162011")</f>
        <v>@Ndrews1162011</v>
      </c>
      <c r="C18298" t="s">
        <v>9262</v>
      </c>
      <c r="D18298">
        <v>2</v>
      </c>
      <c r="E18298">
        <v>2</v>
      </c>
      <c r="F18298">
        <v>1141</v>
      </c>
    </row>
    <row r="18299" spans="1:6" ht="12.75">
      <c r="A18299" s="2">
        <v>43876.992731481485</v>
      </c>
      <c r="B18299" t="str">
        <f>HYPERLINK("https://twitter.com/IyuthhA","@IyuthhA")</f>
        <v>@IyuthhA</v>
      </c>
      <c r="C18299" t="s">
        <v>9263</v>
      </c>
      <c r="D18299">
        <v>75</v>
      </c>
      <c r="E18299">
        <v>0</v>
      </c>
      <c r="F18299">
        <v>4</v>
      </c>
    </row>
    <row r="18300" spans="1:6" ht="12.75">
      <c r="A18300" s="2">
        <v>43876.992731481485</v>
      </c>
      <c r="B18300" t="str">
        <f>HYPERLINK("https://twitter.com/Haluan_","@Haluan_")</f>
        <v>@Haluan_</v>
      </c>
      <c r="C18300" t="s">
        <v>9264</v>
      </c>
      <c r="D18300">
        <v>0</v>
      </c>
      <c r="E18300">
        <v>0</v>
      </c>
      <c r="F18300">
        <v>1454</v>
      </c>
    </row>
    <row r="18301" spans="1:6" ht="12.75">
      <c r="A18301" s="2">
        <v>43876.992731481485</v>
      </c>
      <c r="B18301" t="str">
        <f>HYPERLINK("https://twitter.com/yon_djawir","@yon_djawir")</f>
        <v>@yon_djawir</v>
      </c>
      <c r="C18301" t="s">
        <v>6338</v>
      </c>
      <c r="D18301">
        <v>145</v>
      </c>
      <c r="E18301">
        <v>0</v>
      </c>
      <c r="F18301">
        <v>1694</v>
      </c>
    </row>
    <row r="18302" spans="1:6" ht="12.75">
      <c r="A18302" s="2">
        <v>43876.9925462963</v>
      </c>
      <c r="B18302" t="str">
        <f>HYPERLINK("https://twitter.com/riczraneha","@riczraneha")</f>
        <v>@riczraneha</v>
      </c>
      <c r="C18302" t="s">
        <v>6338</v>
      </c>
      <c r="D18302">
        <v>145</v>
      </c>
      <c r="E18302">
        <v>0</v>
      </c>
      <c r="F18302">
        <v>755</v>
      </c>
    </row>
    <row r="18303" spans="1:6" ht="12.75">
      <c r="A18303" s="2">
        <v>43876.992476851854</v>
      </c>
      <c r="B18303" t="str">
        <f>HYPERLINK("https://twitter.com/erroyh","@erroyh")</f>
        <v>@erroyh</v>
      </c>
      <c r="C18303" t="s">
        <v>9265</v>
      </c>
      <c r="D18303">
        <v>0</v>
      </c>
      <c r="E18303">
        <v>0</v>
      </c>
      <c r="F18303">
        <v>1134</v>
      </c>
    </row>
    <row r="18304" spans="1:6" ht="12.75">
      <c r="A18304" s="2">
        <v>43876.9924537037</v>
      </c>
      <c r="B18304" t="str">
        <f>HYPERLINK("https://twitter.com/HUMAN_RES3","@HUMAN_RES3")</f>
        <v>@HUMAN_RES3</v>
      </c>
      <c r="C18304" t="s">
        <v>9266</v>
      </c>
      <c r="D18304">
        <v>1</v>
      </c>
      <c r="E18304">
        <v>0</v>
      </c>
      <c r="F18304">
        <v>78</v>
      </c>
    </row>
    <row r="18305" spans="1:6" ht="12.75">
      <c r="A18305" s="2">
        <v>43876.992291666669</v>
      </c>
      <c r="B18305" t="str">
        <f>HYPERLINK("https://twitter.com/YEngran","@YEngran")</f>
        <v>@YEngran</v>
      </c>
      <c r="C18305" t="s">
        <v>9267</v>
      </c>
      <c r="D18305">
        <v>0</v>
      </c>
      <c r="E18305">
        <v>0</v>
      </c>
      <c r="F18305">
        <v>253</v>
      </c>
    </row>
    <row r="18306" spans="1:6" ht="12.75">
      <c r="A18306" s="2">
        <v>43876.99219907407</v>
      </c>
      <c r="B18306" t="str">
        <f>HYPERLINK("https://twitter.com/Zaenudd20561391","@Zaenudd20561391")</f>
        <v>@Zaenudd20561391</v>
      </c>
      <c r="C18306" t="s">
        <v>2147</v>
      </c>
      <c r="D18306">
        <v>459</v>
      </c>
      <c r="E18306">
        <v>0</v>
      </c>
      <c r="F18306">
        <v>1</v>
      </c>
    </row>
    <row r="18307" spans="1:6" ht="12.75">
      <c r="A18307" s="2">
        <v>43876.992129629631</v>
      </c>
      <c r="B18307" t="str">
        <f>HYPERLINK("https://twitter.com/YKopihitam","@YKopihitam")</f>
        <v>@YKopihitam</v>
      </c>
      <c r="C18307" t="s">
        <v>9065</v>
      </c>
      <c r="D18307">
        <v>84</v>
      </c>
      <c r="E18307">
        <v>0</v>
      </c>
      <c r="F18307">
        <v>2803</v>
      </c>
    </row>
    <row r="18308" spans="1:6" ht="12.75">
      <c r="A18308" s="2">
        <v>43876.992060185185</v>
      </c>
      <c r="B18308" t="str">
        <f>HYPERLINK("https://twitter.com/auliya_imn_sh","@auliya_imn_sh")</f>
        <v>@auliya_imn_sh</v>
      </c>
      <c r="C18308" t="s">
        <v>9268</v>
      </c>
      <c r="D18308">
        <v>0</v>
      </c>
      <c r="E18308">
        <v>0</v>
      </c>
      <c r="F18308">
        <v>74</v>
      </c>
    </row>
    <row r="18309" spans="1:6" ht="12.75">
      <c r="A18309" s="2">
        <v>43876.991840277777</v>
      </c>
      <c r="B18309" t="str">
        <f>HYPERLINK("https://twitter.com/55kaying","@55kaying")</f>
        <v>@55kaying</v>
      </c>
      <c r="C18309" t="s">
        <v>9269</v>
      </c>
      <c r="D18309">
        <v>5</v>
      </c>
      <c r="E18309">
        <v>0</v>
      </c>
      <c r="F18309">
        <v>311</v>
      </c>
    </row>
    <row r="18310" spans="1:6" ht="12.75">
      <c r="A18310" s="2">
        <v>43876.991493055553</v>
      </c>
      <c r="B18310" t="str">
        <f>HYPERLINK("https://twitter.com/Bennyboegiz","@Bennyboegiz")</f>
        <v>@Bennyboegiz</v>
      </c>
      <c r="C18310" t="s">
        <v>6338</v>
      </c>
      <c r="D18310">
        <v>145</v>
      </c>
      <c r="E18310">
        <v>0</v>
      </c>
      <c r="F18310">
        <v>832</v>
      </c>
    </row>
    <row r="18311" spans="1:6" ht="12.75">
      <c r="A18311" s="2">
        <v>43876.991307870368</v>
      </c>
      <c r="B18311" t="str">
        <f>HYPERLINK("https://twitter.com/satidatuak2","@satidatuak2")</f>
        <v>@satidatuak2</v>
      </c>
      <c r="C18311" t="s">
        <v>7876</v>
      </c>
      <c r="D18311">
        <v>53</v>
      </c>
      <c r="E18311">
        <v>0</v>
      </c>
      <c r="F18311">
        <v>1015</v>
      </c>
    </row>
    <row r="18312" spans="1:6" ht="12.75">
      <c r="A18312" s="2">
        <v>43876.991307870368</v>
      </c>
      <c r="B18312" t="str">
        <f>HYPERLINK("https://twitter.com/republikaonline","@republikaonline")</f>
        <v>@republikaonline</v>
      </c>
      <c r="C18312" t="s">
        <v>9270</v>
      </c>
      <c r="D18312">
        <v>1</v>
      </c>
      <c r="E18312">
        <v>5</v>
      </c>
      <c r="F18312">
        <v>1210557</v>
      </c>
    </row>
    <row r="18313" spans="1:6" ht="12.75">
      <c r="A18313" s="2">
        <v>43876.990520833337</v>
      </c>
      <c r="B18313" t="str">
        <f>HYPERLINK("https://twitter.com/LaingenLisa","@LaingenLisa")</f>
        <v>@LaingenLisa</v>
      </c>
      <c r="C18313" t="s">
        <v>6338</v>
      </c>
      <c r="D18313">
        <v>145</v>
      </c>
      <c r="E18313">
        <v>0</v>
      </c>
      <c r="F18313">
        <v>2976</v>
      </c>
    </row>
    <row r="18314" spans="1:6" ht="12.75">
      <c r="A18314" s="2">
        <v>43876.990486111114</v>
      </c>
      <c r="B18314" t="str">
        <f>HYPERLINK("https://twitter.com/Mar33Cj","@Mar33Cj")</f>
        <v>@Mar33Cj</v>
      </c>
      <c r="C18314" t="s">
        <v>8103</v>
      </c>
      <c r="D18314">
        <v>13</v>
      </c>
      <c r="E18314">
        <v>0</v>
      </c>
      <c r="F18314">
        <v>4595</v>
      </c>
    </row>
    <row r="18315" spans="1:6" ht="12.75">
      <c r="A18315" s="2">
        <v>43876.990173611106</v>
      </c>
      <c r="B18315" t="str">
        <f>HYPERLINK("https://twitter.com/ShaneJa16905901","@ShaneJa16905901")</f>
        <v>@ShaneJa16905901</v>
      </c>
      <c r="C18315" t="s">
        <v>3150</v>
      </c>
      <c r="D18315">
        <v>200</v>
      </c>
      <c r="E18315">
        <v>0</v>
      </c>
      <c r="F18315">
        <v>1274</v>
      </c>
    </row>
    <row r="18316" spans="1:6" ht="12.75">
      <c r="A18316" s="2">
        <v>43876.990173611106</v>
      </c>
      <c r="B18316" t="str">
        <f>HYPERLINK("https://twitter.com/Hendra27122013","@Hendra27122013")</f>
        <v>@Hendra27122013</v>
      </c>
      <c r="C18316" t="s">
        <v>8628</v>
      </c>
      <c r="D18316">
        <v>128</v>
      </c>
      <c r="E18316">
        <v>0</v>
      </c>
      <c r="F18316">
        <v>553</v>
      </c>
    </row>
    <row r="18317" spans="1:6" ht="12.75">
      <c r="A18317" s="2">
        <v>43876.989837962959</v>
      </c>
      <c r="B18317" t="str">
        <f>HYPERLINK("https://twitter.com/JakartaStar","@JakartaStar")</f>
        <v>@JakartaStar</v>
      </c>
      <c r="C18317" t="s">
        <v>9254</v>
      </c>
      <c r="D18317">
        <v>2</v>
      </c>
      <c r="E18317">
        <v>0</v>
      </c>
      <c r="F18317">
        <v>5483</v>
      </c>
    </row>
    <row r="18318" spans="1:6" ht="12.75">
      <c r="A18318" s="2">
        <v>43876.989583333328</v>
      </c>
      <c r="B18318" t="str">
        <f>HYPERLINK("https://twitter.com/Katolik_GK","@Katolik_GK")</f>
        <v>@Katolik_GK</v>
      </c>
      <c r="C18318" t="s">
        <v>9271</v>
      </c>
      <c r="D18318">
        <v>2</v>
      </c>
      <c r="E18318">
        <v>5</v>
      </c>
      <c r="F18318">
        <v>2058</v>
      </c>
    </row>
    <row r="18319" spans="1:6" ht="12.75">
      <c r="A18319" s="2">
        <v>43876.989560185189</v>
      </c>
      <c r="B18319" t="str">
        <f>HYPERLINK("https://twitter.com/gajahmadamputan","@gajahmadamputan")</f>
        <v>@gajahmadamputan</v>
      </c>
      <c r="C18319" t="s">
        <v>9272</v>
      </c>
      <c r="D18319">
        <v>0</v>
      </c>
      <c r="E18319">
        <v>0</v>
      </c>
      <c r="F18319">
        <v>22</v>
      </c>
    </row>
    <row r="18320" spans="1:6" ht="12.75">
      <c r="A18320" s="2">
        <v>43876.989432870367</v>
      </c>
      <c r="B18320" t="str">
        <f>HYPERLINK("https://twitter.com/kikagi123","@kikagi123")</f>
        <v>@kikagi123</v>
      </c>
      <c r="C18320" t="s">
        <v>5168</v>
      </c>
      <c r="D18320">
        <v>1628</v>
      </c>
      <c r="E18320">
        <v>0</v>
      </c>
      <c r="F18320">
        <v>233</v>
      </c>
    </row>
    <row r="18321" spans="1:6" ht="12.75">
      <c r="A18321" s="2">
        <v>43876.989421296297</v>
      </c>
      <c r="B18321" t="str">
        <f>HYPERLINK("https://twitter.com/realPriGim","@realPriGim")</f>
        <v>@realPriGim</v>
      </c>
      <c r="C18321" t="s">
        <v>6338</v>
      </c>
      <c r="D18321">
        <v>145</v>
      </c>
      <c r="E18321">
        <v>0</v>
      </c>
      <c r="F18321">
        <v>3289</v>
      </c>
    </row>
    <row r="18322" spans="1:6" ht="12.75">
      <c r="A18322" s="2">
        <v>43876.989375000005</v>
      </c>
      <c r="B18322" t="str">
        <f>HYPERLINK("https://twitter.com/syamsudin085","@syamsudin085")</f>
        <v>@syamsudin085</v>
      </c>
      <c r="C18322" t="s">
        <v>9150</v>
      </c>
      <c r="D18322">
        <v>154</v>
      </c>
      <c r="E18322">
        <v>0</v>
      </c>
      <c r="F18322">
        <v>58</v>
      </c>
    </row>
    <row r="18323" spans="1:6" ht="12.75">
      <c r="A18323" s="2">
        <v>43876.989178240736</v>
      </c>
      <c r="B18323" t="str">
        <f>HYPERLINK("https://twitter.com/Jac1066","@Jac1066")</f>
        <v>@Jac1066</v>
      </c>
      <c r="C18323" t="s">
        <v>3150</v>
      </c>
      <c r="D18323">
        <v>200</v>
      </c>
      <c r="E18323">
        <v>0</v>
      </c>
      <c r="F18323">
        <v>877</v>
      </c>
    </row>
    <row r="18324" spans="1:6" ht="12.75">
      <c r="A18324" s="2">
        <v>43876.989166666666</v>
      </c>
      <c r="B18324" t="str">
        <f>HYPERLINK("https://twitter.com/in_hoping","@in_hoping")</f>
        <v>@in_hoping</v>
      </c>
      <c r="C18324" t="s">
        <v>9273</v>
      </c>
      <c r="D18324">
        <v>2</v>
      </c>
      <c r="E18324">
        <v>0</v>
      </c>
      <c r="F18324">
        <v>217</v>
      </c>
    </row>
    <row r="18325" spans="1:6" ht="12.75">
      <c r="A18325" s="2">
        <v>43876.989120370374</v>
      </c>
      <c r="B18325" t="str">
        <f>HYPERLINK("https://twitter.com/awanxbaia","@awanxbaia")</f>
        <v>@awanxbaia</v>
      </c>
      <c r="C18325" t="s">
        <v>9274</v>
      </c>
      <c r="D18325">
        <v>1</v>
      </c>
      <c r="E18325">
        <v>0</v>
      </c>
      <c r="F18325">
        <v>1042</v>
      </c>
    </row>
    <row r="18326" spans="1:6" ht="12.75">
      <c r="A18326" s="2">
        <v>43876.988981481481</v>
      </c>
      <c r="B18326" t="str">
        <f>HYPERLINK("https://twitter.com/beatrice_health","@beatrice_health")</f>
        <v>@beatrice_health</v>
      </c>
      <c r="C18326" t="s">
        <v>2147</v>
      </c>
      <c r="D18326">
        <v>459</v>
      </c>
      <c r="E18326">
        <v>0</v>
      </c>
      <c r="F18326">
        <v>100</v>
      </c>
    </row>
    <row r="18327" spans="1:6" ht="12.75">
      <c r="A18327" s="2">
        <v>43876.988935185189</v>
      </c>
      <c r="B18327" t="str">
        <f>HYPERLINK("https://twitter.com/Iwan_Kapuk","@Iwan_Kapuk")</f>
        <v>@Iwan_Kapuk</v>
      </c>
      <c r="C18327" t="s">
        <v>8628</v>
      </c>
      <c r="D18327">
        <v>128</v>
      </c>
      <c r="E18327">
        <v>0</v>
      </c>
      <c r="F18327">
        <v>2732</v>
      </c>
    </row>
    <row r="18328" spans="1:6" ht="12.75">
      <c r="A18328" s="2">
        <v>43876.988923611112</v>
      </c>
      <c r="B18328" t="str">
        <f>HYPERLINK("https://twitter.com/awanxbaia","@awanxbaia")</f>
        <v>@awanxbaia</v>
      </c>
      <c r="C18328" t="s">
        <v>9195</v>
      </c>
      <c r="D18328">
        <v>2</v>
      </c>
      <c r="E18328">
        <v>0</v>
      </c>
      <c r="F18328">
        <v>1042</v>
      </c>
    </row>
    <row r="18329" spans="1:6" ht="12.75">
      <c r="A18329" s="2">
        <v>43876.988900462966</v>
      </c>
      <c r="B18329" t="str">
        <f>HYPERLINK("https://twitter.com/UrubingDilah","@UrubingDilah")</f>
        <v>@UrubingDilah</v>
      </c>
      <c r="C18329" t="s">
        <v>2147</v>
      </c>
      <c r="D18329">
        <v>459</v>
      </c>
      <c r="E18329">
        <v>0</v>
      </c>
      <c r="F18329">
        <v>1328</v>
      </c>
    </row>
    <row r="18330" spans="1:6" ht="12.75">
      <c r="A18330" s="2">
        <v>43876.988761574074</v>
      </c>
      <c r="B18330" t="str">
        <f>HYPERLINK("https://twitter.com/CyberDakwahCOM","@CyberDakwahCOM")</f>
        <v>@CyberDakwahCOM</v>
      </c>
      <c r="C18330" t="s">
        <v>9275</v>
      </c>
      <c r="D18330">
        <v>0</v>
      </c>
      <c r="E18330">
        <v>0</v>
      </c>
      <c r="F18330">
        <v>2389</v>
      </c>
    </row>
    <row r="18331" spans="1:6" ht="12.75">
      <c r="A18331" s="2">
        <v>43876.988750000004</v>
      </c>
      <c r="B18331" t="str">
        <f>HYPERLINK("https://twitter.com/Luckyary14","@Luckyary14")</f>
        <v>@Luckyary14</v>
      </c>
      <c r="C18331" t="s">
        <v>8203</v>
      </c>
      <c r="D18331">
        <v>104</v>
      </c>
      <c r="E18331">
        <v>0</v>
      </c>
      <c r="F18331">
        <v>101</v>
      </c>
    </row>
    <row r="18332" spans="1:6" ht="12.75">
      <c r="A18332" s="2">
        <v>43876.988692129627</v>
      </c>
      <c r="B18332" t="str">
        <f t="shared" ref="B18332:B18335" si="305">HYPERLINK("https://twitter.com/awanxbaia","@awanxbaia")</f>
        <v>@awanxbaia</v>
      </c>
      <c r="C18332" t="s">
        <v>9276</v>
      </c>
      <c r="D18332">
        <v>1</v>
      </c>
      <c r="E18332">
        <v>0</v>
      </c>
      <c r="F18332">
        <v>1042</v>
      </c>
    </row>
    <row r="18333" spans="1:6" ht="12.75">
      <c r="A18333" s="2">
        <v>43876.988611111112</v>
      </c>
      <c r="B18333" t="str">
        <f t="shared" si="305"/>
        <v>@awanxbaia</v>
      </c>
      <c r="C18333" t="s">
        <v>8676</v>
      </c>
      <c r="D18333">
        <v>6</v>
      </c>
      <c r="E18333">
        <v>0</v>
      </c>
      <c r="F18333">
        <v>1042</v>
      </c>
    </row>
    <row r="18334" spans="1:6" ht="12.75">
      <c r="A18334" s="2">
        <v>43876.988564814819</v>
      </c>
      <c r="B18334" t="str">
        <f t="shared" si="305"/>
        <v>@awanxbaia</v>
      </c>
      <c r="C18334" t="s">
        <v>9277</v>
      </c>
      <c r="D18334">
        <v>1</v>
      </c>
      <c r="E18334">
        <v>0</v>
      </c>
      <c r="F18334">
        <v>1042</v>
      </c>
    </row>
    <row r="18335" spans="1:6" ht="12.75">
      <c r="A18335" s="2">
        <v>43876.988356481481</v>
      </c>
      <c r="B18335" t="str">
        <f t="shared" si="305"/>
        <v>@awanxbaia</v>
      </c>
      <c r="C18335" t="s">
        <v>7259</v>
      </c>
      <c r="D18335">
        <v>28</v>
      </c>
      <c r="E18335">
        <v>0</v>
      </c>
      <c r="F18335">
        <v>1042</v>
      </c>
    </row>
    <row r="18336" spans="1:6" ht="12.75">
      <c r="A18336" s="2">
        <v>43876.988321759258</v>
      </c>
      <c r="B18336" t="str">
        <f>HYPERLINK("https://twitter.com/chuentoi","@chuentoi")</f>
        <v>@chuentoi</v>
      </c>
      <c r="C18336" t="s">
        <v>9278</v>
      </c>
      <c r="D18336">
        <v>0</v>
      </c>
      <c r="E18336">
        <v>0</v>
      </c>
      <c r="F18336">
        <v>2</v>
      </c>
    </row>
    <row r="18337" spans="1:6" ht="12.75">
      <c r="A18337" s="2">
        <v>43876.988206018519</v>
      </c>
      <c r="B18337" t="str">
        <f>HYPERLINK("https://twitter.com/MoganDane","@MoganDane")</f>
        <v>@MoganDane</v>
      </c>
      <c r="C18337" t="s">
        <v>3150</v>
      </c>
      <c r="D18337">
        <v>200</v>
      </c>
      <c r="E18337">
        <v>0</v>
      </c>
      <c r="F18337">
        <v>18875</v>
      </c>
    </row>
    <row r="18338" spans="1:6" ht="12.75">
      <c r="A18338" s="2">
        <v>43876.988125000003</v>
      </c>
      <c r="B18338" t="str">
        <f>HYPERLINK("https://twitter.com/firmandamopoli","@firmandamopoli")</f>
        <v>@firmandamopoli</v>
      </c>
      <c r="C18338" t="s">
        <v>9279</v>
      </c>
      <c r="D18338">
        <v>0</v>
      </c>
      <c r="E18338">
        <v>1</v>
      </c>
      <c r="F18338">
        <v>1394</v>
      </c>
    </row>
    <row r="18339" spans="1:6" ht="12.75">
      <c r="A18339" s="2">
        <v>43876.987835648149</v>
      </c>
      <c r="B18339" t="str">
        <f>HYPERLINK("https://twitter.com/firgayyy","@firgayyy")</f>
        <v>@firgayyy</v>
      </c>
      <c r="C18339" t="s">
        <v>175</v>
      </c>
      <c r="D18339">
        <v>5347</v>
      </c>
      <c r="E18339">
        <v>0</v>
      </c>
      <c r="F18339">
        <v>23</v>
      </c>
    </row>
    <row r="18340" spans="1:6" ht="12.75">
      <c r="A18340" s="2">
        <v>43876.987743055557</v>
      </c>
      <c r="B18340" t="str">
        <f>HYPERLINK("https://twitter.com/kiasleo","@kiasleo")</f>
        <v>@kiasleo</v>
      </c>
      <c r="C18340" t="s">
        <v>2147</v>
      </c>
      <c r="D18340">
        <v>459</v>
      </c>
      <c r="E18340">
        <v>0</v>
      </c>
      <c r="F18340">
        <v>624</v>
      </c>
    </row>
    <row r="18341" spans="1:6" ht="12.75">
      <c r="A18341" s="2">
        <v>43876.987719907411</v>
      </c>
      <c r="B18341" t="str">
        <f>HYPERLINK("https://twitter.com/reiyohanes","@reiyohanes")</f>
        <v>@reiyohanes</v>
      </c>
      <c r="C18341" t="s">
        <v>9280</v>
      </c>
      <c r="D18341">
        <v>0</v>
      </c>
      <c r="E18341">
        <v>0</v>
      </c>
      <c r="F18341">
        <v>37</v>
      </c>
    </row>
    <row r="18342" spans="1:6" ht="12.75">
      <c r="A18342" s="2">
        <v>43876.987361111111</v>
      </c>
      <c r="B18342" t="str">
        <f>HYPERLINK("https://twitter.com/Iamnonly1","@Iamnonly1")</f>
        <v>@Iamnonly1</v>
      </c>
      <c r="C18342" t="s">
        <v>6338</v>
      </c>
      <c r="D18342">
        <v>145</v>
      </c>
      <c r="E18342">
        <v>0</v>
      </c>
      <c r="F18342">
        <v>8</v>
      </c>
    </row>
    <row r="18343" spans="1:6" ht="12.75">
      <c r="A18343" s="2">
        <v>43876.987314814818</v>
      </c>
      <c r="B18343" t="str">
        <f>HYPERLINK("https://twitter.com/tim5ima","@tim5ima")</f>
        <v>@tim5ima</v>
      </c>
      <c r="C18343" t="s">
        <v>9281</v>
      </c>
      <c r="D18343">
        <v>223</v>
      </c>
      <c r="E18343">
        <v>0</v>
      </c>
      <c r="F18343">
        <v>55</v>
      </c>
    </row>
    <row r="18344" spans="1:6" ht="12.75">
      <c r="A18344" s="2">
        <v>43876.987141203703</v>
      </c>
      <c r="B18344" t="str">
        <f>HYPERLINK("https://twitter.com/warnanila","@warnanila")</f>
        <v>@warnanila</v>
      </c>
      <c r="C18344" t="s">
        <v>9282</v>
      </c>
      <c r="D18344">
        <v>0</v>
      </c>
      <c r="E18344">
        <v>0</v>
      </c>
      <c r="F18344">
        <v>23</v>
      </c>
    </row>
    <row r="18345" spans="1:6" ht="12.75">
      <c r="A18345" s="2">
        <v>43876.986944444448</v>
      </c>
      <c r="B18345" t="str">
        <f>HYPERLINK("https://twitter.com/UstianaRestian","@UstianaRestian")</f>
        <v>@UstianaRestian</v>
      </c>
      <c r="C18345" t="s">
        <v>9283</v>
      </c>
      <c r="D18345">
        <v>0</v>
      </c>
      <c r="E18345">
        <v>0</v>
      </c>
      <c r="F18345">
        <v>613</v>
      </c>
    </row>
    <row r="18346" spans="1:6" ht="12.75">
      <c r="A18346" s="2">
        <v>43876.986817129626</v>
      </c>
      <c r="B18346" t="str">
        <f>HYPERLINK("https://twitter.com/Bentalakelam","@Bentalakelam")</f>
        <v>@Bentalakelam</v>
      </c>
      <c r="C18346" t="s">
        <v>9284</v>
      </c>
      <c r="D18346">
        <v>0</v>
      </c>
      <c r="E18346">
        <v>0</v>
      </c>
      <c r="F18346">
        <v>2012</v>
      </c>
    </row>
    <row r="18347" spans="1:6" ht="12.75">
      <c r="A18347" s="2">
        <v>43876.986793981487</v>
      </c>
      <c r="B18347" t="str">
        <f>HYPERLINK("https://twitter.com/tsabitarmdhni","@tsabitarmdhni")</f>
        <v>@tsabitarmdhni</v>
      </c>
      <c r="C18347" t="s">
        <v>9285</v>
      </c>
      <c r="D18347">
        <v>0</v>
      </c>
      <c r="E18347">
        <v>0</v>
      </c>
      <c r="F18347">
        <v>119</v>
      </c>
    </row>
    <row r="18348" spans="1:6" ht="12.75">
      <c r="A18348" s="2">
        <v>43876.986655092594</v>
      </c>
      <c r="B18348" t="str">
        <f>HYPERLINK("https://twitter.com/NataNat21911992","@NataNat21911992")</f>
        <v>@NataNat21911992</v>
      </c>
      <c r="C18348" t="s">
        <v>8203</v>
      </c>
      <c r="D18348">
        <v>104</v>
      </c>
      <c r="E18348">
        <v>0</v>
      </c>
      <c r="F18348">
        <v>0</v>
      </c>
    </row>
    <row r="18349" spans="1:6" ht="12.75">
      <c r="A18349" s="2">
        <v>43876.986550925925</v>
      </c>
      <c r="B18349" t="str">
        <f>HYPERLINK("https://twitter.com/chairulachir","@chairulachir")</f>
        <v>@chairulachir</v>
      </c>
      <c r="C18349" t="s">
        <v>9286</v>
      </c>
      <c r="D18349">
        <v>0</v>
      </c>
      <c r="E18349">
        <v>1</v>
      </c>
      <c r="F18349">
        <v>2467</v>
      </c>
    </row>
    <row r="18350" spans="1:6" ht="12.75">
      <c r="A18350" s="2">
        <v>43876.986539351856</v>
      </c>
      <c r="B18350" t="str">
        <f>HYPERLINK("https://twitter.com/catgazing","@catgazing")</f>
        <v>@catgazing</v>
      </c>
      <c r="C18350" t="s">
        <v>5168</v>
      </c>
      <c r="D18350">
        <v>1628</v>
      </c>
      <c r="E18350">
        <v>0</v>
      </c>
      <c r="F18350">
        <v>28</v>
      </c>
    </row>
    <row r="18351" spans="1:6" ht="12.75">
      <c r="A18351" s="2">
        <v>43876.959814814814</v>
      </c>
      <c r="B18351" t="str">
        <f>HYPERLINK("https://twitter.com/Januarjososusa1","@Januarjososusa1")</f>
        <v>@Januarjososusa1</v>
      </c>
      <c r="C18351" t="s">
        <v>6338</v>
      </c>
      <c r="D18351">
        <v>92</v>
      </c>
      <c r="E18351">
        <v>0</v>
      </c>
      <c r="F18351">
        <v>218</v>
      </c>
    </row>
    <row r="18352" spans="1:6" ht="12.75">
      <c r="A18352" s="2">
        <v>43876.959733796291</v>
      </c>
      <c r="B18352" t="str">
        <f>HYPERLINK("https://twitter.com/Ceyung2","@Ceyung2")</f>
        <v>@Ceyung2</v>
      </c>
      <c r="C18352" t="s">
        <v>9287</v>
      </c>
      <c r="D18352">
        <v>0</v>
      </c>
      <c r="E18352">
        <v>0</v>
      </c>
      <c r="F18352">
        <v>3</v>
      </c>
    </row>
    <row r="18353" spans="1:6" ht="12.75">
      <c r="A18353" s="2">
        <v>43876.959606481483</v>
      </c>
      <c r="B18353" t="str">
        <f>HYPERLINK("https://twitter.com/BillTemporo","@BillTemporo")</f>
        <v>@BillTemporo</v>
      </c>
      <c r="C18353" t="s">
        <v>889</v>
      </c>
      <c r="D18353">
        <v>0</v>
      </c>
      <c r="E18353">
        <v>0</v>
      </c>
      <c r="F18353">
        <v>11</v>
      </c>
    </row>
    <row r="18354" spans="1:6" ht="12.75">
      <c r="A18354" s="2">
        <v>43876.959548611107</v>
      </c>
      <c r="B18354" t="str">
        <f>HYPERLINK("https://twitter.com/injovanjeri","@injovanjeri")</f>
        <v>@injovanjeri</v>
      </c>
      <c r="C18354" t="s">
        <v>8203</v>
      </c>
      <c r="D18354">
        <v>97</v>
      </c>
      <c r="E18354">
        <v>0</v>
      </c>
      <c r="F18354">
        <v>340</v>
      </c>
    </row>
    <row r="18355" spans="1:6" ht="12.75">
      <c r="A18355" s="2">
        <v>43876.959502314814</v>
      </c>
      <c r="B18355" t="str">
        <f>HYPERLINK("https://twitter.com/NgecilinLevis","@NgecilinLevis")</f>
        <v>@NgecilinLevis</v>
      </c>
      <c r="C18355" t="s">
        <v>9288</v>
      </c>
      <c r="D18355">
        <v>0</v>
      </c>
      <c r="E18355">
        <v>0</v>
      </c>
      <c r="F18355">
        <v>188</v>
      </c>
    </row>
    <row r="18356" spans="1:6" ht="12.75">
      <c r="A18356" s="2">
        <v>43876.959432870368</v>
      </c>
      <c r="B18356" t="str">
        <f t="shared" ref="B18356:B18357" si="306">HYPERLINK("https://twitter.com/KompasTV","@KompasTV")</f>
        <v>@KompasTV</v>
      </c>
      <c r="C18356" t="s">
        <v>9289</v>
      </c>
      <c r="D18356">
        <v>0</v>
      </c>
      <c r="E18356">
        <v>0</v>
      </c>
      <c r="F18356">
        <v>2941865</v>
      </c>
    </row>
    <row r="18357" spans="1:6" ht="12.75">
      <c r="A18357" s="2">
        <v>43876.959421296298</v>
      </c>
      <c r="B18357" t="str">
        <f t="shared" si="306"/>
        <v>@KompasTV</v>
      </c>
      <c r="C18357" t="s">
        <v>9290</v>
      </c>
      <c r="D18357">
        <v>0</v>
      </c>
      <c r="E18357">
        <v>0</v>
      </c>
      <c r="F18357">
        <v>2941865</v>
      </c>
    </row>
    <row r="18358" spans="1:6" ht="12.75">
      <c r="A18358" s="2">
        <v>43876.959155092598</v>
      </c>
      <c r="B18358" t="str">
        <f>HYPERLINK("https://twitter.com/Umar_IbnuKhatab","@Umar_IbnuKhatab")</f>
        <v>@Umar_IbnuKhatab</v>
      </c>
      <c r="C18358" t="s">
        <v>6201</v>
      </c>
      <c r="D18358">
        <v>532</v>
      </c>
      <c r="E18358">
        <v>0</v>
      </c>
      <c r="F18358">
        <v>1228</v>
      </c>
    </row>
    <row r="18359" spans="1:6" ht="12.75">
      <c r="A18359" s="2">
        <v>43876.958969907406</v>
      </c>
      <c r="B18359" t="str">
        <f>HYPERLINK("https://twitter.com/SaragihJack","@SaragihJack")</f>
        <v>@SaragihJack</v>
      </c>
      <c r="C18359" t="s">
        <v>6338</v>
      </c>
      <c r="D18359">
        <v>92</v>
      </c>
      <c r="E18359">
        <v>0</v>
      </c>
      <c r="F18359">
        <v>237</v>
      </c>
    </row>
    <row r="18360" spans="1:6" ht="12.75">
      <c r="A18360" s="2">
        <v>43876.958796296298</v>
      </c>
      <c r="B18360" t="str">
        <f>HYPERLINK("https://twitter.com/yan___na","@yan___na")</f>
        <v>@yan___na</v>
      </c>
      <c r="C18360" t="s">
        <v>2444</v>
      </c>
      <c r="D18360">
        <v>4460</v>
      </c>
      <c r="E18360">
        <v>0</v>
      </c>
      <c r="F18360">
        <v>308</v>
      </c>
    </row>
    <row r="18361" spans="1:6" ht="12.75">
      <c r="A18361" s="2">
        <v>43876.958472222221</v>
      </c>
      <c r="B18361" t="str">
        <f>HYPERLINK("https://twitter.com/Ki_Duyeh","@Ki_Duyeh")</f>
        <v>@Ki_Duyeh</v>
      </c>
      <c r="C18361" t="s">
        <v>6338</v>
      </c>
      <c r="D18361">
        <v>92</v>
      </c>
      <c r="E18361">
        <v>0</v>
      </c>
      <c r="F18361">
        <v>144</v>
      </c>
    </row>
    <row r="18362" spans="1:6" ht="12.75">
      <c r="A18362" s="2">
        <v>43876.958298611113</v>
      </c>
      <c r="B18362" t="str">
        <f>HYPERLINK("https://twitter.com/Dewie34292319","@Dewie34292319")</f>
        <v>@Dewie34292319</v>
      </c>
      <c r="C18362" t="s">
        <v>9291</v>
      </c>
      <c r="D18362">
        <v>2</v>
      </c>
      <c r="E18362">
        <v>0</v>
      </c>
      <c r="F18362">
        <v>1665</v>
      </c>
    </row>
    <row r="18363" spans="1:6" ht="12.75">
      <c r="A18363" s="2">
        <v>43876.958194444444</v>
      </c>
      <c r="B18363" t="str">
        <f>HYPERLINK("https://twitter.com/AkhsinKendalJTG","@AkhsinKendalJTG")</f>
        <v>@AkhsinKendalJTG</v>
      </c>
      <c r="C18363" t="s">
        <v>9292</v>
      </c>
      <c r="D18363">
        <v>1</v>
      </c>
      <c r="E18363">
        <v>0</v>
      </c>
      <c r="F18363">
        <v>109</v>
      </c>
    </row>
    <row r="18364" spans="1:6" ht="12.75">
      <c r="A18364" s="2">
        <v>43876.95815972222</v>
      </c>
      <c r="B18364" t="str">
        <f>HYPERLINK("https://twitter.com/saefudin_zuhrii","@saefudin_zuhrii")</f>
        <v>@saefudin_zuhrii</v>
      </c>
      <c r="C18364" t="s">
        <v>3059</v>
      </c>
      <c r="D18364">
        <v>273</v>
      </c>
      <c r="E18364">
        <v>0</v>
      </c>
      <c r="F18364">
        <v>193</v>
      </c>
    </row>
    <row r="18365" spans="1:6" ht="12.75">
      <c r="A18365" s="2">
        <v>43876.958067129628</v>
      </c>
      <c r="B18365" t="str">
        <f>HYPERLINK("https://twitter.com/iNewsID","@iNewsID")</f>
        <v>@iNewsID</v>
      </c>
      <c r="C18365" t="s">
        <v>9293</v>
      </c>
      <c r="D18365">
        <v>0</v>
      </c>
      <c r="E18365">
        <v>0</v>
      </c>
      <c r="F18365">
        <v>1260</v>
      </c>
    </row>
    <row r="18366" spans="1:6" ht="12.75">
      <c r="A18366" s="2">
        <v>43876.958067129628</v>
      </c>
      <c r="B18366" t="str">
        <f>HYPERLINK("https://twitter.com/budy_marble","@budy_marble")</f>
        <v>@budy_marble</v>
      </c>
      <c r="C18366" t="s">
        <v>9294</v>
      </c>
      <c r="D18366">
        <v>1</v>
      </c>
      <c r="E18366">
        <v>0</v>
      </c>
      <c r="F18366">
        <v>69</v>
      </c>
    </row>
    <row r="18367" spans="1:6" ht="12.75">
      <c r="A18367" s="2">
        <v>43876.957812499997</v>
      </c>
      <c r="B18367" t="str">
        <f>HYPERLINK("https://twitter.com/femmedevive","@femmedevive")</f>
        <v>@femmedevive</v>
      </c>
      <c r="C18367" t="s">
        <v>9295</v>
      </c>
      <c r="D18367">
        <v>0</v>
      </c>
      <c r="E18367">
        <v>0</v>
      </c>
      <c r="F18367">
        <v>61</v>
      </c>
    </row>
    <row r="18368" spans="1:6" ht="12.75">
      <c r="A18368" s="2">
        <v>43876.957789351851</v>
      </c>
      <c r="B18368" t="str">
        <f>HYPERLINK("https://twitter.com/zenoldgonzalez","@zenoldgonzalez")</f>
        <v>@zenoldgonzalez</v>
      </c>
      <c r="C18368" t="s">
        <v>8257</v>
      </c>
      <c r="D18368">
        <v>34</v>
      </c>
      <c r="E18368">
        <v>0</v>
      </c>
      <c r="F18368">
        <v>1907</v>
      </c>
    </row>
    <row r="18369" spans="1:6" ht="12.75">
      <c r="A18369" s="2">
        <v>43876.957743055551</v>
      </c>
      <c r="B18369" t="str">
        <f>HYPERLINK("https://twitter.com/OldboyzamanNow","@OldboyzamanNow")</f>
        <v>@OldboyzamanNow</v>
      </c>
      <c r="C18369" t="s">
        <v>9291</v>
      </c>
      <c r="D18369">
        <v>2</v>
      </c>
      <c r="E18369">
        <v>0</v>
      </c>
      <c r="F18369">
        <v>952</v>
      </c>
    </row>
    <row r="18370" spans="1:6" ht="12.75">
      <c r="A18370" s="2">
        <v>43876.957673611112</v>
      </c>
      <c r="B18370" t="str">
        <f>HYPERLINK("https://twitter.com/soulbstrd","@soulbstrd")</f>
        <v>@soulbstrd</v>
      </c>
      <c r="C18370" t="s">
        <v>9296</v>
      </c>
      <c r="D18370">
        <v>0</v>
      </c>
      <c r="E18370">
        <v>0</v>
      </c>
      <c r="F18370">
        <v>447</v>
      </c>
    </row>
    <row r="18371" spans="1:6" ht="12.75">
      <c r="A18371" s="2">
        <v>43876.957557870366</v>
      </c>
      <c r="B18371" t="str">
        <f>HYPERLINK("https://twitter.com/ItemYopi","@ItemYopi")</f>
        <v>@ItemYopi</v>
      </c>
      <c r="C18371" t="s">
        <v>6338</v>
      </c>
      <c r="D18371">
        <v>92</v>
      </c>
      <c r="E18371">
        <v>0</v>
      </c>
      <c r="F18371">
        <v>1106</v>
      </c>
    </row>
    <row r="18372" spans="1:6" ht="12.75">
      <c r="A18372" s="2">
        <v>43876.957546296297</v>
      </c>
      <c r="B18372" t="str">
        <f>HYPERLINK("https://twitter.com/zenoldgonzalez","@zenoldgonzalez")</f>
        <v>@zenoldgonzalez</v>
      </c>
      <c r="C18372" t="s">
        <v>3059</v>
      </c>
      <c r="D18372">
        <v>273</v>
      </c>
      <c r="E18372">
        <v>0</v>
      </c>
      <c r="F18372">
        <v>1907</v>
      </c>
    </row>
    <row r="18373" spans="1:6" ht="12.75">
      <c r="A18373" s="2">
        <v>43876.957500000004</v>
      </c>
      <c r="B18373" t="str">
        <f>HYPERLINK("https://twitter.com/stingErz23","@stingErz23")</f>
        <v>@stingErz23</v>
      </c>
      <c r="C18373" t="s">
        <v>6338</v>
      </c>
      <c r="D18373">
        <v>92</v>
      </c>
      <c r="E18373">
        <v>0</v>
      </c>
      <c r="F18373">
        <v>432</v>
      </c>
    </row>
    <row r="18374" spans="1:6" ht="12.75">
      <c r="A18374" s="2">
        <v>43876.957476851851</v>
      </c>
      <c r="B18374" t="str">
        <f>HYPERLINK("https://twitter.com/tribunnews","@tribunnews")</f>
        <v>@tribunnews</v>
      </c>
      <c r="C18374" t="s">
        <v>9297</v>
      </c>
      <c r="D18374">
        <v>1</v>
      </c>
      <c r="E18374">
        <v>0</v>
      </c>
      <c r="F18374">
        <v>874171</v>
      </c>
    </row>
    <row r="18375" spans="1:6" ht="12.75">
      <c r="A18375" s="2">
        <v>43876.957372685181</v>
      </c>
      <c r="B18375" t="str">
        <f>HYPERLINK("https://twitter.com/nizarhilmiblora","@nizarhilmiblora")</f>
        <v>@nizarhilmiblora</v>
      </c>
      <c r="C18375" t="s">
        <v>9298</v>
      </c>
      <c r="D18375">
        <v>0</v>
      </c>
      <c r="E18375">
        <v>0</v>
      </c>
      <c r="F18375">
        <v>62</v>
      </c>
    </row>
    <row r="18376" spans="1:6" ht="12.75">
      <c r="A18376" s="2">
        <v>43876.957337962958</v>
      </c>
      <c r="B18376" t="str">
        <f>HYPERLINK("https://twitter.com/younghotyellouw","@younghotyellouw")</f>
        <v>@younghotyellouw</v>
      </c>
      <c r="C18376" t="s">
        <v>9299</v>
      </c>
      <c r="D18376">
        <v>0</v>
      </c>
      <c r="E18376">
        <v>0</v>
      </c>
      <c r="F18376">
        <v>1105</v>
      </c>
    </row>
    <row r="18377" spans="1:6" ht="12.75">
      <c r="A18377" s="2">
        <v>43876.95722222222</v>
      </c>
      <c r="B18377" t="str">
        <f>HYPERLINK("https://twitter.com/nizarhilmiblora","@nizarhilmiblora")</f>
        <v>@nizarhilmiblora</v>
      </c>
      <c r="C18377" t="s">
        <v>9300</v>
      </c>
      <c r="D18377">
        <v>0</v>
      </c>
      <c r="E18377">
        <v>0</v>
      </c>
      <c r="F18377">
        <v>62</v>
      </c>
    </row>
    <row r="18378" spans="1:6" ht="12.75">
      <c r="A18378" s="2">
        <v>43876.957175925927</v>
      </c>
      <c r="B18378" t="str">
        <f>HYPERLINK("https://twitter.com/stephen11124","@stephen11124")</f>
        <v>@stephen11124</v>
      </c>
      <c r="C18378" t="s">
        <v>3150</v>
      </c>
      <c r="D18378">
        <v>192</v>
      </c>
      <c r="E18378">
        <v>0</v>
      </c>
      <c r="F18378">
        <v>272</v>
      </c>
    </row>
    <row r="18379" spans="1:6" ht="12.75">
      <c r="A18379" s="2">
        <v>43876.95716435185</v>
      </c>
      <c r="B18379" t="str">
        <f>HYPERLINK("https://twitter.com/budiira88","@budiira88")</f>
        <v>@budiira88</v>
      </c>
      <c r="C18379" t="s">
        <v>6338</v>
      </c>
      <c r="D18379">
        <v>92</v>
      </c>
      <c r="E18379">
        <v>0</v>
      </c>
      <c r="F18379">
        <v>213</v>
      </c>
    </row>
    <row r="18380" spans="1:6" ht="12.75">
      <c r="A18380" s="2">
        <v>43876.95711805555</v>
      </c>
      <c r="B18380" t="str">
        <f>HYPERLINK("https://twitter.com/WArafena","@WArafena")</f>
        <v>@WArafena</v>
      </c>
      <c r="C18380" t="s">
        <v>9301</v>
      </c>
      <c r="D18380">
        <v>0</v>
      </c>
      <c r="E18380">
        <v>0</v>
      </c>
      <c r="F18380">
        <v>1</v>
      </c>
    </row>
    <row r="18381" spans="1:6" ht="12.75">
      <c r="A18381" s="2">
        <v>43876.957094907411</v>
      </c>
      <c r="B18381" t="str">
        <f>HYPERLINK("https://twitter.com/zaenalkase03","@zaenalkase03")</f>
        <v>@zaenalkase03</v>
      </c>
      <c r="C18381" t="s">
        <v>9302</v>
      </c>
      <c r="D18381">
        <v>0</v>
      </c>
      <c r="E18381">
        <v>0</v>
      </c>
      <c r="F18381">
        <v>2837</v>
      </c>
    </row>
    <row r="18382" spans="1:6" ht="12.75">
      <c r="A18382" s="2">
        <v>43876.956990740742</v>
      </c>
      <c r="B18382" t="str">
        <f>HYPERLINK("https://twitter.com/mioji8","@mioji8")</f>
        <v>@mioji8</v>
      </c>
      <c r="C18382" t="s">
        <v>9091</v>
      </c>
      <c r="D18382">
        <v>27</v>
      </c>
      <c r="E18382">
        <v>0</v>
      </c>
      <c r="F18382">
        <v>127</v>
      </c>
    </row>
    <row r="18383" spans="1:6" ht="12.75">
      <c r="A18383" s="2">
        <v>43876.956759259258</v>
      </c>
      <c r="B18383" t="str">
        <f>HYPERLINK("https://twitter.com/Albantany16","@Albantany16")</f>
        <v>@Albantany16</v>
      </c>
      <c r="C18383" t="s">
        <v>3059</v>
      </c>
      <c r="D18383">
        <v>273</v>
      </c>
      <c r="E18383">
        <v>0</v>
      </c>
      <c r="F18383">
        <v>12</v>
      </c>
    </row>
    <row r="18384" spans="1:6" ht="12.75">
      <c r="A18384" s="2">
        <v>43876.956712962958</v>
      </c>
      <c r="B18384" t="str">
        <f>HYPERLINK("https://twitter.com/Jerybon1","@Jerybon1")</f>
        <v>@Jerybon1</v>
      </c>
      <c r="C18384" t="s">
        <v>9303</v>
      </c>
      <c r="D18384">
        <v>0</v>
      </c>
      <c r="E18384">
        <v>0</v>
      </c>
      <c r="F18384">
        <v>930</v>
      </c>
    </row>
    <row r="18385" spans="1:6" ht="12.75">
      <c r="A18385" s="2">
        <v>43876.956678240742</v>
      </c>
      <c r="B18385" t="str">
        <f>HYPERLINK("https://twitter.com/kamto_adi","@kamto_adi")</f>
        <v>@kamto_adi</v>
      </c>
      <c r="C18385" t="s">
        <v>9304</v>
      </c>
      <c r="D18385">
        <v>3</v>
      </c>
      <c r="E18385">
        <v>0</v>
      </c>
      <c r="F18385">
        <v>14969</v>
      </c>
    </row>
    <row r="18386" spans="1:6" ht="12.75">
      <c r="A18386" s="2">
        <v>43876.956527777773</v>
      </c>
      <c r="B18386" t="str">
        <f>HYPERLINK("https://twitter.com/NandaTrueblue","@NandaTrueblue")</f>
        <v>@NandaTrueblue</v>
      </c>
      <c r="C18386" t="s">
        <v>6201</v>
      </c>
      <c r="D18386">
        <v>532</v>
      </c>
      <c r="E18386">
        <v>0</v>
      </c>
      <c r="F18386">
        <v>169</v>
      </c>
    </row>
    <row r="18387" spans="1:6" ht="12.75">
      <c r="A18387" s="2">
        <v>43876.956377314811</v>
      </c>
      <c r="B18387" t="str">
        <f>HYPERLINK("https://twitter.com/Ohs766hi","@Ohs766hi")</f>
        <v>@Ohs766hi</v>
      </c>
      <c r="C18387" t="s">
        <v>175</v>
      </c>
      <c r="D18387">
        <v>5345</v>
      </c>
      <c r="E18387">
        <v>0</v>
      </c>
      <c r="F18387">
        <v>76</v>
      </c>
    </row>
    <row r="18388" spans="1:6" ht="12.75">
      <c r="A18388" s="2">
        <v>43876.956261574072</v>
      </c>
      <c r="B18388" t="str">
        <f>HYPERLINK("https://twitter.com/nkri_i","@nkri_i")</f>
        <v>@nkri_i</v>
      </c>
      <c r="C18388" t="s">
        <v>6338</v>
      </c>
      <c r="D18388">
        <v>92</v>
      </c>
      <c r="E18388">
        <v>0</v>
      </c>
      <c r="F18388">
        <v>647</v>
      </c>
    </row>
    <row r="18389" spans="1:6" ht="12.75">
      <c r="A18389" s="2">
        <v>43876.956261574072</v>
      </c>
      <c r="B18389" t="str">
        <f>HYPERLINK("https://twitter.com/tribunnews","@tribunnews")</f>
        <v>@tribunnews</v>
      </c>
      <c r="C18389" t="s">
        <v>9305</v>
      </c>
      <c r="D18389">
        <v>0</v>
      </c>
      <c r="E18389">
        <v>0</v>
      </c>
      <c r="F18389">
        <v>874171</v>
      </c>
    </row>
    <row r="18390" spans="1:6" ht="12.75">
      <c r="A18390" s="2">
        <v>43876.956111111111</v>
      </c>
      <c r="B18390" t="str">
        <f>HYPERLINK("https://twitter.com/warnanila","@warnanila")</f>
        <v>@warnanila</v>
      </c>
      <c r="C18390" t="s">
        <v>9306</v>
      </c>
      <c r="D18390">
        <v>0</v>
      </c>
      <c r="E18390">
        <v>0</v>
      </c>
      <c r="F18390">
        <v>23</v>
      </c>
    </row>
    <row r="18391" spans="1:6" ht="12.75">
      <c r="A18391" s="2">
        <v>43876.955960648149</v>
      </c>
      <c r="B18391" t="str">
        <f>HYPERLINK("https://twitter.com/toranaga3000","@toranaga3000")</f>
        <v>@toranaga3000</v>
      </c>
      <c r="C18391" t="s">
        <v>9091</v>
      </c>
      <c r="D18391">
        <v>27</v>
      </c>
      <c r="E18391">
        <v>0</v>
      </c>
      <c r="F18391">
        <v>2421</v>
      </c>
    </row>
    <row r="18392" spans="1:6" ht="12.75">
      <c r="A18392" s="2">
        <v>43876.955590277779</v>
      </c>
      <c r="B18392" t="str">
        <f>HYPERLINK("https://twitter.com/_Bakemono","@_Bakemono")</f>
        <v>@_Bakemono</v>
      </c>
      <c r="C18392" t="s">
        <v>7905</v>
      </c>
      <c r="D18392">
        <v>26</v>
      </c>
      <c r="E18392">
        <v>0</v>
      </c>
      <c r="F18392">
        <v>817</v>
      </c>
    </row>
    <row r="18393" spans="1:6" ht="12.75">
      <c r="A18393" s="2">
        <v>43876.955347222218</v>
      </c>
      <c r="B18393" t="str">
        <f>HYPERLINK("https://twitter.com/laniakealactea","@laniakealactea")</f>
        <v>@laniakealactea</v>
      </c>
      <c r="C18393" t="s">
        <v>9307</v>
      </c>
      <c r="D18393">
        <v>0</v>
      </c>
      <c r="E18393">
        <v>0</v>
      </c>
      <c r="F18393">
        <v>6</v>
      </c>
    </row>
    <row r="18394" spans="1:6" ht="12.75">
      <c r="A18394" s="2">
        <v>43876.955324074079</v>
      </c>
      <c r="B18394" t="str">
        <f>HYPERLINK("https://twitter.com/irwanwahyudii7","@irwanwahyudii7")</f>
        <v>@irwanwahyudii7</v>
      </c>
      <c r="C18394" t="s">
        <v>9308</v>
      </c>
      <c r="D18394">
        <v>2</v>
      </c>
      <c r="E18394">
        <v>0</v>
      </c>
      <c r="F18394">
        <v>266</v>
      </c>
    </row>
    <row r="18395" spans="1:6" ht="12.75">
      <c r="A18395" s="2">
        <v>43876.955300925925</v>
      </c>
      <c r="B18395" t="str">
        <f>HYPERLINK("https://twitter.com/142_124_97","@142_124_97")</f>
        <v>@142_124_97</v>
      </c>
      <c r="C18395" t="s">
        <v>7905</v>
      </c>
      <c r="D18395">
        <v>26</v>
      </c>
      <c r="E18395">
        <v>0</v>
      </c>
      <c r="F18395">
        <v>429</v>
      </c>
    </row>
    <row r="18396" spans="1:6" ht="12.75">
      <c r="A18396" s="2">
        <v>43876.955185185187</v>
      </c>
      <c r="B18396" t="str">
        <f>HYPERLINK("https://twitter.com/onassis_siregar","@onassis_siregar")</f>
        <v>@onassis_siregar</v>
      </c>
      <c r="C18396" t="s">
        <v>6201</v>
      </c>
      <c r="D18396">
        <v>532</v>
      </c>
      <c r="E18396">
        <v>0</v>
      </c>
      <c r="F18396">
        <v>35</v>
      </c>
    </row>
    <row r="18397" spans="1:6" ht="12.75">
      <c r="A18397" s="2">
        <v>43876.955034722225</v>
      </c>
      <c r="B18397" t="str">
        <f>HYPERLINK("https://twitter.com/suradiparlan5","@suradiparlan5")</f>
        <v>@suradiparlan5</v>
      </c>
      <c r="C18397" t="s">
        <v>9309</v>
      </c>
      <c r="D18397">
        <v>448</v>
      </c>
      <c r="E18397">
        <v>0</v>
      </c>
      <c r="F18397">
        <v>1337</v>
      </c>
    </row>
    <row r="18398" spans="1:6" ht="12.75">
      <c r="A18398" s="2">
        <v>43876.954988425925</v>
      </c>
      <c r="B18398" t="str">
        <f>HYPERLINK("https://twitter.com/Firmanbudianap2","@Firmanbudianap2")</f>
        <v>@Firmanbudianap2</v>
      </c>
      <c r="C18398" t="s">
        <v>9310</v>
      </c>
      <c r="D18398">
        <v>3</v>
      </c>
      <c r="E18398">
        <v>0</v>
      </c>
      <c r="F18398">
        <v>152</v>
      </c>
    </row>
    <row r="18399" spans="1:6" ht="12.75">
      <c r="A18399" s="2">
        <v>43876.954965277779</v>
      </c>
      <c r="B18399" t="str">
        <f>HYPERLINK("https://twitter.com/Penangkalnegat1","@Penangkalnegat1")</f>
        <v>@Penangkalnegat1</v>
      </c>
      <c r="C18399" t="s">
        <v>6338</v>
      </c>
      <c r="D18399">
        <v>92</v>
      </c>
      <c r="E18399">
        <v>0</v>
      </c>
      <c r="F18399">
        <v>336</v>
      </c>
    </row>
    <row r="18400" spans="1:6" ht="12.75">
      <c r="A18400" s="2">
        <v>43876.954884259263</v>
      </c>
      <c r="B18400" t="str">
        <f>HYPERLINK("https://twitter.com/TitoSoeryo","@TitoSoeryo")</f>
        <v>@TitoSoeryo</v>
      </c>
      <c r="C18400" t="s">
        <v>6338</v>
      </c>
      <c r="D18400">
        <v>92</v>
      </c>
      <c r="E18400">
        <v>0</v>
      </c>
      <c r="F18400">
        <v>318</v>
      </c>
    </row>
    <row r="18401" spans="1:6" ht="12.75">
      <c r="A18401" s="2">
        <v>43876.954780092594</v>
      </c>
      <c r="B18401" t="str">
        <f>HYPERLINK("https://twitter.com/MarigoldPebbles","@MarigoldPebbles")</f>
        <v>@MarigoldPebbles</v>
      </c>
      <c r="C18401" t="s">
        <v>3150</v>
      </c>
      <c r="D18401">
        <v>192</v>
      </c>
      <c r="E18401">
        <v>0</v>
      </c>
      <c r="F18401">
        <v>88</v>
      </c>
    </row>
    <row r="18402" spans="1:6" ht="12.75">
      <c r="A18402" s="2">
        <v>43876.954768518517</v>
      </c>
      <c r="B18402" t="str">
        <f>HYPERLINK("https://twitter.com/soffel84103944","@soffel84103944")</f>
        <v>@soffel84103944</v>
      </c>
      <c r="C18402" t="s">
        <v>8977</v>
      </c>
      <c r="D18402">
        <v>35</v>
      </c>
      <c r="E18402">
        <v>0</v>
      </c>
      <c r="F18402">
        <v>436</v>
      </c>
    </row>
    <row r="18403" spans="1:6" ht="12.75">
      <c r="A18403" s="2">
        <v>43876.95449074074</v>
      </c>
      <c r="B18403" t="str">
        <f>HYPERLINK("https://twitter.com/AgungWidrajat","@AgungWidrajat")</f>
        <v>@AgungWidrajat</v>
      </c>
      <c r="C18403" t="s">
        <v>9304</v>
      </c>
      <c r="D18403">
        <v>3</v>
      </c>
      <c r="E18403">
        <v>0</v>
      </c>
      <c r="F18403">
        <v>2290</v>
      </c>
    </row>
    <row r="18404" spans="1:6" ht="12.75">
      <c r="A18404" s="2">
        <v>43876.954363425924</v>
      </c>
      <c r="B18404" t="str">
        <f>HYPERLINK("https://twitter.com/nizarhilmiblora","@nizarhilmiblora")</f>
        <v>@nizarhilmiblora</v>
      </c>
      <c r="C18404" t="s">
        <v>9311</v>
      </c>
      <c r="D18404">
        <v>0</v>
      </c>
      <c r="E18404">
        <v>0</v>
      </c>
      <c r="F18404">
        <v>62</v>
      </c>
    </row>
    <row r="18405" spans="1:6" ht="12.75">
      <c r="A18405" s="2">
        <v>43876.954212962963</v>
      </c>
      <c r="B18405" t="str">
        <f>HYPERLINK("https://twitter.com/bumblebeekece","@bumblebeekece")</f>
        <v>@bumblebeekece</v>
      </c>
      <c r="C18405" t="s">
        <v>9304</v>
      </c>
      <c r="D18405">
        <v>3</v>
      </c>
      <c r="E18405">
        <v>0</v>
      </c>
      <c r="F18405">
        <v>296</v>
      </c>
    </row>
    <row r="18406" spans="1:6" ht="12.75">
      <c r="A18406" s="2">
        <v>43876.954201388886</v>
      </c>
      <c r="B18406" t="str">
        <f>HYPERLINK("https://twitter.com/KadinSosyalist","@KadinSosyalist")</f>
        <v>@KadinSosyalist</v>
      </c>
      <c r="C18406" t="s">
        <v>9312</v>
      </c>
      <c r="D18406">
        <v>1</v>
      </c>
      <c r="E18406">
        <v>0</v>
      </c>
      <c r="F18406">
        <v>1838</v>
      </c>
    </row>
    <row r="18407" spans="1:6" ht="12.75">
      <c r="A18407" s="2">
        <v>43876.954201388886</v>
      </c>
      <c r="B18407" t="str">
        <f>HYPERLINK("https://twitter.com/VIVAcoid","@VIVAcoid")</f>
        <v>@VIVAcoid</v>
      </c>
      <c r="C18407" t="s">
        <v>9313</v>
      </c>
      <c r="D18407">
        <v>1</v>
      </c>
      <c r="E18407">
        <v>0</v>
      </c>
      <c r="F18407">
        <v>4169543</v>
      </c>
    </row>
    <row r="18408" spans="1:6" ht="12.75">
      <c r="A18408" s="2">
        <v>43876.954097222224</v>
      </c>
      <c r="B18408" t="str">
        <f>HYPERLINK("https://twitter.com/Jerybon1","@Jerybon1")</f>
        <v>@Jerybon1</v>
      </c>
      <c r="C18408" t="s">
        <v>9314</v>
      </c>
      <c r="D18408">
        <v>0</v>
      </c>
      <c r="E18408">
        <v>0</v>
      </c>
      <c r="F18408">
        <v>930</v>
      </c>
    </row>
    <row r="18409" spans="1:6" ht="12.75">
      <c r="A18409" s="2">
        <v>43876.953900462962</v>
      </c>
      <c r="B18409" t="str">
        <f>HYPERLINK("https://twitter.com/BasilSakti","@BasilSakti")</f>
        <v>@BasilSakti</v>
      </c>
      <c r="C18409" t="s">
        <v>6338</v>
      </c>
      <c r="D18409">
        <v>92</v>
      </c>
      <c r="E18409">
        <v>0</v>
      </c>
      <c r="F18409">
        <v>188</v>
      </c>
    </row>
    <row r="18410" spans="1:6" ht="12.75">
      <c r="A18410" s="2">
        <v>43876.953865740739</v>
      </c>
      <c r="B18410" t="str">
        <f>HYPERLINK("https://twitter.com/vivanewscom","@vivanewscom")</f>
        <v>@vivanewscom</v>
      </c>
      <c r="C18410" t="s">
        <v>9315</v>
      </c>
      <c r="D18410">
        <v>1</v>
      </c>
      <c r="E18410">
        <v>3</v>
      </c>
      <c r="F18410">
        <v>4097</v>
      </c>
    </row>
    <row r="18411" spans="1:6" ht="12.75">
      <c r="A18411" s="2">
        <v>43876.95380787037</v>
      </c>
      <c r="B18411" t="str">
        <f>HYPERLINK("https://twitter.com/okezonenews","@okezonenews")</f>
        <v>@okezonenews</v>
      </c>
      <c r="C18411" t="s">
        <v>9316</v>
      </c>
      <c r="D18411">
        <v>0</v>
      </c>
      <c r="E18411">
        <v>0</v>
      </c>
      <c r="F18411">
        <v>1743863</v>
      </c>
    </row>
    <row r="18412" spans="1:6" ht="12.75">
      <c r="A18412" s="2">
        <v>43876.953796296293</v>
      </c>
      <c r="B18412" t="str">
        <f>HYPERLINK("https://twitter.com/TweetSyarif","@TweetSyarif")</f>
        <v>@TweetSyarif</v>
      </c>
      <c r="C18412" t="s">
        <v>6338</v>
      </c>
      <c r="D18412">
        <v>92</v>
      </c>
      <c r="E18412">
        <v>0</v>
      </c>
      <c r="F18412">
        <v>3642</v>
      </c>
    </row>
    <row r="18413" spans="1:6" ht="12.75">
      <c r="A18413" s="2">
        <v>43876.953622685185</v>
      </c>
      <c r="B18413" t="str">
        <f>HYPERLINK("https://twitter.com/i_oneprast","@i_oneprast")</f>
        <v>@i_oneprast</v>
      </c>
      <c r="C18413" t="s">
        <v>9317</v>
      </c>
      <c r="D18413">
        <v>0</v>
      </c>
      <c r="E18413">
        <v>0</v>
      </c>
      <c r="F18413">
        <v>60</v>
      </c>
    </row>
    <row r="18414" spans="1:6" ht="12.75">
      <c r="A18414" s="2">
        <v>43876.953622685185</v>
      </c>
      <c r="B18414" t="str">
        <f>HYPERLINK("https://twitter.com/_fvkeveryone","@_fvkeveryone")</f>
        <v>@_fvkeveryone</v>
      </c>
      <c r="C18414" t="s">
        <v>9318</v>
      </c>
      <c r="D18414">
        <v>0</v>
      </c>
      <c r="E18414">
        <v>0</v>
      </c>
      <c r="F18414">
        <v>213</v>
      </c>
    </row>
    <row r="18415" spans="1:6" ht="12.75">
      <c r="A18415" s="2">
        <v>43876.953599537039</v>
      </c>
      <c r="B18415" t="str">
        <f>HYPERLINK("https://twitter.com/UstianaRestian","@UstianaRestian")</f>
        <v>@UstianaRestian</v>
      </c>
      <c r="C18415" t="s">
        <v>9319</v>
      </c>
      <c r="D18415">
        <v>0</v>
      </c>
      <c r="E18415">
        <v>0</v>
      </c>
      <c r="F18415">
        <v>613</v>
      </c>
    </row>
    <row r="18416" spans="1:6" ht="12.75">
      <c r="A18416" s="2">
        <v>43876.953518518523</v>
      </c>
      <c r="B18416" t="str">
        <f>HYPERLINK("https://twitter.com/MFaridatmaja","@MFaridatmaja")</f>
        <v>@MFaridatmaja</v>
      </c>
      <c r="C18416" t="s">
        <v>2444</v>
      </c>
      <c r="D18416">
        <v>4460</v>
      </c>
      <c r="E18416">
        <v>0</v>
      </c>
      <c r="F18416">
        <v>267</v>
      </c>
    </row>
    <row r="18417" spans="1:6" ht="12.75">
      <c r="A18417" s="2">
        <v>43876.953518518523</v>
      </c>
      <c r="B18417" t="str">
        <f>HYPERLINK("https://twitter.com/DayaIndonesia","@DayaIndonesia")</f>
        <v>@DayaIndonesia</v>
      </c>
      <c r="C18417" t="s">
        <v>9320</v>
      </c>
      <c r="D18417">
        <v>0</v>
      </c>
      <c r="E18417">
        <v>0</v>
      </c>
      <c r="F18417">
        <v>212</v>
      </c>
    </row>
    <row r="18418" spans="1:6" ht="12.75">
      <c r="A18418" s="2">
        <v>43876.953229166669</v>
      </c>
      <c r="B18418" t="str">
        <f>HYPERLINK("https://twitter.com/matkasah","@matkasah")</f>
        <v>@matkasah</v>
      </c>
      <c r="C18418" t="s">
        <v>6338</v>
      </c>
      <c r="D18418">
        <v>92</v>
      </c>
      <c r="E18418">
        <v>0</v>
      </c>
      <c r="F18418">
        <v>2017</v>
      </c>
    </row>
    <row r="18419" spans="1:6" ht="12.75">
      <c r="A18419" s="2">
        <v>43876.953090277777</v>
      </c>
      <c r="B18419" t="str">
        <f>HYPERLINK("https://twitter.com/saosambelabc","@saosambelabc")</f>
        <v>@saosambelabc</v>
      </c>
      <c r="C18419" t="s">
        <v>9321</v>
      </c>
      <c r="D18419">
        <v>0</v>
      </c>
      <c r="E18419">
        <v>0</v>
      </c>
      <c r="F18419">
        <v>397</v>
      </c>
    </row>
    <row r="18420" spans="1:6" ht="12.75">
      <c r="A18420" s="2">
        <v>43876.952939814815</v>
      </c>
      <c r="B18420" t="str">
        <f>HYPERLINK("https://twitter.com/Sangadj49570204","@Sangadj49570204")</f>
        <v>@Sangadj49570204</v>
      </c>
      <c r="C18420" t="s">
        <v>6338</v>
      </c>
      <c r="D18420">
        <v>92</v>
      </c>
      <c r="E18420">
        <v>0</v>
      </c>
      <c r="F18420">
        <v>634</v>
      </c>
    </row>
    <row r="18421" spans="1:6" ht="12.75">
      <c r="A18421" s="2">
        <v>43876.952905092592</v>
      </c>
      <c r="B18421" t="str">
        <f>HYPERLINK("https://twitter.com/GozaliMunir","@GozaliMunir")</f>
        <v>@GozaliMunir</v>
      </c>
      <c r="C18421" t="s">
        <v>9322</v>
      </c>
      <c r="D18421">
        <v>0</v>
      </c>
      <c r="E18421">
        <v>0</v>
      </c>
      <c r="F18421">
        <v>159</v>
      </c>
    </row>
    <row r="18422" spans="1:6" ht="12.75">
      <c r="A18422" s="2">
        <v>43876.9527662037</v>
      </c>
      <c r="B18422" t="str">
        <f>HYPERLINK("https://twitter.com/mithakhalifa","@mithakhalifa")</f>
        <v>@mithakhalifa</v>
      </c>
      <c r="C18422" t="s">
        <v>9323</v>
      </c>
      <c r="D18422">
        <v>0</v>
      </c>
      <c r="E18422">
        <v>0</v>
      </c>
      <c r="F18422">
        <v>709</v>
      </c>
    </row>
    <row r="18423" spans="1:6" ht="12.75">
      <c r="A18423" s="2">
        <v>43876.952708333338</v>
      </c>
      <c r="B18423" t="str">
        <f>HYPERLINK("https://twitter.com/tessa_York","@tessa_York")</f>
        <v>@tessa_York</v>
      </c>
      <c r="C18423" t="s">
        <v>3150</v>
      </c>
      <c r="D18423">
        <v>192</v>
      </c>
      <c r="E18423">
        <v>0</v>
      </c>
      <c r="F18423">
        <v>249</v>
      </c>
    </row>
    <row r="18424" spans="1:6" ht="12.75">
      <c r="A18424" s="2">
        <v>43876.952546296292</v>
      </c>
      <c r="B18424" t="str">
        <f>HYPERLINK("https://twitter.com/WArafena","@WArafena")</f>
        <v>@WArafena</v>
      </c>
      <c r="C18424" t="s">
        <v>9324</v>
      </c>
      <c r="D18424">
        <v>0</v>
      </c>
      <c r="E18424">
        <v>0</v>
      </c>
      <c r="F18424">
        <v>1</v>
      </c>
    </row>
    <row r="18425" spans="1:6" ht="12.75">
      <c r="A18425" s="2">
        <v>43876.952476851853</v>
      </c>
      <c r="B18425" t="str">
        <f>HYPERLINK("https://twitter.com/GozaliMunir","@GozaliMunir")</f>
        <v>@GozaliMunir</v>
      </c>
      <c r="C18425" t="s">
        <v>9325</v>
      </c>
      <c r="D18425">
        <v>0</v>
      </c>
      <c r="E18425">
        <v>0</v>
      </c>
      <c r="F18425">
        <v>159</v>
      </c>
    </row>
    <row r="18426" spans="1:6" ht="12.75">
      <c r="A18426" s="2">
        <v>43876.952476851853</v>
      </c>
      <c r="B18426" t="str">
        <f>HYPERLINK("https://twitter.com/iNewsID","@iNewsID")</f>
        <v>@iNewsID</v>
      </c>
      <c r="C18426" t="s">
        <v>9326</v>
      </c>
      <c r="D18426">
        <v>0</v>
      </c>
      <c r="E18426">
        <v>0</v>
      </c>
      <c r="F18426">
        <v>1260</v>
      </c>
    </row>
    <row r="18427" spans="1:6" ht="12.75">
      <c r="A18427" s="2">
        <v>43876.952407407407</v>
      </c>
      <c r="B18427" t="str">
        <f>HYPERLINK("https://twitter.com/edabelda","@edabelda")</f>
        <v>@edabelda</v>
      </c>
      <c r="C18427" t="s">
        <v>9327</v>
      </c>
      <c r="D18427">
        <v>3</v>
      </c>
      <c r="E18427">
        <v>0</v>
      </c>
      <c r="F18427">
        <v>229</v>
      </c>
    </row>
    <row r="18428" spans="1:6" ht="12.75">
      <c r="A18428" s="2">
        <v>43876.952152777776</v>
      </c>
      <c r="B18428" t="str">
        <f>HYPERLINK("https://twitter.com/kitsiangfreddy","@kitsiangfreddy")</f>
        <v>@kitsiangfreddy</v>
      </c>
      <c r="C18428" t="s">
        <v>8977</v>
      </c>
      <c r="D18428">
        <v>35</v>
      </c>
      <c r="E18428">
        <v>0</v>
      </c>
      <c r="F18428">
        <v>1327</v>
      </c>
    </row>
    <row r="18429" spans="1:6" ht="12.75">
      <c r="A18429" s="2">
        <v>43876.952037037037</v>
      </c>
      <c r="B18429" t="str">
        <f>HYPERLINK("https://twitter.com/cuektogether","@cuektogether")</f>
        <v>@cuektogether</v>
      </c>
      <c r="C18429" t="s">
        <v>9065</v>
      </c>
      <c r="D18429">
        <v>81</v>
      </c>
      <c r="E18429">
        <v>0</v>
      </c>
      <c r="F18429">
        <v>111</v>
      </c>
    </row>
    <row r="18430" spans="1:6" ht="12.75">
      <c r="A18430" s="2">
        <v>43876.951909722222</v>
      </c>
      <c r="B18430" t="str">
        <f>HYPERLINK("https://twitter.com/hendribudiawan2","@hendribudiawan2")</f>
        <v>@hendribudiawan2</v>
      </c>
      <c r="C18430" t="s">
        <v>6338</v>
      </c>
      <c r="D18430">
        <v>92</v>
      </c>
      <c r="E18430">
        <v>0</v>
      </c>
      <c r="F18430">
        <v>12</v>
      </c>
    </row>
    <row r="18431" spans="1:6" ht="12.75">
      <c r="A18431" s="2">
        <v>43876.951724537037</v>
      </c>
      <c r="B18431" t="str">
        <f>HYPERLINK("https://twitter.com/MZianu","@MZianu")</f>
        <v>@MZianu</v>
      </c>
      <c r="C18431" t="s">
        <v>8650</v>
      </c>
      <c r="D18431">
        <v>78</v>
      </c>
      <c r="E18431">
        <v>0</v>
      </c>
      <c r="F18431">
        <v>453</v>
      </c>
    </row>
    <row r="18432" spans="1:6" ht="12.75">
      <c r="A18432" s="2">
        <v>43876.951655092591</v>
      </c>
      <c r="B18432" t="str">
        <f>HYPERLINK("https://twitter.com/youngtacooooo","@youngtacooooo")</f>
        <v>@youngtacooooo</v>
      </c>
      <c r="C18432" t="s">
        <v>9328</v>
      </c>
      <c r="D18432">
        <v>0</v>
      </c>
      <c r="E18432">
        <v>0</v>
      </c>
      <c r="F18432">
        <v>5</v>
      </c>
    </row>
    <row r="18433" spans="1:6" ht="12.75">
      <c r="A18433" s="2">
        <v>43876.951423611114</v>
      </c>
      <c r="B18433" t="str">
        <f>HYPERLINK("https://twitter.com/tw52548","@tw52548")</f>
        <v>@tw52548</v>
      </c>
      <c r="C18433" t="s">
        <v>6338</v>
      </c>
      <c r="D18433">
        <v>92</v>
      </c>
      <c r="E18433">
        <v>0</v>
      </c>
      <c r="F18433">
        <v>3140</v>
      </c>
    </row>
    <row r="18434" spans="1:6" ht="12.75">
      <c r="A18434" s="2">
        <v>43876.95140046296</v>
      </c>
      <c r="B18434" t="str">
        <f>HYPERLINK("https://twitter.com/lsyies99","@lsyies99")</f>
        <v>@lsyies99</v>
      </c>
      <c r="C18434" t="s">
        <v>9329</v>
      </c>
      <c r="D18434">
        <v>1</v>
      </c>
      <c r="E18434">
        <v>0</v>
      </c>
      <c r="F18434">
        <v>51</v>
      </c>
    </row>
    <row r="18435" spans="1:6" ht="12.75">
      <c r="A18435" s="2">
        <v>43876.950983796298</v>
      </c>
      <c r="B18435" t="str">
        <f>HYPERLINK("https://twitter.com/abuy1978","@abuy1978")</f>
        <v>@abuy1978</v>
      </c>
      <c r="C18435" t="s">
        <v>6338</v>
      </c>
      <c r="D18435">
        <v>92</v>
      </c>
      <c r="E18435">
        <v>0</v>
      </c>
      <c r="F18435">
        <v>173</v>
      </c>
    </row>
    <row r="18436" spans="1:6" ht="12.75">
      <c r="A18436" s="2">
        <v>43876.950925925921</v>
      </c>
      <c r="B18436" t="str">
        <f>HYPERLINK("https://twitter.com/NurAli7981","@NurAli7981")</f>
        <v>@NurAli7981</v>
      </c>
      <c r="C18436" t="s">
        <v>9065</v>
      </c>
      <c r="D18436">
        <v>81</v>
      </c>
      <c r="E18436">
        <v>0</v>
      </c>
      <c r="F18436">
        <v>358</v>
      </c>
    </row>
    <row r="18437" spans="1:6" ht="12.75">
      <c r="A18437" s="2">
        <v>43876.950879629629</v>
      </c>
      <c r="B18437" t="str">
        <f>HYPERLINK("https://twitter.com/rawkbastard","@rawkbastard")</f>
        <v>@rawkbastard</v>
      </c>
      <c r="C18437" t="s">
        <v>6338</v>
      </c>
      <c r="D18437">
        <v>92</v>
      </c>
      <c r="E18437">
        <v>0</v>
      </c>
      <c r="F18437">
        <v>242</v>
      </c>
    </row>
    <row r="18438" spans="1:6" ht="12.75">
      <c r="A18438" s="2">
        <v>43876.950636574074</v>
      </c>
      <c r="B18438" t="str">
        <f>HYPERLINK("https://twitter.com/motsdemoiidy","@motsdemoiidy")</f>
        <v>@motsdemoiidy</v>
      </c>
      <c r="C18438" t="s">
        <v>9330</v>
      </c>
      <c r="D18438">
        <v>0</v>
      </c>
      <c r="E18438">
        <v>0</v>
      </c>
      <c r="F18438">
        <v>34</v>
      </c>
    </row>
    <row r="18439" spans="1:6" ht="12.75">
      <c r="A18439" s="2">
        <v>43876.950543981482</v>
      </c>
      <c r="B18439" t="str">
        <f>HYPERLINK("https://twitter.com/Sidin79901699","@Sidin79901699")</f>
        <v>@Sidin79901699</v>
      </c>
      <c r="C18439" t="s">
        <v>6338</v>
      </c>
      <c r="D18439">
        <v>92</v>
      </c>
      <c r="E18439">
        <v>0</v>
      </c>
      <c r="F18439">
        <v>913</v>
      </c>
    </row>
    <row r="18440" spans="1:6" ht="12.75">
      <c r="A18440" s="2">
        <v>43876.950335648144</v>
      </c>
      <c r="B18440" t="str">
        <f>HYPERLINK("https://twitter.com/lodysiegers","@lodysiegers")</f>
        <v>@lodysiegers</v>
      </c>
      <c r="C18440" t="s">
        <v>6338</v>
      </c>
      <c r="D18440">
        <v>92</v>
      </c>
      <c r="E18440">
        <v>0</v>
      </c>
      <c r="F18440">
        <v>336</v>
      </c>
    </row>
    <row r="18441" spans="1:6" ht="12.75">
      <c r="A18441" s="2">
        <v>43876.950324074074</v>
      </c>
      <c r="B18441" t="str">
        <f>HYPERLINK("https://twitter.com/omuraisyuh","@omuraisyuh")</f>
        <v>@omuraisyuh</v>
      </c>
      <c r="C18441" t="s">
        <v>9331</v>
      </c>
      <c r="D18441">
        <v>0</v>
      </c>
      <c r="E18441">
        <v>0</v>
      </c>
      <c r="F18441">
        <v>2637</v>
      </c>
    </row>
    <row r="18442" spans="1:6" ht="12.75">
      <c r="A18442" s="2">
        <v>43876.950300925921</v>
      </c>
      <c r="B18442" t="str">
        <f>HYPERLINK("https://twitter.com/ivooxid","@ivooxid")</f>
        <v>@ivooxid</v>
      </c>
      <c r="C18442" t="s">
        <v>9332</v>
      </c>
      <c r="D18442">
        <v>0</v>
      </c>
      <c r="E18442">
        <v>0</v>
      </c>
      <c r="F18442">
        <v>1429</v>
      </c>
    </row>
    <row r="18443" spans="1:6" ht="12.75">
      <c r="A18443" s="2">
        <v>43876.950069444443</v>
      </c>
      <c r="B18443" t="str">
        <f>HYPERLINK("https://twitter.com/likenorma714","@likenorma714")</f>
        <v>@likenorma714</v>
      </c>
      <c r="C18443" t="s">
        <v>9333</v>
      </c>
      <c r="D18443">
        <v>0</v>
      </c>
      <c r="E18443">
        <v>0</v>
      </c>
      <c r="F18443">
        <v>0</v>
      </c>
    </row>
    <row r="18444" spans="1:6" ht="12.75">
      <c r="A18444" s="2">
        <v>43876.95</v>
      </c>
      <c r="B18444" t="str">
        <f>HYPERLINK("https://twitter.com/fragileheart3_","@fragileheart3_")</f>
        <v>@fragileheart3_</v>
      </c>
      <c r="C18444" t="s">
        <v>9334</v>
      </c>
      <c r="D18444">
        <v>0</v>
      </c>
      <c r="E18444">
        <v>1</v>
      </c>
      <c r="F18444">
        <v>303</v>
      </c>
    </row>
    <row r="18445" spans="1:6" ht="12.75">
      <c r="A18445" s="2">
        <v>43876.949976851851</v>
      </c>
      <c r="B18445" t="str">
        <f>HYPERLINK("https://twitter.com/intrvrtboy","@intrvrtboy")</f>
        <v>@intrvrtboy</v>
      </c>
      <c r="C18445" t="s">
        <v>9335</v>
      </c>
      <c r="D18445">
        <v>0</v>
      </c>
      <c r="E18445">
        <v>0</v>
      </c>
      <c r="F18445">
        <v>77</v>
      </c>
    </row>
    <row r="18446" spans="1:6" ht="12.75">
      <c r="A18446" s="2">
        <v>43876.949965277774</v>
      </c>
      <c r="B18446" t="str">
        <f>HYPERLINK("https://twitter.com/RazerWithAKnee","@RazerWithAKnee")</f>
        <v>@RazerWithAKnee</v>
      </c>
      <c r="C18446" t="s">
        <v>3150</v>
      </c>
      <c r="D18446">
        <v>192</v>
      </c>
      <c r="E18446">
        <v>0</v>
      </c>
      <c r="F18446">
        <v>1189</v>
      </c>
    </row>
    <row r="18447" spans="1:6" ht="12.75">
      <c r="A18447" s="2">
        <v>43876.949930555551</v>
      </c>
      <c r="B18447" t="str">
        <f>HYPERLINK("https://twitter.com/Nihaya_Ulya","@Nihaya_Ulya")</f>
        <v>@Nihaya_Ulya</v>
      </c>
      <c r="C18447" t="s">
        <v>2147</v>
      </c>
      <c r="D18447">
        <v>446</v>
      </c>
      <c r="E18447">
        <v>0</v>
      </c>
      <c r="F18447">
        <v>192</v>
      </c>
    </row>
    <row r="18448" spans="1:6" ht="12.75">
      <c r="A18448" s="2">
        <v>43876.949803240743</v>
      </c>
      <c r="B18448" t="str">
        <f>HYPERLINK("https://twitter.com/hamaro_id","@hamaro_id")</f>
        <v>@hamaro_id</v>
      </c>
      <c r="C18448" t="s">
        <v>8977</v>
      </c>
      <c r="D18448">
        <v>35</v>
      </c>
      <c r="E18448">
        <v>0</v>
      </c>
      <c r="F18448">
        <v>1566</v>
      </c>
    </row>
    <row r="18449" spans="1:6" ht="12.75">
      <c r="A18449" s="2">
        <v>43876.949791666666</v>
      </c>
      <c r="B18449" t="str">
        <f>HYPERLINK("https://twitter.com/ikomangalle","@ikomangalle")</f>
        <v>@ikomangalle</v>
      </c>
      <c r="C18449" t="s">
        <v>2147</v>
      </c>
      <c r="D18449">
        <v>446</v>
      </c>
      <c r="E18449">
        <v>0</v>
      </c>
      <c r="F18449">
        <v>8</v>
      </c>
    </row>
    <row r="18450" spans="1:6" ht="12.75">
      <c r="A18450" s="2">
        <v>43876.94976851852</v>
      </c>
      <c r="B18450" t="str">
        <f>HYPERLINK("https://twitter.com/TokUrang","@TokUrang")</f>
        <v>@TokUrang</v>
      </c>
      <c r="C18450" t="s">
        <v>8977</v>
      </c>
      <c r="D18450">
        <v>35</v>
      </c>
      <c r="E18450">
        <v>0</v>
      </c>
      <c r="F18450">
        <v>639</v>
      </c>
    </row>
    <row r="18451" spans="1:6" ht="12.75">
      <c r="A18451" s="2">
        <v>43876.918194444443</v>
      </c>
      <c r="B18451" t="str">
        <f>HYPERLINK("https://twitter.com/LemanAkik","@LemanAkik")</f>
        <v>@LemanAkik</v>
      </c>
      <c r="C18451" t="s">
        <v>6825</v>
      </c>
      <c r="D18451">
        <v>12</v>
      </c>
      <c r="E18451">
        <v>0</v>
      </c>
      <c r="F18451">
        <v>10</v>
      </c>
    </row>
    <row r="18452" spans="1:6" ht="12.75">
      <c r="A18452" s="2">
        <v>43876.918113425927</v>
      </c>
      <c r="B18452" t="str">
        <f>HYPERLINK("https://twitter.com/AkuPamuji","@AkuPamuji")</f>
        <v>@AkuPamuji</v>
      </c>
      <c r="C18452" t="s">
        <v>9336</v>
      </c>
      <c r="D18452">
        <v>0</v>
      </c>
      <c r="E18452">
        <v>0</v>
      </c>
      <c r="F18452">
        <v>183</v>
      </c>
    </row>
    <row r="18453" spans="1:6" ht="12.75">
      <c r="A18453" s="2">
        <v>43876.918078703704</v>
      </c>
      <c r="B18453" t="str">
        <f>HYPERLINK("https://twitter.com/kompascom","@kompascom")</f>
        <v>@kompascom</v>
      </c>
      <c r="C18453" t="s">
        <v>9337</v>
      </c>
      <c r="D18453">
        <v>0</v>
      </c>
      <c r="E18453">
        <v>2</v>
      </c>
      <c r="F18453">
        <v>7498868</v>
      </c>
    </row>
    <row r="18454" spans="1:6" ht="12.75">
      <c r="A18454" s="2">
        <v>43876.918009259258</v>
      </c>
      <c r="B18454" t="str">
        <f>HYPERLINK("https://twitter.com/tvyho","@tvyho")</f>
        <v>@tvyho</v>
      </c>
      <c r="C18454" t="s">
        <v>5168</v>
      </c>
      <c r="D18454">
        <v>1619</v>
      </c>
      <c r="E18454">
        <v>0</v>
      </c>
      <c r="F18454">
        <v>228</v>
      </c>
    </row>
    <row r="18455" spans="1:6" ht="12.75">
      <c r="A18455" s="2">
        <v>43876.917905092589</v>
      </c>
      <c r="B18455" t="str">
        <f>HYPERLINK("https://twitter.com/johnbralink","@johnbralink")</f>
        <v>@johnbralink</v>
      </c>
      <c r="C18455" t="s">
        <v>7980</v>
      </c>
      <c r="D18455">
        <v>20</v>
      </c>
      <c r="E18455">
        <v>0</v>
      </c>
      <c r="F18455">
        <v>252</v>
      </c>
    </row>
    <row r="18456" spans="1:6" ht="12.75">
      <c r="A18456" s="2">
        <v>43876.917708333334</v>
      </c>
      <c r="B18456" t="str">
        <f>HYPERLINK("https://twitter.com/idntimes","@idntimes")</f>
        <v>@idntimes</v>
      </c>
      <c r="C18456" t="s">
        <v>9338</v>
      </c>
      <c r="D18456">
        <v>0</v>
      </c>
      <c r="E18456">
        <v>0</v>
      </c>
      <c r="F18456">
        <v>392740</v>
      </c>
    </row>
    <row r="18457" spans="1:6" ht="12.75">
      <c r="A18457" s="2">
        <v>43876.917685185181</v>
      </c>
      <c r="B18457" t="str">
        <f>HYPERLINK("https://twitter.com/SandiUsenk","@SandiUsenk")</f>
        <v>@SandiUsenk</v>
      </c>
      <c r="C18457" t="s">
        <v>7154</v>
      </c>
      <c r="D18457">
        <v>32</v>
      </c>
      <c r="E18457">
        <v>0</v>
      </c>
      <c r="F18457">
        <v>1083</v>
      </c>
    </row>
    <row r="18458" spans="1:6" ht="12.75">
      <c r="A18458" s="2">
        <v>43876.917592592596</v>
      </c>
      <c r="B18458" t="str">
        <f>HYPERLINK("https://twitter.com/foers79","@foers79")</f>
        <v>@foers79</v>
      </c>
      <c r="C18458" t="s">
        <v>9065</v>
      </c>
      <c r="D18458">
        <v>76</v>
      </c>
      <c r="E18458">
        <v>0</v>
      </c>
      <c r="F18458">
        <v>400</v>
      </c>
    </row>
    <row r="18459" spans="1:6" ht="12.75">
      <c r="A18459" s="2">
        <v>43876.917476851857</v>
      </c>
      <c r="B18459" t="str">
        <f>HYPERLINK("https://twitter.com/idntimes","@idntimes")</f>
        <v>@idntimes</v>
      </c>
      <c r="C18459" t="s">
        <v>9339</v>
      </c>
      <c r="D18459">
        <v>0</v>
      </c>
      <c r="E18459">
        <v>0</v>
      </c>
      <c r="F18459">
        <v>392740</v>
      </c>
    </row>
    <row r="18460" spans="1:6" ht="12.75">
      <c r="A18460" s="2">
        <v>43876.917465277773</v>
      </c>
      <c r="B18460" t="str">
        <f>HYPERLINK("https://twitter.com/faried58022486","@faried58022486")</f>
        <v>@faried58022486</v>
      </c>
      <c r="C18460" t="s">
        <v>9065</v>
      </c>
      <c r="D18460">
        <v>76</v>
      </c>
      <c r="E18460">
        <v>0</v>
      </c>
      <c r="F18460">
        <v>1266</v>
      </c>
    </row>
    <row r="18461" spans="1:6" ht="12.75">
      <c r="A18461" s="2">
        <v>43876.917349537034</v>
      </c>
      <c r="B18461" t="str">
        <f>HYPERLINK("https://twitter.com/faridazzzzhari","@faridazzzzhari")</f>
        <v>@faridazzzzhari</v>
      </c>
      <c r="C18461" t="s">
        <v>2147</v>
      </c>
      <c r="D18461">
        <v>429</v>
      </c>
      <c r="E18461">
        <v>0</v>
      </c>
      <c r="F18461">
        <v>184</v>
      </c>
    </row>
    <row r="18462" spans="1:6" ht="12.75">
      <c r="A18462" s="2">
        <v>43876.916956018518</v>
      </c>
      <c r="B18462" t="str">
        <f>HYPERLINK("https://twitter.com/piyuanker12","@piyuanker12")</f>
        <v>@piyuanker12</v>
      </c>
      <c r="C18462" t="s">
        <v>9340</v>
      </c>
      <c r="D18462">
        <v>1</v>
      </c>
      <c r="E18462">
        <v>0</v>
      </c>
      <c r="F18462">
        <v>3756</v>
      </c>
    </row>
    <row r="18463" spans="1:6" ht="12.75">
      <c r="A18463" s="2">
        <v>43876.916817129633</v>
      </c>
      <c r="B18463" t="str">
        <f>HYPERLINK("https://twitter.com/andotulong","@andotulong")</f>
        <v>@andotulong</v>
      </c>
      <c r="C18463" t="s">
        <v>6338</v>
      </c>
      <c r="D18463">
        <v>28</v>
      </c>
      <c r="E18463">
        <v>0</v>
      </c>
      <c r="F18463">
        <v>984</v>
      </c>
    </row>
    <row r="18464" spans="1:6" ht="12.75">
      <c r="A18464" s="2">
        <v>43876.91678240741</v>
      </c>
      <c r="B18464" t="str">
        <f>HYPERLINK("https://twitter.com/Jhondut","@Jhondut")</f>
        <v>@Jhondut</v>
      </c>
      <c r="C18464" t="s">
        <v>9341</v>
      </c>
      <c r="D18464">
        <v>0</v>
      </c>
      <c r="E18464">
        <v>0</v>
      </c>
      <c r="F18464">
        <v>1312</v>
      </c>
    </row>
    <row r="18465" spans="1:6" ht="12.75">
      <c r="A18465" s="2">
        <v>43876.916759259257</v>
      </c>
      <c r="B18465" t="str">
        <f>HYPERLINK("https://twitter.com/piyuanker12","@piyuanker12")</f>
        <v>@piyuanker12</v>
      </c>
      <c r="C18465" t="s">
        <v>9342</v>
      </c>
      <c r="D18465">
        <v>3</v>
      </c>
      <c r="E18465">
        <v>0</v>
      </c>
      <c r="F18465">
        <v>3756</v>
      </c>
    </row>
    <row r="18466" spans="1:6" ht="12.75">
      <c r="A18466" s="2">
        <v>43876.916701388887</v>
      </c>
      <c r="B18466" t="str">
        <f>HYPERLINK("https://twitter.com/silo_bagendit","@silo_bagendit")</f>
        <v>@silo_bagendit</v>
      </c>
      <c r="C18466" t="s">
        <v>8203</v>
      </c>
      <c r="D18466">
        <v>90</v>
      </c>
      <c r="E18466">
        <v>0</v>
      </c>
      <c r="F18466">
        <v>344</v>
      </c>
    </row>
    <row r="18467" spans="1:6" ht="12.75">
      <c r="A18467" s="2">
        <v>43876.916620370372</v>
      </c>
      <c r="B18467" t="str">
        <f>HYPERLINK("https://twitter.com/Yos5Ku","@Yos5Ku")</f>
        <v>@Yos5Ku</v>
      </c>
      <c r="C18467" t="s">
        <v>8329</v>
      </c>
      <c r="D18467">
        <v>2</v>
      </c>
      <c r="E18467">
        <v>0</v>
      </c>
      <c r="F18467">
        <v>1345</v>
      </c>
    </row>
    <row r="18468" spans="1:6" ht="12.75">
      <c r="A18468" s="2">
        <v>43876.916574074072</v>
      </c>
      <c r="B18468" t="str">
        <f>HYPERLINK("https://twitter.com/RezaMrc786","@RezaMrc786")</f>
        <v>@RezaMrc786</v>
      </c>
      <c r="C18468" t="s">
        <v>7261</v>
      </c>
      <c r="D18468">
        <v>82</v>
      </c>
      <c r="E18468">
        <v>0</v>
      </c>
      <c r="F18468">
        <v>291</v>
      </c>
    </row>
    <row r="18469" spans="1:6" ht="12.75">
      <c r="A18469" s="2">
        <v>43876.916493055556</v>
      </c>
      <c r="B18469" t="str">
        <f>HYPERLINK("https://twitter.com/345Aulia","@345Aulia")</f>
        <v>@345Aulia</v>
      </c>
      <c r="C18469" t="s">
        <v>8977</v>
      </c>
      <c r="D18469">
        <v>27</v>
      </c>
      <c r="E18469">
        <v>0</v>
      </c>
      <c r="F18469">
        <v>1386</v>
      </c>
    </row>
    <row r="18470" spans="1:6" ht="12.75">
      <c r="A18470" s="2">
        <v>43876.916377314818</v>
      </c>
      <c r="B18470" t="str">
        <f>HYPERLINK("https://twitter.com/bayujat56075498","@bayujat56075498")</f>
        <v>@bayujat56075498</v>
      </c>
      <c r="C18470" t="s">
        <v>9343</v>
      </c>
      <c r="D18470">
        <v>2</v>
      </c>
      <c r="E18470">
        <v>0</v>
      </c>
      <c r="F18470">
        <v>2</v>
      </c>
    </row>
    <row r="18471" spans="1:6" ht="12.75">
      <c r="A18471" s="2">
        <v>43876.916307870371</v>
      </c>
      <c r="B18471" t="str">
        <f>HYPERLINK("https://twitter.com/Pandeka_Cyber","@Pandeka_Cyber")</f>
        <v>@Pandeka_Cyber</v>
      </c>
      <c r="C18471" t="s">
        <v>9344</v>
      </c>
      <c r="D18471">
        <v>1</v>
      </c>
      <c r="E18471">
        <v>0</v>
      </c>
      <c r="F18471">
        <v>2363</v>
      </c>
    </row>
    <row r="18472" spans="1:6" ht="12.75">
      <c r="A18472" s="2">
        <v>43876.915891203702</v>
      </c>
      <c r="B18472" t="str">
        <f>HYPERLINK("https://twitter.com/listbizkitz","@listbizkitz")</f>
        <v>@listbizkitz</v>
      </c>
      <c r="C18472" t="s">
        <v>9345</v>
      </c>
      <c r="D18472">
        <v>0</v>
      </c>
      <c r="E18472">
        <v>0</v>
      </c>
      <c r="F18472">
        <v>415</v>
      </c>
    </row>
    <row r="18473" spans="1:6" ht="12.75">
      <c r="A18473" s="2">
        <v>43876.915844907402</v>
      </c>
      <c r="B18473" t="str">
        <f>HYPERLINK("https://twitter.com/masbayyyu","@masbayyyu")</f>
        <v>@masbayyyu</v>
      </c>
      <c r="C18473" t="s">
        <v>9346</v>
      </c>
      <c r="D18473">
        <v>0</v>
      </c>
      <c r="E18473">
        <v>0</v>
      </c>
      <c r="F18473">
        <v>982</v>
      </c>
    </row>
    <row r="18474" spans="1:6" ht="12.75">
      <c r="A18474" s="2">
        <v>43876.915763888886</v>
      </c>
      <c r="B18474" t="str">
        <f>HYPERLINK("https://twitter.com/GASSPOL12","@GASSPOL12")</f>
        <v>@GASSPOL12</v>
      </c>
      <c r="C18474" t="s">
        <v>7987</v>
      </c>
      <c r="D18474">
        <v>7</v>
      </c>
      <c r="E18474">
        <v>0</v>
      </c>
      <c r="F18474">
        <v>114</v>
      </c>
    </row>
    <row r="18475" spans="1:6" ht="12.75">
      <c r="A18475" s="2">
        <v>43876.915659722217</v>
      </c>
      <c r="B18475" t="str">
        <f>HYPERLINK("https://twitter.com/setan_kecil99","@setan_kecil99")</f>
        <v>@setan_kecil99</v>
      </c>
      <c r="C18475" t="s">
        <v>9150</v>
      </c>
      <c r="D18475">
        <v>148</v>
      </c>
      <c r="E18475">
        <v>0</v>
      </c>
      <c r="F18475">
        <v>49</v>
      </c>
    </row>
    <row r="18476" spans="1:6" ht="12.75">
      <c r="A18476" s="2">
        <v>43876.915613425925</v>
      </c>
      <c r="B18476" t="str">
        <f>HYPERLINK("https://twitter.com/LukmanHarijanto","@LukmanHarijanto")</f>
        <v>@LukmanHarijanto</v>
      </c>
      <c r="C18476" t="s">
        <v>8977</v>
      </c>
      <c r="D18476">
        <v>27</v>
      </c>
      <c r="E18476">
        <v>0</v>
      </c>
      <c r="F18476">
        <v>618</v>
      </c>
    </row>
    <row r="18477" spans="1:6" ht="12.75">
      <c r="A18477" s="2">
        <v>43876.915601851855</v>
      </c>
      <c r="B18477" t="str">
        <f>HYPERLINK("https://twitter.com/vypolarx","@vypolarx")</f>
        <v>@vypolarx</v>
      </c>
      <c r="C18477" t="s">
        <v>9347</v>
      </c>
      <c r="D18477">
        <v>3</v>
      </c>
      <c r="E18477">
        <v>0</v>
      </c>
      <c r="F18477">
        <v>321</v>
      </c>
    </row>
    <row r="18478" spans="1:6" ht="12.75">
      <c r="A18478" s="2">
        <v>43876.915486111116</v>
      </c>
      <c r="B18478" t="str">
        <f>HYPERLINK("https://twitter.com/Charuvrat1","@Charuvrat1")</f>
        <v>@Charuvrat1</v>
      </c>
      <c r="C18478" t="s">
        <v>9348</v>
      </c>
      <c r="D18478">
        <v>0</v>
      </c>
      <c r="E18478">
        <v>0</v>
      </c>
      <c r="F18478">
        <v>4</v>
      </c>
    </row>
    <row r="18479" spans="1:6" ht="12.75">
      <c r="A18479" s="2">
        <v>43876.915439814809</v>
      </c>
      <c r="B18479" t="str">
        <f>HYPERLINK("https://twitter.com/januarfian","@januarfian")</f>
        <v>@januarfian</v>
      </c>
      <c r="C18479" t="s">
        <v>9004</v>
      </c>
      <c r="D18479">
        <v>12</v>
      </c>
      <c r="E18479">
        <v>0</v>
      </c>
      <c r="F18479">
        <v>288</v>
      </c>
    </row>
    <row r="18480" spans="1:6" ht="12.75">
      <c r="A18480" s="2">
        <v>43876.915266203709</v>
      </c>
      <c r="B18480" t="str">
        <f>HYPERLINK("https://twitter.com/zuriswanfajri","@zuriswanfajri")</f>
        <v>@zuriswanfajri</v>
      </c>
      <c r="C18480" t="s">
        <v>9349</v>
      </c>
      <c r="D18480">
        <v>1</v>
      </c>
      <c r="E18480">
        <v>0</v>
      </c>
      <c r="F18480">
        <v>4402</v>
      </c>
    </row>
    <row r="18481" spans="1:6" ht="12.75">
      <c r="A18481" s="2">
        <v>43876.915219907409</v>
      </c>
      <c r="B18481" t="str">
        <f>HYPERLINK("https://twitter.com/rafiqi_28","@rafiqi_28")</f>
        <v>@rafiqi_28</v>
      </c>
      <c r="C18481" t="s">
        <v>9350</v>
      </c>
      <c r="D18481">
        <v>1</v>
      </c>
      <c r="E18481">
        <v>1</v>
      </c>
      <c r="F18481">
        <v>891</v>
      </c>
    </row>
    <row r="18482" spans="1:6" ht="12.75">
      <c r="A18482" s="2">
        <v>43876.915150462963</v>
      </c>
      <c r="B18482" t="str">
        <f>HYPERLINK("https://twitter.com/lathieful_haq","@lathieful_haq")</f>
        <v>@lathieful_haq</v>
      </c>
      <c r="C18482" t="s">
        <v>2147</v>
      </c>
      <c r="D18482">
        <v>429</v>
      </c>
      <c r="E18482">
        <v>0</v>
      </c>
      <c r="F18482">
        <v>136</v>
      </c>
    </row>
    <row r="18483" spans="1:6" ht="12.75">
      <c r="A18483" s="2">
        <v>43876.915127314816</v>
      </c>
      <c r="B18483" t="str">
        <f>HYPERLINK("https://twitter.com/AkuPamuji","@AkuPamuji")</f>
        <v>@AkuPamuji</v>
      </c>
      <c r="C18483" t="s">
        <v>9351</v>
      </c>
      <c r="D18483">
        <v>0</v>
      </c>
      <c r="E18483">
        <v>0</v>
      </c>
      <c r="F18483">
        <v>183</v>
      </c>
    </row>
    <row r="18484" spans="1:6" ht="12.75">
      <c r="A18484" s="2">
        <v>43876.915023148147</v>
      </c>
      <c r="B18484" t="str">
        <f>HYPERLINK("https://twitter.com/Riddo_plur","@Riddo_plur")</f>
        <v>@Riddo_plur</v>
      </c>
      <c r="C18484" t="s">
        <v>6338</v>
      </c>
      <c r="D18484">
        <v>28</v>
      </c>
      <c r="E18484">
        <v>0</v>
      </c>
      <c r="F18484">
        <v>207</v>
      </c>
    </row>
    <row r="18485" spans="1:6" ht="12.75">
      <c r="A18485" s="2">
        <v>43876.914768518516</v>
      </c>
      <c r="B18485" t="str">
        <f>HYPERLINK("https://twitter.com/sabinaaa_1","@sabinaaa_1")</f>
        <v>@sabinaaa_1</v>
      </c>
      <c r="C18485" t="s">
        <v>2147</v>
      </c>
      <c r="D18485">
        <v>429</v>
      </c>
      <c r="E18485">
        <v>0</v>
      </c>
      <c r="F18485">
        <v>86</v>
      </c>
    </row>
    <row r="18486" spans="1:6" ht="12.75">
      <c r="A18486" s="2">
        <v>43876.914675925931</v>
      </c>
      <c r="B18486" t="str">
        <f>HYPERLINK("https://twitter.com/IsnaSabbullah","@IsnaSabbullah")</f>
        <v>@IsnaSabbullah</v>
      </c>
      <c r="C18486" t="s">
        <v>2963</v>
      </c>
      <c r="D18486">
        <v>1282</v>
      </c>
      <c r="E18486">
        <v>0</v>
      </c>
      <c r="F18486">
        <v>107</v>
      </c>
    </row>
    <row r="18487" spans="1:6" ht="12.75">
      <c r="A18487" s="2">
        <v>43876.9143287037</v>
      </c>
      <c r="B18487" t="str">
        <f>HYPERLINK("https://twitter.com/Aadesh25823701","@Aadesh25823701")</f>
        <v>@Aadesh25823701</v>
      </c>
      <c r="C18487" t="s">
        <v>9348</v>
      </c>
      <c r="D18487">
        <v>0</v>
      </c>
      <c r="E18487">
        <v>0</v>
      </c>
      <c r="F18487">
        <v>1</v>
      </c>
    </row>
    <row r="18488" spans="1:6" ht="12.75">
      <c r="A18488" s="2">
        <v>43876.914317129631</v>
      </c>
      <c r="B18488" t="str">
        <f>HYPERLINK("https://twitter.com/BielBiscardi8","@BielBiscardi8")</f>
        <v>@BielBiscardi8</v>
      </c>
      <c r="C18488" t="s">
        <v>9352</v>
      </c>
      <c r="D18488">
        <v>0</v>
      </c>
      <c r="E18488">
        <v>0</v>
      </c>
      <c r="F18488">
        <v>506</v>
      </c>
    </row>
    <row r="18489" spans="1:6" ht="12.75">
      <c r="A18489" s="2">
        <v>43876.914143518516</v>
      </c>
      <c r="B18489" t="str">
        <f>HYPERLINK("https://twitter.com/jumianto_RK","@jumianto_RK")</f>
        <v>@jumianto_RK</v>
      </c>
      <c r="C18489" t="s">
        <v>9353</v>
      </c>
      <c r="D18489">
        <v>2</v>
      </c>
      <c r="E18489">
        <v>2</v>
      </c>
      <c r="F18489">
        <v>3404</v>
      </c>
    </row>
    <row r="18490" spans="1:6" ht="12.75">
      <c r="A18490" s="2">
        <v>43876.914097222223</v>
      </c>
      <c r="B18490" t="str">
        <f>HYPERLINK("https://twitter.com/presidentyrex","@presidentyrex")</f>
        <v>@presidentyrex</v>
      </c>
      <c r="C18490" t="s">
        <v>9354</v>
      </c>
      <c r="D18490">
        <v>0</v>
      </c>
      <c r="E18490">
        <v>0</v>
      </c>
      <c r="F18490">
        <v>336</v>
      </c>
    </row>
    <row r="18491" spans="1:6" ht="12.75">
      <c r="A18491" s="2">
        <v>43876.913935185185</v>
      </c>
      <c r="B18491" t="str">
        <f>HYPERLINK("https://twitter.com/piyuanker12","@piyuanker12")</f>
        <v>@piyuanker12</v>
      </c>
      <c r="C18491" t="s">
        <v>9355</v>
      </c>
      <c r="D18491">
        <v>2</v>
      </c>
      <c r="E18491">
        <v>0</v>
      </c>
      <c r="F18491">
        <v>3756</v>
      </c>
    </row>
    <row r="18492" spans="1:6" ht="12.75">
      <c r="A18492" s="2">
        <v>43876.91369212963</v>
      </c>
      <c r="B18492" t="str">
        <f>HYPERLINK("https://twitter.com/Sugiant71401887","@Sugiant71401887")</f>
        <v>@Sugiant71401887</v>
      </c>
      <c r="C18492" t="s">
        <v>9356</v>
      </c>
      <c r="D18492">
        <v>0</v>
      </c>
      <c r="E18492">
        <v>0</v>
      </c>
      <c r="F18492">
        <v>8</v>
      </c>
    </row>
    <row r="18493" spans="1:6" ht="12.75">
      <c r="A18493" s="2">
        <v>43876.913460648153</v>
      </c>
      <c r="B18493" t="str">
        <f>HYPERLINK("https://twitter.com/mutmarnut","@mutmarnut")</f>
        <v>@mutmarnut</v>
      </c>
      <c r="C18493" t="s">
        <v>7261</v>
      </c>
      <c r="D18493">
        <v>82</v>
      </c>
      <c r="E18493">
        <v>0</v>
      </c>
      <c r="F18493">
        <v>60</v>
      </c>
    </row>
    <row r="18494" spans="1:6" ht="12.75">
      <c r="A18494" s="2">
        <v>43876.913368055553</v>
      </c>
      <c r="B18494" t="str">
        <f>HYPERLINK("https://twitter.com/Chandra_F3rd14n","@Chandra_F3rd14n")</f>
        <v>@Chandra_F3rd14n</v>
      </c>
      <c r="C18494" t="s">
        <v>9357</v>
      </c>
      <c r="D18494">
        <v>0</v>
      </c>
      <c r="E18494">
        <v>0</v>
      </c>
      <c r="F18494">
        <v>141</v>
      </c>
    </row>
    <row r="18495" spans="1:6" ht="12.75">
      <c r="A18495" s="2">
        <v>43876.913240740745</v>
      </c>
      <c r="B18495" t="str">
        <f>HYPERLINK("https://twitter.com/MahinFatavit","@MahinFatavit")</f>
        <v>@MahinFatavit</v>
      </c>
      <c r="C18495" t="s">
        <v>6338</v>
      </c>
      <c r="D18495">
        <v>28</v>
      </c>
      <c r="E18495">
        <v>0</v>
      </c>
      <c r="F18495">
        <v>5852</v>
      </c>
    </row>
    <row r="18496" spans="1:6" ht="12.75">
      <c r="A18496" s="2">
        <v>43876.913206018522</v>
      </c>
      <c r="B18496" t="str">
        <f>HYPERLINK("https://twitter.com/7uckyl3","@7uckyl3")</f>
        <v>@7uckyl3</v>
      </c>
      <c r="C18496" t="s">
        <v>3150</v>
      </c>
      <c r="D18496">
        <v>179</v>
      </c>
      <c r="E18496">
        <v>0</v>
      </c>
      <c r="F18496">
        <v>382</v>
      </c>
    </row>
    <row r="18497" spans="1:6" ht="12.75">
      <c r="A18497" s="2">
        <v>43876.913113425922</v>
      </c>
      <c r="B18497" t="str">
        <f>HYPERLINK("https://twitter.com/lembaranbaroe","@lembaranbaroe")</f>
        <v>@lembaranbaroe</v>
      </c>
      <c r="C18497" t="s">
        <v>9348</v>
      </c>
      <c r="D18497">
        <v>0</v>
      </c>
      <c r="E18497">
        <v>0</v>
      </c>
      <c r="F18497">
        <v>3724</v>
      </c>
    </row>
    <row r="18498" spans="1:6" ht="12.75">
      <c r="A18498" s="2">
        <v>43876.913078703699</v>
      </c>
      <c r="B18498" t="str">
        <f>HYPERLINK("https://twitter.com/AgungWidrajat","@AgungWidrajat")</f>
        <v>@AgungWidrajat</v>
      </c>
      <c r="C18498" t="s">
        <v>8977</v>
      </c>
      <c r="D18498">
        <v>27</v>
      </c>
      <c r="E18498">
        <v>0</v>
      </c>
      <c r="F18498">
        <v>2290</v>
      </c>
    </row>
    <row r="18499" spans="1:6" ht="12.75">
      <c r="A18499" s="2">
        <v>43876.91306712963</v>
      </c>
      <c r="B18499" t="str">
        <f>HYPERLINK("https://twitter.com/HeriBassista","@HeriBassista")</f>
        <v>@HeriBassista</v>
      </c>
      <c r="C18499" t="s">
        <v>6338</v>
      </c>
      <c r="D18499">
        <v>28</v>
      </c>
      <c r="E18499">
        <v>0</v>
      </c>
      <c r="F18499">
        <v>4559</v>
      </c>
    </row>
    <row r="18500" spans="1:6" ht="12.75">
      <c r="A18500" s="2">
        <v>43876.91305555556</v>
      </c>
      <c r="B18500" t="str">
        <f>HYPERLINK("https://twitter.com/Junihadihasan","@Junihadihasan")</f>
        <v>@Junihadihasan</v>
      </c>
      <c r="C18500" t="s">
        <v>8203</v>
      </c>
      <c r="D18500">
        <v>90</v>
      </c>
      <c r="E18500">
        <v>0</v>
      </c>
      <c r="F18500">
        <v>52809</v>
      </c>
    </row>
    <row r="18501" spans="1:6" ht="12.75">
      <c r="A18501" s="2">
        <v>43876.912928240738</v>
      </c>
      <c r="B18501" t="str">
        <f>HYPERLINK("https://twitter.com/neen4noor","@neen4noor")</f>
        <v>@neen4noor</v>
      </c>
      <c r="C18501" t="s">
        <v>6338</v>
      </c>
      <c r="D18501">
        <v>28</v>
      </c>
      <c r="E18501">
        <v>0</v>
      </c>
      <c r="F18501">
        <v>893</v>
      </c>
    </row>
    <row r="18502" spans="1:6" ht="12.75">
      <c r="A18502" s="2">
        <v>43876.912916666668</v>
      </c>
      <c r="B18502" t="str">
        <f>HYPERLINK("https://twitter.com/M_Zhack_Saleh","@M_Zhack_Saleh")</f>
        <v>@M_Zhack_Saleh</v>
      </c>
      <c r="C18502" t="s">
        <v>9358</v>
      </c>
      <c r="D18502">
        <v>0</v>
      </c>
      <c r="E18502">
        <v>0</v>
      </c>
      <c r="F18502">
        <v>97</v>
      </c>
    </row>
    <row r="18503" spans="1:6" ht="12.75">
      <c r="A18503" s="2">
        <v>43876.912858796291</v>
      </c>
      <c r="B18503" t="str">
        <f>HYPERLINK("https://twitter.com/rendroko","@rendroko")</f>
        <v>@rendroko</v>
      </c>
      <c r="C18503" t="s">
        <v>8257</v>
      </c>
      <c r="D18503">
        <v>32</v>
      </c>
      <c r="E18503">
        <v>0</v>
      </c>
      <c r="F18503">
        <v>1025</v>
      </c>
    </row>
    <row r="18504" spans="1:6" ht="12.75">
      <c r="A18504" s="2">
        <v>43876.912800925929</v>
      </c>
      <c r="B18504" t="str">
        <f>HYPERLINK("https://twitter.com/piyuanker12","@piyuanker12")</f>
        <v>@piyuanker12</v>
      </c>
      <c r="C18504" t="s">
        <v>8673</v>
      </c>
      <c r="D18504">
        <v>3</v>
      </c>
      <c r="E18504">
        <v>0</v>
      </c>
      <c r="F18504">
        <v>3756</v>
      </c>
    </row>
    <row r="18505" spans="1:6" ht="12.75">
      <c r="A18505" s="2">
        <v>43876.912789351853</v>
      </c>
      <c r="B18505" t="str">
        <f>HYPERLINK("https://twitter.com/AryPrasetyo_85","@AryPrasetyo_85")</f>
        <v>@AryPrasetyo_85</v>
      </c>
      <c r="C18505" t="s">
        <v>7980</v>
      </c>
      <c r="D18505">
        <v>20</v>
      </c>
      <c r="E18505">
        <v>0</v>
      </c>
      <c r="F18505">
        <v>5424</v>
      </c>
    </row>
    <row r="18506" spans="1:6" ht="12.75">
      <c r="A18506" s="2">
        <v>43876.912685185191</v>
      </c>
      <c r="B18506" t="str">
        <f>HYPERLINK("https://twitter.com/elmira_alkha","@elmira_alkha")</f>
        <v>@elmira_alkha</v>
      </c>
      <c r="C18506" t="s">
        <v>6338</v>
      </c>
      <c r="D18506">
        <v>28</v>
      </c>
      <c r="E18506">
        <v>0</v>
      </c>
      <c r="F18506">
        <v>532</v>
      </c>
    </row>
    <row r="18507" spans="1:6" ht="12.75">
      <c r="A18507" s="2">
        <v>43876.912557870368</v>
      </c>
      <c r="B18507" t="str">
        <f t="shared" ref="B18507:B18511" si="307">HYPERLINK("https://twitter.com/AryPrasetyo_85","@AryPrasetyo_85")</f>
        <v>@AryPrasetyo_85</v>
      </c>
      <c r="C18507" t="s">
        <v>9359</v>
      </c>
      <c r="D18507">
        <v>3</v>
      </c>
      <c r="E18507">
        <v>0</v>
      </c>
      <c r="F18507">
        <v>5424</v>
      </c>
    </row>
    <row r="18508" spans="1:6" ht="12.75">
      <c r="A18508" s="2">
        <v>43876.912476851852</v>
      </c>
      <c r="B18508" t="str">
        <f t="shared" si="307"/>
        <v>@AryPrasetyo_85</v>
      </c>
      <c r="C18508" t="s">
        <v>9360</v>
      </c>
      <c r="D18508">
        <v>3</v>
      </c>
      <c r="E18508">
        <v>0</v>
      </c>
      <c r="F18508">
        <v>5424</v>
      </c>
    </row>
    <row r="18509" spans="1:6" ht="12.75">
      <c r="A18509" s="2">
        <v>43876.912453703699</v>
      </c>
      <c r="B18509" t="str">
        <f t="shared" si="307"/>
        <v>@AryPrasetyo_85</v>
      </c>
      <c r="C18509" t="s">
        <v>9361</v>
      </c>
      <c r="D18509">
        <v>5</v>
      </c>
      <c r="E18509">
        <v>0</v>
      </c>
      <c r="F18509">
        <v>5424</v>
      </c>
    </row>
    <row r="18510" spans="1:6" ht="12.75">
      <c r="A18510" s="2">
        <v>43876.912418981483</v>
      </c>
      <c r="B18510" t="str">
        <f t="shared" si="307"/>
        <v>@AryPrasetyo_85</v>
      </c>
      <c r="C18510" t="s">
        <v>9362</v>
      </c>
      <c r="D18510">
        <v>5</v>
      </c>
      <c r="E18510">
        <v>0</v>
      </c>
      <c r="F18510">
        <v>5424</v>
      </c>
    </row>
    <row r="18511" spans="1:6" ht="12.75">
      <c r="A18511" s="2">
        <v>43876.912395833337</v>
      </c>
      <c r="B18511" t="str">
        <f t="shared" si="307"/>
        <v>@AryPrasetyo_85</v>
      </c>
      <c r="C18511" t="s">
        <v>9363</v>
      </c>
      <c r="D18511">
        <v>5</v>
      </c>
      <c r="E18511">
        <v>0</v>
      </c>
      <c r="F18511">
        <v>5424</v>
      </c>
    </row>
    <row r="18512" spans="1:6" ht="12.75">
      <c r="A18512" s="2">
        <v>43876.91238425926</v>
      </c>
      <c r="B18512" t="str">
        <f>HYPERLINK("https://twitter.com/neen4noor","@neen4noor")</f>
        <v>@neen4noor</v>
      </c>
      <c r="C18512" t="s">
        <v>2147</v>
      </c>
      <c r="D18512">
        <v>429</v>
      </c>
      <c r="E18512">
        <v>0</v>
      </c>
      <c r="F18512">
        <v>893</v>
      </c>
    </row>
    <row r="18513" spans="1:6" ht="12.75">
      <c r="A18513" s="2">
        <v>43876.91233796296</v>
      </c>
      <c r="B18513" t="str">
        <f>HYPERLINK("https://twitter.com/AryPrasetyo_85","@AryPrasetyo_85")</f>
        <v>@AryPrasetyo_85</v>
      </c>
      <c r="C18513" t="s">
        <v>8977</v>
      </c>
      <c r="D18513">
        <v>27</v>
      </c>
      <c r="E18513">
        <v>0</v>
      </c>
      <c r="F18513">
        <v>5424</v>
      </c>
    </row>
    <row r="18514" spans="1:6" ht="12.75">
      <c r="A18514" s="2">
        <v>43876.912303240737</v>
      </c>
      <c r="B18514" t="str">
        <f>HYPERLINK("https://twitter.com/oktoribhakti","@oktoribhakti")</f>
        <v>@oktoribhakti</v>
      </c>
      <c r="C18514" t="s">
        <v>2147</v>
      </c>
      <c r="D18514">
        <v>429</v>
      </c>
      <c r="E18514">
        <v>0</v>
      </c>
      <c r="F18514">
        <v>16</v>
      </c>
    </row>
    <row r="18515" spans="1:6" ht="12.75">
      <c r="A18515" s="2">
        <v>43876.912291666667</v>
      </c>
      <c r="B18515" t="str">
        <f>HYPERLINK("https://twitter.com/RakyatB72107070","@RakyatB72107070")</f>
        <v>@RakyatB72107070</v>
      </c>
      <c r="C18515" t="s">
        <v>7980</v>
      </c>
      <c r="D18515">
        <v>20</v>
      </c>
      <c r="E18515">
        <v>0</v>
      </c>
      <c r="F18515">
        <v>340</v>
      </c>
    </row>
    <row r="18516" spans="1:6" ht="12.75">
      <c r="A18516" s="2">
        <v>43876.912291666667</v>
      </c>
      <c r="B18516" t="str">
        <f>HYPERLINK("https://twitter.com/MudasirRomini","@MudasirRomini")</f>
        <v>@MudasirRomini</v>
      </c>
      <c r="C18516" t="s">
        <v>6338</v>
      </c>
      <c r="D18516">
        <v>28</v>
      </c>
      <c r="E18516">
        <v>0</v>
      </c>
      <c r="F18516">
        <v>7380</v>
      </c>
    </row>
    <row r="18517" spans="1:6" ht="12.75">
      <c r="A18517" s="2">
        <v>43876.912245370375</v>
      </c>
      <c r="B18517" t="str">
        <f>HYPERLINK("https://twitter.com/DeniSuryadani","@DeniSuryadani")</f>
        <v>@DeniSuryadani</v>
      </c>
      <c r="C18517" t="s">
        <v>6338</v>
      </c>
      <c r="D18517">
        <v>28</v>
      </c>
      <c r="E18517">
        <v>0</v>
      </c>
      <c r="F18517">
        <v>769</v>
      </c>
    </row>
    <row r="18518" spans="1:6" ht="12.75">
      <c r="A18518" s="2">
        <v>43876.912129629629</v>
      </c>
      <c r="B18518" t="str">
        <f>HYPERLINK("https://twitter.com/ekosari481","@ekosari481")</f>
        <v>@ekosari481</v>
      </c>
      <c r="C18518" t="s">
        <v>9364</v>
      </c>
      <c r="D18518">
        <v>1</v>
      </c>
      <c r="E18518">
        <v>0</v>
      </c>
      <c r="F18518">
        <v>15</v>
      </c>
    </row>
    <row r="18519" spans="1:6" ht="12.75">
      <c r="A18519" s="2">
        <v>43876.912048611106</v>
      </c>
      <c r="B18519" t="str">
        <f>HYPERLINK("https://twitter.com/bagaspatifor","@bagaspatifor")</f>
        <v>@bagaspatifor</v>
      </c>
      <c r="C18519" t="s">
        <v>9348</v>
      </c>
      <c r="D18519">
        <v>0</v>
      </c>
      <c r="E18519">
        <v>0</v>
      </c>
      <c r="F18519">
        <v>3</v>
      </c>
    </row>
    <row r="18520" spans="1:6" ht="12.75">
      <c r="A18520" s="2">
        <v>43876.911956018521</v>
      </c>
      <c r="B18520" t="str">
        <f>HYPERLINK("https://twitter.com/DiskominfoNtn","@DiskominfoNtn")</f>
        <v>@DiskominfoNtn</v>
      </c>
      <c r="C18520" t="s">
        <v>9365</v>
      </c>
      <c r="D18520">
        <v>4</v>
      </c>
      <c r="E18520">
        <v>0</v>
      </c>
      <c r="F18520">
        <v>176</v>
      </c>
    </row>
    <row r="18521" spans="1:6" ht="12.75">
      <c r="A18521" s="2">
        <v>43876.911724537036</v>
      </c>
      <c r="B18521" t="str">
        <f>HYPERLINK("https://twitter.com/Rdtulum","@Rdtulum")</f>
        <v>@Rdtulum</v>
      </c>
      <c r="C18521" t="s">
        <v>9366</v>
      </c>
      <c r="D18521">
        <v>0</v>
      </c>
      <c r="E18521">
        <v>0</v>
      </c>
      <c r="F18521">
        <v>104</v>
      </c>
    </row>
    <row r="18522" spans="1:6" ht="12.75">
      <c r="A18522" s="2">
        <v>43876.91170138889</v>
      </c>
      <c r="B18522" t="str">
        <f>HYPERLINK("https://twitter.com/CaeciliaImelda","@CaeciliaImelda")</f>
        <v>@CaeciliaImelda</v>
      </c>
      <c r="C18522" t="s">
        <v>6338</v>
      </c>
      <c r="D18522">
        <v>28</v>
      </c>
      <c r="E18522">
        <v>0</v>
      </c>
      <c r="F18522">
        <v>308</v>
      </c>
    </row>
    <row r="18523" spans="1:6" ht="12.75">
      <c r="A18523" s="2">
        <v>43876.911689814813</v>
      </c>
      <c r="B18523" t="str">
        <f>HYPERLINK("https://twitter.com/JBasworo","@JBasworo")</f>
        <v>@JBasworo</v>
      </c>
      <c r="C18523" t="s">
        <v>6338</v>
      </c>
      <c r="D18523">
        <v>28</v>
      </c>
      <c r="E18523">
        <v>0</v>
      </c>
      <c r="F18523">
        <v>713</v>
      </c>
    </row>
    <row r="18524" spans="1:6" ht="12.75">
      <c r="A18524" s="2">
        <v>43876.911643518513</v>
      </c>
      <c r="B18524" t="str">
        <f>HYPERLINK("https://twitter.com/Widiatis279","@Widiatis279")</f>
        <v>@Widiatis279</v>
      </c>
      <c r="C18524" t="s">
        <v>6338</v>
      </c>
      <c r="D18524">
        <v>28</v>
      </c>
      <c r="E18524">
        <v>0</v>
      </c>
      <c r="F18524">
        <v>730</v>
      </c>
    </row>
    <row r="18525" spans="1:6" ht="12.75">
      <c r="A18525" s="2">
        <v>43876.911446759259</v>
      </c>
      <c r="B18525" t="str">
        <f>HYPERLINK("https://twitter.com/beatrice_health","@beatrice_health")</f>
        <v>@beatrice_health</v>
      </c>
      <c r="C18525" t="s">
        <v>9367</v>
      </c>
      <c r="D18525">
        <v>1</v>
      </c>
      <c r="E18525">
        <v>0</v>
      </c>
      <c r="F18525">
        <v>97</v>
      </c>
    </row>
    <row r="18526" spans="1:6" ht="12.75">
      <c r="A18526" s="2">
        <v>43876.911446759259</v>
      </c>
      <c r="B18526" t="str">
        <f>HYPERLINK("https://twitter.com/ReeyPasaribu","@ReeyPasaribu")</f>
        <v>@ReeyPasaribu</v>
      </c>
      <c r="C18526" t="s">
        <v>9368</v>
      </c>
      <c r="D18526">
        <v>0</v>
      </c>
      <c r="E18526">
        <v>0</v>
      </c>
      <c r="F18526">
        <v>5</v>
      </c>
    </row>
    <row r="18527" spans="1:6" ht="12.75">
      <c r="A18527" s="2">
        <v>43876.911423611113</v>
      </c>
      <c r="B18527" t="str">
        <f>HYPERLINK("https://twitter.com/setiawanh46","@setiawanh46")</f>
        <v>@setiawanh46</v>
      </c>
      <c r="C18527" t="s">
        <v>8203</v>
      </c>
      <c r="D18527">
        <v>90</v>
      </c>
      <c r="E18527">
        <v>0</v>
      </c>
      <c r="F18527">
        <v>1810</v>
      </c>
    </row>
    <row r="18528" spans="1:6" ht="12.75">
      <c r="A18528" s="2">
        <v>43876.911423611113</v>
      </c>
      <c r="B18528" t="str">
        <f>HYPERLINK("https://twitter.com/ReeyPasaribu","@ReeyPasaribu")</f>
        <v>@ReeyPasaribu</v>
      </c>
      <c r="C18528" t="s">
        <v>9369</v>
      </c>
      <c r="D18528">
        <v>1</v>
      </c>
      <c r="E18528">
        <v>0</v>
      </c>
      <c r="F18528">
        <v>5</v>
      </c>
    </row>
    <row r="18529" spans="1:6" ht="12.75">
      <c r="A18529" s="2">
        <v>43876.911412037036</v>
      </c>
      <c r="B18529" t="str">
        <f>HYPERLINK("https://twitter.com/neen4noor","@neen4noor")</f>
        <v>@neen4noor</v>
      </c>
      <c r="C18529" t="s">
        <v>8977</v>
      </c>
      <c r="D18529">
        <v>27</v>
      </c>
      <c r="E18529">
        <v>0</v>
      </c>
      <c r="F18529">
        <v>893</v>
      </c>
    </row>
    <row r="18530" spans="1:6" ht="12.75">
      <c r="A18530" s="2">
        <v>43876.911400462966</v>
      </c>
      <c r="B18530" t="str">
        <f>HYPERLINK("https://twitter.com/danapradana320","@danapradana320")</f>
        <v>@danapradana320</v>
      </c>
      <c r="C18530" t="s">
        <v>6338</v>
      </c>
      <c r="D18530">
        <v>28</v>
      </c>
      <c r="E18530">
        <v>0</v>
      </c>
      <c r="F18530">
        <v>904</v>
      </c>
    </row>
    <row r="18531" spans="1:6" ht="12.75">
      <c r="A18531" s="2">
        <v>43876.911168981482</v>
      </c>
      <c r="B18531" t="str">
        <f>HYPERLINK("https://twitter.com/SitomulyaID","@SitomulyaID")</f>
        <v>@SitomulyaID</v>
      </c>
      <c r="C18531" t="s">
        <v>8203</v>
      </c>
      <c r="D18531">
        <v>90</v>
      </c>
      <c r="E18531">
        <v>0</v>
      </c>
      <c r="F18531">
        <v>8</v>
      </c>
    </row>
    <row r="18532" spans="1:6" ht="12.75">
      <c r="A18532" s="2">
        <v>43876.911030092597</v>
      </c>
      <c r="B18532" t="str">
        <f>HYPERLINK("https://twitter.com/JonTOR990","@JonTOR990")</f>
        <v>@JonTOR990</v>
      </c>
      <c r="C18532" t="s">
        <v>6338</v>
      </c>
      <c r="D18532">
        <v>28</v>
      </c>
      <c r="E18532">
        <v>0</v>
      </c>
      <c r="F18532">
        <v>2137</v>
      </c>
    </row>
    <row r="18533" spans="1:6" ht="12.75">
      <c r="A18533" s="2">
        <v>43876.91101851852</v>
      </c>
      <c r="B18533" t="str">
        <f>HYPERLINK("https://twitter.com/sushiaftergym","@sushiaftergym")</f>
        <v>@sushiaftergym</v>
      </c>
      <c r="C18533" t="s">
        <v>2147</v>
      </c>
      <c r="D18533">
        <v>429</v>
      </c>
      <c r="E18533">
        <v>0</v>
      </c>
      <c r="F18533">
        <v>2243</v>
      </c>
    </row>
    <row r="18534" spans="1:6" ht="12.75">
      <c r="A18534" s="2">
        <v>43876.910937499997</v>
      </c>
      <c r="B18534" t="str">
        <f>HYPERLINK("https://twitter.com/SiawFung88","@SiawFung88")</f>
        <v>@SiawFung88</v>
      </c>
      <c r="C18534" t="s">
        <v>9370</v>
      </c>
      <c r="D18534">
        <v>0</v>
      </c>
      <c r="E18534">
        <v>0</v>
      </c>
      <c r="F18534">
        <v>19</v>
      </c>
    </row>
    <row r="18535" spans="1:6" ht="12.75">
      <c r="A18535" s="2">
        <v>43876.910914351851</v>
      </c>
      <c r="B18535" t="str">
        <f>HYPERLINK("https://twitter.com/Junihadihasan","@Junihadihasan")</f>
        <v>@Junihadihasan</v>
      </c>
      <c r="C18535" t="s">
        <v>3799</v>
      </c>
      <c r="D18535">
        <v>3654</v>
      </c>
      <c r="E18535">
        <v>0</v>
      </c>
      <c r="F18535">
        <v>52809</v>
      </c>
    </row>
    <row r="18536" spans="1:6" ht="12.75">
      <c r="A18536" s="2">
        <v>43876.910740740743</v>
      </c>
      <c r="B18536" t="str">
        <f>HYPERLINK("https://twitter.com/sugiono_69","@sugiono_69")</f>
        <v>@sugiono_69</v>
      </c>
      <c r="C18536" t="s">
        <v>6338</v>
      </c>
      <c r="D18536">
        <v>28</v>
      </c>
      <c r="E18536">
        <v>0</v>
      </c>
      <c r="F18536">
        <v>671</v>
      </c>
    </row>
    <row r="18537" spans="1:6" ht="12.75">
      <c r="A18537" s="2">
        <v>43876.910717592589</v>
      </c>
      <c r="B18537" t="str">
        <f>HYPERLINK("https://twitter.com/countryRW","@countryRW")</f>
        <v>@countryRW</v>
      </c>
      <c r="C18537" t="s">
        <v>9348</v>
      </c>
      <c r="D18537">
        <v>0</v>
      </c>
      <c r="E18537">
        <v>0</v>
      </c>
      <c r="F18537">
        <v>35182</v>
      </c>
    </row>
    <row r="18538" spans="1:6" ht="12.75">
      <c r="A18538" s="2">
        <v>43876.910358796296</v>
      </c>
      <c r="B18538" t="str">
        <f>HYPERLINK("https://twitter.com/sitiko_kom","@sitiko_kom")</f>
        <v>@sitiko_kom</v>
      </c>
      <c r="C18538" t="s">
        <v>6338</v>
      </c>
      <c r="D18538">
        <v>28</v>
      </c>
      <c r="E18538">
        <v>0</v>
      </c>
      <c r="F18538">
        <v>139</v>
      </c>
    </row>
    <row r="18539" spans="1:6" ht="12.75">
      <c r="A18539" s="2">
        <v>43876.910277777773</v>
      </c>
      <c r="B18539" t="str">
        <f>HYPERLINK("https://twitter.com/bibbidibbo","@bibbidibbo")</f>
        <v>@bibbidibbo</v>
      </c>
      <c r="C18539" t="s">
        <v>7154</v>
      </c>
      <c r="D18539">
        <v>32</v>
      </c>
      <c r="E18539">
        <v>0</v>
      </c>
      <c r="F18539">
        <v>11</v>
      </c>
    </row>
    <row r="18540" spans="1:6" ht="12.75">
      <c r="A18540" s="2">
        <v>43876.910266203704</v>
      </c>
      <c r="B18540" t="str">
        <f>HYPERLINK("https://twitter.com/tua_serdadu","@tua_serdadu")</f>
        <v>@tua_serdadu</v>
      </c>
      <c r="C18540" t="s">
        <v>7980</v>
      </c>
      <c r="D18540">
        <v>20</v>
      </c>
      <c r="E18540">
        <v>0</v>
      </c>
      <c r="F18540">
        <v>279</v>
      </c>
    </row>
    <row r="18541" spans="1:6" ht="12.75">
      <c r="A18541" s="2">
        <v>43876.910162037035</v>
      </c>
      <c r="B18541" t="str">
        <f>HYPERLINK("https://twitter.com/diniyyyyy","@diniyyyyy")</f>
        <v>@diniyyyyy</v>
      </c>
      <c r="C18541" t="s">
        <v>7905</v>
      </c>
      <c r="D18541">
        <v>20</v>
      </c>
      <c r="E18541">
        <v>0</v>
      </c>
      <c r="F18541">
        <v>2530</v>
      </c>
    </row>
    <row r="18542" spans="1:6" ht="12.75">
      <c r="A18542" s="2">
        <v>43876.909942129627</v>
      </c>
      <c r="B18542" t="str">
        <f>HYPERLINK("https://twitter.com/adrizal77","@adrizal77")</f>
        <v>@adrizal77</v>
      </c>
      <c r="C18542" t="s">
        <v>3059</v>
      </c>
      <c r="D18542">
        <v>265</v>
      </c>
      <c r="E18542">
        <v>0</v>
      </c>
      <c r="F18542">
        <v>41</v>
      </c>
    </row>
    <row r="18543" spans="1:6" ht="12.75">
      <c r="A18543" s="2">
        <v>43876.909930555557</v>
      </c>
      <c r="B18543" t="str">
        <f>HYPERLINK("https://twitter.com/GoTotheJek","@GoTotheJek")</f>
        <v>@GoTotheJek</v>
      </c>
      <c r="C18543" t="s">
        <v>8977</v>
      </c>
      <c r="D18543">
        <v>27</v>
      </c>
      <c r="E18543">
        <v>0</v>
      </c>
      <c r="F18543">
        <v>773</v>
      </c>
    </row>
    <row r="18544" spans="1:6" ht="12.75">
      <c r="A18544" s="2">
        <v>43876.909872685181</v>
      </c>
      <c r="B18544" t="str">
        <f>HYPERLINK("https://twitter.com/eindoneza","@eindoneza")</f>
        <v>@eindoneza</v>
      </c>
      <c r="C18544" t="s">
        <v>9371</v>
      </c>
      <c r="D18544">
        <v>0</v>
      </c>
      <c r="E18544">
        <v>0</v>
      </c>
      <c r="F18544">
        <v>24</v>
      </c>
    </row>
    <row r="18545" spans="1:6" ht="12.75">
      <c r="A18545" s="2">
        <v>43876.909861111111</v>
      </c>
      <c r="B18545" t="str">
        <f>HYPERLINK("https://twitter.com/ShelloSanto","@ShelloSanto")</f>
        <v>@ShelloSanto</v>
      </c>
      <c r="C18545" t="s">
        <v>6338</v>
      </c>
      <c r="D18545">
        <v>28</v>
      </c>
      <c r="E18545">
        <v>0</v>
      </c>
      <c r="F18545">
        <v>34</v>
      </c>
    </row>
    <row r="18546" spans="1:6" ht="12.75">
      <c r="A18546" s="2">
        <v>43876.909803240742</v>
      </c>
      <c r="B18546" t="str">
        <f>HYPERLINK("https://twitter.com/Aslipriok1973","@Aslipriok1973")</f>
        <v>@Aslipriok1973</v>
      </c>
      <c r="C18546" t="s">
        <v>6338</v>
      </c>
      <c r="D18546">
        <v>28</v>
      </c>
      <c r="E18546">
        <v>0</v>
      </c>
      <c r="F18546">
        <v>1396</v>
      </c>
    </row>
    <row r="18547" spans="1:6" ht="12.75">
      <c r="A18547" s="2">
        <v>43876.909363425926</v>
      </c>
      <c r="B18547" t="str">
        <f>HYPERLINK("https://twitter.com/ivooxid","@ivooxid")</f>
        <v>@ivooxid</v>
      </c>
      <c r="C18547" t="s">
        <v>9372</v>
      </c>
      <c r="D18547">
        <v>0</v>
      </c>
      <c r="E18547">
        <v>0</v>
      </c>
      <c r="F18547">
        <v>1429</v>
      </c>
    </row>
    <row r="18548" spans="1:6" ht="12.75">
      <c r="A18548" s="2">
        <v>43876.909039351856</v>
      </c>
      <c r="B18548" t="str">
        <f>HYPERLINK("https://twitter.com/search_notfound","@search_notfound")</f>
        <v>@search_notfound</v>
      </c>
      <c r="C18548" t="s">
        <v>6338</v>
      </c>
      <c r="D18548">
        <v>28</v>
      </c>
      <c r="E18548">
        <v>0</v>
      </c>
      <c r="F18548">
        <v>24</v>
      </c>
    </row>
    <row r="18549" spans="1:6" ht="12.75">
      <c r="A18549" s="2">
        <v>43876.909016203703</v>
      </c>
      <c r="B18549" t="str">
        <f>HYPERLINK("https://twitter.com/clownerstay","@clownerstay")</f>
        <v>@clownerstay</v>
      </c>
      <c r="C18549" t="s">
        <v>2444</v>
      </c>
      <c r="D18549">
        <v>4441</v>
      </c>
      <c r="E18549">
        <v>0</v>
      </c>
      <c r="F18549">
        <v>1571</v>
      </c>
    </row>
    <row r="18550" spans="1:6" ht="12.75">
      <c r="A18550" s="2">
        <v>43876.909016203703</v>
      </c>
      <c r="B18550" t="str">
        <f>HYPERLINK("https://twitter.com/agustin_sastra","@agustin_sastra")</f>
        <v>@agustin_sastra</v>
      </c>
      <c r="C18550" t="s">
        <v>8628</v>
      </c>
      <c r="D18550">
        <v>123</v>
      </c>
      <c r="E18550">
        <v>0</v>
      </c>
      <c r="F18550">
        <v>518</v>
      </c>
    </row>
    <row r="18551" spans="1:6" ht="12.75">
      <c r="A18551" s="2">
        <v>43876.876574074078</v>
      </c>
      <c r="B18551" t="str">
        <f>HYPERLINK("https://twitter.com/Fiki57504811","@Fiki57504811")</f>
        <v>@Fiki57504811</v>
      </c>
      <c r="C18551" t="s">
        <v>9373</v>
      </c>
      <c r="D18551">
        <v>96</v>
      </c>
      <c r="E18551">
        <v>0</v>
      </c>
      <c r="F18551">
        <v>1527</v>
      </c>
    </row>
    <row r="18552" spans="1:6" ht="12.75">
      <c r="A18552" s="2">
        <v>43876.876250000001</v>
      </c>
      <c r="B18552" t="str">
        <f>HYPERLINK("https://twitter.com/MazAlvin3","@MazAlvin3")</f>
        <v>@MazAlvin3</v>
      </c>
      <c r="C18552" t="s">
        <v>7980</v>
      </c>
      <c r="D18552">
        <v>7</v>
      </c>
      <c r="E18552">
        <v>0</v>
      </c>
      <c r="F18552">
        <v>186</v>
      </c>
    </row>
    <row r="18553" spans="1:6" ht="12.75">
      <c r="A18553" s="2">
        <v>43876.876076388886</v>
      </c>
      <c r="B18553" t="str">
        <f>HYPERLINK("https://twitter.com/jxnghyunn","@jxnghyunn")</f>
        <v>@jxnghyunn</v>
      </c>
      <c r="C18553" t="s">
        <v>175</v>
      </c>
      <c r="D18553">
        <v>5341</v>
      </c>
      <c r="E18553">
        <v>0</v>
      </c>
      <c r="F18553">
        <v>1980</v>
      </c>
    </row>
    <row r="18554" spans="1:6" ht="12.75">
      <c r="A18554" s="2">
        <v>43876.875868055555</v>
      </c>
      <c r="B18554" t="str">
        <f>HYPERLINK("https://twitter.com/KadrunJ","@KadrunJ")</f>
        <v>@KadrunJ</v>
      </c>
      <c r="C18554" t="s">
        <v>8977</v>
      </c>
      <c r="D18554">
        <v>9</v>
      </c>
      <c r="E18554">
        <v>0</v>
      </c>
      <c r="F18554">
        <v>369</v>
      </c>
    </row>
    <row r="18555" spans="1:6" ht="12.75">
      <c r="A18555" s="2">
        <v>43876.87563657407</v>
      </c>
      <c r="B18555" t="str">
        <f>HYPERLINK("https://twitter.com/henrypower307","@henrypower307")</f>
        <v>@henrypower307</v>
      </c>
      <c r="C18555" t="s">
        <v>175</v>
      </c>
      <c r="D18555">
        <v>5341</v>
      </c>
      <c r="E18555">
        <v>0</v>
      </c>
      <c r="F18555">
        <v>2</v>
      </c>
    </row>
    <row r="18556" spans="1:6" ht="12.75">
      <c r="A18556" s="2">
        <v>43876.87563657407</v>
      </c>
      <c r="B18556" t="str">
        <f>HYPERLINK("https://twitter.com/PrimaBerita","@PrimaBerita")</f>
        <v>@PrimaBerita</v>
      </c>
      <c r="C18556" t="s">
        <v>9374</v>
      </c>
      <c r="D18556">
        <v>0</v>
      </c>
      <c r="E18556">
        <v>0</v>
      </c>
      <c r="F18556">
        <v>65</v>
      </c>
    </row>
    <row r="18557" spans="1:6" ht="12.75">
      <c r="A18557" s="2">
        <v>43876.875416666662</v>
      </c>
      <c r="B18557" t="str">
        <f>HYPERLINK("https://twitter.com/purnomodidik83","@purnomodidik83")</f>
        <v>@purnomodidik83</v>
      </c>
      <c r="C18557" t="s">
        <v>9004</v>
      </c>
      <c r="D18557">
        <v>4</v>
      </c>
      <c r="E18557">
        <v>0</v>
      </c>
      <c r="F18557">
        <v>25</v>
      </c>
    </row>
    <row r="18558" spans="1:6" ht="12.75">
      <c r="A18558" s="2">
        <v>43876.87537037037</v>
      </c>
      <c r="B18558" t="str">
        <f>HYPERLINK("https://twitter.com/hanya_paa","@hanya_paa")</f>
        <v>@hanya_paa</v>
      </c>
      <c r="C18558" t="s">
        <v>9375</v>
      </c>
      <c r="D18558">
        <v>0</v>
      </c>
      <c r="E18558">
        <v>0</v>
      </c>
      <c r="F18558">
        <v>568</v>
      </c>
    </row>
    <row r="18559" spans="1:6" ht="12.75">
      <c r="A18559" s="2">
        <v>43876.875335648147</v>
      </c>
      <c r="B18559" t="str">
        <f>HYPERLINK("https://twitter.com/faridevich","@faridevich")</f>
        <v>@faridevich</v>
      </c>
      <c r="C18559" t="s">
        <v>6201</v>
      </c>
      <c r="D18559">
        <v>524</v>
      </c>
      <c r="E18559">
        <v>0</v>
      </c>
      <c r="F18559">
        <v>23</v>
      </c>
    </row>
    <row r="18560" spans="1:6" ht="12.75">
      <c r="A18560" s="2">
        <v>43876.875277777777</v>
      </c>
      <c r="B18560" t="str">
        <f>HYPERLINK("https://twitter.com/ICultivator","@ICultivator")</f>
        <v>@ICultivator</v>
      </c>
      <c r="C18560" t="s">
        <v>5168</v>
      </c>
      <c r="D18560">
        <v>1613</v>
      </c>
      <c r="E18560">
        <v>0</v>
      </c>
      <c r="F18560">
        <v>0</v>
      </c>
    </row>
    <row r="18561" spans="1:6" ht="12.75">
      <c r="A18561" s="2">
        <v>43876.875254629631</v>
      </c>
      <c r="B18561" t="str">
        <f>HYPERLINK("https://twitter.com/officialliputan","@officialliputan")</f>
        <v>@officialliputan</v>
      </c>
      <c r="C18561" t="s">
        <v>9376</v>
      </c>
      <c r="D18561">
        <v>0</v>
      </c>
      <c r="E18561">
        <v>0</v>
      </c>
      <c r="F18561">
        <v>667</v>
      </c>
    </row>
    <row r="18562" spans="1:6" ht="12.75">
      <c r="A18562" s="2">
        <v>43876.875219907408</v>
      </c>
      <c r="B18562" t="str">
        <f>HYPERLINK("https://twitter.com/politik_twit","@politik_twit")</f>
        <v>@politik_twit</v>
      </c>
      <c r="C18562" t="s">
        <v>9004</v>
      </c>
      <c r="D18562">
        <v>4</v>
      </c>
      <c r="E18562">
        <v>0</v>
      </c>
      <c r="F18562">
        <v>2104</v>
      </c>
    </row>
    <row r="18563" spans="1:6" ht="12.75">
      <c r="A18563" s="2">
        <v>43876.875208333338</v>
      </c>
      <c r="B18563" t="str">
        <f>HYPERLINK("https://twitter.com/nustya88","@nustya88")</f>
        <v>@nustya88</v>
      </c>
      <c r="C18563" t="s">
        <v>8726</v>
      </c>
      <c r="D18563">
        <v>1</v>
      </c>
      <c r="E18563">
        <v>0</v>
      </c>
      <c r="F18563">
        <v>101</v>
      </c>
    </row>
    <row r="18564" spans="1:6" ht="12.75">
      <c r="A18564" s="2">
        <v>43876.875173611115</v>
      </c>
      <c r="B18564" t="str">
        <f>HYPERLINK("https://twitter.com/nimidnec","@nimidnec")</f>
        <v>@nimidnec</v>
      </c>
      <c r="C18564" t="s">
        <v>8203</v>
      </c>
      <c r="D18564">
        <v>82</v>
      </c>
      <c r="E18564">
        <v>0</v>
      </c>
      <c r="F18564">
        <v>1066</v>
      </c>
    </row>
    <row r="18565" spans="1:6" ht="12.75">
      <c r="A18565" s="2">
        <v>43876.875173611115</v>
      </c>
      <c r="B18565" t="str">
        <f>HYPERLINK("https://twitter.com/kondekturbus_","@kondekturbus_")</f>
        <v>@kondekturbus_</v>
      </c>
      <c r="C18565" t="s">
        <v>9004</v>
      </c>
      <c r="D18565">
        <v>4</v>
      </c>
      <c r="E18565">
        <v>0</v>
      </c>
      <c r="F18565">
        <v>14085</v>
      </c>
    </row>
    <row r="18566" spans="1:6" ht="12.75">
      <c r="A18566" s="2">
        <v>43876.875138888892</v>
      </c>
      <c r="B18566" t="str">
        <f>HYPERLINK("https://twitter.com/mochinotchewy","@mochinotchewy")</f>
        <v>@mochinotchewy</v>
      </c>
      <c r="C18566" t="s">
        <v>7905</v>
      </c>
      <c r="D18566">
        <v>14</v>
      </c>
      <c r="E18566">
        <v>0</v>
      </c>
      <c r="F18566">
        <v>753</v>
      </c>
    </row>
    <row r="18567" spans="1:6" ht="12.75">
      <c r="A18567" s="2">
        <v>43876.875138888892</v>
      </c>
      <c r="B18567" t="str">
        <f>HYPERLINK("https://twitter.com/alvicooll","@alvicooll")</f>
        <v>@alvicooll</v>
      </c>
      <c r="C18567" t="s">
        <v>9377</v>
      </c>
      <c r="D18567">
        <v>25</v>
      </c>
      <c r="E18567">
        <v>0</v>
      </c>
      <c r="F18567">
        <v>396</v>
      </c>
    </row>
    <row r="18568" spans="1:6" ht="12.75">
      <c r="A18568" s="2">
        <v>43876.875127314815</v>
      </c>
      <c r="B18568" t="str">
        <f>HYPERLINK("https://twitter.com/nustya88","@nustya88")</f>
        <v>@nustya88</v>
      </c>
      <c r="C18568" t="s">
        <v>9378</v>
      </c>
      <c r="D18568">
        <v>1</v>
      </c>
      <c r="E18568">
        <v>1</v>
      </c>
      <c r="F18568">
        <v>101</v>
      </c>
    </row>
    <row r="18569" spans="1:6" ht="12.75">
      <c r="A18569" s="2">
        <v>43876.874976851846</v>
      </c>
      <c r="B18569" t="str">
        <f>HYPERLINK("https://twitter.com/ferisaragi1","@ferisaragi1")</f>
        <v>@ferisaragi1</v>
      </c>
      <c r="C18569" t="s">
        <v>9379</v>
      </c>
      <c r="D18569">
        <v>0</v>
      </c>
      <c r="E18569">
        <v>0</v>
      </c>
      <c r="F18569">
        <v>671</v>
      </c>
    </row>
    <row r="18570" spans="1:6" ht="12.75">
      <c r="A18570" s="2">
        <v>43876.874930555554</v>
      </c>
      <c r="B18570" t="str">
        <f>HYPERLINK("https://twitter.com/Aryprasetyo85","@Aryprasetyo85")</f>
        <v>@Aryprasetyo85</v>
      </c>
      <c r="C18570" t="s">
        <v>7980</v>
      </c>
      <c r="D18570">
        <v>7</v>
      </c>
      <c r="E18570">
        <v>0</v>
      </c>
      <c r="F18570">
        <v>38644</v>
      </c>
    </row>
    <row r="18571" spans="1:6" ht="12.75">
      <c r="A18571" s="2">
        <v>43876.874768518523</v>
      </c>
      <c r="B18571" t="str">
        <f>HYPERLINK("https://twitter.com/zulhendribasri2","@zulhendribasri2")</f>
        <v>@zulhendribasri2</v>
      </c>
      <c r="C18571" t="s">
        <v>9380</v>
      </c>
      <c r="D18571">
        <v>1</v>
      </c>
      <c r="E18571">
        <v>0</v>
      </c>
      <c r="F18571">
        <v>1505</v>
      </c>
    </row>
    <row r="18572" spans="1:6" ht="12.75">
      <c r="A18572" s="2">
        <v>43876.874768518523</v>
      </c>
      <c r="B18572" t="str">
        <f>HYPERLINK("https://twitter.com/Syarman59","@Syarman59")</f>
        <v>@Syarman59</v>
      </c>
      <c r="C18572" t="s">
        <v>9381</v>
      </c>
      <c r="D18572">
        <v>0</v>
      </c>
      <c r="E18572">
        <v>1</v>
      </c>
      <c r="F18572">
        <v>12409</v>
      </c>
    </row>
    <row r="18573" spans="1:6" ht="12.75">
      <c r="A18573" s="2">
        <v>43876.874432870369</v>
      </c>
      <c r="B18573" t="str">
        <f>HYPERLINK("https://twitter.com/zulhendribasri2","@zulhendribasri2")</f>
        <v>@zulhendribasri2</v>
      </c>
      <c r="C18573" t="s">
        <v>9382</v>
      </c>
      <c r="D18573">
        <v>1</v>
      </c>
      <c r="E18573">
        <v>2</v>
      </c>
      <c r="F18573">
        <v>1505</v>
      </c>
    </row>
    <row r="18574" spans="1:6" ht="12.75">
      <c r="A18574" s="2">
        <v>43876.874374999999</v>
      </c>
      <c r="B18574" t="str">
        <f>HYPERLINK("https://twitter.com/piiluss","@piiluss")</f>
        <v>@piiluss</v>
      </c>
      <c r="C18574" t="s">
        <v>9383</v>
      </c>
      <c r="D18574">
        <v>0</v>
      </c>
      <c r="E18574">
        <v>0</v>
      </c>
      <c r="F18574">
        <v>1925</v>
      </c>
    </row>
    <row r="18575" spans="1:6" ht="12.75">
      <c r="A18575" s="2">
        <v>43876.87427083333</v>
      </c>
      <c r="B18575" t="str">
        <f>HYPERLINK("https://twitter.com/sibrenkseck","@sibrenkseck")</f>
        <v>@sibrenkseck</v>
      </c>
      <c r="C18575" t="s">
        <v>2444</v>
      </c>
      <c r="D18575">
        <v>4428</v>
      </c>
      <c r="E18575">
        <v>0</v>
      </c>
      <c r="F18575">
        <v>29</v>
      </c>
    </row>
    <row r="18576" spans="1:6" ht="12.75">
      <c r="A18576" s="2">
        <v>43876.874166666668</v>
      </c>
      <c r="B18576" t="str">
        <f>HYPERLINK("https://twitter.com/cintada17","@cintada17")</f>
        <v>@cintada17</v>
      </c>
      <c r="C18576" t="s">
        <v>7980</v>
      </c>
      <c r="D18576">
        <v>7</v>
      </c>
      <c r="E18576">
        <v>0</v>
      </c>
      <c r="F18576">
        <v>7387</v>
      </c>
    </row>
    <row r="18577" spans="1:6" ht="12.75">
      <c r="A18577" s="2">
        <v>43876.874166666668</v>
      </c>
      <c r="B18577" t="str">
        <f>HYPERLINK("https://twitter.com/AnnHornigold","@AnnHornigold")</f>
        <v>@AnnHornigold</v>
      </c>
      <c r="C18577" t="s">
        <v>3150</v>
      </c>
      <c r="D18577">
        <v>171</v>
      </c>
      <c r="E18577">
        <v>0</v>
      </c>
      <c r="F18577">
        <v>212</v>
      </c>
    </row>
    <row r="18578" spans="1:6" ht="12.75">
      <c r="A18578" s="2">
        <v>43876.874027777776</v>
      </c>
      <c r="B18578" t="str">
        <f>HYPERLINK("https://twitter.com/NJunawar","@NJunawar")</f>
        <v>@NJunawar</v>
      </c>
      <c r="C18578" t="s">
        <v>7261</v>
      </c>
      <c r="D18578">
        <v>68</v>
      </c>
      <c r="E18578">
        <v>0</v>
      </c>
      <c r="F18578">
        <v>28</v>
      </c>
    </row>
    <row r="18579" spans="1:6" ht="12.75">
      <c r="A18579" s="2">
        <v>43876.87394675926</v>
      </c>
      <c r="B18579" t="str">
        <f>HYPERLINK("https://twitter.com/BadjaNuswantara","@BadjaNuswantara")</f>
        <v>@BadjaNuswantara</v>
      </c>
      <c r="C18579" t="s">
        <v>7980</v>
      </c>
      <c r="D18579">
        <v>7</v>
      </c>
      <c r="E18579">
        <v>0</v>
      </c>
      <c r="F18579">
        <v>42356</v>
      </c>
    </row>
    <row r="18580" spans="1:6" ht="12.75">
      <c r="A18580" s="2">
        <v>43876.873819444445</v>
      </c>
      <c r="B18580" t="str">
        <f>HYPERLINK("https://twitter.com/deapypy","@deapypy")</f>
        <v>@deapypy</v>
      </c>
      <c r="C18580" t="s">
        <v>9384</v>
      </c>
      <c r="D18580">
        <v>0</v>
      </c>
      <c r="E18580">
        <v>0</v>
      </c>
      <c r="F18580">
        <v>182</v>
      </c>
    </row>
    <row r="18581" spans="1:6" ht="12.75">
      <c r="A18581" s="2">
        <v>43876.873807870375</v>
      </c>
      <c r="B18581" t="str">
        <f>HYPERLINK("https://twitter.com/shabirun_husnum","@shabirun_husnum")</f>
        <v>@shabirun_husnum</v>
      </c>
      <c r="C18581" t="s">
        <v>9385</v>
      </c>
      <c r="D18581">
        <v>0</v>
      </c>
      <c r="E18581">
        <v>0</v>
      </c>
      <c r="F18581">
        <v>367</v>
      </c>
    </row>
    <row r="18582" spans="1:6" ht="12.75">
      <c r="A18582" s="2">
        <v>43876.873796296291</v>
      </c>
      <c r="B18582" t="str">
        <f>HYPERLINK("https://twitter.com/jawapos","@jawapos")</f>
        <v>@jawapos</v>
      </c>
      <c r="C18582" t="s">
        <v>9386</v>
      </c>
      <c r="D18582">
        <v>0</v>
      </c>
      <c r="E18582">
        <v>0</v>
      </c>
      <c r="F18582">
        <v>116985</v>
      </c>
    </row>
    <row r="18583" spans="1:6" ht="12.75">
      <c r="A18583" s="2">
        <v>43876.873738425929</v>
      </c>
      <c r="B18583" t="str">
        <f>HYPERLINK("https://twitter.com/CDRW7105","@CDRW7105")</f>
        <v>@CDRW7105</v>
      </c>
      <c r="C18583" t="s">
        <v>2444</v>
      </c>
      <c r="D18583">
        <v>4428</v>
      </c>
      <c r="E18583">
        <v>0</v>
      </c>
      <c r="F18583">
        <v>676</v>
      </c>
    </row>
    <row r="18584" spans="1:6" ht="12.75">
      <c r="A18584" s="2">
        <v>43876.873530092591</v>
      </c>
      <c r="B18584" t="str">
        <f>HYPERLINK("https://twitter.com/BaliHanafi","@BaliHanafi")</f>
        <v>@BaliHanafi</v>
      </c>
      <c r="C18584" t="s">
        <v>8650</v>
      </c>
      <c r="D18584">
        <v>75</v>
      </c>
      <c r="E18584">
        <v>0</v>
      </c>
      <c r="F18584">
        <v>402</v>
      </c>
    </row>
    <row r="18585" spans="1:6" ht="12.75">
      <c r="A18585" s="2">
        <v>43876.873252314814</v>
      </c>
      <c r="B18585" t="str">
        <f>HYPERLINK("https://twitter.com/aintkentangtho","@aintkentangtho")</f>
        <v>@aintkentangtho</v>
      </c>
      <c r="C18585" t="s">
        <v>2444</v>
      </c>
      <c r="D18585">
        <v>4428</v>
      </c>
      <c r="E18585">
        <v>0</v>
      </c>
      <c r="F18585">
        <v>22</v>
      </c>
    </row>
    <row r="18586" spans="1:6" ht="12.75">
      <c r="A18586" s="2">
        <v>43876.872870370367</v>
      </c>
      <c r="B18586" t="str">
        <f>HYPERLINK("https://twitter.com/luthfianilufi","@luthfianilufi")</f>
        <v>@luthfianilufi</v>
      </c>
      <c r="C18586" t="s">
        <v>9387</v>
      </c>
      <c r="D18586">
        <v>0</v>
      </c>
      <c r="E18586">
        <v>0</v>
      </c>
      <c r="F18586">
        <v>127</v>
      </c>
    </row>
    <row r="18587" spans="1:6" ht="12.75">
      <c r="A18587" s="2">
        <v>43876.872615740736</v>
      </c>
      <c r="B18587" t="str">
        <f>HYPERLINK("https://twitter.com/EndriyonoTri","@EndriyonoTri")</f>
        <v>@EndriyonoTri</v>
      </c>
      <c r="C18587" t="s">
        <v>6201</v>
      </c>
      <c r="D18587">
        <v>524</v>
      </c>
      <c r="E18587">
        <v>0</v>
      </c>
      <c r="F18587">
        <v>671</v>
      </c>
    </row>
    <row r="18588" spans="1:6" ht="12.75">
      <c r="A18588" s="2">
        <v>43876.872604166667</v>
      </c>
      <c r="B18588" t="str">
        <f>HYPERLINK("https://twitter.com/azkaSullamul","@azkaSullamul")</f>
        <v>@azkaSullamul</v>
      </c>
      <c r="C18588" t="s">
        <v>9388</v>
      </c>
      <c r="D18588">
        <v>347</v>
      </c>
      <c r="E18588">
        <v>0</v>
      </c>
      <c r="F18588">
        <v>59</v>
      </c>
    </row>
    <row r="18589" spans="1:6" ht="12.75">
      <c r="A18589" s="2">
        <v>43876.872523148151</v>
      </c>
      <c r="B18589" t="str">
        <f>HYPERLINK("https://twitter.com/SabangMerauke08","@SabangMerauke08")</f>
        <v>@SabangMerauke08</v>
      </c>
      <c r="C18589" t="s">
        <v>9389</v>
      </c>
      <c r="D18589">
        <v>72</v>
      </c>
      <c r="E18589">
        <v>0</v>
      </c>
      <c r="F18589">
        <v>1745</v>
      </c>
    </row>
    <row r="18590" spans="1:6" ht="12.75">
      <c r="A18590" s="2">
        <v>43876.872499999998</v>
      </c>
      <c r="B18590" t="str">
        <f>HYPERLINK("https://twitter.com/anton_bangka","@anton_bangka")</f>
        <v>@anton_bangka</v>
      </c>
      <c r="C18590" t="s">
        <v>9091</v>
      </c>
      <c r="D18590">
        <v>22</v>
      </c>
      <c r="E18590">
        <v>0</v>
      </c>
      <c r="F18590">
        <v>727</v>
      </c>
    </row>
    <row r="18591" spans="1:6" ht="12.75">
      <c r="A18591" s="2">
        <v>43876.872465277775</v>
      </c>
      <c r="B18591" t="str">
        <f>HYPERLINK("https://twitter.com/satidatuak2","@satidatuak2")</f>
        <v>@satidatuak2</v>
      </c>
      <c r="C18591" t="s">
        <v>7261</v>
      </c>
      <c r="D18591">
        <v>68</v>
      </c>
      <c r="E18591">
        <v>0</v>
      </c>
      <c r="F18591">
        <v>1010</v>
      </c>
    </row>
    <row r="18592" spans="1:6" ht="12.75">
      <c r="A18592" s="2">
        <v>43876.872465277775</v>
      </c>
      <c r="B18592" t="str">
        <f>HYPERLINK("https://twitter.com/AnsorKecRakit","@AnsorKecRakit")</f>
        <v>@AnsorKecRakit</v>
      </c>
      <c r="C18592" t="s">
        <v>9390</v>
      </c>
      <c r="D18592">
        <v>0</v>
      </c>
      <c r="E18592">
        <v>1</v>
      </c>
      <c r="F18592">
        <v>909</v>
      </c>
    </row>
    <row r="18593" spans="1:6" ht="12.75">
      <c r="A18593" s="2">
        <v>43876.872233796297</v>
      </c>
      <c r="B18593" t="str">
        <f>HYPERLINK("https://twitter.com/kompascom","@kompascom")</f>
        <v>@kompascom</v>
      </c>
      <c r="C18593" t="s">
        <v>9391</v>
      </c>
      <c r="D18593">
        <v>1</v>
      </c>
      <c r="E18593">
        <v>0</v>
      </c>
      <c r="F18593">
        <v>7498776</v>
      </c>
    </row>
    <row r="18594" spans="1:6" ht="12.75">
      <c r="A18594" s="2">
        <v>43876.872233796297</v>
      </c>
      <c r="B18594" t="str">
        <f>HYPERLINK("https://twitter.com/BNPB_Indonesia","@BNPB_Indonesia")</f>
        <v>@BNPB_Indonesia</v>
      </c>
      <c r="C18594" t="s">
        <v>9392</v>
      </c>
      <c r="D18594">
        <v>4</v>
      </c>
      <c r="E18594">
        <v>6</v>
      </c>
      <c r="F18594">
        <v>226189</v>
      </c>
    </row>
    <row r="18595" spans="1:6" ht="12.75">
      <c r="A18595" s="2">
        <v>43876.872094907405</v>
      </c>
      <c r="B18595" t="str">
        <f>HYPERLINK("https://twitter.com/fghar135","@fghar135")</f>
        <v>@fghar135</v>
      </c>
      <c r="C18595" t="s">
        <v>9393</v>
      </c>
      <c r="D18595">
        <v>0</v>
      </c>
      <c r="E18595">
        <v>0</v>
      </c>
      <c r="F18595">
        <v>171</v>
      </c>
    </row>
    <row r="18596" spans="1:6" ht="12.75">
      <c r="A18596" s="2">
        <v>43876.871967592597</v>
      </c>
      <c r="B18596" t="str">
        <f>HYPERLINK("https://twitter.com/prima_indria","@prima_indria")</f>
        <v>@prima_indria</v>
      </c>
      <c r="C18596" t="s">
        <v>9394</v>
      </c>
      <c r="D18596">
        <v>0</v>
      </c>
      <c r="E18596">
        <v>0</v>
      </c>
      <c r="F18596">
        <v>567</v>
      </c>
    </row>
    <row r="18597" spans="1:6" ht="12.75">
      <c r="A18597" s="2">
        <v>43876.871932870374</v>
      </c>
      <c r="B18597" t="str">
        <f>HYPERLINK("https://twitter.com/92or91","@92or91")</f>
        <v>@92or91</v>
      </c>
      <c r="C18597" t="s">
        <v>9395</v>
      </c>
      <c r="D18597">
        <v>0</v>
      </c>
      <c r="E18597">
        <v>0</v>
      </c>
      <c r="F18597">
        <v>46</v>
      </c>
    </row>
    <row r="18598" spans="1:6" ht="12.75">
      <c r="A18598" s="2">
        <v>43876.871898148151</v>
      </c>
      <c r="B18598" t="str">
        <f>HYPERLINK("https://twitter.com/kompasiana","@kompasiana")</f>
        <v>@kompasiana</v>
      </c>
      <c r="C18598" t="s">
        <v>9396</v>
      </c>
      <c r="D18598">
        <v>1</v>
      </c>
      <c r="E18598">
        <v>0</v>
      </c>
      <c r="F18598">
        <v>928096</v>
      </c>
    </row>
    <row r="18599" spans="1:6" ht="12.75">
      <c r="A18599" s="2">
        <v>43876.871898148151</v>
      </c>
      <c r="B18599" t="str">
        <f>HYPERLINK("https://twitter.com/naturapersada","@naturapersada")</f>
        <v>@naturapersada</v>
      </c>
      <c r="C18599" t="s">
        <v>9107</v>
      </c>
      <c r="D18599">
        <v>0</v>
      </c>
      <c r="E18599">
        <v>0</v>
      </c>
      <c r="F18599">
        <v>1616</v>
      </c>
    </row>
    <row r="18600" spans="1:6" ht="12.75">
      <c r="A18600" s="2">
        <v>43876.871724537035</v>
      </c>
      <c r="B18600" t="str">
        <f>HYPERLINK("https://twitter.com/arm4di0n","@arm4di0n")</f>
        <v>@arm4di0n</v>
      </c>
      <c r="C18600" t="s">
        <v>3059</v>
      </c>
      <c r="D18600">
        <v>260</v>
      </c>
      <c r="E18600">
        <v>0</v>
      </c>
      <c r="F18600">
        <v>571</v>
      </c>
    </row>
    <row r="18601" spans="1:6" ht="12.75">
      <c r="A18601" s="2">
        <v>43876.871678240743</v>
      </c>
      <c r="B18601" t="str">
        <f>HYPERLINK("https://twitter.com/_wni_","@_wni_")</f>
        <v>@_wni_</v>
      </c>
      <c r="C18601" t="s">
        <v>9397</v>
      </c>
      <c r="D18601">
        <v>0</v>
      </c>
      <c r="E18601">
        <v>0</v>
      </c>
      <c r="F18601">
        <v>8</v>
      </c>
    </row>
    <row r="18602" spans="1:6" ht="12.75">
      <c r="A18602" s="2">
        <v>43876.871655092589</v>
      </c>
      <c r="B18602" t="str">
        <f>HYPERLINK("https://twitter.com/dyonisk","@dyonisk")</f>
        <v>@dyonisk</v>
      </c>
      <c r="C18602" t="s">
        <v>7154</v>
      </c>
      <c r="D18602">
        <v>25</v>
      </c>
      <c r="E18602">
        <v>0</v>
      </c>
      <c r="F18602">
        <v>566</v>
      </c>
    </row>
    <row r="18603" spans="1:6" ht="12.75">
      <c r="A18603" s="2">
        <v>43876.87127314815</v>
      </c>
      <c r="B18603" t="str">
        <f>HYPERLINK("https://twitter.com/milano_ruas","@milano_ruas")</f>
        <v>@milano_ruas</v>
      </c>
      <c r="C18603" t="s">
        <v>7987</v>
      </c>
      <c r="D18603">
        <v>6</v>
      </c>
      <c r="E18603">
        <v>0</v>
      </c>
      <c r="F18603">
        <v>902</v>
      </c>
    </row>
    <row r="18604" spans="1:6" ht="12.75">
      <c r="A18604" s="2">
        <v>43876.87122685185</v>
      </c>
      <c r="B18604" t="str">
        <f>HYPERLINK("https://twitter.com/adeteriyanaa","@adeteriyanaa")</f>
        <v>@adeteriyanaa</v>
      </c>
      <c r="C18604" t="s">
        <v>7980</v>
      </c>
      <c r="D18604">
        <v>7</v>
      </c>
      <c r="E18604">
        <v>0</v>
      </c>
      <c r="F18604">
        <v>769</v>
      </c>
    </row>
    <row r="18605" spans="1:6" ht="12.75">
      <c r="A18605" s="2">
        <v>43876.87100694445</v>
      </c>
      <c r="B18605" t="str">
        <f>HYPERLINK("https://twitter.com/bffb300aff02425","@bffb300aff02425")</f>
        <v>@bffb300aff02425</v>
      </c>
      <c r="C18605" t="s">
        <v>8103</v>
      </c>
      <c r="D18605">
        <v>12</v>
      </c>
      <c r="E18605">
        <v>0</v>
      </c>
      <c r="F18605">
        <v>510</v>
      </c>
    </row>
    <row r="18606" spans="1:6" ht="12.75">
      <c r="A18606" s="2">
        <v>43876.870972222227</v>
      </c>
      <c r="B18606" t="str">
        <f>HYPERLINK("https://twitter.com/pegasusmerdeka","@pegasusmerdeka")</f>
        <v>@pegasusmerdeka</v>
      </c>
      <c r="C18606" t="s">
        <v>7261</v>
      </c>
      <c r="D18606">
        <v>68</v>
      </c>
      <c r="E18606">
        <v>0</v>
      </c>
      <c r="F18606">
        <v>164</v>
      </c>
    </row>
    <row r="18607" spans="1:6" ht="12.75">
      <c r="A18607" s="2">
        <v>43876.870659722219</v>
      </c>
      <c r="B18607" t="str">
        <f>HYPERLINK("https://twitter.com/ramadhanrizal","@ramadhanrizal")</f>
        <v>@ramadhanrizal</v>
      </c>
      <c r="C18607" t="s">
        <v>9398</v>
      </c>
      <c r="D18607">
        <v>0</v>
      </c>
      <c r="E18607">
        <v>0</v>
      </c>
      <c r="F18607">
        <v>190</v>
      </c>
    </row>
    <row r="18608" spans="1:6" ht="12.75">
      <c r="A18608" s="2">
        <v>43876.87054398148</v>
      </c>
      <c r="B18608" t="str">
        <f>HYPERLINK("https://twitter.com/harsohananto","@harsohananto")</f>
        <v>@harsohananto</v>
      </c>
      <c r="C18608" t="s">
        <v>7261</v>
      </c>
      <c r="D18608">
        <v>68</v>
      </c>
      <c r="E18608">
        <v>0</v>
      </c>
      <c r="F18608">
        <v>631</v>
      </c>
    </row>
    <row r="18609" spans="1:6" ht="12.75">
      <c r="A18609" s="2">
        <v>43876.870462962965</v>
      </c>
      <c r="B18609" t="str">
        <f>HYPERLINK("https://twitter.com/rezkiSR1","@rezkiSR1")</f>
        <v>@rezkiSR1</v>
      </c>
      <c r="C18609" t="s">
        <v>2147</v>
      </c>
      <c r="D18609">
        <v>415</v>
      </c>
      <c r="E18609">
        <v>0</v>
      </c>
      <c r="F18609">
        <v>15</v>
      </c>
    </row>
    <row r="18610" spans="1:6" ht="12.75">
      <c r="A18610" s="2">
        <v>43876.870393518519</v>
      </c>
      <c r="B18610" t="str">
        <f>HYPERLINK("https://twitter.com/555masteng","@555masteng")</f>
        <v>@555masteng</v>
      </c>
      <c r="C18610" t="s">
        <v>2147</v>
      </c>
      <c r="D18610">
        <v>415</v>
      </c>
      <c r="E18610">
        <v>0</v>
      </c>
      <c r="F18610">
        <v>5201</v>
      </c>
    </row>
    <row r="18611" spans="1:6" ht="12.75">
      <c r="A18611" s="2">
        <v>43876.870266203703</v>
      </c>
      <c r="B18611" t="str">
        <f>HYPERLINK("https://twitter.com/rubenjuninho","@rubenjuninho")</f>
        <v>@rubenjuninho</v>
      </c>
      <c r="C18611" t="s">
        <v>5168</v>
      </c>
      <c r="D18611">
        <v>1613</v>
      </c>
      <c r="E18611">
        <v>0</v>
      </c>
      <c r="F18611">
        <v>306</v>
      </c>
    </row>
    <row r="18612" spans="1:6" ht="12.75">
      <c r="A18612" s="2">
        <v>43876.870138888888</v>
      </c>
      <c r="B18612" t="str">
        <f>HYPERLINK("https://twitter.com/Syahmi_Paan","@Syahmi_Paan")</f>
        <v>@Syahmi_Paan</v>
      </c>
      <c r="C18612" t="s">
        <v>9399</v>
      </c>
      <c r="D18612">
        <v>0</v>
      </c>
      <c r="E18612">
        <v>0</v>
      </c>
      <c r="F18612">
        <v>1698</v>
      </c>
    </row>
    <row r="18613" spans="1:6" ht="12.75">
      <c r="A18613" s="2">
        <v>43876.870104166665</v>
      </c>
      <c r="B18613" t="str">
        <f>HYPERLINK("https://twitter.com/HarisAdulH","@HarisAdulH")</f>
        <v>@HarisAdulH</v>
      </c>
      <c r="C18613" t="s">
        <v>9400</v>
      </c>
      <c r="D18613">
        <v>0</v>
      </c>
      <c r="E18613">
        <v>0</v>
      </c>
      <c r="F18613">
        <v>23</v>
      </c>
    </row>
    <row r="18614" spans="1:6" ht="12.75">
      <c r="A18614" s="2">
        <v>43876.869930555556</v>
      </c>
      <c r="B18614" t="str">
        <f>HYPERLINK("https://twitter.com/pencinta_tobat","@pencinta_tobat")</f>
        <v>@pencinta_tobat</v>
      </c>
      <c r="C18614" t="s">
        <v>8754</v>
      </c>
      <c r="D18614">
        <v>92</v>
      </c>
      <c r="E18614">
        <v>0</v>
      </c>
      <c r="F18614">
        <v>1123</v>
      </c>
    </row>
    <row r="18615" spans="1:6" ht="12.75">
      <c r="A18615" s="2">
        <v>43876.86990740741</v>
      </c>
      <c r="B18615" t="str">
        <f>HYPERLINK("https://twitter.com/dolarnyasuho","@dolarnyasuho")</f>
        <v>@dolarnyasuho</v>
      </c>
      <c r="C18615" t="s">
        <v>2444</v>
      </c>
      <c r="D18615">
        <v>4428</v>
      </c>
      <c r="E18615">
        <v>0</v>
      </c>
      <c r="F18615">
        <v>1059</v>
      </c>
    </row>
    <row r="18616" spans="1:6" ht="12.75">
      <c r="A18616" s="2">
        <v>43876.869872685187</v>
      </c>
      <c r="B18616" t="str">
        <f>HYPERLINK("https://twitter.com/Aryprasetyo85","@Aryprasetyo85")</f>
        <v>@Aryprasetyo85</v>
      </c>
      <c r="C18616" t="s">
        <v>9401</v>
      </c>
      <c r="D18616">
        <v>1</v>
      </c>
      <c r="E18616">
        <v>3</v>
      </c>
      <c r="F18616">
        <v>38644</v>
      </c>
    </row>
    <row r="18617" spans="1:6" ht="12.75">
      <c r="A18617" s="2">
        <v>43876.869675925926</v>
      </c>
      <c r="B18617" t="str">
        <f>HYPERLINK("https://twitter.com/AyoJKW","@AyoJKW")</f>
        <v>@AyoJKW</v>
      </c>
      <c r="C18617" t="s">
        <v>9402</v>
      </c>
      <c r="D18617">
        <v>0</v>
      </c>
      <c r="E18617">
        <v>0</v>
      </c>
      <c r="F18617">
        <v>57</v>
      </c>
    </row>
    <row r="18618" spans="1:6" ht="12.75">
      <c r="A18618" s="2">
        <v>43876.869571759264</v>
      </c>
      <c r="B18618" t="str">
        <f>HYPERLINK("https://twitter.com/githarizki","@githarizki")</f>
        <v>@githarizki</v>
      </c>
      <c r="C18618" t="s">
        <v>9403</v>
      </c>
      <c r="D18618">
        <v>11</v>
      </c>
      <c r="E18618">
        <v>0</v>
      </c>
      <c r="F18618">
        <v>712</v>
      </c>
    </row>
    <row r="18619" spans="1:6" ht="12.75">
      <c r="A18619" s="2">
        <v>43876.869479166664</v>
      </c>
      <c r="B18619" t="str">
        <f>HYPERLINK("https://twitter.com/susidawa","@susidawa")</f>
        <v>@susidawa</v>
      </c>
      <c r="C18619" t="s">
        <v>9404</v>
      </c>
      <c r="D18619">
        <v>0</v>
      </c>
      <c r="E18619">
        <v>0</v>
      </c>
      <c r="F18619">
        <v>97</v>
      </c>
    </row>
    <row r="18620" spans="1:6" ht="12.75">
      <c r="A18620" s="2">
        <v>43876.869409722218</v>
      </c>
      <c r="B18620" t="str">
        <f>HYPERLINK("https://twitter.com/RuSoet118","@RuSoet118")</f>
        <v>@RuSoet118</v>
      </c>
      <c r="C18620" t="s">
        <v>9405</v>
      </c>
      <c r="D18620">
        <v>4</v>
      </c>
      <c r="E18620">
        <v>0</v>
      </c>
      <c r="F18620">
        <v>60</v>
      </c>
    </row>
    <row r="18621" spans="1:6" ht="12.75">
      <c r="A18621" s="2">
        <v>43876.869351851856</v>
      </c>
      <c r="B18621" t="str">
        <f>HYPERLINK("https://twitter.com/rezacaco","@rezacaco")</f>
        <v>@rezacaco</v>
      </c>
      <c r="C18621" t="s">
        <v>2147</v>
      </c>
      <c r="D18621">
        <v>415</v>
      </c>
      <c r="E18621">
        <v>0</v>
      </c>
      <c r="F18621">
        <v>293</v>
      </c>
    </row>
    <row r="18622" spans="1:6" ht="12.75">
      <c r="A18622" s="2">
        <v>43876.869340277779</v>
      </c>
      <c r="B18622" t="str">
        <f>HYPERLINK("https://twitter.com/zenoldgonzalez","@zenoldgonzalez")</f>
        <v>@zenoldgonzalez</v>
      </c>
      <c r="C18622" t="s">
        <v>9406</v>
      </c>
      <c r="D18622">
        <v>1</v>
      </c>
      <c r="E18622">
        <v>0</v>
      </c>
      <c r="F18622">
        <v>1902</v>
      </c>
    </row>
    <row r="18623" spans="1:6" ht="12.75">
      <c r="A18623" s="2">
        <v>43876.869224537033</v>
      </c>
      <c r="B18623" t="str">
        <f>HYPERLINK("https://twitter.com/Hariyanto152","@Hariyanto152")</f>
        <v>@Hariyanto152</v>
      </c>
      <c r="C18623" t="s">
        <v>9407</v>
      </c>
      <c r="D18623">
        <v>0</v>
      </c>
      <c r="E18623">
        <v>2</v>
      </c>
      <c r="F18623">
        <v>3589</v>
      </c>
    </row>
    <row r="18624" spans="1:6" ht="12.75">
      <c r="A18624" s="2">
        <v>43876.868981481486</v>
      </c>
      <c r="B18624" t="str">
        <f>HYPERLINK("https://twitter.com/okezonenews","@okezonenews")</f>
        <v>@okezonenews</v>
      </c>
      <c r="C18624" t="s">
        <v>9408</v>
      </c>
      <c r="D18624">
        <v>0</v>
      </c>
      <c r="E18624">
        <v>2</v>
      </c>
      <c r="F18624">
        <v>1743844</v>
      </c>
    </row>
    <row r="18625" spans="1:6" ht="12.75">
      <c r="A18625" s="2">
        <v>43876.868888888886</v>
      </c>
      <c r="B18625" t="str">
        <f>HYPERLINK("https://twitter.com/irmanovietas","@irmanovietas")</f>
        <v>@irmanovietas</v>
      </c>
      <c r="C18625" t="s">
        <v>9409</v>
      </c>
      <c r="D18625">
        <v>0</v>
      </c>
      <c r="E18625">
        <v>0</v>
      </c>
      <c r="F18625">
        <v>50</v>
      </c>
    </row>
    <row r="18626" spans="1:6" ht="12.75">
      <c r="A18626" s="2">
        <v>43876.868680555555</v>
      </c>
      <c r="B18626" t="str">
        <f>HYPERLINK("https://twitter.com/KevinElsmore","@KevinElsmore")</f>
        <v>@KevinElsmore</v>
      </c>
      <c r="C18626" t="s">
        <v>3150</v>
      </c>
      <c r="D18626">
        <v>171</v>
      </c>
      <c r="E18626">
        <v>0</v>
      </c>
      <c r="F18626">
        <v>354</v>
      </c>
    </row>
    <row r="18627" spans="1:6" ht="12.75">
      <c r="A18627" s="2">
        <v>43876.868657407409</v>
      </c>
      <c r="B18627" t="str">
        <f>HYPERLINK("https://twitter.com/__Ariadi","@__Ariadi")</f>
        <v>@__Ariadi</v>
      </c>
      <c r="C18627" t="s">
        <v>2147</v>
      </c>
      <c r="D18627">
        <v>415</v>
      </c>
      <c r="E18627">
        <v>0</v>
      </c>
      <c r="F18627">
        <v>313</v>
      </c>
    </row>
    <row r="18628" spans="1:6" ht="12.75">
      <c r="A18628" s="2">
        <v>43876.868657407409</v>
      </c>
      <c r="B18628" t="str">
        <f>HYPERLINK("https://twitter.com/cintada17","@cintada17")</f>
        <v>@cintada17</v>
      </c>
      <c r="C18628" t="s">
        <v>9360</v>
      </c>
      <c r="D18628">
        <v>2</v>
      </c>
      <c r="E18628">
        <v>0</v>
      </c>
      <c r="F18628">
        <v>7387</v>
      </c>
    </row>
    <row r="18629" spans="1:6" ht="12.75">
      <c r="A18629" s="2">
        <v>43876.868634259255</v>
      </c>
      <c r="B18629" t="str">
        <f>HYPERLINK("https://twitter.com/yeolilbae","@yeolilbae")</f>
        <v>@yeolilbae</v>
      </c>
      <c r="C18629" t="s">
        <v>2444</v>
      </c>
      <c r="D18629">
        <v>4428</v>
      </c>
      <c r="E18629">
        <v>0</v>
      </c>
      <c r="F18629">
        <v>1818</v>
      </c>
    </row>
    <row r="18630" spans="1:6" ht="12.75">
      <c r="A18630" s="2">
        <v>43876.86854166667</v>
      </c>
      <c r="B18630" t="str">
        <f>HYPERLINK("https://twitter.com/AzizahMum","@AzizahMum")</f>
        <v>@AzizahMum</v>
      </c>
      <c r="C18630" t="s">
        <v>2444</v>
      </c>
      <c r="D18630">
        <v>4428</v>
      </c>
      <c r="E18630">
        <v>0</v>
      </c>
      <c r="F18630">
        <v>355</v>
      </c>
    </row>
    <row r="18631" spans="1:6" ht="12.75">
      <c r="A18631" s="2">
        <v>43876.868391203709</v>
      </c>
      <c r="B18631" t="str">
        <f>HYPERLINK("https://twitter.com/KEZIAAM0UR","@KEZIAAM0UR")</f>
        <v>@KEZIAAM0UR</v>
      </c>
      <c r="C18631" t="s">
        <v>9410</v>
      </c>
      <c r="D18631">
        <v>0</v>
      </c>
      <c r="E18631">
        <v>0</v>
      </c>
      <c r="F18631">
        <v>99</v>
      </c>
    </row>
    <row r="18632" spans="1:6" ht="12.75">
      <c r="A18632" s="2">
        <v>43876.868263888886</v>
      </c>
      <c r="B18632" t="str">
        <f>HYPERLINK("https://twitter.com/ben_juventino","@ben_juventino")</f>
        <v>@ben_juventino</v>
      </c>
      <c r="C18632" t="s">
        <v>9411</v>
      </c>
      <c r="D18632">
        <v>4</v>
      </c>
      <c r="E18632">
        <v>0</v>
      </c>
      <c r="F18632">
        <v>210</v>
      </c>
    </row>
    <row r="18633" spans="1:6" ht="12.75">
      <c r="A18633" s="2">
        <v>43876.868252314816</v>
      </c>
      <c r="B18633" t="str">
        <f>HYPERLINK("https://twitter.com/OneyAbhonk21","@OneyAbhonk21")</f>
        <v>@OneyAbhonk21</v>
      </c>
      <c r="C18633" t="s">
        <v>7259</v>
      </c>
      <c r="D18633">
        <v>20</v>
      </c>
      <c r="E18633">
        <v>0</v>
      </c>
      <c r="F18633">
        <v>188</v>
      </c>
    </row>
    <row r="18634" spans="1:6" ht="12.75">
      <c r="A18634" s="2">
        <v>43876.868090277778</v>
      </c>
      <c r="B18634" t="str">
        <f>HYPERLINK("https://twitter.com/M_ali_s79","@M_ali_s79")</f>
        <v>@M_ali_s79</v>
      </c>
      <c r="C18634" t="s">
        <v>9412</v>
      </c>
      <c r="D18634">
        <v>0</v>
      </c>
      <c r="E18634">
        <v>0</v>
      </c>
      <c r="F18634">
        <v>23</v>
      </c>
    </row>
    <row r="18635" spans="1:6" ht="12.75">
      <c r="A18635" s="2">
        <v>43876.868078703701</v>
      </c>
      <c r="B18635" t="str">
        <f>HYPERLINK("https://twitter.com/Dreamcoid","@Dreamcoid")</f>
        <v>@Dreamcoid</v>
      </c>
      <c r="C18635" t="s">
        <v>9413</v>
      </c>
      <c r="D18635">
        <v>0</v>
      </c>
      <c r="E18635">
        <v>0</v>
      </c>
      <c r="F18635">
        <v>11577</v>
      </c>
    </row>
    <row r="18636" spans="1:6" ht="12.75">
      <c r="A18636" s="2">
        <v>43876.868032407408</v>
      </c>
      <c r="B18636" t="str">
        <f>HYPERLINK("https://twitter.com/Parulian12Roby","@Parulian12Roby")</f>
        <v>@Parulian12Roby</v>
      </c>
      <c r="C18636" t="s">
        <v>9414</v>
      </c>
      <c r="D18636">
        <v>0</v>
      </c>
      <c r="E18636">
        <v>0</v>
      </c>
      <c r="F18636">
        <v>2</v>
      </c>
    </row>
    <row r="18637" spans="1:6" ht="12.75">
      <c r="A18637" s="2">
        <v>43876.867893518516</v>
      </c>
      <c r="B18637" t="str">
        <f>HYPERLINK("https://twitter.com/desakyulie","@desakyulie")</f>
        <v>@desakyulie</v>
      </c>
      <c r="C18637" t="s">
        <v>2444</v>
      </c>
      <c r="D18637">
        <v>4428</v>
      </c>
      <c r="E18637">
        <v>0</v>
      </c>
      <c r="F18637">
        <v>268</v>
      </c>
    </row>
    <row r="18638" spans="1:6" ht="12.75">
      <c r="A18638" s="2">
        <v>43876.867731481485</v>
      </c>
      <c r="B18638" t="str">
        <f>HYPERLINK("https://twitter.com/dolarnyasuho","@dolarnyasuho")</f>
        <v>@dolarnyasuho</v>
      </c>
      <c r="C18638" t="s">
        <v>9415</v>
      </c>
      <c r="D18638">
        <v>1</v>
      </c>
      <c r="E18638">
        <v>0</v>
      </c>
      <c r="F18638">
        <v>1059</v>
      </c>
    </row>
    <row r="18639" spans="1:6" ht="12.75">
      <c r="A18639" s="2">
        <v>43876.867696759262</v>
      </c>
      <c r="B18639" t="str">
        <f t="shared" ref="B18639:B18640" si="308">HYPERLINK("https://twitter.com/ypypm_ypypm","@ypypm_ypypm")</f>
        <v>@ypypm_ypypm</v>
      </c>
      <c r="C18639" t="s">
        <v>9360</v>
      </c>
      <c r="D18639">
        <v>2</v>
      </c>
      <c r="E18639">
        <v>0</v>
      </c>
      <c r="F18639">
        <v>742</v>
      </c>
    </row>
    <row r="18640" spans="1:6" ht="12.75">
      <c r="A18640" s="2">
        <v>43876.867627314816</v>
      </c>
      <c r="B18640" t="str">
        <f t="shared" si="308"/>
        <v>@ypypm_ypypm</v>
      </c>
      <c r="C18640" t="s">
        <v>9361</v>
      </c>
      <c r="D18640">
        <v>2</v>
      </c>
      <c r="E18640">
        <v>0</v>
      </c>
      <c r="F18640">
        <v>742</v>
      </c>
    </row>
    <row r="18641" spans="1:6" ht="12.75">
      <c r="A18641" s="2">
        <v>43876.867523148147</v>
      </c>
      <c r="B18641" t="str">
        <f>HYPERLINK("https://twitter.com/savelobster1","@savelobster1")</f>
        <v>@savelobster1</v>
      </c>
      <c r="C18641" t="s">
        <v>9362</v>
      </c>
      <c r="D18641">
        <v>3</v>
      </c>
      <c r="E18641">
        <v>0</v>
      </c>
      <c r="F18641">
        <v>146</v>
      </c>
    </row>
    <row r="18642" spans="1:6" ht="12.75">
      <c r="A18642" s="2">
        <v>43876.867372685185</v>
      </c>
      <c r="B18642" t="str">
        <f>HYPERLINK("https://twitter.com/DildoNgok","@DildoNgok")</f>
        <v>@DildoNgok</v>
      </c>
      <c r="C18642" t="s">
        <v>9416</v>
      </c>
      <c r="D18642">
        <v>0</v>
      </c>
      <c r="E18642">
        <v>0</v>
      </c>
      <c r="F18642">
        <v>103</v>
      </c>
    </row>
    <row r="18643" spans="1:6" ht="12.75">
      <c r="A18643" s="2">
        <v>43876.867222222223</v>
      </c>
      <c r="B18643" t="str">
        <f>HYPERLINK("https://twitter.com/Wongso_Soebali","@Wongso_Soebali")</f>
        <v>@Wongso_Soebali</v>
      </c>
      <c r="C18643" t="s">
        <v>7876</v>
      </c>
      <c r="D18643">
        <v>49</v>
      </c>
      <c r="E18643">
        <v>0</v>
      </c>
      <c r="F18643">
        <v>5761</v>
      </c>
    </row>
    <row r="18644" spans="1:6" ht="12.75">
      <c r="A18644" s="2">
        <v>43876.866967592592</v>
      </c>
      <c r="B18644" t="str">
        <f>HYPERLINK("https://twitter.com/geloraco","@geloraco")</f>
        <v>@geloraco</v>
      </c>
      <c r="C18644" t="s">
        <v>9417</v>
      </c>
      <c r="D18644">
        <v>1</v>
      </c>
      <c r="E18644">
        <v>4</v>
      </c>
      <c r="F18644">
        <v>99957</v>
      </c>
    </row>
    <row r="18645" spans="1:6" ht="12.75">
      <c r="A18645" s="2">
        <v>43876.866886574076</v>
      </c>
      <c r="B18645" t="str">
        <f>HYPERLINK("https://twitter.com/sugaalamzir","@sugaalamzir")</f>
        <v>@sugaalamzir</v>
      </c>
      <c r="C18645" t="s">
        <v>6825</v>
      </c>
      <c r="D18645">
        <v>6</v>
      </c>
      <c r="E18645">
        <v>0</v>
      </c>
      <c r="F18645">
        <v>368</v>
      </c>
    </row>
    <row r="18646" spans="1:6" ht="12.75">
      <c r="A18646" s="2">
        <v>43876.866770833338</v>
      </c>
      <c r="B18646" t="str">
        <f>HYPERLINK("https://twitter.com/esteh_basi","@esteh_basi")</f>
        <v>@esteh_basi</v>
      </c>
      <c r="C18646" t="s">
        <v>9418</v>
      </c>
      <c r="D18646">
        <v>0</v>
      </c>
      <c r="E18646">
        <v>0</v>
      </c>
      <c r="F18646">
        <v>5</v>
      </c>
    </row>
    <row r="18647" spans="1:6" ht="12.75">
      <c r="A18647" s="2">
        <v>43876.866643518515</v>
      </c>
      <c r="B18647" t="str">
        <f>HYPERLINK("https://twitter.com/Alejandro_Bdion","@Alejandro_Bdion")</f>
        <v>@Alejandro_Bdion</v>
      </c>
      <c r="C18647" t="s">
        <v>9419</v>
      </c>
      <c r="D18647">
        <v>0</v>
      </c>
      <c r="E18647">
        <v>0</v>
      </c>
      <c r="F18647">
        <v>565</v>
      </c>
    </row>
    <row r="18648" spans="1:6" ht="12.75">
      <c r="A18648" s="2">
        <v>43876.866377314815</v>
      </c>
      <c r="B18648" t="str">
        <f>HYPERLINK("https://twitter.com/JossLuc","@JossLuc")</f>
        <v>@JossLuc</v>
      </c>
      <c r="C18648" t="s">
        <v>2147</v>
      </c>
      <c r="D18648">
        <v>415</v>
      </c>
      <c r="E18648">
        <v>0</v>
      </c>
      <c r="F18648">
        <v>129</v>
      </c>
    </row>
    <row r="18649" spans="1:6" ht="12.75">
      <c r="A18649" s="2">
        <v>43876.866284722222</v>
      </c>
      <c r="B18649" t="str">
        <f>HYPERLINK("https://twitter.com/bokulos_","@bokulos_")</f>
        <v>@bokulos_</v>
      </c>
      <c r="C18649" t="s">
        <v>9420</v>
      </c>
      <c r="D18649">
        <v>0</v>
      </c>
      <c r="E18649">
        <v>0</v>
      </c>
      <c r="F18649">
        <v>1775</v>
      </c>
    </row>
    <row r="18650" spans="1:6" ht="12.75">
      <c r="A18650" s="2">
        <v>43876.866273148145</v>
      </c>
      <c r="B18650" t="str">
        <f>HYPERLINK("https://twitter.com/bonasfa","@bonasfa")</f>
        <v>@bonasfa</v>
      </c>
      <c r="C18650" t="s">
        <v>9421</v>
      </c>
      <c r="D18650">
        <v>0</v>
      </c>
      <c r="E18650">
        <v>0</v>
      </c>
      <c r="F18650">
        <v>84</v>
      </c>
    </row>
    <row r="18651" spans="1:6" ht="12.75">
      <c r="A18651" s="2">
        <v>43876.834837962961</v>
      </c>
      <c r="B18651" t="str">
        <f t="shared" ref="B18651:B18654" si="309">HYPERLINK("https://twitter.com/ryolandafit","@ryolandafit")</f>
        <v>@ryolandafit</v>
      </c>
      <c r="C18651" t="s">
        <v>9308</v>
      </c>
      <c r="D18651">
        <v>1</v>
      </c>
      <c r="E18651">
        <v>0</v>
      </c>
      <c r="F18651">
        <v>651</v>
      </c>
    </row>
    <row r="18652" spans="1:6" ht="12.75">
      <c r="A18652" s="2">
        <v>43876.834733796291</v>
      </c>
      <c r="B18652" t="str">
        <f t="shared" si="309"/>
        <v>@ryolandafit</v>
      </c>
      <c r="C18652" t="s">
        <v>9422</v>
      </c>
      <c r="D18652">
        <v>2</v>
      </c>
      <c r="E18652">
        <v>0</v>
      </c>
      <c r="F18652">
        <v>651</v>
      </c>
    </row>
    <row r="18653" spans="1:6" ht="12.75">
      <c r="A18653" s="2">
        <v>43876.83425925926</v>
      </c>
      <c r="B18653" t="str">
        <f t="shared" si="309"/>
        <v>@ryolandafit</v>
      </c>
      <c r="C18653" t="s">
        <v>8673</v>
      </c>
      <c r="D18653">
        <v>2</v>
      </c>
      <c r="E18653">
        <v>0</v>
      </c>
      <c r="F18653">
        <v>651</v>
      </c>
    </row>
    <row r="18654" spans="1:6" ht="12.75">
      <c r="A18654" s="2">
        <v>43876.833958333329</v>
      </c>
      <c r="B18654" t="str">
        <f t="shared" si="309"/>
        <v>@ryolandafit</v>
      </c>
      <c r="C18654" t="s">
        <v>9423</v>
      </c>
      <c r="D18654">
        <v>2</v>
      </c>
      <c r="E18654">
        <v>0</v>
      </c>
      <c r="F18654">
        <v>651</v>
      </c>
    </row>
    <row r="18655" spans="1:6" ht="12.75">
      <c r="A18655" s="2">
        <v>43876.833877314813</v>
      </c>
      <c r="B18655" t="str">
        <f>HYPERLINK("https://twitter.com/B31019","@B31019")</f>
        <v>@B31019</v>
      </c>
      <c r="C18655" t="s">
        <v>9198</v>
      </c>
      <c r="D18655">
        <v>161</v>
      </c>
      <c r="E18655">
        <v>0</v>
      </c>
      <c r="F18655">
        <v>10</v>
      </c>
    </row>
    <row r="18656" spans="1:6" ht="12.75">
      <c r="A18656" s="2">
        <v>43876.833599537036</v>
      </c>
      <c r="B18656" t="str">
        <f>HYPERLINK("https://twitter.com/na_sth","@na_sth")</f>
        <v>@na_sth</v>
      </c>
      <c r="C18656" t="s">
        <v>7154</v>
      </c>
      <c r="D18656">
        <v>18</v>
      </c>
      <c r="E18656">
        <v>0</v>
      </c>
      <c r="F18656">
        <v>593</v>
      </c>
    </row>
    <row r="18657" spans="1:6" ht="12.75">
      <c r="A18657" s="2">
        <v>43876.833553240736</v>
      </c>
      <c r="B18657" t="str">
        <f>HYPERLINK("https://twitter.com/svtngrd","@svtngrd")</f>
        <v>@svtngrd</v>
      </c>
      <c r="C18657" t="s">
        <v>2444</v>
      </c>
      <c r="D18657">
        <v>4400</v>
      </c>
      <c r="E18657">
        <v>0</v>
      </c>
      <c r="F18657">
        <v>868</v>
      </c>
    </row>
    <row r="18658" spans="1:6" ht="12.75">
      <c r="A18658" s="2">
        <v>43876.833553240736</v>
      </c>
      <c r="B18658" t="str">
        <f>HYPERLINK("https://twitter.com/ryolandafit","@ryolandafit")</f>
        <v>@ryolandafit</v>
      </c>
      <c r="C18658" t="s">
        <v>9424</v>
      </c>
      <c r="D18658">
        <v>7</v>
      </c>
      <c r="E18658">
        <v>0</v>
      </c>
      <c r="F18658">
        <v>651</v>
      </c>
    </row>
    <row r="18659" spans="1:6" ht="12.75">
      <c r="A18659" s="2">
        <v>43876.833414351851</v>
      </c>
      <c r="B18659" t="str">
        <f>HYPERLINK("https://twitter.com/raihanisasi","@raihanisasi")</f>
        <v>@raihanisasi</v>
      </c>
      <c r="C18659" t="s">
        <v>5168</v>
      </c>
      <c r="D18659">
        <v>1605</v>
      </c>
      <c r="E18659">
        <v>0</v>
      </c>
      <c r="F18659">
        <v>289</v>
      </c>
    </row>
    <row r="18660" spans="1:6" ht="12.75">
      <c r="A18660" s="2">
        <v>43876.833356481482</v>
      </c>
      <c r="B18660" t="str">
        <f>HYPERLINK("https://twitter.com/yuniraald","@yuniraald")</f>
        <v>@yuniraald</v>
      </c>
      <c r="C18660" t="s">
        <v>2444</v>
      </c>
      <c r="D18660">
        <v>4400</v>
      </c>
      <c r="E18660">
        <v>0</v>
      </c>
      <c r="F18660">
        <v>390</v>
      </c>
    </row>
    <row r="18661" spans="1:6" ht="12.75">
      <c r="A18661" s="2">
        <v>43876.833287037036</v>
      </c>
      <c r="B18661" t="str">
        <f>HYPERLINK("https://twitter.com/Je_Ly","@Je_Ly")</f>
        <v>@Je_Ly</v>
      </c>
      <c r="C18661" t="s">
        <v>8650</v>
      </c>
      <c r="D18661">
        <v>71</v>
      </c>
      <c r="E18661">
        <v>0</v>
      </c>
      <c r="F18661">
        <v>16594</v>
      </c>
    </row>
    <row r="18662" spans="1:6" ht="12.75">
      <c r="A18662" s="2">
        <v>43876.833125000005</v>
      </c>
      <c r="B18662" t="str">
        <f>HYPERLINK("https://twitter.com/yuniraald","@yuniraald")</f>
        <v>@yuniraald</v>
      </c>
      <c r="C18662" t="s">
        <v>5168</v>
      </c>
      <c r="D18662">
        <v>1605</v>
      </c>
      <c r="E18662">
        <v>0</v>
      </c>
      <c r="F18662">
        <v>390</v>
      </c>
    </row>
    <row r="18663" spans="1:6" ht="12.75">
      <c r="A18663" s="2">
        <v>43876.833009259259</v>
      </c>
      <c r="B18663" t="str">
        <f>HYPERLINK("https://twitter.com/AjiSyah_","@AjiSyah_")</f>
        <v>@AjiSyah_</v>
      </c>
      <c r="C18663" t="s">
        <v>5403</v>
      </c>
      <c r="D18663">
        <v>7</v>
      </c>
      <c r="E18663">
        <v>0</v>
      </c>
      <c r="F18663">
        <v>712</v>
      </c>
    </row>
    <row r="18664" spans="1:6" ht="12.75">
      <c r="A18664" s="2">
        <v>43876.832766203705</v>
      </c>
      <c r="B18664" t="str">
        <f>HYPERLINK("https://twitter.com/Mario_pratama","@Mario_pratama")</f>
        <v>@Mario_pratama</v>
      </c>
      <c r="C18664" t="s">
        <v>2444</v>
      </c>
      <c r="D18664">
        <v>4400</v>
      </c>
      <c r="E18664">
        <v>0</v>
      </c>
      <c r="F18664">
        <v>423</v>
      </c>
    </row>
    <row r="18665" spans="1:6" ht="12.75">
      <c r="A18665" s="2">
        <v>43876.832384259258</v>
      </c>
      <c r="B18665" t="str">
        <f>HYPERLINK("https://twitter.com/innovesian","@innovesian")</f>
        <v>@innovesian</v>
      </c>
      <c r="C18665" t="s">
        <v>9425</v>
      </c>
      <c r="D18665">
        <v>1</v>
      </c>
      <c r="E18665">
        <v>0</v>
      </c>
      <c r="F18665">
        <v>32002</v>
      </c>
    </row>
    <row r="18666" spans="1:6" ht="12.75">
      <c r="A18666" s="2">
        <v>43876.832071759258</v>
      </c>
      <c r="B18666" t="str">
        <f>HYPERLINK("https://twitter.com/alva_roe_lee_","@alva_roe_lee_")</f>
        <v>@alva_roe_lee_</v>
      </c>
      <c r="C18666" t="s">
        <v>9426</v>
      </c>
      <c r="D18666">
        <v>0</v>
      </c>
      <c r="E18666">
        <v>0</v>
      </c>
      <c r="F18666">
        <v>3191</v>
      </c>
    </row>
    <row r="18667" spans="1:6" ht="12.75">
      <c r="A18667" s="2">
        <v>43876.832002314812</v>
      </c>
      <c r="B18667" t="str">
        <f>HYPERLINK("https://twitter.com/AtmanagaraZ","@AtmanagaraZ")</f>
        <v>@AtmanagaraZ</v>
      </c>
      <c r="C18667" t="s">
        <v>9427</v>
      </c>
      <c r="D18667">
        <v>0</v>
      </c>
      <c r="E18667">
        <v>0</v>
      </c>
      <c r="F18667">
        <v>214</v>
      </c>
    </row>
    <row r="18668" spans="1:6" ht="12.75">
      <c r="A18668" s="2">
        <v>43876.831990740742</v>
      </c>
      <c r="B18668" t="str">
        <f>HYPERLINK("https://twitter.com/Aliffitrindewor","@Aliffitrindewor")</f>
        <v>@Aliffitrindewor</v>
      </c>
      <c r="C18668" t="s">
        <v>8754</v>
      </c>
      <c r="D18668">
        <v>89</v>
      </c>
      <c r="E18668">
        <v>0</v>
      </c>
      <c r="F18668">
        <v>553</v>
      </c>
    </row>
    <row r="18669" spans="1:6" ht="12.75">
      <c r="A18669" s="2">
        <v>43876.83189814815</v>
      </c>
      <c r="B18669" t="str">
        <f>HYPERLINK("https://twitter.com/Adiasya_Fawwaz","@Adiasya_Fawwaz")</f>
        <v>@Adiasya_Fawwaz</v>
      </c>
      <c r="C18669" t="s">
        <v>7154</v>
      </c>
      <c r="D18669">
        <v>18</v>
      </c>
      <c r="E18669">
        <v>0</v>
      </c>
      <c r="F18669">
        <v>142</v>
      </c>
    </row>
    <row r="18670" spans="1:6" ht="12.75">
      <c r="A18670" s="2">
        <v>43876.831782407404</v>
      </c>
      <c r="B18670" t="str">
        <f>HYPERLINK("https://twitter.com/elshinta_smg","@elshinta_smg")</f>
        <v>@elshinta_smg</v>
      </c>
      <c r="C18670" t="s">
        <v>9428</v>
      </c>
      <c r="D18670">
        <v>0</v>
      </c>
      <c r="E18670">
        <v>0</v>
      </c>
      <c r="F18670">
        <v>3733</v>
      </c>
    </row>
    <row r="18671" spans="1:6" ht="12.75">
      <c r="A18671" s="2">
        <v>43876.831377314811</v>
      </c>
      <c r="B18671" t="str">
        <f>HYPERLINK("https://twitter.com/AzisAditya8","@AzisAditya8")</f>
        <v>@AzisAditya8</v>
      </c>
      <c r="C18671" t="s">
        <v>9429</v>
      </c>
      <c r="D18671">
        <v>0</v>
      </c>
      <c r="E18671">
        <v>0</v>
      </c>
      <c r="F18671">
        <v>2</v>
      </c>
    </row>
    <row r="18672" spans="1:6" ht="12.75">
      <c r="A18672" s="2">
        <v>43876.831342592588</v>
      </c>
      <c r="B18672" t="str">
        <f>HYPERLINK("https://twitter.com/AndreMeihan","@AndreMeihan")</f>
        <v>@AndreMeihan</v>
      </c>
      <c r="C18672" t="s">
        <v>2147</v>
      </c>
      <c r="D18672">
        <v>392</v>
      </c>
      <c r="E18672">
        <v>0</v>
      </c>
      <c r="F18672">
        <v>134</v>
      </c>
    </row>
    <row r="18673" spans="1:6" ht="12.75">
      <c r="A18673" s="2">
        <v>43876.830868055556</v>
      </c>
      <c r="B18673" t="str">
        <f>HYPERLINK("https://twitter.com/gazzarig","@gazzarig")</f>
        <v>@gazzarig</v>
      </c>
      <c r="C18673" t="s">
        <v>3150</v>
      </c>
      <c r="D18673">
        <v>158</v>
      </c>
      <c r="E18673">
        <v>0</v>
      </c>
      <c r="F18673">
        <v>35</v>
      </c>
    </row>
    <row r="18674" spans="1:6" ht="12.75">
      <c r="A18674" s="2">
        <v>43876.830752314811</v>
      </c>
      <c r="B18674" t="str">
        <f>HYPERLINK("https://twitter.com/JoKerR_nN","@JoKerR_nN")</f>
        <v>@JoKerR_nN</v>
      </c>
      <c r="C18674" t="s">
        <v>8203</v>
      </c>
      <c r="D18674">
        <v>77</v>
      </c>
      <c r="E18674">
        <v>0</v>
      </c>
      <c r="F18674">
        <v>717</v>
      </c>
    </row>
    <row r="18675" spans="1:6" ht="12.75">
      <c r="A18675" s="2">
        <v>43876.830555555556</v>
      </c>
      <c r="B18675" t="str">
        <f>HYPERLINK("https://twitter.com/alva_roe_lee_","@alva_roe_lee_")</f>
        <v>@alva_roe_lee_</v>
      </c>
      <c r="C18675" t="s">
        <v>9430</v>
      </c>
      <c r="D18675">
        <v>0</v>
      </c>
      <c r="E18675">
        <v>1</v>
      </c>
      <c r="F18675">
        <v>3191</v>
      </c>
    </row>
    <row r="18676" spans="1:6" ht="12.75">
      <c r="A18676" s="2">
        <v>43876.830520833333</v>
      </c>
      <c r="B18676" t="str">
        <f>HYPERLINK("https://twitter.com/HenkMizell","@HenkMizell")</f>
        <v>@HenkMizell</v>
      </c>
      <c r="C18676" t="s">
        <v>9431</v>
      </c>
      <c r="D18676">
        <v>0</v>
      </c>
      <c r="E18676">
        <v>0</v>
      </c>
      <c r="F18676">
        <v>16</v>
      </c>
    </row>
    <row r="18677" spans="1:6" ht="12.75">
      <c r="A18677" s="2">
        <v>43876.830509259264</v>
      </c>
      <c r="B18677" t="str">
        <f>HYPERLINK("https://twitter.com/GondoL48705996","@GondoL48705996")</f>
        <v>@GondoL48705996</v>
      </c>
      <c r="C18677" t="s">
        <v>2147</v>
      </c>
      <c r="D18677">
        <v>392</v>
      </c>
      <c r="E18677">
        <v>0</v>
      </c>
      <c r="F18677">
        <v>7</v>
      </c>
    </row>
    <row r="18678" spans="1:6" ht="12.75">
      <c r="A18678" s="2">
        <v>43876.830381944441</v>
      </c>
      <c r="B18678" t="str">
        <f>HYPERLINK("https://twitter.com/Emmy8412","@Emmy8412")</f>
        <v>@Emmy8412</v>
      </c>
      <c r="C18678" t="s">
        <v>2102</v>
      </c>
      <c r="D18678">
        <v>450</v>
      </c>
      <c r="E18678">
        <v>0</v>
      </c>
      <c r="F18678">
        <v>2821</v>
      </c>
    </row>
    <row r="18679" spans="1:6" ht="12.75">
      <c r="A18679" s="2">
        <v>43876.830277777779</v>
      </c>
      <c r="B18679" t="str">
        <f>HYPERLINK("https://twitter.com/adc1408","@adc1408")</f>
        <v>@adc1408</v>
      </c>
      <c r="C18679" t="s">
        <v>9432</v>
      </c>
      <c r="D18679">
        <v>1</v>
      </c>
      <c r="E18679">
        <v>0</v>
      </c>
      <c r="F18679">
        <v>90</v>
      </c>
    </row>
    <row r="18680" spans="1:6" ht="12.75">
      <c r="A18680" s="2">
        <v>43876.830254629633</v>
      </c>
      <c r="B18680" t="str">
        <f>HYPERLINK("https://twitter.com/MasArbit","@MasArbit")</f>
        <v>@MasArbit</v>
      </c>
      <c r="C18680" t="s">
        <v>2444</v>
      </c>
      <c r="D18680">
        <v>4400</v>
      </c>
      <c r="E18680">
        <v>0</v>
      </c>
      <c r="F18680">
        <v>169</v>
      </c>
    </row>
    <row r="18681" spans="1:6" ht="12.75">
      <c r="A18681" s="2">
        <v>43876.830231481479</v>
      </c>
      <c r="B18681" t="str">
        <f>HYPERLINK("https://twitter.com/Supriatun9","@Supriatun9")</f>
        <v>@Supriatun9</v>
      </c>
      <c r="C18681" t="s">
        <v>8665</v>
      </c>
      <c r="D18681">
        <v>223</v>
      </c>
      <c r="E18681">
        <v>0</v>
      </c>
      <c r="F18681">
        <v>250</v>
      </c>
    </row>
    <row r="18682" spans="1:6" ht="12.75">
      <c r="A18682" s="2">
        <v>43876.83</v>
      </c>
      <c r="B18682" t="str">
        <f>HYPERLINK("https://twitter.com/ryolandafit","@ryolandafit")</f>
        <v>@ryolandafit</v>
      </c>
      <c r="C18682" t="s">
        <v>9433</v>
      </c>
      <c r="D18682">
        <v>14</v>
      </c>
      <c r="E18682">
        <v>0</v>
      </c>
      <c r="F18682">
        <v>651</v>
      </c>
    </row>
    <row r="18683" spans="1:6" ht="12.75">
      <c r="A18683" s="2">
        <v>43876.829861111109</v>
      </c>
      <c r="B18683" t="str">
        <f>HYPERLINK("https://twitter.com/muliannisa","@muliannisa")</f>
        <v>@muliannisa</v>
      </c>
      <c r="C18683" t="s">
        <v>8644</v>
      </c>
      <c r="D18683">
        <v>54</v>
      </c>
      <c r="E18683">
        <v>0</v>
      </c>
      <c r="F18683">
        <v>516</v>
      </c>
    </row>
    <row r="18684" spans="1:6" ht="12.75">
      <c r="A18684" s="2">
        <v>43876.829710648148</v>
      </c>
      <c r="B18684" t="str">
        <f>HYPERLINK("https://twitter.com/IvanaWirsa","@IvanaWirsa")</f>
        <v>@IvanaWirsa</v>
      </c>
      <c r="C18684" t="s">
        <v>9434</v>
      </c>
      <c r="D18684">
        <v>0</v>
      </c>
      <c r="E18684">
        <v>1</v>
      </c>
      <c r="F18684">
        <v>1117</v>
      </c>
    </row>
    <row r="18685" spans="1:6" ht="12.75">
      <c r="A18685" s="2">
        <v>43876.829652777778</v>
      </c>
      <c r="B18685" t="str">
        <f>HYPERLINK("https://twitter.com/bernie_supr","@bernie_supr")</f>
        <v>@bernie_supr</v>
      </c>
      <c r="C18685" t="s">
        <v>9186</v>
      </c>
      <c r="D18685">
        <v>112</v>
      </c>
      <c r="E18685">
        <v>0</v>
      </c>
      <c r="F18685">
        <v>103</v>
      </c>
    </row>
    <row r="18686" spans="1:6" ht="12.75">
      <c r="A18686" s="2">
        <v>43876.829537037032</v>
      </c>
      <c r="B18686" t="str">
        <f>HYPERLINK("https://twitter.com/suaradotcom","@suaradotcom")</f>
        <v>@suaradotcom</v>
      </c>
      <c r="C18686" t="s">
        <v>9435</v>
      </c>
      <c r="D18686">
        <v>0</v>
      </c>
      <c r="E18686">
        <v>0</v>
      </c>
      <c r="F18686">
        <v>24156</v>
      </c>
    </row>
    <row r="18687" spans="1:6" ht="12.75">
      <c r="A18687" s="2">
        <v>43876.82947916667</v>
      </c>
      <c r="B18687" t="str">
        <f>HYPERLINK("https://twitter.com/jawapos","@jawapos")</f>
        <v>@jawapos</v>
      </c>
      <c r="C18687" t="s">
        <v>9436</v>
      </c>
      <c r="D18687">
        <v>1</v>
      </c>
      <c r="E18687">
        <v>2</v>
      </c>
      <c r="F18687">
        <v>116959</v>
      </c>
    </row>
    <row r="18688" spans="1:6" ht="12.75">
      <c r="A18688" s="2">
        <v>43876.829212962963</v>
      </c>
      <c r="B18688" t="str">
        <f>HYPERLINK("https://twitter.com/Arianto10427511","@Arianto10427511")</f>
        <v>@Arianto10427511</v>
      </c>
      <c r="C18688" t="s">
        <v>9389</v>
      </c>
      <c r="D18688">
        <v>65</v>
      </c>
      <c r="E18688">
        <v>0</v>
      </c>
      <c r="F18688">
        <v>426</v>
      </c>
    </row>
    <row r="18689" spans="1:6" ht="12.75">
      <c r="A18689" s="2">
        <v>43876.829143518524</v>
      </c>
      <c r="B18689" t="str">
        <f>HYPERLINK("https://twitter.com/SendalJ06568516","@SendalJ06568516")</f>
        <v>@SendalJ06568516</v>
      </c>
      <c r="C18689" t="s">
        <v>7261</v>
      </c>
      <c r="D18689">
        <v>56</v>
      </c>
      <c r="E18689">
        <v>0</v>
      </c>
      <c r="F18689">
        <v>44</v>
      </c>
    </row>
    <row r="18690" spans="1:6" ht="12.75">
      <c r="A18690" s="2">
        <v>43876.829074074078</v>
      </c>
      <c r="B18690" t="str">
        <f>HYPERLINK("https://twitter.com/Kars104","@Kars104")</f>
        <v>@Kars104</v>
      </c>
      <c r="C18690" t="s">
        <v>9437</v>
      </c>
      <c r="D18690">
        <v>0</v>
      </c>
      <c r="E18690">
        <v>1</v>
      </c>
      <c r="F18690">
        <v>1739</v>
      </c>
    </row>
    <row r="18691" spans="1:6" ht="12.75">
      <c r="A18691" s="2">
        <v>43876.828819444447</v>
      </c>
      <c r="B18691" t="str">
        <f>HYPERLINK("https://twitter.com/KTriono","@KTriono")</f>
        <v>@KTriono</v>
      </c>
      <c r="C18691" t="s">
        <v>7946</v>
      </c>
      <c r="D18691">
        <v>47</v>
      </c>
      <c r="E18691">
        <v>0</v>
      </c>
      <c r="F18691">
        <v>46</v>
      </c>
    </row>
    <row r="18692" spans="1:6" ht="12.75">
      <c r="A18692" s="2">
        <v>43876.828726851847</v>
      </c>
      <c r="B18692" t="str">
        <f>HYPERLINK("https://twitter.com/yellow_nigga","@yellow_nigga")</f>
        <v>@yellow_nigga</v>
      </c>
      <c r="C18692" t="s">
        <v>8203</v>
      </c>
      <c r="D18692">
        <v>77</v>
      </c>
      <c r="E18692">
        <v>0</v>
      </c>
      <c r="F18692">
        <v>484</v>
      </c>
    </row>
    <row r="18693" spans="1:6" ht="12.75">
      <c r="A18693" s="2">
        <v>43876.828715277778</v>
      </c>
      <c r="B18693" t="str">
        <f>HYPERLINK("https://twitter.com/fajarikanov","@fajarikanov")</f>
        <v>@fajarikanov</v>
      </c>
      <c r="C18693" t="s">
        <v>7154</v>
      </c>
      <c r="D18693">
        <v>18</v>
      </c>
      <c r="E18693">
        <v>0</v>
      </c>
      <c r="F18693">
        <v>234</v>
      </c>
    </row>
    <row r="18694" spans="1:6" ht="12.75">
      <c r="A18694" s="2">
        <v>43876.828599537039</v>
      </c>
      <c r="B18694" t="str">
        <f>HYPERLINK("https://twitter.com/pasadenasl","@pasadenasl")</f>
        <v>@pasadenasl</v>
      </c>
      <c r="C18694" t="s">
        <v>7876</v>
      </c>
      <c r="D18694">
        <v>44</v>
      </c>
      <c r="E18694">
        <v>0</v>
      </c>
      <c r="F18694">
        <v>397</v>
      </c>
    </row>
    <row r="18695" spans="1:6" ht="12.75">
      <c r="A18695" s="2">
        <v>43876.828553240739</v>
      </c>
      <c r="B18695" t="str">
        <f>HYPERLINK("https://twitter.com/Sofy_Beeeeee","@Sofy_Beeeeee")</f>
        <v>@Sofy_Beeeeee</v>
      </c>
      <c r="C18695" t="s">
        <v>9042</v>
      </c>
      <c r="D18695">
        <v>1</v>
      </c>
      <c r="E18695">
        <v>0</v>
      </c>
      <c r="F18695">
        <v>18331</v>
      </c>
    </row>
    <row r="18696" spans="1:6" ht="12.75">
      <c r="A18696" s="2">
        <v>43876.828321759254</v>
      </c>
      <c r="B18696" t="str">
        <f>HYPERLINK("https://twitter.com/ratu_adil","@ratu_adil")</f>
        <v>@ratu_adil</v>
      </c>
      <c r="C18696" t="s">
        <v>2268</v>
      </c>
      <c r="D18696">
        <v>7</v>
      </c>
      <c r="E18696">
        <v>0</v>
      </c>
      <c r="F18696">
        <v>52879</v>
      </c>
    </row>
    <row r="18697" spans="1:6" ht="12.75">
      <c r="A18697" s="2">
        <v>43876.827951388885</v>
      </c>
      <c r="B18697" t="str">
        <f>HYPERLINK("https://twitter.com/andrian_kaifan","@andrian_kaifan")</f>
        <v>@andrian_kaifan</v>
      </c>
      <c r="C18697" t="s">
        <v>9438</v>
      </c>
      <c r="D18697">
        <v>0</v>
      </c>
      <c r="E18697">
        <v>0</v>
      </c>
      <c r="F18697">
        <v>372</v>
      </c>
    </row>
    <row r="18698" spans="1:6" ht="12.75">
      <c r="A18698" s="2">
        <v>43876.8278125</v>
      </c>
      <c r="B18698" t="str">
        <f t="shared" ref="B18698:B18699" si="310">HYPERLINK("https://twitter.com/kompascom","@kompascom")</f>
        <v>@kompascom</v>
      </c>
      <c r="C18698" t="s">
        <v>9439</v>
      </c>
      <c r="D18698">
        <v>1</v>
      </c>
      <c r="E18698">
        <v>3</v>
      </c>
      <c r="F18698">
        <v>7498717</v>
      </c>
    </row>
    <row r="18699" spans="1:6" ht="12.75">
      <c r="A18699" s="2">
        <v>43876.8278125</v>
      </c>
      <c r="B18699" t="str">
        <f t="shared" si="310"/>
        <v>@kompascom</v>
      </c>
      <c r="C18699" t="s">
        <v>9440</v>
      </c>
      <c r="D18699">
        <v>1</v>
      </c>
      <c r="E18699">
        <v>6</v>
      </c>
      <c r="F18699">
        <v>7498717</v>
      </c>
    </row>
    <row r="18700" spans="1:6" ht="12.75">
      <c r="A18700" s="2">
        <v>43876.827743055561</v>
      </c>
      <c r="B18700" t="str">
        <f>HYPERLINK("https://twitter.com/SahaIskandar","@SahaIskandar")</f>
        <v>@SahaIskandar</v>
      </c>
      <c r="C18700" t="s">
        <v>3059</v>
      </c>
      <c r="D18700">
        <v>249</v>
      </c>
      <c r="E18700">
        <v>0</v>
      </c>
      <c r="F18700">
        <v>61</v>
      </c>
    </row>
    <row r="18701" spans="1:6" ht="12.75">
      <c r="A18701" s="2">
        <v>43876.827708333338</v>
      </c>
      <c r="B18701" t="str">
        <f>HYPERLINK("https://twitter.com/Abahozan1","@Abahozan1")</f>
        <v>@Abahozan1</v>
      </c>
      <c r="C18701" t="s">
        <v>9441</v>
      </c>
      <c r="D18701">
        <v>0</v>
      </c>
      <c r="E18701">
        <v>0</v>
      </c>
      <c r="F18701">
        <v>787</v>
      </c>
    </row>
    <row r="18702" spans="1:6" ht="12.75">
      <c r="A18702" s="2">
        <v>43876.827696759261</v>
      </c>
      <c r="B18702" t="str">
        <f>HYPERLINK("https://twitter.com/aw3126","@aw3126")</f>
        <v>@aw3126</v>
      </c>
      <c r="C18702" t="s">
        <v>7154</v>
      </c>
      <c r="D18702">
        <v>18</v>
      </c>
      <c r="E18702">
        <v>0</v>
      </c>
      <c r="F18702">
        <v>692</v>
      </c>
    </row>
    <row r="18703" spans="1:6" ht="12.75">
      <c r="A18703" s="2">
        <v>43876.827210648145</v>
      </c>
      <c r="B18703" t="str">
        <f>HYPERLINK("https://twitter.com/kariispecial","@kariispecial")</f>
        <v>@kariispecial</v>
      </c>
      <c r="C18703" t="s">
        <v>7905</v>
      </c>
      <c r="D18703">
        <v>10</v>
      </c>
      <c r="E18703">
        <v>0</v>
      </c>
      <c r="F18703">
        <v>449</v>
      </c>
    </row>
    <row r="18704" spans="1:6" ht="12.75">
      <c r="A18704" s="2">
        <v>43876.82711805556</v>
      </c>
      <c r="B18704" t="str">
        <f>HYPERLINK("https://twitter.com/Sidin79901699","@Sidin79901699")</f>
        <v>@Sidin79901699</v>
      </c>
      <c r="C18704" t="s">
        <v>2147</v>
      </c>
      <c r="D18704">
        <v>392</v>
      </c>
      <c r="E18704">
        <v>0</v>
      </c>
      <c r="F18704">
        <v>896</v>
      </c>
    </row>
    <row r="18705" spans="1:6" ht="12.75">
      <c r="A18705" s="2">
        <v>43876.826724537037</v>
      </c>
      <c r="B18705" t="str">
        <f>HYPERLINK("https://twitter.com/aivlyssssss","@aivlyssssss")</f>
        <v>@aivlyssssss</v>
      </c>
      <c r="C18705" t="s">
        <v>2444</v>
      </c>
      <c r="D18705">
        <v>4400</v>
      </c>
      <c r="E18705">
        <v>0</v>
      </c>
      <c r="F18705">
        <v>1489</v>
      </c>
    </row>
    <row r="18706" spans="1:6" ht="12.75">
      <c r="A18706" s="2">
        <v>43876.826608796298</v>
      </c>
      <c r="B18706" t="str">
        <f>HYPERLINK("https://twitter.com/kisbet_","@kisbet_")</f>
        <v>@kisbet_</v>
      </c>
      <c r="C18706" t="s">
        <v>9442</v>
      </c>
      <c r="D18706">
        <v>2</v>
      </c>
      <c r="E18706">
        <v>0</v>
      </c>
      <c r="F18706">
        <v>13773</v>
      </c>
    </row>
    <row r="18707" spans="1:6" ht="12.75">
      <c r="A18707" s="2">
        <v>43876.826550925922</v>
      </c>
      <c r="B18707" t="str">
        <f>HYPERLINK("https://twitter.com/desalby","@desalby")</f>
        <v>@desalby</v>
      </c>
      <c r="C18707" t="s">
        <v>9443</v>
      </c>
      <c r="D18707">
        <v>0</v>
      </c>
      <c r="E18707">
        <v>0</v>
      </c>
      <c r="F18707">
        <v>555</v>
      </c>
    </row>
    <row r="18708" spans="1:6" ht="12.75">
      <c r="A18708" s="2">
        <v>43876.826504629629</v>
      </c>
      <c r="B18708" t="str">
        <f>HYPERLINK("https://twitter.com/DiviyaLaysoo","@DiviyaLaysoo")</f>
        <v>@DiviyaLaysoo</v>
      </c>
      <c r="C18708" t="s">
        <v>7905</v>
      </c>
      <c r="D18708">
        <v>10</v>
      </c>
      <c r="E18708">
        <v>0</v>
      </c>
      <c r="F18708">
        <v>1365</v>
      </c>
    </row>
    <row r="18709" spans="1:6" ht="12.75">
      <c r="A18709" s="2">
        <v>43876.82644675926</v>
      </c>
      <c r="B18709" t="str">
        <f>HYPERLINK("https://twitter.com/merdekadotcom","@merdekadotcom")</f>
        <v>@merdekadotcom</v>
      </c>
      <c r="C18709" t="s">
        <v>9444</v>
      </c>
      <c r="D18709">
        <v>1</v>
      </c>
      <c r="E18709">
        <v>1</v>
      </c>
      <c r="F18709">
        <v>230482</v>
      </c>
    </row>
    <row r="18710" spans="1:6" ht="12.75">
      <c r="A18710" s="2">
        <v>43876.826238425929</v>
      </c>
      <c r="B18710" t="str">
        <f>HYPERLINK("https://twitter.com/ElshintaTegal_","@ElshintaTegal_")</f>
        <v>@ElshintaTegal_</v>
      </c>
      <c r="C18710" t="s">
        <v>9445</v>
      </c>
      <c r="D18710">
        <v>0</v>
      </c>
      <c r="E18710">
        <v>0</v>
      </c>
      <c r="F18710">
        <v>30</v>
      </c>
    </row>
    <row r="18711" spans="1:6" ht="12.75">
      <c r="A18711" s="2">
        <v>43876.826238425929</v>
      </c>
      <c r="B18711" t="str">
        <f>HYPERLINK("https://twitter.com/akrom_rheiff","@akrom_rheiff")</f>
        <v>@akrom_rheiff</v>
      </c>
      <c r="C18711" t="s">
        <v>9446</v>
      </c>
      <c r="D18711">
        <v>0</v>
      </c>
      <c r="E18711">
        <v>0</v>
      </c>
      <c r="F18711">
        <v>28</v>
      </c>
    </row>
    <row r="18712" spans="1:6" ht="12.75">
      <c r="A18712" s="2">
        <v>43876.826145833329</v>
      </c>
      <c r="B18712" t="str">
        <f>HYPERLINK("https://twitter.com/penguasahati","@penguasahati")</f>
        <v>@penguasahati</v>
      </c>
      <c r="C18712" t="s">
        <v>9442</v>
      </c>
      <c r="D18712">
        <v>2</v>
      </c>
      <c r="E18712">
        <v>0</v>
      </c>
      <c r="F18712">
        <v>4679</v>
      </c>
    </row>
    <row r="18713" spans="1:6" ht="12.75">
      <c r="A18713" s="2">
        <v>43876.826064814813</v>
      </c>
      <c r="B18713" t="str">
        <f>HYPERLINK("https://twitter.com/WandaNovitaSa12","@WandaNovitaSa12")</f>
        <v>@WandaNovitaSa12</v>
      </c>
      <c r="C18713" t="s">
        <v>513</v>
      </c>
      <c r="D18713">
        <v>23191</v>
      </c>
      <c r="E18713">
        <v>0</v>
      </c>
      <c r="F18713">
        <v>5</v>
      </c>
    </row>
    <row r="18714" spans="1:6" ht="12.75">
      <c r="A18714" s="2">
        <v>43876.826041666667</v>
      </c>
      <c r="B18714" t="str">
        <f>HYPERLINK("https://twitter.com/Jadeputris","@Jadeputris")</f>
        <v>@Jadeputris</v>
      </c>
      <c r="C18714" t="s">
        <v>2444</v>
      </c>
      <c r="D18714">
        <v>4400</v>
      </c>
      <c r="E18714">
        <v>0</v>
      </c>
      <c r="F18714">
        <v>175</v>
      </c>
    </row>
    <row r="18715" spans="1:6" ht="12.75">
      <c r="A18715" s="2">
        <v>43876.825844907406</v>
      </c>
      <c r="B18715" t="str">
        <f>HYPERLINK("https://twitter.com/Sidin79901699","@Sidin79901699")</f>
        <v>@Sidin79901699</v>
      </c>
      <c r="C18715" t="s">
        <v>8665</v>
      </c>
      <c r="D18715">
        <v>223</v>
      </c>
      <c r="E18715">
        <v>0</v>
      </c>
      <c r="F18715">
        <v>896</v>
      </c>
    </row>
    <row r="18716" spans="1:6" ht="12.75">
      <c r="A18716" s="2">
        <v>43876.825729166667</v>
      </c>
      <c r="B18716" t="str">
        <f>HYPERLINK("https://twitter.com/d_ranggo","@d_ranggo")</f>
        <v>@d_ranggo</v>
      </c>
      <c r="C18716" t="s">
        <v>7154</v>
      </c>
      <c r="D18716">
        <v>18</v>
      </c>
      <c r="E18716">
        <v>0</v>
      </c>
      <c r="F18716">
        <v>220</v>
      </c>
    </row>
    <row r="18717" spans="1:6" ht="12.75">
      <c r="A18717" s="2">
        <v>43876.825636574074</v>
      </c>
      <c r="B18717" t="str">
        <f>HYPERLINK("https://twitter.com/dermiand","@dermiand")</f>
        <v>@dermiand</v>
      </c>
      <c r="C18717" t="s">
        <v>2126</v>
      </c>
      <c r="D18717">
        <v>2803</v>
      </c>
      <c r="E18717">
        <v>0</v>
      </c>
      <c r="F18717">
        <v>229</v>
      </c>
    </row>
    <row r="18718" spans="1:6" ht="12.75">
      <c r="A18718" s="2">
        <v>43876.825601851851</v>
      </c>
      <c r="B18718" t="str">
        <f>HYPERLINK("https://twitter.com/badaymasculine","@badaymasculine")</f>
        <v>@badaymasculine</v>
      </c>
      <c r="C18718" t="s">
        <v>2147</v>
      </c>
      <c r="D18718">
        <v>392</v>
      </c>
      <c r="E18718">
        <v>0</v>
      </c>
      <c r="F18718">
        <v>1713</v>
      </c>
    </row>
    <row r="18719" spans="1:6" ht="12.75">
      <c r="A18719" s="2">
        <v>43876.825462962966</v>
      </c>
      <c r="B18719" t="str">
        <f>HYPERLINK("https://twitter.com/Ardi48_o","@Ardi48_o")</f>
        <v>@Ardi48_o</v>
      </c>
      <c r="C18719" t="s">
        <v>7154</v>
      </c>
      <c r="D18719">
        <v>18</v>
      </c>
      <c r="E18719">
        <v>0</v>
      </c>
      <c r="F18719">
        <v>125</v>
      </c>
    </row>
    <row r="18720" spans="1:6" ht="12.75">
      <c r="A18720" s="2">
        <v>43876.825150462959</v>
      </c>
      <c r="B18720" t="str">
        <f>HYPERLINK("https://twitter.com/koekoeh","@koekoeh")</f>
        <v>@koekoeh</v>
      </c>
      <c r="C18720" t="s">
        <v>9447</v>
      </c>
      <c r="D18720">
        <v>0</v>
      </c>
      <c r="E18720">
        <v>0</v>
      </c>
      <c r="F18720">
        <v>3235</v>
      </c>
    </row>
    <row r="18721" spans="1:6" ht="12.75">
      <c r="A18721" s="2">
        <v>43876.825069444443</v>
      </c>
      <c r="B18721" t="str">
        <f>HYPERLINK("https://twitter.com/rozaqulAmin","@rozaqulAmin")</f>
        <v>@rozaqulAmin</v>
      </c>
      <c r="C18721" t="s">
        <v>2149</v>
      </c>
      <c r="D18721">
        <v>44</v>
      </c>
      <c r="E18721">
        <v>0</v>
      </c>
      <c r="F18721">
        <v>126</v>
      </c>
    </row>
    <row r="18722" spans="1:6" ht="12.75">
      <c r="A18722" s="2">
        <v>43876.825023148151</v>
      </c>
      <c r="B18722" t="str">
        <f>HYPERLINK("https://twitter.com/gobarhati","@gobarhati")</f>
        <v>@gobarhati</v>
      </c>
      <c r="C18722" t="s">
        <v>7154</v>
      </c>
      <c r="D18722">
        <v>18</v>
      </c>
      <c r="E18722">
        <v>0</v>
      </c>
      <c r="F18722">
        <v>420</v>
      </c>
    </row>
    <row r="18723" spans="1:6" ht="12.75">
      <c r="A18723" s="2">
        <v>43876.824884259258</v>
      </c>
      <c r="B18723" t="str">
        <f>HYPERLINK("https://twitter.com/suka011","@suka011")</f>
        <v>@suka011</v>
      </c>
      <c r="C18723" t="s">
        <v>8628</v>
      </c>
      <c r="D18723">
        <v>116</v>
      </c>
      <c r="E18723">
        <v>0</v>
      </c>
      <c r="F18723">
        <v>1989</v>
      </c>
    </row>
    <row r="18724" spans="1:6" ht="12.75">
      <c r="A18724" s="2">
        <v>43876.824849537035</v>
      </c>
      <c r="B18724" t="str">
        <f>HYPERLINK("https://twitter.com/ngurah_suta","@ngurah_suta")</f>
        <v>@ngurah_suta</v>
      </c>
      <c r="C18724" t="s">
        <v>2147</v>
      </c>
      <c r="D18724">
        <v>392</v>
      </c>
      <c r="E18724">
        <v>0</v>
      </c>
      <c r="F18724">
        <v>958</v>
      </c>
    </row>
    <row r="18725" spans="1:6" ht="12.75">
      <c r="A18725" s="2">
        <v>43876.824803240743</v>
      </c>
      <c r="B18725" t="str">
        <f>HYPERLINK("https://twitter.com/maryanto0207197","@maryanto0207197")</f>
        <v>@maryanto0207197</v>
      </c>
      <c r="C18725" t="s">
        <v>8665</v>
      </c>
      <c r="D18725">
        <v>223</v>
      </c>
      <c r="E18725">
        <v>0</v>
      </c>
      <c r="F18725">
        <v>5687</v>
      </c>
    </row>
    <row r="18726" spans="1:6" ht="12.75">
      <c r="A18726" s="2">
        <v>43876.82476851852</v>
      </c>
      <c r="B18726" t="str">
        <f>HYPERLINK("https://twitter.com/everlastinct","@everlastinct")</f>
        <v>@everlastinct</v>
      </c>
      <c r="C18726" t="s">
        <v>9448</v>
      </c>
      <c r="D18726">
        <v>0</v>
      </c>
      <c r="E18726">
        <v>0</v>
      </c>
      <c r="F18726">
        <v>386</v>
      </c>
    </row>
    <row r="18727" spans="1:6" ht="12.75">
      <c r="A18727" s="2">
        <v>43876.824652777781</v>
      </c>
      <c r="B18727" t="str">
        <f>HYPERLINK("https://twitter.com/LanangSudira1","@LanangSudira1")</f>
        <v>@LanangSudira1</v>
      </c>
      <c r="C18727" t="s">
        <v>2147</v>
      </c>
      <c r="D18727">
        <v>392</v>
      </c>
      <c r="E18727">
        <v>0</v>
      </c>
      <c r="F18727">
        <v>811</v>
      </c>
    </row>
    <row r="18728" spans="1:6" ht="12.75">
      <c r="A18728" s="2">
        <v>43876.82435185185</v>
      </c>
      <c r="B18728" t="str">
        <f>HYPERLINK("https://twitter.com/rudiantolallo","@rudiantolallo")</f>
        <v>@rudiantolallo</v>
      </c>
      <c r="C18728" t="s">
        <v>9449</v>
      </c>
      <c r="D18728">
        <v>0</v>
      </c>
      <c r="E18728">
        <v>0</v>
      </c>
      <c r="F18728">
        <v>1135</v>
      </c>
    </row>
    <row r="18729" spans="1:6" ht="12.75">
      <c r="A18729" s="2">
        <v>43876.82435185185</v>
      </c>
      <c r="B18729" t="str">
        <f>HYPERLINK("https://twitter.com/ranioktaviani92","@ranioktaviani92")</f>
        <v>@ranioktaviani92</v>
      </c>
      <c r="C18729" t="s">
        <v>2089</v>
      </c>
      <c r="D18729">
        <v>0</v>
      </c>
      <c r="E18729">
        <v>0</v>
      </c>
      <c r="F18729">
        <v>24</v>
      </c>
    </row>
    <row r="18730" spans="1:6" ht="12.75">
      <c r="A18730" s="2">
        <v>43876.824143518519</v>
      </c>
      <c r="B18730" t="str">
        <f>HYPERLINK("https://twitter.com/Negaprions","@Negaprions")</f>
        <v>@Negaprions</v>
      </c>
      <c r="C18730" t="s">
        <v>8754</v>
      </c>
      <c r="D18730">
        <v>89</v>
      </c>
      <c r="E18730">
        <v>0</v>
      </c>
      <c r="F18730">
        <v>1117</v>
      </c>
    </row>
    <row r="18731" spans="1:6" ht="12.75">
      <c r="A18731" s="2">
        <v>43876.823784722219</v>
      </c>
      <c r="B18731" t="str">
        <f>HYPERLINK("https://twitter.com/kyungbyunie","@kyungbyunie")</f>
        <v>@kyungbyunie</v>
      </c>
      <c r="C18731" t="s">
        <v>9450</v>
      </c>
      <c r="D18731">
        <v>0</v>
      </c>
      <c r="E18731">
        <v>0</v>
      </c>
      <c r="F18731">
        <v>242</v>
      </c>
    </row>
    <row r="18732" spans="1:6" ht="12.75">
      <c r="A18732" s="2">
        <v>43876.823611111111</v>
      </c>
      <c r="B18732" t="str">
        <f>HYPERLINK("https://twitter.com/VioArs","@VioArs")</f>
        <v>@VioArs</v>
      </c>
      <c r="C18732" t="s">
        <v>9451</v>
      </c>
      <c r="D18732">
        <v>0</v>
      </c>
      <c r="E18732">
        <v>0</v>
      </c>
      <c r="F18732">
        <v>463</v>
      </c>
    </row>
    <row r="18733" spans="1:6" ht="12.75">
      <c r="A18733" s="2">
        <v>43876.823449074072</v>
      </c>
      <c r="B18733" t="str">
        <f>HYPERLINK("https://twitter.com/hsan_rice","@hsan_rice")</f>
        <v>@hsan_rice</v>
      </c>
      <c r="C18733" t="s">
        <v>7905</v>
      </c>
      <c r="D18733">
        <v>10</v>
      </c>
      <c r="E18733">
        <v>0</v>
      </c>
      <c r="F18733">
        <v>1055</v>
      </c>
    </row>
    <row r="18734" spans="1:6" ht="12.75">
      <c r="A18734" s="2">
        <v>43876.82331018518</v>
      </c>
      <c r="B18734" t="str">
        <f>HYPERLINK("https://twitter.com/Duta_Hidayat","@Duta_Hidayat")</f>
        <v>@Duta_Hidayat</v>
      </c>
      <c r="C18734" t="s">
        <v>8650</v>
      </c>
      <c r="D18734">
        <v>71</v>
      </c>
      <c r="E18734">
        <v>0</v>
      </c>
      <c r="F18734">
        <v>214</v>
      </c>
    </row>
    <row r="18735" spans="1:6" ht="12.75">
      <c r="A18735" s="2">
        <v>43876.823240740741</v>
      </c>
      <c r="B18735" t="str">
        <f>HYPERLINK("https://twitter.com/graceeunike6","@graceeunike6")</f>
        <v>@graceeunike6</v>
      </c>
      <c r="C18735" t="s">
        <v>2144</v>
      </c>
      <c r="D18735">
        <v>106</v>
      </c>
      <c r="E18735">
        <v>0</v>
      </c>
      <c r="F18735">
        <v>147</v>
      </c>
    </row>
    <row r="18736" spans="1:6" ht="12.75">
      <c r="A18736" s="2">
        <v>43876.823194444441</v>
      </c>
      <c r="B18736" t="str">
        <f>HYPERLINK("https://twitter.com/hanrystwn","@hanrystwn")</f>
        <v>@hanrystwn</v>
      </c>
      <c r="C18736" t="s">
        <v>7987</v>
      </c>
      <c r="D18736">
        <v>5</v>
      </c>
      <c r="E18736">
        <v>0</v>
      </c>
      <c r="F18736">
        <v>1552</v>
      </c>
    </row>
    <row r="18737" spans="1:6" ht="12.75">
      <c r="A18737" s="2">
        <v>43876.823182870372</v>
      </c>
      <c r="B18737" t="str">
        <f>HYPERLINK("https://twitter.com/akrom_rheiff","@akrom_rheiff")</f>
        <v>@akrom_rheiff</v>
      </c>
      <c r="C18737" t="s">
        <v>9452</v>
      </c>
      <c r="D18737">
        <v>0</v>
      </c>
      <c r="E18737">
        <v>0</v>
      </c>
      <c r="F18737">
        <v>28</v>
      </c>
    </row>
    <row r="18738" spans="1:6" ht="12.75">
      <c r="A18738" s="2">
        <v>43876.823101851856</v>
      </c>
      <c r="B18738" t="str">
        <f>HYPERLINK("https://twitter.com/sarisetiawaty","@sarisetiawaty")</f>
        <v>@sarisetiawaty</v>
      </c>
      <c r="C18738" t="s">
        <v>9389</v>
      </c>
      <c r="D18738">
        <v>65</v>
      </c>
      <c r="E18738">
        <v>0</v>
      </c>
      <c r="F18738">
        <v>574</v>
      </c>
    </row>
    <row r="18739" spans="1:6" ht="12.75">
      <c r="A18739" s="2">
        <v>43876.823067129633</v>
      </c>
      <c r="B18739" t="str">
        <f>HYPERLINK("https://twitter.com/dakesfly","@dakesfly")</f>
        <v>@dakesfly</v>
      </c>
      <c r="C18739" t="s">
        <v>9150</v>
      </c>
      <c r="D18739">
        <v>145</v>
      </c>
      <c r="E18739">
        <v>0</v>
      </c>
      <c r="F18739">
        <v>18</v>
      </c>
    </row>
    <row r="18740" spans="1:6" ht="12.75">
      <c r="A18740" s="2">
        <v>43876.822870370372</v>
      </c>
      <c r="B18740" t="str">
        <f>HYPERLINK("https://twitter.com/mynuha_23","@mynuha_23")</f>
        <v>@mynuha_23</v>
      </c>
      <c r="C18740" t="s">
        <v>2147</v>
      </c>
      <c r="D18740">
        <v>392</v>
      </c>
      <c r="E18740">
        <v>0</v>
      </c>
      <c r="F18740">
        <v>297</v>
      </c>
    </row>
    <row r="18741" spans="1:6" ht="12.75">
      <c r="A18741" s="2">
        <v>43876.822835648149</v>
      </c>
      <c r="B18741" t="str">
        <f>HYPERLINK("https://twitter.com/GraceKalangit","@GraceKalangit")</f>
        <v>@GraceKalangit</v>
      </c>
      <c r="C18741" t="s">
        <v>7154</v>
      </c>
      <c r="D18741">
        <v>18</v>
      </c>
      <c r="E18741">
        <v>0</v>
      </c>
      <c r="F18741">
        <v>270</v>
      </c>
    </row>
    <row r="18742" spans="1:6" ht="12.75">
      <c r="A18742" s="2">
        <v>43876.822534722218</v>
      </c>
      <c r="B18742" t="str">
        <f>HYPERLINK("https://twitter.com/trech1","@trech1")</f>
        <v>@trech1</v>
      </c>
      <c r="C18742" t="s">
        <v>3150</v>
      </c>
      <c r="D18742">
        <v>158</v>
      </c>
      <c r="E18742">
        <v>0</v>
      </c>
      <c r="F18742">
        <v>250</v>
      </c>
    </row>
    <row r="18743" spans="1:6" ht="12.75">
      <c r="A18743" s="2">
        <v>43876.822395833333</v>
      </c>
      <c r="B18743" t="str">
        <f>HYPERLINK("https://twitter.com/JollyPosumah1","@JollyPosumah1")</f>
        <v>@JollyPosumah1</v>
      </c>
      <c r="C18743" t="s">
        <v>9453</v>
      </c>
      <c r="D18743">
        <v>0</v>
      </c>
      <c r="E18743">
        <v>0</v>
      </c>
      <c r="F18743">
        <v>0</v>
      </c>
    </row>
    <row r="18744" spans="1:6" ht="12.75">
      <c r="A18744" s="2">
        <v>43876.821909722217</v>
      </c>
      <c r="B18744" t="str">
        <f>HYPERLINK("https://twitter.com/Budi_sheva","@Budi_sheva")</f>
        <v>@Budi_sheva</v>
      </c>
      <c r="C18744" t="s">
        <v>8665</v>
      </c>
      <c r="D18744">
        <v>223</v>
      </c>
      <c r="E18744">
        <v>0</v>
      </c>
      <c r="F18744">
        <v>275</v>
      </c>
    </row>
    <row r="18745" spans="1:6" ht="12.75">
      <c r="A18745" s="2">
        <v>43876.821863425925</v>
      </c>
      <c r="B18745" t="str">
        <f>HYPERLINK("https://twitter.com/de_kvn2","@de_kvn2")</f>
        <v>@de_kvn2</v>
      </c>
      <c r="C18745" t="s">
        <v>8628</v>
      </c>
      <c r="D18745">
        <v>116</v>
      </c>
      <c r="E18745">
        <v>0</v>
      </c>
      <c r="F18745">
        <v>263</v>
      </c>
    </row>
    <row r="18746" spans="1:6" ht="12.75">
      <c r="A18746" s="2">
        <v>43876.821863425925</v>
      </c>
      <c r="B18746" t="str">
        <f>HYPERLINK("https://twitter.com/Arianto10427511","@Arianto10427511")</f>
        <v>@Arianto10427511</v>
      </c>
      <c r="C18746" t="s">
        <v>6201</v>
      </c>
      <c r="D18746">
        <v>520</v>
      </c>
      <c r="E18746">
        <v>0</v>
      </c>
      <c r="F18746">
        <v>426</v>
      </c>
    </row>
    <row r="18747" spans="1:6" ht="12.75">
      <c r="A18747" s="2">
        <v>43876.821724537032</v>
      </c>
      <c r="B18747" t="str">
        <f>HYPERLINK("https://twitter.com/alehyo08gmaiala","@alehyo08gmaiala")</f>
        <v>@alehyo08gmaiala</v>
      </c>
      <c r="C18747" t="s">
        <v>9454</v>
      </c>
      <c r="D18747">
        <v>0</v>
      </c>
      <c r="E18747">
        <v>1</v>
      </c>
      <c r="F18747">
        <v>1215</v>
      </c>
    </row>
    <row r="18748" spans="1:6" ht="12.75">
      <c r="A18748" s="2">
        <v>43876.821504629625</v>
      </c>
      <c r="B18748" t="str">
        <f>HYPERLINK("https://twitter.com/akrom_rheiff","@akrom_rheiff")</f>
        <v>@akrom_rheiff</v>
      </c>
      <c r="C18748" t="s">
        <v>9455</v>
      </c>
      <c r="D18748">
        <v>0</v>
      </c>
      <c r="E18748">
        <v>0</v>
      </c>
      <c r="F18748">
        <v>28</v>
      </c>
    </row>
    <row r="18749" spans="1:6" ht="12.75">
      <c r="A18749" s="2">
        <v>43876.82136574074</v>
      </c>
      <c r="B18749" t="str">
        <f>HYPERLINK("https://twitter.com/rafaeli_zefanya","@rafaeli_zefanya")</f>
        <v>@rafaeli_zefanya</v>
      </c>
      <c r="C18749" t="s">
        <v>2147</v>
      </c>
      <c r="D18749">
        <v>392</v>
      </c>
      <c r="E18749">
        <v>0</v>
      </c>
      <c r="F18749">
        <v>1102</v>
      </c>
    </row>
    <row r="18750" spans="1:6" ht="12.75">
      <c r="A18750" s="2">
        <v>43876.821354166663</v>
      </c>
      <c r="B18750" t="str">
        <f>HYPERLINK("https://twitter.com/attinski","@attinski")</f>
        <v>@attinski</v>
      </c>
      <c r="C18750" t="s">
        <v>9456</v>
      </c>
      <c r="D18750">
        <v>0</v>
      </c>
      <c r="E18750">
        <v>0</v>
      </c>
      <c r="F18750">
        <v>126</v>
      </c>
    </row>
    <row r="18751" spans="1:6" ht="12.75">
      <c r="A18751" s="2">
        <v>43876.793043981481</v>
      </c>
      <c r="B18751" t="str">
        <f>HYPERLINK("https://twitter.com/neyisheng","@neyisheng")</f>
        <v>@neyisheng</v>
      </c>
      <c r="C18751" t="s">
        <v>2147</v>
      </c>
      <c r="D18751">
        <v>365</v>
      </c>
      <c r="E18751">
        <v>0</v>
      </c>
      <c r="F18751">
        <v>1249</v>
      </c>
    </row>
    <row r="18752" spans="1:6" ht="12.75">
      <c r="A18752" s="2">
        <v>43876.793032407411</v>
      </c>
      <c r="B18752" t="str">
        <f>HYPERLINK("https://twitter.com/AryaWBPinatih47","@AryaWBPinatih47")</f>
        <v>@AryaWBPinatih47</v>
      </c>
      <c r="C18752" t="s">
        <v>8626</v>
      </c>
      <c r="D18752">
        <v>2</v>
      </c>
      <c r="E18752">
        <v>0</v>
      </c>
      <c r="F18752">
        <v>2329</v>
      </c>
    </row>
    <row r="18753" spans="1:6" ht="12.75">
      <c r="A18753" s="2">
        <v>43876.792499999996</v>
      </c>
      <c r="B18753" t="str">
        <f>HYPERLINK("https://twitter.com/harihariono1","@harihariono1")</f>
        <v>@harihariono1</v>
      </c>
      <c r="C18753" t="s">
        <v>8626</v>
      </c>
      <c r="D18753">
        <v>2</v>
      </c>
      <c r="E18753">
        <v>0</v>
      </c>
      <c r="F18753">
        <v>9342</v>
      </c>
    </row>
    <row r="18754" spans="1:6" ht="12.75">
      <c r="A18754" s="2">
        <v>43876.792442129634</v>
      </c>
      <c r="B18754" t="str">
        <f>HYPERLINK("https://twitter.com/FaGtng","@FaGtng")</f>
        <v>@FaGtng</v>
      </c>
      <c r="C18754" t="s">
        <v>8650</v>
      </c>
      <c r="D18754">
        <v>66</v>
      </c>
      <c r="E18754">
        <v>0</v>
      </c>
      <c r="F18754">
        <v>16003</v>
      </c>
    </row>
    <row r="18755" spans="1:6" ht="12.75">
      <c r="A18755" s="2">
        <v>43876.792407407411</v>
      </c>
      <c r="B18755" t="str">
        <f>HYPERLINK("https://twitter.com/JalanLuru5","@JalanLuru5")</f>
        <v>@JalanLuru5</v>
      </c>
      <c r="C18755" t="s">
        <v>9457</v>
      </c>
      <c r="D18755">
        <v>0</v>
      </c>
      <c r="E18755">
        <v>0</v>
      </c>
      <c r="F18755">
        <v>132</v>
      </c>
    </row>
    <row r="18756" spans="1:6" ht="12.75">
      <c r="A18756" s="2">
        <v>43876.792175925926</v>
      </c>
      <c r="B18756" t="str">
        <f>HYPERLINK("https://twitter.com/estywukak","@estywukak")</f>
        <v>@estywukak</v>
      </c>
      <c r="C18756" t="s">
        <v>9458</v>
      </c>
      <c r="D18756">
        <v>4</v>
      </c>
      <c r="E18756">
        <v>0</v>
      </c>
      <c r="F18756">
        <v>1287</v>
      </c>
    </row>
    <row r="18757" spans="1:6" ht="12.75">
      <c r="A18757" s="2">
        <v>43876.792164351849</v>
      </c>
      <c r="B18757" t="str">
        <f>HYPERLINK("https://twitter.com/youcannameit","@youcannameit")</f>
        <v>@youcannameit</v>
      </c>
      <c r="C18757" t="s">
        <v>2444</v>
      </c>
      <c r="D18757">
        <v>4375</v>
      </c>
      <c r="E18757">
        <v>0</v>
      </c>
      <c r="F18757">
        <v>442</v>
      </c>
    </row>
    <row r="18758" spans="1:6" ht="12.75">
      <c r="A18758" s="2">
        <v>43876.792094907403</v>
      </c>
      <c r="B18758" t="str">
        <f>HYPERLINK("https://twitter.com/glukolicious","@glukolicious")</f>
        <v>@glukolicious</v>
      </c>
      <c r="C18758" t="s">
        <v>8203</v>
      </c>
      <c r="D18758">
        <v>63</v>
      </c>
      <c r="E18758">
        <v>0</v>
      </c>
      <c r="F18758">
        <v>30</v>
      </c>
    </row>
    <row r="18759" spans="1:6" ht="12.75">
      <c r="A18759" s="2">
        <v>43876.79206018518</v>
      </c>
      <c r="B18759" t="str">
        <f>HYPERLINK("https://twitter.com/monimeu_","@monimeu_")</f>
        <v>@monimeu_</v>
      </c>
      <c r="C18759" t="s">
        <v>2444</v>
      </c>
      <c r="D18759">
        <v>4375</v>
      </c>
      <c r="E18759">
        <v>0</v>
      </c>
      <c r="F18759">
        <v>700</v>
      </c>
    </row>
    <row r="18760" spans="1:6" ht="12.75">
      <c r="A18760" s="2">
        <v>43876.791828703703</v>
      </c>
      <c r="B18760" t="str">
        <f>HYPERLINK("https://twitter.com/PojokNU","@PojokNU")</f>
        <v>@PojokNU</v>
      </c>
      <c r="C18760" t="s">
        <v>9459</v>
      </c>
      <c r="D18760">
        <v>0</v>
      </c>
      <c r="E18760">
        <v>0</v>
      </c>
      <c r="F18760">
        <v>698</v>
      </c>
    </row>
    <row r="18761" spans="1:6" ht="12.75">
      <c r="A18761" s="2">
        <v>43876.79179398148</v>
      </c>
      <c r="B18761" t="str">
        <f>HYPERLINK("https://twitter.com/rizal9973","@rizal9973")</f>
        <v>@rizal9973</v>
      </c>
      <c r="C18761" t="s">
        <v>9389</v>
      </c>
      <c r="D18761">
        <v>52</v>
      </c>
      <c r="E18761">
        <v>0</v>
      </c>
      <c r="F18761">
        <v>434</v>
      </c>
    </row>
    <row r="18762" spans="1:6" ht="12.75">
      <c r="A18762" s="2">
        <v>43876.791701388887</v>
      </c>
      <c r="B18762" t="str">
        <f>HYPERLINK("https://twitter.com/gmnifilsafat","@gmnifilsafat")</f>
        <v>@gmnifilsafat</v>
      </c>
      <c r="C18762" t="s">
        <v>9460</v>
      </c>
      <c r="D18762">
        <v>0</v>
      </c>
      <c r="E18762">
        <v>0</v>
      </c>
      <c r="F18762">
        <v>745</v>
      </c>
    </row>
    <row r="18763" spans="1:6" ht="12.75">
      <c r="A18763" s="2">
        <v>43876.791631944448</v>
      </c>
      <c r="B18763" t="str">
        <f>HYPERLINK("https://twitter.com/nurfitria24","@nurfitria24")</f>
        <v>@nurfitria24</v>
      </c>
      <c r="C18763" t="s">
        <v>2444</v>
      </c>
      <c r="D18763">
        <v>4375</v>
      </c>
      <c r="E18763">
        <v>0</v>
      </c>
      <c r="F18763">
        <v>264</v>
      </c>
    </row>
    <row r="18764" spans="1:6" ht="12.75">
      <c r="A18764" s="2">
        <v>43876.79142361111</v>
      </c>
      <c r="B18764" t="str">
        <f>HYPERLINK("https://twitter.com/IngNa70","@IngNa70")</f>
        <v>@IngNa70</v>
      </c>
      <c r="C18764" t="s">
        <v>9461</v>
      </c>
      <c r="D18764">
        <v>2</v>
      </c>
      <c r="E18764">
        <v>3</v>
      </c>
      <c r="F18764">
        <v>562</v>
      </c>
    </row>
    <row r="18765" spans="1:6" ht="12.75">
      <c r="A18765" s="2">
        <v>43876.791122685187</v>
      </c>
      <c r="B18765" t="str">
        <f>HYPERLINK("https://twitter.com/dzulkarnains","@dzulkarnains")</f>
        <v>@dzulkarnains</v>
      </c>
      <c r="C18765" t="s">
        <v>7987</v>
      </c>
      <c r="D18765">
        <v>3</v>
      </c>
      <c r="E18765">
        <v>0</v>
      </c>
      <c r="F18765">
        <v>873</v>
      </c>
    </row>
    <row r="18766" spans="1:6" ht="12.75">
      <c r="A18766" s="2">
        <v>43876.791006944448</v>
      </c>
      <c r="B18766" t="str">
        <f>HYPERLINK("https://twitter.com/amirsyahoke","@amirsyahoke")</f>
        <v>@amirsyahoke</v>
      </c>
      <c r="C18766" t="s">
        <v>9014</v>
      </c>
      <c r="D18766">
        <v>5</v>
      </c>
      <c r="E18766">
        <v>0</v>
      </c>
      <c r="F18766">
        <v>439</v>
      </c>
    </row>
    <row r="18767" spans="1:6" ht="12.75">
      <c r="A18767" s="2">
        <v>43876.790925925925</v>
      </c>
      <c r="B18767" t="str">
        <f>HYPERLINK("https://twitter.com/batagorbakar","@batagorbakar")</f>
        <v>@batagorbakar</v>
      </c>
      <c r="C18767" t="s">
        <v>2444</v>
      </c>
      <c r="D18767">
        <v>4375</v>
      </c>
      <c r="E18767">
        <v>0</v>
      </c>
      <c r="F18767">
        <v>1398</v>
      </c>
    </row>
    <row r="18768" spans="1:6" ht="12.75">
      <c r="A18768" s="2">
        <v>43876.790868055556</v>
      </c>
      <c r="B18768" t="str">
        <f>HYPERLINK("https://twitter.com/fatmawati2014","@fatmawati2014")</f>
        <v>@fatmawati2014</v>
      </c>
      <c r="C18768" t="s">
        <v>2147</v>
      </c>
      <c r="D18768">
        <v>365</v>
      </c>
      <c r="E18768">
        <v>0</v>
      </c>
      <c r="F18768">
        <v>756</v>
      </c>
    </row>
    <row r="18769" spans="1:6" ht="12.75">
      <c r="A18769" s="2">
        <v>43876.790821759263</v>
      </c>
      <c r="B18769" t="str">
        <f>HYPERLINK("https://twitter.com/Leel310","@Leel310")</f>
        <v>@Leel310</v>
      </c>
      <c r="C18769" t="s">
        <v>9462</v>
      </c>
      <c r="D18769">
        <v>0</v>
      </c>
      <c r="E18769">
        <v>0</v>
      </c>
      <c r="F18769">
        <v>1</v>
      </c>
    </row>
    <row r="18770" spans="1:6" ht="12.75">
      <c r="A18770" s="2">
        <v>43876.790555555555</v>
      </c>
      <c r="B18770" t="str">
        <f>HYPERLINK("https://twitter.com/MrsRachelIn","@MrsRachelIn")</f>
        <v>@MrsRachelIn</v>
      </c>
      <c r="C18770" t="s">
        <v>9463</v>
      </c>
      <c r="D18770">
        <v>0</v>
      </c>
      <c r="E18770">
        <v>0</v>
      </c>
      <c r="F18770">
        <v>3107</v>
      </c>
    </row>
    <row r="18771" spans="1:6" ht="12.75">
      <c r="A18771" s="2">
        <v>43876.790381944447</v>
      </c>
      <c r="B18771" t="str">
        <f>HYPERLINK("https://twitter.com/eralazhar","@eralazhar")</f>
        <v>@eralazhar</v>
      </c>
      <c r="C18771" t="s">
        <v>9464</v>
      </c>
      <c r="D18771">
        <v>0</v>
      </c>
      <c r="E18771">
        <v>0</v>
      </c>
      <c r="F18771">
        <v>382</v>
      </c>
    </row>
    <row r="18772" spans="1:6" ht="12.75">
      <c r="A18772" s="2">
        <v>43876.790335648147</v>
      </c>
      <c r="B18772" t="str">
        <f>HYPERLINK("https://twitter.com/suaradotcom","@suaradotcom")</f>
        <v>@suaradotcom</v>
      </c>
      <c r="C18772" t="s">
        <v>9465</v>
      </c>
      <c r="D18772">
        <v>0</v>
      </c>
      <c r="E18772">
        <v>0</v>
      </c>
      <c r="F18772">
        <v>24158</v>
      </c>
    </row>
    <row r="18773" spans="1:6" ht="12.75">
      <c r="A18773" s="2">
        <v>43876.78969907407</v>
      </c>
      <c r="B18773" t="str">
        <f>HYPERLINK("https://twitter.com/ZPanyalai","@ZPanyalai")</f>
        <v>@ZPanyalai</v>
      </c>
      <c r="C18773" t="s">
        <v>7261</v>
      </c>
      <c r="D18773">
        <v>43</v>
      </c>
      <c r="E18773">
        <v>0</v>
      </c>
      <c r="F18773">
        <v>4969</v>
      </c>
    </row>
    <row r="18774" spans="1:6" ht="12.75">
      <c r="A18774" s="2">
        <v>43876.789629629631</v>
      </c>
      <c r="B18774" t="str">
        <f>HYPERLINK("https://twitter.com/asnug_id","@asnug_id")</f>
        <v>@asnug_id</v>
      </c>
      <c r="C18774" t="s">
        <v>8203</v>
      </c>
      <c r="D18774">
        <v>63</v>
      </c>
      <c r="E18774">
        <v>0</v>
      </c>
      <c r="F18774">
        <v>3243</v>
      </c>
    </row>
    <row r="18775" spans="1:6" ht="12.75">
      <c r="A18775" s="2">
        <v>43876.789606481485</v>
      </c>
      <c r="B18775" t="str">
        <f>HYPERLINK("https://twitter.com/YayukWa01806028","@YayukWa01806028")</f>
        <v>@YayukWa01806028</v>
      </c>
      <c r="C18775" t="s">
        <v>8665</v>
      </c>
      <c r="D18775">
        <v>216</v>
      </c>
      <c r="E18775">
        <v>0</v>
      </c>
      <c r="F18775">
        <v>905</v>
      </c>
    </row>
    <row r="18776" spans="1:6" ht="12.75">
      <c r="A18776" s="2">
        <v>43876.789537037039</v>
      </c>
      <c r="B18776" t="str">
        <f>HYPERLINK("https://twitter.com/krisardav5","@krisardav5")</f>
        <v>@krisardav5</v>
      </c>
      <c r="C18776" t="s">
        <v>3150</v>
      </c>
      <c r="D18776">
        <v>147</v>
      </c>
      <c r="E18776">
        <v>0</v>
      </c>
      <c r="F18776">
        <v>469</v>
      </c>
    </row>
    <row r="18777" spans="1:6" ht="12.75">
      <c r="A18777" s="2">
        <v>43876.789363425924</v>
      </c>
      <c r="B18777" t="str">
        <f>HYPERLINK("https://twitter.com/redaksiLokadata","@redaksiLokadata")</f>
        <v>@redaksiLokadata</v>
      </c>
      <c r="C18777" t="s">
        <v>9466</v>
      </c>
      <c r="D18777">
        <v>0</v>
      </c>
      <c r="E18777">
        <v>0</v>
      </c>
      <c r="F18777">
        <v>9083</v>
      </c>
    </row>
    <row r="18778" spans="1:6" ht="12.75">
      <c r="A18778" s="2">
        <v>43876.789143518516</v>
      </c>
      <c r="B18778" t="str">
        <f>HYPERLINK("https://twitter.com/iridoescent","@iridoescent")</f>
        <v>@iridoescent</v>
      </c>
      <c r="C18778" t="s">
        <v>2444</v>
      </c>
      <c r="D18778">
        <v>4375</v>
      </c>
      <c r="E18778">
        <v>0</v>
      </c>
      <c r="F18778">
        <v>154</v>
      </c>
    </row>
    <row r="18779" spans="1:6" ht="12.75">
      <c r="A18779" s="2">
        <v>43876.789120370369</v>
      </c>
      <c r="B18779" t="str">
        <f>HYPERLINK("https://twitter.com/devilauw80","@devilauw80")</f>
        <v>@devilauw80</v>
      </c>
      <c r="C18779" t="s">
        <v>9467</v>
      </c>
      <c r="D18779">
        <v>0</v>
      </c>
      <c r="E18779">
        <v>0</v>
      </c>
      <c r="F18779">
        <v>568</v>
      </c>
    </row>
    <row r="18780" spans="1:6" ht="12.75">
      <c r="A18780" s="2">
        <v>43876.788946759261</v>
      </c>
      <c r="B18780" t="str">
        <f>HYPERLINK("https://twitter.com/sadamelka17","@sadamelka17")</f>
        <v>@sadamelka17</v>
      </c>
      <c r="C18780" t="s">
        <v>2147</v>
      </c>
      <c r="D18780">
        <v>365</v>
      </c>
      <c r="E18780">
        <v>0</v>
      </c>
      <c r="F18780">
        <v>120</v>
      </c>
    </row>
    <row r="18781" spans="1:6" ht="12.75">
      <c r="A18781" s="2">
        <v>43876.788842592592</v>
      </c>
      <c r="B18781" t="str">
        <f>HYPERLINK("https://twitter.com/jongdaeresque","@jongdaeresque")</f>
        <v>@jongdaeresque</v>
      </c>
      <c r="C18781" t="s">
        <v>5168</v>
      </c>
      <c r="D18781">
        <v>1597</v>
      </c>
      <c r="E18781">
        <v>0</v>
      </c>
      <c r="F18781">
        <v>293</v>
      </c>
    </row>
    <row r="18782" spans="1:6" ht="12.75">
      <c r="A18782" s="2">
        <v>43876.788819444446</v>
      </c>
      <c r="B18782" t="str">
        <f>HYPERLINK("https://twitter.com/SibaluhapT","@SibaluhapT")</f>
        <v>@SibaluhapT</v>
      </c>
      <c r="C18782" t="s">
        <v>2147</v>
      </c>
      <c r="D18782">
        <v>365</v>
      </c>
      <c r="E18782">
        <v>0</v>
      </c>
      <c r="F18782">
        <v>2</v>
      </c>
    </row>
    <row r="18783" spans="1:6" ht="12.75">
      <c r="A18783" s="2">
        <v>43876.788668981477</v>
      </c>
      <c r="B18783" t="str">
        <f>HYPERLINK("https://twitter.com/Rivaille_27","@Rivaille_27")</f>
        <v>@Rivaille_27</v>
      </c>
      <c r="C18783" t="s">
        <v>9468</v>
      </c>
      <c r="D18783">
        <v>0</v>
      </c>
      <c r="E18783">
        <v>0</v>
      </c>
      <c r="F18783">
        <v>2</v>
      </c>
    </row>
    <row r="18784" spans="1:6" ht="12.75">
      <c r="A18784" s="2">
        <v>43876.788599537038</v>
      </c>
      <c r="B18784" t="str">
        <f>HYPERLINK("https://twitter.com/tempodotco","@tempodotco")</f>
        <v>@tempodotco</v>
      </c>
      <c r="C18784" t="s">
        <v>9469</v>
      </c>
      <c r="D18784">
        <v>0</v>
      </c>
      <c r="E18784">
        <v>4</v>
      </c>
      <c r="F18784">
        <v>1703248</v>
      </c>
    </row>
    <row r="18785" spans="1:6" ht="12.75">
      <c r="A18785" s="2">
        <v>43876.788287037038</v>
      </c>
      <c r="B18785" t="str">
        <f>HYPERLINK("https://twitter.com/Rivaille_27","@Rivaille_27")</f>
        <v>@Rivaille_27</v>
      </c>
      <c r="C18785" t="s">
        <v>9470</v>
      </c>
      <c r="D18785">
        <v>0</v>
      </c>
      <c r="E18785">
        <v>0</v>
      </c>
      <c r="F18785">
        <v>2</v>
      </c>
    </row>
    <row r="18786" spans="1:6" ht="12.75">
      <c r="A18786" s="2">
        <v>43876.788275462968</v>
      </c>
      <c r="B18786" t="str">
        <f>HYPERLINK("https://twitter.com/AErick38","@AErick38")</f>
        <v>@AErick38</v>
      </c>
      <c r="C18786" t="s">
        <v>9389</v>
      </c>
      <c r="D18786">
        <v>52</v>
      </c>
      <c r="E18786">
        <v>0</v>
      </c>
      <c r="F18786">
        <v>235</v>
      </c>
    </row>
    <row r="18787" spans="1:6" ht="12.75">
      <c r="A18787" s="2">
        <v>43876.788252314815</v>
      </c>
      <c r="B18787" t="str">
        <f>HYPERLINK("https://twitter.com/praja_pyan","@praja_pyan")</f>
        <v>@praja_pyan</v>
      </c>
      <c r="C18787" t="s">
        <v>9471</v>
      </c>
      <c r="D18787">
        <v>2</v>
      </c>
      <c r="E18787">
        <v>0</v>
      </c>
      <c r="F18787">
        <v>63</v>
      </c>
    </row>
    <row r="18788" spans="1:6" ht="12.75">
      <c r="A18788" s="2">
        <v>43876.788217592592</v>
      </c>
      <c r="B18788" t="str">
        <f>HYPERLINK("https://twitter.com/sabar_mbok","@sabar_mbok")</f>
        <v>@sabar_mbok</v>
      </c>
      <c r="C18788" t="s">
        <v>9472</v>
      </c>
      <c r="D18788">
        <v>3</v>
      </c>
      <c r="E18788">
        <v>0</v>
      </c>
      <c r="F18788">
        <v>281</v>
      </c>
    </row>
    <row r="18789" spans="1:6" ht="12.75">
      <c r="A18789" s="2">
        <v>43876.788136574076</v>
      </c>
      <c r="B18789" t="str">
        <f>HYPERLINK("https://twitter.com/setyosby","@setyosby")</f>
        <v>@setyosby</v>
      </c>
      <c r="C18789" t="s">
        <v>9150</v>
      </c>
      <c r="D18789">
        <v>140</v>
      </c>
      <c r="E18789">
        <v>0</v>
      </c>
      <c r="F18789">
        <v>1924</v>
      </c>
    </row>
    <row r="18790" spans="1:6" ht="12.75">
      <c r="A18790" s="2">
        <v>43876.788113425922</v>
      </c>
      <c r="B18790" t="str">
        <f>HYPERLINK("https://twitter.com/chiawithluv_","@chiawithluv_")</f>
        <v>@chiawithluv_</v>
      </c>
      <c r="C18790" t="s">
        <v>2444</v>
      </c>
      <c r="D18790">
        <v>4375</v>
      </c>
      <c r="E18790">
        <v>0</v>
      </c>
      <c r="F18790">
        <v>1100</v>
      </c>
    </row>
    <row r="18791" spans="1:6" ht="12.75">
      <c r="A18791" s="2">
        <v>43876.788090277776</v>
      </c>
      <c r="B18791" t="str">
        <f>HYPERLINK("https://twitter.com/em_fdhl","@em_fdhl")</f>
        <v>@em_fdhl</v>
      </c>
      <c r="C18791" t="s">
        <v>9473</v>
      </c>
      <c r="D18791">
        <v>0</v>
      </c>
      <c r="E18791">
        <v>0</v>
      </c>
      <c r="F18791">
        <v>17</v>
      </c>
    </row>
    <row r="18792" spans="1:6" ht="12.75">
      <c r="A18792" s="2">
        <v>43876.787777777776</v>
      </c>
      <c r="B18792" t="str">
        <f>HYPERLINK("https://twitter.com/Lantai_4","@Lantai_4")</f>
        <v>@Lantai_4</v>
      </c>
      <c r="C18792" t="s">
        <v>9474</v>
      </c>
      <c r="D18792">
        <v>0</v>
      </c>
      <c r="E18792">
        <v>0</v>
      </c>
      <c r="F18792">
        <v>2</v>
      </c>
    </row>
    <row r="18793" spans="1:6" ht="12.75">
      <c r="A18793" s="2">
        <v>43876.787777777776</v>
      </c>
      <c r="B18793" t="str">
        <f>HYPERLINK("https://twitter.com/Carlahapsari_","@Carlahapsari_")</f>
        <v>@Carlahapsari_</v>
      </c>
      <c r="C18793" t="s">
        <v>9475</v>
      </c>
      <c r="D18793">
        <v>0</v>
      </c>
      <c r="E18793">
        <v>0</v>
      </c>
      <c r="F18793">
        <v>364</v>
      </c>
    </row>
    <row r="18794" spans="1:6" ht="12.75">
      <c r="A18794" s="2">
        <v>43876.787766203706</v>
      </c>
      <c r="B18794" t="str">
        <f>HYPERLINK("https://twitter.com/ephraym8","@ephraym8")</f>
        <v>@ephraym8</v>
      </c>
      <c r="C18794" t="s">
        <v>9476</v>
      </c>
      <c r="D18794">
        <v>1</v>
      </c>
      <c r="E18794">
        <v>0</v>
      </c>
      <c r="F18794">
        <v>1119</v>
      </c>
    </row>
    <row r="18795" spans="1:6" ht="12.75">
      <c r="A18795" s="2">
        <v>43876.787731481483</v>
      </c>
      <c r="B18795" t="str">
        <f t="shared" ref="B18795:B18796" si="311">HYPERLINK("https://twitter.com/AditiaP_07","@AditiaP_07")</f>
        <v>@AditiaP_07</v>
      </c>
      <c r="C18795" t="s">
        <v>9477</v>
      </c>
      <c r="D18795">
        <v>10</v>
      </c>
      <c r="E18795">
        <v>0</v>
      </c>
      <c r="F18795">
        <v>4368</v>
      </c>
    </row>
    <row r="18796" spans="1:6" ht="12.75">
      <c r="A18796" s="2">
        <v>43876.78770833333</v>
      </c>
      <c r="B18796" t="str">
        <f t="shared" si="311"/>
        <v>@AditiaP_07</v>
      </c>
      <c r="C18796" t="s">
        <v>9478</v>
      </c>
      <c r="D18796">
        <v>10</v>
      </c>
      <c r="E18796">
        <v>0</v>
      </c>
      <c r="F18796">
        <v>4368</v>
      </c>
    </row>
    <row r="18797" spans="1:6" ht="12.75">
      <c r="A18797" s="2">
        <v>43876.787673611107</v>
      </c>
      <c r="B18797" t="str">
        <f>HYPERLINK("https://twitter.com/81_adi","@81_adi")</f>
        <v>@81_adi</v>
      </c>
      <c r="C18797" t="s">
        <v>9479</v>
      </c>
      <c r="D18797">
        <v>2</v>
      </c>
      <c r="E18797">
        <v>0</v>
      </c>
      <c r="F18797">
        <v>104</v>
      </c>
    </row>
    <row r="18798" spans="1:6" ht="12.75">
      <c r="A18798" s="2">
        <v>43876.787650462968</v>
      </c>
      <c r="B18798" t="str">
        <f>HYPERLINK("https://twitter.com/idntimes","@idntimes")</f>
        <v>@idntimes</v>
      </c>
      <c r="C18798" t="s">
        <v>9480</v>
      </c>
      <c r="D18798">
        <v>0</v>
      </c>
      <c r="E18798">
        <v>1</v>
      </c>
      <c r="F18798">
        <v>392717</v>
      </c>
    </row>
    <row r="18799" spans="1:6" ht="12.75">
      <c r="A18799" s="2">
        <v>43876.787569444445</v>
      </c>
      <c r="B18799" t="str">
        <f>HYPERLINK("https://twitter.com/Anna20532283","@Anna20532283")</f>
        <v>@Anna20532283</v>
      </c>
      <c r="C18799" t="s">
        <v>9481</v>
      </c>
      <c r="D18799">
        <v>0</v>
      </c>
      <c r="E18799">
        <v>0</v>
      </c>
      <c r="F18799">
        <v>0</v>
      </c>
    </row>
    <row r="18800" spans="1:6" ht="12.75">
      <c r="A18800" s="2">
        <v>43876.787557870368</v>
      </c>
      <c r="B18800" t="str">
        <f>HYPERLINK("https://twitter.com/RadenPurba3","@RadenPurba3")</f>
        <v>@RadenPurba3</v>
      </c>
      <c r="C18800" t="s">
        <v>9482</v>
      </c>
      <c r="D18800">
        <v>0</v>
      </c>
      <c r="E18800">
        <v>0</v>
      </c>
      <c r="F18800">
        <v>36</v>
      </c>
    </row>
    <row r="18801" spans="1:6" ht="12.75">
      <c r="A18801" s="2">
        <v>43876.787442129629</v>
      </c>
      <c r="B18801" t="str">
        <f>HYPERLINK("https://twitter.com/andyypri23","@andyypri23")</f>
        <v>@andyypri23</v>
      </c>
      <c r="C18801" t="s">
        <v>8203</v>
      </c>
      <c r="D18801">
        <v>63</v>
      </c>
      <c r="E18801">
        <v>0</v>
      </c>
      <c r="F18801">
        <v>15</v>
      </c>
    </row>
    <row r="18802" spans="1:6" ht="12.75">
      <c r="A18802" s="2">
        <v>43876.787407407406</v>
      </c>
      <c r="B18802" t="str">
        <f>HYPERLINK("https://twitter.com/ivant99","@ivant99")</f>
        <v>@ivant99</v>
      </c>
      <c r="C18802" t="s">
        <v>7261</v>
      </c>
      <c r="D18802">
        <v>43</v>
      </c>
      <c r="E18802">
        <v>0</v>
      </c>
      <c r="F18802">
        <v>184</v>
      </c>
    </row>
    <row r="18803" spans="1:6" ht="12.75">
      <c r="A18803" s="2">
        <v>43876.787141203706</v>
      </c>
      <c r="B18803" t="str">
        <f>HYPERLINK("https://twitter.com/idntimes","@idntimes")</f>
        <v>@idntimes</v>
      </c>
      <c r="C18803" t="s">
        <v>9483</v>
      </c>
      <c r="D18803">
        <v>0</v>
      </c>
      <c r="E18803">
        <v>1</v>
      </c>
      <c r="F18803">
        <v>392717</v>
      </c>
    </row>
    <row r="18804" spans="1:6" ht="12.75">
      <c r="A18804" s="2">
        <v>43876.787118055552</v>
      </c>
      <c r="B18804" t="str">
        <f>HYPERLINK("https://twitter.com/antaranews","@antaranews")</f>
        <v>@antaranews</v>
      </c>
      <c r="C18804" t="s">
        <v>9484</v>
      </c>
      <c r="D18804">
        <v>0</v>
      </c>
      <c r="E18804">
        <v>3</v>
      </c>
      <c r="F18804">
        <v>1103370</v>
      </c>
    </row>
    <row r="18805" spans="1:6" ht="12.75">
      <c r="A18805" s="2">
        <v>43876.786932870367</v>
      </c>
      <c r="B18805" t="str">
        <f>HYPERLINK("https://twitter.com/HadiAdi28","@HadiAdi28")</f>
        <v>@HadiAdi28</v>
      </c>
      <c r="C18805" t="s">
        <v>2147</v>
      </c>
      <c r="D18805">
        <v>365</v>
      </c>
      <c r="E18805">
        <v>0</v>
      </c>
      <c r="F18805">
        <v>1033</v>
      </c>
    </row>
    <row r="18806" spans="1:6" ht="12.75">
      <c r="A18806" s="2">
        <v>43876.786921296298</v>
      </c>
      <c r="B18806" t="str">
        <f>HYPERLINK("https://twitter.com/indozonemedia","@indozonemedia")</f>
        <v>@indozonemedia</v>
      </c>
      <c r="C18806" t="s">
        <v>9485</v>
      </c>
      <c r="D18806">
        <v>0</v>
      </c>
      <c r="E18806">
        <v>1</v>
      </c>
      <c r="F18806">
        <v>1787941</v>
      </c>
    </row>
    <row r="18807" spans="1:6" ht="12.75">
      <c r="A18807" s="2">
        <v>43876.786840277782</v>
      </c>
      <c r="B18807" t="str">
        <f>HYPERLINK("https://twitter.com/KicauSumbar","@KicauSumbar")</f>
        <v>@KicauSumbar</v>
      </c>
      <c r="C18807" t="s">
        <v>9486</v>
      </c>
      <c r="D18807">
        <v>0</v>
      </c>
      <c r="E18807">
        <v>0</v>
      </c>
      <c r="F18807">
        <v>458</v>
      </c>
    </row>
    <row r="18808" spans="1:6" ht="12.75">
      <c r="A18808" s="2">
        <v>43876.786759259259</v>
      </c>
      <c r="B18808" t="str">
        <f>HYPERLINK("https://twitter.com/0llieds","@0llieds")</f>
        <v>@0llieds</v>
      </c>
      <c r="C18808" t="s">
        <v>3059</v>
      </c>
      <c r="D18808">
        <v>240</v>
      </c>
      <c r="E18808">
        <v>0</v>
      </c>
      <c r="F18808">
        <v>197</v>
      </c>
    </row>
    <row r="18809" spans="1:6" ht="12.75">
      <c r="A18809" s="2">
        <v>43876.78670138889</v>
      </c>
      <c r="B18809" t="str">
        <f>HYPERLINK("https://twitter.com/republikaonline","@republikaonline")</f>
        <v>@republikaonline</v>
      </c>
      <c r="C18809" t="s">
        <v>9487</v>
      </c>
      <c r="D18809">
        <v>2</v>
      </c>
      <c r="E18809">
        <v>9</v>
      </c>
      <c r="F18809">
        <v>1210502</v>
      </c>
    </row>
    <row r="18810" spans="1:6" ht="12.75">
      <c r="A18810" s="2">
        <v>43876.786192129628</v>
      </c>
      <c r="B18810" t="str">
        <f>HYPERLINK("https://twitter.com/TaufikNurendra","@TaufikNurendra")</f>
        <v>@TaufikNurendra</v>
      </c>
      <c r="C18810" t="s">
        <v>8628</v>
      </c>
      <c r="D18810">
        <v>107</v>
      </c>
      <c r="E18810">
        <v>0</v>
      </c>
      <c r="F18810">
        <v>60</v>
      </c>
    </row>
    <row r="18811" spans="1:6" ht="12.75">
      <c r="A18811" s="2">
        <v>43876.786087962959</v>
      </c>
      <c r="B18811" t="str">
        <f>HYPERLINK("https://twitter.com/Ardi01879","@Ardi01879")</f>
        <v>@Ardi01879</v>
      </c>
      <c r="C18811" t="s">
        <v>7261</v>
      </c>
      <c r="D18811">
        <v>43</v>
      </c>
      <c r="E18811">
        <v>0</v>
      </c>
      <c r="F18811">
        <v>1484</v>
      </c>
    </row>
    <row r="18812" spans="1:6" ht="12.75">
      <c r="A18812" s="2">
        <v>43876.785891203705</v>
      </c>
      <c r="B18812" t="str">
        <f>HYPERLINK("https://twitter.com/sofiankawar1","@sofiankawar1")</f>
        <v>@sofiankawar1</v>
      </c>
      <c r="C18812" t="s">
        <v>9488</v>
      </c>
      <c r="D18812">
        <v>0</v>
      </c>
      <c r="E18812">
        <v>0</v>
      </c>
      <c r="F18812">
        <v>59</v>
      </c>
    </row>
    <row r="18813" spans="1:6" ht="12.75">
      <c r="A18813" s="2">
        <v>43876.785856481481</v>
      </c>
      <c r="B18813" t="str">
        <f>HYPERLINK("https://twitter.com/nosa_her","@nosa_her")</f>
        <v>@nosa_her</v>
      </c>
      <c r="C18813" t="s">
        <v>2147</v>
      </c>
      <c r="D18813">
        <v>365</v>
      </c>
      <c r="E18813">
        <v>0</v>
      </c>
      <c r="F18813">
        <v>73</v>
      </c>
    </row>
    <row r="18814" spans="1:6" ht="12.75">
      <c r="A18814" s="2">
        <v>43876.785648148143</v>
      </c>
      <c r="B18814" t="str">
        <f>HYPERLINK("https://twitter.com/B_A_T_212","@B_A_T_212")</f>
        <v>@B_A_T_212</v>
      </c>
      <c r="C18814" t="s">
        <v>9489</v>
      </c>
      <c r="D18814">
        <v>1</v>
      </c>
      <c r="E18814">
        <v>0</v>
      </c>
      <c r="F18814">
        <v>1852</v>
      </c>
    </row>
    <row r="18815" spans="1:6" ht="12.75">
      <c r="A18815" s="2">
        <v>43876.785405092596</v>
      </c>
      <c r="B18815" t="str">
        <f>HYPERLINK("https://twitter.com/Agung_Trianto","@Agung_Trianto")</f>
        <v>@Agung_Trianto</v>
      </c>
      <c r="C18815" t="s">
        <v>2444</v>
      </c>
      <c r="D18815">
        <v>4375</v>
      </c>
      <c r="E18815">
        <v>0</v>
      </c>
      <c r="F18815">
        <v>67</v>
      </c>
    </row>
    <row r="18816" spans="1:6" ht="12.75">
      <c r="A18816" s="2">
        <v>43876.785185185188</v>
      </c>
      <c r="B18816" t="str">
        <f>HYPERLINK("https://twitter.com/CitraShanie","@CitraShanie")</f>
        <v>@CitraShanie</v>
      </c>
      <c r="C18816" t="s">
        <v>9490</v>
      </c>
      <c r="D18816">
        <v>1</v>
      </c>
      <c r="E18816">
        <v>0</v>
      </c>
      <c r="F18816">
        <v>10150</v>
      </c>
    </row>
    <row r="18817" spans="1:6" ht="12.75">
      <c r="A18817" s="2">
        <v>43876.785092592589</v>
      </c>
      <c r="B18817" t="str">
        <f>HYPERLINK("https://twitter.com/Favetelinguiss","@Favetelinguiss")</f>
        <v>@Favetelinguiss</v>
      </c>
      <c r="C18817" t="s">
        <v>3150</v>
      </c>
      <c r="D18817">
        <v>147</v>
      </c>
      <c r="E18817">
        <v>0</v>
      </c>
      <c r="F18817">
        <v>11572</v>
      </c>
    </row>
    <row r="18818" spans="1:6" ht="12.75">
      <c r="A18818" s="2">
        <v>43876.785057870366</v>
      </c>
      <c r="B18818" t="str">
        <f>HYPERLINK("https://twitter.com/KEZIAAM0UR","@KEZIAAM0UR")</f>
        <v>@KEZIAAM0UR</v>
      </c>
      <c r="C18818" t="s">
        <v>9491</v>
      </c>
      <c r="D18818">
        <v>0</v>
      </c>
      <c r="E18818">
        <v>0</v>
      </c>
      <c r="F18818">
        <v>99</v>
      </c>
    </row>
    <row r="18819" spans="1:6" ht="12.75">
      <c r="A18819" s="2">
        <v>43876.785057870366</v>
      </c>
      <c r="B18819" t="str">
        <f t="shared" ref="B18819:B18820" si="312">HYPERLINK("https://twitter.com/ayafiar","@ayafiar")</f>
        <v>@ayafiar</v>
      </c>
      <c r="C18819" t="s">
        <v>2444</v>
      </c>
      <c r="D18819">
        <v>4375</v>
      </c>
      <c r="E18819">
        <v>0</v>
      </c>
      <c r="F18819">
        <v>6</v>
      </c>
    </row>
    <row r="18820" spans="1:6" ht="12.75">
      <c r="A18820" s="2">
        <v>43876.785011574073</v>
      </c>
      <c r="B18820" t="str">
        <f t="shared" si="312"/>
        <v>@ayafiar</v>
      </c>
      <c r="C18820" t="s">
        <v>5168</v>
      </c>
      <c r="D18820">
        <v>1597</v>
      </c>
      <c r="E18820">
        <v>0</v>
      </c>
      <c r="F18820">
        <v>6</v>
      </c>
    </row>
    <row r="18821" spans="1:6" ht="12.75">
      <c r="A18821" s="2">
        <v>43876.784884259258</v>
      </c>
      <c r="B18821" t="str">
        <f>HYPERLINK("https://twitter.com/Indopolitika","@Indopolitika")</f>
        <v>@Indopolitika</v>
      </c>
      <c r="C18821" t="s">
        <v>9492</v>
      </c>
      <c r="D18821">
        <v>0</v>
      </c>
      <c r="E18821">
        <v>0</v>
      </c>
      <c r="F18821">
        <v>10608</v>
      </c>
    </row>
    <row r="18822" spans="1:6" ht="12.75">
      <c r="A18822" s="2">
        <v>43876.784803240742</v>
      </c>
      <c r="B18822" t="str">
        <f>HYPERLINK("https://twitter.com/Yardanwafa","@Yardanwafa")</f>
        <v>@Yardanwafa</v>
      </c>
      <c r="C18822" t="s">
        <v>2147</v>
      </c>
      <c r="D18822">
        <v>365</v>
      </c>
      <c r="E18822">
        <v>0</v>
      </c>
      <c r="F18822">
        <v>26</v>
      </c>
    </row>
    <row r="18823" spans="1:6" ht="12.75">
      <c r="A18823" s="2">
        <v>43876.784745370373</v>
      </c>
      <c r="B18823" t="str">
        <f>HYPERLINK("https://twitter.com/Indopolitika","@Indopolitika")</f>
        <v>@Indopolitika</v>
      </c>
      <c r="C18823" t="s">
        <v>9493</v>
      </c>
      <c r="D18823">
        <v>0</v>
      </c>
      <c r="E18823">
        <v>0</v>
      </c>
      <c r="F18823">
        <v>10608</v>
      </c>
    </row>
    <row r="18824" spans="1:6" ht="12.75">
      <c r="A18824" s="2">
        <v>43876.784733796296</v>
      </c>
      <c r="B18824" t="str">
        <f>HYPERLINK("https://twitter.com/frrozi1998","@frrozi1998")</f>
        <v>@frrozi1998</v>
      </c>
      <c r="C18824" t="s">
        <v>9494</v>
      </c>
      <c r="D18824">
        <v>0</v>
      </c>
      <c r="E18824">
        <v>0</v>
      </c>
      <c r="F18824">
        <v>548</v>
      </c>
    </row>
    <row r="18825" spans="1:6" ht="12.75">
      <c r="A18825" s="2">
        <v>43876.784664351857</v>
      </c>
      <c r="B18825" t="str">
        <f>HYPERLINK("https://twitter.com/VierdaAja","@VierdaAja")</f>
        <v>@VierdaAja</v>
      </c>
      <c r="C18825" t="s">
        <v>2444</v>
      </c>
      <c r="D18825">
        <v>4375</v>
      </c>
      <c r="E18825">
        <v>0</v>
      </c>
      <c r="F18825">
        <v>3518</v>
      </c>
    </row>
    <row r="18826" spans="1:6" ht="12.75">
      <c r="A18826" s="2">
        <v>43876.784629629634</v>
      </c>
      <c r="B18826" t="str">
        <f>HYPERLINK("https://twitter.com/Nusantara_TV","@Nusantara_TV")</f>
        <v>@Nusantara_TV</v>
      </c>
      <c r="C18826" t="s">
        <v>9495</v>
      </c>
      <c r="D18826">
        <v>0</v>
      </c>
      <c r="E18826">
        <v>0</v>
      </c>
      <c r="F18826">
        <v>490</v>
      </c>
    </row>
    <row r="18827" spans="1:6" ht="12.75">
      <c r="A18827" s="2">
        <v>43876.784467592588</v>
      </c>
      <c r="B18827" t="str">
        <f>HYPERLINK("https://twitter.com/MasAaUsep","@MasAaUsep")</f>
        <v>@MasAaUsep</v>
      </c>
      <c r="C18827" t="s">
        <v>3059</v>
      </c>
      <c r="D18827">
        <v>240</v>
      </c>
      <c r="E18827">
        <v>0</v>
      </c>
      <c r="F18827">
        <v>608</v>
      </c>
    </row>
    <row r="18828" spans="1:6" ht="12.75">
      <c r="A18828" s="2">
        <v>43876.784328703703</v>
      </c>
      <c r="B18828" t="str">
        <f>HYPERLINK("https://twitter.com/AllInX5","@AllInX5")</f>
        <v>@AllInX5</v>
      </c>
      <c r="C18828" t="s">
        <v>7261</v>
      </c>
      <c r="D18828">
        <v>43</v>
      </c>
      <c r="E18828">
        <v>0</v>
      </c>
      <c r="F18828">
        <v>103</v>
      </c>
    </row>
    <row r="18829" spans="1:6" ht="12.75">
      <c r="A18829" s="2">
        <v>43876.784212962964</v>
      </c>
      <c r="B18829" t="str">
        <f>HYPERLINK("https://twitter.com/cendananews","@cendananews")</f>
        <v>@cendananews</v>
      </c>
      <c r="C18829" t="s">
        <v>9496</v>
      </c>
      <c r="D18829">
        <v>0</v>
      </c>
      <c r="E18829">
        <v>0</v>
      </c>
      <c r="F18829">
        <v>4568</v>
      </c>
    </row>
    <row r="18830" spans="1:6" ht="12.75">
      <c r="A18830" s="2">
        <v>43876.784131944441</v>
      </c>
      <c r="B18830" t="str">
        <f>HYPERLINK("https://twitter.com/praja_pyan","@praja_pyan")</f>
        <v>@praja_pyan</v>
      </c>
      <c r="C18830" t="s">
        <v>8860</v>
      </c>
      <c r="D18830">
        <v>2</v>
      </c>
      <c r="E18830">
        <v>0</v>
      </c>
      <c r="F18830">
        <v>63</v>
      </c>
    </row>
    <row r="18831" spans="1:6" ht="12.75">
      <c r="A18831" s="2">
        <v>43876.78402777778</v>
      </c>
      <c r="B18831" t="str">
        <f>HYPERLINK("https://twitter.com/pilotignews","@pilotignews")</f>
        <v>@pilotignews</v>
      </c>
      <c r="C18831" t="s">
        <v>9497</v>
      </c>
      <c r="D18831">
        <v>0</v>
      </c>
      <c r="E18831">
        <v>0</v>
      </c>
      <c r="F18831">
        <v>23</v>
      </c>
    </row>
    <row r="18832" spans="1:6" ht="12.75">
      <c r="A18832" s="2">
        <v>43876.783888888887</v>
      </c>
      <c r="B18832" t="str">
        <f>HYPERLINK("https://twitter.com/djodikusuma","@djodikusuma")</f>
        <v>@djodikusuma</v>
      </c>
      <c r="C18832" t="s">
        <v>9498</v>
      </c>
      <c r="D18832">
        <v>0</v>
      </c>
      <c r="E18832">
        <v>0</v>
      </c>
      <c r="F18832">
        <v>13</v>
      </c>
    </row>
    <row r="18833" spans="1:6" ht="12.75">
      <c r="A18833" s="2">
        <v>43876.783750000002</v>
      </c>
      <c r="B18833" t="str">
        <f>HYPERLINK("https://twitter.com/Rubiespal","@Rubiespal")</f>
        <v>@Rubiespal</v>
      </c>
      <c r="C18833" t="s">
        <v>3150</v>
      </c>
      <c r="D18833">
        <v>147</v>
      </c>
      <c r="E18833">
        <v>0</v>
      </c>
      <c r="F18833">
        <v>2076</v>
      </c>
    </row>
    <row r="18834" spans="1:6" ht="12.75">
      <c r="A18834" s="2">
        <v>43876.783715277779</v>
      </c>
      <c r="B18834" t="str">
        <f>HYPERLINK("https://twitter.com/KATADATAcoid","@KATADATAcoid")</f>
        <v>@KATADATAcoid</v>
      </c>
      <c r="C18834" t="s">
        <v>9499</v>
      </c>
      <c r="D18834">
        <v>0</v>
      </c>
      <c r="E18834">
        <v>0</v>
      </c>
      <c r="F18834">
        <v>39278</v>
      </c>
    </row>
    <row r="18835" spans="1:6" ht="12.75">
      <c r="A18835" s="2">
        <v>43876.783553240741</v>
      </c>
      <c r="B18835" t="str">
        <f>HYPERLINK("https://twitter.com/Nusantara_TV","@Nusantara_TV")</f>
        <v>@Nusantara_TV</v>
      </c>
      <c r="C18835" t="s">
        <v>9500</v>
      </c>
      <c r="D18835">
        <v>0</v>
      </c>
      <c r="E18835">
        <v>0</v>
      </c>
      <c r="F18835">
        <v>490</v>
      </c>
    </row>
    <row r="18836" spans="1:6" ht="12.75">
      <c r="A18836" s="2">
        <v>43876.783483796295</v>
      </c>
      <c r="B18836" t="str">
        <f>HYPERLINK("https://twitter.com/wni_jmsri","@wni_jmsri")</f>
        <v>@wni_jmsri</v>
      </c>
      <c r="C18836" t="s">
        <v>9501</v>
      </c>
      <c r="D18836">
        <v>5105</v>
      </c>
      <c r="E18836">
        <v>0</v>
      </c>
      <c r="F18836">
        <v>195</v>
      </c>
    </row>
    <row r="18837" spans="1:6" ht="12.75">
      <c r="A18837" s="2">
        <v>43876.783182870371</v>
      </c>
      <c r="B18837" t="str">
        <f>HYPERLINK("https://twitter.com/Anthonderato","@Anthonderato")</f>
        <v>@Anthonderato</v>
      </c>
      <c r="C18837" t="s">
        <v>9389</v>
      </c>
      <c r="D18837">
        <v>52</v>
      </c>
      <c r="E18837">
        <v>0</v>
      </c>
      <c r="F18837">
        <v>614</v>
      </c>
    </row>
    <row r="18838" spans="1:6" ht="12.75">
      <c r="A18838" s="2">
        <v>43876.783125000002</v>
      </c>
      <c r="B18838" t="str">
        <f>HYPERLINK("https://twitter.com/AryoPandu95","@AryoPandu95")</f>
        <v>@AryoPandu95</v>
      </c>
      <c r="C18838" t="s">
        <v>9014</v>
      </c>
      <c r="D18838">
        <v>5</v>
      </c>
      <c r="E18838">
        <v>0</v>
      </c>
      <c r="F18838">
        <v>448</v>
      </c>
    </row>
    <row r="18839" spans="1:6" ht="12.75">
      <c r="A18839" s="2">
        <v>43876.783055555556</v>
      </c>
      <c r="B18839" t="str">
        <f>HYPERLINK("https://twitter.com/Pr1y4_Utomo","@Pr1y4_Utomo")</f>
        <v>@Pr1y4_Utomo</v>
      </c>
      <c r="C18839" t="s">
        <v>9502</v>
      </c>
      <c r="D18839">
        <v>1</v>
      </c>
      <c r="E18839">
        <v>1</v>
      </c>
      <c r="F18839">
        <v>2241</v>
      </c>
    </row>
    <row r="18840" spans="1:6" ht="12.75">
      <c r="A18840" s="2">
        <v>43876.783043981486</v>
      </c>
      <c r="B18840" t="str">
        <f>HYPERLINK("https://twitter.com/jawapos","@jawapos")</f>
        <v>@jawapos</v>
      </c>
      <c r="C18840" t="s">
        <v>9503</v>
      </c>
      <c r="D18840">
        <v>0</v>
      </c>
      <c r="E18840">
        <v>0</v>
      </c>
      <c r="F18840">
        <v>116941</v>
      </c>
    </row>
    <row r="18841" spans="1:6" ht="12.75">
      <c r="A18841" s="2">
        <v>43876.783009259263</v>
      </c>
      <c r="B18841" t="str">
        <f>HYPERLINK("https://twitter.com/siswanto_dhanu","@siswanto_dhanu")</f>
        <v>@siswanto_dhanu</v>
      </c>
      <c r="C18841" t="s">
        <v>9504</v>
      </c>
      <c r="D18841">
        <v>0</v>
      </c>
      <c r="E18841">
        <v>0</v>
      </c>
      <c r="F18841">
        <v>37</v>
      </c>
    </row>
    <row r="18842" spans="1:6" ht="12.75">
      <c r="A18842" s="2">
        <v>43876.782719907409</v>
      </c>
      <c r="B18842" t="str">
        <f>HYPERLINK("https://twitter.com/em_fdhl","@em_fdhl")</f>
        <v>@em_fdhl</v>
      </c>
      <c r="C18842" t="s">
        <v>9505</v>
      </c>
      <c r="D18842">
        <v>0</v>
      </c>
      <c r="E18842">
        <v>0</v>
      </c>
      <c r="F18842">
        <v>17</v>
      </c>
    </row>
    <row r="18843" spans="1:6" ht="12.75">
      <c r="A18843" s="2">
        <v>43876.782696759255</v>
      </c>
      <c r="B18843" t="str">
        <f>HYPERLINK("https://twitter.com/KacungBukan","@KacungBukan")</f>
        <v>@KacungBukan</v>
      </c>
      <c r="C18843" t="s">
        <v>7261</v>
      </c>
      <c r="D18843">
        <v>43</v>
      </c>
      <c r="E18843">
        <v>0</v>
      </c>
      <c r="F18843">
        <v>290</v>
      </c>
    </row>
    <row r="18844" spans="1:6" ht="12.75">
      <c r="A18844" s="2">
        <v>43876.782465277778</v>
      </c>
      <c r="B18844" t="str">
        <f>HYPERLINK("https://twitter.com/yange_valhalla","@yange_valhalla")</f>
        <v>@yange_valhalla</v>
      </c>
      <c r="C18844" t="s">
        <v>9506</v>
      </c>
      <c r="D18844">
        <v>0</v>
      </c>
      <c r="E18844">
        <v>0</v>
      </c>
      <c r="F18844">
        <v>4</v>
      </c>
    </row>
    <row r="18845" spans="1:6" ht="12.75">
      <c r="A18845" s="2">
        <v>43876.782280092593</v>
      </c>
      <c r="B18845" t="str">
        <f>HYPERLINK("https://twitter.com/robertherl","@robertherl")</f>
        <v>@robertherl</v>
      </c>
      <c r="C18845" t="s">
        <v>2963</v>
      </c>
      <c r="D18845">
        <v>1278</v>
      </c>
      <c r="E18845">
        <v>0</v>
      </c>
      <c r="F18845">
        <v>254</v>
      </c>
    </row>
    <row r="18846" spans="1:6" ht="12.75">
      <c r="A18846" s="2">
        <v>43876.782268518524</v>
      </c>
      <c r="B18846" t="str">
        <f>HYPERLINK("https://twitter.com/IndahJohania","@IndahJohania")</f>
        <v>@IndahJohania</v>
      </c>
      <c r="C18846" t="s">
        <v>9150</v>
      </c>
      <c r="D18846">
        <v>140</v>
      </c>
      <c r="E18846">
        <v>0</v>
      </c>
      <c r="F18846">
        <v>764</v>
      </c>
    </row>
    <row r="18847" spans="1:6" ht="12.75">
      <c r="A18847" s="2">
        <v>43876.782268518524</v>
      </c>
      <c r="B18847" t="str">
        <f>HYPERLINK("https://twitter.com/Rivaille_27","@Rivaille_27")</f>
        <v>@Rivaille_27</v>
      </c>
      <c r="C18847" t="s">
        <v>9507</v>
      </c>
      <c r="D18847">
        <v>0</v>
      </c>
      <c r="E18847">
        <v>0</v>
      </c>
      <c r="F18847">
        <v>2</v>
      </c>
    </row>
    <row r="18848" spans="1:6" ht="12.75">
      <c r="A18848" s="2">
        <v>43876.78224537037</v>
      </c>
      <c r="B18848" t="str">
        <f>HYPERLINK("https://twitter.com/hamkeraso","@hamkeraso")</f>
        <v>@hamkeraso</v>
      </c>
      <c r="C18848" t="s">
        <v>2444</v>
      </c>
      <c r="D18848">
        <v>4375</v>
      </c>
      <c r="E18848">
        <v>0</v>
      </c>
      <c r="F18848">
        <v>324</v>
      </c>
    </row>
    <row r="18849" spans="1:6" ht="12.75">
      <c r="A18849" s="2">
        <v>43876.78188657407</v>
      </c>
      <c r="B18849" t="str">
        <f>HYPERLINK("https://twitter.com/Senjasore2019","@Senjasore2019")</f>
        <v>@Senjasore2019</v>
      </c>
      <c r="C18849" t="s">
        <v>2147</v>
      </c>
      <c r="D18849">
        <v>365</v>
      </c>
      <c r="E18849">
        <v>0</v>
      </c>
      <c r="F18849">
        <v>0</v>
      </c>
    </row>
    <row r="18850" spans="1:6" ht="12.75">
      <c r="A18850" s="2">
        <v>43876.781840277778</v>
      </c>
      <c r="B18850" t="str">
        <f>HYPERLINK("https://twitter.com/cadarmerah","@cadarmerah")</f>
        <v>@cadarmerah</v>
      </c>
      <c r="C18850" t="s">
        <v>9508</v>
      </c>
      <c r="D18850">
        <v>0</v>
      </c>
      <c r="E18850">
        <v>1</v>
      </c>
      <c r="F18850">
        <v>5657</v>
      </c>
    </row>
    <row r="18851" spans="1:6" ht="12.75">
      <c r="A18851" s="2">
        <v>43876.751620370371</v>
      </c>
      <c r="B18851" t="str">
        <f>HYPERLINK("https://twitter.com/ino_mufc","@ino_mufc")</f>
        <v>@ino_mufc</v>
      </c>
      <c r="C18851" t="s">
        <v>7261</v>
      </c>
      <c r="D18851">
        <v>23</v>
      </c>
      <c r="E18851">
        <v>0</v>
      </c>
      <c r="F18851">
        <v>387</v>
      </c>
    </row>
    <row r="18852" spans="1:6" ht="12.75">
      <c r="A18852" s="2">
        <v>43876.751446759255</v>
      </c>
      <c r="B18852" t="str">
        <f>HYPERLINK("https://twitter.com/prasastiBorneo","@prasastiBorneo")</f>
        <v>@prasastiBorneo</v>
      </c>
      <c r="C18852" t="s">
        <v>9509</v>
      </c>
      <c r="D18852">
        <v>0</v>
      </c>
      <c r="E18852">
        <v>0</v>
      </c>
      <c r="F18852">
        <v>1114</v>
      </c>
    </row>
    <row r="18853" spans="1:6" ht="12.75">
      <c r="A18853" s="2">
        <v>43876.751180555555</v>
      </c>
      <c r="B18853" t="str">
        <f>HYPERLINK("https://twitter.com/Heri_aja","@Heri_aja")</f>
        <v>@Heri_aja</v>
      </c>
      <c r="C18853" t="s">
        <v>8665</v>
      </c>
      <c r="D18853">
        <v>212</v>
      </c>
      <c r="E18853">
        <v>0</v>
      </c>
      <c r="F18853">
        <v>1688</v>
      </c>
    </row>
    <row r="18854" spans="1:6" ht="12.75">
      <c r="A18854" s="2">
        <v>43876.751099537039</v>
      </c>
      <c r="B18854" t="str">
        <f>HYPERLINK("https://twitter.com/DavidKanata","@DavidKanata")</f>
        <v>@DavidKanata</v>
      </c>
      <c r="C18854" t="s">
        <v>9229</v>
      </c>
      <c r="D18854">
        <v>21</v>
      </c>
      <c r="E18854">
        <v>0</v>
      </c>
      <c r="F18854">
        <v>944</v>
      </c>
    </row>
    <row r="18855" spans="1:6" ht="12.75">
      <c r="A18855" s="2">
        <v>43876.751030092593</v>
      </c>
      <c r="B18855" t="str">
        <f>HYPERLINK("https://twitter.com/Hendrikhermant8","@Hendrikhermant8")</f>
        <v>@Hendrikhermant8</v>
      </c>
      <c r="C18855" t="s">
        <v>7946</v>
      </c>
      <c r="D18855">
        <v>46</v>
      </c>
      <c r="E18855">
        <v>0</v>
      </c>
      <c r="F18855">
        <v>1</v>
      </c>
    </row>
    <row r="18856" spans="1:6" ht="12.75">
      <c r="A18856" s="2">
        <v>43876.750949074078</v>
      </c>
      <c r="B18856" t="str">
        <f>HYPERLINK("https://twitter.com/hemaviton99","@hemaviton99")</f>
        <v>@hemaviton99</v>
      </c>
      <c r="C18856" t="s">
        <v>9510</v>
      </c>
      <c r="D18856">
        <v>3</v>
      </c>
      <c r="E18856">
        <v>0</v>
      </c>
      <c r="F18856">
        <v>3705</v>
      </c>
    </row>
    <row r="18857" spans="1:6" ht="12.75">
      <c r="A18857" s="2">
        <v>43876.750891203701</v>
      </c>
      <c r="B18857" t="str">
        <f>HYPERLINK("https://twitter.com/AzrilFazriansy2","@AzrilFazriansy2")</f>
        <v>@AzrilFazriansy2</v>
      </c>
      <c r="C18857" t="s">
        <v>9150</v>
      </c>
      <c r="D18857">
        <v>120</v>
      </c>
      <c r="E18857">
        <v>0</v>
      </c>
      <c r="F18857">
        <v>13</v>
      </c>
    </row>
    <row r="18858" spans="1:6" ht="12.75">
      <c r="A18858" s="2">
        <v>43876.750706018516</v>
      </c>
      <c r="B18858" t="str">
        <f>HYPERLINK("https://twitter.com/EndriyonoTri","@EndriyonoTri")</f>
        <v>@EndriyonoTri</v>
      </c>
      <c r="C18858" t="s">
        <v>8257</v>
      </c>
      <c r="D18858">
        <v>30</v>
      </c>
      <c r="E18858">
        <v>0</v>
      </c>
      <c r="F18858">
        <v>669</v>
      </c>
    </row>
    <row r="18859" spans="1:6" ht="12.75">
      <c r="A18859" s="2">
        <v>43876.750578703708</v>
      </c>
      <c r="B18859" t="str">
        <f>HYPERLINK("https://twitter.com/sopianmoo","@sopianmoo")</f>
        <v>@sopianmoo</v>
      </c>
      <c r="C18859" t="s">
        <v>4845</v>
      </c>
      <c r="D18859">
        <v>9</v>
      </c>
      <c r="E18859">
        <v>0</v>
      </c>
      <c r="F18859">
        <v>49</v>
      </c>
    </row>
    <row r="18860" spans="1:6" ht="12.75">
      <c r="A18860" s="2">
        <v>43876.750543981485</v>
      </c>
      <c r="B18860" t="str">
        <f>HYPERLINK("https://twitter.com/hihandini","@hihandini")</f>
        <v>@hihandini</v>
      </c>
      <c r="C18860" t="s">
        <v>9424</v>
      </c>
      <c r="D18860">
        <v>3</v>
      </c>
      <c r="E18860">
        <v>0</v>
      </c>
      <c r="F18860">
        <v>53</v>
      </c>
    </row>
    <row r="18861" spans="1:6" ht="12.75">
      <c r="A18861" s="2">
        <v>43876.750532407408</v>
      </c>
      <c r="B18861" t="str">
        <f>HYPERLINK("https://twitter.com/Mariasinapi1","@Mariasinapi1")</f>
        <v>@Mariasinapi1</v>
      </c>
      <c r="C18861" t="s">
        <v>3150</v>
      </c>
      <c r="D18861">
        <v>134</v>
      </c>
      <c r="E18861">
        <v>0</v>
      </c>
      <c r="F18861">
        <v>354</v>
      </c>
    </row>
    <row r="18862" spans="1:6" ht="12.75">
      <c r="A18862" s="2">
        <v>43876.750497685185</v>
      </c>
      <c r="B18862" t="str">
        <f>HYPERLINK("https://twitter.com/MrsRachelIn","@MrsRachelIn")</f>
        <v>@MrsRachelIn</v>
      </c>
      <c r="C18862" t="s">
        <v>9511</v>
      </c>
      <c r="D18862">
        <v>0</v>
      </c>
      <c r="E18862">
        <v>0</v>
      </c>
      <c r="F18862">
        <v>3106</v>
      </c>
    </row>
    <row r="18863" spans="1:6" ht="12.75">
      <c r="A18863" s="2">
        <v>43876.750462962962</v>
      </c>
      <c r="B18863" t="str">
        <f>HYPERLINK("https://twitter.com/woelannnn","@woelannnn")</f>
        <v>@woelannnn</v>
      </c>
      <c r="C18863" t="s">
        <v>9229</v>
      </c>
      <c r="D18863">
        <v>21</v>
      </c>
      <c r="E18863">
        <v>0</v>
      </c>
      <c r="F18863">
        <v>20805</v>
      </c>
    </row>
    <row r="18864" spans="1:6" ht="12.75">
      <c r="A18864" s="2">
        <v>43876.750347222223</v>
      </c>
      <c r="B18864" t="str">
        <f>HYPERLINK("https://twitter.com/sawitindonesia","@sawitindonesia")</f>
        <v>@sawitindonesia</v>
      </c>
      <c r="C18864" t="s">
        <v>8493</v>
      </c>
      <c r="D18864">
        <v>40</v>
      </c>
      <c r="E18864">
        <v>0</v>
      </c>
      <c r="F18864">
        <v>1078</v>
      </c>
    </row>
    <row r="18865" spans="1:6" ht="12.75">
      <c r="A18865" s="2">
        <v>43876.750173611115</v>
      </c>
      <c r="B18865" t="str">
        <f>HYPERLINK("https://twitter.com/jchstij","@jchstij")</f>
        <v>@jchstij</v>
      </c>
      <c r="C18865" t="s">
        <v>9512</v>
      </c>
      <c r="D18865">
        <v>2</v>
      </c>
      <c r="E18865">
        <v>0</v>
      </c>
      <c r="F18865">
        <v>246</v>
      </c>
    </row>
    <row r="18866" spans="1:6" ht="12.75">
      <c r="A18866" s="2">
        <v>43876.749895833331</v>
      </c>
      <c r="B18866" t="str">
        <f>HYPERLINK("https://twitter.com/HumasTeam","@HumasTeam")</f>
        <v>@HumasTeam</v>
      </c>
      <c r="C18866" t="s">
        <v>9513</v>
      </c>
      <c r="D18866">
        <v>0</v>
      </c>
      <c r="E18866">
        <v>0</v>
      </c>
      <c r="F18866">
        <v>184</v>
      </c>
    </row>
    <row r="18867" spans="1:6" ht="12.75">
      <c r="A18867" s="2">
        <v>43876.749780092592</v>
      </c>
      <c r="B18867" t="str">
        <f>HYPERLINK("https://twitter.com/em_fdhl","@em_fdhl")</f>
        <v>@em_fdhl</v>
      </c>
      <c r="C18867" t="s">
        <v>9514</v>
      </c>
      <c r="D18867">
        <v>0</v>
      </c>
      <c r="E18867">
        <v>0</v>
      </c>
      <c r="F18867">
        <v>17</v>
      </c>
    </row>
    <row r="18868" spans="1:6" ht="12.75">
      <c r="A18868" s="2">
        <v>43876.749745370369</v>
      </c>
      <c r="B18868" t="str">
        <f>HYPERLINK("https://twitter.com/hartanto_mas","@hartanto_mas")</f>
        <v>@hartanto_mas</v>
      </c>
      <c r="C18868" t="s">
        <v>8053</v>
      </c>
      <c r="D18868">
        <v>15</v>
      </c>
      <c r="E18868">
        <v>0</v>
      </c>
      <c r="F18868">
        <v>1052</v>
      </c>
    </row>
    <row r="18869" spans="1:6" ht="12.75">
      <c r="A18869" s="2">
        <v>43876.749675925923</v>
      </c>
      <c r="B18869" t="str">
        <f>HYPERLINK("https://twitter.com/suaradotcom","@suaradotcom")</f>
        <v>@suaradotcom</v>
      </c>
      <c r="C18869" t="s">
        <v>9515</v>
      </c>
      <c r="D18869">
        <v>0</v>
      </c>
      <c r="E18869">
        <v>0</v>
      </c>
      <c r="F18869">
        <v>24160</v>
      </c>
    </row>
    <row r="18870" spans="1:6" ht="12.75">
      <c r="A18870" s="2">
        <v>43876.749583333338</v>
      </c>
      <c r="B18870" t="str">
        <f>HYPERLINK("https://twitter.com/KSgroupAs","@KSgroupAs")</f>
        <v>@KSgroupAs</v>
      </c>
      <c r="C18870" t="s">
        <v>7261</v>
      </c>
      <c r="D18870">
        <v>23</v>
      </c>
      <c r="E18870">
        <v>0</v>
      </c>
      <c r="F18870">
        <v>436</v>
      </c>
    </row>
    <row r="18871" spans="1:6" ht="12.75">
      <c r="A18871" s="2">
        <v>43876.749513888892</v>
      </c>
      <c r="B18871" t="str">
        <f>HYPERLINK("https://twitter.com/buyungupikzzz","@buyungupikzzz")</f>
        <v>@buyungupikzzz</v>
      </c>
      <c r="C18871" t="s">
        <v>2147</v>
      </c>
      <c r="D18871">
        <v>340</v>
      </c>
      <c r="E18871">
        <v>0</v>
      </c>
      <c r="F18871">
        <v>2</v>
      </c>
    </row>
    <row r="18872" spans="1:6" ht="12.75">
      <c r="A18872" s="2">
        <v>43876.749479166669</v>
      </c>
      <c r="B18872" t="str">
        <f>HYPERLINK("https://twitter.com/JohannaDenton","@JohannaDenton")</f>
        <v>@JohannaDenton</v>
      </c>
      <c r="C18872" t="s">
        <v>3150</v>
      </c>
      <c r="D18872">
        <v>134</v>
      </c>
      <c r="E18872">
        <v>0</v>
      </c>
      <c r="F18872">
        <v>7502</v>
      </c>
    </row>
    <row r="18873" spans="1:6" ht="12.75">
      <c r="A18873" s="2">
        <v>43876.749467592592</v>
      </c>
      <c r="B18873" t="str">
        <f>HYPERLINK("https://twitter.com/MavisHigarimido","@MavisHigarimido")</f>
        <v>@MavisHigarimido</v>
      </c>
      <c r="C18873" t="s">
        <v>9424</v>
      </c>
      <c r="D18873">
        <v>3</v>
      </c>
      <c r="E18873">
        <v>0</v>
      </c>
      <c r="F18873">
        <v>33</v>
      </c>
    </row>
    <row r="18874" spans="1:6" ht="12.75">
      <c r="A18874" s="2">
        <v>43876.74936342593</v>
      </c>
      <c r="B18874" t="str">
        <f>HYPERLINK("https://twitter.com/kompascom","@kompascom")</f>
        <v>@kompascom</v>
      </c>
      <c r="C18874" t="s">
        <v>9516</v>
      </c>
      <c r="D18874">
        <v>0</v>
      </c>
      <c r="E18874">
        <v>3</v>
      </c>
      <c r="F18874">
        <v>7498595</v>
      </c>
    </row>
    <row r="18875" spans="1:6" ht="12.75">
      <c r="A18875" s="2">
        <v>43876.749328703707</v>
      </c>
      <c r="B18875" t="str">
        <f>HYPERLINK("https://twitter.com/MavisHigarimido","@MavisHigarimido")</f>
        <v>@MavisHigarimido</v>
      </c>
      <c r="C18875" t="s">
        <v>9517</v>
      </c>
      <c r="D18875">
        <v>1</v>
      </c>
      <c r="E18875">
        <v>0</v>
      </c>
      <c r="F18875">
        <v>33</v>
      </c>
    </row>
    <row r="18876" spans="1:6" ht="12.75">
      <c r="A18876" s="2">
        <v>43876.749293981484</v>
      </c>
      <c r="B18876" t="str">
        <f>HYPERLINK("https://twitter.com/1skycaptain","@1skycaptain")</f>
        <v>@1skycaptain</v>
      </c>
      <c r="C18876" t="s">
        <v>3150</v>
      </c>
      <c r="D18876">
        <v>134</v>
      </c>
      <c r="E18876">
        <v>0</v>
      </c>
      <c r="F18876">
        <v>15769</v>
      </c>
    </row>
    <row r="18877" spans="1:6" ht="12.75">
      <c r="A18877" s="2">
        <v>43876.748958333337</v>
      </c>
      <c r="B18877" t="str">
        <f>HYPERLINK("https://twitter.com/carakada","@carakada")</f>
        <v>@carakada</v>
      </c>
      <c r="C18877" t="s">
        <v>9518</v>
      </c>
      <c r="D18877">
        <v>0</v>
      </c>
      <c r="E18877">
        <v>0</v>
      </c>
      <c r="F18877">
        <v>86</v>
      </c>
    </row>
    <row r="18878" spans="1:6" ht="12.75">
      <c r="A18878" s="2">
        <v>43876.74894675926</v>
      </c>
      <c r="B18878" t="str">
        <f>HYPERLINK("https://twitter.com/Ogutz27","@Ogutz27")</f>
        <v>@Ogutz27</v>
      </c>
      <c r="C18878" t="s">
        <v>8628</v>
      </c>
      <c r="D18878">
        <v>103</v>
      </c>
      <c r="E18878">
        <v>0</v>
      </c>
      <c r="F18878">
        <v>125</v>
      </c>
    </row>
    <row r="18879" spans="1:6" ht="12.75">
      <c r="A18879" s="2">
        <v>43876.748622685191</v>
      </c>
      <c r="B18879" t="str">
        <f>HYPERLINK("https://twitter.com/Jono_Fortunate","@Jono_Fortunate")</f>
        <v>@Jono_Fortunate</v>
      </c>
      <c r="C18879" t="s">
        <v>9519</v>
      </c>
      <c r="D18879">
        <v>0</v>
      </c>
      <c r="E18879">
        <v>0</v>
      </c>
      <c r="F18879">
        <v>528</v>
      </c>
    </row>
    <row r="18880" spans="1:6" ht="12.75">
      <c r="A18880" s="2">
        <v>43876.747939814813</v>
      </c>
      <c r="B18880" t="str">
        <f>HYPERLINK("https://twitter.com/YCH7168","@YCH7168")</f>
        <v>@YCH7168</v>
      </c>
      <c r="C18880" t="s">
        <v>9520</v>
      </c>
      <c r="D18880">
        <v>1</v>
      </c>
      <c r="E18880">
        <v>0</v>
      </c>
      <c r="F18880">
        <v>7626</v>
      </c>
    </row>
    <row r="18881" spans="1:6" ht="12.75">
      <c r="A18881" s="2">
        <v>43876.747847222221</v>
      </c>
      <c r="B18881" t="str">
        <f>HYPERLINK("https://twitter.com/farras4","@farras4")</f>
        <v>@farras4</v>
      </c>
      <c r="C18881" t="s">
        <v>2147</v>
      </c>
      <c r="D18881">
        <v>340</v>
      </c>
      <c r="E18881">
        <v>0</v>
      </c>
      <c r="F18881">
        <v>53</v>
      </c>
    </row>
    <row r="18882" spans="1:6" ht="12.75">
      <c r="A18882" s="2">
        <v>43876.747812500005</v>
      </c>
      <c r="B18882" t="str">
        <f>HYPERLINK("https://twitter.com/AlwiKe1","@AlwiKe1")</f>
        <v>@AlwiKe1</v>
      </c>
      <c r="C18882" t="s">
        <v>8665</v>
      </c>
      <c r="D18882">
        <v>212</v>
      </c>
      <c r="E18882">
        <v>0</v>
      </c>
      <c r="F18882">
        <v>1184</v>
      </c>
    </row>
    <row r="18883" spans="1:6" ht="12.75">
      <c r="A18883" s="2">
        <v>43876.747789351852</v>
      </c>
      <c r="B18883" t="str">
        <f>HYPERLINK("https://twitter.com/Alfangendut1","@Alfangendut1")</f>
        <v>@Alfangendut1</v>
      </c>
      <c r="C18883" t="s">
        <v>2147</v>
      </c>
      <c r="D18883">
        <v>340</v>
      </c>
      <c r="E18883">
        <v>0</v>
      </c>
      <c r="F18883">
        <v>1207</v>
      </c>
    </row>
    <row r="18884" spans="1:6" ht="12.75">
      <c r="A18884" s="2">
        <v>43876.747754629629</v>
      </c>
      <c r="B18884" t="str">
        <f>HYPERLINK("https://twitter.com/iirkoe_","@iirkoe_")</f>
        <v>@iirkoe_</v>
      </c>
      <c r="C18884" t="s">
        <v>7261</v>
      </c>
      <c r="D18884">
        <v>23</v>
      </c>
      <c r="E18884">
        <v>0</v>
      </c>
      <c r="F18884">
        <v>544</v>
      </c>
    </row>
    <row r="18885" spans="1:6" ht="12.75">
      <c r="A18885" s="2">
        <v>43876.747685185182</v>
      </c>
      <c r="B18885" t="str">
        <f>HYPERLINK("https://twitter.com/Dringcarol","@Dringcarol")</f>
        <v>@Dringcarol</v>
      </c>
      <c r="C18885" t="s">
        <v>3150</v>
      </c>
      <c r="D18885">
        <v>134</v>
      </c>
      <c r="E18885">
        <v>0</v>
      </c>
      <c r="F18885">
        <v>1067</v>
      </c>
    </row>
    <row r="18886" spans="1:6" ht="12.75">
      <c r="A18886" s="2">
        <v>43876.747673611113</v>
      </c>
      <c r="B18886" t="str">
        <f>HYPERLINK("https://twitter.com/rosiandika7","@rosiandika7")</f>
        <v>@rosiandika7</v>
      </c>
      <c r="C18886" t="s">
        <v>8203</v>
      </c>
      <c r="D18886">
        <v>49</v>
      </c>
      <c r="E18886">
        <v>0</v>
      </c>
      <c r="F18886">
        <v>143</v>
      </c>
    </row>
    <row r="18887" spans="1:6" ht="12.75">
      <c r="A18887" s="2">
        <v>43876.747407407413</v>
      </c>
      <c r="B18887" t="str">
        <f>HYPERLINK("https://twitter.com/medcom_id","@medcom_id")</f>
        <v>@medcom_id</v>
      </c>
      <c r="C18887" t="s">
        <v>9521</v>
      </c>
      <c r="D18887">
        <v>0</v>
      </c>
      <c r="E18887">
        <v>0</v>
      </c>
      <c r="F18887">
        <v>18124</v>
      </c>
    </row>
    <row r="18888" spans="1:6" ht="12.75">
      <c r="A18888" s="2">
        <v>43876.747361111113</v>
      </c>
      <c r="B18888" t="str">
        <f>HYPERLINK("https://twitter.com/JKadrun","@JKadrun")</f>
        <v>@JKadrun</v>
      </c>
      <c r="C18888" t="s">
        <v>9150</v>
      </c>
      <c r="D18888">
        <v>120</v>
      </c>
      <c r="E18888">
        <v>0</v>
      </c>
      <c r="F18888">
        <v>226</v>
      </c>
    </row>
    <row r="18889" spans="1:6" ht="12.75">
      <c r="A18889" s="2">
        <v>43876.747314814813</v>
      </c>
      <c r="B18889" t="str">
        <f>HYPERLINK("https://twitter.com/Kolangk81951893","@Kolangk81951893")</f>
        <v>@Kolangk81951893</v>
      </c>
      <c r="C18889" t="s">
        <v>7261</v>
      </c>
      <c r="D18889">
        <v>23</v>
      </c>
      <c r="E18889">
        <v>0</v>
      </c>
      <c r="F18889">
        <v>335</v>
      </c>
    </row>
    <row r="18890" spans="1:6" ht="12.75">
      <c r="A18890" s="2">
        <v>43876.747118055559</v>
      </c>
      <c r="B18890" t="str">
        <f>HYPERLINK("https://twitter.com/liputan6dotcom","@liputan6dotcom")</f>
        <v>@liputan6dotcom</v>
      </c>
      <c r="C18890" t="s">
        <v>9522</v>
      </c>
      <c r="D18890">
        <v>3</v>
      </c>
      <c r="E18890">
        <v>3</v>
      </c>
      <c r="F18890">
        <v>3624940</v>
      </c>
    </row>
    <row r="18891" spans="1:6" ht="12.75">
      <c r="A18891" s="2">
        <v>43876.747094907405</v>
      </c>
      <c r="B18891" t="str">
        <f>HYPERLINK("https://twitter.com/medcom_id","@medcom_id")</f>
        <v>@medcom_id</v>
      </c>
      <c r="C18891" t="s">
        <v>9523</v>
      </c>
      <c r="D18891">
        <v>0</v>
      </c>
      <c r="E18891">
        <v>1</v>
      </c>
      <c r="F18891">
        <v>18124</v>
      </c>
    </row>
    <row r="18892" spans="1:6" ht="12.75">
      <c r="A18892" s="2">
        <v>43876.746898148151</v>
      </c>
      <c r="B18892" t="str">
        <f>HYPERLINK("https://twitter.com/kangnawan","@kangnawan")</f>
        <v>@kangnawan</v>
      </c>
      <c r="C18892" t="s">
        <v>9524</v>
      </c>
      <c r="D18892">
        <v>0</v>
      </c>
      <c r="E18892">
        <v>0</v>
      </c>
      <c r="F18892">
        <v>16167</v>
      </c>
    </row>
    <row r="18893" spans="1:6" ht="12.75">
      <c r="A18893" s="2">
        <v>43876.746898148151</v>
      </c>
      <c r="B18893" t="str">
        <f>HYPERLINK("https://twitter.com/KompasTV","@KompasTV")</f>
        <v>@KompasTV</v>
      </c>
      <c r="C18893" t="s">
        <v>9525</v>
      </c>
      <c r="D18893">
        <v>3</v>
      </c>
      <c r="E18893">
        <v>5</v>
      </c>
      <c r="F18893">
        <v>2941726</v>
      </c>
    </row>
    <row r="18894" spans="1:6" ht="12.75">
      <c r="A18894" s="2">
        <v>43876.746828703705</v>
      </c>
      <c r="B18894" t="str">
        <f>HYPERLINK("https://twitter.com/AryPrasetyo_85","@AryPrasetyo_85")</f>
        <v>@AryPrasetyo_85</v>
      </c>
      <c r="C18894" t="s">
        <v>9526</v>
      </c>
      <c r="D18894">
        <v>11</v>
      </c>
      <c r="E18894">
        <v>0</v>
      </c>
      <c r="F18894">
        <v>5424</v>
      </c>
    </row>
    <row r="18895" spans="1:6" ht="12.75">
      <c r="A18895" s="2">
        <v>43876.746793981481</v>
      </c>
      <c r="B18895" t="str">
        <f>HYPERLINK("https://twitter.com/ierman153","@ierman153")</f>
        <v>@ierman153</v>
      </c>
      <c r="C18895" t="s">
        <v>9198</v>
      </c>
      <c r="D18895">
        <v>158</v>
      </c>
      <c r="E18895">
        <v>0</v>
      </c>
      <c r="F18895">
        <v>8</v>
      </c>
    </row>
    <row r="18896" spans="1:6" ht="12.75">
      <c r="A18896" s="2">
        <v>43876.746539351851</v>
      </c>
      <c r="B18896" t="str">
        <f>HYPERLINK("https://twitter.com/rmol_id","@rmol_id")</f>
        <v>@rmol_id</v>
      </c>
      <c r="C18896" t="s">
        <v>9527</v>
      </c>
      <c r="D18896">
        <v>1</v>
      </c>
      <c r="E18896">
        <v>1</v>
      </c>
      <c r="F18896">
        <v>161427</v>
      </c>
    </row>
    <row r="18897" spans="1:6" ht="12.75">
      <c r="A18897" s="2">
        <v>43876.746261574073</v>
      </c>
      <c r="B18897" t="str">
        <f>HYPERLINK("https://twitter.com/Jagad_lintang02","@Jagad_lintang02")</f>
        <v>@Jagad_lintang02</v>
      </c>
      <c r="C18897" t="s">
        <v>3059</v>
      </c>
      <c r="D18897">
        <v>232</v>
      </c>
      <c r="E18897">
        <v>0</v>
      </c>
      <c r="F18897">
        <v>1102</v>
      </c>
    </row>
    <row r="18898" spans="1:6" ht="12.75">
      <c r="A18898" s="2">
        <v>43876.746030092589</v>
      </c>
      <c r="B18898" t="str">
        <f>HYPERLINK("https://twitter.com/hennysuhaeni21","@hennysuhaeni21")</f>
        <v>@hennysuhaeni21</v>
      </c>
      <c r="C18898" t="s">
        <v>7152</v>
      </c>
      <c r="D18898">
        <v>6</v>
      </c>
      <c r="E18898">
        <v>0</v>
      </c>
      <c r="F18898">
        <v>576</v>
      </c>
    </row>
    <row r="18899" spans="1:6" ht="12.75">
      <c r="A18899" s="2">
        <v>43876.745983796296</v>
      </c>
      <c r="B18899" t="str">
        <f>HYPERLINK("https://twitter.com/EleJokow","@EleJokow")</f>
        <v>@EleJokow</v>
      </c>
      <c r="C18899" t="s">
        <v>9150</v>
      </c>
      <c r="D18899">
        <v>120</v>
      </c>
      <c r="E18899">
        <v>0</v>
      </c>
      <c r="F18899">
        <v>1615</v>
      </c>
    </row>
    <row r="18900" spans="1:6" ht="12.75">
      <c r="A18900" s="2">
        <v>43876.745949074073</v>
      </c>
      <c r="B18900" t="str">
        <f>HYPERLINK("https://twitter.com/wonwuon","@wonwuon")</f>
        <v>@wonwuon</v>
      </c>
      <c r="C18900" t="s">
        <v>5168</v>
      </c>
      <c r="D18900">
        <v>1589</v>
      </c>
      <c r="E18900">
        <v>0</v>
      </c>
      <c r="F18900">
        <v>820</v>
      </c>
    </row>
    <row r="18901" spans="1:6" ht="12.75">
      <c r="A18901" s="2">
        <v>43876.745879629627</v>
      </c>
      <c r="B18901" t="str">
        <f>HYPERLINK("https://twitter.com/Siwiliwili1","@Siwiliwili1")</f>
        <v>@Siwiliwili1</v>
      </c>
      <c r="C18901" t="s">
        <v>9389</v>
      </c>
      <c r="D18901">
        <v>42</v>
      </c>
      <c r="E18901">
        <v>0</v>
      </c>
      <c r="F18901">
        <v>1053</v>
      </c>
    </row>
    <row r="18902" spans="1:6" ht="12.75">
      <c r="A18902" s="2">
        <v>43876.745671296296</v>
      </c>
      <c r="B18902" t="str">
        <f>HYPERLINK("https://twitter.com/suketi666","@suketi666")</f>
        <v>@suketi666</v>
      </c>
      <c r="C18902" t="s">
        <v>9528</v>
      </c>
      <c r="D18902">
        <v>0</v>
      </c>
      <c r="E18902">
        <v>0</v>
      </c>
      <c r="F18902">
        <v>471</v>
      </c>
    </row>
    <row r="18903" spans="1:6" ht="12.75">
      <c r="A18903" s="2">
        <v>43876.74554398148</v>
      </c>
      <c r="B18903" t="str">
        <f>HYPERLINK("https://twitter.com/Orielgb","@Orielgb")</f>
        <v>@Orielgb</v>
      </c>
      <c r="C18903" t="s">
        <v>3150</v>
      </c>
      <c r="D18903">
        <v>134</v>
      </c>
      <c r="E18903">
        <v>0</v>
      </c>
      <c r="F18903">
        <v>363</v>
      </c>
    </row>
    <row r="18904" spans="1:6" ht="12.75">
      <c r="A18904" s="2">
        <v>43876.745497685188</v>
      </c>
      <c r="B18904" t="str">
        <f>HYPERLINK("https://twitter.com/Zulkifl16605089","@Zulkifl16605089")</f>
        <v>@Zulkifl16605089</v>
      </c>
      <c r="C18904" t="s">
        <v>9529</v>
      </c>
      <c r="D18904">
        <v>0</v>
      </c>
      <c r="E18904">
        <v>0</v>
      </c>
      <c r="F18904">
        <v>13</v>
      </c>
    </row>
    <row r="18905" spans="1:6" ht="12.75">
      <c r="A18905" s="2">
        <v>43876.745381944449</v>
      </c>
      <c r="B18905" t="str">
        <f>HYPERLINK("https://twitter.com/AryPrasetyo_85","@AryPrasetyo_85")</f>
        <v>@AryPrasetyo_85</v>
      </c>
      <c r="C18905" t="s">
        <v>9530</v>
      </c>
      <c r="D18905">
        <v>1</v>
      </c>
      <c r="E18905">
        <v>0</v>
      </c>
      <c r="F18905">
        <v>5424</v>
      </c>
    </row>
    <row r="18906" spans="1:6" ht="12.75">
      <c r="A18906" s="2">
        <v>43876.745358796295</v>
      </c>
      <c r="B18906" t="str">
        <f>HYPERLINK("https://twitter.com/fathur_amiir","@fathur_amiir")</f>
        <v>@fathur_amiir</v>
      </c>
      <c r="C18906" t="s">
        <v>9531</v>
      </c>
      <c r="D18906">
        <v>1</v>
      </c>
      <c r="E18906">
        <v>0</v>
      </c>
      <c r="F18906">
        <v>281</v>
      </c>
    </row>
    <row r="18907" spans="1:6" ht="12.75">
      <c r="A18907" s="2">
        <v>43876.745266203703</v>
      </c>
      <c r="B18907" t="str">
        <f>HYPERLINK("https://twitter.com/sularwidiantoro","@sularwidiantoro")</f>
        <v>@sularwidiantoro</v>
      </c>
      <c r="C18907" t="s">
        <v>9532</v>
      </c>
      <c r="D18907">
        <v>0</v>
      </c>
      <c r="E18907">
        <v>0</v>
      </c>
      <c r="F18907">
        <v>1</v>
      </c>
    </row>
    <row r="18908" spans="1:6" ht="12.75">
      <c r="A18908" s="2">
        <v>43876.745208333334</v>
      </c>
      <c r="B18908" t="str">
        <f>HYPERLINK("https://twitter.com/sheashellaaaa","@sheashellaaaa")</f>
        <v>@sheashellaaaa</v>
      </c>
      <c r="C18908" t="s">
        <v>9533</v>
      </c>
      <c r="D18908">
        <v>6</v>
      </c>
      <c r="E18908">
        <v>0</v>
      </c>
      <c r="F18908">
        <v>29</v>
      </c>
    </row>
    <row r="18909" spans="1:6" ht="12.75">
      <c r="A18909" s="2">
        <v>43876.745023148149</v>
      </c>
      <c r="B18909" t="str">
        <f>HYPERLINK("https://twitter.com/tikadestria","@tikadestria")</f>
        <v>@tikadestria</v>
      </c>
      <c r="C18909" t="s">
        <v>2444</v>
      </c>
      <c r="D18909">
        <v>4342</v>
      </c>
      <c r="E18909">
        <v>0</v>
      </c>
      <c r="F18909">
        <v>793</v>
      </c>
    </row>
    <row r="18910" spans="1:6" ht="12.75">
      <c r="A18910" s="2">
        <v>43876.74486111111</v>
      </c>
      <c r="B18910" t="str">
        <f>HYPERLINK("https://twitter.com/w4hyuDN","@w4hyuDN")</f>
        <v>@w4hyuDN</v>
      </c>
      <c r="C18910" t="s">
        <v>9534</v>
      </c>
      <c r="D18910">
        <v>0</v>
      </c>
      <c r="E18910">
        <v>0</v>
      </c>
      <c r="F18910">
        <v>283</v>
      </c>
    </row>
    <row r="18911" spans="1:6" ht="12.75">
      <c r="A18911" s="2">
        <v>43876.744814814811</v>
      </c>
      <c r="B18911" t="str">
        <f>HYPERLINK("https://twitter.com/sahhila2","@sahhila2")</f>
        <v>@sahhila2</v>
      </c>
      <c r="C18911" t="s">
        <v>2444</v>
      </c>
      <c r="D18911">
        <v>4342</v>
      </c>
      <c r="E18911">
        <v>0</v>
      </c>
      <c r="F18911">
        <v>37</v>
      </c>
    </row>
    <row r="18912" spans="1:6" ht="12.75">
      <c r="A18912" s="2">
        <v>43876.744791666672</v>
      </c>
      <c r="B18912" t="str">
        <f>HYPERLINK("https://twitter.com/Rivaille_27","@Rivaille_27")</f>
        <v>@Rivaille_27</v>
      </c>
      <c r="C18912" t="s">
        <v>9535</v>
      </c>
      <c r="D18912">
        <v>0</v>
      </c>
      <c r="E18912">
        <v>0</v>
      </c>
      <c r="F18912">
        <v>2</v>
      </c>
    </row>
    <row r="18913" spans="1:6" ht="12.75">
      <c r="A18913" s="2">
        <v>43876.744502314818</v>
      </c>
      <c r="B18913" t="str">
        <f>HYPERLINK("https://twitter.com/mail_tenri","@mail_tenri")</f>
        <v>@mail_tenri</v>
      </c>
      <c r="C18913" t="s">
        <v>9403</v>
      </c>
      <c r="D18913">
        <v>4</v>
      </c>
      <c r="E18913">
        <v>0</v>
      </c>
      <c r="F18913">
        <v>1180</v>
      </c>
    </row>
    <row r="18914" spans="1:6" ht="12.75">
      <c r="A18914" s="2">
        <v>43876.744432870371</v>
      </c>
      <c r="B18914" t="str">
        <f>HYPERLINK("https://twitter.com/kangngabei","@kangngabei")</f>
        <v>@kangngabei</v>
      </c>
      <c r="C18914" t="s">
        <v>8317</v>
      </c>
      <c r="D18914">
        <v>10</v>
      </c>
      <c r="E18914">
        <v>0</v>
      </c>
      <c r="F18914">
        <v>1795</v>
      </c>
    </row>
    <row r="18915" spans="1:6" ht="12.75">
      <c r="A18915" s="2">
        <v>43876.74418981481</v>
      </c>
      <c r="B18915" t="str">
        <f>HYPERLINK("https://twitter.com/cakrawala_co","@cakrawala_co")</f>
        <v>@cakrawala_co</v>
      </c>
      <c r="C18915" t="s">
        <v>9536</v>
      </c>
      <c r="D18915">
        <v>0</v>
      </c>
      <c r="E18915">
        <v>0</v>
      </c>
      <c r="F18915">
        <v>293</v>
      </c>
    </row>
    <row r="18916" spans="1:6" ht="12.75">
      <c r="A18916" s="2">
        <v>43876.744155092594</v>
      </c>
      <c r="B18916" t="str">
        <f>HYPERLINK("https://twitter.com/HendraMKG1","@HendraMKG1")</f>
        <v>@HendraMKG1</v>
      </c>
      <c r="C18916" t="s">
        <v>7261</v>
      </c>
      <c r="D18916">
        <v>23</v>
      </c>
      <c r="E18916">
        <v>0</v>
      </c>
      <c r="F18916">
        <v>321</v>
      </c>
    </row>
    <row r="18917" spans="1:6" ht="12.75">
      <c r="A18917" s="2">
        <v>43876.744074074071</v>
      </c>
      <c r="B18917" t="str">
        <f>HYPERLINK("https://twitter.com/ultrainstin9","@ultrainstin9")</f>
        <v>@ultrainstin9</v>
      </c>
      <c r="C18917" t="s">
        <v>9150</v>
      </c>
      <c r="D18917">
        <v>120</v>
      </c>
      <c r="E18917">
        <v>0</v>
      </c>
      <c r="F18917">
        <v>90</v>
      </c>
    </row>
    <row r="18918" spans="1:6" ht="12.75">
      <c r="A18918" s="2">
        <v>43876.744062500002</v>
      </c>
      <c r="B18918" t="str">
        <f>HYPERLINK("https://twitter.com/RinjaniJB","@RinjaniJB")</f>
        <v>@RinjaniJB</v>
      </c>
      <c r="C18918" t="s">
        <v>9537</v>
      </c>
      <c r="D18918">
        <v>1</v>
      </c>
      <c r="E18918">
        <v>0</v>
      </c>
      <c r="F18918">
        <v>19179</v>
      </c>
    </row>
    <row r="18919" spans="1:6" ht="12.75">
      <c r="A18919" s="2">
        <v>43876.743935185186</v>
      </c>
      <c r="B18919" t="str">
        <f>HYPERLINK("https://twitter.com/omar2000nur","@omar2000nur")</f>
        <v>@omar2000nur</v>
      </c>
      <c r="C18919" t="s">
        <v>9538</v>
      </c>
      <c r="D18919">
        <v>164</v>
      </c>
      <c r="E18919">
        <v>0</v>
      </c>
      <c r="F18919">
        <v>222</v>
      </c>
    </row>
    <row r="18920" spans="1:6" ht="12.75">
      <c r="A18920" s="2">
        <v>43876.743842592594</v>
      </c>
      <c r="B18920" t="str">
        <f>HYPERLINK("https://twitter.com/umam_chaerul","@umam_chaerul")</f>
        <v>@umam_chaerul</v>
      </c>
      <c r="C18920" t="s">
        <v>9539</v>
      </c>
      <c r="D18920">
        <v>13</v>
      </c>
      <c r="E18920">
        <v>0</v>
      </c>
      <c r="F18920">
        <v>2879</v>
      </c>
    </row>
    <row r="18921" spans="1:6" ht="12.75">
      <c r="A18921" s="2">
        <v>43876.743611111116</v>
      </c>
      <c r="B18921" t="str">
        <f>HYPERLINK("https://twitter.com/idntimes","@idntimes")</f>
        <v>@idntimes</v>
      </c>
      <c r="C18921" t="s">
        <v>9540</v>
      </c>
      <c r="D18921">
        <v>0</v>
      </c>
      <c r="E18921">
        <v>0</v>
      </c>
      <c r="F18921">
        <v>392715</v>
      </c>
    </row>
    <row r="18922" spans="1:6" ht="12.75">
      <c r="A18922" s="2">
        <v>43876.743599537032</v>
      </c>
      <c r="B18922" t="str">
        <f>HYPERLINK("https://twitter.com/Yakgrg","@Yakgrg")</f>
        <v>@Yakgrg</v>
      </c>
      <c r="C18922" t="s">
        <v>9541</v>
      </c>
      <c r="D18922">
        <v>0</v>
      </c>
      <c r="E18922">
        <v>0</v>
      </c>
      <c r="F18922">
        <v>10</v>
      </c>
    </row>
    <row r="18923" spans="1:6" ht="12.75">
      <c r="A18923" s="2">
        <v>43876.743599537032</v>
      </c>
      <c r="B18923" t="str">
        <f>HYPERLINK("https://twitter.com/DoniSsputra","@DoniSsputra")</f>
        <v>@DoniSsputra</v>
      </c>
      <c r="C18923" t="s">
        <v>9150</v>
      </c>
      <c r="D18923">
        <v>120</v>
      </c>
      <c r="E18923">
        <v>0</v>
      </c>
      <c r="F18923">
        <v>14</v>
      </c>
    </row>
    <row r="18924" spans="1:6" ht="12.75">
      <c r="A18924" s="2">
        <v>43876.74355324074</v>
      </c>
      <c r="B18924" t="str">
        <f>HYPERLINK("https://twitter.com/raninggalek","@raninggalek")</f>
        <v>@raninggalek</v>
      </c>
      <c r="C18924" t="s">
        <v>9542</v>
      </c>
      <c r="D18924">
        <v>4</v>
      </c>
      <c r="E18924">
        <v>0</v>
      </c>
      <c r="F18924">
        <v>1724</v>
      </c>
    </row>
    <row r="18925" spans="1:6" ht="12.75">
      <c r="A18925" s="2">
        <v>43876.743414351848</v>
      </c>
      <c r="B18925" t="str">
        <f>HYPERLINK("https://twitter.com/hemaviton99","@hemaviton99")</f>
        <v>@hemaviton99</v>
      </c>
      <c r="C18925" t="s">
        <v>9543</v>
      </c>
      <c r="D18925">
        <v>1</v>
      </c>
      <c r="E18925">
        <v>0</v>
      </c>
      <c r="F18925">
        <v>3705</v>
      </c>
    </row>
    <row r="18926" spans="1:6" ht="12.75">
      <c r="A18926" s="2">
        <v>43876.743391203709</v>
      </c>
      <c r="B18926" t="str">
        <f>HYPERLINK("https://twitter.com/KEZIAAM0UR","@KEZIAAM0UR")</f>
        <v>@KEZIAAM0UR</v>
      </c>
      <c r="C18926" t="s">
        <v>9544</v>
      </c>
      <c r="D18926">
        <v>0</v>
      </c>
      <c r="E18926">
        <v>0</v>
      </c>
      <c r="F18926">
        <v>99</v>
      </c>
    </row>
    <row r="18927" spans="1:6" ht="12.75">
      <c r="A18927" s="2">
        <v>43876.743321759262</v>
      </c>
      <c r="B18927" t="str">
        <f>HYPERLINK("https://twitter.com/J_Aryoko","@J_Aryoko")</f>
        <v>@J_Aryoko</v>
      </c>
      <c r="C18927" t="s">
        <v>9545</v>
      </c>
      <c r="D18927">
        <v>2</v>
      </c>
      <c r="E18927">
        <v>0</v>
      </c>
      <c r="F18927">
        <v>1393</v>
      </c>
    </row>
    <row r="18928" spans="1:6" ht="12.75">
      <c r="A18928" s="2">
        <v>43876.743229166663</v>
      </c>
      <c r="B18928" t="str">
        <f>HYPERLINK("https://twitter.com/min_wahab","@min_wahab")</f>
        <v>@min_wahab</v>
      </c>
      <c r="C18928" t="s">
        <v>2147</v>
      </c>
      <c r="D18928">
        <v>340</v>
      </c>
      <c r="E18928">
        <v>0</v>
      </c>
      <c r="F18928">
        <v>172</v>
      </c>
    </row>
    <row r="18929" spans="1:6" ht="12.75">
      <c r="A18929" s="2">
        <v>43876.743101851855</v>
      </c>
      <c r="B18929" t="str">
        <f>HYPERLINK("https://twitter.com/AmalNur","@AmalNur")</f>
        <v>@AmalNur</v>
      </c>
      <c r="C18929" t="s">
        <v>9546</v>
      </c>
      <c r="D18929">
        <v>1</v>
      </c>
      <c r="E18929">
        <v>0</v>
      </c>
      <c r="F18929">
        <v>168</v>
      </c>
    </row>
    <row r="18930" spans="1:6" ht="12.75">
      <c r="A18930" s="2">
        <v>43876.742812500001</v>
      </c>
      <c r="B18930" t="str">
        <f>HYPERLINK("https://twitter.com/vcraftlive","@vcraftlive")</f>
        <v>@vcraftlive</v>
      </c>
      <c r="C18930" t="s">
        <v>2444</v>
      </c>
      <c r="D18930">
        <v>4342</v>
      </c>
      <c r="E18930">
        <v>0</v>
      </c>
      <c r="F18930">
        <v>170</v>
      </c>
    </row>
    <row r="18931" spans="1:6" ht="12.75">
      <c r="A18931" s="2">
        <v>43876.742708333331</v>
      </c>
      <c r="B18931" t="str">
        <f>HYPERLINK("https://twitter.com/aawe_raja","@aawe_raja")</f>
        <v>@aawe_raja</v>
      </c>
      <c r="C18931" t="s">
        <v>7261</v>
      </c>
      <c r="D18931">
        <v>23</v>
      </c>
      <c r="E18931">
        <v>0</v>
      </c>
      <c r="F18931">
        <v>780</v>
      </c>
    </row>
    <row r="18932" spans="1:6" ht="12.75">
      <c r="A18932" s="2">
        <v>43876.742638888885</v>
      </c>
      <c r="B18932" t="str">
        <f>HYPERLINK("https://twitter.com/shdri__","@shdri__")</f>
        <v>@shdri__</v>
      </c>
      <c r="C18932" t="s">
        <v>9547</v>
      </c>
      <c r="D18932">
        <v>0</v>
      </c>
      <c r="E18932">
        <v>0</v>
      </c>
      <c r="F18932">
        <v>6655</v>
      </c>
    </row>
    <row r="18933" spans="1:6" ht="12.75">
      <c r="A18933" s="2">
        <v>43876.742604166662</v>
      </c>
      <c r="B18933" t="str">
        <f>HYPERLINK("https://twitter.com/elzasafir2","@elzasafir2")</f>
        <v>@elzasafir2</v>
      </c>
      <c r="C18933" t="s">
        <v>2147</v>
      </c>
      <c r="D18933">
        <v>340</v>
      </c>
      <c r="E18933">
        <v>0</v>
      </c>
      <c r="F18933">
        <v>115</v>
      </c>
    </row>
    <row r="18934" spans="1:6" ht="12.75">
      <c r="A18934" s="2">
        <v>43876.74255787037</v>
      </c>
      <c r="B18934" t="str">
        <f>HYPERLINK("https://twitter.com/RevelinoSiahaan","@RevelinoSiahaan")</f>
        <v>@RevelinoSiahaan</v>
      </c>
      <c r="C18934" t="s">
        <v>8328</v>
      </c>
      <c r="D18934">
        <v>73</v>
      </c>
      <c r="E18934">
        <v>0</v>
      </c>
      <c r="F18934">
        <v>197</v>
      </c>
    </row>
    <row r="18935" spans="1:6" ht="12.75">
      <c r="A18935" s="2">
        <v>43876.742534722223</v>
      </c>
      <c r="B18935" t="str">
        <f>HYPERLINK("https://twitter.com/GKawi369","@GKawi369")</f>
        <v>@GKawi369</v>
      </c>
      <c r="C18935" t="s">
        <v>8203</v>
      </c>
      <c r="D18935">
        <v>49</v>
      </c>
      <c r="E18935">
        <v>0</v>
      </c>
      <c r="F18935">
        <v>992</v>
      </c>
    </row>
    <row r="18936" spans="1:6" ht="12.75">
      <c r="A18936" s="2">
        <v>43876.742476851854</v>
      </c>
      <c r="B18936" t="str">
        <f>HYPERLINK("https://twitter.com/BrianAmbler2","@BrianAmbler2")</f>
        <v>@BrianAmbler2</v>
      </c>
      <c r="C18936" t="s">
        <v>3150</v>
      </c>
      <c r="D18936">
        <v>134</v>
      </c>
      <c r="E18936">
        <v>0</v>
      </c>
      <c r="F18936">
        <v>1126</v>
      </c>
    </row>
    <row r="18937" spans="1:6" ht="12.75">
      <c r="A18937" s="2">
        <v>43876.742430555554</v>
      </c>
      <c r="B18937" t="str">
        <f>HYPERLINK("https://twitter.com/Rock7214","@Rock7214")</f>
        <v>@Rock7214</v>
      </c>
      <c r="C18937" t="s">
        <v>8203</v>
      </c>
      <c r="D18937">
        <v>49</v>
      </c>
      <c r="E18937">
        <v>0</v>
      </c>
      <c r="F18937">
        <v>18</v>
      </c>
    </row>
    <row r="18938" spans="1:6" ht="12.75">
      <c r="A18938" s="2">
        <v>43876.742245370369</v>
      </c>
      <c r="B18938" t="str">
        <f>HYPERLINK("https://twitter.com/SusilawatiSisi2","@SusilawatiSisi2")</f>
        <v>@SusilawatiSisi2</v>
      </c>
      <c r="C18938" t="s">
        <v>9548</v>
      </c>
      <c r="D18938">
        <v>0</v>
      </c>
      <c r="E18938">
        <v>1</v>
      </c>
      <c r="F18938">
        <v>3417</v>
      </c>
    </row>
    <row r="18939" spans="1:6" ht="12.75">
      <c r="A18939" s="2">
        <v>43876.742164351846</v>
      </c>
      <c r="B18939" t="str">
        <f>HYPERLINK("https://twitter.com/GKawi369","@GKawi369")</f>
        <v>@GKawi369</v>
      </c>
      <c r="C18939" t="s">
        <v>8952</v>
      </c>
      <c r="D18939">
        <v>10</v>
      </c>
      <c r="E18939">
        <v>0</v>
      </c>
      <c r="F18939">
        <v>992</v>
      </c>
    </row>
    <row r="18940" spans="1:6" ht="12.75">
      <c r="A18940" s="2">
        <v>43876.742118055554</v>
      </c>
      <c r="B18940" t="str">
        <f>HYPERLINK("https://twitter.com/beautydyah","@beautydyah")</f>
        <v>@beautydyah</v>
      </c>
      <c r="C18940" t="s">
        <v>9403</v>
      </c>
      <c r="D18940">
        <v>4</v>
      </c>
      <c r="E18940">
        <v>0</v>
      </c>
      <c r="F18940">
        <v>3375</v>
      </c>
    </row>
    <row r="18941" spans="1:6" ht="12.75">
      <c r="A18941" s="2">
        <v>43876.742106481484</v>
      </c>
      <c r="B18941" t="str">
        <f>HYPERLINK("https://twitter.com/mediaindonesia","@mediaindonesia")</f>
        <v>@mediaindonesia</v>
      </c>
      <c r="C18941" t="s">
        <v>9549</v>
      </c>
      <c r="D18941">
        <v>1</v>
      </c>
      <c r="E18941">
        <v>0</v>
      </c>
      <c r="F18941">
        <v>1416038</v>
      </c>
    </row>
    <row r="18942" spans="1:6" ht="12.75">
      <c r="A18942" s="2">
        <v>43876.742106481484</v>
      </c>
      <c r="B18942" t="str">
        <f>HYPERLINK("https://twitter.com/andi_mutaal","@andi_mutaal")</f>
        <v>@andi_mutaal</v>
      </c>
      <c r="C18942" t="s">
        <v>9550</v>
      </c>
      <c r="D18942">
        <v>2</v>
      </c>
      <c r="E18942">
        <v>0</v>
      </c>
      <c r="F18942">
        <v>260</v>
      </c>
    </row>
    <row r="18943" spans="1:6" ht="12.75">
      <c r="A18943" s="2">
        <v>43876.742037037038</v>
      </c>
      <c r="B18943" t="str">
        <f>HYPERLINK("https://twitter.com/mediaindonesia","@mediaindonesia")</f>
        <v>@mediaindonesia</v>
      </c>
      <c r="C18943" t="s">
        <v>9542</v>
      </c>
      <c r="D18943">
        <v>4</v>
      </c>
      <c r="E18943">
        <v>0</v>
      </c>
      <c r="F18943">
        <v>1416038</v>
      </c>
    </row>
    <row r="18944" spans="1:6" ht="12.75">
      <c r="A18944" s="2">
        <v>43876.741932870369</v>
      </c>
      <c r="B18944" t="str">
        <f>HYPERLINK("https://twitter.com/em_fdhl","@em_fdhl")</f>
        <v>@em_fdhl</v>
      </c>
      <c r="C18944" t="s">
        <v>9551</v>
      </c>
      <c r="D18944">
        <v>0</v>
      </c>
      <c r="E18944">
        <v>0</v>
      </c>
      <c r="F18944">
        <v>17</v>
      </c>
    </row>
    <row r="18945" spans="1:6" ht="12.75">
      <c r="A18945" s="2">
        <v>43876.741863425923</v>
      </c>
      <c r="B18945" t="str">
        <f>HYPERLINK("https://twitter.com/ephraym8","@ephraym8")</f>
        <v>@ephraym8</v>
      </c>
      <c r="C18945" t="s">
        <v>9552</v>
      </c>
      <c r="D18945">
        <v>0</v>
      </c>
      <c r="E18945">
        <v>0</v>
      </c>
      <c r="F18945">
        <v>1119</v>
      </c>
    </row>
    <row r="18946" spans="1:6" ht="12.75">
      <c r="A18946" s="2">
        <v>43876.741689814815</v>
      </c>
      <c r="B18946" t="str">
        <f>HYPERLINK("https://twitter.com/Berlianpgbn","@Berlianpgbn")</f>
        <v>@Berlianpgbn</v>
      </c>
      <c r="C18946" t="s">
        <v>2147</v>
      </c>
      <c r="D18946">
        <v>340</v>
      </c>
      <c r="E18946">
        <v>0</v>
      </c>
      <c r="F18946">
        <v>373</v>
      </c>
    </row>
    <row r="18947" spans="1:6" ht="12.75">
      <c r="A18947" s="2">
        <v>43876.741585648153</v>
      </c>
      <c r="B18947" t="str">
        <f>HYPERLINK("https://twitter.com/beautydyah","@beautydyah")</f>
        <v>@beautydyah</v>
      </c>
      <c r="C18947" t="s">
        <v>2444</v>
      </c>
      <c r="D18947">
        <v>4342</v>
      </c>
      <c r="E18947">
        <v>0</v>
      </c>
      <c r="F18947">
        <v>3375</v>
      </c>
    </row>
    <row r="18948" spans="1:6" ht="12.75">
      <c r="A18948" s="2">
        <v>43876.74145833333</v>
      </c>
      <c r="B18948" t="str">
        <f>HYPERLINK("https://twitter.com/rosamaghfiroh","@rosamaghfiroh")</f>
        <v>@rosamaghfiroh</v>
      </c>
      <c r="C18948" t="s">
        <v>9553</v>
      </c>
      <c r="D18948">
        <v>2</v>
      </c>
      <c r="E18948">
        <v>0</v>
      </c>
      <c r="F18948">
        <v>305</v>
      </c>
    </row>
    <row r="18949" spans="1:6" ht="12.75">
      <c r="A18949" s="2">
        <v>43876.741446759261</v>
      </c>
      <c r="B18949" t="str">
        <f>HYPERLINK("https://twitter.com/Bagas36406270","@Bagas36406270")</f>
        <v>@Bagas36406270</v>
      </c>
      <c r="C18949" t="s">
        <v>8754</v>
      </c>
      <c r="D18949">
        <v>81</v>
      </c>
      <c r="E18949">
        <v>0</v>
      </c>
      <c r="F18949">
        <v>1177</v>
      </c>
    </row>
    <row r="18950" spans="1:6" ht="12.75">
      <c r="A18950" s="2">
        <v>43876.741400462968</v>
      </c>
      <c r="B18950" t="str">
        <f>HYPERLINK("https://twitter.com/CollectionD11","@CollectionD11")</f>
        <v>@CollectionD11</v>
      </c>
      <c r="C18950" t="s">
        <v>9150</v>
      </c>
      <c r="D18950">
        <v>120</v>
      </c>
      <c r="E18950">
        <v>0</v>
      </c>
      <c r="F18950">
        <v>223</v>
      </c>
    </row>
    <row r="18951" spans="1:6" ht="12.75">
      <c r="A18951" s="2">
        <v>43876.709780092591</v>
      </c>
      <c r="B18951" t="str">
        <f>HYPERLINK("https://twitter.com/aritrijunianto","@aritrijunianto")</f>
        <v>@aritrijunianto</v>
      </c>
      <c r="C18951" t="s">
        <v>9554</v>
      </c>
      <c r="D18951">
        <v>0</v>
      </c>
      <c r="E18951">
        <v>0</v>
      </c>
      <c r="F18951">
        <v>3542</v>
      </c>
    </row>
    <row r="18952" spans="1:6" ht="12.75">
      <c r="A18952" s="2">
        <v>43876.709756944445</v>
      </c>
      <c r="B18952" t="str">
        <f>HYPERLINK("https://twitter.com/moeslim_choice","@moeslim_choice")</f>
        <v>@moeslim_choice</v>
      </c>
      <c r="C18952" t="s">
        <v>9555</v>
      </c>
      <c r="D18952">
        <v>0</v>
      </c>
      <c r="E18952">
        <v>0</v>
      </c>
      <c r="F18952">
        <v>130</v>
      </c>
    </row>
    <row r="18953" spans="1:6" ht="12.75">
      <c r="A18953" s="2">
        <v>43876.709652777776</v>
      </c>
      <c r="B18953" t="str">
        <f>HYPERLINK("https://twitter.com/longlongroad3","@longlongroad3")</f>
        <v>@longlongroad3</v>
      </c>
      <c r="C18953" t="s">
        <v>3150</v>
      </c>
      <c r="D18953">
        <v>117</v>
      </c>
      <c r="E18953">
        <v>0</v>
      </c>
      <c r="F18953">
        <v>2215</v>
      </c>
    </row>
    <row r="18954" spans="1:6" ht="12.75">
      <c r="A18954" s="2">
        <v>43876.709618055553</v>
      </c>
      <c r="B18954" t="str">
        <f>HYPERLINK("https://twitter.com/KarmaPUBG","@KarmaPUBG")</f>
        <v>@KarmaPUBG</v>
      </c>
      <c r="C18954" t="s">
        <v>9229</v>
      </c>
      <c r="D18954">
        <v>9</v>
      </c>
      <c r="E18954">
        <v>0</v>
      </c>
      <c r="F18954">
        <v>2299</v>
      </c>
    </row>
    <row r="18955" spans="1:6" ht="12.75">
      <c r="A18955" s="2">
        <v>43876.70958333333</v>
      </c>
      <c r="B18955" t="str">
        <f>HYPERLINK("https://twitter.com/randomwisdomID","@randomwisdomID")</f>
        <v>@randomwisdomID</v>
      </c>
      <c r="C18955" t="s">
        <v>9556</v>
      </c>
      <c r="D18955">
        <v>0</v>
      </c>
      <c r="E18955">
        <v>0</v>
      </c>
      <c r="F18955">
        <v>281</v>
      </c>
    </row>
    <row r="18956" spans="1:6" ht="12.75">
      <c r="A18956" s="2">
        <v>43876.709490740745</v>
      </c>
      <c r="B18956" t="str">
        <f>HYPERLINK("https://twitter.com/RonReg0807","@RonReg0807")</f>
        <v>@RonReg0807</v>
      </c>
      <c r="C18956" t="s">
        <v>3150</v>
      </c>
      <c r="D18956">
        <v>117</v>
      </c>
      <c r="E18956">
        <v>0</v>
      </c>
      <c r="F18956">
        <v>521</v>
      </c>
    </row>
    <row r="18957" spans="1:6" ht="12.75">
      <c r="A18957" s="2">
        <v>43876.709421296298</v>
      </c>
      <c r="B18957" t="str">
        <f>HYPERLINK("https://twitter.com/IniKangUto","@IniKangUto")</f>
        <v>@IniKangUto</v>
      </c>
      <c r="C18957" t="s">
        <v>3059</v>
      </c>
      <c r="D18957">
        <v>216</v>
      </c>
      <c r="E18957">
        <v>0</v>
      </c>
      <c r="F18957">
        <v>248</v>
      </c>
    </row>
    <row r="18958" spans="1:6" ht="12.75">
      <c r="A18958" s="2">
        <v>43876.709409722222</v>
      </c>
      <c r="B18958" t="str">
        <f>HYPERLINK("https://twitter.com/JannesHutajulu","@JannesHutajulu")</f>
        <v>@JannesHutajulu</v>
      </c>
      <c r="C18958" t="s">
        <v>8203</v>
      </c>
      <c r="D18958">
        <v>38</v>
      </c>
      <c r="E18958">
        <v>0</v>
      </c>
      <c r="F18958">
        <v>2222</v>
      </c>
    </row>
    <row r="18959" spans="1:6" ht="12.75">
      <c r="A18959" s="2">
        <v>43876.709189814814</v>
      </c>
      <c r="B18959" t="str">
        <f>HYPERLINK("https://twitter.com/marklilop","@marklilop")</f>
        <v>@marklilop</v>
      </c>
      <c r="C18959" t="s">
        <v>9557</v>
      </c>
      <c r="D18959">
        <v>8</v>
      </c>
      <c r="E18959">
        <v>0</v>
      </c>
      <c r="F18959">
        <v>1025</v>
      </c>
    </row>
    <row r="18960" spans="1:6" ht="12.75">
      <c r="A18960" s="2">
        <v>43876.709074074075</v>
      </c>
      <c r="B18960" t="str">
        <f>HYPERLINK("https://twitter.com/DimasyFermana","@DimasyFermana")</f>
        <v>@DimasyFermana</v>
      </c>
      <c r="C18960" t="s">
        <v>9558</v>
      </c>
      <c r="D18960">
        <v>0</v>
      </c>
      <c r="E18960">
        <v>0</v>
      </c>
      <c r="F18960">
        <v>1500</v>
      </c>
    </row>
    <row r="18961" spans="1:6" ht="12.75">
      <c r="A18961" s="2">
        <v>43876.709074074075</v>
      </c>
      <c r="B18961" t="str">
        <f>HYPERLINK("https://twitter.com/okezonenews","@okezonenews")</f>
        <v>@okezonenews</v>
      </c>
      <c r="C18961" t="s">
        <v>9559</v>
      </c>
      <c r="D18961">
        <v>0</v>
      </c>
      <c r="E18961">
        <v>1</v>
      </c>
      <c r="F18961">
        <v>1743836</v>
      </c>
    </row>
    <row r="18962" spans="1:6" ht="12.75">
      <c r="A18962" s="2">
        <v>43876.709004629629</v>
      </c>
      <c r="B18962" t="str">
        <f>HYPERLINK("https://twitter.com/sonyacitradi","@sonyacitradi")</f>
        <v>@sonyacitradi</v>
      </c>
      <c r="C18962" t="s">
        <v>2122</v>
      </c>
      <c r="D18962">
        <v>219</v>
      </c>
      <c r="E18962">
        <v>0</v>
      </c>
      <c r="F18962">
        <v>64</v>
      </c>
    </row>
    <row r="18963" spans="1:6" ht="12.75">
      <c r="A18963" s="2">
        <v>43876.708877314813</v>
      </c>
      <c r="B18963" t="str">
        <f>HYPERLINK("https://twitter.com/debbymerlian","@debbymerlian")</f>
        <v>@debbymerlian</v>
      </c>
      <c r="C18963" t="s">
        <v>9560</v>
      </c>
      <c r="D18963">
        <v>0</v>
      </c>
      <c r="E18963">
        <v>0</v>
      </c>
      <c r="F18963">
        <v>97</v>
      </c>
    </row>
    <row r="18964" spans="1:6" ht="12.75">
      <c r="A18964" s="2">
        <v>43876.708831018521</v>
      </c>
      <c r="B18964" t="str">
        <f>HYPERLINK("https://twitter.com/ArrahmahID","@ArrahmahID")</f>
        <v>@ArrahmahID</v>
      </c>
      <c r="C18964" t="s">
        <v>9561</v>
      </c>
      <c r="D18964">
        <v>0</v>
      </c>
      <c r="E18964">
        <v>0</v>
      </c>
      <c r="F18964">
        <v>7416</v>
      </c>
    </row>
    <row r="18965" spans="1:6" ht="12.75">
      <c r="A18965" s="2">
        <v>43876.708726851852</v>
      </c>
      <c r="B18965" t="str">
        <f>HYPERLINK("https://twitter.com/hemaviton99","@hemaviton99")</f>
        <v>@hemaviton99</v>
      </c>
      <c r="C18965" t="s">
        <v>9562</v>
      </c>
      <c r="D18965">
        <v>3</v>
      </c>
      <c r="E18965">
        <v>0</v>
      </c>
      <c r="F18965">
        <v>3701</v>
      </c>
    </row>
    <row r="18966" spans="1:6" ht="12.75">
      <c r="A18966" s="2">
        <v>43876.708564814813</v>
      </c>
      <c r="B18966" t="str">
        <f>HYPERLINK("https://twitter.com/YossyHendry","@YossyHendry")</f>
        <v>@YossyHendry</v>
      </c>
      <c r="C18966" t="s">
        <v>7152</v>
      </c>
      <c r="D18966">
        <v>1</v>
      </c>
      <c r="E18966">
        <v>0</v>
      </c>
      <c r="F18966">
        <v>1196</v>
      </c>
    </row>
    <row r="18967" spans="1:6" ht="12.75">
      <c r="A18967" s="2">
        <v>43876.708553240736</v>
      </c>
      <c r="B18967" t="str">
        <f>HYPERLINK("https://twitter.com/gflyrinn","@gflyrinn")</f>
        <v>@gflyrinn</v>
      </c>
      <c r="C18967" t="s">
        <v>9563</v>
      </c>
      <c r="D18967">
        <v>0</v>
      </c>
      <c r="E18967">
        <v>0</v>
      </c>
      <c r="F18967">
        <v>706</v>
      </c>
    </row>
    <row r="18968" spans="1:6" ht="12.75">
      <c r="A18968" s="2">
        <v>43876.708518518513</v>
      </c>
      <c r="B18968" t="str">
        <f>HYPERLINK("https://twitter.com/Aldo42128251","@Aldo42128251")</f>
        <v>@Aldo42128251</v>
      </c>
      <c r="C18968" t="s">
        <v>9150</v>
      </c>
      <c r="D18968">
        <v>90</v>
      </c>
      <c r="E18968">
        <v>0</v>
      </c>
      <c r="F18968">
        <v>237</v>
      </c>
    </row>
    <row r="18969" spans="1:6" ht="12.75">
      <c r="A18969" s="2">
        <v>43876.708460648151</v>
      </c>
      <c r="B18969" t="str">
        <f>HYPERLINK("https://twitter.com/Ferry13602224","@Ferry13602224")</f>
        <v>@Ferry13602224</v>
      </c>
      <c r="C18969" t="s">
        <v>8650</v>
      </c>
      <c r="D18969">
        <v>53</v>
      </c>
      <c r="E18969">
        <v>0</v>
      </c>
      <c r="F18969">
        <v>344</v>
      </c>
    </row>
    <row r="18970" spans="1:6" ht="12.75">
      <c r="A18970" s="2">
        <v>43876.708414351851</v>
      </c>
      <c r="B18970" t="str">
        <f>HYPERLINK("https://twitter.com/iehfkhanz","@iehfkhanz")</f>
        <v>@iehfkhanz</v>
      </c>
      <c r="C18970" t="s">
        <v>9564</v>
      </c>
      <c r="D18970">
        <v>0</v>
      </c>
      <c r="E18970">
        <v>0</v>
      </c>
      <c r="F18970">
        <v>1301</v>
      </c>
    </row>
    <row r="18971" spans="1:6" ht="12.75">
      <c r="A18971" s="2">
        <v>43876.708356481482</v>
      </c>
      <c r="B18971" t="str">
        <f>HYPERLINK("https://twitter.com/alineadotid","@alineadotid")</f>
        <v>@alineadotid</v>
      </c>
      <c r="C18971" t="s">
        <v>9565</v>
      </c>
      <c r="D18971">
        <v>0</v>
      </c>
      <c r="E18971">
        <v>0</v>
      </c>
      <c r="F18971">
        <v>612004</v>
      </c>
    </row>
    <row r="18972" spans="1:6" ht="12.75">
      <c r="A18972" s="2">
        <v>43876.708298611113</v>
      </c>
      <c r="B18972" t="str">
        <f>HYPERLINK("https://twitter.com/Apodax","@Apodax")</f>
        <v>@Apodax</v>
      </c>
      <c r="C18972" t="s">
        <v>8203</v>
      </c>
      <c r="D18972">
        <v>38</v>
      </c>
      <c r="E18972">
        <v>0</v>
      </c>
      <c r="F18972">
        <v>98</v>
      </c>
    </row>
    <row r="18973" spans="1:6" ht="12.75">
      <c r="A18973" s="2">
        <v>43876.708171296297</v>
      </c>
      <c r="B18973" t="str">
        <f>HYPERLINK("https://twitter.com/SimonYa00021159","@SimonYa00021159")</f>
        <v>@SimonYa00021159</v>
      </c>
      <c r="C18973" t="s">
        <v>2147</v>
      </c>
      <c r="D18973">
        <v>304</v>
      </c>
      <c r="E18973">
        <v>0</v>
      </c>
      <c r="F18973">
        <v>12</v>
      </c>
    </row>
    <row r="18974" spans="1:6" ht="12.75">
      <c r="A18974" s="2">
        <v>43876.708020833335</v>
      </c>
      <c r="B18974" t="str">
        <f>HYPERLINK("https://twitter.com/dessyprmitha","@dessyprmitha")</f>
        <v>@dessyprmitha</v>
      </c>
      <c r="C18974" t="s">
        <v>2444</v>
      </c>
      <c r="D18974">
        <v>4306</v>
      </c>
      <c r="E18974">
        <v>0</v>
      </c>
      <c r="F18974">
        <v>504</v>
      </c>
    </row>
    <row r="18975" spans="1:6" ht="12.75">
      <c r="A18975" s="2">
        <v>43876.707997685182</v>
      </c>
      <c r="B18975" t="str">
        <f>HYPERLINK("https://twitter.com/JohnIrwan4","@JohnIrwan4")</f>
        <v>@JohnIrwan4</v>
      </c>
      <c r="C18975" t="s">
        <v>9566</v>
      </c>
      <c r="D18975">
        <v>1</v>
      </c>
      <c r="E18975">
        <v>0</v>
      </c>
      <c r="F18975">
        <v>2140</v>
      </c>
    </row>
    <row r="18976" spans="1:6" ht="12.75">
      <c r="A18976" s="2">
        <v>43876.70793981482</v>
      </c>
      <c r="B18976" t="str">
        <f>HYPERLINK("https://twitter.com/sukucen_","@sukucen_")</f>
        <v>@sukucen_</v>
      </c>
      <c r="C18976" t="s">
        <v>2147</v>
      </c>
      <c r="D18976">
        <v>304</v>
      </c>
      <c r="E18976">
        <v>0</v>
      </c>
      <c r="F18976">
        <v>74</v>
      </c>
    </row>
    <row r="18977" spans="1:6" ht="12.75">
      <c r="A18977" s="2">
        <v>43876.707928240736</v>
      </c>
      <c r="B18977" t="str">
        <f>HYPERLINK("https://twitter.com/hasmi_bakhtiar","@hasmi_bakhtiar")</f>
        <v>@hasmi_bakhtiar</v>
      </c>
      <c r="C18977" t="s">
        <v>9567</v>
      </c>
      <c r="D18977">
        <v>1</v>
      </c>
      <c r="E18977">
        <v>1</v>
      </c>
      <c r="F18977">
        <v>25702</v>
      </c>
    </row>
    <row r="18978" spans="1:6" ht="12.75">
      <c r="A18978" s="2">
        <v>43876.707800925928</v>
      </c>
      <c r="B18978" t="str">
        <f>HYPERLINK("https://twitter.com/ustadzar","@ustadzar")</f>
        <v>@ustadzar</v>
      </c>
      <c r="C18978" t="s">
        <v>8628</v>
      </c>
      <c r="D18978">
        <v>96</v>
      </c>
      <c r="E18978">
        <v>0</v>
      </c>
      <c r="F18978">
        <v>66</v>
      </c>
    </row>
    <row r="18979" spans="1:6" ht="12.75">
      <c r="A18979" s="2">
        <v>43876.707789351851</v>
      </c>
      <c r="B18979" t="str">
        <f>HYPERLINK("https://twitter.com/De_rezha","@De_rezha")</f>
        <v>@De_rezha</v>
      </c>
      <c r="C18979" t="s">
        <v>9568</v>
      </c>
      <c r="D18979">
        <v>5</v>
      </c>
      <c r="E18979">
        <v>0</v>
      </c>
      <c r="F18979">
        <v>257</v>
      </c>
    </row>
    <row r="18980" spans="1:6" ht="12.75">
      <c r="A18980" s="2">
        <v>43876.707534722227</v>
      </c>
      <c r="B18980" t="str">
        <f>HYPERLINK("https://twitter.com/aqbarce","@aqbarce")</f>
        <v>@aqbarce</v>
      </c>
      <c r="C18980" t="s">
        <v>9569</v>
      </c>
      <c r="D18980">
        <v>0</v>
      </c>
      <c r="E18980">
        <v>0</v>
      </c>
      <c r="F18980">
        <v>19</v>
      </c>
    </row>
    <row r="18981" spans="1:6" ht="12.75">
      <c r="A18981" s="2">
        <v>43876.707523148143</v>
      </c>
      <c r="B18981" t="str">
        <f>HYPERLINK("https://twitter.com/geloraco","@geloraco")</f>
        <v>@geloraco</v>
      </c>
      <c r="C18981" t="s">
        <v>9570</v>
      </c>
      <c r="D18981">
        <v>0</v>
      </c>
      <c r="E18981">
        <v>1</v>
      </c>
      <c r="F18981">
        <v>99927</v>
      </c>
    </row>
    <row r="18982" spans="1:6" ht="12.75">
      <c r="A18982" s="2">
        <v>43876.707511574074</v>
      </c>
      <c r="B18982" t="str">
        <f>HYPERLINK("https://twitter.com/BORNEONEWS","@BORNEONEWS")</f>
        <v>@BORNEONEWS</v>
      </c>
      <c r="C18982" t="s">
        <v>9571</v>
      </c>
      <c r="D18982">
        <v>0</v>
      </c>
      <c r="E18982">
        <v>0</v>
      </c>
      <c r="F18982">
        <v>6852</v>
      </c>
    </row>
    <row r="18983" spans="1:6" ht="12.75">
      <c r="A18983" s="2">
        <v>43876.707511574074</v>
      </c>
      <c r="B18983" t="str">
        <f>HYPERLINK("https://twitter.com/DavidRuslie8","@DavidRuslie8")</f>
        <v>@DavidRuslie8</v>
      </c>
      <c r="C18983" t="s">
        <v>8375</v>
      </c>
      <c r="D18983">
        <v>1</v>
      </c>
      <c r="E18983">
        <v>0</v>
      </c>
      <c r="F18983">
        <v>915</v>
      </c>
    </row>
    <row r="18984" spans="1:6" ht="12.75">
      <c r="A18984" s="2">
        <v>43876.707500000004</v>
      </c>
      <c r="B18984" t="str">
        <f>HYPERLINK("https://twitter.com/rocky0175","@rocky0175")</f>
        <v>@rocky0175</v>
      </c>
      <c r="C18984" t="s">
        <v>9572</v>
      </c>
      <c r="D18984">
        <v>0</v>
      </c>
      <c r="E18984">
        <v>0</v>
      </c>
      <c r="F18984">
        <v>6</v>
      </c>
    </row>
    <row r="18985" spans="1:6" ht="12.75">
      <c r="A18985" s="2">
        <v>43876.707395833335</v>
      </c>
      <c r="B18985" t="str">
        <f>HYPERLINK("https://twitter.com/MrsRachelIn","@MrsRachelIn")</f>
        <v>@MrsRachelIn</v>
      </c>
      <c r="C18985" t="s">
        <v>9573</v>
      </c>
      <c r="D18985">
        <v>0</v>
      </c>
      <c r="E18985">
        <v>0</v>
      </c>
      <c r="F18985">
        <v>3106</v>
      </c>
    </row>
    <row r="18986" spans="1:6" ht="12.75">
      <c r="A18986" s="2">
        <v>43876.707384259258</v>
      </c>
      <c r="B18986" t="str">
        <f>HYPERLINK("https://twitter.com/DiartonoSapto","@DiartonoSapto")</f>
        <v>@DiartonoSapto</v>
      </c>
      <c r="C18986" t="s">
        <v>7876</v>
      </c>
      <c r="D18986">
        <v>39</v>
      </c>
      <c r="E18986">
        <v>0</v>
      </c>
      <c r="F18986">
        <v>476</v>
      </c>
    </row>
    <row r="18987" spans="1:6" ht="12.75">
      <c r="A18987" s="2">
        <v>43876.707280092596</v>
      </c>
      <c r="B18987" t="str">
        <f>HYPERLINK("https://twitter.com/s_semangka","@s_semangka")</f>
        <v>@s_semangka</v>
      </c>
      <c r="C18987" t="s">
        <v>9574</v>
      </c>
      <c r="D18987">
        <v>0</v>
      </c>
      <c r="E18987">
        <v>0</v>
      </c>
      <c r="F18987">
        <v>25</v>
      </c>
    </row>
    <row r="18988" spans="1:6" ht="12.75">
      <c r="A18988" s="2">
        <v>43876.707013888888</v>
      </c>
      <c r="B18988" t="str">
        <f>HYPERLINK("https://twitter.com/Gudagulana","@Gudagulana")</f>
        <v>@Gudagulana</v>
      </c>
      <c r="C18988" t="s">
        <v>9575</v>
      </c>
      <c r="D18988">
        <v>0</v>
      </c>
      <c r="E18988">
        <v>0</v>
      </c>
      <c r="F18988">
        <v>29</v>
      </c>
    </row>
    <row r="18989" spans="1:6" ht="12.75">
      <c r="A18989" s="2">
        <v>43876.706967592589</v>
      </c>
      <c r="B18989" t="str">
        <f>HYPERLINK("https://twitter.com/Santo_Amora","@Santo_Amora")</f>
        <v>@Santo_Amora</v>
      </c>
      <c r="C18989" t="s">
        <v>8053</v>
      </c>
      <c r="D18989">
        <v>11</v>
      </c>
      <c r="E18989">
        <v>0</v>
      </c>
      <c r="F18989">
        <v>406</v>
      </c>
    </row>
    <row r="18990" spans="1:6" ht="12.75">
      <c r="A18990" s="2">
        <v>43876.706967592589</v>
      </c>
      <c r="B18990" t="str">
        <f>HYPERLINK("https://twitter.com/SatrioZidni","@SatrioZidni")</f>
        <v>@SatrioZidni</v>
      </c>
      <c r="C18990" t="s">
        <v>3412</v>
      </c>
      <c r="D18990">
        <v>1009</v>
      </c>
      <c r="E18990">
        <v>0</v>
      </c>
      <c r="F18990">
        <v>235</v>
      </c>
    </row>
    <row r="18991" spans="1:6" ht="12.75">
      <c r="A18991" s="2">
        <v>43876.70694444445</v>
      </c>
      <c r="B18991" t="str">
        <f>HYPERLINK("https://twitter.com/mediaindonesia","@mediaindonesia")</f>
        <v>@mediaindonesia</v>
      </c>
      <c r="C18991" t="s">
        <v>9576</v>
      </c>
      <c r="D18991">
        <v>0</v>
      </c>
      <c r="E18991">
        <v>0</v>
      </c>
      <c r="F18991">
        <v>1416024</v>
      </c>
    </row>
    <row r="18992" spans="1:6" ht="12.75">
      <c r="A18992" s="2">
        <v>43876.706747685181</v>
      </c>
      <c r="B18992" t="str">
        <f>HYPERLINK("https://twitter.com/republikaonline","@republikaonline")</f>
        <v>@republikaonline</v>
      </c>
      <c r="C18992" t="s">
        <v>9577</v>
      </c>
      <c r="D18992">
        <v>0</v>
      </c>
      <c r="E18992">
        <v>6</v>
      </c>
      <c r="F18992">
        <v>1210481</v>
      </c>
    </row>
    <row r="18993" spans="1:6" ht="12.75">
      <c r="A18993" s="2">
        <v>43876.706747685181</v>
      </c>
      <c r="B18993" t="str">
        <f>HYPERLINK("https://twitter.com/scorpiocuy","@scorpiocuy")</f>
        <v>@scorpiocuy</v>
      </c>
      <c r="C18993" t="s">
        <v>9578</v>
      </c>
      <c r="D18993">
        <v>0</v>
      </c>
      <c r="E18993">
        <v>0</v>
      </c>
      <c r="F18993">
        <v>23</v>
      </c>
    </row>
    <row r="18994" spans="1:6" ht="12.75">
      <c r="A18994" s="2">
        <v>43876.706747685181</v>
      </c>
      <c r="B18994" t="str">
        <f>HYPERLINK("https://twitter.com/Muhir30","@Muhir30")</f>
        <v>@Muhir30</v>
      </c>
      <c r="C18994" t="s">
        <v>8665</v>
      </c>
      <c r="D18994">
        <v>199</v>
      </c>
      <c r="E18994">
        <v>0</v>
      </c>
      <c r="F18994">
        <v>532</v>
      </c>
    </row>
    <row r="18995" spans="1:6" ht="12.75">
      <c r="A18995" s="2">
        <v>43876.706724537042</v>
      </c>
      <c r="B18995" t="str">
        <f>HYPERLINK("https://twitter.com/Novandri86R","@Novandri86R")</f>
        <v>@Novandri86R</v>
      </c>
      <c r="C18995" t="s">
        <v>9579</v>
      </c>
      <c r="D18995">
        <v>1</v>
      </c>
      <c r="E18995">
        <v>0</v>
      </c>
      <c r="F18995">
        <v>758</v>
      </c>
    </row>
    <row r="18996" spans="1:6" ht="12.75">
      <c r="A18996" s="2">
        <v>43876.706655092596</v>
      </c>
      <c r="B18996" t="str">
        <f>HYPERLINK("https://twitter.com/Fanny_Oktaviana","@Fanny_Oktaviana")</f>
        <v>@Fanny_Oktaviana</v>
      </c>
      <c r="C18996" t="s">
        <v>9580</v>
      </c>
      <c r="D18996">
        <v>1</v>
      </c>
      <c r="E18996">
        <v>0</v>
      </c>
      <c r="F18996">
        <v>2320</v>
      </c>
    </row>
    <row r="18997" spans="1:6" ht="12.75">
      <c r="A18997" s="2">
        <v>43876.706516203703</v>
      </c>
      <c r="B18997" t="str">
        <f>HYPERLINK("https://twitter.com/Signorina07","@Signorina07")</f>
        <v>@Signorina07</v>
      </c>
      <c r="C18997" t="s">
        <v>8053</v>
      </c>
      <c r="D18997">
        <v>11</v>
      </c>
      <c r="E18997">
        <v>0</v>
      </c>
      <c r="F18997">
        <v>2449</v>
      </c>
    </row>
    <row r="18998" spans="1:6" ht="12.75">
      <c r="A18998" s="2">
        <v>43876.706365740742</v>
      </c>
      <c r="B18998" t="str">
        <f>HYPERLINK("https://twitter.com/victoria_sari","@victoria_sari")</f>
        <v>@victoria_sari</v>
      </c>
      <c r="C18998" t="s">
        <v>2444</v>
      </c>
      <c r="D18998">
        <v>4306</v>
      </c>
      <c r="E18998">
        <v>0</v>
      </c>
      <c r="F18998">
        <v>26</v>
      </c>
    </row>
    <row r="18999" spans="1:6" ht="12.75">
      <c r="A18999" s="2">
        <v>43876.706331018519</v>
      </c>
      <c r="B18999" t="str">
        <f>HYPERLINK("https://twitter.com/dodi_dodik","@dodi_dodik")</f>
        <v>@dodi_dodik</v>
      </c>
      <c r="C18999" t="s">
        <v>3059</v>
      </c>
      <c r="D18999">
        <v>216</v>
      </c>
      <c r="E18999">
        <v>0</v>
      </c>
      <c r="F18999">
        <v>26</v>
      </c>
    </row>
    <row r="19000" spans="1:6" ht="12.75">
      <c r="A19000" s="2">
        <v>43876.706307870365</v>
      </c>
      <c r="B19000" t="str">
        <f>HYPERLINK("https://twitter.com/astrsna","@astrsna")</f>
        <v>@astrsna</v>
      </c>
      <c r="C19000" t="s">
        <v>2444</v>
      </c>
      <c r="D19000">
        <v>4306</v>
      </c>
      <c r="E19000">
        <v>0</v>
      </c>
      <c r="F19000">
        <v>229</v>
      </c>
    </row>
    <row r="19001" spans="1:6" ht="12.75">
      <c r="A19001" s="2">
        <v>43876.706226851849</v>
      </c>
      <c r="B19001" t="str">
        <f>HYPERLINK("https://twitter.com/mediaindonesia","@mediaindonesia")</f>
        <v>@mediaindonesia</v>
      </c>
      <c r="C19001" t="s">
        <v>9581</v>
      </c>
      <c r="D19001">
        <v>0</v>
      </c>
      <c r="E19001">
        <v>0</v>
      </c>
      <c r="F19001">
        <v>1416024</v>
      </c>
    </row>
    <row r="19002" spans="1:6" ht="12.75">
      <c r="A19002" s="2">
        <v>43876.70621527778</v>
      </c>
      <c r="B19002" t="str">
        <f>HYPERLINK("https://twitter.com/IdamanNegri","@IdamanNegri")</f>
        <v>@IdamanNegri</v>
      </c>
      <c r="C19002" t="s">
        <v>9582</v>
      </c>
      <c r="D19002">
        <v>0</v>
      </c>
      <c r="E19002">
        <v>0</v>
      </c>
      <c r="F19002">
        <v>12</v>
      </c>
    </row>
    <row r="19003" spans="1:6" ht="12.75">
      <c r="A19003" s="2">
        <v>43876.706203703703</v>
      </c>
      <c r="B19003" t="str">
        <f>HYPERLINK("https://twitter.com/DrKyairey","@DrKyairey")</f>
        <v>@DrKyairey</v>
      </c>
      <c r="C19003" t="s">
        <v>9583</v>
      </c>
      <c r="D19003">
        <v>1</v>
      </c>
      <c r="E19003">
        <v>0</v>
      </c>
      <c r="F19003">
        <v>15</v>
      </c>
    </row>
    <row r="19004" spans="1:6" ht="12.75">
      <c r="A19004" s="2">
        <v>43876.706203703703</v>
      </c>
      <c r="B19004" t="str">
        <f>HYPERLINK("https://twitter.com/J_Aryoko","@J_Aryoko")</f>
        <v>@J_Aryoko</v>
      </c>
      <c r="C19004" t="s">
        <v>8897</v>
      </c>
      <c r="D19004">
        <v>19</v>
      </c>
      <c r="E19004">
        <v>0</v>
      </c>
      <c r="F19004">
        <v>1393</v>
      </c>
    </row>
    <row r="19005" spans="1:6" ht="12.75">
      <c r="A19005" s="2">
        <v>43876.706203703703</v>
      </c>
      <c r="B19005" t="str">
        <f>HYPERLINK("https://twitter.com/diujungsenjamu","@diujungsenjamu")</f>
        <v>@diujungsenjamu</v>
      </c>
      <c r="C19005" t="s">
        <v>9584</v>
      </c>
      <c r="D19005">
        <v>0</v>
      </c>
      <c r="E19005">
        <v>0</v>
      </c>
      <c r="F19005">
        <v>184</v>
      </c>
    </row>
    <row r="19006" spans="1:6" ht="12.75">
      <c r="A19006" s="2">
        <v>43876.706157407403</v>
      </c>
      <c r="B19006" t="str">
        <f>HYPERLINK("https://twitter.com/kresnakws","@kresnakws")</f>
        <v>@kresnakws</v>
      </c>
      <c r="C19006" t="s">
        <v>9433</v>
      </c>
      <c r="D19006">
        <v>4</v>
      </c>
      <c r="E19006">
        <v>0</v>
      </c>
      <c r="F19006">
        <v>289</v>
      </c>
    </row>
    <row r="19007" spans="1:6" ht="12.75">
      <c r="A19007" s="2">
        <v>43876.706157407403</v>
      </c>
      <c r="B19007" t="str">
        <f>HYPERLINK("https://twitter.com/eziapia","@eziapia")</f>
        <v>@eziapia</v>
      </c>
      <c r="C19007" t="s">
        <v>9585</v>
      </c>
      <c r="D19007">
        <v>2</v>
      </c>
      <c r="E19007">
        <v>0</v>
      </c>
      <c r="F19007">
        <v>86</v>
      </c>
    </row>
    <row r="19008" spans="1:6" ht="12.75">
      <c r="A19008" s="2">
        <v>43876.706087962964</v>
      </c>
      <c r="B19008" t="str">
        <f>HYPERLINK("https://twitter.com/DrKyairey","@DrKyairey")</f>
        <v>@DrKyairey</v>
      </c>
      <c r="C19008" t="s">
        <v>9586</v>
      </c>
      <c r="D19008">
        <v>1</v>
      </c>
      <c r="E19008">
        <v>1</v>
      </c>
      <c r="F19008">
        <v>15</v>
      </c>
    </row>
    <row r="19009" spans="1:6" ht="12.75">
      <c r="A19009" s="2">
        <v>43876.705960648149</v>
      </c>
      <c r="B19009" t="str">
        <f>HYPERLINK("https://twitter.com/weniernita21","@weniernita21")</f>
        <v>@weniernita21</v>
      </c>
      <c r="C19009" t="s">
        <v>9587</v>
      </c>
      <c r="D19009">
        <v>0</v>
      </c>
      <c r="E19009">
        <v>0</v>
      </c>
      <c r="F19009">
        <v>233</v>
      </c>
    </row>
    <row r="19010" spans="1:6" ht="12.75">
      <c r="A19010" s="2">
        <v>43876.70590277778</v>
      </c>
      <c r="B19010" t="str">
        <f>HYPERLINK("https://twitter.com/MARSUDI__","@MARSUDI__")</f>
        <v>@MARSUDI__</v>
      </c>
      <c r="C19010" t="s">
        <v>9588</v>
      </c>
      <c r="D19010">
        <v>0</v>
      </c>
      <c r="E19010">
        <v>0</v>
      </c>
      <c r="F19010">
        <v>6390</v>
      </c>
    </row>
    <row r="19011" spans="1:6" ht="12.75">
      <c r="A19011" s="2">
        <v>43876.70585648148</v>
      </c>
      <c r="B19011" t="str">
        <f>HYPERLINK("https://twitter.com/hemaviton99","@hemaviton99")</f>
        <v>@hemaviton99</v>
      </c>
      <c r="C19011" t="s">
        <v>9589</v>
      </c>
      <c r="D19011">
        <v>2</v>
      </c>
      <c r="E19011">
        <v>0</v>
      </c>
      <c r="F19011">
        <v>3701</v>
      </c>
    </row>
    <row r="19012" spans="1:6" ht="12.75">
      <c r="A19012" s="2">
        <v>43876.705833333333</v>
      </c>
      <c r="B19012" t="str">
        <f>HYPERLINK("https://twitter.com/chrispat333","@chrispat333")</f>
        <v>@chrispat333</v>
      </c>
      <c r="C19012" t="s">
        <v>3150</v>
      </c>
      <c r="D19012">
        <v>117</v>
      </c>
      <c r="E19012">
        <v>0</v>
      </c>
      <c r="F19012">
        <v>92</v>
      </c>
    </row>
    <row r="19013" spans="1:6" ht="12.75">
      <c r="A19013" s="2">
        <v>43876.70579861111</v>
      </c>
      <c r="B19013" t="str">
        <f>HYPERLINK("https://twitter.com/Widodo2017","@Widodo2017")</f>
        <v>@Widodo2017</v>
      </c>
      <c r="C19013" t="s">
        <v>9590</v>
      </c>
      <c r="D19013">
        <v>81</v>
      </c>
      <c r="E19013">
        <v>0</v>
      </c>
      <c r="F19013">
        <v>1265</v>
      </c>
    </row>
    <row r="19014" spans="1:6" ht="12.75">
      <c r="A19014" s="2">
        <v>43876.705706018518</v>
      </c>
      <c r="B19014" t="str">
        <f>HYPERLINK("https://twitter.com/vanchalunataa","@vanchalunataa")</f>
        <v>@vanchalunataa</v>
      </c>
      <c r="C19014" t="s">
        <v>175</v>
      </c>
      <c r="D19014">
        <v>5338</v>
      </c>
      <c r="E19014">
        <v>0</v>
      </c>
      <c r="F19014">
        <v>1643</v>
      </c>
    </row>
    <row r="19015" spans="1:6" ht="12.75">
      <c r="A19015" s="2">
        <v>43876.705567129626</v>
      </c>
      <c r="B19015" t="str">
        <f>HYPERLINK("https://twitter.com/VIVAcoid","@VIVAcoid")</f>
        <v>@VIVAcoid</v>
      </c>
      <c r="C19015" t="s">
        <v>9591</v>
      </c>
      <c r="D19015">
        <v>1</v>
      </c>
      <c r="E19015">
        <v>0</v>
      </c>
      <c r="F19015">
        <v>4169452</v>
      </c>
    </row>
    <row r="19016" spans="1:6" ht="12.75">
      <c r="A19016" s="2">
        <v>43876.705497685187</v>
      </c>
      <c r="B19016" t="str">
        <f>HYPERLINK("https://twitter.com/Se_Na_Sionalis","@Se_Na_Sionalis")</f>
        <v>@Se_Na_Sionalis</v>
      </c>
      <c r="C19016" t="s">
        <v>9592</v>
      </c>
      <c r="D19016">
        <v>0</v>
      </c>
      <c r="E19016">
        <v>0</v>
      </c>
      <c r="F19016">
        <v>155</v>
      </c>
    </row>
    <row r="19017" spans="1:6" ht="12.75">
      <c r="A19017" s="2">
        <v>43876.70548611111</v>
      </c>
      <c r="B19017" t="str">
        <f>HYPERLINK("https://twitter.com/rd_syach","@rd_syach")</f>
        <v>@rd_syach</v>
      </c>
      <c r="C19017" t="s">
        <v>9593</v>
      </c>
      <c r="D19017">
        <v>1</v>
      </c>
      <c r="E19017">
        <v>0</v>
      </c>
      <c r="F19017">
        <v>8037</v>
      </c>
    </row>
    <row r="19018" spans="1:6" ht="12.75">
      <c r="A19018" s="2">
        <v>43876.705335648148</v>
      </c>
      <c r="B19018" t="str">
        <f>HYPERLINK("https://twitter.com/ramadanipb","@ramadanipb")</f>
        <v>@ramadanipb</v>
      </c>
      <c r="C19018" t="s">
        <v>8203</v>
      </c>
      <c r="D19018">
        <v>38</v>
      </c>
      <c r="E19018">
        <v>0</v>
      </c>
      <c r="F19018">
        <v>2164</v>
      </c>
    </row>
    <row r="19019" spans="1:6" ht="12.75">
      <c r="A19019" s="2">
        <v>43876.705324074079</v>
      </c>
      <c r="B19019" t="str">
        <f>HYPERLINK("https://twitter.com/dolors_itamet","@dolors_itamet")</f>
        <v>@dolors_itamet</v>
      </c>
      <c r="C19019" t="s">
        <v>9594</v>
      </c>
      <c r="D19019">
        <v>0</v>
      </c>
      <c r="E19019">
        <v>0</v>
      </c>
      <c r="F19019">
        <v>375</v>
      </c>
    </row>
    <row r="19020" spans="1:6" ht="12.75">
      <c r="A19020" s="2">
        <v>43876.705266203702</v>
      </c>
      <c r="B19020" t="str">
        <f>HYPERLINK("https://twitter.com/KevinHo98285195","@KevinHo98285195")</f>
        <v>@KevinHo98285195</v>
      </c>
      <c r="C19020" t="s">
        <v>3150</v>
      </c>
      <c r="D19020">
        <v>117</v>
      </c>
      <c r="E19020">
        <v>0</v>
      </c>
      <c r="F19020">
        <v>365</v>
      </c>
    </row>
    <row r="19021" spans="1:6" ht="12.75">
      <c r="A19021" s="2">
        <v>43876.705254629633</v>
      </c>
      <c r="B19021" t="str">
        <f>HYPERLINK("https://twitter.com/tienztyn","@tienztyn")</f>
        <v>@tienztyn</v>
      </c>
      <c r="C19021" t="s">
        <v>4845</v>
      </c>
      <c r="D19021">
        <v>8</v>
      </c>
      <c r="E19021">
        <v>0</v>
      </c>
      <c r="F19021">
        <v>214</v>
      </c>
    </row>
    <row r="19022" spans="1:6" ht="12.75">
      <c r="A19022" s="2">
        <v>43876.705243055556</v>
      </c>
      <c r="B19022" t="str">
        <f>HYPERLINK("https://twitter.com/johangwbs","@johangwbs")</f>
        <v>@johangwbs</v>
      </c>
      <c r="C19022" t="s">
        <v>9433</v>
      </c>
      <c r="D19022">
        <v>4</v>
      </c>
      <c r="E19022">
        <v>0</v>
      </c>
      <c r="F19022">
        <v>20</v>
      </c>
    </row>
    <row r="19023" spans="1:6" ht="12.75">
      <c r="A19023" s="2">
        <v>43876.705231481479</v>
      </c>
      <c r="B19023" t="str">
        <f>HYPERLINK("https://twitter.com/vivanewscom","@vivanewscom")</f>
        <v>@vivanewscom</v>
      </c>
      <c r="C19023" t="s">
        <v>9595</v>
      </c>
      <c r="D19023">
        <v>1</v>
      </c>
      <c r="E19023">
        <v>0</v>
      </c>
      <c r="F19023">
        <v>4092</v>
      </c>
    </row>
    <row r="19024" spans="1:6" ht="12.75">
      <c r="A19024" s="2">
        <v>43876.705162037033</v>
      </c>
      <c r="B19024" t="str">
        <f>HYPERLINK("https://twitter.com/ThePowerOfindo1","@ThePowerOfindo1")</f>
        <v>@ThePowerOfindo1</v>
      </c>
      <c r="C19024" t="s">
        <v>9596</v>
      </c>
      <c r="D19024">
        <v>0</v>
      </c>
      <c r="E19024">
        <v>0</v>
      </c>
      <c r="F19024">
        <v>5</v>
      </c>
    </row>
    <row r="19025" spans="1:6" ht="12.75">
      <c r="A19025" s="2">
        <v>43876.705162037033</v>
      </c>
      <c r="B19025" t="str">
        <f>HYPERLINK("https://twitter.com/ngbrlaja","@ngbrlaja")</f>
        <v>@ngbrlaja</v>
      </c>
      <c r="C19025" t="s">
        <v>9597</v>
      </c>
      <c r="D19025">
        <v>2</v>
      </c>
      <c r="E19025">
        <v>0</v>
      </c>
      <c r="F19025">
        <v>13</v>
      </c>
    </row>
    <row r="19026" spans="1:6" ht="12.75">
      <c r="A19026" s="2">
        <v>43876.705092592594</v>
      </c>
      <c r="B19026" t="str">
        <f>HYPERLINK("https://twitter.com/adikterakir","@adikterakir")</f>
        <v>@adikterakir</v>
      </c>
      <c r="C19026" t="s">
        <v>8543</v>
      </c>
      <c r="D19026">
        <v>2</v>
      </c>
      <c r="E19026">
        <v>0</v>
      </c>
      <c r="F19026">
        <v>43</v>
      </c>
    </row>
    <row r="19027" spans="1:6" ht="12.75">
      <c r="A19027" s="2">
        <v>43876.704965277779</v>
      </c>
      <c r="B19027" t="str">
        <f>HYPERLINK("https://twitter.com/ShoutOut3Sub","@ShoutOut3Sub")</f>
        <v>@ShoutOut3Sub</v>
      </c>
      <c r="C19027" t="s">
        <v>9598</v>
      </c>
      <c r="D19027">
        <v>0</v>
      </c>
      <c r="E19027">
        <v>0</v>
      </c>
      <c r="F19027">
        <v>39867</v>
      </c>
    </row>
    <row r="19028" spans="1:6" ht="12.75">
      <c r="A19028" s="2">
        <v>43876.704953703702</v>
      </c>
      <c r="B19028" t="str">
        <f>HYPERLINK("https://twitter.com/4_devout","@4_devout")</f>
        <v>@4_devout</v>
      </c>
      <c r="C19028" t="s">
        <v>9599</v>
      </c>
      <c r="D19028">
        <v>12</v>
      </c>
      <c r="E19028">
        <v>0</v>
      </c>
      <c r="F19028">
        <v>606</v>
      </c>
    </row>
    <row r="19029" spans="1:6" ht="12.75">
      <c r="A19029" s="2">
        <v>43876.704895833333</v>
      </c>
      <c r="B19029" t="str">
        <f>HYPERLINK("https://twitter.com/fakboycoy","@fakboycoy")</f>
        <v>@fakboycoy</v>
      </c>
      <c r="C19029" t="s">
        <v>9600</v>
      </c>
      <c r="D19029">
        <v>0</v>
      </c>
      <c r="E19029">
        <v>0</v>
      </c>
      <c r="F19029">
        <v>33</v>
      </c>
    </row>
    <row r="19030" spans="1:6" ht="12.75">
      <c r="A19030" s="2">
        <v>43876.704826388886</v>
      </c>
      <c r="B19030" t="str">
        <f>HYPERLINK("https://twitter.com/irfanyto","@irfanyto")</f>
        <v>@irfanyto</v>
      </c>
      <c r="C19030" t="s">
        <v>9433</v>
      </c>
      <c r="D19030">
        <v>4</v>
      </c>
      <c r="E19030">
        <v>0</v>
      </c>
      <c r="F19030">
        <v>806</v>
      </c>
    </row>
    <row r="19031" spans="1:6" ht="12.75">
      <c r="A19031" s="2">
        <v>43876.704791666663</v>
      </c>
      <c r="B19031" t="str">
        <f>HYPERLINK("https://twitter.com/budaya_b","@budaya_b")</f>
        <v>@budaya_b</v>
      </c>
      <c r="C19031" t="s">
        <v>9568</v>
      </c>
      <c r="D19031">
        <v>5</v>
      </c>
      <c r="E19031">
        <v>0</v>
      </c>
      <c r="F19031">
        <v>6</v>
      </c>
    </row>
    <row r="19032" spans="1:6" ht="12.75">
      <c r="A19032" s="2">
        <v>43876.704629629632</v>
      </c>
      <c r="B19032" t="str">
        <f>HYPERLINK("https://twitter.com/s_semangka","@s_semangka")</f>
        <v>@s_semangka</v>
      </c>
      <c r="C19032" t="s">
        <v>9601</v>
      </c>
      <c r="D19032">
        <v>0</v>
      </c>
      <c r="E19032">
        <v>0</v>
      </c>
      <c r="F19032">
        <v>25</v>
      </c>
    </row>
    <row r="19033" spans="1:6" ht="12.75">
      <c r="A19033" s="2">
        <v>43876.704594907409</v>
      </c>
      <c r="B19033" t="str">
        <f>HYPERLINK("https://twitter.com/kholismalik","@kholismalik")</f>
        <v>@kholismalik</v>
      </c>
      <c r="C19033" t="s">
        <v>2147</v>
      </c>
      <c r="D19033">
        <v>304</v>
      </c>
      <c r="E19033">
        <v>0</v>
      </c>
      <c r="F19033">
        <v>9095</v>
      </c>
    </row>
    <row r="19034" spans="1:6" ht="12.75">
      <c r="A19034" s="2">
        <v>43876.704525462963</v>
      </c>
      <c r="B19034" t="str">
        <f>HYPERLINK("https://twitter.com/kardusbox08","@kardusbox08")</f>
        <v>@kardusbox08</v>
      </c>
      <c r="C19034" t="s">
        <v>9229</v>
      </c>
      <c r="D19034">
        <v>9</v>
      </c>
      <c r="E19034">
        <v>0</v>
      </c>
      <c r="F19034">
        <v>1231</v>
      </c>
    </row>
    <row r="19035" spans="1:6" ht="12.75">
      <c r="A19035" s="2">
        <v>43876.704467592594</v>
      </c>
      <c r="B19035" t="str">
        <f>HYPERLINK("https://twitter.com/jaerisms","@jaerisms")</f>
        <v>@jaerisms</v>
      </c>
      <c r="C19035" t="s">
        <v>5168</v>
      </c>
      <c r="D19035">
        <v>1578</v>
      </c>
      <c r="E19035">
        <v>0</v>
      </c>
      <c r="F19035">
        <v>403</v>
      </c>
    </row>
    <row r="19036" spans="1:6" ht="12.75">
      <c r="A19036" s="2">
        <v>43876.704328703709</v>
      </c>
      <c r="B19036" t="str">
        <f>HYPERLINK("https://twitter.com/GagakNeww2","@GagakNeww2")</f>
        <v>@GagakNeww2</v>
      </c>
      <c r="C19036" t="s">
        <v>9433</v>
      </c>
      <c r="D19036">
        <v>4</v>
      </c>
      <c r="E19036">
        <v>0</v>
      </c>
      <c r="F19036">
        <v>396</v>
      </c>
    </row>
    <row r="19037" spans="1:6" ht="12.75">
      <c r="A19037" s="2">
        <v>43876.704305555555</v>
      </c>
      <c r="B19037" t="str">
        <f>HYPERLINK("https://twitter.com/DimasyFermana","@DimasyFermana")</f>
        <v>@DimasyFermana</v>
      </c>
      <c r="C19037" t="s">
        <v>9602</v>
      </c>
      <c r="D19037">
        <v>0</v>
      </c>
      <c r="E19037">
        <v>0</v>
      </c>
      <c r="F19037">
        <v>1500</v>
      </c>
    </row>
    <row r="19038" spans="1:6" ht="12.75">
      <c r="A19038" s="2">
        <v>43876.704236111109</v>
      </c>
      <c r="B19038" t="str">
        <f>HYPERLINK("https://twitter.com/hemaviton99","@hemaviton99")</f>
        <v>@hemaviton99</v>
      </c>
      <c r="C19038" t="s">
        <v>9478</v>
      </c>
      <c r="D19038">
        <v>9</v>
      </c>
      <c r="E19038">
        <v>0</v>
      </c>
      <c r="F19038">
        <v>3701</v>
      </c>
    </row>
    <row r="19039" spans="1:6" ht="12.75">
      <c r="A19039" s="2">
        <v>43876.704108796301</v>
      </c>
      <c r="B19039" t="str">
        <f>HYPERLINK("https://twitter.com/GunawanTHENEXT","@GunawanTHENEXT")</f>
        <v>@GunawanTHENEXT</v>
      </c>
      <c r="C19039" t="s">
        <v>8628</v>
      </c>
      <c r="D19039">
        <v>96</v>
      </c>
      <c r="E19039">
        <v>0</v>
      </c>
      <c r="F19039">
        <v>1378</v>
      </c>
    </row>
    <row r="19040" spans="1:6" ht="12.75">
      <c r="A19040" s="2">
        <v>43876.703796296293</v>
      </c>
      <c r="B19040" t="str">
        <f>HYPERLINK("https://twitter.com/BadjaNuswantara","@BadjaNuswantara")</f>
        <v>@BadjaNuswantara</v>
      </c>
      <c r="C19040" t="s">
        <v>9603</v>
      </c>
      <c r="D19040">
        <v>1</v>
      </c>
      <c r="E19040">
        <v>0</v>
      </c>
      <c r="F19040">
        <v>42354</v>
      </c>
    </row>
    <row r="19041" spans="1:6" ht="12.75">
      <c r="A19041" s="2">
        <v>43876.703541666662</v>
      </c>
      <c r="B19041" t="str">
        <f>HYPERLINK("https://twitter.com/clarky0077","@clarky0077")</f>
        <v>@clarky0077</v>
      </c>
      <c r="C19041" t="s">
        <v>3150</v>
      </c>
      <c r="D19041">
        <v>117</v>
      </c>
      <c r="E19041">
        <v>0</v>
      </c>
      <c r="F19041">
        <v>484</v>
      </c>
    </row>
    <row r="19042" spans="1:6" ht="12.75">
      <c r="A19042" s="2">
        <v>43876.703402777777</v>
      </c>
      <c r="B19042" t="str">
        <f>HYPERLINK("https://twitter.com/goserp","@goserp")</f>
        <v>@goserp</v>
      </c>
      <c r="C19042" t="s">
        <v>9604</v>
      </c>
      <c r="D19042">
        <v>0</v>
      </c>
      <c r="E19042">
        <v>0</v>
      </c>
      <c r="F19042">
        <v>852</v>
      </c>
    </row>
    <row r="19043" spans="1:6" ht="12.75">
      <c r="A19043" s="2">
        <v>43876.703344907408</v>
      </c>
      <c r="B19043" t="str">
        <f>HYPERLINK("https://twitter.com/rangermera","@rangermera")</f>
        <v>@rangermera</v>
      </c>
      <c r="C19043" t="s">
        <v>9600</v>
      </c>
      <c r="D19043">
        <v>0</v>
      </c>
      <c r="E19043">
        <v>0</v>
      </c>
      <c r="F19043">
        <v>82</v>
      </c>
    </row>
    <row r="19044" spans="1:6" ht="12.75">
      <c r="A19044" s="2">
        <v>43876.703333333338</v>
      </c>
      <c r="B19044" t="str">
        <f>HYPERLINK("https://twitter.com/kangdin223","@kangdin223")</f>
        <v>@kangdin223</v>
      </c>
      <c r="C19044" t="s">
        <v>8665</v>
      </c>
      <c r="D19044">
        <v>199</v>
      </c>
      <c r="E19044">
        <v>0</v>
      </c>
      <c r="F19044">
        <v>4110</v>
      </c>
    </row>
    <row r="19045" spans="1:6" ht="12.75">
      <c r="A19045" s="2">
        <v>43876.703287037039</v>
      </c>
      <c r="B19045" t="str">
        <f>HYPERLINK("https://twitter.com/spikys666ds","@spikys666ds")</f>
        <v>@spikys666ds</v>
      </c>
      <c r="C19045" t="s">
        <v>9605</v>
      </c>
      <c r="D19045">
        <v>0</v>
      </c>
      <c r="E19045">
        <v>0</v>
      </c>
      <c r="F19045">
        <v>653</v>
      </c>
    </row>
    <row r="19046" spans="1:6" ht="12.75">
      <c r="A19046" s="2">
        <v>43876.703252314815</v>
      </c>
      <c r="B19046" t="str">
        <f>HYPERLINK("https://twitter.com/ryvandy","@ryvandy")</f>
        <v>@ryvandy</v>
      </c>
      <c r="C19046" t="s">
        <v>9606</v>
      </c>
      <c r="D19046">
        <v>0</v>
      </c>
      <c r="E19046">
        <v>0</v>
      </c>
      <c r="F19046">
        <v>330</v>
      </c>
    </row>
    <row r="19047" spans="1:6" ht="12.75">
      <c r="A19047" s="2">
        <v>43876.703078703707</v>
      </c>
      <c r="B19047" t="str">
        <f>HYPERLINK("https://twitter.com/yoojungmu","@yoojungmu")</f>
        <v>@yoojungmu</v>
      </c>
      <c r="C19047" t="s">
        <v>9607</v>
      </c>
      <c r="D19047">
        <v>0</v>
      </c>
      <c r="E19047">
        <v>0</v>
      </c>
      <c r="F19047">
        <v>8646</v>
      </c>
    </row>
    <row r="19048" spans="1:6" ht="12.75">
      <c r="A19048" s="2">
        <v>43876.703032407408</v>
      </c>
      <c r="B19048" t="str">
        <f>HYPERLINK("https://twitter.com/bazzamac1968","@bazzamac1968")</f>
        <v>@bazzamac1968</v>
      </c>
      <c r="C19048" t="s">
        <v>3150</v>
      </c>
      <c r="D19048">
        <v>117</v>
      </c>
      <c r="E19048">
        <v>0</v>
      </c>
      <c r="F19048">
        <v>11326</v>
      </c>
    </row>
    <row r="19049" spans="1:6" ht="12.75">
      <c r="A19049" s="2">
        <v>43876.703032407408</v>
      </c>
      <c r="B19049" t="str">
        <f>HYPERLINK("https://twitter.com/sihaloho79","@sihaloho79")</f>
        <v>@sihaloho79</v>
      </c>
      <c r="C19049" t="s">
        <v>9608</v>
      </c>
      <c r="D19049">
        <v>0</v>
      </c>
      <c r="E19049">
        <v>0</v>
      </c>
      <c r="F19049">
        <v>193</v>
      </c>
    </row>
    <row r="19050" spans="1:6" ht="12.75">
      <c r="A19050" s="2">
        <v>43876.702939814815</v>
      </c>
      <c r="B19050" t="str">
        <f>HYPERLINK("https://twitter.com/Nicedeh2","@Nicedeh2")</f>
        <v>@Nicedeh2</v>
      </c>
      <c r="C19050" t="s">
        <v>5168</v>
      </c>
      <c r="D19050">
        <v>1578</v>
      </c>
      <c r="E19050">
        <v>0</v>
      </c>
      <c r="F19050">
        <v>207</v>
      </c>
    </row>
    <row r="19051" spans="1:6" ht="12.75">
      <c r="A19051" s="2">
        <v>43876.668229166666</v>
      </c>
      <c r="B19051" t="str">
        <f>HYPERLINK("https://twitter.com/Falah_Riedl","@Falah_Riedl")</f>
        <v>@Falah_Riedl</v>
      </c>
      <c r="C19051" t="s">
        <v>2147</v>
      </c>
      <c r="D19051">
        <v>274</v>
      </c>
      <c r="E19051">
        <v>0</v>
      </c>
      <c r="F19051">
        <v>716</v>
      </c>
    </row>
    <row r="19052" spans="1:6" ht="12.75">
      <c r="A19052" s="2">
        <v>43876.668182870373</v>
      </c>
      <c r="B19052" t="str">
        <f>HYPERLINK("https://twitter.com/wantahgdn","@wantahgdn")</f>
        <v>@wantahgdn</v>
      </c>
      <c r="C19052" t="s">
        <v>8897</v>
      </c>
      <c r="D19052">
        <v>11</v>
      </c>
      <c r="E19052">
        <v>0</v>
      </c>
      <c r="F19052">
        <v>2907</v>
      </c>
    </row>
    <row r="19053" spans="1:6" ht="12.75">
      <c r="A19053" s="2">
        <v>43876.668136574073</v>
      </c>
      <c r="B19053" t="str">
        <f>HYPERLINK("https://twitter.com/AndiCaput","@AndiCaput")</f>
        <v>@AndiCaput</v>
      </c>
      <c r="C19053" t="s">
        <v>9609</v>
      </c>
      <c r="D19053">
        <v>1</v>
      </c>
      <c r="E19053">
        <v>0</v>
      </c>
      <c r="F19053">
        <v>21</v>
      </c>
    </row>
    <row r="19054" spans="1:6" ht="12.75">
      <c r="A19054" s="2">
        <v>43876.668090277773</v>
      </c>
      <c r="B19054" t="str">
        <f>HYPERLINK("https://twitter.com/katakinidotcom","@katakinidotcom")</f>
        <v>@katakinidotcom</v>
      </c>
      <c r="C19054" t="s">
        <v>9610</v>
      </c>
      <c r="D19054">
        <v>0</v>
      </c>
      <c r="E19054">
        <v>0</v>
      </c>
      <c r="F19054">
        <v>572</v>
      </c>
    </row>
    <row r="19055" spans="1:6" ht="12.75">
      <c r="A19055" s="2">
        <v>43876.667731481481</v>
      </c>
      <c r="B19055" t="str">
        <f>HYPERLINK("https://twitter.com/VIVAcoid","@VIVAcoid")</f>
        <v>@VIVAcoid</v>
      </c>
      <c r="C19055" t="s">
        <v>9611</v>
      </c>
      <c r="D19055">
        <v>1</v>
      </c>
      <c r="E19055">
        <v>0</v>
      </c>
      <c r="F19055">
        <v>4169446</v>
      </c>
    </row>
    <row r="19056" spans="1:6" ht="12.75">
      <c r="A19056" s="2">
        <v>43876.667685185181</v>
      </c>
      <c r="B19056" t="str">
        <f>HYPERLINK("https://twitter.com/echochuspuri","@echochuspuri")</f>
        <v>@echochuspuri</v>
      </c>
      <c r="C19056" t="s">
        <v>9150</v>
      </c>
      <c r="D19056">
        <v>63</v>
      </c>
      <c r="E19056">
        <v>0</v>
      </c>
      <c r="F19056">
        <v>237</v>
      </c>
    </row>
    <row r="19057" spans="1:6" ht="12.75">
      <c r="A19057" s="2">
        <v>43876.667650462958</v>
      </c>
      <c r="B19057" t="str">
        <f>HYPERLINK("https://twitter.com/umayleo","@umayleo")</f>
        <v>@umayleo</v>
      </c>
      <c r="C19057" t="s">
        <v>9612</v>
      </c>
      <c r="D19057">
        <v>5</v>
      </c>
      <c r="E19057">
        <v>0</v>
      </c>
      <c r="F19057">
        <v>10</v>
      </c>
    </row>
    <row r="19058" spans="1:6" ht="12.75">
      <c r="A19058" s="2">
        <v>43876.667604166665</v>
      </c>
      <c r="B19058" t="str">
        <f>HYPERLINK("https://twitter.com/ridwan_toyyibun","@ridwan_toyyibun")</f>
        <v>@ridwan_toyyibun</v>
      </c>
      <c r="C19058" t="s">
        <v>4845</v>
      </c>
      <c r="D19058">
        <v>7</v>
      </c>
      <c r="E19058">
        <v>0</v>
      </c>
      <c r="F19058">
        <v>18</v>
      </c>
    </row>
    <row r="19059" spans="1:6" ht="12.75">
      <c r="A19059" s="2">
        <v>43876.667534722219</v>
      </c>
      <c r="B19059" t="str">
        <f>HYPERLINK("https://twitter.com/putesss","@putesss")</f>
        <v>@putesss</v>
      </c>
      <c r="C19059" t="s">
        <v>8493</v>
      </c>
      <c r="D19059">
        <v>34</v>
      </c>
      <c r="E19059">
        <v>0</v>
      </c>
      <c r="F19059">
        <v>727</v>
      </c>
    </row>
    <row r="19060" spans="1:6" ht="12.75">
      <c r="A19060" s="2">
        <v>43876.667407407411</v>
      </c>
      <c r="B19060" t="str">
        <f>HYPERLINK("https://twitter.com/vivanewscom","@vivanewscom")</f>
        <v>@vivanewscom</v>
      </c>
      <c r="C19060" t="s">
        <v>9613</v>
      </c>
      <c r="D19060">
        <v>1</v>
      </c>
      <c r="E19060">
        <v>0</v>
      </c>
      <c r="F19060">
        <v>4089</v>
      </c>
    </row>
    <row r="19061" spans="1:6" ht="12.75">
      <c r="A19061" s="2">
        <v>43876.667349537034</v>
      </c>
      <c r="B19061" t="str">
        <f>HYPERLINK("https://twitter.com/Gunadi84380182","@Gunadi84380182")</f>
        <v>@Gunadi84380182</v>
      </c>
      <c r="C19061" t="s">
        <v>9614</v>
      </c>
      <c r="D19061">
        <v>0</v>
      </c>
      <c r="E19061">
        <v>0</v>
      </c>
      <c r="F19061">
        <v>71</v>
      </c>
    </row>
    <row r="19062" spans="1:6" ht="12.75">
      <c r="A19062" s="2">
        <v>43876.66715277778</v>
      </c>
      <c r="B19062" t="str">
        <f>HYPERLINK("https://twitter.com/Sejarawan","@Sejarawan")</f>
        <v>@Sejarawan</v>
      </c>
      <c r="C19062" t="s">
        <v>9150</v>
      </c>
      <c r="D19062">
        <v>63</v>
      </c>
      <c r="E19062">
        <v>0</v>
      </c>
      <c r="F19062">
        <v>266</v>
      </c>
    </row>
    <row r="19063" spans="1:6" ht="12.75">
      <c r="A19063" s="2">
        <v>43876.667013888888</v>
      </c>
      <c r="B19063" t="str">
        <f>HYPERLINK("https://twitter.com/KEZIAAM0UR","@KEZIAAM0UR")</f>
        <v>@KEZIAAM0UR</v>
      </c>
      <c r="C19063" t="s">
        <v>9615</v>
      </c>
      <c r="D19063">
        <v>0</v>
      </c>
      <c r="E19063">
        <v>0</v>
      </c>
      <c r="F19063">
        <v>99</v>
      </c>
    </row>
    <row r="19064" spans="1:6" ht="12.75">
      <c r="A19064" s="2">
        <v>43876.666932870372</v>
      </c>
      <c r="B19064" t="str">
        <f>HYPERLINK("https://twitter.com/RohanaSonita","@RohanaSonita")</f>
        <v>@RohanaSonita</v>
      </c>
      <c r="C19064" t="s">
        <v>3140</v>
      </c>
      <c r="D19064">
        <v>23</v>
      </c>
      <c r="E19064">
        <v>0</v>
      </c>
      <c r="F19064">
        <v>4</v>
      </c>
    </row>
    <row r="19065" spans="1:6" ht="12.75">
      <c r="A19065" s="2">
        <v>43876.666921296295</v>
      </c>
      <c r="B19065" t="str">
        <f>HYPERLINK("https://twitter.com/sundaruu","@sundaruu")</f>
        <v>@sundaruu</v>
      </c>
      <c r="C19065" t="s">
        <v>2147</v>
      </c>
      <c r="D19065">
        <v>274</v>
      </c>
      <c r="E19065">
        <v>0</v>
      </c>
      <c r="F19065">
        <v>93</v>
      </c>
    </row>
    <row r="19066" spans="1:6" ht="12.75">
      <c r="A19066" s="2">
        <v>43876.66684027778</v>
      </c>
      <c r="B19066" t="str">
        <f>HYPERLINK("https://twitter.com/praja_pyan","@praja_pyan")</f>
        <v>@praja_pyan</v>
      </c>
      <c r="C19066" t="s">
        <v>7876</v>
      </c>
      <c r="D19066">
        <v>34</v>
      </c>
      <c r="E19066">
        <v>0</v>
      </c>
      <c r="F19066">
        <v>63</v>
      </c>
    </row>
    <row r="19067" spans="1:6" ht="12.75">
      <c r="A19067" s="2">
        <v>43876.666759259257</v>
      </c>
      <c r="B19067" t="str">
        <f>HYPERLINK("https://twitter.com/okezonenews","@okezonenews")</f>
        <v>@okezonenews</v>
      </c>
      <c r="C19067" t="s">
        <v>9616</v>
      </c>
      <c r="D19067">
        <v>0</v>
      </c>
      <c r="E19067">
        <v>1</v>
      </c>
      <c r="F19067">
        <v>1743832</v>
      </c>
    </row>
    <row r="19068" spans="1:6" ht="12.75">
      <c r="A19068" s="2">
        <v>43876.666712962964</v>
      </c>
      <c r="B19068" t="str">
        <f>HYPERLINK("https://twitter.com/forddyce92","@forddyce92")</f>
        <v>@forddyce92</v>
      </c>
      <c r="C19068" t="s">
        <v>9617</v>
      </c>
      <c r="D19068">
        <v>0</v>
      </c>
      <c r="E19068">
        <v>0</v>
      </c>
      <c r="F19068">
        <v>24</v>
      </c>
    </row>
    <row r="19069" spans="1:6" ht="12.75">
      <c r="A19069" s="2">
        <v>43876.666689814811</v>
      </c>
      <c r="B19069" t="str">
        <f>HYPERLINK("https://twitter.com/alineadotid","@alineadotid")</f>
        <v>@alineadotid</v>
      </c>
      <c r="C19069" t="s">
        <v>9618</v>
      </c>
      <c r="D19069">
        <v>0</v>
      </c>
      <c r="E19069">
        <v>1</v>
      </c>
      <c r="F19069">
        <v>612005</v>
      </c>
    </row>
    <row r="19070" spans="1:6" ht="12.75">
      <c r="A19070" s="2">
        <v>43876.666631944448</v>
      </c>
      <c r="B19070" t="str">
        <f>HYPERLINK("https://twitter.com/widyahermanto","@widyahermanto")</f>
        <v>@widyahermanto</v>
      </c>
      <c r="C19070" t="s">
        <v>9619</v>
      </c>
      <c r="D19070">
        <v>1</v>
      </c>
      <c r="E19070">
        <v>0</v>
      </c>
      <c r="F19070">
        <v>876</v>
      </c>
    </row>
    <row r="19071" spans="1:6" ht="12.75">
      <c r="A19071" s="2">
        <v>43876.666574074072</v>
      </c>
      <c r="B19071" t="str">
        <f>HYPERLINK("https://twitter.com/tephenc","@tephenc")</f>
        <v>@tephenc</v>
      </c>
      <c r="C19071" t="s">
        <v>9512</v>
      </c>
      <c r="D19071">
        <v>1</v>
      </c>
      <c r="E19071">
        <v>0</v>
      </c>
      <c r="F19071">
        <v>169</v>
      </c>
    </row>
    <row r="19072" spans="1:6" ht="12.75">
      <c r="A19072" s="2">
        <v>43876.666342592594</v>
      </c>
      <c r="B19072" t="str">
        <f>HYPERLINK("https://twitter.com/iqmal_muttaqin","@iqmal_muttaqin")</f>
        <v>@iqmal_muttaqin</v>
      </c>
      <c r="C19072" t="s">
        <v>9150</v>
      </c>
      <c r="D19072">
        <v>63</v>
      </c>
      <c r="E19072">
        <v>0</v>
      </c>
      <c r="F19072">
        <v>440</v>
      </c>
    </row>
    <row r="19073" spans="1:6" ht="12.75">
      <c r="A19073" s="2">
        <v>43876.666307870371</v>
      </c>
      <c r="B19073" t="str">
        <f>HYPERLINK("https://twitter.com/xpoongism","@xpoongism")</f>
        <v>@xpoongism</v>
      </c>
      <c r="C19073" t="s">
        <v>5168</v>
      </c>
      <c r="D19073">
        <v>1556</v>
      </c>
      <c r="E19073">
        <v>0</v>
      </c>
      <c r="F19073">
        <v>36</v>
      </c>
    </row>
    <row r="19074" spans="1:6" ht="12.75">
      <c r="A19074" s="2">
        <v>43876.666296296295</v>
      </c>
      <c r="B19074" t="str">
        <f>HYPERLINK("https://twitter.com/LegiminYahya","@LegiminYahya")</f>
        <v>@LegiminYahya</v>
      </c>
      <c r="C19074" t="s">
        <v>6201</v>
      </c>
      <c r="D19074">
        <v>505</v>
      </c>
      <c r="E19074">
        <v>0</v>
      </c>
      <c r="F19074">
        <v>269</v>
      </c>
    </row>
    <row r="19075" spans="1:6" ht="12.75">
      <c r="A19075" s="2">
        <v>43876.666192129633</v>
      </c>
      <c r="B19075" t="str">
        <f>HYPERLINK("https://twitter.com/johhhnygudhel","@johhhnygudhel")</f>
        <v>@johhhnygudhel</v>
      </c>
      <c r="C19075" t="s">
        <v>8897</v>
      </c>
      <c r="D19075">
        <v>11</v>
      </c>
      <c r="E19075">
        <v>0</v>
      </c>
      <c r="F19075">
        <v>2448</v>
      </c>
    </row>
    <row r="19076" spans="1:6" ht="12.75">
      <c r="A19076" s="2">
        <v>43876.666006944448</v>
      </c>
      <c r="B19076" t="str">
        <f>HYPERLINK("https://twitter.com/andretriana14","@andretriana14")</f>
        <v>@andretriana14</v>
      </c>
      <c r="C19076" t="s">
        <v>9260</v>
      </c>
      <c r="D19076">
        <v>15</v>
      </c>
      <c r="E19076">
        <v>0</v>
      </c>
      <c r="F19076">
        <v>148</v>
      </c>
    </row>
    <row r="19077" spans="1:6" ht="12.75">
      <c r="A19077" s="2">
        <v>43876.666006944448</v>
      </c>
      <c r="B19077" t="str">
        <f>HYPERLINK("https://twitter.com/jokopro57","@jokopro57")</f>
        <v>@jokopro57</v>
      </c>
      <c r="C19077" t="s">
        <v>9620</v>
      </c>
      <c r="D19077">
        <v>0</v>
      </c>
      <c r="E19077">
        <v>0</v>
      </c>
      <c r="F19077">
        <v>20</v>
      </c>
    </row>
    <row r="19078" spans="1:6" ht="12.75">
      <c r="A19078" s="2">
        <v>43876.665995370371</v>
      </c>
      <c r="B19078" t="str">
        <f>HYPERLINK("https://twitter.com/ZONAPASAR","@ZONAPASAR")</f>
        <v>@ZONAPASAR</v>
      </c>
      <c r="C19078" t="s">
        <v>9621</v>
      </c>
      <c r="D19078">
        <v>0</v>
      </c>
      <c r="E19078">
        <v>0</v>
      </c>
      <c r="F19078">
        <v>104</v>
      </c>
    </row>
    <row r="19079" spans="1:6" ht="12.75">
      <c r="A19079" s="2">
        <v>43876.665937500002</v>
      </c>
      <c r="B19079" t="str">
        <f>HYPERLINK("https://twitter.com/dorktorr","@dorktorr")</f>
        <v>@dorktorr</v>
      </c>
      <c r="C19079" t="s">
        <v>9622</v>
      </c>
      <c r="D19079">
        <v>0</v>
      </c>
      <c r="E19079">
        <v>0</v>
      </c>
      <c r="F19079">
        <v>394</v>
      </c>
    </row>
    <row r="19080" spans="1:6" ht="12.75">
      <c r="A19080" s="2">
        <v>43876.665914351848</v>
      </c>
      <c r="B19080" t="str">
        <f>HYPERLINK("https://twitter.com/melkyoktav","@melkyoktav")</f>
        <v>@melkyoktav</v>
      </c>
      <c r="C19080" t="s">
        <v>9623</v>
      </c>
      <c r="D19080">
        <v>0</v>
      </c>
      <c r="E19080">
        <v>0</v>
      </c>
      <c r="F19080">
        <v>25</v>
      </c>
    </row>
    <row r="19081" spans="1:6" ht="12.75">
      <c r="A19081" s="2">
        <v>43876.665590277778</v>
      </c>
      <c r="B19081" t="str">
        <f>HYPERLINK("https://twitter.com/nandafadyla_","@nandafadyla_")</f>
        <v>@nandafadyla_</v>
      </c>
      <c r="C19081" t="s">
        <v>9624</v>
      </c>
      <c r="D19081">
        <v>0</v>
      </c>
      <c r="E19081">
        <v>0</v>
      </c>
      <c r="F19081">
        <v>39</v>
      </c>
    </row>
    <row r="19082" spans="1:6" ht="12.75">
      <c r="A19082" s="2">
        <v>43876.665578703702</v>
      </c>
      <c r="B19082" t="str">
        <f>HYPERLINK("https://twitter.com/BadjaNuswantara","@BadjaNuswantara")</f>
        <v>@BadjaNuswantara</v>
      </c>
      <c r="C19082" t="s">
        <v>8665</v>
      </c>
      <c r="D19082">
        <v>181</v>
      </c>
      <c r="E19082">
        <v>0</v>
      </c>
      <c r="F19082">
        <v>42352</v>
      </c>
    </row>
    <row r="19083" spans="1:6" ht="12.75">
      <c r="A19083" s="2">
        <v>43876.665497685186</v>
      </c>
      <c r="B19083" t="str">
        <f>HYPERLINK("https://twitter.com/kulitayamemsidi","@kulitayamemsidi")</f>
        <v>@kulitayamemsidi</v>
      </c>
      <c r="C19083" t="s">
        <v>2444</v>
      </c>
      <c r="D19083">
        <v>4267</v>
      </c>
      <c r="E19083">
        <v>0</v>
      </c>
      <c r="F19083">
        <v>704</v>
      </c>
    </row>
    <row r="19084" spans="1:6" ht="12.75">
      <c r="A19084" s="2">
        <v>43876.665358796294</v>
      </c>
      <c r="B19084" t="str">
        <f>HYPERLINK("https://twitter.com/bandgchan","@bandgchan")</f>
        <v>@bandgchan</v>
      </c>
      <c r="C19084" t="s">
        <v>2444</v>
      </c>
      <c r="D19084">
        <v>4267</v>
      </c>
      <c r="E19084">
        <v>0</v>
      </c>
      <c r="F19084">
        <v>482</v>
      </c>
    </row>
    <row r="19085" spans="1:6" ht="12.75">
      <c r="A19085" s="2">
        <v>43876.665289351848</v>
      </c>
      <c r="B19085" t="str">
        <f>HYPERLINK("https://twitter.com/Baktinegeri01","@Baktinegeri01")</f>
        <v>@Baktinegeri01</v>
      </c>
      <c r="C19085" t="s">
        <v>8665</v>
      </c>
      <c r="D19085">
        <v>181</v>
      </c>
      <c r="E19085">
        <v>0</v>
      </c>
      <c r="F19085">
        <v>809</v>
      </c>
    </row>
    <row r="19086" spans="1:6" ht="12.75">
      <c r="A19086" s="2">
        <v>43876.665138888886</v>
      </c>
      <c r="B19086" t="str">
        <f>HYPERLINK("https://twitter.com/AswinJohan","@AswinJohan")</f>
        <v>@AswinJohan</v>
      </c>
      <c r="C19086" t="s">
        <v>8349</v>
      </c>
      <c r="D19086">
        <v>19</v>
      </c>
      <c r="E19086">
        <v>0</v>
      </c>
      <c r="F19086">
        <v>38</v>
      </c>
    </row>
    <row r="19087" spans="1:6" ht="12.75">
      <c r="A19087" s="2">
        <v>43876.664861111116</v>
      </c>
      <c r="B19087" t="str">
        <f>HYPERLINK("https://twitter.com/ileanfs","@ileanfs")</f>
        <v>@ileanfs</v>
      </c>
      <c r="C19087" t="s">
        <v>2444</v>
      </c>
      <c r="D19087">
        <v>4267</v>
      </c>
      <c r="E19087">
        <v>0</v>
      </c>
      <c r="F19087">
        <v>663</v>
      </c>
    </row>
    <row r="19088" spans="1:6" ht="12.75">
      <c r="A19088" s="2">
        <v>43876.664780092593</v>
      </c>
      <c r="B19088" t="str">
        <f>HYPERLINK("https://twitter.com/netizenmu","@netizenmu")</f>
        <v>@netizenmu</v>
      </c>
      <c r="C19088" t="s">
        <v>9625</v>
      </c>
      <c r="D19088">
        <v>0</v>
      </c>
      <c r="E19088">
        <v>0</v>
      </c>
      <c r="F19088">
        <v>231</v>
      </c>
    </row>
    <row r="19089" spans="1:6" ht="12.75">
      <c r="A19089" s="2">
        <v>43876.664733796293</v>
      </c>
      <c r="B19089" t="str">
        <f>HYPERLINK("https://twitter.com/febyaas","@febyaas")</f>
        <v>@febyaas</v>
      </c>
      <c r="C19089" t="s">
        <v>2147</v>
      </c>
      <c r="D19089">
        <v>274</v>
      </c>
      <c r="E19089">
        <v>0</v>
      </c>
      <c r="F19089">
        <v>2400</v>
      </c>
    </row>
    <row r="19090" spans="1:6" ht="12.75">
      <c r="A19090" s="2">
        <v>43876.664710648147</v>
      </c>
      <c r="B19090" t="str">
        <f>HYPERLINK("https://twitter.com/govindelia","@govindelia")</f>
        <v>@govindelia</v>
      </c>
      <c r="C19090" t="s">
        <v>5168</v>
      </c>
      <c r="D19090">
        <v>1556</v>
      </c>
      <c r="E19090">
        <v>0</v>
      </c>
      <c r="F19090">
        <v>65</v>
      </c>
    </row>
    <row r="19091" spans="1:6" ht="12.75">
      <c r="A19091" s="2">
        <v>43876.664687500001</v>
      </c>
      <c r="B19091" t="str">
        <f>HYPERLINK("https://twitter.com/1403Disty","@1403Disty")</f>
        <v>@1403Disty</v>
      </c>
      <c r="C19091" t="s">
        <v>175</v>
      </c>
      <c r="D19091">
        <v>5336</v>
      </c>
      <c r="E19091">
        <v>0</v>
      </c>
      <c r="F19091">
        <v>2</v>
      </c>
    </row>
    <row r="19092" spans="1:6" ht="12.75">
      <c r="A19092" s="2">
        <v>43876.664456018523</v>
      </c>
      <c r="B19092" t="str">
        <f>HYPERLINK("https://twitter.com/AnthonySiddons","@AnthonySiddons")</f>
        <v>@AnthonySiddons</v>
      </c>
      <c r="C19092" t="s">
        <v>3150</v>
      </c>
      <c r="D19092">
        <v>100</v>
      </c>
      <c r="E19092">
        <v>0</v>
      </c>
      <c r="F19092">
        <v>822</v>
      </c>
    </row>
    <row r="19093" spans="1:6" ht="12.75">
      <c r="A19093" s="2">
        <v>43876.664444444439</v>
      </c>
      <c r="B19093" t="str">
        <f>HYPERLINK("https://twitter.com/butocakil17","@butocakil17")</f>
        <v>@butocakil17</v>
      </c>
      <c r="C19093" t="s">
        <v>9423</v>
      </c>
      <c r="D19093">
        <v>1</v>
      </c>
      <c r="E19093">
        <v>0</v>
      </c>
      <c r="F19093">
        <v>47</v>
      </c>
    </row>
    <row r="19094" spans="1:6" ht="12.75">
      <c r="A19094" s="2">
        <v>43876.664409722223</v>
      </c>
      <c r="B19094" t="str">
        <f>HYPERLINK("https://twitter.com/Kecebon06563249","@Kecebon06563249")</f>
        <v>@Kecebon06563249</v>
      </c>
      <c r="C19094" t="s">
        <v>8628</v>
      </c>
      <c r="D19094">
        <v>90</v>
      </c>
      <c r="E19094">
        <v>0</v>
      </c>
      <c r="F19094">
        <v>3895</v>
      </c>
    </row>
    <row r="19095" spans="1:6" ht="12.75">
      <c r="A19095" s="2">
        <v>43876.664375</v>
      </c>
      <c r="B19095" t="str">
        <f>HYPERLINK("https://twitter.com/krilinbiadap","@krilinbiadap")</f>
        <v>@krilinbiadap</v>
      </c>
      <c r="C19095" t="s">
        <v>9626</v>
      </c>
      <c r="D19095">
        <v>0</v>
      </c>
      <c r="E19095">
        <v>0</v>
      </c>
      <c r="F19095">
        <v>8</v>
      </c>
    </row>
    <row r="19096" spans="1:6" ht="12.75">
      <c r="A19096" s="2">
        <v>43876.664351851854</v>
      </c>
      <c r="B19096" t="str">
        <f>HYPERLINK("https://twitter.com/republikaonline","@republikaonline")</f>
        <v>@republikaonline</v>
      </c>
      <c r="C19096" t="s">
        <v>9627</v>
      </c>
      <c r="D19096">
        <v>0</v>
      </c>
      <c r="E19096">
        <v>2</v>
      </c>
      <c r="F19096">
        <v>1210472</v>
      </c>
    </row>
    <row r="19097" spans="1:6" ht="12.75">
      <c r="A19097" s="2">
        <v>43876.664282407408</v>
      </c>
      <c r="B19097" t="str">
        <f>HYPERLINK("https://twitter.com/mimiweeka","@mimiweeka")</f>
        <v>@mimiweeka</v>
      </c>
      <c r="C19097" t="s">
        <v>9628</v>
      </c>
      <c r="D19097">
        <v>1</v>
      </c>
      <c r="E19097">
        <v>0</v>
      </c>
      <c r="F19097">
        <v>452</v>
      </c>
    </row>
    <row r="19098" spans="1:6" ht="12.75">
      <c r="A19098" s="2">
        <v>43876.664201388892</v>
      </c>
      <c r="B19098" t="str">
        <f>HYPERLINK("https://twitter.com/Gunadi84380182","@Gunadi84380182")</f>
        <v>@Gunadi84380182</v>
      </c>
      <c r="C19098" t="s">
        <v>9629</v>
      </c>
      <c r="D19098">
        <v>9</v>
      </c>
      <c r="E19098">
        <v>0</v>
      </c>
      <c r="F19098">
        <v>71</v>
      </c>
    </row>
    <row r="19099" spans="1:6" ht="12.75">
      <c r="A19099" s="2">
        <v>43876.664131944446</v>
      </c>
      <c r="B19099" t="str">
        <f>HYPERLINK("https://twitter.com/denie_rahmawati","@denie_rahmawati")</f>
        <v>@denie_rahmawati</v>
      </c>
      <c r="C19099" t="s">
        <v>9630</v>
      </c>
      <c r="D19099">
        <v>0</v>
      </c>
      <c r="E19099">
        <v>0</v>
      </c>
      <c r="F19099">
        <v>128</v>
      </c>
    </row>
    <row r="19100" spans="1:6" ht="12.75">
      <c r="A19100" s="2">
        <v>43876.664097222223</v>
      </c>
      <c r="B19100" t="str">
        <f>HYPERLINK("https://twitter.com/Gunadi84380182","@Gunadi84380182")</f>
        <v>@Gunadi84380182</v>
      </c>
      <c r="C19100" t="s">
        <v>9631</v>
      </c>
      <c r="D19100">
        <v>3</v>
      </c>
      <c r="E19100">
        <v>0</v>
      </c>
      <c r="F19100">
        <v>71</v>
      </c>
    </row>
    <row r="19101" spans="1:6" ht="12.75">
      <c r="A19101" s="2">
        <v>43876.663877314815</v>
      </c>
      <c r="B19101" t="str">
        <f>HYPERLINK("https://twitter.com/idntimes","@idntimes")</f>
        <v>@idntimes</v>
      </c>
      <c r="C19101" t="s">
        <v>9632</v>
      </c>
      <c r="D19101">
        <v>0</v>
      </c>
      <c r="E19101">
        <v>1</v>
      </c>
      <c r="F19101">
        <v>392709</v>
      </c>
    </row>
    <row r="19102" spans="1:6" ht="12.75">
      <c r="A19102" s="2">
        <v>43876.663854166662</v>
      </c>
      <c r="B19102" t="str">
        <f>HYPERLINK("https://twitter.com/johhhnygudhel","@johhhnygudhel")</f>
        <v>@johhhnygudhel</v>
      </c>
      <c r="C19102" t="s">
        <v>9633</v>
      </c>
      <c r="D19102">
        <v>1</v>
      </c>
      <c r="E19102">
        <v>0</v>
      </c>
      <c r="F19102">
        <v>2448</v>
      </c>
    </row>
    <row r="19103" spans="1:6" ht="12.75">
      <c r="A19103" s="2">
        <v>43876.663842592592</v>
      </c>
      <c r="B19103" t="str">
        <f>HYPERLINK("https://twitter.com/divinelilacsky","@divinelilacsky")</f>
        <v>@divinelilacsky</v>
      </c>
      <c r="C19103" t="s">
        <v>5168</v>
      </c>
      <c r="D19103">
        <v>1556</v>
      </c>
      <c r="E19103">
        <v>0</v>
      </c>
      <c r="F19103">
        <v>779</v>
      </c>
    </row>
    <row r="19104" spans="1:6" ht="12.75">
      <c r="A19104" s="2">
        <v>43876.663831018523</v>
      </c>
      <c r="B19104" t="str">
        <f>HYPERLINK("https://twitter.com/Melan_tika","@Melan_tika")</f>
        <v>@Melan_tika</v>
      </c>
      <c r="C19104" t="s">
        <v>8739</v>
      </c>
      <c r="D19104">
        <v>3</v>
      </c>
      <c r="E19104">
        <v>0</v>
      </c>
      <c r="F19104">
        <v>884</v>
      </c>
    </row>
    <row r="19105" spans="1:6" ht="12.75">
      <c r="A19105" s="2">
        <v>43876.663726851853</v>
      </c>
      <c r="B19105" t="str">
        <f>HYPERLINK("https://twitter.com/minionkemem","@minionkemem")</f>
        <v>@minionkemem</v>
      </c>
      <c r="C19105" t="s">
        <v>9626</v>
      </c>
      <c r="D19105">
        <v>0</v>
      </c>
      <c r="E19105">
        <v>1</v>
      </c>
      <c r="F19105">
        <v>13</v>
      </c>
    </row>
    <row r="19106" spans="1:6" ht="12.75">
      <c r="A19106" s="2">
        <v>43876.663587962961</v>
      </c>
      <c r="B19106" t="str">
        <f>HYPERLINK("https://twitter.com/KompasTV","@KompasTV")</f>
        <v>@KompasTV</v>
      </c>
      <c r="C19106" t="s">
        <v>9634</v>
      </c>
      <c r="D19106">
        <v>1</v>
      </c>
      <c r="E19106">
        <v>2</v>
      </c>
      <c r="F19106">
        <v>2941682</v>
      </c>
    </row>
    <row r="19107" spans="1:6" ht="12.75">
      <c r="A19107" s="2">
        <v>43876.663576388892</v>
      </c>
      <c r="B19107" t="str">
        <f>HYPERLINK("https://twitter.com/merdekadotcom","@merdekadotcom")</f>
        <v>@merdekadotcom</v>
      </c>
      <c r="C19107" t="s">
        <v>9635</v>
      </c>
      <c r="D19107">
        <v>0</v>
      </c>
      <c r="E19107">
        <v>0</v>
      </c>
      <c r="F19107">
        <v>230485</v>
      </c>
    </row>
    <row r="19108" spans="1:6" ht="12.75">
      <c r="A19108" s="2">
        <v>43876.663506944446</v>
      </c>
      <c r="B19108" t="str">
        <f>HYPERLINK("https://twitter.com/Dhany019","@Dhany019")</f>
        <v>@Dhany019</v>
      </c>
      <c r="C19108" t="s">
        <v>9636</v>
      </c>
      <c r="D19108">
        <v>0</v>
      </c>
      <c r="E19108">
        <v>0</v>
      </c>
      <c r="F19108">
        <v>21</v>
      </c>
    </row>
    <row r="19109" spans="1:6" ht="12.75">
      <c r="A19109" s="2">
        <v>43876.663506944446</v>
      </c>
      <c r="B19109" t="str">
        <f>HYPERLINK("https://twitter.com/awansan26_","@awansan26_")</f>
        <v>@awansan26_</v>
      </c>
      <c r="C19109" t="s">
        <v>9637</v>
      </c>
      <c r="D19109">
        <v>0</v>
      </c>
      <c r="E19109">
        <v>0</v>
      </c>
      <c r="F19109">
        <v>605</v>
      </c>
    </row>
    <row r="19110" spans="1:6" ht="12.75">
      <c r="A19110" s="2">
        <v>43876.66342592593</v>
      </c>
      <c r="B19110" t="str">
        <f>HYPERLINK("https://twitter.com/medcom_id","@medcom_id")</f>
        <v>@medcom_id</v>
      </c>
      <c r="C19110" t="s">
        <v>9638</v>
      </c>
      <c r="D19110">
        <v>0</v>
      </c>
      <c r="E19110">
        <v>0</v>
      </c>
      <c r="F19110">
        <v>18116</v>
      </c>
    </row>
    <row r="19111" spans="1:6" ht="12.75">
      <c r="A19111" s="2">
        <v>43876.66342592593</v>
      </c>
      <c r="B19111" t="str">
        <f>HYPERLINK("https://twitter.com/idpenamini","@idpenamini")</f>
        <v>@idpenamini</v>
      </c>
      <c r="C19111" t="s">
        <v>9639</v>
      </c>
      <c r="D19111">
        <v>0</v>
      </c>
      <c r="E19111">
        <v>0</v>
      </c>
      <c r="F19111">
        <v>168</v>
      </c>
    </row>
    <row r="19112" spans="1:6" ht="12.75">
      <c r="A19112" s="2">
        <v>43876.663321759261</v>
      </c>
      <c r="B19112" t="str">
        <f>HYPERLINK("https://twitter.com/hendri92189000","@hendri92189000")</f>
        <v>@hendri92189000</v>
      </c>
      <c r="C19112" t="s">
        <v>9640</v>
      </c>
      <c r="D19112">
        <v>0</v>
      </c>
      <c r="E19112">
        <v>0</v>
      </c>
      <c r="F19112">
        <v>3411</v>
      </c>
    </row>
    <row r="19113" spans="1:6" ht="12.75">
      <c r="A19113" s="2">
        <v>43876.663310185184</v>
      </c>
      <c r="B19113" t="str">
        <f>HYPERLINK("https://twitter.com/Indonesianews15","@Indonesianews15")</f>
        <v>@Indonesianews15</v>
      </c>
      <c r="C19113" t="s">
        <v>9641</v>
      </c>
      <c r="D19113">
        <v>0</v>
      </c>
      <c r="E19113">
        <v>2</v>
      </c>
      <c r="F19113">
        <v>12302</v>
      </c>
    </row>
    <row r="19114" spans="1:6" ht="12.75">
      <c r="A19114" s="2">
        <v>43876.663310185184</v>
      </c>
      <c r="B19114" t="str">
        <f>HYPERLINK("https://twitter.com/dzulkarnains","@dzulkarnains")</f>
        <v>@dzulkarnains</v>
      </c>
      <c r="C19114" t="s">
        <v>2147</v>
      </c>
      <c r="D19114">
        <v>274</v>
      </c>
      <c r="E19114">
        <v>0</v>
      </c>
      <c r="F19114">
        <v>876</v>
      </c>
    </row>
    <row r="19115" spans="1:6" ht="12.75">
      <c r="A19115" s="2">
        <v>43876.663275462968</v>
      </c>
      <c r="B19115" t="str">
        <f>HYPERLINK("https://twitter.com/okezonenews","@okezonenews")</f>
        <v>@okezonenews</v>
      </c>
      <c r="C19115" t="s">
        <v>9642</v>
      </c>
      <c r="D19115">
        <v>0</v>
      </c>
      <c r="E19115">
        <v>3</v>
      </c>
      <c r="F19115">
        <v>1743832</v>
      </c>
    </row>
    <row r="19116" spans="1:6" ht="12.75">
      <c r="A19116" s="2">
        <v>43876.663263888884</v>
      </c>
      <c r="B19116" t="str">
        <f>HYPERLINK("https://twitter.com/forddyce92","@forddyce92")</f>
        <v>@forddyce92</v>
      </c>
      <c r="C19116" t="s">
        <v>9643</v>
      </c>
      <c r="D19116">
        <v>0</v>
      </c>
      <c r="E19116">
        <v>1</v>
      </c>
      <c r="F19116">
        <v>24</v>
      </c>
    </row>
    <row r="19117" spans="1:6" ht="12.75">
      <c r="A19117" s="2">
        <v>43876.662986111114</v>
      </c>
      <c r="B19117" t="str">
        <f>HYPERLINK("https://twitter.com/SisiLusipara2","@SisiLusipara2")</f>
        <v>@SisiLusipara2</v>
      </c>
      <c r="C19117" t="s">
        <v>9150</v>
      </c>
      <c r="D19117">
        <v>63</v>
      </c>
      <c r="E19117">
        <v>0</v>
      </c>
      <c r="F19117">
        <v>2361</v>
      </c>
    </row>
    <row r="19118" spans="1:6" ht="12.75">
      <c r="A19118" s="2">
        <v>43876.662986111114</v>
      </c>
      <c r="B19118" t="str">
        <f>HYPERLINK("https://twitter.com/MeimeiId","@MeimeiId")</f>
        <v>@MeimeiId</v>
      </c>
      <c r="C19118" t="s">
        <v>9626</v>
      </c>
      <c r="D19118">
        <v>0</v>
      </c>
      <c r="E19118">
        <v>1</v>
      </c>
      <c r="F19118">
        <v>11</v>
      </c>
    </row>
    <row r="19119" spans="1:6" ht="12.75">
      <c r="A19119" s="2">
        <v>43876.662986111114</v>
      </c>
      <c r="B19119" t="str">
        <f>HYPERLINK("https://twitter.com/subisaja","@subisaja")</f>
        <v>@subisaja</v>
      </c>
      <c r="C19119" t="s">
        <v>9644</v>
      </c>
      <c r="D19119">
        <v>2</v>
      </c>
      <c r="E19119">
        <v>0</v>
      </c>
      <c r="F19119">
        <v>762</v>
      </c>
    </row>
    <row r="19120" spans="1:6" ht="12.75">
      <c r="A19120" s="2">
        <v>43876.662962962961</v>
      </c>
      <c r="B19120" t="str">
        <f>HYPERLINK("https://twitter.com/P4ND3_R4j415","@P4ND3_R4j415")</f>
        <v>@P4ND3_R4j415</v>
      </c>
      <c r="C19120" t="s">
        <v>4294</v>
      </c>
      <c r="D19120">
        <v>40</v>
      </c>
      <c r="E19120">
        <v>0</v>
      </c>
      <c r="F19120">
        <v>5267</v>
      </c>
    </row>
    <row r="19121" spans="1:6" ht="12.75">
      <c r="A19121" s="2">
        <v>43876.662905092591</v>
      </c>
      <c r="B19121" t="str">
        <f>HYPERLINK("https://twitter.com/subisaja","@subisaja")</f>
        <v>@subisaja</v>
      </c>
      <c r="C19121" t="s">
        <v>9645</v>
      </c>
      <c r="D19121">
        <v>1</v>
      </c>
      <c r="E19121">
        <v>0</v>
      </c>
      <c r="F19121">
        <v>762</v>
      </c>
    </row>
    <row r="19122" spans="1:6" ht="12.75">
      <c r="A19122" s="2">
        <v>43876.662893518514</v>
      </c>
      <c r="B19122" t="str">
        <f>HYPERLINK("https://twitter.com/JemuneG","@JemuneG")</f>
        <v>@JemuneG</v>
      </c>
      <c r="C19122" t="s">
        <v>9646</v>
      </c>
      <c r="D19122">
        <v>8</v>
      </c>
      <c r="E19122">
        <v>0</v>
      </c>
      <c r="F19122">
        <v>1132</v>
      </c>
    </row>
    <row r="19123" spans="1:6" ht="12.75">
      <c r="A19123" s="2">
        <v>43876.662858796291</v>
      </c>
      <c r="B19123" t="str">
        <f>HYPERLINK("https://twitter.com/prytnma","@prytnma")</f>
        <v>@prytnma</v>
      </c>
      <c r="C19123" t="s">
        <v>8665</v>
      </c>
      <c r="D19123">
        <v>181</v>
      </c>
      <c r="E19123">
        <v>0</v>
      </c>
      <c r="F19123">
        <v>410</v>
      </c>
    </row>
    <row r="19124" spans="1:6" ht="12.75">
      <c r="A19124" s="2">
        <v>43876.662847222222</v>
      </c>
      <c r="B19124" t="str">
        <f>HYPERLINK("https://twitter.com/KJRI_Guangzhou","@KJRI_Guangzhou")</f>
        <v>@KJRI_Guangzhou</v>
      </c>
      <c r="C19124" t="s">
        <v>9647</v>
      </c>
      <c r="D19124">
        <v>0</v>
      </c>
      <c r="E19124">
        <v>0</v>
      </c>
      <c r="F19124">
        <v>634</v>
      </c>
    </row>
    <row r="19125" spans="1:6" ht="12.75">
      <c r="A19125" s="2">
        <v>43876.662812499999</v>
      </c>
      <c r="B19125" t="str">
        <f>HYPERLINK("https://twitter.com/subisaja","@subisaja")</f>
        <v>@subisaja</v>
      </c>
      <c r="C19125" t="s">
        <v>9648</v>
      </c>
      <c r="D19125">
        <v>7</v>
      </c>
      <c r="E19125">
        <v>0</v>
      </c>
      <c r="F19125">
        <v>762</v>
      </c>
    </row>
    <row r="19126" spans="1:6" ht="12.75">
      <c r="A19126" s="2">
        <v>43876.662488425922</v>
      </c>
      <c r="B19126" t="str">
        <f>HYPERLINK("https://twitter.com/Gus_Raharjo","@Gus_Raharjo")</f>
        <v>@Gus_Raharjo</v>
      </c>
      <c r="C19126" t="s">
        <v>8897</v>
      </c>
      <c r="D19126">
        <v>11</v>
      </c>
      <c r="E19126">
        <v>0</v>
      </c>
      <c r="F19126">
        <v>65076</v>
      </c>
    </row>
    <row r="19127" spans="1:6" ht="12.75">
      <c r="A19127" s="2">
        <v>43876.662442129629</v>
      </c>
      <c r="B19127" t="str">
        <f>HYPERLINK("https://twitter.com/YohanesMariono","@YohanesMariono")</f>
        <v>@YohanesMariono</v>
      </c>
      <c r="C19127" t="s">
        <v>2147</v>
      </c>
      <c r="D19127">
        <v>274</v>
      </c>
      <c r="E19127">
        <v>0</v>
      </c>
      <c r="F19127">
        <v>931</v>
      </c>
    </row>
    <row r="19128" spans="1:6" ht="12.75">
      <c r="A19128" s="2">
        <v>43876.662395833337</v>
      </c>
      <c r="B19128" t="str">
        <f>HYPERLINK("https://twitter.com/darmintan","@darmintan")</f>
        <v>@darmintan</v>
      </c>
      <c r="C19128" t="s">
        <v>8203</v>
      </c>
      <c r="D19128">
        <v>32</v>
      </c>
      <c r="E19128">
        <v>0</v>
      </c>
      <c r="F19128">
        <v>29</v>
      </c>
    </row>
    <row r="19129" spans="1:6" ht="12.75">
      <c r="A19129" s="2">
        <v>43876.662222222221</v>
      </c>
      <c r="B19129" t="str">
        <f>HYPERLINK("https://twitter.com/trickymindful","@trickymindful")</f>
        <v>@trickymindful</v>
      </c>
      <c r="C19129" t="s">
        <v>8328</v>
      </c>
      <c r="D19129">
        <v>68</v>
      </c>
      <c r="E19129">
        <v>0</v>
      </c>
      <c r="F19129">
        <v>800</v>
      </c>
    </row>
    <row r="19130" spans="1:6" ht="12.75">
      <c r="A19130" s="2">
        <v>43876.662187499998</v>
      </c>
      <c r="B19130" t="str">
        <f>HYPERLINK("https://twitter.com/rishabulan94","@rishabulan94")</f>
        <v>@rishabulan94</v>
      </c>
      <c r="C19130" t="s">
        <v>9626</v>
      </c>
      <c r="D19130">
        <v>0</v>
      </c>
      <c r="E19130">
        <v>1</v>
      </c>
      <c r="F19130">
        <v>35</v>
      </c>
    </row>
    <row r="19131" spans="1:6" ht="12.75">
      <c r="A19131" s="2">
        <v>43876.662094907406</v>
      </c>
      <c r="B19131" t="str">
        <f>HYPERLINK("https://twitter.com/riaunewsmedia","@riaunewsmedia")</f>
        <v>@riaunewsmedia</v>
      </c>
      <c r="C19131" t="s">
        <v>9649</v>
      </c>
      <c r="D19131">
        <v>0</v>
      </c>
      <c r="E19131">
        <v>2</v>
      </c>
      <c r="F19131">
        <v>152</v>
      </c>
    </row>
    <row r="19132" spans="1:6" ht="12.75">
      <c r="A19132" s="2">
        <v>43876.662048611106</v>
      </c>
      <c r="B19132" t="str">
        <f>HYPERLINK("https://twitter.com/nanasijeuni","@nanasijeuni")</f>
        <v>@nanasijeuni</v>
      </c>
      <c r="C19132" t="s">
        <v>2444</v>
      </c>
      <c r="D19132">
        <v>4267</v>
      </c>
      <c r="E19132">
        <v>0</v>
      </c>
      <c r="F19132">
        <v>1419</v>
      </c>
    </row>
    <row r="19133" spans="1:6" ht="12.75">
      <c r="A19133" s="2">
        <v>43876.661956018521</v>
      </c>
      <c r="B19133" t="str">
        <f>HYPERLINK("https://twitter.com/IstiadiAgung","@IstiadiAgung")</f>
        <v>@IstiadiAgung</v>
      </c>
      <c r="C19133" t="s">
        <v>9650</v>
      </c>
      <c r="D19133">
        <v>1</v>
      </c>
      <c r="E19133">
        <v>0</v>
      </c>
      <c r="F19133">
        <v>6093</v>
      </c>
    </row>
    <row r="19134" spans="1:6" ht="12.75">
      <c r="A19134" s="2">
        <v>43876.661944444444</v>
      </c>
      <c r="B19134" t="str">
        <f>HYPERLINK("https://twitter.com/antaranews","@antaranews")</f>
        <v>@antaranews</v>
      </c>
      <c r="C19134" t="s">
        <v>9651</v>
      </c>
      <c r="D19134">
        <v>1</v>
      </c>
      <c r="E19134">
        <v>0</v>
      </c>
      <c r="F19134">
        <v>1103346</v>
      </c>
    </row>
    <row r="19135" spans="1:6" ht="12.75">
      <c r="A19135" s="2">
        <v>43876.661828703705</v>
      </c>
      <c r="B19135" t="str">
        <f>HYPERLINK("https://twitter.com/asterove","@asterove")</f>
        <v>@asterove</v>
      </c>
      <c r="C19135" t="s">
        <v>5168</v>
      </c>
      <c r="D19135">
        <v>1556</v>
      </c>
      <c r="E19135">
        <v>0</v>
      </c>
      <c r="F19135">
        <v>565</v>
      </c>
    </row>
    <row r="19136" spans="1:6" ht="12.75">
      <c r="A19136" s="2">
        <v>43876.661759259259</v>
      </c>
      <c r="B19136" t="str">
        <f>HYPERLINK("https://twitter.com/jhon_deemaz","@jhon_deemaz")</f>
        <v>@jhon_deemaz</v>
      </c>
      <c r="C19136" t="s">
        <v>2444</v>
      </c>
      <c r="D19136">
        <v>4267</v>
      </c>
      <c r="E19136">
        <v>0</v>
      </c>
      <c r="F19136">
        <v>428</v>
      </c>
    </row>
    <row r="19137" spans="1:6" ht="12.75">
      <c r="A19137" s="2">
        <v>43876.661631944444</v>
      </c>
      <c r="B19137" t="str">
        <f>HYPERLINK("https://twitter.com/Negaprions","@Negaprions")</f>
        <v>@Negaprions</v>
      </c>
      <c r="C19137" t="s">
        <v>9652</v>
      </c>
      <c r="D19137">
        <v>0</v>
      </c>
      <c r="E19137">
        <v>0</v>
      </c>
      <c r="F19137">
        <v>1116</v>
      </c>
    </row>
    <row r="19138" spans="1:6" ht="12.75">
      <c r="A19138" s="2">
        <v>43876.661574074074</v>
      </c>
      <c r="B19138" t="str">
        <f>HYPERLINK("https://twitter.com/adrielyohanes11","@adrielyohanes11")</f>
        <v>@adrielyohanes11</v>
      </c>
      <c r="C19138" t="s">
        <v>617</v>
      </c>
      <c r="D19138">
        <v>2607</v>
      </c>
      <c r="E19138">
        <v>0</v>
      </c>
      <c r="F19138">
        <v>0</v>
      </c>
    </row>
    <row r="19139" spans="1:6" ht="12.75">
      <c r="A19139" s="2">
        <v>43876.661261574074</v>
      </c>
      <c r="B19139" t="str">
        <f>HYPERLINK("https://twitter.com/redhitafatrisia","@redhitafatrisia")</f>
        <v>@redhitafatrisia</v>
      </c>
      <c r="C19139" t="s">
        <v>9653</v>
      </c>
      <c r="D19139">
        <v>101</v>
      </c>
      <c r="E19139">
        <v>0</v>
      </c>
      <c r="F19139">
        <v>326</v>
      </c>
    </row>
    <row r="19140" spans="1:6" ht="12.75">
      <c r="A19140" s="2">
        <v>43876.661111111112</v>
      </c>
      <c r="B19140" t="str">
        <f>HYPERLINK("https://twitter.com/calvinyounglee","@calvinyounglee")</f>
        <v>@calvinyounglee</v>
      </c>
      <c r="C19140" t="s">
        <v>8628</v>
      </c>
      <c r="D19140">
        <v>90</v>
      </c>
      <c r="E19140">
        <v>0</v>
      </c>
      <c r="F19140">
        <v>384</v>
      </c>
    </row>
    <row r="19141" spans="1:6" ht="12.75">
      <c r="A19141" s="2">
        <v>43876.661006944443</v>
      </c>
      <c r="B19141" t="str">
        <f>HYPERLINK("https://twitter.com/Waturisyin","@Waturisyin")</f>
        <v>@Waturisyin</v>
      </c>
      <c r="C19141" t="s">
        <v>2147</v>
      </c>
      <c r="D19141">
        <v>274</v>
      </c>
      <c r="E19141">
        <v>0</v>
      </c>
      <c r="F19141">
        <v>549</v>
      </c>
    </row>
    <row r="19142" spans="1:6" ht="12.75">
      <c r="A19142" s="2">
        <v>43876.66070601852</v>
      </c>
      <c r="B19142" t="str">
        <f>HYPERLINK("https://twitter.com/mochdetrim","@mochdetrim")</f>
        <v>@mochdetrim</v>
      </c>
      <c r="C19142" t="s">
        <v>2147</v>
      </c>
      <c r="D19142">
        <v>274</v>
      </c>
      <c r="E19142">
        <v>0</v>
      </c>
      <c r="F19142">
        <v>7</v>
      </c>
    </row>
    <row r="19143" spans="1:6" ht="12.75">
      <c r="A19143" s="2">
        <v>43876.660532407404</v>
      </c>
      <c r="B19143" t="str">
        <f>HYPERLINK("https://twitter.com/rahmatekka","@rahmatekka")</f>
        <v>@rahmatekka</v>
      </c>
      <c r="C19143" t="s">
        <v>9654</v>
      </c>
      <c r="D19143">
        <v>0</v>
      </c>
      <c r="E19143">
        <v>0</v>
      </c>
      <c r="F19143">
        <v>139</v>
      </c>
    </row>
    <row r="19144" spans="1:6" ht="12.75">
      <c r="A19144" s="2">
        <v>43876.660358796296</v>
      </c>
      <c r="B19144" t="str">
        <f>HYPERLINK("https://twitter.com/Namaku_Mei","@Namaku_Mei")</f>
        <v>@Namaku_Mei</v>
      </c>
      <c r="C19144" t="s">
        <v>9655</v>
      </c>
      <c r="D19144">
        <v>1</v>
      </c>
      <c r="E19144">
        <v>9</v>
      </c>
      <c r="F19144">
        <v>33597</v>
      </c>
    </row>
    <row r="19145" spans="1:6" ht="12.75">
      <c r="A19145" s="2">
        <v>43876.66028935185</v>
      </c>
      <c r="B19145" t="str">
        <f>HYPERLINK("https://twitter.com/SundoroRF","@SundoroRF")</f>
        <v>@SundoroRF</v>
      </c>
      <c r="C19145" t="s">
        <v>9656</v>
      </c>
      <c r="D19145">
        <v>1</v>
      </c>
      <c r="E19145">
        <v>0</v>
      </c>
      <c r="F19145">
        <v>236</v>
      </c>
    </row>
    <row r="19146" spans="1:6" ht="12.75">
      <c r="A19146" s="2">
        <v>43876.660277777773</v>
      </c>
      <c r="B19146" t="str">
        <f>HYPERLINK("https://twitter.com/BatamPos","@BatamPos")</f>
        <v>@BatamPos</v>
      </c>
      <c r="C19146" t="s">
        <v>9657</v>
      </c>
      <c r="D19146">
        <v>0</v>
      </c>
      <c r="E19146">
        <v>0</v>
      </c>
      <c r="F19146">
        <v>67357</v>
      </c>
    </row>
    <row r="19147" spans="1:6" ht="12.75">
      <c r="A19147" s="2">
        <v>43876.660196759258</v>
      </c>
      <c r="B19147" t="str">
        <f>HYPERLINK("https://twitter.com/syvionita","@syvionita")</f>
        <v>@syvionita</v>
      </c>
      <c r="C19147" t="s">
        <v>2444</v>
      </c>
      <c r="D19147">
        <v>4267</v>
      </c>
      <c r="E19147">
        <v>0</v>
      </c>
      <c r="F19147">
        <v>351</v>
      </c>
    </row>
    <row r="19148" spans="1:6" ht="12.75">
      <c r="A19148" s="2">
        <v>43876.659953703704</v>
      </c>
      <c r="B19148" t="str">
        <f>HYPERLINK("https://twitter.com/prytnma","@prytnma")</f>
        <v>@prytnma</v>
      </c>
      <c r="C19148" t="s">
        <v>8628</v>
      </c>
      <c r="D19148">
        <v>90</v>
      </c>
      <c r="E19148">
        <v>0</v>
      </c>
      <c r="F19148">
        <v>410</v>
      </c>
    </row>
    <row r="19149" spans="1:6" ht="12.75">
      <c r="A19149" s="2">
        <v>43876.659861111111</v>
      </c>
      <c r="B19149" t="str">
        <f>HYPERLINK("https://twitter.com/nurarisa10","@nurarisa10")</f>
        <v>@nurarisa10</v>
      </c>
      <c r="C19149" t="s">
        <v>2444</v>
      </c>
      <c r="D19149">
        <v>4267</v>
      </c>
      <c r="E19149">
        <v>0</v>
      </c>
      <c r="F19149">
        <v>14</v>
      </c>
    </row>
    <row r="19150" spans="1:6" ht="12.75">
      <c r="A19150" s="2">
        <v>43876.659826388888</v>
      </c>
      <c r="B19150" t="str">
        <f>HYPERLINK("https://twitter.com/Erwin26968132","@Erwin26968132")</f>
        <v>@Erwin26968132</v>
      </c>
      <c r="C19150" t="s">
        <v>4294</v>
      </c>
      <c r="D19150">
        <v>40</v>
      </c>
      <c r="E19150">
        <v>0</v>
      </c>
      <c r="F19150">
        <v>99</v>
      </c>
    </row>
    <row r="19151" spans="1:6" ht="12.75">
      <c r="A19151" s="2">
        <v>43876.626516203702</v>
      </c>
      <c r="B19151" t="str">
        <f>HYPERLINK("https://twitter.com/GUSBENSOK","@GUSBENSOK")</f>
        <v>@GUSBENSOK</v>
      </c>
      <c r="C19151" t="s">
        <v>9389</v>
      </c>
      <c r="D19151">
        <v>31</v>
      </c>
      <c r="E19151">
        <v>0</v>
      </c>
      <c r="F19151">
        <v>2041</v>
      </c>
    </row>
    <row r="19152" spans="1:6" ht="12.75">
      <c r="A19152" s="2">
        <v>43876.626481481479</v>
      </c>
      <c r="B19152" t="str">
        <f>HYPERLINK("https://twitter.com/jogjacoret","@jogjacoret")</f>
        <v>@jogjacoret</v>
      </c>
      <c r="C19152" t="s">
        <v>9658</v>
      </c>
      <c r="D19152">
        <v>0</v>
      </c>
      <c r="E19152">
        <v>0</v>
      </c>
      <c r="F19152">
        <v>1292</v>
      </c>
    </row>
    <row r="19153" spans="1:6" ht="12.75">
      <c r="A19153" s="2">
        <v>43876.626446759255</v>
      </c>
      <c r="B19153" t="str">
        <f>HYPERLINK("https://twitter.com/krezhan","@krezhan")</f>
        <v>@krezhan</v>
      </c>
      <c r="C19153" t="s">
        <v>2444</v>
      </c>
      <c r="D19153">
        <v>4212</v>
      </c>
      <c r="E19153">
        <v>0</v>
      </c>
      <c r="F19153">
        <v>649</v>
      </c>
    </row>
    <row r="19154" spans="1:6" ht="12.75">
      <c r="A19154" s="2">
        <v>43876.626423611116</v>
      </c>
      <c r="B19154" t="str">
        <f>HYPERLINK("https://twitter.com/bungezaa","@bungezaa")</f>
        <v>@bungezaa</v>
      </c>
      <c r="C19154" t="s">
        <v>9659</v>
      </c>
      <c r="D19154">
        <v>1</v>
      </c>
      <c r="E19154">
        <v>0</v>
      </c>
      <c r="F19154">
        <v>469</v>
      </c>
    </row>
    <row r="19155" spans="1:6" ht="12.75">
      <c r="A19155" s="2">
        <v>43876.626423611116</v>
      </c>
      <c r="B19155" t="str">
        <f>HYPERLINK("https://twitter.com/YuliPur65112613","@YuliPur65112613")</f>
        <v>@YuliPur65112613</v>
      </c>
      <c r="C19155" t="s">
        <v>6201</v>
      </c>
      <c r="D19155">
        <v>499</v>
      </c>
      <c r="E19155">
        <v>0</v>
      </c>
      <c r="F19155">
        <v>1164</v>
      </c>
    </row>
    <row r="19156" spans="1:6" ht="12.75">
      <c r="A19156" s="2">
        <v>43876.626342592594</v>
      </c>
      <c r="B19156" t="str">
        <f>HYPERLINK("https://twitter.com/gibrnds","@gibrnds")</f>
        <v>@gibrnds</v>
      </c>
      <c r="C19156" t="s">
        <v>9660</v>
      </c>
      <c r="D19156">
        <v>0</v>
      </c>
      <c r="E19156">
        <v>0</v>
      </c>
      <c r="F19156">
        <v>855</v>
      </c>
    </row>
    <row r="19157" spans="1:6" ht="12.75">
      <c r="A19157" s="2">
        <v>43876.626342592594</v>
      </c>
      <c r="B19157" t="str">
        <f>HYPERLINK("https://twitter.com/Abdoelmapan","@Abdoelmapan")</f>
        <v>@Abdoelmapan</v>
      </c>
      <c r="C19157" t="s">
        <v>9661</v>
      </c>
      <c r="D19157">
        <v>0</v>
      </c>
      <c r="E19157">
        <v>0</v>
      </c>
      <c r="F19157">
        <v>1425</v>
      </c>
    </row>
    <row r="19158" spans="1:6" ht="12.75">
      <c r="A19158" s="2">
        <v>43876.626342592594</v>
      </c>
      <c r="B19158" t="str">
        <f>HYPERLINK("https://twitter.com/bangkitriambada","@bangkitriambada")</f>
        <v>@bangkitriambada</v>
      </c>
      <c r="C19158" t="s">
        <v>9662</v>
      </c>
      <c r="D19158">
        <v>2</v>
      </c>
      <c r="E19158">
        <v>0</v>
      </c>
      <c r="F19158">
        <v>196</v>
      </c>
    </row>
    <row r="19159" spans="1:6" ht="12.75">
      <c r="A19159" s="2">
        <v>43876.626111111109</v>
      </c>
      <c r="B19159" t="str">
        <f>HYPERLINK("https://twitter.com/ciikx_26","@ciikx_26")</f>
        <v>@ciikx_26</v>
      </c>
      <c r="C19159" t="s">
        <v>2444</v>
      </c>
      <c r="D19159">
        <v>4212</v>
      </c>
      <c r="E19159">
        <v>0</v>
      </c>
      <c r="F19159">
        <v>134</v>
      </c>
    </row>
    <row r="19160" spans="1:6" ht="12.75">
      <c r="A19160" s="2">
        <v>43876.625578703708</v>
      </c>
      <c r="B19160" t="str">
        <f>HYPERLINK("https://twitter.com/Michael_mickey2","@Michael_mickey2")</f>
        <v>@Michael_mickey2</v>
      </c>
      <c r="C19160" t="s">
        <v>9612</v>
      </c>
      <c r="D19160">
        <v>3</v>
      </c>
      <c r="E19160">
        <v>0</v>
      </c>
      <c r="F19160">
        <v>150</v>
      </c>
    </row>
    <row r="19161" spans="1:6" ht="12.75">
      <c r="A19161" s="2">
        <v>43876.625555555554</v>
      </c>
      <c r="B19161" t="str">
        <f>HYPERLINK("https://twitter.com/agama_nusantara","@agama_nusantara")</f>
        <v>@agama_nusantara</v>
      </c>
      <c r="C19161" t="s">
        <v>9663</v>
      </c>
      <c r="D19161">
        <v>1</v>
      </c>
      <c r="E19161">
        <v>0</v>
      </c>
      <c r="F19161">
        <v>7317</v>
      </c>
    </row>
    <row r="19162" spans="1:6" ht="12.75">
      <c r="A19162" s="2">
        <v>43876.625532407408</v>
      </c>
      <c r="B19162" t="str">
        <f>HYPERLINK("https://twitter.com/GreatSpiderman7","@GreatSpiderman7")</f>
        <v>@GreatSpiderman7</v>
      </c>
      <c r="C19162" t="s">
        <v>9091</v>
      </c>
      <c r="D19162">
        <v>9</v>
      </c>
      <c r="E19162">
        <v>0</v>
      </c>
      <c r="F19162">
        <v>187</v>
      </c>
    </row>
    <row r="19163" spans="1:6" ht="12.75">
      <c r="A19163" s="2">
        <v>43876.625451388885</v>
      </c>
      <c r="B19163" t="str">
        <f>HYPERLINK("https://twitter.com/kemzie","@kemzie")</f>
        <v>@kemzie</v>
      </c>
      <c r="C19163" t="s">
        <v>2134</v>
      </c>
      <c r="D19163">
        <v>990</v>
      </c>
      <c r="E19163">
        <v>0</v>
      </c>
      <c r="F19163">
        <v>209</v>
      </c>
    </row>
    <row r="19164" spans="1:6" ht="12.75">
      <c r="A19164" s="2">
        <v>43876.625289351854</v>
      </c>
      <c r="B19164" t="str">
        <f>HYPERLINK("https://twitter.com/LokadataID","@LokadataID")</f>
        <v>@LokadataID</v>
      </c>
      <c r="C19164" t="s">
        <v>9664</v>
      </c>
      <c r="D19164">
        <v>0</v>
      </c>
      <c r="E19164">
        <v>0</v>
      </c>
      <c r="F19164">
        <v>512720</v>
      </c>
    </row>
    <row r="19165" spans="1:6" ht="12.75">
      <c r="A19165" s="2">
        <v>43876.625243055554</v>
      </c>
      <c r="B19165" t="str">
        <f>HYPERLINK("https://twitter.com/saleicra","@saleicra")</f>
        <v>@saleicra</v>
      </c>
      <c r="C19165" t="s">
        <v>513</v>
      </c>
      <c r="D19165">
        <v>23194</v>
      </c>
      <c r="E19165">
        <v>0</v>
      </c>
      <c r="F19165">
        <v>1</v>
      </c>
    </row>
    <row r="19166" spans="1:6" ht="12.75">
      <c r="A19166" s="2">
        <v>43876.625150462962</v>
      </c>
      <c r="B19166" t="str">
        <f>HYPERLINK("https://twitter.com/jokowibekerjaID","@jokowibekerjaID")</f>
        <v>@jokowibekerjaID</v>
      </c>
      <c r="C19166" t="s">
        <v>9665</v>
      </c>
      <c r="D19166">
        <v>0</v>
      </c>
      <c r="E19166">
        <v>0</v>
      </c>
      <c r="F19166">
        <v>397</v>
      </c>
    </row>
    <row r="19167" spans="1:6" ht="12.75">
      <c r="A19167" s="2">
        <v>43876.625115740739</v>
      </c>
      <c r="B19167" t="str">
        <f>HYPERLINK("https://twitter.com/Nitizen_Zen","@Nitizen_Zen")</f>
        <v>@Nitizen_Zen</v>
      </c>
      <c r="C19167" t="s">
        <v>8665</v>
      </c>
      <c r="D19167">
        <v>167</v>
      </c>
      <c r="E19167">
        <v>0</v>
      </c>
      <c r="F19167">
        <v>453</v>
      </c>
    </row>
    <row r="19168" spans="1:6" ht="12.75">
      <c r="A19168" s="2">
        <v>43876.625034722223</v>
      </c>
      <c r="B19168" t="str">
        <f>HYPERLINK("https://twitter.com/borokokok_cuit","@borokokok_cuit")</f>
        <v>@borokokok_cuit</v>
      </c>
      <c r="C19168" t="s">
        <v>9666</v>
      </c>
      <c r="D19168">
        <v>38</v>
      </c>
      <c r="E19168">
        <v>0</v>
      </c>
      <c r="F19168">
        <v>18</v>
      </c>
    </row>
    <row r="19169" spans="1:6" ht="12.75">
      <c r="A19169" s="2">
        <v>43876.62501157407</v>
      </c>
      <c r="B19169" t="str">
        <f>HYPERLINK("https://twitter.com/RadarNegeriku","@RadarNegeriku")</f>
        <v>@RadarNegeriku</v>
      </c>
      <c r="C19169" t="s">
        <v>9667</v>
      </c>
      <c r="D19169">
        <v>0</v>
      </c>
      <c r="E19169">
        <v>0</v>
      </c>
      <c r="F19169">
        <v>129</v>
      </c>
    </row>
    <row r="19170" spans="1:6" ht="12.75">
      <c r="A19170" s="2">
        <v>43876.625</v>
      </c>
      <c r="B19170" t="str">
        <f>HYPERLINK("https://twitter.com/the_magdalene","@the_magdalene")</f>
        <v>@the_magdalene</v>
      </c>
      <c r="C19170" t="s">
        <v>9668</v>
      </c>
      <c r="D19170">
        <v>1</v>
      </c>
      <c r="E19170">
        <v>2</v>
      </c>
      <c r="F19170">
        <v>55898</v>
      </c>
    </row>
    <row r="19171" spans="1:6" ht="12.75">
      <c r="A19171" s="2">
        <v>43876.624942129631</v>
      </c>
      <c r="B19171" t="str">
        <f>HYPERLINK("https://twitter.com/batamtoday","@batamtoday")</f>
        <v>@batamtoday</v>
      </c>
      <c r="C19171" t="s">
        <v>9669</v>
      </c>
      <c r="D19171">
        <v>0</v>
      </c>
      <c r="E19171">
        <v>0</v>
      </c>
      <c r="F19171">
        <v>27070</v>
      </c>
    </row>
    <row r="19172" spans="1:6" ht="12.75">
      <c r="A19172" s="2">
        <v>43876.624583333338</v>
      </c>
      <c r="B19172" t="str">
        <f>HYPERLINK("https://twitter.com/XIII_kamp","@XIII_kamp")</f>
        <v>@XIII_kamp</v>
      </c>
      <c r="C19172" t="s">
        <v>2444</v>
      </c>
      <c r="D19172">
        <v>4212</v>
      </c>
      <c r="E19172">
        <v>0</v>
      </c>
      <c r="F19172">
        <v>167</v>
      </c>
    </row>
    <row r="19173" spans="1:6" ht="12.75">
      <c r="A19173" s="2">
        <v>43876.624259259261</v>
      </c>
      <c r="B19173" t="str">
        <f>HYPERLINK("https://twitter.com/firsaischaq","@firsaischaq")</f>
        <v>@firsaischaq</v>
      </c>
      <c r="C19173" t="s">
        <v>2444</v>
      </c>
      <c r="D19173">
        <v>4212</v>
      </c>
      <c r="E19173">
        <v>0</v>
      </c>
      <c r="F19173">
        <v>225</v>
      </c>
    </row>
    <row r="19174" spans="1:6" ht="12.75">
      <c r="A19174" s="2">
        <v>43876.624236111107</v>
      </c>
      <c r="B19174" t="str">
        <f>HYPERLINK("https://twitter.com/LanaayahFayFio","@LanaayahFayFio")</f>
        <v>@LanaayahFayFio</v>
      </c>
      <c r="C19174" t="s">
        <v>9670</v>
      </c>
      <c r="D19174">
        <v>0</v>
      </c>
      <c r="E19174">
        <v>0</v>
      </c>
      <c r="F19174">
        <v>118</v>
      </c>
    </row>
    <row r="19175" spans="1:6" ht="12.75">
      <c r="A19175" s="2">
        <v>43876.624224537038</v>
      </c>
      <c r="B19175" t="str">
        <f>HYPERLINK("https://twitter.com/Adlin_AN","@Adlin_AN")</f>
        <v>@Adlin_AN</v>
      </c>
      <c r="C19175" t="s">
        <v>2444</v>
      </c>
      <c r="D19175">
        <v>4212</v>
      </c>
      <c r="E19175">
        <v>0</v>
      </c>
      <c r="F19175">
        <v>763</v>
      </c>
    </row>
    <row r="19176" spans="1:6" ht="12.75">
      <c r="A19176" s="2">
        <v>43876.624120370368</v>
      </c>
      <c r="B19176" t="str">
        <f>HYPERLINK("https://twitter.com/sifulan_jr","@sifulan_jr")</f>
        <v>@sifulan_jr</v>
      </c>
      <c r="C19176" t="s">
        <v>9671</v>
      </c>
      <c r="D19176">
        <v>4</v>
      </c>
      <c r="E19176">
        <v>0</v>
      </c>
      <c r="F19176">
        <v>297</v>
      </c>
    </row>
    <row r="19177" spans="1:6" ht="12.75">
      <c r="A19177" s="2">
        <v>43876.624108796299</v>
      </c>
      <c r="B19177" t="str">
        <f>HYPERLINK("https://twitter.com/SiMuckry","@SiMuckry")</f>
        <v>@SiMuckry</v>
      </c>
      <c r="C19177" t="s">
        <v>9672</v>
      </c>
      <c r="D19177">
        <v>0</v>
      </c>
      <c r="E19177">
        <v>0</v>
      </c>
      <c r="F19177">
        <v>54</v>
      </c>
    </row>
    <row r="19178" spans="1:6" ht="12.75">
      <c r="A19178" s="2">
        <v>43876.624050925922</v>
      </c>
      <c r="B19178" t="str">
        <f>HYPERLINK("https://twitter.com/hhamdisofyan","@hhamdisofyan")</f>
        <v>@hhamdisofyan</v>
      </c>
      <c r="C19178" t="s">
        <v>6201</v>
      </c>
      <c r="D19178">
        <v>499</v>
      </c>
      <c r="E19178">
        <v>0</v>
      </c>
      <c r="F19178">
        <v>141</v>
      </c>
    </row>
    <row r="19179" spans="1:6" ht="12.75">
      <c r="A19179" s="2">
        <v>43876.623958333337</v>
      </c>
      <c r="B19179" t="str">
        <f>HYPERLINK("https://twitter.com/rimbunDSArios","@rimbunDSArios")</f>
        <v>@rimbunDSArios</v>
      </c>
      <c r="C19179" t="s">
        <v>9673</v>
      </c>
      <c r="D19179">
        <v>3</v>
      </c>
      <c r="E19179">
        <v>0</v>
      </c>
      <c r="F19179">
        <v>25</v>
      </c>
    </row>
    <row r="19180" spans="1:6" ht="12.75">
      <c r="A19180" s="2">
        <v>43876.623738425929</v>
      </c>
      <c r="B19180" t="str">
        <f>HYPERLINK("https://twitter.com/ParthaSaderi","@ParthaSaderi")</f>
        <v>@ParthaSaderi</v>
      </c>
      <c r="C19180" t="s">
        <v>9674</v>
      </c>
      <c r="D19180">
        <v>0</v>
      </c>
      <c r="E19180">
        <v>0</v>
      </c>
      <c r="F19180">
        <v>4867</v>
      </c>
    </row>
    <row r="19181" spans="1:6" ht="12.75">
      <c r="A19181" s="2">
        <v>43876.623657407406</v>
      </c>
      <c r="B19181" t="str">
        <f>HYPERLINK("https://twitter.com/admsdwi","@admsdwi")</f>
        <v>@admsdwi</v>
      </c>
      <c r="C19181" t="s">
        <v>9675</v>
      </c>
      <c r="D19181">
        <v>0</v>
      </c>
      <c r="E19181">
        <v>0</v>
      </c>
      <c r="F19181">
        <v>15</v>
      </c>
    </row>
    <row r="19182" spans="1:6" ht="12.75">
      <c r="A19182" s="2">
        <v>43876.623622685191</v>
      </c>
      <c r="B19182" t="str">
        <f>HYPERLINK("https://twitter.com/buyunghestu","@buyunghestu")</f>
        <v>@buyunghestu</v>
      </c>
      <c r="C19182" t="s">
        <v>3059</v>
      </c>
      <c r="D19182">
        <v>188</v>
      </c>
      <c r="E19182">
        <v>0</v>
      </c>
      <c r="F19182">
        <v>865</v>
      </c>
    </row>
    <row r="19183" spans="1:6" ht="12.75">
      <c r="A19183" s="2">
        <v>43876.623599537037</v>
      </c>
      <c r="B19183" t="str">
        <f>HYPERLINK("https://twitter.com/khiky_waji","@khiky_waji")</f>
        <v>@khiky_waji</v>
      </c>
      <c r="C19183" t="s">
        <v>9676</v>
      </c>
      <c r="D19183">
        <v>2</v>
      </c>
      <c r="E19183">
        <v>0</v>
      </c>
      <c r="F19183">
        <v>448</v>
      </c>
    </row>
    <row r="19184" spans="1:6" ht="12.75">
      <c r="A19184" s="2">
        <v>43876.623518518521</v>
      </c>
      <c r="B19184" t="str">
        <f>HYPERLINK("https://twitter.com/flyfish1224","@flyfish1224")</f>
        <v>@flyfish1224</v>
      </c>
      <c r="C19184" t="s">
        <v>2444</v>
      </c>
      <c r="D19184">
        <v>4212</v>
      </c>
      <c r="E19184">
        <v>0</v>
      </c>
      <c r="F19184">
        <v>201</v>
      </c>
    </row>
    <row r="19185" spans="1:6" ht="12.75">
      <c r="A19185" s="2">
        <v>43876.623402777783</v>
      </c>
      <c r="B19185" t="str">
        <f>HYPERLINK("https://twitter.com/guritno_gun","@guritno_gun")</f>
        <v>@guritno_gun</v>
      </c>
      <c r="C19185" t="s">
        <v>7876</v>
      </c>
      <c r="D19185">
        <v>32</v>
      </c>
      <c r="E19185">
        <v>0</v>
      </c>
      <c r="F19185">
        <v>140</v>
      </c>
    </row>
    <row r="19186" spans="1:6" ht="12.75">
      <c r="A19186" s="2">
        <v>43876.623310185183</v>
      </c>
      <c r="B19186" t="str">
        <f>HYPERLINK("https://twitter.com/dahsinarji","@dahsinarji")</f>
        <v>@dahsinarji</v>
      </c>
      <c r="C19186" t="s">
        <v>9260</v>
      </c>
      <c r="D19186">
        <v>14</v>
      </c>
      <c r="E19186">
        <v>0</v>
      </c>
      <c r="F19186">
        <v>645</v>
      </c>
    </row>
    <row r="19187" spans="1:6" ht="12.75">
      <c r="A19187" s="2">
        <v>43876.623263888891</v>
      </c>
      <c r="B19187" t="str">
        <f>HYPERLINK("https://twitter.com/novatix70","@novatix70")</f>
        <v>@novatix70</v>
      </c>
      <c r="C19187" t="s">
        <v>9677</v>
      </c>
      <c r="D19187">
        <v>0</v>
      </c>
      <c r="E19187">
        <v>0</v>
      </c>
      <c r="F19187">
        <v>5</v>
      </c>
    </row>
    <row r="19188" spans="1:6" ht="12.75">
      <c r="A19188" s="2">
        <v>43876.622928240744</v>
      </c>
      <c r="B19188" t="str">
        <f>HYPERLINK("https://twitter.com/_MRachmat_","@_MRachmat_")</f>
        <v>@_MRachmat_</v>
      </c>
      <c r="C19188" t="s">
        <v>2147</v>
      </c>
      <c r="D19188">
        <v>233</v>
      </c>
      <c r="E19188">
        <v>0</v>
      </c>
      <c r="F19188">
        <v>276</v>
      </c>
    </row>
    <row r="19189" spans="1:6" ht="12.75">
      <c r="A19189" s="2">
        <v>43876.622847222221</v>
      </c>
      <c r="B19189" t="str">
        <f>HYPERLINK("https://twitter.com/lulu_syf","@lulu_syf")</f>
        <v>@lulu_syf</v>
      </c>
      <c r="C19189" t="s">
        <v>2444</v>
      </c>
      <c r="D19189">
        <v>4212</v>
      </c>
      <c r="E19189">
        <v>0</v>
      </c>
      <c r="F19189">
        <v>932</v>
      </c>
    </row>
    <row r="19190" spans="1:6" ht="12.75">
      <c r="A19190" s="2">
        <v>43876.622824074075</v>
      </c>
      <c r="B19190" t="str">
        <f>HYPERLINK("https://twitter.com/YoyokSubandriy3","@YoyokSubandriy3")</f>
        <v>@YoyokSubandriy3</v>
      </c>
      <c r="C19190" t="s">
        <v>9678</v>
      </c>
      <c r="D19190">
        <v>2</v>
      </c>
      <c r="E19190">
        <v>0</v>
      </c>
      <c r="F19190">
        <v>1367</v>
      </c>
    </row>
    <row r="19191" spans="1:6" ht="12.75">
      <c r="A19191" s="2">
        <v>43876.622789351852</v>
      </c>
      <c r="B19191" t="str">
        <f>HYPERLINK("https://twitter.com/HalloSamarinda","@HalloSamarinda")</f>
        <v>@HalloSamarinda</v>
      </c>
      <c r="C19191" t="s">
        <v>9679</v>
      </c>
      <c r="D19191">
        <v>0</v>
      </c>
      <c r="E19191">
        <v>0</v>
      </c>
      <c r="F19191">
        <v>102452</v>
      </c>
    </row>
    <row r="19192" spans="1:6" ht="12.75">
      <c r="A19192" s="2">
        <v>43876.622592592597</v>
      </c>
      <c r="B19192" t="str">
        <f>HYPERLINK("https://twitter.com/naturapersada","@naturapersada")</f>
        <v>@naturapersada</v>
      </c>
      <c r="C19192" t="s">
        <v>9680</v>
      </c>
      <c r="D19192">
        <v>0</v>
      </c>
      <c r="E19192">
        <v>0</v>
      </c>
      <c r="F19192">
        <v>1616</v>
      </c>
    </row>
    <row r="19193" spans="1:6" ht="12.75">
      <c r="A19193" s="2">
        <v>43876.622557870374</v>
      </c>
      <c r="B19193" t="str">
        <f>HYPERLINK("https://twitter.com/Qonitta_Chan","@Qonitta_Chan")</f>
        <v>@Qonitta_Chan</v>
      </c>
      <c r="C19193" t="s">
        <v>9681</v>
      </c>
      <c r="D19193">
        <v>0</v>
      </c>
      <c r="E19193">
        <v>0</v>
      </c>
      <c r="F19193">
        <v>22</v>
      </c>
    </row>
    <row r="19194" spans="1:6" ht="12.75">
      <c r="A19194" s="2">
        <v>43876.622418981482</v>
      </c>
      <c r="B19194" t="str">
        <f>HYPERLINK("https://twitter.com/hyujinee","@hyujinee")</f>
        <v>@hyujinee</v>
      </c>
      <c r="C19194" t="s">
        <v>2444</v>
      </c>
      <c r="D19194">
        <v>4212</v>
      </c>
      <c r="E19194">
        <v>0</v>
      </c>
      <c r="F19194">
        <v>62</v>
      </c>
    </row>
    <row r="19195" spans="1:6" ht="12.75">
      <c r="A19195" s="2">
        <v>43876.622337962966</v>
      </c>
      <c r="B19195" t="str">
        <f>HYPERLINK("https://twitter.com/frinzjeon","@frinzjeon")</f>
        <v>@frinzjeon</v>
      </c>
      <c r="C19195" t="s">
        <v>2444</v>
      </c>
      <c r="D19195">
        <v>4212</v>
      </c>
      <c r="E19195">
        <v>0</v>
      </c>
      <c r="F19195">
        <v>2016</v>
      </c>
    </row>
    <row r="19196" spans="1:6" ht="12.75">
      <c r="A19196" s="2">
        <v>43876.621921296297</v>
      </c>
      <c r="B19196" t="str">
        <f>HYPERLINK("https://twitter.com/tbeg71","@tbeg71")</f>
        <v>@tbeg71</v>
      </c>
      <c r="C19196" t="s">
        <v>9682</v>
      </c>
      <c r="D19196">
        <v>0</v>
      </c>
      <c r="E19196">
        <v>0</v>
      </c>
      <c r="F19196">
        <v>43</v>
      </c>
    </row>
    <row r="19197" spans="1:6" ht="12.75">
      <c r="A19197" s="2">
        <v>43876.621770833328</v>
      </c>
      <c r="B19197" t="str">
        <f>HYPERLINK("https://twitter.com/medcom_id","@medcom_id")</f>
        <v>@medcom_id</v>
      </c>
      <c r="C19197" t="s">
        <v>9683</v>
      </c>
      <c r="D19197">
        <v>0</v>
      </c>
      <c r="E19197">
        <v>1</v>
      </c>
      <c r="F19197">
        <v>18115</v>
      </c>
    </row>
    <row r="19198" spans="1:6" ht="12.75">
      <c r="A19198" s="2">
        <v>43876.621712962966</v>
      </c>
      <c r="B19198" t="str">
        <f>HYPERLINK("https://twitter.com/milkteajae","@milkteajae")</f>
        <v>@milkteajae</v>
      </c>
      <c r="C19198" t="s">
        <v>2444</v>
      </c>
      <c r="D19198">
        <v>4212</v>
      </c>
      <c r="E19198">
        <v>0</v>
      </c>
      <c r="F19198">
        <v>1904</v>
      </c>
    </row>
    <row r="19199" spans="1:6" ht="12.75">
      <c r="A19199" s="2">
        <v>43876.621678240743</v>
      </c>
      <c r="B19199" t="str">
        <f>HYPERLINK("https://twitter.com/bintangt0rett0","@bintangt0rett0")</f>
        <v>@bintangt0rett0</v>
      </c>
      <c r="C19199" t="s">
        <v>9684</v>
      </c>
      <c r="D19199">
        <v>0</v>
      </c>
      <c r="E19199">
        <v>0</v>
      </c>
      <c r="F19199">
        <v>187</v>
      </c>
    </row>
    <row r="19200" spans="1:6" ht="12.75">
      <c r="A19200" s="2">
        <v>43876.621655092589</v>
      </c>
      <c r="B19200" t="str">
        <f>HYPERLINK("https://twitter.com/Kania_MetroTV","@Kania_MetroTV")</f>
        <v>@Kania_MetroTV</v>
      </c>
      <c r="C19200" t="s">
        <v>9671</v>
      </c>
      <c r="D19200">
        <v>4</v>
      </c>
      <c r="E19200">
        <v>0</v>
      </c>
      <c r="F19200">
        <v>215708</v>
      </c>
    </row>
    <row r="19201" spans="1:6" ht="12.75">
      <c r="A19201" s="2">
        <v>43876.621585648143</v>
      </c>
      <c r="B19201" t="str">
        <f>HYPERLINK("https://twitter.com/jihansafr","@jihansafr")</f>
        <v>@jihansafr</v>
      </c>
      <c r="C19201" t="s">
        <v>2444</v>
      </c>
      <c r="D19201">
        <v>4212</v>
      </c>
      <c r="E19201">
        <v>0</v>
      </c>
      <c r="F19201">
        <v>36</v>
      </c>
    </row>
    <row r="19202" spans="1:6" ht="12.75">
      <c r="A19202" s="2">
        <v>43876.621574074074</v>
      </c>
      <c r="B19202" t="str">
        <f>HYPERLINK("https://twitter.com/forddyce92","@forddyce92")</f>
        <v>@forddyce92</v>
      </c>
      <c r="C19202" t="s">
        <v>9685</v>
      </c>
      <c r="D19202">
        <v>0</v>
      </c>
      <c r="E19202">
        <v>0</v>
      </c>
      <c r="F19202">
        <v>24</v>
      </c>
    </row>
    <row r="19203" spans="1:6" ht="12.75">
      <c r="A19203" s="2">
        <v>43876.621458333335</v>
      </c>
      <c r="B19203" t="str">
        <f>HYPERLINK("https://twitter.com/jahangir_mehta","@jahangir_mehta")</f>
        <v>@jahangir_mehta</v>
      </c>
      <c r="C19203" t="s">
        <v>9686</v>
      </c>
      <c r="D19203">
        <v>0</v>
      </c>
      <c r="E19203">
        <v>0</v>
      </c>
      <c r="F19203">
        <v>150</v>
      </c>
    </row>
    <row r="19204" spans="1:6" ht="12.75">
      <c r="A19204" s="2">
        <v>43876.621446759258</v>
      </c>
      <c r="B19204" t="str">
        <f>HYPERLINK("https://twitter.com/Zain_Ical","@Zain_Ical")</f>
        <v>@Zain_Ical</v>
      </c>
      <c r="C19204" t="s">
        <v>8650</v>
      </c>
      <c r="D19204">
        <v>37</v>
      </c>
      <c r="E19204">
        <v>0</v>
      </c>
      <c r="F19204">
        <v>1906</v>
      </c>
    </row>
    <row r="19205" spans="1:6" ht="12.75">
      <c r="A19205" s="2">
        <v>43876.621435185181</v>
      </c>
      <c r="B19205" t="str">
        <f>HYPERLINK("https://twitter.com/rainsky03","@rainsky03")</f>
        <v>@rainsky03</v>
      </c>
      <c r="C19205" t="s">
        <v>2444</v>
      </c>
      <c r="D19205">
        <v>4212</v>
      </c>
      <c r="E19205">
        <v>0</v>
      </c>
      <c r="F19205">
        <v>189</v>
      </c>
    </row>
    <row r="19206" spans="1:6" ht="12.75">
      <c r="A19206" s="2">
        <v>43876.621296296296</v>
      </c>
      <c r="B19206" t="str">
        <f>HYPERLINK("https://twitter.com/Iamnoth24357134","@Iamnoth24357134")</f>
        <v>@Iamnoth24357134</v>
      </c>
      <c r="C19206" t="s">
        <v>2147</v>
      </c>
      <c r="D19206">
        <v>233</v>
      </c>
      <c r="E19206">
        <v>0</v>
      </c>
      <c r="F19206">
        <v>444</v>
      </c>
    </row>
    <row r="19207" spans="1:6" ht="12.75">
      <c r="A19207" s="2">
        <v>43876.621192129634</v>
      </c>
      <c r="B19207" t="str">
        <f>HYPERLINK("https://twitter.com/bonyyosua","@bonyyosua")</f>
        <v>@bonyyosua</v>
      </c>
      <c r="C19207" t="s">
        <v>9687</v>
      </c>
      <c r="D19207">
        <v>14</v>
      </c>
      <c r="E19207">
        <v>0</v>
      </c>
      <c r="F19207">
        <v>298</v>
      </c>
    </row>
    <row r="19208" spans="1:6" ht="12.75">
      <c r="A19208" s="2">
        <v>43876.621134259258</v>
      </c>
      <c r="B19208" t="str">
        <f>HYPERLINK("https://twitter.com/rewiinn","@rewiinn")</f>
        <v>@rewiinn</v>
      </c>
      <c r="C19208" t="s">
        <v>9688</v>
      </c>
      <c r="D19208">
        <v>0</v>
      </c>
      <c r="E19208">
        <v>0</v>
      </c>
      <c r="F19208">
        <v>179</v>
      </c>
    </row>
    <row r="19209" spans="1:6" ht="12.75">
      <c r="A19209" s="2">
        <v>43876.621041666665</v>
      </c>
      <c r="B19209" t="str">
        <f>HYPERLINK("https://twitter.com/LinaMartin__","@LinaMartin__")</f>
        <v>@LinaMartin__</v>
      </c>
      <c r="C19209" t="s">
        <v>175</v>
      </c>
      <c r="D19209">
        <v>5334</v>
      </c>
      <c r="E19209">
        <v>0</v>
      </c>
      <c r="F19209">
        <v>12</v>
      </c>
    </row>
    <row r="19210" spans="1:6" ht="12.75">
      <c r="A19210" s="2">
        <v>43876.621041666665</v>
      </c>
      <c r="B19210" t="str">
        <f>HYPERLINK("https://twitter.com/iqbal_hadyan","@iqbal_hadyan")</f>
        <v>@iqbal_hadyan</v>
      </c>
      <c r="C19210" t="s">
        <v>9689</v>
      </c>
      <c r="D19210">
        <v>0</v>
      </c>
      <c r="E19210">
        <v>1</v>
      </c>
      <c r="F19210">
        <v>799</v>
      </c>
    </row>
    <row r="19211" spans="1:6" ht="12.75">
      <c r="A19211" s="2">
        <v>43876.620763888888</v>
      </c>
      <c r="B19211" t="str">
        <f>HYPERLINK("https://twitter.com/pujangga1123","@pujangga1123")</f>
        <v>@pujangga1123</v>
      </c>
      <c r="C19211" t="s">
        <v>8650</v>
      </c>
      <c r="D19211">
        <v>37</v>
      </c>
      <c r="E19211">
        <v>0</v>
      </c>
      <c r="F19211">
        <v>12855</v>
      </c>
    </row>
    <row r="19212" spans="1:6" ht="12.75">
      <c r="A19212" s="2">
        <v>43876.620590277773</v>
      </c>
      <c r="B19212" t="str">
        <f>HYPERLINK("https://twitter.com/AdrianR3Y","@AdrianR3Y")</f>
        <v>@AdrianR3Y</v>
      </c>
      <c r="C19212" t="s">
        <v>9526</v>
      </c>
      <c r="D19212">
        <v>8</v>
      </c>
      <c r="E19212">
        <v>0</v>
      </c>
      <c r="F19212">
        <v>2167</v>
      </c>
    </row>
    <row r="19213" spans="1:6" ht="12.75">
      <c r="A19213" s="2">
        <v>43876.620555555557</v>
      </c>
      <c r="B19213" t="str">
        <f>HYPERLINK("https://twitter.com/pa9aneenee","@pa9aneenee")</f>
        <v>@pa9aneenee</v>
      </c>
      <c r="C19213" t="s">
        <v>2444</v>
      </c>
      <c r="D19213">
        <v>4212</v>
      </c>
      <c r="E19213">
        <v>0</v>
      </c>
      <c r="F19213">
        <v>100</v>
      </c>
    </row>
    <row r="19214" spans="1:6" ht="12.75">
      <c r="A19214" s="2">
        <v>43876.620393518519</v>
      </c>
      <c r="B19214" t="str">
        <f>HYPERLINK("https://twitter.com/Fanny_Oktaviana","@Fanny_Oktaviana")</f>
        <v>@Fanny_Oktaviana</v>
      </c>
      <c r="C19214" t="s">
        <v>9690</v>
      </c>
      <c r="D19214">
        <v>2</v>
      </c>
      <c r="E19214">
        <v>0</v>
      </c>
      <c r="F19214">
        <v>2320</v>
      </c>
    </row>
    <row r="19215" spans="1:6" ht="12.75">
      <c r="A19215" s="2">
        <v>43876.62023148148</v>
      </c>
      <c r="B19215" t="str">
        <f>HYPERLINK("https://twitter.com/smartizen_","@smartizen_")</f>
        <v>@smartizen_</v>
      </c>
      <c r="C19215" t="s">
        <v>9691</v>
      </c>
      <c r="D19215">
        <v>0</v>
      </c>
      <c r="E19215">
        <v>0</v>
      </c>
      <c r="F19215">
        <v>1059</v>
      </c>
    </row>
    <row r="19216" spans="1:6" ht="12.75">
      <c r="A19216" s="2">
        <v>43876.620219907403</v>
      </c>
      <c r="B19216" t="str">
        <f>HYPERLINK("https://twitter.com/sketsindonews","@sketsindonews")</f>
        <v>@sketsindonews</v>
      </c>
      <c r="C19216" t="s">
        <v>9692</v>
      </c>
      <c r="D19216">
        <v>0</v>
      </c>
      <c r="E19216">
        <v>0</v>
      </c>
      <c r="F19216">
        <v>60</v>
      </c>
    </row>
    <row r="19217" spans="1:6" ht="12.75">
      <c r="A19217" s="2">
        <v>43876.619988425926</v>
      </c>
      <c r="B19217" t="str">
        <f>HYPERLINK("https://twitter.com/Galeh_Yuniar","@Galeh_Yuniar")</f>
        <v>@Galeh_Yuniar</v>
      </c>
      <c r="C19217" t="s">
        <v>9119</v>
      </c>
      <c r="D19217">
        <v>53</v>
      </c>
      <c r="E19217">
        <v>0</v>
      </c>
      <c r="F19217">
        <v>262</v>
      </c>
    </row>
    <row r="19218" spans="1:6" ht="12.75">
      <c r="A19218" s="2">
        <v>43876.61991898148</v>
      </c>
      <c r="B19218" t="str">
        <f>HYPERLINK("https://twitter.com/NadaShaffa","@NadaShaffa")</f>
        <v>@NadaShaffa</v>
      </c>
      <c r="C19218" t="s">
        <v>2444</v>
      </c>
      <c r="D19218">
        <v>4212</v>
      </c>
      <c r="E19218">
        <v>0</v>
      </c>
      <c r="F19218">
        <v>278</v>
      </c>
    </row>
    <row r="19219" spans="1:6" ht="12.75">
      <c r="A19219" s="2">
        <v>43876.619872685187</v>
      </c>
      <c r="B19219" t="str">
        <f>HYPERLINK("https://twitter.com/AntaraMudita","@AntaraMudita")</f>
        <v>@AntaraMudita</v>
      </c>
      <c r="C19219" t="s">
        <v>9693</v>
      </c>
      <c r="D19219">
        <v>0</v>
      </c>
      <c r="E19219">
        <v>0</v>
      </c>
      <c r="F19219">
        <v>18</v>
      </c>
    </row>
    <row r="19220" spans="1:6" ht="12.75">
      <c r="A19220" s="2">
        <v>43876.619826388887</v>
      </c>
      <c r="B19220" t="str">
        <f>HYPERLINK("https://twitter.com/reynoldandries1","@reynoldandries1")</f>
        <v>@reynoldandries1</v>
      </c>
      <c r="C19220" t="s">
        <v>2147</v>
      </c>
      <c r="D19220">
        <v>233</v>
      </c>
      <c r="E19220">
        <v>0</v>
      </c>
      <c r="F19220">
        <v>6091</v>
      </c>
    </row>
    <row r="19221" spans="1:6" ht="12.75">
      <c r="A19221" s="2">
        <v>43876.619560185187</v>
      </c>
      <c r="B19221" t="str">
        <f>HYPERLINK("https://twitter.com/diannovie","@diannovie")</f>
        <v>@diannovie</v>
      </c>
      <c r="C19221" t="s">
        <v>8650</v>
      </c>
      <c r="D19221">
        <v>37</v>
      </c>
      <c r="E19221">
        <v>0</v>
      </c>
      <c r="F19221">
        <v>5144</v>
      </c>
    </row>
    <row r="19222" spans="1:6" ht="12.75">
      <c r="A19222" s="2">
        <v>43876.619409722218</v>
      </c>
      <c r="B19222" t="str">
        <f>HYPERLINK("https://twitter.com/TonsCrb","@TonsCrb")</f>
        <v>@TonsCrb</v>
      </c>
      <c r="C19222" t="s">
        <v>2147</v>
      </c>
      <c r="D19222">
        <v>233</v>
      </c>
      <c r="E19222">
        <v>0</v>
      </c>
      <c r="F19222">
        <v>3</v>
      </c>
    </row>
    <row r="19223" spans="1:6" ht="12.75">
      <c r="A19223" s="2">
        <v>43876.619305555556</v>
      </c>
      <c r="B19223" t="str">
        <f>HYPERLINK("https://twitter.com/CornockStehen","@CornockStehen")</f>
        <v>@CornockStehen</v>
      </c>
      <c r="C19223" t="s">
        <v>3150</v>
      </c>
      <c r="D19223">
        <v>98</v>
      </c>
      <c r="E19223">
        <v>0</v>
      </c>
      <c r="F19223">
        <v>457</v>
      </c>
    </row>
    <row r="19224" spans="1:6" ht="12.75">
      <c r="A19224" s="2">
        <v>43876.619166666671</v>
      </c>
      <c r="B19224" t="str">
        <f>HYPERLINK("https://twitter.com/wafermelons","@wafermelons")</f>
        <v>@wafermelons</v>
      </c>
      <c r="C19224" t="s">
        <v>2444</v>
      </c>
      <c r="D19224">
        <v>4212</v>
      </c>
      <c r="E19224">
        <v>0</v>
      </c>
      <c r="F19224">
        <v>2117</v>
      </c>
    </row>
    <row r="19225" spans="1:6" ht="12.75">
      <c r="A19225" s="2">
        <v>43876.619143518517</v>
      </c>
      <c r="B19225" t="str">
        <f>HYPERLINK("https://twitter.com/otong_risna","@otong_risna")</f>
        <v>@otong_risna</v>
      </c>
      <c r="C19225" t="s">
        <v>2147</v>
      </c>
      <c r="D19225">
        <v>233</v>
      </c>
      <c r="E19225">
        <v>0</v>
      </c>
      <c r="F19225">
        <v>185</v>
      </c>
    </row>
    <row r="19226" spans="1:6" ht="12.75">
      <c r="A19226" s="2">
        <v>43876.619050925925</v>
      </c>
      <c r="B19226" t="str">
        <f>HYPERLINK("https://twitter.com/60far60pay","@60far60pay")</f>
        <v>@60far60pay</v>
      </c>
      <c r="C19226" t="s">
        <v>9694</v>
      </c>
      <c r="D19226">
        <v>0</v>
      </c>
      <c r="E19226">
        <v>0</v>
      </c>
      <c r="F19226">
        <v>745</v>
      </c>
    </row>
    <row r="19227" spans="1:6" ht="12.75">
      <c r="A19227" s="2">
        <v>43876.618773148148</v>
      </c>
      <c r="B19227" t="str">
        <f>HYPERLINK("https://twitter.com/XO024","@XO024")</f>
        <v>@XO024</v>
      </c>
      <c r="C19227" t="s">
        <v>9389</v>
      </c>
      <c r="D19227">
        <v>31</v>
      </c>
      <c r="E19227">
        <v>0</v>
      </c>
      <c r="F19227">
        <v>820</v>
      </c>
    </row>
    <row r="19228" spans="1:6" ht="12.75">
      <c r="A19228" s="2">
        <v>43876.618645833332</v>
      </c>
      <c r="B19228" t="str">
        <f>HYPERLINK("https://twitter.com/azurelcz","@azurelcz")</f>
        <v>@azurelcz</v>
      </c>
      <c r="C19228" t="s">
        <v>2444</v>
      </c>
      <c r="D19228">
        <v>4212</v>
      </c>
      <c r="E19228">
        <v>0</v>
      </c>
      <c r="F19228">
        <v>339</v>
      </c>
    </row>
    <row r="19229" spans="1:6" ht="12.75">
      <c r="A19229" s="2">
        <v>43876.61824074074</v>
      </c>
      <c r="B19229" t="str">
        <f>HYPERLINK("https://twitter.com/_antaresh","@_antaresh")</f>
        <v>@_antaresh</v>
      </c>
      <c r="C19229" t="s">
        <v>9695</v>
      </c>
      <c r="D19229">
        <v>21</v>
      </c>
      <c r="E19229">
        <v>0</v>
      </c>
      <c r="F19229">
        <v>3359</v>
      </c>
    </row>
    <row r="19230" spans="1:6" ht="12.75">
      <c r="A19230" s="2">
        <v>43876.618101851855</v>
      </c>
      <c r="B19230" t="str">
        <f>HYPERLINK("https://twitter.com/L1nglun9","@L1nglun9")</f>
        <v>@L1nglun9</v>
      </c>
      <c r="C19230" t="s">
        <v>9696</v>
      </c>
      <c r="D19230">
        <v>0</v>
      </c>
      <c r="E19230">
        <v>0</v>
      </c>
      <c r="F19230">
        <v>1021</v>
      </c>
    </row>
    <row r="19231" spans="1:6" ht="12.75">
      <c r="A19231" s="2">
        <v>43876.617962962962</v>
      </c>
      <c r="B19231" t="str">
        <f>HYPERLINK("https://twitter.com/EdwardRamly","@EdwardRamly")</f>
        <v>@EdwardRamly</v>
      </c>
      <c r="C19231" t="s">
        <v>9612</v>
      </c>
      <c r="D19231">
        <v>3</v>
      </c>
      <c r="E19231">
        <v>0</v>
      </c>
      <c r="F19231">
        <v>376</v>
      </c>
    </row>
    <row r="19232" spans="1:6" ht="12.75">
      <c r="A19232" s="2">
        <v>43876.61791666667</v>
      </c>
      <c r="B19232" t="str">
        <f>HYPERLINK("https://twitter.com/CahJywe","@CahJywe")</f>
        <v>@CahJywe</v>
      </c>
      <c r="C19232" t="s">
        <v>8665</v>
      </c>
      <c r="D19232">
        <v>167</v>
      </c>
      <c r="E19232">
        <v>0</v>
      </c>
      <c r="F19232">
        <v>2164</v>
      </c>
    </row>
    <row r="19233" spans="1:6" ht="12.75">
      <c r="A19233" s="2">
        <v>43876.617835648147</v>
      </c>
      <c r="B19233" t="str">
        <f>HYPERLINK("https://twitter.com/loekistraik","@loekistraik")</f>
        <v>@loekistraik</v>
      </c>
      <c r="C19233" t="s">
        <v>9697</v>
      </c>
      <c r="D19233">
        <v>3</v>
      </c>
      <c r="E19233">
        <v>0</v>
      </c>
      <c r="F19233">
        <v>266</v>
      </c>
    </row>
    <row r="19234" spans="1:6" ht="12.75">
      <c r="A19234" s="2">
        <v>43876.617708333331</v>
      </c>
      <c r="B19234" t="str">
        <f>HYPERLINK("https://twitter.com/Alexand31194753","@Alexand31194753")</f>
        <v>@Alexand31194753</v>
      </c>
      <c r="C19234" t="s">
        <v>9698</v>
      </c>
      <c r="D19234">
        <v>0</v>
      </c>
      <c r="E19234">
        <v>0</v>
      </c>
      <c r="F19234">
        <v>0</v>
      </c>
    </row>
    <row r="19235" spans="1:6" ht="12.75">
      <c r="A19235" s="2">
        <v>43876.617592592593</v>
      </c>
      <c r="B19235" t="str">
        <f>HYPERLINK("https://twitter.com/windlight21315_","@windlight21315_")</f>
        <v>@windlight21315_</v>
      </c>
      <c r="C19235" t="s">
        <v>9699</v>
      </c>
      <c r="D19235">
        <v>0</v>
      </c>
      <c r="E19235">
        <v>0</v>
      </c>
      <c r="F19235">
        <v>521</v>
      </c>
    </row>
    <row r="19236" spans="1:6" ht="12.75">
      <c r="A19236" s="2">
        <v>43876.617337962962</v>
      </c>
      <c r="B19236" t="str">
        <f>HYPERLINK("https://twitter.com/diponegros","@diponegros")</f>
        <v>@diponegros</v>
      </c>
      <c r="C19236" t="s">
        <v>5761</v>
      </c>
      <c r="D19236">
        <v>96</v>
      </c>
      <c r="E19236">
        <v>0</v>
      </c>
      <c r="F19236">
        <v>603</v>
      </c>
    </row>
    <row r="19237" spans="1:6" ht="12.75">
      <c r="A19237" s="2">
        <v>43876.617337962962</v>
      </c>
      <c r="B19237" t="str">
        <f>HYPERLINK("https://twitter.com/Galeh_Yuniar","@Galeh_Yuniar")</f>
        <v>@Galeh_Yuniar</v>
      </c>
      <c r="C19237" t="s">
        <v>2268</v>
      </c>
      <c r="D19237">
        <v>4</v>
      </c>
      <c r="E19237">
        <v>0</v>
      </c>
      <c r="F19237">
        <v>262</v>
      </c>
    </row>
    <row r="19238" spans="1:6" ht="12.75">
      <c r="A19238" s="2">
        <v>43876.617314814815</v>
      </c>
      <c r="B19238" t="str">
        <f>HYPERLINK("https://twitter.com/haniswahyunita","@haniswahyunita")</f>
        <v>@haniswahyunita</v>
      </c>
      <c r="C19238" t="s">
        <v>2444</v>
      </c>
      <c r="D19238">
        <v>4212</v>
      </c>
      <c r="E19238">
        <v>0</v>
      </c>
      <c r="F19238">
        <v>359</v>
      </c>
    </row>
    <row r="19239" spans="1:6" ht="12.75">
      <c r="A19239" s="2">
        <v>43876.617245370369</v>
      </c>
      <c r="B19239" t="str">
        <f>HYPERLINK("https://twitter.com/mitami22","@mitami22")</f>
        <v>@mitami22</v>
      </c>
      <c r="C19239" t="s">
        <v>9700</v>
      </c>
      <c r="D19239">
        <v>0</v>
      </c>
      <c r="E19239">
        <v>0</v>
      </c>
      <c r="F19239">
        <v>534</v>
      </c>
    </row>
    <row r="19240" spans="1:6" ht="12.75">
      <c r="A19240" s="2">
        <v>43876.617013888885</v>
      </c>
      <c r="B19240" t="str">
        <f>HYPERLINK("https://twitter.com/heykerrieannn","@heykerrieannn")</f>
        <v>@heykerrieannn</v>
      </c>
      <c r="C19240" t="s">
        <v>3150</v>
      </c>
      <c r="D19240">
        <v>98</v>
      </c>
      <c r="E19240">
        <v>0</v>
      </c>
      <c r="F19240">
        <v>2219</v>
      </c>
    </row>
    <row r="19241" spans="1:6" ht="12.75">
      <c r="A19241" s="2">
        <v>43876.616979166662</v>
      </c>
      <c r="B19241" t="str">
        <f>HYPERLINK("https://twitter.com/NAquaresta","@NAquaresta")</f>
        <v>@NAquaresta</v>
      </c>
      <c r="C19241" t="s">
        <v>9701</v>
      </c>
      <c r="D19241">
        <v>0</v>
      </c>
      <c r="E19241">
        <v>0</v>
      </c>
      <c r="F19241">
        <v>21</v>
      </c>
    </row>
    <row r="19242" spans="1:6" ht="12.75">
      <c r="A19242" s="2">
        <v>43876.616782407407</v>
      </c>
      <c r="B19242" t="str">
        <f>HYPERLINK("https://twitter.com/e100ss","@e100ss")</f>
        <v>@e100ss</v>
      </c>
      <c r="C19242" t="s">
        <v>9702</v>
      </c>
      <c r="D19242">
        <v>2</v>
      </c>
      <c r="E19242">
        <v>5</v>
      </c>
      <c r="F19242">
        <v>779339</v>
      </c>
    </row>
    <row r="19243" spans="1:6" ht="12.75">
      <c r="A19243" s="2">
        <v>43876.61645833333</v>
      </c>
      <c r="B19243" t="str">
        <f>HYPERLINK("https://twitter.com/wahhabicc_jabar","@wahhabicc_jabar")</f>
        <v>@wahhabicc_jabar</v>
      </c>
      <c r="C19243" t="s">
        <v>8628</v>
      </c>
      <c r="D19243">
        <v>82</v>
      </c>
      <c r="E19243">
        <v>0</v>
      </c>
      <c r="F19243">
        <v>30191</v>
      </c>
    </row>
    <row r="19244" spans="1:6" ht="12.75">
      <c r="A19244" s="2">
        <v>43876.616076388891</v>
      </c>
      <c r="B19244" t="str">
        <f>HYPERLINK("https://twitter.com/RFauzy5","@RFauzy5")</f>
        <v>@RFauzy5</v>
      </c>
      <c r="C19244" t="s">
        <v>9091</v>
      </c>
      <c r="D19244">
        <v>9</v>
      </c>
      <c r="E19244">
        <v>0</v>
      </c>
      <c r="F19244">
        <v>2470</v>
      </c>
    </row>
    <row r="19245" spans="1:6" ht="12.75">
      <c r="A19245" s="2">
        <v>43876.616030092591</v>
      </c>
      <c r="B19245" t="str">
        <f>HYPERLINK("https://twitter.com/lonelyy52whale","@lonelyy52whale")</f>
        <v>@lonelyy52whale</v>
      </c>
      <c r="C19245" t="s">
        <v>2444</v>
      </c>
      <c r="D19245">
        <v>4212</v>
      </c>
      <c r="E19245">
        <v>0</v>
      </c>
      <c r="F19245">
        <v>1289</v>
      </c>
    </row>
    <row r="19246" spans="1:6" ht="12.75">
      <c r="A19246" s="2">
        <v>43876.615972222222</v>
      </c>
      <c r="B19246" t="str">
        <f>HYPERLINK("https://twitter.com/JuanAndika85","@JuanAndika85")</f>
        <v>@JuanAndika85</v>
      </c>
      <c r="C19246" t="s">
        <v>3059</v>
      </c>
      <c r="D19246">
        <v>188</v>
      </c>
      <c r="E19246">
        <v>0</v>
      </c>
      <c r="F19246">
        <v>36</v>
      </c>
    </row>
    <row r="19247" spans="1:6" ht="12.75">
      <c r="A19247" s="2">
        <v>43876.615879629629</v>
      </c>
      <c r="B19247" t="str">
        <f>HYPERLINK("https://twitter.com/bintangt0rett0","@bintangt0rett0")</f>
        <v>@bintangt0rett0</v>
      </c>
      <c r="C19247" t="s">
        <v>9703</v>
      </c>
      <c r="D19247">
        <v>0</v>
      </c>
      <c r="E19247">
        <v>0</v>
      </c>
      <c r="F19247">
        <v>187</v>
      </c>
    </row>
    <row r="19248" spans="1:6" ht="12.75">
      <c r="A19248" s="2">
        <v>43876.615844907406</v>
      </c>
      <c r="B19248" t="str">
        <f>HYPERLINK("https://twitter.com/dulfth","@dulfth")</f>
        <v>@dulfth</v>
      </c>
      <c r="C19248" t="s">
        <v>2147</v>
      </c>
      <c r="D19248">
        <v>233</v>
      </c>
      <c r="E19248">
        <v>0</v>
      </c>
      <c r="F19248">
        <v>244</v>
      </c>
    </row>
    <row r="19249" spans="1:6" ht="12.75">
      <c r="A19249" s="2">
        <v>43876.615729166668</v>
      </c>
      <c r="B19249" t="str">
        <f>HYPERLINK("https://twitter.com/tato_naga","@tato_naga")</f>
        <v>@tato_naga</v>
      </c>
      <c r="C19249" t="s">
        <v>9704</v>
      </c>
      <c r="D19249">
        <v>0</v>
      </c>
      <c r="E19249">
        <v>0</v>
      </c>
      <c r="F19249">
        <v>1858</v>
      </c>
    </row>
    <row r="19250" spans="1:6" ht="12.75">
      <c r="A19250" s="2">
        <v>43876.615358796298</v>
      </c>
      <c r="B19250" t="str">
        <f>HYPERLINK("https://twitter.com/hendry_martien","@hendry_martien")</f>
        <v>@hendry_martien</v>
      </c>
      <c r="C19250" t="s">
        <v>9526</v>
      </c>
      <c r="D19250">
        <v>8</v>
      </c>
      <c r="E19250">
        <v>0</v>
      </c>
      <c r="F19250">
        <v>632</v>
      </c>
    </row>
    <row r="19251" spans="1:6" ht="12.75">
      <c r="A19251" s="2">
        <v>43876.584861111114</v>
      </c>
      <c r="B19251" t="str">
        <f>HYPERLINK("https://twitter.com/ardhawm","@ardhawm")</f>
        <v>@ardhawm</v>
      </c>
      <c r="C19251" t="s">
        <v>9705</v>
      </c>
      <c r="D19251">
        <v>0</v>
      </c>
      <c r="E19251">
        <v>0</v>
      </c>
      <c r="F19251">
        <v>478</v>
      </c>
    </row>
    <row r="19252" spans="1:6" ht="12.75">
      <c r="A19252" s="2">
        <v>43876.584756944445</v>
      </c>
      <c r="B19252" t="str">
        <f>HYPERLINK("https://twitter.com/littlegukiee","@littlegukiee")</f>
        <v>@littlegukiee</v>
      </c>
      <c r="C19252" t="s">
        <v>2444</v>
      </c>
      <c r="D19252">
        <v>4147</v>
      </c>
      <c r="E19252">
        <v>0</v>
      </c>
      <c r="F19252">
        <v>31</v>
      </c>
    </row>
    <row r="19253" spans="1:6" ht="12.75">
      <c r="A19253" s="2">
        <v>43876.584756944445</v>
      </c>
      <c r="B19253" t="str">
        <f>HYPERLINK("https://twitter.com/BatamPos","@BatamPos")</f>
        <v>@BatamPos</v>
      </c>
      <c r="C19253" t="s">
        <v>9706</v>
      </c>
      <c r="D19253">
        <v>0</v>
      </c>
      <c r="E19253">
        <v>0</v>
      </c>
      <c r="F19253">
        <v>67358</v>
      </c>
    </row>
    <row r="19254" spans="1:6" ht="12.75">
      <c r="A19254" s="2">
        <v>43876.584733796291</v>
      </c>
      <c r="B19254" t="str">
        <f>HYPERLINK("https://twitter.com/rhenvao","@rhenvao")</f>
        <v>@rhenvao</v>
      </c>
      <c r="C19254" t="s">
        <v>2444</v>
      </c>
      <c r="D19254">
        <v>4147</v>
      </c>
      <c r="E19254">
        <v>0</v>
      </c>
      <c r="F19254">
        <v>298</v>
      </c>
    </row>
    <row r="19255" spans="1:6" ht="12.75">
      <c r="A19255" s="2">
        <v>43876.584687499999</v>
      </c>
      <c r="B19255" t="str">
        <f>HYPERLINK("https://twitter.com/Rivafzh","@Rivafzh")</f>
        <v>@Rivafzh</v>
      </c>
      <c r="C19255" t="s">
        <v>9707</v>
      </c>
      <c r="D19255">
        <v>0</v>
      </c>
      <c r="E19255">
        <v>0</v>
      </c>
      <c r="F19255">
        <v>445</v>
      </c>
    </row>
    <row r="19256" spans="1:6" ht="12.75">
      <c r="A19256" s="2">
        <v>43876.584560185191</v>
      </c>
      <c r="B19256" t="str">
        <f>HYPERLINK("https://twitter.com/rhenvao","@rhenvao")</f>
        <v>@rhenvao</v>
      </c>
      <c r="C19256" t="s">
        <v>5168</v>
      </c>
      <c r="D19256">
        <v>1523</v>
      </c>
      <c r="E19256">
        <v>0</v>
      </c>
      <c r="F19256">
        <v>298</v>
      </c>
    </row>
    <row r="19257" spans="1:6" ht="12.75">
      <c r="A19257" s="2">
        <v>43876.584513888884</v>
      </c>
      <c r="B19257" t="str">
        <f>HYPERLINK("https://twitter.com/amratnaa","@amratnaa")</f>
        <v>@amratnaa</v>
      </c>
      <c r="C19257" t="s">
        <v>2444</v>
      </c>
      <c r="D19257">
        <v>4147</v>
      </c>
      <c r="E19257">
        <v>0</v>
      </c>
      <c r="F19257">
        <v>1929</v>
      </c>
    </row>
    <row r="19258" spans="1:6" ht="12.75">
      <c r="A19258" s="2">
        <v>43876.584444444445</v>
      </c>
      <c r="B19258" t="str">
        <f>HYPERLINK("https://twitter.com/hemaviton99","@hemaviton99")</f>
        <v>@hemaviton99</v>
      </c>
      <c r="C19258" t="s">
        <v>9708</v>
      </c>
      <c r="D19258">
        <v>1</v>
      </c>
      <c r="E19258">
        <v>0</v>
      </c>
      <c r="F19258">
        <v>3686</v>
      </c>
    </row>
    <row r="19259" spans="1:6" ht="12.75">
      <c r="A19259" s="2">
        <v>43876.584421296298</v>
      </c>
      <c r="B19259" t="str">
        <f>HYPERLINK("https://twitter.com/AnugrahBerla","@AnugrahBerla")</f>
        <v>@AnugrahBerla</v>
      </c>
      <c r="C19259" t="s">
        <v>6201</v>
      </c>
      <c r="D19259">
        <v>491</v>
      </c>
      <c r="E19259">
        <v>0</v>
      </c>
      <c r="F19259">
        <v>18</v>
      </c>
    </row>
    <row r="19260" spans="1:6" ht="12.75">
      <c r="A19260" s="2">
        <v>43876.584386574075</v>
      </c>
      <c r="B19260" t="str">
        <f>HYPERLINK("https://twitter.com/beatrice_health","@beatrice_health")</f>
        <v>@beatrice_health</v>
      </c>
      <c r="C19260" t="s">
        <v>9709</v>
      </c>
      <c r="D19260">
        <v>1</v>
      </c>
      <c r="E19260">
        <v>0</v>
      </c>
      <c r="F19260">
        <v>84</v>
      </c>
    </row>
    <row r="19261" spans="1:6" ht="12.75">
      <c r="A19261" s="2">
        <v>43876.584351851852</v>
      </c>
      <c r="B19261" t="str">
        <f>HYPERLINK("https://twitter.com/HoofdbureauID","@HoofdbureauID")</f>
        <v>@HoofdbureauID</v>
      </c>
      <c r="C19261" t="s">
        <v>9710</v>
      </c>
      <c r="D19261">
        <v>1</v>
      </c>
      <c r="E19261">
        <v>0</v>
      </c>
      <c r="F19261">
        <v>11104</v>
      </c>
    </row>
    <row r="19262" spans="1:6" ht="12.75">
      <c r="A19262" s="2">
        <v>43876.584236111114</v>
      </c>
      <c r="B19262" t="str">
        <f>HYPERLINK("https://twitter.com/onombolas","@onombolas")</f>
        <v>@onombolas</v>
      </c>
      <c r="C19262" t="s">
        <v>9711</v>
      </c>
      <c r="D19262">
        <v>0</v>
      </c>
      <c r="E19262">
        <v>0</v>
      </c>
      <c r="F19262">
        <v>163</v>
      </c>
    </row>
    <row r="19263" spans="1:6" ht="12.75">
      <c r="A19263" s="2">
        <v>43876.584189814814</v>
      </c>
      <c r="B19263" t="str">
        <f>HYPERLINK("https://twitter.com/pamungkashusein","@pamungkashusein")</f>
        <v>@pamungkashusein</v>
      </c>
      <c r="C19263" t="s">
        <v>9712</v>
      </c>
      <c r="D19263">
        <v>0</v>
      </c>
      <c r="E19263">
        <v>0</v>
      </c>
      <c r="F19263">
        <v>97</v>
      </c>
    </row>
    <row r="19264" spans="1:6" ht="12.75">
      <c r="A19264" s="2">
        <v>43876.584178240737</v>
      </c>
      <c r="B19264" t="str">
        <f>HYPERLINK("https://twitter.com/adisaelangi_id","@adisaelangi_id")</f>
        <v>@adisaelangi_id</v>
      </c>
      <c r="C19264" t="s">
        <v>9046</v>
      </c>
      <c r="D19264">
        <v>2</v>
      </c>
      <c r="E19264">
        <v>0</v>
      </c>
      <c r="F19264">
        <v>1708</v>
      </c>
    </row>
    <row r="19265" spans="1:6" ht="12.75">
      <c r="A19265" s="2">
        <v>43876.58394675926</v>
      </c>
      <c r="B19265" t="str">
        <f>HYPERLINK("https://twitter.com/DenisUltra","@DenisUltra")</f>
        <v>@DenisUltra</v>
      </c>
      <c r="C19265" t="s">
        <v>9713</v>
      </c>
      <c r="D19265">
        <v>0</v>
      </c>
      <c r="E19265">
        <v>0</v>
      </c>
      <c r="F19265">
        <v>100</v>
      </c>
    </row>
    <row r="19266" spans="1:6" ht="12.75">
      <c r="A19266" s="2">
        <v>43876.58388888889</v>
      </c>
      <c r="B19266" t="str">
        <f>HYPERLINK("https://twitter.com/dareallazyman","@dareallazyman")</f>
        <v>@dareallazyman</v>
      </c>
      <c r="C19266" t="s">
        <v>5168</v>
      </c>
      <c r="D19266">
        <v>1523</v>
      </c>
      <c r="E19266">
        <v>0</v>
      </c>
      <c r="F19266">
        <v>2133</v>
      </c>
    </row>
    <row r="19267" spans="1:6" ht="12.75">
      <c r="A19267" s="2">
        <v>43876.58388888889</v>
      </c>
      <c r="B19267" t="str">
        <f>HYPERLINK("https://twitter.com/pejuangkhilaf","@pejuangkhilaf")</f>
        <v>@pejuangkhilaf</v>
      </c>
      <c r="C19267" t="s">
        <v>9714</v>
      </c>
      <c r="D19267">
        <v>2</v>
      </c>
      <c r="E19267">
        <v>0</v>
      </c>
      <c r="F19267">
        <v>69</v>
      </c>
    </row>
    <row r="19268" spans="1:6" ht="12.75">
      <c r="A19268" s="2">
        <v>43876.583750000005</v>
      </c>
      <c r="B19268" t="str">
        <f>HYPERLINK("https://twitter.com/pernahKangen","@pernahKangen")</f>
        <v>@pernahKangen</v>
      </c>
      <c r="C19268" t="s">
        <v>9715</v>
      </c>
      <c r="D19268">
        <v>0</v>
      </c>
      <c r="E19268">
        <v>0</v>
      </c>
      <c r="F19268">
        <v>2282</v>
      </c>
    </row>
    <row r="19269" spans="1:6" ht="12.75">
      <c r="A19269" s="2">
        <v>43876.583692129629</v>
      </c>
      <c r="B19269" t="str">
        <f>HYPERLINK("https://twitter.com/VivaINDONESIA","@VivaINDONESIA")</f>
        <v>@VivaINDONESIA</v>
      </c>
      <c r="C19269" t="s">
        <v>9716</v>
      </c>
      <c r="D19269">
        <v>0</v>
      </c>
      <c r="E19269">
        <v>0</v>
      </c>
      <c r="F19269">
        <v>1006</v>
      </c>
    </row>
    <row r="19270" spans="1:6" ht="12.75">
      <c r="A19270" s="2">
        <v>43876.583692129629</v>
      </c>
      <c r="B19270" t="str">
        <f>HYPERLINK("https://twitter.com/reoartho","@reoartho")</f>
        <v>@reoartho</v>
      </c>
      <c r="C19270" t="s">
        <v>2147</v>
      </c>
      <c r="D19270">
        <v>187</v>
      </c>
      <c r="E19270">
        <v>0</v>
      </c>
      <c r="F19270">
        <v>8</v>
      </c>
    </row>
    <row r="19271" spans="1:6" ht="12.75">
      <c r="A19271" s="2">
        <v>43876.58357638889</v>
      </c>
      <c r="B19271" t="str">
        <f>HYPERLINK("https://twitter.com/Fadil38579039","@Fadil38579039")</f>
        <v>@Fadil38579039</v>
      </c>
      <c r="C19271" t="s">
        <v>7888</v>
      </c>
      <c r="D19271">
        <v>76</v>
      </c>
      <c r="E19271">
        <v>0</v>
      </c>
      <c r="F19271">
        <v>459</v>
      </c>
    </row>
    <row r="19272" spans="1:6" ht="12.75">
      <c r="A19272" s="2">
        <v>43876.583564814813</v>
      </c>
      <c r="B19272" t="str">
        <f>HYPERLINK("https://twitter.com/mrbhsr","@mrbhsr")</f>
        <v>@mrbhsr</v>
      </c>
      <c r="C19272" t="s">
        <v>9717</v>
      </c>
      <c r="D19272">
        <v>0</v>
      </c>
      <c r="E19272">
        <v>0</v>
      </c>
      <c r="F19272">
        <v>626</v>
      </c>
    </row>
    <row r="19273" spans="1:6" ht="12.75">
      <c r="A19273" s="2">
        <v>43876.583541666667</v>
      </c>
      <c r="B19273" t="str">
        <f>HYPERLINK("https://twitter.com/pirrcess","@pirrcess")</f>
        <v>@pirrcess</v>
      </c>
      <c r="C19273" t="s">
        <v>8644</v>
      </c>
      <c r="D19273">
        <v>46</v>
      </c>
      <c r="E19273">
        <v>0</v>
      </c>
      <c r="F19273">
        <v>395</v>
      </c>
    </row>
    <row r="19274" spans="1:6" ht="12.75">
      <c r="A19274" s="2">
        <v>43876.583472222221</v>
      </c>
      <c r="B19274" t="str">
        <f>HYPERLINK("https://twitter.com/Tio7Willy","@Tio7Willy")</f>
        <v>@Tio7Willy</v>
      </c>
      <c r="C19274" t="s">
        <v>2147</v>
      </c>
      <c r="D19274">
        <v>187</v>
      </c>
      <c r="E19274">
        <v>0</v>
      </c>
      <c r="F19274">
        <v>249</v>
      </c>
    </row>
    <row r="19275" spans="1:6" ht="12.75">
      <c r="A19275" s="2">
        <v>43876.583437499998</v>
      </c>
      <c r="B19275" t="str">
        <f>HYPERLINK("https://twitter.com/MNCNewsroom","@MNCNewsroom")</f>
        <v>@MNCNewsroom</v>
      </c>
      <c r="C19275" t="s">
        <v>9718</v>
      </c>
      <c r="D19275">
        <v>0</v>
      </c>
      <c r="E19275">
        <v>0</v>
      </c>
      <c r="F19275">
        <v>17544</v>
      </c>
    </row>
    <row r="19276" spans="1:6" ht="12.75">
      <c r="A19276" s="2">
        <v>43876.583333333328</v>
      </c>
      <c r="B19276" t="str">
        <f>HYPERLINK("https://twitter.com/shintawin","@shintawin")</f>
        <v>@shintawin</v>
      </c>
      <c r="C19276" t="s">
        <v>9719</v>
      </c>
      <c r="D19276">
        <v>0</v>
      </c>
      <c r="E19276">
        <v>0</v>
      </c>
      <c r="F19276">
        <v>48</v>
      </c>
    </row>
    <row r="19277" spans="1:6" ht="12.75">
      <c r="A19277" s="2">
        <v>43876.583310185189</v>
      </c>
      <c r="B19277" t="str">
        <f>HYPERLINK("https://twitter.com/OfficialiNewsTV","@OfficialiNewsTV")</f>
        <v>@OfficialiNewsTV</v>
      </c>
      <c r="C19277" t="s">
        <v>9658</v>
      </c>
      <c r="D19277">
        <v>1</v>
      </c>
      <c r="E19277">
        <v>1</v>
      </c>
      <c r="F19277">
        <v>95853</v>
      </c>
    </row>
    <row r="19278" spans="1:6" ht="12.75">
      <c r="A19278" s="2">
        <v>43876.583252314813</v>
      </c>
      <c r="B19278" t="str">
        <f>HYPERLINK("https://twitter.com/wickedjoon_","@wickedjoon_")</f>
        <v>@wickedjoon_</v>
      </c>
      <c r="C19278" t="s">
        <v>9720</v>
      </c>
      <c r="D19278">
        <v>1</v>
      </c>
      <c r="E19278">
        <v>0</v>
      </c>
      <c r="F19278">
        <v>5217</v>
      </c>
    </row>
    <row r="19279" spans="1:6" ht="12.75">
      <c r="A19279" s="2">
        <v>43876.583101851851</v>
      </c>
      <c r="B19279" t="str">
        <f>HYPERLINK("https://twitter.com/BlongBanu","@BlongBanu")</f>
        <v>@BlongBanu</v>
      </c>
      <c r="C19279" t="s">
        <v>9721</v>
      </c>
      <c r="D19279">
        <v>0</v>
      </c>
      <c r="E19279">
        <v>0</v>
      </c>
      <c r="F19279">
        <v>15</v>
      </c>
    </row>
    <row r="19280" spans="1:6" ht="12.75">
      <c r="A19280" s="2">
        <v>43876.583043981482</v>
      </c>
      <c r="B19280" t="str">
        <f>HYPERLINK("https://twitter.com/itsnla","@itsnla")</f>
        <v>@itsnla</v>
      </c>
      <c r="C19280" t="s">
        <v>2444</v>
      </c>
      <c r="D19280">
        <v>4147</v>
      </c>
      <c r="E19280">
        <v>0</v>
      </c>
      <c r="F19280">
        <v>413</v>
      </c>
    </row>
    <row r="19281" spans="1:6" ht="12.75">
      <c r="A19281" s="2">
        <v>43876.582974537036</v>
      </c>
      <c r="B19281" t="str">
        <f>HYPERLINK("https://twitter.com/kepripediacom","@kepripediacom")</f>
        <v>@kepripediacom</v>
      </c>
      <c r="C19281" t="s">
        <v>9722</v>
      </c>
      <c r="D19281">
        <v>0</v>
      </c>
      <c r="E19281">
        <v>0</v>
      </c>
      <c r="F19281">
        <v>181</v>
      </c>
    </row>
    <row r="19282" spans="1:6" ht="12.75">
      <c r="A19282" s="2">
        <v>43876.582962962959</v>
      </c>
      <c r="B19282" t="str">
        <f>HYPERLINK("https://twitter.com/KevinPerwira007","@KevinPerwira007")</f>
        <v>@KevinPerwira007</v>
      </c>
      <c r="C19282" t="s">
        <v>9046</v>
      </c>
      <c r="D19282">
        <v>2</v>
      </c>
      <c r="E19282">
        <v>0</v>
      </c>
      <c r="F19282">
        <v>894</v>
      </c>
    </row>
    <row r="19283" spans="1:6" ht="12.75">
      <c r="A19283" s="2">
        <v>43876.582905092597</v>
      </c>
      <c r="B19283" t="str">
        <f>HYPERLINK("https://twitter.com/wonderfoozle","@wonderfoozle")</f>
        <v>@wonderfoozle</v>
      </c>
      <c r="C19283" t="s">
        <v>2444</v>
      </c>
      <c r="D19283">
        <v>4147</v>
      </c>
      <c r="E19283">
        <v>0</v>
      </c>
      <c r="F19283">
        <v>355</v>
      </c>
    </row>
    <row r="19284" spans="1:6" ht="12.75">
      <c r="A19284" s="2">
        <v>43876.582824074074</v>
      </c>
      <c r="B19284" t="str">
        <f>HYPERLINK("https://twitter.com/Set0_Adi","@Set0_Adi")</f>
        <v>@Set0_Adi</v>
      </c>
      <c r="C19284" t="s">
        <v>9723</v>
      </c>
      <c r="D19284">
        <v>0</v>
      </c>
      <c r="E19284">
        <v>0</v>
      </c>
      <c r="F19284">
        <v>218</v>
      </c>
    </row>
    <row r="19285" spans="1:6" ht="12.75">
      <c r="A19285" s="2">
        <v>43876.582662037035</v>
      </c>
      <c r="B19285" t="str">
        <f>HYPERLINK("https://twitter.com/flamingyuuu_","@flamingyuuu_")</f>
        <v>@flamingyuuu_</v>
      </c>
      <c r="C19285" t="s">
        <v>2444</v>
      </c>
      <c r="D19285">
        <v>4147</v>
      </c>
      <c r="E19285">
        <v>0</v>
      </c>
      <c r="F19285">
        <v>947</v>
      </c>
    </row>
    <row r="19286" spans="1:6" ht="12.75">
      <c r="A19286" s="2">
        <v>43876.58258101852</v>
      </c>
      <c r="B19286" t="str">
        <f>HYPERLINK("https://twitter.com/AshTuck7","@AshTuck7")</f>
        <v>@AshTuck7</v>
      </c>
      <c r="C19286" t="s">
        <v>3150</v>
      </c>
      <c r="D19286">
        <v>90</v>
      </c>
      <c r="E19286">
        <v>0</v>
      </c>
      <c r="F19286">
        <v>139</v>
      </c>
    </row>
    <row r="19287" spans="1:6" ht="12.75">
      <c r="A19287" s="2">
        <v>43876.582534722227</v>
      </c>
      <c r="B19287" t="str">
        <f>HYPERLINK("https://twitter.com/exhauz","@exhauz")</f>
        <v>@exhauz</v>
      </c>
      <c r="C19287" t="s">
        <v>2444</v>
      </c>
      <c r="D19287">
        <v>4147</v>
      </c>
      <c r="E19287">
        <v>0</v>
      </c>
      <c r="F19287">
        <v>891</v>
      </c>
    </row>
    <row r="19288" spans="1:6" ht="12.75">
      <c r="A19288" s="2">
        <v>43876.582523148143</v>
      </c>
      <c r="B19288" t="str">
        <f>HYPERLINK("https://twitter.com/AjieKlowor","@AjieKlowor")</f>
        <v>@AjieKlowor</v>
      </c>
      <c r="C19288" t="s">
        <v>8650</v>
      </c>
      <c r="D19288">
        <v>25</v>
      </c>
      <c r="E19288">
        <v>0</v>
      </c>
      <c r="F19288">
        <v>962</v>
      </c>
    </row>
    <row r="19289" spans="1:6" ht="12.75">
      <c r="A19289" s="2">
        <v>43876.582500000004</v>
      </c>
      <c r="B19289" t="str">
        <f>HYPERLINK("https://twitter.com/MasOdang2","@MasOdang2")</f>
        <v>@MasOdang2</v>
      </c>
      <c r="C19289" t="s">
        <v>9724</v>
      </c>
      <c r="D19289">
        <v>2</v>
      </c>
      <c r="E19289">
        <v>0</v>
      </c>
      <c r="F19289">
        <v>2894</v>
      </c>
    </row>
    <row r="19290" spans="1:6" ht="12.75">
      <c r="A19290" s="2">
        <v>43876.582442129627</v>
      </c>
      <c r="B19290" t="str">
        <f>HYPERLINK("https://twitter.com/Realitarakyat01","@Realitarakyat01")</f>
        <v>@Realitarakyat01</v>
      </c>
      <c r="C19290" t="s">
        <v>9725</v>
      </c>
      <c r="D19290">
        <v>0</v>
      </c>
      <c r="E19290">
        <v>0</v>
      </c>
      <c r="F19290">
        <v>121</v>
      </c>
    </row>
    <row r="19291" spans="1:6" ht="12.75">
      <c r="A19291" s="2">
        <v>43876.582384259258</v>
      </c>
      <c r="B19291" t="str">
        <f>HYPERLINK("https://twitter.com/Onta_buluk","@Onta_buluk")</f>
        <v>@Onta_buluk</v>
      </c>
      <c r="C19291" t="s">
        <v>9590</v>
      </c>
      <c r="D19291">
        <v>66</v>
      </c>
      <c r="E19291">
        <v>0</v>
      </c>
      <c r="F19291">
        <v>3573</v>
      </c>
    </row>
    <row r="19292" spans="1:6" ht="12.75">
      <c r="A19292" s="2">
        <v>43876.582314814819</v>
      </c>
      <c r="B19292" t="str">
        <f>HYPERLINK("https://twitter.com/galamedianews","@galamedianews")</f>
        <v>@galamedianews</v>
      </c>
      <c r="C19292" t="s">
        <v>9726</v>
      </c>
      <c r="D19292">
        <v>0</v>
      </c>
      <c r="E19292">
        <v>0</v>
      </c>
      <c r="F19292">
        <v>13722</v>
      </c>
    </row>
    <row r="19293" spans="1:6" ht="12.75">
      <c r="A19293" s="2">
        <v>43876.582048611112</v>
      </c>
      <c r="B19293" t="str">
        <f>HYPERLINK("https://twitter.com/DinSaripuddin","@DinSaripuddin")</f>
        <v>@DinSaripuddin</v>
      </c>
      <c r="C19293" t="s">
        <v>9727</v>
      </c>
      <c r="D19293">
        <v>1</v>
      </c>
      <c r="E19293">
        <v>0</v>
      </c>
      <c r="F19293">
        <v>1190</v>
      </c>
    </row>
    <row r="19294" spans="1:6" ht="12.75">
      <c r="A19294" s="2">
        <v>43876.581909722227</v>
      </c>
      <c r="B19294" t="str">
        <f>HYPERLINK("https://twitter.com/JohnIrwan4","@JohnIrwan4")</f>
        <v>@JohnIrwan4</v>
      </c>
      <c r="C19294" t="s">
        <v>9695</v>
      </c>
      <c r="D19294">
        <v>15</v>
      </c>
      <c r="E19294">
        <v>0</v>
      </c>
      <c r="F19294">
        <v>2138</v>
      </c>
    </row>
    <row r="19295" spans="1:6" ht="12.75">
      <c r="A19295" s="2">
        <v>43876.58189814815</v>
      </c>
      <c r="B19295" t="str">
        <f>HYPERLINK("https://twitter.com/yudiseti","@yudiseti")</f>
        <v>@yudiseti</v>
      </c>
      <c r="C19295" t="s">
        <v>8665</v>
      </c>
      <c r="D19295">
        <v>148</v>
      </c>
      <c r="E19295">
        <v>0</v>
      </c>
      <c r="F19295">
        <v>88</v>
      </c>
    </row>
    <row r="19296" spans="1:6" ht="12.75">
      <c r="A19296" s="2">
        <v>43876.58189814815</v>
      </c>
      <c r="B19296" t="str">
        <f>HYPERLINK("https://twitter.com/SahabatRG","@SahabatRG")</f>
        <v>@SahabatRG</v>
      </c>
      <c r="C19296" t="s">
        <v>9728</v>
      </c>
      <c r="D19296">
        <v>2</v>
      </c>
      <c r="E19296">
        <v>2</v>
      </c>
      <c r="F19296">
        <v>2754</v>
      </c>
    </row>
    <row r="19297" spans="1:6" ht="12.75">
      <c r="A19297" s="2">
        <v>43876.581886574073</v>
      </c>
      <c r="B19297" t="str">
        <f>HYPERLINK("https://twitter.com/HoofdbureauID","@HoofdbureauID")</f>
        <v>@HoofdbureauID</v>
      </c>
      <c r="C19297" t="s">
        <v>9729</v>
      </c>
      <c r="D19297">
        <v>0</v>
      </c>
      <c r="E19297">
        <v>0</v>
      </c>
      <c r="F19297">
        <v>11104</v>
      </c>
    </row>
    <row r="19298" spans="1:6" ht="12.75">
      <c r="A19298" s="2">
        <v>43876.581863425927</v>
      </c>
      <c r="B19298" t="str">
        <f>HYPERLINK("https://twitter.com/So3daRn0","@So3daRn0")</f>
        <v>@So3daRn0</v>
      </c>
      <c r="C19298" t="s">
        <v>8665</v>
      </c>
      <c r="D19298">
        <v>148</v>
      </c>
      <c r="E19298">
        <v>0</v>
      </c>
      <c r="F19298">
        <v>1204</v>
      </c>
    </row>
    <row r="19299" spans="1:6" ht="12.75">
      <c r="A19299" s="2">
        <v>43876.581863425927</v>
      </c>
      <c r="B19299" t="str">
        <f>HYPERLINK("https://twitter.com/Dolley_Agri","@Dolley_Agri")</f>
        <v>@Dolley_Agri</v>
      </c>
      <c r="C19299" t="s">
        <v>9730</v>
      </c>
      <c r="D19299">
        <v>5</v>
      </c>
      <c r="E19299">
        <v>0</v>
      </c>
      <c r="F19299">
        <v>3158</v>
      </c>
    </row>
    <row r="19300" spans="1:6" ht="12.75">
      <c r="A19300" s="2">
        <v>43876.581712962958</v>
      </c>
      <c r="B19300" t="str">
        <f>HYPERLINK("https://twitter.com/Apriil68","@Apriil68")</f>
        <v>@Apriil68</v>
      </c>
      <c r="C19300" t="s">
        <v>8650</v>
      </c>
      <c r="D19300">
        <v>25</v>
      </c>
      <c r="E19300">
        <v>0</v>
      </c>
      <c r="F19300">
        <v>2977</v>
      </c>
    </row>
    <row r="19301" spans="1:6" ht="12.75">
      <c r="A19301" s="2">
        <v>43876.58148148148</v>
      </c>
      <c r="B19301" t="str">
        <f>HYPERLINK("https://twitter.com/koiwaala","@koiwaala")</f>
        <v>@koiwaala</v>
      </c>
      <c r="C19301" t="s">
        <v>2444</v>
      </c>
      <c r="D19301">
        <v>4147</v>
      </c>
      <c r="E19301">
        <v>0</v>
      </c>
      <c r="F19301">
        <v>5992</v>
      </c>
    </row>
    <row r="19302" spans="1:6" ht="12.75">
      <c r="A19302" s="2">
        <v>43876.581435185188</v>
      </c>
      <c r="B19302" t="str">
        <f>HYPERLINK("https://twitter.com/MasOdang2","@MasOdang2")</f>
        <v>@MasOdang2</v>
      </c>
      <c r="C19302" t="s">
        <v>8665</v>
      </c>
      <c r="D19302">
        <v>148</v>
      </c>
      <c r="E19302">
        <v>0</v>
      </c>
      <c r="F19302">
        <v>2894</v>
      </c>
    </row>
    <row r="19303" spans="1:6" ht="12.75">
      <c r="A19303" s="2">
        <v>43876.581388888888</v>
      </c>
      <c r="B19303" t="str">
        <f>HYPERLINK("https://twitter.com/eko_suhartanto","@eko_suhartanto")</f>
        <v>@eko_suhartanto</v>
      </c>
      <c r="C19303" t="s">
        <v>9731</v>
      </c>
      <c r="D19303">
        <v>2</v>
      </c>
      <c r="E19303">
        <v>0</v>
      </c>
      <c r="F19303">
        <v>344</v>
      </c>
    </row>
    <row r="19304" spans="1:6" ht="12.75">
      <c r="A19304" s="2">
        <v>43876.581342592588</v>
      </c>
      <c r="B19304" t="str">
        <f>HYPERLINK("https://twitter.com/Adot1998","@Adot1998")</f>
        <v>@Adot1998</v>
      </c>
      <c r="C19304" t="s">
        <v>9732</v>
      </c>
      <c r="D19304">
        <v>79</v>
      </c>
      <c r="E19304">
        <v>0</v>
      </c>
      <c r="F19304">
        <v>15457</v>
      </c>
    </row>
    <row r="19305" spans="1:6" ht="12.75">
      <c r="A19305" s="2">
        <v>43876.581250000003</v>
      </c>
      <c r="B19305" t="str">
        <f>HYPERLINK("https://twitter.com/GesuriID","@GesuriID")</f>
        <v>@GesuriID</v>
      </c>
      <c r="C19305" t="s">
        <v>9733</v>
      </c>
      <c r="D19305">
        <v>0</v>
      </c>
      <c r="E19305">
        <v>0</v>
      </c>
      <c r="F19305">
        <v>197404</v>
      </c>
    </row>
    <row r="19306" spans="1:6" ht="12.75">
      <c r="A19306" s="2">
        <v>43876.581180555557</v>
      </c>
      <c r="B19306" t="str">
        <f>HYPERLINK("https://twitter.com/yanuar_kinkin","@yanuar_kinkin")</f>
        <v>@yanuar_kinkin</v>
      </c>
      <c r="C19306" t="s">
        <v>2147</v>
      </c>
      <c r="D19306">
        <v>187</v>
      </c>
      <c r="E19306">
        <v>0</v>
      </c>
      <c r="F19306">
        <v>113</v>
      </c>
    </row>
    <row r="19307" spans="1:6" ht="12.75">
      <c r="A19307" s="2">
        <v>43876.581099537041</v>
      </c>
      <c r="B19307" t="str">
        <f>HYPERLINK("https://twitter.com/wickedjoon_","@wickedjoon_")</f>
        <v>@wickedjoon_</v>
      </c>
      <c r="C19307" t="s">
        <v>9734</v>
      </c>
      <c r="D19307">
        <v>0</v>
      </c>
      <c r="E19307">
        <v>7</v>
      </c>
      <c r="F19307">
        <v>5217</v>
      </c>
    </row>
    <row r="19308" spans="1:6" ht="12.75">
      <c r="A19308" s="2">
        <v>43876.581076388888</v>
      </c>
      <c r="B19308" t="str">
        <f>HYPERLINK("https://twitter.com/arisutrisna_ari","@arisutrisna_ari")</f>
        <v>@arisutrisna_ari</v>
      </c>
      <c r="C19308" t="s">
        <v>9150</v>
      </c>
      <c r="D19308">
        <v>31</v>
      </c>
      <c r="E19308">
        <v>0</v>
      </c>
      <c r="F19308">
        <v>465</v>
      </c>
    </row>
    <row r="19309" spans="1:6" ht="12.75">
      <c r="A19309" s="2">
        <v>43876.581064814818</v>
      </c>
      <c r="B19309" t="str">
        <f>HYPERLINK("https://twitter.com/Oday23328655","@Oday23328655")</f>
        <v>@Oday23328655</v>
      </c>
      <c r="C19309" t="s">
        <v>9735</v>
      </c>
      <c r="D19309">
        <v>0</v>
      </c>
      <c r="E19309">
        <v>0</v>
      </c>
      <c r="F19309">
        <v>163</v>
      </c>
    </row>
    <row r="19310" spans="1:6" ht="12.75">
      <c r="A19310" s="2">
        <v>43876.58079861111</v>
      </c>
      <c r="B19310" t="str">
        <f>HYPERLINK("https://twitter.com/alifjhaq","@alifjhaq")</f>
        <v>@alifjhaq</v>
      </c>
      <c r="C19310" t="s">
        <v>9736</v>
      </c>
      <c r="D19310">
        <v>0</v>
      </c>
      <c r="E19310">
        <v>0</v>
      </c>
      <c r="F19310">
        <v>617</v>
      </c>
    </row>
    <row r="19311" spans="1:6" ht="12.75">
      <c r="A19311" s="2">
        <v>43876.580717592587</v>
      </c>
      <c r="B19311" t="str">
        <f>HYPERLINK("https://twitter.com/zustamjeporo","@zustamjeporo")</f>
        <v>@zustamjeporo</v>
      </c>
      <c r="C19311" t="s">
        <v>2147</v>
      </c>
      <c r="D19311">
        <v>187</v>
      </c>
      <c r="E19311">
        <v>0</v>
      </c>
      <c r="F19311">
        <v>351</v>
      </c>
    </row>
    <row r="19312" spans="1:6" ht="12.75">
      <c r="A19312" s="2">
        <v>43876.580682870372</v>
      </c>
      <c r="B19312" t="str">
        <f>HYPERLINK("https://twitter.com/FatahSidik","@FatahSidik")</f>
        <v>@FatahSidik</v>
      </c>
      <c r="C19312" t="s">
        <v>9737</v>
      </c>
      <c r="D19312">
        <v>0</v>
      </c>
      <c r="E19312">
        <v>0</v>
      </c>
      <c r="F19312">
        <v>727</v>
      </c>
    </row>
    <row r="19313" spans="1:6" ht="12.75">
      <c r="A19313" s="2">
        <v>43876.580648148149</v>
      </c>
      <c r="B19313" t="str">
        <f>HYPERLINK("https://twitter.com/okezonenews","@okezonenews")</f>
        <v>@okezonenews</v>
      </c>
      <c r="C19313" t="s">
        <v>9738</v>
      </c>
      <c r="D19313">
        <v>1</v>
      </c>
      <c r="E19313">
        <v>0</v>
      </c>
      <c r="F19313">
        <v>1743819</v>
      </c>
    </row>
    <row r="19314" spans="1:6" ht="12.75">
      <c r="A19314" s="2">
        <v>43876.580601851849</v>
      </c>
      <c r="B19314" t="str">
        <f>HYPERLINK("https://twitter.com/niningasih","@niningasih")</f>
        <v>@niningasih</v>
      </c>
      <c r="C19314" t="s">
        <v>2444</v>
      </c>
      <c r="D19314">
        <v>4147</v>
      </c>
      <c r="E19314">
        <v>0</v>
      </c>
      <c r="F19314">
        <v>1160</v>
      </c>
    </row>
    <row r="19315" spans="1:6" ht="12.75">
      <c r="A19315" s="2">
        <v>43876.580578703702</v>
      </c>
      <c r="B19315" t="str">
        <f>HYPERLINK("https://twitter.com/RadarNegeriku","@RadarNegeriku")</f>
        <v>@RadarNegeriku</v>
      </c>
      <c r="C19315" t="s">
        <v>9739</v>
      </c>
      <c r="D19315">
        <v>0</v>
      </c>
      <c r="E19315">
        <v>0</v>
      </c>
      <c r="F19315">
        <v>129</v>
      </c>
    </row>
    <row r="19316" spans="1:6" ht="12.75">
      <c r="A19316" s="2">
        <v>43876.580462962964</v>
      </c>
      <c r="B19316" t="str">
        <f>HYPERLINK("https://twitter.com/medcom_id","@medcom_id")</f>
        <v>@medcom_id</v>
      </c>
      <c r="C19316" t="s">
        <v>9740</v>
      </c>
      <c r="D19316">
        <v>1</v>
      </c>
      <c r="E19316">
        <v>1</v>
      </c>
      <c r="F19316">
        <v>18114</v>
      </c>
    </row>
    <row r="19317" spans="1:6" ht="12.75">
      <c r="A19317" s="2">
        <v>43876.580462962964</v>
      </c>
      <c r="B19317" t="str">
        <f>HYPERLINK("https://twitter.com/hoohaja","@hoohaja")</f>
        <v>@hoohaja</v>
      </c>
      <c r="C19317" t="s">
        <v>2137</v>
      </c>
      <c r="D19317">
        <v>267</v>
      </c>
      <c r="E19317">
        <v>0</v>
      </c>
      <c r="F19317">
        <v>82</v>
      </c>
    </row>
    <row r="19318" spans="1:6" ht="12.75">
      <c r="A19318" s="2">
        <v>43876.580405092594</v>
      </c>
      <c r="B19318" t="str">
        <f>HYPERLINK("https://twitter.com/nkripass","@nkripass")</f>
        <v>@nkripass</v>
      </c>
      <c r="C19318" t="s">
        <v>9590</v>
      </c>
      <c r="D19318">
        <v>66</v>
      </c>
      <c r="E19318">
        <v>0</v>
      </c>
      <c r="F19318">
        <v>1678</v>
      </c>
    </row>
    <row r="19319" spans="1:6" ht="12.75">
      <c r="A19319" s="2">
        <v>43876.580405092594</v>
      </c>
      <c r="B19319" t="str">
        <f>HYPERLINK("https://twitter.com/X_SamURay63","@X_SamURay63")</f>
        <v>@X_SamURay63</v>
      </c>
      <c r="C19319" t="s">
        <v>3059</v>
      </c>
      <c r="D19319">
        <v>172</v>
      </c>
      <c r="E19319">
        <v>0</v>
      </c>
      <c r="F19319">
        <v>3936</v>
      </c>
    </row>
    <row r="19320" spans="1:6" ht="12.75">
      <c r="A19320" s="2">
        <v>43876.580266203702</v>
      </c>
      <c r="B19320" t="str">
        <f>HYPERLINK("https://twitter.com/nuel5ianipar","@nuel5ianipar")</f>
        <v>@nuel5ianipar</v>
      </c>
      <c r="C19320" t="s">
        <v>8665</v>
      </c>
      <c r="D19320">
        <v>148</v>
      </c>
      <c r="E19320">
        <v>0</v>
      </c>
      <c r="F19320">
        <v>467</v>
      </c>
    </row>
    <row r="19321" spans="1:6" ht="12.75">
      <c r="A19321" s="2">
        <v>43876.580208333333</v>
      </c>
      <c r="B19321" t="str">
        <f>HYPERLINK("https://twitter.com/seungyounaaaa","@seungyounaaaa")</f>
        <v>@seungyounaaaa</v>
      </c>
      <c r="C19321" t="s">
        <v>513</v>
      </c>
      <c r="D19321">
        <v>23194</v>
      </c>
      <c r="E19321">
        <v>0</v>
      </c>
      <c r="F19321">
        <v>5</v>
      </c>
    </row>
    <row r="19322" spans="1:6" ht="12.75">
      <c r="A19322" s="2">
        <v>43876.580138888894</v>
      </c>
      <c r="B19322" t="str">
        <f>HYPERLINK("https://twitter.com/N111ken","@N111ken")</f>
        <v>@N111ken</v>
      </c>
      <c r="C19322" t="s">
        <v>9096</v>
      </c>
      <c r="D19322">
        <v>211</v>
      </c>
      <c r="E19322">
        <v>0</v>
      </c>
      <c r="F19322">
        <v>5777</v>
      </c>
    </row>
    <row r="19323" spans="1:6" ht="12.75">
      <c r="A19323" s="2">
        <v>43876.58011574074</v>
      </c>
      <c r="B19323" t="str">
        <f>HYPERLINK("https://twitter.com/__Aiek__Channel","@__Aiek__Channel")</f>
        <v>@__Aiek__Channel</v>
      </c>
      <c r="C19323" t="s">
        <v>9150</v>
      </c>
      <c r="D19323">
        <v>31</v>
      </c>
      <c r="E19323">
        <v>0</v>
      </c>
      <c r="F19323">
        <v>8740</v>
      </c>
    </row>
    <row r="19324" spans="1:6" ht="12.75">
      <c r="A19324" s="2">
        <v>43876.580081018517</v>
      </c>
      <c r="B19324" t="str">
        <f t="shared" ref="B19324:B19325" si="313">HYPERLINK("https://twitter.com/Basyaruddin_","@Basyaruddin_")</f>
        <v>@Basyaruddin_</v>
      </c>
      <c r="C19324" t="s">
        <v>9741</v>
      </c>
      <c r="D19324">
        <v>2</v>
      </c>
      <c r="E19324">
        <v>0</v>
      </c>
      <c r="F19324">
        <v>114</v>
      </c>
    </row>
    <row r="19325" spans="1:6" ht="12.75">
      <c r="A19325" s="2">
        <v>43876.58</v>
      </c>
      <c r="B19325" t="str">
        <f t="shared" si="313"/>
        <v>@Basyaruddin_</v>
      </c>
      <c r="C19325" t="s">
        <v>9742</v>
      </c>
      <c r="D19325">
        <v>6</v>
      </c>
      <c r="E19325">
        <v>0</v>
      </c>
      <c r="F19325">
        <v>114</v>
      </c>
    </row>
    <row r="19326" spans="1:6" ht="12.75">
      <c r="A19326" s="2">
        <v>43876.579976851848</v>
      </c>
      <c r="B19326" t="str">
        <f>HYPERLINK("https://twitter.com/sudaryanto_agus","@sudaryanto_agus")</f>
        <v>@sudaryanto_agus</v>
      </c>
      <c r="C19326" t="s">
        <v>9695</v>
      </c>
      <c r="D19326">
        <v>15</v>
      </c>
      <c r="E19326">
        <v>0</v>
      </c>
      <c r="F19326">
        <v>1282</v>
      </c>
    </row>
    <row r="19327" spans="1:6" ht="12.75">
      <c r="A19327" s="2">
        <v>43876.579976851848</v>
      </c>
      <c r="B19327" t="str">
        <f>HYPERLINK("https://twitter.com/JurnalAsiaCom","@JurnalAsiaCom")</f>
        <v>@JurnalAsiaCom</v>
      </c>
      <c r="C19327" t="s">
        <v>9743</v>
      </c>
      <c r="D19327">
        <v>0</v>
      </c>
      <c r="E19327">
        <v>0</v>
      </c>
      <c r="F19327">
        <v>492</v>
      </c>
    </row>
    <row r="19328" spans="1:6" ht="12.75">
      <c r="A19328" s="2">
        <v>43876.579918981486</v>
      </c>
      <c r="B19328" t="str">
        <f>HYPERLINK("https://twitter.com/dyahahp","@dyahahp")</f>
        <v>@dyahahp</v>
      </c>
      <c r="C19328" t="s">
        <v>2444</v>
      </c>
      <c r="D19328">
        <v>4147</v>
      </c>
      <c r="E19328">
        <v>0</v>
      </c>
      <c r="F19328">
        <v>273</v>
      </c>
    </row>
    <row r="19329" spans="1:6" ht="12.75">
      <c r="A19329" s="2">
        <v>43876.579872685186</v>
      </c>
      <c r="B19329" t="str">
        <f>HYPERLINK("https://twitter.com/GoAcehco","@GoAcehco")</f>
        <v>@GoAcehco</v>
      </c>
      <c r="C19329" t="s">
        <v>9744</v>
      </c>
      <c r="D19329">
        <v>0</v>
      </c>
      <c r="E19329">
        <v>0</v>
      </c>
      <c r="F19329">
        <v>4056</v>
      </c>
    </row>
    <row r="19330" spans="1:6" ht="12.75">
      <c r="A19330" s="2">
        <v>43876.579837962963</v>
      </c>
      <c r="B19330" t="str">
        <f>HYPERLINK("https://twitter.com/Prawirotaman666","@Prawirotaman666")</f>
        <v>@Prawirotaman666</v>
      </c>
      <c r="C19330" t="s">
        <v>9745</v>
      </c>
      <c r="D19330">
        <v>0</v>
      </c>
      <c r="E19330">
        <v>0</v>
      </c>
      <c r="F19330">
        <v>53</v>
      </c>
    </row>
    <row r="19331" spans="1:6" ht="12.75">
      <c r="A19331" s="2">
        <v>43876.579768518517</v>
      </c>
      <c r="B19331" t="str">
        <f>HYPERLINK("https://twitter.com/wonjinuwu","@wonjinuwu")</f>
        <v>@wonjinuwu</v>
      </c>
      <c r="C19331" t="s">
        <v>2444</v>
      </c>
      <c r="D19331">
        <v>4147</v>
      </c>
      <c r="E19331">
        <v>0</v>
      </c>
      <c r="F19331">
        <v>276</v>
      </c>
    </row>
    <row r="19332" spans="1:6" ht="12.75">
      <c r="A19332" s="2">
        <v>43876.579722222217</v>
      </c>
      <c r="B19332" t="str">
        <f>HYPERLINK("https://twitter.com/SinggiHahonk","@SinggiHahonk")</f>
        <v>@SinggiHahonk</v>
      </c>
      <c r="C19332" t="s">
        <v>9741</v>
      </c>
      <c r="D19332">
        <v>2</v>
      </c>
      <c r="E19332">
        <v>0</v>
      </c>
      <c r="F19332">
        <v>221</v>
      </c>
    </row>
    <row r="19333" spans="1:6" ht="12.75">
      <c r="A19333" s="2">
        <v>43876.579722222217</v>
      </c>
      <c r="B19333" t="str">
        <f>HYPERLINK("https://twitter.com/nanuths","@nanuths")</f>
        <v>@nanuths</v>
      </c>
      <c r="C19333" t="s">
        <v>8203</v>
      </c>
      <c r="D19333">
        <v>15</v>
      </c>
      <c r="E19333">
        <v>0</v>
      </c>
      <c r="F19333">
        <v>653</v>
      </c>
    </row>
    <row r="19334" spans="1:6" ht="12.75">
      <c r="A19334" s="2">
        <v>43876.579675925925</v>
      </c>
      <c r="B19334" t="str">
        <f>HYPERLINK("https://twitter.com/SinggiHahonk","@SinggiHahonk")</f>
        <v>@SinggiHahonk</v>
      </c>
      <c r="C19334" t="s">
        <v>9742</v>
      </c>
      <c r="D19334">
        <v>6</v>
      </c>
      <c r="E19334">
        <v>0</v>
      </c>
      <c r="F19334">
        <v>221</v>
      </c>
    </row>
    <row r="19335" spans="1:6" ht="12.75">
      <c r="A19335" s="2">
        <v>43876.579675925925</v>
      </c>
      <c r="B19335" t="str">
        <f>HYPERLINK("https://twitter.com/enny_fadjri","@enny_fadjri")</f>
        <v>@enny_fadjri</v>
      </c>
      <c r="C19335" t="s">
        <v>9746</v>
      </c>
      <c r="D19335">
        <v>464</v>
      </c>
      <c r="E19335">
        <v>0</v>
      </c>
      <c r="F19335">
        <v>462</v>
      </c>
    </row>
    <row r="19336" spans="1:6" ht="12.75">
      <c r="A19336" s="2">
        <v>43876.579571759255</v>
      </c>
      <c r="B19336" t="str">
        <f>HYPERLINK("https://twitter.com/Jinaeeee","@Jinaeeee")</f>
        <v>@Jinaeeee</v>
      </c>
      <c r="C19336" t="s">
        <v>2444</v>
      </c>
      <c r="D19336">
        <v>4147</v>
      </c>
      <c r="E19336">
        <v>0</v>
      </c>
      <c r="F19336">
        <v>132</v>
      </c>
    </row>
    <row r="19337" spans="1:6" ht="12.75">
      <c r="A19337" s="2">
        <v>43876.579502314809</v>
      </c>
      <c r="B19337" t="str">
        <f>HYPERLINK("https://twitter.com/doominoxx","@doominoxx")</f>
        <v>@doominoxx</v>
      </c>
      <c r="C19337" t="s">
        <v>2444</v>
      </c>
      <c r="D19337">
        <v>4147</v>
      </c>
      <c r="E19337">
        <v>0</v>
      </c>
      <c r="F19337">
        <v>212</v>
      </c>
    </row>
    <row r="19338" spans="1:6" ht="12.75">
      <c r="A19338" s="2">
        <v>43876.579502314809</v>
      </c>
      <c r="B19338" t="str">
        <f>HYPERLINK("https://twitter.com/boembatubara","@boembatubara")</f>
        <v>@boembatubara</v>
      </c>
      <c r="C19338" t="s">
        <v>7977</v>
      </c>
      <c r="D19338">
        <v>10</v>
      </c>
      <c r="E19338">
        <v>0</v>
      </c>
      <c r="F19338">
        <v>451</v>
      </c>
    </row>
    <row r="19339" spans="1:6" ht="12.75">
      <c r="A19339" s="2">
        <v>43876.57949074074</v>
      </c>
      <c r="B19339" t="str">
        <f>HYPERLINK("https://twitter.com/Faisallovemama","@Faisallovemama")</f>
        <v>@Faisallovemama</v>
      </c>
      <c r="C19339" t="s">
        <v>2444</v>
      </c>
      <c r="D19339">
        <v>4147</v>
      </c>
      <c r="E19339">
        <v>0</v>
      </c>
      <c r="F19339">
        <v>45</v>
      </c>
    </row>
    <row r="19340" spans="1:6" ht="12.75">
      <c r="A19340" s="2">
        <v>43876.579467592594</v>
      </c>
      <c r="B19340" t="str">
        <f>HYPERLINK("https://twitter.com/akuitucakep","@akuitucakep")</f>
        <v>@akuitucakep</v>
      </c>
      <c r="C19340" t="s">
        <v>2444</v>
      </c>
      <c r="D19340">
        <v>4147</v>
      </c>
      <c r="E19340">
        <v>0</v>
      </c>
      <c r="F19340">
        <v>1098</v>
      </c>
    </row>
    <row r="19341" spans="1:6" ht="12.75">
      <c r="A19341" s="2">
        <v>43876.579236111109</v>
      </c>
      <c r="B19341" t="str">
        <f>HYPERLINK("https://twitter.com/budiyono97","@budiyono97")</f>
        <v>@budiyono97</v>
      </c>
      <c r="C19341" t="s">
        <v>9695</v>
      </c>
      <c r="D19341">
        <v>15</v>
      </c>
      <c r="E19341">
        <v>0</v>
      </c>
      <c r="F19341">
        <v>5282</v>
      </c>
    </row>
    <row r="19342" spans="1:6" ht="12.75">
      <c r="A19342" s="2">
        <v>43876.579236111109</v>
      </c>
      <c r="B19342" t="str">
        <f>HYPERLINK("https://twitter.com/kompascom","@kompascom")</f>
        <v>@kompascom</v>
      </c>
      <c r="C19342" t="s">
        <v>9747</v>
      </c>
      <c r="D19342">
        <v>1</v>
      </c>
      <c r="E19342">
        <v>0</v>
      </c>
      <c r="F19342">
        <v>7498414</v>
      </c>
    </row>
    <row r="19343" spans="1:6" ht="12.75">
      <c r="A19343" s="2">
        <v>43876.57917824074</v>
      </c>
      <c r="B19343" t="str">
        <f>HYPERLINK("https://twitter.com/antaranews","@antaranews")</f>
        <v>@antaranews</v>
      </c>
      <c r="C19343" t="s">
        <v>9748</v>
      </c>
      <c r="D19343">
        <v>1</v>
      </c>
      <c r="E19343">
        <v>0</v>
      </c>
      <c r="F19343">
        <v>1103334</v>
      </c>
    </row>
    <row r="19344" spans="1:6" ht="12.75">
      <c r="A19344" s="2">
        <v>43876.578958333332</v>
      </c>
      <c r="B19344" t="str">
        <f>HYPERLINK("https://twitter.com/fuckyourgreed","@fuckyourgreed")</f>
        <v>@fuckyourgreed</v>
      </c>
      <c r="C19344" t="s">
        <v>9749</v>
      </c>
      <c r="D19344">
        <v>0</v>
      </c>
      <c r="E19344">
        <v>0</v>
      </c>
      <c r="F19344">
        <v>631</v>
      </c>
    </row>
    <row r="19345" spans="1:6" ht="12.75">
      <c r="A19345" s="2">
        <v>43876.578912037032</v>
      </c>
      <c r="B19345" t="str">
        <f>HYPERLINK("https://twitter.com/Adesudandyo","@Adesudandyo")</f>
        <v>@Adesudandyo</v>
      </c>
      <c r="C19345" t="s">
        <v>9750</v>
      </c>
      <c r="D19345">
        <v>0</v>
      </c>
      <c r="E19345">
        <v>0</v>
      </c>
      <c r="F19345">
        <v>610</v>
      </c>
    </row>
    <row r="19346" spans="1:6" ht="12.75">
      <c r="A19346" s="2">
        <v>43876.578900462962</v>
      </c>
      <c r="B19346" t="str">
        <f>HYPERLINK("https://twitter.com/ilhamprmn","@ilhamprmn")</f>
        <v>@ilhamprmn</v>
      </c>
      <c r="C19346" t="s">
        <v>9751</v>
      </c>
      <c r="D19346">
        <v>6</v>
      </c>
      <c r="E19346">
        <v>0</v>
      </c>
      <c r="F19346">
        <v>367</v>
      </c>
    </row>
    <row r="19347" spans="1:6" ht="12.75">
      <c r="A19347" s="2">
        <v>43876.57885416667</v>
      </c>
      <c r="B19347" t="str">
        <f>HYPERLINK("https://twitter.com/kompasiana","@kompasiana")</f>
        <v>@kompasiana</v>
      </c>
      <c r="C19347" t="s">
        <v>9752</v>
      </c>
      <c r="D19347">
        <v>1</v>
      </c>
      <c r="E19347">
        <v>0</v>
      </c>
      <c r="F19347">
        <v>928014</v>
      </c>
    </row>
    <row r="19348" spans="1:6" ht="12.75">
      <c r="A19348" s="2">
        <v>43876.578819444447</v>
      </c>
      <c r="B19348" t="str">
        <f>HYPERLINK("https://twitter.com/Berita7dotid","@Berita7dotid")</f>
        <v>@Berita7dotid</v>
      </c>
      <c r="C19348" t="s">
        <v>9753</v>
      </c>
      <c r="D19348">
        <v>0</v>
      </c>
      <c r="E19348">
        <v>0</v>
      </c>
      <c r="F19348">
        <v>2555</v>
      </c>
    </row>
    <row r="19349" spans="1:6" ht="12.75">
      <c r="A19349" s="2">
        <v>43876.578692129631</v>
      </c>
      <c r="B19349" t="str">
        <f>HYPERLINK("https://twitter.com/JhondoexlxG","@JhondoexlxG")</f>
        <v>@JhondoexlxG</v>
      </c>
      <c r="C19349" t="s">
        <v>9754</v>
      </c>
      <c r="D19349">
        <v>0</v>
      </c>
      <c r="E19349">
        <v>0</v>
      </c>
      <c r="F19349">
        <v>388</v>
      </c>
    </row>
    <row r="19350" spans="1:6" ht="12.75">
      <c r="A19350" s="2">
        <v>43876.578634259262</v>
      </c>
      <c r="B19350" t="str">
        <f>HYPERLINK("https://twitter.com/rocketrever","@rocketrever")</f>
        <v>@rocketrever</v>
      </c>
      <c r="C19350" t="s">
        <v>2147</v>
      </c>
      <c r="D19350">
        <v>187</v>
      </c>
      <c r="E19350">
        <v>0</v>
      </c>
      <c r="F19350">
        <v>6</v>
      </c>
    </row>
    <row r="19351" spans="1:6" ht="12.75">
      <c r="A19351" s="2">
        <v>43876.543229166666</v>
      </c>
      <c r="B19351" t="str">
        <f>HYPERLINK("https://twitter.com/VipValiant","@VipValiant")</f>
        <v>@VipValiant</v>
      </c>
      <c r="C19351" t="s">
        <v>2147</v>
      </c>
      <c r="D19351">
        <v>141</v>
      </c>
      <c r="E19351">
        <v>0</v>
      </c>
      <c r="F19351">
        <v>326</v>
      </c>
    </row>
    <row r="19352" spans="1:6" ht="12.75">
      <c r="A19352" s="2">
        <v>43876.543182870373</v>
      </c>
      <c r="B19352" t="str">
        <f>HYPERLINK("https://twitter.com/ZPanyalai","@ZPanyalai")</f>
        <v>@ZPanyalai</v>
      </c>
      <c r="C19352" t="s">
        <v>9056</v>
      </c>
      <c r="D19352">
        <v>15</v>
      </c>
      <c r="E19352">
        <v>0</v>
      </c>
      <c r="F19352">
        <v>4951</v>
      </c>
    </row>
    <row r="19353" spans="1:6" ht="12.75">
      <c r="A19353" s="2">
        <v>43876.543171296296</v>
      </c>
      <c r="B19353" t="str">
        <f>HYPERLINK("https://twitter.com/Andriya29268057","@Andriya29268057")</f>
        <v>@Andriya29268057</v>
      </c>
      <c r="C19353" t="s">
        <v>9150</v>
      </c>
      <c r="D19353">
        <v>9</v>
      </c>
      <c r="E19353">
        <v>0</v>
      </c>
      <c r="F19353">
        <v>52</v>
      </c>
    </row>
    <row r="19354" spans="1:6" ht="12.75">
      <c r="A19354" s="2">
        <v>43876.54315972222</v>
      </c>
      <c r="B19354" t="str">
        <f>HYPERLINK("https://twitter.com/cemindill","@cemindill")</f>
        <v>@cemindill</v>
      </c>
      <c r="C19354" t="s">
        <v>8665</v>
      </c>
      <c r="D19354">
        <v>125</v>
      </c>
      <c r="E19354">
        <v>0</v>
      </c>
      <c r="F19354">
        <v>2967</v>
      </c>
    </row>
    <row r="19355" spans="1:6" ht="12.75">
      <c r="A19355" s="2">
        <v>43876.543078703704</v>
      </c>
      <c r="B19355" t="str">
        <f>HYPERLINK("https://twitter.com/salehdaulay","@salehdaulay")</f>
        <v>@salehdaulay</v>
      </c>
      <c r="C19355" t="s">
        <v>9755</v>
      </c>
      <c r="D19355">
        <v>0</v>
      </c>
      <c r="E19355">
        <v>0</v>
      </c>
      <c r="F19355">
        <v>4011</v>
      </c>
    </row>
    <row r="19356" spans="1:6" ht="12.75">
      <c r="A19356" s="2">
        <v>43876.543032407411</v>
      </c>
      <c r="B19356" t="str">
        <f>HYPERLINK("https://twitter.com/rioprygo","@rioprygo")</f>
        <v>@rioprygo</v>
      </c>
      <c r="C19356" t="s">
        <v>2444</v>
      </c>
      <c r="D19356">
        <v>4062</v>
      </c>
      <c r="E19356">
        <v>0</v>
      </c>
      <c r="F19356">
        <v>3</v>
      </c>
    </row>
    <row r="19357" spans="1:6" ht="12.75">
      <c r="A19357" s="2">
        <v>43876.542951388888</v>
      </c>
      <c r="B19357" t="str">
        <f>HYPERLINK("https://twitter.com/KakekHalal","@KakekHalal")</f>
        <v>@KakekHalal</v>
      </c>
      <c r="C19357" t="s">
        <v>8103</v>
      </c>
      <c r="D19357">
        <v>5</v>
      </c>
      <c r="E19357">
        <v>0</v>
      </c>
      <c r="F19357">
        <v>21555</v>
      </c>
    </row>
    <row r="19358" spans="1:6" ht="12.75">
      <c r="A19358" s="2">
        <v>43876.542928240742</v>
      </c>
      <c r="B19358" t="str">
        <f>HYPERLINK("https://twitter.com/NicolausWidjaja","@NicolausWidjaja")</f>
        <v>@NicolausWidjaja</v>
      </c>
      <c r="C19358" t="s">
        <v>9756</v>
      </c>
      <c r="D19358">
        <v>0</v>
      </c>
      <c r="E19358">
        <v>0</v>
      </c>
      <c r="F19358">
        <v>10</v>
      </c>
    </row>
    <row r="19359" spans="1:6" ht="12.75">
      <c r="A19359" s="2">
        <v>43876.542847222227</v>
      </c>
      <c r="B19359" t="str">
        <f>HYPERLINK("https://twitter.com/dannycontact","@dannycontact")</f>
        <v>@dannycontact</v>
      </c>
      <c r="C19359" t="s">
        <v>2110</v>
      </c>
      <c r="D19359">
        <v>65</v>
      </c>
      <c r="E19359">
        <v>0</v>
      </c>
      <c r="F19359">
        <v>380</v>
      </c>
    </row>
    <row r="19360" spans="1:6" ht="12.75">
      <c r="A19360" s="2">
        <v>43876.542812500003</v>
      </c>
      <c r="B19360" t="str">
        <f>HYPERLINK("https://twitter.com/EliteInteligent","@EliteInteligent")</f>
        <v>@EliteInteligent</v>
      </c>
      <c r="C19360" t="s">
        <v>8754</v>
      </c>
      <c r="D19360">
        <v>67</v>
      </c>
      <c r="E19360">
        <v>0</v>
      </c>
      <c r="F19360">
        <v>1445</v>
      </c>
    </row>
    <row r="19361" spans="1:6" ht="12.75">
      <c r="A19361" s="2">
        <v>43876.542812500003</v>
      </c>
      <c r="B19361" t="str">
        <f>HYPERLINK("https://twitter.com/nisaaaaja","@nisaaaaja")</f>
        <v>@nisaaaaja</v>
      </c>
      <c r="C19361" t="s">
        <v>2147</v>
      </c>
      <c r="D19361">
        <v>141</v>
      </c>
      <c r="E19361">
        <v>0</v>
      </c>
      <c r="F19361">
        <v>219</v>
      </c>
    </row>
    <row r="19362" spans="1:6" ht="12.75">
      <c r="A19362" s="2">
        <v>43876.54277777778</v>
      </c>
      <c r="B19362" t="str">
        <f>HYPERLINK("https://twitter.com/batamtoday","@batamtoday")</f>
        <v>@batamtoday</v>
      </c>
      <c r="C19362" t="s">
        <v>9669</v>
      </c>
      <c r="D19362">
        <v>0</v>
      </c>
      <c r="E19362">
        <v>0</v>
      </c>
      <c r="F19362">
        <v>27068</v>
      </c>
    </row>
    <row r="19363" spans="1:6" ht="12.75">
      <c r="A19363" s="2">
        <v>43876.542743055557</v>
      </c>
      <c r="B19363" t="str">
        <f>HYPERLINK("https://twitter.com/wcebok","@wcebok")</f>
        <v>@wcebok</v>
      </c>
      <c r="C19363" t="s">
        <v>175</v>
      </c>
      <c r="D19363">
        <v>5332</v>
      </c>
      <c r="E19363">
        <v>0</v>
      </c>
      <c r="F19363">
        <v>66</v>
      </c>
    </row>
    <row r="19364" spans="1:6" ht="12.75">
      <c r="A19364" s="2">
        <v>43876.542650462958</v>
      </c>
      <c r="B19364" t="str">
        <f>HYPERLINK("https://twitter.com/TIBOTHY","@TIBOTHY")</f>
        <v>@TIBOTHY</v>
      </c>
      <c r="C19364" t="s">
        <v>9757</v>
      </c>
      <c r="D19364">
        <v>0</v>
      </c>
      <c r="E19364">
        <v>0</v>
      </c>
      <c r="F19364">
        <v>390</v>
      </c>
    </row>
    <row r="19365" spans="1:6" ht="12.75">
      <c r="A19365" s="2">
        <v>43876.542638888888</v>
      </c>
      <c r="B19365" t="str">
        <f>HYPERLINK("https://twitter.com/tiraimissu","@tiraimissu")</f>
        <v>@tiraimissu</v>
      </c>
      <c r="C19365" t="s">
        <v>9758</v>
      </c>
      <c r="D19365">
        <v>0</v>
      </c>
      <c r="E19365">
        <v>0</v>
      </c>
      <c r="F19365">
        <v>250</v>
      </c>
    </row>
    <row r="19366" spans="1:6" ht="12.75">
      <c r="A19366" s="2">
        <v>43876.542638888888</v>
      </c>
      <c r="B19366" t="str">
        <f>HYPERLINK("https://twitter.com/pantau_com","@pantau_com")</f>
        <v>@pantau_com</v>
      </c>
      <c r="C19366" t="s">
        <v>9759</v>
      </c>
      <c r="D19366">
        <v>0</v>
      </c>
      <c r="E19366">
        <v>0</v>
      </c>
      <c r="F19366">
        <v>2109</v>
      </c>
    </row>
    <row r="19367" spans="1:6" ht="12.75">
      <c r="A19367" s="2">
        <v>43876.542581018519</v>
      </c>
      <c r="B19367" t="str">
        <f>HYPERLINK("https://twitter.com/SigitPr64468832","@SigitPr64468832")</f>
        <v>@SigitPr64468832</v>
      </c>
      <c r="C19367" t="s">
        <v>9760</v>
      </c>
      <c r="D19367">
        <v>0</v>
      </c>
      <c r="E19367">
        <v>0</v>
      </c>
      <c r="F19367">
        <v>4</v>
      </c>
    </row>
    <row r="19368" spans="1:6" ht="12.75">
      <c r="A19368" s="2">
        <v>43876.542523148149</v>
      </c>
      <c r="B19368" t="str">
        <f>HYPERLINK("https://twitter.com/HendraMKG1","@HendraMKG1")</f>
        <v>@HendraMKG1</v>
      </c>
      <c r="C19368" t="s">
        <v>7259</v>
      </c>
      <c r="D19368">
        <v>2</v>
      </c>
      <c r="E19368">
        <v>0</v>
      </c>
      <c r="F19368">
        <v>316</v>
      </c>
    </row>
    <row r="19369" spans="1:6" ht="12.75">
      <c r="A19369" s="2">
        <v>43876.542499999996</v>
      </c>
      <c r="B19369" t="str">
        <f>HYPERLINK("https://twitter.com/VoxPopuliID","@VoxPopuliID")</f>
        <v>@VoxPopuliID</v>
      </c>
      <c r="C19369" t="s">
        <v>9761</v>
      </c>
      <c r="D19369">
        <v>0</v>
      </c>
      <c r="E19369">
        <v>0</v>
      </c>
      <c r="F19369">
        <v>728</v>
      </c>
    </row>
    <row r="19370" spans="1:6" ht="12.75">
      <c r="A19370" s="2">
        <v>43876.542430555557</v>
      </c>
      <c r="B19370" t="str">
        <f>HYPERLINK("https://twitter.com/SebastianBara4","@SebastianBara4")</f>
        <v>@SebastianBara4</v>
      </c>
      <c r="C19370" t="s">
        <v>9761</v>
      </c>
      <c r="D19370">
        <v>0</v>
      </c>
      <c r="E19370">
        <v>0</v>
      </c>
      <c r="F19370">
        <v>0</v>
      </c>
    </row>
    <row r="19371" spans="1:6" ht="12.75">
      <c r="A19371" s="2">
        <v>43876.54241898148</v>
      </c>
      <c r="B19371" t="str">
        <f>HYPERLINK("https://twitter.com/masbernews","@masbernews")</f>
        <v>@masbernews</v>
      </c>
      <c r="C19371" t="s">
        <v>9762</v>
      </c>
      <c r="D19371">
        <v>0</v>
      </c>
      <c r="E19371">
        <v>0</v>
      </c>
      <c r="F19371">
        <v>10</v>
      </c>
    </row>
    <row r="19372" spans="1:6" ht="12.75">
      <c r="A19372" s="2">
        <v>43876.542361111111</v>
      </c>
      <c r="B19372" t="str">
        <f>HYPERLINK("https://twitter.com/spirit_1945","@spirit_1945")</f>
        <v>@spirit_1945</v>
      </c>
      <c r="C19372" t="s">
        <v>9761</v>
      </c>
      <c r="D19372">
        <v>0</v>
      </c>
      <c r="E19372">
        <v>0</v>
      </c>
      <c r="F19372">
        <v>119</v>
      </c>
    </row>
    <row r="19373" spans="1:6" ht="12.75">
      <c r="A19373" s="2">
        <v>43876.542303240742</v>
      </c>
      <c r="B19373" t="str">
        <f>HYPERLINK("https://twitter.com/GagakNeww2","@GagakNeww2")</f>
        <v>@GagakNeww2</v>
      </c>
      <c r="C19373" t="s">
        <v>9763</v>
      </c>
      <c r="D19373">
        <v>8</v>
      </c>
      <c r="E19373">
        <v>0</v>
      </c>
      <c r="F19373">
        <v>396</v>
      </c>
    </row>
    <row r="19374" spans="1:6" ht="12.75">
      <c r="A19374" s="2">
        <v>43876.542303240742</v>
      </c>
      <c r="B19374" t="str">
        <f>HYPERLINK("https://twitter.com/kurakuraninjaid","@kurakuraninjaid")</f>
        <v>@kurakuraninjaid</v>
      </c>
      <c r="C19374" t="s">
        <v>9761</v>
      </c>
      <c r="D19374">
        <v>0</v>
      </c>
      <c r="E19374">
        <v>0</v>
      </c>
      <c r="F19374">
        <v>308</v>
      </c>
    </row>
    <row r="19375" spans="1:6" ht="12.75">
      <c r="A19375" s="2">
        <v>43876.542268518519</v>
      </c>
      <c r="B19375" t="str">
        <f>HYPERLINK("https://twitter.com/evaneva6","@evaneva6")</f>
        <v>@evaneva6</v>
      </c>
      <c r="C19375" t="s">
        <v>9764</v>
      </c>
      <c r="D19375">
        <v>0</v>
      </c>
      <c r="E19375">
        <v>0</v>
      </c>
      <c r="F19375">
        <v>41</v>
      </c>
    </row>
    <row r="19376" spans="1:6" ht="12.75">
      <c r="A19376" s="2">
        <v>43876.542245370365</v>
      </c>
      <c r="B19376" t="str">
        <f>HYPERLINK("https://twitter.com/ivanchristi3","@ivanchristi3")</f>
        <v>@ivanchristi3</v>
      </c>
      <c r="C19376" t="s">
        <v>2147</v>
      </c>
      <c r="D19376">
        <v>141</v>
      </c>
      <c r="E19376">
        <v>0</v>
      </c>
      <c r="F19376">
        <v>1110</v>
      </c>
    </row>
    <row r="19377" spans="1:6" ht="12.75">
      <c r="A19377" s="2">
        <v>43876.542233796295</v>
      </c>
      <c r="B19377" t="str">
        <f>HYPERLINK("https://twitter.com/cikyber","@cikyber")</f>
        <v>@cikyber</v>
      </c>
      <c r="C19377" t="s">
        <v>9761</v>
      </c>
      <c r="D19377">
        <v>0</v>
      </c>
      <c r="E19377">
        <v>0</v>
      </c>
      <c r="F19377">
        <v>291</v>
      </c>
    </row>
    <row r="19378" spans="1:6" ht="12.75">
      <c r="A19378" s="2">
        <v>43876.542175925926</v>
      </c>
      <c r="B19378" t="str">
        <f>HYPERLINK("https://twitter.com/AbdullahMujeed","@AbdullahMujeed")</f>
        <v>@AbdullahMujeed</v>
      </c>
      <c r="C19378" t="s">
        <v>9761</v>
      </c>
      <c r="D19378">
        <v>0</v>
      </c>
      <c r="E19378">
        <v>0</v>
      </c>
      <c r="F19378">
        <v>3</v>
      </c>
    </row>
    <row r="19379" spans="1:6" ht="12.75">
      <c r="A19379" s="2">
        <v>43876.542118055557</v>
      </c>
      <c r="B19379" t="str">
        <f>HYPERLINK("https://twitter.com/Rasyeed3","@Rasyeed3")</f>
        <v>@Rasyeed3</v>
      </c>
      <c r="C19379" t="s">
        <v>3059</v>
      </c>
      <c r="D19379">
        <v>157</v>
      </c>
      <c r="E19379">
        <v>0</v>
      </c>
      <c r="F19379">
        <v>1076</v>
      </c>
    </row>
    <row r="19380" spans="1:6" ht="12.75">
      <c r="A19380" s="2">
        <v>43876.54210648148</v>
      </c>
      <c r="B19380" t="str">
        <f>HYPERLINK("https://twitter.com/bensutasoma","@bensutasoma")</f>
        <v>@bensutasoma</v>
      </c>
      <c r="C19380" t="s">
        <v>9761</v>
      </c>
      <c r="D19380">
        <v>0</v>
      </c>
      <c r="E19380">
        <v>0</v>
      </c>
      <c r="F19380">
        <v>1</v>
      </c>
    </row>
    <row r="19381" spans="1:6" ht="12.75">
      <c r="A19381" s="2">
        <v>43876.54210648148</v>
      </c>
      <c r="B19381" t="str">
        <f>HYPERLINK("https://twitter.com/hamaro_id","@hamaro_id")</f>
        <v>@hamaro_id</v>
      </c>
      <c r="C19381" t="s">
        <v>2147</v>
      </c>
      <c r="D19381">
        <v>141</v>
      </c>
      <c r="E19381">
        <v>0</v>
      </c>
      <c r="F19381">
        <v>1570</v>
      </c>
    </row>
    <row r="19382" spans="1:6" ht="12.75">
      <c r="A19382" s="2">
        <v>43876.542083333334</v>
      </c>
      <c r="B19382" t="str">
        <f>HYPERLINK("https://twitter.com/Japs187","@Japs187")</f>
        <v>@Japs187</v>
      </c>
      <c r="C19382" t="s">
        <v>2147</v>
      </c>
      <c r="D19382">
        <v>141</v>
      </c>
      <c r="E19382">
        <v>0</v>
      </c>
      <c r="F19382">
        <v>697</v>
      </c>
    </row>
    <row r="19383" spans="1:6" ht="12.75">
      <c r="A19383" s="2">
        <v>43876.542037037041</v>
      </c>
      <c r="B19383" t="str">
        <f>HYPERLINK("https://twitter.com/AEPishere","@AEPishere")</f>
        <v>@AEPishere</v>
      </c>
      <c r="C19383" t="s">
        <v>9765</v>
      </c>
      <c r="D19383">
        <v>9</v>
      </c>
      <c r="E19383">
        <v>0</v>
      </c>
      <c r="F19383">
        <v>3014</v>
      </c>
    </row>
    <row r="19384" spans="1:6" ht="12.75">
      <c r="A19384" s="2">
        <v>43876.542025462964</v>
      </c>
      <c r="B19384" t="str">
        <f>HYPERLINK("https://twitter.com/medcom_id","@medcom_id")</f>
        <v>@medcom_id</v>
      </c>
      <c r="C19384" t="s">
        <v>9766</v>
      </c>
      <c r="D19384">
        <v>0</v>
      </c>
      <c r="E19384">
        <v>0</v>
      </c>
      <c r="F19384">
        <v>18116</v>
      </c>
    </row>
    <row r="19385" spans="1:6" ht="12.75">
      <c r="A19385" s="2">
        <v>43876.541956018518</v>
      </c>
      <c r="B19385" t="str">
        <f>HYPERLINK("https://twitter.com/rozan_irfan","@rozan_irfan")</f>
        <v>@rozan_irfan</v>
      </c>
      <c r="C19385" t="s">
        <v>2147</v>
      </c>
      <c r="D19385">
        <v>141</v>
      </c>
      <c r="E19385">
        <v>0</v>
      </c>
      <c r="F19385">
        <v>300</v>
      </c>
    </row>
    <row r="19386" spans="1:6" ht="12.75">
      <c r="A19386" s="2">
        <v>43876.541921296295</v>
      </c>
      <c r="B19386" t="str">
        <f>HYPERLINK("https://twitter.com/SahlanAmin4","@SahlanAmin4")</f>
        <v>@SahlanAmin4</v>
      </c>
      <c r="C19386" t="s">
        <v>8589</v>
      </c>
      <c r="D19386">
        <v>7</v>
      </c>
      <c r="E19386">
        <v>0</v>
      </c>
      <c r="F19386">
        <v>625</v>
      </c>
    </row>
    <row r="19387" spans="1:6" ht="12.75">
      <c r="A19387" s="2">
        <v>43876.541921296295</v>
      </c>
      <c r="B19387" t="str">
        <f>HYPERLINK("https://twitter.com/wayahrajasa","@wayahrajasa")</f>
        <v>@wayahrajasa</v>
      </c>
      <c r="C19387" t="s">
        <v>5168</v>
      </c>
      <c r="D19387">
        <v>1500</v>
      </c>
      <c r="E19387">
        <v>0</v>
      </c>
      <c r="F19387">
        <v>10</v>
      </c>
    </row>
    <row r="19388" spans="1:6" ht="12.75">
      <c r="A19388" s="2">
        <v>43876.541909722218</v>
      </c>
      <c r="B19388" t="str">
        <f>HYPERLINK("https://twitter.com/emarlasmono","@emarlasmono")</f>
        <v>@emarlasmono</v>
      </c>
      <c r="C19388" t="s">
        <v>8589</v>
      </c>
      <c r="D19388">
        <v>7</v>
      </c>
      <c r="E19388">
        <v>0</v>
      </c>
      <c r="F19388">
        <v>986</v>
      </c>
    </row>
    <row r="19389" spans="1:6" ht="12.75">
      <c r="A19389" s="2">
        <v>43876.541874999995</v>
      </c>
      <c r="B19389" t="str">
        <f>HYPERLINK("https://twitter.com/Waji95864912","@Waji95864912")</f>
        <v>@Waji95864912</v>
      </c>
      <c r="C19389" t="s">
        <v>9767</v>
      </c>
      <c r="D19389">
        <v>0</v>
      </c>
      <c r="E19389">
        <v>0</v>
      </c>
      <c r="F19389">
        <v>0</v>
      </c>
    </row>
    <row r="19390" spans="1:6" ht="12.75">
      <c r="A19390" s="2">
        <v>43876.541828703703</v>
      </c>
      <c r="B19390" t="str">
        <f>HYPERLINK("https://twitter.com/sarimusdar09","@sarimusdar09")</f>
        <v>@sarimusdar09</v>
      </c>
      <c r="C19390" t="s">
        <v>9768</v>
      </c>
      <c r="D19390">
        <v>0</v>
      </c>
      <c r="E19390">
        <v>0</v>
      </c>
      <c r="F19390">
        <v>4296</v>
      </c>
    </row>
    <row r="19391" spans="1:6" ht="12.75">
      <c r="A19391" s="2">
        <v>43876.54178240741</v>
      </c>
      <c r="B19391" t="str">
        <f>HYPERLINK("https://twitter.com/5Y5_one_70","@5Y5_one_70")</f>
        <v>@5Y5_one_70</v>
      </c>
      <c r="C19391" t="s">
        <v>2147</v>
      </c>
      <c r="D19391">
        <v>141</v>
      </c>
      <c r="E19391">
        <v>0</v>
      </c>
      <c r="F19391">
        <v>6634</v>
      </c>
    </row>
    <row r="19392" spans="1:6" ht="12.75">
      <c r="A19392" s="2">
        <v>43876.541747685187</v>
      </c>
      <c r="B19392" t="str">
        <f>HYPERLINK("https://twitter.com/mrjustiansyah","@mrjustiansyah")</f>
        <v>@mrjustiansyah</v>
      </c>
      <c r="C19392" t="s">
        <v>9769</v>
      </c>
      <c r="D19392">
        <v>4</v>
      </c>
      <c r="E19392">
        <v>0</v>
      </c>
      <c r="F19392">
        <v>510</v>
      </c>
    </row>
    <row r="19393" spans="1:6" ht="12.75">
      <c r="A19393" s="2">
        <v>43876.541689814811</v>
      </c>
      <c r="B19393" t="str">
        <f>HYPERLINK("https://twitter.com/pikiran_rakyat","@pikiran_rakyat")</f>
        <v>@pikiran_rakyat</v>
      </c>
      <c r="C19393" t="s">
        <v>9770</v>
      </c>
      <c r="D19393">
        <v>0</v>
      </c>
      <c r="E19393">
        <v>0</v>
      </c>
      <c r="F19393">
        <v>412487</v>
      </c>
    </row>
    <row r="19394" spans="1:6" ht="12.75">
      <c r="A19394" s="2">
        <v>43876.541666666672</v>
      </c>
      <c r="B19394" t="str">
        <f>HYPERLINK("https://twitter.com/DPPPerindo","@DPPPerindo")</f>
        <v>@DPPPerindo</v>
      </c>
      <c r="C19394" t="s">
        <v>9771</v>
      </c>
      <c r="D19394">
        <v>0</v>
      </c>
      <c r="E19394">
        <v>1</v>
      </c>
      <c r="F19394">
        <v>14204</v>
      </c>
    </row>
    <row r="19395" spans="1:6" ht="12.75">
      <c r="A19395" s="2">
        <v>43876.541666666672</v>
      </c>
      <c r="B19395" t="str">
        <f>HYPERLINK("https://twitter.com/PerindoMuda","@PerindoMuda")</f>
        <v>@PerindoMuda</v>
      </c>
      <c r="C19395" t="s">
        <v>9771</v>
      </c>
      <c r="D19395">
        <v>0</v>
      </c>
      <c r="E19395">
        <v>0</v>
      </c>
      <c r="F19395">
        <v>3713</v>
      </c>
    </row>
    <row r="19396" spans="1:6" ht="12.75">
      <c r="A19396" s="2">
        <v>43876.541666666672</v>
      </c>
      <c r="B19396" t="str">
        <f>HYPERLINK("https://twitter.com/PartaiPerindo","@PartaiPerindo")</f>
        <v>@PartaiPerindo</v>
      </c>
      <c r="C19396" t="s">
        <v>9771</v>
      </c>
      <c r="D19396">
        <v>0</v>
      </c>
      <c r="E19396">
        <v>0</v>
      </c>
      <c r="F19396">
        <v>22689</v>
      </c>
    </row>
    <row r="19397" spans="1:6" ht="12.75">
      <c r="A19397" s="2">
        <v>43876.541655092587</v>
      </c>
      <c r="B19397" t="str">
        <f>HYPERLINK("https://twitter.com/ermeish","@ermeish")</f>
        <v>@ermeish</v>
      </c>
      <c r="C19397" t="s">
        <v>9772</v>
      </c>
      <c r="D19397">
        <v>0</v>
      </c>
      <c r="E19397">
        <v>0</v>
      </c>
      <c r="F19397">
        <v>586</v>
      </c>
    </row>
    <row r="19398" spans="1:6" ht="12.75">
      <c r="A19398" s="2">
        <v>43876.541435185187</v>
      </c>
      <c r="B19398" t="str">
        <f>HYPERLINK("https://twitter.com/HooHooTan","@HooHooTan")</f>
        <v>@HooHooTan</v>
      </c>
      <c r="C19398" t="s">
        <v>9773</v>
      </c>
      <c r="D19398">
        <v>0</v>
      </c>
      <c r="E19398">
        <v>0</v>
      </c>
      <c r="F19398">
        <v>24</v>
      </c>
    </row>
    <row r="19399" spans="1:6" ht="12.75">
      <c r="A19399" s="2">
        <v>43876.541435185187</v>
      </c>
      <c r="B19399" t="str">
        <f>HYPERLINK("https://twitter.com/willona_007","@willona_007")</f>
        <v>@willona_007</v>
      </c>
      <c r="C19399" t="s">
        <v>9763</v>
      </c>
      <c r="D19399">
        <v>8</v>
      </c>
      <c r="E19399">
        <v>0</v>
      </c>
      <c r="F19399">
        <v>1860</v>
      </c>
    </row>
    <row r="19400" spans="1:6" ht="12.75">
      <c r="A19400" s="2">
        <v>43876.541412037041</v>
      </c>
      <c r="B19400" t="str">
        <f>HYPERLINK("https://twitter.com/fatikhach","@fatikhach")</f>
        <v>@fatikhach</v>
      </c>
      <c r="C19400" t="s">
        <v>8493</v>
      </c>
      <c r="D19400">
        <v>17</v>
      </c>
      <c r="E19400">
        <v>0</v>
      </c>
      <c r="F19400">
        <v>14</v>
      </c>
    </row>
    <row r="19401" spans="1:6" ht="12.75">
      <c r="A19401" s="2">
        <v>43876.541273148148</v>
      </c>
      <c r="B19401" t="str">
        <f>HYPERLINK("https://twitter.com/AyuRadhita1","@AyuRadhita1")</f>
        <v>@AyuRadhita1</v>
      </c>
      <c r="C19401" t="s">
        <v>2147</v>
      </c>
      <c r="D19401">
        <v>141</v>
      </c>
      <c r="E19401">
        <v>0</v>
      </c>
      <c r="F19401">
        <v>502</v>
      </c>
    </row>
    <row r="19402" spans="1:6" ht="12.75">
      <c r="A19402" s="2">
        <v>43876.541215277779</v>
      </c>
      <c r="B19402" t="str">
        <f>HYPERLINK("https://twitter.com/MAliSubhan2","@MAliSubhan2")</f>
        <v>@MAliSubhan2</v>
      </c>
      <c r="C19402" t="s">
        <v>9763</v>
      </c>
      <c r="D19402">
        <v>8</v>
      </c>
      <c r="E19402">
        <v>0</v>
      </c>
      <c r="F19402">
        <v>1119</v>
      </c>
    </row>
    <row r="19403" spans="1:6" ht="12.75">
      <c r="A19403" s="2">
        <v>43876.541203703702</v>
      </c>
      <c r="B19403" t="str">
        <f>HYPERLINK("https://twitter.com/Jean_Aprilia97","@Jean_Aprilia97")</f>
        <v>@Jean_Aprilia97</v>
      </c>
      <c r="C19403" t="s">
        <v>9774</v>
      </c>
      <c r="D19403">
        <v>2</v>
      </c>
      <c r="E19403">
        <v>7</v>
      </c>
      <c r="F19403">
        <v>10879</v>
      </c>
    </row>
    <row r="19404" spans="1:6" ht="12.75">
      <c r="A19404" s="2">
        <v>43876.54115740741</v>
      </c>
      <c r="B19404" t="str">
        <f>HYPERLINK("https://twitter.com/JamesKatuuk","@JamesKatuuk")</f>
        <v>@JamesKatuuk</v>
      </c>
      <c r="C19404" t="s">
        <v>9763</v>
      </c>
      <c r="D19404">
        <v>8</v>
      </c>
      <c r="E19404">
        <v>0</v>
      </c>
      <c r="F19404">
        <v>5199</v>
      </c>
    </row>
    <row r="19405" spans="1:6" ht="12.75">
      <c r="A19405" s="2">
        <v>43876.541145833333</v>
      </c>
      <c r="B19405" t="str">
        <f>HYPERLINK("https://twitter.com/TUKANGUMBAHI","@TUKANGUMBAHI")</f>
        <v>@TUKANGUMBAHI</v>
      </c>
      <c r="C19405" t="s">
        <v>9775</v>
      </c>
      <c r="D19405">
        <v>0</v>
      </c>
      <c r="E19405">
        <v>0</v>
      </c>
      <c r="F19405">
        <v>488</v>
      </c>
    </row>
    <row r="19406" spans="1:6" ht="12.75">
      <c r="A19406" s="2">
        <v>43876.541087962964</v>
      </c>
      <c r="B19406" t="str">
        <f>HYPERLINK("https://twitter.com/maulidioasmr","@maulidioasmr")</f>
        <v>@maulidioasmr</v>
      </c>
      <c r="C19406" t="s">
        <v>9776</v>
      </c>
      <c r="D19406">
        <v>4</v>
      </c>
      <c r="E19406">
        <v>0</v>
      </c>
      <c r="F19406">
        <v>1314</v>
      </c>
    </row>
    <row r="19407" spans="1:6" ht="12.75">
      <c r="A19407" s="2">
        <v>43876.54105324074</v>
      </c>
      <c r="B19407" t="str">
        <f>HYPERLINK("https://twitter.com/valentina_rama","@valentina_rama")</f>
        <v>@valentina_rama</v>
      </c>
      <c r="C19407" t="s">
        <v>9763</v>
      </c>
      <c r="D19407">
        <v>8</v>
      </c>
      <c r="E19407">
        <v>0</v>
      </c>
      <c r="F19407">
        <v>794</v>
      </c>
    </row>
    <row r="19408" spans="1:6" ht="12.75">
      <c r="A19408" s="2">
        <v>43876.541041666671</v>
      </c>
      <c r="B19408" t="str">
        <f>HYPERLINK("https://twitter.com/DafinaEmalia","@DafinaEmalia")</f>
        <v>@DafinaEmalia</v>
      </c>
      <c r="C19408" t="s">
        <v>8665</v>
      </c>
      <c r="D19408">
        <v>125</v>
      </c>
      <c r="E19408">
        <v>0</v>
      </c>
      <c r="F19408">
        <v>2248</v>
      </c>
    </row>
    <row r="19409" spans="1:6" ht="12.75">
      <c r="A19409" s="2">
        <v>43876.541018518517</v>
      </c>
      <c r="B19409" t="str">
        <f>HYPERLINK("https://twitter.com/andreyandreyka","@andreyandreyka")</f>
        <v>@andreyandreyka</v>
      </c>
      <c r="C19409" t="s">
        <v>9186</v>
      </c>
      <c r="D19409">
        <v>109</v>
      </c>
      <c r="E19409">
        <v>0</v>
      </c>
      <c r="F19409">
        <v>1338</v>
      </c>
    </row>
    <row r="19410" spans="1:6" ht="12.75">
      <c r="A19410" s="2">
        <v>43876.540983796294</v>
      </c>
      <c r="B19410" t="str">
        <f>HYPERLINK("https://twitter.com/reewidjaja","@reewidjaja")</f>
        <v>@reewidjaja</v>
      </c>
      <c r="C19410" t="s">
        <v>2444</v>
      </c>
      <c r="D19410">
        <v>4062</v>
      </c>
      <c r="E19410">
        <v>0</v>
      </c>
      <c r="F19410">
        <v>576</v>
      </c>
    </row>
    <row r="19411" spans="1:6" ht="12.75">
      <c r="A19411" s="2">
        <v>43876.540856481486</v>
      </c>
      <c r="B19411" t="str">
        <f>HYPERLINK("https://twitter.com/bpriady","@bpriady")</f>
        <v>@bpriady</v>
      </c>
      <c r="C19411" t="s">
        <v>8628</v>
      </c>
      <c r="D19411">
        <v>76</v>
      </c>
      <c r="E19411">
        <v>0</v>
      </c>
      <c r="F19411">
        <v>591</v>
      </c>
    </row>
    <row r="19412" spans="1:6" ht="12.75">
      <c r="A19412" s="2">
        <v>43876.54078703704</v>
      </c>
      <c r="B19412" t="str">
        <f>HYPERLINK("https://twitter.com/najwa2_nashwan1","@najwa2_nashwan1")</f>
        <v>@najwa2_nashwan1</v>
      </c>
      <c r="C19412" t="s">
        <v>8589</v>
      </c>
      <c r="D19412">
        <v>7</v>
      </c>
      <c r="E19412">
        <v>0</v>
      </c>
      <c r="F19412">
        <v>506</v>
      </c>
    </row>
    <row r="19413" spans="1:6" ht="12.75">
      <c r="A19413" s="2">
        <v>43876.540763888886</v>
      </c>
      <c r="B19413" t="str">
        <f>HYPERLINK("https://twitter.com/deevandra","@deevandra")</f>
        <v>@deevandra</v>
      </c>
      <c r="C19413" t="s">
        <v>9763</v>
      </c>
      <c r="D19413">
        <v>8</v>
      </c>
      <c r="E19413">
        <v>0</v>
      </c>
      <c r="F19413">
        <v>1398</v>
      </c>
    </row>
    <row r="19414" spans="1:6" ht="12.75">
      <c r="A19414" s="2">
        <v>43876.540752314817</v>
      </c>
      <c r="B19414" t="str">
        <f>HYPERLINK("https://twitter.com/denti08","@denti08")</f>
        <v>@denti08</v>
      </c>
      <c r="C19414" t="s">
        <v>9777</v>
      </c>
      <c r="D19414">
        <v>0</v>
      </c>
      <c r="E19414">
        <v>0</v>
      </c>
      <c r="F19414">
        <v>123</v>
      </c>
    </row>
    <row r="19415" spans="1:6" ht="12.75">
      <c r="A19415" s="2">
        <v>43876.54074074074</v>
      </c>
      <c r="B19415" t="str">
        <f>HYPERLINK("https://twitter.com/onielectra","@onielectra")</f>
        <v>@onielectra</v>
      </c>
      <c r="C19415" t="s">
        <v>9778</v>
      </c>
      <c r="D19415">
        <v>1</v>
      </c>
      <c r="E19415">
        <v>0</v>
      </c>
      <c r="F19415">
        <v>1779</v>
      </c>
    </row>
    <row r="19416" spans="1:6" ht="12.75">
      <c r="A19416" s="2">
        <v>43876.540636574078</v>
      </c>
      <c r="B19416" t="str">
        <f>HYPERLINK("https://twitter.com/TheOwlWarrior","@TheOwlWarrior")</f>
        <v>@TheOwlWarrior</v>
      </c>
      <c r="C19416" t="s">
        <v>3059</v>
      </c>
      <c r="D19416">
        <v>157</v>
      </c>
      <c r="E19416">
        <v>0</v>
      </c>
      <c r="F19416">
        <v>568</v>
      </c>
    </row>
    <row r="19417" spans="1:6" ht="12.75">
      <c r="A19417" s="2">
        <v>43876.540613425925</v>
      </c>
      <c r="B19417" t="str">
        <f>HYPERLINK("https://twitter.com/acarakotabatu","@acarakotabatu")</f>
        <v>@acarakotabatu</v>
      </c>
      <c r="C19417" t="s">
        <v>2147</v>
      </c>
      <c r="D19417">
        <v>141</v>
      </c>
      <c r="E19417">
        <v>0</v>
      </c>
      <c r="F19417">
        <v>29</v>
      </c>
    </row>
    <row r="19418" spans="1:6" ht="12.75">
      <c r="A19418" s="2">
        <v>43876.540613425925</v>
      </c>
      <c r="B19418" t="str">
        <f>HYPERLINK("https://twitter.com/teriwinarno1","@teriwinarno1")</f>
        <v>@teriwinarno1</v>
      </c>
      <c r="C19418" t="s">
        <v>9150</v>
      </c>
      <c r="D19418">
        <v>9</v>
      </c>
      <c r="E19418">
        <v>0</v>
      </c>
      <c r="F19418">
        <v>4764</v>
      </c>
    </row>
    <row r="19419" spans="1:6" ht="12.75">
      <c r="A19419" s="2">
        <v>43876.540613425925</v>
      </c>
      <c r="B19419" t="str">
        <f>HYPERLINK("https://twitter.com/JAVAaja","@JAVAaja")</f>
        <v>@JAVAaja</v>
      </c>
      <c r="C19419" t="s">
        <v>9779</v>
      </c>
      <c r="D19419">
        <v>0</v>
      </c>
      <c r="E19419">
        <v>0</v>
      </c>
      <c r="F19419">
        <v>5</v>
      </c>
    </row>
    <row r="19420" spans="1:6" ht="12.75">
      <c r="A19420" s="2">
        <v>43876.540532407409</v>
      </c>
      <c r="B19420" t="str">
        <f>HYPERLINK("https://twitter.com/Metro_TV","@Metro_TV")</f>
        <v>@Metro_TV</v>
      </c>
      <c r="C19420" t="s">
        <v>9780</v>
      </c>
      <c r="D19420">
        <v>0</v>
      </c>
      <c r="E19420">
        <v>3</v>
      </c>
      <c r="F19420">
        <v>10509337</v>
      </c>
    </row>
    <row r="19421" spans="1:6" ht="12.75">
      <c r="A19421" s="2">
        <v>43876.540497685186</v>
      </c>
      <c r="B19421" t="str">
        <f>HYPERLINK("https://twitter.com/rang_simabua","@rang_simabua")</f>
        <v>@rang_simabua</v>
      </c>
      <c r="C19421" t="s">
        <v>9781</v>
      </c>
      <c r="D19421">
        <v>1</v>
      </c>
      <c r="E19421">
        <v>0</v>
      </c>
      <c r="F19421">
        <v>7496</v>
      </c>
    </row>
    <row r="19422" spans="1:6" ht="12.75">
      <c r="A19422" s="2">
        <v>43876.540439814809</v>
      </c>
      <c r="B19422" t="str">
        <f>HYPERLINK("https://twitter.com/WSuratman","@WSuratman")</f>
        <v>@WSuratman</v>
      </c>
      <c r="C19422" t="s">
        <v>9782</v>
      </c>
      <c r="D19422">
        <v>2</v>
      </c>
      <c r="E19422">
        <v>0</v>
      </c>
      <c r="F19422">
        <v>3012</v>
      </c>
    </row>
    <row r="19423" spans="1:6" ht="12.75">
      <c r="A19423" s="2">
        <v>43876.540289351848</v>
      </c>
      <c r="B19423" t="str">
        <f>HYPERLINK("https://twitter.com/Kikikurniap","@Kikikurniap")</f>
        <v>@Kikikurniap</v>
      </c>
      <c r="C19423" t="s">
        <v>2147</v>
      </c>
      <c r="D19423">
        <v>141</v>
      </c>
      <c r="E19423">
        <v>0</v>
      </c>
      <c r="F19423">
        <v>6</v>
      </c>
    </row>
    <row r="19424" spans="1:6" ht="12.75">
      <c r="A19424" s="2">
        <v>43876.540254629625</v>
      </c>
      <c r="B19424" t="str">
        <f>HYPERLINK("https://twitter.com/garisdepannkri","@garisdepannkri")</f>
        <v>@garisdepannkri</v>
      </c>
      <c r="C19424" t="s">
        <v>9761</v>
      </c>
      <c r="D19424">
        <v>0</v>
      </c>
      <c r="E19424">
        <v>0</v>
      </c>
      <c r="F19424">
        <v>7</v>
      </c>
    </row>
    <row r="19425" spans="1:6" ht="12.75">
      <c r="A19425" s="2">
        <v>43876.540150462963</v>
      </c>
      <c r="B19425" t="str">
        <f>HYPERLINK("https://twitter.com/SarjanaTanggung","@SarjanaTanggung")</f>
        <v>@SarjanaTanggung</v>
      </c>
      <c r="C19425" t="s">
        <v>6201</v>
      </c>
      <c r="D19425">
        <v>483</v>
      </c>
      <c r="E19425">
        <v>0</v>
      </c>
      <c r="F19425">
        <v>18</v>
      </c>
    </row>
    <row r="19426" spans="1:6" ht="12.75">
      <c r="A19426" s="2">
        <v>43876.540034722224</v>
      </c>
      <c r="B19426" t="str">
        <f>HYPERLINK("https://twitter.com/yaniprawiro1","@yaniprawiro1")</f>
        <v>@yaniprawiro1</v>
      </c>
      <c r="C19426" t="s">
        <v>3059</v>
      </c>
      <c r="D19426">
        <v>157</v>
      </c>
      <c r="E19426">
        <v>0</v>
      </c>
      <c r="F19426">
        <v>317</v>
      </c>
    </row>
    <row r="19427" spans="1:6" ht="12.75">
      <c r="A19427" s="2">
        <v>43876.539976851855</v>
      </c>
      <c r="B19427" t="str">
        <f>HYPERLINK("https://twitter.com/GoSumbarcom","@GoSumbarcom")</f>
        <v>@GoSumbarcom</v>
      </c>
      <c r="C19427" t="s">
        <v>9783</v>
      </c>
      <c r="D19427">
        <v>0</v>
      </c>
      <c r="E19427">
        <v>0</v>
      </c>
      <c r="F19427">
        <v>16414</v>
      </c>
    </row>
    <row r="19428" spans="1:6" ht="12.75">
      <c r="A19428" s="2">
        <v>43876.539976851855</v>
      </c>
      <c r="B19428" t="str">
        <f>HYPERLINK("https://twitter.com/GoNewsdotco","@GoNewsdotco")</f>
        <v>@GoNewsdotco</v>
      </c>
      <c r="C19428" t="s">
        <v>9783</v>
      </c>
      <c r="D19428">
        <v>0</v>
      </c>
      <c r="E19428">
        <v>0</v>
      </c>
      <c r="F19428">
        <v>3780</v>
      </c>
    </row>
    <row r="19429" spans="1:6" ht="12.75">
      <c r="A19429" s="2">
        <v>43876.539953703701</v>
      </c>
      <c r="B19429" t="str">
        <f>HYPERLINK("https://twitter.com/nandoibrahim3","@nandoibrahim3")</f>
        <v>@nandoibrahim3</v>
      </c>
      <c r="C19429" t="s">
        <v>2444</v>
      </c>
      <c r="D19429">
        <v>4062</v>
      </c>
      <c r="E19429">
        <v>0</v>
      </c>
      <c r="F19429">
        <v>196</v>
      </c>
    </row>
    <row r="19430" spans="1:6" ht="12.75">
      <c r="A19430" s="2">
        <v>43876.539837962962</v>
      </c>
      <c r="B19430" t="str">
        <f>HYPERLINK("https://twitter.com/YantaMurgi","@YantaMurgi")</f>
        <v>@YantaMurgi</v>
      </c>
      <c r="C19430" t="s">
        <v>4294</v>
      </c>
      <c r="D19430">
        <v>31</v>
      </c>
      <c r="E19430">
        <v>0</v>
      </c>
      <c r="F19430">
        <v>0</v>
      </c>
    </row>
    <row r="19431" spans="1:6" ht="12.75">
      <c r="A19431" s="2">
        <v>43876.539826388893</v>
      </c>
      <c r="B19431" t="str">
        <f>HYPERLINK("https://twitter.com/qothrunnadaida","@qothrunnadaida")</f>
        <v>@qothrunnadaida</v>
      </c>
      <c r="C19431" t="s">
        <v>5168</v>
      </c>
      <c r="D19431">
        <v>1500</v>
      </c>
      <c r="E19431">
        <v>0</v>
      </c>
      <c r="F19431">
        <v>224</v>
      </c>
    </row>
    <row r="19432" spans="1:6" ht="12.75">
      <c r="A19432" s="2">
        <v>43876.539780092593</v>
      </c>
      <c r="B19432" t="str">
        <f>HYPERLINK("https://twitter.com/mxflurryoreo","@mxflurryoreo")</f>
        <v>@mxflurryoreo</v>
      </c>
      <c r="C19432" t="s">
        <v>5168</v>
      </c>
      <c r="D19432">
        <v>1500</v>
      </c>
      <c r="E19432">
        <v>0</v>
      </c>
      <c r="F19432">
        <v>1003</v>
      </c>
    </row>
    <row r="19433" spans="1:6" ht="12.75">
      <c r="A19433" s="2">
        <v>43876.53974537037</v>
      </c>
      <c r="B19433" t="str">
        <f>HYPERLINK("https://twitter.com/Raihangiantama1","@Raihangiantama1")</f>
        <v>@Raihangiantama1</v>
      </c>
      <c r="C19433" t="s">
        <v>2147</v>
      </c>
      <c r="D19433">
        <v>141</v>
      </c>
      <c r="E19433">
        <v>0</v>
      </c>
      <c r="F19433">
        <v>9</v>
      </c>
    </row>
    <row r="19434" spans="1:6" ht="12.75">
      <c r="A19434" s="2">
        <v>43876.539629629631</v>
      </c>
      <c r="B19434" t="str">
        <f>HYPERLINK("https://twitter.com/cicakribo22","@cicakribo22")</f>
        <v>@cicakribo22</v>
      </c>
      <c r="C19434" t="s">
        <v>2147</v>
      </c>
      <c r="D19434">
        <v>141</v>
      </c>
      <c r="E19434">
        <v>0</v>
      </c>
      <c r="F19434">
        <v>24</v>
      </c>
    </row>
    <row r="19435" spans="1:6" ht="12.75">
      <c r="A19435" s="2">
        <v>43876.539618055554</v>
      </c>
      <c r="B19435" t="str">
        <f>HYPERLINK("https://twitter.com/umay_patria","@umay_patria")</f>
        <v>@umay_patria</v>
      </c>
      <c r="C19435" t="s">
        <v>9127</v>
      </c>
      <c r="D19435">
        <v>8</v>
      </c>
      <c r="E19435">
        <v>0</v>
      </c>
      <c r="F19435">
        <v>1134</v>
      </c>
    </row>
    <row r="19436" spans="1:6" ht="12.75">
      <c r="A19436" s="2">
        <v>43876.539583333331</v>
      </c>
      <c r="B19436" t="str">
        <f>HYPERLINK("https://twitter.com/GesuriID","@GesuriID")</f>
        <v>@GesuriID</v>
      </c>
      <c r="C19436" t="s">
        <v>9784</v>
      </c>
      <c r="D19436">
        <v>0</v>
      </c>
      <c r="E19436">
        <v>1</v>
      </c>
      <c r="F19436">
        <v>197405</v>
      </c>
    </row>
    <row r="19437" spans="1:6" ht="12.75">
      <c r="A19437" s="2">
        <v>43876.539525462962</v>
      </c>
      <c r="B19437" t="str">
        <f>HYPERLINK("https://twitter.com/feliciaamanda94","@feliciaamanda94")</f>
        <v>@feliciaamanda94</v>
      </c>
      <c r="C19437" t="s">
        <v>2444</v>
      </c>
      <c r="D19437">
        <v>4062</v>
      </c>
      <c r="E19437">
        <v>0</v>
      </c>
      <c r="F19437">
        <v>952</v>
      </c>
    </row>
    <row r="19438" spans="1:6" ht="12.75">
      <c r="A19438" s="2">
        <v>43876.539386574077</v>
      </c>
      <c r="B19438" t="str">
        <f>HYPERLINK("https://twitter.com/riaarifani","@riaarifani")</f>
        <v>@riaarifani</v>
      </c>
      <c r="C19438" t="s">
        <v>2147</v>
      </c>
      <c r="D19438">
        <v>141</v>
      </c>
      <c r="E19438">
        <v>0</v>
      </c>
      <c r="F19438">
        <v>419</v>
      </c>
    </row>
    <row r="19439" spans="1:6" ht="12.75">
      <c r="A19439" s="2">
        <v>43876.539340277777</v>
      </c>
      <c r="B19439" t="str">
        <f>HYPERLINK("https://twitter.com/sj_herry","@sj_herry")</f>
        <v>@sj_herry</v>
      </c>
      <c r="C19439" t="s">
        <v>9785</v>
      </c>
      <c r="D19439">
        <v>0</v>
      </c>
      <c r="E19439">
        <v>0</v>
      </c>
      <c r="F19439">
        <v>344</v>
      </c>
    </row>
    <row r="19440" spans="1:6" ht="12.75">
      <c r="A19440" s="2">
        <v>43876.5393287037</v>
      </c>
      <c r="B19440" t="str">
        <f>HYPERLINK("https://twitter.com/inggarghssani","@inggarghssani")</f>
        <v>@inggarghssani</v>
      </c>
      <c r="C19440" t="s">
        <v>9786</v>
      </c>
      <c r="D19440">
        <v>10</v>
      </c>
      <c r="E19440">
        <v>0</v>
      </c>
      <c r="F19440">
        <v>18</v>
      </c>
    </row>
    <row r="19441" spans="1:6" ht="12.75">
      <c r="A19441" s="2">
        <v>43876.539293981477</v>
      </c>
      <c r="B19441" t="str">
        <f>HYPERLINK("https://twitter.com/RAlAzis1","@RAlAzis1")</f>
        <v>@RAlAzis1</v>
      </c>
      <c r="C19441" t="s">
        <v>4294</v>
      </c>
      <c r="D19441">
        <v>31</v>
      </c>
      <c r="E19441">
        <v>0</v>
      </c>
      <c r="F19441">
        <v>0</v>
      </c>
    </row>
    <row r="19442" spans="1:6" ht="12.75">
      <c r="A19442" s="2">
        <v>43876.539270833338</v>
      </c>
      <c r="B19442" t="str">
        <f>HYPERLINK("https://twitter.com/Mohamad50983447","@Mohamad50983447")</f>
        <v>@Mohamad50983447</v>
      </c>
      <c r="C19442" t="s">
        <v>2147</v>
      </c>
      <c r="D19442">
        <v>141</v>
      </c>
      <c r="E19442">
        <v>0</v>
      </c>
      <c r="F19442">
        <v>6</v>
      </c>
    </row>
    <row r="19443" spans="1:6" ht="12.75">
      <c r="A19443" s="2">
        <v>43876.539166666669</v>
      </c>
      <c r="B19443" t="str">
        <f>HYPERLINK("https://twitter.com/djakamas","@djakamas")</f>
        <v>@djakamas</v>
      </c>
      <c r="C19443" t="s">
        <v>3059</v>
      </c>
      <c r="D19443">
        <v>157</v>
      </c>
      <c r="E19443">
        <v>0</v>
      </c>
      <c r="F19443">
        <v>997</v>
      </c>
    </row>
    <row r="19444" spans="1:6" ht="12.75">
      <c r="A19444" s="2">
        <v>43876.539155092592</v>
      </c>
      <c r="B19444" t="str">
        <f>HYPERLINK("https://twitter.com/adillaS3","@adillaS3")</f>
        <v>@adillaS3</v>
      </c>
      <c r="C19444" t="s">
        <v>8665</v>
      </c>
      <c r="D19444">
        <v>125</v>
      </c>
      <c r="E19444">
        <v>0</v>
      </c>
      <c r="F19444">
        <v>2482</v>
      </c>
    </row>
    <row r="19445" spans="1:6" ht="12.75">
      <c r="A19445" s="2">
        <v>43876.539143518516</v>
      </c>
      <c r="B19445" t="str">
        <f>HYPERLINK("https://twitter.com/jiheeeeeya","@jiheeeeeya")</f>
        <v>@jiheeeeeya</v>
      </c>
      <c r="C19445" t="s">
        <v>5168</v>
      </c>
      <c r="D19445">
        <v>1500</v>
      </c>
      <c r="E19445">
        <v>0</v>
      </c>
      <c r="F19445">
        <v>699</v>
      </c>
    </row>
    <row r="19446" spans="1:6" ht="12.75">
      <c r="A19446" s="2">
        <v>43876.539120370369</v>
      </c>
      <c r="B19446" t="str">
        <f>HYPERLINK("https://twitter.com/AgusSup39011241","@AgusSup39011241")</f>
        <v>@AgusSup39011241</v>
      </c>
      <c r="C19446" t="s">
        <v>2147</v>
      </c>
      <c r="D19446">
        <v>141</v>
      </c>
      <c r="E19446">
        <v>0</v>
      </c>
      <c r="F19446">
        <v>10018</v>
      </c>
    </row>
    <row r="19447" spans="1:6" ht="12.75">
      <c r="A19447" s="2">
        <v>43876.539120370369</v>
      </c>
      <c r="B19447" t="str">
        <f>HYPERLINK("https://twitter.com/PutriDara27","@PutriDara27")</f>
        <v>@PutriDara27</v>
      </c>
      <c r="C19447" t="s">
        <v>2444</v>
      </c>
      <c r="D19447">
        <v>4062</v>
      </c>
      <c r="E19447">
        <v>0</v>
      </c>
      <c r="F19447">
        <v>207</v>
      </c>
    </row>
    <row r="19448" spans="1:6" ht="12.75">
      <c r="A19448" s="2">
        <v>43876.539120370369</v>
      </c>
      <c r="B19448" t="str">
        <f>HYPERLINK("https://twitter.com/wix95","@wix95")</f>
        <v>@wix95</v>
      </c>
      <c r="C19448" t="s">
        <v>2444</v>
      </c>
      <c r="D19448">
        <v>4062</v>
      </c>
      <c r="E19448">
        <v>0</v>
      </c>
      <c r="F19448">
        <v>496</v>
      </c>
    </row>
    <row r="19449" spans="1:6" ht="12.75">
      <c r="A19449" s="2">
        <v>43876.539097222223</v>
      </c>
      <c r="B19449" t="str">
        <f>HYPERLINK("https://twitter.com/Xmen010101","@Xmen010101")</f>
        <v>@Xmen010101</v>
      </c>
      <c r="C19449" t="s">
        <v>2147</v>
      </c>
      <c r="D19449">
        <v>141</v>
      </c>
      <c r="E19449">
        <v>0</v>
      </c>
      <c r="F19449">
        <v>192</v>
      </c>
    </row>
    <row r="19450" spans="1:6" ht="12.75">
      <c r="A19450" s="2">
        <v>43876.5390625</v>
      </c>
      <c r="B19450" t="str">
        <f>HYPERLINK("https://twitter.com/Gustipangestuu","@Gustipangestuu")</f>
        <v>@Gustipangestuu</v>
      </c>
      <c r="C19450" t="s">
        <v>2444</v>
      </c>
      <c r="D19450">
        <v>4062</v>
      </c>
      <c r="E19450">
        <v>0</v>
      </c>
      <c r="F19450">
        <v>585</v>
      </c>
    </row>
    <row r="19451" spans="1:6" ht="12.75">
      <c r="A19451" s="2">
        <v>43876.501550925925</v>
      </c>
      <c r="B19451" t="str">
        <f>HYPERLINK("https://twitter.com/KKhawarij","@KKhawarij")</f>
        <v>@KKhawarij</v>
      </c>
      <c r="C19451" t="s">
        <v>9787</v>
      </c>
      <c r="D19451">
        <v>0</v>
      </c>
      <c r="E19451">
        <v>0</v>
      </c>
      <c r="F19451">
        <v>189</v>
      </c>
    </row>
    <row r="19452" spans="1:6" ht="12.75">
      <c r="A19452" s="2">
        <v>43876.501493055555</v>
      </c>
      <c r="B19452" t="str">
        <f>HYPERLINK("https://twitter.com/__beritaterkini","@__beritaterkini")</f>
        <v>@__beritaterkini</v>
      </c>
      <c r="C19452" t="s">
        <v>9788</v>
      </c>
      <c r="D19452">
        <v>0</v>
      </c>
      <c r="E19452">
        <v>0</v>
      </c>
      <c r="F19452">
        <v>423</v>
      </c>
    </row>
    <row r="19453" spans="1:6" ht="12.75">
      <c r="A19453" s="2">
        <v>43876.50136574074</v>
      </c>
      <c r="B19453" t="str">
        <f>HYPERLINK("https://twitter.com/dkscmol","@dkscmol")</f>
        <v>@dkscmol</v>
      </c>
      <c r="C19453" t="s">
        <v>2444</v>
      </c>
      <c r="D19453">
        <v>3991</v>
      </c>
      <c r="E19453">
        <v>0</v>
      </c>
      <c r="F19453">
        <v>46</v>
      </c>
    </row>
    <row r="19454" spans="1:6" ht="12.75">
      <c r="A19454" s="2">
        <v>43876.501331018517</v>
      </c>
      <c r="B19454" t="str">
        <f>HYPERLINK("https://twitter.com/KKhawarij","@KKhawarij")</f>
        <v>@KKhawarij</v>
      </c>
      <c r="C19454" t="s">
        <v>9789</v>
      </c>
      <c r="D19454">
        <v>0</v>
      </c>
      <c r="E19454">
        <v>0</v>
      </c>
      <c r="F19454">
        <v>189</v>
      </c>
    </row>
    <row r="19455" spans="1:6" ht="12.75">
      <c r="A19455" s="2">
        <v>43876.501226851848</v>
      </c>
      <c r="B19455" t="str">
        <f>HYPERLINK("https://twitter.com/RizkyNafi21","@RizkyNafi21")</f>
        <v>@RizkyNafi21</v>
      </c>
      <c r="C19455" t="s">
        <v>2179</v>
      </c>
      <c r="D19455">
        <v>11</v>
      </c>
      <c r="E19455">
        <v>0</v>
      </c>
      <c r="F19455">
        <v>2082</v>
      </c>
    </row>
    <row r="19456" spans="1:6" ht="12.75">
      <c r="A19456" s="2">
        <v>43876.501203703709</v>
      </c>
      <c r="B19456" t="str">
        <f>HYPERLINK("https://twitter.com/Rachman22077615","@Rachman22077615")</f>
        <v>@Rachman22077615</v>
      </c>
      <c r="C19456" t="s">
        <v>8754</v>
      </c>
      <c r="D19456">
        <v>64</v>
      </c>
      <c r="E19456">
        <v>0</v>
      </c>
      <c r="F19456">
        <v>1201</v>
      </c>
    </row>
    <row r="19457" spans="1:6" ht="12.75">
      <c r="A19457" s="2">
        <v>43876.501134259262</v>
      </c>
      <c r="B19457" t="str">
        <f>HYPERLINK("https://twitter.com/Adot1998","@Adot1998")</f>
        <v>@Adot1998</v>
      </c>
      <c r="C19457" t="s">
        <v>9751</v>
      </c>
      <c r="D19457">
        <v>2</v>
      </c>
      <c r="E19457">
        <v>0</v>
      </c>
      <c r="F19457">
        <v>15456</v>
      </c>
    </row>
    <row r="19458" spans="1:6" ht="12.75">
      <c r="A19458" s="2">
        <v>43876.501122685186</v>
      </c>
      <c r="B19458" t="str">
        <f>HYPERLINK("https://twitter.com/hennysuhaeni21","@hennysuhaeni21")</f>
        <v>@hennysuhaeni21</v>
      </c>
      <c r="C19458" t="s">
        <v>9389</v>
      </c>
      <c r="D19458">
        <v>22</v>
      </c>
      <c r="E19458">
        <v>0</v>
      </c>
      <c r="F19458">
        <v>570</v>
      </c>
    </row>
    <row r="19459" spans="1:6" ht="12.75">
      <c r="A19459" s="2">
        <v>43876.501064814816</v>
      </c>
      <c r="B19459" t="str">
        <f>HYPERLINK("https://twitter.com/AtiefOn7","@AtiefOn7")</f>
        <v>@AtiefOn7</v>
      </c>
      <c r="C19459" t="s">
        <v>2444</v>
      </c>
      <c r="D19459">
        <v>3991</v>
      </c>
      <c r="E19459">
        <v>0</v>
      </c>
      <c r="F19459">
        <v>50</v>
      </c>
    </row>
    <row r="19460" spans="1:6" ht="12.75">
      <c r="A19460" s="2">
        <v>43876.501041666663</v>
      </c>
      <c r="B19460" t="str">
        <f>HYPERLINK("https://twitter.com/Metro_TV","@Metro_TV")</f>
        <v>@Metro_TV</v>
      </c>
      <c r="C19460" t="s">
        <v>9790</v>
      </c>
      <c r="D19460">
        <v>0</v>
      </c>
      <c r="E19460">
        <v>1</v>
      </c>
      <c r="F19460">
        <v>10509327</v>
      </c>
    </row>
    <row r="19461" spans="1:6" ht="12.75">
      <c r="A19461" s="2">
        <v>43876.500972222224</v>
      </c>
      <c r="B19461" t="str">
        <f>HYPERLINK("https://twitter.com/KKhawarij","@KKhawarij")</f>
        <v>@KKhawarij</v>
      </c>
      <c r="C19461" t="s">
        <v>9791</v>
      </c>
      <c r="D19461">
        <v>0</v>
      </c>
      <c r="E19461">
        <v>0</v>
      </c>
      <c r="F19461">
        <v>189</v>
      </c>
    </row>
    <row r="19462" spans="1:6" ht="12.75">
      <c r="A19462" s="2">
        <v>43876.500949074078</v>
      </c>
      <c r="B19462" t="str">
        <f>HYPERLINK("https://twitter.com/KaoruHamadaa","@KaoruHamadaa")</f>
        <v>@KaoruHamadaa</v>
      </c>
      <c r="C19462" t="s">
        <v>5168</v>
      </c>
      <c r="D19462">
        <v>1462</v>
      </c>
      <c r="E19462">
        <v>0</v>
      </c>
      <c r="F19462">
        <v>549</v>
      </c>
    </row>
    <row r="19463" spans="1:6" ht="12.75">
      <c r="A19463" s="2">
        <v>43876.500902777778</v>
      </c>
      <c r="B19463" t="str">
        <f>HYPERLINK("https://twitter.com/YuliGondrong2","@YuliGondrong2")</f>
        <v>@YuliGondrong2</v>
      </c>
      <c r="C19463" t="s">
        <v>9792</v>
      </c>
      <c r="D19463">
        <v>0</v>
      </c>
      <c r="E19463">
        <v>0</v>
      </c>
      <c r="F19463">
        <v>3</v>
      </c>
    </row>
    <row r="19464" spans="1:6" ht="12.75">
      <c r="A19464" s="2">
        <v>43876.500821759255</v>
      </c>
      <c r="B19464" t="str">
        <f>HYPERLINK("https://twitter.com/MasifMedia","@MasifMedia")</f>
        <v>@MasifMedia</v>
      </c>
      <c r="C19464" t="s">
        <v>9793</v>
      </c>
      <c r="D19464">
        <v>0</v>
      </c>
      <c r="E19464">
        <v>0</v>
      </c>
      <c r="F19464">
        <v>13883</v>
      </c>
    </row>
    <row r="19465" spans="1:6" ht="12.75">
      <c r="A19465" s="2">
        <v>43876.500810185185</v>
      </c>
      <c r="B19465" t="str">
        <f>HYPERLINK("https://twitter.com/KKhawarij","@KKhawarij")</f>
        <v>@KKhawarij</v>
      </c>
      <c r="C19465" t="s">
        <v>9794</v>
      </c>
      <c r="D19465">
        <v>0</v>
      </c>
      <c r="E19465">
        <v>0</v>
      </c>
      <c r="F19465">
        <v>189</v>
      </c>
    </row>
    <row r="19466" spans="1:6" ht="12.75">
      <c r="A19466" s="2">
        <v>43876.500810185185</v>
      </c>
      <c r="B19466" t="str">
        <f>HYPERLINK("https://twitter.com/svjkkk","@svjkkk")</f>
        <v>@svjkkk</v>
      </c>
      <c r="C19466" t="s">
        <v>2444</v>
      </c>
      <c r="D19466">
        <v>3991</v>
      </c>
      <c r="E19466">
        <v>0</v>
      </c>
      <c r="F19466">
        <v>1162</v>
      </c>
    </row>
    <row r="19467" spans="1:6" ht="12.75">
      <c r="A19467" s="2">
        <v>43876.500775462962</v>
      </c>
      <c r="B19467" t="str">
        <f>HYPERLINK("https://twitter.com/wni_jmsri","@wni_jmsri")</f>
        <v>@wni_jmsri</v>
      </c>
      <c r="C19467" t="s">
        <v>9795</v>
      </c>
      <c r="D19467">
        <v>989</v>
      </c>
      <c r="E19467">
        <v>0</v>
      </c>
      <c r="F19467">
        <v>195</v>
      </c>
    </row>
    <row r="19468" spans="1:6" ht="12.75">
      <c r="A19468" s="2">
        <v>43876.500613425931</v>
      </c>
      <c r="B19468" t="str">
        <f>HYPERLINK("https://twitter.com/KKhawarij","@KKhawarij")</f>
        <v>@KKhawarij</v>
      </c>
      <c r="C19468" t="s">
        <v>2963</v>
      </c>
      <c r="D19468">
        <v>1260</v>
      </c>
      <c r="E19468">
        <v>0</v>
      </c>
      <c r="F19468">
        <v>189</v>
      </c>
    </row>
    <row r="19469" spans="1:6" ht="12.75">
      <c r="A19469" s="2">
        <v>43876.500486111108</v>
      </c>
      <c r="B19469" t="str">
        <f>HYPERLINK("https://twitter.com/henymenik1","@henymenik1")</f>
        <v>@henymenik1</v>
      </c>
      <c r="C19469" t="s">
        <v>9796</v>
      </c>
      <c r="D19469">
        <v>10</v>
      </c>
      <c r="E19469">
        <v>0</v>
      </c>
      <c r="F19469">
        <v>354</v>
      </c>
    </row>
    <row r="19470" spans="1:6" ht="12.75">
      <c r="A19470" s="2">
        <v>43876.500335648147</v>
      </c>
      <c r="B19470" t="str">
        <f>HYPERLINK("https://twitter.com/Adot1998","@Adot1998")</f>
        <v>@Adot1998</v>
      </c>
      <c r="C19470" t="s">
        <v>9732</v>
      </c>
      <c r="D19470">
        <v>78</v>
      </c>
      <c r="E19470">
        <v>0</v>
      </c>
      <c r="F19470">
        <v>15456</v>
      </c>
    </row>
    <row r="19471" spans="1:6" ht="12.75">
      <c r="A19471" s="2">
        <v>43876.500324074077</v>
      </c>
      <c r="B19471" t="str">
        <f>HYPERLINK("https://twitter.com/egabenitaa","@egabenitaa")</f>
        <v>@egabenitaa</v>
      </c>
      <c r="C19471" t="s">
        <v>2444</v>
      </c>
      <c r="D19471">
        <v>3991</v>
      </c>
      <c r="E19471">
        <v>0</v>
      </c>
      <c r="F19471">
        <v>15</v>
      </c>
    </row>
    <row r="19472" spans="1:6" ht="12.75">
      <c r="A19472" s="2">
        <v>43876.500277777777</v>
      </c>
      <c r="B19472" t="str">
        <f>HYPERLINK("https://twitter.com/imanuelayuliana","@imanuelayuliana")</f>
        <v>@imanuelayuliana</v>
      </c>
      <c r="C19472" t="s">
        <v>2444</v>
      </c>
      <c r="D19472">
        <v>3991</v>
      </c>
      <c r="E19472">
        <v>0</v>
      </c>
      <c r="F19472">
        <v>43</v>
      </c>
    </row>
    <row r="19473" spans="1:6" ht="12.75">
      <c r="A19473" s="2">
        <v>43876.5002662037</v>
      </c>
      <c r="B19473" t="str">
        <f>HYPERLINK("https://twitter.com/alobeuyou","@alobeuyou")</f>
        <v>@alobeuyou</v>
      </c>
      <c r="C19473" t="s">
        <v>2444</v>
      </c>
      <c r="D19473">
        <v>3991</v>
      </c>
      <c r="E19473">
        <v>0</v>
      </c>
      <c r="F19473">
        <v>362</v>
      </c>
    </row>
    <row r="19474" spans="1:6" ht="12.75">
      <c r="A19474" s="2">
        <v>43876.500150462962</v>
      </c>
      <c r="B19474" t="str">
        <f>HYPERLINK("https://twitter.com/N53270338","@N53270338")</f>
        <v>@N53270338</v>
      </c>
      <c r="C19474" t="s">
        <v>2179</v>
      </c>
      <c r="D19474">
        <v>11</v>
      </c>
      <c r="E19474">
        <v>0</v>
      </c>
      <c r="F19474">
        <v>586</v>
      </c>
    </row>
    <row r="19475" spans="1:6" ht="12.75">
      <c r="A19475" s="2">
        <v>43876.500127314815</v>
      </c>
      <c r="B19475" t="str">
        <f>HYPERLINK("https://twitter.com/AutoAdsJa","@AutoAdsJa")</f>
        <v>@AutoAdsJa</v>
      </c>
      <c r="C19475" t="s">
        <v>9797</v>
      </c>
      <c r="D19475">
        <v>0</v>
      </c>
      <c r="E19475">
        <v>0</v>
      </c>
      <c r="F19475">
        <v>534</v>
      </c>
    </row>
    <row r="19476" spans="1:6" ht="12.75">
      <c r="A19476" s="2">
        <v>43876.500081018516</v>
      </c>
      <c r="B19476" t="str">
        <f>HYPERLINK("https://twitter.com/asnug_id","@asnug_id")</f>
        <v>@asnug_id</v>
      </c>
      <c r="C19476" t="s">
        <v>9798</v>
      </c>
      <c r="D19476">
        <v>4</v>
      </c>
      <c r="E19476">
        <v>0</v>
      </c>
      <c r="F19476">
        <v>3226</v>
      </c>
    </row>
    <row r="19477" spans="1:6" ht="12.75">
      <c r="A19477" s="2">
        <v>43876.499745370369</v>
      </c>
      <c r="B19477" t="str">
        <f>HYPERLINK("https://twitter.com/scorpiocuy","@scorpiocuy")</f>
        <v>@scorpiocuy</v>
      </c>
      <c r="C19477" t="s">
        <v>9799</v>
      </c>
      <c r="D19477">
        <v>0</v>
      </c>
      <c r="E19477">
        <v>0</v>
      </c>
      <c r="F19477">
        <v>23</v>
      </c>
    </row>
    <row r="19478" spans="1:6" ht="12.75">
      <c r="A19478" s="2">
        <v>43876.499745370369</v>
      </c>
      <c r="B19478" t="str">
        <f>HYPERLINK("https://twitter.com/OkhaNeraka","@OkhaNeraka")</f>
        <v>@OkhaNeraka</v>
      </c>
      <c r="C19478" t="s">
        <v>9186</v>
      </c>
      <c r="D19478">
        <v>106</v>
      </c>
      <c r="E19478">
        <v>0</v>
      </c>
      <c r="F19478">
        <v>24</v>
      </c>
    </row>
    <row r="19479" spans="1:6" ht="12.75">
      <c r="A19479" s="2">
        <v>43876.499675925923</v>
      </c>
      <c r="B19479" t="str">
        <f>HYPERLINK("https://twitter.com/RuSoet118","@RuSoet118")</f>
        <v>@RuSoet118</v>
      </c>
      <c r="C19479" t="s">
        <v>8665</v>
      </c>
      <c r="D19479">
        <v>90</v>
      </c>
      <c r="E19479">
        <v>0</v>
      </c>
      <c r="F19479">
        <v>61</v>
      </c>
    </row>
    <row r="19480" spans="1:6" ht="12.75">
      <c r="A19480" s="2">
        <v>43876.499664351853</v>
      </c>
      <c r="B19480" t="str">
        <f>HYPERLINK("https://twitter.com/hermiliaaa","@hermiliaaa")</f>
        <v>@hermiliaaa</v>
      </c>
      <c r="C19480" t="s">
        <v>5168</v>
      </c>
      <c r="D19480">
        <v>1462</v>
      </c>
      <c r="E19480">
        <v>0</v>
      </c>
      <c r="F19480">
        <v>51</v>
      </c>
    </row>
    <row r="19481" spans="1:6" ht="12.75">
      <c r="A19481" s="2">
        <v>43876.4996412037</v>
      </c>
      <c r="B19481" t="str">
        <f>HYPERLINK("https://twitter.com/AntaresHamzah","@AntaresHamzah")</f>
        <v>@AntaresHamzah</v>
      </c>
      <c r="C19481" t="s">
        <v>3059</v>
      </c>
      <c r="D19481">
        <v>136</v>
      </c>
      <c r="E19481">
        <v>0</v>
      </c>
      <c r="F19481">
        <v>436</v>
      </c>
    </row>
    <row r="19482" spans="1:6" ht="12.75">
      <c r="A19482" s="2">
        <v>43876.499618055561</v>
      </c>
      <c r="B19482" t="str">
        <f>HYPERLINK("https://twitter.com/KeyshaAdinda5","@KeyshaAdinda5")</f>
        <v>@KeyshaAdinda5</v>
      </c>
      <c r="C19482" t="s">
        <v>8628</v>
      </c>
      <c r="D19482">
        <v>66</v>
      </c>
      <c r="E19482">
        <v>0</v>
      </c>
      <c r="F19482">
        <v>4170</v>
      </c>
    </row>
    <row r="19483" spans="1:6" ht="12.75">
      <c r="A19483" s="2">
        <v>43876.499537037038</v>
      </c>
      <c r="B19483" t="str">
        <f>HYPERLINK("https://twitter.com/andiiifaizall","@andiiifaizall")</f>
        <v>@andiiifaizall</v>
      </c>
      <c r="C19483" t="s">
        <v>9800</v>
      </c>
      <c r="D19483">
        <v>0</v>
      </c>
      <c r="E19483">
        <v>0</v>
      </c>
      <c r="F19483">
        <v>80</v>
      </c>
    </row>
    <row r="19484" spans="1:6" ht="12.75">
      <c r="A19484" s="2">
        <v>43876.499525462961</v>
      </c>
      <c r="B19484" t="str">
        <f>HYPERLINK("https://twitter.com/Michael79820241","@Michael79820241")</f>
        <v>@Michael79820241</v>
      </c>
      <c r="C19484" t="s">
        <v>8628</v>
      </c>
      <c r="D19484">
        <v>66</v>
      </c>
      <c r="E19484">
        <v>0</v>
      </c>
      <c r="F19484">
        <v>94</v>
      </c>
    </row>
    <row r="19485" spans="1:6" ht="12.75">
      <c r="A19485" s="2">
        <v>43876.499490740738</v>
      </c>
      <c r="B19485" t="str">
        <f>HYPERLINK("https://twitter.com/GoRenoSaputra1","@GoRenoSaputra1")</f>
        <v>@GoRenoSaputra1</v>
      </c>
      <c r="C19485" t="s">
        <v>9799</v>
      </c>
      <c r="D19485">
        <v>0</v>
      </c>
      <c r="E19485">
        <v>0</v>
      </c>
      <c r="F19485">
        <v>41</v>
      </c>
    </row>
    <row r="19486" spans="1:6" ht="12.75">
      <c r="A19486" s="2">
        <v>43876.499479166669</v>
      </c>
      <c r="B19486" t="str">
        <f>HYPERLINK("https://twitter.com/ddwihendro","@ddwihendro")</f>
        <v>@ddwihendro</v>
      </c>
      <c r="C19486" t="s">
        <v>9801</v>
      </c>
      <c r="D19486">
        <v>0</v>
      </c>
      <c r="E19486">
        <v>0</v>
      </c>
      <c r="F19486">
        <v>239</v>
      </c>
    </row>
    <row r="19487" spans="1:6" ht="12.75">
      <c r="A19487" s="2">
        <v>43876.49936342593</v>
      </c>
      <c r="B19487" t="str">
        <f>HYPERLINK("https://twitter.com/gramrp_","@gramrp_")</f>
        <v>@gramrp_</v>
      </c>
      <c r="C19487" t="s">
        <v>9802</v>
      </c>
      <c r="D19487">
        <v>0</v>
      </c>
      <c r="E19487">
        <v>0</v>
      </c>
      <c r="F19487">
        <v>23</v>
      </c>
    </row>
    <row r="19488" spans="1:6" ht="12.75">
      <c r="A19488" s="2">
        <v>43876.499328703707</v>
      </c>
      <c r="B19488" t="str">
        <f>HYPERLINK("https://twitter.com/KsteAm02","@KsteAm02")</f>
        <v>@KsteAm02</v>
      </c>
      <c r="C19488" t="s">
        <v>3059</v>
      </c>
      <c r="D19488">
        <v>136</v>
      </c>
      <c r="E19488">
        <v>0</v>
      </c>
      <c r="F19488">
        <v>69</v>
      </c>
    </row>
    <row r="19489" spans="1:6" ht="12.75">
      <c r="A19489" s="2">
        <v>43876.499224537038</v>
      </c>
      <c r="B19489" t="str">
        <f>HYPERLINK("https://twitter.com/2020_STMJ","@2020_STMJ")</f>
        <v>@2020_STMJ</v>
      </c>
      <c r="C19489" t="s">
        <v>9798</v>
      </c>
      <c r="D19489">
        <v>4</v>
      </c>
      <c r="E19489">
        <v>0</v>
      </c>
      <c r="F19489">
        <v>3530</v>
      </c>
    </row>
    <row r="19490" spans="1:6" ht="12.75">
      <c r="A19490" s="2">
        <v>43876.499224537038</v>
      </c>
      <c r="B19490" t="str">
        <f>HYPERLINK("https://twitter.com/OkhaNeraka","@OkhaNeraka")</f>
        <v>@OkhaNeraka</v>
      </c>
      <c r="C19490" t="s">
        <v>9803</v>
      </c>
      <c r="D19490">
        <v>32</v>
      </c>
      <c r="E19490">
        <v>0</v>
      </c>
      <c r="F19490">
        <v>24</v>
      </c>
    </row>
    <row r="19491" spans="1:6" ht="12.75">
      <c r="A19491" s="2">
        <v>43876.499212962968</v>
      </c>
      <c r="B19491" t="str">
        <f>HYPERLINK("https://twitter.com/IdamanNegri","@IdamanNegri")</f>
        <v>@IdamanNegri</v>
      </c>
      <c r="C19491" t="s">
        <v>9804</v>
      </c>
      <c r="D19491">
        <v>0</v>
      </c>
      <c r="E19491">
        <v>0</v>
      </c>
      <c r="F19491">
        <v>12</v>
      </c>
    </row>
    <row r="19492" spans="1:6" ht="12.75">
      <c r="A19492" s="2">
        <v>43876.499166666668</v>
      </c>
      <c r="B19492" t="str">
        <f>HYPERLINK("https://twitter.com/fdlmuhamad","@fdlmuhamad")</f>
        <v>@fdlmuhamad</v>
      </c>
      <c r="C19492" t="s">
        <v>9805</v>
      </c>
      <c r="D19492">
        <v>0</v>
      </c>
      <c r="E19492">
        <v>0</v>
      </c>
      <c r="F19492">
        <v>278</v>
      </c>
    </row>
    <row r="19493" spans="1:6" ht="12.75">
      <c r="A19493" s="2">
        <v>43876.499131944445</v>
      </c>
      <c r="B19493" t="str">
        <f>HYPERLINK("https://twitter.com/iNewsID","@iNewsID")</f>
        <v>@iNewsID</v>
      </c>
      <c r="C19493" t="s">
        <v>9806</v>
      </c>
      <c r="D19493">
        <v>0</v>
      </c>
      <c r="E19493">
        <v>0</v>
      </c>
      <c r="F19493">
        <v>1258</v>
      </c>
    </row>
    <row r="19494" spans="1:6" ht="12.75">
      <c r="A19494" s="2">
        <v>43876.499108796299</v>
      </c>
      <c r="B19494" t="str">
        <f>HYPERLINK("https://twitter.com/DedRikas","@DedRikas")</f>
        <v>@DedRikas</v>
      </c>
      <c r="C19494" t="s">
        <v>9807</v>
      </c>
      <c r="D19494">
        <v>0</v>
      </c>
      <c r="E19494">
        <v>0</v>
      </c>
      <c r="F19494">
        <v>75</v>
      </c>
    </row>
    <row r="19495" spans="1:6" ht="12.75">
      <c r="A19495" s="2">
        <v>43876.499097222222</v>
      </c>
      <c r="B19495" t="str">
        <f>HYPERLINK("https://twitter.com/Suredead","@Suredead")</f>
        <v>@Suredead</v>
      </c>
      <c r="C19495" t="s">
        <v>4294</v>
      </c>
      <c r="D19495">
        <v>24</v>
      </c>
      <c r="E19495">
        <v>0</v>
      </c>
      <c r="F19495">
        <v>190</v>
      </c>
    </row>
    <row r="19496" spans="1:6" ht="12.75">
      <c r="A19496" s="2">
        <v>43876.498923611114</v>
      </c>
      <c r="B19496" t="str">
        <f>HYPERLINK("https://twitter.com/py_s_p","@py_s_p")</f>
        <v>@py_s_p</v>
      </c>
      <c r="C19496" t="s">
        <v>9808</v>
      </c>
      <c r="D19496">
        <v>0</v>
      </c>
      <c r="E19496">
        <v>0</v>
      </c>
      <c r="F19496">
        <v>491</v>
      </c>
    </row>
    <row r="19497" spans="1:6" ht="12.75">
      <c r="A19497" s="2">
        <v>43876.498796296291</v>
      </c>
      <c r="B19497" t="str">
        <f>HYPERLINK("https://twitter.com/antakara_86","@antakara_86")</f>
        <v>@antakara_86</v>
      </c>
      <c r="C19497" t="s">
        <v>8665</v>
      </c>
      <c r="D19497">
        <v>90</v>
      </c>
      <c r="E19497">
        <v>0</v>
      </c>
      <c r="F19497">
        <v>4859</v>
      </c>
    </row>
    <row r="19498" spans="1:6" ht="12.75">
      <c r="A19498" s="2">
        <v>43876.498726851853</v>
      </c>
      <c r="B19498" t="str">
        <f>HYPERLINK("https://twitter.com/DemplonMak","@DemplonMak")</f>
        <v>@DemplonMak</v>
      </c>
      <c r="C19498" t="s">
        <v>2179</v>
      </c>
      <c r="D19498">
        <v>11</v>
      </c>
      <c r="E19498">
        <v>0</v>
      </c>
      <c r="F19498">
        <v>2382</v>
      </c>
    </row>
    <row r="19499" spans="1:6" ht="12.75">
      <c r="A19499" s="2">
        <v>43876.498715277776</v>
      </c>
      <c r="B19499" t="str">
        <f>HYPERLINK("https://twitter.com/2375Lawu","@2375Lawu")</f>
        <v>@2375Lawu</v>
      </c>
      <c r="C19499" t="s">
        <v>9091</v>
      </c>
      <c r="D19499">
        <v>5</v>
      </c>
      <c r="E19499">
        <v>0</v>
      </c>
      <c r="F19499">
        <v>163</v>
      </c>
    </row>
    <row r="19500" spans="1:6" ht="12.75">
      <c r="A19500" s="2">
        <v>43876.498564814814</v>
      </c>
      <c r="B19500" t="str">
        <f>HYPERLINK("https://twitter.com/dfscr","@dfscr")</f>
        <v>@dfscr</v>
      </c>
      <c r="C19500" t="s">
        <v>2444</v>
      </c>
      <c r="D19500">
        <v>3991</v>
      </c>
      <c r="E19500">
        <v>0</v>
      </c>
      <c r="F19500">
        <v>519</v>
      </c>
    </row>
    <row r="19501" spans="1:6" ht="12.75">
      <c r="A19501" s="2">
        <v>43876.498506944445</v>
      </c>
      <c r="B19501" t="str">
        <f>HYPERLINK("https://twitter.com/arga_dermawan","@arga_dermawan")</f>
        <v>@arga_dermawan</v>
      </c>
      <c r="C19501" t="s">
        <v>9809</v>
      </c>
      <c r="D19501">
        <v>0</v>
      </c>
      <c r="E19501">
        <v>0</v>
      </c>
      <c r="F19501">
        <v>5</v>
      </c>
    </row>
    <row r="19502" spans="1:6" ht="12.75">
      <c r="A19502" s="2">
        <v>43876.498414351852</v>
      </c>
      <c r="B19502" t="str">
        <f>HYPERLINK("https://twitter.com/annisahaps","@annisahaps")</f>
        <v>@annisahaps</v>
      </c>
      <c r="C19502" t="s">
        <v>9810</v>
      </c>
      <c r="D19502">
        <v>0</v>
      </c>
      <c r="E19502">
        <v>0</v>
      </c>
      <c r="F19502">
        <v>429</v>
      </c>
    </row>
    <row r="19503" spans="1:6" ht="12.75">
      <c r="A19503" s="2">
        <v>43876.498344907406</v>
      </c>
      <c r="B19503" t="str">
        <f>HYPERLINK("https://twitter.com/mitra_sendiri","@mitra_sendiri")</f>
        <v>@mitra_sendiri</v>
      </c>
      <c r="C19503" t="s">
        <v>9811</v>
      </c>
      <c r="D19503">
        <v>0</v>
      </c>
      <c r="E19503">
        <v>1</v>
      </c>
      <c r="F19503">
        <v>323</v>
      </c>
    </row>
    <row r="19504" spans="1:6" ht="12.75">
      <c r="A19504" s="2">
        <v>43876.498287037037</v>
      </c>
      <c r="B19504" t="str">
        <f>HYPERLINK("https://twitter.com/VIVAcoid","@VIVAcoid")</f>
        <v>@VIVAcoid</v>
      </c>
      <c r="C19504" t="s">
        <v>9812</v>
      </c>
      <c r="D19504">
        <v>1</v>
      </c>
      <c r="E19504">
        <v>0</v>
      </c>
      <c r="F19504">
        <v>4169382</v>
      </c>
    </row>
    <row r="19505" spans="1:6" ht="12.75">
      <c r="A19505" s="2">
        <v>43876.498217592598</v>
      </c>
      <c r="B19505" t="str">
        <f>HYPERLINK("https://twitter.com/ferascorp","@ferascorp")</f>
        <v>@ferascorp</v>
      </c>
      <c r="C19505" t="s">
        <v>9813</v>
      </c>
      <c r="D19505">
        <v>0</v>
      </c>
      <c r="E19505">
        <v>0</v>
      </c>
      <c r="F19505">
        <v>528</v>
      </c>
    </row>
    <row r="19506" spans="1:6" ht="12.75">
      <c r="A19506" s="2">
        <v>43876.498194444444</v>
      </c>
      <c r="B19506" t="str">
        <f>HYPERLINK("https://twitter.com/mamihanafi","@mamihanafi")</f>
        <v>@mamihanafi</v>
      </c>
      <c r="C19506" t="s">
        <v>8665</v>
      </c>
      <c r="D19506">
        <v>90</v>
      </c>
      <c r="E19506">
        <v>0</v>
      </c>
      <c r="F19506">
        <v>1480</v>
      </c>
    </row>
    <row r="19507" spans="1:6" ht="12.75">
      <c r="A19507" s="2">
        <v>43876.498148148152</v>
      </c>
      <c r="B19507" t="str">
        <f>HYPERLINK("https://twitter.com/gabrielchrisnap","@gabrielchrisnap")</f>
        <v>@gabrielchrisnap</v>
      </c>
      <c r="C19507" t="s">
        <v>9814</v>
      </c>
      <c r="D19507">
        <v>0</v>
      </c>
      <c r="E19507">
        <v>0</v>
      </c>
      <c r="F19507">
        <v>362</v>
      </c>
    </row>
    <row r="19508" spans="1:6" ht="12.75">
      <c r="A19508" s="2">
        <v>43876.498113425929</v>
      </c>
      <c r="B19508" t="str">
        <f>HYPERLINK("https://twitter.com/oohfatir","@oohfatir")</f>
        <v>@oohfatir</v>
      </c>
      <c r="C19508" t="s">
        <v>2444</v>
      </c>
      <c r="D19508">
        <v>3991</v>
      </c>
      <c r="E19508">
        <v>0</v>
      </c>
      <c r="F19508">
        <v>661</v>
      </c>
    </row>
    <row r="19509" spans="1:6" ht="12.75">
      <c r="A19509" s="2">
        <v>43876.498043981483</v>
      </c>
      <c r="B19509" t="str">
        <f>HYPERLINK("https://twitter.com/sepertipelangi2","@sepertipelangi2")</f>
        <v>@sepertipelangi2</v>
      </c>
      <c r="C19509" t="s">
        <v>5402</v>
      </c>
      <c r="D19509">
        <v>5574</v>
      </c>
      <c r="E19509">
        <v>0</v>
      </c>
      <c r="F19509">
        <v>0</v>
      </c>
    </row>
    <row r="19510" spans="1:6" ht="12.75">
      <c r="A19510" s="2">
        <v>43876.497939814813</v>
      </c>
      <c r="B19510" t="str">
        <f>HYPERLINK("https://twitter.com/vivanewscom","@vivanewscom")</f>
        <v>@vivanewscom</v>
      </c>
      <c r="C19510" t="s">
        <v>9815</v>
      </c>
      <c r="D19510">
        <v>1</v>
      </c>
      <c r="E19510">
        <v>0</v>
      </c>
      <c r="F19510">
        <v>4081</v>
      </c>
    </row>
    <row r="19511" spans="1:6" ht="12.75">
      <c r="A19511" s="2">
        <v>43876.497731481482</v>
      </c>
      <c r="B19511" t="str">
        <f>HYPERLINK("https://twitter.com/rifqimurt","@rifqimurt")</f>
        <v>@rifqimurt</v>
      </c>
      <c r="C19511" t="s">
        <v>8665</v>
      </c>
      <c r="D19511">
        <v>90</v>
      </c>
      <c r="E19511">
        <v>0</v>
      </c>
      <c r="F19511">
        <v>87</v>
      </c>
    </row>
    <row r="19512" spans="1:6" ht="12.75">
      <c r="A19512" s="2">
        <v>43876.497604166667</v>
      </c>
      <c r="B19512" t="str">
        <f>HYPERLINK("https://twitter.com/usirro","@usirro")</f>
        <v>@usirro</v>
      </c>
      <c r="C19512" t="s">
        <v>9816</v>
      </c>
      <c r="D19512">
        <v>0</v>
      </c>
      <c r="E19512">
        <v>0</v>
      </c>
      <c r="F19512">
        <v>1054</v>
      </c>
    </row>
    <row r="19513" spans="1:6" ht="12.75">
      <c r="A19513" s="2">
        <v>43876.497442129628</v>
      </c>
      <c r="B19513" t="str">
        <f>HYPERLINK("https://twitter.com/news_pemburu","@news_pemburu")</f>
        <v>@news_pemburu</v>
      </c>
      <c r="C19513" t="s">
        <v>9817</v>
      </c>
      <c r="D19513">
        <v>0</v>
      </c>
      <c r="E19513">
        <v>0</v>
      </c>
      <c r="F19513">
        <v>564</v>
      </c>
    </row>
    <row r="19514" spans="1:6" ht="12.75">
      <c r="A19514" s="2">
        <v>43876.497430555552</v>
      </c>
      <c r="B19514" t="str">
        <f>HYPERLINK("https://twitter.com/aquibkh98075152","@aquibkh98075152")</f>
        <v>@aquibkh98075152</v>
      </c>
      <c r="C19514" t="s">
        <v>9818</v>
      </c>
      <c r="D19514">
        <v>0</v>
      </c>
      <c r="E19514">
        <v>0</v>
      </c>
      <c r="F19514">
        <v>113</v>
      </c>
    </row>
    <row r="19515" spans="1:6" ht="12.75">
      <c r="A19515" s="2">
        <v>43876.497430555552</v>
      </c>
      <c r="B19515" t="str">
        <f>HYPERLINK("https://twitter.com/JhondoexlxG","@JhondoexlxG")</f>
        <v>@JhondoexlxG</v>
      </c>
      <c r="C19515" t="s">
        <v>9819</v>
      </c>
      <c r="D19515">
        <v>0</v>
      </c>
      <c r="E19515">
        <v>0</v>
      </c>
      <c r="F19515">
        <v>389</v>
      </c>
    </row>
    <row r="19516" spans="1:6" ht="12.75">
      <c r="A19516" s="2">
        <v>43876.497430555552</v>
      </c>
      <c r="B19516" t="str">
        <f>HYPERLINK("https://twitter.com/Nuranigen3","@Nuranigen3")</f>
        <v>@Nuranigen3</v>
      </c>
      <c r="C19516" t="s">
        <v>9820</v>
      </c>
      <c r="D19516">
        <v>1</v>
      </c>
      <c r="E19516">
        <v>0</v>
      </c>
      <c r="F19516">
        <v>197</v>
      </c>
    </row>
    <row r="19517" spans="1:6" ht="12.75">
      <c r="A19517" s="2">
        <v>43876.497245370367</v>
      </c>
      <c r="B19517" t="str">
        <f>HYPERLINK("https://twitter.com/sitamanda","@sitamanda")</f>
        <v>@sitamanda</v>
      </c>
      <c r="C19517" t="s">
        <v>8328</v>
      </c>
      <c r="D19517">
        <v>64</v>
      </c>
      <c r="E19517">
        <v>0</v>
      </c>
      <c r="F19517">
        <v>604</v>
      </c>
    </row>
    <row r="19518" spans="1:6" ht="12.75">
      <c r="A19518" s="2">
        <v>43876.497210648144</v>
      </c>
      <c r="B19518" t="str">
        <f>HYPERLINK("https://twitter.com/eicerin","@eicerin")</f>
        <v>@eicerin</v>
      </c>
      <c r="C19518" t="s">
        <v>2444</v>
      </c>
      <c r="D19518">
        <v>3991</v>
      </c>
      <c r="E19518">
        <v>0</v>
      </c>
      <c r="F19518">
        <v>414</v>
      </c>
    </row>
    <row r="19519" spans="1:6" ht="12.75">
      <c r="A19519" s="2">
        <v>43876.497199074074</v>
      </c>
      <c r="B19519" t="str">
        <f>HYPERLINK("https://twitter.com/ThePowerOfindo1","@ThePowerOfindo1")</f>
        <v>@ThePowerOfindo1</v>
      </c>
      <c r="C19519" t="s">
        <v>9821</v>
      </c>
      <c r="D19519">
        <v>0</v>
      </c>
      <c r="E19519">
        <v>0</v>
      </c>
      <c r="F19519">
        <v>5</v>
      </c>
    </row>
    <row r="19520" spans="1:6" ht="12.75">
      <c r="A19520" s="2">
        <v>43876.497164351851</v>
      </c>
      <c r="B19520" t="str">
        <f>HYPERLINK("https://twitter.com/DemplonMak","@DemplonMak")</f>
        <v>@DemplonMak</v>
      </c>
      <c r="C19520" t="s">
        <v>9590</v>
      </c>
      <c r="D19520">
        <v>40</v>
      </c>
      <c r="E19520">
        <v>0</v>
      </c>
      <c r="F19520">
        <v>2382</v>
      </c>
    </row>
    <row r="19521" spans="1:6" ht="12.75">
      <c r="A19521" s="2">
        <v>43876.497152777782</v>
      </c>
      <c r="B19521" t="str">
        <f>HYPERLINK("https://twitter.com/Akoe1008","@Akoe1008")</f>
        <v>@Akoe1008</v>
      </c>
      <c r="C19521" t="s">
        <v>6201</v>
      </c>
      <c r="D19521">
        <v>477</v>
      </c>
      <c r="E19521">
        <v>0</v>
      </c>
      <c r="F19521">
        <v>1141</v>
      </c>
    </row>
    <row r="19522" spans="1:6" ht="12.75">
      <c r="A19522" s="2">
        <v>43876.49695601852</v>
      </c>
      <c r="B19522" t="str">
        <f>HYPERLINK("https://twitter.com/surodilagan","@surodilagan")</f>
        <v>@surodilagan</v>
      </c>
      <c r="C19522" t="s">
        <v>3059</v>
      </c>
      <c r="D19522">
        <v>136</v>
      </c>
      <c r="E19522">
        <v>0</v>
      </c>
      <c r="F19522">
        <v>1434</v>
      </c>
    </row>
    <row r="19523" spans="1:6" ht="12.75">
      <c r="A19523" s="2">
        <v>43876.496921296297</v>
      </c>
      <c r="B19523" t="str">
        <f>HYPERLINK("https://twitter.com/s_semangka","@s_semangka")</f>
        <v>@s_semangka</v>
      </c>
      <c r="C19523" t="s">
        <v>9822</v>
      </c>
      <c r="D19523">
        <v>0</v>
      </c>
      <c r="E19523">
        <v>0</v>
      </c>
      <c r="F19523">
        <v>25</v>
      </c>
    </row>
    <row r="19524" spans="1:6" ht="12.75">
      <c r="A19524" s="2">
        <v>43876.496863425928</v>
      </c>
      <c r="B19524" t="str">
        <f>HYPERLINK("https://twitter.com/AnakLolina","@AnakLolina")</f>
        <v>@AnakLolina</v>
      </c>
      <c r="C19524" t="s">
        <v>9823</v>
      </c>
      <c r="D19524">
        <v>0</v>
      </c>
      <c r="E19524">
        <v>0</v>
      </c>
      <c r="F19524">
        <v>14532</v>
      </c>
    </row>
    <row r="19525" spans="1:6" ht="12.75">
      <c r="A19525" s="2">
        <v>43876.496793981481</v>
      </c>
      <c r="B19525" t="str">
        <f>HYPERLINK("https://twitter.com/irwantoear12","@irwantoear12")</f>
        <v>@irwantoear12</v>
      </c>
      <c r="C19525" t="s">
        <v>9824</v>
      </c>
      <c r="D19525">
        <v>0</v>
      </c>
      <c r="E19525">
        <v>0</v>
      </c>
      <c r="F19525">
        <v>7</v>
      </c>
    </row>
    <row r="19526" spans="1:6" ht="12.75">
      <c r="A19526" s="2">
        <v>43876.496736111112</v>
      </c>
      <c r="B19526" t="str">
        <f>HYPERLINK("https://twitter.com/hanifjamals","@hanifjamals")</f>
        <v>@hanifjamals</v>
      </c>
      <c r="C19526" t="s">
        <v>2444</v>
      </c>
      <c r="D19526">
        <v>3991</v>
      </c>
      <c r="E19526">
        <v>0</v>
      </c>
      <c r="F19526">
        <v>146289</v>
      </c>
    </row>
    <row r="19527" spans="1:6" ht="12.75">
      <c r="A19527" s="2">
        <v>43876.496666666666</v>
      </c>
      <c r="B19527" t="str">
        <f>HYPERLINK("https://twitter.com/mellfouse","@mellfouse")</f>
        <v>@mellfouse</v>
      </c>
      <c r="C19527" t="s">
        <v>2444</v>
      </c>
      <c r="D19527">
        <v>3991</v>
      </c>
      <c r="E19527">
        <v>0</v>
      </c>
      <c r="F19527">
        <v>1206</v>
      </c>
    </row>
    <row r="19528" spans="1:6" ht="12.75">
      <c r="A19528" s="2">
        <v>43876.496585648143</v>
      </c>
      <c r="B19528" t="str">
        <f>HYPERLINK("https://twitter.com/RiaMari66594211","@RiaMari66594211")</f>
        <v>@RiaMari66594211</v>
      </c>
      <c r="C19528" t="s">
        <v>5168</v>
      </c>
      <c r="D19528">
        <v>1462</v>
      </c>
      <c r="E19528">
        <v>0</v>
      </c>
      <c r="F19528">
        <v>368</v>
      </c>
    </row>
    <row r="19529" spans="1:6" ht="12.75">
      <c r="A19529" s="2">
        <v>43876.496550925927</v>
      </c>
      <c r="B19529" t="str">
        <f>HYPERLINK("https://twitter.com/MadingIndonesia","@MadingIndonesia")</f>
        <v>@MadingIndonesia</v>
      </c>
      <c r="C19529" t="s">
        <v>9825</v>
      </c>
      <c r="D19529">
        <v>0</v>
      </c>
      <c r="E19529">
        <v>0</v>
      </c>
      <c r="F19529">
        <v>8</v>
      </c>
    </row>
    <row r="19530" spans="1:6" ht="12.75">
      <c r="A19530" s="2">
        <v>43876.496377314819</v>
      </c>
      <c r="B19530" t="str">
        <f>HYPERLINK("https://twitter.com/HanifKusna","@HanifKusna")</f>
        <v>@HanifKusna</v>
      </c>
      <c r="C19530" t="s">
        <v>9826</v>
      </c>
      <c r="D19530">
        <v>0</v>
      </c>
      <c r="E19530">
        <v>0</v>
      </c>
      <c r="F19530">
        <v>4</v>
      </c>
    </row>
    <row r="19531" spans="1:6" ht="12.75">
      <c r="A19531" s="2">
        <v>43876.496192129634</v>
      </c>
      <c r="B19531" t="str">
        <f>HYPERLINK("https://twitter.com/antaz345","@antaz345")</f>
        <v>@antaz345</v>
      </c>
      <c r="C19531" t="s">
        <v>6201</v>
      </c>
      <c r="D19531">
        <v>477</v>
      </c>
      <c r="E19531">
        <v>0</v>
      </c>
      <c r="F19531">
        <v>2518</v>
      </c>
    </row>
    <row r="19532" spans="1:6" ht="12.75">
      <c r="A19532" s="2">
        <v>43876.496134259258</v>
      </c>
      <c r="B19532" t="str">
        <f>HYPERLINK("https://twitter.com/Myeolchissi","@Myeolchissi")</f>
        <v>@Myeolchissi</v>
      </c>
      <c r="C19532" t="s">
        <v>9827</v>
      </c>
      <c r="D19532">
        <v>0</v>
      </c>
      <c r="E19532">
        <v>0</v>
      </c>
      <c r="F19532">
        <v>1041</v>
      </c>
    </row>
    <row r="19533" spans="1:6" ht="12.75">
      <c r="A19533" s="2">
        <v>43876.496134259258</v>
      </c>
      <c r="B19533" t="str">
        <f>HYPERLINK("https://twitter.com/ergitadian","@ergitadian")</f>
        <v>@ergitadian</v>
      </c>
      <c r="C19533" t="s">
        <v>4294</v>
      </c>
      <c r="D19533">
        <v>24</v>
      </c>
      <c r="E19533">
        <v>0</v>
      </c>
      <c r="F19533">
        <v>2</v>
      </c>
    </row>
    <row r="19534" spans="1:6" ht="12.75">
      <c r="A19534" s="2">
        <v>43876.496041666665</v>
      </c>
      <c r="B19534" t="str">
        <f>HYPERLINK("https://twitter.com/haro_arnold","@haro_arnold")</f>
        <v>@haro_arnold</v>
      </c>
      <c r="C19534" t="s">
        <v>2179</v>
      </c>
      <c r="D19534">
        <v>11</v>
      </c>
      <c r="E19534">
        <v>0</v>
      </c>
      <c r="F19534">
        <v>4517</v>
      </c>
    </row>
    <row r="19535" spans="1:6" ht="12.75">
      <c r="A19535" s="2">
        <v>43876.49600694445</v>
      </c>
      <c r="B19535" t="str">
        <f>HYPERLINK("https://twitter.com/ibnuharir","@ibnuharir")</f>
        <v>@ibnuharir</v>
      </c>
      <c r="C19535" t="s">
        <v>4294</v>
      </c>
      <c r="D19535">
        <v>24</v>
      </c>
      <c r="E19535">
        <v>0</v>
      </c>
      <c r="F19535">
        <v>1804</v>
      </c>
    </row>
    <row r="19536" spans="1:6" ht="12.75">
      <c r="A19536" s="2">
        <v>43876.49596064815</v>
      </c>
      <c r="B19536" t="str">
        <f>HYPERLINK("https://twitter.com/RezaMrc786","@RezaMrc786")</f>
        <v>@RezaMrc786</v>
      </c>
      <c r="C19536" t="s">
        <v>7876</v>
      </c>
      <c r="D19536">
        <v>23</v>
      </c>
      <c r="E19536">
        <v>0</v>
      </c>
      <c r="F19536">
        <v>292</v>
      </c>
    </row>
    <row r="19537" spans="1:6" ht="12.75">
      <c r="A19537" s="2">
        <v>43876.495925925927</v>
      </c>
      <c r="B19537" t="str">
        <f>HYPERLINK("https://twitter.com/akuterjatuhlagi","@akuterjatuhlagi")</f>
        <v>@akuterjatuhlagi</v>
      </c>
      <c r="C19537" t="s">
        <v>2444</v>
      </c>
      <c r="D19537">
        <v>3991</v>
      </c>
      <c r="E19537">
        <v>0</v>
      </c>
      <c r="F19537">
        <v>271</v>
      </c>
    </row>
    <row r="19538" spans="1:6" ht="12.75">
      <c r="A19538" s="2">
        <v>43876.495925925927</v>
      </c>
      <c r="B19538" t="str">
        <f>HYPERLINK("https://twitter.com/iNewsID","@iNewsID")</f>
        <v>@iNewsID</v>
      </c>
      <c r="C19538" t="s">
        <v>9828</v>
      </c>
      <c r="D19538">
        <v>0</v>
      </c>
      <c r="E19538">
        <v>0</v>
      </c>
      <c r="F19538">
        <v>1258</v>
      </c>
    </row>
    <row r="19539" spans="1:6" ht="12.75">
      <c r="A19539" s="2">
        <v>43876.49591435185</v>
      </c>
      <c r="B19539" t="str">
        <f>HYPERLINK("https://twitter.com/bagibahagiamu","@bagibahagiamu")</f>
        <v>@bagibahagiamu</v>
      </c>
      <c r="C19539" t="s">
        <v>9590</v>
      </c>
      <c r="D19539">
        <v>40</v>
      </c>
      <c r="E19539">
        <v>0</v>
      </c>
      <c r="F19539">
        <v>475</v>
      </c>
    </row>
    <row r="19540" spans="1:6" ht="12.75">
      <c r="A19540" s="2">
        <v>43876.495868055557</v>
      </c>
      <c r="B19540" t="str">
        <f>HYPERLINK("https://twitter.com/realPriGim","@realPriGim")</f>
        <v>@realPriGim</v>
      </c>
      <c r="C19540" t="s">
        <v>9590</v>
      </c>
      <c r="D19540">
        <v>40</v>
      </c>
      <c r="E19540">
        <v>0</v>
      </c>
      <c r="F19540">
        <v>3279</v>
      </c>
    </row>
    <row r="19541" spans="1:6" ht="12.75">
      <c r="A19541" s="2">
        <v>43876.495787037042</v>
      </c>
      <c r="B19541" t="str">
        <f>HYPERLINK("https://twitter.com/RzkRifa","@RzkRifa")</f>
        <v>@RzkRifa</v>
      </c>
      <c r="C19541" t="s">
        <v>9829</v>
      </c>
      <c r="D19541">
        <v>0</v>
      </c>
      <c r="E19541">
        <v>0</v>
      </c>
      <c r="F19541">
        <v>430</v>
      </c>
    </row>
    <row r="19542" spans="1:6" ht="12.75">
      <c r="A19542" s="2">
        <v>43876.495763888888</v>
      </c>
      <c r="B19542" t="str">
        <f>HYPERLINK("https://twitter.com/GoRenoSaputra1","@GoRenoSaputra1")</f>
        <v>@GoRenoSaputra1</v>
      </c>
      <c r="C19542" t="s">
        <v>9830</v>
      </c>
      <c r="D19542">
        <v>0</v>
      </c>
      <c r="E19542">
        <v>0</v>
      </c>
      <c r="F19542">
        <v>41</v>
      </c>
    </row>
    <row r="19543" spans="1:6" ht="12.75">
      <c r="A19543" s="2">
        <v>43876.495694444442</v>
      </c>
      <c r="B19543" t="str">
        <f>HYPERLINK("https://twitter.com/ArilGuci","@ArilGuci")</f>
        <v>@ArilGuci</v>
      </c>
      <c r="C19543" t="s">
        <v>3059</v>
      </c>
      <c r="D19543">
        <v>136</v>
      </c>
      <c r="E19543">
        <v>0</v>
      </c>
      <c r="F19543">
        <v>303</v>
      </c>
    </row>
    <row r="19544" spans="1:6" ht="12.75">
      <c r="A19544" s="2">
        <v>43876.495613425926</v>
      </c>
      <c r="B19544" t="str">
        <f>HYPERLINK("https://twitter.com/real1ikaa_","@real1ikaa_")</f>
        <v>@real1ikaa_</v>
      </c>
      <c r="C19544" t="s">
        <v>8644</v>
      </c>
      <c r="D19544">
        <v>29</v>
      </c>
      <c r="E19544">
        <v>0</v>
      </c>
      <c r="F19544">
        <v>167</v>
      </c>
    </row>
    <row r="19545" spans="1:6" ht="12.75">
      <c r="A19545" s="2">
        <v>43876.495509259257</v>
      </c>
      <c r="B19545" t="str">
        <f>HYPERLINK("https://twitter.com/idpenamini","@idpenamini")</f>
        <v>@idpenamini</v>
      </c>
      <c r="C19545" t="s">
        <v>9831</v>
      </c>
      <c r="D19545">
        <v>0</v>
      </c>
      <c r="E19545">
        <v>0</v>
      </c>
      <c r="F19545">
        <v>168</v>
      </c>
    </row>
    <row r="19546" spans="1:6" ht="12.75">
      <c r="A19546" s="2">
        <v>43876.495486111111</v>
      </c>
      <c r="B19546" t="str">
        <f>HYPERLINK("https://twitter.com/deovalent2","@deovalent2")</f>
        <v>@deovalent2</v>
      </c>
      <c r="C19546" t="s">
        <v>8952</v>
      </c>
      <c r="D19546">
        <v>6</v>
      </c>
      <c r="E19546">
        <v>0</v>
      </c>
      <c r="F19546">
        <v>1908</v>
      </c>
    </row>
    <row r="19547" spans="1:6" ht="12.75">
      <c r="A19547" s="2">
        <v>43876.495439814811</v>
      </c>
      <c r="B19547" t="str">
        <f>HYPERLINK("https://twitter.com/haro_arnold","@haro_arnold")</f>
        <v>@haro_arnold</v>
      </c>
      <c r="C19547" t="s">
        <v>9832</v>
      </c>
      <c r="D19547">
        <v>579</v>
      </c>
      <c r="E19547">
        <v>0</v>
      </c>
      <c r="F19547">
        <v>4517</v>
      </c>
    </row>
    <row r="19548" spans="1:6" ht="12.75">
      <c r="A19548" s="2">
        <v>43876.495358796295</v>
      </c>
      <c r="B19548" t="str">
        <f>HYPERLINK("https://twitter.com/indirapn_","@indirapn_")</f>
        <v>@indirapn_</v>
      </c>
      <c r="C19548" t="s">
        <v>2444</v>
      </c>
      <c r="D19548">
        <v>3991</v>
      </c>
      <c r="E19548">
        <v>0</v>
      </c>
      <c r="F19548">
        <v>444</v>
      </c>
    </row>
    <row r="19549" spans="1:6" ht="12.75">
      <c r="A19549" s="2">
        <v>43876.495312500003</v>
      </c>
      <c r="B19549" t="str">
        <f>HYPERLINK("https://twitter.com/realPriGim","@realPriGim")</f>
        <v>@realPriGim</v>
      </c>
      <c r="C19549" t="s">
        <v>8665</v>
      </c>
      <c r="D19549">
        <v>90</v>
      </c>
      <c r="E19549">
        <v>0</v>
      </c>
      <c r="F19549">
        <v>3279</v>
      </c>
    </row>
    <row r="19550" spans="1:6" ht="12.75">
      <c r="A19550" s="2">
        <v>43876.495312500003</v>
      </c>
      <c r="B19550" t="str">
        <f>HYPERLINK("https://twitter.com/DelphiBouty","@DelphiBouty")</f>
        <v>@DelphiBouty</v>
      </c>
      <c r="C19550" t="s">
        <v>5168</v>
      </c>
      <c r="D19550">
        <v>1462</v>
      </c>
      <c r="E19550">
        <v>0</v>
      </c>
      <c r="F19550">
        <v>228</v>
      </c>
    </row>
    <row r="19551" spans="1:6" ht="12.75">
      <c r="A19551" s="2">
        <v>43876.459953703699</v>
      </c>
      <c r="B19551" t="str">
        <f>HYPERLINK("https://twitter.com/AdexAd","@AdexAd")</f>
        <v>@AdexAd</v>
      </c>
      <c r="C19551" t="s">
        <v>6201</v>
      </c>
      <c r="D19551">
        <v>466</v>
      </c>
      <c r="E19551">
        <v>0</v>
      </c>
      <c r="F19551">
        <v>809</v>
      </c>
    </row>
    <row r="19552" spans="1:6" ht="12.75">
      <c r="A19552" s="2">
        <v>43876.45993055556</v>
      </c>
      <c r="B19552" t="str">
        <f>HYPERLINK("https://twitter.com/CiungKana","@CiungKana")</f>
        <v>@CiungKana</v>
      </c>
      <c r="C19552" t="s">
        <v>8665</v>
      </c>
      <c r="D19552">
        <v>4</v>
      </c>
      <c r="E19552">
        <v>0</v>
      </c>
      <c r="F19552">
        <v>1849</v>
      </c>
    </row>
    <row r="19553" spans="1:6" ht="12.75">
      <c r="A19553" s="2">
        <v>43876.459837962961</v>
      </c>
      <c r="B19553" t="str">
        <f>HYPERLINK("https://twitter.com/Bangzul__88","@Bangzul__88")</f>
        <v>@Bangzul__88</v>
      </c>
      <c r="C19553" t="s">
        <v>9590</v>
      </c>
      <c r="D19553">
        <v>1</v>
      </c>
      <c r="E19553">
        <v>0</v>
      </c>
      <c r="F19553">
        <v>5989</v>
      </c>
    </row>
    <row r="19554" spans="1:6" ht="12.75">
      <c r="A19554" s="2">
        <v>43876.459791666668</v>
      </c>
      <c r="B19554" t="str">
        <f>HYPERLINK("https://twitter.com/thisiszikra","@thisiszikra")</f>
        <v>@thisiszikra</v>
      </c>
      <c r="C19554" t="s">
        <v>2444</v>
      </c>
      <c r="D19554">
        <v>3899</v>
      </c>
      <c r="E19554">
        <v>0</v>
      </c>
      <c r="F19554">
        <v>1205</v>
      </c>
    </row>
    <row r="19555" spans="1:6" ht="12.75">
      <c r="A19555" s="2">
        <v>43876.459756944445</v>
      </c>
      <c r="B19555" t="str">
        <f>HYPERLINK("https://twitter.com/kompascom","@kompascom")</f>
        <v>@kompascom</v>
      </c>
      <c r="C19555" t="s">
        <v>9833</v>
      </c>
      <c r="D19555">
        <v>0</v>
      </c>
      <c r="E19555">
        <v>0</v>
      </c>
      <c r="F19555">
        <v>7498259</v>
      </c>
    </row>
    <row r="19556" spans="1:6" ht="12.75">
      <c r="A19556" s="2">
        <v>43876.459733796291</v>
      </c>
      <c r="B19556" t="str">
        <f>HYPERLINK("https://twitter.com/DemplonMak","@DemplonMak")</f>
        <v>@DemplonMak</v>
      </c>
      <c r="C19556" t="s">
        <v>8665</v>
      </c>
      <c r="D19556">
        <v>4</v>
      </c>
      <c r="E19556">
        <v>0</v>
      </c>
      <c r="F19556">
        <v>2378</v>
      </c>
    </row>
    <row r="19557" spans="1:6" ht="12.75">
      <c r="A19557" s="2">
        <v>43876.459652777776</v>
      </c>
      <c r="B19557" t="str">
        <f>HYPERLINK("https://twitter.com/BrahmanaDibran","@BrahmanaDibran")</f>
        <v>@BrahmanaDibran</v>
      </c>
      <c r="C19557" t="s">
        <v>8665</v>
      </c>
      <c r="D19557">
        <v>4</v>
      </c>
      <c r="E19557">
        <v>0</v>
      </c>
      <c r="F19557">
        <v>1321</v>
      </c>
    </row>
    <row r="19558" spans="1:6" ht="12.75">
      <c r="A19558" s="2">
        <v>43876.459641203706</v>
      </c>
      <c r="B19558" t="str">
        <f>HYPERLINK("https://twitter.com/bersedi","@bersedi")</f>
        <v>@bersedi</v>
      </c>
      <c r="C19558" t="s">
        <v>9834</v>
      </c>
      <c r="D19558">
        <v>0</v>
      </c>
      <c r="E19558">
        <v>0</v>
      </c>
      <c r="F19558">
        <v>800</v>
      </c>
    </row>
    <row r="19559" spans="1:6" ht="12.75">
      <c r="A19559" s="2">
        <v>43876.459629629629</v>
      </c>
      <c r="B19559" t="str">
        <f>HYPERLINK("https://twitter.com/rief_rifai","@rief_rifai")</f>
        <v>@rief_rifai</v>
      </c>
      <c r="C19559" t="s">
        <v>9835</v>
      </c>
      <c r="D19559">
        <v>77</v>
      </c>
      <c r="E19559">
        <v>0</v>
      </c>
      <c r="F19559">
        <v>205</v>
      </c>
    </row>
    <row r="19560" spans="1:6" ht="12.75">
      <c r="A19560" s="2">
        <v>43876.459594907406</v>
      </c>
      <c r="B19560" t="str">
        <f>HYPERLINK("https://twitter.com/ApelHiu","@ApelHiu")</f>
        <v>@ApelHiu</v>
      </c>
      <c r="C19560" t="s">
        <v>9821</v>
      </c>
      <c r="D19560">
        <v>0</v>
      </c>
      <c r="E19560">
        <v>0</v>
      </c>
      <c r="F19560">
        <v>34</v>
      </c>
    </row>
    <row r="19561" spans="1:6" ht="12.75">
      <c r="A19561" s="2">
        <v>43876.459548611107</v>
      </c>
      <c r="B19561" t="str">
        <f>HYPERLINK("https://twitter.com/Ez2708","@Ez2708")</f>
        <v>@Ez2708</v>
      </c>
      <c r="C19561" t="s">
        <v>9836</v>
      </c>
      <c r="D19561">
        <v>10</v>
      </c>
      <c r="E19561">
        <v>0</v>
      </c>
      <c r="F19561">
        <v>215</v>
      </c>
    </row>
    <row r="19562" spans="1:6" ht="12.75">
      <c r="A19562" s="2">
        <v>43876.459537037037</v>
      </c>
      <c r="B19562" t="str">
        <f>HYPERLINK("https://twitter.com/real1ikaa_","@real1ikaa_")</f>
        <v>@real1ikaa_</v>
      </c>
      <c r="C19562" t="s">
        <v>2444</v>
      </c>
      <c r="D19562">
        <v>3899</v>
      </c>
      <c r="E19562">
        <v>0</v>
      </c>
      <c r="F19562">
        <v>167</v>
      </c>
    </row>
    <row r="19563" spans="1:6" ht="12.75">
      <c r="A19563" s="2">
        <v>43876.459525462968</v>
      </c>
      <c r="B19563" t="str">
        <f>HYPERLINK("https://twitter.com/WahabisLokal","@WahabisLokal")</f>
        <v>@WahabisLokal</v>
      </c>
      <c r="C19563" t="s">
        <v>9837</v>
      </c>
      <c r="D19563">
        <v>1</v>
      </c>
      <c r="E19563">
        <v>2</v>
      </c>
      <c r="F19563">
        <v>19477</v>
      </c>
    </row>
    <row r="19564" spans="1:6" ht="12.75">
      <c r="A19564" s="2">
        <v>43876.459502314814</v>
      </c>
      <c r="B19564" t="str">
        <f>HYPERLINK("https://twitter.com/AlexHrw","@AlexHrw")</f>
        <v>@AlexHrw</v>
      </c>
      <c r="C19564" t="s">
        <v>8665</v>
      </c>
      <c r="D19564">
        <v>4</v>
      </c>
      <c r="E19564">
        <v>0</v>
      </c>
      <c r="F19564">
        <v>1388</v>
      </c>
    </row>
    <row r="19565" spans="1:6" ht="12.75">
      <c r="A19565" s="2">
        <v>43876.459490740745</v>
      </c>
      <c r="B19565" t="str">
        <f>HYPERLINK("https://twitter.com/Zhongren15","@Zhongren15")</f>
        <v>@Zhongren15</v>
      </c>
      <c r="C19565" t="s">
        <v>9838</v>
      </c>
      <c r="D19565">
        <v>1</v>
      </c>
      <c r="E19565">
        <v>0</v>
      </c>
      <c r="F19565">
        <v>27</v>
      </c>
    </row>
    <row r="19566" spans="1:6" ht="12.75">
      <c r="A19566" s="2">
        <v>43876.459479166668</v>
      </c>
      <c r="B19566" t="str">
        <f>HYPERLINK("https://twitter.com/indahpaiq","@indahpaiq")</f>
        <v>@indahpaiq</v>
      </c>
      <c r="C19566" t="s">
        <v>9839</v>
      </c>
      <c r="D19566">
        <v>1</v>
      </c>
      <c r="E19566">
        <v>0</v>
      </c>
      <c r="F19566">
        <v>14</v>
      </c>
    </row>
    <row r="19567" spans="1:6" ht="12.75">
      <c r="A19567" s="2">
        <v>43876.459374999999</v>
      </c>
      <c r="B19567" t="str">
        <f>HYPERLINK("https://twitter.com/Ronipewe","@Ronipewe")</f>
        <v>@Ronipewe</v>
      </c>
      <c r="C19567" t="s">
        <v>9840</v>
      </c>
      <c r="D19567">
        <v>4</v>
      </c>
      <c r="E19567">
        <v>0</v>
      </c>
      <c r="F19567">
        <v>184</v>
      </c>
    </row>
    <row r="19568" spans="1:6" ht="12.75">
      <c r="A19568" s="2">
        <v>43876.45925925926</v>
      </c>
      <c r="B19568" t="str">
        <f>HYPERLINK("https://twitter.com/bakarricaicha1","@bakarricaicha1")</f>
        <v>@bakarricaicha1</v>
      </c>
      <c r="C19568" t="s">
        <v>9841</v>
      </c>
      <c r="D19568">
        <v>0</v>
      </c>
      <c r="E19568">
        <v>0</v>
      </c>
      <c r="F19568">
        <v>1888</v>
      </c>
    </row>
    <row r="19569" spans="1:6" ht="12.75">
      <c r="A19569" s="2">
        <v>43876.459201388891</v>
      </c>
      <c r="B19569" t="str">
        <f>HYPERLINK("https://twitter.com/priliatia","@priliatia")</f>
        <v>@priliatia</v>
      </c>
      <c r="C19569" t="s">
        <v>2444</v>
      </c>
      <c r="D19569">
        <v>3899</v>
      </c>
      <c r="E19569">
        <v>0</v>
      </c>
      <c r="F19569">
        <v>272</v>
      </c>
    </row>
    <row r="19570" spans="1:6" ht="12.75">
      <c r="A19570" s="2">
        <v>43876.459085648152</v>
      </c>
      <c r="B19570" t="str">
        <f>HYPERLINK("https://twitter.com/yhi2e","@yhi2e")</f>
        <v>@yhi2e</v>
      </c>
      <c r="C19570" t="s">
        <v>6201</v>
      </c>
      <c r="D19570">
        <v>466</v>
      </c>
      <c r="E19570">
        <v>0</v>
      </c>
      <c r="F19570">
        <v>1411</v>
      </c>
    </row>
    <row r="19571" spans="1:6" ht="12.75">
      <c r="A19571" s="2">
        <v>43876.458796296298</v>
      </c>
      <c r="B19571" t="str">
        <f>HYPERLINK("https://twitter.com/Vanisafarelliap","@Vanisafarelliap")</f>
        <v>@Vanisafarelliap</v>
      </c>
      <c r="C19571" t="s">
        <v>9842</v>
      </c>
      <c r="D19571">
        <v>0</v>
      </c>
      <c r="E19571">
        <v>0</v>
      </c>
      <c r="F19571">
        <v>127</v>
      </c>
    </row>
    <row r="19572" spans="1:6" ht="12.75">
      <c r="A19572" s="2">
        <v>43876.458761574075</v>
      </c>
      <c r="B19572" t="str">
        <f>HYPERLINK("https://twitter.com/asnug_id","@asnug_id")</f>
        <v>@asnug_id</v>
      </c>
      <c r="C19572" t="s">
        <v>8628</v>
      </c>
      <c r="D19572">
        <v>46</v>
      </c>
      <c r="E19572">
        <v>0</v>
      </c>
      <c r="F19572">
        <v>3216</v>
      </c>
    </row>
    <row r="19573" spans="1:6" ht="12.75">
      <c r="A19573" s="2">
        <v>43876.458750000005</v>
      </c>
      <c r="B19573" t="str">
        <f>HYPERLINK("https://twitter.com/indrianaa121","@indrianaa121")</f>
        <v>@indrianaa121</v>
      </c>
      <c r="C19573" t="s">
        <v>9843</v>
      </c>
      <c r="D19573">
        <v>1</v>
      </c>
      <c r="E19573">
        <v>0</v>
      </c>
      <c r="F19573">
        <v>256</v>
      </c>
    </row>
    <row r="19574" spans="1:6" ht="12.75">
      <c r="A19574" s="2">
        <v>43876.458726851852</v>
      </c>
      <c r="B19574" t="str">
        <f>HYPERLINK("https://twitter.com/Andrianom2","@Andrianom2")</f>
        <v>@Andrianom2</v>
      </c>
      <c r="C19574" t="s">
        <v>3059</v>
      </c>
      <c r="D19574">
        <v>111</v>
      </c>
      <c r="E19574">
        <v>0</v>
      </c>
      <c r="F19574">
        <v>24</v>
      </c>
    </row>
    <row r="19575" spans="1:6" ht="12.75">
      <c r="A19575" s="2">
        <v>43876.458726851852</v>
      </c>
      <c r="B19575" t="str">
        <f>HYPERLINK("https://twitter.com/Bangzul__88","@Bangzul__88")</f>
        <v>@Bangzul__88</v>
      </c>
      <c r="C19575" t="s">
        <v>9844</v>
      </c>
      <c r="D19575">
        <v>4</v>
      </c>
      <c r="E19575">
        <v>4</v>
      </c>
      <c r="F19575">
        <v>5989</v>
      </c>
    </row>
    <row r="19576" spans="1:6" ht="12.75">
      <c r="A19576" s="2">
        <v>43876.458680555559</v>
      </c>
      <c r="B19576" t="str">
        <f>HYPERLINK("https://twitter.com/nurulkaamila","@nurulkaamila")</f>
        <v>@nurulkaamila</v>
      </c>
      <c r="C19576" t="s">
        <v>9845</v>
      </c>
      <c r="D19576">
        <v>4</v>
      </c>
      <c r="E19576">
        <v>0</v>
      </c>
      <c r="F19576">
        <v>96</v>
      </c>
    </row>
    <row r="19577" spans="1:6" ht="12.75">
      <c r="A19577" s="2">
        <v>43876.458657407406</v>
      </c>
      <c r="B19577" t="str">
        <f>HYPERLINK("https://twitter.com/Morningtyas","@Morningtyas")</f>
        <v>@Morningtyas</v>
      </c>
      <c r="C19577" t="s">
        <v>9846</v>
      </c>
      <c r="D19577">
        <v>0</v>
      </c>
      <c r="E19577">
        <v>0</v>
      </c>
      <c r="F19577">
        <v>30622</v>
      </c>
    </row>
    <row r="19578" spans="1:6" ht="12.75">
      <c r="A19578" s="2">
        <v>43876.458622685182</v>
      </c>
      <c r="B19578" t="str">
        <f>HYPERLINK("https://twitter.com/JihanEndra","@JihanEndra")</f>
        <v>@JihanEndra</v>
      </c>
      <c r="C19578" t="s">
        <v>9847</v>
      </c>
      <c r="D19578">
        <v>1</v>
      </c>
      <c r="E19578">
        <v>0</v>
      </c>
      <c r="F19578">
        <v>25</v>
      </c>
    </row>
    <row r="19579" spans="1:6" ht="12.75">
      <c r="A19579" s="2">
        <v>43876.458622685182</v>
      </c>
      <c r="B19579" t="str">
        <f>HYPERLINK("https://twitter.com/OnlyOnesia","@OnlyOnesia")</f>
        <v>@OnlyOnesia</v>
      </c>
      <c r="C19579" t="s">
        <v>9848</v>
      </c>
      <c r="D19579">
        <v>1</v>
      </c>
      <c r="E19579">
        <v>0</v>
      </c>
      <c r="F19579">
        <v>429</v>
      </c>
    </row>
    <row r="19580" spans="1:6" ht="12.75">
      <c r="A19580" s="2">
        <v>43876.45857638889</v>
      </c>
      <c r="B19580" t="str">
        <f>HYPERLINK("https://twitter.com/hi_ltm","@hi_ltm")</f>
        <v>@hi_ltm</v>
      </c>
      <c r="C19580" t="s">
        <v>2444</v>
      </c>
      <c r="D19580">
        <v>3899</v>
      </c>
      <c r="E19580">
        <v>0</v>
      </c>
      <c r="F19580">
        <v>449</v>
      </c>
    </row>
    <row r="19581" spans="1:6" ht="12.75">
      <c r="A19581" s="2">
        <v>43876.458541666667</v>
      </c>
      <c r="B19581" t="str">
        <f>HYPERLINK("https://twitter.com/cepu_supriyanto","@cepu_supriyanto")</f>
        <v>@cepu_supriyanto</v>
      </c>
      <c r="C19581" t="s">
        <v>9849</v>
      </c>
      <c r="D19581">
        <v>0</v>
      </c>
      <c r="E19581">
        <v>0</v>
      </c>
      <c r="F19581">
        <v>675</v>
      </c>
    </row>
    <row r="19582" spans="1:6" ht="12.75">
      <c r="A19582" s="2">
        <v>43876.458506944444</v>
      </c>
      <c r="B19582" t="str">
        <f>HYPERLINK("https://twitter.com/baebaelacc","@baebaelacc")</f>
        <v>@baebaelacc</v>
      </c>
      <c r="C19582" t="s">
        <v>2444</v>
      </c>
      <c r="D19582">
        <v>3899</v>
      </c>
      <c r="E19582">
        <v>0</v>
      </c>
      <c r="F19582">
        <v>684</v>
      </c>
    </row>
    <row r="19583" spans="1:6" ht="12.75">
      <c r="A19583" s="2">
        <v>43876.458483796298</v>
      </c>
      <c r="B19583" t="str">
        <f>HYPERLINK("https://twitter.com/4d_h1m","@4d_h1m")</f>
        <v>@4d_h1m</v>
      </c>
      <c r="C19583" t="s">
        <v>3059</v>
      </c>
      <c r="D19583">
        <v>111</v>
      </c>
      <c r="E19583">
        <v>0</v>
      </c>
      <c r="F19583">
        <v>2465</v>
      </c>
    </row>
    <row r="19584" spans="1:6" ht="12.75">
      <c r="A19584" s="2">
        <v>43876.458483796298</v>
      </c>
      <c r="B19584" t="str">
        <f>HYPERLINK("https://twitter.com/rinibagyo","@rinibagyo")</f>
        <v>@rinibagyo</v>
      </c>
      <c r="C19584" t="s">
        <v>9850</v>
      </c>
      <c r="D19584">
        <v>0</v>
      </c>
      <c r="E19584">
        <v>0</v>
      </c>
      <c r="F19584">
        <v>97</v>
      </c>
    </row>
    <row r="19585" spans="1:6" ht="12.75">
      <c r="A19585" s="2">
        <v>43876.458472222221</v>
      </c>
      <c r="B19585" t="str">
        <f>HYPERLINK("https://twitter.com/scorpiocuy","@scorpiocuy")</f>
        <v>@scorpiocuy</v>
      </c>
      <c r="C19585" t="s">
        <v>9804</v>
      </c>
      <c r="D19585">
        <v>0</v>
      </c>
      <c r="E19585">
        <v>1</v>
      </c>
      <c r="F19585">
        <v>23</v>
      </c>
    </row>
    <row r="19586" spans="1:6" ht="12.75">
      <c r="A19586" s="2">
        <v>43876.458414351851</v>
      </c>
      <c r="B19586" t="str">
        <f>HYPERLINK("https://twitter.com/forddyce92","@forddyce92")</f>
        <v>@forddyce92</v>
      </c>
      <c r="C19586" t="s">
        <v>9851</v>
      </c>
      <c r="D19586">
        <v>0</v>
      </c>
      <c r="E19586">
        <v>0</v>
      </c>
      <c r="F19586">
        <v>24</v>
      </c>
    </row>
    <row r="19587" spans="1:6" ht="12.75">
      <c r="A19587" s="2">
        <v>43876.458414351851</v>
      </c>
      <c r="B19587" t="str">
        <f>HYPERLINK("https://twitter.com/pfftttcot","@pfftttcot")</f>
        <v>@pfftttcot</v>
      </c>
      <c r="C19587" t="s">
        <v>9852</v>
      </c>
      <c r="D19587">
        <v>14</v>
      </c>
      <c r="E19587">
        <v>0</v>
      </c>
      <c r="F19587">
        <v>86</v>
      </c>
    </row>
    <row r="19588" spans="1:6" ht="12.75">
      <c r="A19588" s="2">
        <v>43876.458391203705</v>
      </c>
      <c r="B19588" t="str">
        <f>HYPERLINK("https://twitter.com/avivabdu","@avivabdu")</f>
        <v>@avivabdu</v>
      </c>
      <c r="C19588" t="s">
        <v>2444</v>
      </c>
      <c r="D19588">
        <v>3899</v>
      </c>
      <c r="E19588">
        <v>0</v>
      </c>
      <c r="F19588">
        <v>535</v>
      </c>
    </row>
    <row r="19589" spans="1:6" ht="12.75">
      <c r="A19589" s="2">
        <v>43876.458287037036</v>
      </c>
      <c r="B19589" t="str">
        <f>HYPERLINK("https://twitter.com/pfftttcot","@pfftttcot")</f>
        <v>@pfftttcot</v>
      </c>
      <c r="C19589" t="s">
        <v>9123</v>
      </c>
      <c r="D19589">
        <v>327</v>
      </c>
      <c r="E19589">
        <v>0</v>
      </c>
      <c r="F19589">
        <v>86</v>
      </c>
    </row>
    <row r="19590" spans="1:6" ht="12.75">
      <c r="A19590" s="2">
        <v>43876.458252314813</v>
      </c>
      <c r="B19590" t="str">
        <f>HYPERLINK("https://twitter.com/priliatia","@priliatia")</f>
        <v>@priliatia</v>
      </c>
      <c r="C19590" t="s">
        <v>5168</v>
      </c>
      <c r="D19590">
        <v>1418</v>
      </c>
      <c r="E19590">
        <v>0</v>
      </c>
      <c r="F19590">
        <v>272</v>
      </c>
    </row>
    <row r="19591" spans="1:6" ht="12.75">
      <c r="A19591" s="2">
        <v>43876.458182870367</v>
      </c>
      <c r="B19591" t="str">
        <f>HYPERLINK("https://twitter.com/yoojungmu","@yoojungmu")</f>
        <v>@yoojungmu</v>
      </c>
      <c r="C19591" t="s">
        <v>9799</v>
      </c>
      <c r="D19591">
        <v>0</v>
      </c>
      <c r="E19591">
        <v>0</v>
      </c>
      <c r="F19591">
        <v>8651</v>
      </c>
    </row>
    <row r="19592" spans="1:6" ht="12.75">
      <c r="A19592" s="2">
        <v>43876.458136574074</v>
      </c>
      <c r="B19592" t="str">
        <f>HYPERLINK("https://twitter.com/AdexAd","@AdexAd")</f>
        <v>@AdexAd</v>
      </c>
      <c r="C19592" t="s">
        <v>8754</v>
      </c>
      <c r="D19592">
        <v>58</v>
      </c>
      <c r="E19592">
        <v>0</v>
      </c>
      <c r="F19592">
        <v>809</v>
      </c>
    </row>
    <row r="19593" spans="1:6" ht="12.75">
      <c r="A19593" s="2">
        <v>43876.458101851851</v>
      </c>
      <c r="B19593" t="str">
        <f>HYPERLINK("https://twitter.com/machianicolo","@machianicolo")</f>
        <v>@machianicolo</v>
      </c>
      <c r="C19593" t="s">
        <v>9853</v>
      </c>
      <c r="D19593">
        <v>1</v>
      </c>
      <c r="E19593">
        <v>1</v>
      </c>
      <c r="F19593">
        <v>946</v>
      </c>
    </row>
    <row r="19594" spans="1:6" ht="12.75">
      <c r="A19594" s="2">
        <v>43876.457997685182</v>
      </c>
      <c r="B19594" t="str">
        <f>HYPERLINK("https://twitter.com/kusukauang","@kusukauang")</f>
        <v>@kusukauang</v>
      </c>
      <c r="C19594" t="s">
        <v>2444</v>
      </c>
      <c r="D19594">
        <v>3899</v>
      </c>
      <c r="E19594">
        <v>0</v>
      </c>
      <c r="F19594">
        <v>877</v>
      </c>
    </row>
    <row r="19595" spans="1:6" ht="12.75">
      <c r="A19595" s="2">
        <v>43876.45789351852</v>
      </c>
      <c r="B19595" t="str">
        <f>HYPERLINK("https://twitter.com/IdamanNegri","@IdamanNegri")</f>
        <v>@IdamanNegri</v>
      </c>
      <c r="C19595" t="s">
        <v>9854</v>
      </c>
      <c r="D19595">
        <v>1</v>
      </c>
      <c r="E19595">
        <v>0</v>
      </c>
      <c r="F19595">
        <v>12</v>
      </c>
    </row>
    <row r="19596" spans="1:6" ht="12.75">
      <c r="A19596" s="2">
        <v>43876.457777777774</v>
      </c>
      <c r="B19596" t="str">
        <f>HYPERLINK("https://twitter.com/akunadnad","@akunadnad")</f>
        <v>@akunadnad</v>
      </c>
      <c r="C19596" t="s">
        <v>2137</v>
      </c>
      <c r="D19596">
        <v>261</v>
      </c>
      <c r="E19596">
        <v>0</v>
      </c>
      <c r="F19596">
        <v>448</v>
      </c>
    </row>
    <row r="19597" spans="1:6" ht="12.75">
      <c r="A19597" s="2">
        <v>43876.457708333328</v>
      </c>
      <c r="B19597" t="str">
        <f>HYPERLINK("https://twitter.com/herfan0","@herfan0")</f>
        <v>@herfan0</v>
      </c>
      <c r="C19597" t="s">
        <v>3059</v>
      </c>
      <c r="D19597">
        <v>111</v>
      </c>
      <c r="E19597">
        <v>0</v>
      </c>
      <c r="F19597">
        <v>1064</v>
      </c>
    </row>
    <row r="19598" spans="1:6" ht="12.75">
      <c r="A19598" s="2">
        <v>43876.457685185189</v>
      </c>
      <c r="B19598" t="str">
        <f>HYPERLINK("https://twitter.com/firdha_febriana","@firdha_febriana")</f>
        <v>@firdha_febriana</v>
      </c>
      <c r="C19598" t="s">
        <v>2444</v>
      </c>
      <c r="D19598">
        <v>3899</v>
      </c>
      <c r="E19598">
        <v>0</v>
      </c>
      <c r="F19598">
        <v>300</v>
      </c>
    </row>
    <row r="19599" spans="1:6" ht="12.75">
      <c r="A19599" s="2">
        <v>43876.457662037035</v>
      </c>
      <c r="B19599" t="str">
        <f>HYPERLINK("https://twitter.com/UtomoSetyok4ila","@UtomoSetyok4ila")</f>
        <v>@UtomoSetyok4ila</v>
      </c>
      <c r="C19599" t="s">
        <v>9389</v>
      </c>
      <c r="D19599">
        <v>16</v>
      </c>
      <c r="E19599">
        <v>0</v>
      </c>
      <c r="F19599">
        <v>419</v>
      </c>
    </row>
    <row r="19600" spans="1:6" ht="12.75">
      <c r="A19600" s="2">
        <v>43876.457604166666</v>
      </c>
      <c r="B19600" t="str">
        <f>HYPERLINK("https://twitter.com/MattSolar8","@MattSolar8")</f>
        <v>@MattSolar8</v>
      </c>
      <c r="C19600" t="s">
        <v>9804</v>
      </c>
      <c r="D19600">
        <v>0</v>
      </c>
      <c r="E19600">
        <v>0</v>
      </c>
      <c r="F19600">
        <v>42</v>
      </c>
    </row>
    <row r="19601" spans="1:6" ht="12.75">
      <c r="A19601" s="2">
        <v>43876.457407407404</v>
      </c>
      <c r="B19601" t="str">
        <f>HYPERLINK("https://twitter.com/Istiqom44992833","@Istiqom44992833")</f>
        <v>@Istiqom44992833</v>
      </c>
      <c r="C19601" t="s">
        <v>7876</v>
      </c>
      <c r="D19601">
        <v>13</v>
      </c>
      <c r="E19601">
        <v>0</v>
      </c>
      <c r="F19601">
        <v>82</v>
      </c>
    </row>
    <row r="19602" spans="1:6" ht="12.75">
      <c r="A19602" s="2">
        <v>43876.457245370373</v>
      </c>
      <c r="B19602" t="str">
        <f>HYPERLINK("https://twitter.com/usirro","@usirro")</f>
        <v>@usirro</v>
      </c>
      <c r="C19602" t="s">
        <v>9855</v>
      </c>
      <c r="D19602">
        <v>0</v>
      </c>
      <c r="E19602">
        <v>0</v>
      </c>
      <c r="F19602">
        <v>1054</v>
      </c>
    </row>
    <row r="19603" spans="1:6" ht="12.75">
      <c r="A19603" s="2">
        <v>43876.45716435185</v>
      </c>
      <c r="B19603" t="str">
        <f>HYPERLINK("https://twitter.com/BNPB_Indonesia","@BNPB_Indonesia")</f>
        <v>@BNPB_Indonesia</v>
      </c>
      <c r="C19603" t="s">
        <v>9856</v>
      </c>
      <c r="D19603">
        <v>0</v>
      </c>
      <c r="E19603">
        <v>7</v>
      </c>
      <c r="F19603">
        <v>226160</v>
      </c>
    </row>
    <row r="19604" spans="1:6" ht="12.75">
      <c r="A19604" s="2">
        <v>43876.457094907411</v>
      </c>
      <c r="B19604" t="str">
        <f>HYPERLINK("https://twitter.com/rey_0289","@rey_0289")</f>
        <v>@rey_0289</v>
      </c>
      <c r="C19604" t="s">
        <v>6201</v>
      </c>
      <c r="D19604">
        <v>466</v>
      </c>
      <c r="E19604">
        <v>0</v>
      </c>
      <c r="F19604">
        <v>924</v>
      </c>
    </row>
    <row r="19605" spans="1:6" ht="12.75">
      <c r="A19605" s="2">
        <v>43876.456967592589</v>
      </c>
      <c r="B19605" t="str">
        <f>HYPERLINK("https://twitter.com/danit_12","@danit_12")</f>
        <v>@danit_12</v>
      </c>
      <c r="C19605" t="s">
        <v>8050</v>
      </c>
      <c r="D19605">
        <v>8</v>
      </c>
      <c r="E19605">
        <v>0</v>
      </c>
      <c r="F19605">
        <v>108</v>
      </c>
    </row>
    <row r="19606" spans="1:6" ht="12.75">
      <c r="A19606" s="2">
        <v>43876.456956018519</v>
      </c>
      <c r="B19606" t="str">
        <f>HYPERLINK("https://twitter.com/HafsahHerlina","@HafsahHerlina")</f>
        <v>@HafsahHerlina</v>
      </c>
      <c r="C19606" t="s">
        <v>6201</v>
      </c>
      <c r="D19606">
        <v>466</v>
      </c>
      <c r="E19606">
        <v>0</v>
      </c>
      <c r="F19606">
        <v>9</v>
      </c>
    </row>
    <row r="19607" spans="1:6" ht="12.75">
      <c r="A19607" s="2">
        <v>43876.456909722227</v>
      </c>
      <c r="B19607" t="str">
        <f>HYPERLINK("https://twitter.com/mbak_mace","@mbak_mace")</f>
        <v>@mbak_mace</v>
      </c>
      <c r="C19607" t="s">
        <v>9857</v>
      </c>
      <c r="D19607">
        <v>31</v>
      </c>
      <c r="E19607">
        <v>0</v>
      </c>
      <c r="F19607">
        <v>120</v>
      </c>
    </row>
    <row r="19608" spans="1:6" ht="12.75">
      <c r="A19608" s="2">
        <v>43876.45689814815</v>
      </c>
      <c r="B19608" t="str">
        <f>HYPERLINK("https://twitter.com/AnnaVLee","@AnnaVLee")</f>
        <v>@AnnaVLee</v>
      </c>
      <c r="C19608" t="s">
        <v>9858</v>
      </c>
      <c r="D19608">
        <v>6</v>
      </c>
      <c r="E19608">
        <v>0</v>
      </c>
      <c r="F19608">
        <v>176</v>
      </c>
    </row>
    <row r="19609" spans="1:6" ht="12.75">
      <c r="A19609" s="2">
        <v>43876.456631944442</v>
      </c>
      <c r="B19609" t="str">
        <f>HYPERLINK("https://twitter.com/soloposdotcom","@soloposdotcom")</f>
        <v>@soloposdotcom</v>
      </c>
      <c r="C19609" t="s">
        <v>9859</v>
      </c>
      <c r="D19609">
        <v>0</v>
      </c>
      <c r="E19609">
        <v>1</v>
      </c>
      <c r="F19609">
        <v>59824</v>
      </c>
    </row>
    <row r="19610" spans="1:6" ht="12.75">
      <c r="A19610" s="2">
        <v>43876.456597222219</v>
      </c>
      <c r="B19610" t="str">
        <f>HYPERLINK("https://twitter.com/HumasTeam","@HumasTeam")</f>
        <v>@HumasTeam</v>
      </c>
      <c r="C19610" t="s">
        <v>9860</v>
      </c>
      <c r="D19610">
        <v>0</v>
      </c>
      <c r="E19610">
        <v>0</v>
      </c>
      <c r="F19610">
        <v>184</v>
      </c>
    </row>
    <row r="19611" spans="1:6" ht="12.75">
      <c r="A19611" s="2">
        <v>43876.456574074073</v>
      </c>
      <c r="B19611" t="str">
        <f>HYPERLINK("https://twitter.com/singularphoria","@singularphoria")</f>
        <v>@singularphoria</v>
      </c>
      <c r="C19611" t="s">
        <v>2444</v>
      </c>
      <c r="D19611">
        <v>3899</v>
      </c>
      <c r="E19611">
        <v>0</v>
      </c>
      <c r="F19611">
        <v>952</v>
      </c>
    </row>
    <row r="19612" spans="1:6" ht="12.75">
      <c r="A19612" s="2">
        <v>43876.456550925926</v>
      </c>
      <c r="B19612" t="str">
        <f>HYPERLINK("https://twitter.com/ivooxid","@ivooxid")</f>
        <v>@ivooxid</v>
      </c>
      <c r="C19612" t="s">
        <v>9861</v>
      </c>
      <c r="D19612">
        <v>0</v>
      </c>
      <c r="E19612">
        <v>0</v>
      </c>
      <c r="F19612">
        <v>1429</v>
      </c>
    </row>
    <row r="19613" spans="1:6" ht="12.75">
      <c r="A19613" s="2">
        <v>43876.456273148149</v>
      </c>
      <c r="B19613" t="str">
        <f>HYPERLINK("https://twitter.com/tehcemplung","@tehcemplung")</f>
        <v>@tehcemplung</v>
      </c>
      <c r="C19613" t="s">
        <v>9862</v>
      </c>
      <c r="D19613">
        <v>0</v>
      </c>
      <c r="E19613">
        <v>0</v>
      </c>
      <c r="F19613">
        <v>5537</v>
      </c>
    </row>
    <row r="19614" spans="1:6" ht="12.75">
      <c r="A19614" s="2">
        <v>43876.456261574072</v>
      </c>
      <c r="B19614" t="str">
        <f>HYPERLINK("https://twitter.com/juniar_na70","@juniar_na70")</f>
        <v>@juniar_na70</v>
      </c>
      <c r="C19614" t="s">
        <v>5168</v>
      </c>
      <c r="D19614">
        <v>1418</v>
      </c>
      <c r="E19614">
        <v>0</v>
      </c>
      <c r="F19614">
        <v>266</v>
      </c>
    </row>
    <row r="19615" spans="1:6" ht="12.75">
      <c r="A19615" s="2">
        <v>43876.456261574072</v>
      </c>
      <c r="B19615" t="str">
        <f>HYPERLINK("https://twitter.com/anto787","@anto787")</f>
        <v>@anto787</v>
      </c>
      <c r="C19615" t="s">
        <v>8628</v>
      </c>
      <c r="D19615">
        <v>46</v>
      </c>
      <c r="E19615">
        <v>0</v>
      </c>
      <c r="F19615">
        <v>272</v>
      </c>
    </row>
    <row r="19616" spans="1:6" ht="12.75">
      <c r="A19616" s="2">
        <v>43876.456226851849</v>
      </c>
      <c r="B19616" t="str">
        <f>HYPERLINK("https://twitter.com/Antihoa37764752","@Antihoa37764752")</f>
        <v>@Antihoa37764752</v>
      </c>
      <c r="C19616" t="s">
        <v>9863</v>
      </c>
      <c r="D19616">
        <v>0</v>
      </c>
      <c r="E19616">
        <v>0</v>
      </c>
      <c r="F19616">
        <v>2</v>
      </c>
    </row>
    <row r="19617" spans="1:6" ht="12.75">
      <c r="A19617" s="2">
        <v>43876.455960648149</v>
      </c>
      <c r="B19617" t="str">
        <f>HYPERLINK("https://twitter.com/AbdeeProklamasi","@AbdeeProklamasi")</f>
        <v>@AbdeeProklamasi</v>
      </c>
      <c r="C19617" t="s">
        <v>3059</v>
      </c>
      <c r="D19617">
        <v>111</v>
      </c>
      <c r="E19617">
        <v>0</v>
      </c>
      <c r="F19617">
        <v>30</v>
      </c>
    </row>
    <row r="19618" spans="1:6" ht="12.75">
      <c r="A19618" s="2">
        <v>43876.455763888887</v>
      </c>
      <c r="B19618" t="str">
        <f>HYPERLINK("https://twitter.com/nctmoreteaa","@nctmoreteaa")</f>
        <v>@nctmoreteaa</v>
      </c>
      <c r="C19618" t="s">
        <v>2444</v>
      </c>
      <c r="D19618">
        <v>3899</v>
      </c>
      <c r="E19618">
        <v>0</v>
      </c>
      <c r="F19618">
        <v>5002</v>
      </c>
    </row>
    <row r="19619" spans="1:6" ht="12.75">
      <c r="A19619" s="2">
        <v>43876.455578703702</v>
      </c>
      <c r="B19619" t="str">
        <f>HYPERLINK("https://twitter.com/Basharat_189","@Basharat_189")</f>
        <v>@Basharat_189</v>
      </c>
      <c r="C19619" t="s">
        <v>9864</v>
      </c>
      <c r="D19619">
        <v>0</v>
      </c>
      <c r="E19619">
        <v>0</v>
      </c>
      <c r="F19619">
        <v>18</v>
      </c>
    </row>
    <row r="19620" spans="1:6" ht="12.75">
      <c r="A19620" s="2">
        <v>43876.455347222218</v>
      </c>
      <c r="B19620" t="str">
        <f>HYPERLINK("https://twitter.com/sirajapadoha","@sirajapadoha")</f>
        <v>@sirajapadoha</v>
      </c>
      <c r="C19620" t="s">
        <v>9865</v>
      </c>
      <c r="D19620">
        <v>0</v>
      </c>
      <c r="E19620">
        <v>0</v>
      </c>
      <c r="F19620">
        <v>2403</v>
      </c>
    </row>
    <row r="19621" spans="1:6" ht="12.75">
      <c r="A19621" s="2">
        <v>43876.455277777779</v>
      </c>
      <c r="B19621" t="str">
        <f>HYPERLINK("https://twitter.com/HopsIndonesia","@HopsIndonesia")</f>
        <v>@HopsIndonesia</v>
      </c>
      <c r="C19621" t="s">
        <v>9866</v>
      </c>
      <c r="D19621">
        <v>0</v>
      </c>
      <c r="E19621">
        <v>0</v>
      </c>
      <c r="F19621">
        <v>8</v>
      </c>
    </row>
    <row r="19622" spans="1:6" ht="12.75">
      <c r="A19622" s="2">
        <v>43876.455185185187</v>
      </c>
      <c r="B19622" t="str">
        <f>HYPERLINK("https://twitter.com/pandusatria_32","@pandusatria_32")</f>
        <v>@pandusatria_32</v>
      </c>
      <c r="C19622" t="s">
        <v>9867</v>
      </c>
      <c r="D19622">
        <v>0</v>
      </c>
      <c r="E19622">
        <v>0</v>
      </c>
      <c r="F19622">
        <v>2445</v>
      </c>
    </row>
    <row r="19623" spans="1:6" ht="12.75">
      <c r="A19623" s="2">
        <v>43876.455034722225</v>
      </c>
      <c r="B19623" t="str">
        <f>HYPERLINK("https://twitter.com/YuliEndah3","@YuliEndah3")</f>
        <v>@YuliEndah3</v>
      </c>
      <c r="C19623" t="s">
        <v>4294</v>
      </c>
      <c r="D19623">
        <v>13</v>
      </c>
      <c r="E19623">
        <v>0</v>
      </c>
      <c r="F19623">
        <v>3289</v>
      </c>
    </row>
    <row r="19624" spans="1:6" ht="12.75">
      <c r="A19624" s="2">
        <v>43876.455011574071</v>
      </c>
      <c r="B19624" t="str">
        <f>HYPERLINK("https://twitter.com/addin_MF","@addin_MF")</f>
        <v>@addin_MF</v>
      </c>
      <c r="C19624" t="s">
        <v>9868</v>
      </c>
      <c r="D19624">
        <v>0</v>
      </c>
      <c r="E19624">
        <v>0</v>
      </c>
      <c r="F19624">
        <v>432</v>
      </c>
    </row>
    <row r="19625" spans="1:6" ht="12.75">
      <c r="A19625" s="2">
        <v>43876.454652777778</v>
      </c>
      <c r="B19625" t="str">
        <f>HYPERLINK("https://twitter.com/fs2108","@fs2108")</f>
        <v>@fs2108</v>
      </c>
      <c r="C19625" t="s">
        <v>9869</v>
      </c>
      <c r="D19625">
        <v>0</v>
      </c>
      <c r="E19625">
        <v>0</v>
      </c>
      <c r="F19625">
        <v>43</v>
      </c>
    </row>
    <row r="19626" spans="1:6" ht="12.75">
      <c r="A19626" s="2">
        <v>43876.454571759255</v>
      </c>
      <c r="B19626" t="str">
        <f>HYPERLINK("https://twitter.com/TahuPedas7","@TahuPedas7")</f>
        <v>@TahuPedas7</v>
      </c>
      <c r="C19626" t="s">
        <v>9870</v>
      </c>
      <c r="D19626">
        <v>0</v>
      </c>
      <c r="E19626">
        <v>0</v>
      </c>
      <c r="F19626">
        <v>91</v>
      </c>
    </row>
    <row r="19627" spans="1:6" ht="12.75">
      <c r="A19627" s="2">
        <v>43876.454548611116</v>
      </c>
      <c r="B19627" t="str">
        <f>HYPERLINK("https://twitter.com/WhiteTitiek","@WhiteTitiek")</f>
        <v>@WhiteTitiek</v>
      </c>
      <c r="C19627" t="s">
        <v>9871</v>
      </c>
      <c r="D19627">
        <v>0</v>
      </c>
      <c r="E19627">
        <v>0</v>
      </c>
      <c r="F19627">
        <v>93</v>
      </c>
    </row>
    <row r="19628" spans="1:6" ht="12.75">
      <c r="A19628" s="2">
        <v>43876.454537037032</v>
      </c>
      <c r="B19628" t="str">
        <f>HYPERLINK("https://twitter.com/cuteanna77","@cuteanna77")</f>
        <v>@cuteanna77</v>
      </c>
      <c r="C19628" t="s">
        <v>9872</v>
      </c>
      <c r="D19628">
        <v>0</v>
      </c>
      <c r="E19628">
        <v>1</v>
      </c>
      <c r="F19628">
        <v>808</v>
      </c>
    </row>
    <row r="19629" spans="1:6" ht="12.75">
      <c r="A19629" s="2">
        <v>43876.454513888893</v>
      </c>
      <c r="B19629" t="str">
        <f>HYPERLINK("https://twitter.com/OemarFaruq9","@OemarFaruq9")</f>
        <v>@OemarFaruq9</v>
      </c>
      <c r="C19629" t="s">
        <v>9873</v>
      </c>
      <c r="D19629">
        <v>0</v>
      </c>
      <c r="E19629">
        <v>0</v>
      </c>
      <c r="F19629">
        <v>481</v>
      </c>
    </row>
    <row r="19630" spans="1:6" ht="12.75">
      <c r="A19630" s="2">
        <v>43876.454432870371</v>
      </c>
      <c r="B19630" t="str">
        <f>HYPERLINK("https://twitter.com/apinggggggh","@apinggggggh")</f>
        <v>@apinggggggh</v>
      </c>
      <c r="C19630" t="s">
        <v>5168</v>
      </c>
      <c r="D19630">
        <v>1418</v>
      </c>
      <c r="E19630">
        <v>0</v>
      </c>
      <c r="F19630">
        <v>51</v>
      </c>
    </row>
    <row r="19631" spans="1:6" ht="12.75">
      <c r="A19631" s="2">
        <v>43876.454398148147</v>
      </c>
      <c r="B19631" t="str">
        <f>HYPERLINK("https://twitter.com/moonflower_j","@moonflower_j")</f>
        <v>@moonflower_j</v>
      </c>
      <c r="C19631" t="s">
        <v>2444</v>
      </c>
      <c r="D19631">
        <v>3899</v>
      </c>
      <c r="E19631">
        <v>0</v>
      </c>
      <c r="F19631">
        <v>454</v>
      </c>
    </row>
    <row r="19632" spans="1:6" ht="12.75">
      <c r="A19632" s="2">
        <v>43876.454328703709</v>
      </c>
      <c r="B19632" t="str">
        <f>HYPERLINK("https://twitter.com/rangermera","@rangermera")</f>
        <v>@rangermera</v>
      </c>
      <c r="C19632" t="s">
        <v>9874</v>
      </c>
      <c r="D19632">
        <v>0</v>
      </c>
      <c r="E19632">
        <v>0</v>
      </c>
      <c r="F19632">
        <v>82</v>
      </c>
    </row>
    <row r="19633" spans="1:6" ht="12.75">
      <c r="A19633" s="2">
        <v>43876.454097222224</v>
      </c>
      <c r="B19633" t="str">
        <f>HYPERLINK("https://twitter.com/PutraJaguar8","@PutraJaguar8")</f>
        <v>@PutraJaguar8</v>
      </c>
      <c r="C19633" t="s">
        <v>9875</v>
      </c>
      <c r="D19633">
        <v>0</v>
      </c>
      <c r="E19633">
        <v>0</v>
      </c>
      <c r="F19633">
        <v>2</v>
      </c>
    </row>
    <row r="19634" spans="1:6" ht="12.75">
      <c r="A19634" s="2">
        <v>43876.453865740739</v>
      </c>
      <c r="B19634" t="str">
        <f>HYPERLINK("https://twitter.com/ActSungrok","@ActSungrok")</f>
        <v>@ActSungrok</v>
      </c>
      <c r="C19634" t="s">
        <v>9876</v>
      </c>
      <c r="D19634">
        <v>0</v>
      </c>
      <c r="E19634">
        <v>0</v>
      </c>
      <c r="F19634">
        <v>891</v>
      </c>
    </row>
    <row r="19635" spans="1:6" ht="12.75">
      <c r="A19635" s="2">
        <v>43876.453668981485</v>
      </c>
      <c r="B19635" t="str">
        <f>HYPERLINK("https://twitter.com/1hsan","@1hsan")</f>
        <v>@1hsan</v>
      </c>
      <c r="C19635" t="s">
        <v>3059</v>
      </c>
      <c r="D19635">
        <v>111</v>
      </c>
      <c r="E19635">
        <v>0</v>
      </c>
      <c r="F19635">
        <v>234</v>
      </c>
    </row>
    <row r="19636" spans="1:6" ht="12.75">
      <c r="A19636" s="2">
        <v>43876.453645833331</v>
      </c>
      <c r="B19636" t="str">
        <f>HYPERLINK("https://twitter.com/WhyD777","@WhyD777")</f>
        <v>@WhyD777</v>
      </c>
      <c r="C19636" t="s">
        <v>2444</v>
      </c>
      <c r="D19636">
        <v>3899</v>
      </c>
      <c r="E19636">
        <v>0</v>
      </c>
      <c r="F19636">
        <v>106</v>
      </c>
    </row>
    <row r="19637" spans="1:6" ht="12.75">
      <c r="A19637" s="2">
        <v>43876.453506944439</v>
      </c>
      <c r="B19637" t="str">
        <f>HYPERLINK("https://twitter.com/BeloSuki","@BeloSuki")</f>
        <v>@BeloSuki</v>
      </c>
      <c r="C19637" t="s">
        <v>9877</v>
      </c>
      <c r="D19637">
        <v>0</v>
      </c>
      <c r="E19637">
        <v>0</v>
      </c>
      <c r="F19637">
        <v>10</v>
      </c>
    </row>
    <row r="19638" spans="1:6" ht="12.75">
      <c r="A19638" s="2">
        <v>43876.453425925924</v>
      </c>
      <c r="B19638" t="str">
        <f>HYPERLINK("https://twitter.com/ivooxid","@ivooxid")</f>
        <v>@ivooxid</v>
      </c>
      <c r="C19638" t="s">
        <v>9878</v>
      </c>
      <c r="D19638">
        <v>0</v>
      </c>
      <c r="E19638">
        <v>0</v>
      </c>
      <c r="F19638">
        <v>1429</v>
      </c>
    </row>
    <row r="19639" spans="1:6" ht="12.75">
      <c r="A19639" s="2">
        <v>43876.4533912037</v>
      </c>
      <c r="B19639" t="str">
        <f>HYPERLINK("https://twitter.com/hermana_t","@hermana_t")</f>
        <v>@hermana_t</v>
      </c>
      <c r="C19639" t="s">
        <v>9091</v>
      </c>
      <c r="D19639">
        <v>2</v>
      </c>
      <c r="E19639">
        <v>0</v>
      </c>
      <c r="F19639">
        <v>10434</v>
      </c>
    </row>
    <row r="19640" spans="1:6" ht="12.75">
      <c r="A19640" s="2">
        <v>43876.453171296293</v>
      </c>
      <c r="B19640" t="str">
        <f>HYPERLINK("https://twitter.com/Debb97_","@Debb97_")</f>
        <v>@Debb97_</v>
      </c>
      <c r="C19640" t="s">
        <v>9021</v>
      </c>
      <c r="D19640">
        <v>214</v>
      </c>
      <c r="E19640">
        <v>0</v>
      </c>
      <c r="F19640">
        <v>520</v>
      </c>
    </row>
    <row r="19641" spans="1:6" ht="12.75">
      <c r="A19641" s="2">
        <v>43876.453032407408</v>
      </c>
      <c r="B19641" t="str">
        <f>HYPERLINK("https://twitter.com/bacotiew","@bacotiew")</f>
        <v>@bacotiew</v>
      </c>
      <c r="C19641" t="s">
        <v>2444</v>
      </c>
      <c r="D19641">
        <v>3899</v>
      </c>
      <c r="E19641">
        <v>0</v>
      </c>
      <c r="F19641">
        <v>1343</v>
      </c>
    </row>
    <row r="19642" spans="1:6" ht="12.75">
      <c r="A19642" s="2">
        <v>43876.4528587963</v>
      </c>
      <c r="B19642" t="str">
        <f>HYPERLINK("https://twitter.com/Lady_Zeebo","@Lady_Zeebo")</f>
        <v>@Lady_Zeebo</v>
      </c>
      <c r="C19642" t="s">
        <v>9879</v>
      </c>
      <c r="D19642">
        <v>0</v>
      </c>
      <c r="E19642">
        <v>1</v>
      </c>
      <c r="F19642">
        <v>6905</v>
      </c>
    </row>
    <row r="19643" spans="1:6" ht="12.75">
      <c r="A19643" s="2">
        <v>43876.4528125</v>
      </c>
      <c r="B19643" t="str">
        <f>HYPERLINK("https://twitter.com/cheriacherra","@cheriacherra")</f>
        <v>@cheriacherra</v>
      </c>
      <c r="C19643" t="s">
        <v>2963</v>
      </c>
      <c r="D19643">
        <v>1258</v>
      </c>
      <c r="E19643">
        <v>0</v>
      </c>
      <c r="F19643">
        <v>185</v>
      </c>
    </row>
    <row r="19644" spans="1:6" ht="12.75">
      <c r="A19644" s="2">
        <v>43876.452743055561</v>
      </c>
      <c r="B19644" t="str">
        <f>HYPERLINK("https://twitter.com/okezonenews","@okezonenews")</f>
        <v>@okezonenews</v>
      </c>
      <c r="C19644" t="s">
        <v>9880</v>
      </c>
      <c r="D19644">
        <v>0</v>
      </c>
      <c r="E19644">
        <v>2</v>
      </c>
      <c r="F19644">
        <v>1743807</v>
      </c>
    </row>
    <row r="19645" spans="1:6" ht="12.75">
      <c r="A19645" s="2">
        <v>43876.452708333338</v>
      </c>
      <c r="B19645" t="str">
        <f>HYPERLINK("https://twitter.com/junimina17","@junimina17")</f>
        <v>@junimina17</v>
      </c>
      <c r="C19645" t="s">
        <v>2444</v>
      </c>
      <c r="D19645">
        <v>3899</v>
      </c>
      <c r="E19645">
        <v>0</v>
      </c>
      <c r="F19645">
        <v>282</v>
      </c>
    </row>
    <row r="19646" spans="1:6" ht="12.75">
      <c r="A19646" s="2">
        <v>43876.452650462961</v>
      </c>
      <c r="B19646" t="str">
        <f>HYPERLINK("https://twitter.com/QPakeAvaKorea","@QPakeAvaKorea")</f>
        <v>@QPakeAvaKorea</v>
      </c>
      <c r="C19646" t="s">
        <v>9123</v>
      </c>
      <c r="D19646">
        <v>327</v>
      </c>
      <c r="E19646">
        <v>0</v>
      </c>
      <c r="F19646">
        <v>618</v>
      </c>
    </row>
    <row r="19647" spans="1:6" ht="12.75">
      <c r="A19647" s="2">
        <v>43876.452557870369</v>
      </c>
      <c r="B19647" t="str">
        <f>HYPERLINK("https://twitter.com/JhonHtjl","@JhonHtjl")</f>
        <v>@JhonHtjl</v>
      </c>
      <c r="C19647" t="s">
        <v>8628</v>
      </c>
      <c r="D19647">
        <v>46</v>
      </c>
      <c r="E19647">
        <v>0</v>
      </c>
      <c r="F19647">
        <v>4233</v>
      </c>
    </row>
    <row r="19648" spans="1:6" ht="12.75">
      <c r="A19648" s="2">
        <v>43876.452418981484</v>
      </c>
      <c r="B19648" t="str">
        <f>HYPERLINK("https://twitter.com/kkvrindhavan","@kkvrindhavan")</f>
        <v>@kkvrindhavan</v>
      </c>
      <c r="C19648" t="s">
        <v>7888</v>
      </c>
      <c r="D19648">
        <v>73</v>
      </c>
      <c r="E19648">
        <v>0</v>
      </c>
      <c r="F19648">
        <v>1722</v>
      </c>
    </row>
    <row r="19649" spans="1:6" ht="12.75">
      <c r="A19649" s="2">
        <v>43876.452372685184</v>
      </c>
      <c r="B19649" t="str">
        <f>HYPERLINK("https://twitter.com/sirajapadoha","@sirajapadoha")</f>
        <v>@sirajapadoha</v>
      </c>
      <c r="C19649" t="s">
        <v>9881</v>
      </c>
      <c r="D19649">
        <v>1</v>
      </c>
      <c r="E19649">
        <v>0</v>
      </c>
      <c r="F19649">
        <v>2403</v>
      </c>
    </row>
    <row r="19650" spans="1:6" ht="12.75">
      <c r="A19650" s="2">
        <v>43876.452233796299</v>
      </c>
      <c r="B19650" t="str">
        <f>HYPERLINK("https://twitter.com/TubagusKupra","@TubagusKupra")</f>
        <v>@TubagusKupra</v>
      </c>
      <c r="C19650" t="s">
        <v>9882</v>
      </c>
      <c r="D19650">
        <v>0</v>
      </c>
      <c r="E19650">
        <v>0</v>
      </c>
      <c r="F19650">
        <v>323</v>
      </c>
    </row>
    <row r="19651" spans="1:6" ht="12.75">
      <c r="A19651" s="2">
        <v>43876.418287037042</v>
      </c>
      <c r="B19651" t="str">
        <f>HYPERLINK("https://twitter.com/aldipu","@aldipu")</f>
        <v>@aldipu</v>
      </c>
      <c r="C19651" t="s">
        <v>8754</v>
      </c>
      <c r="D19651">
        <v>54</v>
      </c>
      <c r="E19651">
        <v>0</v>
      </c>
      <c r="F19651">
        <v>536</v>
      </c>
    </row>
    <row r="19652" spans="1:6" ht="12.75">
      <c r="A19652" s="2">
        <v>43876.418252314819</v>
      </c>
      <c r="B19652" t="str">
        <f>HYPERLINK("https://twitter.com/AjiAlbern","@AjiAlbern")</f>
        <v>@AjiAlbern</v>
      </c>
      <c r="C19652" t="s">
        <v>7946</v>
      </c>
      <c r="D19652">
        <v>35</v>
      </c>
      <c r="E19652">
        <v>0</v>
      </c>
      <c r="F19652">
        <v>740</v>
      </c>
    </row>
    <row r="19653" spans="1:6" ht="12.75">
      <c r="A19653" s="2">
        <v>43876.418182870373</v>
      </c>
      <c r="B19653" t="str">
        <f>HYPERLINK("https://twitter.com/sweethellena","@sweethellena")</f>
        <v>@sweethellena</v>
      </c>
      <c r="C19653" t="s">
        <v>9883</v>
      </c>
      <c r="D19653">
        <v>0</v>
      </c>
      <c r="E19653">
        <v>0</v>
      </c>
      <c r="F19653">
        <v>6125</v>
      </c>
    </row>
    <row r="19654" spans="1:6" ht="12.75">
      <c r="A19654" s="2">
        <v>43876.418182870373</v>
      </c>
      <c r="B19654" t="str">
        <f>HYPERLINK("https://twitter.com/BillTemporo","@BillTemporo")</f>
        <v>@BillTemporo</v>
      </c>
      <c r="C19654" t="s">
        <v>832</v>
      </c>
      <c r="D19654">
        <v>0</v>
      </c>
      <c r="E19654">
        <v>0</v>
      </c>
      <c r="F19654">
        <v>11</v>
      </c>
    </row>
    <row r="19655" spans="1:6" ht="12.75">
      <c r="A19655" s="2">
        <v>43876.418171296296</v>
      </c>
      <c r="B19655" t="str">
        <f>HYPERLINK("https://twitter.com/TelurKilogram","@TelurKilogram")</f>
        <v>@TelurKilogram</v>
      </c>
      <c r="C19655" t="s">
        <v>2444</v>
      </c>
      <c r="D19655">
        <v>3809</v>
      </c>
      <c r="E19655">
        <v>0</v>
      </c>
      <c r="F19655">
        <v>331</v>
      </c>
    </row>
    <row r="19656" spans="1:6" ht="12.75">
      <c r="A19656" s="2">
        <v>43876.41810185185</v>
      </c>
      <c r="B19656" t="str">
        <f>HYPERLINK("https://twitter.com/Franc_Ldy","@Franc_Ldy")</f>
        <v>@Franc_Ldy</v>
      </c>
      <c r="C19656" t="s">
        <v>9884</v>
      </c>
      <c r="D19656">
        <v>0</v>
      </c>
      <c r="E19656">
        <v>0</v>
      </c>
      <c r="F19656">
        <v>4380</v>
      </c>
    </row>
    <row r="19657" spans="1:6" ht="12.75">
      <c r="A19657" s="2">
        <v>43876.418067129634</v>
      </c>
      <c r="B19657" t="str">
        <f>HYPERLINK("https://twitter.com/_n_1_7_","@_n_1_7_")</f>
        <v>@_n_1_7_</v>
      </c>
      <c r="C19657" t="s">
        <v>9885</v>
      </c>
      <c r="D19657">
        <v>0</v>
      </c>
      <c r="E19657">
        <v>0</v>
      </c>
      <c r="F19657">
        <v>297</v>
      </c>
    </row>
    <row r="19658" spans="1:6" ht="12.75">
      <c r="A19658" s="2">
        <v>43876.417986111112</v>
      </c>
      <c r="B19658" t="str">
        <f>HYPERLINK("https://twitter.com/kang5eulgi","@kang5eulgi")</f>
        <v>@kang5eulgi</v>
      </c>
      <c r="C19658" t="s">
        <v>2444</v>
      </c>
      <c r="D19658">
        <v>3809</v>
      </c>
      <c r="E19658">
        <v>0</v>
      </c>
      <c r="F19658">
        <v>56</v>
      </c>
    </row>
    <row r="19659" spans="1:6" ht="12.75">
      <c r="A19659" s="2">
        <v>43876.417847222227</v>
      </c>
      <c r="B19659" t="str">
        <f>HYPERLINK("https://twitter.com/s_semangka","@s_semangka")</f>
        <v>@s_semangka</v>
      </c>
      <c r="C19659" t="s">
        <v>9830</v>
      </c>
      <c r="D19659">
        <v>0</v>
      </c>
      <c r="E19659">
        <v>0</v>
      </c>
      <c r="F19659">
        <v>25</v>
      </c>
    </row>
    <row r="19660" spans="1:6" ht="12.75">
      <c r="A19660" s="2">
        <v>43876.417766203704</v>
      </c>
      <c r="B19660" t="str">
        <f>HYPERLINK("https://twitter.com/kahfiananda8","@kahfiananda8")</f>
        <v>@kahfiananda8</v>
      </c>
      <c r="C19660" t="s">
        <v>9886</v>
      </c>
      <c r="D19660">
        <v>0</v>
      </c>
      <c r="E19660">
        <v>0</v>
      </c>
      <c r="F19660">
        <v>1015</v>
      </c>
    </row>
    <row r="19661" spans="1:6" ht="12.75">
      <c r="A19661" s="2">
        <v>43876.417696759258</v>
      </c>
      <c r="B19661" t="str">
        <f>HYPERLINK("https://twitter.com/RedConstructora","@RedConstructora")</f>
        <v>@RedConstructora</v>
      </c>
      <c r="C19661" t="s">
        <v>9887</v>
      </c>
      <c r="D19661">
        <v>1</v>
      </c>
      <c r="E19661">
        <v>0</v>
      </c>
      <c r="F19661">
        <v>1187</v>
      </c>
    </row>
    <row r="19662" spans="1:6" ht="12.75">
      <c r="A19662" s="2">
        <v>43876.417638888888</v>
      </c>
      <c r="B19662" t="str">
        <f>HYPERLINK("https://twitter.com/J_Aryoko","@J_Aryoko")</f>
        <v>@J_Aryoko</v>
      </c>
      <c r="C19662" t="s">
        <v>9888</v>
      </c>
      <c r="D19662">
        <v>0</v>
      </c>
      <c r="E19662">
        <v>0</v>
      </c>
      <c r="F19662">
        <v>1393</v>
      </c>
    </row>
    <row r="19663" spans="1:6" ht="12.75">
      <c r="A19663" s="2">
        <v>43876.417488425926</v>
      </c>
      <c r="B19663" t="str">
        <f>HYPERLINK("https://twitter.com/Gudagulana","@Gudagulana")</f>
        <v>@Gudagulana</v>
      </c>
      <c r="C19663" t="s">
        <v>9821</v>
      </c>
      <c r="D19663">
        <v>0</v>
      </c>
      <c r="E19663">
        <v>0</v>
      </c>
      <c r="F19663">
        <v>29</v>
      </c>
    </row>
    <row r="19664" spans="1:6" ht="12.75">
      <c r="A19664" s="2">
        <v>43876.417349537034</v>
      </c>
      <c r="B19664" t="str">
        <f>HYPERLINK("https://twitter.com/marpaung913","@marpaung913")</f>
        <v>@marpaung913</v>
      </c>
      <c r="C19664" t="s">
        <v>9889</v>
      </c>
      <c r="D19664">
        <v>0</v>
      </c>
      <c r="E19664">
        <v>0</v>
      </c>
      <c r="F19664">
        <v>525</v>
      </c>
    </row>
    <row r="19665" spans="1:6" ht="12.75">
      <c r="A19665" s="2">
        <v>43876.417326388888</v>
      </c>
      <c r="B19665" t="str">
        <f>HYPERLINK("https://twitter.com/_wni_","@_wni_")</f>
        <v>@_wni_</v>
      </c>
      <c r="C19665" t="s">
        <v>9890</v>
      </c>
      <c r="D19665">
        <v>2861</v>
      </c>
      <c r="E19665">
        <v>0</v>
      </c>
      <c r="F19665">
        <v>8</v>
      </c>
    </row>
    <row r="19666" spans="1:6" ht="12.75">
      <c r="A19666" s="2">
        <v>43876.417280092588</v>
      </c>
      <c r="B19666" t="str">
        <f>HYPERLINK("https://twitter.com/AdvokatlK","@AdvokatlK")</f>
        <v>@AdvokatlK</v>
      </c>
      <c r="C19666" t="s">
        <v>9891</v>
      </c>
      <c r="D19666">
        <v>0</v>
      </c>
      <c r="E19666">
        <v>0</v>
      </c>
      <c r="F19666">
        <v>6466</v>
      </c>
    </row>
    <row r="19667" spans="1:6" ht="12.75">
      <c r="A19667" s="2">
        <v>43876.417268518519</v>
      </c>
      <c r="B19667" t="str">
        <f>HYPERLINK("https://twitter.com/ZulmiKahlil","@ZulmiKahlil")</f>
        <v>@ZulmiKahlil</v>
      </c>
      <c r="C19667" t="s">
        <v>4873</v>
      </c>
      <c r="D19667">
        <v>1796</v>
      </c>
      <c r="E19667">
        <v>0</v>
      </c>
      <c r="F19667">
        <v>0</v>
      </c>
    </row>
    <row r="19668" spans="1:6" ht="12.75">
      <c r="A19668" s="2">
        <v>43876.417245370365</v>
      </c>
      <c r="B19668" t="str">
        <f>HYPERLINK("https://twitter.com/fitrinurainul","@fitrinurainul")</f>
        <v>@fitrinurainul</v>
      </c>
      <c r="C19668" t="s">
        <v>9892</v>
      </c>
      <c r="D19668">
        <v>1</v>
      </c>
      <c r="E19668">
        <v>0</v>
      </c>
      <c r="F19668">
        <v>1117</v>
      </c>
    </row>
    <row r="19669" spans="1:6" ht="12.75">
      <c r="A19669" s="2">
        <v>43876.417222222226</v>
      </c>
      <c r="B19669" t="str">
        <f>HYPERLINK("https://twitter.com/indramana003","@indramana003")</f>
        <v>@indramana003</v>
      </c>
      <c r="C19669" t="s">
        <v>9893</v>
      </c>
      <c r="D19669">
        <v>0</v>
      </c>
      <c r="E19669">
        <v>0</v>
      </c>
      <c r="F19669">
        <v>25</v>
      </c>
    </row>
    <row r="19670" spans="1:6" ht="12.75">
      <c r="A19670" s="2">
        <v>43876.417094907403</v>
      </c>
      <c r="B19670" t="str">
        <f>HYPERLINK("https://twitter.com/RepublikTweep","@RepublikTweep")</f>
        <v>@RepublikTweep</v>
      </c>
      <c r="C19670" t="s">
        <v>9894</v>
      </c>
      <c r="D19670">
        <v>0</v>
      </c>
      <c r="E19670">
        <v>0</v>
      </c>
      <c r="F19670">
        <v>27104</v>
      </c>
    </row>
    <row r="19671" spans="1:6" ht="12.75">
      <c r="A19671" s="2">
        <v>43876.416932870372</v>
      </c>
      <c r="B19671" t="str">
        <f>HYPERLINK("https://twitter.com/ApelHiu","@ApelHiu")</f>
        <v>@ApelHiu</v>
      </c>
      <c r="C19671" t="s">
        <v>9799</v>
      </c>
      <c r="D19671">
        <v>0</v>
      </c>
      <c r="E19671">
        <v>0</v>
      </c>
      <c r="F19671">
        <v>34</v>
      </c>
    </row>
    <row r="19672" spans="1:6" ht="12.75">
      <c r="A19672" s="2">
        <v>43876.416921296295</v>
      </c>
      <c r="B19672" t="str">
        <f>HYPERLINK("https://twitter.com/AgusTridy","@AgusTridy")</f>
        <v>@AgusTridy</v>
      </c>
      <c r="C19672" t="s">
        <v>8628</v>
      </c>
      <c r="D19672">
        <v>30</v>
      </c>
      <c r="E19672">
        <v>0</v>
      </c>
      <c r="F19672">
        <v>481</v>
      </c>
    </row>
    <row r="19673" spans="1:6" ht="12.75">
      <c r="A19673" s="2">
        <v>43876.416805555556</v>
      </c>
      <c r="B19673" t="str">
        <f>HYPERLINK("https://twitter.com/_wni_","@_wni_")</f>
        <v>@_wni_</v>
      </c>
      <c r="C19673" t="s">
        <v>9895</v>
      </c>
      <c r="D19673">
        <v>997</v>
      </c>
      <c r="E19673">
        <v>0</v>
      </c>
      <c r="F19673">
        <v>8</v>
      </c>
    </row>
    <row r="19674" spans="1:6" ht="12.75">
      <c r="A19674" s="2">
        <v>43876.416724537034</v>
      </c>
      <c r="B19674" t="str">
        <f>HYPERLINK("https://twitter.com/Oncom11011","@Oncom11011")</f>
        <v>@Oncom11011</v>
      </c>
      <c r="C19674" t="s">
        <v>6201</v>
      </c>
      <c r="D19674">
        <v>448</v>
      </c>
      <c r="E19674">
        <v>0</v>
      </c>
      <c r="F19674">
        <v>44</v>
      </c>
    </row>
    <row r="19675" spans="1:6" ht="12.75">
      <c r="A19675" s="2">
        <v>43876.416678240741</v>
      </c>
      <c r="B19675" t="str">
        <f>HYPERLINK("https://twitter.com/arike_stefanus","@arike_stefanus")</f>
        <v>@arike_stefanus</v>
      </c>
      <c r="C19675" t="s">
        <v>9896</v>
      </c>
      <c r="D19675">
        <v>0</v>
      </c>
      <c r="E19675">
        <v>0</v>
      </c>
      <c r="F19675">
        <v>13</v>
      </c>
    </row>
    <row r="19676" spans="1:6" ht="12.75">
      <c r="A19676" s="2">
        <v>43876.416666666672</v>
      </c>
      <c r="B19676" t="str">
        <f>HYPERLINK("https://twitter.com/SeputariNews","@SeputariNews")</f>
        <v>@SeputariNews</v>
      </c>
      <c r="C19676" t="s">
        <v>9897</v>
      </c>
      <c r="D19676">
        <v>1</v>
      </c>
      <c r="E19676">
        <v>0</v>
      </c>
      <c r="F19676">
        <v>438665</v>
      </c>
    </row>
    <row r="19677" spans="1:6" ht="12.75">
      <c r="A19677" s="2">
        <v>43876.416631944448</v>
      </c>
      <c r="B19677" t="str">
        <f>HYPERLINK("https://twitter.com/marcos_O07","@marcos_O07")</f>
        <v>@marcos_O07</v>
      </c>
      <c r="C19677" t="s">
        <v>2444</v>
      </c>
      <c r="D19677">
        <v>3809</v>
      </c>
      <c r="E19677">
        <v>0</v>
      </c>
      <c r="F19677">
        <v>338</v>
      </c>
    </row>
    <row r="19678" spans="1:6" ht="12.75">
      <c r="A19678" s="2">
        <v>43876.416620370372</v>
      </c>
      <c r="B19678" t="str">
        <f>HYPERLINK("https://twitter.com/makna_ruci","@makna_ruci")</f>
        <v>@makna_ruci</v>
      </c>
      <c r="C19678" t="s">
        <v>2963</v>
      </c>
      <c r="D19678">
        <v>1252</v>
      </c>
      <c r="E19678">
        <v>0</v>
      </c>
      <c r="F19678">
        <v>3506</v>
      </c>
    </row>
    <row r="19679" spans="1:6" ht="12.75">
      <c r="A19679" s="2">
        <v>43876.416469907403</v>
      </c>
      <c r="B19679" t="str">
        <f>HYPERLINK("https://twitter.com/sleepypudu","@sleepypudu")</f>
        <v>@sleepypudu</v>
      </c>
      <c r="C19679" t="s">
        <v>2444</v>
      </c>
      <c r="D19679">
        <v>3809</v>
      </c>
      <c r="E19679">
        <v>0</v>
      </c>
      <c r="F19679">
        <v>345</v>
      </c>
    </row>
    <row r="19680" spans="1:6" ht="12.75">
      <c r="A19680" s="2">
        <v>43876.416469907403</v>
      </c>
      <c r="B19680" t="str">
        <f>HYPERLINK("https://twitter.com/ilman__nafian","@ilman__nafian")</f>
        <v>@ilman__nafian</v>
      </c>
      <c r="C19680" t="s">
        <v>9898</v>
      </c>
      <c r="D19680">
        <v>0</v>
      </c>
      <c r="E19680">
        <v>0</v>
      </c>
      <c r="F19680">
        <v>1854</v>
      </c>
    </row>
    <row r="19681" spans="1:6" ht="12.75">
      <c r="A19681" s="2">
        <v>43876.416388888887</v>
      </c>
      <c r="B19681" t="str">
        <f>HYPERLINK("https://twitter.com/jungcandu","@jungcandu")</f>
        <v>@jungcandu</v>
      </c>
      <c r="C19681" t="s">
        <v>2444</v>
      </c>
      <c r="D19681">
        <v>3809</v>
      </c>
      <c r="E19681">
        <v>0</v>
      </c>
      <c r="F19681">
        <v>60</v>
      </c>
    </row>
    <row r="19682" spans="1:6" ht="12.75">
      <c r="A19682" s="2">
        <v>43876.416099537033</v>
      </c>
      <c r="B19682" t="str">
        <f>HYPERLINK("https://twitter.com/hoppipluff","@hoppipluff")</f>
        <v>@hoppipluff</v>
      </c>
      <c r="C19682" t="s">
        <v>2444</v>
      </c>
      <c r="D19682">
        <v>3809</v>
      </c>
      <c r="E19682">
        <v>0</v>
      </c>
      <c r="F19682">
        <v>1297</v>
      </c>
    </row>
    <row r="19683" spans="1:6" ht="12.75">
      <c r="A19683" s="2">
        <v>43876.415914351848</v>
      </c>
      <c r="B19683" t="str">
        <f>HYPERLINK("https://twitter.com/Red_GlobalNews","@Red_GlobalNews")</f>
        <v>@Red_GlobalNews</v>
      </c>
      <c r="C19683" t="s">
        <v>9899</v>
      </c>
      <c r="D19683">
        <v>0</v>
      </c>
      <c r="E19683">
        <v>0</v>
      </c>
      <c r="F19683">
        <v>175</v>
      </c>
    </row>
    <row r="19684" spans="1:6" ht="12.75">
      <c r="A19684" s="2">
        <v>43876.415868055556</v>
      </c>
      <c r="B19684" t="str">
        <f>HYPERLINK("https://twitter.com/bulansridevi","@bulansridevi")</f>
        <v>@bulansridevi</v>
      </c>
      <c r="C19684" t="s">
        <v>9900</v>
      </c>
      <c r="D19684">
        <v>0</v>
      </c>
      <c r="E19684">
        <v>0</v>
      </c>
      <c r="F19684">
        <v>894</v>
      </c>
    </row>
    <row r="19685" spans="1:6" ht="12.75">
      <c r="A19685" s="2">
        <v>43876.415856481486</v>
      </c>
      <c r="B19685" t="str">
        <f>HYPERLINK("https://twitter.com/ngeTweetAja","@ngeTweetAja")</f>
        <v>@ngeTweetAja</v>
      </c>
      <c r="C19685" t="s">
        <v>9901</v>
      </c>
      <c r="D19685">
        <v>1</v>
      </c>
      <c r="E19685">
        <v>0</v>
      </c>
      <c r="F19685">
        <v>4299</v>
      </c>
    </row>
    <row r="19686" spans="1:6" ht="12.75">
      <c r="A19686" s="2">
        <v>43876.415775462963</v>
      </c>
      <c r="B19686" t="str">
        <f>HYPERLINK("https://twitter.com/Lizanuraa","@Lizanuraa")</f>
        <v>@Lizanuraa</v>
      </c>
      <c r="C19686" t="s">
        <v>2444</v>
      </c>
      <c r="D19686">
        <v>3809</v>
      </c>
      <c r="E19686">
        <v>0</v>
      </c>
      <c r="F19686">
        <v>90</v>
      </c>
    </row>
    <row r="19687" spans="1:6" ht="12.75">
      <c r="A19687" s="2">
        <v>43876.415775462963</v>
      </c>
      <c r="B19687" t="str">
        <f>HYPERLINK("https://twitter.com/BahrunKarim","@BahrunKarim")</f>
        <v>@BahrunKarim</v>
      </c>
      <c r="C19687" t="s">
        <v>9198</v>
      </c>
      <c r="D19687">
        <v>144</v>
      </c>
      <c r="E19687">
        <v>0</v>
      </c>
      <c r="F19687">
        <v>577</v>
      </c>
    </row>
    <row r="19688" spans="1:6" ht="12.75">
      <c r="A19688" s="2">
        <v>43876.415763888886</v>
      </c>
      <c r="B19688" t="str">
        <f>HYPERLINK("https://twitter.com/terikonic","@terikonic")</f>
        <v>@terikonic</v>
      </c>
      <c r="C19688" t="s">
        <v>2444</v>
      </c>
      <c r="D19688">
        <v>3809</v>
      </c>
      <c r="E19688">
        <v>0</v>
      </c>
      <c r="F19688">
        <v>191</v>
      </c>
    </row>
    <row r="19689" spans="1:6" ht="12.75">
      <c r="A19689" s="2">
        <v>43876.415625000001</v>
      </c>
      <c r="B19689" t="str">
        <f>HYPERLINK("https://twitter.com/AdvokatlK","@AdvokatlK")</f>
        <v>@AdvokatlK</v>
      </c>
      <c r="C19689" t="s">
        <v>9389</v>
      </c>
      <c r="D19689">
        <v>6</v>
      </c>
      <c r="E19689">
        <v>0</v>
      </c>
      <c r="F19689">
        <v>6466</v>
      </c>
    </row>
    <row r="19690" spans="1:6" ht="12.75">
      <c r="A19690" s="2">
        <v>43876.415486111116</v>
      </c>
      <c r="B19690" t="str">
        <f>HYPERLINK("https://twitter.com/Cahyadi_refa","@Cahyadi_refa")</f>
        <v>@Cahyadi_refa</v>
      </c>
      <c r="C19690" t="s">
        <v>9389</v>
      </c>
      <c r="D19690">
        <v>6</v>
      </c>
      <c r="E19690">
        <v>0</v>
      </c>
      <c r="F19690">
        <v>826</v>
      </c>
    </row>
    <row r="19691" spans="1:6" ht="12.75">
      <c r="A19691" s="2">
        <v>43876.415486111116</v>
      </c>
      <c r="B19691" t="str">
        <f>HYPERLINK("https://twitter.com/Ant0nys","@Ant0nys")</f>
        <v>@Ant0nys</v>
      </c>
      <c r="C19691" t="s">
        <v>9902</v>
      </c>
      <c r="D19691">
        <v>0</v>
      </c>
      <c r="E19691">
        <v>0</v>
      </c>
      <c r="F19691">
        <v>81</v>
      </c>
    </row>
    <row r="19692" spans="1:6" ht="12.75">
      <c r="A19692" s="2">
        <v>43876.415451388893</v>
      </c>
      <c r="B19692" t="str">
        <f>HYPERLINK("https://twitter.com/BradPitek","@BradPitek")</f>
        <v>@BradPitek</v>
      </c>
      <c r="C19692" t="s">
        <v>9903</v>
      </c>
      <c r="D19692">
        <v>0</v>
      </c>
      <c r="E19692">
        <v>1</v>
      </c>
      <c r="F19692">
        <v>86</v>
      </c>
    </row>
    <row r="19693" spans="1:6" ht="12.75">
      <c r="A19693" s="2">
        <v>43876.415347222224</v>
      </c>
      <c r="B19693" t="str">
        <f>HYPERLINK("https://twitter.com/jisungpy","@jisungpy")</f>
        <v>@jisungpy</v>
      </c>
      <c r="C19693" t="s">
        <v>2444</v>
      </c>
      <c r="D19693">
        <v>3809</v>
      </c>
      <c r="E19693">
        <v>0</v>
      </c>
      <c r="F19693">
        <v>1054</v>
      </c>
    </row>
    <row r="19694" spans="1:6" ht="12.75">
      <c r="A19694" s="2">
        <v>43876.415300925924</v>
      </c>
      <c r="B19694" t="str">
        <f>HYPERLINK("https://twitter.com/ohjaro","@ohjaro")</f>
        <v>@ohjaro</v>
      </c>
      <c r="C19694" t="s">
        <v>2444</v>
      </c>
      <c r="D19694">
        <v>3809</v>
      </c>
      <c r="E19694">
        <v>0</v>
      </c>
      <c r="F19694">
        <v>5445</v>
      </c>
    </row>
    <row r="19695" spans="1:6" ht="12.75">
      <c r="A19695" s="2">
        <v>43876.415208333332</v>
      </c>
      <c r="B19695" t="str">
        <f>HYPERLINK("https://twitter.com/wiralpha","@wiralpha")</f>
        <v>@wiralpha</v>
      </c>
      <c r="C19695" t="s">
        <v>9904</v>
      </c>
      <c r="D19695">
        <v>0</v>
      </c>
      <c r="E19695">
        <v>0</v>
      </c>
      <c r="F19695">
        <v>324</v>
      </c>
    </row>
    <row r="19696" spans="1:6" ht="12.75">
      <c r="A19696" s="2">
        <v>43876.415023148147</v>
      </c>
      <c r="B19696" t="str">
        <f>HYPERLINK("https://twitter.com/anak_anakafir","@anak_anakafir")</f>
        <v>@anak_anakafir</v>
      </c>
      <c r="C19696" t="s">
        <v>9905</v>
      </c>
      <c r="D19696">
        <v>1</v>
      </c>
      <c r="E19696">
        <v>0</v>
      </c>
      <c r="F19696">
        <v>4116</v>
      </c>
    </row>
    <row r="19697" spans="1:6" ht="12.75">
      <c r="A19697" s="2">
        <v>43876.415023148147</v>
      </c>
      <c r="B19697" t="str">
        <f>HYPERLINK("https://twitter.com/eeznxx","@eeznxx")</f>
        <v>@eeznxx</v>
      </c>
      <c r="C19697" t="s">
        <v>2444</v>
      </c>
      <c r="D19697">
        <v>3809</v>
      </c>
      <c r="E19697">
        <v>0</v>
      </c>
      <c r="F19697">
        <v>2843</v>
      </c>
    </row>
    <row r="19698" spans="1:6" ht="12.75">
      <c r="A19698" s="2">
        <v>43876.414965277778</v>
      </c>
      <c r="B19698" t="str">
        <f>HYPERLINK("https://twitter.com/yoojungmu","@yoojungmu")</f>
        <v>@yoojungmu</v>
      </c>
      <c r="C19698" t="s">
        <v>9854</v>
      </c>
      <c r="D19698">
        <v>0</v>
      </c>
      <c r="E19698">
        <v>0</v>
      </c>
      <c r="F19698">
        <v>8653</v>
      </c>
    </row>
    <row r="19699" spans="1:6" ht="12.75">
      <c r="A19699" s="2">
        <v>43876.414942129632</v>
      </c>
      <c r="B19699" t="str">
        <f>HYPERLINK("https://twitter.com/LanaayahFayFio","@LanaayahFayFio")</f>
        <v>@LanaayahFayFio</v>
      </c>
      <c r="C19699" t="s">
        <v>9906</v>
      </c>
      <c r="D19699">
        <v>0</v>
      </c>
      <c r="E19699">
        <v>0</v>
      </c>
      <c r="F19699">
        <v>118</v>
      </c>
    </row>
    <row r="19700" spans="1:6" ht="12.75">
      <c r="A19700" s="2">
        <v>43876.414861111116</v>
      </c>
      <c r="B19700" t="str">
        <f>HYPERLINK("https://twitter.com/OpiniRakyat2","@OpiniRakyat2")</f>
        <v>@OpiniRakyat2</v>
      </c>
      <c r="C19700" t="s">
        <v>9907</v>
      </c>
      <c r="D19700">
        <v>0</v>
      </c>
      <c r="E19700">
        <v>0</v>
      </c>
      <c r="F19700">
        <v>112</v>
      </c>
    </row>
    <row r="19701" spans="1:6" ht="12.75">
      <c r="A19701" s="2">
        <v>43876.414837962962</v>
      </c>
      <c r="B19701" t="str">
        <f>HYPERLINK("https://twitter.com/wiralpha","@wiralpha")</f>
        <v>@wiralpha</v>
      </c>
      <c r="C19701" t="s">
        <v>9908</v>
      </c>
      <c r="D19701">
        <v>0</v>
      </c>
      <c r="E19701">
        <v>0</v>
      </c>
      <c r="F19701">
        <v>324</v>
      </c>
    </row>
    <row r="19702" spans="1:6" ht="12.75">
      <c r="A19702" s="2">
        <v>43876.414837962962</v>
      </c>
      <c r="B19702" t="str">
        <f>HYPERLINK("https://twitter.com/tolleran496","@tolleran496")</f>
        <v>@tolleran496</v>
      </c>
      <c r="C19702" t="s">
        <v>9389</v>
      </c>
      <c r="D19702">
        <v>6</v>
      </c>
      <c r="E19702">
        <v>0</v>
      </c>
      <c r="F19702">
        <v>619</v>
      </c>
    </row>
    <row r="19703" spans="1:6" ht="12.75">
      <c r="A19703" s="2">
        <v>43876.41479166667</v>
      </c>
      <c r="B19703" t="str">
        <f>HYPERLINK("https://twitter.com/bunk_zae","@bunk_zae")</f>
        <v>@bunk_zae</v>
      </c>
      <c r="C19703" t="s">
        <v>9909</v>
      </c>
      <c r="D19703">
        <v>1</v>
      </c>
      <c r="E19703">
        <v>0</v>
      </c>
      <c r="F19703">
        <v>473</v>
      </c>
    </row>
    <row r="19704" spans="1:6" ht="12.75">
      <c r="A19704" s="2">
        <v>43876.414664351847</v>
      </c>
      <c r="B19704" t="str">
        <f>HYPERLINK("https://twitter.com/MattSolar8","@MattSolar8")</f>
        <v>@MattSolar8</v>
      </c>
      <c r="C19704" t="s">
        <v>9854</v>
      </c>
      <c r="D19704">
        <v>0</v>
      </c>
      <c r="E19704">
        <v>0</v>
      </c>
      <c r="F19704">
        <v>42</v>
      </c>
    </row>
    <row r="19705" spans="1:6" ht="12.75">
      <c r="A19705" s="2">
        <v>43876.414467592593</v>
      </c>
      <c r="B19705" t="str">
        <f>HYPERLINK("https://twitter.com/voaislam","@voaislam")</f>
        <v>@voaislam</v>
      </c>
      <c r="C19705" t="s">
        <v>6992</v>
      </c>
      <c r="D19705">
        <v>1</v>
      </c>
      <c r="E19705">
        <v>0</v>
      </c>
      <c r="F19705">
        <v>87881</v>
      </c>
    </row>
    <row r="19706" spans="1:6" ht="12.75">
      <c r="A19706" s="2">
        <v>43876.4143287037</v>
      </c>
      <c r="B19706" t="str">
        <f>HYPERLINK("https://twitter.com/s_semangka","@s_semangka")</f>
        <v>@s_semangka</v>
      </c>
      <c r="C19706" t="s">
        <v>9854</v>
      </c>
      <c r="D19706">
        <v>0</v>
      </c>
      <c r="E19706">
        <v>0</v>
      </c>
      <c r="F19706">
        <v>25</v>
      </c>
    </row>
    <row r="19707" spans="1:6" ht="12.75">
      <c r="A19707" s="2">
        <v>43876.414282407408</v>
      </c>
      <c r="B19707" t="str">
        <f>HYPERLINK("https://twitter.com/hmsantuy","@hmsantuy")</f>
        <v>@hmsantuy</v>
      </c>
      <c r="C19707" t="s">
        <v>2444</v>
      </c>
      <c r="D19707">
        <v>3809</v>
      </c>
      <c r="E19707">
        <v>0</v>
      </c>
      <c r="F19707">
        <v>1012</v>
      </c>
    </row>
    <row r="19708" spans="1:6" ht="12.75">
      <c r="A19708" s="2">
        <v>43876.414212962962</v>
      </c>
      <c r="B19708" t="str">
        <f>HYPERLINK("https://twitter.com/samacchiato","@samacchiato")</f>
        <v>@samacchiato</v>
      </c>
      <c r="C19708" t="s">
        <v>2444</v>
      </c>
      <c r="D19708">
        <v>3809</v>
      </c>
      <c r="E19708">
        <v>0</v>
      </c>
      <c r="F19708">
        <v>204</v>
      </c>
    </row>
    <row r="19709" spans="1:6" ht="12.75">
      <c r="A19709" s="2">
        <v>43876.414178240739</v>
      </c>
      <c r="B19709" t="str">
        <f>HYPERLINK("https://twitter.com/PEDOMAN_id","@PEDOMAN_id")</f>
        <v>@PEDOMAN_id</v>
      </c>
      <c r="C19709" t="s">
        <v>9910</v>
      </c>
      <c r="D19709">
        <v>0</v>
      </c>
      <c r="E19709">
        <v>0</v>
      </c>
      <c r="F19709">
        <v>60390</v>
      </c>
    </row>
    <row r="19710" spans="1:6" ht="12.75">
      <c r="A19710" s="2">
        <v>43876.414155092592</v>
      </c>
      <c r="B19710" t="str">
        <f>HYPERLINK("https://twitter.com/AchArdian2","@AchArdian2")</f>
        <v>@AchArdian2</v>
      </c>
      <c r="C19710" t="s">
        <v>9666</v>
      </c>
      <c r="D19710">
        <v>33</v>
      </c>
      <c r="E19710">
        <v>0</v>
      </c>
      <c r="F19710">
        <v>4</v>
      </c>
    </row>
    <row r="19711" spans="1:6" ht="12.75">
      <c r="A19711" s="2">
        <v>43876.41407407407</v>
      </c>
      <c r="B19711" t="str">
        <f>HYPERLINK("https://twitter.com/sashafiraa","@sashafiraa")</f>
        <v>@sashafiraa</v>
      </c>
      <c r="C19711" t="s">
        <v>2444</v>
      </c>
      <c r="D19711">
        <v>3809</v>
      </c>
      <c r="E19711">
        <v>0</v>
      </c>
      <c r="F19711">
        <v>624</v>
      </c>
    </row>
    <row r="19712" spans="1:6" ht="12.75">
      <c r="A19712" s="2">
        <v>43876.41405092593</v>
      </c>
      <c r="B19712" t="str">
        <f>HYPERLINK("https://twitter.com/januarizni","@januarizni")</f>
        <v>@januarizni</v>
      </c>
      <c r="C19712" t="s">
        <v>9911</v>
      </c>
      <c r="D19712">
        <v>0</v>
      </c>
      <c r="E19712">
        <v>0</v>
      </c>
      <c r="F19712">
        <v>1114</v>
      </c>
    </row>
    <row r="19713" spans="1:6" ht="12.75">
      <c r="A19713" s="2">
        <v>43876.413865740746</v>
      </c>
      <c r="B19713" t="str">
        <f>HYPERLINK("https://twitter.com/anugrhy","@anugrhy")</f>
        <v>@anugrhy</v>
      </c>
      <c r="C19713" t="s">
        <v>5168</v>
      </c>
      <c r="D19713">
        <v>1392</v>
      </c>
      <c r="E19713">
        <v>0</v>
      </c>
      <c r="F19713">
        <v>837</v>
      </c>
    </row>
    <row r="19714" spans="1:6" ht="12.75">
      <c r="A19714" s="2">
        <v>43876.413854166662</v>
      </c>
      <c r="B19714" t="str">
        <f>HYPERLINK("https://twitter.com/Ilham_Muzhar","@Ilham_Muzhar")</f>
        <v>@Ilham_Muzhar</v>
      </c>
      <c r="C19714" t="s">
        <v>6201</v>
      </c>
      <c r="D19714">
        <v>448</v>
      </c>
      <c r="E19714">
        <v>0</v>
      </c>
      <c r="F19714">
        <v>311</v>
      </c>
    </row>
    <row r="19715" spans="1:6" ht="12.75">
      <c r="A19715" s="2">
        <v>43876.413842592592</v>
      </c>
      <c r="B19715" t="str">
        <f>HYPERLINK("https://twitter.com/akuiyanads","@akuiyanads")</f>
        <v>@akuiyanads</v>
      </c>
      <c r="C19715" t="s">
        <v>2444</v>
      </c>
      <c r="D19715">
        <v>3809</v>
      </c>
      <c r="E19715">
        <v>0</v>
      </c>
      <c r="F19715">
        <v>17</v>
      </c>
    </row>
    <row r="19716" spans="1:6" ht="12.75">
      <c r="A19716" s="2">
        <v>43876.413807870369</v>
      </c>
      <c r="B19716" t="str">
        <f>HYPERLINK("https://twitter.com/CakMan70489610","@CakMan70489610")</f>
        <v>@CakMan70489610</v>
      </c>
      <c r="C19716" t="s">
        <v>8253</v>
      </c>
      <c r="D19716">
        <v>2</v>
      </c>
      <c r="E19716">
        <v>0</v>
      </c>
      <c r="F19716">
        <v>492</v>
      </c>
    </row>
    <row r="19717" spans="1:6" ht="12.75">
      <c r="A19717" s="2">
        <v>43876.413576388892</v>
      </c>
      <c r="B19717" t="str">
        <f>HYPERLINK("https://twitter.com/hadiprayitno82","@hadiprayitno82")</f>
        <v>@hadiprayitno82</v>
      </c>
      <c r="C19717" t="s">
        <v>9912</v>
      </c>
      <c r="D19717">
        <v>1</v>
      </c>
      <c r="E19717">
        <v>0</v>
      </c>
      <c r="F19717">
        <v>1385</v>
      </c>
    </row>
    <row r="19718" spans="1:6" ht="12.75">
      <c r="A19718" s="2">
        <v>43876.413541666669</v>
      </c>
      <c r="B19718" t="str">
        <f>HYPERLINK("https://twitter.com/dennis_whitedea","@dennis_whitedea")</f>
        <v>@dennis_whitedea</v>
      </c>
      <c r="C19718" t="s">
        <v>9913</v>
      </c>
      <c r="D19718">
        <v>0</v>
      </c>
      <c r="E19718">
        <v>0</v>
      </c>
      <c r="F19718">
        <v>1357</v>
      </c>
    </row>
    <row r="19719" spans="1:6" ht="12.75">
      <c r="A19719" s="2">
        <v>43876.413541666669</v>
      </c>
      <c r="B19719" t="str">
        <f>HYPERLINK("https://twitter.com/ArielFatR","@ArielFatR")</f>
        <v>@ArielFatR</v>
      </c>
      <c r="C19719" t="s">
        <v>9043</v>
      </c>
      <c r="D19719">
        <v>12</v>
      </c>
      <c r="E19719">
        <v>0</v>
      </c>
      <c r="F19719">
        <v>567</v>
      </c>
    </row>
    <row r="19720" spans="1:6" ht="12.75">
      <c r="A19720" s="2">
        <v>43876.413460648153</v>
      </c>
      <c r="B19720" t="str">
        <f>HYPERLINK("https://twitter.com/musashielrahman","@musashielrahman")</f>
        <v>@musashielrahman</v>
      </c>
      <c r="C19720" t="s">
        <v>2144</v>
      </c>
      <c r="D19720">
        <v>104</v>
      </c>
      <c r="E19720">
        <v>0</v>
      </c>
      <c r="F19720">
        <v>3398</v>
      </c>
    </row>
    <row r="19721" spans="1:6" ht="12.75">
      <c r="A19721" s="2">
        <v>43876.41337962963</v>
      </c>
      <c r="B19721" t="str">
        <f>HYPERLINK("https://twitter.com/yedikurniahadi","@yedikurniahadi")</f>
        <v>@yedikurniahadi</v>
      </c>
      <c r="C19721" t="s">
        <v>9914</v>
      </c>
      <c r="D19721">
        <v>0</v>
      </c>
      <c r="E19721">
        <v>0</v>
      </c>
      <c r="F19721">
        <v>97</v>
      </c>
    </row>
    <row r="19722" spans="1:6" ht="12.75">
      <c r="A19722" s="2">
        <v>43876.412974537037</v>
      </c>
      <c r="B19722" t="str">
        <f>HYPERLINK("https://twitter.com/Si_Kalacakra","@Si_Kalacakra")</f>
        <v>@Si_Kalacakra</v>
      </c>
      <c r="C19722" t="s">
        <v>9915</v>
      </c>
      <c r="D19722">
        <v>0</v>
      </c>
      <c r="E19722">
        <v>0</v>
      </c>
      <c r="F19722">
        <v>910</v>
      </c>
    </row>
    <row r="19723" spans="1:6" ht="12.75">
      <c r="A19723" s="2">
        <v>43876.412974537037</v>
      </c>
      <c r="B19723" t="str">
        <f>HYPERLINK("https://twitter.com/eko1210","@eko1210")</f>
        <v>@eko1210</v>
      </c>
      <c r="C19723" t="s">
        <v>9916</v>
      </c>
      <c r="D19723">
        <v>0</v>
      </c>
      <c r="E19723">
        <v>0</v>
      </c>
      <c r="F19723">
        <v>96</v>
      </c>
    </row>
    <row r="19724" spans="1:6" ht="12.75">
      <c r="A19724" s="2">
        <v>43876.412916666668</v>
      </c>
      <c r="B19724" t="str">
        <f>HYPERLINK("https://twitter.com/raarzwho","@raarzwho")</f>
        <v>@raarzwho</v>
      </c>
      <c r="C19724" t="s">
        <v>9917</v>
      </c>
      <c r="D19724">
        <v>3</v>
      </c>
      <c r="E19724">
        <v>0</v>
      </c>
      <c r="F19724">
        <v>207</v>
      </c>
    </row>
    <row r="19725" spans="1:6" ht="12.75">
      <c r="A19725" s="2">
        <v>43876.412893518514</v>
      </c>
      <c r="B19725" t="str">
        <f>HYPERLINK("https://twitter.com/RamadhianT","@RamadhianT")</f>
        <v>@RamadhianT</v>
      </c>
      <c r="C19725" t="s">
        <v>9918</v>
      </c>
      <c r="D19725">
        <v>0</v>
      </c>
      <c r="E19725">
        <v>0</v>
      </c>
      <c r="F19725">
        <v>42</v>
      </c>
    </row>
    <row r="19726" spans="1:6" ht="12.75">
      <c r="A19726" s="2">
        <v>43876.412662037037</v>
      </c>
      <c r="B19726" t="str">
        <f>HYPERLINK("https://twitter.com/mireuharu","@mireuharu")</f>
        <v>@mireuharu</v>
      </c>
      <c r="C19726" t="s">
        <v>9919</v>
      </c>
      <c r="D19726">
        <v>0</v>
      </c>
      <c r="E19726">
        <v>0</v>
      </c>
      <c r="F19726">
        <v>1004</v>
      </c>
    </row>
    <row r="19727" spans="1:6" ht="12.75">
      <c r="A19727" s="2">
        <v>43876.412592592591</v>
      </c>
      <c r="B19727" t="str">
        <f>HYPERLINK("https://twitter.com/Hello_RAPutri","@Hello_RAPutri")</f>
        <v>@Hello_RAPutri</v>
      </c>
      <c r="C19727" t="s">
        <v>9920</v>
      </c>
      <c r="D19727">
        <v>0</v>
      </c>
      <c r="E19727">
        <v>0</v>
      </c>
      <c r="F19727">
        <v>154</v>
      </c>
    </row>
    <row r="19728" spans="1:6" ht="12.75">
      <c r="A19728" s="2">
        <v>43876.412534722222</v>
      </c>
      <c r="B19728" t="str">
        <f>HYPERLINK("https://twitter.com/Beritabaruco","@Beritabaruco")</f>
        <v>@Beritabaruco</v>
      </c>
      <c r="C19728" t="s">
        <v>9921</v>
      </c>
      <c r="D19728">
        <v>1</v>
      </c>
      <c r="E19728">
        <v>1</v>
      </c>
      <c r="F19728">
        <v>180</v>
      </c>
    </row>
    <row r="19729" spans="1:6" ht="12.75">
      <c r="A19729" s="2">
        <v>43876.412476851852</v>
      </c>
      <c r="B19729" t="str">
        <f>HYPERLINK("https://twitter.com/scorpiocuy","@scorpiocuy")</f>
        <v>@scorpiocuy</v>
      </c>
      <c r="C19729" t="s">
        <v>9821</v>
      </c>
      <c r="D19729">
        <v>0</v>
      </c>
      <c r="E19729">
        <v>0</v>
      </c>
      <c r="F19729">
        <v>23</v>
      </c>
    </row>
    <row r="19730" spans="1:6" ht="12.75">
      <c r="A19730" s="2">
        <v>43876.412268518514</v>
      </c>
      <c r="B19730" t="str">
        <f>HYPERLINK("https://twitter.com/redchupa","@redchupa")</f>
        <v>@redchupa</v>
      </c>
      <c r="C19730" t="s">
        <v>2444</v>
      </c>
      <c r="D19730">
        <v>3809</v>
      </c>
      <c r="E19730">
        <v>0</v>
      </c>
      <c r="F19730">
        <v>2293</v>
      </c>
    </row>
    <row r="19731" spans="1:6" ht="12.75">
      <c r="A19731" s="2">
        <v>43876.412222222221</v>
      </c>
      <c r="B19731" t="str">
        <f>HYPERLINK("https://twitter.com/GoRenoSaputra1","@GoRenoSaputra1")</f>
        <v>@GoRenoSaputra1</v>
      </c>
      <c r="C19731" t="s">
        <v>9822</v>
      </c>
      <c r="D19731">
        <v>0</v>
      </c>
      <c r="E19731">
        <v>0</v>
      </c>
      <c r="F19731">
        <v>41</v>
      </c>
    </row>
    <row r="19732" spans="1:6" ht="12.75">
      <c r="A19732" s="2">
        <v>43876.41196759259</v>
      </c>
      <c r="B19732" t="str">
        <f>HYPERLINK("https://twitter.com/NakenOutlawz","@NakenOutlawz")</f>
        <v>@NakenOutlawz</v>
      </c>
      <c r="C19732" t="s">
        <v>9922</v>
      </c>
      <c r="D19732">
        <v>0</v>
      </c>
      <c r="E19732">
        <v>0</v>
      </c>
      <c r="F19732">
        <v>1068</v>
      </c>
    </row>
    <row r="19733" spans="1:6" ht="12.75">
      <c r="A19733" s="2">
        <v>43876.411956018521</v>
      </c>
      <c r="B19733" t="str">
        <f>HYPERLINK("https://twitter.com/diezitoe","@diezitoe")</f>
        <v>@diezitoe</v>
      </c>
      <c r="C19733" t="s">
        <v>6201</v>
      </c>
      <c r="D19733">
        <v>448</v>
      </c>
      <c r="E19733">
        <v>0</v>
      </c>
      <c r="F19733">
        <v>334</v>
      </c>
    </row>
    <row r="19734" spans="1:6" ht="12.75">
      <c r="A19734" s="2">
        <v>43876.411631944444</v>
      </c>
      <c r="B19734" t="str">
        <f>HYPERLINK("https://twitter.com/detayulistiva","@detayulistiva")</f>
        <v>@detayulistiva</v>
      </c>
      <c r="C19734" t="s">
        <v>2444</v>
      </c>
      <c r="D19734">
        <v>3809</v>
      </c>
      <c r="E19734">
        <v>0</v>
      </c>
      <c r="F19734">
        <v>963</v>
      </c>
    </row>
    <row r="19735" spans="1:6" ht="12.75">
      <c r="A19735" s="2">
        <v>43876.411585648151</v>
      </c>
      <c r="B19735" t="str">
        <f>HYPERLINK("https://twitter.com/Riddo_plur","@Riddo_plur")</f>
        <v>@Riddo_plur</v>
      </c>
      <c r="C19735" t="s">
        <v>9923</v>
      </c>
      <c r="D19735">
        <v>1</v>
      </c>
      <c r="E19735">
        <v>0</v>
      </c>
      <c r="F19735">
        <v>209</v>
      </c>
    </row>
    <row r="19736" spans="1:6" ht="12.75">
      <c r="A19736" s="2">
        <v>43876.411562499998</v>
      </c>
      <c r="B19736" t="str">
        <f>HYPERLINK("https://twitter.com/cimcilici","@cimcilici")</f>
        <v>@cimcilici</v>
      </c>
      <c r="C19736" t="s">
        <v>2444</v>
      </c>
      <c r="D19736">
        <v>3809</v>
      </c>
      <c r="E19736">
        <v>0</v>
      </c>
      <c r="F19736">
        <v>3124</v>
      </c>
    </row>
    <row r="19737" spans="1:6" ht="12.75">
      <c r="A19737" s="2">
        <v>43876.411481481482</v>
      </c>
      <c r="B19737" t="str">
        <f>HYPERLINK("https://twitter.com/nzyrw","@nzyrw")</f>
        <v>@nzyrw</v>
      </c>
      <c r="C19737" t="s">
        <v>3059</v>
      </c>
      <c r="D19737">
        <v>83</v>
      </c>
      <c r="E19737">
        <v>0</v>
      </c>
      <c r="F19737">
        <v>1192</v>
      </c>
    </row>
    <row r="19738" spans="1:6" ht="12.75">
      <c r="A19738" s="2">
        <v>43876.411446759259</v>
      </c>
      <c r="B19738" t="str">
        <f>HYPERLINK("https://twitter.com/qadrian_","@qadrian_")</f>
        <v>@qadrian_</v>
      </c>
      <c r="C19738" t="s">
        <v>9924</v>
      </c>
      <c r="D19738">
        <v>0</v>
      </c>
      <c r="E19738">
        <v>0</v>
      </c>
      <c r="F19738">
        <v>192</v>
      </c>
    </row>
    <row r="19739" spans="1:6" ht="12.75">
      <c r="A19739" s="2">
        <v>43876.411273148144</v>
      </c>
      <c r="B19739" t="str">
        <f>HYPERLINK("https://twitter.com/IndoPancasila","@IndoPancasila")</f>
        <v>@IndoPancasila</v>
      </c>
      <c r="C19739" t="s">
        <v>9925</v>
      </c>
      <c r="D19739">
        <v>0</v>
      </c>
      <c r="E19739">
        <v>0</v>
      </c>
      <c r="F19739">
        <v>25</v>
      </c>
    </row>
    <row r="19740" spans="1:6" ht="12.75">
      <c r="A19740" s="2">
        <v>43876.411273148144</v>
      </c>
      <c r="B19740" t="str">
        <f>HYPERLINK("https://twitter.com/SURABAYATV44UHF","@SURABAYATV44UHF")</f>
        <v>@SURABAYATV44UHF</v>
      </c>
      <c r="C19740" t="s">
        <v>9926</v>
      </c>
      <c r="D19740">
        <v>0</v>
      </c>
      <c r="E19740">
        <v>0</v>
      </c>
      <c r="F19740">
        <v>221</v>
      </c>
    </row>
    <row r="19741" spans="1:6" ht="12.75">
      <c r="A19741" s="2">
        <v>43876.411261574074</v>
      </c>
      <c r="B19741" t="str">
        <f>HYPERLINK("https://twitter.com/ocnn_","@ocnn_")</f>
        <v>@ocnn_</v>
      </c>
      <c r="C19741" t="s">
        <v>9927</v>
      </c>
      <c r="D19741">
        <v>0</v>
      </c>
      <c r="E19741">
        <v>0</v>
      </c>
      <c r="F19741">
        <v>546</v>
      </c>
    </row>
    <row r="19742" spans="1:6" ht="12.75">
      <c r="A19742" s="2">
        <v>43876.411238425921</v>
      </c>
      <c r="B19742" t="str">
        <f>HYPERLINK("https://twitter.com/dnanshmr","@dnanshmr")</f>
        <v>@dnanshmr</v>
      </c>
      <c r="C19742" t="s">
        <v>2444</v>
      </c>
      <c r="D19742">
        <v>3809</v>
      </c>
      <c r="E19742">
        <v>0</v>
      </c>
      <c r="F19742">
        <v>2</v>
      </c>
    </row>
    <row r="19743" spans="1:6" ht="12.75">
      <c r="A19743" s="2">
        <v>43876.410960648151</v>
      </c>
      <c r="B19743" t="str">
        <f>HYPERLINK("https://twitter.com/wisanggeni_AB","@wisanggeni_AB")</f>
        <v>@wisanggeni_AB</v>
      </c>
      <c r="C19743" t="s">
        <v>9928</v>
      </c>
      <c r="D19743">
        <v>0</v>
      </c>
      <c r="E19743">
        <v>1</v>
      </c>
      <c r="F19743">
        <v>1754</v>
      </c>
    </row>
    <row r="19744" spans="1:6" ht="12.75">
      <c r="A19744" s="2">
        <v>43876.410949074074</v>
      </c>
      <c r="B19744" t="str">
        <f>HYPERLINK("https://twitter.com/NegaraKecil","@NegaraKecil")</f>
        <v>@NegaraKecil</v>
      </c>
      <c r="C19744" t="s">
        <v>9389</v>
      </c>
      <c r="D19744">
        <v>6</v>
      </c>
      <c r="E19744">
        <v>0</v>
      </c>
      <c r="F19744">
        <v>1251</v>
      </c>
    </row>
    <row r="19745" spans="1:6" ht="12.75">
      <c r="A19745" s="2">
        <v>43876.410925925928</v>
      </c>
      <c r="B19745" t="str">
        <f>HYPERLINK("https://twitter.com/indramana003","@indramana003")</f>
        <v>@indramana003</v>
      </c>
      <c r="C19745" t="s">
        <v>9821</v>
      </c>
      <c r="D19745">
        <v>0</v>
      </c>
      <c r="E19745">
        <v>0</v>
      </c>
      <c r="F19745">
        <v>25</v>
      </c>
    </row>
    <row r="19746" spans="1:6" ht="12.75">
      <c r="A19746" s="2">
        <v>43876.410902777774</v>
      </c>
      <c r="B19746" t="str">
        <f>HYPERLINK("https://twitter.com/SemboyanR","@SemboyanR")</f>
        <v>@SemboyanR</v>
      </c>
      <c r="C19746" t="s">
        <v>9389</v>
      </c>
      <c r="D19746">
        <v>6</v>
      </c>
      <c r="E19746">
        <v>0</v>
      </c>
      <c r="F19746">
        <v>1261</v>
      </c>
    </row>
    <row r="19747" spans="1:6" ht="12.75">
      <c r="A19747" s="2">
        <v>43876.410879629635</v>
      </c>
      <c r="B19747" t="str">
        <f>HYPERLINK("https://twitter.com/AchArdian2","@AchArdian2")</f>
        <v>@AchArdian2</v>
      </c>
      <c r="C19747" t="s">
        <v>9929</v>
      </c>
      <c r="D19747">
        <v>4</v>
      </c>
      <c r="E19747">
        <v>0</v>
      </c>
      <c r="F19747">
        <v>4</v>
      </c>
    </row>
    <row r="19748" spans="1:6" ht="12.75">
      <c r="A19748" s="2">
        <v>43876.410868055551</v>
      </c>
      <c r="B19748" t="str">
        <f>HYPERLINK("https://twitter.com/Miasyfrn","@Miasyfrn")</f>
        <v>@Miasyfrn</v>
      </c>
      <c r="C19748" t="s">
        <v>2444</v>
      </c>
      <c r="D19748">
        <v>3809</v>
      </c>
      <c r="E19748">
        <v>0</v>
      </c>
      <c r="F19748">
        <v>641</v>
      </c>
    </row>
    <row r="19749" spans="1:6" ht="12.75">
      <c r="A19749" s="2">
        <v>43876.410833333328</v>
      </c>
      <c r="B19749" t="str">
        <f>HYPERLINK("https://twitter.com/puputdwiandini","@puputdwiandini")</f>
        <v>@puputdwiandini</v>
      </c>
      <c r="C19749" t="s">
        <v>2137</v>
      </c>
      <c r="D19749">
        <v>255</v>
      </c>
      <c r="E19749">
        <v>0</v>
      </c>
      <c r="F19749">
        <v>86</v>
      </c>
    </row>
    <row r="19750" spans="1:6" ht="12.75">
      <c r="A19750" s="2">
        <v>43876.410636574074</v>
      </c>
      <c r="B19750" t="str">
        <f>HYPERLINK("https://twitter.com/ThePowerOfindo1","@ThePowerOfindo1")</f>
        <v>@ThePowerOfindo1</v>
      </c>
      <c r="C19750" t="s">
        <v>9930</v>
      </c>
      <c r="D19750">
        <v>0</v>
      </c>
      <c r="E19750">
        <v>0</v>
      </c>
      <c r="F19750">
        <v>5</v>
      </c>
    </row>
    <row r="19751" spans="1:6" ht="12.75">
      <c r="A19751" s="2">
        <v>43876.37635416667</v>
      </c>
      <c r="B19751" t="str">
        <f>HYPERLINK("https://twitter.com/tafdillah","@tafdillah")</f>
        <v>@tafdillah</v>
      </c>
      <c r="C19751" t="s">
        <v>9931</v>
      </c>
      <c r="D19751">
        <v>1</v>
      </c>
      <c r="E19751">
        <v>0</v>
      </c>
      <c r="F19751">
        <v>292</v>
      </c>
    </row>
    <row r="19752" spans="1:6" ht="12.75">
      <c r="A19752" s="2">
        <v>43876.376342592594</v>
      </c>
      <c r="B19752" t="str">
        <f>HYPERLINK("https://twitter.com/BillTemporo","@BillTemporo")</f>
        <v>@BillTemporo</v>
      </c>
      <c r="C19752" t="s">
        <v>889</v>
      </c>
      <c r="D19752">
        <v>0</v>
      </c>
      <c r="E19752">
        <v>0</v>
      </c>
      <c r="F19752">
        <v>11</v>
      </c>
    </row>
    <row r="19753" spans="1:6" ht="12.75">
      <c r="A19753" s="2">
        <v>43876.376342592594</v>
      </c>
      <c r="B19753" t="str">
        <f>HYPERLINK("https://twitter.com/innovesian","@innovesian")</f>
        <v>@innovesian</v>
      </c>
      <c r="C19753" t="s">
        <v>2444</v>
      </c>
      <c r="D19753">
        <v>3706</v>
      </c>
      <c r="E19753">
        <v>0</v>
      </c>
      <c r="F19753">
        <v>31992</v>
      </c>
    </row>
    <row r="19754" spans="1:6" ht="12.75">
      <c r="A19754" s="2">
        <v>43876.376296296294</v>
      </c>
      <c r="B19754" t="str">
        <f>HYPERLINK("https://twitter.com/ricosiswandi","@ricosiswandi")</f>
        <v>@ricosiswandi</v>
      </c>
      <c r="C19754" t="s">
        <v>8628</v>
      </c>
      <c r="D19754">
        <v>5</v>
      </c>
      <c r="E19754">
        <v>0</v>
      </c>
      <c r="F19754">
        <v>2328</v>
      </c>
    </row>
    <row r="19755" spans="1:6" ht="12.75">
      <c r="A19755" s="2">
        <v>43876.376261574071</v>
      </c>
      <c r="B19755" t="str">
        <f>HYPERLINK("https://twitter.com/JJW_172","@JJW_172")</f>
        <v>@JJW_172</v>
      </c>
      <c r="C19755" t="s">
        <v>2444</v>
      </c>
      <c r="D19755">
        <v>3706</v>
      </c>
      <c r="E19755">
        <v>0</v>
      </c>
      <c r="F19755">
        <v>812</v>
      </c>
    </row>
    <row r="19756" spans="1:6" ht="12.75">
      <c r="A19756" s="2">
        <v>43876.37599537037</v>
      </c>
      <c r="B19756" t="str">
        <f>HYPERLINK("https://twitter.com/Lorenzoname99","@Lorenzoname99")</f>
        <v>@Lorenzoname99</v>
      </c>
      <c r="C19756" t="s">
        <v>9932</v>
      </c>
      <c r="D19756">
        <v>0</v>
      </c>
      <c r="E19756">
        <v>0</v>
      </c>
      <c r="F19756">
        <v>865</v>
      </c>
    </row>
    <row r="19757" spans="1:6" ht="12.75">
      <c r="A19757" s="2">
        <v>43876.375983796301</v>
      </c>
      <c r="B19757" t="str">
        <f>HYPERLINK("https://twitter.com/Lubissafa","@Lubissafa")</f>
        <v>@Lubissafa</v>
      </c>
      <c r="C19757" t="s">
        <v>8628</v>
      </c>
      <c r="D19757">
        <v>5</v>
      </c>
      <c r="E19757">
        <v>0</v>
      </c>
      <c r="F19757">
        <v>5827</v>
      </c>
    </row>
    <row r="19758" spans="1:6" ht="12.75">
      <c r="A19758" s="2">
        <v>43876.375613425931</v>
      </c>
      <c r="B19758" t="str">
        <f>HYPERLINK("https://twitter.com/bindunada","@bindunada")</f>
        <v>@bindunada</v>
      </c>
      <c r="C19758" t="s">
        <v>9933</v>
      </c>
      <c r="D19758">
        <v>2</v>
      </c>
      <c r="E19758">
        <v>0</v>
      </c>
      <c r="F19758">
        <v>1060</v>
      </c>
    </row>
    <row r="19759" spans="1:6" ht="12.75">
      <c r="A19759" s="2">
        <v>43876.375567129631</v>
      </c>
      <c r="B19759" t="str">
        <f>HYPERLINK("https://twitter.com/Umar4414","@Umar4414")</f>
        <v>@Umar4414</v>
      </c>
      <c r="C19759" t="s">
        <v>8754</v>
      </c>
      <c r="D19759">
        <v>48</v>
      </c>
      <c r="E19759">
        <v>0</v>
      </c>
      <c r="F19759">
        <v>188</v>
      </c>
    </row>
    <row r="19760" spans="1:6" ht="12.75">
      <c r="A19760" s="2">
        <v>43876.375543981485</v>
      </c>
      <c r="B19760" t="str">
        <f>HYPERLINK("https://twitter.com/FAKYU46570204","@FAKYU46570204")</f>
        <v>@FAKYU46570204</v>
      </c>
      <c r="C19760" t="s">
        <v>9934</v>
      </c>
      <c r="D19760">
        <v>0</v>
      </c>
      <c r="E19760">
        <v>0</v>
      </c>
      <c r="F19760">
        <v>267</v>
      </c>
    </row>
    <row r="19761" spans="1:6" ht="12.75">
      <c r="A19761" s="2">
        <v>43876.375439814816</v>
      </c>
      <c r="B19761" t="str">
        <f>HYPERLINK("https://twitter.com/bunnyhunnie_","@bunnyhunnie_")</f>
        <v>@bunnyhunnie_</v>
      </c>
      <c r="C19761" t="s">
        <v>2444</v>
      </c>
      <c r="D19761">
        <v>3706</v>
      </c>
      <c r="E19761">
        <v>0</v>
      </c>
      <c r="F19761">
        <v>390</v>
      </c>
    </row>
    <row r="19762" spans="1:6" ht="12.75">
      <c r="A19762" s="2">
        <v>43876.375405092593</v>
      </c>
      <c r="B19762" t="str">
        <f>HYPERLINK("https://twitter.com/cepu_supriyanto","@cepu_supriyanto")</f>
        <v>@cepu_supriyanto</v>
      </c>
      <c r="C19762" t="s">
        <v>9935</v>
      </c>
      <c r="D19762">
        <v>0</v>
      </c>
      <c r="E19762">
        <v>0</v>
      </c>
      <c r="F19762">
        <v>675</v>
      </c>
    </row>
    <row r="19763" spans="1:6" ht="12.75">
      <c r="A19763" s="2">
        <v>43876.3753125</v>
      </c>
      <c r="B19763" t="str">
        <f>HYPERLINK("https://twitter.com/iratirrta","@iratirrta")</f>
        <v>@iratirrta</v>
      </c>
      <c r="C19763" t="s">
        <v>2444</v>
      </c>
      <c r="D19763">
        <v>3706</v>
      </c>
      <c r="E19763">
        <v>0</v>
      </c>
      <c r="F19763">
        <v>196</v>
      </c>
    </row>
    <row r="19764" spans="1:6" ht="12.75">
      <c r="A19764" s="2">
        <v>43876.375185185185</v>
      </c>
      <c r="B19764" t="str">
        <f>HYPERLINK("https://twitter.com/rbkmaya_","@rbkmaya_")</f>
        <v>@rbkmaya_</v>
      </c>
      <c r="C19764" t="s">
        <v>2137</v>
      </c>
      <c r="D19764">
        <v>248</v>
      </c>
      <c r="E19764">
        <v>0</v>
      </c>
      <c r="F19764">
        <v>263</v>
      </c>
    </row>
    <row r="19765" spans="1:6" ht="12.75">
      <c r="A19765" s="2">
        <v>43876.37501157407</v>
      </c>
      <c r="B19765" t="str">
        <f>HYPERLINK("https://twitter.com/rmol_id","@rmol_id")</f>
        <v>@rmol_id</v>
      </c>
      <c r="C19765" t="s">
        <v>9936</v>
      </c>
      <c r="D19765">
        <v>1</v>
      </c>
      <c r="E19765">
        <v>1</v>
      </c>
      <c r="F19765">
        <v>161228</v>
      </c>
    </row>
    <row r="19766" spans="1:6" ht="12.75">
      <c r="A19766" s="2">
        <v>43876.375</v>
      </c>
      <c r="B19766" t="str">
        <f>HYPERLINK("https://twitter.com/the_magdalene","@the_magdalene")</f>
        <v>@the_magdalene</v>
      </c>
      <c r="C19766" t="s">
        <v>9937</v>
      </c>
      <c r="D19766">
        <v>0</v>
      </c>
      <c r="E19766">
        <v>0</v>
      </c>
      <c r="F19766">
        <v>55837</v>
      </c>
    </row>
    <row r="19767" spans="1:6" ht="12.75">
      <c r="A19767" s="2">
        <v>43876.374768518523</v>
      </c>
      <c r="B19767" t="str">
        <f>HYPERLINK("https://twitter.com/ZENlA_","@ZENlA_")</f>
        <v>@ZENlA_</v>
      </c>
      <c r="C19767" t="s">
        <v>9021</v>
      </c>
      <c r="D19767">
        <v>212</v>
      </c>
      <c r="E19767">
        <v>0</v>
      </c>
      <c r="F19767">
        <v>1576</v>
      </c>
    </row>
    <row r="19768" spans="1:6" ht="12.75">
      <c r="A19768" s="2">
        <v>43876.374722222223</v>
      </c>
      <c r="B19768" t="str">
        <f>HYPERLINK("https://twitter.com/tasya_syafira","@tasya_syafira")</f>
        <v>@tasya_syafira</v>
      </c>
      <c r="C19768" t="s">
        <v>2444</v>
      </c>
      <c r="D19768">
        <v>3706</v>
      </c>
      <c r="E19768">
        <v>0</v>
      </c>
      <c r="F19768">
        <v>783</v>
      </c>
    </row>
    <row r="19769" spans="1:6" ht="12.75">
      <c r="A19769" s="2">
        <v>43876.37462962963</v>
      </c>
      <c r="B19769" t="str">
        <f>HYPERLINK("https://twitter.com/bitiesseu00","@bitiesseu00")</f>
        <v>@bitiesseu00</v>
      </c>
      <c r="C19769" t="s">
        <v>2444</v>
      </c>
      <c r="D19769">
        <v>3706</v>
      </c>
      <c r="E19769">
        <v>0</v>
      </c>
      <c r="F19769">
        <v>119</v>
      </c>
    </row>
    <row r="19770" spans="1:6" ht="12.75">
      <c r="A19770" s="2">
        <v>43876.374571759261</v>
      </c>
      <c r="B19770" t="str">
        <f>HYPERLINK("https://twitter.com/guebodong","@guebodong")</f>
        <v>@guebodong</v>
      </c>
      <c r="C19770" t="s">
        <v>9938</v>
      </c>
      <c r="D19770">
        <v>0</v>
      </c>
      <c r="E19770">
        <v>0</v>
      </c>
      <c r="F19770">
        <v>0</v>
      </c>
    </row>
    <row r="19771" spans="1:6" ht="12.75">
      <c r="A19771" s="2">
        <v>43876.374537037038</v>
      </c>
      <c r="B19771" t="str">
        <f>HYPERLINK("https://twitter.com/hana_riani","@hana_riani")</f>
        <v>@hana_riani</v>
      </c>
      <c r="C19771" t="s">
        <v>9939</v>
      </c>
      <c r="D19771">
        <v>0</v>
      </c>
      <c r="E19771">
        <v>0</v>
      </c>
      <c r="F19771">
        <v>4</v>
      </c>
    </row>
    <row r="19772" spans="1:6" ht="12.75">
      <c r="A19772" s="2">
        <v>43876.374502314815</v>
      </c>
      <c r="B19772" t="str">
        <f>HYPERLINK("https://twitter.com/JaySoetija","@JaySoetija")</f>
        <v>@JaySoetija</v>
      </c>
      <c r="C19772" t="s">
        <v>9940</v>
      </c>
      <c r="D19772">
        <v>2</v>
      </c>
      <c r="E19772">
        <v>0</v>
      </c>
      <c r="F19772">
        <v>1202</v>
      </c>
    </row>
    <row r="19773" spans="1:6" ht="12.75">
      <c r="A19773" s="2">
        <v>43876.374467592592</v>
      </c>
      <c r="B19773" t="str">
        <f>HYPERLINK("https://twitter.com/exuluv","@exuluv")</f>
        <v>@exuluv</v>
      </c>
      <c r="C19773" t="s">
        <v>2444</v>
      </c>
      <c r="D19773">
        <v>3706</v>
      </c>
      <c r="E19773">
        <v>0</v>
      </c>
      <c r="F19773">
        <v>690</v>
      </c>
    </row>
    <row r="19774" spans="1:6" ht="12.75">
      <c r="A19774" s="2">
        <v>43876.374305555553</v>
      </c>
      <c r="B19774" t="str">
        <f>HYPERLINK("https://twitter.com/rdsagitta","@rdsagitta")</f>
        <v>@rdsagitta</v>
      </c>
      <c r="C19774" t="s">
        <v>2444</v>
      </c>
      <c r="D19774">
        <v>3706</v>
      </c>
      <c r="E19774">
        <v>0</v>
      </c>
      <c r="F19774">
        <v>58</v>
      </c>
    </row>
    <row r="19775" spans="1:6" ht="12.75">
      <c r="A19775" s="2">
        <v>43876.374097222222</v>
      </c>
      <c r="B19775" t="str">
        <f>HYPERLINK("https://twitter.com/cokicokipoki","@cokicokipoki")</f>
        <v>@cokicokipoki</v>
      </c>
      <c r="C19775" t="s">
        <v>2444</v>
      </c>
      <c r="D19775">
        <v>3706</v>
      </c>
      <c r="E19775">
        <v>0</v>
      </c>
      <c r="F19775">
        <v>312</v>
      </c>
    </row>
    <row r="19776" spans="1:6" ht="12.75">
      <c r="A19776" s="2">
        <v>43876.373958333337</v>
      </c>
      <c r="B19776" t="str">
        <f>HYPERLINK("https://twitter.com/faishal_djalil","@faishal_djalil")</f>
        <v>@faishal_djalil</v>
      </c>
      <c r="C19776" t="s">
        <v>9941</v>
      </c>
      <c r="D19776">
        <v>0</v>
      </c>
      <c r="E19776">
        <v>0</v>
      </c>
      <c r="F19776">
        <v>154</v>
      </c>
    </row>
    <row r="19777" spans="1:6" ht="12.75">
      <c r="A19777" s="2">
        <v>43876.373912037037</v>
      </c>
      <c r="B19777" t="str">
        <f>HYPERLINK("https://twitter.com/TommyShaka","@TommyShaka")</f>
        <v>@TommyShaka</v>
      </c>
      <c r="C19777" t="s">
        <v>8754</v>
      </c>
      <c r="D19777">
        <v>48</v>
      </c>
      <c r="E19777">
        <v>0</v>
      </c>
      <c r="F19777">
        <v>217</v>
      </c>
    </row>
    <row r="19778" spans="1:6" ht="12.75">
      <c r="A19778" s="2">
        <v>43876.373831018514</v>
      </c>
      <c r="B19778" t="str">
        <f>HYPERLINK("https://twitter.com/AkunIniAsli","@AkunIniAsli")</f>
        <v>@AkunIniAsli</v>
      </c>
      <c r="C19778" t="s">
        <v>9942</v>
      </c>
      <c r="D19778">
        <v>0</v>
      </c>
      <c r="E19778">
        <v>0</v>
      </c>
      <c r="F19778">
        <v>101</v>
      </c>
    </row>
    <row r="19779" spans="1:6" ht="12.75">
      <c r="A19779" s="2">
        <v>43876.373773148152</v>
      </c>
      <c r="B19779" t="str">
        <f>HYPERLINK("https://twitter.com/BaniAdam____","@BaniAdam____")</f>
        <v>@BaniAdam____</v>
      </c>
      <c r="C19779" t="s">
        <v>9943</v>
      </c>
      <c r="D19779">
        <v>0</v>
      </c>
      <c r="E19779">
        <v>0</v>
      </c>
      <c r="F19779">
        <v>1108</v>
      </c>
    </row>
    <row r="19780" spans="1:6" ht="12.75">
      <c r="A19780" s="2">
        <v>43876.373495370368</v>
      </c>
      <c r="B19780" t="str">
        <f>HYPERLINK("https://twitter.com/fourze_raihan","@fourze_raihan")</f>
        <v>@fourze_raihan</v>
      </c>
      <c r="C19780" t="s">
        <v>9944</v>
      </c>
      <c r="D19780">
        <v>0</v>
      </c>
      <c r="E19780">
        <v>0</v>
      </c>
      <c r="F19780">
        <v>199</v>
      </c>
    </row>
    <row r="19781" spans="1:6" ht="12.75">
      <c r="A19781" s="2">
        <v>43876.373483796298</v>
      </c>
      <c r="B19781" t="str">
        <f>HYPERLINK("https://twitter.com/ratnana141","@ratnana141")</f>
        <v>@ratnana141</v>
      </c>
      <c r="C19781" t="s">
        <v>2963</v>
      </c>
      <c r="D19781">
        <v>1244</v>
      </c>
      <c r="E19781">
        <v>0</v>
      </c>
      <c r="F19781">
        <v>118</v>
      </c>
    </row>
    <row r="19782" spans="1:6" ht="12.75">
      <c r="A19782" s="2">
        <v>43876.373414351852</v>
      </c>
      <c r="B19782" t="str">
        <f>HYPERLINK("https://twitter.com/nwpelf13","@nwpelf13")</f>
        <v>@nwpelf13</v>
      </c>
      <c r="C19782" t="s">
        <v>2444</v>
      </c>
      <c r="D19782">
        <v>3706</v>
      </c>
      <c r="E19782">
        <v>0</v>
      </c>
      <c r="F19782">
        <v>779</v>
      </c>
    </row>
    <row r="19783" spans="1:6" ht="12.75">
      <c r="A19783" s="2">
        <v>43876.37332175926</v>
      </c>
      <c r="B19783" t="str">
        <f>HYPERLINK("https://twitter.com/cjoepahe","@cjoepahe")</f>
        <v>@cjoepahe</v>
      </c>
      <c r="C19783" t="s">
        <v>8890</v>
      </c>
      <c r="D19783">
        <v>12</v>
      </c>
      <c r="E19783">
        <v>0</v>
      </c>
      <c r="F19783">
        <v>554</v>
      </c>
    </row>
    <row r="19784" spans="1:6" ht="12.75">
      <c r="A19784" s="2">
        <v>43876.373310185183</v>
      </c>
      <c r="B19784" t="str">
        <f>HYPERLINK("https://twitter.com/shofurahnn","@shofurahnn")</f>
        <v>@shofurahnn</v>
      </c>
      <c r="C19784" t="s">
        <v>2444</v>
      </c>
      <c r="D19784">
        <v>3706</v>
      </c>
      <c r="E19784">
        <v>0</v>
      </c>
      <c r="F19784">
        <v>403</v>
      </c>
    </row>
    <row r="19785" spans="1:6" ht="12.75">
      <c r="A19785" s="2">
        <v>43876.373310185183</v>
      </c>
      <c r="B19785" t="str">
        <f>HYPERLINK("https://twitter.com/annoyyiingg","@annoyyiingg")</f>
        <v>@annoyyiingg</v>
      </c>
      <c r="C19785" t="s">
        <v>9945</v>
      </c>
      <c r="D19785">
        <v>0</v>
      </c>
      <c r="E19785">
        <v>0</v>
      </c>
      <c r="F19785">
        <v>1125</v>
      </c>
    </row>
    <row r="19786" spans="1:6" ht="12.75">
      <c r="A19786" s="2">
        <v>43876.373171296298</v>
      </c>
      <c r="B19786" t="str">
        <f>HYPERLINK("https://twitter.com/SonnyDaVinci","@SonnyDaVinci")</f>
        <v>@SonnyDaVinci</v>
      </c>
      <c r="C19786" t="s">
        <v>9946</v>
      </c>
      <c r="D19786">
        <v>0</v>
      </c>
      <c r="E19786">
        <v>0</v>
      </c>
      <c r="F19786">
        <v>791</v>
      </c>
    </row>
    <row r="19787" spans="1:6" ht="12.75">
      <c r="A19787" s="2">
        <v>43876.373171296298</v>
      </c>
      <c r="B19787" t="str">
        <f>HYPERLINK("https://twitter.com/alexpraditya","@alexpraditya")</f>
        <v>@alexpraditya</v>
      </c>
      <c r="C19787" t="s">
        <v>9947</v>
      </c>
      <c r="D19787">
        <v>343</v>
      </c>
      <c r="E19787">
        <v>0</v>
      </c>
      <c r="F19787">
        <v>114</v>
      </c>
    </row>
    <row r="19788" spans="1:6" ht="12.75">
      <c r="A19788" s="2">
        <v>43876.373148148152</v>
      </c>
      <c r="B19788" t="str">
        <f>HYPERLINK("https://twitter.com/zonadamai","@zonadamai")</f>
        <v>@zonadamai</v>
      </c>
      <c r="C19788" t="s">
        <v>9948</v>
      </c>
      <c r="D19788">
        <v>0</v>
      </c>
      <c r="E19788">
        <v>0</v>
      </c>
      <c r="F19788">
        <v>1093</v>
      </c>
    </row>
    <row r="19789" spans="1:6" ht="12.75">
      <c r="A19789" s="2">
        <v>43876.372858796298</v>
      </c>
      <c r="B19789" t="str">
        <f>HYPERLINK("https://twitter.com/wansenk_ajah","@wansenk_ajah")</f>
        <v>@wansenk_ajah</v>
      </c>
      <c r="C19789" t="s">
        <v>8628</v>
      </c>
      <c r="D19789">
        <v>5</v>
      </c>
      <c r="E19789">
        <v>0</v>
      </c>
      <c r="F19789">
        <v>4898</v>
      </c>
    </row>
    <row r="19790" spans="1:6" ht="12.75">
      <c r="A19790" s="2">
        <v>43876.372812500005</v>
      </c>
      <c r="B19790" t="str">
        <f>HYPERLINK("https://twitter.com/FauzaanAtmaja","@FauzaanAtmaja")</f>
        <v>@FauzaanAtmaja</v>
      </c>
      <c r="C19790" t="s">
        <v>2444</v>
      </c>
      <c r="D19790">
        <v>3706</v>
      </c>
      <c r="E19790">
        <v>0</v>
      </c>
      <c r="F19790">
        <v>221</v>
      </c>
    </row>
    <row r="19791" spans="1:6" ht="12.75">
      <c r="A19791" s="2">
        <v>43876.372604166667</v>
      </c>
      <c r="B19791" t="str">
        <f>HYPERLINK("https://twitter.com/BHD_8","@BHD_8")</f>
        <v>@BHD_8</v>
      </c>
      <c r="C19791" t="s">
        <v>7946</v>
      </c>
      <c r="D19791">
        <v>29</v>
      </c>
      <c r="E19791">
        <v>0</v>
      </c>
      <c r="F19791">
        <v>12141</v>
      </c>
    </row>
    <row r="19792" spans="1:6" ht="12.75">
      <c r="A19792" s="2">
        <v>43876.37228009259</v>
      </c>
      <c r="B19792" t="str">
        <f>HYPERLINK("https://twitter.com/rizkkkian","@rizkkkian")</f>
        <v>@rizkkkian</v>
      </c>
      <c r="C19792" t="s">
        <v>9949</v>
      </c>
      <c r="D19792">
        <v>0</v>
      </c>
      <c r="E19792">
        <v>0</v>
      </c>
      <c r="F19792">
        <v>16</v>
      </c>
    </row>
    <row r="19793" spans="1:6" ht="12.75">
      <c r="A19793" s="2">
        <v>43876.372199074074</v>
      </c>
      <c r="B19793" t="str">
        <f>HYPERLINK("https://twitter.com/zonadamai","@zonadamai")</f>
        <v>@zonadamai</v>
      </c>
      <c r="C19793" t="s">
        <v>9950</v>
      </c>
      <c r="D19793">
        <v>0</v>
      </c>
      <c r="E19793">
        <v>0</v>
      </c>
      <c r="F19793">
        <v>1093</v>
      </c>
    </row>
    <row r="19794" spans="1:6" ht="12.75">
      <c r="A19794" s="2">
        <v>43876.372141203705</v>
      </c>
      <c r="B19794" t="str">
        <f>HYPERLINK("https://twitter.com/pd__ar","@pd__ar")</f>
        <v>@pd__ar</v>
      </c>
      <c r="C19794" t="s">
        <v>9951</v>
      </c>
      <c r="D19794">
        <v>0</v>
      </c>
      <c r="E19794">
        <v>0</v>
      </c>
      <c r="F19794">
        <v>559</v>
      </c>
    </row>
    <row r="19795" spans="1:6" ht="12.75">
      <c r="A19795" s="2">
        <v>43876.372048611112</v>
      </c>
      <c r="B19795" t="str">
        <f>HYPERLINK("https://twitter.com/bunk_zae","@bunk_zae")</f>
        <v>@bunk_zae</v>
      </c>
      <c r="C19795" t="s">
        <v>7478</v>
      </c>
      <c r="D19795">
        <v>512</v>
      </c>
      <c r="E19795">
        <v>0</v>
      </c>
      <c r="F19795">
        <v>473</v>
      </c>
    </row>
    <row r="19796" spans="1:6" ht="12.75">
      <c r="A19796" s="2">
        <v>43876.371990740736</v>
      </c>
      <c r="B19796" t="str">
        <f>HYPERLINK("https://twitter.com/rdsagitta","@rdsagitta")</f>
        <v>@rdsagitta</v>
      </c>
      <c r="C19796" t="s">
        <v>5168</v>
      </c>
      <c r="D19796">
        <v>1361</v>
      </c>
      <c r="E19796">
        <v>0</v>
      </c>
      <c r="F19796">
        <v>58</v>
      </c>
    </row>
    <row r="19797" spans="1:6" ht="12.75">
      <c r="A19797" s="2">
        <v>43876.371840277774</v>
      </c>
      <c r="B19797" t="str">
        <f>HYPERLINK("https://twitter.com/BradPitek","@BradPitek")</f>
        <v>@BradPitek</v>
      </c>
      <c r="C19797" t="s">
        <v>9952</v>
      </c>
      <c r="D19797">
        <v>0</v>
      </c>
      <c r="E19797">
        <v>0</v>
      </c>
      <c r="F19797">
        <v>86</v>
      </c>
    </row>
    <row r="19798" spans="1:6" ht="12.75">
      <c r="A19798" s="2">
        <v>43876.371678240743</v>
      </c>
      <c r="B19798" t="str">
        <f>HYPERLINK("https://twitter.com/CendolGudeg","@CendolGudeg")</f>
        <v>@CendolGudeg</v>
      </c>
      <c r="C19798" t="s">
        <v>9953</v>
      </c>
      <c r="D19798">
        <v>0</v>
      </c>
      <c r="E19798">
        <v>0</v>
      </c>
      <c r="F19798">
        <v>9</v>
      </c>
    </row>
    <row r="19799" spans="1:6" ht="12.75">
      <c r="A19799" s="2">
        <v>43876.371527777781</v>
      </c>
      <c r="B19799" t="str">
        <f>HYPERLINK("https://twitter.com/BromocorahGrCeb","@BromocorahGrCeb")</f>
        <v>@BromocorahGrCeb</v>
      </c>
      <c r="C19799" t="s">
        <v>9954</v>
      </c>
      <c r="D19799">
        <v>0</v>
      </c>
      <c r="E19799">
        <v>0</v>
      </c>
      <c r="F19799">
        <v>4093</v>
      </c>
    </row>
    <row r="19800" spans="1:6" ht="12.75">
      <c r="A19800" s="2">
        <v>43876.371516203704</v>
      </c>
      <c r="B19800" t="str">
        <f>HYPERLINK("https://twitter.com/165NLM","@165NLM")</f>
        <v>@165NLM</v>
      </c>
      <c r="C19800" t="s">
        <v>3059</v>
      </c>
      <c r="D19800">
        <v>61</v>
      </c>
      <c r="E19800">
        <v>0</v>
      </c>
      <c r="F19800">
        <v>1428</v>
      </c>
    </row>
    <row r="19801" spans="1:6" ht="12.75">
      <c r="A19801" s="2">
        <v>43876.371504629627</v>
      </c>
      <c r="B19801" t="str">
        <f>HYPERLINK("https://twitter.com/EdisonSihombi15","@EdisonSihombi15")</f>
        <v>@EdisonSihombi15</v>
      </c>
      <c r="C19801" t="s">
        <v>8754</v>
      </c>
      <c r="D19801">
        <v>48</v>
      </c>
      <c r="E19801">
        <v>0</v>
      </c>
      <c r="F19801">
        <v>1318</v>
      </c>
    </row>
    <row r="19802" spans="1:6" ht="12.75">
      <c r="A19802" s="2">
        <v>43876.371493055558</v>
      </c>
      <c r="B19802" t="str">
        <f>HYPERLINK("https://twitter.com/milkywayszz","@milkywayszz")</f>
        <v>@milkywayszz</v>
      </c>
      <c r="C19802" t="s">
        <v>2444</v>
      </c>
      <c r="D19802">
        <v>3706</v>
      </c>
      <c r="E19802">
        <v>0</v>
      </c>
      <c r="F19802">
        <v>1490</v>
      </c>
    </row>
    <row r="19803" spans="1:6" ht="12.75">
      <c r="A19803" s="2">
        <v>43876.371388888889</v>
      </c>
      <c r="B19803" t="str">
        <f>HYPERLINK("https://twitter.com/wbintoro101209","@wbintoro101209")</f>
        <v>@wbintoro101209</v>
      </c>
      <c r="C19803" t="s">
        <v>9043</v>
      </c>
      <c r="D19803">
        <v>3</v>
      </c>
      <c r="E19803">
        <v>0</v>
      </c>
      <c r="F19803">
        <v>302</v>
      </c>
    </row>
    <row r="19804" spans="1:6" ht="12.75">
      <c r="A19804" s="2">
        <v>43876.371145833335</v>
      </c>
      <c r="B19804" t="str">
        <f>HYPERLINK("https://twitter.com/CH_chotimah","@CH_chotimah")</f>
        <v>@CH_chotimah</v>
      </c>
      <c r="C19804" t="s">
        <v>9955</v>
      </c>
      <c r="D19804">
        <v>5</v>
      </c>
      <c r="E19804">
        <v>14</v>
      </c>
      <c r="F19804">
        <v>64774</v>
      </c>
    </row>
    <row r="19805" spans="1:6" ht="12.75">
      <c r="A19805" s="2">
        <v>43876.371111111112</v>
      </c>
      <c r="B19805" t="str">
        <f>HYPERLINK("https://twitter.com/devindixen","@devindixen")</f>
        <v>@devindixen</v>
      </c>
      <c r="C19805" t="s">
        <v>9956</v>
      </c>
      <c r="D19805">
        <v>0</v>
      </c>
      <c r="E19805">
        <v>0</v>
      </c>
      <c r="F19805">
        <v>9</v>
      </c>
    </row>
    <row r="19806" spans="1:6" ht="12.75">
      <c r="A19806" s="2">
        <v>43876.370983796296</v>
      </c>
      <c r="B19806" t="str">
        <f>HYPERLINK("https://twitter.com/ucoxregar","@ucoxregar")</f>
        <v>@ucoxregar</v>
      </c>
      <c r="C19806" t="s">
        <v>8754</v>
      </c>
      <c r="D19806">
        <v>48</v>
      </c>
      <c r="E19806">
        <v>0</v>
      </c>
      <c r="F19806">
        <v>344</v>
      </c>
    </row>
    <row r="19807" spans="1:6" ht="12.75">
      <c r="A19807" s="2">
        <v>43876.370844907404</v>
      </c>
      <c r="B19807" t="str">
        <f>HYPERLINK("https://twitter.com/mansei","@mansei")</f>
        <v>@mansei</v>
      </c>
      <c r="C19807" t="s">
        <v>2444</v>
      </c>
      <c r="D19807">
        <v>3706</v>
      </c>
      <c r="E19807">
        <v>0</v>
      </c>
      <c r="F19807">
        <v>995</v>
      </c>
    </row>
    <row r="19808" spans="1:6" ht="12.75">
      <c r="A19808" s="2">
        <v>43876.370752314819</v>
      </c>
      <c r="B19808" t="str">
        <f>HYPERLINK("https://twitter.com/diponegros","@diponegros")</f>
        <v>@diponegros</v>
      </c>
      <c r="C19808" t="s">
        <v>3059</v>
      </c>
      <c r="D19808">
        <v>61</v>
      </c>
      <c r="E19808">
        <v>0</v>
      </c>
      <c r="F19808">
        <v>603</v>
      </c>
    </row>
    <row r="19809" spans="1:6" ht="12.75">
      <c r="A19809" s="2">
        <v>43876.370567129634</v>
      </c>
      <c r="B19809" t="str">
        <f>HYPERLINK("https://twitter.com/HappyVtae","@HappyVtae")</f>
        <v>@HappyVtae</v>
      </c>
      <c r="C19809" t="s">
        <v>5168</v>
      </c>
      <c r="D19809">
        <v>1361</v>
      </c>
      <c r="E19809">
        <v>0</v>
      </c>
      <c r="F19809">
        <v>352</v>
      </c>
    </row>
    <row r="19810" spans="1:6" ht="12.75">
      <c r="A19810" s="2">
        <v>43876.370555555557</v>
      </c>
      <c r="B19810" t="str">
        <f>HYPERLINK("https://twitter.com/ValintCasper","@ValintCasper")</f>
        <v>@ValintCasper</v>
      </c>
      <c r="C19810" t="s">
        <v>2444</v>
      </c>
      <c r="D19810">
        <v>3706</v>
      </c>
      <c r="E19810">
        <v>0</v>
      </c>
      <c r="F19810">
        <v>362</v>
      </c>
    </row>
    <row r="19811" spans="1:6" ht="12.75">
      <c r="A19811" s="2">
        <v>43876.370439814811</v>
      </c>
      <c r="B19811" t="str">
        <f>HYPERLINK("https://twitter.com/BaniAdam____","@BaniAdam____")</f>
        <v>@BaniAdam____</v>
      </c>
      <c r="C19811" t="s">
        <v>9957</v>
      </c>
      <c r="D19811">
        <v>0</v>
      </c>
      <c r="E19811">
        <v>0</v>
      </c>
      <c r="F19811">
        <v>1108</v>
      </c>
    </row>
    <row r="19812" spans="1:6" ht="12.75">
      <c r="A19812" s="2">
        <v>43876.370266203703</v>
      </c>
      <c r="B19812" t="str">
        <f>HYPERLINK("https://twitter.com/sorotnews","@sorotnews")</f>
        <v>@sorotnews</v>
      </c>
      <c r="C19812" t="s">
        <v>9958</v>
      </c>
      <c r="D19812">
        <v>0</v>
      </c>
      <c r="E19812">
        <v>1</v>
      </c>
      <c r="F19812">
        <v>3421</v>
      </c>
    </row>
    <row r="19813" spans="1:6" ht="12.75">
      <c r="A19813" s="2">
        <v>43876.370208333334</v>
      </c>
      <c r="B19813" t="str">
        <f>HYPERLINK("https://twitter.com/adarmawan01","@adarmawan01")</f>
        <v>@adarmawan01</v>
      </c>
      <c r="C19813" t="s">
        <v>9959</v>
      </c>
      <c r="D19813">
        <v>0</v>
      </c>
      <c r="E19813">
        <v>0</v>
      </c>
      <c r="F19813">
        <v>47</v>
      </c>
    </row>
    <row r="19814" spans="1:6" ht="12.75">
      <c r="A19814" s="2">
        <v>43876.37018518518</v>
      </c>
      <c r="B19814" t="str">
        <f>HYPERLINK("https://twitter.com/mirarozay","@mirarozay")</f>
        <v>@mirarozay</v>
      </c>
      <c r="C19814" t="s">
        <v>2444</v>
      </c>
      <c r="D19814">
        <v>3706</v>
      </c>
      <c r="E19814">
        <v>0</v>
      </c>
      <c r="F19814">
        <v>30</v>
      </c>
    </row>
    <row r="19815" spans="1:6" ht="12.75">
      <c r="A19815" s="2">
        <v>43876.370104166665</v>
      </c>
      <c r="B19815" t="str">
        <f>HYPERLINK("https://twitter.com/umay_patria","@umay_patria")</f>
        <v>@umay_patria</v>
      </c>
      <c r="C19815" t="s">
        <v>7888</v>
      </c>
      <c r="D19815">
        <v>65</v>
      </c>
      <c r="E19815">
        <v>0</v>
      </c>
      <c r="F19815">
        <v>1134</v>
      </c>
    </row>
    <row r="19816" spans="1:6" ht="12.75">
      <c r="A19816" s="2">
        <v>43876.370069444441</v>
      </c>
      <c r="B19816" t="str">
        <f>HYPERLINK("https://twitter.com/hunzaja","@hunzaja")</f>
        <v>@hunzaja</v>
      </c>
      <c r="C19816" t="s">
        <v>7478</v>
      </c>
      <c r="D19816">
        <v>512</v>
      </c>
      <c r="E19816">
        <v>0</v>
      </c>
      <c r="F19816">
        <v>123</v>
      </c>
    </row>
    <row r="19817" spans="1:6" ht="12.75">
      <c r="A19817" s="2">
        <v>43876.369780092587</v>
      </c>
      <c r="B19817" t="str">
        <f>HYPERLINK("https://twitter.com/renidwiast","@renidwiast")</f>
        <v>@renidwiast</v>
      </c>
      <c r="C19817" t="s">
        <v>9960</v>
      </c>
      <c r="D19817">
        <v>0</v>
      </c>
      <c r="E19817">
        <v>0</v>
      </c>
      <c r="F19817">
        <v>2020</v>
      </c>
    </row>
    <row r="19818" spans="1:6" ht="12.75">
      <c r="A19818" s="2">
        <v>43876.369618055556</v>
      </c>
      <c r="B19818" t="str">
        <f>HYPERLINK("https://twitter.com/ryudae21","@ryudae21")</f>
        <v>@ryudae21</v>
      </c>
      <c r="C19818" t="s">
        <v>2444</v>
      </c>
      <c r="D19818">
        <v>3706</v>
      </c>
      <c r="E19818">
        <v>0</v>
      </c>
      <c r="F19818">
        <v>364</v>
      </c>
    </row>
    <row r="19819" spans="1:6" ht="12.75">
      <c r="A19819" s="2">
        <v>43876.369340277779</v>
      </c>
      <c r="B19819" t="str">
        <f>HYPERLINK("https://twitter.com/rha_razora","@rha_razora")</f>
        <v>@rha_razora</v>
      </c>
      <c r="C19819" t="s">
        <v>9961</v>
      </c>
      <c r="D19819">
        <v>0</v>
      </c>
      <c r="E19819">
        <v>0</v>
      </c>
      <c r="F19819">
        <v>132</v>
      </c>
    </row>
    <row r="19820" spans="1:6" ht="12.75">
      <c r="A19820" s="2">
        <v>43876.369155092594</v>
      </c>
      <c r="B19820" t="str">
        <f>HYPERLINK("https://twitter.com/Ipinmuach","@Ipinmuach")</f>
        <v>@Ipinmuach</v>
      </c>
      <c r="C19820" t="s">
        <v>9962</v>
      </c>
      <c r="D19820">
        <v>40</v>
      </c>
      <c r="E19820">
        <v>0</v>
      </c>
      <c r="F19820">
        <v>23</v>
      </c>
    </row>
    <row r="19821" spans="1:6" ht="12.75">
      <c r="A19821" s="2">
        <v>43876.369097222225</v>
      </c>
      <c r="B19821" t="str">
        <f>HYPERLINK("https://twitter.com/memtest86","@memtest86")</f>
        <v>@memtest86</v>
      </c>
      <c r="C19821" t="s">
        <v>9963</v>
      </c>
      <c r="D19821">
        <v>0</v>
      </c>
      <c r="E19821">
        <v>0</v>
      </c>
      <c r="F19821">
        <v>31</v>
      </c>
    </row>
    <row r="19822" spans="1:6" ht="12.75">
      <c r="A19822" s="2">
        <v>43876.369027777779</v>
      </c>
      <c r="B19822" t="str">
        <f>HYPERLINK("https://twitter.com/uchimouchi","@uchimouchi")</f>
        <v>@uchimouchi</v>
      </c>
      <c r="C19822" t="s">
        <v>9964</v>
      </c>
      <c r="D19822">
        <v>654</v>
      </c>
      <c r="E19822">
        <v>0</v>
      </c>
      <c r="F19822">
        <v>715</v>
      </c>
    </row>
    <row r="19823" spans="1:6" ht="12.75">
      <c r="A19823" s="2">
        <v>43876.368946759263</v>
      </c>
      <c r="B19823" t="str">
        <f>HYPERLINK("https://twitter.com/adarmawan01","@adarmawan01")</f>
        <v>@adarmawan01</v>
      </c>
      <c r="C19823" t="s">
        <v>9198</v>
      </c>
      <c r="D19823">
        <v>138</v>
      </c>
      <c r="E19823">
        <v>0</v>
      </c>
      <c r="F19823">
        <v>47</v>
      </c>
    </row>
    <row r="19824" spans="1:6" ht="12.75">
      <c r="A19824" s="2">
        <v>43876.368935185186</v>
      </c>
      <c r="B19824" t="str">
        <f>HYPERLINK("https://twitter.com/arnslst","@arnslst")</f>
        <v>@arnslst</v>
      </c>
      <c r="C19824" t="s">
        <v>9123</v>
      </c>
      <c r="D19824">
        <v>323</v>
      </c>
      <c r="E19824">
        <v>0</v>
      </c>
      <c r="F19824">
        <v>53</v>
      </c>
    </row>
    <row r="19825" spans="1:6" ht="12.75">
      <c r="A19825" s="2">
        <v>43876.368923611109</v>
      </c>
      <c r="B19825" t="str">
        <f>HYPERLINK("https://twitter.com/okezonenews","@okezonenews")</f>
        <v>@okezonenews</v>
      </c>
      <c r="C19825" t="s">
        <v>9965</v>
      </c>
      <c r="D19825">
        <v>0</v>
      </c>
      <c r="E19825">
        <v>0</v>
      </c>
      <c r="F19825">
        <v>1743785</v>
      </c>
    </row>
    <row r="19826" spans="1:6" ht="12.75">
      <c r="A19826" s="2">
        <v>43876.368750000001</v>
      </c>
      <c r="B19826" t="str">
        <f>HYPERLINK("https://twitter.com/sweethellena","@sweethellena")</f>
        <v>@sweethellena</v>
      </c>
      <c r="C19826" t="s">
        <v>9966</v>
      </c>
      <c r="D19826">
        <v>0</v>
      </c>
      <c r="E19826">
        <v>1</v>
      </c>
      <c r="F19826">
        <v>6125</v>
      </c>
    </row>
    <row r="19827" spans="1:6" ht="12.75">
      <c r="A19827" s="2">
        <v>43876.368622685186</v>
      </c>
      <c r="B19827" t="str">
        <f>HYPERLINK("https://twitter.com/isssnanana","@isssnanana")</f>
        <v>@isssnanana</v>
      </c>
      <c r="C19827" t="s">
        <v>2444</v>
      </c>
      <c r="D19827">
        <v>3706</v>
      </c>
      <c r="E19827">
        <v>0</v>
      </c>
      <c r="F19827">
        <v>587</v>
      </c>
    </row>
    <row r="19828" spans="1:6" ht="12.75">
      <c r="A19828" s="2">
        <v>43876.368599537032</v>
      </c>
      <c r="B19828" t="str">
        <f>HYPERLINK("https://twitter.com/vousmesena","@vousmesena")</f>
        <v>@vousmesena</v>
      </c>
      <c r="C19828" t="s">
        <v>5168</v>
      </c>
      <c r="D19828">
        <v>1361</v>
      </c>
      <c r="E19828">
        <v>0</v>
      </c>
      <c r="F19828">
        <v>1149</v>
      </c>
    </row>
    <row r="19829" spans="1:6" ht="12.75">
      <c r="A19829" s="2">
        <v>43876.368530092594</v>
      </c>
      <c r="B19829" t="str">
        <f>HYPERLINK("https://twitter.com/FreeThinkerGL","@FreeThinkerGL")</f>
        <v>@FreeThinkerGL</v>
      </c>
      <c r="C19829" t="s">
        <v>9967</v>
      </c>
      <c r="D19829">
        <v>0</v>
      </c>
      <c r="E19829">
        <v>0</v>
      </c>
      <c r="F19829">
        <v>2207</v>
      </c>
    </row>
    <row r="19830" spans="1:6" ht="12.75">
      <c r="A19830" s="2">
        <v>43876.368414351848</v>
      </c>
      <c r="B19830" t="str">
        <f>HYPERLINK("https://twitter.com/andalascoffee","@andalascoffee")</f>
        <v>@andalascoffee</v>
      </c>
      <c r="C19830" t="s">
        <v>6201</v>
      </c>
      <c r="D19830">
        <v>429</v>
      </c>
      <c r="E19830">
        <v>0</v>
      </c>
      <c r="F19830">
        <v>9</v>
      </c>
    </row>
    <row r="19831" spans="1:6" ht="12.75">
      <c r="A19831" s="2">
        <v>43876.368252314816</v>
      </c>
      <c r="B19831" t="str">
        <f>HYPERLINK("https://twitter.com/neptucne","@neptucne")</f>
        <v>@neptucne</v>
      </c>
      <c r="C19831" t="s">
        <v>2444</v>
      </c>
      <c r="D19831">
        <v>3706</v>
      </c>
      <c r="E19831">
        <v>0</v>
      </c>
      <c r="F19831">
        <v>838</v>
      </c>
    </row>
    <row r="19832" spans="1:6" ht="12.75">
      <c r="A19832" s="2">
        <v>43876.367974537032</v>
      </c>
      <c r="B19832" t="str">
        <f>HYPERLINK("https://twitter.com/uchimouchi","@uchimouchi")</f>
        <v>@uchimouchi</v>
      </c>
      <c r="C19832" t="s">
        <v>2444</v>
      </c>
      <c r="D19832">
        <v>3706</v>
      </c>
      <c r="E19832">
        <v>0</v>
      </c>
      <c r="F19832">
        <v>715</v>
      </c>
    </row>
    <row r="19833" spans="1:6" ht="12.75">
      <c r="A19833" s="2">
        <v>43876.36787037037</v>
      </c>
      <c r="B19833" t="str">
        <f>HYPERLINK("https://twitter.com/Official_OGI","@Official_OGI")</f>
        <v>@Official_OGI</v>
      </c>
      <c r="C19833" t="s">
        <v>9746</v>
      </c>
      <c r="D19833">
        <v>450</v>
      </c>
      <c r="E19833">
        <v>0</v>
      </c>
      <c r="F19833">
        <v>1109</v>
      </c>
    </row>
    <row r="19834" spans="1:6" ht="12.75">
      <c r="A19834" s="2">
        <v>43876.367592592593</v>
      </c>
      <c r="B19834" t="str">
        <f>HYPERLINK("https://twitter.com/nvksooo","@nvksooo")</f>
        <v>@nvksooo</v>
      </c>
      <c r="C19834" t="s">
        <v>2137</v>
      </c>
      <c r="D19834">
        <v>248</v>
      </c>
      <c r="E19834">
        <v>0</v>
      </c>
      <c r="F19834">
        <v>144</v>
      </c>
    </row>
    <row r="19835" spans="1:6" ht="12.75">
      <c r="A19835" s="2">
        <v>43876.36755787037</v>
      </c>
      <c r="B19835" t="str">
        <f>HYPERLINK("https://twitter.com/yaaabag_","@yaaabag_")</f>
        <v>@yaaabag_</v>
      </c>
      <c r="C19835" t="s">
        <v>9968</v>
      </c>
      <c r="D19835">
        <v>218</v>
      </c>
      <c r="E19835">
        <v>0</v>
      </c>
      <c r="F19835">
        <v>417</v>
      </c>
    </row>
    <row r="19836" spans="1:6" ht="12.75">
      <c r="A19836" s="2">
        <v>43876.367407407408</v>
      </c>
      <c r="B19836" t="str">
        <f>HYPERLINK("https://twitter.com/Rmanalu7","@Rmanalu7")</f>
        <v>@Rmanalu7</v>
      </c>
      <c r="C19836" t="s">
        <v>9969</v>
      </c>
      <c r="D19836">
        <v>0</v>
      </c>
      <c r="E19836">
        <v>0</v>
      </c>
      <c r="F19836">
        <v>24</v>
      </c>
    </row>
    <row r="19837" spans="1:6" ht="12.75">
      <c r="A19837" s="2">
        <v>43876.367326388892</v>
      </c>
      <c r="B19837" t="str">
        <f>HYPERLINK("https://twitter.com/YohanesPatty2","@YohanesPatty2")</f>
        <v>@YohanesPatty2</v>
      </c>
      <c r="C19837" t="s">
        <v>9970</v>
      </c>
      <c r="D19837">
        <v>0</v>
      </c>
      <c r="E19837">
        <v>0</v>
      </c>
      <c r="F19837">
        <v>5560</v>
      </c>
    </row>
    <row r="19838" spans="1:6" ht="12.75">
      <c r="A19838" s="2">
        <v>43876.36719907407</v>
      </c>
      <c r="B19838" t="str">
        <f>HYPERLINK("https://twitter.com/youliyoud","@youliyoud")</f>
        <v>@youliyoud</v>
      </c>
      <c r="C19838" t="s">
        <v>9971</v>
      </c>
      <c r="D19838">
        <v>8</v>
      </c>
      <c r="E19838">
        <v>0</v>
      </c>
      <c r="F19838">
        <v>21</v>
      </c>
    </row>
    <row r="19839" spans="1:6" ht="12.75">
      <c r="A19839" s="2">
        <v>43876.367048611108</v>
      </c>
      <c r="B19839" t="str">
        <f>HYPERLINK("https://twitter.com/elHurryKoRn","@elHurryKoRn")</f>
        <v>@elHurryKoRn</v>
      </c>
      <c r="C19839" t="s">
        <v>9972</v>
      </c>
      <c r="D19839">
        <v>0</v>
      </c>
      <c r="E19839">
        <v>0</v>
      </c>
      <c r="F19839">
        <v>19196</v>
      </c>
    </row>
    <row r="19840" spans="1:6" ht="12.75">
      <c r="A19840" s="2">
        <v>43876.366967592592</v>
      </c>
      <c r="B19840" t="str">
        <f>HYPERLINK("https://twitter.com/k4ng_C1reNG","@k4ng_C1reNG")</f>
        <v>@k4ng_C1reNG</v>
      </c>
      <c r="C19840" t="s">
        <v>9973</v>
      </c>
      <c r="D19840">
        <v>1</v>
      </c>
      <c r="E19840">
        <v>0</v>
      </c>
      <c r="F19840">
        <v>2344</v>
      </c>
    </row>
    <row r="19841" spans="1:6" ht="12.75">
      <c r="A19841" s="2">
        <v>43876.366909722223</v>
      </c>
      <c r="B19841" t="str">
        <f>HYPERLINK("https://twitter.com/beritapajak","@beritapajak")</f>
        <v>@beritapajak</v>
      </c>
      <c r="C19841" t="s">
        <v>9974</v>
      </c>
      <c r="D19841">
        <v>0</v>
      </c>
      <c r="E19841">
        <v>0</v>
      </c>
      <c r="F19841">
        <v>12970</v>
      </c>
    </row>
    <row r="19842" spans="1:6" ht="12.75">
      <c r="A19842" s="2">
        <v>43876.366793981477</v>
      </c>
      <c r="B19842" t="str">
        <f>HYPERLINK("https://twitter.com/itsmevhi_","@itsmevhi_")</f>
        <v>@itsmevhi_</v>
      </c>
      <c r="C19842" t="s">
        <v>2444</v>
      </c>
      <c r="D19842">
        <v>3706</v>
      </c>
      <c r="E19842">
        <v>0</v>
      </c>
      <c r="F19842">
        <v>379</v>
      </c>
    </row>
    <row r="19843" spans="1:6" ht="12.75">
      <c r="A19843" s="2">
        <v>43876.366585648153</v>
      </c>
      <c r="B19843" t="str">
        <f>HYPERLINK("https://twitter.com/suryakepricom","@suryakepricom")</f>
        <v>@suryakepricom</v>
      </c>
      <c r="C19843" t="s">
        <v>9975</v>
      </c>
      <c r="D19843">
        <v>0</v>
      </c>
      <c r="E19843">
        <v>0</v>
      </c>
      <c r="F19843">
        <v>13</v>
      </c>
    </row>
    <row r="19844" spans="1:6" ht="12.75">
      <c r="A19844" s="2">
        <v>43876.366562499999</v>
      </c>
      <c r="B19844" t="str">
        <f>HYPERLINK("https://twitter.com/eddymesakh","@eddymesakh")</f>
        <v>@eddymesakh</v>
      </c>
      <c r="C19844" t="s">
        <v>9975</v>
      </c>
      <c r="D19844">
        <v>0</v>
      </c>
      <c r="E19844">
        <v>0</v>
      </c>
      <c r="F19844">
        <v>186</v>
      </c>
    </row>
    <row r="19845" spans="1:6" ht="12.75">
      <c r="A19845" s="2">
        <v>43876.366469907407</v>
      </c>
      <c r="B19845" t="str">
        <f>HYPERLINK("https://twitter.com/webare_","@webare_")</f>
        <v>@webare_</v>
      </c>
      <c r="C19845" t="s">
        <v>2444</v>
      </c>
      <c r="D19845">
        <v>3706</v>
      </c>
      <c r="E19845">
        <v>0</v>
      </c>
      <c r="F19845">
        <v>1071</v>
      </c>
    </row>
    <row r="19846" spans="1:6" ht="12.75">
      <c r="A19846" s="2">
        <v>43876.366284722222</v>
      </c>
      <c r="B19846" t="str">
        <f>HYPERLINK("https://twitter.com/mudha_satriya","@mudha_satriya")</f>
        <v>@mudha_satriya</v>
      </c>
      <c r="C19846" t="s">
        <v>9976</v>
      </c>
      <c r="D19846">
        <v>2</v>
      </c>
      <c r="E19846">
        <v>0</v>
      </c>
      <c r="F19846">
        <v>1877</v>
      </c>
    </row>
    <row r="19847" spans="1:6" ht="12.75">
      <c r="A19847" s="2">
        <v>43876.366053240738</v>
      </c>
      <c r="B19847" t="str">
        <f>HYPERLINK("https://twitter.com/PuspitaAyu_12","@PuspitaAyu_12")</f>
        <v>@PuspitaAyu_12</v>
      </c>
      <c r="C19847" t="s">
        <v>2444</v>
      </c>
      <c r="D19847">
        <v>3706</v>
      </c>
      <c r="E19847">
        <v>0</v>
      </c>
      <c r="F19847">
        <v>367</v>
      </c>
    </row>
    <row r="19848" spans="1:6" ht="12.75">
      <c r="A19848" s="2">
        <v>43876.366041666668</v>
      </c>
      <c r="B19848" t="str">
        <f>HYPERLINK("https://twitter.com/sebuttaragntng","@sebuttaragntng")</f>
        <v>@sebuttaragntng</v>
      </c>
      <c r="C19848" t="s">
        <v>2444</v>
      </c>
      <c r="D19848">
        <v>3706</v>
      </c>
      <c r="E19848">
        <v>0</v>
      </c>
      <c r="F19848">
        <v>104</v>
      </c>
    </row>
    <row r="19849" spans="1:6" ht="12.75">
      <c r="A19849" s="2">
        <v>43876.365567129629</v>
      </c>
      <c r="B19849" t="str">
        <f>HYPERLINK("https://twitter.com/Syindhu","@Syindhu")</f>
        <v>@Syindhu</v>
      </c>
      <c r="C19849" t="s">
        <v>9977</v>
      </c>
      <c r="D19849">
        <v>0</v>
      </c>
      <c r="E19849">
        <v>0</v>
      </c>
      <c r="F19849">
        <v>196</v>
      </c>
    </row>
    <row r="19850" spans="1:6" ht="12.75">
      <c r="A19850" s="2">
        <v>43876.36555555556</v>
      </c>
      <c r="B19850" t="str">
        <f>HYPERLINK("https://twitter.com/__beritaterkini","@__beritaterkini")</f>
        <v>@__beritaterkini</v>
      </c>
      <c r="C19850" t="s">
        <v>9978</v>
      </c>
      <c r="D19850">
        <v>0</v>
      </c>
      <c r="E19850">
        <v>0</v>
      </c>
      <c r="F19850">
        <v>422</v>
      </c>
    </row>
    <row r="19851" spans="1:6" ht="12.75">
      <c r="A19851" s="2">
        <v>43876.33493055556</v>
      </c>
      <c r="B19851" t="str">
        <f>HYPERLINK("https://twitter.com/miskiy28","@miskiy28")</f>
        <v>@miskiy28</v>
      </c>
      <c r="C19851" t="s">
        <v>9979</v>
      </c>
      <c r="D19851">
        <v>2</v>
      </c>
      <c r="E19851">
        <v>0</v>
      </c>
      <c r="F19851">
        <v>629</v>
      </c>
    </row>
    <row r="19852" spans="1:6" ht="12.75">
      <c r="A19852" s="2">
        <v>43876.334687499999</v>
      </c>
      <c r="B19852" t="str">
        <f>HYPERLINK("https://twitter.com/RazkaFaiz","@RazkaFaiz")</f>
        <v>@RazkaFaiz</v>
      </c>
      <c r="C19852" t="s">
        <v>9980</v>
      </c>
      <c r="D19852">
        <v>0</v>
      </c>
      <c r="E19852">
        <v>0</v>
      </c>
      <c r="F19852">
        <v>1237</v>
      </c>
    </row>
    <row r="19853" spans="1:6" ht="12.75">
      <c r="A19853" s="2">
        <v>43876.334664351853</v>
      </c>
      <c r="B19853" t="str">
        <f>HYPERLINK("https://twitter.com/tvaniaa","@tvaniaa")</f>
        <v>@tvaniaa</v>
      </c>
      <c r="C19853" t="s">
        <v>2444</v>
      </c>
      <c r="D19853">
        <v>3599</v>
      </c>
      <c r="E19853">
        <v>0</v>
      </c>
      <c r="F19853">
        <v>834</v>
      </c>
    </row>
    <row r="19854" spans="1:6" ht="12.75">
      <c r="A19854" s="2">
        <v>43876.334525462968</v>
      </c>
      <c r="B19854" t="str">
        <f>HYPERLINK("https://twitter.com/mahmuji_","@mahmuji_")</f>
        <v>@mahmuji_</v>
      </c>
      <c r="C19854" t="s">
        <v>2444</v>
      </c>
      <c r="D19854">
        <v>3599</v>
      </c>
      <c r="E19854">
        <v>0</v>
      </c>
      <c r="F19854">
        <v>193</v>
      </c>
    </row>
    <row r="19855" spans="1:6" ht="12.75">
      <c r="A19855" s="2">
        <v>43876.334247685183</v>
      </c>
      <c r="B19855" t="str">
        <f>HYPERLINK("https://twitter.com/ApfiaNikho","@ApfiaNikho")</f>
        <v>@ApfiaNikho</v>
      </c>
      <c r="C19855" t="s">
        <v>9981</v>
      </c>
      <c r="D19855">
        <v>24</v>
      </c>
      <c r="E19855">
        <v>0</v>
      </c>
      <c r="F19855">
        <v>547</v>
      </c>
    </row>
    <row r="19856" spans="1:6" ht="12.75">
      <c r="A19856" s="2">
        <v>43876.334062499998</v>
      </c>
      <c r="B19856" t="str">
        <f>HYPERLINK("https://twitter.com/yutamissyuuu","@yutamissyuuu")</f>
        <v>@yutamissyuuu</v>
      </c>
      <c r="C19856" t="s">
        <v>5168</v>
      </c>
      <c r="D19856">
        <v>1334</v>
      </c>
      <c r="E19856">
        <v>0</v>
      </c>
      <c r="F19856">
        <v>1285</v>
      </c>
    </row>
    <row r="19857" spans="1:6" ht="12.75">
      <c r="A19857" s="2">
        <v>43876.334050925929</v>
      </c>
      <c r="B19857" t="str">
        <f>HYPERLINK("https://twitter.com/baenyu10","@baenyu10")</f>
        <v>@baenyu10</v>
      </c>
      <c r="C19857" t="s">
        <v>5168</v>
      </c>
      <c r="D19857">
        <v>1334</v>
      </c>
      <c r="E19857">
        <v>0</v>
      </c>
      <c r="F19857">
        <v>915</v>
      </c>
    </row>
    <row r="19858" spans="1:6" ht="12.75">
      <c r="A19858" s="2">
        <v>43876.334027777775</v>
      </c>
      <c r="B19858" t="str">
        <f>HYPERLINK("https://twitter.com/riiskiep","@riiskiep")</f>
        <v>@riiskiep</v>
      </c>
      <c r="C19858" t="s">
        <v>5168</v>
      </c>
      <c r="D19858">
        <v>1334</v>
      </c>
      <c r="E19858">
        <v>0</v>
      </c>
      <c r="F19858">
        <v>355</v>
      </c>
    </row>
    <row r="19859" spans="1:6" ht="12.75">
      <c r="A19859" s="2">
        <v>43876.333796296298</v>
      </c>
      <c r="B19859" t="str">
        <f>HYPERLINK("https://twitter.com/frenimz","@frenimz")</f>
        <v>@frenimz</v>
      </c>
      <c r="C19859" t="s">
        <v>3799</v>
      </c>
      <c r="D19859">
        <v>3653</v>
      </c>
      <c r="E19859">
        <v>0</v>
      </c>
      <c r="F19859">
        <v>309</v>
      </c>
    </row>
    <row r="19860" spans="1:6" ht="12.75">
      <c r="A19860" s="2">
        <v>43876.333587962959</v>
      </c>
      <c r="B19860" t="str">
        <f>HYPERLINK("https://twitter.com/riaaesen","@riaaesen")</f>
        <v>@riaaesen</v>
      </c>
      <c r="C19860" t="s">
        <v>2444</v>
      </c>
      <c r="D19860">
        <v>3599</v>
      </c>
      <c r="E19860">
        <v>0</v>
      </c>
      <c r="F19860">
        <v>510</v>
      </c>
    </row>
    <row r="19861" spans="1:6" ht="12.75">
      <c r="A19861" s="2">
        <v>43876.333564814813</v>
      </c>
      <c r="B19861" t="str">
        <f>HYPERLINK("https://twitter.com/fransis72844426","@fransis72844426")</f>
        <v>@fransis72844426</v>
      </c>
      <c r="C19861" t="s">
        <v>9982</v>
      </c>
      <c r="D19861">
        <v>0</v>
      </c>
      <c r="E19861">
        <v>0</v>
      </c>
      <c r="F19861">
        <v>5</v>
      </c>
    </row>
    <row r="19862" spans="1:6" ht="12.75">
      <c r="A19862" s="2">
        <v>43876.333356481482</v>
      </c>
      <c r="B19862" t="str">
        <f>HYPERLINK("https://twitter.com/kondekturbus_","@kondekturbus_")</f>
        <v>@kondekturbus_</v>
      </c>
      <c r="C19862" t="s">
        <v>8890</v>
      </c>
      <c r="D19862">
        <v>10</v>
      </c>
      <c r="E19862">
        <v>0</v>
      </c>
      <c r="F19862">
        <v>14041</v>
      </c>
    </row>
    <row r="19863" spans="1:6" ht="12.75">
      <c r="A19863" s="2">
        <v>43876.333333333328</v>
      </c>
      <c r="B19863" t="str">
        <f>HYPERLINK("https://twitter.com/MeTubeID","@MeTubeID")</f>
        <v>@MeTubeID</v>
      </c>
      <c r="C19863" t="s">
        <v>5997</v>
      </c>
      <c r="D19863">
        <v>0</v>
      </c>
      <c r="E19863">
        <v>0</v>
      </c>
      <c r="F19863">
        <v>6296</v>
      </c>
    </row>
    <row r="19864" spans="1:6" ht="12.75">
      <c r="A19864" s="2">
        <v>43876.333032407405</v>
      </c>
      <c r="B19864" t="str">
        <f>HYPERLINK("https://twitter.com/fairylight_____","@fairylight_____")</f>
        <v>@fairylight_____</v>
      </c>
      <c r="C19864" t="s">
        <v>9983</v>
      </c>
      <c r="D19864">
        <v>7</v>
      </c>
      <c r="E19864">
        <v>0</v>
      </c>
      <c r="F19864">
        <v>147</v>
      </c>
    </row>
    <row r="19865" spans="1:6" ht="12.75">
      <c r="A19865" s="2">
        <v>43876.332858796297</v>
      </c>
      <c r="B19865" t="str">
        <f>HYPERLINK("https://twitter.com/HengkyHenuk1","@HengkyHenuk1")</f>
        <v>@HengkyHenuk1</v>
      </c>
      <c r="C19865" t="s">
        <v>9984</v>
      </c>
      <c r="D19865">
        <v>1</v>
      </c>
      <c r="E19865">
        <v>0</v>
      </c>
      <c r="F19865">
        <v>1842</v>
      </c>
    </row>
    <row r="19866" spans="1:6" ht="12.75">
      <c r="A19866" s="2">
        <v>43876.33284722222</v>
      </c>
      <c r="B19866" t="str">
        <f>HYPERLINK("https://twitter.com/ernanabilla","@ernanabilla")</f>
        <v>@ernanabilla</v>
      </c>
      <c r="C19866" t="s">
        <v>7946</v>
      </c>
      <c r="D19866">
        <v>23</v>
      </c>
      <c r="E19866">
        <v>0</v>
      </c>
      <c r="F19866">
        <v>2026</v>
      </c>
    </row>
    <row r="19867" spans="1:6" ht="12.75">
      <c r="A19867" s="2">
        <v>43876.332789351851</v>
      </c>
      <c r="B19867" t="str">
        <f>HYPERLINK("https://twitter.com/gaksukaseblak","@gaksukaseblak")</f>
        <v>@gaksukaseblak</v>
      </c>
      <c r="C19867" t="s">
        <v>2444</v>
      </c>
      <c r="D19867">
        <v>3599</v>
      </c>
      <c r="E19867">
        <v>0</v>
      </c>
      <c r="F19867">
        <v>12073</v>
      </c>
    </row>
    <row r="19868" spans="1:6" ht="12.75">
      <c r="A19868" s="2">
        <v>43876.332789351851</v>
      </c>
      <c r="B19868" t="str">
        <f>HYPERLINK("https://twitter.com/RegilRasid","@RegilRasid")</f>
        <v>@RegilRasid</v>
      </c>
      <c r="C19868" t="s">
        <v>3059</v>
      </c>
      <c r="D19868">
        <v>45</v>
      </c>
      <c r="E19868">
        <v>0</v>
      </c>
      <c r="F19868">
        <v>709</v>
      </c>
    </row>
    <row r="19869" spans="1:6" ht="12.75">
      <c r="A19869" s="2">
        <v>43876.332708333328</v>
      </c>
      <c r="B19869" t="str">
        <f>HYPERLINK("https://twitter.com/RRimbunwijaya","@RRimbunwijaya")</f>
        <v>@RRimbunwijaya</v>
      </c>
      <c r="C19869" t="s">
        <v>8754</v>
      </c>
      <c r="D19869">
        <v>41</v>
      </c>
      <c r="E19869">
        <v>0</v>
      </c>
      <c r="F19869">
        <v>480</v>
      </c>
    </row>
    <row r="19870" spans="1:6" ht="12.75">
      <c r="A19870" s="2">
        <v>43876.332615740743</v>
      </c>
      <c r="B19870" t="str">
        <f>HYPERLINK("https://twitter.com/IzhalSugali","@IzhalSugali")</f>
        <v>@IzhalSugali</v>
      </c>
      <c r="C19870" t="s">
        <v>3059</v>
      </c>
      <c r="D19870">
        <v>45</v>
      </c>
      <c r="E19870">
        <v>0</v>
      </c>
      <c r="F19870">
        <v>286</v>
      </c>
    </row>
    <row r="19871" spans="1:6" ht="12.75">
      <c r="A19871" s="2">
        <v>43876.332604166666</v>
      </c>
      <c r="B19871" t="str">
        <f>HYPERLINK("https://twitter.com/ijjaa_","@ijjaa_")</f>
        <v>@ijjaa_</v>
      </c>
      <c r="C19871" t="s">
        <v>2444</v>
      </c>
      <c r="D19871">
        <v>3599</v>
      </c>
      <c r="E19871">
        <v>0</v>
      </c>
      <c r="F19871">
        <v>3702</v>
      </c>
    </row>
    <row r="19872" spans="1:6" ht="12.75">
      <c r="A19872" s="2">
        <v>43876.332604166666</v>
      </c>
      <c r="B19872" t="str">
        <f>HYPERLINK("https://twitter.com/realitesuce","@realitesuce")</f>
        <v>@realitesuce</v>
      </c>
      <c r="C19872" t="s">
        <v>2444</v>
      </c>
      <c r="D19872">
        <v>3599</v>
      </c>
      <c r="E19872">
        <v>0</v>
      </c>
      <c r="F19872">
        <v>73</v>
      </c>
    </row>
    <row r="19873" spans="1:6" ht="12.75">
      <c r="A19873" s="2">
        <v>43876.33258101852</v>
      </c>
      <c r="B19873" t="str">
        <f>HYPERLINK("https://twitter.com/ino_mufc","@ino_mufc")</f>
        <v>@ino_mufc</v>
      </c>
      <c r="C19873" t="s">
        <v>6201</v>
      </c>
      <c r="D19873">
        <v>407</v>
      </c>
      <c r="E19873">
        <v>0</v>
      </c>
      <c r="F19873">
        <v>387</v>
      </c>
    </row>
    <row r="19874" spans="1:6" ht="12.75">
      <c r="A19874" s="2">
        <v>43876.332534722227</v>
      </c>
      <c r="B19874" t="str">
        <f>HYPERLINK("https://twitter.com/Sehun_sy","@Sehun_sy")</f>
        <v>@Sehun_sy</v>
      </c>
      <c r="C19874" t="s">
        <v>2444</v>
      </c>
      <c r="D19874">
        <v>3599</v>
      </c>
      <c r="E19874">
        <v>0</v>
      </c>
      <c r="F19874">
        <v>25</v>
      </c>
    </row>
    <row r="19875" spans="1:6" ht="12.75">
      <c r="A19875" s="2">
        <v>43876.332500000004</v>
      </c>
      <c r="B19875" t="str">
        <f>HYPERLINK("https://twitter.com/jlithenk_Syam","@jlithenk_Syam")</f>
        <v>@jlithenk_Syam</v>
      </c>
      <c r="C19875" t="s">
        <v>6201</v>
      </c>
      <c r="D19875">
        <v>407</v>
      </c>
      <c r="E19875">
        <v>0</v>
      </c>
      <c r="F19875">
        <v>282</v>
      </c>
    </row>
    <row r="19876" spans="1:6" ht="12.75">
      <c r="A19876" s="2">
        <v>43876.332395833335</v>
      </c>
      <c r="B19876" t="str">
        <f>HYPERLINK("https://twitter.com/arny_arpianty","@arny_arpianty")</f>
        <v>@arny_arpianty</v>
      </c>
      <c r="C19876" t="s">
        <v>2444</v>
      </c>
      <c r="D19876">
        <v>3599</v>
      </c>
      <c r="E19876">
        <v>0</v>
      </c>
      <c r="F19876">
        <v>904</v>
      </c>
    </row>
    <row r="19877" spans="1:6" ht="12.75">
      <c r="A19877" s="2">
        <v>43876.332071759258</v>
      </c>
      <c r="B19877" t="str">
        <f>HYPERLINK("https://twitter.com/ToniSugiri","@ToniSugiri")</f>
        <v>@ToniSugiri</v>
      </c>
      <c r="C19877" t="s">
        <v>9585</v>
      </c>
      <c r="D19877">
        <v>1</v>
      </c>
      <c r="E19877">
        <v>0</v>
      </c>
      <c r="F19877">
        <v>1524</v>
      </c>
    </row>
    <row r="19878" spans="1:6" ht="12.75">
      <c r="A19878" s="2">
        <v>43876.332060185188</v>
      </c>
      <c r="B19878" t="str">
        <f>HYPERLINK("https://twitter.com/dyhrm","@dyhrm")</f>
        <v>@dyhrm</v>
      </c>
      <c r="C19878" t="s">
        <v>2444</v>
      </c>
      <c r="D19878">
        <v>3599</v>
      </c>
      <c r="E19878">
        <v>0</v>
      </c>
      <c r="F19878">
        <v>292</v>
      </c>
    </row>
    <row r="19879" spans="1:6" ht="12.75">
      <c r="A19879" s="2">
        <v>43876.331990740742</v>
      </c>
      <c r="B19879" t="str">
        <f>HYPERLINK("https://twitter.com/onedheeis","@onedheeis")</f>
        <v>@onedheeis</v>
      </c>
      <c r="C19879" t="s">
        <v>6201</v>
      </c>
      <c r="D19879">
        <v>407</v>
      </c>
      <c r="E19879">
        <v>0</v>
      </c>
      <c r="F19879">
        <v>946</v>
      </c>
    </row>
    <row r="19880" spans="1:6" ht="12.75">
      <c r="A19880" s="2">
        <v>43876.33189814815</v>
      </c>
      <c r="B19880" t="str">
        <f>HYPERLINK("https://twitter.com/ToniSugiri","@ToniSugiri")</f>
        <v>@ToniSugiri</v>
      </c>
      <c r="C19880" t="s">
        <v>9985</v>
      </c>
      <c r="D19880">
        <v>0</v>
      </c>
      <c r="E19880">
        <v>0</v>
      </c>
      <c r="F19880">
        <v>1524</v>
      </c>
    </row>
    <row r="19881" spans="1:6" ht="12.75">
      <c r="A19881" s="2">
        <v>43876.331608796296</v>
      </c>
      <c r="B19881" t="str">
        <f>HYPERLINK("https://twitter.com/NyaiIteung10","@NyaiIteung10")</f>
        <v>@NyaiIteung10</v>
      </c>
      <c r="C19881" t="s">
        <v>9986</v>
      </c>
      <c r="D19881">
        <v>3</v>
      </c>
      <c r="E19881">
        <v>0</v>
      </c>
      <c r="F19881">
        <v>2</v>
      </c>
    </row>
    <row r="19882" spans="1:6" ht="12.75">
      <c r="A19882" s="2">
        <v>43876.331608796296</v>
      </c>
      <c r="B19882" t="str">
        <f>HYPERLINK("https://twitter.com/slvyrhy","@slvyrhy")</f>
        <v>@slvyrhy</v>
      </c>
      <c r="C19882" t="s">
        <v>2444</v>
      </c>
      <c r="D19882">
        <v>3599</v>
      </c>
      <c r="E19882">
        <v>0</v>
      </c>
      <c r="F19882">
        <v>235</v>
      </c>
    </row>
    <row r="19883" spans="1:6" ht="12.75">
      <c r="A19883" s="2">
        <v>43876.33148148148</v>
      </c>
      <c r="B19883" t="str">
        <f>HYPERLINK("https://twitter.com/diiiaaahhhhh","@diiiaaahhhhh")</f>
        <v>@diiiaaahhhhh</v>
      </c>
      <c r="C19883" t="s">
        <v>2444</v>
      </c>
      <c r="D19883">
        <v>3599</v>
      </c>
      <c r="E19883">
        <v>0</v>
      </c>
      <c r="F19883">
        <v>737</v>
      </c>
    </row>
    <row r="19884" spans="1:6" ht="12.75">
      <c r="A19884" s="2">
        <v>43876.331412037034</v>
      </c>
      <c r="B19884" t="str">
        <f>HYPERLINK("https://twitter.com/ZoelFawzie","@ZoelFawzie")</f>
        <v>@ZoelFawzie</v>
      </c>
      <c r="C19884" t="s">
        <v>9987</v>
      </c>
      <c r="D19884">
        <v>1</v>
      </c>
      <c r="E19884">
        <v>0</v>
      </c>
      <c r="F19884">
        <v>5724</v>
      </c>
    </row>
    <row r="19885" spans="1:6" ht="12.75">
      <c r="A19885" s="2">
        <v>43876.331365740742</v>
      </c>
      <c r="B19885" t="str">
        <f>HYPERLINK("https://twitter.com/gerryndo","@gerryndo")</f>
        <v>@gerryndo</v>
      </c>
      <c r="C19885" t="s">
        <v>6201</v>
      </c>
      <c r="D19885">
        <v>407</v>
      </c>
      <c r="E19885">
        <v>0</v>
      </c>
      <c r="F19885">
        <v>574</v>
      </c>
    </row>
    <row r="19886" spans="1:6" ht="12.75">
      <c r="A19886" s="2">
        <v>43876.331342592588</v>
      </c>
      <c r="B19886" t="str">
        <f>HYPERLINK("https://twitter.com/bon_nugroho","@bon_nugroho")</f>
        <v>@bon_nugroho</v>
      </c>
      <c r="C19886" t="s">
        <v>3059</v>
      </c>
      <c r="D19886">
        <v>45</v>
      </c>
      <c r="E19886">
        <v>0</v>
      </c>
      <c r="F19886">
        <v>489</v>
      </c>
    </row>
    <row r="19887" spans="1:6" ht="12.75">
      <c r="A19887" s="2">
        <v>43876.331331018519</v>
      </c>
      <c r="B19887" t="str">
        <f>HYPERLINK("https://twitter.com/NegaraKecil","@NegaraKecil")</f>
        <v>@NegaraKecil</v>
      </c>
      <c r="C19887" t="s">
        <v>9198</v>
      </c>
      <c r="D19887">
        <v>129</v>
      </c>
      <c r="E19887">
        <v>0</v>
      </c>
      <c r="F19887">
        <v>1248</v>
      </c>
    </row>
    <row r="19888" spans="1:6" ht="12.75">
      <c r="A19888" s="2">
        <v>43876.331087962964</v>
      </c>
      <c r="B19888" t="str">
        <f>HYPERLINK("https://twitter.com/ahsanfurqanib10","@ahsanfurqanib10")</f>
        <v>@ahsanfurqanib10</v>
      </c>
      <c r="C19888" t="s">
        <v>5761</v>
      </c>
      <c r="D19888">
        <v>92</v>
      </c>
      <c r="E19888">
        <v>0</v>
      </c>
      <c r="F19888">
        <v>172</v>
      </c>
    </row>
    <row r="19889" spans="1:6" ht="12.75">
      <c r="A19889" s="2">
        <v>43876.330925925926</v>
      </c>
      <c r="B19889" t="str">
        <f>HYPERLINK("https://twitter.com/Lumibright","@Lumibright")</f>
        <v>@Lumibright</v>
      </c>
      <c r="C19889" t="s">
        <v>9988</v>
      </c>
      <c r="D19889">
        <v>0</v>
      </c>
      <c r="E19889">
        <v>0</v>
      </c>
      <c r="F19889">
        <v>10</v>
      </c>
    </row>
    <row r="19890" spans="1:6" ht="12.75">
      <c r="A19890" s="2">
        <v>43876.330925925926</v>
      </c>
      <c r="B19890" t="str">
        <f>HYPERLINK("https://twitter.com/k4ng_C1reNG","@k4ng_C1reNG")</f>
        <v>@k4ng_C1reNG</v>
      </c>
      <c r="C19890" t="s">
        <v>9989</v>
      </c>
      <c r="D19890">
        <v>1</v>
      </c>
      <c r="E19890">
        <v>2</v>
      </c>
      <c r="F19890">
        <v>2325</v>
      </c>
    </row>
    <row r="19891" spans="1:6" ht="12.75">
      <c r="A19891" s="2">
        <v>43876.330682870372</v>
      </c>
      <c r="B19891" t="str">
        <f>HYPERLINK("https://twitter.com/ifniamanahfitri","@ifniamanahfitri")</f>
        <v>@ifniamanahfitri</v>
      </c>
      <c r="C19891" t="s">
        <v>5168</v>
      </c>
      <c r="D19891">
        <v>1334</v>
      </c>
      <c r="E19891">
        <v>0</v>
      </c>
      <c r="F19891">
        <v>503</v>
      </c>
    </row>
    <row r="19892" spans="1:6" ht="12.75">
      <c r="A19892" s="2">
        <v>43876.330509259264</v>
      </c>
      <c r="B19892" t="str">
        <f>HYPERLINK("https://twitter.com/Prima22883043","@Prima22883043")</f>
        <v>@Prima22883043</v>
      </c>
      <c r="C19892" t="s">
        <v>9990</v>
      </c>
      <c r="D19892">
        <v>0</v>
      </c>
      <c r="E19892">
        <v>0</v>
      </c>
      <c r="F19892">
        <v>0</v>
      </c>
    </row>
    <row r="19893" spans="1:6" ht="12.75">
      <c r="A19893" s="2">
        <v>43876.330474537041</v>
      </c>
      <c r="B19893" t="str">
        <f>HYPERLINK("https://twitter.com/Santo_Amora","@Santo_Amora")</f>
        <v>@Santo_Amora</v>
      </c>
      <c r="C19893" t="s">
        <v>3059</v>
      </c>
      <c r="D19893">
        <v>45</v>
      </c>
      <c r="E19893">
        <v>0</v>
      </c>
      <c r="F19893">
        <v>395</v>
      </c>
    </row>
    <row r="19894" spans="1:6" ht="12.75">
      <c r="A19894" s="2">
        <v>43876.330474537041</v>
      </c>
      <c r="B19894" t="str">
        <f>HYPERLINK("https://twitter.com/bakmiyamin","@bakmiyamin")</f>
        <v>@bakmiyamin</v>
      </c>
      <c r="C19894" t="s">
        <v>3799</v>
      </c>
      <c r="D19894">
        <v>3653</v>
      </c>
      <c r="E19894">
        <v>0</v>
      </c>
      <c r="F19894">
        <v>479</v>
      </c>
    </row>
    <row r="19895" spans="1:6" ht="12.75">
      <c r="A19895" s="2">
        <v>43876.330439814818</v>
      </c>
      <c r="B19895" t="str">
        <f>HYPERLINK("https://twitter.com/teguh_korjakbdg","@teguh_korjakbdg")</f>
        <v>@teguh_korjakbdg</v>
      </c>
      <c r="C19895" t="s">
        <v>9991</v>
      </c>
      <c r="D19895">
        <v>0</v>
      </c>
      <c r="E19895">
        <v>0</v>
      </c>
      <c r="F19895">
        <v>226</v>
      </c>
    </row>
    <row r="19896" spans="1:6" ht="12.75">
      <c r="A19896" s="2">
        <v>43876.330324074079</v>
      </c>
      <c r="B19896" t="str">
        <f>HYPERLINK("https://twitter.com/GhazianAW","@GhazianAW")</f>
        <v>@GhazianAW</v>
      </c>
      <c r="C19896" t="s">
        <v>9992</v>
      </c>
      <c r="D19896">
        <v>0</v>
      </c>
      <c r="E19896">
        <v>0</v>
      </c>
      <c r="F19896">
        <v>338</v>
      </c>
    </row>
    <row r="19897" spans="1:6" ht="12.75">
      <c r="A19897" s="2">
        <v>43876.330266203702</v>
      </c>
      <c r="B19897" t="str">
        <f>HYPERLINK("https://twitter.com/aya_ddt","@aya_ddt")</f>
        <v>@aya_ddt</v>
      </c>
      <c r="C19897" t="s">
        <v>9993</v>
      </c>
      <c r="D19897">
        <v>15</v>
      </c>
      <c r="E19897">
        <v>0</v>
      </c>
      <c r="F19897">
        <v>425</v>
      </c>
    </row>
    <row r="19898" spans="1:6" ht="12.75">
      <c r="A19898" s="2">
        <v>43876.330231481479</v>
      </c>
      <c r="B19898" t="str">
        <f t="shared" ref="B19898:B19899" si="314">HYPERLINK("https://twitter.com/beatrice_health","@beatrice_health")</f>
        <v>@beatrice_health</v>
      </c>
      <c r="C19898" t="s">
        <v>9542</v>
      </c>
      <c r="D19898">
        <v>2</v>
      </c>
      <c r="E19898">
        <v>0</v>
      </c>
      <c r="F19898">
        <v>79</v>
      </c>
    </row>
    <row r="19899" spans="1:6" ht="12.75">
      <c r="A19899" s="2">
        <v>43876.330231481479</v>
      </c>
      <c r="B19899" t="str">
        <f t="shared" si="314"/>
        <v>@beatrice_health</v>
      </c>
      <c r="C19899" t="s">
        <v>9542</v>
      </c>
      <c r="D19899">
        <v>2</v>
      </c>
      <c r="E19899">
        <v>0</v>
      </c>
      <c r="F19899">
        <v>79</v>
      </c>
    </row>
    <row r="19900" spans="1:6" ht="12.75">
      <c r="A19900" s="2">
        <v>43876.33021990741</v>
      </c>
      <c r="B19900" t="str">
        <f>HYPERLINK("https://twitter.com/lilyksm","@lilyksm")</f>
        <v>@lilyksm</v>
      </c>
      <c r="C19900" t="s">
        <v>2444</v>
      </c>
      <c r="D19900">
        <v>3599</v>
      </c>
      <c r="E19900">
        <v>0</v>
      </c>
      <c r="F19900">
        <v>191</v>
      </c>
    </row>
    <row r="19901" spans="1:6" ht="12.75">
      <c r="A19901" s="2">
        <v>43876.33017361111</v>
      </c>
      <c r="B19901" t="str">
        <f>HYPERLINK("https://twitter.com/Abu_Maop","@Abu_Maop")</f>
        <v>@Abu_Maop</v>
      </c>
      <c r="C19901" t="s">
        <v>9994</v>
      </c>
      <c r="D19901">
        <v>2</v>
      </c>
      <c r="E19901">
        <v>0</v>
      </c>
      <c r="F19901">
        <v>62</v>
      </c>
    </row>
    <row r="19902" spans="1:6" ht="12.75">
      <c r="A19902" s="2">
        <v>43876.330011574071</v>
      </c>
      <c r="B19902" t="str">
        <f>HYPERLINK("https://twitter.com/ahsanfurqanib10","@ahsanfurqanib10")</f>
        <v>@ahsanfurqanib10</v>
      </c>
      <c r="C19902" t="s">
        <v>9539</v>
      </c>
      <c r="D19902">
        <v>12</v>
      </c>
      <c r="E19902">
        <v>0</v>
      </c>
      <c r="F19902">
        <v>172</v>
      </c>
    </row>
    <row r="19903" spans="1:6" ht="12.75">
      <c r="A19903" s="2">
        <v>43876.329907407402</v>
      </c>
      <c r="B19903" t="str">
        <f>HYPERLINK("https://twitter.com/Risda_HZT","@Risda_HZT")</f>
        <v>@Risda_HZT</v>
      </c>
      <c r="C19903" t="s">
        <v>5168</v>
      </c>
      <c r="D19903">
        <v>1334</v>
      </c>
      <c r="E19903">
        <v>0</v>
      </c>
      <c r="F19903">
        <v>422</v>
      </c>
    </row>
    <row r="19904" spans="1:6" ht="12.75">
      <c r="A19904" s="2">
        <v>43876.329884259263</v>
      </c>
      <c r="B19904" t="str">
        <f>HYPERLINK("https://twitter.com/echochuspuri","@echochuspuri")</f>
        <v>@echochuspuri</v>
      </c>
      <c r="C19904" t="s">
        <v>6201</v>
      </c>
      <c r="D19904">
        <v>407</v>
      </c>
      <c r="E19904">
        <v>0</v>
      </c>
      <c r="F19904">
        <v>237</v>
      </c>
    </row>
    <row r="19905" spans="1:6" ht="12.75">
      <c r="A19905" s="2">
        <v>43876.329826388886</v>
      </c>
      <c r="B19905" t="str">
        <f>HYPERLINK("https://twitter.com/Risda_HZT","@Risda_HZT")</f>
        <v>@Risda_HZT</v>
      </c>
      <c r="C19905" t="s">
        <v>2444</v>
      </c>
      <c r="D19905">
        <v>3599</v>
      </c>
      <c r="E19905">
        <v>0</v>
      </c>
      <c r="F19905">
        <v>422</v>
      </c>
    </row>
    <row r="19906" spans="1:6" ht="12.75">
      <c r="A19906" s="2">
        <v>43876.329733796301</v>
      </c>
      <c r="B19906" t="str">
        <f>HYPERLINK("https://twitter.com/zev93_","@zev93_")</f>
        <v>@zev93_</v>
      </c>
      <c r="C19906" t="s">
        <v>2444</v>
      </c>
      <c r="D19906">
        <v>3599</v>
      </c>
      <c r="E19906">
        <v>0</v>
      </c>
      <c r="F19906">
        <v>74</v>
      </c>
    </row>
    <row r="19907" spans="1:6" ht="12.75">
      <c r="A19907" s="2">
        <v>43876.329652777778</v>
      </c>
      <c r="B19907" t="str">
        <f>HYPERLINK("https://twitter.com/teathetics","@teathetics")</f>
        <v>@teathetics</v>
      </c>
      <c r="C19907" t="s">
        <v>2444</v>
      </c>
      <c r="D19907">
        <v>3599</v>
      </c>
      <c r="E19907">
        <v>0</v>
      </c>
      <c r="F19907">
        <v>721</v>
      </c>
    </row>
    <row r="19908" spans="1:6" ht="12.75">
      <c r="A19908" s="2">
        <v>43876.329618055555</v>
      </c>
      <c r="B19908" t="str">
        <f>HYPERLINK("https://twitter.com/Qiu912","@Qiu912")</f>
        <v>@Qiu912</v>
      </c>
      <c r="C19908" t="s">
        <v>9995</v>
      </c>
      <c r="D19908">
        <v>0</v>
      </c>
      <c r="E19908">
        <v>0</v>
      </c>
      <c r="F19908">
        <v>114</v>
      </c>
    </row>
    <row r="19909" spans="1:6" ht="12.75">
      <c r="A19909" s="2">
        <v>43876.329606481479</v>
      </c>
      <c r="B19909" t="str">
        <f>HYPERLINK("https://twitter.com/TetiRachmawat10","@TetiRachmawat10")</f>
        <v>@TetiRachmawat10</v>
      </c>
      <c r="C19909" t="s">
        <v>9996</v>
      </c>
      <c r="D19909">
        <v>0</v>
      </c>
      <c r="E19909">
        <v>0</v>
      </c>
      <c r="F19909">
        <v>2</v>
      </c>
    </row>
    <row r="19910" spans="1:6" ht="12.75">
      <c r="A19910" s="2">
        <v>43876.329340277778</v>
      </c>
      <c r="B19910" t="str">
        <f>HYPERLINK("https://twitter.com/gezelligcotton","@gezelligcotton")</f>
        <v>@gezelligcotton</v>
      </c>
      <c r="C19910" t="s">
        <v>2444</v>
      </c>
      <c r="D19910">
        <v>3599</v>
      </c>
      <c r="E19910">
        <v>0</v>
      </c>
      <c r="F19910">
        <v>17</v>
      </c>
    </row>
    <row r="19911" spans="1:6" ht="12.75">
      <c r="A19911" s="2">
        <v>43876.329212962963</v>
      </c>
      <c r="B19911" t="str">
        <f>HYPERLINK("https://twitter.com/Rezamorset1","@Rezamorset1")</f>
        <v>@Rezamorset1</v>
      </c>
      <c r="C19911" t="s">
        <v>3059</v>
      </c>
      <c r="D19911">
        <v>45</v>
      </c>
      <c r="E19911">
        <v>0</v>
      </c>
      <c r="F19911">
        <v>2240</v>
      </c>
    </row>
    <row r="19912" spans="1:6" ht="12.75">
      <c r="A19912" s="2">
        <v>43876.329201388886</v>
      </c>
      <c r="B19912" t="str">
        <f>HYPERLINK("https://twitter.com/kondekturbus_","@kondekturbus_")</f>
        <v>@kondekturbus_</v>
      </c>
      <c r="C19912" t="s">
        <v>9997</v>
      </c>
      <c r="D19912">
        <v>16</v>
      </c>
      <c r="E19912">
        <v>0</v>
      </c>
      <c r="F19912">
        <v>14041</v>
      </c>
    </row>
    <row r="19913" spans="1:6" ht="12.75">
      <c r="A19913" s="2">
        <v>43876.328784722224</v>
      </c>
      <c r="B19913" t="str">
        <f>HYPERLINK("https://twitter.com/sitolin8","@sitolin8")</f>
        <v>@sitolin8</v>
      </c>
      <c r="C19913" t="s">
        <v>2963</v>
      </c>
      <c r="D19913">
        <v>1236</v>
      </c>
      <c r="E19913">
        <v>0</v>
      </c>
      <c r="F19913">
        <v>137</v>
      </c>
    </row>
    <row r="19914" spans="1:6" ht="12.75">
      <c r="A19914" s="2">
        <v>43876.328738425931</v>
      </c>
      <c r="B19914" t="str">
        <f>HYPERLINK("https://twitter.com/Masdjodi1","@Masdjodi1")</f>
        <v>@Masdjodi1</v>
      </c>
      <c r="C19914" t="s">
        <v>6201</v>
      </c>
      <c r="D19914">
        <v>407</v>
      </c>
      <c r="E19914">
        <v>0</v>
      </c>
      <c r="F19914">
        <v>682</v>
      </c>
    </row>
    <row r="19915" spans="1:6" ht="12.75">
      <c r="A19915" s="2">
        <v>43876.328668981485</v>
      </c>
      <c r="B19915" t="str">
        <f>HYPERLINK("https://twitter.com/Qiu912","@Qiu912")</f>
        <v>@Qiu912</v>
      </c>
      <c r="C19915" t="s">
        <v>8496</v>
      </c>
      <c r="D19915">
        <v>3</v>
      </c>
      <c r="E19915">
        <v>0</v>
      </c>
      <c r="F19915">
        <v>114</v>
      </c>
    </row>
    <row r="19916" spans="1:6" ht="12.75">
      <c r="A19916" s="2">
        <v>43876.328622685185</v>
      </c>
      <c r="B19916" t="str">
        <f>HYPERLINK("https://twitter.com/Mahayataw","@Mahayataw")</f>
        <v>@Mahayataw</v>
      </c>
      <c r="C19916" t="s">
        <v>3059</v>
      </c>
      <c r="D19916">
        <v>45</v>
      </c>
      <c r="E19916">
        <v>0</v>
      </c>
      <c r="F19916">
        <v>1468</v>
      </c>
    </row>
    <row r="19917" spans="1:6" ht="12.75">
      <c r="A19917" s="2">
        <v>43876.3284837963</v>
      </c>
      <c r="B19917" t="str">
        <f>HYPERLINK("https://twitter.com/rjprdw","@rjprdw")</f>
        <v>@rjprdw</v>
      </c>
      <c r="C19917" t="s">
        <v>2097</v>
      </c>
      <c r="D19917">
        <v>409</v>
      </c>
      <c r="E19917">
        <v>0</v>
      </c>
      <c r="F19917">
        <v>117</v>
      </c>
    </row>
    <row r="19918" spans="1:6" ht="12.75">
      <c r="A19918" s="2">
        <v>43876.328425925924</v>
      </c>
      <c r="B19918" t="str">
        <f>HYPERLINK("https://twitter.com/funinadn","@funinadn")</f>
        <v>@funinadn</v>
      </c>
      <c r="C19918" t="s">
        <v>9998</v>
      </c>
      <c r="D19918">
        <v>108</v>
      </c>
      <c r="E19918">
        <v>0</v>
      </c>
      <c r="F19918">
        <v>174</v>
      </c>
    </row>
    <row r="19919" spans="1:6" ht="12.75">
      <c r="A19919" s="2">
        <v>43876.328414351854</v>
      </c>
      <c r="B19919" t="str">
        <f>HYPERLINK("https://twitter.com/clinophilei","@clinophilei")</f>
        <v>@clinophilei</v>
      </c>
      <c r="C19919" t="s">
        <v>2444</v>
      </c>
      <c r="D19919">
        <v>3599</v>
      </c>
      <c r="E19919">
        <v>0</v>
      </c>
      <c r="F19919">
        <v>320</v>
      </c>
    </row>
    <row r="19920" spans="1:6" ht="12.75">
      <c r="A19920" s="2">
        <v>43876.3283912037</v>
      </c>
      <c r="B19920" t="str">
        <f>HYPERLINK("https://twitter.com/indraalfarius","@indraalfarius")</f>
        <v>@indraalfarius</v>
      </c>
      <c r="C19920" t="s">
        <v>6201</v>
      </c>
      <c r="D19920">
        <v>407</v>
      </c>
      <c r="E19920">
        <v>0</v>
      </c>
      <c r="F19920">
        <v>690</v>
      </c>
    </row>
    <row r="19921" spans="1:6" ht="12.75">
      <c r="A19921" s="2">
        <v>43876.328310185185</v>
      </c>
      <c r="B19921" t="str">
        <f>HYPERLINK("https://twitter.com/cianjurekspres","@cianjurekspres")</f>
        <v>@cianjurekspres</v>
      </c>
      <c r="C19921" t="s">
        <v>9999</v>
      </c>
      <c r="D19921">
        <v>0</v>
      </c>
      <c r="E19921">
        <v>0</v>
      </c>
      <c r="F19921">
        <v>5337</v>
      </c>
    </row>
    <row r="19922" spans="1:6" ht="12.75">
      <c r="A19922" s="2">
        <v>43876.327604166669</v>
      </c>
      <c r="B19922" t="str">
        <f>HYPERLINK("https://twitter.com/s_nnursaree","@s_nnursaree")</f>
        <v>@s_nnursaree</v>
      </c>
      <c r="C19922" t="s">
        <v>2444</v>
      </c>
      <c r="D19922">
        <v>3599</v>
      </c>
      <c r="E19922">
        <v>0</v>
      </c>
      <c r="F19922">
        <v>275</v>
      </c>
    </row>
    <row r="19923" spans="1:6" ht="12.75">
      <c r="A19923" s="2">
        <v>43876.327453703707</v>
      </c>
      <c r="B19923" t="str">
        <f>HYPERLINK("https://twitter.com/sabron_sabri","@sabron_sabri")</f>
        <v>@sabron_sabri</v>
      </c>
      <c r="C19923" t="s">
        <v>7478</v>
      </c>
      <c r="D19923">
        <v>506</v>
      </c>
      <c r="E19923">
        <v>0</v>
      </c>
      <c r="F19923">
        <v>107</v>
      </c>
    </row>
    <row r="19924" spans="1:6" ht="12.75">
      <c r="A19924" s="2">
        <v>43876.327418981484</v>
      </c>
      <c r="B19924" t="str">
        <f>HYPERLINK("https://twitter.com/_KuncoroAprilia","@_KuncoroAprilia")</f>
        <v>@_KuncoroAprilia</v>
      </c>
      <c r="C19924" t="s">
        <v>2444</v>
      </c>
      <c r="D19924">
        <v>3599</v>
      </c>
      <c r="E19924">
        <v>0</v>
      </c>
      <c r="F19924">
        <v>237</v>
      </c>
    </row>
    <row r="19925" spans="1:6" ht="12.75">
      <c r="A19925" s="2">
        <v>43876.32739583333</v>
      </c>
      <c r="B19925" t="str">
        <f>HYPERLINK("https://twitter.com/dodi_ahmad07","@dodi_ahmad07")</f>
        <v>@dodi_ahmad07</v>
      </c>
      <c r="C19925" t="s">
        <v>10000</v>
      </c>
      <c r="D19925">
        <v>601</v>
      </c>
      <c r="E19925">
        <v>0</v>
      </c>
      <c r="F19925">
        <v>623</v>
      </c>
    </row>
    <row r="19926" spans="1:6" ht="12.75">
      <c r="A19926" s="2">
        <v>43876.327314814815</v>
      </c>
      <c r="B19926" t="str">
        <f>HYPERLINK("https://twitter.com/DamarhudaIdelle","@DamarhudaIdelle")</f>
        <v>@DamarhudaIdelle</v>
      </c>
      <c r="C19926" t="s">
        <v>10001</v>
      </c>
      <c r="D19926">
        <v>2</v>
      </c>
      <c r="E19926">
        <v>0</v>
      </c>
      <c r="F19926">
        <v>112</v>
      </c>
    </row>
    <row r="19927" spans="1:6" ht="12.75">
      <c r="A19927" s="2">
        <v>43876.327141203699</v>
      </c>
      <c r="B19927" t="str">
        <f>HYPERLINK("https://twitter.com/gyani__","@gyani__")</f>
        <v>@gyani__</v>
      </c>
      <c r="C19927" t="s">
        <v>2444</v>
      </c>
      <c r="D19927">
        <v>3599</v>
      </c>
      <c r="E19927">
        <v>0</v>
      </c>
      <c r="F19927">
        <v>178</v>
      </c>
    </row>
    <row r="19928" spans="1:6" ht="12.75">
      <c r="A19928" s="2">
        <v>43876.327106481476</v>
      </c>
      <c r="B19928" t="str">
        <f>HYPERLINK("https://twitter.com/pakarskinker","@pakarskinker")</f>
        <v>@pakarskinker</v>
      </c>
      <c r="C19928" t="s">
        <v>2444</v>
      </c>
      <c r="D19928">
        <v>3599</v>
      </c>
      <c r="E19928">
        <v>0</v>
      </c>
      <c r="F19928">
        <v>768</v>
      </c>
    </row>
    <row r="19929" spans="1:6" ht="12.75">
      <c r="A19929" s="2">
        <v>43876.326979166668</v>
      </c>
      <c r="B19929" t="str">
        <f>HYPERLINK("https://twitter.com/BumiNuraini","@BumiNuraini")</f>
        <v>@BumiNuraini</v>
      </c>
      <c r="C19929" t="s">
        <v>10002</v>
      </c>
      <c r="D19929">
        <v>0</v>
      </c>
      <c r="E19929">
        <v>1</v>
      </c>
      <c r="F19929">
        <v>1459</v>
      </c>
    </row>
    <row r="19930" spans="1:6" ht="12.75">
      <c r="A19930" s="2">
        <v>43876.326921296291</v>
      </c>
      <c r="B19930" t="str">
        <f>HYPERLINK("https://twitter.com/Alexemeru","@Alexemeru")</f>
        <v>@Alexemeru</v>
      </c>
      <c r="C19930" t="s">
        <v>3059</v>
      </c>
      <c r="D19930">
        <v>45</v>
      </c>
      <c r="E19930">
        <v>0</v>
      </c>
      <c r="F19930">
        <v>782</v>
      </c>
    </row>
    <row r="19931" spans="1:6" ht="12.75">
      <c r="A19931" s="2">
        <v>43876.326712962968</v>
      </c>
      <c r="B19931" t="str">
        <f>HYPERLINK("https://twitter.com/bgDG_Stream","@bgDG_Stream")</f>
        <v>@bgDG_Stream</v>
      </c>
      <c r="C19931" t="s">
        <v>8115</v>
      </c>
      <c r="D19931">
        <v>2</v>
      </c>
      <c r="E19931">
        <v>0</v>
      </c>
      <c r="F19931">
        <v>240</v>
      </c>
    </row>
    <row r="19932" spans="1:6" ht="12.75">
      <c r="A19932" s="2">
        <v>43876.326435185183</v>
      </c>
      <c r="B19932" t="str">
        <f>HYPERLINK("https://twitter.com/brrmoon","@brrmoon")</f>
        <v>@brrmoon</v>
      </c>
      <c r="C19932" t="s">
        <v>2444</v>
      </c>
      <c r="D19932">
        <v>3599</v>
      </c>
      <c r="E19932">
        <v>0</v>
      </c>
      <c r="F19932">
        <v>60</v>
      </c>
    </row>
    <row r="19933" spans="1:6" ht="12.75">
      <c r="A19933" s="2">
        <v>43876.326423611114</v>
      </c>
      <c r="B19933" t="str">
        <f>HYPERLINK("https://twitter.com/hiteknodotcom","@hiteknodotcom")</f>
        <v>@hiteknodotcom</v>
      </c>
      <c r="C19933" t="s">
        <v>10003</v>
      </c>
      <c r="D19933">
        <v>0</v>
      </c>
      <c r="E19933">
        <v>0</v>
      </c>
      <c r="F19933">
        <v>81</v>
      </c>
    </row>
    <row r="19934" spans="1:6" ht="12.75">
      <c r="A19934" s="2">
        <v>43876.326192129629</v>
      </c>
      <c r="B19934" t="str">
        <f>HYPERLINK("https://twitter.com/svjkkk","@svjkkk")</f>
        <v>@svjkkk</v>
      </c>
      <c r="C19934" t="s">
        <v>5168</v>
      </c>
      <c r="D19934">
        <v>1334</v>
      </c>
      <c r="E19934">
        <v>0</v>
      </c>
      <c r="F19934">
        <v>1162</v>
      </c>
    </row>
    <row r="19935" spans="1:6" ht="12.75">
      <c r="A19935" s="2">
        <v>43876.32613425926</v>
      </c>
      <c r="B19935" t="str">
        <f>HYPERLINK("https://twitter.com/ellmaanm","@ellmaanm")</f>
        <v>@ellmaanm</v>
      </c>
      <c r="C19935" t="s">
        <v>10004</v>
      </c>
      <c r="D19935">
        <v>0</v>
      </c>
      <c r="E19935">
        <v>0</v>
      </c>
      <c r="F19935">
        <v>287</v>
      </c>
    </row>
    <row r="19936" spans="1:6" ht="12.75">
      <c r="A19936" s="2">
        <v>43876.325925925921</v>
      </c>
      <c r="B19936" t="str">
        <f>HYPERLINK("https://twitter.com/SumardiEvulae","@SumardiEvulae")</f>
        <v>@SumardiEvulae</v>
      </c>
      <c r="C19936" t="s">
        <v>9746</v>
      </c>
      <c r="D19936">
        <v>448</v>
      </c>
      <c r="E19936">
        <v>0</v>
      </c>
      <c r="F19936">
        <v>11213</v>
      </c>
    </row>
    <row r="19937" spans="1:6" ht="12.75">
      <c r="A19937" s="2">
        <v>43876.325914351852</v>
      </c>
      <c r="B19937" t="str">
        <f>HYPERLINK("https://twitter.com/Elxielallyiah","@Elxielallyiah")</f>
        <v>@Elxielallyiah</v>
      </c>
      <c r="C19937" t="s">
        <v>2444</v>
      </c>
      <c r="D19937">
        <v>3599</v>
      </c>
      <c r="E19937">
        <v>0</v>
      </c>
      <c r="F19937">
        <v>12</v>
      </c>
    </row>
    <row r="19938" spans="1:6" ht="12.75">
      <c r="A19938" s="2">
        <v>43876.325590277775</v>
      </c>
      <c r="B19938" t="str">
        <f>HYPERLINK("https://twitter.com/JulagTahtagathi","@JulagTahtagathi")</f>
        <v>@JulagTahtagathi</v>
      </c>
      <c r="C19938" t="s">
        <v>6201</v>
      </c>
      <c r="D19938">
        <v>407</v>
      </c>
      <c r="E19938">
        <v>0</v>
      </c>
      <c r="F19938">
        <v>83</v>
      </c>
    </row>
    <row r="19939" spans="1:6" ht="12.75">
      <c r="A19939" s="2">
        <v>43876.325543981482</v>
      </c>
      <c r="B19939" t="str">
        <f>HYPERLINK("https://twitter.com/athiyaaw_","@athiyaaw_")</f>
        <v>@athiyaaw_</v>
      </c>
      <c r="C19939" t="s">
        <v>2444</v>
      </c>
      <c r="D19939">
        <v>3599</v>
      </c>
      <c r="E19939">
        <v>0</v>
      </c>
      <c r="F19939">
        <v>19</v>
      </c>
    </row>
    <row r="19940" spans="1:6" ht="12.75">
      <c r="A19940" s="2">
        <v>43876.325520833328</v>
      </c>
      <c r="B19940" t="str">
        <f>HYPERLINK("https://twitter.com/ElshintaBandung","@ElshintaBandung")</f>
        <v>@ElshintaBandung</v>
      </c>
      <c r="C19940" t="s">
        <v>10005</v>
      </c>
      <c r="D19940">
        <v>0</v>
      </c>
      <c r="E19940">
        <v>1</v>
      </c>
      <c r="F19940">
        <v>10231</v>
      </c>
    </row>
    <row r="19941" spans="1:6" ht="12.75">
      <c r="A19941" s="2">
        <v>43876.325370370367</v>
      </c>
      <c r="B19941" t="str">
        <f>HYPERLINK("https://twitter.com/putro","@putro")</f>
        <v>@putro</v>
      </c>
      <c r="C19941" t="s">
        <v>10006</v>
      </c>
      <c r="D19941">
        <v>0</v>
      </c>
      <c r="E19941">
        <v>0</v>
      </c>
      <c r="F19941">
        <v>53</v>
      </c>
    </row>
    <row r="19942" spans="1:6" ht="12.75">
      <c r="A19942" s="2">
        <v>43876.32534722222</v>
      </c>
      <c r="B19942" t="str">
        <f>HYPERLINK("https://twitter.com/yellow_nigga","@yellow_nigga")</f>
        <v>@yellow_nigga</v>
      </c>
      <c r="C19942" t="s">
        <v>10007</v>
      </c>
      <c r="D19942">
        <v>0</v>
      </c>
      <c r="E19942">
        <v>0</v>
      </c>
      <c r="F19942">
        <v>483</v>
      </c>
    </row>
    <row r="19943" spans="1:6" ht="12.75">
      <c r="A19943" s="2">
        <v>43876.325324074074</v>
      </c>
      <c r="B19943" t="str">
        <f>HYPERLINK("https://twitter.com/dadikhardian","@dadikhardian")</f>
        <v>@dadikhardian</v>
      </c>
      <c r="C19943" t="s">
        <v>7478</v>
      </c>
      <c r="D19943">
        <v>506</v>
      </c>
      <c r="E19943">
        <v>0</v>
      </c>
      <c r="F19943">
        <v>171</v>
      </c>
    </row>
    <row r="19944" spans="1:6" ht="12.75">
      <c r="A19944" s="2">
        <v>43876.325300925921</v>
      </c>
      <c r="B19944" t="str">
        <f>HYPERLINK("https://twitter.com/yogatampar","@yogatampar")</f>
        <v>@yogatampar</v>
      </c>
      <c r="C19944" t="s">
        <v>2444</v>
      </c>
      <c r="D19944">
        <v>3599</v>
      </c>
      <c r="E19944">
        <v>0</v>
      </c>
      <c r="F19944">
        <v>153</v>
      </c>
    </row>
    <row r="19945" spans="1:6" ht="12.75">
      <c r="A19945" s="2">
        <v>43876.325277777782</v>
      </c>
      <c r="B19945" t="str">
        <f>HYPERLINK("https://twitter.com/kher_ariefs","@kher_ariefs")</f>
        <v>@kher_ariefs</v>
      </c>
      <c r="C19945" t="s">
        <v>6201</v>
      </c>
      <c r="D19945">
        <v>407</v>
      </c>
      <c r="E19945">
        <v>0</v>
      </c>
      <c r="F19945">
        <v>361</v>
      </c>
    </row>
    <row r="19946" spans="1:6" ht="12.75">
      <c r="A19946" s="2">
        <v>43876.325196759259</v>
      </c>
      <c r="B19946" t="str">
        <f>HYPERLINK("https://twitter.com/surrender_hyun","@surrender_hyun")</f>
        <v>@surrender_hyun</v>
      </c>
      <c r="C19946" t="s">
        <v>2444</v>
      </c>
      <c r="D19946">
        <v>3599</v>
      </c>
      <c r="E19946">
        <v>0</v>
      </c>
      <c r="F19946">
        <v>195</v>
      </c>
    </row>
    <row r="19947" spans="1:6" ht="12.75">
      <c r="A19947" s="2">
        <v>43876.325196759259</v>
      </c>
      <c r="B19947" t="str">
        <f>HYPERLINK("https://twitter.com/halosinta","@halosinta")</f>
        <v>@halosinta</v>
      </c>
      <c r="C19947" t="s">
        <v>2444</v>
      </c>
      <c r="D19947">
        <v>3599</v>
      </c>
      <c r="E19947">
        <v>0</v>
      </c>
      <c r="F19947">
        <v>292</v>
      </c>
    </row>
    <row r="19948" spans="1:6" ht="12.75">
      <c r="A19948" s="2">
        <v>43876.325196759259</v>
      </c>
      <c r="B19948" t="str">
        <f>HYPERLINK("https://twitter.com/auditadita","@auditadita")</f>
        <v>@auditadita</v>
      </c>
      <c r="C19948" t="s">
        <v>10008</v>
      </c>
      <c r="D19948">
        <v>0</v>
      </c>
      <c r="E19948">
        <v>0</v>
      </c>
      <c r="F19948">
        <v>67</v>
      </c>
    </row>
    <row r="19949" spans="1:6" ht="12.75">
      <c r="A19949" s="2">
        <v>43876.325173611112</v>
      </c>
      <c r="B19949" t="str">
        <f>HYPERLINK("https://twitter.com/itsforsuga","@itsforsuga")</f>
        <v>@itsforsuga</v>
      </c>
      <c r="C19949" t="s">
        <v>5168</v>
      </c>
      <c r="D19949">
        <v>1334</v>
      </c>
      <c r="E19949">
        <v>0</v>
      </c>
      <c r="F19949">
        <v>292</v>
      </c>
    </row>
    <row r="19950" spans="1:6" ht="12.75">
      <c r="A19950" s="2">
        <v>43876.324756944443</v>
      </c>
      <c r="B19950" t="str">
        <f>HYPERLINK("https://twitter.com/muztafafaluna","@muztafafaluna")</f>
        <v>@muztafafaluna</v>
      </c>
      <c r="C19950" t="s">
        <v>10009</v>
      </c>
      <c r="D19950">
        <v>0</v>
      </c>
      <c r="E19950">
        <v>0</v>
      </c>
      <c r="F19950">
        <v>24</v>
      </c>
    </row>
    <row r="19951" spans="1:6" ht="12.75">
      <c r="A19951" s="2">
        <v>43876.29315972222</v>
      </c>
      <c r="B19951" t="str">
        <f>HYPERLINK("https://twitter.com/dedihermanto813","@dedihermanto813")</f>
        <v>@dedihermanto813</v>
      </c>
      <c r="C19951" t="s">
        <v>7946</v>
      </c>
      <c r="D19951">
        <v>19</v>
      </c>
      <c r="E19951">
        <v>0</v>
      </c>
      <c r="F19951">
        <v>1916</v>
      </c>
    </row>
    <row r="19952" spans="1:6" ht="12.75">
      <c r="A19952" s="2">
        <v>43876.292951388888</v>
      </c>
      <c r="B19952" t="str">
        <f>HYPERLINK("https://twitter.com/retweeterer_","@retweeterer_")</f>
        <v>@retweeterer_</v>
      </c>
      <c r="C19952" t="s">
        <v>7888</v>
      </c>
      <c r="D19952">
        <v>61</v>
      </c>
      <c r="E19952">
        <v>0</v>
      </c>
      <c r="F19952">
        <v>360</v>
      </c>
    </row>
    <row r="19953" spans="1:6" ht="12.75">
      <c r="A19953" s="2">
        <v>43876.292951388888</v>
      </c>
      <c r="B19953" t="str">
        <f>HYPERLINK("https://twitter.com/fchrzl","@fchrzl")</f>
        <v>@fchrzl</v>
      </c>
      <c r="C19953" t="s">
        <v>2444</v>
      </c>
      <c r="D19953">
        <v>3488</v>
      </c>
      <c r="E19953">
        <v>0</v>
      </c>
      <c r="F19953">
        <v>313</v>
      </c>
    </row>
    <row r="19954" spans="1:6" ht="12.75">
      <c r="A19954" s="2">
        <v>43876.29283564815</v>
      </c>
      <c r="B19954" t="str">
        <f>HYPERLINK("https://twitter.com/Machos57711156","@Machos57711156")</f>
        <v>@Machos57711156</v>
      </c>
      <c r="C19954" t="s">
        <v>6201</v>
      </c>
      <c r="D19954">
        <v>371</v>
      </c>
      <c r="E19954">
        <v>0</v>
      </c>
      <c r="F19954">
        <v>19</v>
      </c>
    </row>
    <row r="19955" spans="1:6" ht="12.75">
      <c r="A19955" s="2">
        <v>43876.292824074073</v>
      </c>
      <c r="B19955" t="str">
        <f>HYPERLINK("https://twitter.com/translatorbali","@translatorbali")</f>
        <v>@translatorbali</v>
      </c>
      <c r="C19955" t="s">
        <v>7946</v>
      </c>
      <c r="D19955">
        <v>19</v>
      </c>
      <c r="E19955">
        <v>0</v>
      </c>
      <c r="F19955">
        <v>3863</v>
      </c>
    </row>
    <row r="19956" spans="1:6" ht="12.75">
      <c r="A19956" s="2">
        <v>43876.292766203704</v>
      </c>
      <c r="B19956" t="str">
        <f>HYPERLINK("https://twitter.com/arif_sumono","@arif_sumono")</f>
        <v>@arif_sumono</v>
      </c>
      <c r="C19956" t="s">
        <v>10010</v>
      </c>
      <c r="D19956">
        <v>0</v>
      </c>
      <c r="E19956">
        <v>0</v>
      </c>
      <c r="F19956">
        <v>686</v>
      </c>
    </row>
    <row r="19957" spans="1:6" ht="12.75">
      <c r="A19957" s="2">
        <v>43876.292638888888</v>
      </c>
      <c r="B19957" t="str">
        <f>HYPERLINK("https://twitter.com/jimsqie","@jimsqie")</f>
        <v>@jimsqie</v>
      </c>
      <c r="C19957" t="s">
        <v>2444</v>
      </c>
      <c r="D19957">
        <v>3488</v>
      </c>
      <c r="E19957">
        <v>0</v>
      </c>
      <c r="F19957">
        <v>2240</v>
      </c>
    </row>
    <row r="19958" spans="1:6" ht="12.75">
      <c r="A19958" s="2">
        <v>43876.292592592596</v>
      </c>
      <c r="B19958" t="str">
        <f>HYPERLINK("https://twitter.com/Mas_Wauwan","@Mas_Wauwan")</f>
        <v>@Mas_Wauwan</v>
      </c>
      <c r="C19958" t="s">
        <v>2963</v>
      </c>
      <c r="D19958">
        <v>1229</v>
      </c>
      <c r="E19958">
        <v>0</v>
      </c>
      <c r="F19958">
        <v>2173</v>
      </c>
    </row>
    <row r="19959" spans="1:6" ht="12.75">
      <c r="A19959" s="2">
        <v>43876.292557870373</v>
      </c>
      <c r="B19959" t="str">
        <f>HYPERLINK("https://twitter.com/najwa2_nashwan1","@najwa2_nashwan1")</f>
        <v>@najwa2_nashwan1</v>
      </c>
      <c r="C19959" t="s">
        <v>7946</v>
      </c>
      <c r="D19959">
        <v>19</v>
      </c>
      <c r="E19959">
        <v>0</v>
      </c>
      <c r="F19959">
        <v>506</v>
      </c>
    </row>
    <row r="19960" spans="1:6" ht="12.75">
      <c r="A19960" s="2">
        <v>43876.292442129634</v>
      </c>
      <c r="B19960" t="str">
        <f>HYPERLINK("https://twitter.com/rmamayam","@rmamayam")</f>
        <v>@rmamayam</v>
      </c>
      <c r="C19960" t="s">
        <v>4873</v>
      </c>
      <c r="D19960">
        <v>1794</v>
      </c>
      <c r="E19960">
        <v>0</v>
      </c>
      <c r="F19960">
        <v>1</v>
      </c>
    </row>
    <row r="19961" spans="1:6" ht="12.75">
      <c r="A19961" s="2">
        <v>43876.292303240742</v>
      </c>
      <c r="B19961" t="str">
        <f>HYPERLINK("https://twitter.com/lightfurrys","@lightfurrys")</f>
        <v>@lightfurrys</v>
      </c>
      <c r="C19961" t="s">
        <v>2137</v>
      </c>
      <c r="D19961">
        <v>239</v>
      </c>
      <c r="E19961">
        <v>0</v>
      </c>
      <c r="F19961">
        <v>395</v>
      </c>
    </row>
    <row r="19962" spans="1:6" ht="12.75">
      <c r="A19962" s="2">
        <v>43876.292268518519</v>
      </c>
      <c r="B19962" t="str">
        <f>HYPERLINK("https://twitter.com/JndIchetraki","@JndIchetraki")</f>
        <v>@JndIchetraki</v>
      </c>
      <c r="C19962" t="s">
        <v>9082</v>
      </c>
      <c r="D19962">
        <v>96</v>
      </c>
      <c r="E19962">
        <v>0</v>
      </c>
      <c r="F19962">
        <v>2061</v>
      </c>
    </row>
    <row r="19963" spans="1:6" ht="12.75">
      <c r="A19963" s="2">
        <v>43876.292037037041</v>
      </c>
      <c r="B19963" t="str">
        <f>HYPERLINK("https://twitter.com/liem_id","@liem_id")</f>
        <v>@liem_id</v>
      </c>
      <c r="C19963" t="s">
        <v>6201</v>
      </c>
      <c r="D19963">
        <v>371</v>
      </c>
      <c r="E19963">
        <v>0</v>
      </c>
      <c r="F19963">
        <v>30918</v>
      </c>
    </row>
    <row r="19964" spans="1:6" ht="12.75">
      <c r="A19964" s="2">
        <v>43876.291863425926</v>
      </c>
      <c r="B19964" t="str">
        <f>HYPERLINK("https://twitter.com/ku_sman","@ku_sman")</f>
        <v>@ku_sman</v>
      </c>
      <c r="C19964" t="s">
        <v>10011</v>
      </c>
      <c r="D19964">
        <v>0</v>
      </c>
      <c r="E19964">
        <v>0</v>
      </c>
      <c r="F19964">
        <v>1</v>
      </c>
    </row>
    <row r="19965" spans="1:6" ht="12.75">
      <c r="A19965" s="2">
        <v>43876.291817129633</v>
      </c>
      <c r="B19965" t="str">
        <f>HYPERLINK("https://twitter.com/aeytb","@aeytb")</f>
        <v>@aeytb</v>
      </c>
      <c r="C19965" t="s">
        <v>2444</v>
      </c>
      <c r="D19965">
        <v>3488</v>
      </c>
      <c r="E19965">
        <v>0</v>
      </c>
      <c r="F19965">
        <v>1852</v>
      </c>
    </row>
    <row r="19966" spans="1:6" ht="12.75">
      <c r="A19966" s="2">
        <v>43876.291678240741</v>
      </c>
      <c r="B19966" t="str">
        <f>HYPERLINK("https://twitter.com/rmol_id","@rmol_id")</f>
        <v>@rmol_id</v>
      </c>
      <c r="C19966" t="s">
        <v>10012</v>
      </c>
      <c r="D19966">
        <v>0</v>
      </c>
      <c r="E19966">
        <v>0</v>
      </c>
      <c r="F19966">
        <v>161192</v>
      </c>
    </row>
    <row r="19967" spans="1:6" ht="12.75">
      <c r="A19967" s="2">
        <v>43876.291631944448</v>
      </c>
      <c r="B19967" t="str">
        <f>HYPERLINK("https://twitter.com/suketi666","@suketi666")</f>
        <v>@suketi666</v>
      </c>
      <c r="C19967" t="s">
        <v>10013</v>
      </c>
      <c r="D19967">
        <v>0</v>
      </c>
      <c r="E19967">
        <v>0</v>
      </c>
      <c r="F19967">
        <v>471</v>
      </c>
    </row>
    <row r="19968" spans="1:6" ht="12.75">
      <c r="A19968" s="2">
        <v>43876.291585648149</v>
      </c>
      <c r="B19968" t="str">
        <f>HYPERLINK("https://twitter.com/damayanti41","@damayanti41")</f>
        <v>@damayanti41</v>
      </c>
      <c r="C19968" t="s">
        <v>2444</v>
      </c>
      <c r="D19968">
        <v>3488</v>
      </c>
      <c r="E19968">
        <v>0</v>
      </c>
      <c r="F19968">
        <v>56</v>
      </c>
    </row>
    <row r="19969" spans="1:6" ht="12.75">
      <c r="A19969" s="2">
        <v>43876.291539351849</v>
      </c>
      <c r="B19969" t="str">
        <f>HYPERLINK("https://twitter.com/RhoseBlack","@RhoseBlack")</f>
        <v>@RhoseBlack</v>
      </c>
      <c r="C19969" t="s">
        <v>10014</v>
      </c>
      <c r="D19969">
        <v>0</v>
      </c>
      <c r="E19969">
        <v>0</v>
      </c>
      <c r="F19969">
        <v>1297</v>
      </c>
    </row>
    <row r="19970" spans="1:6" ht="12.75">
      <c r="A19970" s="2">
        <v>43876.291527777779</v>
      </c>
      <c r="B19970" t="str">
        <f>HYPERLINK("https://twitter.com/olland72","@olland72")</f>
        <v>@olland72</v>
      </c>
      <c r="C19970" t="s">
        <v>10015</v>
      </c>
      <c r="D19970">
        <v>0</v>
      </c>
      <c r="E19970">
        <v>0</v>
      </c>
      <c r="F19970">
        <v>108</v>
      </c>
    </row>
    <row r="19971" spans="1:6" ht="12.75">
      <c r="A19971" s="2">
        <v>43876.291319444441</v>
      </c>
      <c r="B19971" t="str">
        <f>HYPERLINK("https://twitter.com/eddy6666666","@eddy6666666")</f>
        <v>@eddy6666666</v>
      </c>
      <c r="C19971" t="s">
        <v>10016</v>
      </c>
      <c r="D19971">
        <v>0</v>
      </c>
      <c r="E19971">
        <v>0</v>
      </c>
      <c r="F19971">
        <v>477</v>
      </c>
    </row>
    <row r="19972" spans="1:6" ht="12.75">
      <c r="A19972" s="2">
        <v>43876.291284722218</v>
      </c>
      <c r="B19972" t="str">
        <f>HYPERLINK("https://twitter.com/__aiek_esthreem","@__aiek_esthreem")</f>
        <v>@__aiek_esthreem</v>
      </c>
      <c r="C19972" t="s">
        <v>10017</v>
      </c>
      <c r="D19972">
        <v>1</v>
      </c>
      <c r="E19972">
        <v>0</v>
      </c>
      <c r="F19972">
        <v>16753</v>
      </c>
    </row>
    <row r="19973" spans="1:6" ht="12.75">
      <c r="A19973" s="2">
        <v>43876.291145833333</v>
      </c>
      <c r="B19973" t="str">
        <f>HYPERLINK("https://twitter.com/AsepDad54369089","@AsepDad54369089")</f>
        <v>@AsepDad54369089</v>
      </c>
      <c r="C19973" t="s">
        <v>6201</v>
      </c>
      <c r="D19973">
        <v>371</v>
      </c>
      <c r="E19973">
        <v>0</v>
      </c>
      <c r="F19973">
        <v>84</v>
      </c>
    </row>
    <row r="19974" spans="1:6" ht="12.75">
      <c r="A19974" s="2">
        <v>43876.291134259256</v>
      </c>
      <c r="B19974" t="str">
        <f>HYPERLINK("https://twitter.com/__aiek_esthreem","@__aiek_esthreem")</f>
        <v>@__aiek_esthreem</v>
      </c>
      <c r="C19974" t="s">
        <v>10001</v>
      </c>
      <c r="D19974">
        <v>1</v>
      </c>
      <c r="E19974">
        <v>0</v>
      </c>
      <c r="F19974">
        <v>16753</v>
      </c>
    </row>
    <row r="19975" spans="1:6" ht="12.75">
      <c r="A19975" s="2">
        <v>43876.291122685187</v>
      </c>
      <c r="B19975" t="str">
        <f>HYPERLINK("https://twitter.com/itzspears1","@itzspears1")</f>
        <v>@itzspears1</v>
      </c>
      <c r="C19975" t="s">
        <v>3412</v>
      </c>
      <c r="D19975">
        <v>1008</v>
      </c>
      <c r="E19975">
        <v>0</v>
      </c>
      <c r="F19975">
        <v>15</v>
      </c>
    </row>
    <row r="19976" spans="1:6" ht="12.75">
      <c r="A19976" s="2">
        <v>43876.290902777779</v>
      </c>
      <c r="B19976" t="str">
        <f>HYPERLINK("https://twitter.com/jaylampung","@jaylampung")</f>
        <v>@jaylampung</v>
      </c>
      <c r="C19976" t="s">
        <v>10018</v>
      </c>
      <c r="D19976">
        <v>0</v>
      </c>
      <c r="E19976">
        <v>0</v>
      </c>
      <c r="F19976">
        <v>83</v>
      </c>
    </row>
    <row r="19977" spans="1:6" ht="12.75">
      <c r="A19977" s="2">
        <v>43876.290578703702</v>
      </c>
      <c r="B19977" t="str">
        <f>HYPERLINK("https://twitter.com/suketi666","@suketi666")</f>
        <v>@suketi666</v>
      </c>
      <c r="C19977" t="s">
        <v>10019</v>
      </c>
      <c r="D19977">
        <v>0</v>
      </c>
      <c r="E19977">
        <v>0</v>
      </c>
      <c r="F19977">
        <v>471</v>
      </c>
    </row>
    <row r="19978" spans="1:6" ht="12.75">
      <c r="A19978" s="2">
        <v>43876.290567129632</v>
      </c>
      <c r="B19978" t="str">
        <f>HYPERLINK("https://twitter.com/mrso0522","@mrso0522")</f>
        <v>@mrso0522</v>
      </c>
      <c r="C19978" t="s">
        <v>2444</v>
      </c>
      <c r="D19978">
        <v>3488</v>
      </c>
      <c r="E19978">
        <v>0</v>
      </c>
      <c r="F19978">
        <v>12</v>
      </c>
    </row>
    <row r="19979" spans="1:6" ht="12.75">
      <c r="A19979" s="2">
        <v>43876.290532407409</v>
      </c>
      <c r="B19979" t="str">
        <f>HYPERLINK("https://twitter.com/kbaswaja","@kbaswaja")</f>
        <v>@kbaswaja</v>
      </c>
      <c r="C19979" t="s">
        <v>10020</v>
      </c>
      <c r="D19979">
        <v>0</v>
      </c>
      <c r="E19979">
        <v>1</v>
      </c>
      <c r="F19979">
        <v>11789</v>
      </c>
    </row>
    <row r="19980" spans="1:6" ht="12.75">
      <c r="A19980" s="2">
        <v>43876.290381944447</v>
      </c>
      <c r="B19980" t="str">
        <f>HYPERLINK("https://twitter.com/Hhafist","@Hhafist")</f>
        <v>@Hhafist</v>
      </c>
      <c r="C19980" t="s">
        <v>2444</v>
      </c>
      <c r="D19980">
        <v>3488</v>
      </c>
      <c r="E19980">
        <v>0</v>
      </c>
      <c r="F19980">
        <v>325</v>
      </c>
    </row>
    <row r="19981" spans="1:6" ht="12.75">
      <c r="A19981" s="2">
        <v>43876.290324074071</v>
      </c>
      <c r="B19981" t="str">
        <f>HYPERLINK("https://twitter.com/lestaluhu212","@lestaluhu212")</f>
        <v>@lestaluhu212</v>
      </c>
      <c r="C19981" t="s">
        <v>6201</v>
      </c>
      <c r="D19981">
        <v>371</v>
      </c>
      <c r="E19981">
        <v>0</v>
      </c>
      <c r="F19981">
        <v>163</v>
      </c>
    </row>
    <row r="19982" spans="1:6" ht="12.75">
      <c r="A19982" s="2">
        <v>43876.290231481486</v>
      </c>
      <c r="B19982" t="str">
        <f>HYPERLINK("https://twitter.com/DTDjani","@DTDjani")</f>
        <v>@DTDjani</v>
      </c>
      <c r="C19982" t="s">
        <v>10021</v>
      </c>
      <c r="D19982">
        <v>0</v>
      </c>
      <c r="E19982">
        <v>1</v>
      </c>
      <c r="F19982">
        <v>2711</v>
      </c>
    </row>
    <row r="19983" spans="1:6" ht="12.75">
      <c r="A19983" s="2">
        <v>43876.29011574074</v>
      </c>
      <c r="B19983" t="str">
        <f>HYPERLINK("https://twitter.com/sobateez","@sobateez")</f>
        <v>@sobateez</v>
      </c>
      <c r="C19983" t="s">
        <v>2444</v>
      </c>
      <c r="D19983">
        <v>3488</v>
      </c>
      <c r="E19983">
        <v>0</v>
      </c>
      <c r="F19983">
        <v>607</v>
      </c>
    </row>
    <row r="19984" spans="1:6" ht="12.75">
      <c r="A19984" s="2">
        <v>43876.289976851855</v>
      </c>
      <c r="B19984" t="str">
        <f>HYPERLINK("https://twitter.com/Id89Fandi","@Id89Fandi")</f>
        <v>@Id89Fandi</v>
      </c>
      <c r="C19984" t="s">
        <v>9746</v>
      </c>
      <c r="D19984">
        <v>443</v>
      </c>
      <c r="E19984">
        <v>0</v>
      </c>
      <c r="F19984">
        <v>105</v>
      </c>
    </row>
    <row r="19985" spans="1:6" ht="12.75">
      <c r="A19985" s="2">
        <v>43876.289837962962</v>
      </c>
      <c r="B19985" t="str">
        <f>HYPERLINK("https://twitter.com/wowfakk","@wowfakk")</f>
        <v>@wowfakk</v>
      </c>
      <c r="C19985" t="s">
        <v>2444</v>
      </c>
      <c r="D19985">
        <v>3488</v>
      </c>
      <c r="E19985">
        <v>0</v>
      </c>
      <c r="F19985">
        <v>43</v>
      </c>
    </row>
    <row r="19986" spans="1:6" ht="12.75">
      <c r="A19986" s="2">
        <v>43876.289780092593</v>
      </c>
      <c r="B19986" t="str">
        <f>HYPERLINK("https://twitter.com/stwbrrycheese","@stwbrrycheese")</f>
        <v>@stwbrrycheese</v>
      </c>
      <c r="C19986" t="s">
        <v>5168</v>
      </c>
      <c r="D19986">
        <v>1293</v>
      </c>
      <c r="E19986">
        <v>0</v>
      </c>
      <c r="F19986">
        <v>1163</v>
      </c>
    </row>
    <row r="19987" spans="1:6" ht="12.75">
      <c r="A19987" s="2">
        <v>43876.289756944447</v>
      </c>
      <c r="B19987" t="str">
        <f>HYPERLINK("https://twitter.com/Annisa45210864","@Annisa45210864")</f>
        <v>@Annisa45210864</v>
      </c>
      <c r="C19987" t="s">
        <v>2444</v>
      </c>
      <c r="D19987">
        <v>3488</v>
      </c>
      <c r="E19987">
        <v>0</v>
      </c>
      <c r="F19987">
        <v>10</v>
      </c>
    </row>
    <row r="19988" spans="1:6" ht="12.75">
      <c r="A19988" s="2">
        <v>43876.289687500001</v>
      </c>
      <c r="B19988" t="str">
        <f>HYPERLINK("https://twitter.com/stwbrrycheese","@stwbrrycheese")</f>
        <v>@stwbrrycheese</v>
      </c>
      <c r="C19988" t="s">
        <v>2444</v>
      </c>
      <c r="D19988">
        <v>3488</v>
      </c>
      <c r="E19988">
        <v>0</v>
      </c>
      <c r="F19988">
        <v>1163</v>
      </c>
    </row>
    <row r="19989" spans="1:6" ht="12.75">
      <c r="A19989" s="2">
        <v>43876.289687500001</v>
      </c>
      <c r="B19989" t="str">
        <f>HYPERLINK("https://twitter.com/Id89Fandi","@Id89Fandi")</f>
        <v>@Id89Fandi</v>
      </c>
      <c r="C19989" t="s">
        <v>7478</v>
      </c>
      <c r="D19989">
        <v>496</v>
      </c>
      <c r="E19989">
        <v>0</v>
      </c>
      <c r="F19989">
        <v>105</v>
      </c>
    </row>
    <row r="19990" spans="1:6" ht="12.75">
      <c r="A19990" s="2">
        <v>43876.289675925931</v>
      </c>
      <c r="B19990" t="str">
        <f>HYPERLINK("https://twitter.com/YFG_Phillip","@YFG_Phillip")</f>
        <v>@YFG_Phillip</v>
      </c>
      <c r="C19990" t="s">
        <v>10022</v>
      </c>
      <c r="D19990">
        <v>0</v>
      </c>
      <c r="E19990">
        <v>0</v>
      </c>
      <c r="F19990">
        <v>510</v>
      </c>
    </row>
    <row r="19991" spans="1:6" ht="12.75">
      <c r="A19991" s="2">
        <v>43876.2893287037</v>
      </c>
      <c r="B19991" t="str">
        <f>HYPERLINK("https://twitter.com/samuel__adi","@samuel__adi")</f>
        <v>@samuel__adi</v>
      </c>
      <c r="C19991" t="s">
        <v>2444</v>
      </c>
      <c r="D19991">
        <v>3488</v>
      </c>
      <c r="E19991">
        <v>0</v>
      </c>
      <c r="F19991">
        <v>737</v>
      </c>
    </row>
    <row r="19992" spans="1:6" ht="12.75">
      <c r="A19992" s="2">
        <v>43876.289305555554</v>
      </c>
      <c r="B19992" t="str">
        <f>HYPERLINK("https://twitter.com/Wibisan10921519","@Wibisan10921519")</f>
        <v>@Wibisan10921519</v>
      </c>
      <c r="C19992" t="s">
        <v>8890</v>
      </c>
      <c r="D19992">
        <v>7</v>
      </c>
      <c r="E19992">
        <v>0</v>
      </c>
      <c r="F19992">
        <v>678</v>
      </c>
    </row>
    <row r="19993" spans="1:6" ht="12.75">
      <c r="A19993" s="2">
        <v>43876.2890625</v>
      </c>
      <c r="B19993" t="str">
        <f>HYPERLINK("https://twitter.com/NakLanang10","@NakLanang10")</f>
        <v>@NakLanang10</v>
      </c>
      <c r="C19993" t="s">
        <v>6201</v>
      </c>
      <c r="D19993">
        <v>371</v>
      </c>
      <c r="E19993">
        <v>0</v>
      </c>
      <c r="F19993">
        <v>36</v>
      </c>
    </row>
    <row r="19994" spans="1:6" ht="12.75">
      <c r="A19994" s="2">
        <v>43876.28905092593</v>
      </c>
      <c r="B19994" t="str">
        <f>HYPERLINK("https://twitter.com/zlnnyx","@zlnnyx")</f>
        <v>@zlnnyx</v>
      </c>
      <c r="C19994" t="s">
        <v>2444</v>
      </c>
      <c r="D19994">
        <v>3488</v>
      </c>
      <c r="E19994">
        <v>0</v>
      </c>
      <c r="F19994">
        <v>243</v>
      </c>
    </row>
    <row r="19995" spans="1:6" ht="12.75">
      <c r="A19995" s="2">
        <v>43876.288981481484</v>
      </c>
      <c r="B19995" t="str">
        <f>HYPERLINK("https://twitter.com/gloomymondayyy","@gloomymondayyy")</f>
        <v>@gloomymondayyy</v>
      </c>
      <c r="C19995" t="s">
        <v>2444</v>
      </c>
      <c r="D19995">
        <v>3488</v>
      </c>
      <c r="E19995">
        <v>0</v>
      </c>
      <c r="F19995">
        <v>46</v>
      </c>
    </row>
    <row r="19996" spans="1:6" ht="12.75">
      <c r="A19996" s="2">
        <v>43876.288935185185</v>
      </c>
      <c r="B19996" t="str">
        <f>HYPERLINK("https://twitter.com/IkaRosmiati9","@IkaRosmiati9")</f>
        <v>@IkaRosmiati9</v>
      </c>
      <c r="C19996" t="s">
        <v>2137</v>
      </c>
      <c r="D19996">
        <v>239</v>
      </c>
      <c r="E19996">
        <v>0</v>
      </c>
      <c r="F19996">
        <v>25</v>
      </c>
    </row>
    <row r="19997" spans="1:6" ht="12.75">
      <c r="A19997" s="2">
        <v>43876.288888888885</v>
      </c>
      <c r="B19997" t="str">
        <f>HYPERLINK("https://twitter.com/GesuriID","@GesuriID")</f>
        <v>@GesuriID</v>
      </c>
      <c r="C19997" t="s">
        <v>10023</v>
      </c>
      <c r="D19997">
        <v>1</v>
      </c>
      <c r="E19997">
        <v>0</v>
      </c>
      <c r="F19997">
        <v>197404</v>
      </c>
    </row>
    <row r="19998" spans="1:6" ht="12.75">
      <c r="A19998" s="2">
        <v>43876.288437499999</v>
      </c>
      <c r="B19998" t="str">
        <f>HYPERLINK("https://twitter.com/MT_Reborn","@MT_Reborn")</f>
        <v>@MT_Reborn</v>
      </c>
      <c r="C19998" t="s">
        <v>10024</v>
      </c>
      <c r="D19998">
        <v>1</v>
      </c>
      <c r="E19998">
        <v>0</v>
      </c>
      <c r="F19998">
        <v>8007</v>
      </c>
    </row>
    <row r="19999" spans="1:6" ht="12.75">
      <c r="A19999" s="2">
        <v>43876.288090277776</v>
      </c>
      <c r="B19999" t="str">
        <f>HYPERLINK("https://twitter.com/hifnihasan","@hifnihasan")</f>
        <v>@hifnihasan</v>
      </c>
      <c r="C19999" t="s">
        <v>10025</v>
      </c>
      <c r="D19999">
        <v>0</v>
      </c>
      <c r="E19999">
        <v>0</v>
      </c>
      <c r="F19999">
        <v>424</v>
      </c>
    </row>
    <row r="20000" spans="1:6" ht="12.75">
      <c r="A20000" s="2">
        <v>43876.288078703699</v>
      </c>
      <c r="B20000" t="str">
        <f>HYPERLINK("https://twitter.com/ryan_eza","@ryan_eza")</f>
        <v>@ryan_eza</v>
      </c>
      <c r="C20000" t="s">
        <v>6201</v>
      </c>
      <c r="D20000">
        <v>371</v>
      </c>
      <c r="E20000">
        <v>0</v>
      </c>
      <c r="F20000">
        <v>210</v>
      </c>
    </row>
    <row r="20001" spans="1:6" ht="12.75">
      <c r="A20001" s="2">
        <v>43876.28806712963</v>
      </c>
      <c r="B20001" t="str">
        <f>HYPERLINK("https://twitter.com/Tere_one34","@Tere_one34")</f>
        <v>@Tere_one34</v>
      </c>
      <c r="C20001" t="s">
        <v>10026</v>
      </c>
      <c r="D20001">
        <v>0</v>
      </c>
      <c r="E20001">
        <v>0</v>
      </c>
      <c r="F20001">
        <v>4523</v>
      </c>
    </row>
    <row r="20002" spans="1:6" ht="12.75">
      <c r="A20002" s="2">
        <v>43876.288032407407</v>
      </c>
      <c r="B20002" t="str">
        <f>HYPERLINK("https://twitter.com/venniyaqr","@venniyaqr")</f>
        <v>@venniyaqr</v>
      </c>
      <c r="C20002" t="s">
        <v>10027</v>
      </c>
      <c r="D20002">
        <v>5</v>
      </c>
      <c r="E20002">
        <v>0</v>
      </c>
      <c r="F20002">
        <v>690</v>
      </c>
    </row>
    <row r="20003" spans="1:6" ht="12.75">
      <c r="A20003" s="2">
        <v>43876.287962962961</v>
      </c>
      <c r="B20003" t="str">
        <f>HYPERLINK("https://twitter.com/SusianaWijayan3","@SusianaWijayan3")</f>
        <v>@SusianaWijayan3</v>
      </c>
      <c r="C20003" t="s">
        <v>7478</v>
      </c>
      <c r="D20003">
        <v>496</v>
      </c>
      <c r="E20003">
        <v>0</v>
      </c>
      <c r="F20003">
        <v>36</v>
      </c>
    </row>
    <row r="20004" spans="1:6" ht="12.75">
      <c r="A20004" s="2">
        <v>43876.287928240738</v>
      </c>
      <c r="B20004" t="str">
        <f>HYPERLINK("https://twitter.com/maulidioasmr","@maulidioasmr")</f>
        <v>@maulidioasmr</v>
      </c>
      <c r="C20004" t="s">
        <v>9198</v>
      </c>
      <c r="D20004">
        <v>124</v>
      </c>
      <c r="E20004">
        <v>0</v>
      </c>
      <c r="F20004">
        <v>1314</v>
      </c>
    </row>
    <row r="20005" spans="1:6" ht="12.75">
      <c r="A20005" s="2">
        <v>43876.287893518514</v>
      </c>
      <c r="B20005" t="str">
        <f>HYPERLINK("https://twitter.com/Djupria2","@Djupria2")</f>
        <v>@Djupria2</v>
      </c>
      <c r="C20005" t="s">
        <v>8754</v>
      </c>
      <c r="D20005">
        <v>36</v>
      </c>
      <c r="E20005">
        <v>0</v>
      </c>
      <c r="F20005">
        <v>650</v>
      </c>
    </row>
    <row r="20006" spans="1:6" ht="12.75">
      <c r="A20006" s="2">
        <v>43876.287662037037</v>
      </c>
      <c r="B20006" t="str">
        <f>HYPERLINK("https://twitter.com/hyukxbae","@hyukxbae")</f>
        <v>@hyukxbae</v>
      </c>
      <c r="C20006" t="s">
        <v>5168</v>
      </c>
      <c r="D20006">
        <v>1293</v>
      </c>
      <c r="E20006">
        <v>0</v>
      </c>
      <c r="F20006">
        <v>533</v>
      </c>
    </row>
    <row r="20007" spans="1:6" ht="12.75">
      <c r="A20007" s="2">
        <v>43876.287569444445</v>
      </c>
      <c r="B20007" t="str">
        <f>HYPERLINK("https://twitter.com/arm25202949","@arm25202949")</f>
        <v>@arm25202949</v>
      </c>
      <c r="C20007" t="s">
        <v>10028</v>
      </c>
      <c r="D20007">
        <v>0</v>
      </c>
      <c r="E20007">
        <v>0</v>
      </c>
      <c r="F20007">
        <v>426</v>
      </c>
    </row>
    <row r="20008" spans="1:6" ht="12.75">
      <c r="A20008" s="2">
        <v>43876.287523148145</v>
      </c>
      <c r="B20008" t="str">
        <f>HYPERLINK("https://twitter.com/SyafrudinSab","@SyafrudinSab")</f>
        <v>@SyafrudinSab</v>
      </c>
      <c r="C20008" t="s">
        <v>10029</v>
      </c>
      <c r="D20008">
        <v>0</v>
      </c>
      <c r="E20008">
        <v>1</v>
      </c>
      <c r="F20008">
        <v>130</v>
      </c>
    </row>
    <row r="20009" spans="1:6" ht="12.75">
      <c r="A20009" s="2">
        <v>43876.287476851852</v>
      </c>
      <c r="B20009" t="str">
        <f>HYPERLINK("https://twitter.com/daskentang","@daskentang")</f>
        <v>@daskentang</v>
      </c>
      <c r="C20009" t="s">
        <v>2444</v>
      </c>
      <c r="D20009">
        <v>3488</v>
      </c>
      <c r="E20009">
        <v>0</v>
      </c>
      <c r="F20009">
        <v>307</v>
      </c>
    </row>
    <row r="20010" spans="1:6" ht="12.75">
      <c r="A20010" s="2">
        <v>43876.287476851852</v>
      </c>
      <c r="B20010" t="str">
        <f>HYPERLINK("https://twitter.com/HabibM_S","@HabibM_S")</f>
        <v>@HabibM_S</v>
      </c>
      <c r="C20010" t="s">
        <v>10030</v>
      </c>
      <c r="D20010">
        <v>0</v>
      </c>
      <c r="E20010">
        <v>0</v>
      </c>
      <c r="F20010">
        <v>926</v>
      </c>
    </row>
    <row r="20011" spans="1:6" ht="12.75">
      <c r="A20011" s="2">
        <v>43876.287164351852</v>
      </c>
      <c r="B20011" t="str">
        <f>HYPERLINK("https://twitter.com/venniyaqr","@venniyaqr")</f>
        <v>@venniyaqr</v>
      </c>
      <c r="C20011" t="s">
        <v>9067</v>
      </c>
      <c r="D20011">
        <v>70</v>
      </c>
      <c r="E20011">
        <v>0</v>
      </c>
      <c r="F20011">
        <v>690</v>
      </c>
    </row>
    <row r="20012" spans="1:6" ht="12.75">
      <c r="A20012" s="2">
        <v>43876.287129629629</v>
      </c>
      <c r="B20012" t="str">
        <f>HYPERLINK("https://twitter.com/infokabinetID","@infokabinetID")</f>
        <v>@infokabinetID</v>
      </c>
      <c r="C20012" t="s">
        <v>10031</v>
      </c>
      <c r="D20012">
        <v>0</v>
      </c>
      <c r="E20012">
        <v>0</v>
      </c>
      <c r="F20012">
        <v>212</v>
      </c>
    </row>
    <row r="20013" spans="1:6" ht="12.75">
      <c r="A20013" s="2">
        <v>43876.287118055552</v>
      </c>
      <c r="B20013" t="str">
        <f>HYPERLINK("https://twitter.com/billysmbring366","@billysmbring366")</f>
        <v>@billysmbring366</v>
      </c>
      <c r="C20013" t="s">
        <v>10032</v>
      </c>
      <c r="D20013">
        <v>41</v>
      </c>
      <c r="E20013">
        <v>0</v>
      </c>
      <c r="F20013">
        <v>150</v>
      </c>
    </row>
    <row r="20014" spans="1:6" ht="12.75">
      <c r="A20014" s="2">
        <v>43876.287094907406</v>
      </c>
      <c r="B20014" t="str">
        <f>HYPERLINK("https://twitter.com/Ericsson1","@Ericsson1")</f>
        <v>@Ericsson1</v>
      </c>
      <c r="C20014" t="s">
        <v>10033</v>
      </c>
      <c r="D20014">
        <v>0</v>
      </c>
      <c r="E20014">
        <v>0</v>
      </c>
      <c r="F20014">
        <v>8</v>
      </c>
    </row>
    <row r="20015" spans="1:6" ht="12.75">
      <c r="A20015" s="2">
        <v>43876.28701388889</v>
      </c>
      <c r="B20015" t="str">
        <f>HYPERLINK("https://twitter.com/arifianto_eko","@arifianto_eko")</f>
        <v>@arifianto_eko</v>
      </c>
      <c r="C20015" t="s">
        <v>10034</v>
      </c>
      <c r="D20015">
        <v>0</v>
      </c>
      <c r="E20015">
        <v>0</v>
      </c>
      <c r="F20015">
        <v>10</v>
      </c>
    </row>
    <row r="20016" spans="1:6" ht="12.75">
      <c r="A20016" s="2">
        <v>43876.286898148144</v>
      </c>
      <c r="B20016" t="str">
        <f>HYPERLINK("https://twitter.com/panjikusumac","@panjikusumac")</f>
        <v>@panjikusumac</v>
      </c>
      <c r="C20016" t="s">
        <v>513</v>
      </c>
      <c r="D20016">
        <v>23201</v>
      </c>
      <c r="E20016">
        <v>0</v>
      </c>
      <c r="F20016">
        <v>268</v>
      </c>
    </row>
    <row r="20017" spans="1:6" ht="12.75">
      <c r="A20017" s="2">
        <v>43876.286875000005</v>
      </c>
      <c r="B20017" t="str">
        <f>HYPERLINK("https://twitter.com/compscienceui20","@compscienceui20")</f>
        <v>@compscienceui20</v>
      </c>
      <c r="C20017" t="s">
        <v>5168</v>
      </c>
      <c r="D20017">
        <v>1293</v>
      </c>
      <c r="E20017">
        <v>0</v>
      </c>
      <c r="F20017">
        <v>24</v>
      </c>
    </row>
    <row r="20018" spans="1:6" ht="12.75">
      <c r="A20018" s="2">
        <v>43876.286851851852</v>
      </c>
      <c r="B20018" t="str">
        <f>HYPERLINK("https://twitter.com/Elyyuniarr","@Elyyuniarr")</f>
        <v>@Elyyuniarr</v>
      </c>
      <c r="C20018" t="s">
        <v>2444</v>
      </c>
      <c r="D20018">
        <v>3488</v>
      </c>
      <c r="E20018">
        <v>0</v>
      </c>
      <c r="F20018">
        <v>285</v>
      </c>
    </row>
    <row r="20019" spans="1:6" ht="12.75">
      <c r="A20019" s="2">
        <v>43876.286759259259</v>
      </c>
      <c r="B20019" t="str">
        <f>HYPERLINK("https://twitter.com/525wn","@525wn")</f>
        <v>@525wn</v>
      </c>
      <c r="C20019" t="s">
        <v>2444</v>
      </c>
      <c r="D20019">
        <v>3488</v>
      </c>
      <c r="E20019">
        <v>0</v>
      </c>
      <c r="F20019">
        <v>851</v>
      </c>
    </row>
    <row r="20020" spans="1:6" ht="12.75">
      <c r="A20020" s="2">
        <v>43876.286631944444</v>
      </c>
      <c r="B20020" t="str">
        <f>HYPERLINK("https://twitter.com/yanboim","@yanboim")</f>
        <v>@yanboim</v>
      </c>
      <c r="C20020" t="s">
        <v>9198</v>
      </c>
      <c r="D20020">
        <v>124</v>
      </c>
      <c r="E20020">
        <v>0</v>
      </c>
      <c r="F20020">
        <v>193</v>
      </c>
    </row>
    <row r="20021" spans="1:6" ht="12.75">
      <c r="A20021" s="2">
        <v>43876.286400462966</v>
      </c>
      <c r="B20021" t="str">
        <f>HYPERLINK("https://twitter.com/arm25202949","@arm25202949")</f>
        <v>@arm25202949</v>
      </c>
      <c r="C20021" t="s">
        <v>10035</v>
      </c>
      <c r="D20021">
        <v>0</v>
      </c>
      <c r="E20021">
        <v>0</v>
      </c>
      <c r="F20021">
        <v>426</v>
      </c>
    </row>
    <row r="20022" spans="1:6" ht="12.75">
      <c r="A20022" s="2">
        <v>43876.286273148144</v>
      </c>
      <c r="B20022" t="str">
        <f t="shared" ref="B20022:B20026" si="315">HYPERLINK("https://twitter.com/nellasari_sari","@nellasari_sari")</f>
        <v>@nellasari_sari</v>
      </c>
      <c r="C20022" t="s">
        <v>10036</v>
      </c>
      <c r="D20022">
        <v>0</v>
      </c>
      <c r="E20022">
        <v>0</v>
      </c>
      <c r="F20022">
        <v>103</v>
      </c>
    </row>
    <row r="20023" spans="1:6" ht="12.75">
      <c r="A20023" s="2">
        <v>43876.286238425921</v>
      </c>
      <c r="B20023" t="str">
        <f t="shared" si="315"/>
        <v>@nellasari_sari</v>
      </c>
      <c r="C20023" t="s">
        <v>10036</v>
      </c>
      <c r="D20023">
        <v>0</v>
      </c>
      <c r="E20023">
        <v>0</v>
      </c>
      <c r="F20023">
        <v>103</v>
      </c>
    </row>
    <row r="20024" spans="1:6" ht="12.75">
      <c r="A20024" s="2">
        <v>43876.286203703705</v>
      </c>
      <c r="B20024" t="str">
        <f t="shared" si="315"/>
        <v>@nellasari_sari</v>
      </c>
      <c r="C20024" t="s">
        <v>10036</v>
      </c>
      <c r="D20024">
        <v>0</v>
      </c>
      <c r="E20024">
        <v>0</v>
      </c>
      <c r="F20024">
        <v>103</v>
      </c>
    </row>
    <row r="20025" spans="1:6" ht="12.75">
      <c r="A20025" s="2">
        <v>43876.286157407405</v>
      </c>
      <c r="B20025" t="str">
        <f t="shared" si="315"/>
        <v>@nellasari_sari</v>
      </c>
      <c r="C20025" t="s">
        <v>10036</v>
      </c>
      <c r="D20025">
        <v>0</v>
      </c>
      <c r="E20025">
        <v>0</v>
      </c>
      <c r="F20025">
        <v>103</v>
      </c>
    </row>
    <row r="20026" spans="1:6" ht="12.75">
      <c r="A20026" s="2">
        <v>43876.286134259259</v>
      </c>
      <c r="B20026" t="str">
        <f t="shared" si="315"/>
        <v>@nellasari_sari</v>
      </c>
      <c r="C20026" t="s">
        <v>10036</v>
      </c>
      <c r="D20026">
        <v>0</v>
      </c>
      <c r="E20026">
        <v>0</v>
      </c>
      <c r="F20026">
        <v>103</v>
      </c>
    </row>
    <row r="20027" spans="1:6" ht="12.75">
      <c r="A20027" s="2">
        <v>43876.286041666666</v>
      </c>
      <c r="B20027" t="str">
        <f>HYPERLINK("https://twitter.com/EternallyT_","@EternallyT_")</f>
        <v>@EternallyT_</v>
      </c>
      <c r="C20027" t="s">
        <v>5168</v>
      </c>
      <c r="D20027">
        <v>1293</v>
      </c>
      <c r="E20027">
        <v>0</v>
      </c>
      <c r="F20027">
        <v>171</v>
      </c>
    </row>
    <row r="20028" spans="1:6" ht="12.75">
      <c r="A20028" s="2">
        <v>43876.28597222222</v>
      </c>
      <c r="B20028" t="str">
        <f>HYPERLINK("https://twitter.com/z_vivanto","@z_vivanto")</f>
        <v>@z_vivanto</v>
      </c>
      <c r="C20028" t="s">
        <v>7478</v>
      </c>
      <c r="D20028">
        <v>496</v>
      </c>
      <c r="E20028">
        <v>0</v>
      </c>
      <c r="F20028">
        <v>523</v>
      </c>
    </row>
    <row r="20029" spans="1:6" ht="12.75">
      <c r="A20029" s="2">
        <v>43876.285833333328</v>
      </c>
      <c r="B20029" t="str">
        <f>HYPERLINK("https://twitter.com/Rambo25004053","@Rambo25004053")</f>
        <v>@Rambo25004053</v>
      </c>
      <c r="C20029" t="s">
        <v>175</v>
      </c>
      <c r="D20029">
        <v>5320</v>
      </c>
      <c r="E20029">
        <v>0</v>
      </c>
      <c r="F20029">
        <v>186</v>
      </c>
    </row>
    <row r="20030" spans="1:6" ht="12.75">
      <c r="A20030" s="2">
        <v>43876.285555555558</v>
      </c>
      <c r="B20030" t="str">
        <f>HYPERLINK("https://twitter.com/nihImeldaBie","@nihImeldaBie")</f>
        <v>@nihImeldaBie</v>
      </c>
      <c r="C20030" t="s">
        <v>2444</v>
      </c>
      <c r="D20030">
        <v>3488</v>
      </c>
      <c r="E20030">
        <v>0</v>
      </c>
      <c r="F20030">
        <v>389</v>
      </c>
    </row>
    <row r="20031" spans="1:6" ht="12.75">
      <c r="A20031" s="2">
        <v>43876.285474537042</v>
      </c>
      <c r="B20031" t="str">
        <f>HYPERLINK("https://twitter.com/muhammad_nasyar","@muhammad_nasyar")</f>
        <v>@muhammad_nasyar</v>
      </c>
      <c r="C20031" t="s">
        <v>5168</v>
      </c>
      <c r="D20031">
        <v>1293</v>
      </c>
      <c r="E20031">
        <v>0</v>
      </c>
      <c r="F20031">
        <v>316</v>
      </c>
    </row>
    <row r="20032" spans="1:6" ht="12.75">
      <c r="A20032" s="2">
        <v>43876.285324074073</v>
      </c>
      <c r="B20032" t="str">
        <f>HYPERLINK("https://twitter.com/IbswTeam","@IbswTeam")</f>
        <v>@IbswTeam</v>
      </c>
      <c r="C20032" t="s">
        <v>6201</v>
      </c>
      <c r="D20032">
        <v>371</v>
      </c>
      <c r="E20032">
        <v>0</v>
      </c>
      <c r="F20032">
        <v>96</v>
      </c>
    </row>
    <row r="20033" spans="1:6" ht="12.75">
      <c r="A20033" s="2">
        <v>43876.285312499997</v>
      </c>
      <c r="B20033" t="str">
        <f>HYPERLINK("https://twitter.com/jossumarto","@jossumarto")</f>
        <v>@jossumarto</v>
      </c>
      <c r="C20033" t="s">
        <v>9746</v>
      </c>
      <c r="D20033">
        <v>443</v>
      </c>
      <c r="E20033">
        <v>0</v>
      </c>
      <c r="F20033">
        <v>79</v>
      </c>
    </row>
    <row r="20034" spans="1:6" ht="12.75">
      <c r="A20034" s="2">
        <v>43876.285208333335</v>
      </c>
      <c r="B20034" t="str">
        <f>HYPERLINK("https://twitter.com/gwiyeomel","@gwiyeomel")</f>
        <v>@gwiyeomel</v>
      </c>
      <c r="C20034" t="s">
        <v>9067</v>
      </c>
      <c r="D20034">
        <v>70</v>
      </c>
      <c r="E20034">
        <v>0</v>
      </c>
      <c r="F20034">
        <v>313</v>
      </c>
    </row>
    <row r="20035" spans="1:6" ht="12.75">
      <c r="A20035" s="2">
        <v>43876.285138888888</v>
      </c>
      <c r="B20035" t="str">
        <f>HYPERLINK("https://twitter.com/hifnihasan","@hifnihasan")</f>
        <v>@hifnihasan</v>
      </c>
      <c r="C20035" t="s">
        <v>10037</v>
      </c>
      <c r="D20035">
        <v>0</v>
      </c>
      <c r="E20035">
        <v>0</v>
      </c>
      <c r="F20035">
        <v>424</v>
      </c>
    </row>
    <row r="20036" spans="1:6" ht="12.75">
      <c r="A20036" s="2">
        <v>43876.285138888888</v>
      </c>
      <c r="B20036" t="str">
        <f>HYPERLINK("https://twitter.com/alyasafira50","@alyasafira50")</f>
        <v>@alyasafira50</v>
      </c>
      <c r="C20036" t="s">
        <v>2444</v>
      </c>
      <c r="D20036">
        <v>3488</v>
      </c>
      <c r="E20036">
        <v>0</v>
      </c>
      <c r="F20036">
        <v>86</v>
      </c>
    </row>
    <row r="20037" spans="1:6" ht="12.75">
      <c r="A20037" s="2">
        <v>43876.285104166665</v>
      </c>
      <c r="B20037" t="str">
        <f>HYPERLINK("https://twitter.com/gwiyeomel","@gwiyeomel")</f>
        <v>@gwiyeomel</v>
      </c>
      <c r="C20037" t="s">
        <v>2444</v>
      </c>
      <c r="D20037">
        <v>3488</v>
      </c>
      <c r="E20037">
        <v>0</v>
      </c>
      <c r="F20037">
        <v>313</v>
      </c>
    </row>
    <row r="20038" spans="1:6" ht="12.75">
      <c r="A20038" s="2">
        <v>43876.285081018519</v>
      </c>
      <c r="B20038" t="str">
        <f>HYPERLINK("https://twitter.com/arm25202949","@arm25202949")</f>
        <v>@arm25202949</v>
      </c>
      <c r="C20038" t="s">
        <v>10038</v>
      </c>
      <c r="D20038">
        <v>0</v>
      </c>
      <c r="E20038">
        <v>0</v>
      </c>
      <c r="F20038">
        <v>426</v>
      </c>
    </row>
    <row r="20039" spans="1:6" ht="12.75">
      <c r="A20039" s="2">
        <v>43876.285046296296</v>
      </c>
      <c r="B20039" t="str">
        <f>HYPERLINK("https://twitter.com/sheinseiya","@sheinseiya")</f>
        <v>@sheinseiya</v>
      </c>
      <c r="C20039" t="s">
        <v>10039</v>
      </c>
      <c r="D20039">
        <v>0</v>
      </c>
      <c r="E20039">
        <v>0</v>
      </c>
      <c r="F20039">
        <v>285</v>
      </c>
    </row>
    <row r="20040" spans="1:6" ht="12.75">
      <c r="A20040" s="2">
        <v>43876.284872685181</v>
      </c>
      <c r="B20040" t="str">
        <f>HYPERLINK("https://twitter.com/BattleOfVienna","@BattleOfVienna")</f>
        <v>@BattleOfVienna</v>
      </c>
      <c r="C20040" t="s">
        <v>9993</v>
      </c>
      <c r="D20040">
        <v>14</v>
      </c>
      <c r="E20040">
        <v>0</v>
      </c>
      <c r="F20040">
        <v>52</v>
      </c>
    </row>
    <row r="20041" spans="1:6" ht="12.75">
      <c r="A20041" s="2">
        <v>43876.284722222219</v>
      </c>
      <c r="B20041" t="str">
        <f>HYPERLINK("https://twitter.com/HaloBCA","@HaloBCA")</f>
        <v>@HaloBCA</v>
      </c>
      <c r="C20041" t="s">
        <v>10040</v>
      </c>
      <c r="D20041">
        <v>0</v>
      </c>
      <c r="E20041">
        <v>0</v>
      </c>
      <c r="F20041">
        <v>230413</v>
      </c>
    </row>
    <row r="20042" spans="1:6" ht="12.75">
      <c r="A20042" s="2">
        <v>43876.284594907411</v>
      </c>
      <c r="B20042" t="str">
        <f>HYPERLINK("https://twitter.com/tyask","@tyask")</f>
        <v>@tyask</v>
      </c>
      <c r="C20042" t="s">
        <v>2444</v>
      </c>
      <c r="D20042">
        <v>3488</v>
      </c>
      <c r="E20042">
        <v>0</v>
      </c>
      <c r="F20042">
        <v>647</v>
      </c>
    </row>
    <row r="20043" spans="1:6" ht="12.75">
      <c r="A20043" s="2">
        <v>43876.284525462965</v>
      </c>
      <c r="B20043" t="str">
        <f>HYPERLINK("https://twitter.com/DavidRuslie8","@DavidRuslie8")</f>
        <v>@DavidRuslie8</v>
      </c>
      <c r="C20043" t="s">
        <v>7946</v>
      </c>
      <c r="D20043">
        <v>19</v>
      </c>
      <c r="E20043">
        <v>0</v>
      </c>
      <c r="F20043">
        <v>916</v>
      </c>
    </row>
    <row r="20044" spans="1:6" ht="12.75">
      <c r="A20044" s="2">
        <v>43876.284282407403</v>
      </c>
      <c r="B20044" t="str">
        <f>HYPERLINK("https://twitter.com/tiraminjoo","@tiraminjoo")</f>
        <v>@tiraminjoo</v>
      </c>
      <c r="C20044" t="s">
        <v>9852</v>
      </c>
      <c r="D20044">
        <v>8</v>
      </c>
      <c r="E20044">
        <v>0</v>
      </c>
      <c r="F20044">
        <v>207</v>
      </c>
    </row>
    <row r="20045" spans="1:6" ht="12.75">
      <c r="A20045" s="2">
        <v>43876.284201388888</v>
      </c>
      <c r="B20045" t="str">
        <f>HYPERLINK("https://twitter.com/IftaKessa","@IftaKessa")</f>
        <v>@IftaKessa</v>
      </c>
      <c r="C20045" t="s">
        <v>5168</v>
      </c>
      <c r="D20045">
        <v>1293</v>
      </c>
      <c r="E20045">
        <v>0</v>
      </c>
      <c r="F20045">
        <v>1209</v>
      </c>
    </row>
    <row r="20046" spans="1:6" ht="12.75">
      <c r="A20046" s="2">
        <v>43876.284039351856</v>
      </c>
      <c r="B20046" t="str">
        <f>HYPERLINK("https://twitter.com/byrieen","@byrieen")</f>
        <v>@byrieen</v>
      </c>
      <c r="C20046" t="s">
        <v>6201</v>
      </c>
      <c r="D20046">
        <v>371</v>
      </c>
      <c r="E20046">
        <v>0</v>
      </c>
      <c r="F20046">
        <v>40</v>
      </c>
    </row>
    <row r="20047" spans="1:6" ht="12.75">
      <c r="A20047" s="2">
        <v>43876.284004629633</v>
      </c>
      <c r="B20047" t="str">
        <f>HYPERLINK("https://twitter.com/tiraminjoo","@tiraminjoo")</f>
        <v>@tiraminjoo</v>
      </c>
      <c r="C20047" t="s">
        <v>9123</v>
      </c>
      <c r="D20047">
        <v>319</v>
      </c>
      <c r="E20047">
        <v>0</v>
      </c>
      <c r="F20047">
        <v>207</v>
      </c>
    </row>
    <row r="20048" spans="1:6" ht="12.75">
      <c r="A20048" s="2">
        <v>43876.283946759257</v>
      </c>
      <c r="B20048" t="str">
        <f>HYPERLINK("https://twitter.com/126vdy","@126vdy")</f>
        <v>@126vdy</v>
      </c>
      <c r="C20048" t="s">
        <v>5168</v>
      </c>
      <c r="D20048">
        <v>1293</v>
      </c>
      <c r="E20048">
        <v>0</v>
      </c>
      <c r="F20048">
        <v>911</v>
      </c>
    </row>
    <row r="20049" spans="1:6" ht="12.75">
      <c r="A20049" s="2">
        <v>43876.283622685187</v>
      </c>
      <c r="B20049" t="str">
        <f>HYPERLINK("https://twitter.com/PojokNU","@PojokNU")</f>
        <v>@PojokNU</v>
      </c>
      <c r="C20049" t="s">
        <v>10041</v>
      </c>
      <c r="D20049">
        <v>0</v>
      </c>
      <c r="E20049">
        <v>0</v>
      </c>
      <c r="F20049">
        <v>699</v>
      </c>
    </row>
    <row r="20050" spans="1:6" ht="12.75">
      <c r="A20050" s="2">
        <v>43876.283553240741</v>
      </c>
      <c r="B20050" t="str">
        <f>HYPERLINK("https://twitter.com/SaidiArmin","@SaidiArmin")</f>
        <v>@SaidiArmin</v>
      </c>
      <c r="C20050" t="s">
        <v>10042</v>
      </c>
      <c r="D20050">
        <v>0</v>
      </c>
      <c r="E20050">
        <v>0</v>
      </c>
      <c r="F20050">
        <v>0</v>
      </c>
    </row>
    <row r="20051" spans="1:6" ht="12.75">
      <c r="A20051" s="2">
        <v>43876.251458333332</v>
      </c>
      <c r="B20051" t="str">
        <f>HYPERLINK("https://twitter.com/raniiDT","@raniiDT")</f>
        <v>@raniiDT</v>
      </c>
      <c r="C20051" t="s">
        <v>5168</v>
      </c>
      <c r="D20051">
        <v>1269</v>
      </c>
      <c r="E20051">
        <v>0</v>
      </c>
      <c r="F20051">
        <v>1794</v>
      </c>
    </row>
    <row r="20052" spans="1:6" ht="12.75">
      <c r="A20052" s="2">
        <v>43876.251215277778</v>
      </c>
      <c r="B20052" t="str">
        <f>HYPERLINK("https://twitter.com/aldyryans","@aldyryans")</f>
        <v>@aldyryans</v>
      </c>
      <c r="C20052" t="s">
        <v>9998</v>
      </c>
      <c r="D20052">
        <v>107</v>
      </c>
      <c r="E20052">
        <v>0</v>
      </c>
      <c r="F20052">
        <v>151</v>
      </c>
    </row>
    <row r="20053" spans="1:6" ht="12.75">
      <c r="A20053" s="2">
        <v>43876.25099537037</v>
      </c>
      <c r="B20053" t="str">
        <f>HYPERLINK("https://twitter.com/viraerizal","@viraerizal")</f>
        <v>@viraerizal</v>
      </c>
      <c r="C20053" t="s">
        <v>2444</v>
      </c>
      <c r="D20053">
        <v>3413</v>
      </c>
      <c r="E20053">
        <v>0</v>
      </c>
      <c r="F20053">
        <v>506</v>
      </c>
    </row>
    <row r="20054" spans="1:6" ht="12.75">
      <c r="A20054" s="2">
        <v>43876.250879629632</v>
      </c>
      <c r="B20054" t="str">
        <f>HYPERLINK("https://twitter.com/senitlicious","@senitlicious")</f>
        <v>@senitlicious</v>
      </c>
      <c r="C20054" t="s">
        <v>2444</v>
      </c>
      <c r="D20054">
        <v>3413</v>
      </c>
      <c r="E20054">
        <v>0</v>
      </c>
      <c r="F20054">
        <v>803</v>
      </c>
    </row>
    <row r="20055" spans="1:6" ht="12.75">
      <c r="A20055" s="2">
        <v>43876.250775462962</v>
      </c>
      <c r="B20055" t="str">
        <f>HYPERLINK("https://twitter.com/pat0107","@pat0107")</f>
        <v>@pat0107</v>
      </c>
      <c r="C20055" t="s">
        <v>10043</v>
      </c>
      <c r="D20055">
        <v>0</v>
      </c>
      <c r="E20055">
        <v>0</v>
      </c>
      <c r="F20055">
        <v>2078</v>
      </c>
    </row>
    <row r="20056" spans="1:6" ht="12.75">
      <c r="A20056" s="2">
        <v>43876.250706018516</v>
      </c>
      <c r="B20056" t="str">
        <f>HYPERLINK("https://twitter.com/gulagarembata","@gulagarembata")</f>
        <v>@gulagarembata</v>
      </c>
      <c r="C20056" t="s">
        <v>10044</v>
      </c>
      <c r="D20056">
        <v>0</v>
      </c>
      <c r="E20056">
        <v>0</v>
      </c>
      <c r="F20056">
        <v>847</v>
      </c>
    </row>
    <row r="20057" spans="1:6" ht="12.75">
      <c r="A20057" s="2">
        <v>43876.250659722224</v>
      </c>
      <c r="B20057" t="str">
        <f>HYPERLINK("https://twitter.com/noer42014","@noer42014")</f>
        <v>@noer42014</v>
      </c>
      <c r="C20057" t="s">
        <v>9746</v>
      </c>
      <c r="D20057">
        <v>434</v>
      </c>
      <c r="E20057">
        <v>0</v>
      </c>
      <c r="F20057">
        <v>155</v>
      </c>
    </row>
    <row r="20058" spans="1:6" ht="12.75">
      <c r="A20058" s="2">
        <v>43876.250578703708</v>
      </c>
      <c r="B20058" t="str">
        <f>HYPERLINK("https://twitter.com/epindriyanto","@epindriyanto")</f>
        <v>@epindriyanto</v>
      </c>
      <c r="C20058" t="s">
        <v>7946</v>
      </c>
      <c r="D20058">
        <v>7</v>
      </c>
      <c r="E20058">
        <v>0</v>
      </c>
      <c r="F20058">
        <v>2522</v>
      </c>
    </row>
    <row r="20059" spans="1:6" ht="12.75">
      <c r="A20059" s="2">
        <v>43876.250567129631</v>
      </c>
      <c r="B20059" t="str">
        <f>HYPERLINK("https://twitter.com/Riaagstin","@Riaagstin")</f>
        <v>@Riaagstin</v>
      </c>
      <c r="C20059" t="s">
        <v>2444</v>
      </c>
      <c r="D20059">
        <v>3413</v>
      </c>
      <c r="E20059">
        <v>0</v>
      </c>
      <c r="F20059">
        <v>30</v>
      </c>
    </row>
    <row r="20060" spans="1:6" ht="12.75">
      <c r="A20060" s="2">
        <v>43876.250416666662</v>
      </c>
      <c r="B20060" t="str">
        <f>HYPERLINK("https://twitter.com/PradityaBeni","@PradityaBeni")</f>
        <v>@PradityaBeni</v>
      </c>
      <c r="C20060" t="s">
        <v>9746</v>
      </c>
      <c r="D20060">
        <v>434</v>
      </c>
      <c r="E20060">
        <v>0</v>
      </c>
      <c r="F20060">
        <v>1292</v>
      </c>
    </row>
    <row r="20061" spans="1:6" ht="12.75">
      <c r="A20061" s="2">
        <v>43876.250208333338</v>
      </c>
      <c r="B20061" t="str">
        <f>HYPERLINK("https://twitter.com/dusrimulya","@dusrimulya")</f>
        <v>@dusrimulya</v>
      </c>
      <c r="C20061" t="s">
        <v>10045</v>
      </c>
      <c r="D20061">
        <v>0</v>
      </c>
      <c r="E20061">
        <v>0</v>
      </c>
      <c r="F20061">
        <v>22313</v>
      </c>
    </row>
    <row r="20062" spans="1:6" ht="12.75">
      <c r="A20062" s="2">
        <v>43876.250196759254</v>
      </c>
      <c r="B20062" t="str">
        <f>HYPERLINK("https://twitter.com/MazZhoe","@MazZhoe")</f>
        <v>@MazZhoe</v>
      </c>
      <c r="C20062" t="s">
        <v>8980</v>
      </c>
      <c r="D20062">
        <v>5</v>
      </c>
      <c r="E20062">
        <v>0</v>
      </c>
      <c r="F20062">
        <v>762</v>
      </c>
    </row>
    <row r="20063" spans="1:6" ht="12.75">
      <c r="A20063" s="2">
        <v>43876.250173611115</v>
      </c>
      <c r="B20063" t="str">
        <f>HYPERLINK("https://twitter.com/Joglosemarnews","@Joglosemarnews")</f>
        <v>@Joglosemarnews</v>
      </c>
      <c r="C20063" t="s">
        <v>10046</v>
      </c>
      <c r="D20063">
        <v>0</v>
      </c>
      <c r="E20063">
        <v>0</v>
      </c>
      <c r="F20063">
        <v>303</v>
      </c>
    </row>
    <row r="20064" spans="1:6" ht="12.75">
      <c r="A20064" s="2">
        <v>43876.250115740739</v>
      </c>
      <c r="B20064" t="str">
        <f>HYPERLINK("https://twitter.com/cycloneopropana","@cycloneopropana")</f>
        <v>@cycloneopropana</v>
      </c>
      <c r="C20064" t="s">
        <v>7662</v>
      </c>
      <c r="D20064">
        <v>531</v>
      </c>
      <c r="E20064">
        <v>0</v>
      </c>
      <c r="F20064">
        <v>26</v>
      </c>
    </row>
    <row r="20065" spans="1:6" ht="12.75">
      <c r="A20065" s="2">
        <v>43876.250023148154</v>
      </c>
      <c r="B20065" t="str">
        <f>HYPERLINK("https://twitter.com/bblueranger","@bblueranger")</f>
        <v>@bblueranger</v>
      </c>
      <c r="C20065" t="s">
        <v>2097</v>
      </c>
      <c r="D20065">
        <v>406</v>
      </c>
      <c r="E20065">
        <v>0</v>
      </c>
      <c r="F20065">
        <v>72</v>
      </c>
    </row>
    <row r="20066" spans="1:6" ht="12.75">
      <c r="A20066" s="2">
        <v>43876.249907407408</v>
      </c>
      <c r="B20066" t="str">
        <f>HYPERLINK("https://twitter.com/citrailmii","@citrailmii")</f>
        <v>@citrailmii</v>
      </c>
      <c r="C20066" t="s">
        <v>5168</v>
      </c>
      <c r="D20066">
        <v>1269</v>
      </c>
      <c r="E20066">
        <v>0</v>
      </c>
      <c r="F20066">
        <v>338</v>
      </c>
    </row>
    <row r="20067" spans="1:6" ht="12.75">
      <c r="A20067" s="2">
        <v>43876.249560185184</v>
      </c>
      <c r="B20067" t="str">
        <f>HYPERLINK("https://twitter.com/converelse","@converelse")</f>
        <v>@converelse</v>
      </c>
      <c r="C20067" t="s">
        <v>2444</v>
      </c>
      <c r="D20067">
        <v>3413</v>
      </c>
      <c r="E20067">
        <v>0</v>
      </c>
      <c r="F20067">
        <v>446</v>
      </c>
    </row>
    <row r="20068" spans="1:6" ht="12.75">
      <c r="A20068" s="2">
        <v>43876.249513888892</v>
      </c>
      <c r="B20068" t="str">
        <f>HYPERLINK("https://twitter.com/Rizwanto021115","@Rizwanto021115")</f>
        <v>@Rizwanto021115</v>
      </c>
      <c r="C20068" t="s">
        <v>8890</v>
      </c>
      <c r="D20068">
        <v>2</v>
      </c>
      <c r="E20068">
        <v>0</v>
      </c>
      <c r="F20068">
        <v>513</v>
      </c>
    </row>
    <row r="20069" spans="1:6" ht="12.75">
      <c r="A20069" s="2">
        <v>43876.249340277776</v>
      </c>
      <c r="B20069" t="str">
        <f>HYPERLINK("https://twitter.com/SamRachman6","@SamRachman6")</f>
        <v>@SamRachman6</v>
      </c>
      <c r="C20069" t="s">
        <v>3059</v>
      </c>
      <c r="D20069">
        <v>23</v>
      </c>
      <c r="E20069">
        <v>0</v>
      </c>
      <c r="F20069">
        <v>16</v>
      </c>
    </row>
    <row r="20070" spans="1:6" ht="12.75">
      <c r="A20070" s="2">
        <v>43876.249178240745</v>
      </c>
      <c r="B20070" t="str">
        <f>HYPERLINK("https://twitter.com/dickkid","@dickkid")</f>
        <v>@dickkid</v>
      </c>
      <c r="C20070" t="s">
        <v>2444</v>
      </c>
      <c r="D20070">
        <v>3413</v>
      </c>
      <c r="E20070">
        <v>0</v>
      </c>
      <c r="F20070">
        <v>274</v>
      </c>
    </row>
    <row r="20071" spans="1:6" ht="12.75">
      <c r="A20071" s="2">
        <v>43876.248969907407</v>
      </c>
      <c r="B20071" t="str">
        <f>HYPERLINK("https://twitter.com/iehfkhanz","@iehfkhanz")</f>
        <v>@iehfkhanz</v>
      </c>
      <c r="C20071" t="s">
        <v>10047</v>
      </c>
      <c r="D20071">
        <v>0</v>
      </c>
      <c r="E20071">
        <v>0</v>
      </c>
      <c r="F20071">
        <v>1299</v>
      </c>
    </row>
    <row r="20072" spans="1:6" ht="12.75">
      <c r="A20072" s="2">
        <v>43876.248900462961</v>
      </c>
      <c r="B20072" t="str">
        <f>HYPERLINK("https://twitter.com/bucjhin","@bucjhin")</f>
        <v>@bucjhin</v>
      </c>
      <c r="C20072" t="s">
        <v>5168</v>
      </c>
      <c r="D20072">
        <v>1269</v>
      </c>
      <c r="E20072">
        <v>0</v>
      </c>
      <c r="F20072">
        <v>1744</v>
      </c>
    </row>
    <row r="20073" spans="1:6" ht="12.75">
      <c r="A20073" s="2">
        <v>43876.248784722222</v>
      </c>
      <c r="B20073" t="str">
        <f>HYPERLINK("https://twitter.com/afajarfa","@afajarfa")</f>
        <v>@afajarfa</v>
      </c>
      <c r="C20073" t="s">
        <v>7478</v>
      </c>
      <c r="D20073">
        <v>486</v>
      </c>
      <c r="E20073">
        <v>0</v>
      </c>
      <c r="F20073">
        <v>245</v>
      </c>
    </row>
    <row r="20074" spans="1:6" ht="12.75">
      <c r="A20074" s="2">
        <v>43876.248726851853</v>
      </c>
      <c r="B20074" t="str">
        <f>HYPERLINK("https://twitter.com/Adnanda27698160","@Adnanda27698160")</f>
        <v>@Adnanda27698160</v>
      </c>
      <c r="C20074" t="s">
        <v>9198</v>
      </c>
      <c r="D20074">
        <v>119</v>
      </c>
      <c r="E20074">
        <v>0</v>
      </c>
      <c r="F20074">
        <v>133</v>
      </c>
    </row>
    <row r="20075" spans="1:6" ht="12.75">
      <c r="A20075" s="2">
        <v>43876.248715277776</v>
      </c>
      <c r="B20075" t="str">
        <f>HYPERLINK("https://twitter.com/toeng__","@toeng__")</f>
        <v>@toeng__</v>
      </c>
      <c r="C20075" t="s">
        <v>3059</v>
      </c>
      <c r="D20075">
        <v>23</v>
      </c>
      <c r="E20075">
        <v>0</v>
      </c>
      <c r="F20075">
        <v>131</v>
      </c>
    </row>
    <row r="20076" spans="1:6" ht="12.75">
      <c r="A20076" s="2">
        <v>43876.248680555553</v>
      </c>
      <c r="B20076" t="str">
        <f>HYPERLINK("https://twitter.com/TweetSyarif","@TweetSyarif")</f>
        <v>@TweetSyarif</v>
      </c>
      <c r="C20076" t="s">
        <v>9993</v>
      </c>
      <c r="D20076">
        <v>12</v>
      </c>
      <c r="E20076">
        <v>0</v>
      </c>
      <c r="F20076">
        <v>3645</v>
      </c>
    </row>
    <row r="20077" spans="1:6" ht="12.75">
      <c r="A20077" s="2">
        <v>43876.248576388884</v>
      </c>
      <c r="B20077" t="str">
        <f>HYPERLINK("https://twitter.com/kanalindonesia","@kanalindonesia")</f>
        <v>@kanalindonesia</v>
      </c>
      <c r="C20077" t="s">
        <v>10048</v>
      </c>
      <c r="D20077">
        <v>0</v>
      </c>
      <c r="E20077">
        <v>0</v>
      </c>
      <c r="F20077">
        <v>84</v>
      </c>
    </row>
    <row r="20078" spans="1:6" ht="12.75">
      <c r="A20078" s="2">
        <v>43876.248564814814</v>
      </c>
      <c r="B20078" t="str">
        <f>HYPERLINK("https://twitter.com/sweethellena","@sweethellena")</f>
        <v>@sweethellena</v>
      </c>
      <c r="C20078" t="s">
        <v>10049</v>
      </c>
      <c r="D20078">
        <v>0</v>
      </c>
      <c r="E20078">
        <v>0</v>
      </c>
      <c r="F20078">
        <v>6124</v>
      </c>
    </row>
    <row r="20079" spans="1:6" ht="12.75">
      <c r="A20079" s="2">
        <v>43876.248240740737</v>
      </c>
      <c r="B20079" t="str">
        <f>HYPERLINK("https://twitter.com/eko_juandri","@eko_juandri")</f>
        <v>@eko_juandri</v>
      </c>
      <c r="C20079" t="s">
        <v>6201</v>
      </c>
      <c r="D20079">
        <v>349</v>
      </c>
      <c r="E20079">
        <v>0</v>
      </c>
      <c r="F20079">
        <v>1259</v>
      </c>
    </row>
    <row r="20080" spans="1:6" ht="12.75">
      <c r="A20080" s="2">
        <v>43876.248148148152</v>
      </c>
      <c r="B20080" t="str">
        <f>HYPERLINK("https://twitter.com/diendwe","@diendwe")</f>
        <v>@diendwe</v>
      </c>
      <c r="C20080" t="s">
        <v>2444</v>
      </c>
      <c r="D20080">
        <v>3413</v>
      </c>
      <c r="E20080">
        <v>0</v>
      </c>
      <c r="F20080">
        <v>2162</v>
      </c>
    </row>
    <row r="20081" spans="1:6" ht="12.75">
      <c r="A20081" s="2">
        <v>43876.247974537036</v>
      </c>
      <c r="B20081" t="str">
        <f>HYPERLINK("https://twitter.com/kakakaliss","@kakakaliss")</f>
        <v>@kakakaliss</v>
      </c>
      <c r="C20081" t="s">
        <v>9687</v>
      </c>
      <c r="D20081">
        <v>1</v>
      </c>
      <c r="E20081">
        <v>0</v>
      </c>
      <c r="F20081">
        <v>363</v>
      </c>
    </row>
    <row r="20082" spans="1:6" ht="12.75">
      <c r="A20082" s="2">
        <v>43876.247928240744</v>
      </c>
      <c r="B20082" t="str">
        <f>HYPERLINK("https://twitter.com/AlvaroDeBazan2","@AlvaroDeBazan2")</f>
        <v>@AlvaroDeBazan2</v>
      </c>
      <c r="C20082" t="s">
        <v>8890</v>
      </c>
      <c r="D20082">
        <v>2</v>
      </c>
      <c r="E20082">
        <v>0</v>
      </c>
      <c r="F20082">
        <v>248</v>
      </c>
    </row>
    <row r="20083" spans="1:6" ht="12.75">
      <c r="A20083" s="2">
        <v>43876.247731481482</v>
      </c>
      <c r="B20083" t="str">
        <f>HYPERLINK("https://twitter.com/katamereka7","@katamereka7")</f>
        <v>@katamereka7</v>
      </c>
      <c r="C20083" t="s">
        <v>10050</v>
      </c>
      <c r="D20083">
        <v>0</v>
      </c>
      <c r="E20083">
        <v>0</v>
      </c>
      <c r="F20083">
        <v>291</v>
      </c>
    </row>
    <row r="20084" spans="1:6" ht="12.75">
      <c r="A20084" s="2">
        <v>43876.247708333336</v>
      </c>
      <c r="B20084" t="str">
        <f>HYPERLINK("https://twitter.com/erna_st","@erna_st")</f>
        <v>@erna_st</v>
      </c>
      <c r="C20084" t="s">
        <v>3059</v>
      </c>
      <c r="D20084">
        <v>23</v>
      </c>
      <c r="E20084">
        <v>0</v>
      </c>
      <c r="F20084">
        <v>9387</v>
      </c>
    </row>
    <row r="20085" spans="1:6" ht="12.75">
      <c r="A20085" s="2">
        <v>43876.247546296298</v>
      </c>
      <c r="B20085" t="str">
        <f>HYPERLINK("https://twitter.com/kamto_adi","@kamto_adi")</f>
        <v>@kamto_adi</v>
      </c>
      <c r="C20085" t="s">
        <v>10051</v>
      </c>
      <c r="D20085">
        <v>2</v>
      </c>
      <c r="E20085">
        <v>3</v>
      </c>
      <c r="F20085">
        <v>14969</v>
      </c>
    </row>
    <row r="20086" spans="1:6" ht="12.75">
      <c r="A20086" s="2">
        <v>43876.247499999998</v>
      </c>
      <c r="B20086" t="str">
        <f>HYPERLINK("https://twitter.com/daniel4g","@daniel4g")</f>
        <v>@daniel4g</v>
      </c>
      <c r="C20086" t="s">
        <v>9666</v>
      </c>
      <c r="D20086">
        <v>26</v>
      </c>
      <c r="E20086">
        <v>0</v>
      </c>
      <c r="F20086">
        <v>225</v>
      </c>
    </row>
    <row r="20087" spans="1:6" ht="12.75">
      <c r="A20087" s="2">
        <v>43876.247256944444</v>
      </c>
      <c r="B20087" t="str">
        <f>HYPERLINK("https://twitter.com/Beebayu1","@Beebayu1")</f>
        <v>@Beebayu1</v>
      </c>
      <c r="C20087" t="s">
        <v>8754</v>
      </c>
      <c r="D20087">
        <v>32</v>
      </c>
      <c r="E20087">
        <v>0</v>
      </c>
      <c r="F20087">
        <v>703</v>
      </c>
    </row>
    <row r="20088" spans="1:6" ht="12.75">
      <c r="A20088" s="2">
        <v>43876.247152777782</v>
      </c>
      <c r="B20088" t="str">
        <f>HYPERLINK("https://twitter.com/bibin_bey","@bibin_bey")</f>
        <v>@bibin_bey</v>
      </c>
      <c r="C20088" t="s">
        <v>10052</v>
      </c>
      <c r="D20088">
        <v>125</v>
      </c>
      <c r="E20088">
        <v>0</v>
      </c>
      <c r="F20088">
        <v>1606</v>
      </c>
    </row>
    <row r="20089" spans="1:6" ht="12.75">
      <c r="A20089" s="2">
        <v>43876.247013888889</v>
      </c>
      <c r="B20089" t="str">
        <f>HYPERLINK("https://twitter.com/AdrianoG24","@AdrianoG24")</f>
        <v>@AdrianoG24</v>
      </c>
      <c r="C20089" t="s">
        <v>2444</v>
      </c>
      <c r="D20089">
        <v>3413</v>
      </c>
      <c r="E20089">
        <v>0</v>
      </c>
      <c r="F20089">
        <v>650</v>
      </c>
    </row>
    <row r="20090" spans="1:6" ht="12.75">
      <c r="A20090" s="2">
        <v>43876.246921296297</v>
      </c>
      <c r="B20090" t="str">
        <f>HYPERLINK("https://twitter.com/56_neoga","@56_neoga")</f>
        <v>@56_neoga</v>
      </c>
      <c r="C20090" t="s">
        <v>10053</v>
      </c>
      <c r="D20090">
        <v>0</v>
      </c>
      <c r="E20090">
        <v>0</v>
      </c>
      <c r="F20090">
        <v>508</v>
      </c>
    </row>
    <row r="20091" spans="1:6" ht="12.75">
      <c r="A20091" s="2">
        <v>43876.24690972222</v>
      </c>
      <c r="B20091" t="str">
        <f>HYPERLINK("https://twitter.com/dyah_angrh","@dyah_angrh")</f>
        <v>@dyah_angrh</v>
      </c>
      <c r="C20091" t="s">
        <v>9964</v>
      </c>
      <c r="D20091">
        <v>650</v>
      </c>
      <c r="E20091">
        <v>0</v>
      </c>
      <c r="F20091">
        <v>497</v>
      </c>
    </row>
    <row r="20092" spans="1:6" ht="12.75">
      <c r="A20092" s="2">
        <v>43876.246898148151</v>
      </c>
      <c r="B20092" t="str">
        <f>HYPERLINK("https://twitter.com/Kabar_Tangsel","@Kabar_Tangsel")</f>
        <v>@Kabar_Tangsel</v>
      </c>
      <c r="C20092" t="s">
        <v>10054</v>
      </c>
      <c r="D20092">
        <v>0</v>
      </c>
      <c r="E20092">
        <v>0</v>
      </c>
      <c r="F20092">
        <v>14870</v>
      </c>
    </row>
    <row r="20093" spans="1:6" ht="12.75">
      <c r="A20093" s="2">
        <v>43876.246782407412</v>
      </c>
      <c r="B20093" t="str">
        <f>HYPERLINK("https://twitter.com/ryoandil","@ryoandil")</f>
        <v>@ryoandil</v>
      </c>
      <c r="C20093" t="s">
        <v>10055</v>
      </c>
      <c r="D20093">
        <v>0</v>
      </c>
      <c r="E20093">
        <v>0</v>
      </c>
      <c r="F20093">
        <v>169</v>
      </c>
    </row>
    <row r="20094" spans="1:6" ht="12.75">
      <c r="A20094" s="2">
        <v>43876.246712962966</v>
      </c>
      <c r="B20094" t="str">
        <f>HYPERLINK("https://twitter.com/amalianina","@amalianina")</f>
        <v>@amalianina</v>
      </c>
      <c r="C20094" t="s">
        <v>2444</v>
      </c>
      <c r="D20094">
        <v>3413</v>
      </c>
      <c r="E20094">
        <v>0</v>
      </c>
      <c r="F20094">
        <v>1238</v>
      </c>
    </row>
    <row r="20095" spans="1:6" ht="12.75">
      <c r="A20095" s="2">
        <v>43876.246203703704</v>
      </c>
      <c r="B20095" t="str">
        <f>HYPERLINK("https://twitter.com/SidneyId","@SidneyId")</f>
        <v>@SidneyId</v>
      </c>
      <c r="C20095" t="s">
        <v>9857</v>
      </c>
      <c r="D20095">
        <v>24</v>
      </c>
      <c r="E20095">
        <v>0</v>
      </c>
      <c r="F20095">
        <v>1465</v>
      </c>
    </row>
    <row r="20096" spans="1:6" ht="12.75">
      <c r="A20096" s="2">
        <v>43876.246134259258</v>
      </c>
      <c r="B20096" t="str">
        <f>HYPERLINK("https://twitter.com/vvckevery1","@vvckevery1")</f>
        <v>@vvckevery1</v>
      </c>
      <c r="C20096" t="s">
        <v>2444</v>
      </c>
      <c r="D20096">
        <v>3413</v>
      </c>
      <c r="E20096">
        <v>0</v>
      </c>
      <c r="F20096">
        <v>39</v>
      </c>
    </row>
    <row r="20097" spans="1:6" ht="12.75">
      <c r="A20097" s="2">
        <v>43876.246134259258</v>
      </c>
      <c r="B20097" t="str">
        <f>HYPERLINK("https://twitter.com/AwalFans","@AwalFans")</f>
        <v>@AwalFans</v>
      </c>
      <c r="C20097" t="s">
        <v>2444</v>
      </c>
      <c r="D20097">
        <v>3413</v>
      </c>
      <c r="E20097">
        <v>0</v>
      </c>
      <c r="F20097">
        <v>645</v>
      </c>
    </row>
    <row r="20098" spans="1:6" ht="12.75">
      <c r="A20098" s="2">
        <v>43876.245775462958</v>
      </c>
      <c r="B20098" t="str">
        <f>HYPERLINK("https://twitter.com/katamereka7","@katamereka7")</f>
        <v>@katamereka7</v>
      </c>
      <c r="C20098" t="s">
        <v>10056</v>
      </c>
      <c r="D20098">
        <v>1</v>
      </c>
      <c r="E20098">
        <v>0</v>
      </c>
      <c r="F20098">
        <v>291</v>
      </c>
    </row>
    <row r="20099" spans="1:6" ht="12.75">
      <c r="A20099" s="2">
        <v>43876.245428240742</v>
      </c>
      <c r="B20099" t="str">
        <f>HYPERLINK("https://twitter.com/othonks","@othonks")</f>
        <v>@othonks</v>
      </c>
      <c r="C20099" t="s">
        <v>10052</v>
      </c>
      <c r="D20099">
        <v>125</v>
      </c>
      <c r="E20099">
        <v>0</v>
      </c>
      <c r="F20099">
        <v>1061</v>
      </c>
    </row>
    <row r="20100" spans="1:6" ht="12.75">
      <c r="A20100" s="2">
        <v>43876.245370370365</v>
      </c>
      <c r="B20100" t="str">
        <f>HYPERLINK("https://twitter.com/asherpra","@asherpra")</f>
        <v>@asherpra</v>
      </c>
      <c r="C20100" t="s">
        <v>8328</v>
      </c>
      <c r="D20100">
        <v>51</v>
      </c>
      <c r="E20100">
        <v>0</v>
      </c>
      <c r="F20100">
        <v>157</v>
      </c>
    </row>
    <row r="20101" spans="1:6" ht="12.75">
      <c r="A20101" s="2">
        <v>43876.245300925926</v>
      </c>
      <c r="B20101" t="str">
        <f>HYPERLINK("https://twitter.com/danz_sympony","@danz_sympony")</f>
        <v>@danz_sympony</v>
      </c>
      <c r="C20101" t="s">
        <v>7478</v>
      </c>
      <c r="D20101">
        <v>486</v>
      </c>
      <c r="E20101">
        <v>0</v>
      </c>
      <c r="F20101">
        <v>232</v>
      </c>
    </row>
    <row r="20102" spans="1:6" ht="12.75">
      <c r="A20102" s="2">
        <v>43876.245046296295</v>
      </c>
      <c r="B20102" t="str">
        <f>HYPERLINK("https://twitter.com/ZhAlkhalifi","@ZhAlkhalifi")</f>
        <v>@ZhAlkhalifi</v>
      </c>
      <c r="C20102" t="s">
        <v>9746</v>
      </c>
      <c r="D20102">
        <v>434</v>
      </c>
      <c r="E20102">
        <v>0</v>
      </c>
      <c r="F20102">
        <v>375</v>
      </c>
    </row>
    <row r="20103" spans="1:6" ht="12.75">
      <c r="A20103" s="2">
        <v>43876.245023148149</v>
      </c>
      <c r="B20103" t="str">
        <f>HYPERLINK("https://twitter.com/kayand143","@kayand143")</f>
        <v>@kayand143</v>
      </c>
      <c r="C20103" t="s">
        <v>10057</v>
      </c>
      <c r="D20103">
        <v>16</v>
      </c>
      <c r="E20103">
        <v>0</v>
      </c>
      <c r="F20103">
        <v>4338</v>
      </c>
    </row>
    <row r="20104" spans="1:6" ht="12.75">
      <c r="A20104" s="2">
        <v>43876.24496527778</v>
      </c>
      <c r="B20104" t="str">
        <f>HYPERLINK("https://twitter.com/Tesals","@Tesals")</f>
        <v>@Tesals</v>
      </c>
      <c r="C20104" t="s">
        <v>2444</v>
      </c>
      <c r="D20104">
        <v>3413</v>
      </c>
      <c r="E20104">
        <v>0</v>
      </c>
      <c r="F20104">
        <v>419</v>
      </c>
    </row>
    <row r="20105" spans="1:6" ht="12.75">
      <c r="A20105" s="2">
        <v>43876.244837962964</v>
      </c>
      <c r="B20105" t="str">
        <f>HYPERLINK("https://twitter.com/kuspuji","@kuspuji")</f>
        <v>@kuspuji</v>
      </c>
      <c r="C20105" t="s">
        <v>7478</v>
      </c>
      <c r="D20105">
        <v>486</v>
      </c>
      <c r="E20105">
        <v>0</v>
      </c>
      <c r="F20105">
        <v>47</v>
      </c>
    </row>
    <row r="20106" spans="1:6" ht="12.75">
      <c r="A20106" s="2">
        <v>43876.244768518518</v>
      </c>
      <c r="B20106" t="str">
        <f>HYPERLINK("https://twitter.com/BucinnyaJulianC","@BucinnyaJulianC")</f>
        <v>@BucinnyaJulianC</v>
      </c>
      <c r="C20106" t="s">
        <v>2444</v>
      </c>
      <c r="D20106">
        <v>3413</v>
      </c>
      <c r="E20106">
        <v>0</v>
      </c>
      <c r="F20106">
        <v>575</v>
      </c>
    </row>
    <row r="20107" spans="1:6" ht="12.75">
      <c r="A20107" s="2">
        <v>43876.244710648149</v>
      </c>
      <c r="B20107" t="str">
        <f>HYPERLINK("https://twitter.com/AwalFans","@AwalFans")</f>
        <v>@AwalFans</v>
      </c>
      <c r="C20107" t="s">
        <v>5168</v>
      </c>
      <c r="D20107">
        <v>1269</v>
      </c>
      <c r="E20107">
        <v>0</v>
      </c>
      <c r="F20107">
        <v>645</v>
      </c>
    </row>
    <row r="20108" spans="1:6" ht="12.75">
      <c r="A20108" s="2">
        <v>43876.244259259256</v>
      </c>
      <c r="B20108" t="str">
        <f>HYPERLINK("https://twitter.com/ZhAlkhalifi","@ZhAlkhalifi")</f>
        <v>@ZhAlkhalifi</v>
      </c>
      <c r="C20108" t="s">
        <v>7478</v>
      </c>
      <c r="D20108">
        <v>486</v>
      </c>
      <c r="E20108">
        <v>0</v>
      </c>
      <c r="F20108">
        <v>375</v>
      </c>
    </row>
    <row r="20109" spans="1:6" ht="12.75">
      <c r="A20109" s="2">
        <v>43876.244074074071</v>
      </c>
      <c r="B20109" t="str">
        <f>HYPERLINK("https://twitter.com/aldinodimas","@aldinodimas")</f>
        <v>@aldinodimas</v>
      </c>
      <c r="C20109" t="s">
        <v>2963</v>
      </c>
      <c r="D20109">
        <v>1221</v>
      </c>
      <c r="E20109">
        <v>0</v>
      </c>
      <c r="F20109">
        <v>465</v>
      </c>
    </row>
    <row r="20110" spans="1:6" ht="12.75">
      <c r="A20110" s="2">
        <v>43876.24391203704</v>
      </c>
      <c r="B20110" t="str">
        <f>HYPERLINK("https://twitter.com/M453h47","@M453h47")</f>
        <v>@M453h47</v>
      </c>
      <c r="C20110" t="s">
        <v>7946</v>
      </c>
      <c r="D20110">
        <v>7</v>
      </c>
      <c r="E20110">
        <v>0</v>
      </c>
      <c r="F20110">
        <v>215</v>
      </c>
    </row>
    <row r="20111" spans="1:6" ht="12.75">
      <c r="A20111" s="2">
        <v>43876.243506944447</v>
      </c>
      <c r="B20111" t="str">
        <f>HYPERLINK("https://twitter.com/rosyid_gondrong","@rosyid_gondrong")</f>
        <v>@rosyid_gondrong</v>
      </c>
      <c r="C20111" t="s">
        <v>6201</v>
      </c>
      <c r="D20111">
        <v>349</v>
      </c>
      <c r="E20111">
        <v>0</v>
      </c>
      <c r="F20111">
        <v>192</v>
      </c>
    </row>
    <row r="20112" spans="1:6" ht="12.75">
      <c r="A20112" s="2">
        <v>43876.243437500001</v>
      </c>
      <c r="B20112" t="str">
        <f>HYPERLINK("https://twitter.com/APLpangeran1","@APLpangeran1")</f>
        <v>@APLpangeran1</v>
      </c>
      <c r="C20112" t="s">
        <v>10058</v>
      </c>
      <c r="D20112">
        <v>0</v>
      </c>
      <c r="E20112">
        <v>0</v>
      </c>
      <c r="F20112">
        <v>84523</v>
      </c>
    </row>
    <row r="20113" spans="1:6" ht="12.75">
      <c r="A20113" s="2">
        <v>43876.243368055555</v>
      </c>
      <c r="B20113" t="str">
        <f>HYPERLINK("https://twitter.com/imbangimedia","@imbangimedia")</f>
        <v>@imbangimedia</v>
      </c>
      <c r="C20113" t="s">
        <v>3059</v>
      </c>
      <c r="D20113">
        <v>23</v>
      </c>
      <c r="E20113">
        <v>0</v>
      </c>
      <c r="F20113">
        <v>4128</v>
      </c>
    </row>
    <row r="20114" spans="1:6" ht="12.75">
      <c r="A20114" s="2">
        <v>43876.243078703701</v>
      </c>
      <c r="B20114" t="str">
        <f>HYPERLINK("https://twitter.com/chachaacantik","@chachaacantik")</f>
        <v>@chachaacantik</v>
      </c>
      <c r="C20114" t="s">
        <v>2444</v>
      </c>
      <c r="D20114">
        <v>3413</v>
      </c>
      <c r="E20114">
        <v>0</v>
      </c>
      <c r="F20114">
        <v>59</v>
      </c>
    </row>
    <row r="20115" spans="1:6" ht="12.75">
      <c r="A20115" s="2">
        <v>43876.242986111116</v>
      </c>
      <c r="B20115" t="str">
        <f>HYPERLINK("https://twitter.com/Hafzhamalia","@Hafzhamalia")</f>
        <v>@Hafzhamalia</v>
      </c>
      <c r="C20115" t="s">
        <v>2444</v>
      </c>
      <c r="D20115">
        <v>3413</v>
      </c>
      <c r="E20115">
        <v>0</v>
      </c>
      <c r="F20115">
        <v>73</v>
      </c>
    </row>
    <row r="20116" spans="1:6" ht="12.75">
      <c r="A20116" s="2">
        <v>43876.242962962962</v>
      </c>
      <c r="B20116" t="str">
        <f>HYPERLINK("https://twitter.com/fifin_w","@fifin_w")</f>
        <v>@fifin_w</v>
      </c>
      <c r="C20116" t="s">
        <v>9123</v>
      </c>
      <c r="D20116">
        <v>315</v>
      </c>
      <c r="E20116">
        <v>0</v>
      </c>
      <c r="F20116">
        <v>304</v>
      </c>
    </row>
    <row r="20117" spans="1:6" ht="12.75">
      <c r="A20117" s="2">
        <v>43876.242696759262</v>
      </c>
      <c r="B20117" t="str">
        <f>HYPERLINK("https://twitter.com/septiza_id","@septiza_id")</f>
        <v>@septiza_id</v>
      </c>
      <c r="C20117" t="s">
        <v>10052</v>
      </c>
      <c r="D20117">
        <v>125</v>
      </c>
      <c r="E20117">
        <v>0</v>
      </c>
      <c r="F20117">
        <v>597</v>
      </c>
    </row>
    <row r="20118" spans="1:6" ht="12.75">
      <c r="A20118" s="2">
        <v>43876.242569444439</v>
      </c>
      <c r="B20118" t="str">
        <f>HYPERLINK("https://twitter.com/Madmolana_Sy","@Madmolana_Sy")</f>
        <v>@Madmolana_Sy</v>
      </c>
      <c r="C20118" t="s">
        <v>5168</v>
      </c>
      <c r="D20118">
        <v>1269</v>
      </c>
      <c r="E20118">
        <v>0</v>
      </c>
      <c r="F20118">
        <v>142</v>
      </c>
    </row>
    <row r="20119" spans="1:6" ht="12.75">
      <c r="A20119" s="2">
        <v>43876.242268518516</v>
      </c>
      <c r="B20119" t="str">
        <f>HYPERLINK("https://twitter.com/fifin_w","@fifin_w")</f>
        <v>@fifin_w</v>
      </c>
      <c r="C20119" t="s">
        <v>2444</v>
      </c>
      <c r="D20119">
        <v>3413</v>
      </c>
      <c r="E20119">
        <v>0</v>
      </c>
      <c r="F20119">
        <v>304</v>
      </c>
    </row>
    <row r="20120" spans="1:6" ht="12.75">
      <c r="A20120" s="2">
        <v>43876.2421875</v>
      </c>
      <c r="B20120" t="str">
        <f>HYPERLINK("https://twitter.com/rizaln__","@rizaln__")</f>
        <v>@rizaln__</v>
      </c>
      <c r="C20120" t="s">
        <v>2444</v>
      </c>
      <c r="D20120">
        <v>3413</v>
      </c>
      <c r="E20120">
        <v>0</v>
      </c>
      <c r="F20120">
        <v>6523</v>
      </c>
    </row>
    <row r="20121" spans="1:6" ht="12.75">
      <c r="A20121" s="2">
        <v>43876.241944444446</v>
      </c>
      <c r="B20121" t="str">
        <f>HYPERLINK("https://twitter.com/stberryorange","@stberryorange")</f>
        <v>@stberryorange</v>
      </c>
      <c r="C20121" t="s">
        <v>2444</v>
      </c>
      <c r="D20121">
        <v>3413</v>
      </c>
      <c r="E20121">
        <v>0</v>
      </c>
      <c r="F20121">
        <v>8879</v>
      </c>
    </row>
    <row r="20122" spans="1:6" ht="12.75">
      <c r="A20122" s="2">
        <v>43876.2419212963</v>
      </c>
      <c r="B20122" t="str">
        <f>HYPERLINK("https://twitter.com/sukabumiazam","@sukabumiazam")</f>
        <v>@sukabumiazam</v>
      </c>
      <c r="C20122" t="s">
        <v>9538</v>
      </c>
      <c r="D20122">
        <v>156</v>
      </c>
      <c r="E20122">
        <v>0</v>
      </c>
      <c r="F20122">
        <v>456</v>
      </c>
    </row>
    <row r="20123" spans="1:6" ht="12.75">
      <c r="A20123" s="2">
        <v>43876.241875</v>
      </c>
      <c r="B20123" t="str">
        <f>HYPERLINK("https://twitter.com/hardian_ky","@hardian_ky")</f>
        <v>@hardian_ky</v>
      </c>
      <c r="C20123" t="s">
        <v>2444</v>
      </c>
      <c r="D20123">
        <v>3413</v>
      </c>
      <c r="E20123">
        <v>0</v>
      </c>
      <c r="F20123">
        <v>3</v>
      </c>
    </row>
    <row r="20124" spans="1:6" ht="12.75">
      <c r="A20124" s="2">
        <v>43876.241793981477</v>
      </c>
      <c r="B20124" t="str">
        <f>HYPERLINK("https://twitter.com/burgermekdd","@burgermekdd")</f>
        <v>@burgermekdd</v>
      </c>
      <c r="C20124" t="s">
        <v>2444</v>
      </c>
      <c r="D20124">
        <v>3413</v>
      </c>
      <c r="E20124">
        <v>0</v>
      </c>
      <c r="F20124">
        <v>7</v>
      </c>
    </row>
    <row r="20125" spans="1:6" ht="12.75">
      <c r="A20125" s="2">
        <v>43876.241712962961</v>
      </c>
      <c r="B20125" t="str">
        <f>HYPERLINK("https://twitter.com/KavindraOemar","@KavindraOemar")</f>
        <v>@KavindraOemar</v>
      </c>
      <c r="C20125" t="s">
        <v>9746</v>
      </c>
      <c r="D20125">
        <v>434</v>
      </c>
      <c r="E20125">
        <v>0</v>
      </c>
      <c r="F20125">
        <v>3674</v>
      </c>
    </row>
    <row r="20126" spans="1:6" ht="12.75">
      <c r="A20126" s="2">
        <v>43876.241689814815</v>
      </c>
      <c r="B20126" t="str">
        <f>HYPERLINK("https://twitter.com/AleeyuUmar7","@AleeyuUmar7")</f>
        <v>@AleeyuUmar7</v>
      </c>
      <c r="C20126" t="s">
        <v>10059</v>
      </c>
      <c r="D20126">
        <v>0</v>
      </c>
      <c r="E20126">
        <v>1</v>
      </c>
      <c r="F20126">
        <v>130</v>
      </c>
    </row>
    <row r="20127" spans="1:6" ht="12.75">
      <c r="A20127" s="2">
        <v>43876.241620370369</v>
      </c>
      <c r="B20127" t="str">
        <f>HYPERLINK("https://twitter.com/Eben_Haizer","@Eben_Haizer")</f>
        <v>@Eben_Haizer</v>
      </c>
      <c r="C20127" t="s">
        <v>10060</v>
      </c>
      <c r="D20127">
        <v>0</v>
      </c>
      <c r="E20127">
        <v>0</v>
      </c>
      <c r="F20127">
        <v>286</v>
      </c>
    </row>
    <row r="20128" spans="1:6" ht="12.75">
      <c r="A20128" s="2">
        <v>43876.241585648153</v>
      </c>
      <c r="B20128" t="str">
        <f>HYPERLINK("https://twitter.com/februarymnangis","@februarymnangis")</f>
        <v>@februarymnangis</v>
      </c>
      <c r="C20128" t="s">
        <v>7946</v>
      </c>
      <c r="D20128">
        <v>7</v>
      </c>
      <c r="E20128">
        <v>0</v>
      </c>
      <c r="F20128">
        <v>474</v>
      </c>
    </row>
    <row r="20129" spans="1:6" ht="12.75">
      <c r="A20129" s="2">
        <v>43876.241388888884</v>
      </c>
      <c r="B20129" t="str">
        <f>HYPERLINK("https://twitter.com/lumbaranja","@lumbaranja")</f>
        <v>@lumbaranja</v>
      </c>
      <c r="C20129" t="s">
        <v>7946</v>
      </c>
      <c r="D20129">
        <v>7</v>
      </c>
      <c r="E20129">
        <v>0</v>
      </c>
      <c r="F20129">
        <v>2209</v>
      </c>
    </row>
    <row r="20130" spans="1:6" ht="12.75">
      <c r="A20130" s="2">
        <v>43876.241261574076</v>
      </c>
      <c r="B20130" t="str">
        <f>HYPERLINK("https://twitter.com/AbuArmy78","@AbuArmy78")</f>
        <v>@AbuArmy78</v>
      </c>
      <c r="C20130" t="s">
        <v>3059</v>
      </c>
      <c r="D20130">
        <v>23</v>
      </c>
      <c r="E20130">
        <v>0</v>
      </c>
      <c r="F20130">
        <v>96</v>
      </c>
    </row>
    <row r="20131" spans="1:6" ht="12.75">
      <c r="A20131" s="2">
        <v>43876.240960648152</v>
      </c>
      <c r="B20131" t="str">
        <f>HYPERLINK("https://twitter.com/GungYuda29","@GungYuda29")</f>
        <v>@GungYuda29</v>
      </c>
      <c r="C20131" t="s">
        <v>10061</v>
      </c>
      <c r="D20131">
        <v>0</v>
      </c>
      <c r="E20131">
        <v>0</v>
      </c>
      <c r="F20131">
        <v>150</v>
      </c>
    </row>
    <row r="20132" spans="1:6" ht="12.75">
      <c r="A20132" s="2">
        <v>43876.24082175926</v>
      </c>
      <c r="B20132" t="str">
        <f>HYPERLINK("https://twitter.com/Scorpio_986","@Scorpio_986")</f>
        <v>@Scorpio_986</v>
      </c>
      <c r="C20132" t="s">
        <v>10062</v>
      </c>
      <c r="D20132">
        <v>0</v>
      </c>
      <c r="E20132">
        <v>0</v>
      </c>
      <c r="F20132">
        <v>17</v>
      </c>
    </row>
    <row r="20133" spans="1:6" ht="12.75">
      <c r="A20133" s="2">
        <v>43876.24082175926</v>
      </c>
      <c r="B20133" t="str">
        <f>HYPERLINK("https://twitter.com/unkiyowo","@unkiyowo")</f>
        <v>@unkiyowo</v>
      </c>
      <c r="C20133" t="s">
        <v>7068</v>
      </c>
      <c r="D20133">
        <v>41</v>
      </c>
      <c r="E20133">
        <v>0</v>
      </c>
      <c r="F20133">
        <v>2831</v>
      </c>
    </row>
    <row r="20134" spans="1:6" ht="12.75">
      <c r="A20134" s="2">
        <v>43876.240694444445</v>
      </c>
      <c r="B20134" t="str">
        <f>HYPERLINK("https://twitter.com/YoyokSubandriy3","@YoyokSubandriy3")</f>
        <v>@YoyokSubandriy3</v>
      </c>
      <c r="C20134" t="s">
        <v>7946</v>
      </c>
      <c r="D20134">
        <v>7</v>
      </c>
      <c r="E20134">
        <v>0</v>
      </c>
      <c r="F20134">
        <v>1366</v>
      </c>
    </row>
    <row r="20135" spans="1:6" ht="12.75">
      <c r="A20135" s="2">
        <v>43876.240578703699</v>
      </c>
      <c r="B20135" t="str">
        <f>HYPERLINK("https://twitter.com/Puspen_TNI","@Puspen_TNI")</f>
        <v>@Puspen_TNI</v>
      </c>
      <c r="C20135" t="s">
        <v>10063</v>
      </c>
      <c r="D20135">
        <v>7</v>
      </c>
      <c r="E20135">
        <v>28</v>
      </c>
      <c r="F20135">
        <v>304612</v>
      </c>
    </row>
    <row r="20136" spans="1:6" ht="12.75">
      <c r="A20136" s="2">
        <v>43876.240289351852</v>
      </c>
      <c r="B20136" t="str">
        <f>HYPERLINK("https://twitter.com/Pembela33419271","@Pembela33419271")</f>
        <v>@Pembela33419271</v>
      </c>
      <c r="C20136" t="s">
        <v>6201</v>
      </c>
      <c r="D20136">
        <v>349</v>
      </c>
      <c r="E20136">
        <v>0</v>
      </c>
      <c r="F20136">
        <v>76</v>
      </c>
    </row>
    <row r="20137" spans="1:6" ht="12.75">
      <c r="A20137" s="2">
        <v>43876.239537037036</v>
      </c>
      <c r="B20137" t="str">
        <f>HYPERLINK("https://twitter.com/HendraHanifah","@HendraHanifah")</f>
        <v>@HendraHanifah</v>
      </c>
      <c r="C20137" t="s">
        <v>10064</v>
      </c>
      <c r="D20137">
        <v>0</v>
      </c>
      <c r="E20137">
        <v>0</v>
      </c>
      <c r="F20137">
        <v>28</v>
      </c>
    </row>
    <row r="20138" spans="1:6" ht="12.75">
      <c r="A20138" s="2">
        <v>43876.23940972222</v>
      </c>
      <c r="B20138" t="str">
        <f>HYPERLINK("https://twitter.com/ell_Fathur24","@ell_Fathur24")</f>
        <v>@ell_Fathur24</v>
      </c>
      <c r="C20138" t="s">
        <v>9538</v>
      </c>
      <c r="D20138">
        <v>156</v>
      </c>
      <c r="E20138">
        <v>0</v>
      </c>
      <c r="F20138">
        <v>250</v>
      </c>
    </row>
    <row r="20139" spans="1:6" ht="12.75">
      <c r="A20139" s="2">
        <v>43876.239062499997</v>
      </c>
      <c r="B20139" t="str">
        <f>HYPERLINK("https://twitter.com/muhammadsyamir","@muhammadsyamir")</f>
        <v>@muhammadsyamir</v>
      </c>
      <c r="C20139" t="s">
        <v>7478</v>
      </c>
      <c r="D20139">
        <v>486</v>
      </c>
      <c r="E20139">
        <v>0</v>
      </c>
      <c r="F20139">
        <v>808</v>
      </c>
    </row>
    <row r="20140" spans="1:6" ht="12.75">
      <c r="A20140" s="2">
        <v>43876.239004629635</v>
      </c>
      <c r="B20140" t="str">
        <f>HYPERLINK("https://twitter.com/ttuktange","@ttuktange")</f>
        <v>@ttuktange</v>
      </c>
      <c r="C20140" t="s">
        <v>2444</v>
      </c>
      <c r="D20140">
        <v>3413</v>
      </c>
      <c r="E20140">
        <v>0</v>
      </c>
      <c r="F20140">
        <v>438</v>
      </c>
    </row>
    <row r="20141" spans="1:6" ht="12.75">
      <c r="A20141" s="2">
        <v>43876.238923611112</v>
      </c>
      <c r="B20141" t="str">
        <f>HYPERLINK("https://twitter.com/ynrme","@ynrme")</f>
        <v>@ynrme</v>
      </c>
      <c r="C20141" t="s">
        <v>2444</v>
      </c>
      <c r="D20141">
        <v>3413</v>
      </c>
      <c r="E20141">
        <v>0</v>
      </c>
      <c r="F20141">
        <v>46</v>
      </c>
    </row>
    <row r="20142" spans="1:6" ht="12.75">
      <c r="A20142" s="2">
        <v>43876.238796296297</v>
      </c>
      <c r="B20142" t="str">
        <f>HYPERLINK("https://twitter.com/dipta__b","@dipta__b")</f>
        <v>@dipta__b</v>
      </c>
      <c r="C20142" t="s">
        <v>10065</v>
      </c>
      <c r="D20142">
        <v>0</v>
      </c>
      <c r="E20142">
        <v>0</v>
      </c>
      <c r="F20142">
        <v>171</v>
      </c>
    </row>
    <row r="20143" spans="1:6" ht="12.75">
      <c r="A20143" s="2">
        <v>43876.238634259258</v>
      </c>
      <c r="B20143" t="str">
        <f>HYPERLINK("https://twitter.com/pemuja_seblak","@pemuja_seblak")</f>
        <v>@pemuja_seblak</v>
      </c>
      <c r="C20143" t="s">
        <v>10066</v>
      </c>
      <c r="D20143">
        <v>2</v>
      </c>
      <c r="E20143">
        <v>0</v>
      </c>
      <c r="F20143">
        <v>21</v>
      </c>
    </row>
    <row r="20144" spans="1:6" ht="12.75">
      <c r="A20144" s="2">
        <v>43876.23819444445</v>
      </c>
      <c r="B20144" t="str">
        <f>HYPERLINK("https://twitter.com/butterkoekies","@butterkoekies")</f>
        <v>@butterkoekies</v>
      </c>
      <c r="C20144" t="s">
        <v>2444</v>
      </c>
      <c r="D20144">
        <v>3413</v>
      </c>
      <c r="E20144">
        <v>0</v>
      </c>
      <c r="F20144">
        <v>167</v>
      </c>
    </row>
    <row r="20145" spans="1:6" ht="12.75">
      <c r="A20145" s="2">
        <v>43876.237638888888</v>
      </c>
      <c r="B20145" t="str">
        <f>HYPERLINK("https://twitter.com/porutanporu","@porutanporu")</f>
        <v>@porutanporu</v>
      </c>
      <c r="C20145" t="s">
        <v>2444</v>
      </c>
      <c r="D20145">
        <v>3413</v>
      </c>
      <c r="E20145">
        <v>0</v>
      </c>
      <c r="F20145">
        <v>26</v>
      </c>
    </row>
    <row r="20146" spans="1:6" ht="12.75">
      <c r="A20146" s="2">
        <v>43876.237280092595</v>
      </c>
      <c r="B20146" t="str">
        <f>HYPERLINK("https://twitter.com/WenSid","@WenSid")</f>
        <v>@WenSid</v>
      </c>
      <c r="C20146" t="s">
        <v>9746</v>
      </c>
      <c r="D20146">
        <v>434</v>
      </c>
      <c r="E20146">
        <v>0</v>
      </c>
      <c r="F20146">
        <v>91</v>
      </c>
    </row>
    <row r="20147" spans="1:6" ht="12.75">
      <c r="A20147" s="2">
        <v>43876.237118055556</v>
      </c>
      <c r="B20147" t="str">
        <f>HYPERLINK("https://twitter.com/Welsh_Scarlet","@Welsh_Scarlet")</f>
        <v>@Welsh_Scarlet</v>
      </c>
      <c r="C20147" t="s">
        <v>3150</v>
      </c>
      <c r="D20147">
        <v>76</v>
      </c>
      <c r="E20147">
        <v>0</v>
      </c>
      <c r="F20147">
        <v>539</v>
      </c>
    </row>
    <row r="20148" spans="1:6" ht="12.75">
      <c r="A20148" s="2">
        <v>43876.236979166672</v>
      </c>
      <c r="B20148" t="str">
        <f>HYPERLINK("https://twitter.com/baehq12","@baehq12")</f>
        <v>@baehq12</v>
      </c>
      <c r="C20148" t="s">
        <v>5168</v>
      </c>
      <c r="D20148">
        <v>1269</v>
      </c>
      <c r="E20148">
        <v>0</v>
      </c>
      <c r="F20148">
        <v>13</v>
      </c>
    </row>
    <row r="20149" spans="1:6" ht="12.75">
      <c r="A20149" s="2">
        <v>43876.236666666664</v>
      </c>
      <c r="B20149" t="str">
        <f>HYPERLINK("https://twitter.com/sleeplessummer","@sleeplessummer")</f>
        <v>@sleeplessummer</v>
      </c>
      <c r="C20149" t="s">
        <v>5168</v>
      </c>
      <c r="D20149">
        <v>1269</v>
      </c>
      <c r="E20149">
        <v>0</v>
      </c>
      <c r="F20149">
        <v>473</v>
      </c>
    </row>
    <row r="20150" spans="1:6" ht="12.75">
      <c r="A20150" s="2">
        <v>43876.236388888894</v>
      </c>
      <c r="B20150" t="str">
        <f>HYPERLINK("https://twitter.com/DanielD33333","@DanielD33333")</f>
        <v>@DanielD33333</v>
      </c>
      <c r="C20150" t="s">
        <v>3150</v>
      </c>
      <c r="D20150">
        <v>76</v>
      </c>
      <c r="E20150">
        <v>0</v>
      </c>
      <c r="F20150">
        <v>1257</v>
      </c>
    </row>
    <row r="20151" spans="1:6" ht="12.75">
      <c r="A20151" s="2">
        <v>43876.236145833333</v>
      </c>
      <c r="B20151" t="str">
        <f>HYPERLINK("https://twitter.com/gerryndo","@gerryndo")</f>
        <v>@gerryndo</v>
      </c>
      <c r="C20151" t="s">
        <v>9835</v>
      </c>
      <c r="D20151">
        <v>72</v>
      </c>
      <c r="E20151">
        <v>0</v>
      </c>
      <c r="F20151">
        <v>576</v>
      </c>
    </row>
    <row r="20152" spans="1:6" ht="12.75">
      <c r="A20152" s="2">
        <v>43876.235995370371</v>
      </c>
      <c r="B20152" t="str">
        <f>HYPERLINK("https://twitter.com/juniasari07","@juniasari07")</f>
        <v>@juniasari07</v>
      </c>
      <c r="C20152" t="s">
        <v>2444</v>
      </c>
      <c r="D20152">
        <v>3413</v>
      </c>
      <c r="E20152">
        <v>0</v>
      </c>
      <c r="F20152">
        <v>808</v>
      </c>
    </row>
    <row r="20153" spans="1:6" ht="12.75">
      <c r="A20153" s="2">
        <v>43876.235821759255</v>
      </c>
      <c r="B20153" t="str">
        <f>HYPERLINK("https://twitter.com/Nvitandr_","@Nvitandr_")</f>
        <v>@Nvitandr_</v>
      </c>
      <c r="C20153" t="s">
        <v>9852</v>
      </c>
      <c r="D20153">
        <v>7</v>
      </c>
      <c r="E20153">
        <v>0</v>
      </c>
      <c r="F20153">
        <v>327</v>
      </c>
    </row>
    <row r="20154" spans="1:6" ht="12.75">
      <c r="A20154" s="2">
        <v>43876.235289351855</v>
      </c>
      <c r="B20154" t="str">
        <f>HYPERLINK("https://twitter.com/chanyeolliiee","@chanyeolliiee")</f>
        <v>@chanyeolliiee</v>
      </c>
      <c r="C20154" t="s">
        <v>10067</v>
      </c>
      <c r="D20154">
        <v>0</v>
      </c>
      <c r="E20154">
        <v>0</v>
      </c>
      <c r="F20154">
        <v>1590</v>
      </c>
    </row>
    <row r="20155" spans="1:6" ht="12.75">
      <c r="A20155" s="2">
        <v>43876.235277777778</v>
      </c>
      <c r="B20155" t="str">
        <f>HYPERLINK("https://twitter.com/Bng_Dull","@Bng_Dull")</f>
        <v>@Bng_Dull</v>
      </c>
      <c r="C20155" t="s">
        <v>10068</v>
      </c>
      <c r="D20155">
        <v>0</v>
      </c>
      <c r="E20155">
        <v>0</v>
      </c>
      <c r="F20155">
        <v>164</v>
      </c>
    </row>
    <row r="20156" spans="1:6" ht="12.75">
      <c r="A20156" s="2">
        <v>43876.235231481478</v>
      </c>
      <c r="B20156" t="str">
        <f>HYPERLINK("https://twitter.com/dienosawrrr","@dienosawrrr")</f>
        <v>@dienosawrrr</v>
      </c>
      <c r="C20156" t="s">
        <v>2444</v>
      </c>
      <c r="D20156">
        <v>3413</v>
      </c>
      <c r="E20156">
        <v>0</v>
      </c>
      <c r="F20156">
        <v>261</v>
      </c>
    </row>
    <row r="20157" spans="1:6" ht="12.75">
      <c r="A20157" s="2">
        <v>43876.234791666662</v>
      </c>
      <c r="B20157" t="str">
        <f>HYPERLINK("https://twitter.com/TDIAct","@TDIAct")</f>
        <v>@TDIAct</v>
      </c>
      <c r="C20157" t="s">
        <v>9082</v>
      </c>
      <c r="D20157">
        <v>94</v>
      </c>
      <c r="E20157">
        <v>0</v>
      </c>
      <c r="F20157">
        <v>507</v>
      </c>
    </row>
    <row r="20158" spans="1:6" ht="12.75">
      <c r="A20158" s="2">
        <v>43876.234513888892</v>
      </c>
      <c r="B20158" t="str">
        <f>HYPERLINK("https://twitter.com/Shda_Agatha","@Shda_Agatha")</f>
        <v>@Shda_Agatha</v>
      </c>
      <c r="C20158" t="s">
        <v>10069</v>
      </c>
      <c r="D20158">
        <v>0</v>
      </c>
      <c r="E20158">
        <v>0</v>
      </c>
      <c r="F20158">
        <v>17065</v>
      </c>
    </row>
    <row r="20159" spans="1:6" ht="12.75">
      <c r="A20159" s="2">
        <v>43876.23400462963</v>
      </c>
      <c r="B20159" t="str">
        <f>HYPERLINK("https://twitter.com/Rezchy12","@Rezchy12")</f>
        <v>@Rezchy12</v>
      </c>
      <c r="C20159" t="s">
        <v>9666</v>
      </c>
      <c r="D20159">
        <v>26</v>
      </c>
      <c r="E20159">
        <v>0</v>
      </c>
      <c r="F20159">
        <v>640</v>
      </c>
    </row>
    <row r="20160" spans="1:6" ht="12.75">
      <c r="A20160" s="2">
        <v>43876.233854166669</v>
      </c>
      <c r="B20160" t="str">
        <f>HYPERLINK("https://twitter.com/AdrianPolitani","@AdrianPolitani")</f>
        <v>@AdrianPolitani</v>
      </c>
      <c r="C20160" t="s">
        <v>9746</v>
      </c>
      <c r="D20160">
        <v>434</v>
      </c>
      <c r="E20160">
        <v>0</v>
      </c>
      <c r="F20160">
        <v>248</v>
      </c>
    </row>
    <row r="20161" spans="1:6" ht="12.75">
      <c r="A20161" s="2">
        <v>43876.233831018515</v>
      </c>
      <c r="B20161" t="str">
        <f>HYPERLINK("https://twitter.com/YaTaqwa83","@YaTaqwa83")</f>
        <v>@YaTaqwa83</v>
      </c>
      <c r="C20161" t="s">
        <v>3059</v>
      </c>
      <c r="D20161">
        <v>23</v>
      </c>
      <c r="E20161">
        <v>0</v>
      </c>
      <c r="F20161">
        <v>710</v>
      </c>
    </row>
    <row r="20162" spans="1:6" ht="12.75">
      <c r="A20162" s="2">
        <v>43876.233680555553</v>
      </c>
      <c r="B20162" t="str">
        <f>HYPERLINK("https://twitter.com/Alie_Fahnoor","@Alie_Fahnoor")</f>
        <v>@Alie_Fahnoor</v>
      </c>
      <c r="C20162" t="s">
        <v>5761</v>
      </c>
      <c r="D20162">
        <v>89</v>
      </c>
      <c r="E20162">
        <v>0</v>
      </c>
      <c r="F20162">
        <v>437</v>
      </c>
    </row>
    <row r="20163" spans="1:6" ht="12.75">
      <c r="A20163" s="2">
        <v>43876.233611111107</v>
      </c>
      <c r="B20163" t="str">
        <f>HYPERLINK("https://twitter.com/bahdirdja","@bahdirdja")</f>
        <v>@bahdirdja</v>
      </c>
      <c r="C20163" t="s">
        <v>10070</v>
      </c>
      <c r="D20163">
        <v>1</v>
      </c>
      <c r="E20163">
        <v>0</v>
      </c>
      <c r="F20163">
        <v>707</v>
      </c>
    </row>
    <row r="20164" spans="1:6" ht="12.75">
      <c r="A20164" s="2">
        <v>43876.233414351853</v>
      </c>
      <c r="B20164" t="str">
        <f>HYPERLINK("https://twitter.com/rizkyfebianti_","@rizkyfebianti_")</f>
        <v>@rizkyfebianti_</v>
      </c>
      <c r="C20164" t="s">
        <v>2444</v>
      </c>
      <c r="D20164">
        <v>3413</v>
      </c>
      <c r="E20164">
        <v>0</v>
      </c>
      <c r="F20164">
        <v>696</v>
      </c>
    </row>
    <row r="20165" spans="1:6" ht="12.75">
      <c r="A20165" s="2">
        <v>43876.233298611114</v>
      </c>
      <c r="B20165" t="str">
        <f>HYPERLINK("https://twitter.com/DedehKu95290849","@DedehKu95290849")</f>
        <v>@DedehKu95290849</v>
      </c>
      <c r="C20165" t="s">
        <v>9198</v>
      </c>
      <c r="D20165">
        <v>119</v>
      </c>
      <c r="E20165">
        <v>0</v>
      </c>
      <c r="F20165">
        <v>416</v>
      </c>
    </row>
    <row r="20166" spans="1:6" ht="12.75">
      <c r="A20166" s="2">
        <v>43876.233171296291</v>
      </c>
      <c r="B20166" t="str">
        <f>HYPERLINK("https://twitter.com/darkbluenim","@darkbluenim")</f>
        <v>@darkbluenim</v>
      </c>
      <c r="C20166" t="s">
        <v>2444</v>
      </c>
      <c r="D20166">
        <v>3413</v>
      </c>
      <c r="E20166">
        <v>0</v>
      </c>
      <c r="F20166">
        <v>1978</v>
      </c>
    </row>
    <row r="20167" spans="1:6" ht="12.75">
      <c r="A20167" s="2">
        <v>43876.233136574076</v>
      </c>
      <c r="B20167" t="str">
        <f>HYPERLINK("https://twitter.com/3K_mmr","@3K_mmr")</f>
        <v>@3K_mmr</v>
      </c>
      <c r="C20167" t="s">
        <v>2444</v>
      </c>
      <c r="D20167">
        <v>3413</v>
      </c>
      <c r="E20167">
        <v>0</v>
      </c>
      <c r="F20167">
        <v>97</v>
      </c>
    </row>
    <row r="20168" spans="1:6" ht="12.75">
      <c r="A20168" s="2">
        <v>43876.232986111107</v>
      </c>
      <c r="B20168" t="str">
        <f>HYPERLINK("https://twitter.com/NedJohnson01","@NedJohnson01")</f>
        <v>@NedJohnson01</v>
      </c>
      <c r="C20168" t="s">
        <v>3150</v>
      </c>
      <c r="D20168">
        <v>76</v>
      </c>
      <c r="E20168">
        <v>0</v>
      </c>
      <c r="F20168">
        <v>876</v>
      </c>
    </row>
    <row r="20169" spans="1:6" ht="12.75">
      <c r="A20169" s="2">
        <v>43876.232881944445</v>
      </c>
      <c r="B20169" t="str">
        <f>HYPERLINK("https://twitter.com/tukangsayurkok","@tukangsayurkok")</f>
        <v>@tukangsayurkok</v>
      </c>
      <c r="C20169" t="s">
        <v>10071</v>
      </c>
      <c r="D20169">
        <v>0</v>
      </c>
      <c r="E20169">
        <v>0</v>
      </c>
      <c r="F20169">
        <v>432</v>
      </c>
    </row>
    <row r="20170" spans="1:6" ht="12.75">
      <c r="A20170" s="2">
        <v>43876.232534722221</v>
      </c>
      <c r="B20170" t="str">
        <f>HYPERLINK("https://twitter.com/hsan_udin","@hsan_udin")</f>
        <v>@hsan_udin</v>
      </c>
      <c r="C20170" t="s">
        <v>6201</v>
      </c>
      <c r="D20170">
        <v>349</v>
      </c>
      <c r="E20170">
        <v>0</v>
      </c>
      <c r="F20170">
        <v>32</v>
      </c>
    </row>
    <row r="20171" spans="1:6" ht="12.75">
      <c r="A20171" s="2">
        <v>43876.232499999998</v>
      </c>
      <c r="B20171" t="str">
        <f>HYPERLINK("https://twitter.com/jeonkukkk","@jeonkukkk")</f>
        <v>@jeonkukkk</v>
      </c>
      <c r="C20171" t="s">
        <v>2444</v>
      </c>
      <c r="D20171">
        <v>3413</v>
      </c>
      <c r="E20171">
        <v>0</v>
      </c>
      <c r="F20171">
        <v>2627</v>
      </c>
    </row>
    <row r="20172" spans="1:6" ht="12.75">
      <c r="A20172" s="2">
        <v>43876.232395833329</v>
      </c>
      <c r="B20172" t="str">
        <f>HYPERLINK("https://twitter.com/billydamhur","@billydamhur")</f>
        <v>@billydamhur</v>
      </c>
      <c r="C20172" t="s">
        <v>6201</v>
      </c>
      <c r="D20172">
        <v>349</v>
      </c>
      <c r="E20172">
        <v>0</v>
      </c>
      <c r="F20172">
        <v>373</v>
      </c>
    </row>
    <row r="20173" spans="1:6" ht="12.75">
      <c r="A20173" s="2">
        <v>43876.232152777782</v>
      </c>
      <c r="B20173" t="str">
        <f>HYPERLINK("https://twitter.com/Khairul33577477","@Khairul33577477")</f>
        <v>@Khairul33577477</v>
      </c>
      <c r="C20173" t="s">
        <v>9835</v>
      </c>
      <c r="D20173">
        <v>72</v>
      </c>
      <c r="E20173">
        <v>0</v>
      </c>
      <c r="F20173">
        <v>225</v>
      </c>
    </row>
    <row r="20174" spans="1:6" ht="12.75">
      <c r="A20174" s="2">
        <v>43876.231944444444</v>
      </c>
      <c r="B20174" t="str">
        <f>HYPERLINK("https://twitter.com/Suwarno54989398","@Suwarno54989398")</f>
        <v>@Suwarno54989398</v>
      </c>
      <c r="C20174" t="s">
        <v>10072</v>
      </c>
      <c r="D20174">
        <v>0</v>
      </c>
      <c r="E20174">
        <v>0</v>
      </c>
      <c r="F20174">
        <v>0</v>
      </c>
    </row>
    <row r="20175" spans="1:6" ht="12.75">
      <c r="A20175" s="2">
        <v>43876.231909722221</v>
      </c>
      <c r="B20175" t="str">
        <f>HYPERLINK("https://twitter.com/outmoist","@outmoist")</f>
        <v>@outmoist</v>
      </c>
      <c r="C20175" t="s">
        <v>2444</v>
      </c>
      <c r="D20175">
        <v>3413</v>
      </c>
      <c r="E20175">
        <v>0</v>
      </c>
      <c r="F20175">
        <v>284</v>
      </c>
    </row>
    <row r="20176" spans="1:6" ht="12.75">
      <c r="A20176" s="2">
        <v>43876.231782407413</v>
      </c>
      <c r="B20176" t="str">
        <f>HYPERLINK("https://twitter.com/indiehaw","@indiehaw")</f>
        <v>@indiehaw</v>
      </c>
      <c r="C20176" t="s">
        <v>10073</v>
      </c>
      <c r="D20176">
        <v>1</v>
      </c>
      <c r="E20176">
        <v>0</v>
      </c>
      <c r="F20176">
        <v>57</v>
      </c>
    </row>
    <row r="20177" spans="1:6" ht="12.75">
      <c r="A20177" s="2">
        <v>43876.231620370367</v>
      </c>
      <c r="B20177" t="str">
        <f>HYPERLINK("https://twitter.com/akulikerebahan_","@akulikerebahan_")</f>
        <v>@akulikerebahan_</v>
      </c>
      <c r="C20177" t="s">
        <v>2444</v>
      </c>
      <c r="D20177">
        <v>3413</v>
      </c>
      <c r="E20177">
        <v>0</v>
      </c>
      <c r="F20177">
        <v>482</v>
      </c>
    </row>
    <row r="20178" spans="1:6" ht="12.75">
      <c r="A20178" s="2">
        <v>43876.23137731482</v>
      </c>
      <c r="B20178" t="str">
        <f>HYPERLINK("https://twitter.com/Edihart41829477","@Edihart41829477")</f>
        <v>@Edihart41829477</v>
      </c>
      <c r="C20178" t="s">
        <v>6201</v>
      </c>
      <c r="D20178">
        <v>349</v>
      </c>
      <c r="E20178">
        <v>0</v>
      </c>
      <c r="F20178">
        <v>114</v>
      </c>
    </row>
    <row r="20179" spans="1:6" ht="12.75">
      <c r="A20179" s="2">
        <v>43876.231365740736</v>
      </c>
      <c r="B20179" t="str">
        <f>HYPERLINK("https://twitter.com/dgcdedi","@dgcdedi")</f>
        <v>@dgcdedi</v>
      </c>
      <c r="C20179" t="s">
        <v>6201</v>
      </c>
      <c r="D20179">
        <v>349</v>
      </c>
      <c r="E20179">
        <v>0</v>
      </c>
      <c r="F20179">
        <v>901</v>
      </c>
    </row>
    <row r="20180" spans="1:6" ht="12.75">
      <c r="A20180" s="2">
        <v>43876.231157407412</v>
      </c>
      <c r="B20180" t="str">
        <f>HYPERLINK("https://twitter.com/sikecilmarmut","@sikecilmarmut")</f>
        <v>@sikecilmarmut</v>
      </c>
      <c r="C20180" t="s">
        <v>10074</v>
      </c>
      <c r="D20180">
        <v>83</v>
      </c>
      <c r="E20180">
        <v>0</v>
      </c>
      <c r="F20180">
        <v>2211</v>
      </c>
    </row>
    <row r="20181" spans="1:6" ht="12.75">
      <c r="A20181" s="2">
        <v>43876.230833333335</v>
      </c>
      <c r="B20181" t="str">
        <f>HYPERLINK("https://twitter.com/ChrisButterfie3","@ChrisButterfie3")</f>
        <v>@ChrisButterfie3</v>
      </c>
      <c r="C20181" t="s">
        <v>3150</v>
      </c>
      <c r="D20181">
        <v>76</v>
      </c>
      <c r="E20181">
        <v>0</v>
      </c>
      <c r="F20181">
        <v>2863</v>
      </c>
    </row>
    <row r="20182" spans="1:6" ht="12.75">
      <c r="A20182" s="2">
        <v>43876.230752314819</v>
      </c>
      <c r="B20182" t="str">
        <f>HYPERLINK("https://twitter.com/beatrice_health","@beatrice_health")</f>
        <v>@beatrice_health</v>
      </c>
      <c r="C20182" t="s">
        <v>9997</v>
      </c>
      <c r="D20182">
        <v>13</v>
      </c>
      <c r="E20182">
        <v>0</v>
      </c>
      <c r="F20182">
        <v>79</v>
      </c>
    </row>
    <row r="20183" spans="1:6" ht="12.75">
      <c r="A20183" s="2">
        <v>43876.230694444443</v>
      </c>
      <c r="B20183" t="str">
        <f>HYPERLINK("https://twitter.com/aldbmbng","@aldbmbng")</f>
        <v>@aldbmbng</v>
      </c>
      <c r="C20183" t="s">
        <v>9997</v>
      </c>
      <c r="D20183">
        <v>13</v>
      </c>
      <c r="E20183">
        <v>0</v>
      </c>
      <c r="F20183">
        <v>317</v>
      </c>
    </row>
    <row r="20184" spans="1:6" ht="12.75">
      <c r="A20184" s="2">
        <v>43876.230682870373</v>
      </c>
      <c r="B20184" t="str">
        <f>HYPERLINK("https://twitter.com/fluffyfeather_","@fluffyfeather_")</f>
        <v>@fluffyfeather_</v>
      </c>
      <c r="C20184" t="s">
        <v>5168</v>
      </c>
      <c r="D20184">
        <v>1270</v>
      </c>
      <c r="E20184">
        <v>0</v>
      </c>
      <c r="F20184">
        <v>1492</v>
      </c>
    </row>
    <row r="20185" spans="1:6" ht="12.75">
      <c r="A20185" s="2">
        <v>43876.23064814815</v>
      </c>
      <c r="B20185" t="str">
        <f>HYPERLINK("https://twitter.com/akulikerebahan_","@akulikerebahan_")</f>
        <v>@akulikerebahan_</v>
      </c>
      <c r="C20185" t="s">
        <v>5168</v>
      </c>
      <c r="D20185">
        <v>1270</v>
      </c>
      <c r="E20185">
        <v>0</v>
      </c>
      <c r="F20185">
        <v>482</v>
      </c>
    </row>
    <row r="20186" spans="1:6" ht="12.75">
      <c r="A20186" s="2">
        <v>43876.230590277773</v>
      </c>
      <c r="B20186" t="str">
        <f>HYPERLINK("https://twitter.com/Pandeka_Cyber","@Pandeka_Cyber")</f>
        <v>@Pandeka_Cyber</v>
      </c>
      <c r="C20186" t="s">
        <v>6201</v>
      </c>
      <c r="D20186">
        <v>349</v>
      </c>
      <c r="E20186">
        <v>0</v>
      </c>
      <c r="F20186">
        <v>2360</v>
      </c>
    </row>
    <row r="20187" spans="1:6" ht="12.75">
      <c r="A20187" s="2">
        <v>43876.23055555555</v>
      </c>
      <c r="B20187" t="str">
        <f>HYPERLINK("https://twitter.com/Ariefmantoi","@Ariefmantoi")</f>
        <v>@Ariefmantoi</v>
      </c>
      <c r="C20187" t="s">
        <v>6201</v>
      </c>
      <c r="D20187">
        <v>349</v>
      </c>
      <c r="E20187">
        <v>0</v>
      </c>
      <c r="F20187">
        <v>321</v>
      </c>
    </row>
    <row r="20188" spans="1:6" ht="12.75">
      <c r="A20188" s="2">
        <v>43876.23038194445</v>
      </c>
      <c r="B20188" t="str">
        <f>HYPERLINK("https://twitter.com/verraash","@verraash")</f>
        <v>@verraash</v>
      </c>
      <c r="C20188" t="s">
        <v>8353</v>
      </c>
      <c r="D20188">
        <v>8</v>
      </c>
      <c r="E20188">
        <v>0</v>
      </c>
      <c r="F20188">
        <v>43</v>
      </c>
    </row>
    <row r="20189" spans="1:6" ht="12.75">
      <c r="A20189" s="2">
        <v>43876.229930555557</v>
      </c>
      <c r="B20189" t="str">
        <f>HYPERLINK("https://twitter.com/kevhunt_13","@kevhunt_13")</f>
        <v>@kevhunt_13</v>
      </c>
      <c r="C20189" t="s">
        <v>10075</v>
      </c>
      <c r="D20189">
        <v>0</v>
      </c>
      <c r="E20189">
        <v>0</v>
      </c>
      <c r="F20189">
        <v>219</v>
      </c>
    </row>
    <row r="20190" spans="1:6" ht="12.75">
      <c r="A20190" s="2">
        <v>43876.229907407411</v>
      </c>
      <c r="B20190" t="str">
        <f>HYPERLINK("https://twitter.com/HendiDmn","@HendiDmn")</f>
        <v>@HendiDmn</v>
      </c>
      <c r="C20190" t="s">
        <v>9147</v>
      </c>
      <c r="D20190">
        <v>38</v>
      </c>
      <c r="E20190">
        <v>0</v>
      </c>
      <c r="F20190">
        <v>33</v>
      </c>
    </row>
    <row r="20191" spans="1:6" ht="12.75">
      <c r="A20191" s="2">
        <v>43876.229699074072</v>
      </c>
      <c r="B20191" t="str">
        <f>HYPERLINK("https://twitter.com/layyulayy","@layyulayy")</f>
        <v>@layyulayy</v>
      </c>
      <c r="C20191" t="s">
        <v>2444</v>
      </c>
      <c r="D20191">
        <v>3413</v>
      </c>
      <c r="E20191">
        <v>0</v>
      </c>
      <c r="F20191">
        <v>447</v>
      </c>
    </row>
    <row r="20192" spans="1:6" ht="12.75">
      <c r="A20192" s="2">
        <v>43876.229513888888</v>
      </c>
      <c r="B20192" t="str">
        <f>HYPERLINK("https://twitter.com/lalalaliaam","@lalalaliaam")</f>
        <v>@lalalaliaam</v>
      </c>
      <c r="C20192" t="s">
        <v>2444</v>
      </c>
      <c r="D20192">
        <v>3413</v>
      </c>
      <c r="E20192">
        <v>0</v>
      </c>
      <c r="F20192">
        <v>1097</v>
      </c>
    </row>
    <row r="20193" spans="1:6" ht="12.75">
      <c r="A20193" s="2">
        <v>43876.229363425926</v>
      </c>
      <c r="B20193" t="str">
        <f>HYPERLINK("https://twitter.com/Nvitandr_","@Nvitandr_")</f>
        <v>@Nvitandr_</v>
      </c>
      <c r="C20193" t="s">
        <v>2444</v>
      </c>
      <c r="D20193">
        <v>3413</v>
      </c>
      <c r="E20193">
        <v>0</v>
      </c>
      <c r="F20193">
        <v>327</v>
      </c>
    </row>
    <row r="20194" spans="1:6" ht="12.75">
      <c r="A20194" s="2">
        <v>43876.229097222225</v>
      </c>
      <c r="B20194" t="str">
        <f>HYPERLINK("https://twitter.com/gamispendek","@gamispendek")</f>
        <v>@gamispendek</v>
      </c>
      <c r="C20194" t="s">
        <v>2963</v>
      </c>
      <c r="D20194">
        <v>1221</v>
      </c>
      <c r="E20194">
        <v>0</v>
      </c>
      <c r="F20194">
        <v>27</v>
      </c>
    </row>
    <row r="20195" spans="1:6" ht="12.75">
      <c r="A20195" s="2">
        <v>43876.228784722218</v>
      </c>
      <c r="B20195" t="str">
        <f>HYPERLINK("https://twitter.com/indovoices_com","@indovoices_com")</f>
        <v>@indovoices_com</v>
      </c>
      <c r="C20195" t="s">
        <v>10076</v>
      </c>
      <c r="D20195">
        <v>0</v>
      </c>
      <c r="E20195">
        <v>0</v>
      </c>
      <c r="F20195">
        <v>123</v>
      </c>
    </row>
    <row r="20196" spans="1:6" ht="12.75">
      <c r="A20196" s="2">
        <v>43876.228738425925</v>
      </c>
      <c r="B20196" t="str">
        <f>HYPERLINK("https://twitter.com/soenardo","@soenardo")</f>
        <v>@soenardo</v>
      </c>
      <c r="C20196" t="s">
        <v>10076</v>
      </c>
      <c r="D20196">
        <v>0</v>
      </c>
      <c r="E20196">
        <v>0</v>
      </c>
      <c r="F20196">
        <v>50</v>
      </c>
    </row>
    <row r="20197" spans="1:6" ht="12.75">
      <c r="A20197" s="2">
        <v>43876.22861111111</v>
      </c>
      <c r="B20197" t="str">
        <f>HYPERLINK("https://twitter.com/FauziUbaidillah","@FauziUbaidillah")</f>
        <v>@FauziUbaidillah</v>
      </c>
      <c r="C20197" t="s">
        <v>175</v>
      </c>
      <c r="D20197">
        <v>5316</v>
      </c>
      <c r="E20197">
        <v>0</v>
      </c>
      <c r="F20197">
        <v>15</v>
      </c>
    </row>
    <row r="20198" spans="1:6" ht="12.75">
      <c r="A20198" s="2">
        <v>43876.228298611109</v>
      </c>
      <c r="B20198" t="str">
        <f>HYPERLINK("https://twitter.com/KoboiBengek","@KoboiBengek")</f>
        <v>@KoboiBengek</v>
      </c>
      <c r="C20198" t="s">
        <v>10077</v>
      </c>
      <c r="D20198">
        <v>2</v>
      </c>
      <c r="E20198">
        <v>0</v>
      </c>
      <c r="F20198">
        <v>2271</v>
      </c>
    </row>
    <row r="20199" spans="1:6" ht="12.75">
      <c r="A20199" s="2">
        <v>43876.228113425925</v>
      </c>
      <c r="B20199" t="str">
        <f>HYPERLINK("https://twitter.com/iheartyrack","@iheartyrack")</f>
        <v>@iheartyrack</v>
      </c>
      <c r="C20199" t="s">
        <v>2444</v>
      </c>
      <c r="D20199">
        <v>3413</v>
      </c>
      <c r="E20199">
        <v>0</v>
      </c>
      <c r="F20199">
        <v>1194</v>
      </c>
    </row>
    <row r="20200" spans="1:6" ht="12.75">
      <c r="A20200" s="2">
        <v>43876.227974537032</v>
      </c>
      <c r="B20200" t="str">
        <f>HYPERLINK("https://twitter.com/copping_nicola","@copping_nicola")</f>
        <v>@copping_nicola</v>
      </c>
      <c r="C20200" t="s">
        <v>3150</v>
      </c>
      <c r="D20200">
        <v>76</v>
      </c>
      <c r="E20200">
        <v>0</v>
      </c>
      <c r="F20200">
        <v>1141</v>
      </c>
    </row>
    <row r="20201" spans="1:6" ht="12.75">
      <c r="A20201" s="2">
        <v>43876.22791666667</v>
      </c>
      <c r="B20201" t="str">
        <f>HYPERLINK("https://twitter.com/MrsRachelIn","@MrsRachelIn")</f>
        <v>@MrsRachelIn</v>
      </c>
      <c r="C20201" t="s">
        <v>10078</v>
      </c>
      <c r="D20201">
        <v>0</v>
      </c>
      <c r="E20201">
        <v>0</v>
      </c>
      <c r="F20201">
        <v>3090</v>
      </c>
    </row>
    <row r="20202" spans="1:6" ht="12.75">
      <c r="A20202" s="2">
        <v>43876.227060185185</v>
      </c>
      <c r="B20202" t="str">
        <f>HYPERLINK("https://twitter.com/EMunshy","@EMunshy")</f>
        <v>@EMunshy</v>
      </c>
      <c r="C20202" t="s">
        <v>2444</v>
      </c>
      <c r="D20202">
        <v>3413</v>
      </c>
      <c r="E20202">
        <v>0</v>
      </c>
      <c r="F20202">
        <v>47</v>
      </c>
    </row>
    <row r="20203" spans="1:6" ht="12.75">
      <c r="A20203" s="2">
        <v>43876.226944444439</v>
      </c>
      <c r="B20203" t="str">
        <f>HYPERLINK("https://twitter.com/verraash","@verraash")</f>
        <v>@verraash</v>
      </c>
      <c r="C20203" t="s">
        <v>9857</v>
      </c>
      <c r="D20203">
        <v>24</v>
      </c>
      <c r="E20203">
        <v>0</v>
      </c>
      <c r="F20203">
        <v>43</v>
      </c>
    </row>
    <row r="20204" spans="1:6" ht="12.75">
      <c r="A20204" s="2">
        <v>43876.226851851854</v>
      </c>
      <c r="B20204" t="str">
        <f>HYPERLINK("https://twitter.com/Syifaslm","@Syifaslm")</f>
        <v>@Syifaslm</v>
      </c>
      <c r="C20204" t="s">
        <v>2137</v>
      </c>
      <c r="D20204">
        <v>234</v>
      </c>
      <c r="E20204">
        <v>0</v>
      </c>
      <c r="F20204">
        <v>547</v>
      </c>
    </row>
    <row r="20205" spans="1:6" ht="12.75">
      <c r="A20205" s="2">
        <v>43876.226793981477</v>
      </c>
      <c r="B20205" t="str">
        <f>HYPERLINK("https://twitter.com/novelcoronaa","@novelcoronaa")</f>
        <v>@novelcoronaa</v>
      </c>
      <c r="C20205" t="s">
        <v>2444</v>
      </c>
      <c r="D20205">
        <v>3413</v>
      </c>
      <c r="E20205">
        <v>0</v>
      </c>
      <c r="F20205">
        <v>44</v>
      </c>
    </row>
    <row r="20206" spans="1:6" ht="12.75">
      <c r="A20206" s="2">
        <v>43876.226643518516</v>
      </c>
      <c r="B20206" t="str">
        <f>HYPERLINK("https://twitter.com/JeanHair2","@JeanHair2")</f>
        <v>@JeanHair2</v>
      </c>
      <c r="C20206" t="s">
        <v>3150</v>
      </c>
      <c r="D20206">
        <v>76</v>
      </c>
      <c r="E20206">
        <v>0</v>
      </c>
      <c r="F20206">
        <v>989</v>
      </c>
    </row>
    <row r="20207" spans="1:6" ht="12.75">
      <c r="A20207" s="2">
        <v>43876.226446759261</v>
      </c>
      <c r="B20207" t="str">
        <f>HYPERLINK("https://twitter.com/Pratiwii29_","@Pratiwii29_")</f>
        <v>@Pratiwii29_</v>
      </c>
      <c r="C20207" t="s">
        <v>2444</v>
      </c>
      <c r="D20207">
        <v>3413</v>
      </c>
      <c r="E20207">
        <v>0</v>
      </c>
      <c r="F20207">
        <v>255</v>
      </c>
    </row>
    <row r="20208" spans="1:6" ht="12.75">
      <c r="A20208" s="2">
        <v>43876.226446759261</v>
      </c>
      <c r="B20208" t="str">
        <f>HYPERLINK("https://twitter.com/SyPram_Khan","@SyPram_Khan")</f>
        <v>@SyPram_Khan</v>
      </c>
      <c r="C20208" t="s">
        <v>10079</v>
      </c>
      <c r="D20208">
        <v>4</v>
      </c>
      <c r="E20208">
        <v>0</v>
      </c>
      <c r="F20208">
        <v>242</v>
      </c>
    </row>
    <row r="20209" spans="1:6" ht="12.75">
      <c r="A20209" s="2">
        <v>43876.2262037037</v>
      </c>
      <c r="B20209" t="str">
        <f>HYPERLINK("https://twitter.com/abcdefricilll","@abcdefricilll")</f>
        <v>@abcdefricilll</v>
      </c>
      <c r="C20209" t="s">
        <v>10080</v>
      </c>
      <c r="D20209">
        <v>0</v>
      </c>
      <c r="E20209">
        <v>0</v>
      </c>
      <c r="F20209">
        <v>697</v>
      </c>
    </row>
    <row r="20210" spans="1:6" ht="12.75">
      <c r="A20210" s="2">
        <v>43876.226168981477</v>
      </c>
      <c r="B20210" t="str">
        <f>HYPERLINK("https://twitter.com/pilotignews","@pilotignews")</f>
        <v>@pilotignews</v>
      </c>
      <c r="C20210" t="s">
        <v>10081</v>
      </c>
      <c r="D20210">
        <v>0</v>
      </c>
      <c r="E20210">
        <v>0</v>
      </c>
      <c r="F20210">
        <v>23</v>
      </c>
    </row>
    <row r="20211" spans="1:6" ht="12.75">
      <c r="A20211" s="2">
        <v>43876.225787037038</v>
      </c>
      <c r="B20211" t="str">
        <f>HYPERLINK("https://twitter.com/RichardCrownsh2","@RichardCrownsh2")</f>
        <v>@RichardCrownsh2</v>
      </c>
      <c r="C20211" t="s">
        <v>3150</v>
      </c>
      <c r="D20211">
        <v>76</v>
      </c>
      <c r="E20211">
        <v>0</v>
      </c>
      <c r="F20211">
        <v>124</v>
      </c>
    </row>
    <row r="20212" spans="1:6" ht="12.75">
      <c r="A20212" s="2">
        <v>43876.225462962961</v>
      </c>
      <c r="B20212" t="str">
        <f>HYPERLINK("https://twitter.com/BirTweet1","@BirTweet1")</f>
        <v>@BirTweet1</v>
      </c>
      <c r="C20212" t="s">
        <v>10082</v>
      </c>
      <c r="D20212">
        <v>0</v>
      </c>
      <c r="E20212">
        <v>0</v>
      </c>
      <c r="F20212">
        <v>61</v>
      </c>
    </row>
    <row r="20213" spans="1:6" ht="12.75">
      <c r="A20213" s="2">
        <v>43876.225266203706</v>
      </c>
      <c r="B20213" t="str">
        <f>HYPERLINK("https://twitter.com/nangmandawn","@nangmandawn")</f>
        <v>@nangmandawn</v>
      </c>
      <c r="C20213" t="s">
        <v>2444</v>
      </c>
      <c r="D20213">
        <v>3413</v>
      </c>
      <c r="E20213">
        <v>0</v>
      </c>
      <c r="F20213">
        <v>567</v>
      </c>
    </row>
    <row r="20214" spans="1:6" ht="12.75">
      <c r="A20214" s="2">
        <v>43876.224907407406</v>
      </c>
      <c r="B20214" t="str">
        <f>HYPERLINK("https://twitter.com/NengAnyar15","@NengAnyar15")</f>
        <v>@NengAnyar15</v>
      </c>
      <c r="C20214" t="s">
        <v>6201</v>
      </c>
      <c r="D20214">
        <v>349</v>
      </c>
      <c r="E20214">
        <v>0</v>
      </c>
      <c r="F20214">
        <v>497</v>
      </c>
    </row>
    <row r="20215" spans="1:6" ht="12.75">
      <c r="A20215" s="2">
        <v>43876.224814814814</v>
      </c>
      <c r="B20215" t="str">
        <f>HYPERLINK("https://twitter.com/JakartaStar","@JakartaStar")</f>
        <v>@JakartaStar</v>
      </c>
      <c r="C20215" t="s">
        <v>10083</v>
      </c>
      <c r="D20215">
        <v>42</v>
      </c>
      <c r="E20215">
        <v>0</v>
      </c>
      <c r="F20215">
        <v>5477</v>
      </c>
    </row>
    <row r="20216" spans="1:6" ht="12.75">
      <c r="A20216" s="2">
        <v>43876.224768518514</v>
      </c>
      <c r="B20216" t="str">
        <f>HYPERLINK("https://twitter.com/ZainAris","@ZainAris")</f>
        <v>@ZainAris</v>
      </c>
      <c r="C20216" t="s">
        <v>3059</v>
      </c>
      <c r="D20216">
        <v>23</v>
      </c>
      <c r="E20216">
        <v>0</v>
      </c>
      <c r="F20216">
        <v>252</v>
      </c>
    </row>
    <row r="20217" spans="1:6" ht="12.75">
      <c r="A20217" s="2">
        <v>43876.224375000005</v>
      </c>
      <c r="B20217" t="str">
        <f>HYPERLINK("https://twitter.com/tr4velcompass","@tr4velcompass")</f>
        <v>@tr4velcompass</v>
      </c>
      <c r="C20217" t="s">
        <v>10084</v>
      </c>
      <c r="D20217">
        <v>0</v>
      </c>
      <c r="E20217">
        <v>1</v>
      </c>
      <c r="F20217">
        <v>536</v>
      </c>
    </row>
    <row r="20218" spans="1:6" ht="12.75">
      <c r="A20218" s="2">
        <v>43876.223703703705</v>
      </c>
      <c r="B20218" t="str">
        <f>HYPERLINK("https://twitter.com/abdoulkaura","@abdoulkaura")</f>
        <v>@abdoulkaura</v>
      </c>
      <c r="C20218" t="s">
        <v>10085</v>
      </c>
      <c r="D20218">
        <v>0</v>
      </c>
      <c r="E20218">
        <v>0</v>
      </c>
      <c r="F20218">
        <v>1952</v>
      </c>
    </row>
    <row r="20219" spans="1:6" ht="12.75">
      <c r="A20219" s="2">
        <v>43876.223668981482</v>
      </c>
      <c r="B20219" t="str">
        <f>HYPERLINK("https://twitter.com/umam_chaerul","@umam_chaerul")</f>
        <v>@umam_chaerul</v>
      </c>
      <c r="C20219" t="s">
        <v>10086</v>
      </c>
      <c r="D20219">
        <v>4</v>
      </c>
      <c r="E20219">
        <v>0</v>
      </c>
      <c r="F20219">
        <v>2879</v>
      </c>
    </row>
    <row r="20220" spans="1:6" ht="12.75">
      <c r="A20220" s="2">
        <v>43876.223414351851</v>
      </c>
      <c r="B20220" t="str">
        <f>HYPERLINK("https://twitter.com/AnggunS53552236","@AnggunS53552236")</f>
        <v>@AnggunS53552236</v>
      </c>
      <c r="C20220" t="s">
        <v>10087</v>
      </c>
      <c r="D20220">
        <v>0</v>
      </c>
      <c r="E20220">
        <v>0</v>
      </c>
      <c r="F20220">
        <v>182</v>
      </c>
    </row>
    <row r="20221" spans="1:6" ht="12.75">
      <c r="A20221" s="2">
        <v>43876.223379629635</v>
      </c>
      <c r="B20221" t="str">
        <f>HYPERLINK("https://twitter.com/Iqbalalcapone","@Iqbalalcapone")</f>
        <v>@Iqbalalcapone</v>
      </c>
      <c r="C20221" t="s">
        <v>10088</v>
      </c>
      <c r="D20221">
        <v>0</v>
      </c>
      <c r="E20221">
        <v>0</v>
      </c>
      <c r="F20221">
        <v>41</v>
      </c>
    </row>
    <row r="20222" spans="1:6" ht="12.75">
      <c r="A20222" s="2">
        <v>43876.223229166666</v>
      </c>
      <c r="B20222" t="str">
        <f>HYPERLINK("https://twitter.com/day6offficial","@day6offficial")</f>
        <v>@day6offficial</v>
      </c>
      <c r="C20222" t="s">
        <v>2444</v>
      </c>
      <c r="D20222">
        <v>3413</v>
      </c>
      <c r="E20222">
        <v>0</v>
      </c>
      <c r="F20222">
        <v>847</v>
      </c>
    </row>
    <row r="20223" spans="1:6" ht="12.75">
      <c r="A20223" s="2">
        <v>43876.223159722227</v>
      </c>
      <c r="B20223" t="str">
        <f>HYPERLINK("https://twitter.com/SALADlN","@SALADlN")</f>
        <v>@SALADlN</v>
      </c>
      <c r="C20223" t="s">
        <v>2444</v>
      </c>
      <c r="D20223">
        <v>3413</v>
      </c>
      <c r="E20223">
        <v>0</v>
      </c>
      <c r="F20223">
        <v>1627</v>
      </c>
    </row>
    <row r="20224" spans="1:6" ht="12.75">
      <c r="A20224" s="2">
        <v>43876.223078703704</v>
      </c>
      <c r="B20224" t="str">
        <f>HYPERLINK("https://twitter.com/__selenalin","@__selenalin")</f>
        <v>@__selenalin</v>
      </c>
      <c r="C20224" t="s">
        <v>10089</v>
      </c>
      <c r="D20224">
        <v>8</v>
      </c>
      <c r="E20224">
        <v>0</v>
      </c>
      <c r="F20224">
        <v>0</v>
      </c>
    </row>
    <row r="20225" spans="1:6" ht="12.75">
      <c r="A20225" s="2">
        <v>43876.223067129627</v>
      </c>
      <c r="B20225" t="str">
        <f>HYPERLINK("https://twitter.com/nurkhafidhi","@nurkhafidhi")</f>
        <v>@nurkhafidhi</v>
      </c>
      <c r="C20225" t="s">
        <v>10052</v>
      </c>
      <c r="D20225">
        <v>125</v>
      </c>
      <c r="E20225">
        <v>0</v>
      </c>
      <c r="F20225">
        <v>160</v>
      </c>
    </row>
    <row r="20226" spans="1:6" ht="12.75">
      <c r="A20226" s="2">
        <v>43876.222916666666</v>
      </c>
      <c r="B20226" t="str">
        <f t="shared" ref="B20226:B20227" si="316">HYPERLINK("https://twitter.com/amandagempita","@amandagempita")</f>
        <v>@amandagempita</v>
      </c>
      <c r="C20226" t="s">
        <v>10090</v>
      </c>
      <c r="D20226">
        <v>1</v>
      </c>
      <c r="E20226">
        <v>0</v>
      </c>
      <c r="F20226">
        <v>6408</v>
      </c>
    </row>
    <row r="20227" spans="1:6" ht="12.75">
      <c r="A20227" s="2">
        <v>43876.222893518519</v>
      </c>
      <c r="B20227" t="str">
        <f t="shared" si="316"/>
        <v>@amandagempita</v>
      </c>
      <c r="C20227" t="s">
        <v>10091</v>
      </c>
      <c r="D20227">
        <v>0</v>
      </c>
      <c r="E20227">
        <v>1</v>
      </c>
      <c r="F20227">
        <v>6408</v>
      </c>
    </row>
    <row r="20228" spans="1:6" ht="12.75">
      <c r="A20228" s="2">
        <v>43876.222870370373</v>
      </c>
      <c r="B20228" t="str">
        <f>HYPERLINK("https://twitter.com/TRCan66839023","@TRCan66839023")</f>
        <v>@TRCan66839023</v>
      </c>
      <c r="C20228" t="s">
        <v>3150</v>
      </c>
      <c r="D20228">
        <v>76</v>
      </c>
      <c r="E20228">
        <v>0</v>
      </c>
      <c r="F20228">
        <v>1217</v>
      </c>
    </row>
    <row r="20229" spans="1:6" ht="12.75">
      <c r="A20229" s="2">
        <v>43876.222754629634</v>
      </c>
      <c r="B20229" t="str">
        <f>HYPERLINK("https://twitter.com/slothyoon","@slothyoon")</f>
        <v>@slothyoon</v>
      </c>
      <c r="C20229" t="s">
        <v>2444</v>
      </c>
      <c r="D20229">
        <v>3413</v>
      </c>
      <c r="E20229">
        <v>0</v>
      </c>
      <c r="F20229">
        <v>1145</v>
      </c>
    </row>
    <row r="20230" spans="1:6" ht="12.75">
      <c r="A20230" s="2">
        <v>43876.222592592589</v>
      </c>
      <c r="B20230" t="str">
        <f>HYPERLINK("https://twitter.com/21Lai21","@21Lai21")</f>
        <v>@21Lai21</v>
      </c>
      <c r="C20230" t="s">
        <v>10083</v>
      </c>
      <c r="D20230">
        <v>42</v>
      </c>
      <c r="E20230">
        <v>0</v>
      </c>
      <c r="F20230">
        <v>265</v>
      </c>
    </row>
    <row r="20231" spans="1:6" ht="12.75">
      <c r="A20231" s="2">
        <v>43876.222268518519</v>
      </c>
      <c r="B20231" t="str">
        <f>HYPERLINK("https://twitter.com/BirTweet1","@BirTweet1")</f>
        <v>@BirTweet1</v>
      </c>
      <c r="C20231" t="s">
        <v>10092</v>
      </c>
      <c r="D20231">
        <v>0</v>
      </c>
      <c r="E20231">
        <v>0</v>
      </c>
      <c r="F20231">
        <v>61</v>
      </c>
    </row>
    <row r="20232" spans="1:6" ht="12.75">
      <c r="A20232" s="2">
        <v>43876.222048611111</v>
      </c>
      <c r="B20232" t="str">
        <f>HYPERLINK("https://twitter.com/Fredy_Santana01","@Fredy_Santana01")</f>
        <v>@Fredy_Santana01</v>
      </c>
      <c r="C20232" t="s">
        <v>9198</v>
      </c>
      <c r="D20232">
        <v>119</v>
      </c>
      <c r="E20232">
        <v>0</v>
      </c>
      <c r="F20232">
        <v>1690</v>
      </c>
    </row>
    <row r="20233" spans="1:6" ht="12.75">
      <c r="A20233" s="2">
        <v>43876.221944444449</v>
      </c>
      <c r="B20233" t="str">
        <f>HYPERLINK("https://twitter.com/CandraRachmad","@CandraRachmad")</f>
        <v>@CandraRachmad</v>
      </c>
      <c r="C20233" t="s">
        <v>3059</v>
      </c>
      <c r="D20233">
        <v>23</v>
      </c>
      <c r="E20233">
        <v>0</v>
      </c>
      <c r="F20233">
        <v>164</v>
      </c>
    </row>
    <row r="20234" spans="1:6" ht="12.75">
      <c r="A20234" s="2">
        <v>43876.221678240741</v>
      </c>
      <c r="B20234" t="str">
        <f>HYPERLINK("https://twitter.com/romdhananas","@romdhananas")</f>
        <v>@romdhananas</v>
      </c>
      <c r="C20234" t="s">
        <v>6201</v>
      </c>
      <c r="D20234">
        <v>349</v>
      </c>
      <c r="E20234">
        <v>0</v>
      </c>
      <c r="F20234">
        <v>118</v>
      </c>
    </row>
    <row r="20235" spans="1:6" ht="12.75">
      <c r="A20235" s="2">
        <v>43876.221516203703</v>
      </c>
      <c r="B20235" t="str">
        <f>HYPERLINK("https://twitter.com/kariispecial","@kariispecial")</f>
        <v>@kariispecial</v>
      </c>
      <c r="C20235" t="s">
        <v>2444</v>
      </c>
      <c r="D20235">
        <v>3413</v>
      </c>
      <c r="E20235">
        <v>0</v>
      </c>
      <c r="F20235">
        <v>447</v>
      </c>
    </row>
    <row r="20236" spans="1:6" ht="12.75">
      <c r="A20236" s="2">
        <v>43876.221145833333</v>
      </c>
      <c r="B20236" t="str">
        <f>HYPERLINK("https://twitter.com/SondangStevanus","@SondangStevanus")</f>
        <v>@SondangStevanus</v>
      </c>
      <c r="C20236" t="s">
        <v>10057</v>
      </c>
      <c r="D20236">
        <v>16</v>
      </c>
      <c r="E20236">
        <v>0</v>
      </c>
      <c r="F20236">
        <v>2084</v>
      </c>
    </row>
    <row r="20237" spans="1:6" ht="12.75">
      <c r="A20237" s="2">
        <v>43876.221122685187</v>
      </c>
      <c r="B20237" t="str">
        <f>HYPERLINK("https://twitter.com/paulabrendaa","@paulabrendaa")</f>
        <v>@paulabrendaa</v>
      </c>
      <c r="C20237" t="s">
        <v>10093</v>
      </c>
      <c r="D20237">
        <v>0</v>
      </c>
      <c r="E20237">
        <v>0</v>
      </c>
      <c r="F20237">
        <v>335</v>
      </c>
    </row>
    <row r="20238" spans="1:6" ht="12.75">
      <c r="A20238" s="2">
        <v>43876.221030092594</v>
      </c>
      <c r="B20238" t="str">
        <f>HYPERLINK("https://twitter.com/mulaidari0","@mulaidari0")</f>
        <v>@mulaidari0</v>
      </c>
      <c r="C20238" t="s">
        <v>6201</v>
      </c>
      <c r="D20238">
        <v>349</v>
      </c>
      <c r="E20238">
        <v>0</v>
      </c>
      <c r="F20238">
        <v>79</v>
      </c>
    </row>
    <row r="20239" spans="1:6" ht="12.75">
      <c r="A20239" s="2">
        <v>43876.220891203702</v>
      </c>
      <c r="B20239" t="str">
        <f>HYPERLINK("https://twitter.com/ohhalif","@ohhalif")</f>
        <v>@ohhalif</v>
      </c>
      <c r="C20239" t="s">
        <v>2444</v>
      </c>
      <c r="D20239">
        <v>3413</v>
      </c>
      <c r="E20239">
        <v>0</v>
      </c>
      <c r="F20239">
        <v>546</v>
      </c>
    </row>
    <row r="20240" spans="1:6" ht="12.75">
      <c r="A20240" s="2">
        <v>43876.220729166671</v>
      </c>
      <c r="B20240" t="str">
        <f>HYPERLINK("https://twitter.com/ikanmolamola","@ikanmolamola")</f>
        <v>@ikanmolamola</v>
      </c>
      <c r="C20240" t="s">
        <v>2444</v>
      </c>
      <c r="D20240">
        <v>3413</v>
      </c>
      <c r="E20240">
        <v>0</v>
      </c>
      <c r="F20240">
        <v>70</v>
      </c>
    </row>
    <row r="20241" spans="1:6" ht="12.75">
      <c r="A20241" s="2">
        <v>43876.220694444448</v>
      </c>
      <c r="B20241" t="str">
        <f>HYPERLINK("https://twitter.com/YpgAygun","@YpgAygun")</f>
        <v>@YpgAygun</v>
      </c>
      <c r="C20241" t="s">
        <v>9082</v>
      </c>
      <c r="D20241">
        <v>94</v>
      </c>
      <c r="E20241">
        <v>0</v>
      </c>
      <c r="F20241">
        <v>236</v>
      </c>
    </row>
    <row r="20242" spans="1:6" ht="12.75">
      <c r="A20242" s="2">
        <v>43876.220185185186</v>
      </c>
      <c r="B20242" t="str">
        <f>HYPERLINK("https://twitter.com/dteleer","@dteleer")</f>
        <v>@dteleer</v>
      </c>
      <c r="C20242" t="s">
        <v>10057</v>
      </c>
      <c r="D20242">
        <v>16</v>
      </c>
      <c r="E20242">
        <v>0</v>
      </c>
      <c r="F20242">
        <v>3340</v>
      </c>
    </row>
    <row r="20243" spans="1:6" ht="12.75">
      <c r="A20243" s="2">
        <v>43876.21980324074</v>
      </c>
      <c r="B20243" t="str">
        <f>HYPERLINK("https://twitter.com/strohhut78","@strohhut78")</f>
        <v>@strohhut78</v>
      </c>
      <c r="C20243" t="s">
        <v>2444</v>
      </c>
      <c r="D20243">
        <v>3413</v>
      </c>
      <c r="E20243">
        <v>0</v>
      </c>
      <c r="F20243">
        <v>699</v>
      </c>
    </row>
    <row r="20244" spans="1:6" ht="12.75">
      <c r="A20244" s="2">
        <v>43876.219722222224</v>
      </c>
      <c r="B20244" t="str">
        <f>HYPERLINK("https://twitter.com/khrsnrdn","@khrsnrdn")</f>
        <v>@khrsnrdn</v>
      </c>
      <c r="C20244" t="s">
        <v>10094</v>
      </c>
      <c r="D20244">
        <v>0</v>
      </c>
      <c r="E20244">
        <v>1</v>
      </c>
      <c r="F20244">
        <v>63</v>
      </c>
    </row>
    <row r="20245" spans="1:6" ht="12.75">
      <c r="A20245" s="2">
        <v>43876.219594907408</v>
      </c>
      <c r="B20245" t="str">
        <f>HYPERLINK("https://twitter.com/Gennome2","@Gennome2")</f>
        <v>@Gennome2</v>
      </c>
      <c r="C20245" t="s">
        <v>175</v>
      </c>
      <c r="D20245">
        <v>5316</v>
      </c>
      <c r="E20245">
        <v>0</v>
      </c>
      <c r="F20245">
        <v>1639</v>
      </c>
    </row>
    <row r="20246" spans="1:6" ht="12.75">
      <c r="A20246" s="2">
        <v>43876.219560185185</v>
      </c>
      <c r="B20246" t="str">
        <f>HYPERLINK("https://twitter.com/JabreakYudha","@JabreakYudha")</f>
        <v>@JabreakYudha</v>
      </c>
      <c r="C20246" t="s">
        <v>7478</v>
      </c>
      <c r="D20246">
        <v>486</v>
      </c>
      <c r="E20246">
        <v>0</v>
      </c>
      <c r="F20246">
        <v>1723</v>
      </c>
    </row>
    <row r="20247" spans="1:6" ht="12.75">
      <c r="A20247" s="2">
        <v>43876.219421296293</v>
      </c>
      <c r="B20247" t="str">
        <f>HYPERLINK("https://twitter.com/kikinovianisa","@kikinovianisa")</f>
        <v>@kikinovianisa</v>
      </c>
      <c r="C20247" t="s">
        <v>2444</v>
      </c>
      <c r="D20247">
        <v>3413</v>
      </c>
      <c r="E20247">
        <v>0</v>
      </c>
      <c r="F20247">
        <v>469</v>
      </c>
    </row>
    <row r="20248" spans="1:6" ht="12.75">
      <c r="A20248" s="2">
        <v>43876.219293981485</v>
      </c>
      <c r="B20248" t="str">
        <f>HYPERLINK("https://twitter.com/jawapos","@jawapos")</f>
        <v>@jawapos</v>
      </c>
      <c r="C20248" t="s">
        <v>10095</v>
      </c>
      <c r="D20248">
        <v>0</v>
      </c>
      <c r="E20248">
        <v>1</v>
      </c>
      <c r="F20248">
        <v>116692</v>
      </c>
    </row>
    <row r="20249" spans="1:6" ht="12.75">
      <c r="A20249" s="2">
        <v>43876.219004629631</v>
      </c>
      <c r="B20249" t="str">
        <f>HYPERLINK("https://twitter.com/YosRi01727599","@YosRi01727599")</f>
        <v>@YosRi01727599</v>
      </c>
      <c r="C20249" t="s">
        <v>10096</v>
      </c>
      <c r="D20249">
        <v>188</v>
      </c>
      <c r="E20249">
        <v>0</v>
      </c>
      <c r="F20249">
        <v>106</v>
      </c>
    </row>
    <row r="20250" spans="1:6" ht="12.75">
      <c r="A20250" s="2">
        <v>43876.218969907408</v>
      </c>
      <c r="B20250" t="str">
        <f>HYPERLINK("https://twitter.com/Biebzlexx","@Biebzlexx")</f>
        <v>@Biebzlexx</v>
      </c>
      <c r="C20250" t="s">
        <v>5168</v>
      </c>
      <c r="D20250">
        <v>1270</v>
      </c>
      <c r="E20250">
        <v>0</v>
      </c>
      <c r="F20250">
        <v>493</v>
      </c>
    </row>
    <row r="20251" spans="1:6" ht="12.75">
      <c r="A20251" s="2">
        <v>43876.218865740739</v>
      </c>
      <c r="B20251" t="str">
        <f>HYPERLINK("https://twitter.com/epu_3naa","@epu_3naa")</f>
        <v>@epu_3naa</v>
      </c>
      <c r="C20251" t="s">
        <v>2444</v>
      </c>
      <c r="D20251">
        <v>3413</v>
      </c>
      <c r="E20251">
        <v>0</v>
      </c>
      <c r="F20251">
        <v>616</v>
      </c>
    </row>
    <row r="20252" spans="1:6" ht="12.75">
      <c r="A20252" s="2">
        <v>43876.218715277777</v>
      </c>
      <c r="B20252" t="str">
        <f>HYPERLINK("https://twitter.com/verraash","@verraash")</f>
        <v>@verraash</v>
      </c>
      <c r="C20252" t="s">
        <v>9666</v>
      </c>
      <c r="D20252">
        <v>26</v>
      </c>
      <c r="E20252">
        <v>0</v>
      </c>
      <c r="F20252">
        <v>43</v>
      </c>
    </row>
    <row r="20253" spans="1:6" ht="12.75">
      <c r="A20253" s="2">
        <v>43876.218622685185</v>
      </c>
      <c r="B20253" t="str">
        <f>HYPERLINK("https://twitter.com/umam_chaerul","@umam_chaerul")</f>
        <v>@umam_chaerul</v>
      </c>
      <c r="C20253" t="s">
        <v>10097</v>
      </c>
      <c r="D20253">
        <v>4</v>
      </c>
      <c r="E20253">
        <v>0</v>
      </c>
      <c r="F20253">
        <v>2879</v>
      </c>
    </row>
    <row r="20254" spans="1:6" ht="12.75">
      <c r="A20254" s="2">
        <v>43876.218298611115</v>
      </c>
      <c r="B20254" t="str">
        <f>HYPERLINK("https://twitter.com/Ivanpra39410936","@Ivanpra39410936")</f>
        <v>@Ivanpra39410936</v>
      </c>
      <c r="C20254" t="s">
        <v>10098</v>
      </c>
      <c r="D20254">
        <v>0</v>
      </c>
      <c r="E20254">
        <v>0</v>
      </c>
      <c r="F20254">
        <v>1</v>
      </c>
    </row>
    <row r="20255" spans="1:6" ht="12.75">
      <c r="A20255" s="2">
        <v>43876.218229166669</v>
      </c>
      <c r="B20255" t="str">
        <f>HYPERLINK("https://twitter.com/umam_chaerul","@umam_chaerul")</f>
        <v>@umam_chaerul</v>
      </c>
      <c r="C20255" t="s">
        <v>5761</v>
      </c>
      <c r="D20255">
        <v>89</v>
      </c>
      <c r="E20255">
        <v>0</v>
      </c>
      <c r="F20255">
        <v>2879</v>
      </c>
    </row>
    <row r="20256" spans="1:6" ht="12.75">
      <c r="A20256" s="2">
        <v>43876.218078703707</v>
      </c>
      <c r="B20256" t="str">
        <f>HYPERLINK("https://twitter.com/AndikaAhmad_","@AndikaAhmad_")</f>
        <v>@AndikaAhmad_</v>
      </c>
      <c r="C20256" t="s">
        <v>2444</v>
      </c>
      <c r="D20256">
        <v>3413</v>
      </c>
      <c r="E20256">
        <v>0</v>
      </c>
      <c r="F20256">
        <v>854</v>
      </c>
    </row>
    <row r="20257" spans="1:6" ht="12.75">
      <c r="A20257" s="2">
        <v>43876.218043981484</v>
      </c>
      <c r="B20257" t="str">
        <f>HYPERLINK("https://twitter.com/mamaangie9","@mamaangie9")</f>
        <v>@mamaangie9</v>
      </c>
      <c r="C20257" t="s">
        <v>6201</v>
      </c>
      <c r="D20257">
        <v>349</v>
      </c>
      <c r="E20257">
        <v>0</v>
      </c>
      <c r="F20257">
        <v>129</v>
      </c>
    </row>
    <row r="20258" spans="1:6" ht="12.75">
      <c r="A20258" s="2">
        <v>43876.217800925922</v>
      </c>
      <c r="B20258" t="str">
        <f>HYPERLINK("https://twitter.com/redspool33","@redspool33")</f>
        <v>@redspool33</v>
      </c>
      <c r="C20258" t="s">
        <v>7478</v>
      </c>
      <c r="D20258">
        <v>486</v>
      </c>
      <c r="E20258">
        <v>0</v>
      </c>
      <c r="F20258">
        <v>341</v>
      </c>
    </row>
    <row r="20259" spans="1:6" ht="12.75">
      <c r="A20259" s="2">
        <v>43876.217569444445</v>
      </c>
      <c r="B20259" t="str">
        <f>HYPERLINK("https://twitter.com/zlkr_naen","@zlkr_naen")</f>
        <v>@zlkr_naen</v>
      </c>
      <c r="C20259" t="s">
        <v>3059</v>
      </c>
      <c r="D20259">
        <v>23</v>
      </c>
      <c r="E20259">
        <v>0</v>
      </c>
      <c r="F20259">
        <v>797</v>
      </c>
    </row>
    <row r="20260" spans="1:6" ht="12.75">
      <c r="A20260" s="2">
        <v>43876.217430555553</v>
      </c>
      <c r="B20260" t="str">
        <f>HYPERLINK("https://twitter.com/hanney130172","@hanney130172")</f>
        <v>@hanney130172</v>
      </c>
      <c r="C20260" t="s">
        <v>10099</v>
      </c>
      <c r="D20260">
        <v>0</v>
      </c>
      <c r="E20260">
        <v>0</v>
      </c>
      <c r="F20260">
        <v>16</v>
      </c>
    </row>
    <row r="20261" spans="1:6" ht="12.75">
      <c r="A20261" s="2">
        <v>43876.216631944444</v>
      </c>
      <c r="B20261" t="str">
        <f>HYPERLINK("https://twitter.com/Faris_Diggory","@Faris_Diggory")</f>
        <v>@Faris_Diggory</v>
      </c>
      <c r="C20261" t="s">
        <v>10100</v>
      </c>
      <c r="D20261">
        <v>0</v>
      </c>
      <c r="E20261">
        <v>0</v>
      </c>
      <c r="F20261">
        <v>631</v>
      </c>
    </row>
    <row r="20262" spans="1:6" ht="12.75">
      <c r="A20262" s="2">
        <v>43876.215740740736</v>
      </c>
      <c r="B20262" t="str">
        <f>HYPERLINK("https://twitter.com/AnitaRistianti1","@AnitaRistianti1")</f>
        <v>@AnitaRistianti1</v>
      </c>
      <c r="C20262" t="s">
        <v>6201</v>
      </c>
      <c r="D20262">
        <v>349</v>
      </c>
      <c r="E20262">
        <v>0</v>
      </c>
      <c r="F20262">
        <v>1</v>
      </c>
    </row>
    <row r="20263" spans="1:6" ht="12.75">
      <c r="A20263" s="2">
        <v>43876.21565972222</v>
      </c>
      <c r="B20263" t="str">
        <f t="shared" ref="B20263:B20264" si="317">HYPERLINK("https://twitter.com/dudiitnoor","@dudiitnoor")</f>
        <v>@dudiitnoor</v>
      </c>
      <c r="C20263" t="s">
        <v>5168</v>
      </c>
      <c r="D20263">
        <v>1270</v>
      </c>
      <c r="E20263">
        <v>0</v>
      </c>
      <c r="F20263">
        <v>119</v>
      </c>
    </row>
    <row r="20264" spans="1:6" ht="12.75">
      <c r="A20264" s="2">
        <v>43876.215590277774</v>
      </c>
      <c r="B20264" t="str">
        <f t="shared" si="317"/>
        <v>@dudiitnoor</v>
      </c>
      <c r="C20264" t="s">
        <v>2444</v>
      </c>
      <c r="D20264">
        <v>3413</v>
      </c>
      <c r="E20264">
        <v>0</v>
      </c>
      <c r="F20264">
        <v>119</v>
      </c>
    </row>
    <row r="20265" spans="1:6" ht="12.75">
      <c r="A20265" s="2">
        <v>43876.215173611112</v>
      </c>
      <c r="B20265" t="str">
        <f>HYPERLINK("https://twitter.com/erwinkuswandi19","@erwinkuswandi19")</f>
        <v>@erwinkuswandi19</v>
      </c>
      <c r="C20265" t="s">
        <v>10101</v>
      </c>
      <c r="D20265">
        <v>0</v>
      </c>
      <c r="E20265">
        <v>0</v>
      </c>
      <c r="F20265">
        <v>107</v>
      </c>
    </row>
    <row r="20266" spans="1:6" ht="12.75">
      <c r="A20266" s="2">
        <v>43876.215115740742</v>
      </c>
      <c r="B20266" t="str">
        <f>HYPERLINK("https://twitter.com/attaquedejambes","@attaquedejambes")</f>
        <v>@attaquedejambes</v>
      </c>
      <c r="C20266" t="s">
        <v>9082</v>
      </c>
      <c r="D20266">
        <v>94</v>
      </c>
      <c r="E20266">
        <v>0</v>
      </c>
      <c r="F20266">
        <v>1110</v>
      </c>
    </row>
    <row r="20267" spans="1:6" ht="12.75">
      <c r="A20267" s="2">
        <v>43876.214803240742</v>
      </c>
      <c r="B20267" t="str">
        <f>HYPERLINK("https://twitter.com/limantoroo","@limantoroo")</f>
        <v>@limantoroo</v>
      </c>
      <c r="C20267" t="s">
        <v>3342</v>
      </c>
      <c r="D20267">
        <v>2473</v>
      </c>
      <c r="E20267">
        <v>0</v>
      </c>
      <c r="F20267">
        <v>0</v>
      </c>
    </row>
    <row r="20268" spans="1:6" ht="12.75">
      <c r="A20268" s="2">
        <v>43876.214594907404</v>
      </c>
      <c r="B20268" t="str">
        <f>HYPERLINK("https://twitter.com/pemerhat","@pemerhat")</f>
        <v>@pemerhat</v>
      </c>
      <c r="C20268" t="s">
        <v>9746</v>
      </c>
      <c r="D20268">
        <v>434</v>
      </c>
      <c r="E20268">
        <v>0</v>
      </c>
      <c r="F20268">
        <v>571</v>
      </c>
    </row>
    <row r="20269" spans="1:6" ht="12.75">
      <c r="A20269" s="2">
        <v>43876.214571759258</v>
      </c>
      <c r="B20269" t="str">
        <f>HYPERLINK("https://twitter.com/rolcoster","@rolcoster")</f>
        <v>@rolcoster</v>
      </c>
      <c r="C20269" t="s">
        <v>2444</v>
      </c>
      <c r="D20269">
        <v>3413</v>
      </c>
      <c r="E20269">
        <v>0</v>
      </c>
      <c r="F20269">
        <v>110</v>
      </c>
    </row>
    <row r="20270" spans="1:6" ht="12.75">
      <c r="A20270" s="2">
        <v>43876.213831018518</v>
      </c>
      <c r="B20270" t="str">
        <f>HYPERLINK("https://twitter.com/samrenoes","@samrenoes")</f>
        <v>@samrenoes</v>
      </c>
      <c r="C20270" t="s">
        <v>10102</v>
      </c>
      <c r="D20270">
        <v>409</v>
      </c>
      <c r="E20270">
        <v>0</v>
      </c>
      <c r="F20270">
        <v>66</v>
      </c>
    </row>
    <row r="20271" spans="1:6" ht="12.75">
      <c r="A20271" s="2">
        <v>43876.213182870371</v>
      </c>
      <c r="B20271" t="str">
        <f>HYPERLINK("https://twitter.com/farizaulian","@farizaulian")</f>
        <v>@farizaulian</v>
      </c>
      <c r="C20271" t="s">
        <v>2444</v>
      </c>
      <c r="D20271">
        <v>3413</v>
      </c>
      <c r="E20271">
        <v>0</v>
      </c>
      <c r="F20271">
        <v>557</v>
      </c>
    </row>
    <row r="20272" spans="1:6" ht="12.75">
      <c r="A20272" s="2">
        <v>43876.212881944448</v>
      </c>
      <c r="B20272" t="str">
        <f>HYPERLINK("https://twitter.com/BesTime2Balive","@BesTime2Balive")</f>
        <v>@BesTime2Balive</v>
      </c>
      <c r="C20272" t="s">
        <v>3150</v>
      </c>
      <c r="D20272">
        <v>76</v>
      </c>
      <c r="E20272">
        <v>0</v>
      </c>
      <c r="F20272">
        <v>1087</v>
      </c>
    </row>
    <row r="20273" spans="1:6" ht="12.75">
      <c r="A20273" s="2">
        <v>43876.212824074071</v>
      </c>
      <c r="B20273" t="str">
        <f>HYPERLINK("https://twitter.com/nugrahawirajati","@nugrahawirajati")</f>
        <v>@nugrahawirajati</v>
      </c>
      <c r="C20273" t="s">
        <v>2963</v>
      </c>
      <c r="D20273">
        <v>1221</v>
      </c>
      <c r="E20273">
        <v>0</v>
      </c>
      <c r="F20273">
        <v>150</v>
      </c>
    </row>
    <row r="20274" spans="1:6" ht="12.75">
      <c r="A20274" s="2">
        <v>43876.212800925925</v>
      </c>
      <c r="B20274" t="str">
        <f>HYPERLINK("https://twitter.com/Littledene39","@Littledene39")</f>
        <v>@Littledene39</v>
      </c>
      <c r="C20274" t="s">
        <v>3150</v>
      </c>
      <c r="D20274">
        <v>76</v>
      </c>
      <c r="E20274">
        <v>0</v>
      </c>
      <c r="F20274">
        <v>3038</v>
      </c>
    </row>
    <row r="20275" spans="1:6" ht="12.75">
      <c r="A20275" s="2">
        <v>43876.212777777779</v>
      </c>
      <c r="B20275" t="str">
        <f>HYPERLINK("https://twitter.com/erispie","@erispie")</f>
        <v>@erispie</v>
      </c>
      <c r="C20275" t="s">
        <v>9067</v>
      </c>
      <c r="D20275">
        <v>66</v>
      </c>
      <c r="E20275">
        <v>0</v>
      </c>
      <c r="F20275">
        <v>862</v>
      </c>
    </row>
    <row r="20276" spans="1:6" ht="12.75">
      <c r="A20276" s="2">
        <v>43876.212581018517</v>
      </c>
      <c r="B20276" t="str">
        <f>HYPERLINK("https://twitter.com/JustNananaya","@JustNananaya")</f>
        <v>@JustNananaya</v>
      </c>
      <c r="C20276" t="s">
        <v>2137</v>
      </c>
      <c r="D20276">
        <v>234</v>
      </c>
      <c r="E20276">
        <v>0</v>
      </c>
      <c r="F20276">
        <v>403</v>
      </c>
    </row>
    <row r="20277" spans="1:6" ht="12.75">
      <c r="A20277" s="2">
        <v>43876.212546296301</v>
      </c>
      <c r="B20277" t="str">
        <f>HYPERLINK("https://twitter.com/vitta_mangelep","@vitta_mangelep")</f>
        <v>@vitta_mangelep</v>
      </c>
      <c r="C20277" t="s">
        <v>7478</v>
      </c>
      <c r="D20277">
        <v>486</v>
      </c>
      <c r="E20277">
        <v>0</v>
      </c>
      <c r="F20277">
        <v>948</v>
      </c>
    </row>
    <row r="20278" spans="1:6" ht="12.75">
      <c r="A20278" s="2">
        <v>43876.212488425925</v>
      </c>
      <c r="B20278" t="str">
        <f>HYPERLINK("https://twitter.com/erispie","@erispie")</f>
        <v>@erispie</v>
      </c>
      <c r="C20278" t="s">
        <v>2444</v>
      </c>
      <c r="D20278">
        <v>3413</v>
      </c>
      <c r="E20278">
        <v>0</v>
      </c>
      <c r="F20278">
        <v>862</v>
      </c>
    </row>
    <row r="20279" spans="1:6" ht="12.75">
      <c r="A20279" s="2">
        <v>43876.212152777778</v>
      </c>
      <c r="B20279" t="str">
        <f>HYPERLINK("https://twitter.com/Novalvio","@Novalvio")</f>
        <v>@Novalvio</v>
      </c>
      <c r="C20279" t="s">
        <v>2444</v>
      </c>
      <c r="D20279">
        <v>3413</v>
      </c>
      <c r="E20279">
        <v>0</v>
      </c>
      <c r="F20279">
        <v>552</v>
      </c>
    </row>
    <row r="20280" spans="1:6" ht="12.75">
      <c r="A20280" s="2">
        <v>43876.212013888886</v>
      </c>
      <c r="B20280" t="str">
        <f>HYPERLINK("https://twitter.com/dusrimulya","@dusrimulya")</f>
        <v>@dusrimulya</v>
      </c>
      <c r="C20280" t="s">
        <v>10103</v>
      </c>
      <c r="D20280">
        <v>1</v>
      </c>
      <c r="E20280">
        <v>0</v>
      </c>
      <c r="F20280">
        <v>22313</v>
      </c>
    </row>
    <row r="20281" spans="1:6" ht="12.75">
      <c r="A20281" s="2">
        <v>43876.211875000001</v>
      </c>
      <c r="B20281" t="str">
        <f>HYPERLINK("https://twitter.com/Harian_Jogja","@Harian_Jogja")</f>
        <v>@Harian_Jogja</v>
      </c>
      <c r="C20281" t="s">
        <v>10104</v>
      </c>
      <c r="D20281">
        <v>0</v>
      </c>
      <c r="E20281">
        <v>1</v>
      </c>
      <c r="F20281">
        <v>153246</v>
      </c>
    </row>
    <row r="20282" spans="1:6" ht="12.75">
      <c r="A20282" s="2">
        <v>43876.211747685185</v>
      </c>
      <c r="B20282" t="str">
        <f>HYPERLINK("https://twitter.com/tsjokka","@tsjokka")</f>
        <v>@tsjokka</v>
      </c>
      <c r="C20282" t="s">
        <v>10105</v>
      </c>
      <c r="D20282">
        <v>0</v>
      </c>
      <c r="E20282">
        <v>0</v>
      </c>
      <c r="F20282">
        <v>581</v>
      </c>
    </row>
    <row r="20283" spans="1:6" ht="12.75">
      <c r="A20283" s="2">
        <v>43876.210659722223</v>
      </c>
      <c r="B20283" t="str">
        <f>HYPERLINK("https://twitter.com/rzrhmn","@rzrhmn")</f>
        <v>@rzrhmn</v>
      </c>
      <c r="C20283" t="s">
        <v>2444</v>
      </c>
      <c r="D20283">
        <v>3413</v>
      </c>
      <c r="E20283">
        <v>0</v>
      </c>
      <c r="F20283">
        <v>512</v>
      </c>
    </row>
    <row r="20284" spans="1:6" ht="12.75">
      <c r="A20284" s="2">
        <v>43876.210011574076</v>
      </c>
      <c r="B20284" t="str">
        <f t="shared" ref="B20284:B20285" si="318">HYPERLINK("https://twitter.com/terevishita","@terevishita")</f>
        <v>@terevishita</v>
      </c>
      <c r="C20284" t="s">
        <v>10106</v>
      </c>
      <c r="D20284">
        <v>11</v>
      </c>
      <c r="E20284">
        <v>0</v>
      </c>
      <c r="F20284">
        <v>63</v>
      </c>
    </row>
    <row r="20285" spans="1:6" ht="12.75">
      <c r="A20285" s="2">
        <v>43876.209849537037</v>
      </c>
      <c r="B20285" t="str">
        <f t="shared" si="318"/>
        <v>@terevishita</v>
      </c>
      <c r="C20285" t="s">
        <v>10107</v>
      </c>
      <c r="D20285">
        <v>4</v>
      </c>
      <c r="E20285">
        <v>0</v>
      </c>
      <c r="F20285">
        <v>63</v>
      </c>
    </row>
    <row r="20286" spans="1:6" ht="12.75">
      <c r="A20286" s="2">
        <v>43876.209074074075</v>
      </c>
      <c r="B20286" t="str">
        <f>HYPERLINK("https://twitter.com/ahmetyldrm4","@ahmetyldrm4")</f>
        <v>@ahmetyldrm4</v>
      </c>
      <c r="C20286" t="s">
        <v>9082</v>
      </c>
      <c r="D20286">
        <v>91</v>
      </c>
      <c r="E20286">
        <v>0</v>
      </c>
      <c r="F20286">
        <v>532</v>
      </c>
    </row>
    <row r="20287" spans="1:6" ht="12.75">
      <c r="A20287" s="2">
        <v>43876.208506944444</v>
      </c>
      <c r="B20287" t="str">
        <f>HYPERLINK("https://twitter.com/jhon18148938","@jhon18148938")</f>
        <v>@jhon18148938</v>
      </c>
      <c r="C20287" t="s">
        <v>10108</v>
      </c>
      <c r="D20287">
        <v>0</v>
      </c>
      <c r="E20287">
        <v>0</v>
      </c>
      <c r="F20287">
        <v>115</v>
      </c>
    </row>
    <row r="20288" spans="1:6" ht="12.75">
      <c r="A20288" s="2">
        <v>43876.208437499998</v>
      </c>
      <c r="B20288" t="str">
        <f>HYPERLINK("https://twitter.com/AspendiTanjung","@AspendiTanjung")</f>
        <v>@AspendiTanjung</v>
      </c>
      <c r="C20288" t="s">
        <v>9198</v>
      </c>
      <c r="D20288">
        <v>116</v>
      </c>
      <c r="E20288">
        <v>0</v>
      </c>
      <c r="F20288">
        <v>569</v>
      </c>
    </row>
    <row r="20289" spans="1:6" ht="12.75">
      <c r="A20289" s="2">
        <v>43876.208414351851</v>
      </c>
      <c r="B20289" t="str">
        <f>HYPERLINK("https://twitter.com/MochamadLoetfi4","@MochamadLoetfi4")</f>
        <v>@MochamadLoetfi4</v>
      </c>
      <c r="C20289" t="s">
        <v>10109</v>
      </c>
      <c r="D20289">
        <v>34</v>
      </c>
      <c r="E20289">
        <v>0</v>
      </c>
      <c r="F20289">
        <v>158</v>
      </c>
    </row>
    <row r="20290" spans="1:6" ht="12.75">
      <c r="A20290" s="2">
        <v>43876.208298611113</v>
      </c>
      <c r="B20290" t="str">
        <f>HYPERLINK("https://twitter.com/chohcolatee","@chohcolatee")</f>
        <v>@chohcolatee</v>
      </c>
      <c r="C20290" t="s">
        <v>2444</v>
      </c>
      <c r="D20290">
        <v>3353</v>
      </c>
      <c r="E20290">
        <v>0</v>
      </c>
      <c r="F20290">
        <v>138</v>
      </c>
    </row>
    <row r="20291" spans="1:6" ht="12.75">
      <c r="A20291" s="2">
        <v>43876.208101851851</v>
      </c>
      <c r="B20291" t="str">
        <f>HYPERLINK("https://twitter.com/fajri_wiriana","@fajri_wiriana")</f>
        <v>@fajri_wiriana</v>
      </c>
      <c r="C20291" t="s">
        <v>10110</v>
      </c>
      <c r="D20291">
        <v>0</v>
      </c>
      <c r="E20291">
        <v>0</v>
      </c>
      <c r="F20291">
        <v>147</v>
      </c>
    </row>
    <row r="20292" spans="1:6" ht="12.75">
      <c r="A20292" s="2">
        <v>43876.208078703705</v>
      </c>
      <c r="B20292" t="str">
        <f t="shared" ref="B20292:B20293" si="319">HYPERLINK("https://twitter.com/redywanjames","@redywanjames")</f>
        <v>@redywanjames</v>
      </c>
      <c r="C20292" t="s">
        <v>2086</v>
      </c>
      <c r="D20292">
        <v>26</v>
      </c>
      <c r="E20292">
        <v>0</v>
      </c>
      <c r="F20292">
        <v>742</v>
      </c>
    </row>
    <row r="20293" spans="1:6" ht="12.75">
      <c r="A20293" s="2">
        <v>43876.207777777774</v>
      </c>
      <c r="B20293" t="str">
        <f t="shared" si="319"/>
        <v>@redywanjames</v>
      </c>
      <c r="C20293" t="s">
        <v>8980</v>
      </c>
      <c r="D20293">
        <v>4</v>
      </c>
      <c r="E20293">
        <v>0</v>
      </c>
      <c r="F20293">
        <v>742</v>
      </c>
    </row>
    <row r="20294" spans="1:6" ht="12.75">
      <c r="A20294" s="2">
        <v>43876.207696759258</v>
      </c>
      <c r="B20294" t="str">
        <f>HYPERLINK("https://twitter.com/cigarxet","@cigarxet")</f>
        <v>@cigarxet</v>
      </c>
      <c r="C20294" t="s">
        <v>2444</v>
      </c>
      <c r="D20294">
        <v>3353</v>
      </c>
      <c r="E20294">
        <v>0</v>
      </c>
      <c r="F20294">
        <v>1762</v>
      </c>
    </row>
    <row r="20295" spans="1:6" ht="12.75">
      <c r="A20295" s="2">
        <v>43876.207673611112</v>
      </c>
      <c r="B20295" t="str">
        <f>HYPERLINK("https://twitter.com/DearReAkSe","@DearReAkSe")</f>
        <v>@DearReAkSe</v>
      </c>
      <c r="C20295" t="s">
        <v>3059</v>
      </c>
      <c r="D20295">
        <v>13</v>
      </c>
      <c r="E20295">
        <v>0</v>
      </c>
      <c r="F20295">
        <v>327</v>
      </c>
    </row>
    <row r="20296" spans="1:6" ht="12.75">
      <c r="A20296" s="2">
        <v>43876.20758101852</v>
      </c>
      <c r="B20296" t="str">
        <f>HYPERLINK("https://twitter.com/dg_rompang","@dg_rompang")</f>
        <v>@dg_rompang</v>
      </c>
      <c r="C20296" t="s">
        <v>9746</v>
      </c>
      <c r="D20296">
        <v>422</v>
      </c>
      <c r="E20296">
        <v>0</v>
      </c>
      <c r="F20296">
        <v>114</v>
      </c>
    </row>
    <row r="20297" spans="1:6" ht="12.75">
      <c r="A20297" s="2">
        <v>43876.207372685181</v>
      </c>
      <c r="B20297" t="str">
        <f>HYPERLINK("https://twitter.com/Kohardul1","@Kohardul1")</f>
        <v>@Kohardul1</v>
      </c>
      <c r="C20297" t="s">
        <v>8754</v>
      </c>
      <c r="D20297">
        <v>31</v>
      </c>
      <c r="E20297">
        <v>0</v>
      </c>
      <c r="F20297">
        <v>563</v>
      </c>
    </row>
    <row r="20298" spans="1:6" ht="12.75">
      <c r="A20298" s="2">
        <v>43876.207245370373</v>
      </c>
      <c r="B20298" t="str">
        <f>HYPERLINK("https://twitter.com/JulagTahtagathi","@JulagTahtagathi")</f>
        <v>@JulagTahtagathi</v>
      </c>
      <c r="C20298" t="s">
        <v>3059</v>
      </c>
      <c r="D20298">
        <v>13</v>
      </c>
      <c r="E20298">
        <v>0</v>
      </c>
      <c r="F20298">
        <v>83</v>
      </c>
    </row>
    <row r="20299" spans="1:6" ht="12.75">
      <c r="A20299" s="2">
        <v>43876.206412037034</v>
      </c>
      <c r="B20299" t="str">
        <f>HYPERLINK("https://twitter.com/laludatu","@laludatu")</f>
        <v>@laludatu</v>
      </c>
      <c r="C20299" t="s">
        <v>9997</v>
      </c>
      <c r="D20299">
        <v>11</v>
      </c>
      <c r="E20299">
        <v>0</v>
      </c>
      <c r="F20299">
        <v>149</v>
      </c>
    </row>
    <row r="20300" spans="1:6" ht="12.75">
      <c r="A20300" s="2">
        <v>43876.206099537041</v>
      </c>
      <c r="B20300" t="str">
        <f>HYPERLINK("https://twitter.com/becak125cc","@becak125cc")</f>
        <v>@becak125cc</v>
      </c>
      <c r="C20300" t="s">
        <v>10083</v>
      </c>
      <c r="D20300">
        <v>40</v>
      </c>
      <c r="E20300">
        <v>0</v>
      </c>
      <c r="F20300">
        <v>502</v>
      </c>
    </row>
    <row r="20301" spans="1:6" ht="12.75">
      <c r="A20301" s="2">
        <v>43876.206006944441</v>
      </c>
      <c r="B20301" t="str">
        <f>HYPERLINK("https://twitter.com/ineechan","@ineechan")</f>
        <v>@ineechan</v>
      </c>
      <c r="C20301" t="s">
        <v>2444</v>
      </c>
      <c r="D20301">
        <v>3353</v>
      </c>
      <c r="E20301">
        <v>0</v>
      </c>
      <c r="F20301">
        <v>55</v>
      </c>
    </row>
    <row r="20302" spans="1:6" ht="12.75">
      <c r="A20302" s="2">
        <v>43876.205868055556</v>
      </c>
      <c r="B20302" t="str">
        <f>HYPERLINK("https://twitter.com/Nupitss","@Nupitss")</f>
        <v>@Nupitss</v>
      </c>
      <c r="C20302" t="s">
        <v>10111</v>
      </c>
      <c r="D20302">
        <v>8</v>
      </c>
      <c r="E20302">
        <v>0</v>
      </c>
      <c r="F20302">
        <v>466</v>
      </c>
    </row>
    <row r="20303" spans="1:6" ht="12.75">
      <c r="A20303" s="2">
        <v>43876.205300925925</v>
      </c>
      <c r="B20303" t="str">
        <f>HYPERLINK("https://twitter.com/d_ddabluo","@d_ddabluo")</f>
        <v>@d_ddabluo</v>
      </c>
      <c r="C20303" t="s">
        <v>2444</v>
      </c>
      <c r="D20303">
        <v>3353</v>
      </c>
      <c r="E20303">
        <v>0</v>
      </c>
      <c r="F20303">
        <v>22</v>
      </c>
    </row>
    <row r="20304" spans="1:6" ht="12.75">
      <c r="A20304" s="2">
        <v>43876.205231481479</v>
      </c>
      <c r="B20304" t="str">
        <f>HYPERLINK("https://twitter.com/vlxxha","@vlxxha")</f>
        <v>@vlxxha</v>
      </c>
      <c r="C20304" t="s">
        <v>10112</v>
      </c>
      <c r="D20304">
        <v>2</v>
      </c>
      <c r="E20304">
        <v>0</v>
      </c>
      <c r="F20304">
        <v>73</v>
      </c>
    </row>
    <row r="20305" spans="1:6" ht="12.75">
      <c r="A20305" s="2">
        <v>43876.204837962963</v>
      </c>
      <c r="B20305" t="str">
        <f>HYPERLINK("https://twitter.com/RussiaConnects","@RussiaConnects")</f>
        <v>@RussiaConnects</v>
      </c>
      <c r="C20305" t="s">
        <v>9082</v>
      </c>
      <c r="D20305">
        <v>91</v>
      </c>
      <c r="E20305">
        <v>0</v>
      </c>
      <c r="F20305">
        <v>41714</v>
      </c>
    </row>
    <row r="20306" spans="1:6" ht="12.75">
      <c r="A20306" s="2">
        <v>43876.204722222217</v>
      </c>
      <c r="B20306" t="str">
        <f>HYPERLINK("https://twitter.com/Indahpandaan","@Indahpandaan")</f>
        <v>@Indahpandaan</v>
      </c>
      <c r="C20306" t="s">
        <v>5761</v>
      </c>
      <c r="D20306">
        <v>87</v>
      </c>
      <c r="E20306">
        <v>0</v>
      </c>
      <c r="F20306">
        <v>275</v>
      </c>
    </row>
    <row r="20307" spans="1:6" ht="12.75">
      <c r="A20307" s="2">
        <v>43876.204606481479</v>
      </c>
      <c r="B20307" t="str">
        <f>HYPERLINK("https://twitter.com/dusrimulya","@dusrimulya")</f>
        <v>@dusrimulya</v>
      </c>
      <c r="C20307" t="s">
        <v>10113</v>
      </c>
      <c r="D20307">
        <v>0</v>
      </c>
      <c r="E20307">
        <v>0</v>
      </c>
      <c r="F20307">
        <v>22312</v>
      </c>
    </row>
    <row r="20308" spans="1:6" ht="12.75">
      <c r="A20308" s="2">
        <v>43876.204375000001</v>
      </c>
      <c r="B20308" t="str">
        <f>HYPERLINK("https://twitter.com/Mazggg","@Mazggg")</f>
        <v>@Mazggg</v>
      </c>
      <c r="C20308" t="s">
        <v>10114</v>
      </c>
      <c r="D20308">
        <v>28</v>
      </c>
      <c r="E20308">
        <v>0</v>
      </c>
      <c r="F20308">
        <v>1916</v>
      </c>
    </row>
    <row r="20309" spans="1:6" ht="12.75">
      <c r="A20309" s="2">
        <v>43876.203402777777</v>
      </c>
      <c r="B20309" t="str">
        <f>HYPERLINK("https://twitter.com/rosianasasmita","@rosianasasmita")</f>
        <v>@rosianasasmita</v>
      </c>
      <c r="C20309" t="s">
        <v>2963</v>
      </c>
      <c r="D20309">
        <v>1216</v>
      </c>
      <c r="E20309">
        <v>0</v>
      </c>
      <c r="F20309">
        <v>5636</v>
      </c>
    </row>
    <row r="20310" spans="1:6" ht="12.75">
      <c r="A20310" s="2">
        <v>43876.202372685184</v>
      </c>
      <c r="B20310" t="str">
        <f>HYPERLINK("https://twitter.com/itsmespicaa","@itsmespicaa")</f>
        <v>@itsmespicaa</v>
      </c>
      <c r="C20310" t="s">
        <v>5168</v>
      </c>
      <c r="D20310">
        <v>1255</v>
      </c>
      <c r="E20310">
        <v>0</v>
      </c>
      <c r="F20310">
        <v>534</v>
      </c>
    </row>
    <row r="20311" spans="1:6" ht="12.75">
      <c r="A20311" s="2">
        <v>43876.20175925926</v>
      </c>
      <c r="B20311" t="str">
        <f>HYPERLINK("https://twitter.com/zoepr406","@zoepr406")</f>
        <v>@zoepr406</v>
      </c>
      <c r="C20311" t="s">
        <v>10115</v>
      </c>
      <c r="D20311">
        <v>0</v>
      </c>
      <c r="E20311">
        <v>0</v>
      </c>
      <c r="F20311">
        <v>28</v>
      </c>
    </row>
    <row r="20312" spans="1:6" ht="12.75">
      <c r="A20312" s="2">
        <v>43876.201574074075</v>
      </c>
      <c r="B20312" t="str">
        <f>HYPERLINK("https://twitter.com/meryharison","@meryharison")</f>
        <v>@meryharison</v>
      </c>
      <c r="C20312" t="s">
        <v>9993</v>
      </c>
      <c r="D20312">
        <v>11</v>
      </c>
      <c r="E20312">
        <v>0</v>
      </c>
      <c r="F20312">
        <v>1186</v>
      </c>
    </row>
    <row r="20313" spans="1:6" ht="12.75">
      <c r="A20313" s="2">
        <v>43876.201261574075</v>
      </c>
      <c r="B20313" t="str">
        <f>HYPERLINK("https://twitter.com/hardiyana_17","@hardiyana_17")</f>
        <v>@hardiyana_17</v>
      </c>
      <c r="C20313" t="s">
        <v>10116</v>
      </c>
      <c r="D20313">
        <v>0</v>
      </c>
      <c r="E20313">
        <v>0</v>
      </c>
      <c r="F20313">
        <v>58</v>
      </c>
    </row>
    <row r="20314" spans="1:6" ht="12.75">
      <c r="A20314" s="2">
        <v>43876.200775462959</v>
      </c>
      <c r="B20314" t="str">
        <f>HYPERLINK("https://twitter.com/AspendiTanjung","@AspendiTanjung")</f>
        <v>@AspendiTanjung</v>
      </c>
      <c r="C20314" t="s">
        <v>9746</v>
      </c>
      <c r="D20314">
        <v>422</v>
      </c>
      <c r="E20314">
        <v>0</v>
      </c>
      <c r="F20314">
        <v>569</v>
      </c>
    </row>
    <row r="20315" spans="1:6" ht="12.75">
      <c r="A20315" s="2">
        <v>43876.200243055559</v>
      </c>
      <c r="B20315" t="str">
        <f>HYPERLINK("https://twitter.com/PE_Angga_","@PE_Angga_")</f>
        <v>@PE_Angga_</v>
      </c>
      <c r="C20315" t="s">
        <v>8754</v>
      </c>
      <c r="D20315">
        <v>31</v>
      </c>
      <c r="E20315">
        <v>0</v>
      </c>
      <c r="F20315">
        <v>375</v>
      </c>
    </row>
    <row r="20316" spans="1:6" ht="12.75">
      <c r="A20316" s="2">
        <v>43876.200208333335</v>
      </c>
      <c r="B20316" t="str">
        <f>HYPERLINK("https://twitter.com/asdfghithere","@asdfghithere")</f>
        <v>@asdfghithere</v>
      </c>
      <c r="C20316" t="s">
        <v>2444</v>
      </c>
      <c r="D20316">
        <v>3353</v>
      </c>
      <c r="E20316">
        <v>0</v>
      </c>
      <c r="F20316">
        <v>542</v>
      </c>
    </row>
    <row r="20317" spans="1:6" ht="12.75">
      <c r="A20317" s="2">
        <v>43876.199965277774</v>
      </c>
      <c r="B20317" t="str">
        <f>HYPERLINK("https://twitter.com/cheeata","@cheeata")</f>
        <v>@cheeata</v>
      </c>
      <c r="C20317" t="s">
        <v>2963</v>
      </c>
      <c r="D20317">
        <v>1216</v>
      </c>
      <c r="E20317">
        <v>0</v>
      </c>
      <c r="F20317">
        <v>295</v>
      </c>
    </row>
    <row r="20318" spans="1:6" ht="12.75">
      <c r="A20318" s="2">
        <v>43876.199884259258</v>
      </c>
      <c r="B20318" t="str">
        <f>HYPERLINK("https://twitter.com/P_____E_____","@P_____E_____")</f>
        <v>@P_____E_____</v>
      </c>
      <c r="C20318" t="s">
        <v>8754</v>
      </c>
      <c r="D20318">
        <v>31</v>
      </c>
      <c r="E20318">
        <v>0</v>
      </c>
      <c r="F20318">
        <v>417</v>
      </c>
    </row>
    <row r="20319" spans="1:6" ht="12.75">
      <c r="A20319" s="2">
        <v>43876.199456018519</v>
      </c>
      <c r="B20319" t="str">
        <f>HYPERLINK("https://twitter.com/Fathunnur9499","@Fathunnur9499")</f>
        <v>@Fathunnur9499</v>
      </c>
      <c r="C20319" t="s">
        <v>2963</v>
      </c>
      <c r="D20319">
        <v>1216</v>
      </c>
      <c r="E20319">
        <v>0</v>
      </c>
      <c r="F20319">
        <v>66</v>
      </c>
    </row>
    <row r="20320" spans="1:6" ht="12.75">
      <c r="A20320" s="2">
        <v>43876.19913194445</v>
      </c>
      <c r="B20320" t="str">
        <f>HYPERLINK("https://twitter.com/nuninu9","@nuninu9")</f>
        <v>@nuninu9</v>
      </c>
      <c r="C20320" t="s">
        <v>3059</v>
      </c>
      <c r="D20320">
        <v>13</v>
      </c>
      <c r="E20320">
        <v>0</v>
      </c>
      <c r="F20320">
        <v>1220</v>
      </c>
    </row>
    <row r="20321" spans="1:6" ht="12.75">
      <c r="A20321" s="2">
        <v>43876.198958333334</v>
      </c>
      <c r="B20321" t="str">
        <f>HYPERLINK("https://twitter.com/FahmiHidayati2","@FahmiHidayati2")</f>
        <v>@FahmiHidayati2</v>
      </c>
      <c r="C20321" t="s">
        <v>10096</v>
      </c>
      <c r="D20321">
        <v>185</v>
      </c>
      <c r="E20321">
        <v>0</v>
      </c>
      <c r="F20321">
        <v>364</v>
      </c>
    </row>
    <row r="20322" spans="1:6" ht="12.75">
      <c r="A20322" s="2">
        <v>43876.198553240742</v>
      </c>
      <c r="B20322" t="str">
        <f>HYPERLINK("https://twitter.com/zaenale","@zaenale")</f>
        <v>@zaenale</v>
      </c>
      <c r="C20322" t="s">
        <v>9198</v>
      </c>
      <c r="D20322">
        <v>116</v>
      </c>
      <c r="E20322">
        <v>0</v>
      </c>
      <c r="F20322">
        <v>312</v>
      </c>
    </row>
    <row r="20323" spans="1:6" ht="12.75">
      <c r="A20323" s="2">
        <v>43876.197766203702</v>
      </c>
      <c r="B20323" t="str">
        <f>HYPERLINK("https://twitter.com/ini_nano","@ini_nano")</f>
        <v>@ini_nano</v>
      </c>
      <c r="C20323" t="s">
        <v>10117</v>
      </c>
      <c r="D20323">
        <v>0</v>
      </c>
      <c r="E20323">
        <v>0</v>
      </c>
      <c r="F20323">
        <v>1105</v>
      </c>
    </row>
    <row r="20324" spans="1:6" ht="12.75">
      <c r="A20324" s="2">
        <v>43876.197222222225</v>
      </c>
      <c r="B20324" t="str">
        <f>HYPERLINK("https://twitter.com/novinfransisca","@novinfransisca")</f>
        <v>@novinfransisca</v>
      </c>
      <c r="C20324" t="s">
        <v>2963</v>
      </c>
      <c r="D20324">
        <v>1216</v>
      </c>
      <c r="E20324">
        <v>0</v>
      </c>
      <c r="F20324">
        <v>6</v>
      </c>
    </row>
    <row r="20325" spans="1:6" ht="12.75">
      <c r="A20325" s="2">
        <v>43876.196203703701</v>
      </c>
      <c r="B20325" t="str">
        <f>HYPERLINK("https://twitter.com/harits_pasha","@harits_pasha")</f>
        <v>@harits_pasha</v>
      </c>
      <c r="C20325" t="s">
        <v>6201</v>
      </c>
      <c r="D20325">
        <v>333</v>
      </c>
      <c r="E20325">
        <v>0</v>
      </c>
      <c r="F20325">
        <v>1666</v>
      </c>
    </row>
    <row r="20326" spans="1:6" ht="12.75">
      <c r="A20326" s="2">
        <v>43876.195972222224</v>
      </c>
      <c r="B20326" t="str">
        <f>HYPERLINK("https://twitter.com/UstianaRestian","@UstianaRestian")</f>
        <v>@UstianaRestian</v>
      </c>
      <c r="C20326" t="s">
        <v>10118</v>
      </c>
      <c r="D20326">
        <v>0</v>
      </c>
      <c r="E20326">
        <v>0</v>
      </c>
      <c r="F20326">
        <v>614</v>
      </c>
    </row>
    <row r="20327" spans="1:6" ht="12.75">
      <c r="A20327" s="2">
        <v>43876.195729166662</v>
      </c>
      <c r="B20327" t="str">
        <f>HYPERLINK("https://twitter.com/Kimi58486332","@Kimi58486332")</f>
        <v>@Kimi58486332</v>
      </c>
      <c r="C20327" t="s">
        <v>10119</v>
      </c>
      <c r="D20327">
        <v>0</v>
      </c>
      <c r="E20327">
        <v>0</v>
      </c>
      <c r="F20327">
        <v>13</v>
      </c>
    </row>
    <row r="20328" spans="1:6" ht="12.75">
      <c r="A20328" s="2">
        <v>43876.195474537039</v>
      </c>
      <c r="B20328" t="str">
        <f>HYPERLINK("https://twitter.com/adendikki","@adendikki")</f>
        <v>@adendikki</v>
      </c>
      <c r="C20328" t="s">
        <v>3342</v>
      </c>
      <c r="D20328">
        <v>2473</v>
      </c>
      <c r="E20328">
        <v>0</v>
      </c>
      <c r="F20328">
        <v>203</v>
      </c>
    </row>
    <row r="20329" spans="1:6" ht="12.75">
      <c r="A20329" s="2">
        <v>43876.195219907408</v>
      </c>
      <c r="B20329" t="str">
        <f>HYPERLINK("https://twitter.com/SaputraBerman","@SaputraBerman")</f>
        <v>@SaputraBerman</v>
      </c>
      <c r="C20329" t="s">
        <v>10120</v>
      </c>
      <c r="D20329">
        <v>1</v>
      </c>
      <c r="E20329">
        <v>0</v>
      </c>
      <c r="F20329">
        <v>5</v>
      </c>
    </row>
    <row r="20330" spans="1:6" ht="12.75">
      <c r="A20330" s="2">
        <v>43876.1950462963</v>
      </c>
      <c r="B20330" t="str">
        <f>HYPERLINK("https://twitter.com/tri_tsh","@tri_tsh")</f>
        <v>@tri_tsh</v>
      </c>
      <c r="C20330" t="s">
        <v>9198</v>
      </c>
      <c r="D20330">
        <v>116</v>
      </c>
      <c r="E20330">
        <v>0</v>
      </c>
      <c r="F20330">
        <v>3</v>
      </c>
    </row>
    <row r="20331" spans="1:6" ht="12.75">
      <c r="A20331" s="2">
        <v>43876.194467592592</v>
      </c>
      <c r="B20331" t="str">
        <f>HYPERLINK("https://twitter.com/b4603_s","@b4603_s")</f>
        <v>@b4603_s</v>
      </c>
      <c r="C20331" t="s">
        <v>10121</v>
      </c>
      <c r="D20331">
        <v>185</v>
      </c>
      <c r="E20331">
        <v>0</v>
      </c>
      <c r="F20331">
        <v>171</v>
      </c>
    </row>
    <row r="20332" spans="1:6" ht="12.75">
      <c r="A20332" s="2">
        <v>43876.194189814814</v>
      </c>
      <c r="B20332" t="str">
        <f>HYPERLINK("https://twitter.com/melcarolina","@melcarolina")</f>
        <v>@melcarolina</v>
      </c>
      <c r="C20332" t="s">
        <v>2444</v>
      </c>
      <c r="D20332">
        <v>3353</v>
      </c>
      <c r="E20332">
        <v>0</v>
      </c>
      <c r="F20332">
        <v>202</v>
      </c>
    </row>
    <row r="20333" spans="1:6" ht="12.75">
      <c r="A20333" s="2">
        <v>43876.193622685183</v>
      </c>
      <c r="B20333" t="str">
        <f>HYPERLINK("https://twitter.com/HadiMugihadi993","@HadiMugihadi993")</f>
        <v>@HadiMugihadi993</v>
      </c>
      <c r="C20333" t="s">
        <v>7478</v>
      </c>
      <c r="D20333">
        <v>472</v>
      </c>
      <c r="E20333">
        <v>0</v>
      </c>
      <c r="F20333">
        <v>199</v>
      </c>
    </row>
    <row r="20334" spans="1:6" ht="12.75">
      <c r="A20334" s="2">
        <v>43876.192627314813</v>
      </c>
      <c r="B20334" t="str">
        <f>HYPERLINK("https://twitter.com/Kimi58486332","@Kimi58486332")</f>
        <v>@Kimi58486332</v>
      </c>
      <c r="C20334" t="s">
        <v>10122</v>
      </c>
      <c r="D20334">
        <v>0</v>
      </c>
      <c r="E20334">
        <v>0</v>
      </c>
      <c r="F20334">
        <v>13</v>
      </c>
    </row>
    <row r="20335" spans="1:6" ht="12.75">
      <c r="A20335" s="2">
        <v>43876.192453703705</v>
      </c>
      <c r="B20335" t="str">
        <f>HYPERLINK("https://twitter.com/redditindonesia","@redditindonesia")</f>
        <v>@redditindonesia</v>
      </c>
      <c r="C20335" t="s">
        <v>10123</v>
      </c>
      <c r="D20335">
        <v>0</v>
      </c>
      <c r="E20335">
        <v>0</v>
      </c>
      <c r="F20335">
        <v>9648</v>
      </c>
    </row>
    <row r="20336" spans="1:6" ht="12.75">
      <c r="A20336" s="2">
        <v>43876.192175925928</v>
      </c>
      <c r="B20336" t="str">
        <f>HYPERLINK("https://twitter.com/eightyeightbear","@eightyeightbear")</f>
        <v>@eightyeightbear</v>
      </c>
      <c r="C20336" t="s">
        <v>2444</v>
      </c>
      <c r="D20336">
        <v>3353</v>
      </c>
      <c r="E20336">
        <v>0</v>
      </c>
      <c r="F20336">
        <v>2710</v>
      </c>
    </row>
    <row r="20337" spans="1:6" ht="12.75">
      <c r="A20337" s="2">
        <v>43876.191828703704</v>
      </c>
      <c r="B20337" t="str">
        <f>HYPERLINK("https://twitter.com/Lucyana555","@Lucyana555")</f>
        <v>@Lucyana555</v>
      </c>
      <c r="C20337" t="s">
        <v>5168</v>
      </c>
      <c r="D20337">
        <v>1255</v>
      </c>
      <c r="E20337">
        <v>0</v>
      </c>
      <c r="F20337">
        <v>142</v>
      </c>
    </row>
    <row r="20338" spans="1:6" ht="12.75">
      <c r="A20338" s="2">
        <v>43876.191412037035</v>
      </c>
      <c r="B20338" t="str">
        <f>HYPERLINK("https://twitter.com/DedeWah70824344","@DedeWah70824344")</f>
        <v>@DedeWah70824344</v>
      </c>
      <c r="C20338" t="s">
        <v>10124</v>
      </c>
      <c r="D20338">
        <v>0</v>
      </c>
      <c r="E20338">
        <v>0</v>
      </c>
      <c r="F20338">
        <v>4</v>
      </c>
    </row>
    <row r="20339" spans="1:6" ht="12.75">
      <c r="A20339" s="2">
        <v>43876.191053240742</v>
      </c>
      <c r="B20339" t="str">
        <f>HYPERLINK("https://twitter.com/Salsadilanr","@Salsadilanr")</f>
        <v>@Salsadilanr</v>
      </c>
      <c r="C20339" t="s">
        <v>2444</v>
      </c>
      <c r="D20339">
        <v>3353</v>
      </c>
      <c r="E20339">
        <v>0</v>
      </c>
      <c r="F20339">
        <v>100</v>
      </c>
    </row>
    <row r="20340" spans="1:6" ht="12.75">
      <c r="A20340" s="2">
        <v>43876.191041666665</v>
      </c>
      <c r="B20340" t="str">
        <f>HYPERLINK("https://twitter.com/AliR32a","@AliR32a")</f>
        <v>@AliR32a</v>
      </c>
      <c r="C20340" t="s">
        <v>3059</v>
      </c>
      <c r="D20340">
        <v>13</v>
      </c>
      <c r="E20340">
        <v>0</v>
      </c>
      <c r="F20340">
        <v>5</v>
      </c>
    </row>
    <row r="20341" spans="1:6" ht="12.75">
      <c r="A20341" s="2">
        <v>43876.19023148148</v>
      </c>
      <c r="B20341" t="str">
        <f>HYPERLINK("https://twitter.com/RayMuha68843402","@RayMuha68843402")</f>
        <v>@RayMuha68843402</v>
      </c>
      <c r="C20341" t="s">
        <v>9746</v>
      </c>
      <c r="D20341">
        <v>422</v>
      </c>
      <c r="E20341">
        <v>0</v>
      </c>
      <c r="F20341">
        <v>674</v>
      </c>
    </row>
    <row r="20342" spans="1:6" ht="12.75">
      <c r="A20342" s="2">
        <v>43876.18986111111</v>
      </c>
      <c r="B20342" t="str">
        <f>HYPERLINK("https://twitter.com/PutraErlangga_","@PutraErlangga_")</f>
        <v>@PutraErlangga_</v>
      </c>
      <c r="C20342" t="s">
        <v>8754</v>
      </c>
      <c r="D20342">
        <v>31</v>
      </c>
      <c r="E20342">
        <v>0</v>
      </c>
      <c r="F20342">
        <v>15704</v>
      </c>
    </row>
    <row r="20343" spans="1:6" ht="12.75">
      <c r="A20343" s="2">
        <v>43876.189768518518</v>
      </c>
      <c r="B20343" t="str">
        <f>HYPERLINK("https://twitter.com/wahid_Mr","@wahid_Mr")</f>
        <v>@wahid_Mr</v>
      </c>
      <c r="C20343" t="s">
        <v>2444</v>
      </c>
      <c r="D20343">
        <v>3353</v>
      </c>
      <c r="E20343">
        <v>0</v>
      </c>
      <c r="F20343">
        <v>1370</v>
      </c>
    </row>
    <row r="20344" spans="1:6" ht="12.75">
      <c r="A20344" s="2">
        <v>43876.189432870371</v>
      </c>
      <c r="B20344" t="str">
        <f>HYPERLINK("https://twitter.com/chelsmeleon","@chelsmeleon")</f>
        <v>@chelsmeleon</v>
      </c>
      <c r="C20344" t="s">
        <v>2444</v>
      </c>
      <c r="D20344">
        <v>3353</v>
      </c>
      <c r="E20344">
        <v>0</v>
      </c>
      <c r="F20344">
        <v>6</v>
      </c>
    </row>
    <row r="20345" spans="1:6" ht="12.75">
      <c r="A20345" s="2">
        <v>43876.189166666663</v>
      </c>
      <c r="B20345" t="str">
        <f>HYPERLINK("https://twitter.com/poer72878042","@poer72878042")</f>
        <v>@poer72878042</v>
      </c>
      <c r="C20345" t="s">
        <v>2144</v>
      </c>
      <c r="D20345">
        <v>100</v>
      </c>
      <c r="E20345">
        <v>0</v>
      </c>
      <c r="F20345">
        <v>13</v>
      </c>
    </row>
    <row r="20346" spans="1:6" ht="12.75">
      <c r="A20346" s="2">
        <v>43876.189085648148</v>
      </c>
      <c r="B20346" t="str">
        <f>HYPERLINK("https://twitter.com/RayMuha68843402","@RayMuha68843402")</f>
        <v>@RayMuha68843402</v>
      </c>
      <c r="C20346" t="s">
        <v>6201</v>
      </c>
      <c r="D20346">
        <v>333</v>
      </c>
      <c r="E20346">
        <v>0</v>
      </c>
      <c r="F20346">
        <v>674</v>
      </c>
    </row>
    <row r="20347" spans="1:6" ht="12.75">
      <c r="A20347" s="2">
        <v>43876.188703703709</v>
      </c>
      <c r="B20347" t="str">
        <f>HYPERLINK("https://twitter.com/gassani09","@gassani09")</f>
        <v>@gassani09</v>
      </c>
      <c r="C20347" t="s">
        <v>6201</v>
      </c>
      <c r="D20347">
        <v>333</v>
      </c>
      <c r="E20347">
        <v>0</v>
      </c>
      <c r="F20347">
        <v>54</v>
      </c>
    </row>
    <row r="20348" spans="1:6" ht="12.75">
      <c r="A20348" s="2">
        <v>43876.18712962963</v>
      </c>
      <c r="B20348" t="str">
        <f>HYPERLINK("https://twitter.com/PradityaBeni","@PradityaBeni")</f>
        <v>@PradityaBeni</v>
      </c>
      <c r="C20348" t="s">
        <v>9056</v>
      </c>
      <c r="D20348">
        <v>11</v>
      </c>
      <c r="E20348">
        <v>0</v>
      </c>
      <c r="F20348">
        <v>1292</v>
      </c>
    </row>
    <row r="20349" spans="1:6" ht="12.75">
      <c r="A20349" s="2">
        <v>43876.186712962968</v>
      </c>
      <c r="B20349" t="str">
        <f>HYPERLINK("https://twitter.com/bangcepe7","@bangcepe7")</f>
        <v>@bangcepe7</v>
      </c>
      <c r="C20349" t="s">
        <v>10052</v>
      </c>
      <c r="D20349">
        <v>119</v>
      </c>
      <c r="E20349">
        <v>0</v>
      </c>
      <c r="F20349">
        <v>550</v>
      </c>
    </row>
    <row r="20350" spans="1:6" ht="12.75">
      <c r="A20350" s="2">
        <v>43876.186550925922</v>
      </c>
      <c r="B20350" t="str">
        <f>HYPERLINK("https://twitter.com/PoorHuman3","@PoorHuman3")</f>
        <v>@PoorHuman3</v>
      </c>
      <c r="C20350" t="s">
        <v>10125</v>
      </c>
      <c r="D20350">
        <v>0</v>
      </c>
      <c r="E20350">
        <v>0</v>
      </c>
      <c r="F20350">
        <v>11</v>
      </c>
    </row>
    <row r="20351" spans="1:6" ht="12.75">
      <c r="A20351" s="2">
        <v>43876.186516203699</v>
      </c>
      <c r="B20351" t="str">
        <f>HYPERLINK("https://twitter.com/AspendiTanjung","@AspendiTanjung")</f>
        <v>@AspendiTanjung</v>
      </c>
      <c r="C20351" t="s">
        <v>7478</v>
      </c>
      <c r="D20351">
        <v>472</v>
      </c>
      <c r="E20351">
        <v>0</v>
      </c>
      <c r="F20351">
        <v>569</v>
      </c>
    </row>
    <row r="20352" spans="1:6" ht="12.75">
      <c r="A20352" s="2">
        <v>43876.186400462961</v>
      </c>
      <c r="B20352" t="str">
        <f>HYPERLINK("https://twitter.com/SandyAdul_","@SandyAdul_")</f>
        <v>@SandyAdul_</v>
      </c>
      <c r="C20352" t="s">
        <v>5168</v>
      </c>
      <c r="D20352">
        <v>1255</v>
      </c>
      <c r="E20352">
        <v>0</v>
      </c>
      <c r="F20352">
        <v>33</v>
      </c>
    </row>
    <row r="20353" spans="1:6" ht="12.75">
      <c r="A20353" s="2">
        <v>43876.186168981483</v>
      </c>
      <c r="B20353" t="str">
        <f>HYPERLINK("https://twitter.com/Ilhamqadir","@Ilhamqadir")</f>
        <v>@Ilhamqadir</v>
      </c>
      <c r="C20353" t="s">
        <v>10126</v>
      </c>
      <c r="D20353">
        <v>63</v>
      </c>
      <c r="E20353">
        <v>0</v>
      </c>
      <c r="F20353">
        <v>377</v>
      </c>
    </row>
    <row r="20354" spans="1:6" ht="12.75">
      <c r="A20354" s="2">
        <v>43876.186006944445</v>
      </c>
      <c r="B20354" t="str">
        <f>HYPERLINK("https://twitter.com/AhmedGone4Ever","@AhmedGone4Ever")</f>
        <v>@AhmedGone4Ever</v>
      </c>
      <c r="C20354" t="s">
        <v>9082</v>
      </c>
      <c r="D20354">
        <v>91</v>
      </c>
      <c r="E20354">
        <v>0</v>
      </c>
      <c r="F20354">
        <v>335</v>
      </c>
    </row>
    <row r="20355" spans="1:6" ht="12.75">
      <c r="A20355" s="2">
        <v>43876.185983796298</v>
      </c>
      <c r="B20355" t="str">
        <f>HYPERLINK("https://twitter.com/SandyAdul_","@SandyAdul_")</f>
        <v>@SandyAdul_</v>
      </c>
      <c r="C20355" t="s">
        <v>2444</v>
      </c>
      <c r="D20355">
        <v>3353</v>
      </c>
      <c r="E20355">
        <v>0</v>
      </c>
      <c r="F20355">
        <v>33</v>
      </c>
    </row>
    <row r="20356" spans="1:6" ht="12.75">
      <c r="A20356" s="2">
        <v>43876.185914351852</v>
      </c>
      <c r="B20356" t="str">
        <f>HYPERLINK("https://twitter.com/V_libya","@V_libya")</f>
        <v>@V_libya</v>
      </c>
      <c r="C20356" t="s">
        <v>9082</v>
      </c>
      <c r="D20356">
        <v>91</v>
      </c>
      <c r="E20356">
        <v>0</v>
      </c>
      <c r="F20356">
        <v>10375</v>
      </c>
    </row>
    <row r="20357" spans="1:6" ht="12.75">
      <c r="A20357" s="2">
        <v>43876.185914351852</v>
      </c>
      <c r="B20357" t="str">
        <f>HYPERLINK("https://twitter.com/bangcepe7","@bangcepe7")</f>
        <v>@bangcepe7</v>
      </c>
      <c r="C20357" t="s">
        <v>9198</v>
      </c>
      <c r="D20357">
        <v>116</v>
      </c>
      <c r="E20357">
        <v>0</v>
      </c>
      <c r="F20357">
        <v>550</v>
      </c>
    </row>
    <row r="20358" spans="1:6" ht="12.75">
      <c r="A20358" s="2">
        <v>43876.185706018514</v>
      </c>
      <c r="B20358" t="str">
        <f>HYPERLINK("https://twitter.com/amaliaak303","@amaliaak303")</f>
        <v>@amaliaak303</v>
      </c>
      <c r="C20358" t="s">
        <v>9997</v>
      </c>
      <c r="D20358">
        <v>11</v>
      </c>
      <c r="E20358">
        <v>0</v>
      </c>
      <c r="F20358">
        <v>87</v>
      </c>
    </row>
    <row r="20359" spans="1:6" ht="12.75">
      <c r="A20359" s="2">
        <v>43876.185462962967</v>
      </c>
      <c r="B20359" t="str">
        <f>HYPERLINK("https://twitter.com/nurranalya","@nurranalya")</f>
        <v>@nurranalya</v>
      </c>
      <c r="C20359" t="s">
        <v>5168</v>
      </c>
      <c r="D20359">
        <v>1255</v>
      </c>
      <c r="E20359">
        <v>0</v>
      </c>
      <c r="F20359">
        <v>156</v>
      </c>
    </row>
    <row r="20360" spans="1:6" ht="12.75">
      <c r="A20360" s="2">
        <v>43876.185057870374</v>
      </c>
      <c r="B20360" t="str">
        <f>HYPERLINK("https://twitter.com/SArrwai","@SArrwai")</f>
        <v>@SArrwai</v>
      </c>
      <c r="C20360" t="s">
        <v>9857</v>
      </c>
      <c r="D20360">
        <v>22</v>
      </c>
      <c r="E20360">
        <v>0</v>
      </c>
      <c r="F20360">
        <v>4</v>
      </c>
    </row>
    <row r="20361" spans="1:6" ht="12.75">
      <c r="A20361" s="2">
        <v>43876.184548611112</v>
      </c>
      <c r="B20361" t="str">
        <f>HYPERLINK("https://twitter.com/j222c","@j222c")</f>
        <v>@j222c</v>
      </c>
      <c r="C20361" t="s">
        <v>3150</v>
      </c>
      <c r="D20361">
        <v>62</v>
      </c>
      <c r="E20361">
        <v>0</v>
      </c>
      <c r="F20361">
        <v>1545</v>
      </c>
    </row>
    <row r="20362" spans="1:6" ht="12.75">
      <c r="A20362" s="2">
        <v>43876.183796296296</v>
      </c>
      <c r="B20362" t="str">
        <f>HYPERLINK("https://twitter.com/Henk01623182","@Henk01623182")</f>
        <v>@Henk01623182</v>
      </c>
      <c r="C20362" t="s">
        <v>3059</v>
      </c>
      <c r="D20362">
        <v>13</v>
      </c>
      <c r="E20362">
        <v>0</v>
      </c>
      <c r="F20362">
        <v>307</v>
      </c>
    </row>
    <row r="20363" spans="1:6" ht="12.75">
      <c r="A20363" s="2">
        <v>43876.18346064815</v>
      </c>
      <c r="B20363" t="str">
        <f>HYPERLINK("https://twitter.com/heavenstar__412","@heavenstar__412")</f>
        <v>@heavenstar__412</v>
      </c>
      <c r="C20363" t="s">
        <v>2444</v>
      </c>
      <c r="D20363">
        <v>3353</v>
      </c>
      <c r="E20363">
        <v>0</v>
      </c>
      <c r="F20363">
        <v>3372</v>
      </c>
    </row>
    <row r="20364" spans="1:6" ht="12.75">
      <c r="A20364" s="2">
        <v>43876.182881944449</v>
      </c>
      <c r="B20364" t="str">
        <f>HYPERLINK("https://twitter.com/PradityaBeni","@PradityaBeni")</f>
        <v>@PradityaBeni</v>
      </c>
      <c r="C20364" t="s">
        <v>9198</v>
      </c>
      <c r="D20364">
        <v>116</v>
      </c>
      <c r="E20364">
        <v>0</v>
      </c>
      <c r="F20364">
        <v>1292</v>
      </c>
    </row>
    <row r="20365" spans="1:6" ht="12.75">
      <c r="A20365" s="2">
        <v>43876.182858796295</v>
      </c>
      <c r="B20365" t="str">
        <f>HYPERLINK("https://twitter.com/FluffiesR","@FluffiesR")</f>
        <v>@FluffiesR</v>
      </c>
      <c r="C20365" t="s">
        <v>3150</v>
      </c>
      <c r="D20365">
        <v>62</v>
      </c>
      <c r="E20365">
        <v>0</v>
      </c>
      <c r="F20365">
        <v>501</v>
      </c>
    </row>
    <row r="20366" spans="1:6" ht="12.75">
      <c r="A20366" s="2">
        <v>43876.182557870372</v>
      </c>
      <c r="B20366" t="str">
        <f>HYPERLINK("https://twitter.com/_CHlS_","@_CHlS_")</f>
        <v>@_CHlS_</v>
      </c>
      <c r="C20366" t="s">
        <v>9056</v>
      </c>
      <c r="D20366">
        <v>11</v>
      </c>
      <c r="E20366">
        <v>0</v>
      </c>
      <c r="F20366">
        <v>2700</v>
      </c>
    </row>
    <row r="20367" spans="1:6" ht="12.75">
      <c r="A20367" s="2">
        <v>43876.182129629626</v>
      </c>
      <c r="B20367" t="str">
        <f>HYPERLINK("https://twitter.com/_uwwuu","@_uwwuu")</f>
        <v>@_uwwuu</v>
      </c>
      <c r="C20367" t="s">
        <v>2444</v>
      </c>
      <c r="D20367">
        <v>3353</v>
      </c>
      <c r="E20367">
        <v>0</v>
      </c>
      <c r="F20367">
        <v>277</v>
      </c>
    </row>
    <row r="20368" spans="1:6" ht="12.75">
      <c r="A20368" s="2">
        <v>43876.181944444441</v>
      </c>
      <c r="B20368" t="str">
        <f>HYPERLINK("https://twitter.com/Muhammad__Aziz_","@Muhammad__Aziz_")</f>
        <v>@Muhammad__Aziz_</v>
      </c>
      <c r="C20368" t="s">
        <v>2963</v>
      </c>
      <c r="D20368">
        <v>1216</v>
      </c>
      <c r="E20368">
        <v>0</v>
      </c>
      <c r="F20368">
        <v>330</v>
      </c>
    </row>
    <row r="20369" spans="1:6" ht="12.75">
      <c r="A20369" s="2">
        <v>43876.180798611109</v>
      </c>
      <c r="B20369" t="str">
        <f>HYPERLINK("https://twitter.com/ryanmyusup","@ryanmyusup")</f>
        <v>@ryanmyusup</v>
      </c>
      <c r="C20369" t="s">
        <v>8754</v>
      </c>
      <c r="D20369">
        <v>31</v>
      </c>
      <c r="E20369">
        <v>0</v>
      </c>
      <c r="F20369">
        <v>1399</v>
      </c>
    </row>
    <row r="20370" spans="1:6" ht="12.75">
      <c r="A20370" s="2">
        <v>43876.180752314816</v>
      </c>
      <c r="B20370" t="str">
        <f>HYPERLINK("https://twitter.com/GultomJurianto","@GultomJurianto")</f>
        <v>@GultomJurianto</v>
      </c>
      <c r="C20370" t="s">
        <v>10127</v>
      </c>
      <c r="D20370">
        <v>50</v>
      </c>
      <c r="E20370">
        <v>0</v>
      </c>
      <c r="F20370">
        <v>970</v>
      </c>
    </row>
    <row r="20371" spans="1:6" ht="12.75">
      <c r="A20371" s="2">
        <v>43876.180543981478</v>
      </c>
      <c r="B20371" t="str">
        <f>HYPERLINK("https://twitter.com/GortTheAvenger","@GortTheAvenger")</f>
        <v>@GortTheAvenger</v>
      </c>
      <c r="C20371" t="s">
        <v>3150</v>
      </c>
      <c r="D20371">
        <v>62</v>
      </c>
      <c r="E20371">
        <v>0</v>
      </c>
      <c r="F20371">
        <v>1383</v>
      </c>
    </row>
    <row r="20372" spans="1:6" ht="12.75">
      <c r="A20372" s="2">
        <v>43876.179872685185</v>
      </c>
      <c r="B20372" t="str">
        <f>HYPERLINK("https://twitter.com/hearian123","@hearian123")</f>
        <v>@hearian123</v>
      </c>
      <c r="C20372" t="s">
        <v>10128</v>
      </c>
      <c r="D20372">
        <v>0</v>
      </c>
      <c r="E20372">
        <v>1</v>
      </c>
      <c r="F20372">
        <v>47</v>
      </c>
    </row>
    <row r="20373" spans="1:6" ht="12.75">
      <c r="A20373" s="2">
        <v>43876.179618055554</v>
      </c>
      <c r="B20373" t="str">
        <f>HYPERLINK("https://twitter.com/max_shia","@max_shia")</f>
        <v>@max_shia</v>
      </c>
      <c r="C20373" t="s">
        <v>10129</v>
      </c>
      <c r="D20373">
        <v>0</v>
      </c>
      <c r="E20373">
        <v>0</v>
      </c>
      <c r="F20373">
        <v>105</v>
      </c>
    </row>
    <row r="20374" spans="1:6" ht="12.75">
      <c r="A20374" s="2">
        <v>43876.17905092593</v>
      </c>
      <c r="B20374" t="str">
        <f>HYPERLINK("https://twitter.com/sonny_reudet","@sonny_reudet")</f>
        <v>@sonny_reudet</v>
      </c>
      <c r="C20374" t="s">
        <v>10052</v>
      </c>
      <c r="D20374">
        <v>119</v>
      </c>
      <c r="E20374">
        <v>0</v>
      </c>
      <c r="F20374">
        <v>543</v>
      </c>
    </row>
    <row r="20375" spans="1:6" ht="12.75">
      <c r="A20375" s="2">
        <v>43876.178599537037</v>
      </c>
      <c r="B20375" t="str">
        <f>HYPERLINK("https://twitter.com/ldfatho","@ldfatho")</f>
        <v>@ldfatho</v>
      </c>
      <c r="C20375" t="s">
        <v>3059</v>
      </c>
      <c r="D20375">
        <v>13</v>
      </c>
      <c r="E20375">
        <v>0</v>
      </c>
      <c r="F20375">
        <v>2369</v>
      </c>
    </row>
    <row r="20376" spans="1:6" ht="12.75">
      <c r="A20376" s="2">
        <v>43876.178217592591</v>
      </c>
      <c r="B20376" t="str">
        <f>HYPERLINK("https://twitter.com/anakkuhafiz","@anakkuhafiz")</f>
        <v>@anakkuhafiz</v>
      </c>
      <c r="C20376" t="s">
        <v>3059</v>
      </c>
      <c r="D20376">
        <v>13</v>
      </c>
      <c r="E20376">
        <v>0</v>
      </c>
      <c r="F20376">
        <v>194</v>
      </c>
    </row>
    <row r="20377" spans="1:6" ht="12.75">
      <c r="A20377" s="2">
        <v>43876.177939814814</v>
      </c>
      <c r="B20377" t="str">
        <f>HYPERLINK("https://twitter.com/zenoldgonzalez","@zenoldgonzalez")</f>
        <v>@zenoldgonzalez</v>
      </c>
      <c r="C20377" t="s">
        <v>10130</v>
      </c>
      <c r="D20377">
        <v>1</v>
      </c>
      <c r="E20377">
        <v>0</v>
      </c>
      <c r="F20377">
        <v>1896</v>
      </c>
    </row>
    <row r="20378" spans="1:6" ht="12.75">
      <c r="A20378" s="2">
        <v>43876.177789351852</v>
      </c>
      <c r="B20378" t="str">
        <f>HYPERLINK("https://twitter.com/MathiasGiraldi","@MathiasGiraldi")</f>
        <v>@MathiasGiraldi</v>
      </c>
      <c r="C20378" t="s">
        <v>5168</v>
      </c>
      <c r="D20378">
        <v>1255</v>
      </c>
      <c r="E20378">
        <v>0</v>
      </c>
      <c r="F20378">
        <v>267</v>
      </c>
    </row>
    <row r="20379" spans="1:6" ht="12.75">
      <c r="A20379" s="2">
        <v>43876.177662037036</v>
      </c>
      <c r="B20379" t="str">
        <f>HYPERLINK("https://twitter.com/saiddhak","@saiddhak")</f>
        <v>@saiddhak</v>
      </c>
      <c r="C20379" t="s">
        <v>3059</v>
      </c>
      <c r="D20379">
        <v>13</v>
      </c>
      <c r="E20379">
        <v>0</v>
      </c>
      <c r="F20379">
        <v>17</v>
      </c>
    </row>
    <row r="20380" spans="1:6" ht="12.75">
      <c r="A20380" s="2">
        <v>43876.177627314813</v>
      </c>
      <c r="B20380" t="str">
        <f>HYPERLINK("https://twitter.com/nscpunk1","@nscpunk1")</f>
        <v>@nscpunk1</v>
      </c>
      <c r="C20380" t="s">
        <v>6201</v>
      </c>
      <c r="D20380">
        <v>333</v>
      </c>
      <c r="E20380">
        <v>0</v>
      </c>
      <c r="F20380">
        <v>92</v>
      </c>
    </row>
    <row r="20381" spans="1:6" ht="12.75">
      <c r="A20381" s="2">
        <v>43876.177071759259</v>
      </c>
      <c r="B20381" t="str">
        <f>HYPERLINK("https://twitter.com/kicepkicep","@kicepkicep")</f>
        <v>@kicepkicep</v>
      </c>
      <c r="C20381" t="s">
        <v>9198</v>
      </c>
      <c r="D20381">
        <v>116</v>
      </c>
      <c r="E20381">
        <v>0</v>
      </c>
      <c r="F20381">
        <v>1219</v>
      </c>
    </row>
    <row r="20382" spans="1:6" ht="12.75">
      <c r="A20382" s="2">
        <v>43876.174375000002</v>
      </c>
      <c r="B20382" t="str">
        <f>HYPERLINK("https://twitter.com/Herman_Respathy","@Herman_Respathy")</f>
        <v>@Herman_Respathy</v>
      </c>
      <c r="C20382" t="s">
        <v>7478</v>
      </c>
      <c r="D20382">
        <v>472</v>
      </c>
      <c r="E20382">
        <v>0</v>
      </c>
      <c r="F20382">
        <v>329</v>
      </c>
    </row>
    <row r="20383" spans="1:6" ht="12.75">
      <c r="A20383" s="2">
        <v>43876.173715277779</v>
      </c>
      <c r="B20383" t="str">
        <f>HYPERLINK("https://twitter.com/FYozze","@FYozze")</f>
        <v>@FYozze</v>
      </c>
      <c r="C20383" t="s">
        <v>2444</v>
      </c>
      <c r="D20383">
        <v>3353</v>
      </c>
      <c r="E20383">
        <v>0</v>
      </c>
      <c r="F20383">
        <v>1366</v>
      </c>
    </row>
    <row r="20384" spans="1:6" ht="12.75">
      <c r="A20384" s="2">
        <v>43876.173460648148</v>
      </c>
      <c r="B20384" t="str">
        <f>HYPERLINK("https://twitter.com/bbojpuy8jl","@bbojpuy8jl")</f>
        <v>@bbojpuy8jl</v>
      </c>
      <c r="C20384" t="s">
        <v>2444</v>
      </c>
      <c r="D20384">
        <v>3353</v>
      </c>
      <c r="E20384">
        <v>0</v>
      </c>
      <c r="F20384">
        <v>472</v>
      </c>
    </row>
    <row r="20385" spans="1:6" ht="12.75">
      <c r="A20385" s="2">
        <v>43876.173252314809</v>
      </c>
      <c r="B20385" t="str">
        <f>HYPERLINK("https://twitter.com/bluebaeery","@bluebaeery")</f>
        <v>@bluebaeery</v>
      </c>
      <c r="C20385" t="s">
        <v>2444</v>
      </c>
      <c r="D20385">
        <v>3353</v>
      </c>
      <c r="E20385">
        <v>0</v>
      </c>
      <c r="F20385">
        <v>553</v>
      </c>
    </row>
    <row r="20386" spans="1:6" ht="12.75">
      <c r="A20386" s="2">
        <v>43876.172754629632</v>
      </c>
      <c r="B20386" t="str">
        <f>HYPERLINK("https://twitter.com/ANaufal59","@ANaufal59")</f>
        <v>@ANaufal59</v>
      </c>
      <c r="C20386" t="s">
        <v>10131</v>
      </c>
      <c r="D20386">
        <v>2</v>
      </c>
      <c r="E20386">
        <v>0</v>
      </c>
      <c r="F20386">
        <v>459</v>
      </c>
    </row>
    <row r="20387" spans="1:6" ht="12.75">
      <c r="A20387" s="2">
        <v>43876.172395833331</v>
      </c>
      <c r="B20387" t="str">
        <f>HYPERLINK("https://twitter.com/EdiKeceput","@EdiKeceput")</f>
        <v>@EdiKeceput</v>
      </c>
      <c r="C20387" t="s">
        <v>3059</v>
      </c>
      <c r="D20387">
        <v>13</v>
      </c>
      <c r="E20387">
        <v>0</v>
      </c>
      <c r="F20387">
        <v>482</v>
      </c>
    </row>
    <row r="20388" spans="1:6" ht="12.75">
      <c r="A20388" s="2">
        <v>43876.172384259262</v>
      </c>
      <c r="B20388" t="str">
        <f>HYPERLINK("https://twitter.com/ristiwirjoredjo","@ristiwirjoredjo")</f>
        <v>@ristiwirjoredjo</v>
      </c>
      <c r="C20388" t="s">
        <v>9964</v>
      </c>
      <c r="D20388">
        <v>648</v>
      </c>
      <c r="E20388">
        <v>0</v>
      </c>
      <c r="F20388">
        <v>330</v>
      </c>
    </row>
    <row r="20389" spans="1:6" ht="12.75">
      <c r="A20389" s="2">
        <v>43876.171701388885</v>
      </c>
      <c r="B20389" t="str">
        <f>HYPERLINK("https://twitter.com/khrsnrdn","@khrsnrdn")</f>
        <v>@khrsnrdn</v>
      </c>
      <c r="C20389" t="s">
        <v>10132</v>
      </c>
      <c r="D20389">
        <v>0</v>
      </c>
      <c r="E20389">
        <v>1</v>
      </c>
      <c r="F20389">
        <v>63</v>
      </c>
    </row>
    <row r="20390" spans="1:6" ht="12.75">
      <c r="A20390" s="2">
        <v>43876.171388888892</v>
      </c>
      <c r="B20390" t="str">
        <f>HYPERLINK("https://twitter.com/_therma_","@_therma_")</f>
        <v>@_therma_</v>
      </c>
      <c r="C20390" t="s">
        <v>9056</v>
      </c>
      <c r="D20390">
        <v>11</v>
      </c>
      <c r="E20390">
        <v>0</v>
      </c>
      <c r="F20390">
        <v>4438</v>
      </c>
    </row>
    <row r="20391" spans="1:6" ht="12.75">
      <c r="A20391" s="2">
        <v>43876.171053240745</v>
      </c>
      <c r="B20391" t="str">
        <f>HYPERLINK("https://twitter.com/donsnomanstream","@donsnomanstream")</f>
        <v>@donsnomanstream</v>
      </c>
      <c r="C20391" t="s">
        <v>3059</v>
      </c>
      <c r="D20391">
        <v>13</v>
      </c>
      <c r="E20391">
        <v>0</v>
      </c>
      <c r="F20391">
        <v>104</v>
      </c>
    </row>
    <row r="20392" spans="1:6" ht="12.75">
      <c r="A20392" s="2">
        <v>43876.16982638889</v>
      </c>
      <c r="B20392" t="str">
        <f>HYPERLINK("https://twitter.com/aurlz","@aurlz")</f>
        <v>@aurlz</v>
      </c>
      <c r="C20392" t="s">
        <v>2444</v>
      </c>
      <c r="D20392">
        <v>3353</v>
      </c>
      <c r="E20392">
        <v>0</v>
      </c>
      <c r="F20392">
        <v>75</v>
      </c>
    </row>
    <row r="20393" spans="1:6" ht="12.75">
      <c r="A20393" s="2">
        <v>43876.169282407413</v>
      </c>
      <c r="B20393" t="str">
        <f>HYPERLINK("https://twitter.com/Denis73048995","@Denis73048995")</f>
        <v>@Denis73048995</v>
      </c>
      <c r="C20393" t="s">
        <v>10133</v>
      </c>
      <c r="D20393">
        <v>0</v>
      </c>
      <c r="E20393">
        <v>0</v>
      </c>
      <c r="F20393">
        <v>93</v>
      </c>
    </row>
    <row r="20394" spans="1:6" ht="12.75">
      <c r="A20394" s="2">
        <v>43876.16920138889</v>
      </c>
      <c r="B20394" t="str">
        <f>HYPERLINK("https://twitter.com/ristiwirjoredjo","@ristiwirjoredjo")</f>
        <v>@ristiwirjoredjo</v>
      </c>
      <c r="C20394" t="s">
        <v>2444</v>
      </c>
      <c r="D20394">
        <v>3353</v>
      </c>
      <c r="E20394">
        <v>0</v>
      </c>
      <c r="F20394">
        <v>330</v>
      </c>
    </row>
    <row r="20395" spans="1:6" ht="12.75">
      <c r="A20395" s="2">
        <v>43876.16914351852</v>
      </c>
      <c r="B20395" t="str">
        <f>HYPERLINK("https://twitter.com/paidisutejo","@paidisutejo")</f>
        <v>@paidisutejo</v>
      </c>
      <c r="C20395" t="s">
        <v>5168</v>
      </c>
      <c r="D20395">
        <v>1255</v>
      </c>
      <c r="E20395">
        <v>0</v>
      </c>
      <c r="F20395">
        <v>34</v>
      </c>
    </row>
    <row r="20396" spans="1:6" ht="12.75">
      <c r="A20396" s="2">
        <v>43876.16909722222</v>
      </c>
      <c r="B20396" t="str">
        <f>HYPERLINK("https://twitter.com/RezaMrc786","@RezaMrc786")</f>
        <v>@RezaMrc786</v>
      </c>
      <c r="C20396" t="s">
        <v>10052</v>
      </c>
      <c r="D20396">
        <v>119</v>
      </c>
      <c r="E20396">
        <v>0</v>
      </c>
      <c r="F20396">
        <v>292</v>
      </c>
    </row>
    <row r="20397" spans="1:6" ht="12.75">
      <c r="A20397" s="2">
        <v>43876.168634259258</v>
      </c>
      <c r="B20397" t="str">
        <f>HYPERLINK("https://twitter.com/dwitama_k","@dwitama_k")</f>
        <v>@dwitama_k</v>
      </c>
      <c r="C20397" t="s">
        <v>9198</v>
      </c>
      <c r="D20397">
        <v>116</v>
      </c>
      <c r="E20397">
        <v>0</v>
      </c>
      <c r="F20397">
        <v>366</v>
      </c>
    </row>
    <row r="20398" spans="1:6" ht="12.75">
      <c r="A20398" s="2">
        <v>43876.168587962966</v>
      </c>
      <c r="B20398" t="str">
        <f>HYPERLINK("https://twitter.com/joswito","@joswito")</f>
        <v>@joswito</v>
      </c>
      <c r="C20398" t="s">
        <v>10134</v>
      </c>
      <c r="D20398">
        <v>0</v>
      </c>
      <c r="E20398">
        <v>0</v>
      </c>
      <c r="F20398">
        <v>1232</v>
      </c>
    </row>
    <row r="20399" spans="1:6" ht="12.75">
      <c r="A20399" s="2">
        <v>43876.168506944443</v>
      </c>
      <c r="B20399" t="str">
        <f>HYPERLINK("https://twitter.com/djodjo1955","@djodjo1955")</f>
        <v>@djodjo1955</v>
      </c>
      <c r="C20399" t="s">
        <v>10135</v>
      </c>
      <c r="D20399">
        <v>0</v>
      </c>
      <c r="E20399">
        <v>0</v>
      </c>
      <c r="F20399">
        <v>15</v>
      </c>
    </row>
    <row r="20400" spans="1:6" ht="12.75">
      <c r="A20400" s="2">
        <v>43876.167974537035</v>
      </c>
      <c r="B20400" t="str">
        <f>HYPERLINK("https://twitter.com/fachri_kh","@fachri_kh")</f>
        <v>@fachri_kh</v>
      </c>
      <c r="C20400" t="s">
        <v>9056</v>
      </c>
      <c r="D20400">
        <v>8</v>
      </c>
      <c r="E20400">
        <v>0</v>
      </c>
      <c r="F20400">
        <v>4041</v>
      </c>
    </row>
    <row r="20401" spans="1:6" ht="12.75">
      <c r="A20401" s="2">
        <v>43876.167569444442</v>
      </c>
      <c r="B20401" t="str">
        <f>HYPERLINK("https://twitter.com/prakoso_aryaa","@prakoso_aryaa")</f>
        <v>@prakoso_aryaa</v>
      </c>
      <c r="C20401" t="s">
        <v>5168</v>
      </c>
      <c r="D20401">
        <v>1246</v>
      </c>
      <c r="E20401">
        <v>0</v>
      </c>
      <c r="F20401">
        <v>314</v>
      </c>
    </row>
    <row r="20402" spans="1:6" ht="12.75">
      <c r="A20402" s="2">
        <v>43876.167546296296</v>
      </c>
      <c r="B20402" t="str">
        <f>HYPERLINK("https://twitter.com/abamsetiawan","@abamsetiawan")</f>
        <v>@abamsetiawan</v>
      </c>
      <c r="C20402" t="s">
        <v>9835</v>
      </c>
      <c r="D20402">
        <v>69</v>
      </c>
      <c r="E20402">
        <v>0</v>
      </c>
      <c r="F20402">
        <v>226</v>
      </c>
    </row>
    <row r="20403" spans="1:6" ht="12.75">
      <c r="A20403" s="2">
        <v>43876.167361111111</v>
      </c>
      <c r="B20403" t="str">
        <f>HYPERLINK("https://twitter.com/CintaNKRI08","@CintaNKRI08")</f>
        <v>@CintaNKRI08</v>
      </c>
      <c r="C20403" t="s">
        <v>10136</v>
      </c>
      <c r="D20403">
        <v>25</v>
      </c>
      <c r="E20403">
        <v>0</v>
      </c>
      <c r="F20403">
        <v>6041</v>
      </c>
    </row>
    <row r="20404" spans="1:6" ht="12.75">
      <c r="A20404" s="2">
        <v>43876.167291666672</v>
      </c>
      <c r="B20404" t="str">
        <f>HYPERLINK("https://twitter.com/nyok_nino","@nyok_nino")</f>
        <v>@nyok_nino</v>
      </c>
      <c r="C20404" t="s">
        <v>8353</v>
      </c>
      <c r="D20404">
        <v>7</v>
      </c>
      <c r="E20404">
        <v>0</v>
      </c>
      <c r="F20404">
        <v>529</v>
      </c>
    </row>
    <row r="20405" spans="1:6" ht="12.75">
      <c r="A20405" s="2">
        <v>43876.167025462964</v>
      </c>
      <c r="B20405" t="str">
        <f>HYPERLINK("https://twitter.com/Giorgio_hellish","@Giorgio_hellish")</f>
        <v>@Giorgio_hellish</v>
      </c>
      <c r="C20405" t="s">
        <v>9082</v>
      </c>
      <c r="D20405">
        <v>86</v>
      </c>
      <c r="E20405">
        <v>0</v>
      </c>
      <c r="F20405">
        <v>163</v>
      </c>
    </row>
    <row r="20406" spans="1:6" ht="12.75">
      <c r="A20406" s="2">
        <v>43876.165798611109</v>
      </c>
      <c r="B20406" t="str">
        <f>HYPERLINK("https://twitter.com/oppie30560071","@oppie30560071")</f>
        <v>@oppie30560071</v>
      </c>
      <c r="C20406" t="s">
        <v>10114</v>
      </c>
      <c r="D20406">
        <v>27</v>
      </c>
      <c r="E20406">
        <v>0</v>
      </c>
      <c r="F20406">
        <v>346</v>
      </c>
    </row>
    <row r="20407" spans="1:6" ht="12.75">
      <c r="A20407" s="2">
        <v>43876.164988425924</v>
      </c>
      <c r="B20407" t="str">
        <f>HYPERLINK("https://twitter.com/phaulheger","@phaulheger")</f>
        <v>@phaulheger</v>
      </c>
      <c r="C20407" t="s">
        <v>10137</v>
      </c>
      <c r="D20407">
        <v>0</v>
      </c>
      <c r="E20407">
        <v>0</v>
      </c>
      <c r="F20407">
        <v>399</v>
      </c>
    </row>
    <row r="20408" spans="1:6" ht="12.75">
      <c r="A20408" s="2">
        <v>43876.164953703701</v>
      </c>
      <c r="B20408" t="str">
        <f t="shared" ref="B20408:B20409" si="320">HYPERLINK("https://twitter.com/HaloBCA","@HaloBCA")</f>
        <v>@HaloBCA</v>
      </c>
      <c r="C20408" t="s">
        <v>10138</v>
      </c>
      <c r="D20408">
        <v>0</v>
      </c>
      <c r="E20408">
        <v>0</v>
      </c>
      <c r="F20408">
        <v>230406</v>
      </c>
    </row>
    <row r="20409" spans="1:6" ht="12.75">
      <c r="A20409" s="2">
        <v>43876.164953703701</v>
      </c>
      <c r="B20409" t="str">
        <f t="shared" si="320"/>
        <v>@HaloBCA</v>
      </c>
      <c r="C20409" t="s">
        <v>10139</v>
      </c>
      <c r="D20409">
        <v>0</v>
      </c>
      <c r="E20409">
        <v>0</v>
      </c>
      <c r="F20409">
        <v>230406</v>
      </c>
    </row>
    <row r="20410" spans="1:6" ht="12.75">
      <c r="A20410" s="2">
        <v>43876.164687500001</v>
      </c>
      <c r="B20410" t="str">
        <f>HYPERLINK("https://twitter.com/wantosukahar","@wantosukahar")</f>
        <v>@wantosukahar</v>
      </c>
      <c r="C20410" t="s">
        <v>10140</v>
      </c>
      <c r="D20410">
        <v>2</v>
      </c>
      <c r="E20410">
        <v>0</v>
      </c>
      <c r="F20410">
        <v>40</v>
      </c>
    </row>
    <row r="20411" spans="1:6" ht="12.75">
      <c r="A20411" s="2">
        <v>43876.164629629631</v>
      </c>
      <c r="B20411" t="str">
        <f>HYPERLINK("https://twitter.com/PatpatPatrickSt","@PatpatPatrickSt")</f>
        <v>@PatpatPatrickSt</v>
      </c>
      <c r="C20411" t="s">
        <v>6201</v>
      </c>
      <c r="D20411">
        <v>327</v>
      </c>
      <c r="E20411">
        <v>0</v>
      </c>
      <c r="F20411">
        <v>289</v>
      </c>
    </row>
    <row r="20412" spans="1:6" ht="12.75">
      <c r="A20412" s="2">
        <v>43876.164629629631</v>
      </c>
      <c r="B20412" t="str">
        <f>HYPERLINK("https://twitter.com/Riedwan22706094","@Riedwan22706094")</f>
        <v>@Riedwan22706094</v>
      </c>
      <c r="C20412" t="s">
        <v>10141</v>
      </c>
      <c r="D20412">
        <v>0</v>
      </c>
      <c r="E20412">
        <v>0</v>
      </c>
      <c r="F20412">
        <v>4</v>
      </c>
    </row>
    <row r="20413" spans="1:6" ht="12.75">
      <c r="A20413" s="2">
        <v>43876.163090277776</v>
      </c>
      <c r="B20413" t="str">
        <f>HYPERLINK("https://twitter.com/Cemonk_69","@Cemonk_69")</f>
        <v>@Cemonk_69</v>
      </c>
      <c r="C20413" t="s">
        <v>7478</v>
      </c>
      <c r="D20413">
        <v>466</v>
      </c>
      <c r="E20413">
        <v>0</v>
      </c>
      <c r="F20413">
        <v>401</v>
      </c>
    </row>
    <row r="20414" spans="1:6" ht="12.75">
      <c r="A20414" s="2">
        <v>43876.16305555556</v>
      </c>
      <c r="B20414" t="str">
        <f>HYPERLINK("https://twitter.com/iampasswordhan","@iampasswordhan")</f>
        <v>@iampasswordhan</v>
      </c>
      <c r="C20414" t="s">
        <v>5168</v>
      </c>
      <c r="D20414">
        <v>1246</v>
      </c>
      <c r="E20414">
        <v>0</v>
      </c>
      <c r="F20414">
        <v>6</v>
      </c>
    </row>
    <row r="20415" spans="1:6" ht="12.75">
      <c r="A20415" s="2">
        <v>43876.162662037037</v>
      </c>
      <c r="B20415" t="str">
        <f>HYPERLINK("https://twitter.com/Mazggg","@Mazggg")</f>
        <v>@Mazggg</v>
      </c>
      <c r="C20415" t="s">
        <v>10142</v>
      </c>
      <c r="D20415">
        <v>13</v>
      </c>
      <c r="E20415">
        <v>0</v>
      </c>
      <c r="F20415">
        <v>1917</v>
      </c>
    </row>
    <row r="20416" spans="1:6" ht="12.75">
      <c r="A20416" s="2">
        <v>43876.161574074074</v>
      </c>
      <c r="B20416" t="str">
        <f>HYPERLINK("https://twitter.com/kukikukiss","@kukikukiss")</f>
        <v>@kukikukiss</v>
      </c>
      <c r="C20416" t="s">
        <v>2444</v>
      </c>
      <c r="D20416">
        <v>3332</v>
      </c>
      <c r="E20416">
        <v>0</v>
      </c>
      <c r="F20416">
        <v>0</v>
      </c>
    </row>
    <row r="20417" spans="1:6" ht="12.75">
      <c r="A20417" s="2">
        <v>43876.16138888889</v>
      </c>
      <c r="B20417" t="str">
        <f>HYPERLINK("https://twitter.com/R4den_aria","@R4den_aria")</f>
        <v>@R4den_aria</v>
      </c>
      <c r="C20417" t="s">
        <v>9835</v>
      </c>
      <c r="D20417">
        <v>69</v>
      </c>
      <c r="E20417">
        <v>0</v>
      </c>
      <c r="F20417">
        <v>582</v>
      </c>
    </row>
    <row r="20418" spans="1:6" ht="12.75">
      <c r="A20418" s="2">
        <v>43876.161180555559</v>
      </c>
      <c r="B20418" t="str">
        <f>HYPERLINK("https://twitter.com/abumalikha0528","@abumalikha0528")</f>
        <v>@abumalikha0528</v>
      </c>
      <c r="C20418" t="s">
        <v>10143</v>
      </c>
      <c r="D20418">
        <v>0</v>
      </c>
      <c r="E20418">
        <v>1</v>
      </c>
      <c r="F20418">
        <v>818</v>
      </c>
    </row>
    <row r="20419" spans="1:6" ht="12.75">
      <c r="A20419" s="2">
        <v>43876.160601851851</v>
      </c>
      <c r="B20419" t="str">
        <f>HYPERLINK("https://twitter.com/DamarhudaIdelle","@DamarhudaIdelle")</f>
        <v>@DamarhudaIdelle</v>
      </c>
      <c r="C20419" t="s">
        <v>3059</v>
      </c>
      <c r="D20419">
        <v>3</v>
      </c>
      <c r="E20419">
        <v>0</v>
      </c>
      <c r="F20419">
        <v>111</v>
      </c>
    </row>
    <row r="20420" spans="1:6" ht="12.75">
      <c r="A20420" s="2">
        <v>43876.160428240742</v>
      </c>
      <c r="B20420" t="str">
        <f>HYPERLINK("https://twitter.com/denamien3","@denamien3")</f>
        <v>@denamien3</v>
      </c>
      <c r="C20420" t="s">
        <v>3059</v>
      </c>
      <c r="D20420">
        <v>3</v>
      </c>
      <c r="E20420">
        <v>0</v>
      </c>
      <c r="F20420">
        <v>11</v>
      </c>
    </row>
    <row r="20421" spans="1:6" ht="12.75">
      <c r="A20421" s="2">
        <v>43876.160092592589</v>
      </c>
      <c r="B20421" t="str">
        <f>HYPERLINK("https://twitter.com/Dafindana","@Dafindana")</f>
        <v>@Dafindana</v>
      </c>
      <c r="C20421" t="s">
        <v>3059</v>
      </c>
      <c r="D20421">
        <v>3</v>
      </c>
      <c r="E20421">
        <v>0</v>
      </c>
      <c r="F20421">
        <v>1179</v>
      </c>
    </row>
    <row r="20422" spans="1:6" ht="12.75">
      <c r="A20422" s="2">
        <v>43876.159826388888</v>
      </c>
      <c r="B20422" t="str">
        <f>HYPERLINK("https://twitter.com/LampuTera","@LampuTera")</f>
        <v>@LampuTera</v>
      </c>
      <c r="C20422" t="s">
        <v>9198</v>
      </c>
      <c r="D20422">
        <v>108</v>
      </c>
      <c r="E20422">
        <v>0</v>
      </c>
      <c r="F20422">
        <v>642</v>
      </c>
    </row>
    <row r="20423" spans="1:6" ht="12.75">
      <c r="A20423" s="2">
        <v>43876.159282407403</v>
      </c>
      <c r="B20423" t="str">
        <f>HYPERLINK("https://twitter.com/zaenale","@zaenale")</f>
        <v>@zaenale</v>
      </c>
      <c r="C20423" t="s">
        <v>7478</v>
      </c>
      <c r="D20423">
        <v>466</v>
      </c>
      <c r="E20423">
        <v>0</v>
      </c>
      <c r="F20423">
        <v>312</v>
      </c>
    </row>
    <row r="20424" spans="1:6" ht="12.75">
      <c r="A20424" s="2">
        <v>43876.158437499995</v>
      </c>
      <c r="B20424" t="str">
        <f>HYPERLINK("https://twitter.com/ri_takari","@ri_takari")</f>
        <v>@ri_takari</v>
      </c>
      <c r="C20424" t="s">
        <v>10144</v>
      </c>
      <c r="D20424">
        <v>0</v>
      </c>
      <c r="E20424">
        <v>0</v>
      </c>
      <c r="F20424">
        <v>3</v>
      </c>
    </row>
    <row r="20425" spans="1:6" ht="12.75">
      <c r="A20425" s="2">
        <v>43876.158379629633</v>
      </c>
      <c r="B20425" t="str">
        <f>HYPERLINK("https://twitter.com/NataliusPigai2","@NataliusPigai2")</f>
        <v>@NataliusPigai2</v>
      </c>
      <c r="C20425" t="s">
        <v>10145</v>
      </c>
      <c r="D20425">
        <v>3</v>
      </c>
      <c r="E20425">
        <v>4</v>
      </c>
      <c r="F20425">
        <v>27756</v>
      </c>
    </row>
    <row r="20426" spans="1:6" ht="12.75">
      <c r="A20426" s="2">
        <v>43876.157546296294</v>
      </c>
      <c r="B20426" t="str">
        <f>HYPERLINK("https://twitter.com/waode93is","@waode93is")</f>
        <v>@waode93is</v>
      </c>
      <c r="C20426" t="s">
        <v>9746</v>
      </c>
      <c r="D20426">
        <v>417</v>
      </c>
      <c r="E20426">
        <v>0</v>
      </c>
      <c r="F20426">
        <v>33</v>
      </c>
    </row>
    <row r="20427" spans="1:6" ht="12.75">
      <c r="A20427" s="2">
        <v>43876.157129629632</v>
      </c>
      <c r="B20427" t="str">
        <f>HYPERLINK("https://twitter.com/CintaNKRI08","@CintaNKRI08")</f>
        <v>@CintaNKRI08</v>
      </c>
      <c r="C20427" t="s">
        <v>7662</v>
      </c>
      <c r="D20427">
        <v>530</v>
      </c>
      <c r="E20427">
        <v>0</v>
      </c>
      <c r="F20427">
        <v>6041</v>
      </c>
    </row>
    <row r="20428" spans="1:6" ht="12.75">
      <c r="A20428" s="2">
        <v>43876.157060185185</v>
      </c>
      <c r="B20428" t="str">
        <f>HYPERLINK("https://twitter.com/sahertian_mike","@sahertian_mike")</f>
        <v>@sahertian_mike</v>
      </c>
      <c r="C20428" t="s">
        <v>10146</v>
      </c>
      <c r="D20428">
        <v>0</v>
      </c>
      <c r="E20428">
        <v>0</v>
      </c>
      <c r="F20428">
        <v>212</v>
      </c>
    </row>
    <row r="20429" spans="1:6" ht="12.75">
      <c r="A20429" s="2">
        <v>43876.156712962962</v>
      </c>
      <c r="B20429" t="str">
        <f>HYPERLINK("https://twitter.com/GoTotheJek","@GoTotheJek")</f>
        <v>@GoTotheJek</v>
      </c>
      <c r="C20429" t="s">
        <v>2444</v>
      </c>
      <c r="D20429">
        <v>3332</v>
      </c>
      <c r="E20429">
        <v>0</v>
      </c>
      <c r="F20429">
        <v>776</v>
      </c>
    </row>
    <row r="20430" spans="1:6" ht="12.75">
      <c r="A20430" s="2">
        <v>43876.153599537036</v>
      </c>
      <c r="B20430" t="str">
        <f>HYPERLINK("https://twitter.com/Atieiskandar1","@Atieiskandar1")</f>
        <v>@Atieiskandar1</v>
      </c>
      <c r="C20430" t="s">
        <v>10052</v>
      </c>
      <c r="D20430">
        <v>116</v>
      </c>
      <c r="E20430">
        <v>0</v>
      </c>
      <c r="F20430">
        <v>1285</v>
      </c>
    </row>
    <row r="20431" spans="1:6" ht="12.75">
      <c r="A20431" s="2">
        <v>43876.153541666667</v>
      </c>
      <c r="B20431" t="str">
        <f>HYPERLINK("https://twitter.com/mbucinJK","@mbucinJK")</f>
        <v>@mbucinJK</v>
      </c>
      <c r="C20431" t="s">
        <v>2444</v>
      </c>
      <c r="D20431">
        <v>3332</v>
      </c>
      <c r="E20431">
        <v>0</v>
      </c>
      <c r="F20431">
        <v>2047</v>
      </c>
    </row>
    <row r="20432" spans="1:6" ht="12.75">
      <c r="A20432" s="2">
        <v>43876.15353009259</v>
      </c>
      <c r="B20432" t="str">
        <f>HYPERLINK("https://twitter.com/Bobby_Ibrahim","@Bobby_Ibrahim")</f>
        <v>@Bobby_Ibrahim</v>
      </c>
      <c r="C20432" t="s">
        <v>7478</v>
      </c>
      <c r="D20432">
        <v>466</v>
      </c>
      <c r="E20432">
        <v>0</v>
      </c>
      <c r="F20432">
        <v>252</v>
      </c>
    </row>
    <row r="20433" spans="1:6" ht="12.75">
      <c r="A20433" s="2">
        <v>43876.153217592597</v>
      </c>
      <c r="B20433" t="str">
        <f>HYPERLINK("https://twitter.com/godham5","@godham5")</f>
        <v>@godham5</v>
      </c>
      <c r="C20433" t="s">
        <v>10147</v>
      </c>
      <c r="D20433">
        <v>0</v>
      </c>
      <c r="E20433">
        <v>0</v>
      </c>
      <c r="F20433">
        <v>3826</v>
      </c>
    </row>
    <row r="20434" spans="1:6" ht="12.75">
      <c r="A20434" s="2">
        <v>43876.153043981481</v>
      </c>
      <c r="B20434" t="str">
        <f>HYPERLINK("https://twitter.com/adulsiliwangi19","@adulsiliwangi19")</f>
        <v>@adulsiliwangi19</v>
      </c>
      <c r="C20434" t="s">
        <v>7478</v>
      </c>
      <c r="D20434">
        <v>466</v>
      </c>
      <c r="E20434">
        <v>0</v>
      </c>
      <c r="F20434">
        <v>63</v>
      </c>
    </row>
    <row r="20435" spans="1:6" ht="12.75">
      <c r="A20435" s="2">
        <v>43876.152361111112</v>
      </c>
      <c r="B20435" t="str">
        <f>HYPERLINK("https://twitter.com/UstianaRestian","@UstianaRestian")</f>
        <v>@UstianaRestian</v>
      </c>
      <c r="C20435" t="s">
        <v>10148</v>
      </c>
      <c r="D20435">
        <v>0</v>
      </c>
      <c r="E20435">
        <v>0</v>
      </c>
      <c r="F20435">
        <v>614</v>
      </c>
    </row>
    <row r="20436" spans="1:6" ht="12.75">
      <c r="A20436" s="2">
        <v>43876.151701388888</v>
      </c>
      <c r="B20436" t="str">
        <f>HYPERLINK("https://twitter.com/gatauapaaaaa","@gatauapaaaaa")</f>
        <v>@gatauapaaaaa</v>
      </c>
      <c r="C20436" t="s">
        <v>2444</v>
      </c>
      <c r="D20436">
        <v>3332</v>
      </c>
      <c r="E20436">
        <v>0</v>
      </c>
      <c r="F20436">
        <v>119</v>
      </c>
    </row>
    <row r="20437" spans="1:6" ht="12.75">
      <c r="A20437" s="2">
        <v>43876.151678240742</v>
      </c>
      <c r="B20437" t="str">
        <f>HYPERLINK("https://twitter.com/kbrimaputo","@kbrimaputo")</f>
        <v>@kbrimaputo</v>
      </c>
      <c r="C20437" t="s">
        <v>2444</v>
      </c>
      <c r="D20437">
        <v>3332</v>
      </c>
      <c r="E20437">
        <v>0</v>
      </c>
      <c r="F20437">
        <v>301</v>
      </c>
    </row>
    <row r="20438" spans="1:6" ht="12.75">
      <c r="A20438" s="2">
        <v>43876.150775462964</v>
      </c>
      <c r="B20438" t="str">
        <f>HYPERLINK("https://twitter.com/rosepadk","@rosepadk")</f>
        <v>@rosepadk</v>
      </c>
      <c r="C20438" t="s">
        <v>2444</v>
      </c>
      <c r="D20438">
        <v>3332</v>
      </c>
      <c r="E20438">
        <v>0</v>
      </c>
      <c r="F20438">
        <v>1796</v>
      </c>
    </row>
    <row r="20439" spans="1:6" ht="12.75">
      <c r="A20439" s="2">
        <v>43876.150381944448</v>
      </c>
      <c r="B20439" t="str">
        <f>HYPERLINK("https://twitter.com/mithaaaaa11","@mithaaaaa11")</f>
        <v>@mithaaaaa11</v>
      </c>
      <c r="C20439" t="s">
        <v>2444</v>
      </c>
      <c r="D20439">
        <v>3332</v>
      </c>
      <c r="E20439">
        <v>0</v>
      </c>
      <c r="F20439">
        <v>200</v>
      </c>
    </row>
    <row r="20440" spans="1:6" ht="12.75">
      <c r="A20440" s="2">
        <v>43876.149756944447</v>
      </c>
      <c r="B20440" t="str">
        <f>HYPERLINK("https://twitter.com/_soyya","@_soyya")</f>
        <v>@_soyya</v>
      </c>
      <c r="C20440" t="s">
        <v>2137</v>
      </c>
      <c r="D20440">
        <v>232</v>
      </c>
      <c r="E20440">
        <v>0</v>
      </c>
      <c r="F20440">
        <v>190</v>
      </c>
    </row>
    <row r="20441" spans="1:6" ht="12.75">
      <c r="A20441" s="2">
        <v>43876.149004629631</v>
      </c>
      <c r="B20441" t="str">
        <f>HYPERLINK("https://twitter.com/ELuqueDo","@ELuqueDo")</f>
        <v>@ELuqueDo</v>
      </c>
      <c r="C20441" t="s">
        <v>10149</v>
      </c>
      <c r="D20441">
        <v>0</v>
      </c>
      <c r="E20441">
        <v>0</v>
      </c>
      <c r="F20441">
        <v>5577</v>
      </c>
    </row>
    <row r="20442" spans="1:6" ht="12.75">
      <c r="A20442" s="2">
        <v>43876.147893518515</v>
      </c>
      <c r="B20442" t="str">
        <f>HYPERLINK("https://twitter.com/yange_valhalla","@yange_valhalla")</f>
        <v>@yange_valhalla</v>
      </c>
      <c r="C20442" t="s">
        <v>10150</v>
      </c>
      <c r="D20442">
        <v>0</v>
      </c>
      <c r="E20442">
        <v>0</v>
      </c>
      <c r="F20442">
        <v>3</v>
      </c>
    </row>
    <row r="20443" spans="1:6" ht="12.75">
      <c r="A20443" s="2">
        <v>43876.146793981483</v>
      </c>
      <c r="B20443" t="str">
        <f>HYPERLINK("https://twitter.com/Danks05282530","@Danks05282530")</f>
        <v>@Danks05282530</v>
      </c>
      <c r="C20443" t="s">
        <v>10151</v>
      </c>
      <c r="D20443">
        <v>0</v>
      </c>
      <c r="E20443">
        <v>0</v>
      </c>
      <c r="F20443">
        <v>0</v>
      </c>
    </row>
    <row r="20444" spans="1:6" ht="12.75">
      <c r="A20444" s="2">
        <v>43876.146655092598</v>
      </c>
      <c r="B20444" t="str">
        <f>HYPERLINK("https://twitter.com/DamarhudaIdelle","@DamarhudaIdelle")</f>
        <v>@DamarhudaIdelle</v>
      </c>
      <c r="C20444" t="s">
        <v>10152</v>
      </c>
      <c r="D20444">
        <v>10</v>
      </c>
      <c r="E20444">
        <v>0</v>
      </c>
      <c r="F20444">
        <v>111</v>
      </c>
    </row>
    <row r="20445" spans="1:6" ht="12.75">
      <c r="A20445" s="2">
        <v>43876.146493055552</v>
      </c>
      <c r="B20445" t="str">
        <f>HYPERLINK("https://twitter.com/AngkuKayo","@AngkuKayo")</f>
        <v>@AngkuKayo</v>
      </c>
      <c r="C20445" t="s">
        <v>10153</v>
      </c>
      <c r="D20445">
        <v>5</v>
      </c>
      <c r="E20445">
        <v>0</v>
      </c>
      <c r="F20445">
        <v>575</v>
      </c>
    </row>
    <row r="20446" spans="1:6" ht="12.75">
      <c r="A20446" s="2">
        <v>43876.146423611106</v>
      </c>
      <c r="B20446" t="str">
        <f>HYPERLINK("https://twitter.com/Panutan10","@Panutan10")</f>
        <v>@Panutan10</v>
      </c>
      <c r="C20446" t="s">
        <v>9198</v>
      </c>
      <c r="D20446">
        <v>108</v>
      </c>
      <c r="E20446">
        <v>0</v>
      </c>
      <c r="F20446">
        <v>100</v>
      </c>
    </row>
    <row r="20447" spans="1:6" ht="12.75">
      <c r="A20447" s="2">
        <v>43876.145868055552</v>
      </c>
      <c r="B20447" t="str">
        <f>HYPERLINK("https://twitter.com/I_Tj3819","@I_Tj3819")</f>
        <v>@I_Tj3819</v>
      </c>
      <c r="C20447" t="s">
        <v>10154</v>
      </c>
      <c r="D20447">
        <v>1</v>
      </c>
      <c r="E20447">
        <v>0</v>
      </c>
      <c r="F20447">
        <v>705</v>
      </c>
    </row>
    <row r="20448" spans="1:6" ht="12.75">
      <c r="A20448" s="2">
        <v>43876.14570601852</v>
      </c>
      <c r="B20448" t="str">
        <f>HYPERLINK("https://twitter.com/amaliaak303","@amaliaak303")</f>
        <v>@amaliaak303</v>
      </c>
      <c r="C20448" t="s">
        <v>2444</v>
      </c>
      <c r="D20448">
        <v>3332</v>
      </c>
      <c r="E20448">
        <v>0</v>
      </c>
      <c r="F20448">
        <v>87</v>
      </c>
    </row>
    <row r="20449" spans="1:6" ht="12.75">
      <c r="A20449" s="2">
        <v>43876.143993055557</v>
      </c>
      <c r="B20449" t="str">
        <f>HYPERLINK("https://twitter.com/listyo_gembong","@listyo_gembong")</f>
        <v>@listyo_gembong</v>
      </c>
      <c r="C20449" t="s">
        <v>9997</v>
      </c>
      <c r="D20449">
        <v>9</v>
      </c>
      <c r="E20449">
        <v>0</v>
      </c>
      <c r="F20449">
        <v>21</v>
      </c>
    </row>
    <row r="20450" spans="1:6" ht="12.75">
      <c r="A20450" s="2">
        <v>43876.143935185188</v>
      </c>
      <c r="B20450" t="str">
        <f>HYPERLINK("https://twitter.com/Mehmet15692963","@Mehmet15692963")</f>
        <v>@Mehmet15692963</v>
      </c>
      <c r="C20450" t="s">
        <v>9082</v>
      </c>
      <c r="D20450">
        <v>86</v>
      </c>
      <c r="E20450">
        <v>0</v>
      </c>
      <c r="F20450">
        <v>17</v>
      </c>
    </row>
    <row r="20451" spans="1:6" ht="12.75">
      <c r="A20451" s="2">
        <v>43876.143912037034</v>
      </c>
      <c r="B20451" t="str">
        <f>HYPERLINK("https://twitter.com/inautumn_","@inautumn_")</f>
        <v>@inautumn_</v>
      </c>
      <c r="C20451" t="s">
        <v>2444</v>
      </c>
      <c r="D20451">
        <v>3332</v>
      </c>
      <c r="E20451">
        <v>0</v>
      </c>
      <c r="F20451">
        <v>151</v>
      </c>
    </row>
    <row r="20452" spans="1:6" ht="12.75">
      <c r="A20452" s="2">
        <v>43876.143680555557</v>
      </c>
      <c r="B20452" t="str">
        <f>HYPERLINK("https://twitter.com/aadrian_hillary","@aadrian_hillary")</f>
        <v>@aadrian_hillary</v>
      </c>
      <c r="C20452" t="s">
        <v>10155</v>
      </c>
      <c r="D20452">
        <v>0</v>
      </c>
      <c r="E20452">
        <v>0</v>
      </c>
      <c r="F20452">
        <v>35</v>
      </c>
    </row>
    <row r="20453" spans="1:6" ht="12.75">
      <c r="A20453" s="2">
        <v>43876.142337962963</v>
      </c>
      <c r="B20453" t="str">
        <f>HYPERLINK("https://twitter.com/ferinaggiovnca","@ferinaggiovnca")</f>
        <v>@ferinaggiovnca</v>
      </c>
      <c r="C20453" t="s">
        <v>10156</v>
      </c>
      <c r="D20453">
        <v>0</v>
      </c>
      <c r="E20453">
        <v>0</v>
      </c>
      <c r="F20453">
        <v>490</v>
      </c>
    </row>
    <row r="20454" spans="1:6" ht="12.75">
      <c r="A20454" s="2">
        <v>43876.142245370371</v>
      </c>
      <c r="B20454" t="str">
        <f>HYPERLINK("https://twitter.com/gaptekbet","@gaptekbet")</f>
        <v>@gaptekbet</v>
      </c>
      <c r="C20454" t="s">
        <v>10157</v>
      </c>
      <c r="D20454">
        <v>0</v>
      </c>
      <c r="E20454">
        <v>0</v>
      </c>
      <c r="F20454">
        <v>75</v>
      </c>
    </row>
    <row r="20455" spans="1:6" ht="12.75">
      <c r="A20455" s="2">
        <v>43876.142094907409</v>
      </c>
      <c r="B20455" t="str">
        <f>HYPERLINK("https://twitter.com/Tesals","@Tesals")</f>
        <v>@Tesals</v>
      </c>
      <c r="C20455" t="s">
        <v>5168</v>
      </c>
      <c r="D20455">
        <v>1246</v>
      </c>
      <c r="E20455">
        <v>0</v>
      </c>
      <c r="F20455">
        <v>419</v>
      </c>
    </row>
    <row r="20456" spans="1:6" ht="12.75">
      <c r="A20456" s="2">
        <v>43876.141724537039</v>
      </c>
      <c r="B20456" t="str">
        <f>HYPERLINK("https://twitter.com/anginselatanopm","@anginselatanopm")</f>
        <v>@anginselatanopm</v>
      </c>
      <c r="C20456" t="s">
        <v>10137</v>
      </c>
      <c r="D20456">
        <v>0</v>
      </c>
      <c r="E20456">
        <v>0</v>
      </c>
      <c r="F20456">
        <v>4803</v>
      </c>
    </row>
    <row r="20457" spans="1:6" ht="12.75">
      <c r="A20457" s="2">
        <v>43876.141157407408</v>
      </c>
      <c r="B20457" t="str">
        <f>HYPERLINK("https://twitter.com/tribunkaltim","@tribunkaltim")</f>
        <v>@tribunkaltim</v>
      </c>
      <c r="C20457" t="s">
        <v>10158</v>
      </c>
      <c r="D20457">
        <v>0</v>
      </c>
      <c r="E20457">
        <v>1</v>
      </c>
      <c r="F20457">
        <v>28667</v>
      </c>
    </row>
    <row r="20458" spans="1:6" ht="12.75">
      <c r="A20458" s="2">
        <v>43876.140520833331</v>
      </c>
      <c r="B20458" t="str">
        <f>HYPERLINK("https://twitter.com/sentos_wahyu","@sentos_wahyu")</f>
        <v>@sentos_wahyu</v>
      </c>
      <c r="C20458" t="s">
        <v>175</v>
      </c>
      <c r="D20458">
        <v>5314</v>
      </c>
      <c r="E20458">
        <v>0</v>
      </c>
      <c r="F20458">
        <v>24</v>
      </c>
    </row>
    <row r="20459" spans="1:6" ht="12.75">
      <c r="A20459" s="2">
        <v>43876.13994212963</v>
      </c>
      <c r="B20459" t="str">
        <f>HYPERLINK("https://twitter.com/ninuninuexo","@ninuninuexo")</f>
        <v>@ninuninuexo</v>
      </c>
      <c r="C20459" t="s">
        <v>5168</v>
      </c>
      <c r="D20459">
        <v>1246</v>
      </c>
      <c r="E20459">
        <v>0</v>
      </c>
      <c r="F20459">
        <v>1639</v>
      </c>
    </row>
    <row r="20460" spans="1:6" ht="12.75">
      <c r="A20460" s="2">
        <v>43876.138958333337</v>
      </c>
      <c r="B20460" t="str">
        <f>HYPERLINK("https://twitter.com/nzraqt","@nzraqt")</f>
        <v>@nzraqt</v>
      </c>
      <c r="C20460" t="s">
        <v>8328</v>
      </c>
      <c r="D20460">
        <v>50</v>
      </c>
      <c r="E20460">
        <v>0</v>
      </c>
      <c r="F20460">
        <v>884</v>
      </c>
    </row>
    <row r="20461" spans="1:6" ht="12.75">
      <c r="A20461" s="2">
        <v>43876.138912037037</v>
      </c>
      <c r="B20461" t="str">
        <f>HYPERLINK("https://twitter.com/Maryatu97013671","@Maryatu97013671")</f>
        <v>@Maryatu97013671</v>
      </c>
      <c r="C20461" t="s">
        <v>10159</v>
      </c>
      <c r="D20461">
        <v>0</v>
      </c>
      <c r="E20461">
        <v>0</v>
      </c>
      <c r="F20461">
        <v>6</v>
      </c>
    </row>
    <row r="20462" spans="1:6" ht="12.75">
      <c r="A20462" s="2">
        <v>43876.138865740737</v>
      </c>
      <c r="B20462" t="str">
        <f>HYPERLINK("https://twitter.com/yange_valhalla","@yange_valhalla")</f>
        <v>@yange_valhalla</v>
      </c>
      <c r="C20462" t="s">
        <v>10160</v>
      </c>
      <c r="D20462">
        <v>0</v>
      </c>
      <c r="E20462">
        <v>0</v>
      </c>
      <c r="F20462">
        <v>3</v>
      </c>
    </row>
    <row r="20463" spans="1:6" ht="12.75">
      <c r="A20463" s="2">
        <v>43876.138356481482</v>
      </c>
      <c r="B20463" t="str">
        <f>HYPERLINK("https://twitter.com/kingRama_","@kingRama_")</f>
        <v>@kingRama_</v>
      </c>
      <c r="C20463" t="s">
        <v>10161</v>
      </c>
      <c r="D20463">
        <v>0</v>
      </c>
      <c r="E20463">
        <v>0</v>
      </c>
      <c r="F20463">
        <v>1</v>
      </c>
    </row>
    <row r="20464" spans="1:6" ht="12.75">
      <c r="A20464" s="2">
        <v>43876.13826388889</v>
      </c>
      <c r="B20464" t="str">
        <f>HYPERLINK("https://twitter.com/Bin02033736","@Bin02033736")</f>
        <v>@Bin02033736</v>
      </c>
      <c r="C20464" t="s">
        <v>10162</v>
      </c>
      <c r="D20464">
        <v>1</v>
      </c>
      <c r="E20464">
        <v>0</v>
      </c>
      <c r="F20464">
        <v>1268</v>
      </c>
    </row>
    <row r="20465" spans="1:6" ht="12.75">
      <c r="A20465" s="2">
        <v>43876.137511574074</v>
      </c>
      <c r="B20465" t="str">
        <f>HYPERLINK("https://twitter.com/kak_wew","@kak_wew")</f>
        <v>@kak_wew</v>
      </c>
      <c r="C20465" t="s">
        <v>10163</v>
      </c>
      <c r="D20465">
        <v>1</v>
      </c>
      <c r="E20465">
        <v>0</v>
      </c>
      <c r="F20465">
        <v>235</v>
      </c>
    </row>
    <row r="20466" spans="1:6" ht="12.75">
      <c r="A20466" s="2">
        <v>43876.137175925927</v>
      </c>
      <c r="B20466" t="str">
        <f>HYPERLINK("https://twitter.com/dhynug","@dhynug")</f>
        <v>@dhynug</v>
      </c>
      <c r="C20466" t="s">
        <v>10164</v>
      </c>
      <c r="D20466">
        <v>0</v>
      </c>
      <c r="E20466">
        <v>0</v>
      </c>
      <c r="F20466">
        <v>27</v>
      </c>
    </row>
    <row r="20467" spans="1:6" ht="12.75">
      <c r="A20467" s="2">
        <v>43876.137048611112</v>
      </c>
      <c r="B20467" t="str">
        <f>HYPERLINK("https://twitter.com/blackholeinsky9","@blackholeinsky9")</f>
        <v>@blackholeinsky9</v>
      </c>
      <c r="C20467" t="s">
        <v>2444</v>
      </c>
      <c r="D20467">
        <v>3332</v>
      </c>
      <c r="E20467">
        <v>0</v>
      </c>
      <c r="F20467">
        <v>3052</v>
      </c>
    </row>
    <row r="20468" spans="1:6" ht="12.75">
      <c r="A20468" s="2">
        <v>43876.136828703704</v>
      </c>
      <c r="B20468" t="str">
        <f t="shared" ref="B20468:B20469" si="321">HYPERLINK("https://twitter.com/ninuninuexo","@ninuninuexo")</f>
        <v>@ninuninuexo</v>
      </c>
      <c r="C20468" t="s">
        <v>9123</v>
      </c>
      <c r="D20468">
        <v>313</v>
      </c>
      <c r="E20468">
        <v>0</v>
      </c>
      <c r="F20468">
        <v>1639</v>
      </c>
    </row>
    <row r="20469" spans="1:6" ht="12.75">
      <c r="A20469" s="2">
        <v>43876.136689814812</v>
      </c>
      <c r="B20469" t="str">
        <f t="shared" si="321"/>
        <v>@ninuninuexo</v>
      </c>
      <c r="C20469" t="s">
        <v>2444</v>
      </c>
      <c r="D20469">
        <v>3332</v>
      </c>
      <c r="E20469">
        <v>0</v>
      </c>
      <c r="F20469">
        <v>1639</v>
      </c>
    </row>
    <row r="20470" spans="1:6" ht="12.75">
      <c r="A20470" s="2">
        <v>43876.136550925927</v>
      </c>
      <c r="B20470" t="str">
        <f>HYPERLINK("https://twitter.com/blackholeinsky9","@blackholeinsky9")</f>
        <v>@blackholeinsky9</v>
      </c>
      <c r="C20470" t="s">
        <v>5168</v>
      </c>
      <c r="D20470">
        <v>1246</v>
      </c>
      <c r="E20470">
        <v>0</v>
      </c>
      <c r="F20470">
        <v>3052</v>
      </c>
    </row>
    <row r="20471" spans="1:6" ht="12.75">
      <c r="A20471" s="2">
        <v>43876.135312500002</v>
      </c>
      <c r="B20471" t="str">
        <f>HYPERLINK("https://twitter.com/Resof85","@Resof85")</f>
        <v>@Resof85</v>
      </c>
      <c r="C20471" t="s">
        <v>9835</v>
      </c>
      <c r="D20471">
        <v>69</v>
      </c>
      <c r="E20471">
        <v>0</v>
      </c>
      <c r="F20471">
        <v>1271</v>
      </c>
    </row>
    <row r="20472" spans="1:6" ht="12.75">
      <c r="A20472" s="2">
        <v>43876.134768518517</v>
      </c>
      <c r="B20472" t="str">
        <f>HYPERLINK("https://twitter.com/aldy_mw","@aldy_mw")</f>
        <v>@aldy_mw</v>
      </c>
      <c r="C20472" t="s">
        <v>8754</v>
      </c>
      <c r="D20472">
        <v>24</v>
      </c>
      <c r="E20472">
        <v>0</v>
      </c>
      <c r="F20472">
        <v>1306</v>
      </c>
    </row>
    <row r="20473" spans="1:6" ht="12.75">
      <c r="A20473" s="2">
        <v>43876.133564814816</v>
      </c>
      <c r="B20473" t="str">
        <f>HYPERLINK("https://twitter.com/herubadala","@herubadala")</f>
        <v>@herubadala</v>
      </c>
      <c r="C20473" t="s">
        <v>10165</v>
      </c>
      <c r="D20473">
        <v>23</v>
      </c>
      <c r="E20473">
        <v>0</v>
      </c>
      <c r="F20473">
        <v>466</v>
      </c>
    </row>
    <row r="20474" spans="1:6" ht="12.75">
      <c r="A20474" s="2">
        <v>43876.1331712963</v>
      </c>
      <c r="B20474" t="str">
        <f>HYPERLINK("https://twitter.com/argatrisarmy","@argatrisarmy")</f>
        <v>@argatrisarmy</v>
      </c>
      <c r="C20474" t="s">
        <v>8349</v>
      </c>
      <c r="D20474">
        <v>17</v>
      </c>
      <c r="E20474">
        <v>0</v>
      </c>
      <c r="F20474">
        <v>140</v>
      </c>
    </row>
    <row r="20475" spans="1:6" ht="12.75">
      <c r="A20475" s="2">
        <v>43876.133136574077</v>
      </c>
      <c r="B20475" t="str">
        <f>HYPERLINK("https://twitter.com/hajirjojang7","@hajirjojang7")</f>
        <v>@hajirjojang7</v>
      </c>
      <c r="C20475" t="s">
        <v>8328</v>
      </c>
      <c r="D20475">
        <v>50</v>
      </c>
      <c r="E20475">
        <v>0</v>
      </c>
      <c r="F20475">
        <v>386</v>
      </c>
    </row>
    <row r="20476" spans="1:6" ht="12.75">
      <c r="A20476" s="2">
        <v>43876.13282407407</v>
      </c>
      <c r="B20476" t="str">
        <f>HYPERLINK("https://twitter.com/aldy_mw","@aldy_mw")</f>
        <v>@aldy_mw</v>
      </c>
      <c r="C20476" t="s">
        <v>9835</v>
      </c>
      <c r="D20476">
        <v>69</v>
      </c>
      <c r="E20476">
        <v>0</v>
      </c>
      <c r="F20476">
        <v>1306</v>
      </c>
    </row>
    <row r="20477" spans="1:6" ht="12.75">
      <c r="A20477" s="2">
        <v>43876.132534722223</v>
      </c>
      <c r="B20477" t="str">
        <f>HYPERLINK("https://twitter.com/badty_","@badty_")</f>
        <v>@badty_</v>
      </c>
      <c r="C20477" t="s">
        <v>2444</v>
      </c>
      <c r="D20477">
        <v>3332</v>
      </c>
      <c r="E20477">
        <v>0</v>
      </c>
      <c r="F20477">
        <v>298</v>
      </c>
    </row>
    <row r="20478" spans="1:6" ht="12.75">
      <c r="A20478" s="2">
        <v>43876.132511574076</v>
      </c>
      <c r="B20478" t="str">
        <f>HYPERLINK("https://twitter.com/aldy_mw","@aldy_mw")</f>
        <v>@aldy_mw</v>
      </c>
      <c r="C20478" t="s">
        <v>10096</v>
      </c>
      <c r="D20478">
        <v>184</v>
      </c>
      <c r="E20478">
        <v>0</v>
      </c>
      <c r="F20478">
        <v>1306</v>
      </c>
    </row>
    <row r="20479" spans="1:6" ht="12.75">
      <c r="A20479" s="2">
        <v>43876.131319444445</v>
      </c>
      <c r="B20479" t="str">
        <f>HYPERLINK("https://twitter.com/Tony_Harto","@Tony_Harto")</f>
        <v>@Tony_Harto</v>
      </c>
      <c r="C20479" t="s">
        <v>10166</v>
      </c>
      <c r="D20479">
        <v>0</v>
      </c>
      <c r="E20479">
        <v>0</v>
      </c>
      <c r="F20479">
        <v>6372</v>
      </c>
    </row>
    <row r="20480" spans="1:6" ht="12.75">
      <c r="A20480" s="2">
        <v>43876.131030092598</v>
      </c>
      <c r="B20480" t="str">
        <f>HYPERLINK("https://twitter.com/KecebongGembul","@KecebongGembul")</f>
        <v>@KecebongGembul</v>
      </c>
      <c r="C20480" t="s">
        <v>10167</v>
      </c>
      <c r="D20480">
        <v>26</v>
      </c>
      <c r="E20480">
        <v>0</v>
      </c>
      <c r="F20480">
        <v>488</v>
      </c>
    </row>
    <row r="20481" spans="1:6" ht="12.75">
      <c r="A20481" s="2">
        <v>43876.130358796298</v>
      </c>
      <c r="B20481" t="str">
        <f>HYPERLINK("https://twitter.com/Bonjours68","@Bonjours68")</f>
        <v>@Bonjours68</v>
      </c>
      <c r="C20481" t="s">
        <v>9082</v>
      </c>
      <c r="D20481">
        <v>86</v>
      </c>
      <c r="E20481">
        <v>0</v>
      </c>
      <c r="F20481">
        <v>129</v>
      </c>
    </row>
    <row r="20482" spans="1:6" ht="12.75">
      <c r="A20482" s="2">
        <v>43876.129490740743</v>
      </c>
      <c r="B20482" t="str">
        <f>HYPERLINK("https://twitter.com/ajizaan","@ajizaan")</f>
        <v>@ajizaan</v>
      </c>
      <c r="C20482" t="s">
        <v>2444</v>
      </c>
      <c r="D20482">
        <v>3332</v>
      </c>
      <c r="E20482">
        <v>0</v>
      </c>
      <c r="F20482">
        <v>92</v>
      </c>
    </row>
    <row r="20483" spans="1:6" ht="12.75">
      <c r="A20483" s="2">
        <v>43876.129467592589</v>
      </c>
      <c r="B20483" t="str">
        <f>HYPERLINK("https://twitter.com/FathoniAlvy","@FathoniAlvy")</f>
        <v>@FathoniAlvy</v>
      </c>
      <c r="C20483" t="s">
        <v>9198</v>
      </c>
      <c r="D20483">
        <v>108</v>
      </c>
      <c r="E20483">
        <v>0</v>
      </c>
      <c r="F20483">
        <v>57</v>
      </c>
    </row>
    <row r="20484" spans="1:6" ht="12.75">
      <c r="A20484" s="2">
        <v>43876.129328703704</v>
      </c>
      <c r="B20484" t="str">
        <f>HYPERLINK("https://twitter.com/argatrisarmy","@argatrisarmy")</f>
        <v>@argatrisarmy</v>
      </c>
      <c r="C20484" t="s">
        <v>9147</v>
      </c>
      <c r="D20484">
        <v>37</v>
      </c>
      <c r="E20484">
        <v>0</v>
      </c>
      <c r="F20484">
        <v>140</v>
      </c>
    </row>
    <row r="20485" spans="1:6" ht="12.75">
      <c r="A20485" s="2">
        <v>43876.129282407404</v>
      </c>
      <c r="B20485" t="str">
        <f>HYPERLINK("https://twitter.com/ad_adi","@ad_adi")</f>
        <v>@ad_adi</v>
      </c>
      <c r="C20485" t="s">
        <v>2444</v>
      </c>
      <c r="D20485">
        <v>3332</v>
      </c>
      <c r="E20485">
        <v>0</v>
      </c>
      <c r="F20485">
        <v>236</v>
      </c>
    </row>
    <row r="20486" spans="1:6" ht="12.75">
      <c r="A20486" s="2">
        <v>43876.128912037035</v>
      </c>
      <c r="B20486" t="str">
        <f>HYPERLINK("https://twitter.com/diahayuNR","@diahayuNR")</f>
        <v>@diahayuNR</v>
      </c>
      <c r="C20486" t="s">
        <v>2444</v>
      </c>
      <c r="D20486">
        <v>3332</v>
      </c>
      <c r="E20486">
        <v>0</v>
      </c>
      <c r="F20486">
        <v>149</v>
      </c>
    </row>
    <row r="20487" spans="1:6" ht="12.75">
      <c r="A20487" s="2">
        <v>43876.12872685185</v>
      </c>
      <c r="B20487" t="str">
        <f>HYPERLINK("https://twitter.com/AlFatih68231928","@AlFatih68231928")</f>
        <v>@AlFatih68231928</v>
      </c>
      <c r="C20487" t="s">
        <v>10168</v>
      </c>
      <c r="D20487">
        <v>1</v>
      </c>
      <c r="E20487">
        <v>0</v>
      </c>
      <c r="F20487">
        <v>1026</v>
      </c>
    </row>
    <row r="20488" spans="1:6" ht="12.75">
      <c r="A20488" s="2">
        <v>43876.128206018519</v>
      </c>
      <c r="B20488" t="str">
        <f>HYPERLINK("https://twitter.com/zenoldgonzalez","@zenoldgonzalez")</f>
        <v>@zenoldgonzalez</v>
      </c>
      <c r="C20488" t="s">
        <v>7888</v>
      </c>
      <c r="D20488">
        <v>54</v>
      </c>
      <c r="E20488">
        <v>0</v>
      </c>
      <c r="F20488">
        <v>1896</v>
      </c>
    </row>
    <row r="20489" spans="1:6" ht="12.75">
      <c r="A20489" s="2">
        <v>43876.12799768518</v>
      </c>
      <c r="B20489" t="str">
        <f>HYPERLINK("https://twitter.com/X_SamURay63","@X_SamURay63")</f>
        <v>@X_SamURay63</v>
      </c>
      <c r="C20489" t="s">
        <v>10169</v>
      </c>
      <c r="D20489">
        <v>56</v>
      </c>
      <c r="E20489">
        <v>0</v>
      </c>
      <c r="F20489">
        <v>3934</v>
      </c>
    </row>
    <row r="20490" spans="1:6" ht="12.75">
      <c r="A20490" s="2">
        <v>43876.127708333333</v>
      </c>
      <c r="B20490" t="str">
        <f>HYPERLINK("https://twitter.com/lightseaber","@lightseaber")</f>
        <v>@lightseaber</v>
      </c>
      <c r="C20490" t="s">
        <v>2137</v>
      </c>
      <c r="D20490">
        <v>232</v>
      </c>
      <c r="E20490">
        <v>0</v>
      </c>
      <c r="F20490">
        <v>3739</v>
      </c>
    </row>
    <row r="20491" spans="1:6" ht="12.75">
      <c r="A20491" s="2">
        <v>43876.127465277779</v>
      </c>
      <c r="B20491" t="str">
        <f>HYPERLINK("https://twitter.com/HLD_23","@HLD_23")</f>
        <v>@HLD_23</v>
      </c>
      <c r="C20491" t="s">
        <v>6201</v>
      </c>
      <c r="D20491">
        <v>327</v>
      </c>
      <c r="E20491">
        <v>0</v>
      </c>
      <c r="F20491">
        <v>236</v>
      </c>
    </row>
    <row r="20492" spans="1:6" ht="12.75">
      <c r="A20492" s="2">
        <v>43876.12736111111</v>
      </c>
      <c r="B20492" t="str">
        <f>HYPERLINK("https://twitter.com/Bramanda04","@Bramanda04")</f>
        <v>@Bramanda04</v>
      </c>
      <c r="C20492" t="s">
        <v>10170</v>
      </c>
      <c r="D20492">
        <v>0</v>
      </c>
      <c r="E20492">
        <v>0</v>
      </c>
      <c r="F20492">
        <v>269</v>
      </c>
    </row>
    <row r="20493" spans="1:6" ht="12.75">
      <c r="A20493" s="2">
        <v>43876.127337962964</v>
      </c>
      <c r="B20493" t="str">
        <f>HYPERLINK("https://twitter.com/MJtuhMasJoko","@MJtuhMasJoko")</f>
        <v>@MJtuhMasJoko</v>
      </c>
      <c r="C20493" t="s">
        <v>9746</v>
      </c>
      <c r="D20493">
        <v>417</v>
      </c>
      <c r="E20493">
        <v>0</v>
      </c>
      <c r="F20493">
        <v>1036</v>
      </c>
    </row>
    <row r="20494" spans="1:6" ht="12.75">
      <c r="A20494" s="2">
        <v>43876.127187499995</v>
      </c>
      <c r="B20494" t="str">
        <f>HYPERLINK("https://twitter.com/ayupsta","@ayupsta")</f>
        <v>@ayupsta</v>
      </c>
      <c r="C20494" t="s">
        <v>2137</v>
      </c>
      <c r="D20494">
        <v>232</v>
      </c>
      <c r="E20494">
        <v>0</v>
      </c>
      <c r="F20494">
        <v>1149</v>
      </c>
    </row>
    <row r="20495" spans="1:6" ht="12.75">
      <c r="A20495" s="2">
        <v>43876.126446759255</v>
      </c>
      <c r="B20495" t="str">
        <f>HYPERLINK("https://twitter.com/evaneva6","@evaneva6")</f>
        <v>@evaneva6</v>
      </c>
      <c r="C20495" t="s">
        <v>10171</v>
      </c>
      <c r="D20495">
        <v>0</v>
      </c>
      <c r="E20495">
        <v>0</v>
      </c>
      <c r="F20495">
        <v>41</v>
      </c>
    </row>
    <row r="20496" spans="1:6" ht="12.75">
      <c r="A20496" s="2">
        <v>43876.125821759255</v>
      </c>
      <c r="B20496" t="str">
        <f>HYPERLINK("https://twitter.com/indonesiaunny","@indonesiaunny")</f>
        <v>@indonesiaunny</v>
      </c>
      <c r="C20496" t="s">
        <v>10172</v>
      </c>
      <c r="D20496">
        <v>0</v>
      </c>
      <c r="E20496">
        <v>0</v>
      </c>
      <c r="F20496">
        <v>12511</v>
      </c>
    </row>
    <row r="20497" spans="1:6" ht="12.75">
      <c r="A20497" s="2">
        <v>43876.125601851847</v>
      </c>
      <c r="B20497" t="str">
        <f>HYPERLINK("https://twitter.com/luqmanhae","@luqmanhae")</f>
        <v>@luqmanhae</v>
      </c>
      <c r="C20497" t="s">
        <v>10173</v>
      </c>
      <c r="D20497">
        <v>5</v>
      </c>
      <c r="E20497">
        <v>0</v>
      </c>
      <c r="F20497">
        <v>481</v>
      </c>
    </row>
    <row r="20498" spans="1:6" ht="12.75">
      <c r="A20498" s="2">
        <v>43876.125127314815</v>
      </c>
      <c r="B20498" t="str">
        <f>HYPERLINK("https://twitter.com/AlaydrusNanny","@AlaydrusNanny")</f>
        <v>@AlaydrusNanny</v>
      </c>
      <c r="C20498" t="s">
        <v>2963</v>
      </c>
      <c r="D20498">
        <v>1211</v>
      </c>
      <c r="E20498">
        <v>0</v>
      </c>
      <c r="F20498">
        <v>45</v>
      </c>
    </row>
    <row r="20499" spans="1:6" ht="12.75">
      <c r="A20499" s="2">
        <v>43876.125034722223</v>
      </c>
      <c r="B20499" t="str">
        <f>HYPERLINK("https://twitter.com/NugraeniYulinda","@NugraeniYulinda")</f>
        <v>@NugraeniYulinda</v>
      </c>
      <c r="C20499" t="s">
        <v>2963</v>
      </c>
      <c r="D20499">
        <v>1211</v>
      </c>
      <c r="E20499">
        <v>0</v>
      </c>
      <c r="F20499">
        <v>244</v>
      </c>
    </row>
    <row r="20500" spans="1:6" ht="12.75">
      <c r="A20500" s="2">
        <v>43876.12427083333</v>
      </c>
      <c r="B20500" t="str">
        <f>HYPERLINK("https://twitter.com/mcdevx","@mcdevx")</f>
        <v>@mcdevx</v>
      </c>
      <c r="C20500" t="s">
        <v>9198</v>
      </c>
      <c r="D20500">
        <v>105</v>
      </c>
      <c r="E20500">
        <v>0</v>
      </c>
      <c r="F20500">
        <v>433</v>
      </c>
    </row>
    <row r="20501" spans="1:6" ht="12.75">
      <c r="A20501" s="2">
        <v>43876.123761574076</v>
      </c>
      <c r="B20501" t="str">
        <f>HYPERLINK("https://twitter.com/azpalkthea","@azpalkthea")</f>
        <v>@azpalkthea</v>
      </c>
      <c r="C20501" t="s">
        <v>9147</v>
      </c>
      <c r="D20501">
        <v>36</v>
      </c>
      <c r="E20501">
        <v>0</v>
      </c>
      <c r="F20501">
        <v>2124</v>
      </c>
    </row>
    <row r="20502" spans="1:6" ht="12.75">
      <c r="A20502" s="2">
        <v>43876.12363425926</v>
      </c>
      <c r="B20502" t="str">
        <f>HYPERLINK("https://twitter.com/Jono_Fortunate","@Jono_Fortunate")</f>
        <v>@Jono_Fortunate</v>
      </c>
      <c r="C20502" t="s">
        <v>10142</v>
      </c>
      <c r="D20502">
        <v>12</v>
      </c>
      <c r="E20502">
        <v>0</v>
      </c>
      <c r="F20502">
        <v>528</v>
      </c>
    </row>
    <row r="20503" spans="1:6" ht="12.75">
      <c r="A20503" s="2">
        <v>43876.123576388884</v>
      </c>
      <c r="B20503" t="str">
        <f>HYPERLINK("https://twitter.com/hudabiutiy","@hudabiutiy")</f>
        <v>@hudabiutiy</v>
      </c>
      <c r="C20503" t="s">
        <v>5168</v>
      </c>
      <c r="D20503">
        <v>1240</v>
      </c>
      <c r="E20503">
        <v>0</v>
      </c>
      <c r="F20503">
        <v>878</v>
      </c>
    </row>
    <row r="20504" spans="1:6" ht="12.75">
      <c r="A20504" s="2">
        <v>43876.123344907406</v>
      </c>
      <c r="B20504" t="str">
        <f>HYPERLINK("https://twitter.com/maisoncatsune","@maisoncatsune")</f>
        <v>@maisoncatsune</v>
      </c>
      <c r="C20504" t="s">
        <v>9123</v>
      </c>
      <c r="D20504">
        <v>312</v>
      </c>
      <c r="E20504">
        <v>0</v>
      </c>
      <c r="F20504">
        <v>97</v>
      </c>
    </row>
    <row r="20505" spans="1:6" ht="12.75">
      <c r="A20505" s="2">
        <v>43876.12327546296</v>
      </c>
      <c r="B20505" t="str">
        <f t="shared" ref="B20505:B20506" si="322">HYPERLINK("https://twitter.com/Indopolitika","@Indopolitika")</f>
        <v>@Indopolitika</v>
      </c>
      <c r="C20505" t="s">
        <v>10174</v>
      </c>
      <c r="D20505">
        <v>0</v>
      </c>
      <c r="E20505">
        <v>0</v>
      </c>
      <c r="F20505">
        <v>10608</v>
      </c>
    </row>
    <row r="20506" spans="1:6" ht="12.75">
      <c r="A20506" s="2">
        <v>43876.123159722221</v>
      </c>
      <c r="B20506" t="str">
        <f t="shared" si="322"/>
        <v>@Indopolitika</v>
      </c>
      <c r="C20506" t="s">
        <v>10175</v>
      </c>
      <c r="D20506">
        <v>0</v>
      </c>
      <c r="E20506">
        <v>0</v>
      </c>
      <c r="F20506">
        <v>10608</v>
      </c>
    </row>
    <row r="20507" spans="1:6" ht="12.75">
      <c r="A20507" s="2">
        <v>43876.121967592597</v>
      </c>
      <c r="B20507" t="str">
        <f>HYPERLINK("https://twitter.com/Damnoldguy","@Damnoldguy")</f>
        <v>@Damnoldguy</v>
      </c>
      <c r="C20507" t="s">
        <v>3150</v>
      </c>
      <c r="D20507">
        <v>55</v>
      </c>
      <c r="E20507">
        <v>0</v>
      </c>
      <c r="F20507">
        <v>3841</v>
      </c>
    </row>
    <row r="20508" spans="1:6" ht="12.75">
      <c r="A20508" s="2">
        <v>43876.121932870374</v>
      </c>
      <c r="B20508" t="str">
        <f>HYPERLINK("https://twitter.com/akhbar_djh","@akhbar_djh")</f>
        <v>@akhbar_djh</v>
      </c>
      <c r="C20508" t="s">
        <v>2444</v>
      </c>
      <c r="D20508">
        <v>3317</v>
      </c>
      <c r="E20508">
        <v>0</v>
      </c>
      <c r="F20508">
        <v>168</v>
      </c>
    </row>
    <row r="20509" spans="1:6" ht="12.75">
      <c r="A20509" s="2">
        <v>43876.120856481481</v>
      </c>
      <c r="B20509" t="str">
        <f>HYPERLINK("https://twitter.com/RanbirS11414092","@RanbirS11414092")</f>
        <v>@RanbirS11414092</v>
      </c>
      <c r="C20509" t="s">
        <v>3150</v>
      </c>
      <c r="D20509">
        <v>55</v>
      </c>
      <c r="E20509">
        <v>0</v>
      </c>
      <c r="F20509">
        <v>126</v>
      </c>
    </row>
    <row r="20510" spans="1:6" ht="12.75">
      <c r="A20510" s="2">
        <v>43876.120428240742</v>
      </c>
      <c r="B20510" t="str">
        <f>HYPERLINK("https://twitter.com/imelbox","@imelbox")</f>
        <v>@imelbox</v>
      </c>
      <c r="C20510" t="s">
        <v>10176</v>
      </c>
      <c r="D20510">
        <v>0</v>
      </c>
      <c r="E20510">
        <v>0</v>
      </c>
      <c r="F20510">
        <v>160</v>
      </c>
    </row>
    <row r="20511" spans="1:6" ht="12.75">
      <c r="A20511" s="2">
        <v>43876.119768518518</v>
      </c>
      <c r="B20511" t="str">
        <f>HYPERLINK("https://twitter.com/trickyd90556041","@trickyd90556041")</f>
        <v>@trickyd90556041</v>
      </c>
      <c r="C20511" t="s">
        <v>3150</v>
      </c>
      <c r="D20511">
        <v>55</v>
      </c>
      <c r="E20511">
        <v>0</v>
      </c>
      <c r="F20511">
        <v>1760</v>
      </c>
    </row>
    <row r="20512" spans="1:6" ht="12.75">
      <c r="A20512" s="2">
        <v>43876.119479166664</v>
      </c>
      <c r="B20512" t="str">
        <f>HYPERLINK("https://twitter.com/dumplingkisses","@dumplingkisses")</f>
        <v>@dumplingkisses</v>
      </c>
      <c r="C20512" t="s">
        <v>10107</v>
      </c>
      <c r="D20512">
        <v>3</v>
      </c>
      <c r="E20512">
        <v>0</v>
      </c>
      <c r="F20512">
        <v>148</v>
      </c>
    </row>
    <row r="20513" spans="1:6" ht="12.75">
      <c r="A20513" s="2">
        <v>43876.119421296295</v>
      </c>
      <c r="B20513" t="str">
        <f>HYPERLINK("https://twitter.com/michaelchrst","@michaelchrst")</f>
        <v>@michaelchrst</v>
      </c>
      <c r="C20513" t="s">
        <v>2963</v>
      </c>
      <c r="D20513">
        <v>1211</v>
      </c>
      <c r="E20513">
        <v>0</v>
      </c>
      <c r="F20513">
        <v>376</v>
      </c>
    </row>
    <row r="20514" spans="1:6" ht="12.75">
      <c r="A20514" s="2">
        <v>43876.118692129632</v>
      </c>
      <c r="B20514" t="str">
        <f t="shared" ref="B20514:B20515" si="323">HYPERLINK("https://twitter.com/dumplingkisses","@dumplingkisses")</f>
        <v>@dumplingkisses</v>
      </c>
      <c r="C20514" t="s">
        <v>10177</v>
      </c>
      <c r="D20514">
        <v>20</v>
      </c>
      <c r="E20514">
        <v>0</v>
      </c>
      <c r="F20514">
        <v>148</v>
      </c>
    </row>
    <row r="20515" spans="1:6" ht="12.75">
      <c r="A20515" s="2">
        <v>43876.118622685186</v>
      </c>
      <c r="B20515" t="str">
        <f t="shared" si="323"/>
        <v>@dumplingkisses</v>
      </c>
      <c r="C20515" t="s">
        <v>10106</v>
      </c>
      <c r="D20515">
        <v>10</v>
      </c>
      <c r="E20515">
        <v>0</v>
      </c>
      <c r="F20515">
        <v>148</v>
      </c>
    </row>
    <row r="20516" spans="1:6" ht="12.75">
      <c r="A20516" s="2">
        <v>43876.118599537032</v>
      </c>
      <c r="B20516" t="str">
        <f>HYPERLINK("https://twitter.com/readers_hoby","@readers_hoby")</f>
        <v>@readers_hoby</v>
      </c>
      <c r="C20516" t="s">
        <v>2137</v>
      </c>
      <c r="D20516">
        <v>229</v>
      </c>
      <c r="E20516">
        <v>0</v>
      </c>
      <c r="F20516">
        <v>54</v>
      </c>
    </row>
    <row r="20517" spans="1:6" ht="12.75">
      <c r="A20517" s="2">
        <v>43876.118460648147</v>
      </c>
      <c r="B20517" t="str">
        <f>HYPERLINK("https://twitter.com/Savega09169739","@Savega09169739")</f>
        <v>@Savega09169739</v>
      </c>
      <c r="C20517" t="s">
        <v>9198</v>
      </c>
      <c r="D20517">
        <v>105</v>
      </c>
      <c r="E20517">
        <v>0</v>
      </c>
      <c r="F20517">
        <v>106</v>
      </c>
    </row>
    <row r="20518" spans="1:6" ht="12.75">
      <c r="A20518" s="2">
        <v>43876.118449074071</v>
      </c>
      <c r="B20518" t="str">
        <f>HYPERLINK("https://twitter.com/jatmikoWwidodo","@jatmikoWwidodo")</f>
        <v>@jatmikoWwidodo</v>
      </c>
      <c r="C20518" t="s">
        <v>10114</v>
      </c>
      <c r="D20518">
        <v>26</v>
      </c>
      <c r="E20518">
        <v>0</v>
      </c>
      <c r="F20518">
        <v>1085</v>
      </c>
    </row>
    <row r="20519" spans="1:6" ht="12.75">
      <c r="A20519" s="2">
        <v>43876.118229166663</v>
      </c>
      <c r="B20519" t="str">
        <f>HYPERLINK("https://twitter.com/rakjat4","@rakjat4")</f>
        <v>@rakjat4</v>
      </c>
      <c r="C20519" t="s">
        <v>6201</v>
      </c>
      <c r="D20519">
        <v>325</v>
      </c>
      <c r="E20519">
        <v>0</v>
      </c>
      <c r="F20519">
        <v>948</v>
      </c>
    </row>
    <row r="20520" spans="1:6" ht="12.75">
      <c r="A20520" s="2">
        <v>43876.118125000001</v>
      </c>
      <c r="B20520" t="str">
        <f>HYPERLINK("https://twitter.com/wijaya_48","@wijaya_48")</f>
        <v>@wijaya_48</v>
      </c>
      <c r="C20520" t="s">
        <v>10178</v>
      </c>
      <c r="D20520">
        <v>1</v>
      </c>
      <c r="E20520">
        <v>0</v>
      </c>
      <c r="F20520">
        <v>381</v>
      </c>
    </row>
    <row r="20521" spans="1:6" ht="12.75">
      <c r="A20521" s="2">
        <v>43876.117719907408</v>
      </c>
      <c r="B20521" t="str">
        <f>HYPERLINK("https://twitter.com/RathboneKim","@RathboneKim")</f>
        <v>@RathboneKim</v>
      </c>
      <c r="C20521" t="s">
        <v>3150</v>
      </c>
      <c r="D20521">
        <v>55</v>
      </c>
      <c r="E20521">
        <v>0</v>
      </c>
      <c r="F20521">
        <v>1219</v>
      </c>
    </row>
    <row r="20522" spans="1:6" ht="12.75">
      <c r="A20522" s="2">
        <v>43876.117627314816</v>
      </c>
      <c r="B20522" t="str">
        <f>HYPERLINK("https://twitter.com/YgGregorius","@YgGregorius")</f>
        <v>@YgGregorius</v>
      </c>
      <c r="C20522" t="s">
        <v>10179</v>
      </c>
      <c r="D20522">
        <v>0</v>
      </c>
      <c r="E20522">
        <v>0</v>
      </c>
      <c r="F20522">
        <v>4097</v>
      </c>
    </row>
    <row r="20523" spans="1:6" ht="12.75">
      <c r="A20523" s="2">
        <v>43876.117569444439</v>
      </c>
      <c r="B20523" t="str">
        <f>HYPERLINK("https://twitter.com/ndeneee","@ndeneee")</f>
        <v>@ndeneee</v>
      </c>
      <c r="C20523" t="s">
        <v>8328</v>
      </c>
      <c r="D20523">
        <v>48</v>
      </c>
      <c r="E20523">
        <v>0</v>
      </c>
      <c r="F20523">
        <v>964</v>
      </c>
    </row>
    <row r="20524" spans="1:6" ht="12.75">
      <c r="A20524" s="2">
        <v>43876.116655092592</v>
      </c>
      <c r="B20524" t="str">
        <f>HYPERLINK("https://twitter.com/Realitarakyat01","@Realitarakyat01")</f>
        <v>@Realitarakyat01</v>
      </c>
      <c r="C20524" t="s">
        <v>10180</v>
      </c>
      <c r="D20524">
        <v>0</v>
      </c>
      <c r="E20524">
        <v>0</v>
      </c>
      <c r="F20524">
        <v>121</v>
      </c>
    </row>
    <row r="20525" spans="1:6" ht="12.75">
      <c r="A20525" s="2">
        <v>43876.11655092593</v>
      </c>
      <c r="B20525" t="str">
        <f>HYPERLINK("https://twitter.com/RonnyHoliday","@RonnyHoliday")</f>
        <v>@RonnyHoliday</v>
      </c>
      <c r="C20525" t="s">
        <v>3150</v>
      </c>
      <c r="D20525">
        <v>55</v>
      </c>
      <c r="E20525">
        <v>0</v>
      </c>
      <c r="F20525">
        <v>0</v>
      </c>
    </row>
    <row r="20526" spans="1:6" ht="12.75">
      <c r="A20526" s="2">
        <v>43876.116423611107</v>
      </c>
      <c r="B20526" t="str">
        <f>HYPERLINK("https://twitter.com/fadly_Elc_Yan","@fadly_Elc_Yan")</f>
        <v>@fadly_Elc_Yan</v>
      </c>
      <c r="C20526" t="s">
        <v>175</v>
      </c>
      <c r="D20526">
        <v>5313</v>
      </c>
      <c r="E20526">
        <v>0</v>
      </c>
      <c r="F20526">
        <v>128</v>
      </c>
    </row>
    <row r="20527" spans="1:6" ht="12.75">
      <c r="A20527" s="2">
        <v>43876.115636574075</v>
      </c>
      <c r="B20527" t="str">
        <f>HYPERLINK("https://twitter.com/Muh_ReskiSmile","@Muh_ReskiSmile")</f>
        <v>@Muh_ReskiSmile</v>
      </c>
      <c r="C20527" t="s">
        <v>10181</v>
      </c>
      <c r="D20527">
        <v>0</v>
      </c>
      <c r="E20527">
        <v>0</v>
      </c>
      <c r="F20527">
        <v>538</v>
      </c>
    </row>
    <row r="20528" spans="1:6" ht="12.75">
      <c r="A20528" s="2">
        <v>43876.114884259259</v>
      </c>
      <c r="B20528" t="str">
        <f>HYPERLINK("https://twitter.com/supfeme","@supfeme")</f>
        <v>@supfeme</v>
      </c>
      <c r="C20528" t="s">
        <v>2444</v>
      </c>
      <c r="D20528">
        <v>3317</v>
      </c>
      <c r="E20528">
        <v>0</v>
      </c>
      <c r="F20528">
        <v>1160</v>
      </c>
    </row>
    <row r="20529" spans="1:6" ht="12.75">
      <c r="A20529" s="2">
        <v>43876.114861111113</v>
      </c>
      <c r="B20529" t="str">
        <f>HYPERLINK("https://twitter.com/Nuraji19am","@Nuraji19am")</f>
        <v>@Nuraji19am</v>
      </c>
      <c r="C20529" t="s">
        <v>2444</v>
      </c>
      <c r="D20529">
        <v>3317</v>
      </c>
      <c r="E20529">
        <v>0</v>
      </c>
      <c r="F20529">
        <v>249</v>
      </c>
    </row>
    <row r="20530" spans="1:6" ht="12.75">
      <c r="A20530" s="2">
        <v>43876.114479166667</v>
      </c>
      <c r="B20530" t="str">
        <f>HYPERLINK("https://twitter.com/asiitiiS","@asiitiiS")</f>
        <v>@asiitiiS</v>
      </c>
      <c r="C20530" t="s">
        <v>9082</v>
      </c>
      <c r="D20530">
        <v>83</v>
      </c>
      <c r="E20530">
        <v>0</v>
      </c>
      <c r="F20530">
        <v>1202</v>
      </c>
    </row>
    <row r="20531" spans="1:6" ht="12.75">
      <c r="A20531" s="2">
        <v>43876.114259259259</v>
      </c>
      <c r="B20531" t="str">
        <f>HYPERLINK("https://twitter.com/zenoldgonzalez","@zenoldgonzalez")</f>
        <v>@zenoldgonzalez</v>
      </c>
      <c r="C20531" t="s">
        <v>10052</v>
      </c>
      <c r="D20531">
        <v>115</v>
      </c>
      <c r="E20531">
        <v>0</v>
      </c>
      <c r="F20531">
        <v>1894</v>
      </c>
    </row>
    <row r="20532" spans="1:6" ht="12.75">
      <c r="A20532" s="2">
        <v>43876.11409722222</v>
      </c>
      <c r="B20532" t="str">
        <f>HYPERLINK("https://twitter.com/Breakingnieuws1","@Breakingnieuws1")</f>
        <v>@Breakingnieuws1</v>
      </c>
      <c r="C20532" t="s">
        <v>10182</v>
      </c>
      <c r="D20532">
        <v>0</v>
      </c>
      <c r="E20532">
        <v>0</v>
      </c>
      <c r="F20532">
        <v>3005</v>
      </c>
    </row>
    <row r="20533" spans="1:6" ht="12.75">
      <c r="A20533" s="2">
        <v>43876.11341435185</v>
      </c>
      <c r="B20533" t="str">
        <f>HYPERLINK("https://twitter.com/maxajee","@maxajee")</f>
        <v>@maxajee</v>
      </c>
      <c r="C20533" t="s">
        <v>10183</v>
      </c>
      <c r="D20533">
        <v>0</v>
      </c>
      <c r="E20533">
        <v>1</v>
      </c>
      <c r="F20533">
        <v>3760</v>
      </c>
    </row>
    <row r="20534" spans="1:6" ht="12.75">
      <c r="A20534" s="2">
        <v>43876.112997685181</v>
      </c>
      <c r="B20534" t="str">
        <f>HYPERLINK("https://twitter.com/kojekpro","@kojekpro")</f>
        <v>@kojekpro</v>
      </c>
      <c r="C20534" t="s">
        <v>7478</v>
      </c>
      <c r="D20534">
        <v>461</v>
      </c>
      <c r="E20534">
        <v>0</v>
      </c>
      <c r="F20534">
        <v>148</v>
      </c>
    </row>
    <row r="20535" spans="1:6" ht="12.75">
      <c r="A20535" s="2">
        <v>43876.112766203703</v>
      </c>
      <c r="B20535" t="str">
        <f>HYPERLINK("https://twitter.com/NyiGiri","@NyiGiri")</f>
        <v>@NyiGiri</v>
      </c>
      <c r="C20535" t="s">
        <v>10184</v>
      </c>
      <c r="D20535">
        <v>1</v>
      </c>
      <c r="E20535">
        <v>0</v>
      </c>
      <c r="F20535">
        <v>3564</v>
      </c>
    </row>
    <row r="20536" spans="1:6" ht="12.75">
      <c r="A20536" s="2">
        <v>43876.112523148149</v>
      </c>
      <c r="B20536" t="str">
        <f>HYPERLINK("https://twitter.com/MobZack","@MobZack")</f>
        <v>@MobZack</v>
      </c>
      <c r="C20536" t="s">
        <v>9198</v>
      </c>
      <c r="D20536">
        <v>105</v>
      </c>
      <c r="E20536">
        <v>0</v>
      </c>
      <c r="F20536">
        <v>198</v>
      </c>
    </row>
    <row r="20537" spans="1:6" ht="12.75">
      <c r="A20537" s="2">
        <v>43876.112071759257</v>
      </c>
      <c r="B20537" t="str">
        <f>HYPERLINK("https://twitter.com/aryahave","@aryahave")</f>
        <v>@aryahave</v>
      </c>
      <c r="C20537" t="s">
        <v>2110</v>
      </c>
      <c r="D20537">
        <v>64</v>
      </c>
      <c r="E20537">
        <v>0</v>
      </c>
      <c r="F20537">
        <v>315</v>
      </c>
    </row>
    <row r="20538" spans="1:6" ht="12.75">
      <c r="A20538" s="2">
        <v>43876.112060185187</v>
      </c>
      <c r="B20538" t="str">
        <f>HYPERLINK("https://twitter.com/AdeCand65866045","@AdeCand65866045")</f>
        <v>@AdeCand65866045</v>
      </c>
      <c r="C20538" t="s">
        <v>7478</v>
      </c>
      <c r="D20538">
        <v>461</v>
      </c>
      <c r="E20538">
        <v>0</v>
      </c>
      <c r="F20538">
        <v>160</v>
      </c>
    </row>
    <row r="20539" spans="1:6" ht="12.75">
      <c r="A20539" s="2">
        <v>43876.111770833333</v>
      </c>
      <c r="B20539" t="str">
        <f>HYPERLINK("https://twitter.com/rizzkipratiwi","@rizzkipratiwi")</f>
        <v>@rizzkipratiwi</v>
      </c>
      <c r="C20539" t="s">
        <v>5168</v>
      </c>
      <c r="D20539">
        <v>1240</v>
      </c>
      <c r="E20539">
        <v>0</v>
      </c>
      <c r="F20539">
        <v>2671</v>
      </c>
    </row>
    <row r="20540" spans="1:6" ht="12.75">
      <c r="A20540" s="2">
        <v>43876.111562499995</v>
      </c>
      <c r="B20540" t="str">
        <f>HYPERLINK("https://twitter.com/nowifancyu","@nowifancyu")</f>
        <v>@nowifancyu</v>
      </c>
      <c r="C20540" t="s">
        <v>2137</v>
      </c>
      <c r="D20540">
        <v>229</v>
      </c>
      <c r="E20540">
        <v>0</v>
      </c>
      <c r="F20540">
        <v>312</v>
      </c>
    </row>
    <row r="20541" spans="1:6" ht="12.75">
      <c r="A20541" s="2">
        <v>43876.111435185187</v>
      </c>
      <c r="B20541" t="str">
        <f>HYPERLINK("https://twitter.com/Mai___taya","@Mai___taya")</f>
        <v>@Mai___taya</v>
      </c>
      <c r="C20541" t="s">
        <v>10185</v>
      </c>
      <c r="D20541">
        <v>0</v>
      </c>
      <c r="E20541">
        <v>0</v>
      </c>
      <c r="F20541">
        <v>40</v>
      </c>
    </row>
    <row r="20542" spans="1:6" ht="12.75">
      <c r="A20542" s="2">
        <v>43876.11137731481</v>
      </c>
      <c r="B20542" t="str">
        <f>HYPERLINK("https://twitter.com/fakamil_","@fakamil_")</f>
        <v>@fakamil_</v>
      </c>
      <c r="C20542" t="s">
        <v>2444</v>
      </c>
      <c r="D20542">
        <v>3317</v>
      </c>
      <c r="E20542">
        <v>0</v>
      </c>
      <c r="F20542">
        <v>449</v>
      </c>
    </row>
    <row r="20543" spans="1:6" ht="12.75">
      <c r="A20543" s="2">
        <v>43876.111157407402</v>
      </c>
      <c r="B20543" t="str">
        <f>HYPERLINK("https://twitter.com/AHSANFURQANIBR5","@AHSANFURQANIBR5")</f>
        <v>@AHSANFURQANIBR5</v>
      </c>
      <c r="C20543" t="s">
        <v>9539</v>
      </c>
      <c r="D20543">
        <v>11</v>
      </c>
      <c r="E20543">
        <v>0</v>
      </c>
      <c r="F20543">
        <v>524</v>
      </c>
    </row>
    <row r="20544" spans="1:6" ht="12.75">
      <c r="A20544" s="2">
        <v>43876.11105324074</v>
      </c>
      <c r="B20544" t="str">
        <f>HYPERLINK("https://twitter.com/PartayaArdirman","@PartayaArdirman")</f>
        <v>@PartayaArdirman</v>
      </c>
      <c r="C20544" t="s">
        <v>2142</v>
      </c>
      <c r="D20544">
        <v>5</v>
      </c>
      <c r="E20544">
        <v>0</v>
      </c>
      <c r="F20544">
        <v>9</v>
      </c>
    </row>
    <row r="20545" spans="1:6" ht="12.75">
      <c r="A20545" s="2">
        <v>43876.110590277778</v>
      </c>
      <c r="B20545" t="str">
        <f>HYPERLINK("https://twitter.com/Jaya_Ind","@Jaya_Ind")</f>
        <v>@Jaya_Ind</v>
      </c>
      <c r="C20545" t="s">
        <v>10186</v>
      </c>
      <c r="D20545">
        <v>0</v>
      </c>
      <c r="E20545">
        <v>0</v>
      </c>
      <c r="F20545">
        <v>2648</v>
      </c>
    </row>
    <row r="20546" spans="1:6" ht="12.75">
      <c r="A20546" s="2">
        <v>43876.110069444447</v>
      </c>
      <c r="B20546" t="str">
        <f>HYPERLINK("https://twitter.com/rojundi_pedist","@rojundi_pedist")</f>
        <v>@rojundi_pedist</v>
      </c>
      <c r="C20546" t="s">
        <v>6201</v>
      </c>
      <c r="D20546">
        <v>325</v>
      </c>
      <c r="E20546">
        <v>0</v>
      </c>
      <c r="F20546">
        <v>131</v>
      </c>
    </row>
    <row r="20547" spans="1:6" ht="12.75">
      <c r="A20547" s="2">
        <v>43876.109953703708</v>
      </c>
      <c r="B20547" t="str">
        <f>HYPERLINK("https://twitter.com/Ongliette","@Ongliette")</f>
        <v>@Ongliette</v>
      </c>
      <c r="C20547" t="s">
        <v>10187</v>
      </c>
      <c r="D20547">
        <v>0</v>
      </c>
      <c r="E20547">
        <v>0</v>
      </c>
      <c r="F20547">
        <v>0</v>
      </c>
    </row>
    <row r="20548" spans="1:6" ht="12.75">
      <c r="A20548" s="2">
        <v>43876.109699074077</v>
      </c>
      <c r="B20548" t="str">
        <f>HYPERLINK("https://twitter.com/fans_ayanami","@fans_ayanami")</f>
        <v>@fans_ayanami</v>
      </c>
      <c r="C20548" t="s">
        <v>2444</v>
      </c>
      <c r="D20548">
        <v>3317</v>
      </c>
      <c r="E20548">
        <v>0</v>
      </c>
      <c r="F20548">
        <v>457</v>
      </c>
    </row>
    <row r="20549" spans="1:6" ht="12.75">
      <c r="A20549" s="2">
        <v>43876.109537037039</v>
      </c>
      <c r="B20549" t="str">
        <f>HYPERLINK("https://twitter.com/Mayyyyxoxoxo","@Mayyyyxoxoxo")</f>
        <v>@Mayyyyxoxoxo</v>
      </c>
      <c r="C20549" t="s">
        <v>2444</v>
      </c>
      <c r="D20549">
        <v>3317</v>
      </c>
      <c r="E20549">
        <v>0</v>
      </c>
      <c r="F20549">
        <v>924</v>
      </c>
    </row>
    <row r="20550" spans="1:6" ht="12.75">
      <c r="A20550" s="2">
        <v>43876.109039351853</v>
      </c>
      <c r="B20550" t="str">
        <f>HYPERLINK("https://twitter.com/enosis_siempre","@enosis_siempre")</f>
        <v>@enosis_siempre</v>
      </c>
      <c r="C20550" t="s">
        <v>9082</v>
      </c>
      <c r="D20550">
        <v>83</v>
      </c>
      <c r="E20550">
        <v>0</v>
      </c>
      <c r="F20550">
        <v>304</v>
      </c>
    </row>
    <row r="20551" spans="1:6" ht="12.75">
      <c r="A20551" s="2">
        <v>43876.108900462961</v>
      </c>
      <c r="B20551" t="str">
        <f>HYPERLINK("https://twitter.com/muhamma23366199","@muhamma23366199")</f>
        <v>@muhamma23366199</v>
      </c>
      <c r="C20551" t="s">
        <v>10188</v>
      </c>
      <c r="D20551">
        <v>0</v>
      </c>
      <c r="E20551">
        <v>0</v>
      </c>
      <c r="F20551">
        <v>485</v>
      </c>
    </row>
    <row r="20552" spans="1:6" ht="12.75">
      <c r="A20552" s="2">
        <v>43876.108807870369</v>
      </c>
      <c r="B20552" t="str">
        <f>HYPERLINK("https://twitter.com/budakdota","@budakdota")</f>
        <v>@budakdota</v>
      </c>
      <c r="C20552" t="s">
        <v>5168</v>
      </c>
      <c r="D20552">
        <v>1240</v>
      </c>
      <c r="E20552">
        <v>0</v>
      </c>
      <c r="F20552">
        <v>60</v>
      </c>
    </row>
    <row r="20553" spans="1:6" ht="12.75">
      <c r="A20553" s="2">
        <v>43876.108043981483</v>
      </c>
      <c r="B20553" t="str">
        <f>HYPERLINK("https://twitter.com/sangbyung_kim","@sangbyung_kim")</f>
        <v>@sangbyung_kim</v>
      </c>
      <c r="C20553" t="s">
        <v>5168</v>
      </c>
      <c r="D20553">
        <v>1240</v>
      </c>
      <c r="E20553">
        <v>0</v>
      </c>
      <c r="F20553">
        <v>364</v>
      </c>
    </row>
    <row r="20554" spans="1:6" ht="12.75">
      <c r="A20554" s="2">
        <v>43876.10800925926</v>
      </c>
      <c r="B20554" t="str">
        <f>HYPERLINK("https://twitter.com/Aceh_INA","@Aceh_INA")</f>
        <v>@Aceh_INA</v>
      </c>
      <c r="C20554" t="s">
        <v>10189</v>
      </c>
      <c r="D20554">
        <v>0</v>
      </c>
      <c r="E20554">
        <v>0</v>
      </c>
      <c r="F20554">
        <v>961</v>
      </c>
    </row>
    <row r="20555" spans="1:6" ht="12.75">
      <c r="A20555" s="2">
        <v>43876.107893518521</v>
      </c>
      <c r="B20555" t="str">
        <f>HYPERLINK("https://twitter.com/rizki_50","@rizki_50")</f>
        <v>@rizki_50</v>
      </c>
      <c r="C20555" t="s">
        <v>10152</v>
      </c>
      <c r="D20555">
        <v>9</v>
      </c>
      <c r="E20555">
        <v>0</v>
      </c>
      <c r="F20555">
        <v>2051</v>
      </c>
    </row>
    <row r="20556" spans="1:6" ht="12.75">
      <c r="A20556" s="2">
        <v>43876.107465277775</v>
      </c>
      <c r="B20556" t="str">
        <f>HYPERLINK("https://twitter.com/shytundd","@shytundd")</f>
        <v>@shytundd</v>
      </c>
      <c r="C20556" t="s">
        <v>5168</v>
      </c>
      <c r="D20556">
        <v>1240</v>
      </c>
      <c r="E20556">
        <v>0</v>
      </c>
      <c r="F20556">
        <v>853</v>
      </c>
    </row>
    <row r="20557" spans="1:6" ht="12.75">
      <c r="A20557" s="2">
        <v>43876.107361111106</v>
      </c>
      <c r="B20557" t="str">
        <f>HYPERLINK("https://twitter.com/di_auliya","@di_auliya")</f>
        <v>@di_auliya</v>
      </c>
      <c r="C20557" t="s">
        <v>2444</v>
      </c>
      <c r="D20557">
        <v>3317</v>
      </c>
      <c r="E20557">
        <v>0</v>
      </c>
      <c r="F20557">
        <v>228</v>
      </c>
    </row>
    <row r="20558" spans="1:6" ht="12.75">
      <c r="A20558" s="2">
        <v>43876.107303240744</v>
      </c>
      <c r="B20558" t="str">
        <f>HYPERLINK("https://twitter.com/pisudesu","@pisudesu")</f>
        <v>@pisudesu</v>
      </c>
      <c r="C20558" t="s">
        <v>2444</v>
      </c>
      <c r="D20558">
        <v>3317</v>
      </c>
      <c r="E20558">
        <v>0</v>
      </c>
      <c r="F20558">
        <v>363</v>
      </c>
    </row>
    <row r="20559" spans="1:6" ht="12.75">
      <c r="A20559" s="2">
        <v>43876.106817129628</v>
      </c>
      <c r="B20559" t="str">
        <f>HYPERLINK("https://twitter.com/jo_wiyono","@jo_wiyono")</f>
        <v>@jo_wiyono</v>
      </c>
      <c r="C20559" t="s">
        <v>10190</v>
      </c>
      <c r="D20559">
        <v>25</v>
      </c>
      <c r="E20559">
        <v>0</v>
      </c>
      <c r="F20559">
        <v>12</v>
      </c>
    </row>
    <row r="20560" spans="1:6" ht="12.75">
      <c r="A20560" s="2">
        <v>43876.10664351852</v>
      </c>
      <c r="B20560" t="str">
        <f>HYPERLINK("https://twitter.com/sasaelsas","@sasaelsas")</f>
        <v>@sasaelsas</v>
      </c>
      <c r="C20560" t="s">
        <v>5168</v>
      </c>
      <c r="D20560">
        <v>1240</v>
      </c>
      <c r="E20560">
        <v>0</v>
      </c>
      <c r="F20560">
        <v>66</v>
      </c>
    </row>
    <row r="20561" spans="1:6" ht="12.75">
      <c r="A20561" s="2">
        <v>43876.106481481482</v>
      </c>
      <c r="B20561" t="str">
        <f>HYPERLINK("https://twitter.com/fikrixyz","@fikrixyz")</f>
        <v>@fikrixyz</v>
      </c>
      <c r="C20561" t="s">
        <v>5168</v>
      </c>
      <c r="D20561">
        <v>1240</v>
      </c>
      <c r="E20561">
        <v>0</v>
      </c>
      <c r="F20561">
        <v>259</v>
      </c>
    </row>
    <row r="20562" spans="1:6" ht="12.75">
      <c r="A20562" s="2">
        <v>43876.106446759259</v>
      </c>
      <c r="B20562" t="str">
        <f>HYPERLINK("https://twitter.com/Sagemuly","@Sagemuly")</f>
        <v>@Sagemuly</v>
      </c>
      <c r="C20562" t="s">
        <v>10052</v>
      </c>
      <c r="D20562">
        <v>115</v>
      </c>
      <c r="E20562">
        <v>0</v>
      </c>
      <c r="F20562">
        <v>88</v>
      </c>
    </row>
    <row r="20563" spans="1:6" ht="12.75">
      <c r="A20563" s="2">
        <v>43876.10628472222</v>
      </c>
      <c r="B20563" t="str">
        <f>HYPERLINK("https://twitter.com/AHSANFURQANIBR5","@AHSANFURQANIBR5")</f>
        <v>@AHSANFURQANIBR5</v>
      </c>
      <c r="C20563" t="s">
        <v>10191</v>
      </c>
      <c r="D20563">
        <v>1</v>
      </c>
      <c r="E20563">
        <v>0</v>
      </c>
      <c r="F20563">
        <v>524</v>
      </c>
    </row>
    <row r="20564" spans="1:6" ht="12.75">
      <c r="A20564" s="2">
        <v>43876.106238425928</v>
      </c>
      <c r="B20564" t="str">
        <f>HYPERLINK("https://twitter.com/DamarEvans_06","@DamarEvans_06")</f>
        <v>@DamarEvans_06</v>
      </c>
      <c r="C20564" t="s">
        <v>8233</v>
      </c>
      <c r="D20564">
        <v>528</v>
      </c>
      <c r="E20564">
        <v>0</v>
      </c>
      <c r="F20564">
        <v>669</v>
      </c>
    </row>
    <row r="20565" spans="1:6" ht="12.75">
      <c r="A20565" s="2">
        <v>43876.105995370366</v>
      </c>
      <c r="B20565" t="str">
        <f>HYPERLINK("https://twitter.com/AHSANFURQANIBR5","@AHSANFURQANIBR5")</f>
        <v>@AHSANFURQANIBR5</v>
      </c>
      <c r="C20565" t="s">
        <v>10192</v>
      </c>
      <c r="D20565">
        <v>2</v>
      </c>
      <c r="E20565">
        <v>0</v>
      </c>
      <c r="F20565">
        <v>524</v>
      </c>
    </row>
    <row r="20566" spans="1:6" ht="12.75">
      <c r="A20566" s="2">
        <v>43876.105914351851</v>
      </c>
      <c r="B20566" t="str">
        <f>HYPERLINK("https://twitter.com/Im_Ustariz","@Im_Ustariz")</f>
        <v>@Im_Ustariz</v>
      </c>
      <c r="C20566" t="s">
        <v>10193</v>
      </c>
      <c r="D20566">
        <v>0</v>
      </c>
      <c r="E20566">
        <v>0</v>
      </c>
      <c r="F20566">
        <v>12</v>
      </c>
    </row>
    <row r="20567" spans="1:6" ht="12.75">
      <c r="A20567" s="2">
        <v>43876.105752314819</v>
      </c>
      <c r="B20567" t="str">
        <f>HYPERLINK("https://twitter.com/Santo_Amora","@Santo_Amora")</f>
        <v>@Santo_Amora</v>
      </c>
      <c r="C20567" t="s">
        <v>7888</v>
      </c>
      <c r="D20567">
        <v>53</v>
      </c>
      <c r="E20567">
        <v>0</v>
      </c>
      <c r="F20567">
        <v>394</v>
      </c>
    </row>
    <row r="20568" spans="1:6" ht="12.75">
      <c r="A20568" s="2">
        <v>43876.105613425927</v>
      </c>
      <c r="B20568" t="str">
        <f>HYPERLINK("https://twitter.com/TsakiriMartha","@TsakiriMartha")</f>
        <v>@TsakiriMartha</v>
      </c>
      <c r="C20568" t="s">
        <v>9082</v>
      </c>
      <c r="D20568">
        <v>83</v>
      </c>
      <c r="E20568">
        <v>0</v>
      </c>
      <c r="F20568">
        <v>3725</v>
      </c>
    </row>
    <row r="20569" spans="1:6" ht="12.75">
      <c r="A20569" s="2">
        <v>43876.105497685188</v>
      </c>
      <c r="B20569" t="str">
        <f>HYPERLINK("https://twitter.com/AHSANFURQANIBR5","@AHSANFURQANIBR5")</f>
        <v>@AHSANFURQANIBR5</v>
      </c>
      <c r="C20569" t="s">
        <v>10097</v>
      </c>
      <c r="D20569">
        <v>3</v>
      </c>
      <c r="E20569">
        <v>0</v>
      </c>
      <c r="F20569">
        <v>524</v>
      </c>
    </row>
    <row r="20570" spans="1:6" ht="12.75">
      <c r="A20570" s="2">
        <v>43876.105416666665</v>
      </c>
      <c r="B20570" t="str">
        <f>HYPERLINK("https://twitter.com/I_Tj3819","@I_Tj3819")</f>
        <v>@I_Tj3819</v>
      </c>
      <c r="C20570" t="s">
        <v>9746</v>
      </c>
      <c r="D20570">
        <v>414</v>
      </c>
      <c r="E20570">
        <v>0</v>
      </c>
      <c r="F20570">
        <v>705</v>
      </c>
    </row>
    <row r="20571" spans="1:6" ht="12.75">
      <c r="A20571" s="2">
        <v>43876.105104166665</v>
      </c>
      <c r="B20571" t="str">
        <f>HYPERLINK("https://twitter.com/DJTP070704","@DJTP070704")</f>
        <v>@DJTP070704</v>
      </c>
      <c r="C20571" t="s">
        <v>9857</v>
      </c>
      <c r="D20571">
        <v>21</v>
      </c>
      <c r="E20571">
        <v>0</v>
      </c>
      <c r="F20571">
        <v>344</v>
      </c>
    </row>
    <row r="20572" spans="1:6" ht="12.75">
      <c r="A20572" s="2">
        <v>43876.104583333334</v>
      </c>
      <c r="B20572" t="str">
        <f>HYPERLINK("https://twitter.com/Howwee","@Howwee")</f>
        <v>@Howwee</v>
      </c>
      <c r="C20572" t="s">
        <v>3150</v>
      </c>
      <c r="D20572">
        <v>55</v>
      </c>
      <c r="E20572">
        <v>0</v>
      </c>
      <c r="F20572">
        <v>204</v>
      </c>
    </row>
    <row r="20573" spans="1:6" ht="12.75">
      <c r="A20573" s="2">
        <v>43876.104490740741</v>
      </c>
      <c r="B20573" t="str">
        <f>HYPERLINK("https://twitter.com/miracuu_","@miracuu_")</f>
        <v>@miracuu_</v>
      </c>
      <c r="C20573" t="s">
        <v>2444</v>
      </c>
      <c r="D20573">
        <v>3317</v>
      </c>
      <c r="E20573">
        <v>0</v>
      </c>
      <c r="F20573">
        <v>786</v>
      </c>
    </row>
    <row r="20574" spans="1:6" ht="12.75">
      <c r="A20574" s="2">
        <v>43876.104155092587</v>
      </c>
      <c r="B20574" t="str">
        <f>HYPERLINK("https://twitter.com/AHSANFURQANIBR5","@AHSANFURQANIBR5")</f>
        <v>@AHSANFURQANIBR5</v>
      </c>
      <c r="C20574" t="s">
        <v>5761</v>
      </c>
      <c r="D20574">
        <v>86</v>
      </c>
      <c r="E20574">
        <v>0</v>
      </c>
      <c r="F20574">
        <v>524</v>
      </c>
    </row>
    <row r="20575" spans="1:6" ht="12.75">
      <c r="A20575" s="2">
        <v>43876.103993055556</v>
      </c>
      <c r="B20575" t="str">
        <f>HYPERLINK("https://twitter.com/_Kikoenaktau","@_Kikoenaktau")</f>
        <v>@_Kikoenaktau</v>
      </c>
      <c r="C20575" t="s">
        <v>5168</v>
      </c>
      <c r="D20575">
        <v>1240</v>
      </c>
      <c r="E20575">
        <v>0</v>
      </c>
      <c r="F20575">
        <v>102</v>
      </c>
    </row>
    <row r="20576" spans="1:6" ht="12.75">
      <c r="A20576" s="2">
        <v>43876.103969907403</v>
      </c>
      <c r="B20576" t="str">
        <f>HYPERLINK("https://twitter.com/Sagemuly","@Sagemuly")</f>
        <v>@Sagemuly</v>
      </c>
      <c r="C20576" t="s">
        <v>7478</v>
      </c>
      <c r="D20576">
        <v>461</v>
      </c>
      <c r="E20576">
        <v>0</v>
      </c>
      <c r="F20576">
        <v>88</v>
      </c>
    </row>
    <row r="20577" spans="1:6" ht="12.75">
      <c r="A20577" s="2">
        <v>43876.103958333333</v>
      </c>
      <c r="B20577" t="str">
        <f>HYPERLINK("https://twitter.com/rtjhoa","@rtjhoa")</f>
        <v>@rtjhoa</v>
      </c>
      <c r="C20577" t="s">
        <v>2444</v>
      </c>
      <c r="D20577">
        <v>3317</v>
      </c>
      <c r="E20577">
        <v>0</v>
      </c>
      <c r="F20577">
        <v>249</v>
      </c>
    </row>
    <row r="20578" spans="1:6" ht="12.75">
      <c r="A20578" s="2">
        <v>43876.103865740741</v>
      </c>
      <c r="B20578" t="str">
        <f>HYPERLINK("https://twitter.com/dumplingkisses","@dumplingkisses")</f>
        <v>@dumplingkisses</v>
      </c>
      <c r="C20578" t="s">
        <v>7295</v>
      </c>
      <c r="D20578">
        <v>1805</v>
      </c>
      <c r="E20578">
        <v>0</v>
      </c>
      <c r="F20578">
        <v>148</v>
      </c>
    </row>
    <row r="20579" spans="1:6" ht="12.75">
      <c r="A20579" s="2">
        <v>43876.10361111111</v>
      </c>
      <c r="B20579" t="str">
        <f>HYPERLINK("https://twitter.com/NicolasBakhtiar","@NicolasBakhtiar")</f>
        <v>@NicolasBakhtiar</v>
      </c>
      <c r="C20579" t="s">
        <v>6201</v>
      </c>
      <c r="D20579">
        <v>325</v>
      </c>
      <c r="E20579">
        <v>0</v>
      </c>
      <c r="F20579">
        <v>222</v>
      </c>
    </row>
    <row r="20580" spans="1:6" ht="12.75">
      <c r="A20580" s="2">
        <v>43876.103414351848</v>
      </c>
      <c r="B20580" t="str">
        <f>HYPERLINK("https://twitter.com/HabonkLutfi","@HabonkLutfi")</f>
        <v>@HabonkLutfi</v>
      </c>
      <c r="C20580" t="s">
        <v>10194</v>
      </c>
      <c r="D20580">
        <v>0</v>
      </c>
      <c r="E20580">
        <v>0</v>
      </c>
      <c r="F20580">
        <v>2278</v>
      </c>
    </row>
    <row r="20581" spans="1:6" ht="12.75">
      <c r="A20581" s="2">
        <v>43876.103159722217</v>
      </c>
      <c r="B20581" t="str">
        <f>HYPERLINK("https://twitter.com/mcdevx","@mcdevx")</f>
        <v>@mcdevx</v>
      </c>
      <c r="C20581" t="s">
        <v>10052</v>
      </c>
      <c r="D20581">
        <v>115</v>
      </c>
      <c r="E20581">
        <v>0</v>
      </c>
      <c r="F20581">
        <v>433</v>
      </c>
    </row>
    <row r="20582" spans="1:6" ht="12.75">
      <c r="A20582" s="2">
        <v>43876.103043981479</v>
      </c>
      <c r="B20582" t="str">
        <f>HYPERLINK("https://twitter.com/redaksi_itoday","@redaksi_itoday")</f>
        <v>@redaksi_itoday</v>
      </c>
      <c r="C20582" t="s">
        <v>10195</v>
      </c>
      <c r="D20582">
        <v>0</v>
      </c>
      <c r="E20582">
        <v>0</v>
      </c>
      <c r="F20582">
        <v>20</v>
      </c>
    </row>
    <row r="20583" spans="1:6" ht="12.75">
      <c r="A20583" s="2">
        <v>43876.103032407409</v>
      </c>
      <c r="B20583" t="str">
        <f>HYPERLINK("https://twitter.com/bbanyuherang","@bbanyuherang")</f>
        <v>@bbanyuherang</v>
      </c>
      <c r="C20583" t="s">
        <v>10196</v>
      </c>
      <c r="D20583">
        <v>145</v>
      </c>
      <c r="E20583">
        <v>0</v>
      </c>
      <c r="F20583">
        <v>124</v>
      </c>
    </row>
    <row r="20584" spans="1:6" ht="12.75">
      <c r="A20584" s="2">
        <v>43876.102812500001</v>
      </c>
      <c r="B20584" t="str">
        <f>HYPERLINK("https://twitter.com/ririn63795590","@ririn63795590")</f>
        <v>@ririn63795590</v>
      </c>
      <c r="C20584" t="s">
        <v>10197</v>
      </c>
      <c r="D20584">
        <v>0</v>
      </c>
      <c r="E20584">
        <v>0</v>
      </c>
      <c r="F20584">
        <v>189</v>
      </c>
    </row>
    <row r="20585" spans="1:6" ht="12.75">
      <c r="A20585" s="2">
        <v>43876.102685185186</v>
      </c>
      <c r="B20585" t="str">
        <f>HYPERLINK("https://twitter.com/PratamaAdityaa8","@PratamaAdityaa8")</f>
        <v>@PratamaAdityaa8</v>
      </c>
      <c r="C20585" t="s">
        <v>10198</v>
      </c>
      <c r="D20585">
        <v>0</v>
      </c>
      <c r="E20585">
        <v>0</v>
      </c>
      <c r="F20585">
        <v>59</v>
      </c>
    </row>
    <row r="20586" spans="1:6" ht="12.75">
      <c r="A20586" s="2">
        <v>43876.101666666669</v>
      </c>
      <c r="B20586" t="str">
        <f>HYPERLINK("https://twitter.com/pandagemash","@pandagemash")</f>
        <v>@pandagemash</v>
      </c>
      <c r="C20586" t="s">
        <v>2444</v>
      </c>
      <c r="D20586">
        <v>3317</v>
      </c>
      <c r="E20586">
        <v>0</v>
      </c>
      <c r="F20586">
        <v>967</v>
      </c>
    </row>
    <row r="20587" spans="1:6" ht="12.75">
      <c r="A20587" s="2">
        <v>43876.101585648154</v>
      </c>
      <c r="B20587" t="str">
        <f>HYPERLINK("https://twitter.com/YoyokSubandriy3","@YoyokSubandriy3")</f>
        <v>@YoyokSubandriy3</v>
      </c>
      <c r="C20587" t="s">
        <v>9997</v>
      </c>
      <c r="D20587">
        <v>8</v>
      </c>
      <c r="E20587">
        <v>0</v>
      </c>
      <c r="F20587">
        <v>1359</v>
      </c>
    </row>
    <row r="20588" spans="1:6" ht="12.75">
      <c r="A20588" s="2">
        <v>43876.101365740746</v>
      </c>
      <c r="B20588" t="str">
        <f>HYPERLINK("https://twitter.com/sirajapadoha","@sirajapadoha")</f>
        <v>@sirajapadoha</v>
      </c>
      <c r="C20588" t="s">
        <v>10199</v>
      </c>
      <c r="D20588">
        <v>0</v>
      </c>
      <c r="E20588">
        <v>1</v>
      </c>
      <c r="F20588">
        <v>2402</v>
      </c>
    </row>
    <row r="20589" spans="1:6" ht="12.75">
      <c r="A20589" s="2">
        <v>43876.100891203707</v>
      </c>
      <c r="B20589" t="str">
        <f>HYPERLINK("https://twitter.com/nowaldi","@nowaldi")</f>
        <v>@nowaldi</v>
      </c>
      <c r="C20589" t="s">
        <v>10152</v>
      </c>
      <c r="D20589">
        <v>9</v>
      </c>
      <c r="E20589">
        <v>0</v>
      </c>
      <c r="F20589">
        <v>291</v>
      </c>
    </row>
    <row r="20590" spans="1:6" ht="12.75">
      <c r="A20590" s="2">
        <v>43876.100671296299</v>
      </c>
      <c r="B20590" t="str">
        <f>HYPERLINK("https://twitter.com/ajbond007","@ajbond007")</f>
        <v>@ajbond007</v>
      </c>
      <c r="C20590" t="s">
        <v>3150</v>
      </c>
      <c r="D20590">
        <v>55</v>
      </c>
      <c r="E20590">
        <v>0</v>
      </c>
      <c r="F20590">
        <v>438</v>
      </c>
    </row>
    <row r="20591" spans="1:6" ht="12.75">
      <c r="A20591" s="2">
        <v>43876.100497685184</v>
      </c>
      <c r="B20591" t="str">
        <f>HYPERLINK("https://twitter.com/becak125cc","@becak125cc")</f>
        <v>@becak125cc</v>
      </c>
      <c r="C20591" t="s">
        <v>10200</v>
      </c>
      <c r="D20591">
        <v>29</v>
      </c>
      <c r="E20591">
        <v>0</v>
      </c>
      <c r="F20591">
        <v>501</v>
      </c>
    </row>
    <row r="20592" spans="1:6" ht="12.75">
      <c r="A20592" s="2">
        <v>43876.100358796291</v>
      </c>
      <c r="B20592" t="str">
        <f>HYPERLINK("https://twitter.com/arythcs","@arythcs")</f>
        <v>@arythcs</v>
      </c>
      <c r="C20592" t="s">
        <v>10201</v>
      </c>
      <c r="D20592">
        <v>0</v>
      </c>
      <c r="E20592">
        <v>0</v>
      </c>
      <c r="F20592">
        <v>1306</v>
      </c>
    </row>
    <row r="20593" spans="1:6" ht="12.75">
      <c r="A20593" s="2">
        <v>43876.100300925929</v>
      </c>
      <c r="B20593" t="str">
        <f>HYPERLINK("https://twitter.com/dumplingkisses","@dumplingkisses")</f>
        <v>@dumplingkisses</v>
      </c>
      <c r="C20593" t="s">
        <v>10202</v>
      </c>
      <c r="D20593">
        <v>93</v>
      </c>
      <c r="E20593">
        <v>0</v>
      </c>
      <c r="F20593">
        <v>148</v>
      </c>
    </row>
    <row r="20594" spans="1:6" ht="12.75">
      <c r="A20594" s="2">
        <v>43876.100081018521</v>
      </c>
      <c r="B20594" t="str">
        <f>HYPERLINK("https://twitter.com/Sophistssss","@Sophistssss")</f>
        <v>@Sophistssss</v>
      </c>
      <c r="C20594" t="s">
        <v>10203</v>
      </c>
      <c r="D20594">
        <v>0</v>
      </c>
      <c r="E20594">
        <v>0</v>
      </c>
      <c r="F20594">
        <v>36</v>
      </c>
    </row>
    <row r="20595" spans="1:6" ht="12.75">
      <c r="A20595" s="2">
        <v>43876.09957175926</v>
      </c>
      <c r="B20595" t="str">
        <f>HYPERLINK("https://twitter.com/piuwgolan","@piuwgolan")</f>
        <v>@piuwgolan</v>
      </c>
      <c r="C20595" t="s">
        <v>10204</v>
      </c>
      <c r="D20595">
        <v>1</v>
      </c>
      <c r="E20595">
        <v>1</v>
      </c>
      <c r="F20595">
        <v>1270</v>
      </c>
    </row>
    <row r="20596" spans="1:6" ht="12.75">
      <c r="A20596" s="2">
        <v>43876.099236111113</v>
      </c>
      <c r="B20596" t="str">
        <f>HYPERLINK("https://twitter.com/rianntears","@rianntears")</f>
        <v>@rianntears</v>
      </c>
      <c r="C20596" t="s">
        <v>9198</v>
      </c>
      <c r="D20596">
        <v>105</v>
      </c>
      <c r="E20596">
        <v>0</v>
      </c>
      <c r="F20596">
        <v>1182</v>
      </c>
    </row>
    <row r="20597" spans="1:6" ht="12.75">
      <c r="A20597" s="2">
        <v>43876.098622685182</v>
      </c>
      <c r="B20597" t="str">
        <f>HYPERLINK("https://twitter.com/Cahkuwut","@Cahkuwut")</f>
        <v>@Cahkuwut</v>
      </c>
      <c r="C20597" t="s">
        <v>10114</v>
      </c>
      <c r="D20597">
        <v>26</v>
      </c>
      <c r="E20597">
        <v>0</v>
      </c>
      <c r="F20597">
        <v>609</v>
      </c>
    </row>
    <row r="20598" spans="1:6" ht="12.75">
      <c r="A20598" s="2">
        <v>43876.098460648151</v>
      </c>
      <c r="B20598" t="str">
        <f>HYPERLINK("https://twitter.com/lyeemoon","@lyeemoon")</f>
        <v>@lyeemoon</v>
      </c>
      <c r="C20598" t="s">
        <v>3150</v>
      </c>
      <c r="D20598">
        <v>55</v>
      </c>
      <c r="E20598">
        <v>0</v>
      </c>
      <c r="F20598">
        <v>1671</v>
      </c>
    </row>
    <row r="20599" spans="1:6" ht="12.75">
      <c r="A20599" s="2">
        <v>43876.098460648151</v>
      </c>
      <c r="B20599" t="str">
        <f>HYPERLINK("https://twitter.com/LebahGanteng07","@LebahGanteng07")</f>
        <v>@LebahGanteng07</v>
      </c>
      <c r="C20599" t="s">
        <v>10057</v>
      </c>
      <c r="D20599">
        <v>13</v>
      </c>
      <c r="E20599">
        <v>0</v>
      </c>
      <c r="F20599">
        <v>1975</v>
      </c>
    </row>
    <row r="20600" spans="1:6" ht="12.75">
      <c r="A20600" s="2">
        <v>43876.098368055551</v>
      </c>
      <c r="B20600" t="str">
        <f>HYPERLINK("https://twitter.com/47brangi","@47brangi")</f>
        <v>@47brangi</v>
      </c>
      <c r="C20600" t="s">
        <v>9082</v>
      </c>
      <c r="D20600">
        <v>83</v>
      </c>
      <c r="E20600">
        <v>0</v>
      </c>
      <c r="F20600">
        <v>582</v>
      </c>
    </row>
    <row r="20601" spans="1:6" ht="12.75">
      <c r="A20601" s="2">
        <v>43876.098113425927</v>
      </c>
      <c r="B20601" t="str">
        <f>HYPERLINK("https://twitter.com/yooranndyeolie","@yooranndyeolie")</f>
        <v>@yooranndyeolie</v>
      </c>
      <c r="C20601" t="s">
        <v>2444</v>
      </c>
      <c r="D20601">
        <v>3317</v>
      </c>
      <c r="E20601">
        <v>0</v>
      </c>
      <c r="F20601">
        <v>785</v>
      </c>
    </row>
    <row r="20602" spans="1:6" ht="12.75">
      <c r="A20602" s="2">
        <v>43876.097731481481</v>
      </c>
      <c r="B20602" t="str">
        <f>HYPERLINK("https://twitter.com/buleariief2","@buleariief2")</f>
        <v>@buleariief2</v>
      </c>
      <c r="C20602" t="s">
        <v>10205</v>
      </c>
      <c r="D20602">
        <v>0</v>
      </c>
      <c r="E20602">
        <v>1</v>
      </c>
      <c r="F20602">
        <v>86</v>
      </c>
    </row>
    <row r="20603" spans="1:6" ht="12.75">
      <c r="A20603" s="2">
        <v>43876.097708333335</v>
      </c>
      <c r="B20603" t="str">
        <f>HYPERLINK("https://twitter.com/Kita_NkRi","@Kita_NkRi")</f>
        <v>@Kita_NkRi</v>
      </c>
      <c r="C20603" t="s">
        <v>10206</v>
      </c>
      <c r="D20603">
        <v>0</v>
      </c>
      <c r="E20603">
        <v>0</v>
      </c>
      <c r="F20603">
        <v>128</v>
      </c>
    </row>
    <row r="20604" spans="1:6" ht="12.75">
      <c r="A20604" s="2">
        <v>43876.097685185188</v>
      </c>
      <c r="B20604" t="str">
        <f>HYPERLINK("https://twitter.com/Nuraji19am","@Nuraji19am")</f>
        <v>@Nuraji19am</v>
      </c>
      <c r="C20604" t="s">
        <v>9997</v>
      </c>
      <c r="D20604">
        <v>8</v>
      </c>
      <c r="E20604">
        <v>0</v>
      </c>
      <c r="F20604">
        <v>249</v>
      </c>
    </row>
    <row r="20605" spans="1:6" ht="12.75">
      <c r="A20605" s="2">
        <v>43876.097280092596</v>
      </c>
      <c r="B20605" t="str">
        <f>HYPERLINK("https://twitter.com/Ms_Zhang88","@Ms_Zhang88")</f>
        <v>@Ms_Zhang88</v>
      </c>
      <c r="C20605" t="s">
        <v>2444</v>
      </c>
      <c r="D20605">
        <v>3317</v>
      </c>
      <c r="E20605">
        <v>0</v>
      </c>
      <c r="F20605">
        <v>75</v>
      </c>
    </row>
    <row r="20606" spans="1:6" ht="12.75">
      <c r="A20606" s="2">
        <v>43876.097013888888</v>
      </c>
      <c r="B20606" t="str">
        <f>HYPERLINK("https://twitter.com/I_Tj3819","@I_Tj3819")</f>
        <v>@I_Tj3819</v>
      </c>
      <c r="C20606" t="s">
        <v>8754</v>
      </c>
      <c r="D20606">
        <v>23</v>
      </c>
      <c r="E20606">
        <v>0</v>
      </c>
      <c r="F20606">
        <v>705</v>
      </c>
    </row>
    <row r="20607" spans="1:6" ht="12.75">
      <c r="A20607" s="2">
        <v>43876.096701388888</v>
      </c>
      <c r="B20607" t="str">
        <f>HYPERLINK("https://twitter.com/gcminie","@gcminie")</f>
        <v>@gcminie</v>
      </c>
      <c r="C20607" t="s">
        <v>9123</v>
      </c>
      <c r="D20607">
        <v>312</v>
      </c>
      <c r="E20607">
        <v>0</v>
      </c>
      <c r="F20607">
        <v>1059</v>
      </c>
    </row>
    <row r="20608" spans="1:6" ht="12.75">
      <c r="A20608" s="2">
        <v>43876.096203703702</v>
      </c>
      <c r="B20608" t="str">
        <f>HYPERLINK("https://twitter.com/ODiraja","@ODiraja")</f>
        <v>@ODiraja</v>
      </c>
      <c r="C20608" t="s">
        <v>10207</v>
      </c>
      <c r="D20608">
        <v>43</v>
      </c>
      <c r="E20608">
        <v>0</v>
      </c>
      <c r="F20608">
        <v>303</v>
      </c>
    </row>
    <row r="20609" spans="1:6" ht="12.75">
      <c r="A20609" s="2">
        <v>43876.095902777779</v>
      </c>
      <c r="B20609" t="str">
        <f>HYPERLINK("https://twitter.com/IwaDirja","@IwaDirja")</f>
        <v>@IwaDirja</v>
      </c>
      <c r="C20609" t="s">
        <v>9746</v>
      </c>
      <c r="D20609">
        <v>414</v>
      </c>
      <c r="E20609">
        <v>0</v>
      </c>
      <c r="F20609">
        <v>473</v>
      </c>
    </row>
    <row r="20610" spans="1:6" ht="12.75">
      <c r="A20610" s="2">
        <v>43876.095648148148</v>
      </c>
      <c r="B20610" t="str">
        <f>HYPERLINK("https://twitter.com/ahsanfurqanib10","@ahsanfurqanib10")</f>
        <v>@ahsanfurqanib10</v>
      </c>
      <c r="C20610" t="s">
        <v>10208</v>
      </c>
      <c r="D20610">
        <v>9</v>
      </c>
      <c r="E20610">
        <v>0</v>
      </c>
      <c r="F20610">
        <v>172</v>
      </c>
    </row>
    <row r="20611" spans="1:6" ht="12.75">
      <c r="A20611" s="2">
        <v>43876.095520833333</v>
      </c>
      <c r="B20611" t="str">
        <f>HYPERLINK("https://twitter.com/Qolybri_8216","@Qolybri_8216")</f>
        <v>@Qolybri_8216</v>
      </c>
      <c r="C20611" t="s">
        <v>10052</v>
      </c>
      <c r="D20611">
        <v>115</v>
      </c>
      <c r="E20611">
        <v>0</v>
      </c>
      <c r="F20611">
        <v>2051</v>
      </c>
    </row>
    <row r="20612" spans="1:6" ht="12.75">
      <c r="A20612" s="2">
        <v>43876.095277777778</v>
      </c>
      <c r="B20612" t="str">
        <f>HYPERLINK("https://twitter.com/bejo_junior","@bejo_junior")</f>
        <v>@bejo_junior</v>
      </c>
      <c r="C20612" t="s">
        <v>8328</v>
      </c>
      <c r="D20612">
        <v>48</v>
      </c>
      <c r="E20612">
        <v>0</v>
      </c>
      <c r="F20612">
        <v>568</v>
      </c>
    </row>
    <row r="20613" spans="1:6" ht="12.75">
      <c r="A20613" s="2">
        <v>43876.094270833331</v>
      </c>
      <c r="B20613" t="str">
        <f>HYPERLINK("https://twitter.com/hasanaje","@hasanaje")</f>
        <v>@hasanaje</v>
      </c>
      <c r="C20613" t="s">
        <v>9746</v>
      </c>
      <c r="D20613">
        <v>414</v>
      </c>
      <c r="E20613">
        <v>0</v>
      </c>
      <c r="F20613">
        <v>3871</v>
      </c>
    </row>
    <row r="20614" spans="1:6" ht="12.75">
      <c r="A20614" s="2">
        <v>43876.093946759254</v>
      </c>
      <c r="B20614" t="str">
        <f>HYPERLINK("https://twitter.com/CassieAROHA","@CassieAROHA")</f>
        <v>@CassieAROHA</v>
      </c>
      <c r="C20614" t="s">
        <v>2444</v>
      </c>
      <c r="D20614">
        <v>3317</v>
      </c>
      <c r="E20614">
        <v>0</v>
      </c>
      <c r="F20614">
        <v>466</v>
      </c>
    </row>
    <row r="20615" spans="1:6" ht="12.75">
      <c r="A20615" s="2">
        <v>43876.093842592592</v>
      </c>
      <c r="B20615" t="str">
        <f>HYPERLINK("https://twitter.com/Rden_","@Rden_")</f>
        <v>@Rden_</v>
      </c>
      <c r="C20615" t="s">
        <v>2963</v>
      </c>
      <c r="D20615">
        <v>1211</v>
      </c>
      <c r="E20615">
        <v>0</v>
      </c>
      <c r="F20615">
        <v>383</v>
      </c>
    </row>
    <row r="20616" spans="1:6" ht="12.75">
      <c r="A20616" s="2">
        <v>43876.093773148154</v>
      </c>
      <c r="B20616" t="str">
        <f>HYPERLINK("https://twitter.com/AsikinAas","@AsikinAas")</f>
        <v>@AsikinAas</v>
      </c>
      <c r="C20616" t="s">
        <v>10209</v>
      </c>
      <c r="D20616">
        <v>0</v>
      </c>
      <c r="E20616">
        <v>0</v>
      </c>
      <c r="F20616">
        <v>0</v>
      </c>
    </row>
    <row r="20617" spans="1:6" ht="12.75">
      <c r="A20617" s="2">
        <v>43876.093645833331</v>
      </c>
      <c r="B20617" t="str">
        <f>HYPERLINK("https://twitter.com/Babysoo30","@Babysoo30")</f>
        <v>@Babysoo30</v>
      </c>
      <c r="C20617" t="s">
        <v>2444</v>
      </c>
      <c r="D20617">
        <v>3317</v>
      </c>
      <c r="E20617">
        <v>0</v>
      </c>
      <c r="F20617">
        <v>829</v>
      </c>
    </row>
    <row r="20618" spans="1:6" ht="12.75">
      <c r="A20618" s="2">
        <v>43876.093449074076</v>
      </c>
      <c r="B20618" t="str">
        <f>HYPERLINK("https://twitter.com/dikz94","@dikz94")</f>
        <v>@dikz94</v>
      </c>
      <c r="C20618" t="s">
        <v>10210</v>
      </c>
      <c r="D20618">
        <v>0</v>
      </c>
      <c r="E20618">
        <v>0</v>
      </c>
      <c r="F20618">
        <v>43</v>
      </c>
    </row>
    <row r="20619" spans="1:6" ht="12.75">
      <c r="A20619" s="2">
        <v>43876.093275462961</v>
      </c>
      <c r="B20619" t="str">
        <f>HYPERLINK("https://twitter.com/smartAde091","@smartAde091")</f>
        <v>@smartAde091</v>
      </c>
      <c r="C20619" t="s">
        <v>10211</v>
      </c>
      <c r="D20619">
        <v>0</v>
      </c>
      <c r="E20619">
        <v>0</v>
      </c>
      <c r="F20619">
        <v>12</v>
      </c>
    </row>
    <row r="20620" spans="1:6" ht="12.75">
      <c r="A20620" s="2">
        <v>43876.093252314815</v>
      </c>
      <c r="B20620" t="str">
        <f>HYPERLINK("https://twitter.com/AspendiTanjung","@AspendiTanjung")</f>
        <v>@AspendiTanjung</v>
      </c>
      <c r="C20620" t="s">
        <v>6201</v>
      </c>
      <c r="D20620">
        <v>325</v>
      </c>
      <c r="E20620">
        <v>0</v>
      </c>
      <c r="F20620">
        <v>569</v>
      </c>
    </row>
    <row r="20621" spans="1:6" ht="12.75">
      <c r="A20621" s="2">
        <v>43876.092962962968</v>
      </c>
      <c r="B20621" t="str">
        <f>HYPERLINK("https://twitter.com/KumajasRobby","@KumajasRobby")</f>
        <v>@KumajasRobby</v>
      </c>
      <c r="C20621" t="s">
        <v>9746</v>
      </c>
      <c r="D20621">
        <v>414</v>
      </c>
      <c r="E20621">
        <v>0</v>
      </c>
      <c r="F20621">
        <v>1734</v>
      </c>
    </row>
    <row r="20622" spans="1:6" ht="12.75">
      <c r="A20622" s="2">
        <v>43876.092939814815</v>
      </c>
      <c r="B20622" t="str">
        <f>HYPERLINK("https://twitter.com/polikromasiii","@polikromasiii")</f>
        <v>@polikromasiii</v>
      </c>
      <c r="C20622" t="s">
        <v>2444</v>
      </c>
      <c r="D20622">
        <v>3317</v>
      </c>
      <c r="E20622">
        <v>0</v>
      </c>
      <c r="F20622">
        <v>1554</v>
      </c>
    </row>
    <row r="20623" spans="1:6" ht="12.75">
      <c r="A20623" s="2">
        <v>43876.092939814815</v>
      </c>
      <c r="B20623" t="str">
        <f>HYPERLINK("https://twitter.com/aguscosmo","@aguscosmo")</f>
        <v>@aguscosmo</v>
      </c>
      <c r="C20623" t="s">
        <v>4100</v>
      </c>
      <c r="D20623">
        <v>2</v>
      </c>
      <c r="E20623">
        <v>0</v>
      </c>
      <c r="F20623">
        <v>313</v>
      </c>
    </row>
    <row r="20624" spans="1:6" ht="12.75">
      <c r="A20624" s="2">
        <v>43876.092858796299</v>
      </c>
      <c r="B20624" t="str">
        <f>HYPERLINK("https://twitter.com/mrs2508008","@mrs2508008")</f>
        <v>@mrs2508008</v>
      </c>
      <c r="C20624" t="s">
        <v>10212</v>
      </c>
      <c r="D20624">
        <v>0</v>
      </c>
      <c r="E20624">
        <v>0</v>
      </c>
      <c r="F20624">
        <v>1690</v>
      </c>
    </row>
    <row r="20625" spans="1:6" ht="12.75">
      <c r="A20625" s="2">
        <v>43876.092569444445</v>
      </c>
      <c r="B20625" t="str">
        <f>HYPERLINK("https://twitter.com/etty_utami","@etty_utami")</f>
        <v>@etty_utami</v>
      </c>
      <c r="C20625" t="s">
        <v>2444</v>
      </c>
      <c r="D20625">
        <v>3317</v>
      </c>
      <c r="E20625">
        <v>0</v>
      </c>
      <c r="F20625">
        <v>107</v>
      </c>
    </row>
    <row r="20626" spans="1:6" ht="12.75">
      <c r="A20626" s="2">
        <v>43876.092476851853</v>
      </c>
      <c r="B20626" t="str">
        <f>HYPERLINK("https://twitter.com/hibonjru","@hibonjru")</f>
        <v>@hibonjru</v>
      </c>
      <c r="C20626" t="s">
        <v>5168</v>
      </c>
      <c r="D20626">
        <v>1240</v>
      </c>
      <c r="E20626">
        <v>0</v>
      </c>
      <c r="F20626">
        <v>608</v>
      </c>
    </row>
    <row r="20627" spans="1:6" ht="12.75">
      <c r="A20627" s="2">
        <v>43876.092442129629</v>
      </c>
      <c r="B20627" t="str">
        <f>HYPERLINK("https://twitter.com/FenrirWolf26","@FenrirWolf26")</f>
        <v>@FenrirWolf26</v>
      </c>
      <c r="C20627" t="s">
        <v>3150</v>
      </c>
      <c r="D20627">
        <v>55</v>
      </c>
      <c r="E20627">
        <v>0</v>
      </c>
      <c r="F20627">
        <v>5609</v>
      </c>
    </row>
    <row r="20628" spans="1:6" ht="12.75">
      <c r="A20628" s="2">
        <v>43876.092280092591</v>
      </c>
      <c r="B20628" t="str">
        <f>HYPERLINK("https://twitter.com/escincausegar","@escincausegar")</f>
        <v>@escincausegar</v>
      </c>
      <c r="C20628" t="s">
        <v>2444</v>
      </c>
      <c r="D20628">
        <v>3317</v>
      </c>
      <c r="E20628">
        <v>0</v>
      </c>
      <c r="F20628">
        <v>422</v>
      </c>
    </row>
    <row r="20629" spans="1:6" ht="12.75">
      <c r="A20629" s="2">
        <v>43876.091574074075</v>
      </c>
      <c r="B20629" t="str">
        <f>HYPERLINK("https://twitter.com/GakpernahBagus","@GakpernahBagus")</f>
        <v>@GakpernahBagus</v>
      </c>
      <c r="C20629" t="s">
        <v>10213</v>
      </c>
      <c r="D20629">
        <v>0</v>
      </c>
      <c r="E20629">
        <v>1</v>
      </c>
      <c r="F20629">
        <v>72</v>
      </c>
    </row>
    <row r="20630" spans="1:6" ht="12.75">
      <c r="A20630" s="2">
        <v>43876.091458333336</v>
      </c>
      <c r="B20630" t="str">
        <f>HYPERLINK("https://twitter.com/sabilla_shaffa","@sabilla_shaffa")</f>
        <v>@sabilla_shaffa</v>
      </c>
      <c r="C20630" t="s">
        <v>10214</v>
      </c>
      <c r="D20630">
        <v>0</v>
      </c>
      <c r="E20630">
        <v>0</v>
      </c>
      <c r="F20630">
        <v>1641</v>
      </c>
    </row>
    <row r="20631" spans="1:6" ht="12.75">
      <c r="A20631" s="2">
        <v>43876.09103009259</v>
      </c>
      <c r="B20631" t="str">
        <f>HYPERLINK("https://twitter.com/fans_ayanami","@fans_ayanami")</f>
        <v>@fans_ayanami</v>
      </c>
      <c r="C20631" t="s">
        <v>9198</v>
      </c>
      <c r="D20631">
        <v>105</v>
      </c>
      <c r="E20631">
        <v>0</v>
      </c>
      <c r="F20631">
        <v>457</v>
      </c>
    </row>
    <row r="20632" spans="1:6" ht="12.75">
      <c r="A20632" s="2">
        <v>43876.090671296297</v>
      </c>
      <c r="B20632" t="str">
        <f>HYPERLINK("https://twitter.com/allygondadessy","@allygondadessy")</f>
        <v>@allygondadessy</v>
      </c>
      <c r="C20632" t="s">
        <v>10137</v>
      </c>
      <c r="D20632">
        <v>0</v>
      </c>
      <c r="E20632">
        <v>0</v>
      </c>
      <c r="F20632">
        <v>23</v>
      </c>
    </row>
    <row r="20633" spans="1:6" ht="12.75">
      <c r="A20633" s="2">
        <v>43876.090671296297</v>
      </c>
      <c r="B20633" t="str">
        <f>HYPERLINK("https://twitter.com/nenmanews","@nenmanews")</f>
        <v>@nenmanews</v>
      </c>
      <c r="C20633" t="s">
        <v>10137</v>
      </c>
      <c r="D20633">
        <v>0</v>
      </c>
      <c r="E20633">
        <v>0</v>
      </c>
      <c r="F20633">
        <v>43</v>
      </c>
    </row>
    <row r="20634" spans="1:6" ht="12.75">
      <c r="A20634" s="2">
        <v>43876.090590277774</v>
      </c>
      <c r="B20634" t="str">
        <f>HYPERLINK("https://twitter.com/lenteraano","@lenteraano")</f>
        <v>@lenteraano</v>
      </c>
      <c r="C20634" t="s">
        <v>7068</v>
      </c>
      <c r="D20634">
        <v>39</v>
      </c>
      <c r="E20634">
        <v>0</v>
      </c>
      <c r="F20634">
        <v>291</v>
      </c>
    </row>
    <row r="20635" spans="1:6" ht="12.75">
      <c r="A20635" s="2">
        <v>43876.090011574073</v>
      </c>
      <c r="B20635" t="str">
        <f>HYPERLINK("https://twitter.com/itsroni4u","@itsroni4u")</f>
        <v>@itsroni4u</v>
      </c>
      <c r="C20635" t="s">
        <v>10215</v>
      </c>
      <c r="D20635">
        <v>0</v>
      </c>
      <c r="E20635">
        <v>0</v>
      </c>
      <c r="F20635">
        <v>40</v>
      </c>
    </row>
    <row r="20636" spans="1:6" ht="12.75">
      <c r="A20636" s="2">
        <v>43876.089722222227</v>
      </c>
      <c r="B20636" t="str">
        <f>HYPERLINK("https://twitter.com/ArielFatR","@ArielFatR")</f>
        <v>@ArielFatR</v>
      </c>
      <c r="C20636" t="s">
        <v>10216</v>
      </c>
      <c r="D20636">
        <v>0</v>
      </c>
      <c r="E20636">
        <v>0</v>
      </c>
      <c r="F20636">
        <v>567</v>
      </c>
    </row>
    <row r="20637" spans="1:6" ht="12.75">
      <c r="A20637" s="2">
        <v>43876.08971064815</v>
      </c>
      <c r="B20637" t="str">
        <f>HYPERLINK("https://twitter.com/LumutHijau13","@LumutHijau13")</f>
        <v>@LumutHijau13</v>
      </c>
      <c r="C20637" t="s">
        <v>10217</v>
      </c>
      <c r="D20637">
        <v>0</v>
      </c>
      <c r="E20637">
        <v>0</v>
      </c>
      <c r="F20637">
        <v>0</v>
      </c>
    </row>
    <row r="20638" spans="1:6" ht="12.75">
      <c r="A20638" s="2">
        <v>43876.089525462958</v>
      </c>
      <c r="B20638" t="str">
        <f>HYPERLINK("https://twitter.com/sonyawautier","@sonyawautier")</f>
        <v>@sonyawautier</v>
      </c>
      <c r="C20638" t="s">
        <v>8328</v>
      </c>
      <c r="D20638">
        <v>48</v>
      </c>
      <c r="E20638">
        <v>0</v>
      </c>
      <c r="F20638">
        <v>767</v>
      </c>
    </row>
    <row r="20639" spans="1:6" ht="12.75">
      <c r="A20639" s="2">
        <v>43876.089143518519</v>
      </c>
      <c r="B20639" t="str">
        <f t="shared" ref="B20639:B20641" si="324">HYPERLINK("https://twitter.com/azkia_teuku","@azkia_teuku")</f>
        <v>@azkia_teuku</v>
      </c>
      <c r="C20639" t="s">
        <v>10218</v>
      </c>
      <c r="D20639">
        <v>0</v>
      </c>
      <c r="E20639">
        <v>0</v>
      </c>
      <c r="F20639">
        <v>76</v>
      </c>
    </row>
    <row r="20640" spans="1:6" ht="12.75">
      <c r="A20640" s="2">
        <v>43876.089143518519</v>
      </c>
      <c r="B20640" t="str">
        <f t="shared" si="324"/>
        <v>@azkia_teuku</v>
      </c>
      <c r="C20640" t="s">
        <v>10219</v>
      </c>
      <c r="D20640">
        <v>0</v>
      </c>
      <c r="E20640">
        <v>0</v>
      </c>
      <c r="F20640">
        <v>76</v>
      </c>
    </row>
    <row r="20641" spans="1:6" ht="12.75">
      <c r="A20641" s="2">
        <v>43876.089131944449</v>
      </c>
      <c r="B20641" t="str">
        <f t="shared" si="324"/>
        <v>@azkia_teuku</v>
      </c>
      <c r="C20641" t="s">
        <v>10220</v>
      </c>
      <c r="D20641">
        <v>0</v>
      </c>
      <c r="E20641">
        <v>0</v>
      </c>
      <c r="F20641">
        <v>76</v>
      </c>
    </row>
    <row r="20642" spans="1:6" ht="12.75">
      <c r="A20642" s="2">
        <v>43876.088912037041</v>
      </c>
      <c r="B20642" t="str">
        <f>HYPERLINK("https://twitter.com/bersxhka","@bersxhka")</f>
        <v>@bersxhka</v>
      </c>
      <c r="C20642" t="s">
        <v>10221</v>
      </c>
      <c r="D20642">
        <v>0</v>
      </c>
      <c r="E20642">
        <v>0</v>
      </c>
      <c r="F20642">
        <v>3208</v>
      </c>
    </row>
    <row r="20643" spans="1:6" ht="12.75">
      <c r="A20643" s="2">
        <v>43876.088483796295</v>
      </c>
      <c r="B20643" t="str">
        <f>HYPERLINK("https://twitter.com/ArmandGusman","@ArmandGusman")</f>
        <v>@ArmandGusman</v>
      </c>
      <c r="C20643" t="s">
        <v>10222</v>
      </c>
      <c r="D20643">
        <v>0</v>
      </c>
      <c r="E20643">
        <v>0</v>
      </c>
      <c r="F20643">
        <v>194</v>
      </c>
    </row>
    <row r="20644" spans="1:6" ht="12.75">
      <c r="A20644" s="2">
        <v>43876.088379629626</v>
      </c>
      <c r="B20644" t="str">
        <f>HYPERLINK("https://twitter.com/kesshobansaibou","@kesshobansaibou")</f>
        <v>@kesshobansaibou</v>
      </c>
      <c r="C20644" t="s">
        <v>2444</v>
      </c>
      <c r="D20644">
        <v>3317</v>
      </c>
      <c r="E20644">
        <v>0</v>
      </c>
      <c r="F20644">
        <v>4469</v>
      </c>
    </row>
    <row r="20645" spans="1:6" ht="12.75">
      <c r="A20645" s="2">
        <v>43876.087523148148</v>
      </c>
      <c r="B20645" t="str">
        <f>HYPERLINK("https://twitter.com/ferry8080","@ferry8080")</f>
        <v>@ferry8080</v>
      </c>
      <c r="C20645" t="s">
        <v>10223</v>
      </c>
      <c r="D20645">
        <v>0</v>
      </c>
      <c r="E20645">
        <v>0</v>
      </c>
      <c r="F20645">
        <v>188</v>
      </c>
    </row>
    <row r="20646" spans="1:6" ht="12.75">
      <c r="A20646" s="2">
        <v>43876.087453703702</v>
      </c>
      <c r="B20646" t="str">
        <f>HYPERLINK("https://twitter.com/NJunawar","@NJunawar")</f>
        <v>@NJunawar</v>
      </c>
      <c r="C20646" t="s">
        <v>9835</v>
      </c>
      <c r="D20646">
        <v>65</v>
      </c>
      <c r="E20646">
        <v>0</v>
      </c>
      <c r="F20646">
        <v>28</v>
      </c>
    </row>
    <row r="20647" spans="1:6" ht="12.75">
      <c r="A20647" s="2">
        <v>43876.08694444444</v>
      </c>
      <c r="B20647" t="str">
        <f>HYPERLINK("https://twitter.com/irraOCTAVIA","@irraOCTAVIA")</f>
        <v>@irraOCTAVIA</v>
      </c>
      <c r="C20647" t="s">
        <v>2444</v>
      </c>
      <c r="D20647">
        <v>3317</v>
      </c>
      <c r="E20647">
        <v>0</v>
      </c>
      <c r="F20647">
        <v>1103</v>
      </c>
    </row>
    <row r="20648" spans="1:6" ht="12.75">
      <c r="A20648" s="2">
        <v>43876.086377314816</v>
      </c>
      <c r="B20648" t="str">
        <f>HYPERLINK("https://twitter.com/marissagunawan9","@marissagunawan9")</f>
        <v>@marissagunawan9</v>
      </c>
      <c r="C20648" t="s">
        <v>10224</v>
      </c>
      <c r="D20648">
        <v>0</v>
      </c>
      <c r="E20648">
        <v>0</v>
      </c>
      <c r="F20648">
        <v>465</v>
      </c>
    </row>
    <row r="20649" spans="1:6" ht="12.75">
      <c r="A20649" s="2">
        <v>43876.086319444439</v>
      </c>
      <c r="B20649" t="str">
        <f>HYPERLINK("https://twitter.com/thomas7suherman","@thomas7suherman")</f>
        <v>@thomas7suherman</v>
      </c>
      <c r="C20649" t="s">
        <v>10225</v>
      </c>
      <c r="D20649">
        <v>12</v>
      </c>
      <c r="E20649">
        <v>0</v>
      </c>
      <c r="F20649">
        <v>2005</v>
      </c>
    </row>
    <row r="20650" spans="1:6" ht="12.75">
      <c r="A20650" s="2">
        <v>43876.08625</v>
      </c>
      <c r="B20650" t="str">
        <f>HYPERLINK("https://twitter.com/gumwybear","@gumwybear")</f>
        <v>@gumwybear</v>
      </c>
      <c r="C20650" t="s">
        <v>2444</v>
      </c>
      <c r="D20650">
        <v>3317</v>
      </c>
      <c r="E20650">
        <v>0</v>
      </c>
      <c r="F20650">
        <v>764</v>
      </c>
    </row>
    <row r="20651" spans="1:6" ht="12.75">
      <c r="A20651" s="2">
        <v>43876.086192129631</v>
      </c>
      <c r="B20651" t="str">
        <f>HYPERLINK("https://twitter.com/chulmilah","@chulmilah")</f>
        <v>@chulmilah</v>
      </c>
      <c r="C20651" t="s">
        <v>2444</v>
      </c>
      <c r="D20651">
        <v>3317</v>
      </c>
      <c r="E20651">
        <v>0</v>
      </c>
      <c r="F20651">
        <v>6</v>
      </c>
    </row>
    <row r="20652" spans="1:6" ht="12.75">
      <c r="A20652" s="2">
        <v>43876.086099537039</v>
      </c>
      <c r="B20652" t="str">
        <f>HYPERLINK("https://twitter.com/papaspoppinpeny","@papaspoppinpeny")</f>
        <v>@papaspoppinpeny</v>
      </c>
      <c r="C20652" t="s">
        <v>2076</v>
      </c>
      <c r="D20652">
        <v>0</v>
      </c>
      <c r="E20652">
        <v>0</v>
      </c>
      <c r="F20652">
        <v>216</v>
      </c>
    </row>
    <row r="20653" spans="1:6" ht="12.75">
      <c r="A20653" s="2">
        <v>43876.086018518516</v>
      </c>
      <c r="B20653" t="str">
        <f>HYPERLINK("https://twitter.com/dongpyoku","@dongpyoku")</f>
        <v>@dongpyoku</v>
      </c>
      <c r="C20653" t="s">
        <v>2444</v>
      </c>
      <c r="D20653">
        <v>3317</v>
      </c>
      <c r="E20653">
        <v>0</v>
      </c>
      <c r="F20653">
        <v>1385</v>
      </c>
    </row>
    <row r="20654" spans="1:6" ht="12.75">
      <c r="A20654" s="2">
        <v>43876.085983796293</v>
      </c>
      <c r="B20654" t="str">
        <f>HYPERLINK("https://twitter.com/jsyfjk","@jsyfjk")</f>
        <v>@jsyfjk</v>
      </c>
      <c r="C20654" t="s">
        <v>2444</v>
      </c>
      <c r="D20654">
        <v>3317</v>
      </c>
      <c r="E20654">
        <v>0</v>
      </c>
      <c r="F20654">
        <v>694</v>
      </c>
    </row>
    <row r="20655" spans="1:6" ht="12.75">
      <c r="A20655" s="2">
        <v>43876.085798611108</v>
      </c>
      <c r="B20655" t="str">
        <f>HYPERLINK("https://twitter.com/heri_purnama","@heri_purnama")</f>
        <v>@heri_purnama</v>
      </c>
      <c r="C20655" t="s">
        <v>2963</v>
      </c>
      <c r="D20655">
        <v>1211</v>
      </c>
      <c r="E20655">
        <v>0</v>
      </c>
      <c r="F20655">
        <v>522</v>
      </c>
    </row>
    <row r="20656" spans="1:6" ht="12.75">
      <c r="A20656" s="2">
        <v>43876.085023148145</v>
      </c>
      <c r="B20656" t="str">
        <f>HYPERLINK("https://twitter.com/YusdiLaksamana","@YusdiLaksamana")</f>
        <v>@YusdiLaksamana</v>
      </c>
      <c r="C20656" t="s">
        <v>10226</v>
      </c>
      <c r="D20656">
        <v>0</v>
      </c>
      <c r="E20656">
        <v>0</v>
      </c>
      <c r="F20656">
        <v>1</v>
      </c>
    </row>
    <row r="20657" spans="1:6" ht="12.75">
      <c r="A20657" s="2">
        <v>43876.08488425926</v>
      </c>
      <c r="B20657" t="str">
        <f>HYPERLINK("https://twitter.com/msyarif_h","@msyarif_h")</f>
        <v>@msyarif_h</v>
      </c>
      <c r="C20657" t="s">
        <v>2444</v>
      </c>
      <c r="D20657">
        <v>3289</v>
      </c>
      <c r="E20657">
        <v>0</v>
      </c>
      <c r="F20657">
        <v>99</v>
      </c>
    </row>
    <row r="20658" spans="1:6" ht="12.75">
      <c r="A20658" s="2">
        <v>43876.084814814814</v>
      </c>
      <c r="B20658" t="str">
        <f>HYPERLINK("https://twitter.com/name_IS_nawaw","@name_IS_nawaw")</f>
        <v>@name_IS_nawaw</v>
      </c>
      <c r="C20658" t="s">
        <v>2444</v>
      </c>
      <c r="D20658">
        <v>3289</v>
      </c>
      <c r="E20658">
        <v>0</v>
      </c>
      <c r="F20658">
        <v>8</v>
      </c>
    </row>
    <row r="20659" spans="1:6" ht="12.75">
      <c r="A20659" s="2">
        <v>43876.084525462968</v>
      </c>
      <c r="B20659" t="str">
        <f>HYPERLINK("https://twitter.com/gakpunyamau","@gakpunyamau")</f>
        <v>@gakpunyamau</v>
      </c>
      <c r="C20659" t="s">
        <v>10227</v>
      </c>
      <c r="D20659">
        <v>0</v>
      </c>
      <c r="E20659">
        <v>0</v>
      </c>
      <c r="F20659">
        <v>6</v>
      </c>
    </row>
    <row r="20660" spans="1:6" ht="12.75">
      <c r="A20660" s="2">
        <v>43876.084351851852</v>
      </c>
      <c r="B20660" t="str">
        <f>HYPERLINK("https://twitter.com/yyudie","@yyudie")</f>
        <v>@yyudie</v>
      </c>
      <c r="C20660" t="s">
        <v>5168</v>
      </c>
      <c r="D20660">
        <v>1228</v>
      </c>
      <c r="E20660">
        <v>0</v>
      </c>
      <c r="F20660">
        <v>410</v>
      </c>
    </row>
    <row r="20661" spans="1:6" ht="12.75">
      <c r="A20661" s="2">
        <v>43876.084178240737</v>
      </c>
      <c r="B20661" t="str">
        <f>HYPERLINK("https://twitter.com/barnadi","@barnadi")</f>
        <v>@barnadi</v>
      </c>
      <c r="C20661" t="s">
        <v>8237</v>
      </c>
      <c r="D20661">
        <v>0</v>
      </c>
      <c r="E20661">
        <v>0</v>
      </c>
      <c r="F20661">
        <v>801</v>
      </c>
    </row>
    <row r="20662" spans="1:6" ht="12.75">
      <c r="A20662" s="2">
        <v>43876.083703703705</v>
      </c>
      <c r="B20662" t="str">
        <f>HYPERLINK("https://twitter.com/AyummaTanaka","@AyummaTanaka")</f>
        <v>@AyummaTanaka</v>
      </c>
      <c r="C20662" t="s">
        <v>2161</v>
      </c>
      <c r="D20662">
        <v>0</v>
      </c>
      <c r="E20662">
        <v>0</v>
      </c>
      <c r="F20662">
        <v>1097</v>
      </c>
    </row>
    <row r="20663" spans="1:6" ht="12.75">
      <c r="A20663" s="2">
        <v>43876.083009259259</v>
      </c>
      <c r="B20663" t="str">
        <f>HYPERLINK("https://twitter.com/suryadarma471","@suryadarma471")</f>
        <v>@suryadarma471</v>
      </c>
      <c r="C20663" t="s">
        <v>8754</v>
      </c>
      <c r="D20663">
        <v>22</v>
      </c>
      <c r="E20663">
        <v>0</v>
      </c>
      <c r="F20663">
        <v>706</v>
      </c>
    </row>
    <row r="20664" spans="1:6" ht="12.75">
      <c r="A20664" s="2">
        <v>43876.082777777774</v>
      </c>
      <c r="B20664" t="str">
        <f>HYPERLINK("https://twitter.com/hdisasmito","@hdisasmito")</f>
        <v>@hdisasmito</v>
      </c>
      <c r="C20664" t="s">
        <v>2444</v>
      </c>
      <c r="D20664">
        <v>3289</v>
      </c>
      <c r="E20664">
        <v>0</v>
      </c>
      <c r="F20664">
        <v>46</v>
      </c>
    </row>
    <row r="20665" spans="1:6" ht="12.75">
      <c r="A20665" s="2">
        <v>43876.082280092596</v>
      </c>
      <c r="B20665" t="str">
        <f>HYPERLINK("https://twitter.com/Fayani_M","@Fayani_M")</f>
        <v>@Fayani_M</v>
      </c>
      <c r="C20665" t="s">
        <v>2444</v>
      </c>
      <c r="D20665">
        <v>3289</v>
      </c>
      <c r="E20665">
        <v>0</v>
      </c>
      <c r="F20665">
        <v>24</v>
      </c>
    </row>
    <row r="20666" spans="1:6" ht="12.75">
      <c r="A20666" s="2">
        <v>43876.081863425927</v>
      </c>
      <c r="B20666" t="str">
        <f>HYPERLINK("https://twitter.com/Alexandra_890","@Alexandra_890")</f>
        <v>@Alexandra_890</v>
      </c>
      <c r="C20666" t="s">
        <v>10228</v>
      </c>
      <c r="D20666">
        <v>0</v>
      </c>
      <c r="E20666">
        <v>0</v>
      </c>
      <c r="F20666">
        <v>854</v>
      </c>
    </row>
    <row r="20667" spans="1:6" ht="12.75">
      <c r="A20667" s="2">
        <v>43876.081817129627</v>
      </c>
      <c r="B20667" t="str">
        <f t="shared" ref="B20667:B20668" si="325">HYPERLINK("https://twitter.com/anginselatanopm","@anginselatanopm")</f>
        <v>@anginselatanopm</v>
      </c>
      <c r="C20667" t="s">
        <v>10229</v>
      </c>
      <c r="D20667">
        <v>0</v>
      </c>
      <c r="E20667">
        <v>0</v>
      </c>
      <c r="F20667">
        <v>4802</v>
      </c>
    </row>
    <row r="20668" spans="1:6" ht="12.75">
      <c r="A20668" s="2">
        <v>43876.081817129627</v>
      </c>
      <c r="B20668" t="str">
        <f t="shared" si="325"/>
        <v>@anginselatanopm</v>
      </c>
      <c r="C20668" t="s">
        <v>10230</v>
      </c>
      <c r="D20668">
        <v>0</v>
      </c>
      <c r="E20668">
        <v>0</v>
      </c>
      <c r="F20668">
        <v>4802</v>
      </c>
    </row>
    <row r="20669" spans="1:6" ht="12.75">
      <c r="A20669" s="2">
        <v>43876.081585648149</v>
      </c>
      <c r="B20669" t="str">
        <f>HYPERLINK("https://twitter.com/Shadestea","@Shadestea")</f>
        <v>@Shadestea</v>
      </c>
      <c r="C20669" t="s">
        <v>2444</v>
      </c>
      <c r="D20669">
        <v>3289</v>
      </c>
      <c r="E20669">
        <v>0</v>
      </c>
      <c r="F20669">
        <v>1791</v>
      </c>
    </row>
    <row r="20670" spans="1:6" ht="12.75">
      <c r="A20670" s="2">
        <v>43876.080983796295</v>
      </c>
      <c r="B20670" t="str">
        <f>HYPERLINK("https://twitter.com/MikirSok","@MikirSok")</f>
        <v>@MikirSok</v>
      </c>
      <c r="C20670" t="s">
        <v>10231</v>
      </c>
      <c r="D20670">
        <v>0</v>
      </c>
      <c r="E20670">
        <v>0</v>
      </c>
      <c r="F20670">
        <v>16</v>
      </c>
    </row>
    <row r="20671" spans="1:6" ht="12.75">
      <c r="A20671" s="2">
        <v>43876.080578703702</v>
      </c>
      <c r="B20671" t="str">
        <f>HYPERLINK("https://twitter.com/ustadzar","@ustadzar")</f>
        <v>@ustadzar</v>
      </c>
      <c r="C20671" t="s">
        <v>10232</v>
      </c>
      <c r="D20671">
        <v>12</v>
      </c>
      <c r="E20671">
        <v>0</v>
      </c>
      <c r="F20671">
        <v>65</v>
      </c>
    </row>
    <row r="20672" spans="1:6" ht="12.75">
      <c r="A20672" s="2">
        <v>43876.080092592594</v>
      </c>
      <c r="B20672" t="str">
        <f>HYPERLINK("https://twitter.com/AMHadi2020","@AMHadi2020")</f>
        <v>@AMHadi2020</v>
      </c>
      <c r="C20672" t="s">
        <v>10233</v>
      </c>
      <c r="D20672">
        <v>0</v>
      </c>
      <c r="E20672">
        <v>0</v>
      </c>
      <c r="F20672">
        <v>30140</v>
      </c>
    </row>
    <row r="20673" spans="1:6" ht="12.75">
      <c r="A20673" s="2">
        <v>43876.080081018517</v>
      </c>
      <c r="B20673" t="str">
        <f>HYPERLINK("https://twitter.com/Frealuvss","@Frealuvss")</f>
        <v>@Frealuvss</v>
      </c>
      <c r="C20673" t="s">
        <v>10234</v>
      </c>
      <c r="D20673">
        <v>0</v>
      </c>
      <c r="E20673">
        <v>0</v>
      </c>
      <c r="F20673">
        <v>419</v>
      </c>
    </row>
    <row r="20674" spans="1:6" ht="12.75">
      <c r="A20674" s="2">
        <v>43876.079270833332</v>
      </c>
      <c r="B20674" t="str">
        <f>HYPERLINK("https://twitter.com/zrzahr","@zrzahr")</f>
        <v>@zrzahr</v>
      </c>
      <c r="C20674" t="s">
        <v>2444</v>
      </c>
      <c r="D20674">
        <v>3289</v>
      </c>
      <c r="E20674">
        <v>0</v>
      </c>
      <c r="F20674">
        <v>21</v>
      </c>
    </row>
    <row r="20675" spans="1:6" ht="12.75">
      <c r="A20675" s="2">
        <v>43876.079062500001</v>
      </c>
      <c r="B20675" t="str">
        <f>HYPERLINK("https://twitter.com/garindrtm","@garindrtm")</f>
        <v>@garindrtm</v>
      </c>
      <c r="C20675" t="s">
        <v>2963</v>
      </c>
      <c r="D20675">
        <v>1205</v>
      </c>
      <c r="E20675">
        <v>0</v>
      </c>
      <c r="F20675">
        <v>339</v>
      </c>
    </row>
    <row r="20676" spans="1:6" ht="12.75">
      <c r="A20676" s="2">
        <v>43876.078865740739</v>
      </c>
      <c r="B20676" t="str">
        <f>HYPERLINK("https://twitter.com/rizskyrichika","@rizskyrichika")</f>
        <v>@rizskyrichika</v>
      </c>
      <c r="C20676" t="s">
        <v>2444</v>
      </c>
      <c r="D20676">
        <v>3289</v>
      </c>
      <c r="E20676">
        <v>0</v>
      </c>
      <c r="F20676">
        <v>847</v>
      </c>
    </row>
    <row r="20677" spans="1:6" ht="12.75">
      <c r="A20677" s="2">
        <v>43876.078668981485</v>
      </c>
      <c r="B20677" t="str">
        <f>HYPERLINK("https://twitter.com/NanaSuryacandra","@NanaSuryacandra")</f>
        <v>@NanaSuryacandra</v>
      </c>
      <c r="C20677" t="s">
        <v>6201</v>
      </c>
      <c r="D20677">
        <v>321</v>
      </c>
      <c r="E20677">
        <v>0</v>
      </c>
      <c r="F20677">
        <v>704</v>
      </c>
    </row>
    <row r="20678" spans="1:6" ht="12.75">
      <c r="A20678" s="2">
        <v>43876.0784375</v>
      </c>
      <c r="B20678" t="str">
        <f>HYPERLINK("https://twitter.com/iampiqot","@iampiqot")</f>
        <v>@iampiqot</v>
      </c>
      <c r="C20678" t="s">
        <v>10235</v>
      </c>
      <c r="D20678">
        <v>0</v>
      </c>
      <c r="E20678">
        <v>0</v>
      </c>
      <c r="F20678">
        <v>44</v>
      </c>
    </row>
    <row r="20679" spans="1:6" ht="12.75">
      <c r="A20679" s="2">
        <v>43876.077951388885</v>
      </c>
      <c r="B20679" t="str">
        <f>HYPERLINK("https://twitter.com/Reaumurrr","@Reaumurrr")</f>
        <v>@Reaumurrr</v>
      </c>
      <c r="C20679" t="s">
        <v>2444</v>
      </c>
      <c r="D20679">
        <v>3289</v>
      </c>
      <c r="E20679">
        <v>0</v>
      </c>
      <c r="F20679">
        <v>248</v>
      </c>
    </row>
    <row r="20680" spans="1:6" ht="12.75">
      <c r="A20680" s="2">
        <v>43876.077835648146</v>
      </c>
      <c r="B20680" t="str">
        <f>HYPERLINK("https://twitter.com/BelekokMr","@BelekokMr")</f>
        <v>@BelekokMr</v>
      </c>
      <c r="C20680" t="s">
        <v>9198</v>
      </c>
      <c r="D20680">
        <v>100</v>
      </c>
      <c r="E20680">
        <v>0</v>
      </c>
      <c r="F20680">
        <v>347</v>
      </c>
    </row>
    <row r="20681" spans="1:6" ht="12.75">
      <c r="A20681" s="2">
        <v>43876.077199074076</v>
      </c>
      <c r="B20681" t="str">
        <f>HYPERLINK("https://twitter.com/edi_warsito2007","@edi_warsito2007")</f>
        <v>@edi_warsito2007</v>
      </c>
      <c r="C20681" t="s">
        <v>8353</v>
      </c>
      <c r="D20681">
        <v>6</v>
      </c>
      <c r="E20681">
        <v>0</v>
      </c>
      <c r="F20681">
        <v>34</v>
      </c>
    </row>
    <row r="20682" spans="1:6" ht="12.75">
      <c r="A20682" s="2">
        <v>43876.076874999999</v>
      </c>
      <c r="B20682" t="str">
        <f>HYPERLINK("https://twitter.com/keamorebi","@keamorebi")</f>
        <v>@keamorebi</v>
      </c>
      <c r="C20682" t="s">
        <v>2444</v>
      </c>
      <c r="D20682">
        <v>3289</v>
      </c>
      <c r="E20682">
        <v>0</v>
      </c>
      <c r="F20682">
        <v>936</v>
      </c>
    </row>
    <row r="20683" spans="1:6" ht="12.75">
      <c r="A20683" s="2">
        <v>43876.076643518521</v>
      </c>
      <c r="B20683" t="str">
        <f>HYPERLINK("https://twitter.com/aka_andika_p27r","@aka_andika_p27r")</f>
        <v>@aka_andika_p27r</v>
      </c>
      <c r="C20683" t="s">
        <v>10236</v>
      </c>
      <c r="D20683">
        <v>0</v>
      </c>
      <c r="E20683">
        <v>0</v>
      </c>
      <c r="F20683">
        <v>47</v>
      </c>
    </row>
    <row r="20684" spans="1:6" ht="12.75">
      <c r="A20684" s="2">
        <v>43876.076469907406</v>
      </c>
      <c r="B20684" t="str">
        <f>HYPERLINK("https://twitter.com/edikadina02","@edikadina02")</f>
        <v>@edikadina02</v>
      </c>
      <c r="C20684" t="s">
        <v>10232</v>
      </c>
      <c r="D20684">
        <v>12</v>
      </c>
      <c r="E20684">
        <v>0</v>
      </c>
      <c r="F20684">
        <v>2055</v>
      </c>
    </row>
    <row r="20685" spans="1:6" ht="12.75">
      <c r="A20685" s="2">
        <v>43876.076273148152</v>
      </c>
      <c r="B20685" t="str">
        <f>HYPERLINK("https://twitter.com/ndmendez13","@ndmendez13")</f>
        <v>@ndmendez13</v>
      </c>
      <c r="C20685" t="s">
        <v>7478</v>
      </c>
      <c r="D20685">
        <v>458</v>
      </c>
      <c r="E20685">
        <v>0</v>
      </c>
      <c r="F20685">
        <v>349</v>
      </c>
    </row>
    <row r="20686" spans="1:6" ht="12.75">
      <c r="A20686" s="2">
        <v>43876.076273148152</v>
      </c>
      <c r="B20686" t="str">
        <f>HYPERLINK("https://twitter.com/ndaru_wardani","@ndaru_wardani")</f>
        <v>@ndaru_wardani</v>
      </c>
      <c r="C20686" t="s">
        <v>9147</v>
      </c>
      <c r="D20686">
        <v>35</v>
      </c>
      <c r="E20686">
        <v>0</v>
      </c>
      <c r="F20686">
        <v>262</v>
      </c>
    </row>
    <row r="20687" spans="1:6" ht="12.75">
      <c r="A20687" s="2">
        <v>43876.076261574075</v>
      </c>
      <c r="B20687" t="str">
        <f>HYPERLINK("https://twitter.com/axsahhh","@axsahhh")</f>
        <v>@axsahhh</v>
      </c>
      <c r="C20687" t="s">
        <v>2444</v>
      </c>
      <c r="D20687">
        <v>3289</v>
      </c>
      <c r="E20687">
        <v>0</v>
      </c>
      <c r="F20687">
        <v>1797</v>
      </c>
    </row>
    <row r="20688" spans="1:6" ht="12.75">
      <c r="A20688" s="2">
        <v>43876.075787037036</v>
      </c>
      <c r="B20688" t="str">
        <f>HYPERLINK("https://twitter.com/perspektifbilly","@perspektifbilly")</f>
        <v>@perspektifbilly</v>
      </c>
      <c r="C20688" t="s">
        <v>2444</v>
      </c>
      <c r="D20688">
        <v>3289</v>
      </c>
      <c r="E20688">
        <v>0</v>
      </c>
      <c r="F20688">
        <v>937</v>
      </c>
    </row>
    <row r="20689" spans="1:6" ht="12.75">
      <c r="A20689" s="2">
        <v>43876.075543981482</v>
      </c>
      <c r="B20689" t="str">
        <f>HYPERLINK("https://twitter.com/wan_wanrawan","@wan_wanrawan")</f>
        <v>@wan_wanrawan</v>
      </c>
      <c r="C20689" t="s">
        <v>7478</v>
      </c>
      <c r="D20689">
        <v>458</v>
      </c>
      <c r="E20689">
        <v>0</v>
      </c>
      <c r="F20689">
        <v>1000</v>
      </c>
    </row>
    <row r="20690" spans="1:6" ht="12.75">
      <c r="A20690" s="2">
        <v>43876.07540509259</v>
      </c>
      <c r="B20690" t="str">
        <f>HYPERLINK("https://twitter.com/lactamill","@lactamill")</f>
        <v>@lactamill</v>
      </c>
      <c r="C20690" t="s">
        <v>2444</v>
      </c>
      <c r="D20690">
        <v>3289</v>
      </c>
      <c r="E20690">
        <v>0</v>
      </c>
      <c r="F20690">
        <v>1304</v>
      </c>
    </row>
    <row r="20691" spans="1:6" ht="12.75">
      <c r="A20691" s="2">
        <v>43876.075196759259</v>
      </c>
      <c r="B20691" t="str">
        <f>HYPERLINK("https://twitter.com/zhirro_tyo","@zhirro_tyo")</f>
        <v>@zhirro_tyo</v>
      </c>
      <c r="C20691" t="s">
        <v>10237</v>
      </c>
      <c r="D20691">
        <v>50</v>
      </c>
      <c r="E20691">
        <v>0</v>
      </c>
      <c r="F20691">
        <v>398</v>
      </c>
    </row>
    <row r="20692" spans="1:6" ht="12.75">
      <c r="A20692" s="2">
        <v>43876.074918981481</v>
      </c>
      <c r="B20692" t="str">
        <f>HYPERLINK("https://twitter.com/paperclipyipi","@paperclipyipi")</f>
        <v>@paperclipyipi</v>
      </c>
      <c r="C20692" t="s">
        <v>5168</v>
      </c>
      <c r="D20692">
        <v>1228</v>
      </c>
      <c r="E20692">
        <v>0</v>
      </c>
      <c r="F20692">
        <v>265</v>
      </c>
    </row>
    <row r="20693" spans="1:6" ht="12.75">
      <c r="A20693" s="2">
        <v>43876.074849537035</v>
      </c>
      <c r="B20693" t="str">
        <f>HYPERLINK("https://twitter.com/sadbich777","@sadbich777")</f>
        <v>@sadbich777</v>
      </c>
      <c r="C20693" t="s">
        <v>5168</v>
      </c>
      <c r="D20693">
        <v>1228</v>
      </c>
      <c r="E20693">
        <v>0</v>
      </c>
      <c r="F20693">
        <v>736</v>
      </c>
    </row>
    <row r="20694" spans="1:6" ht="12.75">
      <c r="A20694" s="2">
        <v>43876.074837962966</v>
      </c>
      <c r="B20694" t="str">
        <f>HYPERLINK("https://twitter.com/truk_ce","@truk_ce")</f>
        <v>@truk_ce</v>
      </c>
      <c r="C20694" t="s">
        <v>10238</v>
      </c>
      <c r="D20694">
        <v>0</v>
      </c>
      <c r="E20694">
        <v>0</v>
      </c>
      <c r="F20694">
        <v>426</v>
      </c>
    </row>
    <row r="20695" spans="1:6" ht="12.75">
      <c r="A20695" s="2">
        <v>43876.074583333335</v>
      </c>
      <c r="B20695" t="str">
        <f>HYPERLINK("https://twitter.com/harsono_afen_","@harsono_afen_")</f>
        <v>@harsono_afen_</v>
      </c>
      <c r="C20695" t="s">
        <v>2444</v>
      </c>
      <c r="D20695">
        <v>3289</v>
      </c>
      <c r="E20695">
        <v>0</v>
      </c>
      <c r="F20695">
        <v>1553</v>
      </c>
    </row>
    <row r="20696" spans="1:6" ht="12.75">
      <c r="A20696" s="2">
        <v>43876.074444444443</v>
      </c>
      <c r="B20696" t="str">
        <f>HYPERLINK("https://twitter.com/amarilis_ayu","@amarilis_ayu")</f>
        <v>@amarilis_ayu</v>
      </c>
      <c r="C20696" t="s">
        <v>10224</v>
      </c>
      <c r="D20696">
        <v>0</v>
      </c>
      <c r="E20696">
        <v>0</v>
      </c>
      <c r="F20696">
        <v>1369</v>
      </c>
    </row>
    <row r="20697" spans="1:6" ht="12.75">
      <c r="A20697" s="2">
        <v>43876.074317129634</v>
      </c>
      <c r="B20697" t="str">
        <f>HYPERLINK("https://twitter.com/YeoliEris_","@YeoliEris_")</f>
        <v>@YeoliEris_</v>
      </c>
      <c r="C20697" t="s">
        <v>2444</v>
      </c>
      <c r="D20697">
        <v>3289</v>
      </c>
      <c r="E20697">
        <v>0</v>
      </c>
      <c r="F20697">
        <v>212</v>
      </c>
    </row>
    <row r="20698" spans="1:6" ht="12.75">
      <c r="A20698" s="2">
        <v>43876.074108796296</v>
      </c>
      <c r="B20698" t="str">
        <f>HYPERLINK("https://twitter.com/istanjoeng86","@istanjoeng86")</f>
        <v>@istanjoeng86</v>
      </c>
      <c r="C20698" t="s">
        <v>10239</v>
      </c>
      <c r="D20698">
        <v>0</v>
      </c>
      <c r="E20698">
        <v>0</v>
      </c>
      <c r="F20698">
        <v>23</v>
      </c>
    </row>
    <row r="20699" spans="1:6" ht="12.75">
      <c r="A20699" s="2">
        <v>43876.073773148149</v>
      </c>
      <c r="B20699" t="str">
        <f>HYPERLINK("https://twitter.com/abcdfuckyall","@abcdfuckyall")</f>
        <v>@abcdfuckyall</v>
      </c>
      <c r="C20699" t="s">
        <v>5168</v>
      </c>
      <c r="D20699">
        <v>1228</v>
      </c>
      <c r="E20699">
        <v>0</v>
      </c>
      <c r="F20699">
        <v>5</v>
      </c>
    </row>
    <row r="20700" spans="1:6" ht="12.75">
      <c r="A20700" s="2">
        <v>43876.073645833334</v>
      </c>
      <c r="B20700" t="str">
        <f>HYPERLINK("https://twitter.com/Uwaisalatas","@Uwaisalatas")</f>
        <v>@Uwaisalatas</v>
      </c>
      <c r="C20700" t="s">
        <v>6201</v>
      </c>
      <c r="D20700">
        <v>321</v>
      </c>
      <c r="E20700">
        <v>0</v>
      </c>
      <c r="F20700">
        <v>1209</v>
      </c>
    </row>
    <row r="20701" spans="1:6" ht="12.75">
      <c r="A20701" s="2">
        <v>43876.073553240742</v>
      </c>
      <c r="B20701" t="str">
        <f>HYPERLINK("https://twitter.com/abcdfuckyall","@abcdfuckyall")</f>
        <v>@abcdfuckyall</v>
      </c>
      <c r="C20701" t="s">
        <v>2444</v>
      </c>
      <c r="D20701">
        <v>3289</v>
      </c>
      <c r="E20701">
        <v>0</v>
      </c>
      <c r="F20701">
        <v>5</v>
      </c>
    </row>
    <row r="20702" spans="1:6" ht="12.75">
      <c r="A20702" s="2">
        <v>43876.073437500003</v>
      </c>
      <c r="B20702" t="str">
        <f>HYPERLINK("https://twitter.com/kuebantalll","@kuebantalll")</f>
        <v>@kuebantalll</v>
      </c>
      <c r="C20702" t="s">
        <v>2444</v>
      </c>
      <c r="D20702">
        <v>3289</v>
      </c>
      <c r="E20702">
        <v>0</v>
      </c>
      <c r="F20702">
        <v>459</v>
      </c>
    </row>
    <row r="20703" spans="1:6" ht="12.75">
      <c r="A20703" s="2">
        <v>43876.073414351849</v>
      </c>
      <c r="B20703" t="str">
        <f>HYPERLINK("https://twitter.com/BHD_8","@BHD_8")</f>
        <v>@BHD_8</v>
      </c>
      <c r="C20703" t="s">
        <v>10240</v>
      </c>
      <c r="D20703">
        <v>0</v>
      </c>
      <c r="E20703">
        <v>2</v>
      </c>
      <c r="F20703">
        <v>12140</v>
      </c>
    </row>
    <row r="20704" spans="1:6" ht="12.75">
      <c r="A20704" s="2">
        <v>43876.072650462964</v>
      </c>
      <c r="B20704" t="str">
        <f>HYPERLINK("https://twitter.com/Shadow_Master_P","@Shadow_Master_P")</f>
        <v>@Shadow_Master_P</v>
      </c>
      <c r="C20704" t="s">
        <v>7888</v>
      </c>
      <c r="D20704">
        <v>52</v>
      </c>
      <c r="E20704">
        <v>0</v>
      </c>
      <c r="F20704">
        <v>2087</v>
      </c>
    </row>
    <row r="20705" spans="1:6" ht="12.75">
      <c r="A20705" s="2">
        <v>43876.072627314818</v>
      </c>
      <c r="B20705" t="str">
        <f>HYPERLINK("https://twitter.com/SamruddinHaseo","@SamruddinHaseo")</f>
        <v>@SamruddinHaseo</v>
      </c>
      <c r="C20705" t="s">
        <v>2110</v>
      </c>
      <c r="D20705">
        <v>63</v>
      </c>
      <c r="E20705">
        <v>0</v>
      </c>
      <c r="F20705">
        <v>57</v>
      </c>
    </row>
    <row r="20706" spans="1:6" ht="12.75">
      <c r="A20706" s="2">
        <v>43876.072395833333</v>
      </c>
      <c r="B20706" t="str">
        <f>HYPERLINK("https://twitter.com/diorranze","@diorranze")</f>
        <v>@diorranze</v>
      </c>
      <c r="C20706" t="s">
        <v>7478</v>
      </c>
      <c r="D20706">
        <v>458</v>
      </c>
      <c r="E20706">
        <v>0</v>
      </c>
      <c r="F20706">
        <v>390</v>
      </c>
    </row>
    <row r="20707" spans="1:6" ht="12.75">
      <c r="A20707" s="2">
        <v>43876.071967592594</v>
      </c>
      <c r="B20707" t="str">
        <f>HYPERLINK("https://twitter.com/andrewplykn","@andrewplykn")</f>
        <v>@andrewplykn</v>
      </c>
      <c r="C20707" t="s">
        <v>5168</v>
      </c>
      <c r="D20707">
        <v>1228</v>
      </c>
      <c r="E20707">
        <v>0</v>
      </c>
      <c r="F20707">
        <v>30</v>
      </c>
    </row>
    <row r="20708" spans="1:6" ht="12.75">
      <c r="A20708" s="2">
        <v>43876.071724537032</v>
      </c>
      <c r="B20708" t="str">
        <f>HYPERLINK("https://twitter.com/angstfic","@angstfic")</f>
        <v>@angstfic</v>
      </c>
      <c r="C20708" t="s">
        <v>2444</v>
      </c>
      <c r="D20708">
        <v>3289</v>
      </c>
      <c r="E20708">
        <v>0</v>
      </c>
      <c r="F20708">
        <v>1514</v>
      </c>
    </row>
    <row r="20709" spans="1:6" ht="12.75">
      <c r="A20709" s="2">
        <v>43876.071689814809</v>
      </c>
      <c r="B20709" t="str">
        <f>HYPERLINK("https://twitter.com/octania_","@octania_")</f>
        <v>@octania_</v>
      </c>
      <c r="C20709" t="s">
        <v>10241</v>
      </c>
      <c r="D20709">
        <v>0</v>
      </c>
      <c r="E20709">
        <v>1</v>
      </c>
      <c r="F20709">
        <v>2586</v>
      </c>
    </row>
    <row r="20710" spans="1:6" ht="12.75">
      <c r="A20710" s="2">
        <v>43876.07166666667</v>
      </c>
      <c r="B20710" t="str">
        <f>HYPERLINK("https://twitter.com/ferincchi","@ferincchi")</f>
        <v>@ferincchi</v>
      </c>
      <c r="C20710" t="s">
        <v>2444</v>
      </c>
      <c r="D20710">
        <v>3289</v>
      </c>
      <c r="E20710">
        <v>0</v>
      </c>
      <c r="F20710">
        <v>444</v>
      </c>
    </row>
    <row r="20711" spans="1:6" ht="12.75">
      <c r="A20711" s="2">
        <v>43876.07166666667</v>
      </c>
      <c r="B20711" t="str">
        <f>HYPERLINK("https://twitter.com/isis_macedo10","@isis_macedo10")</f>
        <v>@isis_macedo10</v>
      </c>
      <c r="C20711" t="s">
        <v>10242</v>
      </c>
      <c r="D20711">
        <v>0</v>
      </c>
      <c r="E20711">
        <v>0</v>
      </c>
      <c r="F20711">
        <v>5110</v>
      </c>
    </row>
    <row r="20712" spans="1:6" ht="12.75">
      <c r="A20712" s="2">
        <v>43876.071134259255</v>
      </c>
      <c r="B20712" t="str">
        <f>HYPERLINK("https://twitter.com/nadianahla","@nadianahla")</f>
        <v>@nadianahla</v>
      </c>
      <c r="C20712" t="s">
        <v>2444</v>
      </c>
      <c r="D20712">
        <v>3289</v>
      </c>
      <c r="E20712">
        <v>0</v>
      </c>
      <c r="F20712">
        <v>656</v>
      </c>
    </row>
    <row r="20713" spans="1:6" ht="12.75">
      <c r="A20713" s="2">
        <v>43876.070590277777</v>
      </c>
      <c r="B20713" t="str">
        <f>HYPERLINK("https://twitter.com/willdansiapa","@willdansiapa")</f>
        <v>@willdansiapa</v>
      </c>
      <c r="C20713" t="s">
        <v>2444</v>
      </c>
      <c r="D20713">
        <v>3289</v>
      </c>
      <c r="E20713">
        <v>0</v>
      </c>
      <c r="F20713">
        <v>249</v>
      </c>
    </row>
    <row r="20714" spans="1:6" ht="12.75">
      <c r="A20714" s="2">
        <v>43876.070509259254</v>
      </c>
      <c r="B20714" t="str">
        <f>HYPERLINK("https://twitter.com/pitkachoo","@pitkachoo")</f>
        <v>@pitkachoo</v>
      </c>
      <c r="C20714" t="s">
        <v>9067</v>
      </c>
      <c r="D20714">
        <v>63</v>
      </c>
      <c r="E20714">
        <v>0</v>
      </c>
      <c r="F20714">
        <v>274</v>
      </c>
    </row>
    <row r="20715" spans="1:6" ht="12.75">
      <c r="A20715" s="2">
        <v>43876.070381944446</v>
      </c>
      <c r="B20715" t="str">
        <f>HYPERLINK("https://twitter.com/hyunjin4me","@hyunjin4me")</f>
        <v>@hyunjin4me</v>
      </c>
      <c r="C20715" t="s">
        <v>2444</v>
      </c>
      <c r="D20715">
        <v>3289</v>
      </c>
      <c r="E20715">
        <v>0</v>
      </c>
      <c r="F20715">
        <v>4938</v>
      </c>
    </row>
    <row r="20716" spans="1:6" ht="12.75">
      <c r="A20716" s="2">
        <v>43876.070381944446</v>
      </c>
      <c r="B20716" t="str">
        <f>HYPERLINK("https://twitter.com/_Febryantuy","@_Febryantuy")</f>
        <v>@_Febryantuy</v>
      </c>
      <c r="C20716" t="s">
        <v>2444</v>
      </c>
      <c r="D20716">
        <v>3289</v>
      </c>
      <c r="E20716">
        <v>0</v>
      </c>
      <c r="F20716">
        <v>291</v>
      </c>
    </row>
    <row r="20717" spans="1:6" ht="12.75">
      <c r="A20717" s="2">
        <v>43876.070370370369</v>
      </c>
      <c r="B20717" t="str">
        <f>HYPERLINK("https://twitter.com/fulkmoon","@fulkmoon")</f>
        <v>@fulkmoon</v>
      </c>
      <c r="C20717" t="s">
        <v>10052</v>
      </c>
      <c r="D20717">
        <v>111</v>
      </c>
      <c r="E20717">
        <v>0</v>
      </c>
      <c r="F20717">
        <v>353</v>
      </c>
    </row>
    <row r="20718" spans="1:6" ht="12.75">
      <c r="A20718" s="2">
        <v>43876.070254629631</v>
      </c>
      <c r="B20718" t="str">
        <f>HYPERLINK("https://twitter.com/Stefanus_Seno","@Stefanus_Seno")</f>
        <v>@Stefanus_Seno</v>
      </c>
      <c r="C20718" t="s">
        <v>5168</v>
      </c>
      <c r="D20718">
        <v>1228</v>
      </c>
      <c r="E20718">
        <v>0</v>
      </c>
      <c r="F20718">
        <v>2241</v>
      </c>
    </row>
    <row r="20719" spans="1:6" ht="12.75">
      <c r="A20719" s="2">
        <v>43876.070034722223</v>
      </c>
      <c r="B20719" t="str">
        <f>HYPERLINK("https://twitter.com/diahelindar","@diahelindar")</f>
        <v>@diahelindar</v>
      </c>
      <c r="C20719" t="s">
        <v>9997</v>
      </c>
      <c r="D20719">
        <v>5</v>
      </c>
      <c r="E20719">
        <v>0</v>
      </c>
      <c r="F20719">
        <v>419</v>
      </c>
    </row>
    <row r="20720" spans="1:6" ht="12.75">
      <c r="A20720" s="2">
        <v>43876.069502314815</v>
      </c>
      <c r="B20720" t="str">
        <f>HYPERLINK("https://twitter.com/MaryMar87156109","@MaryMar87156109")</f>
        <v>@MaryMar87156109</v>
      </c>
      <c r="C20720" t="s">
        <v>3150</v>
      </c>
      <c r="D20720">
        <v>43</v>
      </c>
      <c r="E20720">
        <v>0</v>
      </c>
      <c r="F20720">
        <v>371</v>
      </c>
    </row>
    <row r="20721" spans="1:6" ht="12.75">
      <c r="A20721" s="2">
        <v>43876.069351851853</v>
      </c>
      <c r="B20721" t="str">
        <f>HYPERLINK("https://twitter.com/summerinvmk","@summerinvmk")</f>
        <v>@summerinvmk</v>
      </c>
      <c r="C20721" t="s">
        <v>2444</v>
      </c>
      <c r="D20721">
        <v>3289</v>
      </c>
      <c r="E20721">
        <v>0</v>
      </c>
      <c r="F20721">
        <v>124</v>
      </c>
    </row>
    <row r="20722" spans="1:6" ht="12.75">
      <c r="A20722" s="2">
        <v>43876.069282407407</v>
      </c>
      <c r="B20722" t="str">
        <f>HYPERLINK("https://twitter.com/ressyyyy","@ressyyyy")</f>
        <v>@ressyyyy</v>
      </c>
      <c r="C20722" t="s">
        <v>2444</v>
      </c>
      <c r="D20722">
        <v>3289</v>
      </c>
      <c r="E20722">
        <v>0</v>
      </c>
      <c r="F20722">
        <v>795</v>
      </c>
    </row>
    <row r="20723" spans="1:6" ht="12.75">
      <c r="A20723" s="2">
        <v>43876.068981481483</v>
      </c>
      <c r="B20723" t="str">
        <f>HYPERLINK("https://twitter.com/sohrawardi_kurd","@sohrawardi_kurd")</f>
        <v>@sohrawardi_kurd</v>
      </c>
      <c r="C20723" t="s">
        <v>9082</v>
      </c>
      <c r="D20723">
        <v>78</v>
      </c>
      <c r="E20723">
        <v>0</v>
      </c>
      <c r="F20723">
        <v>119</v>
      </c>
    </row>
    <row r="20724" spans="1:6" ht="12.75">
      <c r="A20724" s="2">
        <v>43876.068900462968</v>
      </c>
      <c r="B20724" t="str">
        <f>HYPERLINK("https://twitter.com/boy_185","@boy_185")</f>
        <v>@boy_185</v>
      </c>
      <c r="C20724" t="s">
        <v>10243</v>
      </c>
      <c r="D20724">
        <v>0</v>
      </c>
      <c r="E20724">
        <v>0</v>
      </c>
      <c r="F20724">
        <v>33</v>
      </c>
    </row>
    <row r="20725" spans="1:6" ht="12.75">
      <c r="A20725" s="2">
        <v>43876.06858796296</v>
      </c>
      <c r="B20725" t="str">
        <f>HYPERLINK("https://twitter.com/manonotmilea","@manonotmilea")</f>
        <v>@manonotmilea</v>
      </c>
      <c r="C20725" t="s">
        <v>2444</v>
      </c>
      <c r="D20725">
        <v>3289</v>
      </c>
      <c r="E20725">
        <v>0</v>
      </c>
      <c r="F20725">
        <v>607</v>
      </c>
    </row>
    <row r="20726" spans="1:6" ht="12.75">
      <c r="A20726" s="2">
        <v>43876.068229166667</v>
      </c>
      <c r="B20726" t="str">
        <f>HYPERLINK("https://twitter.com/Shadow_Master_P","@Shadow_Master_P")</f>
        <v>@Shadow_Master_P</v>
      </c>
      <c r="C20726" t="s">
        <v>7478</v>
      </c>
      <c r="D20726">
        <v>458</v>
      </c>
      <c r="E20726">
        <v>0</v>
      </c>
      <c r="F20726">
        <v>2087</v>
      </c>
    </row>
    <row r="20727" spans="1:6" ht="12.75">
      <c r="A20727" s="2">
        <v>43876.068067129629</v>
      </c>
      <c r="B20727" t="str">
        <f>HYPERLINK("https://twitter.com/thedecembre","@thedecembre")</f>
        <v>@thedecembre</v>
      </c>
      <c r="C20727" t="s">
        <v>2444</v>
      </c>
      <c r="D20727">
        <v>3289</v>
      </c>
      <c r="E20727">
        <v>0</v>
      </c>
      <c r="F20727">
        <v>204</v>
      </c>
    </row>
    <row r="20728" spans="1:6" ht="12.75">
      <c r="A20728" s="2">
        <v>43876.068067129629</v>
      </c>
      <c r="B20728" t="str">
        <f>HYPERLINK("https://twitter.com/boness_senop","@boness_senop")</f>
        <v>@boness_senop</v>
      </c>
      <c r="C20728" t="s">
        <v>7478</v>
      </c>
      <c r="D20728">
        <v>458</v>
      </c>
      <c r="E20728">
        <v>0</v>
      </c>
      <c r="F20728">
        <v>146</v>
      </c>
    </row>
    <row r="20729" spans="1:6" ht="12.75">
      <c r="A20729" s="2">
        <v>43876.068009259259</v>
      </c>
      <c r="B20729" t="str">
        <f>HYPERLINK("https://twitter.com/six_cubic","@six_cubic")</f>
        <v>@six_cubic</v>
      </c>
      <c r="C20729" t="s">
        <v>10244</v>
      </c>
      <c r="D20729">
        <v>0</v>
      </c>
      <c r="E20729">
        <v>0</v>
      </c>
      <c r="F20729">
        <v>392</v>
      </c>
    </row>
    <row r="20730" spans="1:6" ht="12.75">
      <c r="A20730" s="2">
        <v>43876.06795138889</v>
      </c>
      <c r="B20730" t="str">
        <f>HYPERLINK("https://twitter.com/agiannoulou","@agiannoulou")</f>
        <v>@agiannoulou</v>
      </c>
      <c r="C20730" t="s">
        <v>9082</v>
      </c>
      <c r="D20730">
        <v>78</v>
      </c>
      <c r="E20730">
        <v>0</v>
      </c>
      <c r="F20730">
        <v>710</v>
      </c>
    </row>
    <row r="20731" spans="1:6" ht="12.75">
      <c r="A20731" s="2">
        <v>43876.066863425927</v>
      </c>
      <c r="B20731" t="str">
        <f>HYPERLINK("https://twitter.com/Riswan6945299","@Riswan6945299")</f>
        <v>@Riswan6945299</v>
      </c>
      <c r="C20731" t="s">
        <v>2963</v>
      </c>
      <c r="D20731">
        <v>1205</v>
      </c>
      <c r="E20731">
        <v>0</v>
      </c>
      <c r="F20731">
        <v>146</v>
      </c>
    </row>
    <row r="20732" spans="1:6" ht="12.75">
      <c r="A20732" s="2">
        <v>43876.066851851851</v>
      </c>
      <c r="B20732" t="str">
        <f>HYPERLINK("https://twitter.com/EriChriswanto","@EriChriswanto")</f>
        <v>@EriChriswanto</v>
      </c>
      <c r="C20732" t="s">
        <v>6201</v>
      </c>
      <c r="D20732">
        <v>321</v>
      </c>
      <c r="E20732">
        <v>0</v>
      </c>
      <c r="F20732">
        <v>94</v>
      </c>
    </row>
    <row r="20733" spans="1:6" ht="12.75">
      <c r="A20733" s="2">
        <v>43876.066724537042</v>
      </c>
      <c r="B20733" t="str">
        <f>HYPERLINK("https://twitter.com/arnmrklee","@arnmrklee")</f>
        <v>@arnmrklee</v>
      </c>
      <c r="C20733" t="s">
        <v>5168</v>
      </c>
      <c r="D20733">
        <v>1228</v>
      </c>
      <c r="E20733">
        <v>0</v>
      </c>
      <c r="F20733">
        <v>993</v>
      </c>
    </row>
    <row r="20734" spans="1:6" ht="12.75">
      <c r="A20734" s="2">
        <v>43876.066469907411</v>
      </c>
      <c r="B20734" t="str">
        <f>HYPERLINK("https://twitter.com/anggadr","@anggadr")</f>
        <v>@anggadr</v>
      </c>
      <c r="C20734" t="s">
        <v>10245</v>
      </c>
      <c r="D20734">
        <v>0</v>
      </c>
      <c r="E20734">
        <v>0</v>
      </c>
      <c r="F20734">
        <v>548</v>
      </c>
    </row>
    <row r="20735" spans="1:6" ht="12.75">
      <c r="A20735" s="2">
        <v>43876.066435185188</v>
      </c>
      <c r="B20735" t="str">
        <f>HYPERLINK("https://twitter.com/Santridusun1","@Santridusun1")</f>
        <v>@Santridusun1</v>
      </c>
      <c r="C20735" t="s">
        <v>9997</v>
      </c>
      <c r="D20735">
        <v>5</v>
      </c>
      <c r="E20735">
        <v>0</v>
      </c>
      <c r="F20735">
        <v>1176</v>
      </c>
    </row>
    <row r="20736" spans="1:6" ht="12.75">
      <c r="A20736" s="2">
        <v>43876.066435185188</v>
      </c>
      <c r="B20736" t="str">
        <f>HYPERLINK("https://twitter.com/fancyjungs","@fancyjungs")</f>
        <v>@fancyjungs</v>
      </c>
      <c r="C20736" t="s">
        <v>2444</v>
      </c>
      <c r="D20736">
        <v>3289</v>
      </c>
      <c r="E20736">
        <v>0</v>
      </c>
      <c r="F20736">
        <v>1428</v>
      </c>
    </row>
    <row r="20737" spans="1:6" ht="12.75">
      <c r="A20737" s="2">
        <v>43876.06621527778</v>
      </c>
      <c r="B20737" t="str">
        <f>HYPERLINK("https://twitter.com/arskwatty","@arskwatty")</f>
        <v>@arskwatty</v>
      </c>
      <c r="C20737" t="s">
        <v>2444</v>
      </c>
      <c r="D20737">
        <v>3289</v>
      </c>
      <c r="E20737">
        <v>0</v>
      </c>
      <c r="F20737">
        <v>184</v>
      </c>
    </row>
    <row r="20738" spans="1:6" ht="12.75">
      <c r="A20738" s="2">
        <v>43876.066145833334</v>
      </c>
      <c r="B20738" t="str">
        <f>HYPERLINK("https://twitter.com/fckilvjml","@fckilvjml")</f>
        <v>@fckilvjml</v>
      </c>
      <c r="C20738" t="s">
        <v>9021</v>
      </c>
      <c r="D20738">
        <v>210</v>
      </c>
      <c r="E20738">
        <v>0</v>
      </c>
      <c r="F20738">
        <v>887</v>
      </c>
    </row>
    <row r="20739" spans="1:6" ht="12.75">
      <c r="A20739" s="2">
        <v>43876.065682870365</v>
      </c>
      <c r="B20739" t="str">
        <f>HYPERLINK("https://twitter.com/bitterlovz","@bitterlovz")</f>
        <v>@bitterlovz</v>
      </c>
      <c r="C20739" t="s">
        <v>2444</v>
      </c>
      <c r="D20739">
        <v>3289</v>
      </c>
      <c r="E20739">
        <v>0</v>
      </c>
      <c r="F20739">
        <v>439</v>
      </c>
    </row>
    <row r="20740" spans="1:6" ht="12.75">
      <c r="A20740" s="2">
        <v>43876.065682870365</v>
      </c>
      <c r="B20740" t="str">
        <f>HYPERLINK("https://twitter.com/h_chairul","@h_chairul")</f>
        <v>@h_chairul</v>
      </c>
      <c r="C20740" t="s">
        <v>2144</v>
      </c>
      <c r="D20740">
        <v>98</v>
      </c>
      <c r="E20740">
        <v>0</v>
      </c>
      <c r="F20740">
        <v>58</v>
      </c>
    </row>
    <row r="20741" spans="1:6" ht="12.75">
      <c r="A20741" s="2">
        <v>43876.065092592587</v>
      </c>
      <c r="B20741" t="str">
        <f>HYPERLINK("https://twitter.com/Putriadam8","@Putriadam8")</f>
        <v>@Putriadam8</v>
      </c>
      <c r="C20741" t="s">
        <v>2963</v>
      </c>
      <c r="D20741">
        <v>1205</v>
      </c>
      <c r="E20741">
        <v>0</v>
      </c>
      <c r="F20741">
        <v>8</v>
      </c>
    </row>
    <row r="20742" spans="1:6" ht="12.75">
      <c r="A20742" s="2">
        <v>43876.065081018518</v>
      </c>
      <c r="B20742" t="str">
        <f>HYPERLINK("https://twitter.com/agungknwn_","@agungknwn_")</f>
        <v>@agungknwn_</v>
      </c>
      <c r="C20742" t="s">
        <v>10246</v>
      </c>
      <c r="D20742">
        <v>0</v>
      </c>
      <c r="E20742">
        <v>0</v>
      </c>
      <c r="F20742">
        <v>463</v>
      </c>
    </row>
    <row r="20743" spans="1:6" ht="12.75">
      <c r="A20743" s="2">
        <v>43876.065081018518</v>
      </c>
      <c r="B20743" t="str">
        <f>HYPERLINK("https://twitter.com/Gheeeerrrrrr","@Gheeeerrrrrr")</f>
        <v>@Gheeeerrrrrr</v>
      </c>
      <c r="C20743" t="s">
        <v>5168</v>
      </c>
      <c r="D20743">
        <v>1228</v>
      </c>
      <c r="E20743">
        <v>0</v>
      </c>
      <c r="F20743">
        <v>459</v>
      </c>
    </row>
    <row r="20744" spans="1:6" ht="12.75">
      <c r="A20744" s="2">
        <v>43876.064722222218</v>
      </c>
      <c r="B20744" t="str">
        <f>HYPERLINK("https://twitter.com/thomas7suherman","@thomas7suherman")</f>
        <v>@thomas7suherman</v>
      </c>
      <c r="C20744" t="s">
        <v>10247</v>
      </c>
      <c r="D20744">
        <v>2</v>
      </c>
      <c r="E20744">
        <v>0</v>
      </c>
      <c r="F20744">
        <v>2005</v>
      </c>
    </row>
    <row r="20745" spans="1:6" ht="12.75">
      <c r="A20745" s="2">
        <v>43876.064513888894</v>
      </c>
      <c r="B20745" t="str">
        <f>HYPERLINK("https://twitter.com/Ichwanzein","@Ichwanzein")</f>
        <v>@Ichwanzein</v>
      </c>
      <c r="C20745" t="s">
        <v>7619</v>
      </c>
      <c r="D20745">
        <v>15</v>
      </c>
      <c r="E20745">
        <v>0</v>
      </c>
      <c r="F20745">
        <v>771</v>
      </c>
    </row>
    <row r="20746" spans="1:6" ht="12.75">
      <c r="A20746" s="2">
        <v>43876.064456018517</v>
      </c>
      <c r="B20746" t="str">
        <f>HYPERLINK("https://twitter.com/KRobet02","@KRobet02")</f>
        <v>@KRobet02</v>
      </c>
      <c r="C20746" t="s">
        <v>9835</v>
      </c>
      <c r="D20746">
        <v>64</v>
      </c>
      <c r="E20746">
        <v>0</v>
      </c>
      <c r="F20746">
        <v>260</v>
      </c>
    </row>
    <row r="20747" spans="1:6" ht="12.75">
      <c r="A20747" s="2">
        <v>43876.064293981486</v>
      </c>
      <c r="B20747" t="str">
        <f>HYPERLINK("https://twitter.com/Lutfiabiz","@Lutfiabiz")</f>
        <v>@Lutfiabiz</v>
      </c>
      <c r="C20747" t="s">
        <v>10248</v>
      </c>
      <c r="D20747">
        <v>0</v>
      </c>
      <c r="E20747">
        <v>0</v>
      </c>
      <c r="F20747">
        <v>270</v>
      </c>
    </row>
    <row r="20748" spans="1:6" ht="12.75">
      <c r="A20748" s="2">
        <v>43876.064050925925</v>
      </c>
      <c r="B20748" t="str">
        <f>HYPERLINK("https://twitter.com/gorgodai","@gorgodai")</f>
        <v>@gorgodai</v>
      </c>
      <c r="C20748" t="s">
        <v>2444</v>
      </c>
      <c r="D20748">
        <v>3289</v>
      </c>
      <c r="E20748">
        <v>0</v>
      </c>
      <c r="F20748">
        <v>289</v>
      </c>
    </row>
    <row r="20749" spans="1:6" ht="12.75">
      <c r="A20749" s="2">
        <v>43876.063969907409</v>
      </c>
      <c r="B20749" t="str">
        <f>HYPERLINK("https://twitter.com/munari_lutfi","@munari_lutfi")</f>
        <v>@munari_lutfi</v>
      </c>
      <c r="C20749" t="s">
        <v>175</v>
      </c>
      <c r="D20749">
        <v>5312</v>
      </c>
      <c r="E20749">
        <v>0</v>
      </c>
      <c r="F20749">
        <v>126</v>
      </c>
    </row>
    <row r="20750" spans="1:6" ht="12.75">
      <c r="A20750" s="2">
        <v>43876.063761574071</v>
      </c>
      <c r="B20750" t="str">
        <f>HYPERLINK("https://twitter.com/movielooking","@movielooking")</f>
        <v>@movielooking</v>
      </c>
      <c r="C20750" t="s">
        <v>2444</v>
      </c>
      <c r="D20750">
        <v>3289</v>
      </c>
      <c r="E20750">
        <v>0</v>
      </c>
      <c r="F20750">
        <v>435</v>
      </c>
    </row>
    <row r="20751" spans="1:6" ht="12.75">
      <c r="A20751" s="2">
        <v>43876.063726851848</v>
      </c>
      <c r="B20751" t="str">
        <f>HYPERLINK("https://twitter.com/Naufal_Taufik_A","@Naufal_Taufik_A")</f>
        <v>@Naufal_Taufik_A</v>
      </c>
      <c r="C20751" t="s">
        <v>10249</v>
      </c>
      <c r="D20751">
        <v>0</v>
      </c>
      <c r="E20751">
        <v>0</v>
      </c>
      <c r="F20751">
        <v>17</v>
      </c>
    </row>
    <row r="20752" spans="1:6" ht="12.75">
      <c r="A20752" s="2">
        <v>43876.063043981485</v>
      </c>
      <c r="B20752" t="str">
        <f>HYPERLINK("https://twitter.com/HayHendrik","@HayHendrik")</f>
        <v>@HayHendrik</v>
      </c>
      <c r="C20752" t="s">
        <v>10250</v>
      </c>
      <c r="D20752">
        <v>0</v>
      </c>
      <c r="E20752">
        <v>2</v>
      </c>
      <c r="F20752">
        <v>1067</v>
      </c>
    </row>
    <row r="20753" spans="1:6" ht="12.75">
      <c r="A20753" s="2">
        <v>43876.062546296293</v>
      </c>
      <c r="B20753" t="str">
        <f>HYPERLINK("https://twitter.com/Haluan_","@Haluan_")</f>
        <v>@Haluan_</v>
      </c>
      <c r="C20753" t="s">
        <v>10251</v>
      </c>
      <c r="D20753">
        <v>0</v>
      </c>
      <c r="E20753">
        <v>0</v>
      </c>
      <c r="F20753">
        <v>1446</v>
      </c>
    </row>
    <row r="20754" spans="1:6" ht="12.75">
      <c r="A20754" s="2">
        <v>43876.062523148154</v>
      </c>
      <c r="B20754" t="str">
        <f>HYPERLINK("https://twitter.com/tristada","@tristada")</f>
        <v>@tristada</v>
      </c>
      <c r="C20754" t="s">
        <v>2444</v>
      </c>
      <c r="D20754">
        <v>3289</v>
      </c>
      <c r="E20754">
        <v>0</v>
      </c>
      <c r="F20754">
        <v>524</v>
      </c>
    </row>
    <row r="20755" spans="1:6" ht="12.75">
      <c r="A20755" s="2">
        <v>43876.062442129631</v>
      </c>
      <c r="B20755" t="str">
        <f>HYPERLINK("https://twitter.com/itswowgd","@itswowgd")</f>
        <v>@itswowgd</v>
      </c>
      <c r="C20755" t="s">
        <v>2444</v>
      </c>
      <c r="D20755">
        <v>3289</v>
      </c>
      <c r="E20755">
        <v>0</v>
      </c>
      <c r="F20755">
        <v>792</v>
      </c>
    </row>
    <row r="20756" spans="1:6" ht="12.75">
      <c r="A20756" s="2">
        <v>43876.062037037038</v>
      </c>
      <c r="B20756" t="str">
        <f>HYPERLINK("https://twitter.com/ririn63795590","@ririn63795590")</f>
        <v>@ririn63795590</v>
      </c>
      <c r="C20756" t="s">
        <v>10252</v>
      </c>
      <c r="D20756">
        <v>0</v>
      </c>
      <c r="E20756">
        <v>0</v>
      </c>
      <c r="F20756">
        <v>189</v>
      </c>
    </row>
    <row r="20757" spans="1:6" ht="12.75">
      <c r="A20757" s="2">
        <v>43876.061898148153</v>
      </c>
      <c r="B20757" t="str">
        <f>HYPERLINK("https://twitter.com/slpnghmtr","@slpnghmtr")</f>
        <v>@slpnghmtr</v>
      </c>
      <c r="C20757" t="s">
        <v>10253</v>
      </c>
      <c r="D20757">
        <v>0</v>
      </c>
      <c r="E20757">
        <v>0</v>
      </c>
      <c r="F20757">
        <v>161</v>
      </c>
    </row>
    <row r="20758" spans="1:6" ht="12.75">
      <c r="A20758" s="2">
        <v>43876.06177083333</v>
      </c>
      <c r="B20758" t="str">
        <f>HYPERLINK("https://twitter.com/Taufiikaa","@Taufiikaa")</f>
        <v>@Taufiikaa</v>
      </c>
      <c r="C20758" t="s">
        <v>9067</v>
      </c>
      <c r="D20758">
        <v>63</v>
      </c>
      <c r="E20758">
        <v>0</v>
      </c>
      <c r="F20758">
        <v>1934</v>
      </c>
    </row>
    <row r="20759" spans="1:6" ht="12.75">
      <c r="A20759" s="2">
        <v>43876.061597222222</v>
      </c>
      <c r="B20759" t="str">
        <f>HYPERLINK("https://twitter.com/kysvyaa_jcw","@kysvyaa_jcw")</f>
        <v>@kysvyaa_jcw</v>
      </c>
      <c r="C20759" t="s">
        <v>2444</v>
      </c>
      <c r="D20759">
        <v>3289</v>
      </c>
      <c r="E20759">
        <v>0</v>
      </c>
      <c r="F20759">
        <v>2777</v>
      </c>
    </row>
    <row r="20760" spans="1:6" ht="12.75">
      <c r="A20760" s="2">
        <v>43876.06150462963</v>
      </c>
      <c r="B20760" t="str">
        <f>HYPERLINK("https://twitter.com/ndmendez13","@ndmendez13")</f>
        <v>@ndmendez13</v>
      </c>
      <c r="C20760" t="s">
        <v>10096</v>
      </c>
      <c r="D20760">
        <v>183</v>
      </c>
      <c r="E20760">
        <v>0</v>
      </c>
      <c r="F20760">
        <v>349</v>
      </c>
    </row>
    <row r="20761" spans="1:6" ht="12.75">
      <c r="A20761" s="2">
        <v>43876.061342592591</v>
      </c>
      <c r="B20761" t="str">
        <f>HYPERLINK("https://twitter.com/tristada","@tristada")</f>
        <v>@tristada</v>
      </c>
      <c r="C20761" t="s">
        <v>5168</v>
      </c>
      <c r="D20761">
        <v>1228</v>
      </c>
      <c r="E20761">
        <v>0</v>
      </c>
      <c r="F20761">
        <v>524</v>
      </c>
    </row>
    <row r="20762" spans="1:6" ht="12.75">
      <c r="A20762" s="2">
        <v>43876.061331018514</v>
      </c>
      <c r="B20762" t="str">
        <f>HYPERLINK("https://twitter.com/telltalefeliks","@telltalefeliks")</f>
        <v>@telltalefeliks</v>
      </c>
      <c r="C20762" t="s">
        <v>9997</v>
      </c>
      <c r="D20762">
        <v>5</v>
      </c>
      <c r="E20762">
        <v>0</v>
      </c>
      <c r="F20762">
        <v>151</v>
      </c>
    </row>
    <row r="20763" spans="1:6" ht="12.75">
      <c r="A20763" s="2">
        <v>43876.061273148152</v>
      </c>
      <c r="B20763" t="str">
        <f>HYPERLINK("https://twitter.com/ayumr_","@ayumr_")</f>
        <v>@ayumr_</v>
      </c>
      <c r="C20763" t="s">
        <v>2444</v>
      </c>
      <c r="D20763">
        <v>3289</v>
      </c>
      <c r="E20763">
        <v>0</v>
      </c>
      <c r="F20763">
        <v>65</v>
      </c>
    </row>
    <row r="20764" spans="1:6" ht="12.75">
      <c r="A20764" s="2">
        <v>43876.061168981483</v>
      </c>
      <c r="B20764" t="str">
        <f>HYPERLINK("https://twitter.com/gnwan","@gnwan")</f>
        <v>@gnwan</v>
      </c>
      <c r="C20764" t="s">
        <v>8050</v>
      </c>
      <c r="D20764">
        <v>7</v>
      </c>
      <c r="E20764">
        <v>0</v>
      </c>
      <c r="F20764">
        <v>2703</v>
      </c>
    </row>
    <row r="20765" spans="1:6" ht="12.75">
      <c r="A20765" s="2">
        <v>43876.061157407406</v>
      </c>
      <c r="B20765" t="str">
        <f>HYPERLINK("https://twitter.com/rezafathurahman","@rezafathurahman")</f>
        <v>@rezafathurahman</v>
      </c>
      <c r="C20765" t="s">
        <v>2444</v>
      </c>
      <c r="D20765">
        <v>3289</v>
      </c>
      <c r="E20765">
        <v>0</v>
      </c>
      <c r="F20765">
        <v>503</v>
      </c>
    </row>
    <row r="20766" spans="1:6" ht="12.75">
      <c r="A20766" s="2">
        <v>43876.060902777783</v>
      </c>
      <c r="B20766" t="str">
        <f>HYPERLINK("https://twitter.com/Taufiikaa","@Taufiikaa")</f>
        <v>@Taufiikaa</v>
      </c>
      <c r="C20766" t="s">
        <v>2444</v>
      </c>
      <c r="D20766">
        <v>3289</v>
      </c>
      <c r="E20766">
        <v>0</v>
      </c>
      <c r="F20766">
        <v>1934</v>
      </c>
    </row>
    <row r="20767" spans="1:6" ht="12.75">
      <c r="A20767" s="2">
        <v>43876.060706018514</v>
      </c>
      <c r="B20767" t="str">
        <f>HYPERLINK("https://twitter.com/al_rydho","@al_rydho")</f>
        <v>@al_rydho</v>
      </c>
      <c r="C20767" t="s">
        <v>2444</v>
      </c>
      <c r="D20767">
        <v>3289</v>
      </c>
      <c r="E20767">
        <v>0</v>
      </c>
      <c r="F20767">
        <v>242</v>
      </c>
    </row>
    <row r="20768" spans="1:6" ht="12.75">
      <c r="A20768" s="2">
        <v>43876.060393518521</v>
      </c>
      <c r="B20768" t="str">
        <f>HYPERLINK("https://twitter.com/alientapir","@alientapir")</f>
        <v>@alientapir</v>
      </c>
      <c r="C20768" t="s">
        <v>2444</v>
      </c>
      <c r="D20768">
        <v>3289</v>
      </c>
      <c r="E20768">
        <v>0</v>
      </c>
      <c r="F20768">
        <v>607</v>
      </c>
    </row>
    <row r="20769" spans="1:6" ht="12.75">
      <c r="A20769" s="2">
        <v>43876.05945601852</v>
      </c>
      <c r="B20769" t="str">
        <f>HYPERLINK("https://twitter.com/Musannifsanusi","@Musannifsanusi")</f>
        <v>@Musannifsanusi</v>
      </c>
      <c r="C20769" t="s">
        <v>7478</v>
      </c>
      <c r="D20769">
        <v>458</v>
      </c>
      <c r="E20769">
        <v>0</v>
      </c>
      <c r="F20769">
        <v>524</v>
      </c>
    </row>
    <row r="20770" spans="1:6" ht="12.75">
      <c r="A20770" s="2">
        <v>43876.059444444443</v>
      </c>
      <c r="B20770" t="str">
        <f>HYPERLINK("https://twitter.com/TuTTeO","@TuTTeO")</f>
        <v>@TuTTeO</v>
      </c>
      <c r="C20770" t="s">
        <v>10254</v>
      </c>
      <c r="D20770">
        <v>0</v>
      </c>
      <c r="E20770">
        <v>0</v>
      </c>
      <c r="F20770">
        <v>1123</v>
      </c>
    </row>
    <row r="20771" spans="1:6" ht="12.75">
      <c r="A20771" s="2">
        <v>43876.058622685188</v>
      </c>
      <c r="B20771" t="str">
        <f>HYPERLINK("https://twitter.com/khangriawan_","@khangriawan_")</f>
        <v>@khangriawan_</v>
      </c>
      <c r="C20771" t="s">
        <v>8050</v>
      </c>
      <c r="D20771">
        <v>7</v>
      </c>
      <c r="E20771">
        <v>0</v>
      </c>
      <c r="F20771">
        <v>287</v>
      </c>
    </row>
    <row r="20772" spans="1:6" ht="12.75">
      <c r="A20772" s="2">
        <v>43876.058553240742</v>
      </c>
      <c r="B20772" t="str">
        <f>HYPERLINK("https://twitter.com/Daniel_TWP","@Daniel_TWP")</f>
        <v>@Daniel_TWP</v>
      </c>
      <c r="C20772" t="s">
        <v>2963</v>
      </c>
      <c r="D20772">
        <v>1205</v>
      </c>
      <c r="E20772">
        <v>0</v>
      </c>
      <c r="F20772">
        <v>6</v>
      </c>
    </row>
    <row r="20773" spans="1:6" ht="12.75">
      <c r="A20773" s="2">
        <v>43876.058437500003</v>
      </c>
      <c r="B20773" t="str">
        <f>HYPERLINK("https://twitter.com/addam991","@addam991")</f>
        <v>@addam991</v>
      </c>
      <c r="C20773" t="s">
        <v>10255</v>
      </c>
      <c r="D20773">
        <v>0</v>
      </c>
      <c r="E20773">
        <v>0</v>
      </c>
      <c r="F20773">
        <v>79</v>
      </c>
    </row>
    <row r="20774" spans="1:6" ht="12.75">
      <c r="A20774" s="2">
        <v>43876.057916666672</v>
      </c>
      <c r="B20774" t="str">
        <f>HYPERLINK("https://twitter.com/smeithereens","@smeithereens")</f>
        <v>@smeithereens</v>
      </c>
      <c r="C20774" t="s">
        <v>10256</v>
      </c>
      <c r="D20774">
        <v>0</v>
      </c>
      <c r="E20774">
        <v>0</v>
      </c>
      <c r="F20774">
        <v>0</v>
      </c>
    </row>
    <row r="20775" spans="1:6" ht="12.75">
      <c r="A20775" s="2">
        <v>43876.057222222225</v>
      </c>
      <c r="B20775" t="str">
        <f>HYPERLINK("https://twitter.com/vicryf","@vicryf")</f>
        <v>@vicryf</v>
      </c>
      <c r="C20775" t="s">
        <v>2444</v>
      </c>
      <c r="D20775">
        <v>3289</v>
      </c>
      <c r="E20775">
        <v>0</v>
      </c>
      <c r="F20775">
        <v>296</v>
      </c>
    </row>
    <row r="20776" spans="1:6" ht="12.75">
      <c r="A20776" s="2">
        <v>43876.056909722218</v>
      </c>
      <c r="B20776" t="str">
        <f>HYPERLINK("https://twitter.com/Dadodad59834626","@Dadodad59834626")</f>
        <v>@Dadodad59834626</v>
      </c>
      <c r="C20776" t="s">
        <v>7478</v>
      </c>
      <c r="D20776">
        <v>458</v>
      </c>
      <c r="E20776">
        <v>0</v>
      </c>
      <c r="F20776">
        <v>64</v>
      </c>
    </row>
    <row r="20777" spans="1:6" ht="12.75">
      <c r="A20777" s="2">
        <v>43876.056724537033</v>
      </c>
      <c r="B20777" t="str">
        <f>HYPERLINK("https://twitter.com/HUMAN_RES3","@HUMAN_RES3")</f>
        <v>@HUMAN_RES3</v>
      </c>
      <c r="C20777" t="s">
        <v>9997</v>
      </c>
      <c r="D20777">
        <v>5</v>
      </c>
      <c r="E20777">
        <v>0</v>
      </c>
      <c r="F20777">
        <v>74</v>
      </c>
    </row>
    <row r="20778" spans="1:6" ht="12.75">
      <c r="A20778" s="2">
        <v>43876.056724537033</v>
      </c>
      <c r="B20778" t="str">
        <f>HYPERLINK("https://twitter.com/pacaryeol_","@pacaryeol_")</f>
        <v>@pacaryeol_</v>
      </c>
      <c r="C20778" t="s">
        <v>2444</v>
      </c>
      <c r="D20778">
        <v>3289</v>
      </c>
      <c r="E20778">
        <v>0</v>
      </c>
      <c r="F20778">
        <v>477</v>
      </c>
    </row>
    <row r="20779" spans="1:6" ht="12.75">
      <c r="A20779" s="2">
        <v>43876.056597222225</v>
      </c>
      <c r="B20779" t="str">
        <f>HYPERLINK("https://twitter.com/yuniaraz","@yuniaraz")</f>
        <v>@yuniaraz</v>
      </c>
      <c r="C20779" t="s">
        <v>2444</v>
      </c>
      <c r="D20779">
        <v>3289</v>
      </c>
      <c r="E20779">
        <v>0</v>
      </c>
      <c r="F20779">
        <v>652</v>
      </c>
    </row>
    <row r="20780" spans="1:6" ht="12.75">
      <c r="A20780" s="2">
        <v>43876.056435185186</v>
      </c>
      <c r="B20780" t="str">
        <f>HYPERLINK("https://twitter.com/NovriyantoYanto","@NovriyantoYanto")</f>
        <v>@NovriyantoYanto</v>
      </c>
      <c r="C20780" t="s">
        <v>10096</v>
      </c>
      <c r="D20780">
        <v>183</v>
      </c>
      <c r="E20780">
        <v>0</v>
      </c>
      <c r="F20780">
        <v>979</v>
      </c>
    </row>
    <row r="20781" spans="1:6" ht="12.75">
      <c r="A20781" s="2">
        <v>43876.056342592594</v>
      </c>
      <c r="B20781" t="str">
        <f>HYPERLINK("https://twitter.com/ulungaring","@ulungaring")</f>
        <v>@ulungaring</v>
      </c>
      <c r="C20781" t="s">
        <v>2444</v>
      </c>
      <c r="D20781">
        <v>3289</v>
      </c>
      <c r="E20781">
        <v>0</v>
      </c>
      <c r="F20781">
        <v>2111</v>
      </c>
    </row>
    <row r="20782" spans="1:6" ht="12.75">
      <c r="A20782" s="2">
        <v>43876.056157407409</v>
      </c>
      <c r="B20782" t="str">
        <f>HYPERLINK("https://twitter.com/NSyamsuddin","@NSyamsuddin")</f>
        <v>@NSyamsuddin</v>
      </c>
      <c r="C20782" t="s">
        <v>2444</v>
      </c>
      <c r="D20782">
        <v>3289</v>
      </c>
      <c r="E20782">
        <v>0</v>
      </c>
      <c r="F20782">
        <v>218</v>
      </c>
    </row>
    <row r="20783" spans="1:6" ht="12.75">
      <c r="A20783" s="2">
        <v>43876.055810185186</v>
      </c>
      <c r="B20783" t="str">
        <f>HYPERLINK("https://twitter.com/gema_jr","@gema_jr")</f>
        <v>@gema_jr</v>
      </c>
      <c r="C20783" t="s">
        <v>2444</v>
      </c>
      <c r="D20783">
        <v>3289</v>
      </c>
      <c r="E20783">
        <v>0</v>
      </c>
      <c r="F20783">
        <v>714</v>
      </c>
    </row>
    <row r="20784" spans="1:6" ht="12.75">
      <c r="A20784" s="2">
        <v>43876.055578703701</v>
      </c>
      <c r="B20784" t="str">
        <f>HYPERLINK("https://twitter.com/trisonroxx","@trisonroxx")</f>
        <v>@trisonroxx</v>
      </c>
      <c r="C20784" t="s">
        <v>10257</v>
      </c>
      <c r="D20784">
        <v>71</v>
      </c>
      <c r="E20784">
        <v>0</v>
      </c>
      <c r="F20784">
        <v>726</v>
      </c>
    </row>
    <row r="20785" spans="1:6" ht="12.75">
      <c r="A20785" s="2">
        <v>43876.05541666667</v>
      </c>
      <c r="B20785" t="str">
        <f>HYPERLINK("https://twitter.com/gcminie","@gcminie")</f>
        <v>@gcminie</v>
      </c>
      <c r="C20785" t="s">
        <v>2444</v>
      </c>
      <c r="D20785">
        <v>3289</v>
      </c>
      <c r="E20785">
        <v>0</v>
      </c>
      <c r="F20785">
        <v>1059</v>
      </c>
    </row>
    <row r="20786" spans="1:6" ht="12.75">
      <c r="A20786" s="2">
        <v>43876.055196759262</v>
      </c>
      <c r="B20786" t="str">
        <f>HYPERLINK("https://twitter.com/andreascasanova","@andreascasanova")</f>
        <v>@andreascasanova</v>
      </c>
      <c r="C20786" t="s">
        <v>10258</v>
      </c>
      <c r="D20786">
        <v>0</v>
      </c>
      <c r="E20786">
        <v>0</v>
      </c>
      <c r="F20786">
        <v>861</v>
      </c>
    </row>
    <row r="20787" spans="1:6" ht="12.75">
      <c r="A20787" s="2">
        <v>43876.055173611108</v>
      </c>
      <c r="B20787" t="str">
        <f>HYPERLINK("https://twitter.com/alenmadi","@alenmadi")</f>
        <v>@alenmadi</v>
      </c>
      <c r="C20787" t="s">
        <v>2444</v>
      </c>
      <c r="D20787">
        <v>3289</v>
      </c>
      <c r="E20787">
        <v>0</v>
      </c>
      <c r="F20787">
        <v>222</v>
      </c>
    </row>
    <row r="20788" spans="1:6" ht="12.75">
      <c r="A20788" s="2">
        <v>43876.055173611108</v>
      </c>
      <c r="B20788" t="str">
        <f>HYPERLINK("https://twitter.com/1ntroduncing","@1ntroduncing")</f>
        <v>@1ntroduncing</v>
      </c>
      <c r="C20788" t="s">
        <v>10259</v>
      </c>
      <c r="D20788">
        <v>1</v>
      </c>
      <c r="E20788">
        <v>0</v>
      </c>
      <c r="F20788">
        <v>194</v>
      </c>
    </row>
    <row r="20789" spans="1:6" ht="12.75">
      <c r="A20789" s="2">
        <v>43876.05469907407</v>
      </c>
      <c r="B20789" t="str">
        <f>HYPERLINK("https://twitter.com/Alie44331631","@Alie44331631")</f>
        <v>@Alie44331631</v>
      </c>
      <c r="C20789" t="s">
        <v>9186</v>
      </c>
      <c r="D20789">
        <v>104</v>
      </c>
      <c r="E20789">
        <v>0</v>
      </c>
      <c r="F20789">
        <v>2073</v>
      </c>
    </row>
    <row r="20790" spans="1:6" ht="12.75">
      <c r="A20790" s="2">
        <v>43876.054618055554</v>
      </c>
      <c r="B20790" t="str">
        <f>HYPERLINK("https://twitter.com/aguscosmo","@aguscosmo")</f>
        <v>@aguscosmo</v>
      </c>
      <c r="C20790" t="s">
        <v>2963</v>
      </c>
      <c r="D20790">
        <v>1205</v>
      </c>
      <c r="E20790">
        <v>0</v>
      </c>
      <c r="F20790">
        <v>313</v>
      </c>
    </row>
    <row r="20791" spans="1:6" ht="12.75">
      <c r="A20791" s="2">
        <v>43876.054490740746</v>
      </c>
      <c r="B20791" t="str">
        <f>HYPERLINK("https://twitter.com/TroyGranger77","@TroyGranger77")</f>
        <v>@TroyGranger77</v>
      </c>
      <c r="C20791" t="s">
        <v>7478</v>
      </c>
      <c r="D20791">
        <v>458</v>
      </c>
      <c r="E20791">
        <v>0</v>
      </c>
      <c r="F20791">
        <v>944</v>
      </c>
    </row>
    <row r="20792" spans="1:6" ht="12.75">
      <c r="A20792" s="2">
        <v>43876.054201388892</v>
      </c>
      <c r="B20792" t="str">
        <f>HYPERLINK("https://twitter.com/xlifxo","@xlifxo")</f>
        <v>@xlifxo</v>
      </c>
      <c r="C20792" t="s">
        <v>5168</v>
      </c>
      <c r="D20792">
        <v>1228</v>
      </c>
      <c r="E20792">
        <v>0</v>
      </c>
      <c r="F20792">
        <v>137</v>
      </c>
    </row>
    <row r="20793" spans="1:6" ht="12.75">
      <c r="A20793" s="2">
        <v>43876.05395833333</v>
      </c>
      <c r="B20793" t="str">
        <f>HYPERLINK("https://twitter.com/yazincase","@yazincase")</f>
        <v>@yazincase</v>
      </c>
      <c r="C20793" t="s">
        <v>2444</v>
      </c>
      <c r="D20793">
        <v>3289</v>
      </c>
      <c r="E20793">
        <v>0</v>
      </c>
      <c r="F20793">
        <v>19</v>
      </c>
    </row>
    <row r="20794" spans="1:6" ht="12.75">
      <c r="A20794" s="2">
        <v>43876.053888888884</v>
      </c>
      <c r="B20794" t="str">
        <f>HYPERLINK("https://twitter.com/Aldiasman","@Aldiasman")</f>
        <v>@Aldiasman</v>
      </c>
      <c r="C20794" t="s">
        <v>10260</v>
      </c>
      <c r="D20794">
        <v>0</v>
      </c>
      <c r="E20794">
        <v>0</v>
      </c>
      <c r="F20794">
        <v>284</v>
      </c>
    </row>
    <row r="20795" spans="1:6" ht="12.75">
      <c r="A20795" s="2">
        <v>43876.053043981483</v>
      </c>
      <c r="B20795" t="str">
        <f>HYPERLINK("https://twitter.com/tazi_12345","@tazi_12345")</f>
        <v>@tazi_12345</v>
      </c>
      <c r="C20795" t="s">
        <v>10261</v>
      </c>
      <c r="D20795">
        <v>2</v>
      </c>
      <c r="E20795">
        <v>0</v>
      </c>
      <c r="F20795">
        <v>181</v>
      </c>
    </row>
    <row r="20796" spans="1:6" ht="12.75">
      <c r="A20796" s="2">
        <v>43876.052905092598</v>
      </c>
      <c r="B20796" t="str">
        <f>HYPERLINK("https://twitter.com/nung65085462","@nung65085462")</f>
        <v>@nung65085462</v>
      </c>
      <c r="C20796" t="s">
        <v>9746</v>
      </c>
      <c r="D20796">
        <v>409</v>
      </c>
      <c r="E20796">
        <v>0</v>
      </c>
      <c r="F20796">
        <v>164</v>
      </c>
    </row>
    <row r="20797" spans="1:6" ht="12.75">
      <c r="A20797" s="2">
        <v>43876.052835648152</v>
      </c>
      <c r="B20797" t="str">
        <f>HYPERLINK("https://twitter.com/satanloveyou96","@satanloveyou96")</f>
        <v>@satanloveyou96</v>
      </c>
      <c r="C20797" t="s">
        <v>5168</v>
      </c>
      <c r="D20797">
        <v>1228</v>
      </c>
      <c r="E20797">
        <v>0</v>
      </c>
      <c r="F20797">
        <v>239</v>
      </c>
    </row>
    <row r="20798" spans="1:6" ht="12.75">
      <c r="A20798" s="2">
        <v>43876.052754629629</v>
      </c>
      <c r="B20798" t="str">
        <f>HYPERLINK("https://twitter.com/Puspen_TNI","@Puspen_TNI")</f>
        <v>@Puspen_TNI</v>
      </c>
      <c r="C20798" t="s">
        <v>10262</v>
      </c>
      <c r="D20798">
        <v>5</v>
      </c>
      <c r="E20798">
        <v>9</v>
      </c>
      <c r="F20798">
        <v>304599</v>
      </c>
    </row>
    <row r="20799" spans="1:6" ht="12.75">
      <c r="A20799" s="2">
        <v>43876.052523148144</v>
      </c>
      <c r="B20799" t="str">
        <f>HYPERLINK("https://twitter.com/kuntulkubung","@kuntulkubung")</f>
        <v>@kuntulkubung</v>
      </c>
      <c r="C20799" t="s">
        <v>3140</v>
      </c>
      <c r="D20799">
        <v>18</v>
      </c>
      <c r="E20799">
        <v>0</v>
      </c>
      <c r="F20799">
        <v>1</v>
      </c>
    </row>
    <row r="20800" spans="1:6" ht="12.75">
      <c r="A20800" s="2">
        <v>43876.052523148144</v>
      </c>
      <c r="B20800" t="str">
        <f>HYPERLINK("https://twitter.com/dalkonglover","@dalkonglover")</f>
        <v>@dalkonglover</v>
      </c>
      <c r="C20800" t="s">
        <v>2444</v>
      </c>
      <c r="D20800">
        <v>3289</v>
      </c>
      <c r="E20800">
        <v>0</v>
      </c>
      <c r="F20800">
        <v>172</v>
      </c>
    </row>
    <row r="20801" spans="1:6" ht="12.75">
      <c r="A20801" s="2">
        <v>43876.052280092597</v>
      </c>
      <c r="B20801" t="str">
        <f>HYPERLINK("https://twitter.com/adeferon","@adeferon")</f>
        <v>@adeferon</v>
      </c>
      <c r="C20801" t="s">
        <v>9746</v>
      </c>
      <c r="D20801">
        <v>409</v>
      </c>
      <c r="E20801">
        <v>0</v>
      </c>
      <c r="F20801">
        <v>691</v>
      </c>
    </row>
    <row r="20802" spans="1:6" ht="12.75">
      <c r="A20802" s="2">
        <v>43876.052222222221</v>
      </c>
      <c r="B20802" t="str">
        <f>HYPERLINK("https://twitter.com/faridafarichah","@faridafarichah")</f>
        <v>@faridafarichah</v>
      </c>
      <c r="C20802" t="s">
        <v>2963</v>
      </c>
      <c r="D20802">
        <v>1205</v>
      </c>
      <c r="E20802">
        <v>0</v>
      </c>
      <c r="F20802">
        <v>3554</v>
      </c>
    </row>
    <row r="20803" spans="1:6" ht="12.75">
      <c r="A20803" s="2">
        <v>43876.051724537036</v>
      </c>
      <c r="B20803" t="str">
        <f>HYPERLINK("https://twitter.com/BakoelPotong","@BakoelPotong")</f>
        <v>@BakoelPotong</v>
      </c>
      <c r="C20803" t="s">
        <v>2122</v>
      </c>
      <c r="D20803">
        <v>215</v>
      </c>
      <c r="E20803">
        <v>0</v>
      </c>
      <c r="F20803">
        <v>31</v>
      </c>
    </row>
    <row r="20804" spans="1:6" ht="12.75">
      <c r="A20804" s="2">
        <v>43876.051516203705</v>
      </c>
      <c r="B20804" t="str">
        <f>HYPERLINK("https://twitter.com/kepalakejedot","@kepalakejedot")</f>
        <v>@kepalakejedot</v>
      </c>
      <c r="C20804" t="s">
        <v>10074</v>
      </c>
      <c r="D20804">
        <v>82</v>
      </c>
      <c r="E20804">
        <v>0</v>
      </c>
      <c r="F20804">
        <v>265</v>
      </c>
    </row>
    <row r="20805" spans="1:6" ht="12.75">
      <c r="A20805" s="2">
        <v>43876.051516203705</v>
      </c>
      <c r="B20805" t="str">
        <f>HYPERLINK("https://twitter.com/agung_faysm","@agung_faysm")</f>
        <v>@agung_faysm</v>
      </c>
      <c r="C20805" t="s">
        <v>6201</v>
      </c>
      <c r="D20805">
        <v>321</v>
      </c>
      <c r="E20805">
        <v>0</v>
      </c>
      <c r="F20805">
        <v>2484</v>
      </c>
    </row>
    <row r="20806" spans="1:6" ht="12.75">
      <c r="A20806" s="2">
        <v>43876.051226851851</v>
      </c>
      <c r="B20806" t="str">
        <f>HYPERLINK("https://twitter.com/GoTotheJek","@GoTotheJek")</f>
        <v>@GoTotheJek</v>
      </c>
      <c r="C20806" t="s">
        <v>9929</v>
      </c>
      <c r="D20806">
        <v>3</v>
      </c>
      <c r="E20806">
        <v>0</v>
      </c>
      <c r="F20806">
        <v>775</v>
      </c>
    </row>
    <row r="20807" spans="1:6" ht="12.75">
      <c r="A20807" s="2">
        <v>43876.05091435185</v>
      </c>
      <c r="B20807" t="str">
        <f>HYPERLINK("https://twitter.com/ris_uli","@ris_uli")</f>
        <v>@ris_uli</v>
      </c>
      <c r="C20807" t="s">
        <v>2963</v>
      </c>
      <c r="D20807">
        <v>1205</v>
      </c>
      <c r="E20807">
        <v>0</v>
      </c>
      <c r="F20807">
        <v>61</v>
      </c>
    </row>
    <row r="20808" spans="1:6" ht="12.75">
      <c r="A20808" s="2">
        <v>43876.050439814819</v>
      </c>
      <c r="B20808" t="str">
        <f>HYPERLINK("https://twitter.com/mayercullen","@mayercullen")</f>
        <v>@mayercullen</v>
      </c>
      <c r="C20808" t="s">
        <v>10263</v>
      </c>
      <c r="D20808">
        <v>0</v>
      </c>
      <c r="E20808">
        <v>0</v>
      </c>
      <c r="F20808">
        <v>194</v>
      </c>
    </row>
    <row r="20809" spans="1:6" ht="12.75">
      <c r="A20809" s="2">
        <v>43876.05023148148</v>
      </c>
      <c r="B20809" t="str">
        <f>HYPERLINK("https://twitter.com/driexyzvie","@driexyzvie")</f>
        <v>@driexyzvie</v>
      </c>
      <c r="C20809" t="s">
        <v>10264</v>
      </c>
      <c r="D20809">
        <v>0</v>
      </c>
      <c r="E20809">
        <v>0</v>
      </c>
      <c r="F20809">
        <v>893</v>
      </c>
    </row>
    <row r="20810" spans="1:6" ht="12.75">
      <c r="A20810" s="2">
        <v>43876.05</v>
      </c>
      <c r="B20810" t="str">
        <f>HYPERLINK("https://twitter.com/mosmos43","@mosmos43")</f>
        <v>@mosmos43</v>
      </c>
      <c r="C20810" t="s">
        <v>2444</v>
      </c>
      <c r="D20810">
        <v>3289</v>
      </c>
      <c r="E20810">
        <v>0</v>
      </c>
      <c r="F20810">
        <v>2547</v>
      </c>
    </row>
    <row r="20811" spans="1:6" ht="12.75">
      <c r="A20811" s="2">
        <v>43876.049988425926</v>
      </c>
      <c r="B20811" t="str">
        <f>HYPERLINK("https://twitter.com/whiterider08","@whiterider08")</f>
        <v>@whiterider08</v>
      </c>
      <c r="C20811" t="s">
        <v>10261</v>
      </c>
      <c r="D20811">
        <v>2</v>
      </c>
      <c r="E20811">
        <v>0</v>
      </c>
      <c r="F20811">
        <v>165</v>
      </c>
    </row>
    <row r="20812" spans="1:6" ht="12.75">
      <c r="A20812" s="2">
        <v>43876.049826388888</v>
      </c>
      <c r="B20812" t="str">
        <f>HYPERLINK("https://twitter.com/harimerdeka7","@harimerdeka7")</f>
        <v>@harimerdeka7</v>
      </c>
      <c r="C20812" t="s">
        <v>9751</v>
      </c>
      <c r="D20812">
        <v>1</v>
      </c>
      <c r="E20812">
        <v>0</v>
      </c>
      <c r="F20812">
        <v>1025</v>
      </c>
    </row>
    <row r="20813" spans="1:6" ht="12.75">
      <c r="A20813" s="2">
        <v>43876.049780092595</v>
      </c>
      <c r="B20813" t="str">
        <f>HYPERLINK("https://twitter.com/fredrikwijaya","@fredrikwijaya")</f>
        <v>@fredrikwijaya</v>
      </c>
      <c r="C20813" t="s">
        <v>5168</v>
      </c>
      <c r="D20813">
        <v>1228</v>
      </c>
      <c r="E20813">
        <v>0</v>
      </c>
      <c r="F20813">
        <v>400</v>
      </c>
    </row>
    <row r="20814" spans="1:6" ht="12.75">
      <c r="A20814" s="2">
        <v>43876.049456018518</v>
      </c>
      <c r="B20814" t="str">
        <f>HYPERLINK("https://twitter.com/Hazeskw","@Hazeskw")</f>
        <v>@Hazeskw</v>
      </c>
      <c r="C20814" t="s">
        <v>2963</v>
      </c>
      <c r="D20814">
        <v>1205</v>
      </c>
      <c r="E20814">
        <v>0</v>
      </c>
      <c r="F20814">
        <v>545</v>
      </c>
    </row>
    <row r="20815" spans="1:6" ht="12.75">
      <c r="A20815" s="2">
        <v>43876.049444444448</v>
      </c>
      <c r="B20815" t="str">
        <f>HYPERLINK("https://twitter.com/noviceLUCIFER","@noviceLUCIFER")</f>
        <v>@noviceLUCIFER</v>
      </c>
      <c r="C20815" t="s">
        <v>10265</v>
      </c>
      <c r="D20815">
        <v>0</v>
      </c>
      <c r="E20815">
        <v>0</v>
      </c>
      <c r="F20815">
        <v>56</v>
      </c>
    </row>
    <row r="20816" spans="1:6" ht="12.75">
      <c r="A20816" s="2">
        <v>43876.049398148149</v>
      </c>
      <c r="B20816" t="str">
        <f>HYPERLINK("https://twitter.com/haririarci9790","@haririarci9790")</f>
        <v>@haririarci9790</v>
      </c>
      <c r="C20816" t="s">
        <v>9198</v>
      </c>
      <c r="D20816">
        <v>100</v>
      </c>
      <c r="E20816">
        <v>0</v>
      </c>
      <c r="F20816">
        <v>1360</v>
      </c>
    </row>
    <row r="20817" spans="1:6" ht="12.75">
      <c r="A20817" s="2">
        <v>43876.049351851849</v>
      </c>
      <c r="B20817" t="str">
        <f>HYPERLINK("https://twitter.com/BakoelPotong","@BakoelPotong")</f>
        <v>@BakoelPotong</v>
      </c>
      <c r="C20817" t="s">
        <v>10266</v>
      </c>
      <c r="D20817">
        <v>277</v>
      </c>
      <c r="E20817">
        <v>0</v>
      </c>
      <c r="F20817">
        <v>31</v>
      </c>
    </row>
    <row r="20818" spans="1:6" ht="12.75">
      <c r="A20818" s="2">
        <v>43876.049120370371</v>
      </c>
      <c r="B20818" t="str">
        <f>HYPERLINK("https://twitter.com/taskmasteur","@taskmasteur")</f>
        <v>@taskmasteur</v>
      </c>
      <c r="C20818" t="s">
        <v>2444</v>
      </c>
      <c r="D20818">
        <v>3289</v>
      </c>
      <c r="E20818">
        <v>0</v>
      </c>
      <c r="F20818">
        <v>1622</v>
      </c>
    </row>
    <row r="20819" spans="1:6" ht="12.75">
      <c r="A20819" s="2">
        <v>43876.049004629633</v>
      </c>
      <c r="B20819" t="str">
        <f>HYPERLINK("https://twitter.com/namttaegi","@namttaegi")</f>
        <v>@namttaegi</v>
      </c>
      <c r="C20819" t="s">
        <v>2444</v>
      </c>
      <c r="D20819">
        <v>3289</v>
      </c>
      <c r="E20819">
        <v>0</v>
      </c>
      <c r="F20819">
        <v>345</v>
      </c>
    </row>
    <row r="20820" spans="1:6" ht="12.75">
      <c r="A20820" s="2">
        <v>43876.048981481479</v>
      </c>
      <c r="B20820" t="str">
        <f>HYPERLINK("https://twitter.com/mercycornell","@mercycornell")</f>
        <v>@mercycornell</v>
      </c>
      <c r="C20820" t="s">
        <v>2444</v>
      </c>
      <c r="D20820">
        <v>3289</v>
      </c>
      <c r="E20820">
        <v>0</v>
      </c>
      <c r="F20820">
        <v>564</v>
      </c>
    </row>
    <row r="20821" spans="1:6" ht="12.75">
      <c r="A20821" s="2">
        <v>43876.048807870371</v>
      </c>
      <c r="B20821" t="str">
        <f>HYPERLINK("https://twitter.com/RossRowbotham","@RossRowbotham")</f>
        <v>@RossRowbotham</v>
      </c>
      <c r="C20821" t="s">
        <v>3150</v>
      </c>
      <c r="D20821">
        <v>43</v>
      </c>
      <c r="E20821">
        <v>0</v>
      </c>
      <c r="F20821">
        <v>390</v>
      </c>
    </row>
    <row r="20822" spans="1:6" ht="12.75">
      <c r="A20822" s="2">
        <v>43876.048738425925</v>
      </c>
      <c r="B20822" t="str">
        <f>HYPERLINK("https://twitter.com/tazi_12345","@tazi_12345")</f>
        <v>@tazi_12345</v>
      </c>
      <c r="C20822" t="s">
        <v>10267</v>
      </c>
      <c r="D20822">
        <v>1</v>
      </c>
      <c r="E20822">
        <v>0</v>
      </c>
      <c r="F20822">
        <v>181</v>
      </c>
    </row>
    <row r="20823" spans="1:6" ht="12.75">
      <c r="A20823" s="2">
        <v>43876.048726851848</v>
      </c>
      <c r="B20823" t="str">
        <f>HYPERLINK("https://twitter.com/haririarci9790","@haririarci9790")</f>
        <v>@haririarci9790</v>
      </c>
      <c r="C20823" t="s">
        <v>9835</v>
      </c>
      <c r="D20823">
        <v>64</v>
      </c>
      <c r="E20823">
        <v>0</v>
      </c>
      <c r="F20823">
        <v>1360</v>
      </c>
    </row>
    <row r="20824" spans="1:6" ht="12.75">
      <c r="A20824" s="2">
        <v>43876.048263888893</v>
      </c>
      <c r="B20824" t="str">
        <f>HYPERLINK("https://twitter.com/forensiec","@forensiec")</f>
        <v>@forensiec</v>
      </c>
      <c r="C20824" t="s">
        <v>2444</v>
      </c>
      <c r="D20824">
        <v>3289</v>
      </c>
      <c r="E20824">
        <v>0</v>
      </c>
      <c r="F20824">
        <v>577</v>
      </c>
    </row>
    <row r="20825" spans="1:6" ht="12.75">
      <c r="A20825" s="2">
        <v>43876.048194444447</v>
      </c>
      <c r="B20825" t="str">
        <f>HYPERLINK("https://twitter.com/mumbai_kjri","@mumbai_kjri")</f>
        <v>@mumbai_kjri</v>
      </c>
      <c r="C20825" t="s">
        <v>10268</v>
      </c>
      <c r="D20825">
        <v>0</v>
      </c>
      <c r="E20825">
        <v>0</v>
      </c>
      <c r="F20825">
        <v>276</v>
      </c>
    </row>
    <row r="20826" spans="1:6" ht="12.75">
      <c r="A20826" s="2">
        <v>43876.047835648147</v>
      </c>
      <c r="B20826" t="str">
        <f>HYPERLINK("https://twitter.com/UNS752","@UNS752")</f>
        <v>@UNS752</v>
      </c>
      <c r="C20826" t="s">
        <v>7478</v>
      </c>
      <c r="D20826">
        <v>458</v>
      </c>
      <c r="E20826">
        <v>0</v>
      </c>
      <c r="F20826">
        <v>1104</v>
      </c>
    </row>
    <row r="20827" spans="1:6" ht="12.75">
      <c r="A20827" s="2">
        <v>43876.047627314816</v>
      </c>
      <c r="B20827" t="str">
        <f>HYPERLINK("https://twitter.com/BudiPra78779216","@BudiPra78779216")</f>
        <v>@BudiPra78779216</v>
      </c>
      <c r="C20827" t="s">
        <v>2444</v>
      </c>
      <c r="D20827">
        <v>3289</v>
      </c>
      <c r="E20827">
        <v>0</v>
      </c>
      <c r="F20827">
        <v>1606</v>
      </c>
    </row>
    <row r="20828" spans="1:6" ht="12.75">
      <c r="A20828" s="2">
        <v>43876.047592592593</v>
      </c>
      <c r="B20828" t="str">
        <f>HYPERLINK("https://twitter.com/BritishSos","@BritishSos")</f>
        <v>@BritishSos</v>
      </c>
      <c r="C20828" t="s">
        <v>3150</v>
      </c>
      <c r="D20828">
        <v>43</v>
      </c>
      <c r="E20828">
        <v>0</v>
      </c>
      <c r="F20828">
        <v>2480</v>
      </c>
    </row>
    <row r="20829" spans="1:6" ht="12.75">
      <c r="A20829" s="2">
        <v>43876.047569444447</v>
      </c>
      <c r="B20829" t="str">
        <f>HYPERLINK("https://twitter.com/unlovablegurl","@unlovablegurl")</f>
        <v>@unlovablegurl</v>
      </c>
      <c r="C20829" t="s">
        <v>10269</v>
      </c>
      <c r="D20829">
        <v>0</v>
      </c>
      <c r="E20829">
        <v>0</v>
      </c>
      <c r="F20829">
        <v>174</v>
      </c>
    </row>
    <row r="20830" spans="1:6" ht="12.75">
      <c r="A20830" s="2">
        <v>43876.047407407408</v>
      </c>
      <c r="B20830" t="str">
        <f>HYPERLINK("https://twitter.com/yallknowmebtch","@yallknowmebtch")</f>
        <v>@yallknowmebtch</v>
      </c>
      <c r="C20830" t="s">
        <v>10270</v>
      </c>
      <c r="D20830">
        <v>1</v>
      </c>
      <c r="E20830">
        <v>5</v>
      </c>
      <c r="F20830">
        <v>116</v>
      </c>
    </row>
    <row r="20831" spans="1:6" ht="12.75">
      <c r="A20831" s="2">
        <v>43876.047361111108</v>
      </c>
      <c r="B20831" t="str">
        <f>HYPERLINK("https://twitter.com/KocakKoment","@KocakKoment")</f>
        <v>@KocakKoment</v>
      </c>
      <c r="C20831" t="s">
        <v>9096</v>
      </c>
      <c r="D20831">
        <v>208</v>
      </c>
      <c r="E20831">
        <v>0</v>
      </c>
      <c r="F20831">
        <v>4</v>
      </c>
    </row>
    <row r="20832" spans="1:6" ht="12.75">
      <c r="A20832" s="2">
        <v>43876.047303240739</v>
      </c>
      <c r="B20832" t="str">
        <f>HYPERLINK("https://twitter.com/hendrihasibua10","@hendrihasibua10")</f>
        <v>@hendrihasibua10</v>
      </c>
      <c r="C20832" t="s">
        <v>9198</v>
      </c>
      <c r="D20832">
        <v>100</v>
      </c>
      <c r="E20832">
        <v>0</v>
      </c>
      <c r="F20832">
        <v>765</v>
      </c>
    </row>
    <row r="20833" spans="1:6" ht="12.75">
      <c r="A20833" s="2">
        <v>43876.0471875</v>
      </c>
      <c r="B20833" t="str">
        <f>HYPERLINK("https://twitter.com/sitaamelia2","@sitaamelia2")</f>
        <v>@sitaamelia2</v>
      </c>
      <c r="C20833" t="s">
        <v>2444</v>
      </c>
      <c r="D20833">
        <v>3289</v>
      </c>
      <c r="E20833">
        <v>0</v>
      </c>
      <c r="F20833">
        <v>390</v>
      </c>
    </row>
    <row r="20834" spans="1:6" ht="12.75">
      <c r="A20834" s="2">
        <v>43876.047164351854</v>
      </c>
      <c r="B20834" t="str">
        <f>HYPERLINK("https://twitter.com/Edipurw61113168","@Edipurw61113168")</f>
        <v>@Edipurw61113168</v>
      </c>
      <c r="C20834" t="s">
        <v>6201</v>
      </c>
      <c r="D20834">
        <v>321</v>
      </c>
      <c r="E20834">
        <v>0</v>
      </c>
      <c r="F20834">
        <v>1195</v>
      </c>
    </row>
    <row r="20835" spans="1:6" ht="12.75">
      <c r="A20835" s="2">
        <v>43876.047129629631</v>
      </c>
      <c r="B20835" t="str">
        <f>HYPERLINK("https://twitter.com/corona_karma","@corona_karma")</f>
        <v>@corona_karma</v>
      </c>
      <c r="C20835" t="s">
        <v>10271</v>
      </c>
      <c r="D20835">
        <v>4</v>
      </c>
      <c r="E20835">
        <v>0</v>
      </c>
      <c r="F20835">
        <v>689</v>
      </c>
    </row>
    <row r="20836" spans="1:6" ht="12.75">
      <c r="A20836" s="2">
        <v>43876.047129629631</v>
      </c>
      <c r="B20836" t="str">
        <f>HYPERLINK("https://twitter.com/Johnplerr","@Johnplerr")</f>
        <v>@Johnplerr</v>
      </c>
      <c r="C20836" t="s">
        <v>2963</v>
      </c>
      <c r="D20836">
        <v>1205</v>
      </c>
      <c r="E20836">
        <v>0</v>
      </c>
      <c r="F20836">
        <v>937</v>
      </c>
    </row>
    <row r="20837" spans="1:6" ht="12.75">
      <c r="A20837" s="2">
        <v>43876.047083333338</v>
      </c>
      <c r="B20837" t="str">
        <f>HYPERLINK("https://twitter.com/Ciolfilicious1","@Ciolfilicious1")</f>
        <v>@Ciolfilicious1</v>
      </c>
      <c r="C20837" t="s">
        <v>3150</v>
      </c>
      <c r="D20837">
        <v>43</v>
      </c>
      <c r="E20837">
        <v>0</v>
      </c>
      <c r="F20837">
        <v>4483</v>
      </c>
    </row>
    <row r="20838" spans="1:6" ht="12.75">
      <c r="A20838" s="2">
        <v>43876.047013888892</v>
      </c>
      <c r="B20838" t="str">
        <f>HYPERLINK("https://twitter.com/reinheart13","@reinheart13")</f>
        <v>@reinheart13</v>
      </c>
      <c r="C20838" t="s">
        <v>2444</v>
      </c>
      <c r="D20838">
        <v>3289</v>
      </c>
      <c r="E20838">
        <v>0</v>
      </c>
      <c r="F20838">
        <v>271</v>
      </c>
    </row>
    <row r="20839" spans="1:6" ht="12.75">
      <c r="A20839" s="2">
        <v>43876.047013888892</v>
      </c>
      <c r="B20839" t="str">
        <f>HYPERLINK("https://twitter.com/Ichwanzein","@Ichwanzein")</f>
        <v>@Ichwanzein</v>
      </c>
      <c r="C20839" t="s">
        <v>10052</v>
      </c>
      <c r="D20839">
        <v>111</v>
      </c>
      <c r="E20839">
        <v>0</v>
      </c>
      <c r="F20839">
        <v>771</v>
      </c>
    </row>
    <row r="20840" spans="1:6" ht="12.75">
      <c r="A20840" s="2">
        <v>43876.046747685185</v>
      </c>
      <c r="B20840" t="str">
        <f>HYPERLINK("https://twitter.com/dumplingkisses","@dumplingkisses")</f>
        <v>@dumplingkisses</v>
      </c>
      <c r="C20840" t="s">
        <v>10272</v>
      </c>
      <c r="D20840">
        <v>22</v>
      </c>
      <c r="E20840">
        <v>0</v>
      </c>
      <c r="F20840">
        <v>148</v>
      </c>
    </row>
    <row r="20841" spans="1:6" ht="12.75">
      <c r="A20841" s="2">
        <v>43876.046712962961</v>
      </c>
      <c r="B20841" t="str">
        <f>HYPERLINK("https://twitter.com/corona_karma","@corona_karma")</f>
        <v>@corona_karma</v>
      </c>
      <c r="C20841" t="s">
        <v>10273</v>
      </c>
      <c r="D20841">
        <v>33</v>
      </c>
      <c r="E20841">
        <v>0</v>
      </c>
      <c r="F20841">
        <v>689</v>
      </c>
    </row>
    <row r="20842" spans="1:6" ht="12.75">
      <c r="A20842" s="2">
        <v>43876.046666666662</v>
      </c>
      <c r="B20842" t="str">
        <f t="shared" ref="B20842:B20843" si="326">HYPERLINK("https://twitter.com/dumplingkisses","@dumplingkisses")</f>
        <v>@dumplingkisses</v>
      </c>
      <c r="C20842" t="s">
        <v>10274</v>
      </c>
      <c r="D20842">
        <v>29</v>
      </c>
      <c r="E20842">
        <v>0</v>
      </c>
      <c r="F20842">
        <v>148</v>
      </c>
    </row>
    <row r="20843" spans="1:6" ht="12.75">
      <c r="A20843" s="2">
        <v>43876.046631944446</v>
      </c>
      <c r="B20843" t="str">
        <f t="shared" si="326"/>
        <v>@dumplingkisses</v>
      </c>
      <c r="C20843" t="s">
        <v>10275</v>
      </c>
      <c r="D20843">
        <v>23</v>
      </c>
      <c r="E20843">
        <v>0</v>
      </c>
      <c r="F20843">
        <v>148</v>
      </c>
    </row>
    <row r="20844" spans="1:6" ht="12.75">
      <c r="A20844" s="2">
        <v>43876.046527777777</v>
      </c>
      <c r="B20844" t="str">
        <f>HYPERLINK("https://twitter.com/biimantul","@biimantul")</f>
        <v>@biimantul</v>
      </c>
      <c r="C20844" t="s">
        <v>2444</v>
      </c>
      <c r="D20844">
        <v>3289</v>
      </c>
      <c r="E20844">
        <v>0</v>
      </c>
      <c r="F20844">
        <v>420</v>
      </c>
    </row>
    <row r="20845" spans="1:6" ht="12.75">
      <c r="A20845" s="2">
        <v>43876.046458333338</v>
      </c>
      <c r="B20845" t="str">
        <f>HYPERLINK("https://twitter.com/corona_karma","@corona_karma")</f>
        <v>@corona_karma</v>
      </c>
      <c r="C20845" t="s">
        <v>2134</v>
      </c>
      <c r="D20845">
        <v>989</v>
      </c>
      <c r="E20845">
        <v>0</v>
      </c>
      <c r="F20845">
        <v>689</v>
      </c>
    </row>
    <row r="20846" spans="1:6" ht="12.75">
      <c r="A20846" s="2">
        <v>43876.046342592592</v>
      </c>
      <c r="B20846" t="str">
        <f>HYPERLINK("https://twitter.com/hanafoeda","@hanafoeda")</f>
        <v>@hanafoeda</v>
      </c>
      <c r="C20846" t="s">
        <v>5168</v>
      </c>
      <c r="D20846">
        <v>1228</v>
      </c>
      <c r="E20846">
        <v>0</v>
      </c>
      <c r="F20846">
        <v>874</v>
      </c>
    </row>
    <row r="20847" spans="1:6" ht="12.75">
      <c r="A20847" s="2">
        <v>43876.045856481476</v>
      </c>
      <c r="B20847" t="str">
        <f>HYPERLINK("https://twitter.com/reverdesfleurs","@reverdesfleurs")</f>
        <v>@reverdesfleurs</v>
      </c>
      <c r="C20847" t="s">
        <v>2444</v>
      </c>
      <c r="D20847">
        <v>3289</v>
      </c>
      <c r="E20847">
        <v>0</v>
      </c>
      <c r="F20847">
        <v>227</v>
      </c>
    </row>
    <row r="20848" spans="1:6" ht="12.75">
      <c r="A20848" s="2">
        <v>43876.045613425929</v>
      </c>
      <c r="B20848" t="str">
        <f>HYPERLINK("https://twitter.com/dnelz","@dnelz")</f>
        <v>@dnelz</v>
      </c>
      <c r="C20848" t="s">
        <v>6201</v>
      </c>
      <c r="D20848">
        <v>321</v>
      </c>
      <c r="E20848">
        <v>0</v>
      </c>
      <c r="F20848">
        <v>6679</v>
      </c>
    </row>
    <row r="20849" spans="1:6" ht="12.75">
      <c r="A20849" s="2">
        <v>43876.045578703706</v>
      </c>
      <c r="B20849" t="str">
        <f>HYPERLINK("https://twitter.com/Februariii","@Februariii")</f>
        <v>@Februariii</v>
      </c>
      <c r="C20849" t="s">
        <v>9746</v>
      </c>
      <c r="D20849">
        <v>409</v>
      </c>
      <c r="E20849">
        <v>0</v>
      </c>
      <c r="F20849">
        <v>445</v>
      </c>
    </row>
    <row r="20850" spans="1:6" ht="12.75">
      <c r="A20850" s="2">
        <v>43876.045474537037</v>
      </c>
      <c r="B20850" t="str">
        <f>HYPERLINK("https://twitter.com/Ichwanzein","@Ichwanzein")</f>
        <v>@Ichwanzein</v>
      </c>
      <c r="C20850" t="s">
        <v>6201</v>
      </c>
      <c r="D20850">
        <v>321</v>
      </c>
      <c r="E20850">
        <v>0</v>
      </c>
      <c r="F20850">
        <v>771</v>
      </c>
    </row>
    <row r="20851" spans="1:6" ht="12.75">
      <c r="A20851" s="2">
        <v>43876.044756944444</v>
      </c>
      <c r="B20851" t="str">
        <f t="shared" ref="B20851:B20852" si="327">HYPERLINK("https://twitter.com/rifaldop","@rifaldop")</f>
        <v>@rifaldop</v>
      </c>
      <c r="C20851" t="s">
        <v>10276</v>
      </c>
      <c r="D20851">
        <v>0</v>
      </c>
      <c r="E20851">
        <v>0</v>
      </c>
      <c r="F20851">
        <v>347</v>
      </c>
    </row>
    <row r="20852" spans="1:6" ht="12.75">
      <c r="A20852" s="2">
        <v>43876.044745370367</v>
      </c>
      <c r="B20852" t="str">
        <f t="shared" si="327"/>
        <v>@rifaldop</v>
      </c>
      <c r="C20852" t="s">
        <v>10277</v>
      </c>
      <c r="D20852">
        <v>0</v>
      </c>
      <c r="E20852">
        <v>0</v>
      </c>
      <c r="F20852">
        <v>347</v>
      </c>
    </row>
    <row r="20853" spans="1:6" ht="12.75">
      <c r="A20853" s="2">
        <v>43876.044675925921</v>
      </c>
      <c r="B20853" t="str">
        <f>HYPERLINK("https://twitter.com/suciwah12870340","@suciwah12870340")</f>
        <v>@suciwah12870340</v>
      </c>
      <c r="C20853" t="s">
        <v>175</v>
      </c>
      <c r="D20853">
        <v>5312</v>
      </c>
      <c r="E20853">
        <v>0</v>
      </c>
      <c r="F20853">
        <v>2</v>
      </c>
    </row>
    <row r="20854" spans="1:6" ht="12.75">
      <c r="A20854" s="2">
        <v>43876.044421296298</v>
      </c>
      <c r="B20854" t="str">
        <f>HYPERLINK("https://twitter.com/reverdesfleurs","@reverdesfleurs")</f>
        <v>@reverdesfleurs</v>
      </c>
      <c r="C20854" t="s">
        <v>5168</v>
      </c>
      <c r="D20854">
        <v>1228</v>
      </c>
      <c r="E20854">
        <v>0</v>
      </c>
      <c r="F20854">
        <v>227</v>
      </c>
    </row>
    <row r="20855" spans="1:6" ht="12.75">
      <c r="A20855" s="2">
        <v>43876.044317129628</v>
      </c>
      <c r="B20855" t="str">
        <f>HYPERLINK("https://twitter.com/frazwik","@frazwik")</f>
        <v>@frazwik</v>
      </c>
      <c r="C20855" t="s">
        <v>8233</v>
      </c>
      <c r="D20855">
        <v>527</v>
      </c>
      <c r="E20855">
        <v>0</v>
      </c>
      <c r="F20855">
        <v>41</v>
      </c>
    </row>
    <row r="20856" spans="1:6" ht="12.75">
      <c r="A20856" s="2">
        <v>43876.043888888889</v>
      </c>
      <c r="B20856" t="str">
        <f>HYPERLINK("https://twitter.com/rang_simabua","@rang_simabua")</f>
        <v>@rang_simabua</v>
      </c>
      <c r="C20856" t="s">
        <v>7888</v>
      </c>
      <c r="D20856">
        <v>52</v>
      </c>
      <c r="E20856">
        <v>0</v>
      </c>
      <c r="F20856">
        <v>7487</v>
      </c>
    </row>
    <row r="20857" spans="1:6" ht="12.75">
      <c r="A20857" s="2">
        <v>43876.043761574074</v>
      </c>
      <c r="B20857" t="str">
        <f>HYPERLINK("https://twitter.com/TRy1ngmyb3st","@TRy1ngmyb3st")</f>
        <v>@TRy1ngmyb3st</v>
      </c>
      <c r="C20857" t="s">
        <v>2444</v>
      </c>
      <c r="D20857">
        <v>3289</v>
      </c>
      <c r="E20857">
        <v>0</v>
      </c>
      <c r="F20857">
        <v>162</v>
      </c>
    </row>
    <row r="20858" spans="1:6" ht="12.75">
      <c r="A20858" s="2">
        <v>43876.043657407412</v>
      </c>
      <c r="B20858" t="str">
        <f>HYPERLINK("https://twitter.com/Rizkyfirdh","@Rizkyfirdh")</f>
        <v>@Rizkyfirdh</v>
      </c>
      <c r="C20858" t="s">
        <v>10278</v>
      </c>
      <c r="D20858">
        <v>0</v>
      </c>
      <c r="E20858">
        <v>0</v>
      </c>
      <c r="F20858">
        <v>154</v>
      </c>
    </row>
    <row r="20859" spans="1:6" ht="12.75">
      <c r="A20859" s="2">
        <v>43876.043599537035</v>
      </c>
      <c r="B20859" t="str">
        <f>HYPERLINK("https://twitter.com/Fatekhah_J_Naim","@Fatekhah_J_Naim")</f>
        <v>@Fatekhah_J_Naim</v>
      </c>
      <c r="C20859" t="s">
        <v>2963</v>
      </c>
      <c r="D20859">
        <v>1205</v>
      </c>
      <c r="E20859">
        <v>0</v>
      </c>
      <c r="F20859">
        <v>110</v>
      </c>
    </row>
    <row r="20860" spans="1:6" ht="12.75">
      <c r="A20860" s="2">
        <v>43876.043576388889</v>
      </c>
      <c r="B20860" t="str">
        <f>HYPERLINK("https://twitter.com/anggilarasatie","@anggilarasatie")</f>
        <v>@anggilarasatie</v>
      </c>
      <c r="C20860" t="s">
        <v>5168</v>
      </c>
      <c r="D20860">
        <v>1228</v>
      </c>
      <c r="E20860">
        <v>0</v>
      </c>
      <c r="F20860">
        <v>113</v>
      </c>
    </row>
    <row r="20861" spans="1:6" ht="12.75">
      <c r="A20861" s="2">
        <v>43876.043472222227</v>
      </c>
      <c r="B20861" t="str">
        <f>HYPERLINK("https://twitter.com/splashingsvt","@splashingsvt")</f>
        <v>@splashingsvt</v>
      </c>
      <c r="C20861" t="s">
        <v>2444</v>
      </c>
      <c r="D20861">
        <v>3289</v>
      </c>
      <c r="E20861">
        <v>0</v>
      </c>
      <c r="F20861">
        <v>193</v>
      </c>
    </row>
    <row r="20862" spans="1:6" ht="12.75">
      <c r="A20862" s="2">
        <v>43876.043171296296</v>
      </c>
      <c r="B20862" t="str">
        <f>HYPERLINK("https://twitter.com/saucenyamitski","@saucenyamitski")</f>
        <v>@saucenyamitski</v>
      </c>
      <c r="C20862" t="s">
        <v>5168</v>
      </c>
      <c r="D20862">
        <v>1210</v>
      </c>
      <c r="E20862">
        <v>0</v>
      </c>
      <c r="F20862">
        <v>41</v>
      </c>
    </row>
    <row r="20863" spans="1:6" ht="12.75">
      <c r="A20863" s="2">
        <v>43876.04314814815</v>
      </c>
      <c r="B20863" t="str">
        <f>HYPERLINK("https://twitter.com/Br_Feza","@Br_Feza")</f>
        <v>@Br_Feza</v>
      </c>
      <c r="C20863" t="s">
        <v>2963</v>
      </c>
      <c r="D20863">
        <v>1192</v>
      </c>
      <c r="E20863">
        <v>0</v>
      </c>
      <c r="F20863">
        <v>15</v>
      </c>
    </row>
    <row r="20864" spans="1:6" ht="12.75">
      <c r="A20864" s="2">
        <v>43876.04310185185</v>
      </c>
      <c r="B20864" t="str">
        <f>HYPERLINK("https://twitter.com/hery_paranata","@hery_paranata")</f>
        <v>@hery_paranata</v>
      </c>
      <c r="C20864" t="s">
        <v>10279</v>
      </c>
      <c r="D20864">
        <v>0</v>
      </c>
      <c r="E20864">
        <v>0</v>
      </c>
      <c r="F20864">
        <v>121</v>
      </c>
    </row>
    <row r="20865" spans="1:6" ht="12.75">
      <c r="A20865" s="2">
        <v>43876.043090277773</v>
      </c>
      <c r="B20865" t="str">
        <f>HYPERLINK("https://twitter.com/reoraja","@reoraja")</f>
        <v>@reoraja</v>
      </c>
      <c r="C20865" t="s">
        <v>10280</v>
      </c>
      <c r="D20865">
        <v>0</v>
      </c>
      <c r="E20865">
        <v>0</v>
      </c>
      <c r="F20865">
        <v>951</v>
      </c>
    </row>
    <row r="20866" spans="1:6" ht="12.75">
      <c r="A20866" s="2">
        <v>43876.043043981481</v>
      </c>
      <c r="B20866" t="str">
        <f>HYPERLINK("https://twitter.com/aldy_mw","@aldy_mw")</f>
        <v>@aldy_mw</v>
      </c>
      <c r="C20866" t="s">
        <v>10052</v>
      </c>
      <c r="D20866">
        <v>109</v>
      </c>
      <c r="E20866">
        <v>0</v>
      </c>
      <c r="F20866">
        <v>1305</v>
      </c>
    </row>
    <row r="20867" spans="1:6" ht="12.75">
      <c r="A20867" s="2">
        <v>43876.042256944449</v>
      </c>
      <c r="B20867" t="str">
        <f>HYPERLINK("https://twitter.com/petrichoreo","@petrichoreo")</f>
        <v>@petrichoreo</v>
      </c>
      <c r="C20867" t="s">
        <v>2444</v>
      </c>
      <c r="D20867">
        <v>3224</v>
      </c>
      <c r="E20867">
        <v>0</v>
      </c>
      <c r="F20867">
        <v>241</v>
      </c>
    </row>
    <row r="20868" spans="1:6" ht="12.75">
      <c r="A20868" s="2">
        <v>43876.042083333334</v>
      </c>
      <c r="B20868" t="str">
        <f>HYPERLINK("https://twitter.com/KitSylvia","@KitSylvia")</f>
        <v>@KitSylvia</v>
      </c>
      <c r="C20868" t="s">
        <v>3150</v>
      </c>
      <c r="D20868">
        <v>36</v>
      </c>
      <c r="E20868">
        <v>0</v>
      </c>
      <c r="F20868">
        <v>532</v>
      </c>
    </row>
    <row r="20869" spans="1:6" ht="12.75">
      <c r="A20869" s="2">
        <v>43876.041990740741</v>
      </c>
      <c r="B20869" t="str">
        <f>HYPERLINK("https://twitter.com/Amirmasoom131","@Amirmasoom131")</f>
        <v>@Amirmasoom131</v>
      </c>
      <c r="C20869" t="s">
        <v>10281</v>
      </c>
      <c r="D20869">
        <v>0</v>
      </c>
      <c r="E20869">
        <v>0</v>
      </c>
      <c r="F20869">
        <v>312</v>
      </c>
    </row>
    <row r="20870" spans="1:6" ht="12.75">
      <c r="A20870" s="2">
        <v>43876.041956018518</v>
      </c>
      <c r="B20870" t="str">
        <f>HYPERLINK("https://twitter.com/Intanprtmp","@Intanprtmp")</f>
        <v>@Intanprtmp</v>
      </c>
      <c r="C20870" t="s">
        <v>5168</v>
      </c>
      <c r="D20870">
        <v>1210</v>
      </c>
      <c r="E20870">
        <v>0</v>
      </c>
      <c r="F20870">
        <v>1428</v>
      </c>
    </row>
    <row r="20871" spans="1:6" ht="12.75">
      <c r="A20871" s="2">
        <v>43876.041898148149</v>
      </c>
      <c r="B20871" t="str">
        <f>HYPERLINK("https://twitter.com/rapunzelungu","@rapunzelungu")</f>
        <v>@rapunzelungu</v>
      </c>
      <c r="C20871" t="s">
        <v>10282</v>
      </c>
      <c r="D20871">
        <v>4</v>
      </c>
      <c r="E20871">
        <v>0</v>
      </c>
      <c r="F20871">
        <v>68</v>
      </c>
    </row>
    <row r="20872" spans="1:6" ht="12.75">
      <c r="A20872" s="2">
        <v>43876.041886574079</v>
      </c>
      <c r="B20872" t="str">
        <f>HYPERLINK("https://twitter.com/saucenyamitski","@saucenyamitski")</f>
        <v>@saucenyamitski</v>
      </c>
      <c r="C20872" t="s">
        <v>2444</v>
      </c>
      <c r="D20872">
        <v>3224</v>
      </c>
      <c r="E20872">
        <v>0</v>
      </c>
      <c r="F20872">
        <v>41</v>
      </c>
    </row>
    <row r="20873" spans="1:6" ht="12.75">
      <c r="A20873" s="2">
        <v>43876.04184027778</v>
      </c>
      <c r="B20873" t="str">
        <f>HYPERLINK("https://twitter.com/forza_fergie","@forza_fergie")</f>
        <v>@forza_fergie</v>
      </c>
      <c r="C20873" t="s">
        <v>3150</v>
      </c>
      <c r="D20873">
        <v>36</v>
      </c>
      <c r="E20873">
        <v>0</v>
      </c>
      <c r="F20873">
        <v>2698</v>
      </c>
    </row>
    <row r="20874" spans="1:6" ht="12.75">
      <c r="A20874" s="2">
        <v>43876.041689814811</v>
      </c>
      <c r="B20874" t="str">
        <f>HYPERLINK("https://twitter.com/rustitour","@rustitour")</f>
        <v>@rustitour</v>
      </c>
      <c r="C20874" t="s">
        <v>2131</v>
      </c>
      <c r="D20874">
        <v>0</v>
      </c>
      <c r="E20874">
        <v>0</v>
      </c>
      <c r="F20874">
        <v>1</v>
      </c>
    </row>
    <row r="20875" spans="1:6" ht="12.75">
      <c r="A20875" s="2">
        <v>43876.041539351849</v>
      </c>
      <c r="B20875" t="str">
        <f>HYPERLINK("https://twitter.com/zaqyian8","@zaqyian8")</f>
        <v>@zaqyian8</v>
      </c>
      <c r="C20875" t="s">
        <v>2444</v>
      </c>
      <c r="D20875">
        <v>3224</v>
      </c>
      <c r="E20875">
        <v>0</v>
      </c>
      <c r="F20875">
        <v>1237</v>
      </c>
    </row>
    <row r="20876" spans="1:6" ht="12.75">
      <c r="A20876" s="2">
        <v>43876.041481481487</v>
      </c>
      <c r="B20876" t="str">
        <f>HYPERLINK("https://twitter.com/jaya1perkasa","@jaya1perkasa")</f>
        <v>@jaya1perkasa</v>
      </c>
      <c r="C20876" t="s">
        <v>7478</v>
      </c>
      <c r="D20876">
        <v>444</v>
      </c>
      <c r="E20876">
        <v>0</v>
      </c>
      <c r="F20876">
        <v>613</v>
      </c>
    </row>
    <row r="20877" spans="1:6" ht="12.75">
      <c r="A20877" s="2">
        <v>43876.041342592594</v>
      </c>
      <c r="B20877" t="str">
        <f>HYPERLINK("https://twitter.com/itukahcinta","@itukahcinta")</f>
        <v>@itukahcinta</v>
      </c>
      <c r="C20877" t="s">
        <v>10283</v>
      </c>
      <c r="D20877">
        <v>0</v>
      </c>
      <c r="E20877">
        <v>0</v>
      </c>
      <c r="F20877">
        <v>708</v>
      </c>
    </row>
    <row r="20878" spans="1:6" ht="12.75">
      <c r="A20878" s="2">
        <v>43876.041307870371</v>
      </c>
      <c r="B20878" t="str">
        <f>HYPERLINK("https://twitter.com/rudikaisinda","@rudikaisinda")</f>
        <v>@rudikaisinda</v>
      </c>
      <c r="C20878" t="s">
        <v>2444</v>
      </c>
      <c r="D20878">
        <v>3224</v>
      </c>
      <c r="E20878">
        <v>0</v>
      </c>
      <c r="F20878">
        <v>254</v>
      </c>
    </row>
    <row r="20879" spans="1:6" ht="12.75">
      <c r="A20879" s="2">
        <v>43876.041226851856</v>
      </c>
      <c r="B20879" t="str">
        <f>HYPERLINK("https://twitter.com/Edipurw61113168","@Edipurw61113168")</f>
        <v>@Edipurw61113168</v>
      </c>
      <c r="C20879" t="s">
        <v>8754</v>
      </c>
      <c r="D20879">
        <v>21</v>
      </c>
      <c r="E20879">
        <v>0</v>
      </c>
      <c r="F20879">
        <v>1195</v>
      </c>
    </row>
    <row r="20880" spans="1:6" ht="12.75">
      <c r="A20880" s="2">
        <v>43876.041215277779</v>
      </c>
      <c r="B20880" t="str">
        <f>HYPERLINK("https://twitter.com/Pakdedy2","@Pakdedy2")</f>
        <v>@Pakdedy2</v>
      </c>
      <c r="C20880" t="s">
        <v>10083</v>
      </c>
      <c r="D20880">
        <v>39</v>
      </c>
      <c r="E20880">
        <v>0</v>
      </c>
      <c r="F20880">
        <v>269</v>
      </c>
    </row>
    <row r="20881" spans="1:6" ht="12.75">
      <c r="A20881" s="2">
        <v>43876.041030092594</v>
      </c>
      <c r="B20881" t="str">
        <f>HYPERLINK("https://twitter.com/Ari_GNR","@Ari_GNR")</f>
        <v>@Ari_GNR</v>
      </c>
      <c r="C20881" t="s">
        <v>10196</v>
      </c>
      <c r="D20881">
        <v>144</v>
      </c>
      <c r="E20881">
        <v>0</v>
      </c>
      <c r="F20881">
        <v>243</v>
      </c>
    </row>
    <row r="20882" spans="1:6" ht="12.75">
      <c r="A20882" s="2">
        <v>43876.040671296301</v>
      </c>
      <c r="B20882" t="str">
        <f>HYPERLINK("https://twitter.com/Junayahoocoid1","@Junayahoocoid1")</f>
        <v>@Junayahoocoid1</v>
      </c>
      <c r="C20882" t="s">
        <v>10284</v>
      </c>
      <c r="D20882">
        <v>0</v>
      </c>
      <c r="E20882">
        <v>0</v>
      </c>
      <c r="F20882">
        <v>1</v>
      </c>
    </row>
    <row r="20883" spans="1:6" ht="12.75">
      <c r="A20883" s="2">
        <v>43876.040659722217</v>
      </c>
      <c r="B20883" t="str">
        <f>HYPERLINK("https://twitter.com/Lee_Hasyiem","@Lee_Hasyiem")</f>
        <v>@Lee_Hasyiem</v>
      </c>
      <c r="C20883" t="s">
        <v>5665</v>
      </c>
      <c r="D20883">
        <v>69</v>
      </c>
      <c r="E20883">
        <v>0</v>
      </c>
      <c r="F20883">
        <v>975</v>
      </c>
    </row>
    <row r="20884" spans="1:6" ht="12.75">
      <c r="A20884" s="2">
        <v>43876.040509259255</v>
      </c>
      <c r="B20884" t="str">
        <f>HYPERLINK("https://twitter.com/Roni64831039","@Roni64831039")</f>
        <v>@Roni64831039</v>
      </c>
      <c r="C20884" t="s">
        <v>10142</v>
      </c>
      <c r="D20884">
        <v>11</v>
      </c>
      <c r="E20884">
        <v>0</v>
      </c>
      <c r="F20884">
        <v>165</v>
      </c>
    </row>
    <row r="20885" spans="1:6" ht="12.75">
      <c r="A20885" s="2">
        <v>43876.040266203709</v>
      </c>
      <c r="B20885" t="str">
        <f>HYPERLINK("https://twitter.com/TroyGranger77","@TroyGranger77")</f>
        <v>@TroyGranger77</v>
      </c>
      <c r="C20885" t="s">
        <v>10285</v>
      </c>
      <c r="D20885">
        <v>0</v>
      </c>
      <c r="E20885">
        <v>0</v>
      </c>
      <c r="F20885">
        <v>944</v>
      </c>
    </row>
    <row r="20886" spans="1:6" ht="12.75">
      <c r="A20886" s="2">
        <v>43876.040138888886</v>
      </c>
      <c r="B20886" t="str">
        <f>HYPERLINK("https://twitter.com/yourvif","@yourvif")</f>
        <v>@yourvif</v>
      </c>
      <c r="C20886" t="s">
        <v>2444</v>
      </c>
      <c r="D20886">
        <v>3224</v>
      </c>
      <c r="E20886">
        <v>0</v>
      </c>
      <c r="F20886">
        <v>1292</v>
      </c>
    </row>
    <row r="20887" spans="1:6" ht="12.75">
      <c r="A20887" s="2">
        <v>43876.039502314816</v>
      </c>
      <c r="B20887" t="str">
        <f>HYPERLINK("https://twitter.com/gotargareyens","@gotargareyens")</f>
        <v>@gotargareyens</v>
      </c>
      <c r="C20887" t="s">
        <v>2444</v>
      </c>
      <c r="D20887">
        <v>3224</v>
      </c>
      <c r="E20887">
        <v>0</v>
      </c>
      <c r="F20887">
        <v>519</v>
      </c>
    </row>
    <row r="20888" spans="1:6" ht="12.75">
      <c r="A20888" s="2">
        <v>43876.039386574077</v>
      </c>
      <c r="B20888" t="str">
        <f>HYPERLINK("https://twitter.com/Yuzri_Andrean","@Yuzri_Andrean")</f>
        <v>@Yuzri_Andrean</v>
      </c>
      <c r="C20888" t="s">
        <v>10286</v>
      </c>
      <c r="D20888">
        <v>3</v>
      </c>
      <c r="E20888">
        <v>0</v>
      </c>
      <c r="F20888">
        <v>733</v>
      </c>
    </row>
    <row r="20889" spans="1:6" ht="12.75">
      <c r="A20889" s="2">
        <v>43876.039351851854</v>
      </c>
      <c r="B20889" t="str">
        <f>HYPERLINK("https://twitter.com/suhail_169","@suhail_169")</f>
        <v>@suhail_169</v>
      </c>
      <c r="C20889" t="s">
        <v>2444</v>
      </c>
      <c r="D20889">
        <v>3224</v>
      </c>
      <c r="E20889">
        <v>0</v>
      </c>
      <c r="F20889">
        <v>61</v>
      </c>
    </row>
    <row r="20890" spans="1:6" ht="12.75">
      <c r="A20890" s="2">
        <v>43876.038958333331</v>
      </c>
      <c r="B20890" t="str">
        <f>HYPERLINK("https://twitter.com/Zakhiyaoktvyn","@Zakhiyaoktvyn")</f>
        <v>@Zakhiyaoktvyn</v>
      </c>
      <c r="C20890" t="s">
        <v>2444</v>
      </c>
      <c r="D20890">
        <v>3224</v>
      </c>
      <c r="E20890">
        <v>0</v>
      </c>
      <c r="F20890">
        <v>1093</v>
      </c>
    </row>
    <row r="20891" spans="1:6" ht="12.75">
      <c r="A20891" s="2">
        <v>43876.038946759261</v>
      </c>
      <c r="B20891" t="str">
        <f>HYPERLINK("https://twitter.com/SINTIACLAUDIA7","@SINTIACLAUDIA7")</f>
        <v>@SINTIACLAUDIA7</v>
      </c>
      <c r="C20891" t="s">
        <v>10287</v>
      </c>
      <c r="D20891">
        <v>0</v>
      </c>
      <c r="E20891">
        <v>1</v>
      </c>
      <c r="F20891">
        <v>1</v>
      </c>
    </row>
    <row r="20892" spans="1:6" ht="12.75">
      <c r="A20892" s="2">
        <v>43876.038923611108</v>
      </c>
      <c r="B20892" t="str">
        <f>HYPERLINK("https://twitter.com/emiersurya","@emiersurya")</f>
        <v>@emiersurya</v>
      </c>
      <c r="C20892" t="s">
        <v>2444</v>
      </c>
      <c r="D20892">
        <v>3224</v>
      </c>
      <c r="E20892">
        <v>0</v>
      </c>
      <c r="F20892">
        <v>707</v>
      </c>
    </row>
    <row r="20893" spans="1:6" ht="12.75">
      <c r="A20893" s="2">
        <v>43876.038622685184</v>
      </c>
      <c r="B20893" t="str">
        <f>HYPERLINK("https://twitter.com/m_halwa","@m_halwa")</f>
        <v>@m_halwa</v>
      </c>
      <c r="C20893" t="s">
        <v>2149</v>
      </c>
      <c r="D20893">
        <v>36</v>
      </c>
      <c r="E20893">
        <v>0</v>
      </c>
      <c r="F20893">
        <v>30</v>
      </c>
    </row>
    <row r="20894" spans="1:6" ht="12.75">
      <c r="A20894" s="2">
        <v>43876.038611111115</v>
      </c>
      <c r="B20894" t="str">
        <f>HYPERLINK("https://twitter.com/StrawberryPools","@StrawberryPools")</f>
        <v>@StrawberryPools</v>
      </c>
      <c r="C20894" t="s">
        <v>2444</v>
      </c>
      <c r="D20894">
        <v>3224</v>
      </c>
      <c r="E20894">
        <v>0</v>
      </c>
      <c r="F20894">
        <v>170</v>
      </c>
    </row>
    <row r="20895" spans="1:6" ht="12.75">
      <c r="A20895" s="2">
        <v>43876.038472222222</v>
      </c>
      <c r="B20895" t="str">
        <f>HYPERLINK("https://twitter.com/arumpusporini","@arumpusporini")</f>
        <v>@arumpusporini</v>
      </c>
      <c r="C20895" t="s">
        <v>8233</v>
      </c>
      <c r="D20895">
        <v>526</v>
      </c>
      <c r="E20895">
        <v>0</v>
      </c>
      <c r="F20895">
        <v>903</v>
      </c>
    </row>
    <row r="20896" spans="1:6" ht="12.75">
      <c r="A20896" s="2">
        <v>43876.038043981476</v>
      </c>
      <c r="B20896" t="str">
        <f>HYPERLINK("https://twitter.com/itsssdone","@itsssdone")</f>
        <v>@itsssdone</v>
      </c>
      <c r="C20896" t="s">
        <v>2444</v>
      </c>
      <c r="D20896">
        <v>3224</v>
      </c>
      <c r="E20896">
        <v>0</v>
      </c>
      <c r="F20896">
        <v>276</v>
      </c>
    </row>
    <row r="20897" spans="1:6" ht="12.75">
      <c r="A20897" s="2">
        <v>43876.037534722222</v>
      </c>
      <c r="B20897" t="str">
        <f>HYPERLINK("https://twitter.com/jejerann","@jejerann")</f>
        <v>@jejerann</v>
      </c>
      <c r="C20897" t="s">
        <v>2444</v>
      </c>
      <c r="D20897">
        <v>3224</v>
      </c>
      <c r="E20897">
        <v>0</v>
      </c>
      <c r="F20897">
        <v>785</v>
      </c>
    </row>
    <row r="20898" spans="1:6" ht="12.75">
      <c r="A20898" s="2">
        <v>43876.037453703699</v>
      </c>
      <c r="B20898" t="str">
        <f>HYPERLINK("https://twitter.com/komikolla","@komikolla")</f>
        <v>@komikolla</v>
      </c>
      <c r="C20898" t="s">
        <v>2444</v>
      </c>
      <c r="D20898">
        <v>3224</v>
      </c>
      <c r="E20898">
        <v>0</v>
      </c>
      <c r="F20898">
        <v>6</v>
      </c>
    </row>
    <row r="20899" spans="1:6" ht="12.75">
      <c r="A20899" s="2">
        <v>43876.037407407406</v>
      </c>
      <c r="B20899" t="str">
        <f>HYPERLINK("https://twitter.com/ChomoAljabar14","@ChomoAljabar14")</f>
        <v>@ChomoAljabar14</v>
      </c>
      <c r="C20899" t="s">
        <v>10288</v>
      </c>
      <c r="D20899">
        <v>0</v>
      </c>
      <c r="E20899">
        <v>0</v>
      </c>
      <c r="F20899">
        <v>860</v>
      </c>
    </row>
    <row r="20900" spans="1:6" ht="12.75">
      <c r="A20900" s="2">
        <v>43876.037326388891</v>
      </c>
      <c r="B20900" t="str">
        <f>HYPERLINK("https://twitter.com/kurniawidianto_","@kurniawidianto_")</f>
        <v>@kurniawidianto_</v>
      </c>
      <c r="C20900" t="s">
        <v>10289</v>
      </c>
      <c r="D20900">
        <v>0</v>
      </c>
      <c r="E20900">
        <v>0</v>
      </c>
      <c r="F20900">
        <v>154</v>
      </c>
    </row>
    <row r="20901" spans="1:6" ht="12.75">
      <c r="A20901" s="2">
        <v>43876.037141203706</v>
      </c>
      <c r="B20901" t="str">
        <f>HYPERLINK("https://twitter.com/baekxico","@baekxico")</f>
        <v>@baekxico</v>
      </c>
      <c r="C20901" t="s">
        <v>2444</v>
      </c>
      <c r="D20901">
        <v>3224</v>
      </c>
      <c r="E20901">
        <v>0</v>
      </c>
      <c r="F20901">
        <v>1332</v>
      </c>
    </row>
    <row r="20902" spans="1:6" ht="12.75">
      <c r="A20902" s="2">
        <v>43876.037106481483</v>
      </c>
      <c r="B20902" t="str">
        <f>HYPERLINK("https://twitter.com/ahmad_harry","@ahmad_harry")</f>
        <v>@ahmad_harry</v>
      </c>
      <c r="C20902" t="s">
        <v>2444</v>
      </c>
      <c r="D20902">
        <v>3224</v>
      </c>
      <c r="E20902">
        <v>0</v>
      </c>
      <c r="F20902">
        <v>1283</v>
      </c>
    </row>
    <row r="20903" spans="1:6" ht="12.75">
      <c r="A20903" s="2">
        <v>43876.037083333329</v>
      </c>
      <c r="B20903" t="str">
        <f>HYPERLINK("https://twitter.com/Jangdaraa","@Jangdaraa")</f>
        <v>@Jangdaraa</v>
      </c>
      <c r="C20903" t="s">
        <v>7068</v>
      </c>
      <c r="D20903">
        <v>38</v>
      </c>
      <c r="E20903">
        <v>0</v>
      </c>
      <c r="F20903">
        <v>563</v>
      </c>
    </row>
    <row r="20904" spans="1:6" ht="12.75">
      <c r="A20904" s="2">
        <v>43876.036585648151</v>
      </c>
      <c r="B20904" t="str">
        <f>HYPERLINK("https://twitter.com/c2sdrjp","@c2sdrjp")</f>
        <v>@c2sdrjp</v>
      </c>
      <c r="C20904" t="s">
        <v>10286</v>
      </c>
      <c r="D20904">
        <v>3</v>
      </c>
      <c r="E20904">
        <v>0</v>
      </c>
      <c r="F20904">
        <v>1138</v>
      </c>
    </row>
    <row r="20905" spans="1:6" ht="12.75">
      <c r="A20905" s="2">
        <v>43876.036435185189</v>
      </c>
      <c r="B20905" t="str">
        <f>HYPERLINK("https://twitter.com/oki_tok88","@oki_tok88")</f>
        <v>@oki_tok88</v>
      </c>
      <c r="C20905" t="s">
        <v>8754</v>
      </c>
      <c r="D20905">
        <v>21</v>
      </c>
      <c r="E20905">
        <v>0</v>
      </c>
      <c r="F20905">
        <v>247</v>
      </c>
    </row>
    <row r="20906" spans="1:6" ht="12.75">
      <c r="A20906" s="2">
        <v>43876.036203703705</v>
      </c>
      <c r="B20906" t="str">
        <f>HYPERLINK("https://twitter.com/bbgirlff","@bbgirlff")</f>
        <v>@bbgirlff</v>
      </c>
      <c r="C20906" t="s">
        <v>2137</v>
      </c>
      <c r="D20906">
        <v>226</v>
      </c>
      <c r="E20906">
        <v>0</v>
      </c>
      <c r="F20906">
        <v>556</v>
      </c>
    </row>
    <row r="20907" spans="1:6" ht="12.75">
      <c r="A20907" s="2">
        <v>43876.036134259259</v>
      </c>
      <c r="B20907" t="str">
        <f>HYPERLINK("https://twitter.com/KRobet02","@KRobet02")</f>
        <v>@KRobet02</v>
      </c>
      <c r="C20907" t="s">
        <v>6201</v>
      </c>
      <c r="D20907">
        <v>310</v>
      </c>
      <c r="E20907">
        <v>0</v>
      </c>
      <c r="F20907">
        <v>260</v>
      </c>
    </row>
    <row r="20908" spans="1:6" ht="12.75">
      <c r="A20908" s="2">
        <v>43876.036041666666</v>
      </c>
      <c r="B20908" t="str">
        <f>HYPERLINK("https://twitter.com/ajimunicorn","@ajimunicorn")</f>
        <v>@ajimunicorn</v>
      </c>
      <c r="C20908" t="s">
        <v>5168</v>
      </c>
      <c r="D20908">
        <v>1210</v>
      </c>
      <c r="E20908">
        <v>0</v>
      </c>
      <c r="F20908">
        <v>43</v>
      </c>
    </row>
    <row r="20909" spans="1:6" ht="12.75">
      <c r="A20909" s="2">
        <v>43876.035902777774</v>
      </c>
      <c r="B20909" t="str">
        <f>HYPERLINK("https://twitter.com/Syamsud41732201","@Syamsud41732201")</f>
        <v>@Syamsud41732201</v>
      </c>
      <c r="C20909" t="s">
        <v>10074</v>
      </c>
      <c r="D20909">
        <v>81</v>
      </c>
      <c r="E20909">
        <v>0</v>
      </c>
      <c r="F20909">
        <v>728</v>
      </c>
    </row>
    <row r="20910" spans="1:6" ht="12.75">
      <c r="A20910" s="2">
        <v>43876.035833333328</v>
      </c>
      <c r="B20910" t="str">
        <f>HYPERLINK("https://twitter.com/kardusbox08","@kardusbox08")</f>
        <v>@kardusbox08</v>
      </c>
      <c r="C20910" t="s">
        <v>10114</v>
      </c>
      <c r="D20910">
        <v>24</v>
      </c>
      <c r="E20910">
        <v>0</v>
      </c>
      <c r="F20910">
        <v>1214</v>
      </c>
    </row>
    <row r="20911" spans="1:6" ht="12.75">
      <c r="A20911" s="2">
        <v>43876.035821759258</v>
      </c>
      <c r="B20911" t="str">
        <f>HYPERLINK("https://twitter.com/kania_heni","@kania_heni")</f>
        <v>@kania_heni</v>
      </c>
      <c r="C20911" t="s">
        <v>2444</v>
      </c>
      <c r="D20911">
        <v>3224</v>
      </c>
      <c r="E20911">
        <v>0</v>
      </c>
      <c r="F20911">
        <v>567</v>
      </c>
    </row>
    <row r="20912" spans="1:6" ht="12.75">
      <c r="A20912" s="2">
        <v>43876.035810185189</v>
      </c>
      <c r="B20912" t="str">
        <f>HYPERLINK("https://twitter.com/SuramaduJingga","@SuramaduJingga")</f>
        <v>@SuramaduJingga</v>
      </c>
      <c r="C20912" t="s">
        <v>9198</v>
      </c>
      <c r="D20912">
        <v>96</v>
      </c>
      <c r="E20912">
        <v>0</v>
      </c>
      <c r="F20912">
        <v>581</v>
      </c>
    </row>
    <row r="20913" spans="1:6" ht="12.75">
      <c r="A20913" s="2">
        <v>43876.035717592589</v>
      </c>
      <c r="B20913" t="str">
        <f>HYPERLINK("https://twitter.com/ajimunicorn","@ajimunicorn")</f>
        <v>@ajimunicorn</v>
      </c>
      <c r="C20913" t="s">
        <v>10290</v>
      </c>
      <c r="D20913">
        <v>0</v>
      </c>
      <c r="E20913">
        <v>0</v>
      </c>
      <c r="F20913">
        <v>43</v>
      </c>
    </row>
    <row r="20914" spans="1:6" ht="12.75">
      <c r="A20914" s="2">
        <v>43876.035636574074</v>
      </c>
      <c r="B20914" t="str">
        <f>HYPERLINK("https://twitter.com/TrioMacari2000","@TrioMacari2000")</f>
        <v>@TrioMacari2000</v>
      </c>
      <c r="C20914" t="s">
        <v>10291</v>
      </c>
      <c r="D20914">
        <v>18</v>
      </c>
      <c r="E20914">
        <v>0</v>
      </c>
      <c r="F20914">
        <v>6505</v>
      </c>
    </row>
    <row r="20915" spans="1:6" ht="12.75">
      <c r="A20915" s="2">
        <v>43876.035451388889</v>
      </c>
      <c r="B20915" t="str">
        <f>HYPERLINK("https://twitter.com/chibi_ocopz","@chibi_ocopz")</f>
        <v>@chibi_ocopz</v>
      </c>
      <c r="C20915" t="s">
        <v>8353</v>
      </c>
      <c r="D20915">
        <v>5</v>
      </c>
      <c r="E20915">
        <v>0</v>
      </c>
      <c r="F20915">
        <v>222</v>
      </c>
    </row>
    <row r="20916" spans="1:6" ht="12.75">
      <c r="A20916" s="2">
        <v>43876.035358796296</v>
      </c>
      <c r="B20916" t="str">
        <f>HYPERLINK("https://twitter.com/rectoversa","@rectoversa")</f>
        <v>@rectoversa</v>
      </c>
      <c r="C20916" t="s">
        <v>6201</v>
      </c>
      <c r="D20916">
        <v>310</v>
      </c>
      <c r="E20916">
        <v>0</v>
      </c>
      <c r="F20916">
        <v>481</v>
      </c>
    </row>
    <row r="20917" spans="1:6" ht="12.75">
      <c r="A20917" s="2">
        <v>43876.034930555557</v>
      </c>
      <c r="B20917" t="str">
        <f>HYPERLINK("https://twitter.com/alimaksum4","@alimaksum4")</f>
        <v>@alimaksum4</v>
      </c>
      <c r="C20917" t="s">
        <v>10292</v>
      </c>
      <c r="D20917">
        <v>0</v>
      </c>
      <c r="E20917">
        <v>0</v>
      </c>
      <c r="F20917">
        <v>489</v>
      </c>
    </row>
    <row r="20918" spans="1:6" ht="12.75">
      <c r="A20918" s="2">
        <v>43876.034918981481</v>
      </c>
      <c r="B20918" t="str">
        <f>HYPERLINK("https://twitter.com/idhar_hanifudin","@idhar_hanifudin")</f>
        <v>@idhar_hanifudin</v>
      </c>
      <c r="C20918" t="s">
        <v>6201</v>
      </c>
      <c r="D20918">
        <v>310</v>
      </c>
      <c r="E20918">
        <v>0</v>
      </c>
      <c r="F20918">
        <v>350</v>
      </c>
    </row>
    <row r="20919" spans="1:6" ht="12.75">
      <c r="A20919" s="2">
        <v>43876.034895833334</v>
      </c>
      <c r="B20919" t="str">
        <f>HYPERLINK("https://twitter.com/isalsaurus","@isalsaurus")</f>
        <v>@isalsaurus</v>
      </c>
      <c r="C20919" t="s">
        <v>5168</v>
      </c>
      <c r="D20919">
        <v>1210</v>
      </c>
      <c r="E20919">
        <v>0</v>
      </c>
      <c r="F20919">
        <v>356</v>
      </c>
    </row>
    <row r="20920" spans="1:6" ht="12.75">
      <c r="A20920" s="2">
        <v>43876.034756944442</v>
      </c>
      <c r="B20920" t="str">
        <f>HYPERLINK("https://twitter.com/liputan6dotcom","@liputan6dotcom")</f>
        <v>@liputan6dotcom</v>
      </c>
      <c r="C20920" t="s">
        <v>10189</v>
      </c>
      <c r="D20920">
        <v>3</v>
      </c>
      <c r="E20920">
        <v>6</v>
      </c>
      <c r="F20920">
        <v>3624711</v>
      </c>
    </row>
    <row r="20921" spans="1:6" ht="12.75">
      <c r="A20921" s="2">
        <v>43876.034594907411</v>
      </c>
      <c r="B20921" t="str">
        <f>HYPERLINK("https://twitter.com/artemis_klin","@artemis_klin")</f>
        <v>@artemis_klin</v>
      </c>
      <c r="C20921" t="s">
        <v>9082</v>
      </c>
      <c r="D20921">
        <v>75</v>
      </c>
      <c r="E20921">
        <v>0</v>
      </c>
      <c r="F20921">
        <v>546</v>
      </c>
    </row>
    <row r="20922" spans="1:6" ht="12.75">
      <c r="A20922" s="2">
        <v>43876.034537037034</v>
      </c>
      <c r="B20922" t="str">
        <f>HYPERLINK("https://twitter.com/wni_jmsri","@wni_jmsri")</f>
        <v>@wni_jmsri</v>
      </c>
      <c r="C20922" t="s">
        <v>10293</v>
      </c>
      <c r="D20922">
        <v>390</v>
      </c>
      <c r="E20922">
        <v>0</v>
      </c>
      <c r="F20922">
        <v>195</v>
      </c>
    </row>
    <row r="20923" spans="1:6" ht="12.75">
      <c r="A20923" s="2">
        <v>43876.034432870365</v>
      </c>
      <c r="B20923" t="str">
        <f>HYPERLINK("https://twitter.com/deka_priawan","@deka_priawan")</f>
        <v>@deka_priawan</v>
      </c>
      <c r="C20923" t="s">
        <v>9666</v>
      </c>
      <c r="D20923">
        <v>22</v>
      </c>
      <c r="E20923">
        <v>0</v>
      </c>
      <c r="F20923">
        <v>2</v>
      </c>
    </row>
    <row r="20924" spans="1:6" ht="12.75">
      <c r="A20924" s="2">
        <v>43876.034386574072</v>
      </c>
      <c r="B20924" t="str">
        <f>HYPERLINK("https://twitter.com/MonicaHanum","@MonicaHanum")</f>
        <v>@MonicaHanum</v>
      </c>
      <c r="C20924" t="s">
        <v>5168</v>
      </c>
      <c r="D20924">
        <v>1210</v>
      </c>
      <c r="E20924">
        <v>0</v>
      </c>
      <c r="F20924">
        <v>451</v>
      </c>
    </row>
    <row r="20925" spans="1:6" ht="12.75">
      <c r="A20925" s="2">
        <v>43876.034351851849</v>
      </c>
      <c r="B20925" t="str">
        <f t="shared" ref="B20925:B20926" si="328">HYPERLINK("https://twitter.com/deka_priawan","@deka_priawan")</f>
        <v>@deka_priawan</v>
      </c>
      <c r="C20925" t="s">
        <v>9857</v>
      </c>
      <c r="D20925">
        <v>20</v>
      </c>
      <c r="E20925">
        <v>0</v>
      </c>
      <c r="F20925">
        <v>2</v>
      </c>
    </row>
    <row r="20926" spans="1:6" ht="12.75">
      <c r="A20926" s="2">
        <v>43876.034224537041</v>
      </c>
      <c r="B20926" t="str">
        <f t="shared" si="328"/>
        <v>@deka_priawan</v>
      </c>
      <c r="C20926" t="s">
        <v>8353</v>
      </c>
      <c r="D20926">
        <v>5</v>
      </c>
      <c r="E20926">
        <v>0</v>
      </c>
      <c r="F20926">
        <v>2</v>
      </c>
    </row>
    <row r="20927" spans="1:6" ht="12.75">
      <c r="A20927" s="2">
        <v>43876.034004629633</v>
      </c>
      <c r="B20927" t="str">
        <f>HYPERLINK("https://twitter.com/wni_jmsri","@wni_jmsri")</f>
        <v>@wni_jmsri</v>
      </c>
      <c r="C20927" t="s">
        <v>10294</v>
      </c>
      <c r="D20927">
        <v>13</v>
      </c>
      <c r="E20927">
        <v>0</v>
      </c>
      <c r="F20927">
        <v>195</v>
      </c>
    </row>
    <row r="20928" spans="1:6" ht="12.75">
      <c r="A20928" s="2">
        <v>43876.033993055556</v>
      </c>
      <c r="B20928" t="str">
        <f>HYPERLINK("https://twitter.com/yudi_ferdinanta","@yudi_ferdinanta")</f>
        <v>@yudi_ferdinanta</v>
      </c>
      <c r="C20928" t="s">
        <v>5168</v>
      </c>
      <c r="D20928">
        <v>1210</v>
      </c>
      <c r="E20928">
        <v>0</v>
      </c>
      <c r="F20928">
        <v>291</v>
      </c>
    </row>
    <row r="20929" spans="1:6" ht="12.75">
      <c r="A20929" s="2">
        <v>43876.03398148148</v>
      </c>
      <c r="B20929" t="str">
        <f>HYPERLINK("https://twitter.com/naomiii13692","@naomiii13692")</f>
        <v>@naomiii13692</v>
      </c>
      <c r="C20929" t="s">
        <v>2444</v>
      </c>
      <c r="D20929">
        <v>3224</v>
      </c>
      <c r="E20929">
        <v>0</v>
      </c>
      <c r="F20929">
        <v>613</v>
      </c>
    </row>
    <row r="20930" spans="1:6" ht="12.75">
      <c r="A20930" s="2">
        <v>43876.033888888887</v>
      </c>
      <c r="B20930" t="str">
        <f>HYPERLINK("https://twitter.com/oktashin","@oktashin")</f>
        <v>@oktashin</v>
      </c>
      <c r="C20930" t="s">
        <v>5168</v>
      </c>
      <c r="D20930">
        <v>1210</v>
      </c>
      <c r="E20930">
        <v>0</v>
      </c>
      <c r="F20930">
        <v>228</v>
      </c>
    </row>
    <row r="20931" spans="1:6" ht="12.75">
      <c r="A20931" s="2">
        <v>43876.033761574072</v>
      </c>
      <c r="B20931" t="str">
        <f>HYPERLINK("https://twitter.com/Ari_GNR","@Ari_GNR")</f>
        <v>@Ari_GNR</v>
      </c>
      <c r="C20931" t="s">
        <v>10295</v>
      </c>
      <c r="D20931">
        <v>93</v>
      </c>
      <c r="E20931">
        <v>0</v>
      </c>
      <c r="F20931">
        <v>243</v>
      </c>
    </row>
    <row r="20932" spans="1:6" ht="12.75">
      <c r="A20932" s="2">
        <v>43876.033599537041</v>
      </c>
      <c r="B20932" t="str">
        <f>HYPERLINK("https://twitter.com/Azzamovic_Z","@Azzamovic_Z")</f>
        <v>@Azzamovic_Z</v>
      </c>
      <c r="C20932" t="s">
        <v>2444</v>
      </c>
      <c r="D20932">
        <v>3224</v>
      </c>
      <c r="E20932">
        <v>0</v>
      </c>
      <c r="F20932">
        <v>31</v>
      </c>
    </row>
    <row r="20933" spans="1:6" ht="12.75">
      <c r="A20933" s="2">
        <v>43876.033564814818</v>
      </c>
      <c r="B20933" t="str">
        <f>HYPERLINK("https://twitter.com/Gokong_83","@Gokong_83")</f>
        <v>@Gokong_83</v>
      </c>
      <c r="C20933" t="s">
        <v>8349</v>
      </c>
      <c r="D20933">
        <v>16</v>
      </c>
      <c r="E20933">
        <v>0</v>
      </c>
      <c r="F20933">
        <v>65</v>
      </c>
    </row>
    <row r="20934" spans="1:6" ht="12.75">
      <c r="A20934" s="2">
        <v>43876.033541666664</v>
      </c>
      <c r="B20934" t="str">
        <f>HYPERLINK("https://twitter.com/abelbrln","@abelbrln")</f>
        <v>@abelbrln</v>
      </c>
      <c r="C20934" t="s">
        <v>2444</v>
      </c>
      <c r="D20934">
        <v>3224</v>
      </c>
      <c r="E20934">
        <v>0</v>
      </c>
      <c r="F20934">
        <v>1023</v>
      </c>
    </row>
    <row r="20935" spans="1:6" ht="12.75">
      <c r="A20935" s="2">
        <v>43876.033414351856</v>
      </c>
      <c r="B20935" t="str">
        <f>HYPERLINK("https://twitter.com/luthfiew","@luthfiew")</f>
        <v>@luthfiew</v>
      </c>
      <c r="C20935" t="s">
        <v>10296</v>
      </c>
      <c r="D20935">
        <v>0</v>
      </c>
      <c r="E20935">
        <v>0</v>
      </c>
      <c r="F20935">
        <v>686</v>
      </c>
    </row>
    <row r="20936" spans="1:6" ht="12.75">
      <c r="A20936" s="2">
        <v>43876.033263888894</v>
      </c>
      <c r="B20936" t="str">
        <f>HYPERLINK("https://twitter.com/andinapradipta","@andinapradipta")</f>
        <v>@andinapradipta</v>
      </c>
      <c r="C20936" t="s">
        <v>2444</v>
      </c>
      <c r="D20936">
        <v>3224</v>
      </c>
      <c r="E20936">
        <v>0</v>
      </c>
      <c r="F20936">
        <v>429</v>
      </c>
    </row>
    <row r="20937" spans="1:6" ht="12.75">
      <c r="A20937" s="2">
        <v>43876.03324074074</v>
      </c>
      <c r="B20937" t="str">
        <f>HYPERLINK("https://twitter.com/fthyannafi","@fthyannafi")</f>
        <v>@fthyannafi</v>
      </c>
      <c r="C20937" t="s">
        <v>5168</v>
      </c>
      <c r="D20937">
        <v>1210</v>
      </c>
      <c r="E20937">
        <v>0</v>
      </c>
      <c r="F20937">
        <v>484</v>
      </c>
    </row>
    <row r="20938" spans="1:6" ht="12.75">
      <c r="A20938" s="2">
        <v>43876.032766203702</v>
      </c>
      <c r="B20938" t="str">
        <f>HYPERLINK("https://twitter.com/icejuntakbin","@icejuntakbin")</f>
        <v>@icejuntakbin</v>
      </c>
      <c r="C20938" t="s">
        <v>2444</v>
      </c>
      <c r="D20938">
        <v>3224</v>
      </c>
      <c r="E20938">
        <v>0</v>
      </c>
      <c r="F20938">
        <v>5</v>
      </c>
    </row>
    <row r="20939" spans="1:6" ht="12.75">
      <c r="A20939" s="2">
        <v>43876.032465277778</v>
      </c>
      <c r="B20939" t="str">
        <f>HYPERLINK("https://twitter.com/gembira683101","@gembira683101")</f>
        <v>@gembira683101</v>
      </c>
      <c r="C20939" t="s">
        <v>10297</v>
      </c>
      <c r="D20939">
        <v>10</v>
      </c>
      <c r="E20939">
        <v>0</v>
      </c>
      <c r="F20939">
        <v>194</v>
      </c>
    </row>
    <row r="20940" spans="1:6" ht="12.75">
      <c r="A20940" s="2">
        <v>43876.032337962963</v>
      </c>
      <c r="B20940" t="str">
        <f>HYPERLINK("https://twitter.com/uk_su","@uk_su")</f>
        <v>@uk_su</v>
      </c>
      <c r="C20940" t="s">
        <v>10298</v>
      </c>
      <c r="D20940">
        <v>0</v>
      </c>
      <c r="E20940">
        <v>0</v>
      </c>
      <c r="F20940">
        <v>4339</v>
      </c>
    </row>
    <row r="20941" spans="1:6" ht="12.75">
      <c r="A20941" s="2">
        <v>43876.03225694444</v>
      </c>
      <c r="B20941" t="str">
        <f>HYPERLINK("https://twitter.com/Ichlieb99","@Ichlieb99")</f>
        <v>@Ichlieb99</v>
      </c>
      <c r="C20941" t="s">
        <v>2444</v>
      </c>
      <c r="D20941">
        <v>3224</v>
      </c>
      <c r="E20941">
        <v>0</v>
      </c>
      <c r="F20941">
        <v>120</v>
      </c>
    </row>
    <row r="20942" spans="1:6" ht="12.75">
      <c r="A20942" s="2">
        <v>43876.032164351855</v>
      </c>
      <c r="B20942" t="str">
        <f>HYPERLINK("https://twitter.com/guritno_gun","@guritno_gun")</f>
        <v>@guritno_gun</v>
      </c>
      <c r="C20942" t="s">
        <v>9835</v>
      </c>
      <c r="D20942">
        <v>62</v>
      </c>
      <c r="E20942">
        <v>0</v>
      </c>
      <c r="F20942">
        <v>140</v>
      </c>
    </row>
    <row r="20943" spans="1:6" ht="12.75">
      <c r="A20943" s="2">
        <v>43876.032164351855</v>
      </c>
      <c r="B20943" t="str">
        <f>HYPERLINK("https://twitter.com/debbieCristiano","@debbieCristiano")</f>
        <v>@debbieCristiano</v>
      </c>
      <c r="C20943" t="s">
        <v>5168</v>
      </c>
      <c r="D20943">
        <v>1210</v>
      </c>
      <c r="E20943">
        <v>0</v>
      </c>
      <c r="F20943">
        <v>872</v>
      </c>
    </row>
    <row r="20944" spans="1:6" ht="12.75">
      <c r="A20944" s="2">
        <v>43876.032071759255</v>
      </c>
      <c r="B20944" t="str">
        <f>HYPERLINK("https://twitter.com/TuTTeO","@TuTTeO")</f>
        <v>@TuTTeO</v>
      </c>
      <c r="C20944" t="s">
        <v>10299</v>
      </c>
      <c r="D20944">
        <v>0</v>
      </c>
      <c r="E20944">
        <v>0</v>
      </c>
      <c r="F20944">
        <v>1124</v>
      </c>
    </row>
    <row r="20945" spans="1:6" ht="12.75">
      <c r="A20945" s="2">
        <v>43876.031828703708</v>
      </c>
      <c r="B20945" t="str">
        <f>HYPERLINK("https://twitter.com/versceonthflr","@versceonthflr")</f>
        <v>@versceonthflr</v>
      </c>
      <c r="C20945" t="s">
        <v>10300</v>
      </c>
      <c r="D20945">
        <v>66</v>
      </c>
      <c r="E20945">
        <v>0</v>
      </c>
      <c r="F20945">
        <v>376</v>
      </c>
    </row>
    <row r="20946" spans="1:6" ht="12.75">
      <c r="A20946" s="2">
        <v>43876.031782407408</v>
      </c>
      <c r="B20946" t="str">
        <f>HYPERLINK("https://twitter.com/itsmespicaa","@itsmespicaa")</f>
        <v>@itsmespicaa</v>
      </c>
      <c r="C20946" t="s">
        <v>2444</v>
      </c>
      <c r="D20946">
        <v>3224</v>
      </c>
      <c r="E20946">
        <v>0</v>
      </c>
      <c r="F20946">
        <v>534</v>
      </c>
    </row>
    <row r="20947" spans="1:6" ht="12.75">
      <c r="A20947" s="2">
        <v>43876.031689814816</v>
      </c>
      <c r="B20947" t="str">
        <f>HYPERLINK("https://twitter.com/nesha_necha","@nesha_necha")</f>
        <v>@nesha_necha</v>
      </c>
      <c r="C20947" t="s">
        <v>2444</v>
      </c>
      <c r="D20947">
        <v>3224</v>
      </c>
      <c r="E20947">
        <v>0</v>
      </c>
      <c r="F20947">
        <v>188</v>
      </c>
    </row>
    <row r="20948" spans="1:6" ht="12.75">
      <c r="A20948" s="2">
        <v>43876.031342592592</v>
      </c>
      <c r="B20948" t="str">
        <f>HYPERLINK("https://twitter.com/SELAWDAH","@SELAWDAH")</f>
        <v>@SELAWDAH</v>
      </c>
      <c r="C20948" t="s">
        <v>2444</v>
      </c>
      <c r="D20948">
        <v>3224</v>
      </c>
      <c r="E20948">
        <v>0</v>
      </c>
      <c r="F20948">
        <v>227</v>
      </c>
    </row>
    <row r="20949" spans="1:6" ht="12.75">
      <c r="A20949" s="2">
        <v>43876.031168981484</v>
      </c>
      <c r="B20949" t="str">
        <f>HYPERLINK("https://twitter.com/emaestroo","@emaestroo")</f>
        <v>@emaestroo</v>
      </c>
      <c r="C20949" t="s">
        <v>2444</v>
      </c>
      <c r="D20949">
        <v>3224</v>
      </c>
      <c r="E20949">
        <v>0</v>
      </c>
      <c r="F20949">
        <v>866</v>
      </c>
    </row>
    <row r="20950" spans="1:6" ht="12.75">
      <c r="A20950" s="2">
        <v>43876.031064814815</v>
      </c>
      <c r="B20950" t="str">
        <f>HYPERLINK("https://twitter.com/ronalaily","@ronalaily")</f>
        <v>@ronalaily</v>
      </c>
      <c r="C20950" t="s">
        <v>9067</v>
      </c>
      <c r="D20950">
        <v>61</v>
      </c>
      <c r="E20950">
        <v>0</v>
      </c>
      <c r="F20950">
        <v>42</v>
      </c>
    </row>
    <row r="20951" spans="1:6" ht="12.75">
      <c r="A20951" s="2">
        <v>43876.030821759261</v>
      </c>
      <c r="B20951" t="str">
        <f>HYPERLINK("https://twitter.com/thxxky","@thxxky")</f>
        <v>@thxxky</v>
      </c>
      <c r="C20951" t="s">
        <v>2444</v>
      </c>
      <c r="D20951">
        <v>3224</v>
      </c>
      <c r="E20951">
        <v>0</v>
      </c>
      <c r="F20951">
        <v>470</v>
      </c>
    </row>
    <row r="20952" spans="1:6" ht="12.75">
      <c r="A20952" s="2">
        <v>43876.030532407407</v>
      </c>
      <c r="B20952" t="str">
        <f>HYPERLINK("https://twitter.com/dyah_sulistya","@dyah_sulistya")</f>
        <v>@dyah_sulistya</v>
      </c>
      <c r="C20952" t="s">
        <v>2963</v>
      </c>
      <c r="D20952">
        <v>1192</v>
      </c>
      <c r="E20952">
        <v>0</v>
      </c>
      <c r="F20952">
        <v>117</v>
      </c>
    </row>
    <row r="20953" spans="1:6" ht="12.75">
      <c r="A20953" s="2">
        <v>43876.030474537038</v>
      </c>
      <c r="B20953" t="str">
        <f>HYPERLINK("https://twitter.com/naIjoahe","@naIjoahe")</f>
        <v>@naIjoahe</v>
      </c>
      <c r="C20953" t="s">
        <v>7068</v>
      </c>
      <c r="D20953">
        <v>38</v>
      </c>
      <c r="E20953">
        <v>0</v>
      </c>
      <c r="F20953">
        <v>644</v>
      </c>
    </row>
    <row r="20954" spans="1:6" ht="12.75">
      <c r="A20954" s="2">
        <v>43876.030069444445</v>
      </c>
      <c r="B20954" t="str">
        <f>HYPERLINK("https://twitter.com/SabiCool4","@SabiCool4")</f>
        <v>@SabiCool4</v>
      </c>
      <c r="C20954" t="s">
        <v>9857</v>
      </c>
      <c r="D20954">
        <v>20</v>
      </c>
      <c r="E20954">
        <v>0</v>
      </c>
      <c r="F20954">
        <v>26</v>
      </c>
    </row>
    <row r="20955" spans="1:6" ht="12.75">
      <c r="A20955" s="2">
        <v>43876.030034722222</v>
      </c>
      <c r="B20955" t="str">
        <f>HYPERLINK("https://twitter.com/MISAKUBA55pk","@MISAKUBA55pk")</f>
        <v>@MISAKUBA55pk</v>
      </c>
      <c r="C20955" t="s">
        <v>10301</v>
      </c>
      <c r="D20955">
        <v>0</v>
      </c>
      <c r="E20955">
        <v>1</v>
      </c>
      <c r="F20955">
        <v>3999</v>
      </c>
    </row>
    <row r="20956" spans="1:6" ht="12.75">
      <c r="A20956" s="2">
        <v>43876.029988425929</v>
      </c>
      <c r="B20956" t="str">
        <f>HYPERLINK("https://twitter.com/Syamsud41732201","@Syamsud41732201")</f>
        <v>@Syamsud41732201</v>
      </c>
      <c r="C20956" t="s">
        <v>10302</v>
      </c>
      <c r="D20956">
        <v>1</v>
      </c>
      <c r="E20956">
        <v>0</v>
      </c>
      <c r="F20956">
        <v>728</v>
      </c>
    </row>
    <row r="20957" spans="1:6" ht="12.75">
      <c r="A20957" s="2">
        <v>43876.029942129629</v>
      </c>
      <c r="B20957" t="str">
        <f>HYPERLINK("https://twitter.com/valdharga","@valdharga")</f>
        <v>@valdharga</v>
      </c>
      <c r="C20957" t="s">
        <v>2444</v>
      </c>
      <c r="D20957">
        <v>3224</v>
      </c>
      <c r="E20957">
        <v>0</v>
      </c>
      <c r="F20957">
        <v>207</v>
      </c>
    </row>
    <row r="20958" spans="1:6" ht="12.75">
      <c r="A20958" s="2">
        <v>43876.029942129629</v>
      </c>
      <c r="B20958" t="str">
        <f>HYPERLINK("https://twitter.com/SINTIACLAUDIA7","@SINTIACLAUDIA7")</f>
        <v>@SINTIACLAUDIA7</v>
      </c>
      <c r="C20958" t="s">
        <v>10303</v>
      </c>
      <c r="D20958">
        <v>0</v>
      </c>
      <c r="E20958">
        <v>0</v>
      </c>
      <c r="F20958">
        <v>1</v>
      </c>
    </row>
    <row r="20959" spans="1:6" ht="12.75">
      <c r="A20959" s="2">
        <v>43876.029606481483</v>
      </c>
      <c r="B20959" t="str">
        <f>HYPERLINK("https://twitter.com/suradiparlan5","@suradiparlan5")</f>
        <v>@suradiparlan5</v>
      </c>
      <c r="C20959" t="s">
        <v>10114</v>
      </c>
      <c r="D20959">
        <v>24</v>
      </c>
      <c r="E20959">
        <v>0</v>
      </c>
      <c r="F20959">
        <v>1336</v>
      </c>
    </row>
    <row r="20960" spans="1:6" ht="12.75">
      <c r="A20960" s="2">
        <v>43876.029583333337</v>
      </c>
      <c r="B20960" t="str">
        <f>HYPERLINK("https://twitter.com/BangPitung_AJW","@BangPitung_AJW")</f>
        <v>@BangPitung_AJW</v>
      </c>
      <c r="C20960" t="s">
        <v>10304</v>
      </c>
      <c r="D20960">
        <v>2</v>
      </c>
      <c r="E20960">
        <v>0</v>
      </c>
      <c r="F20960">
        <v>6419</v>
      </c>
    </row>
    <row r="20961" spans="1:6" ht="12.75">
      <c r="A20961" s="2">
        <v>43876.029444444444</v>
      </c>
      <c r="B20961" t="str">
        <f>HYPERLINK("https://twitter.com/SimkoariaS","@SimkoariaS")</f>
        <v>@SimkoariaS</v>
      </c>
      <c r="C20961" t="s">
        <v>9082</v>
      </c>
      <c r="D20961">
        <v>75</v>
      </c>
      <c r="E20961">
        <v>0</v>
      </c>
      <c r="F20961">
        <v>138</v>
      </c>
    </row>
    <row r="20962" spans="1:6" ht="12.75">
      <c r="A20962" s="2">
        <v>43876.028715277775</v>
      </c>
      <c r="B20962" t="str">
        <f>HYPERLINK("https://twitter.com/WhiteTitiek","@WhiteTitiek")</f>
        <v>@WhiteTitiek</v>
      </c>
      <c r="C20962" t="s">
        <v>10305</v>
      </c>
      <c r="D20962">
        <v>0</v>
      </c>
      <c r="E20962">
        <v>1</v>
      </c>
      <c r="F20962">
        <v>93</v>
      </c>
    </row>
    <row r="20963" spans="1:6" ht="12.75">
      <c r="A20963" s="2">
        <v>43876.028541666667</v>
      </c>
      <c r="B20963" t="str">
        <f>HYPERLINK("https://twitter.com/babe_Ahmad","@babe_Ahmad")</f>
        <v>@babe_Ahmad</v>
      </c>
      <c r="C20963" t="s">
        <v>9198</v>
      </c>
      <c r="D20963">
        <v>96</v>
      </c>
      <c r="E20963">
        <v>0</v>
      </c>
      <c r="F20963">
        <v>1507</v>
      </c>
    </row>
    <row r="20964" spans="1:6" ht="12.75">
      <c r="A20964" s="2">
        <v>43876.028298611112</v>
      </c>
      <c r="B20964" t="str">
        <f>HYPERLINK("https://twitter.com/SINTIACLAUDIA7","@SINTIACLAUDIA7")</f>
        <v>@SINTIACLAUDIA7</v>
      </c>
      <c r="C20964" t="s">
        <v>10303</v>
      </c>
      <c r="D20964">
        <v>0</v>
      </c>
      <c r="E20964">
        <v>0</v>
      </c>
      <c r="F20964">
        <v>1</v>
      </c>
    </row>
    <row r="20965" spans="1:6" ht="12.75">
      <c r="A20965" s="2">
        <v>43876.028148148151</v>
      </c>
      <c r="B20965" t="str">
        <f>HYPERLINK("https://twitter.com/WiratamaJody","@WiratamaJody")</f>
        <v>@WiratamaJody</v>
      </c>
      <c r="C20965" t="s">
        <v>2963</v>
      </c>
      <c r="D20965">
        <v>1192</v>
      </c>
      <c r="E20965">
        <v>0</v>
      </c>
      <c r="F20965">
        <v>699</v>
      </c>
    </row>
    <row r="20966" spans="1:6" ht="12.75">
      <c r="A20966" s="2">
        <v>43876.027962962966</v>
      </c>
      <c r="B20966" t="str">
        <f>HYPERLINK("https://twitter.com/grrr_Iamsick","@grrr_Iamsick")</f>
        <v>@grrr_Iamsick</v>
      </c>
      <c r="C20966" t="s">
        <v>2444</v>
      </c>
      <c r="D20966">
        <v>3224</v>
      </c>
      <c r="E20966">
        <v>0</v>
      </c>
      <c r="F20966">
        <v>272</v>
      </c>
    </row>
    <row r="20967" spans="1:6" ht="12.75">
      <c r="A20967" s="2">
        <v>43876.027939814812</v>
      </c>
      <c r="B20967" t="str">
        <f>HYPERLINK("https://twitter.com/MATPECI44106525","@MATPECI44106525")</f>
        <v>@MATPECI44106525</v>
      </c>
      <c r="C20967" t="s">
        <v>10306</v>
      </c>
      <c r="D20967">
        <v>7</v>
      </c>
      <c r="E20967">
        <v>0</v>
      </c>
      <c r="F20967">
        <v>254</v>
      </c>
    </row>
    <row r="20968" spans="1:6" ht="12.75">
      <c r="A20968" s="2">
        <v>43876.027847222227</v>
      </c>
      <c r="B20968" t="str">
        <f>HYPERLINK("https://twitter.com/Ari_GNR","@Ari_GNR")</f>
        <v>@Ari_GNR</v>
      </c>
      <c r="C20968" t="s">
        <v>10307</v>
      </c>
      <c r="D20968">
        <v>58</v>
      </c>
      <c r="E20968">
        <v>0</v>
      </c>
      <c r="F20968">
        <v>243</v>
      </c>
    </row>
    <row r="20969" spans="1:6" ht="12.75">
      <c r="A20969" s="2">
        <v>43876.027835648143</v>
      </c>
      <c r="B20969" t="str">
        <f>HYPERLINK("https://twitter.com/vantelilac","@vantelilac")</f>
        <v>@vantelilac</v>
      </c>
      <c r="C20969" t="s">
        <v>10308</v>
      </c>
      <c r="D20969">
        <v>0</v>
      </c>
      <c r="E20969">
        <v>0</v>
      </c>
      <c r="F20969">
        <v>3314</v>
      </c>
    </row>
    <row r="20970" spans="1:6" ht="12.75">
      <c r="A20970" s="2">
        <v>43876.027731481481</v>
      </c>
      <c r="B20970" t="str">
        <f>HYPERLINK("https://twitter.com/LuwitaEmilly878","@LuwitaEmilly878")</f>
        <v>@LuwitaEmilly878</v>
      </c>
      <c r="C20970" t="s">
        <v>10309</v>
      </c>
      <c r="D20970">
        <v>0</v>
      </c>
      <c r="E20970">
        <v>1</v>
      </c>
      <c r="F20970">
        <v>11690</v>
      </c>
    </row>
    <row r="20971" spans="1:6" ht="12.75">
      <c r="A20971" s="2">
        <v>43876.027685185181</v>
      </c>
      <c r="B20971" t="str">
        <f>HYPERLINK("https://twitter.com/sihalohoisme","@sihalohoisme")</f>
        <v>@sihalohoisme</v>
      </c>
      <c r="C20971" t="s">
        <v>9198</v>
      </c>
      <c r="D20971">
        <v>96</v>
      </c>
      <c r="E20971">
        <v>0</v>
      </c>
      <c r="F20971">
        <v>1947</v>
      </c>
    </row>
    <row r="20972" spans="1:6" ht="12.75">
      <c r="A20972" s="2">
        <v>43876.027638888889</v>
      </c>
      <c r="B20972" t="str">
        <f>HYPERLINK("https://twitter.com/Tumbrasss","@Tumbrasss")</f>
        <v>@Tumbrasss</v>
      </c>
      <c r="C20972" t="s">
        <v>9835</v>
      </c>
      <c r="D20972">
        <v>62</v>
      </c>
      <c r="E20972">
        <v>0</v>
      </c>
      <c r="F20972">
        <v>1031</v>
      </c>
    </row>
    <row r="20973" spans="1:6" ht="12.75">
      <c r="A20973" s="2">
        <v>43876.02753472222</v>
      </c>
      <c r="B20973" t="str">
        <f>HYPERLINK("https://twitter.com/Rachman22077615","@Rachman22077615")</f>
        <v>@Rachman22077615</v>
      </c>
      <c r="C20973" t="s">
        <v>10052</v>
      </c>
      <c r="D20973">
        <v>109</v>
      </c>
      <c r="E20973">
        <v>0</v>
      </c>
      <c r="F20973">
        <v>1203</v>
      </c>
    </row>
    <row r="20974" spans="1:6" ht="12.75">
      <c r="A20974" s="2">
        <v>43876.02753472222</v>
      </c>
      <c r="B20974" t="str">
        <f>HYPERLINK("https://twitter.com/ayuwidyasari","@ayuwidyasari")</f>
        <v>@ayuwidyasari</v>
      </c>
      <c r="C20974" t="s">
        <v>5168</v>
      </c>
      <c r="D20974">
        <v>1210</v>
      </c>
      <c r="E20974">
        <v>0</v>
      </c>
      <c r="F20974">
        <v>495</v>
      </c>
    </row>
    <row r="20975" spans="1:6" ht="12.75">
      <c r="A20975" s="2">
        <v>43876.027499999997</v>
      </c>
      <c r="B20975" t="str">
        <f>HYPERLINK("https://twitter.com/Amirmasoom131","@Amirmasoom131")</f>
        <v>@Amirmasoom131</v>
      </c>
      <c r="C20975" t="s">
        <v>10310</v>
      </c>
      <c r="D20975">
        <v>0</v>
      </c>
      <c r="E20975">
        <v>0</v>
      </c>
      <c r="F20975">
        <v>312</v>
      </c>
    </row>
    <row r="20976" spans="1:6" ht="12.75">
      <c r="A20976" s="2">
        <v>43876.027349537035</v>
      </c>
      <c r="B20976" t="str">
        <f>HYPERLINK("https://twitter.com/republikaonline","@republikaonline")</f>
        <v>@republikaonline</v>
      </c>
      <c r="C20976" t="s">
        <v>10311</v>
      </c>
      <c r="D20976">
        <v>1</v>
      </c>
      <c r="E20976">
        <v>0</v>
      </c>
      <c r="F20976">
        <v>1210367</v>
      </c>
    </row>
    <row r="20977" spans="1:6" ht="12.75">
      <c r="A20977" s="2">
        <v>43876.027037037042</v>
      </c>
      <c r="B20977" t="str">
        <f>HYPERLINK("https://twitter.com/MasAaUsep","@MasAaUsep")</f>
        <v>@MasAaUsep</v>
      </c>
      <c r="C20977" t="s">
        <v>10052</v>
      </c>
      <c r="D20977">
        <v>109</v>
      </c>
      <c r="E20977">
        <v>0</v>
      </c>
      <c r="F20977">
        <v>607</v>
      </c>
    </row>
    <row r="20978" spans="1:6" ht="12.75">
      <c r="A20978" s="2">
        <v>43876.026770833334</v>
      </c>
      <c r="B20978" t="str">
        <f>HYPERLINK("https://twitter.com/stephaniegrclea","@stephaniegrclea")</f>
        <v>@stephaniegrclea</v>
      </c>
      <c r="C20978" t="s">
        <v>9852</v>
      </c>
      <c r="D20978">
        <v>6</v>
      </c>
      <c r="E20978">
        <v>0</v>
      </c>
      <c r="F20978">
        <v>429</v>
      </c>
    </row>
    <row r="20979" spans="1:6" ht="12.75">
      <c r="A20979" s="2">
        <v>43876.026712962965</v>
      </c>
      <c r="B20979" t="str">
        <f>HYPERLINK("https://twitter.com/Moro26424364","@Moro26424364")</f>
        <v>@Moro26424364</v>
      </c>
      <c r="C20979" t="s">
        <v>10312</v>
      </c>
      <c r="D20979">
        <v>0</v>
      </c>
      <c r="E20979">
        <v>0</v>
      </c>
      <c r="F20979">
        <v>254</v>
      </c>
    </row>
    <row r="20980" spans="1:6" ht="12.75">
      <c r="A20980" s="2">
        <v>43876.026469907403</v>
      </c>
      <c r="B20980" t="str">
        <f>HYPERLINK("https://twitter.com/stephaniegrclea","@stephaniegrclea")</f>
        <v>@stephaniegrclea</v>
      </c>
      <c r="C20980" t="s">
        <v>9123</v>
      </c>
      <c r="D20980">
        <v>310</v>
      </c>
      <c r="E20980">
        <v>0</v>
      </c>
      <c r="F20980">
        <v>429</v>
      </c>
    </row>
    <row r="20981" spans="1:6" ht="12.75">
      <c r="A20981" s="2">
        <v>43876.026307870372</v>
      </c>
      <c r="B20981" t="str">
        <f>HYPERLINK("https://twitter.com/MasAaUsep","@MasAaUsep")</f>
        <v>@MasAaUsep</v>
      </c>
      <c r="C20981" t="s">
        <v>10096</v>
      </c>
      <c r="D20981">
        <v>180</v>
      </c>
      <c r="E20981">
        <v>0</v>
      </c>
      <c r="F20981">
        <v>607</v>
      </c>
    </row>
    <row r="20982" spans="1:6" ht="12.75">
      <c r="A20982" s="2">
        <v>43876.026296296295</v>
      </c>
      <c r="B20982" t="str">
        <f>HYPERLINK("https://twitter.com/Pstartujuh","@Pstartujuh")</f>
        <v>@Pstartujuh</v>
      </c>
      <c r="C20982" t="s">
        <v>2444</v>
      </c>
      <c r="D20982">
        <v>3224</v>
      </c>
      <c r="E20982">
        <v>0</v>
      </c>
      <c r="F20982">
        <v>2038</v>
      </c>
    </row>
    <row r="20983" spans="1:6" ht="12.75">
      <c r="A20983" s="2">
        <v>43876.02615740741</v>
      </c>
      <c r="B20983" t="str">
        <f>HYPERLINK("https://twitter.com/xarefsetiawanx","@xarefsetiawanx")</f>
        <v>@xarefsetiawanx</v>
      </c>
      <c r="C20983" t="s">
        <v>4321</v>
      </c>
      <c r="D20983">
        <v>1</v>
      </c>
      <c r="E20983">
        <v>0</v>
      </c>
      <c r="F20983">
        <v>743</v>
      </c>
    </row>
    <row r="20984" spans="1:6" ht="12.75">
      <c r="A20984" s="2">
        <v>43876.025763888887</v>
      </c>
      <c r="B20984" t="str">
        <f>HYPERLINK("https://twitter.com/stephaniegrclea","@stephaniegrclea")</f>
        <v>@stephaniegrclea</v>
      </c>
      <c r="C20984" t="s">
        <v>2444</v>
      </c>
      <c r="D20984">
        <v>3224</v>
      </c>
      <c r="E20984">
        <v>0</v>
      </c>
      <c r="F20984">
        <v>429</v>
      </c>
    </row>
    <row r="20985" spans="1:6" ht="12.75">
      <c r="A20985" s="2">
        <v>43876.025671296295</v>
      </c>
      <c r="B20985" t="str">
        <f>HYPERLINK("https://twitter.com/SemboyanR","@SemboyanR")</f>
        <v>@SemboyanR</v>
      </c>
      <c r="C20985" t="s">
        <v>10052</v>
      </c>
      <c r="D20985">
        <v>109</v>
      </c>
      <c r="E20985">
        <v>0</v>
      </c>
      <c r="F20985">
        <v>1260</v>
      </c>
    </row>
    <row r="20986" spans="1:6" ht="12.75">
      <c r="A20986" s="2">
        <v>43876.025624999995</v>
      </c>
      <c r="B20986" t="str">
        <f>HYPERLINK("https://twitter.com/TjahjoLoet","@TjahjoLoet")</f>
        <v>@TjahjoLoet</v>
      </c>
      <c r="C20986" t="s">
        <v>10313</v>
      </c>
      <c r="D20986">
        <v>0</v>
      </c>
      <c r="E20986">
        <v>1</v>
      </c>
      <c r="F20986">
        <v>1663</v>
      </c>
    </row>
    <row r="20987" spans="1:6" ht="12.75">
      <c r="A20987" s="2">
        <v>43876.025590277779</v>
      </c>
      <c r="B20987" t="str">
        <f>HYPERLINK("https://twitter.com/JoKerR_nN","@JoKerR_nN")</f>
        <v>@JoKerR_nN</v>
      </c>
      <c r="C20987" t="s">
        <v>10083</v>
      </c>
      <c r="D20987">
        <v>39</v>
      </c>
      <c r="E20987">
        <v>0</v>
      </c>
      <c r="F20987">
        <v>715</v>
      </c>
    </row>
    <row r="20988" spans="1:6" ht="12.75">
      <c r="A20988" s="2">
        <v>43876.025381944448</v>
      </c>
      <c r="B20988" t="str">
        <f>HYPERLINK("https://twitter.com/tuanpoetri","@tuanpoetri")</f>
        <v>@tuanpoetri</v>
      </c>
      <c r="C20988" t="s">
        <v>2444</v>
      </c>
      <c r="D20988">
        <v>3224</v>
      </c>
      <c r="E20988">
        <v>0</v>
      </c>
      <c r="F20988">
        <v>1570</v>
      </c>
    </row>
    <row r="20989" spans="1:6" ht="12.75">
      <c r="A20989" s="2">
        <v>43876.024953703702</v>
      </c>
      <c r="B20989" t="str">
        <f>HYPERLINK("https://twitter.com/byuIroo","@byuIroo")</f>
        <v>@byuIroo</v>
      </c>
      <c r="C20989" t="s">
        <v>5168</v>
      </c>
      <c r="D20989">
        <v>1210</v>
      </c>
      <c r="E20989">
        <v>0</v>
      </c>
      <c r="F20989">
        <v>3166</v>
      </c>
    </row>
    <row r="20990" spans="1:6" ht="12.75">
      <c r="A20990" s="2">
        <v>43876.024826388893</v>
      </c>
      <c r="B20990" t="str">
        <f>HYPERLINK("https://twitter.com/Sanun_Choy","@Sanun_Choy")</f>
        <v>@Sanun_Choy</v>
      </c>
      <c r="C20990" t="s">
        <v>2149</v>
      </c>
      <c r="D20990">
        <v>36</v>
      </c>
      <c r="E20990">
        <v>0</v>
      </c>
      <c r="F20990">
        <v>20</v>
      </c>
    </row>
    <row r="20991" spans="1:6" ht="12.75">
      <c r="A20991" s="2">
        <v>43876.02479166667</v>
      </c>
      <c r="B20991" t="str">
        <f>HYPERLINK("https://twitter.com/PositiveHumble","@PositiveHumble")</f>
        <v>@PositiveHumble</v>
      </c>
      <c r="C20991" t="s">
        <v>2963</v>
      </c>
      <c r="D20991">
        <v>1192</v>
      </c>
      <c r="E20991">
        <v>0</v>
      </c>
      <c r="F20991">
        <v>3320</v>
      </c>
    </row>
    <row r="20992" spans="1:6" ht="12.75">
      <c r="A20992" s="2">
        <v>43876.024768518517</v>
      </c>
      <c r="B20992" t="str">
        <f>HYPERLINK("https://twitter.com/SemboyanR","@SemboyanR")</f>
        <v>@SemboyanR</v>
      </c>
      <c r="C20992" t="s">
        <v>8754</v>
      </c>
      <c r="D20992">
        <v>21</v>
      </c>
      <c r="E20992">
        <v>0</v>
      </c>
      <c r="F20992">
        <v>1260</v>
      </c>
    </row>
    <row r="20993" spans="1:6" ht="12.75">
      <c r="A20993" s="2">
        <v>43876.024699074071</v>
      </c>
      <c r="B20993" t="str">
        <f>HYPERLINK("https://twitter.com/athenaauxies","@athenaauxies")</f>
        <v>@athenaauxies</v>
      </c>
      <c r="C20993" t="s">
        <v>2444</v>
      </c>
      <c r="D20993">
        <v>3224</v>
      </c>
      <c r="E20993">
        <v>0</v>
      </c>
      <c r="F20993">
        <v>1443</v>
      </c>
    </row>
    <row r="20994" spans="1:6" ht="12.75">
      <c r="A20994" s="2">
        <v>43876.024629629625</v>
      </c>
      <c r="B20994" t="str">
        <f>HYPERLINK("https://twitter.com/Ari_GNR","@Ari_GNR")</f>
        <v>@Ari_GNR</v>
      </c>
      <c r="C20994" t="s">
        <v>10121</v>
      </c>
      <c r="D20994">
        <v>184</v>
      </c>
      <c r="E20994">
        <v>0</v>
      </c>
      <c r="F20994">
        <v>243</v>
      </c>
    </row>
    <row r="20995" spans="1:6" ht="12.75">
      <c r="A20995" s="2">
        <v>43876.024606481486</v>
      </c>
      <c r="B20995" t="str">
        <f>HYPERLINK("https://twitter.com/bedaserver","@bedaserver")</f>
        <v>@bedaserver</v>
      </c>
      <c r="C20995" t="s">
        <v>2444</v>
      </c>
      <c r="D20995">
        <v>3224</v>
      </c>
      <c r="E20995">
        <v>0</v>
      </c>
      <c r="F20995">
        <v>2034</v>
      </c>
    </row>
    <row r="20996" spans="1:6" ht="12.75">
      <c r="A20996" s="2">
        <v>43876.024328703701</v>
      </c>
      <c r="B20996" t="str">
        <f>HYPERLINK("https://twitter.com/Hendy49291155","@Hendy49291155")</f>
        <v>@Hendy49291155</v>
      </c>
      <c r="C20996" t="s">
        <v>10314</v>
      </c>
      <c r="D20996">
        <v>0</v>
      </c>
      <c r="E20996">
        <v>0</v>
      </c>
      <c r="F20996">
        <v>98</v>
      </c>
    </row>
    <row r="20997" spans="1:6" ht="12.75">
      <c r="A20997" s="2">
        <v>43876.024050925931</v>
      </c>
      <c r="B20997" t="str">
        <f>HYPERLINK("https://twitter.com/Nuzulfarna","@Nuzulfarna")</f>
        <v>@Nuzulfarna</v>
      </c>
      <c r="C20997" t="s">
        <v>10315</v>
      </c>
      <c r="D20997">
        <v>0</v>
      </c>
      <c r="E20997">
        <v>0</v>
      </c>
      <c r="F20997">
        <v>43</v>
      </c>
    </row>
    <row r="20998" spans="1:6" ht="12.75">
      <c r="A20998" s="2">
        <v>43876.023946759262</v>
      </c>
      <c r="B20998" t="str">
        <f>HYPERLINK("https://twitter.com/Arcooy","@Arcooy")</f>
        <v>@Arcooy</v>
      </c>
      <c r="C20998" t="s">
        <v>10316</v>
      </c>
      <c r="D20998">
        <v>1</v>
      </c>
      <c r="E20998">
        <v>0</v>
      </c>
      <c r="F20998">
        <v>344</v>
      </c>
    </row>
    <row r="20999" spans="1:6" ht="12.75">
      <c r="A20999" s="2">
        <v>43876.023900462962</v>
      </c>
      <c r="B20999" t="str">
        <f>HYPERLINK("https://twitter.com/ferincchi","@ferincchi")</f>
        <v>@ferincchi</v>
      </c>
      <c r="C20999" t="s">
        <v>2137</v>
      </c>
      <c r="D20999">
        <v>226</v>
      </c>
      <c r="E20999">
        <v>0</v>
      </c>
      <c r="F20999">
        <v>444</v>
      </c>
    </row>
    <row r="21000" spans="1:6" ht="12.75">
      <c r="A21000" s="2">
        <v>43876.023819444439</v>
      </c>
      <c r="B21000" t="str">
        <f>HYPERLINK("https://twitter.com/FebryaKartika","@FebryaKartika")</f>
        <v>@FebryaKartika</v>
      </c>
      <c r="C21000" t="s">
        <v>9123</v>
      </c>
      <c r="D21000">
        <v>310</v>
      </c>
      <c r="E21000">
        <v>0</v>
      </c>
      <c r="F21000">
        <v>3068</v>
      </c>
    </row>
    <row r="21001" spans="1:6" ht="12.75">
      <c r="A21001" s="2">
        <v>43876.023819444439</v>
      </c>
      <c r="B21001" t="str">
        <f>HYPERLINK("https://twitter.com/SemboyanR","@SemboyanR")</f>
        <v>@SemboyanR</v>
      </c>
      <c r="C21001" t="s">
        <v>9198</v>
      </c>
      <c r="D21001">
        <v>96</v>
      </c>
      <c r="E21001">
        <v>0</v>
      </c>
      <c r="F21001">
        <v>1260</v>
      </c>
    </row>
    <row r="21002" spans="1:6" ht="12.75">
      <c r="A21002" s="2">
        <v>43876.023761574077</v>
      </c>
      <c r="B21002" t="str">
        <f>HYPERLINK("https://twitter.com/LuwitaEmilly878","@LuwitaEmilly878")</f>
        <v>@LuwitaEmilly878</v>
      </c>
      <c r="C21002" t="s">
        <v>10317</v>
      </c>
      <c r="D21002">
        <v>0</v>
      </c>
      <c r="E21002">
        <v>0</v>
      </c>
      <c r="F21002">
        <v>11690</v>
      </c>
    </row>
    <row r="21003" spans="1:6" ht="12.75">
      <c r="A21003" s="2">
        <v>43876.023726851854</v>
      </c>
      <c r="B21003" t="str">
        <f>HYPERLINK("https://twitter.com/galaziaakth","@galaziaakth")</f>
        <v>@galaziaakth</v>
      </c>
      <c r="C21003" t="s">
        <v>9082</v>
      </c>
      <c r="D21003">
        <v>75</v>
      </c>
      <c r="E21003">
        <v>0</v>
      </c>
      <c r="F21003">
        <v>1708</v>
      </c>
    </row>
    <row r="21004" spans="1:6" ht="12.75">
      <c r="A21004" s="2">
        <v>43876.023726851854</v>
      </c>
      <c r="B21004" t="str">
        <f>HYPERLINK("https://twitter.com/taniabhayangrn","@taniabhayangrn")</f>
        <v>@taniabhayangrn</v>
      </c>
      <c r="C21004" t="s">
        <v>7803</v>
      </c>
      <c r="D21004">
        <v>312</v>
      </c>
      <c r="E21004">
        <v>0</v>
      </c>
      <c r="F21004">
        <v>951</v>
      </c>
    </row>
    <row r="21005" spans="1:6" ht="12.75">
      <c r="A21005" s="2">
        <v>43876.023668981477</v>
      </c>
      <c r="B21005" t="str">
        <f>HYPERLINK("https://twitter.com/mieayamreviewer","@mieayamreviewer")</f>
        <v>@mieayamreviewer</v>
      </c>
      <c r="C21005" t="s">
        <v>5168</v>
      </c>
      <c r="D21005">
        <v>1210</v>
      </c>
      <c r="E21005">
        <v>0</v>
      </c>
      <c r="F21005">
        <v>112</v>
      </c>
    </row>
    <row r="21006" spans="1:6" ht="12.75">
      <c r="A21006" s="2">
        <v>43876.023576388892</v>
      </c>
      <c r="B21006" t="str">
        <f>HYPERLINK("https://twitter.com/Andre14764060","@Andre14764060")</f>
        <v>@Andre14764060</v>
      </c>
      <c r="C21006" t="s">
        <v>10318</v>
      </c>
      <c r="D21006">
        <v>0</v>
      </c>
      <c r="E21006">
        <v>0</v>
      </c>
      <c r="F21006">
        <v>2</v>
      </c>
    </row>
    <row r="21007" spans="1:6" ht="12.75">
      <c r="A21007" s="2">
        <v>43876.022638888884</v>
      </c>
      <c r="B21007" t="str">
        <f>HYPERLINK("https://twitter.com/satriosoegianto","@satriosoegianto")</f>
        <v>@satriosoegianto</v>
      </c>
      <c r="C21007" t="s">
        <v>10086</v>
      </c>
      <c r="D21007">
        <v>3</v>
      </c>
      <c r="E21007">
        <v>0</v>
      </c>
      <c r="F21007">
        <v>69</v>
      </c>
    </row>
    <row r="21008" spans="1:6" ht="12.75">
      <c r="A21008" s="2">
        <v>43876.022199074076</v>
      </c>
      <c r="B21008" t="str">
        <f>HYPERLINK("https://twitter.com/daredendy","@daredendy")</f>
        <v>@daredendy</v>
      </c>
      <c r="C21008" t="s">
        <v>7888</v>
      </c>
      <c r="D21008">
        <v>49</v>
      </c>
      <c r="E21008">
        <v>0</v>
      </c>
      <c r="F21008">
        <v>427</v>
      </c>
    </row>
    <row r="21009" spans="1:6" ht="12.75">
      <c r="A21009" s="2">
        <v>43876.022129629629</v>
      </c>
      <c r="B21009" t="str">
        <f>HYPERLINK("https://twitter.com/sunyouliee","@sunyouliee")</f>
        <v>@sunyouliee</v>
      </c>
      <c r="C21009" t="s">
        <v>2137</v>
      </c>
      <c r="D21009">
        <v>226</v>
      </c>
      <c r="E21009">
        <v>0</v>
      </c>
      <c r="F21009">
        <v>711</v>
      </c>
    </row>
    <row r="21010" spans="1:6" ht="12.75">
      <c r="A21010" s="2">
        <v>43876.022025462968</v>
      </c>
      <c r="B21010" t="str">
        <f>HYPERLINK("https://twitter.com/Ari_GNR","@Ari_GNR")</f>
        <v>@Ari_GNR</v>
      </c>
      <c r="C21010" t="s">
        <v>10319</v>
      </c>
      <c r="D21010">
        <v>160</v>
      </c>
      <c r="E21010">
        <v>0</v>
      </c>
      <c r="F21010">
        <v>243</v>
      </c>
    </row>
    <row r="21011" spans="1:6" ht="12.75">
      <c r="A21011" s="2">
        <v>43876.021944444445</v>
      </c>
      <c r="B21011" t="str">
        <f>HYPERLINK("https://twitter.com/Adedwi09145642","@Adedwi09145642")</f>
        <v>@Adedwi09145642</v>
      </c>
      <c r="C21011" t="s">
        <v>10320</v>
      </c>
      <c r="D21011">
        <v>0</v>
      </c>
      <c r="E21011">
        <v>0</v>
      </c>
      <c r="F21011">
        <v>2282</v>
      </c>
    </row>
    <row r="21012" spans="1:6" ht="12.75">
      <c r="A21012" s="2">
        <v>43876.021886574075</v>
      </c>
      <c r="B21012" t="str">
        <f>HYPERLINK("https://twitter.com/manikunique","@manikunique")</f>
        <v>@manikunique</v>
      </c>
      <c r="C21012" t="s">
        <v>10321</v>
      </c>
      <c r="D21012">
        <v>0</v>
      </c>
      <c r="E21012">
        <v>0</v>
      </c>
      <c r="F21012">
        <v>136</v>
      </c>
    </row>
    <row r="21013" spans="1:6" ht="12.75">
      <c r="A21013" s="2">
        <v>43876.021874999999</v>
      </c>
      <c r="B21013" t="str">
        <f>HYPERLINK("https://twitter.com/MRidwanNst11","@MRidwanNst11")</f>
        <v>@MRidwanNst11</v>
      </c>
      <c r="C21013" t="s">
        <v>9835</v>
      </c>
      <c r="D21013">
        <v>62</v>
      </c>
      <c r="E21013">
        <v>0</v>
      </c>
      <c r="F21013">
        <v>22</v>
      </c>
    </row>
    <row r="21014" spans="1:6" ht="12.75">
      <c r="A21014" s="2">
        <v>43876.021527777775</v>
      </c>
      <c r="B21014" t="str">
        <f>HYPERLINK("https://twitter.com/alfn_izn","@alfn_izn")</f>
        <v>@alfn_izn</v>
      </c>
      <c r="C21014" t="s">
        <v>2137</v>
      </c>
      <c r="D21014">
        <v>226</v>
      </c>
      <c r="E21014">
        <v>0</v>
      </c>
      <c r="F21014">
        <v>561</v>
      </c>
    </row>
    <row r="21015" spans="1:6" ht="12.75">
      <c r="A21015" s="2">
        <v>43876.021331018521</v>
      </c>
      <c r="B21015" t="str">
        <f>HYPERLINK("https://twitter.com/vika_as_","@vika_as_")</f>
        <v>@vika_as_</v>
      </c>
      <c r="C21015" t="s">
        <v>2963</v>
      </c>
      <c r="D21015">
        <v>1192</v>
      </c>
      <c r="E21015">
        <v>0</v>
      </c>
      <c r="F21015">
        <v>159</v>
      </c>
    </row>
    <row r="21016" spans="1:6" ht="12.75">
      <c r="A21016" s="2">
        <v>43876.021284722221</v>
      </c>
      <c r="B21016" t="str">
        <f>HYPERLINK("https://twitter.com/ombangkrut","@ombangkrut")</f>
        <v>@ombangkrut</v>
      </c>
      <c r="C21016" t="s">
        <v>2444</v>
      </c>
      <c r="D21016">
        <v>3224</v>
      </c>
      <c r="E21016">
        <v>0</v>
      </c>
      <c r="F21016">
        <v>215</v>
      </c>
    </row>
    <row r="21017" spans="1:6" ht="12.75">
      <c r="A21017" s="2">
        <v>43876.021238425921</v>
      </c>
      <c r="B21017" t="str">
        <f>HYPERLINK("https://twitter.com/Isna_ardyani","@Isna_ardyani")</f>
        <v>@Isna_ardyani</v>
      </c>
      <c r="C21017" t="s">
        <v>2444</v>
      </c>
      <c r="D21017">
        <v>3224</v>
      </c>
      <c r="E21017">
        <v>0</v>
      </c>
      <c r="F21017">
        <v>321</v>
      </c>
    </row>
    <row r="21018" spans="1:6" ht="12.75">
      <c r="A21018" s="2">
        <v>43876.021226851852</v>
      </c>
      <c r="B21018" t="str">
        <f>HYPERLINK("https://twitter.com/jumiati09","@jumiati09")</f>
        <v>@jumiati09</v>
      </c>
      <c r="C21018" t="s">
        <v>8233</v>
      </c>
      <c r="D21018">
        <v>526</v>
      </c>
      <c r="E21018">
        <v>0</v>
      </c>
      <c r="F21018">
        <v>407</v>
      </c>
    </row>
    <row r="21019" spans="1:6" ht="12.75">
      <c r="A21019" s="2">
        <v>43876.020879629628</v>
      </c>
      <c r="B21019" t="str">
        <f>HYPERLINK("https://twitter.com/JYiShengYiShi","@JYiShengYiShi")</f>
        <v>@JYiShengYiShi</v>
      </c>
      <c r="C21019" t="s">
        <v>5168</v>
      </c>
      <c r="D21019">
        <v>1210</v>
      </c>
      <c r="E21019">
        <v>0</v>
      </c>
      <c r="F21019">
        <v>1190</v>
      </c>
    </row>
    <row r="21020" spans="1:6" ht="12.75">
      <c r="A21020" s="2">
        <v>43876.020740740743</v>
      </c>
      <c r="B21020" t="str">
        <f>HYPERLINK("https://twitter.com/PRIHONGGO","@PRIHONGGO")</f>
        <v>@PRIHONGGO</v>
      </c>
      <c r="C21020" t="s">
        <v>10322</v>
      </c>
      <c r="D21020">
        <v>0</v>
      </c>
      <c r="E21020">
        <v>0</v>
      </c>
      <c r="F21020">
        <v>1025</v>
      </c>
    </row>
    <row r="21021" spans="1:6" ht="12.75">
      <c r="A21021" s="2">
        <v>43876.02065972222</v>
      </c>
      <c r="B21021" t="str">
        <f>HYPERLINK("https://twitter.com/isis_rosas12","@isis_rosas12")</f>
        <v>@isis_rosas12</v>
      </c>
      <c r="C21021" t="s">
        <v>10323</v>
      </c>
      <c r="D21021">
        <v>149</v>
      </c>
      <c r="E21021">
        <v>0</v>
      </c>
      <c r="F21021">
        <v>106</v>
      </c>
    </row>
    <row r="21022" spans="1:6" ht="12.75">
      <c r="A21022" s="2">
        <v>43876.020578703705</v>
      </c>
      <c r="B21022" t="str">
        <f>HYPERLINK("https://twitter.com/XZaman88","@XZaman88")</f>
        <v>@XZaman88</v>
      </c>
      <c r="C21022" t="s">
        <v>10324</v>
      </c>
      <c r="D21022">
        <v>0</v>
      </c>
      <c r="E21022">
        <v>0</v>
      </c>
      <c r="F21022">
        <v>2981</v>
      </c>
    </row>
    <row r="21023" spans="1:6" ht="12.75">
      <c r="A21023" s="2">
        <v>43876.020567129628</v>
      </c>
      <c r="B21023" t="str">
        <f>HYPERLINK("https://twitter.com/ahsanfurqanib10","@ahsanfurqanib10")</f>
        <v>@ahsanfurqanib10</v>
      </c>
      <c r="C21023" t="s">
        <v>7888</v>
      </c>
      <c r="D21023">
        <v>49</v>
      </c>
      <c r="E21023">
        <v>0</v>
      </c>
      <c r="F21023">
        <v>172</v>
      </c>
    </row>
    <row r="21024" spans="1:6" ht="12.75">
      <c r="A21024" s="2">
        <v>43876.020509259259</v>
      </c>
      <c r="B21024" t="str">
        <f>HYPERLINK("https://twitter.com/cactoossw","@cactoossw")</f>
        <v>@cactoossw</v>
      </c>
      <c r="C21024" t="s">
        <v>5168</v>
      </c>
      <c r="D21024">
        <v>1210</v>
      </c>
      <c r="E21024">
        <v>0</v>
      </c>
      <c r="F21024">
        <v>204</v>
      </c>
    </row>
    <row r="21025" spans="1:6" ht="12.75">
      <c r="A21025" s="2">
        <v>43876.020358796297</v>
      </c>
      <c r="B21025" t="str">
        <f>HYPERLINK("https://twitter.com/Satir76","@Satir76")</f>
        <v>@Satir76</v>
      </c>
      <c r="C21025" t="s">
        <v>9198</v>
      </c>
      <c r="D21025">
        <v>96</v>
      </c>
      <c r="E21025">
        <v>0</v>
      </c>
      <c r="F21025">
        <v>578</v>
      </c>
    </row>
    <row r="21026" spans="1:6" ht="12.75">
      <c r="A21026" s="2">
        <v>43876.020185185189</v>
      </c>
      <c r="B21026" t="str">
        <f>HYPERLINK("https://twitter.com/erinnanov","@erinnanov")</f>
        <v>@erinnanov</v>
      </c>
      <c r="C21026" t="s">
        <v>2444</v>
      </c>
      <c r="D21026">
        <v>3224</v>
      </c>
      <c r="E21026">
        <v>0</v>
      </c>
      <c r="F21026">
        <v>1161</v>
      </c>
    </row>
    <row r="21027" spans="1:6" ht="12.75">
      <c r="A21027" s="2">
        <v>43876.020023148143</v>
      </c>
      <c r="B21027" t="str">
        <f>HYPERLINK("https://twitter.com/dodiraveni","@dodiraveni")</f>
        <v>@dodiraveni</v>
      </c>
      <c r="C21027" t="s">
        <v>6201</v>
      </c>
      <c r="D21027">
        <v>310</v>
      </c>
      <c r="E21027">
        <v>0</v>
      </c>
      <c r="F21027">
        <v>250</v>
      </c>
    </row>
    <row r="21028" spans="1:6" ht="12.75">
      <c r="A21028" s="2">
        <v>43876.019976851851</v>
      </c>
      <c r="B21028" t="str">
        <f>HYPERLINK("https://twitter.com/dorkyungsso","@dorkyungsso")</f>
        <v>@dorkyungsso</v>
      </c>
      <c r="C21028" t="s">
        <v>2444</v>
      </c>
      <c r="D21028">
        <v>3224</v>
      </c>
      <c r="E21028">
        <v>0</v>
      </c>
      <c r="F21028">
        <v>17</v>
      </c>
    </row>
    <row r="21029" spans="1:6" ht="12.75">
      <c r="A21029" s="2">
        <v>43876.019976851851</v>
      </c>
      <c r="B21029" t="str">
        <f>HYPERLINK("https://twitter.com/audityasari_","@audityasari_")</f>
        <v>@audityasari_</v>
      </c>
      <c r="C21029" t="s">
        <v>2444</v>
      </c>
      <c r="D21029">
        <v>3224</v>
      </c>
      <c r="E21029">
        <v>0</v>
      </c>
      <c r="F21029">
        <v>841</v>
      </c>
    </row>
    <row r="21030" spans="1:6" ht="12.75">
      <c r="A21030" s="2">
        <v>43876.019918981481</v>
      </c>
      <c r="B21030" t="str">
        <f>HYPERLINK("https://twitter.com/korowbw","@korowbw")</f>
        <v>@korowbw</v>
      </c>
      <c r="C21030" t="s">
        <v>5168</v>
      </c>
      <c r="D21030">
        <v>1210</v>
      </c>
      <c r="E21030">
        <v>0</v>
      </c>
      <c r="F21030">
        <v>1028</v>
      </c>
    </row>
    <row r="21031" spans="1:6" ht="12.75">
      <c r="A21031" s="2">
        <v>43876.019641203704</v>
      </c>
      <c r="B21031" t="str">
        <f>HYPERLINK("https://twitter.com/jellyyaa_","@jellyyaa_")</f>
        <v>@jellyyaa_</v>
      </c>
      <c r="C21031" t="s">
        <v>2444</v>
      </c>
      <c r="D21031">
        <v>3224</v>
      </c>
      <c r="E21031">
        <v>0</v>
      </c>
      <c r="F21031">
        <v>453</v>
      </c>
    </row>
    <row r="21032" spans="1:6" ht="12.75">
      <c r="A21032" s="2">
        <v>43876.01961805555</v>
      </c>
      <c r="B21032" t="str">
        <f>HYPERLINK("https://twitter.com/abanglurus","@abanglurus")</f>
        <v>@abanglurus</v>
      </c>
      <c r="C21032" t="s">
        <v>7888</v>
      </c>
      <c r="D21032">
        <v>49</v>
      </c>
      <c r="E21032">
        <v>0</v>
      </c>
      <c r="F21032">
        <v>158</v>
      </c>
    </row>
    <row r="21033" spans="1:6" ht="12.75">
      <c r="A21033" s="2">
        <v>43876.018888888888</v>
      </c>
      <c r="B21033" t="str">
        <f>HYPERLINK("https://twitter.com/satriosoegianto","@satriosoegianto")</f>
        <v>@satriosoegianto</v>
      </c>
      <c r="C21033" t="s">
        <v>10152</v>
      </c>
      <c r="D21033">
        <v>7</v>
      </c>
      <c r="E21033">
        <v>0</v>
      </c>
      <c r="F21033">
        <v>69</v>
      </c>
    </row>
    <row r="21034" spans="1:6" ht="12.75">
      <c r="A21034" s="2">
        <v>43876.018738425926</v>
      </c>
      <c r="B21034" t="str">
        <f>HYPERLINK("https://twitter.com/pr4jurit_langit","@pr4jurit_langit")</f>
        <v>@pr4jurit_langit</v>
      </c>
      <c r="C21034" t="s">
        <v>10325</v>
      </c>
      <c r="D21034">
        <v>539</v>
      </c>
      <c r="E21034">
        <v>0</v>
      </c>
      <c r="F21034">
        <v>801</v>
      </c>
    </row>
    <row r="21035" spans="1:6" ht="12.75">
      <c r="A21035" s="2">
        <v>43876.018692129626</v>
      </c>
      <c r="B21035" t="str">
        <f>HYPERLINK("https://twitter.com/cyjn_txt","@cyjn_txt")</f>
        <v>@cyjn_txt</v>
      </c>
      <c r="C21035" t="s">
        <v>2444</v>
      </c>
      <c r="D21035">
        <v>3224</v>
      </c>
      <c r="E21035">
        <v>0</v>
      </c>
      <c r="F21035">
        <v>436</v>
      </c>
    </row>
    <row r="21036" spans="1:6" ht="12.75">
      <c r="A21036" s="2">
        <v>43876.018692129626</v>
      </c>
      <c r="B21036" t="str">
        <f>HYPERLINK("https://twitter.com/swagkura","@swagkura")</f>
        <v>@swagkura</v>
      </c>
      <c r="C21036" t="s">
        <v>5168</v>
      </c>
      <c r="D21036">
        <v>1210</v>
      </c>
      <c r="E21036">
        <v>0</v>
      </c>
      <c r="F21036">
        <v>840</v>
      </c>
    </row>
    <row r="21037" spans="1:6" ht="12.75">
      <c r="A21037" s="2">
        <v>43876.018449074079</v>
      </c>
      <c r="B21037" t="str">
        <f>HYPERLINK("https://twitter.com/TuTTeO","@TuTTeO")</f>
        <v>@TuTTeO</v>
      </c>
      <c r="C21037" t="s">
        <v>10326</v>
      </c>
      <c r="D21037">
        <v>0</v>
      </c>
      <c r="E21037">
        <v>2</v>
      </c>
      <c r="F21037">
        <v>1124</v>
      </c>
    </row>
    <row r="21038" spans="1:6" ht="12.75">
      <c r="A21038" s="2">
        <v>43876.018379629633</v>
      </c>
      <c r="B21038" t="str">
        <f>HYPERLINK("https://twitter.com/Alexthegreat881","@Alexthegreat881")</f>
        <v>@Alexthegreat881</v>
      </c>
      <c r="C21038" t="s">
        <v>6201</v>
      </c>
      <c r="D21038">
        <v>310</v>
      </c>
      <c r="E21038">
        <v>0</v>
      </c>
      <c r="F21038">
        <v>22</v>
      </c>
    </row>
    <row r="21039" spans="1:6" ht="12.75">
      <c r="A21039" s="2">
        <v>43876.017812499995</v>
      </c>
      <c r="B21039" t="str">
        <f>HYPERLINK("https://twitter.com/jee_creepers","@jee_creepers")</f>
        <v>@jee_creepers</v>
      </c>
      <c r="C21039" t="s">
        <v>2963</v>
      </c>
      <c r="D21039">
        <v>1192</v>
      </c>
      <c r="E21039">
        <v>0</v>
      </c>
      <c r="F21039">
        <v>700</v>
      </c>
    </row>
    <row r="21040" spans="1:6" ht="12.75">
      <c r="A21040" s="2">
        <v>43876.017314814817</v>
      </c>
      <c r="B21040" t="str">
        <f>HYPERLINK("https://twitter.com/rozikinmshobrie","@rozikinmshobrie")</f>
        <v>@rozikinmshobrie</v>
      </c>
      <c r="C21040" t="s">
        <v>8754</v>
      </c>
      <c r="D21040">
        <v>21</v>
      </c>
      <c r="E21040">
        <v>0</v>
      </c>
      <c r="F21040">
        <v>1206</v>
      </c>
    </row>
    <row r="21041" spans="1:6" ht="12.75">
      <c r="A21041" s="2">
        <v>43876.017245370371</v>
      </c>
      <c r="B21041" t="str">
        <f>HYPERLINK("https://twitter.com/endseetea","@endseetea")</f>
        <v>@endseetea</v>
      </c>
      <c r="C21041" t="s">
        <v>2444</v>
      </c>
      <c r="D21041">
        <v>3224</v>
      </c>
      <c r="E21041">
        <v>0</v>
      </c>
      <c r="F21041">
        <v>117</v>
      </c>
    </row>
    <row r="21042" spans="1:6" ht="12.75">
      <c r="A21042" s="2">
        <v>43876.017106481479</v>
      </c>
      <c r="B21042" t="str">
        <f>HYPERLINK("https://twitter.com/rdrdrdhh","@rdrdrdhh")</f>
        <v>@rdrdrdhh</v>
      </c>
      <c r="C21042" t="s">
        <v>2963</v>
      </c>
      <c r="D21042">
        <v>1192</v>
      </c>
      <c r="E21042">
        <v>0</v>
      </c>
      <c r="F21042">
        <v>5</v>
      </c>
    </row>
    <row r="21043" spans="1:6" ht="12.75">
      <c r="A21043" s="2">
        <v>43876.017048611116</v>
      </c>
      <c r="B21043" t="str">
        <f>HYPERLINK("https://twitter.com/1MenujuDamai","@1MenujuDamai")</f>
        <v>@1MenujuDamai</v>
      </c>
      <c r="C21043" t="s">
        <v>10096</v>
      </c>
      <c r="D21043">
        <v>180</v>
      </c>
      <c r="E21043">
        <v>0</v>
      </c>
      <c r="F21043">
        <v>2569</v>
      </c>
    </row>
    <row r="21044" spans="1:6" ht="12.75">
      <c r="A21044" s="2">
        <v>43876.016898148147</v>
      </c>
      <c r="B21044" t="str">
        <f>HYPERLINK("https://twitter.com/firman_7choshim","@firman_7choshim")</f>
        <v>@firman_7choshim</v>
      </c>
      <c r="C21044" t="s">
        <v>10327</v>
      </c>
      <c r="D21044">
        <v>0</v>
      </c>
      <c r="E21044">
        <v>0</v>
      </c>
      <c r="F21044">
        <v>67</v>
      </c>
    </row>
    <row r="21045" spans="1:6" ht="12.75">
      <c r="A21045" s="2">
        <v>43876.016736111109</v>
      </c>
      <c r="B21045" t="str">
        <f>HYPERLINK("https://twitter.com/ailurophiley","@ailurophiley")</f>
        <v>@ailurophiley</v>
      </c>
      <c r="C21045" t="s">
        <v>2444</v>
      </c>
      <c r="D21045">
        <v>3224</v>
      </c>
      <c r="E21045">
        <v>0</v>
      </c>
      <c r="F21045">
        <v>661</v>
      </c>
    </row>
    <row r="21046" spans="1:6" ht="12.75">
      <c r="A21046" s="2">
        <v>43876.016643518524</v>
      </c>
      <c r="B21046" t="str">
        <f>HYPERLINK("https://twitter.com/skyraa_11","@skyraa_11")</f>
        <v>@skyraa_11</v>
      </c>
      <c r="C21046" t="s">
        <v>2444</v>
      </c>
      <c r="D21046">
        <v>3224</v>
      </c>
      <c r="E21046">
        <v>0</v>
      </c>
      <c r="F21046">
        <v>87</v>
      </c>
    </row>
    <row r="21047" spans="1:6" ht="12.75">
      <c r="A21047" s="2">
        <v>43876.016574074078</v>
      </c>
      <c r="B21047" t="str">
        <f>HYPERLINK("https://twitter.com/KRobet02","@KRobet02")</f>
        <v>@KRobet02</v>
      </c>
      <c r="C21047" t="s">
        <v>10328</v>
      </c>
      <c r="D21047">
        <v>1</v>
      </c>
      <c r="E21047">
        <v>0</v>
      </c>
      <c r="F21047">
        <v>260</v>
      </c>
    </row>
    <row r="21048" spans="1:6" ht="12.75">
      <c r="A21048" s="2">
        <v>43876.016550925924</v>
      </c>
      <c r="B21048" t="str">
        <f>HYPERLINK("https://twitter.com/anastasiiaans","@anastasiiaans")</f>
        <v>@anastasiiaans</v>
      </c>
      <c r="C21048" t="s">
        <v>2444</v>
      </c>
      <c r="D21048">
        <v>3224</v>
      </c>
      <c r="E21048">
        <v>0</v>
      </c>
      <c r="F21048">
        <v>304</v>
      </c>
    </row>
    <row r="21049" spans="1:6" ht="12.75">
      <c r="A21049" s="2">
        <v>43876.016423611116</v>
      </c>
      <c r="B21049" t="str">
        <f>HYPERLINK("https://twitter.com/sofyannew1","@sofyannew1")</f>
        <v>@sofyannew1</v>
      </c>
      <c r="C21049" t="s">
        <v>9986</v>
      </c>
      <c r="D21049">
        <v>2</v>
      </c>
      <c r="E21049">
        <v>0</v>
      </c>
      <c r="F21049">
        <v>234</v>
      </c>
    </row>
    <row r="21050" spans="1:6" ht="12.75">
      <c r="A21050" s="2">
        <v>43876.01635416667</v>
      </c>
      <c r="B21050" t="str">
        <f>HYPERLINK("https://twitter.com/anggikkkkkkkk","@anggikkkkkkkk")</f>
        <v>@anggikkkkkkkk</v>
      </c>
      <c r="C21050" t="s">
        <v>5168</v>
      </c>
      <c r="D21050">
        <v>1210</v>
      </c>
      <c r="E21050">
        <v>0</v>
      </c>
      <c r="F21050">
        <v>59</v>
      </c>
    </row>
    <row r="21051" spans="1:6" ht="12.75">
      <c r="A21051" s="2">
        <v>43876.01626157407</v>
      </c>
      <c r="B21051" t="str">
        <f>HYPERLINK("https://twitter.com/prettyswanlake","@prettyswanlake")</f>
        <v>@prettyswanlake</v>
      </c>
      <c r="C21051" t="s">
        <v>2444</v>
      </c>
      <c r="D21051">
        <v>3224</v>
      </c>
      <c r="E21051">
        <v>0</v>
      </c>
      <c r="F21051">
        <v>143</v>
      </c>
    </row>
    <row r="21052" spans="1:6" ht="12.75">
      <c r="A21052" s="2">
        <v>43876.016122685185</v>
      </c>
      <c r="B21052" t="str">
        <f>HYPERLINK("https://twitter.com/Dimas_PD22","@Dimas_PD22")</f>
        <v>@Dimas_PD22</v>
      </c>
      <c r="C21052" t="s">
        <v>2444</v>
      </c>
      <c r="D21052">
        <v>3224</v>
      </c>
      <c r="E21052">
        <v>0</v>
      </c>
      <c r="F21052">
        <v>177</v>
      </c>
    </row>
    <row r="21053" spans="1:6" ht="12.75">
      <c r="A21053" s="2">
        <v>43876.016053240739</v>
      </c>
      <c r="B21053" t="str">
        <f>HYPERLINK("https://twitter.com/Restichayah","@Restichayah")</f>
        <v>@Restichayah</v>
      </c>
      <c r="C21053" t="s">
        <v>10329</v>
      </c>
      <c r="D21053">
        <v>1</v>
      </c>
      <c r="E21053">
        <v>7</v>
      </c>
      <c r="F21053">
        <v>15485</v>
      </c>
    </row>
    <row r="21054" spans="1:6" ht="12.75">
      <c r="A21054" s="2">
        <v>43876.015555555554</v>
      </c>
      <c r="B21054" t="str">
        <f>HYPERLINK("https://twitter.com/etherealcellula","@etherealcellula")</f>
        <v>@etherealcellula</v>
      </c>
      <c r="C21054" t="s">
        <v>2444</v>
      </c>
      <c r="D21054">
        <v>3224</v>
      </c>
      <c r="E21054">
        <v>0</v>
      </c>
      <c r="F21054">
        <v>1041</v>
      </c>
    </row>
    <row r="21055" spans="1:6" ht="12.75">
      <c r="A21055" s="2">
        <v>43876.015428240746</v>
      </c>
      <c r="B21055" t="str">
        <f>HYPERLINK("https://twitter.com/silviesticated","@silviesticated")</f>
        <v>@silviesticated</v>
      </c>
      <c r="C21055" t="s">
        <v>2137</v>
      </c>
      <c r="D21055">
        <v>226</v>
      </c>
      <c r="E21055">
        <v>0</v>
      </c>
      <c r="F21055">
        <v>36</v>
      </c>
    </row>
    <row r="21056" spans="1:6" ht="12.75">
      <c r="A21056" s="2">
        <v>43876.015370370369</v>
      </c>
      <c r="B21056" t="str">
        <f>HYPERLINK("https://twitter.com/zupatista","@zupatista")</f>
        <v>@zupatista</v>
      </c>
      <c r="C21056" t="s">
        <v>6201</v>
      </c>
      <c r="D21056">
        <v>310</v>
      </c>
      <c r="E21056">
        <v>0</v>
      </c>
      <c r="F21056">
        <v>68</v>
      </c>
    </row>
    <row r="21057" spans="1:6" ht="12.75">
      <c r="A21057" s="2">
        <v>43876.015300925923</v>
      </c>
      <c r="B21057" t="str">
        <f>HYPERLINK("https://twitter.com/freethima","@freethima")</f>
        <v>@freethima</v>
      </c>
      <c r="C21057" t="s">
        <v>10330</v>
      </c>
      <c r="D21057">
        <v>215</v>
      </c>
      <c r="E21057">
        <v>0</v>
      </c>
      <c r="F21057">
        <v>342</v>
      </c>
    </row>
    <row r="21058" spans="1:6" ht="12.75">
      <c r="A21058" s="2">
        <v>43876.015243055561</v>
      </c>
      <c r="B21058" t="str">
        <f>HYPERLINK("https://twitter.com/st_kurniawan","@st_kurniawan")</f>
        <v>@st_kurniawan</v>
      </c>
      <c r="C21058" t="s">
        <v>8328</v>
      </c>
      <c r="D21058">
        <v>45</v>
      </c>
      <c r="E21058">
        <v>0</v>
      </c>
      <c r="F21058">
        <v>2155</v>
      </c>
    </row>
    <row r="21059" spans="1:6" ht="12.75">
      <c r="A21059" s="2">
        <v>43876.01498842593</v>
      </c>
      <c r="B21059" t="str">
        <f>HYPERLINK("https://twitter.com/jbomarf10","@jbomarf10")</f>
        <v>@jbomarf10</v>
      </c>
      <c r="C21059" t="s">
        <v>3150</v>
      </c>
      <c r="D21059">
        <v>36</v>
      </c>
      <c r="E21059">
        <v>0</v>
      </c>
      <c r="F21059">
        <v>634</v>
      </c>
    </row>
    <row r="21060" spans="1:6" ht="12.75">
      <c r="A21060" s="2">
        <v>43876.01498842593</v>
      </c>
      <c r="B21060" t="str">
        <f>HYPERLINK("https://twitter.com/vinasti","@vinasti")</f>
        <v>@vinasti</v>
      </c>
      <c r="C21060" t="s">
        <v>2444</v>
      </c>
      <c r="D21060">
        <v>3224</v>
      </c>
      <c r="E21060">
        <v>0</v>
      </c>
      <c r="F21060">
        <v>401</v>
      </c>
    </row>
    <row r="21061" spans="1:6" ht="12.75">
      <c r="A21061" s="2">
        <v>43876.01489583333</v>
      </c>
      <c r="B21061" t="str">
        <f>HYPERLINK("https://twitter.com/ganang_dimas","@ganang_dimas")</f>
        <v>@ganang_dimas</v>
      </c>
      <c r="C21061" t="s">
        <v>10331</v>
      </c>
      <c r="D21061">
        <v>0</v>
      </c>
      <c r="E21061">
        <v>0</v>
      </c>
      <c r="F21061">
        <v>26</v>
      </c>
    </row>
    <row r="21062" spans="1:6" ht="12.75">
      <c r="A21062" s="2">
        <v>43876.014803240745</v>
      </c>
      <c r="B21062" t="str">
        <f>HYPERLINK("https://twitter.com/elegant_kb","@elegant_kb")</f>
        <v>@elegant_kb</v>
      </c>
      <c r="C21062" t="s">
        <v>10332</v>
      </c>
      <c r="D21062">
        <v>2</v>
      </c>
      <c r="E21062">
        <v>0</v>
      </c>
      <c r="F21062">
        <v>4</v>
      </c>
    </row>
    <row r="21063" spans="1:6" ht="12.75">
      <c r="A21063" s="2">
        <v>43876.014745370368</v>
      </c>
      <c r="B21063" t="str">
        <f>HYPERLINK("https://twitter.com/farhannachmad","@farhannachmad")</f>
        <v>@farhannachmad</v>
      </c>
      <c r="C21063" t="s">
        <v>10333</v>
      </c>
      <c r="D21063">
        <v>1</v>
      </c>
      <c r="E21063">
        <v>0</v>
      </c>
      <c r="F21063">
        <v>39</v>
      </c>
    </row>
    <row r="21064" spans="1:6" ht="12.75">
      <c r="A21064" s="2">
        <v>43876.014733796299</v>
      </c>
      <c r="B21064" t="str">
        <f>HYPERLINK("https://twitter.com/AnthonySigalin1","@AnthonySigalin1")</f>
        <v>@AnthonySigalin1</v>
      </c>
      <c r="C21064" t="s">
        <v>2102</v>
      </c>
      <c r="D21064">
        <v>445</v>
      </c>
      <c r="E21064">
        <v>0</v>
      </c>
      <c r="F21064">
        <v>243</v>
      </c>
    </row>
    <row r="21065" spans="1:6" ht="12.75">
      <c r="A21065" s="2">
        <v>43876.014652777776</v>
      </c>
      <c r="B21065" t="str">
        <f>HYPERLINK("https://twitter.com/riizzkyss","@riizzkyss")</f>
        <v>@riizzkyss</v>
      </c>
      <c r="C21065" t="s">
        <v>5168</v>
      </c>
      <c r="D21065">
        <v>1210</v>
      </c>
      <c r="E21065">
        <v>0</v>
      </c>
      <c r="F21065">
        <v>48</v>
      </c>
    </row>
    <row r="21066" spans="1:6" ht="12.75">
      <c r="A21066" s="2">
        <v>43876.014490740738</v>
      </c>
      <c r="B21066" t="str">
        <f>HYPERLINK("https://twitter.com/fiftyeights","@fiftyeights")</f>
        <v>@fiftyeights</v>
      </c>
      <c r="C21066" t="s">
        <v>5168</v>
      </c>
      <c r="D21066">
        <v>1210</v>
      </c>
      <c r="E21066">
        <v>0</v>
      </c>
      <c r="F21066">
        <v>101</v>
      </c>
    </row>
    <row r="21067" spans="1:6" ht="12.75">
      <c r="A21067" s="2">
        <v>43876.014479166668</v>
      </c>
      <c r="B21067" t="str">
        <f>HYPERLINK("https://twitter.com/ManurungNiel","@ManurungNiel")</f>
        <v>@ManurungNiel</v>
      </c>
      <c r="C21067" t="s">
        <v>9857</v>
      </c>
      <c r="D21067">
        <v>20</v>
      </c>
      <c r="E21067">
        <v>0</v>
      </c>
      <c r="F21067">
        <v>3</v>
      </c>
    </row>
    <row r="21068" spans="1:6" ht="12.75">
      <c r="A21068" s="2">
        <v>43876.014328703706</v>
      </c>
      <c r="B21068" t="str">
        <f>HYPERLINK("https://twitter.com/Dagdigduq","@Dagdigduq")</f>
        <v>@Dagdigduq</v>
      </c>
      <c r="C21068" t="s">
        <v>6201</v>
      </c>
      <c r="D21068">
        <v>310</v>
      </c>
      <c r="E21068">
        <v>0</v>
      </c>
      <c r="F21068">
        <v>1357</v>
      </c>
    </row>
    <row r="21069" spans="1:6" ht="12.75">
      <c r="A21069" s="2">
        <v>43876.014201388884</v>
      </c>
      <c r="B21069" t="str">
        <f>HYPERLINK("https://twitter.com/haririarci9790","@haririarci9790")</f>
        <v>@haririarci9790</v>
      </c>
      <c r="C21069" t="s">
        <v>6201</v>
      </c>
      <c r="D21069">
        <v>310</v>
      </c>
      <c r="E21069">
        <v>0</v>
      </c>
      <c r="F21069">
        <v>1360</v>
      </c>
    </row>
    <row r="21070" spans="1:6" ht="12.75">
      <c r="A21070" s="2">
        <v>43876.014143518521</v>
      </c>
      <c r="B21070" t="str">
        <f>HYPERLINK("https://twitter.com/cakepufs","@cakepufs")</f>
        <v>@cakepufs</v>
      </c>
      <c r="C21070" t="s">
        <v>2444</v>
      </c>
      <c r="D21070">
        <v>3224</v>
      </c>
      <c r="E21070">
        <v>0</v>
      </c>
      <c r="F21070">
        <v>932</v>
      </c>
    </row>
    <row r="21071" spans="1:6" ht="12.75">
      <c r="A21071" s="2">
        <v>43876.013981481483</v>
      </c>
      <c r="B21071" t="str">
        <f>HYPERLINK("https://twitter.com/arifianto_eko","@arifianto_eko")</f>
        <v>@arifianto_eko</v>
      </c>
      <c r="C21071" t="s">
        <v>10334</v>
      </c>
      <c r="D21071">
        <v>0</v>
      </c>
      <c r="E21071">
        <v>0</v>
      </c>
      <c r="F21071">
        <v>10</v>
      </c>
    </row>
    <row r="21072" spans="1:6" ht="12.75">
      <c r="A21072" s="2">
        <v>43876.01390046296</v>
      </c>
      <c r="B21072" t="str">
        <f>HYPERLINK("https://twitter.com/rmol_id","@rmol_id")</f>
        <v>@rmol_id</v>
      </c>
      <c r="C21072" t="s">
        <v>10335</v>
      </c>
      <c r="D21072">
        <v>1</v>
      </c>
      <c r="E21072">
        <v>2</v>
      </c>
      <c r="F21072">
        <v>161122</v>
      </c>
    </row>
    <row r="21073" spans="1:6" ht="12.75">
      <c r="A21073" s="2">
        <v>43876.013831018514</v>
      </c>
      <c r="B21073" t="str">
        <f>HYPERLINK("https://twitter.com/gowestmor","@gowestmor")</f>
        <v>@gowestmor</v>
      </c>
      <c r="C21073" t="s">
        <v>8233</v>
      </c>
      <c r="D21073">
        <v>526</v>
      </c>
      <c r="E21073">
        <v>0</v>
      </c>
      <c r="F21073">
        <v>1585</v>
      </c>
    </row>
    <row r="21074" spans="1:6" ht="12.75">
      <c r="A21074" s="2">
        <v>43876.013796296298</v>
      </c>
      <c r="B21074" t="str">
        <f>HYPERLINK("https://twitter.com/rsmpeb","@rsmpeb")</f>
        <v>@rsmpeb</v>
      </c>
      <c r="C21074" t="s">
        <v>2444</v>
      </c>
      <c r="D21074">
        <v>3224</v>
      </c>
      <c r="E21074">
        <v>0</v>
      </c>
      <c r="F21074">
        <v>2099</v>
      </c>
    </row>
    <row r="21075" spans="1:6" ht="12.75">
      <c r="A21075" s="2">
        <v>43876.013715277775</v>
      </c>
      <c r="B21075" t="str">
        <f>HYPERLINK("https://twitter.com/imam_beqi","@imam_beqi")</f>
        <v>@imam_beqi</v>
      </c>
      <c r="C21075" t="s">
        <v>2702</v>
      </c>
      <c r="D21075">
        <v>326</v>
      </c>
      <c r="E21075">
        <v>0</v>
      </c>
      <c r="F21075">
        <v>117</v>
      </c>
    </row>
    <row r="21076" spans="1:6" ht="12.75">
      <c r="A21076" s="2">
        <v>43876.013611111106</v>
      </c>
      <c r="B21076" t="str">
        <f>HYPERLINK("https://twitter.com/asfi_latifah","@asfi_latifah")</f>
        <v>@asfi_latifah</v>
      </c>
      <c r="C21076" t="s">
        <v>2444</v>
      </c>
      <c r="D21076">
        <v>3224</v>
      </c>
      <c r="E21076">
        <v>0</v>
      </c>
      <c r="F21076">
        <v>1211</v>
      </c>
    </row>
    <row r="21077" spans="1:6" ht="12.75">
      <c r="A21077" s="2">
        <v>43876.013541666667</v>
      </c>
      <c r="B21077" t="str">
        <f>HYPERLINK("https://twitter.com/zupatista","@zupatista")</f>
        <v>@zupatista</v>
      </c>
      <c r="C21077" t="s">
        <v>7478</v>
      </c>
      <c r="D21077">
        <v>444</v>
      </c>
      <c r="E21077">
        <v>0</v>
      </c>
      <c r="F21077">
        <v>68</v>
      </c>
    </row>
    <row r="21078" spans="1:6" ht="12.75">
      <c r="A21078" s="2">
        <v>43876.013229166667</v>
      </c>
      <c r="B21078" t="str">
        <f>HYPERLINK("https://twitter.com/Zulkifl16605089","@Zulkifl16605089")</f>
        <v>@Zulkifl16605089</v>
      </c>
      <c r="C21078" t="s">
        <v>10336</v>
      </c>
      <c r="D21078">
        <v>0</v>
      </c>
      <c r="E21078">
        <v>0</v>
      </c>
      <c r="F21078">
        <v>13</v>
      </c>
    </row>
    <row r="21079" spans="1:6" ht="12.75">
      <c r="A21079" s="2">
        <v>43876.013206018513</v>
      </c>
      <c r="B21079" t="str">
        <f>HYPERLINK("https://twitter.com/nagoyababes","@nagoyababes")</f>
        <v>@nagoyababes</v>
      </c>
      <c r="C21079" t="s">
        <v>2444</v>
      </c>
      <c r="D21079">
        <v>3224</v>
      </c>
      <c r="E21079">
        <v>0</v>
      </c>
      <c r="F21079">
        <v>548</v>
      </c>
    </row>
    <row r="21080" spans="1:6" ht="12.75">
      <c r="A21080" s="2">
        <v>43876.013067129628</v>
      </c>
      <c r="B21080" t="str">
        <f>HYPERLINK("https://twitter.com/ahsanfurqanib10","@ahsanfurqanib10")</f>
        <v>@ahsanfurqanib10</v>
      </c>
      <c r="C21080" t="s">
        <v>9796</v>
      </c>
      <c r="D21080">
        <v>6</v>
      </c>
      <c r="E21080">
        <v>0</v>
      </c>
      <c r="F21080">
        <v>172</v>
      </c>
    </row>
    <row r="21081" spans="1:6" ht="12.75">
      <c r="A21081" s="2">
        <v>43876.013067129628</v>
      </c>
      <c r="B21081" t="str">
        <f>HYPERLINK("https://twitter.com/bob666rock_","@bob666rock_")</f>
        <v>@bob666rock_</v>
      </c>
      <c r="C21081" t="s">
        <v>10337</v>
      </c>
      <c r="D21081">
        <v>0</v>
      </c>
      <c r="E21081">
        <v>0</v>
      </c>
      <c r="F21081">
        <v>1</v>
      </c>
    </row>
    <row r="21082" spans="1:6" ht="12.75">
      <c r="A21082" s="2">
        <v>43876.012928240743</v>
      </c>
      <c r="B21082" t="str">
        <f>HYPERLINK("https://twitter.com/sondongpio","@sondongpio")</f>
        <v>@sondongpio</v>
      </c>
      <c r="C21082" t="s">
        <v>2444</v>
      </c>
      <c r="D21082">
        <v>3224</v>
      </c>
      <c r="E21082">
        <v>0</v>
      </c>
      <c r="F21082">
        <v>290</v>
      </c>
    </row>
    <row r="21083" spans="1:6" ht="12.75">
      <c r="A21083" s="2">
        <v>43876.012789351851</v>
      </c>
      <c r="B21083" t="str">
        <f>HYPERLINK("https://twitter.com/SLF_PHJ","@SLF_PHJ")</f>
        <v>@SLF_PHJ</v>
      </c>
      <c r="C21083" t="s">
        <v>2444</v>
      </c>
      <c r="D21083">
        <v>3224</v>
      </c>
      <c r="E21083">
        <v>0</v>
      </c>
      <c r="F21083">
        <v>723</v>
      </c>
    </row>
    <row r="21084" spans="1:6" ht="12.75">
      <c r="A21084" s="2">
        <v>43876.012638888889</v>
      </c>
      <c r="B21084" t="str">
        <f>HYPERLINK("https://twitter.com/kudusregepsinau","@kudusregepsinau")</f>
        <v>@kudusregepsinau</v>
      </c>
      <c r="C21084" t="s">
        <v>5168</v>
      </c>
      <c r="D21084">
        <v>1210</v>
      </c>
      <c r="E21084">
        <v>0</v>
      </c>
      <c r="F21084">
        <v>651</v>
      </c>
    </row>
    <row r="21085" spans="1:6" ht="12.75">
      <c r="A21085" s="2">
        <v>43876.012604166666</v>
      </c>
      <c r="B21085" t="str">
        <f>HYPERLINK("https://twitter.com/Mayacius","@Mayacius")</f>
        <v>@Mayacius</v>
      </c>
      <c r="C21085" t="s">
        <v>2444</v>
      </c>
      <c r="D21085">
        <v>3224</v>
      </c>
      <c r="E21085">
        <v>0</v>
      </c>
      <c r="F21085">
        <v>518</v>
      </c>
    </row>
    <row r="21086" spans="1:6" ht="12.75">
      <c r="A21086" s="2">
        <v>43876.012430555551</v>
      </c>
      <c r="B21086" t="str">
        <f>HYPERLINK("https://twitter.com/D0GieL","@D0GieL")</f>
        <v>@D0GieL</v>
      </c>
      <c r="C21086" t="s">
        <v>8754</v>
      </c>
      <c r="D21086">
        <v>21</v>
      </c>
      <c r="E21086">
        <v>0</v>
      </c>
      <c r="F21086">
        <v>603</v>
      </c>
    </row>
    <row r="21087" spans="1:6" ht="12.75">
      <c r="A21087" s="2">
        <v>43876.012384259258</v>
      </c>
      <c r="B21087" t="str">
        <f>HYPERLINK("https://twitter.com/haririarci9790","@haririarci9790")</f>
        <v>@haririarci9790</v>
      </c>
      <c r="C21087" t="s">
        <v>8754</v>
      </c>
      <c r="D21087">
        <v>21</v>
      </c>
      <c r="E21087">
        <v>0</v>
      </c>
      <c r="F21087">
        <v>1360</v>
      </c>
    </row>
    <row r="21088" spans="1:6" ht="12.75">
      <c r="A21088" s="2">
        <v>43876.012361111112</v>
      </c>
      <c r="B21088" t="str">
        <f>HYPERLINK("https://twitter.com/Pung_Purwanto","@Pung_Purwanto")</f>
        <v>@Pung_Purwanto</v>
      </c>
      <c r="C21088" t="s">
        <v>6837</v>
      </c>
      <c r="D21088">
        <v>11</v>
      </c>
      <c r="E21088">
        <v>0</v>
      </c>
      <c r="F21088">
        <v>1316</v>
      </c>
    </row>
    <row r="21089" spans="1:6" ht="12.75">
      <c r="A21089" s="2">
        <v>43876.012256944443</v>
      </c>
      <c r="B21089" t="str">
        <f>HYPERLINK("https://twitter.com/Imamxarif","@Imamxarif")</f>
        <v>@Imamxarif</v>
      </c>
      <c r="C21089" t="s">
        <v>10027</v>
      </c>
      <c r="D21089">
        <v>4</v>
      </c>
      <c r="E21089">
        <v>0</v>
      </c>
      <c r="F21089">
        <v>1601</v>
      </c>
    </row>
    <row r="21090" spans="1:6" ht="12.75">
      <c r="A21090" s="2">
        <v>43876.012210648143</v>
      </c>
      <c r="B21090" t="str">
        <f>HYPERLINK("https://twitter.com/RDestyani","@RDestyani")</f>
        <v>@RDestyani</v>
      </c>
      <c r="C21090" t="s">
        <v>2444</v>
      </c>
      <c r="D21090">
        <v>3224</v>
      </c>
      <c r="E21090">
        <v>0</v>
      </c>
      <c r="F21090">
        <v>418</v>
      </c>
    </row>
    <row r="21091" spans="1:6" ht="12.75">
      <c r="A21091" s="2">
        <v>43876.012199074074</v>
      </c>
      <c r="B21091" t="str">
        <f>HYPERLINK("https://twitter.com/Syamsul47174729","@Syamsul47174729")</f>
        <v>@Syamsul47174729</v>
      </c>
      <c r="C21091" t="s">
        <v>2963</v>
      </c>
      <c r="D21091">
        <v>1192</v>
      </c>
      <c r="E21091">
        <v>0</v>
      </c>
      <c r="F21091">
        <v>3</v>
      </c>
    </row>
    <row r="21092" spans="1:6" ht="12.75">
      <c r="A21092" s="2">
        <v>43876.012175925927</v>
      </c>
      <c r="B21092" t="str">
        <f>HYPERLINK("https://twitter.com/sayahanyazakie","@sayahanyazakie")</f>
        <v>@sayahanyazakie</v>
      </c>
      <c r="C21092" t="s">
        <v>8233</v>
      </c>
      <c r="D21092">
        <v>526</v>
      </c>
      <c r="E21092">
        <v>0</v>
      </c>
      <c r="F21092">
        <v>451</v>
      </c>
    </row>
    <row r="21093" spans="1:6" ht="12.75">
      <c r="A21093" s="2">
        <v>43876.012129629627</v>
      </c>
      <c r="B21093" t="str">
        <f>HYPERLINK("https://twitter.com/yudhapd","@yudhapd")</f>
        <v>@yudhapd</v>
      </c>
      <c r="C21093" t="s">
        <v>2963</v>
      </c>
      <c r="D21093">
        <v>1192</v>
      </c>
      <c r="E21093">
        <v>0</v>
      </c>
      <c r="F21093">
        <v>666</v>
      </c>
    </row>
    <row r="21094" spans="1:6" ht="12.75">
      <c r="A21094" s="2">
        <v>43876.012083333335</v>
      </c>
      <c r="B21094" t="str">
        <f>HYPERLINK("https://twitter.com/cinnamonjoon__","@cinnamonjoon__")</f>
        <v>@cinnamonjoon__</v>
      </c>
      <c r="C21094" t="s">
        <v>5168</v>
      </c>
      <c r="D21094">
        <v>1210</v>
      </c>
      <c r="E21094">
        <v>0</v>
      </c>
      <c r="F21094">
        <v>344</v>
      </c>
    </row>
    <row r="21095" spans="1:6" ht="12.75">
      <c r="A21095" s="2">
        <v>43876.012048611112</v>
      </c>
      <c r="B21095" t="str">
        <f>HYPERLINK("https://twitter.com/iNewsID","@iNewsID")</f>
        <v>@iNewsID</v>
      </c>
      <c r="C21095" t="s">
        <v>10338</v>
      </c>
      <c r="D21095">
        <v>0</v>
      </c>
      <c r="E21095">
        <v>0</v>
      </c>
      <c r="F21095">
        <v>1257</v>
      </c>
    </row>
    <row r="21096" spans="1:6" ht="12.75">
      <c r="A21096" s="2">
        <v>43876.012025462958</v>
      </c>
      <c r="B21096" t="str">
        <f>HYPERLINK("https://twitter.com/MandFeels","@MandFeels")</f>
        <v>@MandFeels</v>
      </c>
      <c r="C21096" t="s">
        <v>2444</v>
      </c>
      <c r="D21096">
        <v>3224</v>
      </c>
      <c r="E21096">
        <v>0</v>
      </c>
      <c r="F21096">
        <v>74</v>
      </c>
    </row>
    <row r="21097" spans="1:6" ht="12.75">
      <c r="A21097" s="2">
        <v>43876.011944444443</v>
      </c>
      <c r="B21097" t="str">
        <f>HYPERLINK("https://twitter.com/JohnJThompson3","@JohnJThompson3")</f>
        <v>@JohnJThompson3</v>
      </c>
      <c r="C21097" t="s">
        <v>3150</v>
      </c>
      <c r="D21097">
        <v>36</v>
      </c>
      <c r="E21097">
        <v>0</v>
      </c>
      <c r="F21097">
        <v>269</v>
      </c>
    </row>
    <row r="21098" spans="1:6" ht="12.75">
      <c r="A21098" s="2">
        <v>43876.011944444443</v>
      </c>
      <c r="B21098" t="str">
        <f>HYPERLINK("https://twitter.com/ikaa_febs","@ikaa_febs")</f>
        <v>@ikaa_febs</v>
      </c>
      <c r="C21098" t="s">
        <v>2444</v>
      </c>
      <c r="D21098">
        <v>3224</v>
      </c>
      <c r="E21098">
        <v>0</v>
      </c>
      <c r="F21098">
        <v>221</v>
      </c>
    </row>
    <row r="21099" spans="1:6" ht="12.75">
      <c r="A21099" s="2">
        <v>43876.011770833335</v>
      </c>
      <c r="B21099" t="str">
        <f>HYPERLINK("https://twitter.com/ajengsyafitri","@ajengsyafitri")</f>
        <v>@ajengsyafitri</v>
      </c>
      <c r="C21099" t="s">
        <v>5168</v>
      </c>
      <c r="D21099">
        <v>1210</v>
      </c>
      <c r="E21099">
        <v>0</v>
      </c>
      <c r="F21099">
        <v>274</v>
      </c>
    </row>
    <row r="21100" spans="1:6" ht="12.75">
      <c r="A21100" s="2">
        <v>43876.011666666665</v>
      </c>
      <c r="B21100" t="str">
        <f>HYPERLINK("https://twitter.com/sanusiea","@sanusiea")</f>
        <v>@sanusiea</v>
      </c>
      <c r="C21100" t="s">
        <v>2134</v>
      </c>
      <c r="D21100">
        <v>988</v>
      </c>
      <c r="E21100">
        <v>0</v>
      </c>
      <c r="F21100">
        <v>59</v>
      </c>
    </row>
    <row r="21101" spans="1:6" ht="12.75">
      <c r="A21101" s="2">
        <v>43876.011400462958</v>
      </c>
      <c r="B21101" t="str">
        <f>HYPERLINK("https://twitter.com/nana040461","@nana040461")</f>
        <v>@nana040461</v>
      </c>
      <c r="C21101" t="s">
        <v>10052</v>
      </c>
      <c r="D21101">
        <v>109</v>
      </c>
      <c r="E21101">
        <v>0</v>
      </c>
      <c r="F21101">
        <v>1821</v>
      </c>
    </row>
    <row r="21102" spans="1:6" ht="12.75">
      <c r="A21102" s="2">
        <v>43876.010925925926</v>
      </c>
      <c r="B21102" t="str">
        <f>HYPERLINK("https://twitter.com/anissaputrii","@anissaputrii")</f>
        <v>@anissaputrii</v>
      </c>
      <c r="C21102" t="s">
        <v>2444</v>
      </c>
      <c r="D21102">
        <v>3224</v>
      </c>
      <c r="E21102">
        <v>0</v>
      </c>
      <c r="F21102">
        <v>373</v>
      </c>
    </row>
    <row r="21103" spans="1:6" ht="12.75">
      <c r="A21103" s="2">
        <v>43876.010833333334</v>
      </c>
      <c r="B21103" t="str">
        <f>HYPERLINK("https://twitter.com/markligu","@markligu")</f>
        <v>@markligu</v>
      </c>
      <c r="C21103" t="s">
        <v>10339</v>
      </c>
      <c r="D21103">
        <v>0</v>
      </c>
      <c r="E21103">
        <v>0</v>
      </c>
      <c r="F21103">
        <v>1728</v>
      </c>
    </row>
    <row r="21104" spans="1:6" ht="12.75">
      <c r="A21104" s="2">
        <v>43876.010833333334</v>
      </c>
      <c r="B21104" t="str">
        <f>HYPERLINK("https://twitter.com/llamaruto","@llamaruto")</f>
        <v>@llamaruto</v>
      </c>
      <c r="C21104" t="s">
        <v>5168</v>
      </c>
      <c r="D21104">
        <v>1210</v>
      </c>
      <c r="E21104">
        <v>0</v>
      </c>
      <c r="F21104">
        <v>1062</v>
      </c>
    </row>
    <row r="21105" spans="1:6" ht="12.75">
      <c r="A21105" s="2">
        <v>43876.010740740741</v>
      </c>
      <c r="B21105" t="str">
        <f>HYPERLINK("https://twitter.com/faakkboii","@faakkboii")</f>
        <v>@faakkboii</v>
      </c>
      <c r="C21105" t="s">
        <v>2444</v>
      </c>
      <c r="D21105">
        <v>3224</v>
      </c>
      <c r="E21105">
        <v>0</v>
      </c>
      <c r="F21105">
        <v>1151</v>
      </c>
    </row>
    <row r="21106" spans="1:6" ht="12.75">
      <c r="A21106" s="2">
        <v>43876.010729166665</v>
      </c>
      <c r="B21106" t="str">
        <f>HYPERLINK("https://twitter.com/BiLLYKHAERUDIN","@BiLLYKHAERUDIN")</f>
        <v>@BiLLYKHAERUDIN</v>
      </c>
      <c r="C21106" t="s">
        <v>8328</v>
      </c>
      <c r="D21106">
        <v>45</v>
      </c>
      <c r="E21106">
        <v>0</v>
      </c>
      <c r="F21106">
        <v>51795</v>
      </c>
    </row>
    <row r="21107" spans="1:6" ht="12.75">
      <c r="A21107" s="2">
        <v>43876.010659722218</v>
      </c>
      <c r="B21107" t="str">
        <f>HYPERLINK("https://twitter.com/irmanabd","@irmanabd")</f>
        <v>@irmanabd</v>
      </c>
      <c r="C21107" t="s">
        <v>10340</v>
      </c>
      <c r="D21107">
        <v>0</v>
      </c>
      <c r="E21107">
        <v>0</v>
      </c>
      <c r="F21107">
        <v>678</v>
      </c>
    </row>
    <row r="21108" spans="1:6" ht="12.75">
      <c r="A21108" s="2">
        <v>43876.010648148149</v>
      </c>
      <c r="B21108" t="str">
        <f>HYPERLINK("https://twitter.com/alananalanala","@alananalanala")</f>
        <v>@alananalanala</v>
      </c>
      <c r="C21108" t="s">
        <v>5168</v>
      </c>
      <c r="D21108">
        <v>1210</v>
      </c>
      <c r="E21108">
        <v>0</v>
      </c>
      <c r="F21108">
        <v>462</v>
      </c>
    </row>
    <row r="21109" spans="1:6" ht="12.75">
      <c r="A21109" s="2">
        <v>43876.010509259257</v>
      </c>
      <c r="B21109" t="str">
        <f>HYPERLINK("https://twitter.com/ukhrasm","@ukhrasm")</f>
        <v>@ukhrasm</v>
      </c>
      <c r="C21109" t="s">
        <v>2444</v>
      </c>
      <c r="D21109">
        <v>3224</v>
      </c>
      <c r="E21109">
        <v>0</v>
      </c>
      <c r="F21109">
        <v>640</v>
      </c>
    </row>
    <row r="21110" spans="1:6" ht="12.75">
      <c r="A21110" s="2">
        <v>43876.010428240741</v>
      </c>
      <c r="B21110" t="str">
        <f>HYPERLINK("https://twitter.com/gcminie","@gcminie")</f>
        <v>@gcminie</v>
      </c>
      <c r="C21110" t="s">
        <v>5168</v>
      </c>
      <c r="D21110">
        <v>1210</v>
      </c>
      <c r="E21110">
        <v>0</v>
      </c>
      <c r="F21110">
        <v>1059</v>
      </c>
    </row>
    <row r="21111" spans="1:6" ht="12.75">
      <c r="A21111" s="2">
        <v>43876.010289351849</v>
      </c>
      <c r="B21111" t="str">
        <f>HYPERLINK("https://twitter.com/JKDaulay","@JKDaulay")</f>
        <v>@JKDaulay</v>
      </c>
      <c r="C21111" t="s">
        <v>10341</v>
      </c>
      <c r="D21111">
        <v>1</v>
      </c>
      <c r="E21111">
        <v>0</v>
      </c>
      <c r="F21111">
        <v>2729</v>
      </c>
    </row>
    <row r="21112" spans="1:6" ht="12.75">
      <c r="A21112" s="2">
        <v>43876.010162037041</v>
      </c>
      <c r="B21112" t="str">
        <f>HYPERLINK("https://twitter.com/llamaruto","@llamaruto")</f>
        <v>@llamaruto</v>
      </c>
      <c r="C21112" t="s">
        <v>2444</v>
      </c>
      <c r="D21112">
        <v>3224</v>
      </c>
      <c r="E21112">
        <v>0</v>
      </c>
      <c r="F21112">
        <v>1062</v>
      </c>
    </row>
    <row r="21113" spans="1:6" ht="12.75">
      <c r="A21113" s="2">
        <v>43876.010138888887</v>
      </c>
      <c r="B21113" t="str">
        <f>HYPERLINK("https://twitter.com/iNewsID","@iNewsID")</f>
        <v>@iNewsID</v>
      </c>
      <c r="C21113" t="s">
        <v>10342</v>
      </c>
      <c r="D21113">
        <v>0</v>
      </c>
      <c r="E21113">
        <v>0</v>
      </c>
      <c r="F21113">
        <v>1257</v>
      </c>
    </row>
    <row r="21114" spans="1:6" ht="12.75">
      <c r="A21114" s="2">
        <v>43876.010057870371</v>
      </c>
      <c r="B21114" t="str">
        <f>HYPERLINK("https://twitter.com/republikaonline","@republikaonline")</f>
        <v>@republikaonline</v>
      </c>
      <c r="C21114" t="s">
        <v>10343</v>
      </c>
      <c r="D21114">
        <v>2</v>
      </c>
      <c r="E21114">
        <v>3</v>
      </c>
      <c r="F21114">
        <v>1210367</v>
      </c>
    </row>
    <row r="21115" spans="1:6" ht="12.75">
      <c r="A21115" s="2">
        <v>43876.009895833333</v>
      </c>
      <c r="B21115" t="str">
        <f>HYPERLINK("https://twitter.com/sbubuwtrmln","@sbubuwtrmln")</f>
        <v>@sbubuwtrmln</v>
      </c>
      <c r="C21115" t="s">
        <v>2444</v>
      </c>
      <c r="D21115">
        <v>3224</v>
      </c>
      <c r="E21115">
        <v>0</v>
      </c>
      <c r="F21115">
        <v>103</v>
      </c>
    </row>
    <row r="21116" spans="1:6" ht="12.75">
      <c r="A21116" s="2">
        <v>43876.009872685187</v>
      </c>
      <c r="B21116" t="str">
        <f>HYPERLINK("https://twitter.com/endoe21","@endoe21")</f>
        <v>@endoe21</v>
      </c>
      <c r="C21116" t="s">
        <v>10344</v>
      </c>
      <c r="D21116">
        <v>1</v>
      </c>
      <c r="E21116">
        <v>0</v>
      </c>
      <c r="F21116">
        <v>2010</v>
      </c>
    </row>
    <row r="21117" spans="1:6" ht="12.75">
      <c r="A21117" s="2">
        <v>43876.009780092594</v>
      </c>
      <c r="B21117" t="str">
        <f>HYPERLINK("https://twitter.com/ibnumau93392345","@ibnumau93392345")</f>
        <v>@ibnumau93392345</v>
      </c>
      <c r="C21117" t="s">
        <v>2963</v>
      </c>
      <c r="D21117">
        <v>1192</v>
      </c>
      <c r="E21117">
        <v>0</v>
      </c>
      <c r="F21117">
        <v>15</v>
      </c>
    </row>
    <row r="21118" spans="1:6" ht="12.75">
      <c r="A21118" s="2">
        <v>43876.009641203702</v>
      </c>
      <c r="B21118" t="str">
        <f>HYPERLINK("https://twitter.com/Boemi_Pertiwi12","@Boemi_Pertiwi12")</f>
        <v>@Boemi_Pertiwi12</v>
      </c>
      <c r="C21118" t="s">
        <v>10345</v>
      </c>
      <c r="D21118">
        <v>1</v>
      </c>
      <c r="E21118">
        <v>3</v>
      </c>
      <c r="F21118">
        <v>18718</v>
      </c>
    </row>
    <row r="21119" spans="1:6" ht="12.75">
      <c r="A21119" s="2">
        <v>43876.009432870371</v>
      </c>
      <c r="B21119" t="str">
        <f>HYPERLINK("https://twitter.com/nctpeachs","@nctpeachs")</f>
        <v>@nctpeachs</v>
      </c>
      <c r="C21119" t="s">
        <v>2444</v>
      </c>
      <c r="D21119">
        <v>3224</v>
      </c>
      <c r="E21119">
        <v>0</v>
      </c>
      <c r="F21119">
        <v>256</v>
      </c>
    </row>
    <row r="21120" spans="1:6" ht="12.75">
      <c r="A21120" s="2">
        <v>43876.009351851855</v>
      </c>
      <c r="B21120" t="str">
        <f>HYPERLINK("https://twitter.com/bluesagittarian","@bluesagittarian")</f>
        <v>@bluesagittarian</v>
      </c>
      <c r="C21120" t="s">
        <v>2444</v>
      </c>
      <c r="D21120">
        <v>3224</v>
      </c>
      <c r="E21120">
        <v>0</v>
      </c>
      <c r="F21120">
        <v>1521</v>
      </c>
    </row>
    <row r="21121" spans="1:6" ht="12.75">
      <c r="A21121" s="2">
        <v>43876.00916666667</v>
      </c>
      <c r="B21121" t="str">
        <f>HYPERLINK("https://twitter.com/shiraumi_","@shiraumi_")</f>
        <v>@shiraumi_</v>
      </c>
      <c r="C21121" t="s">
        <v>2444</v>
      </c>
      <c r="D21121">
        <v>3224</v>
      </c>
      <c r="E21121">
        <v>0</v>
      </c>
      <c r="F21121">
        <v>376</v>
      </c>
    </row>
    <row r="21122" spans="1:6" ht="12.75">
      <c r="A21122" s="2">
        <v>43876.008935185186</v>
      </c>
      <c r="B21122" t="str">
        <f>HYPERLINK("https://twitter.com/Fariz_Davin","@Fariz_Davin")</f>
        <v>@Fariz_Davin</v>
      </c>
      <c r="C21122" t="s">
        <v>7478</v>
      </c>
      <c r="D21122">
        <v>444</v>
      </c>
      <c r="E21122">
        <v>0</v>
      </c>
      <c r="F21122">
        <v>1128</v>
      </c>
    </row>
    <row r="21123" spans="1:6" ht="12.75">
      <c r="A21123" s="2">
        <v>43876.008923611109</v>
      </c>
      <c r="B21123" t="str">
        <f>HYPERLINK("https://twitter.com/soondiet","@soondiet")</f>
        <v>@soondiet</v>
      </c>
      <c r="C21123" t="s">
        <v>2444</v>
      </c>
      <c r="D21123">
        <v>3224</v>
      </c>
      <c r="E21123">
        <v>0</v>
      </c>
      <c r="F21123">
        <v>38</v>
      </c>
    </row>
    <row r="21124" spans="1:6" ht="12.75">
      <c r="A21124" s="2">
        <v>43876.008796296301</v>
      </c>
      <c r="B21124" t="str">
        <f>HYPERLINK("https://twitter.com/michaelmikeXo","@michaelmikeXo")</f>
        <v>@michaelmikeXo</v>
      </c>
      <c r="C21124" t="s">
        <v>6127</v>
      </c>
      <c r="D21124">
        <v>553</v>
      </c>
      <c r="E21124">
        <v>0</v>
      </c>
      <c r="F21124">
        <v>826</v>
      </c>
    </row>
    <row r="21125" spans="1:6" ht="12.75">
      <c r="A21125" s="2">
        <v>43876.008611111116</v>
      </c>
      <c r="B21125" t="str">
        <f>HYPERLINK("https://twitter.com/bamby9999","@bamby9999")</f>
        <v>@bamby9999</v>
      </c>
      <c r="C21125" t="s">
        <v>9056</v>
      </c>
      <c r="D21125">
        <v>7</v>
      </c>
      <c r="E21125">
        <v>0</v>
      </c>
      <c r="F21125">
        <v>148</v>
      </c>
    </row>
    <row r="21126" spans="1:6" ht="12.75">
      <c r="A21126" s="2">
        <v>43876.008368055554</v>
      </c>
      <c r="B21126" t="str">
        <f>HYPERLINK("https://twitter.com/marpaung913","@marpaung913")</f>
        <v>@marpaung913</v>
      </c>
      <c r="C21126" t="s">
        <v>10346</v>
      </c>
      <c r="D21126">
        <v>1</v>
      </c>
      <c r="E21126">
        <v>1</v>
      </c>
      <c r="F21126">
        <v>526</v>
      </c>
    </row>
    <row r="21127" spans="1:6" ht="12.75">
      <c r="A21127" s="2">
        <v>43876.008275462962</v>
      </c>
      <c r="B21127" t="str">
        <f>HYPERLINK("https://twitter.com/eunbieunbiya","@eunbieunbiya")</f>
        <v>@eunbieunbiya</v>
      </c>
      <c r="C21127" t="s">
        <v>9021</v>
      </c>
      <c r="D21127">
        <v>209</v>
      </c>
      <c r="E21127">
        <v>0</v>
      </c>
      <c r="F21127">
        <v>90</v>
      </c>
    </row>
    <row r="21128" spans="1:6" ht="12.75">
      <c r="A21128" s="2">
        <v>43876.008148148147</v>
      </c>
      <c r="B21128" t="str">
        <f>HYPERLINK("https://twitter.com/evoltsunny","@evoltsunny")</f>
        <v>@evoltsunny</v>
      </c>
      <c r="C21128" t="s">
        <v>10300</v>
      </c>
      <c r="D21128">
        <v>66</v>
      </c>
      <c r="E21128">
        <v>0</v>
      </c>
      <c r="F21128">
        <v>57</v>
      </c>
    </row>
    <row r="21129" spans="1:6" ht="12.75">
      <c r="A21129" s="2">
        <v>43876.008055555554</v>
      </c>
      <c r="B21129" t="str">
        <f>HYPERLINK("https://twitter.com/Dani_Cicadas","@Dani_Cicadas")</f>
        <v>@Dani_Cicadas</v>
      </c>
      <c r="C21129" t="s">
        <v>9198</v>
      </c>
      <c r="D21129">
        <v>96</v>
      </c>
      <c r="E21129">
        <v>0</v>
      </c>
      <c r="F21129">
        <v>1051</v>
      </c>
    </row>
    <row r="21130" spans="1:6" ht="12.75">
      <c r="A21130" s="2">
        <v>43876.007789351846</v>
      </c>
      <c r="B21130" t="str">
        <f>HYPERLINK("https://twitter.com/renataliarenata","@renataliarenata")</f>
        <v>@renataliarenata</v>
      </c>
      <c r="C21130" t="s">
        <v>10347</v>
      </c>
      <c r="D21130">
        <v>59</v>
      </c>
      <c r="E21130">
        <v>0</v>
      </c>
      <c r="F21130">
        <v>379</v>
      </c>
    </row>
    <row r="21131" spans="1:6" ht="12.75">
      <c r="A21131" s="2">
        <v>43876.007673611108</v>
      </c>
      <c r="B21131" t="str">
        <f>HYPERLINK("https://twitter.com/HasyimEffendy","@HasyimEffendy")</f>
        <v>@HasyimEffendy</v>
      </c>
      <c r="C21131" t="s">
        <v>2097</v>
      </c>
      <c r="D21131">
        <v>404</v>
      </c>
      <c r="E21131">
        <v>0</v>
      </c>
      <c r="F21131">
        <v>63</v>
      </c>
    </row>
    <row r="21132" spans="1:6" ht="12.75">
      <c r="A21132" s="2">
        <v>43876.007569444446</v>
      </c>
      <c r="B21132" t="str">
        <f>HYPERLINK("https://twitter.com/septiandriant0","@septiandriant0")</f>
        <v>@septiandriant0</v>
      </c>
      <c r="C21132" t="s">
        <v>2444</v>
      </c>
      <c r="D21132">
        <v>3224</v>
      </c>
      <c r="E21132">
        <v>0</v>
      </c>
      <c r="F21132">
        <v>397</v>
      </c>
    </row>
    <row r="21133" spans="1:6" ht="12.75">
      <c r="A21133" s="2">
        <v>43876.007557870369</v>
      </c>
      <c r="B21133" t="str">
        <f>HYPERLINK("https://twitter.com/FENDIGUCCI3","@FENDIGUCCI3")</f>
        <v>@FENDIGUCCI3</v>
      </c>
      <c r="C21133" t="s">
        <v>10348</v>
      </c>
      <c r="D21133">
        <v>0</v>
      </c>
      <c r="E21133">
        <v>0</v>
      </c>
      <c r="F21133">
        <v>20</v>
      </c>
    </row>
    <row r="21134" spans="1:6" ht="12.75">
      <c r="A21134" s="2">
        <v>43876.007060185184</v>
      </c>
      <c r="B21134" t="str">
        <f>HYPERLINK("https://twitter.com/aldofrizi4","@aldofrizi4")</f>
        <v>@aldofrizi4</v>
      </c>
      <c r="C21134" t="s">
        <v>10349</v>
      </c>
      <c r="D21134">
        <v>0</v>
      </c>
      <c r="E21134">
        <v>0</v>
      </c>
      <c r="F21134">
        <v>20</v>
      </c>
    </row>
    <row r="21135" spans="1:6" ht="12.75">
      <c r="A21135" s="2">
        <v>43876.007013888884</v>
      </c>
      <c r="B21135" t="str">
        <f>HYPERLINK("https://twitter.com/KorongComro","@KorongComro")</f>
        <v>@KorongComro</v>
      </c>
      <c r="C21135" t="s">
        <v>10152</v>
      </c>
      <c r="D21135">
        <v>7</v>
      </c>
      <c r="E21135">
        <v>0</v>
      </c>
      <c r="F21135">
        <v>131</v>
      </c>
    </row>
    <row r="21136" spans="1:6" ht="12.75">
      <c r="A21136" s="2">
        <v>43876.006689814814</v>
      </c>
      <c r="B21136" t="str">
        <f>HYPERLINK("https://twitter.com/ronggo81","@ronggo81")</f>
        <v>@ronggo81</v>
      </c>
      <c r="C21136" t="s">
        <v>2097</v>
      </c>
      <c r="D21136">
        <v>404</v>
      </c>
      <c r="E21136">
        <v>0</v>
      </c>
      <c r="F21136">
        <v>3723</v>
      </c>
    </row>
    <row r="21137" spans="1:6" ht="12.75">
      <c r="A21137" s="2">
        <v>43876.006689814814</v>
      </c>
      <c r="B21137" t="str">
        <f>HYPERLINK("https://twitter.com/fifi_apostolou","@fifi_apostolou")</f>
        <v>@fifi_apostolou</v>
      </c>
      <c r="C21137" t="s">
        <v>9082</v>
      </c>
      <c r="D21137">
        <v>75</v>
      </c>
      <c r="E21137">
        <v>0</v>
      </c>
      <c r="F21137">
        <v>2485</v>
      </c>
    </row>
    <row r="21138" spans="1:6" ht="12.75">
      <c r="A21138" s="2">
        <v>43876.006608796291</v>
      </c>
      <c r="B21138" t="str">
        <f>HYPERLINK("https://twitter.com/ba_ger91","@ba_ger91")</f>
        <v>@ba_ger91</v>
      </c>
      <c r="C21138" t="s">
        <v>10350</v>
      </c>
      <c r="D21138">
        <v>1</v>
      </c>
      <c r="E21138">
        <v>1</v>
      </c>
      <c r="F21138">
        <v>1678</v>
      </c>
    </row>
    <row r="21139" spans="1:6" ht="12.75">
      <c r="A21139" s="2">
        <v>43876.006273148145</v>
      </c>
      <c r="B21139" t="str">
        <f>HYPERLINK("https://twitter.com/doremida96","@doremida96")</f>
        <v>@doremida96</v>
      </c>
      <c r="C21139" t="s">
        <v>10351</v>
      </c>
      <c r="D21139">
        <v>0</v>
      </c>
      <c r="E21139">
        <v>0</v>
      </c>
      <c r="F21139">
        <v>50</v>
      </c>
    </row>
    <row r="21140" spans="1:6" ht="12.75">
      <c r="A21140" s="2">
        <v>43876.006249999999</v>
      </c>
      <c r="B21140" t="str">
        <f>HYPERLINK("https://twitter.com/vtSpring","@vtSpring")</f>
        <v>@vtSpring</v>
      </c>
      <c r="C21140" t="s">
        <v>2444</v>
      </c>
      <c r="D21140">
        <v>3224</v>
      </c>
      <c r="E21140">
        <v>0</v>
      </c>
      <c r="F21140">
        <v>55</v>
      </c>
    </row>
    <row r="21141" spans="1:6" ht="12.75">
      <c r="A21141" s="2">
        <v>43876.006041666667</v>
      </c>
      <c r="B21141" t="str">
        <f>HYPERLINK("https://twitter.com/riikookoo","@riikookoo")</f>
        <v>@riikookoo</v>
      </c>
      <c r="C21141" t="s">
        <v>2444</v>
      </c>
      <c r="D21141">
        <v>3224</v>
      </c>
      <c r="E21141">
        <v>0</v>
      </c>
      <c r="F21141">
        <v>599</v>
      </c>
    </row>
    <row r="21142" spans="1:6" ht="12.75">
      <c r="A21142" s="2">
        <v>43876.005902777775</v>
      </c>
      <c r="B21142" t="str">
        <f>HYPERLINK("https://twitter.com/youngkbob","@youngkbob")</f>
        <v>@youngkbob</v>
      </c>
      <c r="C21142" t="s">
        <v>2444</v>
      </c>
      <c r="D21142">
        <v>3224</v>
      </c>
      <c r="E21142">
        <v>0</v>
      </c>
      <c r="F21142">
        <v>180</v>
      </c>
    </row>
    <row r="21143" spans="1:6" ht="12.75">
      <c r="A21143" s="2">
        <v>43876.005578703705</v>
      </c>
      <c r="B21143" t="str">
        <f>HYPERLINK("https://twitter.com/Xxx14916808","@Xxx14916808")</f>
        <v>@Xxx14916808</v>
      </c>
      <c r="C21143" t="s">
        <v>6201</v>
      </c>
      <c r="D21143">
        <v>310</v>
      </c>
      <c r="E21143">
        <v>0</v>
      </c>
      <c r="F21143">
        <v>57</v>
      </c>
    </row>
    <row r="21144" spans="1:6" ht="12.75">
      <c r="A21144" s="2">
        <v>43876.005462962959</v>
      </c>
      <c r="B21144" t="str">
        <f>HYPERLINK("https://twitter.com/KacungBukan","@KacungBukan")</f>
        <v>@KacungBukan</v>
      </c>
      <c r="C21144" t="s">
        <v>7478</v>
      </c>
      <c r="D21144">
        <v>444</v>
      </c>
      <c r="E21144">
        <v>0</v>
      </c>
      <c r="F21144">
        <v>294</v>
      </c>
    </row>
    <row r="21145" spans="1:6" ht="12.75">
      <c r="A21145" s="2">
        <v>43876.005347222221</v>
      </c>
      <c r="B21145" t="str">
        <f>HYPERLINK("https://twitter.com/reenbaebae","@reenbaebae")</f>
        <v>@reenbaebae</v>
      </c>
      <c r="C21145" t="s">
        <v>5168</v>
      </c>
      <c r="D21145">
        <v>1210</v>
      </c>
      <c r="E21145">
        <v>0</v>
      </c>
      <c r="F21145">
        <v>108</v>
      </c>
    </row>
    <row r="21146" spans="1:6" ht="12.75">
      <c r="A21146" s="2">
        <v>43876.005277777775</v>
      </c>
      <c r="B21146" t="str">
        <f>HYPERLINK("https://twitter.com/KarinLane12","@KarinLane12")</f>
        <v>@KarinLane12</v>
      </c>
      <c r="C21146" t="s">
        <v>3150</v>
      </c>
      <c r="D21146">
        <v>36</v>
      </c>
      <c r="E21146">
        <v>0</v>
      </c>
      <c r="F21146">
        <v>4032</v>
      </c>
    </row>
    <row r="21147" spans="1:6" ht="12.75">
      <c r="A21147" s="2">
        <v>43876.005266203705</v>
      </c>
      <c r="B21147" t="str">
        <f>HYPERLINK("https://twitter.com/aticaangelin","@aticaangelin")</f>
        <v>@aticaangelin</v>
      </c>
      <c r="C21147" t="s">
        <v>2444</v>
      </c>
      <c r="D21147">
        <v>3224</v>
      </c>
      <c r="E21147">
        <v>0</v>
      </c>
      <c r="F21147">
        <v>259</v>
      </c>
    </row>
    <row r="21148" spans="1:6" ht="12.75">
      <c r="A21148" s="2">
        <v>43876.00503472222</v>
      </c>
      <c r="B21148" t="str">
        <f>HYPERLINK("https://twitter.com/ReinaldyIlham","@ReinaldyIlham")</f>
        <v>@ReinaldyIlham</v>
      </c>
      <c r="C21148" t="s">
        <v>2444</v>
      </c>
      <c r="D21148">
        <v>3224</v>
      </c>
      <c r="E21148">
        <v>0</v>
      </c>
      <c r="F21148">
        <v>248</v>
      </c>
    </row>
    <row r="21149" spans="1:6" ht="12.75">
      <c r="A21149" s="2">
        <v>43876.004849537036</v>
      </c>
      <c r="B21149" t="str">
        <f>HYPERLINK("https://twitter.com/dizzhry","@dizzhry")</f>
        <v>@dizzhry</v>
      </c>
      <c r="C21149" t="s">
        <v>5168</v>
      </c>
      <c r="D21149">
        <v>1210</v>
      </c>
      <c r="E21149">
        <v>0</v>
      </c>
      <c r="F21149">
        <v>447</v>
      </c>
    </row>
    <row r="21150" spans="1:6" ht="12.75">
      <c r="A21150" s="2">
        <v>43876.004826388889</v>
      </c>
      <c r="B21150" t="str">
        <f>HYPERLINK("https://twitter.com/anneeesaw","@anneeesaw")</f>
        <v>@anneeesaw</v>
      </c>
      <c r="C21150" t="s">
        <v>2444</v>
      </c>
      <c r="D21150">
        <v>3224</v>
      </c>
      <c r="E21150">
        <v>0</v>
      </c>
      <c r="F21150">
        <v>588</v>
      </c>
    </row>
    <row r="21151" spans="1:6" ht="12.75">
      <c r="A21151" s="2">
        <v>43876.00481481482</v>
      </c>
      <c r="B21151" t="str">
        <f>HYPERLINK("https://twitter.com/afifudi17094231","@afifudi17094231")</f>
        <v>@afifudi17094231</v>
      </c>
      <c r="C21151" t="s">
        <v>2963</v>
      </c>
      <c r="D21151">
        <v>1192</v>
      </c>
      <c r="E21151">
        <v>0</v>
      </c>
      <c r="F21151">
        <v>160</v>
      </c>
    </row>
    <row r="21152" spans="1:6" ht="12.75">
      <c r="A21152" s="2">
        <v>43876.004629629635</v>
      </c>
      <c r="B21152" t="str">
        <f>HYPERLINK("https://twitter.com/hartuti_harun","@hartuti_harun")</f>
        <v>@hartuti_harun</v>
      </c>
      <c r="C21152" t="s">
        <v>10352</v>
      </c>
      <c r="D21152">
        <v>2</v>
      </c>
      <c r="E21152">
        <v>0</v>
      </c>
      <c r="F21152">
        <v>1392</v>
      </c>
    </row>
    <row r="21153" spans="1:6" ht="12.75">
      <c r="A21153" s="2">
        <v>43876.004525462966</v>
      </c>
      <c r="B21153" t="str">
        <f>HYPERLINK("https://twitter.com/zxmaw","@zxmaw")</f>
        <v>@zxmaw</v>
      </c>
      <c r="C21153" t="s">
        <v>5168</v>
      </c>
      <c r="D21153">
        <v>1210</v>
      </c>
      <c r="E21153">
        <v>0</v>
      </c>
      <c r="F21153">
        <v>1074</v>
      </c>
    </row>
    <row r="21154" spans="1:6" ht="12.75">
      <c r="A21154" s="2">
        <v>43876.004444444443</v>
      </c>
      <c r="B21154" t="str">
        <f>HYPERLINK("https://twitter.com/aaysajeedaa","@aaysajeedaa")</f>
        <v>@aaysajeedaa</v>
      </c>
      <c r="C21154" t="s">
        <v>2444</v>
      </c>
      <c r="D21154">
        <v>3224</v>
      </c>
      <c r="E21154">
        <v>0</v>
      </c>
      <c r="F21154">
        <v>725</v>
      </c>
    </row>
    <row r="21155" spans="1:6" ht="12.75">
      <c r="A21155" s="2">
        <v>43876.004409722227</v>
      </c>
      <c r="B21155" t="str">
        <f>HYPERLINK("https://twitter.com/Iwan_Kapuk","@Iwan_Kapuk")</f>
        <v>@Iwan_Kapuk</v>
      </c>
      <c r="C21155" t="s">
        <v>10353</v>
      </c>
      <c r="D21155">
        <v>2</v>
      </c>
      <c r="E21155">
        <v>0</v>
      </c>
      <c r="F21155">
        <v>2727</v>
      </c>
    </row>
    <row r="21156" spans="1:6" ht="12.75">
      <c r="A21156" s="2">
        <v>43876.004375000004</v>
      </c>
      <c r="B21156" t="str">
        <f>HYPERLINK("https://twitter.com/MawarSolitaire","@MawarSolitaire")</f>
        <v>@MawarSolitaire</v>
      </c>
      <c r="C21156" t="s">
        <v>6201</v>
      </c>
      <c r="D21156">
        <v>310</v>
      </c>
      <c r="E21156">
        <v>0</v>
      </c>
      <c r="F21156">
        <v>269</v>
      </c>
    </row>
    <row r="21157" spans="1:6" ht="12.75">
      <c r="A21157" s="2">
        <v>43876.004166666666</v>
      </c>
      <c r="B21157" t="str">
        <f>HYPERLINK("https://twitter.com/rikisantoso98","@rikisantoso98")</f>
        <v>@rikisantoso98</v>
      </c>
      <c r="C21157" t="s">
        <v>2444</v>
      </c>
      <c r="D21157">
        <v>3224</v>
      </c>
      <c r="E21157">
        <v>0</v>
      </c>
      <c r="F21157">
        <v>348</v>
      </c>
    </row>
    <row r="21158" spans="1:6" ht="12.75">
      <c r="A21158" s="2">
        <v>43876.004155092596</v>
      </c>
      <c r="B21158" t="str">
        <f>HYPERLINK("https://twitter.com/kkeeppiinnn","@kkeeppiinnn")</f>
        <v>@kkeeppiinnn</v>
      </c>
      <c r="C21158" t="s">
        <v>2444</v>
      </c>
      <c r="D21158">
        <v>3224</v>
      </c>
      <c r="E21158">
        <v>0</v>
      </c>
      <c r="F21158">
        <v>35</v>
      </c>
    </row>
    <row r="21159" spans="1:6" ht="12.75">
      <c r="A21159" s="2">
        <v>43876.003923611112</v>
      </c>
      <c r="B21159" t="str">
        <f>HYPERLINK("https://twitter.com/frankymatadewa","@frankymatadewa")</f>
        <v>@frankymatadewa</v>
      </c>
      <c r="C21159" t="s">
        <v>10354</v>
      </c>
      <c r="D21159">
        <v>0</v>
      </c>
      <c r="E21159">
        <v>0</v>
      </c>
      <c r="F21159">
        <v>1306</v>
      </c>
    </row>
    <row r="21160" spans="1:6" ht="12.75">
      <c r="A21160" s="2">
        <v>43876.003912037035</v>
      </c>
      <c r="B21160" t="str">
        <f>HYPERLINK("https://twitter.com/Chanwoonoona_","@Chanwoonoona_")</f>
        <v>@Chanwoonoona_</v>
      </c>
      <c r="C21160" t="s">
        <v>2137</v>
      </c>
      <c r="D21160">
        <v>226</v>
      </c>
      <c r="E21160">
        <v>0</v>
      </c>
      <c r="F21160">
        <v>810</v>
      </c>
    </row>
    <row r="21161" spans="1:6" ht="12.75">
      <c r="A21161" s="2">
        <v>43876.003807870366</v>
      </c>
      <c r="B21161" t="str">
        <f>HYPERLINK("https://twitter.com/YM_1908","@YM_1908")</f>
        <v>@YM_1908</v>
      </c>
      <c r="C21161" t="s">
        <v>2444</v>
      </c>
      <c r="D21161">
        <v>3224</v>
      </c>
      <c r="E21161">
        <v>0</v>
      </c>
      <c r="F21161">
        <v>489</v>
      </c>
    </row>
    <row r="21162" spans="1:6" ht="12.75">
      <c r="A21162" s="2">
        <v>43876.003680555557</v>
      </c>
      <c r="B21162" t="str">
        <f>HYPERLINK("https://twitter.com/Warkiko1","@Warkiko1")</f>
        <v>@Warkiko1</v>
      </c>
      <c r="C21162" t="s">
        <v>9993</v>
      </c>
      <c r="D21162">
        <v>10</v>
      </c>
      <c r="E21162">
        <v>0</v>
      </c>
      <c r="F21162">
        <v>609</v>
      </c>
    </row>
    <row r="21163" spans="1:6" ht="12.75">
      <c r="A21163" s="2">
        <v>43876.003657407404</v>
      </c>
      <c r="B21163" t="str">
        <f>HYPERLINK("https://twitter.com/pegikepasar","@pegikepasar")</f>
        <v>@pegikepasar</v>
      </c>
      <c r="C21163" t="s">
        <v>2137</v>
      </c>
      <c r="D21163">
        <v>226</v>
      </c>
      <c r="E21163">
        <v>0</v>
      </c>
      <c r="F21163">
        <v>973</v>
      </c>
    </row>
    <row r="21164" spans="1:6" ht="12.75">
      <c r="A21164" s="2">
        <v>43876.003622685181</v>
      </c>
      <c r="B21164" t="str">
        <f>HYPERLINK("https://twitter.com/_KakaIdho","@_KakaIdho")</f>
        <v>@_KakaIdho</v>
      </c>
      <c r="C21164" t="s">
        <v>10355</v>
      </c>
      <c r="D21164">
        <v>0</v>
      </c>
      <c r="E21164">
        <v>0</v>
      </c>
      <c r="F21164">
        <v>257</v>
      </c>
    </row>
    <row r="21165" spans="1:6" ht="12.75">
      <c r="A21165" s="2">
        <v>43876.003622685181</v>
      </c>
      <c r="B21165" t="str">
        <f>HYPERLINK("https://twitter.com/HannigramCrime","@HannigramCrime")</f>
        <v>@HannigramCrime</v>
      </c>
      <c r="C21165" t="s">
        <v>5168</v>
      </c>
      <c r="D21165">
        <v>1210</v>
      </c>
      <c r="E21165">
        <v>0</v>
      </c>
      <c r="F21165">
        <v>1107</v>
      </c>
    </row>
    <row r="21166" spans="1:6" ht="12.75">
      <c r="A21166" s="2">
        <v>43876.003518518519</v>
      </c>
      <c r="B21166" t="str">
        <f>HYPERLINK("https://twitter.com/ToniSugiri","@ToniSugiri")</f>
        <v>@ToniSugiri</v>
      </c>
      <c r="C21166" t="s">
        <v>10356</v>
      </c>
      <c r="D21166">
        <v>0</v>
      </c>
      <c r="E21166">
        <v>0</v>
      </c>
      <c r="F21166">
        <v>1525</v>
      </c>
    </row>
    <row r="21167" spans="1:6" ht="12.75">
      <c r="A21167" s="2">
        <v>43876.003506944442</v>
      </c>
      <c r="B21167" t="str">
        <f>HYPERLINK("https://twitter.com/dodiraveni","@dodiraveni")</f>
        <v>@dodiraveni</v>
      </c>
      <c r="C21167" t="s">
        <v>9746</v>
      </c>
      <c r="D21167">
        <v>404</v>
      </c>
      <c r="E21167">
        <v>0</v>
      </c>
      <c r="F21167">
        <v>250</v>
      </c>
    </row>
    <row r="21168" spans="1:6" ht="12.75">
      <c r="A21168" s="2">
        <v>43876.002951388888</v>
      </c>
      <c r="B21168" t="str">
        <f>HYPERLINK("https://twitter.com/Muhamad09147404","@Muhamad09147404")</f>
        <v>@Muhamad09147404</v>
      </c>
      <c r="C21168" t="s">
        <v>9198</v>
      </c>
      <c r="D21168">
        <v>96</v>
      </c>
      <c r="E21168">
        <v>0</v>
      </c>
      <c r="F21168">
        <v>612</v>
      </c>
    </row>
    <row r="21169" spans="1:6" ht="12.75">
      <c r="A21169" s="2">
        <v>43876.002650462964</v>
      </c>
      <c r="B21169" t="str">
        <f>HYPERLINK("https://twitter.com/Syamsud41732201","@Syamsud41732201")</f>
        <v>@Syamsud41732201</v>
      </c>
      <c r="C21169" t="s">
        <v>9531</v>
      </c>
      <c r="D21169">
        <v>6</v>
      </c>
      <c r="E21169">
        <v>0</v>
      </c>
      <c r="F21169">
        <v>728</v>
      </c>
    </row>
    <row r="21170" spans="1:6" ht="12.75">
      <c r="A21170" s="2">
        <v>43876.002523148149</v>
      </c>
      <c r="B21170" t="str">
        <f>HYPERLINK("https://twitter.com/sagakom","@sagakom")</f>
        <v>@sagakom</v>
      </c>
      <c r="C21170" t="s">
        <v>10357</v>
      </c>
      <c r="D21170">
        <v>0</v>
      </c>
      <c r="E21170">
        <v>0</v>
      </c>
      <c r="F21170">
        <v>286</v>
      </c>
    </row>
    <row r="21171" spans="1:6" ht="12.75">
      <c r="A21171" s="2">
        <v>43876.002384259264</v>
      </c>
      <c r="B21171" t="str">
        <f>HYPERLINK("https://twitter.com/dewylast","@dewylast")</f>
        <v>@dewylast</v>
      </c>
      <c r="C21171" t="s">
        <v>10358</v>
      </c>
      <c r="D21171">
        <v>0</v>
      </c>
      <c r="E21171">
        <v>0</v>
      </c>
      <c r="F21171">
        <v>717</v>
      </c>
    </row>
    <row r="21172" spans="1:6" ht="12.75">
      <c r="A21172" s="2">
        <v>43876.002384259264</v>
      </c>
      <c r="B21172" t="str">
        <f>HYPERLINK("https://twitter.com/aparemeum","@aparemeum")</f>
        <v>@aparemeum</v>
      </c>
      <c r="C21172" t="s">
        <v>2444</v>
      </c>
      <c r="D21172">
        <v>3224</v>
      </c>
      <c r="E21172">
        <v>0</v>
      </c>
      <c r="F21172">
        <v>41</v>
      </c>
    </row>
    <row r="21173" spans="1:6" ht="12.75">
      <c r="A21173" s="2">
        <v>43876.002372685187</v>
      </c>
      <c r="B21173" t="str">
        <f>HYPERLINK("https://twitter.com/Dedy_Haera","@Dedy_Haera")</f>
        <v>@Dedy_Haera</v>
      </c>
      <c r="C21173" t="s">
        <v>5485</v>
      </c>
      <c r="D21173">
        <v>7</v>
      </c>
      <c r="E21173">
        <v>0</v>
      </c>
      <c r="F21173">
        <v>3492</v>
      </c>
    </row>
    <row r="21174" spans="1:6" ht="12.75">
      <c r="A21174" s="2">
        <v>43876.002280092594</v>
      </c>
      <c r="B21174" t="str">
        <f>HYPERLINK("https://twitter.com/ArmanHlp","@ArmanHlp")</f>
        <v>@ArmanHlp</v>
      </c>
      <c r="C21174" t="s">
        <v>6201</v>
      </c>
      <c r="D21174">
        <v>310</v>
      </c>
      <c r="E21174">
        <v>0</v>
      </c>
      <c r="F21174">
        <v>350</v>
      </c>
    </row>
    <row r="21175" spans="1:6" ht="12.75">
      <c r="A21175" s="2">
        <v>43876.001863425925</v>
      </c>
      <c r="B21175" t="str">
        <f>HYPERLINK("https://twitter.com/Yamin_Naki","@Yamin_Naki")</f>
        <v>@Yamin_Naki</v>
      </c>
      <c r="C21175" t="s">
        <v>10359</v>
      </c>
      <c r="D21175">
        <v>0</v>
      </c>
      <c r="E21175">
        <v>0</v>
      </c>
      <c r="F21175">
        <v>248</v>
      </c>
    </row>
    <row r="21176" spans="1:6" ht="12.75">
      <c r="A21176" s="2">
        <v>43876.001851851848</v>
      </c>
      <c r="B21176" t="str">
        <f>HYPERLINK("https://twitter.com/saktindra85","@saktindra85")</f>
        <v>@saktindra85</v>
      </c>
      <c r="C21176" t="s">
        <v>10142</v>
      </c>
      <c r="D21176">
        <v>11</v>
      </c>
      <c r="E21176">
        <v>0</v>
      </c>
      <c r="F21176">
        <v>448</v>
      </c>
    </row>
    <row r="21177" spans="1:6" ht="12.75">
      <c r="A21177" s="2">
        <v>43876.001793981486</v>
      </c>
      <c r="B21177" t="str">
        <f>HYPERLINK("https://twitter.com/YUSKAPITYAJI","@YUSKAPITYAJI")</f>
        <v>@YUSKAPITYAJI</v>
      </c>
      <c r="C21177" t="s">
        <v>10353</v>
      </c>
      <c r="D21177">
        <v>2</v>
      </c>
      <c r="E21177">
        <v>0</v>
      </c>
      <c r="F21177">
        <v>783</v>
      </c>
    </row>
    <row r="21178" spans="1:6" ht="12.75">
      <c r="A21178" s="2">
        <v>43876.001770833333</v>
      </c>
      <c r="B21178" t="str">
        <f>HYPERLINK("https://twitter.com/astiwidyawati","@astiwidyawati")</f>
        <v>@astiwidyawati</v>
      </c>
      <c r="C21178" t="s">
        <v>10360</v>
      </c>
      <c r="D21178">
        <v>27</v>
      </c>
      <c r="E21178">
        <v>0</v>
      </c>
      <c r="F21178">
        <v>495</v>
      </c>
    </row>
    <row r="21179" spans="1:6" ht="12.75">
      <c r="A21179" s="2">
        <v>43876.001759259263</v>
      </c>
      <c r="B21179" t="str">
        <f>HYPERLINK("https://twitter.com/Hendriksrtn","@Hendriksrtn")</f>
        <v>@Hendriksrtn</v>
      </c>
      <c r="C21179" t="s">
        <v>10319</v>
      </c>
      <c r="D21179">
        <v>160</v>
      </c>
      <c r="E21179">
        <v>0</v>
      </c>
      <c r="F21179">
        <v>447</v>
      </c>
    </row>
    <row r="21180" spans="1:6" ht="12.75">
      <c r="A21180" s="2">
        <v>43876.001701388886</v>
      </c>
      <c r="B21180" t="str">
        <f>HYPERLINK("https://twitter.com/oykzch","@oykzch")</f>
        <v>@oykzch</v>
      </c>
      <c r="C21180" t="s">
        <v>9835</v>
      </c>
      <c r="D21180">
        <v>62</v>
      </c>
      <c r="E21180">
        <v>0</v>
      </c>
      <c r="F21180">
        <v>213</v>
      </c>
    </row>
    <row r="21181" spans="1:6" ht="12.75">
      <c r="A21181" s="2">
        <v>43876.001689814817</v>
      </c>
      <c r="B21181" t="str">
        <f>HYPERLINK("https://twitter.com/dededevinn","@dededevinn")</f>
        <v>@dededevinn</v>
      </c>
      <c r="C21181" t="s">
        <v>2444</v>
      </c>
      <c r="D21181">
        <v>3224</v>
      </c>
      <c r="E21181">
        <v>0</v>
      </c>
      <c r="F21181">
        <v>211</v>
      </c>
    </row>
    <row r="21182" spans="1:6" ht="12.75">
      <c r="A21182" s="2">
        <v>43876.001400462963</v>
      </c>
      <c r="B21182" t="str">
        <f>HYPERLINK("https://twitter.com/bumbIeeby","@bumbIeeby")</f>
        <v>@bumbIeeby</v>
      </c>
      <c r="C21182" t="s">
        <v>2137</v>
      </c>
      <c r="D21182">
        <v>219</v>
      </c>
      <c r="E21182">
        <v>0</v>
      </c>
      <c r="F21182">
        <v>4413</v>
      </c>
    </row>
    <row r="21183" spans="1:6" ht="12.75">
      <c r="A21183" s="2">
        <v>43876.001342592594</v>
      </c>
      <c r="B21183" t="str">
        <f>HYPERLINK("https://twitter.com/renjuneommi","@renjuneommi")</f>
        <v>@renjuneommi</v>
      </c>
      <c r="C21183" t="s">
        <v>2444</v>
      </c>
      <c r="D21183">
        <v>3133</v>
      </c>
      <c r="E21183">
        <v>0</v>
      </c>
      <c r="F21183">
        <v>466</v>
      </c>
    </row>
    <row r="21184" spans="1:6" ht="12.75">
      <c r="A21184" s="2">
        <v>43876.001296296294</v>
      </c>
      <c r="B21184" t="str">
        <f>HYPERLINK("https://twitter.com/__hacknet","@__hacknet")</f>
        <v>@__hacknet</v>
      </c>
      <c r="C21184" t="s">
        <v>10361</v>
      </c>
      <c r="D21184">
        <v>3</v>
      </c>
      <c r="E21184">
        <v>0</v>
      </c>
      <c r="F21184">
        <v>5705</v>
      </c>
    </row>
    <row r="21185" spans="1:6" ht="12.75">
      <c r="A21185" s="2">
        <v>43876.001261574071</v>
      </c>
      <c r="B21185" t="str">
        <f>HYPERLINK("https://twitter.com/MAliSubhan2","@MAliSubhan2")</f>
        <v>@MAliSubhan2</v>
      </c>
      <c r="C21185" t="s">
        <v>10165</v>
      </c>
      <c r="D21185">
        <v>22</v>
      </c>
      <c r="E21185">
        <v>0</v>
      </c>
      <c r="F21185">
        <v>1117</v>
      </c>
    </row>
    <row r="21186" spans="1:6" ht="12.75">
      <c r="A21186" s="2">
        <v>43876.001250000001</v>
      </c>
      <c r="B21186" t="str">
        <f>HYPERLINK("https://twitter.com/RiriJreeng","@RiriJreeng")</f>
        <v>@RiriJreeng</v>
      </c>
      <c r="C21186" t="s">
        <v>10352</v>
      </c>
      <c r="D21186">
        <v>1</v>
      </c>
      <c r="E21186">
        <v>0</v>
      </c>
      <c r="F21186">
        <v>5693</v>
      </c>
    </row>
    <row r="21187" spans="1:6" ht="12.75">
      <c r="A21187" s="2">
        <v>43876.00099537037</v>
      </c>
      <c r="B21187" t="str">
        <f>HYPERLINK("https://twitter.com/Citra_Pati9","@Citra_Pati9")</f>
        <v>@Citra_Pati9</v>
      </c>
      <c r="C21187" t="s">
        <v>7478</v>
      </c>
      <c r="D21187">
        <v>440</v>
      </c>
      <c r="E21187">
        <v>0</v>
      </c>
      <c r="F21187">
        <v>491</v>
      </c>
    </row>
    <row r="21188" spans="1:6" ht="12.75">
      <c r="A21188" s="2">
        <v>43876.000844907408</v>
      </c>
      <c r="B21188" t="str">
        <f>HYPERLINK("https://twitter.com/liputan6dotcom","@liputan6dotcom")</f>
        <v>@liputan6dotcom</v>
      </c>
      <c r="C21188" t="s">
        <v>10362</v>
      </c>
      <c r="D21188">
        <v>1</v>
      </c>
      <c r="E21188">
        <v>1</v>
      </c>
      <c r="F21188">
        <v>3624698</v>
      </c>
    </row>
    <row r="21189" spans="1:6" ht="12.75">
      <c r="A21189" s="2">
        <v>43876.000787037032</v>
      </c>
      <c r="B21189" t="str">
        <f>HYPERLINK("https://twitter.com/__hacknet71","@__hacknet71")</f>
        <v>@__hacknet71</v>
      </c>
      <c r="C21189" t="s">
        <v>10361</v>
      </c>
      <c r="D21189">
        <v>3</v>
      </c>
      <c r="E21189">
        <v>0</v>
      </c>
      <c r="F21189">
        <v>11168</v>
      </c>
    </row>
    <row r="21190" spans="1:6" ht="12.75">
      <c r="A21190" s="2">
        <v>43876.000706018516</v>
      </c>
      <c r="B21190" t="str">
        <f>HYPERLINK("https://twitter.com/penjagaaset","@penjagaaset")</f>
        <v>@penjagaaset</v>
      </c>
      <c r="C21190" t="s">
        <v>7478</v>
      </c>
      <c r="D21190">
        <v>440</v>
      </c>
      <c r="E21190">
        <v>0</v>
      </c>
      <c r="F21190">
        <v>196</v>
      </c>
    </row>
    <row r="21191" spans="1:6" ht="12.75">
      <c r="A21191" s="2">
        <v>43876.000694444447</v>
      </c>
      <c r="B21191" t="str">
        <f>HYPERLINK("https://twitter.com/Lintas_MNCTV","@Lintas_MNCTV")</f>
        <v>@Lintas_MNCTV</v>
      </c>
      <c r="C21191" t="s">
        <v>10363</v>
      </c>
      <c r="D21191">
        <v>0</v>
      </c>
      <c r="E21191">
        <v>0</v>
      </c>
      <c r="F21191">
        <v>35904</v>
      </c>
    </row>
    <row r="21192" spans="1:6" ht="12.75">
      <c r="A21192" s="2">
        <v>43876.000648148147</v>
      </c>
      <c r="B21192" t="str">
        <f>HYPERLINK("https://twitter.com/toasan","@toasan")</f>
        <v>@toasan</v>
      </c>
      <c r="C21192" t="s">
        <v>10364</v>
      </c>
      <c r="D21192">
        <v>0</v>
      </c>
      <c r="E21192">
        <v>0</v>
      </c>
      <c r="F21192">
        <v>18</v>
      </c>
    </row>
    <row r="21193" spans="1:6" ht="12.75">
      <c r="A21193" s="2">
        <v>43876.000567129631</v>
      </c>
      <c r="B21193" t="str">
        <f>HYPERLINK("https://twitter.com/nana040461","@nana040461")</f>
        <v>@nana040461</v>
      </c>
      <c r="C21193" t="s">
        <v>7478</v>
      </c>
      <c r="D21193">
        <v>440</v>
      </c>
      <c r="E21193">
        <v>0</v>
      </c>
      <c r="F21193">
        <v>1820</v>
      </c>
    </row>
    <row r="21194" spans="1:6" ht="12.75">
      <c r="A21194" s="2">
        <v>43876.000497685185</v>
      </c>
      <c r="B21194" t="str">
        <f>HYPERLINK("https://twitter.com/ErindaSofi","@ErindaSofi")</f>
        <v>@ErindaSofi</v>
      </c>
      <c r="C21194" t="s">
        <v>10114</v>
      </c>
      <c r="D21194">
        <v>22</v>
      </c>
      <c r="E21194">
        <v>0</v>
      </c>
      <c r="F21194">
        <v>5987</v>
      </c>
    </row>
    <row r="21195" spans="1:6" ht="12.75">
      <c r="A21195" s="2">
        <v>43876.000486111108</v>
      </c>
      <c r="B21195" t="str">
        <f>HYPERLINK("https://twitter.com/Q_oposan","@Q_oposan")</f>
        <v>@Q_oposan</v>
      </c>
      <c r="C21195" t="s">
        <v>9198</v>
      </c>
      <c r="D21195">
        <v>88</v>
      </c>
      <c r="E21195">
        <v>0</v>
      </c>
      <c r="F21195">
        <v>1275</v>
      </c>
    </row>
    <row r="21196" spans="1:6" ht="12.75">
      <c r="A21196" s="2">
        <v>43876.0003587963</v>
      </c>
      <c r="B21196" t="str">
        <f>HYPERLINK("https://twitter.com/mmadam_","@mmadam_")</f>
        <v>@mmadam_</v>
      </c>
      <c r="C21196" t="s">
        <v>10365</v>
      </c>
      <c r="D21196">
        <v>0</v>
      </c>
      <c r="E21196">
        <v>0</v>
      </c>
      <c r="F21196">
        <v>441</v>
      </c>
    </row>
    <row r="21197" spans="1:6" ht="12.75">
      <c r="A21197" s="2">
        <v>43876.000347222223</v>
      </c>
      <c r="B21197" t="str">
        <f>HYPERLINK("https://twitter.com/indra013","@indra013")</f>
        <v>@indra013</v>
      </c>
      <c r="C21197" t="s">
        <v>2444</v>
      </c>
      <c r="D21197">
        <v>3133</v>
      </c>
      <c r="E21197">
        <v>0</v>
      </c>
      <c r="F21197">
        <v>518</v>
      </c>
    </row>
    <row r="21198" spans="1:6" ht="12.75">
      <c r="A21198" s="2">
        <v>43876.0003125</v>
      </c>
      <c r="B21198" t="str">
        <f>HYPERLINK("https://twitter.com/Heras_24","@Heras_24")</f>
        <v>@Heras_24</v>
      </c>
      <c r="C21198" t="s">
        <v>10366</v>
      </c>
      <c r="D21198">
        <v>0</v>
      </c>
      <c r="E21198">
        <v>0</v>
      </c>
      <c r="F21198">
        <v>59</v>
      </c>
    </row>
    <row r="21199" spans="1:6" ht="12.75">
      <c r="A21199" s="2">
        <v>43876.000173611115</v>
      </c>
      <c r="B21199" t="str">
        <f>HYPERLINK("https://twitter.com/peyeeeek","@peyeeeek")</f>
        <v>@peyeeeek</v>
      </c>
      <c r="C21199" t="s">
        <v>2444</v>
      </c>
      <c r="D21199">
        <v>3133</v>
      </c>
      <c r="E21199">
        <v>0</v>
      </c>
      <c r="F21199">
        <v>860</v>
      </c>
    </row>
    <row r="21200" spans="1:6" ht="12.75">
      <c r="A21200" s="2">
        <v>43876.000069444446</v>
      </c>
      <c r="B21200" t="str">
        <f>HYPERLINK("https://twitter.com/Fariyantogmail1","@Fariyantogmail1")</f>
        <v>@Fariyantogmail1</v>
      </c>
      <c r="C21200" t="s">
        <v>9746</v>
      </c>
      <c r="D21200">
        <v>403</v>
      </c>
      <c r="E21200">
        <v>0</v>
      </c>
      <c r="F21200">
        <v>613</v>
      </c>
    </row>
    <row r="21201" spans="1:6" ht="12.75">
      <c r="A21201" s="2">
        <v>43876</v>
      </c>
      <c r="B21201" t="str">
        <f>HYPERLINK("https://twitter.com/gorohostik","@gorohostik")</f>
        <v>@gorohostik</v>
      </c>
      <c r="C21201" t="s">
        <v>2444</v>
      </c>
      <c r="D21201">
        <v>3133</v>
      </c>
      <c r="E21201">
        <v>0</v>
      </c>
      <c r="F21201">
        <v>282</v>
      </c>
    </row>
    <row r="21202" spans="1:6" ht="12.75">
      <c r="A21202" s="2">
        <v>43875.999918981484</v>
      </c>
      <c r="B21202" t="str">
        <f>HYPERLINK("https://twitter.com/night4348","@night4348")</f>
        <v>@night4348</v>
      </c>
      <c r="C21202" t="s">
        <v>2137</v>
      </c>
      <c r="D21202">
        <v>219</v>
      </c>
      <c r="E21202">
        <v>0</v>
      </c>
      <c r="F21202">
        <v>174</v>
      </c>
    </row>
    <row r="21203" spans="1:6" ht="12.75">
      <c r="A21203" s="2">
        <v>43875.999907407408</v>
      </c>
      <c r="B21203" t="str">
        <f>HYPERLINK("https://twitter.com/ind0wmie","@ind0wmie")</f>
        <v>@ind0wmie</v>
      </c>
      <c r="C21203" t="s">
        <v>2444</v>
      </c>
      <c r="D21203">
        <v>3133</v>
      </c>
      <c r="E21203">
        <v>0</v>
      </c>
      <c r="F21203">
        <v>1624</v>
      </c>
    </row>
    <row r="21204" spans="1:6" ht="12.75">
      <c r="A21204" s="2">
        <v>43875.9997337963</v>
      </c>
      <c r="B21204" t="str">
        <f>HYPERLINK("https://twitter.com/tasyaaprilianaa","@tasyaaprilianaa")</f>
        <v>@tasyaaprilianaa</v>
      </c>
      <c r="C21204" t="s">
        <v>2963</v>
      </c>
      <c r="D21204">
        <v>1179</v>
      </c>
      <c r="E21204">
        <v>0</v>
      </c>
      <c r="F21204">
        <v>28</v>
      </c>
    </row>
    <row r="21205" spans="1:6" ht="12.75">
      <c r="A21205" s="2">
        <v>43875.999606481477</v>
      </c>
      <c r="B21205" t="str">
        <f>HYPERLINK("https://twitter.com/imelbox","@imelbox")</f>
        <v>@imelbox</v>
      </c>
      <c r="C21205" t="s">
        <v>10367</v>
      </c>
      <c r="D21205">
        <v>0</v>
      </c>
      <c r="E21205">
        <v>0</v>
      </c>
      <c r="F21205">
        <v>160</v>
      </c>
    </row>
    <row r="21206" spans="1:6" ht="12.75">
      <c r="A21206" s="2">
        <v>43875.999594907407</v>
      </c>
      <c r="B21206" t="str">
        <f>HYPERLINK("https://twitter.com/Ism0y0_jati","@Ism0y0_jati")</f>
        <v>@Ism0y0_jati</v>
      </c>
      <c r="C21206" t="s">
        <v>10361</v>
      </c>
      <c r="D21206">
        <v>3</v>
      </c>
      <c r="E21206">
        <v>0</v>
      </c>
      <c r="F21206">
        <v>4689</v>
      </c>
    </row>
    <row r="21207" spans="1:6" ht="12.75">
      <c r="A21207" s="2">
        <v>43875.999525462961</v>
      </c>
      <c r="B21207" t="str">
        <f>HYPERLINK("https://twitter.com/geloraco","@geloraco")</f>
        <v>@geloraco</v>
      </c>
      <c r="C21207" t="s">
        <v>10368</v>
      </c>
      <c r="D21207">
        <v>1</v>
      </c>
      <c r="E21207">
        <v>2</v>
      </c>
      <c r="F21207">
        <v>99790</v>
      </c>
    </row>
    <row r="21208" spans="1:6" ht="12.75">
      <c r="A21208" s="2">
        <v>43875.999374999999</v>
      </c>
      <c r="B21208" t="str">
        <f>HYPERLINK("https://twitter.com/hennysuhaeni21","@hennysuhaeni21")</f>
        <v>@hennysuhaeni21</v>
      </c>
      <c r="C21208" t="s">
        <v>6201</v>
      </c>
      <c r="D21208">
        <v>298</v>
      </c>
      <c r="E21208">
        <v>0</v>
      </c>
      <c r="F21208">
        <v>571</v>
      </c>
    </row>
    <row r="21209" spans="1:6" ht="12.75">
      <c r="A21209" s="2">
        <v>43875.999178240745</v>
      </c>
      <c r="B21209" t="str">
        <f>HYPERLINK("https://twitter.com/han_eunni","@han_eunni")</f>
        <v>@han_eunni</v>
      </c>
      <c r="C21209" t="s">
        <v>2444</v>
      </c>
      <c r="D21209">
        <v>3133</v>
      </c>
      <c r="E21209">
        <v>0</v>
      </c>
      <c r="F21209">
        <v>217</v>
      </c>
    </row>
    <row r="21210" spans="1:6" ht="12.75">
      <c r="A21210" s="2">
        <v>43875.998842592591</v>
      </c>
      <c r="B21210" t="str">
        <f>HYPERLINK("https://twitter.com/Bellajayanty","@Bellajayanty")</f>
        <v>@Bellajayanty</v>
      </c>
      <c r="C21210" t="s">
        <v>10369</v>
      </c>
      <c r="D21210">
        <v>0</v>
      </c>
      <c r="E21210">
        <v>0</v>
      </c>
      <c r="F21210">
        <v>13</v>
      </c>
    </row>
    <row r="21211" spans="1:6" ht="12.75">
      <c r="A21211" s="2">
        <v>43875.998842592591</v>
      </c>
      <c r="B21211" t="str">
        <f>HYPERLINK("https://twitter.com/stbdquarter","@stbdquarter")</f>
        <v>@stbdquarter</v>
      </c>
      <c r="C21211" t="s">
        <v>10370</v>
      </c>
      <c r="D21211">
        <v>0</v>
      </c>
      <c r="E21211">
        <v>0</v>
      </c>
      <c r="F21211">
        <v>39</v>
      </c>
    </row>
    <row r="21212" spans="1:6" ht="12.75">
      <c r="A21212" s="2">
        <v>43875.998680555553</v>
      </c>
      <c r="B21212" t="str">
        <f>HYPERLINK("https://twitter.com/monicaevdn","@monicaevdn")</f>
        <v>@monicaevdn</v>
      </c>
      <c r="C21212" t="s">
        <v>2444</v>
      </c>
      <c r="D21212">
        <v>3133</v>
      </c>
      <c r="E21212">
        <v>0</v>
      </c>
      <c r="F21212">
        <v>532</v>
      </c>
    </row>
    <row r="21213" spans="1:6" ht="12.75">
      <c r="A21213" s="2">
        <v>43875.998657407406</v>
      </c>
      <c r="B21213" t="str">
        <f>HYPERLINK("https://twitter.com/taufikwyd_","@taufikwyd_")</f>
        <v>@taufikwyd_</v>
      </c>
      <c r="C21213" t="s">
        <v>10266</v>
      </c>
      <c r="D21213">
        <v>276</v>
      </c>
      <c r="E21213">
        <v>0</v>
      </c>
      <c r="F21213">
        <v>264</v>
      </c>
    </row>
    <row r="21214" spans="1:6" ht="12.75">
      <c r="A21214" s="2">
        <v>43875.998576388884</v>
      </c>
      <c r="B21214" t="str">
        <f>HYPERLINK("https://twitter.com/peyeeeek","@peyeeeek")</f>
        <v>@peyeeeek</v>
      </c>
      <c r="C21214" t="s">
        <v>5168</v>
      </c>
      <c r="D21214">
        <v>1173</v>
      </c>
      <c r="E21214">
        <v>0</v>
      </c>
      <c r="F21214">
        <v>860</v>
      </c>
    </row>
    <row r="21215" spans="1:6" ht="12.75">
      <c r="A21215" s="2">
        <v>43875.99832175926</v>
      </c>
      <c r="B21215" t="str">
        <f>HYPERLINK("https://twitter.com/aldi_MR10","@aldi_MR10")</f>
        <v>@aldi_MR10</v>
      </c>
      <c r="C21215" t="s">
        <v>5168</v>
      </c>
      <c r="D21215">
        <v>1173</v>
      </c>
      <c r="E21215">
        <v>0</v>
      </c>
      <c r="F21215">
        <v>1214</v>
      </c>
    </row>
    <row r="21216" spans="1:6" ht="12.75">
      <c r="A21216" s="2">
        <v>43875.998101851852</v>
      </c>
      <c r="B21216" t="str">
        <f>HYPERLINK("https://twitter.com/marpaung913","@marpaung913")</f>
        <v>@marpaung913</v>
      </c>
      <c r="C21216" t="s">
        <v>10371</v>
      </c>
      <c r="D21216">
        <v>0</v>
      </c>
      <c r="E21216">
        <v>0</v>
      </c>
      <c r="F21216">
        <v>526</v>
      </c>
    </row>
    <row r="21217" spans="1:6" ht="12.75">
      <c r="A21217" s="2">
        <v>43875.998067129629</v>
      </c>
      <c r="B21217" t="str">
        <f>HYPERLINK("https://twitter.com/PideksoRoyo1","@PideksoRoyo1")</f>
        <v>@PideksoRoyo1</v>
      </c>
      <c r="C21217" t="s">
        <v>10372</v>
      </c>
      <c r="D21217">
        <v>0</v>
      </c>
      <c r="E21217">
        <v>0</v>
      </c>
      <c r="F21217">
        <v>721</v>
      </c>
    </row>
    <row r="21218" spans="1:6" ht="12.75">
      <c r="A21218" s="2">
        <v>43875.997928240744</v>
      </c>
      <c r="B21218" t="str">
        <f>HYPERLINK("https://twitter.com/tatarosyanita","@tatarosyanita")</f>
        <v>@tatarosyanita</v>
      </c>
      <c r="C21218" t="s">
        <v>2444</v>
      </c>
      <c r="D21218">
        <v>3133</v>
      </c>
      <c r="E21218">
        <v>0</v>
      </c>
      <c r="F21218">
        <v>984</v>
      </c>
    </row>
    <row r="21219" spans="1:6" ht="12.75">
      <c r="A21219" s="2">
        <v>43875.997881944444</v>
      </c>
      <c r="B21219" t="str">
        <f>HYPERLINK("https://twitter.com/rizmansap","@rizmansap")</f>
        <v>@rizmansap</v>
      </c>
      <c r="C21219" t="s">
        <v>175</v>
      </c>
      <c r="D21219">
        <v>5311</v>
      </c>
      <c r="E21219">
        <v>0</v>
      </c>
      <c r="F21219">
        <v>48</v>
      </c>
    </row>
    <row r="21220" spans="1:6" ht="12.75">
      <c r="A21220" s="2">
        <v>43875.997858796298</v>
      </c>
      <c r="B21220" t="str">
        <f>HYPERLINK("https://twitter.com/Ahmad44333314","@Ahmad44333314")</f>
        <v>@Ahmad44333314</v>
      </c>
      <c r="C21220" t="s">
        <v>10152</v>
      </c>
      <c r="D21220">
        <v>3</v>
      </c>
      <c r="E21220">
        <v>0</v>
      </c>
      <c r="F21220">
        <v>135</v>
      </c>
    </row>
    <row r="21221" spans="1:6" ht="12.75">
      <c r="A21221" s="2">
        <v>43875.997847222221</v>
      </c>
      <c r="B21221" t="str">
        <f>HYPERLINK("https://twitter.com/arif_fahtuhr","@arif_fahtuhr")</f>
        <v>@arif_fahtuhr</v>
      </c>
      <c r="C21221" t="s">
        <v>513</v>
      </c>
      <c r="D21221">
        <v>23201</v>
      </c>
      <c r="E21221">
        <v>0</v>
      </c>
      <c r="F21221">
        <v>249</v>
      </c>
    </row>
    <row r="21222" spans="1:6" ht="12.75">
      <c r="A21222" s="2">
        <v>43875.997835648144</v>
      </c>
      <c r="B21222" t="str">
        <f>HYPERLINK("https://twitter.com/E71631920","@E71631920")</f>
        <v>@E71631920</v>
      </c>
      <c r="C21222" t="s">
        <v>7390</v>
      </c>
      <c r="D21222">
        <v>92</v>
      </c>
      <c r="E21222">
        <v>0</v>
      </c>
      <c r="F21222">
        <v>701</v>
      </c>
    </row>
    <row r="21223" spans="1:6" ht="12.75">
      <c r="A21223" s="2">
        <v>43875.997800925921</v>
      </c>
      <c r="B21223" t="str">
        <f>HYPERLINK("https://twitter.com/salmonsalmaa","@salmonsalmaa")</f>
        <v>@salmonsalmaa</v>
      </c>
      <c r="C21223" t="s">
        <v>2444</v>
      </c>
      <c r="D21223">
        <v>3133</v>
      </c>
      <c r="E21223">
        <v>0</v>
      </c>
      <c r="F21223">
        <v>1392</v>
      </c>
    </row>
    <row r="21224" spans="1:6" ht="12.75">
      <c r="A21224" s="2">
        <v>43875.997731481482</v>
      </c>
      <c r="B21224" t="str">
        <f>HYPERLINK("https://twitter.com/azizbuitenzorg","@azizbuitenzorg")</f>
        <v>@azizbuitenzorg</v>
      </c>
      <c r="C21224" t="s">
        <v>9746</v>
      </c>
      <c r="D21224">
        <v>403</v>
      </c>
      <c r="E21224">
        <v>0</v>
      </c>
      <c r="F21224">
        <v>700</v>
      </c>
    </row>
    <row r="21225" spans="1:6" ht="12.75">
      <c r="A21225" s="2">
        <v>43875.997708333336</v>
      </c>
      <c r="B21225" t="str">
        <f>HYPERLINK("https://twitter.com/seungszz","@seungszz")</f>
        <v>@seungszz</v>
      </c>
      <c r="C21225" t="s">
        <v>2137</v>
      </c>
      <c r="D21225">
        <v>219</v>
      </c>
      <c r="E21225">
        <v>0</v>
      </c>
      <c r="F21225">
        <v>11</v>
      </c>
    </row>
    <row r="21226" spans="1:6" ht="12.75">
      <c r="A21226" s="2">
        <v>43875.997662037036</v>
      </c>
      <c r="B21226" t="str">
        <f>HYPERLINK("https://twitter.com/adityasuardi","@adityasuardi")</f>
        <v>@adityasuardi</v>
      </c>
      <c r="C21226" t="s">
        <v>10373</v>
      </c>
      <c r="D21226">
        <v>0</v>
      </c>
      <c r="E21226">
        <v>0</v>
      </c>
      <c r="F21226">
        <v>123</v>
      </c>
    </row>
    <row r="21227" spans="1:6" ht="12.75">
      <c r="A21227" s="2">
        <v>43875.997499999998</v>
      </c>
      <c r="B21227" t="str">
        <f>HYPERLINK("https://twitter.com/EgiRizal8","@EgiRizal8")</f>
        <v>@EgiRizal8</v>
      </c>
      <c r="C21227" t="s">
        <v>10319</v>
      </c>
      <c r="D21227">
        <v>157</v>
      </c>
      <c r="E21227">
        <v>0</v>
      </c>
      <c r="F21227">
        <v>102</v>
      </c>
    </row>
    <row r="21228" spans="1:6" ht="12.75">
      <c r="A21228" s="2">
        <v>43875.997488425928</v>
      </c>
      <c r="B21228" t="str">
        <f>HYPERLINK("https://twitter.com/theseulgayer","@theseulgayer")</f>
        <v>@theseulgayer</v>
      </c>
      <c r="C21228" t="s">
        <v>2444</v>
      </c>
      <c r="D21228">
        <v>3133</v>
      </c>
      <c r="E21228">
        <v>0</v>
      </c>
      <c r="F21228">
        <v>92</v>
      </c>
    </row>
    <row r="21229" spans="1:6" ht="12.75">
      <c r="A21229" s="2">
        <v>43875.997442129628</v>
      </c>
      <c r="B21229" t="str">
        <f>HYPERLINK("https://twitter.com/fuarah","@fuarah")</f>
        <v>@fuarah</v>
      </c>
      <c r="C21229" t="s">
        <v>10374</v>
      </c>
      <c r="D21229">
        <v>0</v>
      </c>
      <c r="E21229">
        <v>0</v>
      </c>
      <c r="F21229">
        <v>45</v>
      </c>
    </row>
    <row r="21230" spans="1:6" ht="12.75">
      <c r="A21230" s="2">
        <v>43875.997407407413</v>
      </c>
      <c r="B21230" t="str">
        <f>HYPERLINK("https://twitter.com/MasfarGazali","@MasfarGazali")</f>
        <v>@MasfarGazali</v>
      </c>
      <c r="C21230" t="s">
        <v>6201</v>
      </c>
      <c r="D21230">
        <v>298</v>
      </c>
      <c r="E21230">
        <v>0</v>
      </c>
      <c r="F21230">
        <v>1966</v>
      </c>
    </row>
    <row r="21231" spans="1:6" ht="12.75">
      <c r="A21231" s="2">
        <v>43875.997187500005</v>
      </c>
      <c r="B21231" t="str">
        <f>HYPERLINK("https://twitter.com/TendraR","@TendraR")</f>
        <v>@TendraR</v>
      </c>
      <c r="C21231" t="s">
        <v>10152</v>
      </c>
      <c r="D21231">
        <v>3</v>
      </c>
      <c r="E21231">
        <v>0</v>
      </c>
      <c r="F21231">
        <v>166</v>
      </c>
    </row>
    <row r="21232" spans="1:6" ht="12.75">
      <c r="A21232" s="2">
        <v>43875.997071759259</v>
      </c>
      <c r="B21232" t="str">
        <f>HYPERLINK("https://twitter.com/endoe21","@endoe21")</f>
        <v>@endoe21</v>
      </c>
      <c r="C21232" t="s">
        <v>10131</v>
      </c>
      <c r="D21232">
        <v>1</v>
      </c>
      <c r="E21232">
        <v>0</v>
      </c>
      <c r="F21232">
        <v>2010</v>
      </c>
    </row>
    <row r="21233" spans="1:6" ht="12.75">
      <c r="A21233" s="2">
        <v>43875.996944444443</v>
      </c>
      <c r="B21233" t="str">
        <f>HYPERLINK("https://twitter.com/baghiailman","@baghiailman")</f>
        <v>@baghiailman</v>
      </c>
      <c r="C21233" t="s">
        <v>10375</v>
      </c>
      <c r="D21233">
        <v>0</v>
      </c>
      <c r="E21233">
        <v>0</v>
      </c>
      <c r="F21233">
        <v>623</v>
      </c>
    </row>
    <row r="21234" spans="1:6" ht="12.75">
      <c r="A21234" s="2">
        <v>43875.996898148151</v>
      </c>
      <c r="B21234" t="str">
        <f>HYPERLINK("https://twitter.com/endoe21","@endoe21")</f>
        <v>@endoe21</v>
      </c>
      <c r="C21234" t="s">
        <v>10376</v>
      </c>
      <c r="D21234">
        <v>0</v>
      </c>
      <c r="E21234">
        <v>1</v>
      </c>
      <c r="F21234">
        <v>2010</v>
      </c>
    </row>
    <row r="21235" spans="1:6" ht="12.75">
      <c r="A21235" s="2">
        <v>43875.996874999997</v>
      </c>
      <c r="B21235" t="str">
        <f>HYPERLINK("https://twitter.com/phestiksm","@phestiksm")</f>
        <v>@phestiksm</v>
      </c>
      <c r="C21235" t="s">
        <v>2444</v>
      </c>
      <c r="D21235">
        <v>3133</v>
      </c>
      <c r="E21235">
        <v>0</v>
      </c>
      <c r="F21235">
        <v>1055</v>
      </c>
    </row>
    <row r="21236" spans="1:6" ht="12.75">
      <c r="A21236" s="2">
        <v>43875.996851851851</v>
      </c>
      <c r="B21236" t="str">
        <f>HYPERLINK("https://twitter.com/sandrasalim","@sandrasalim")</f>
        <v>@sandrasalim</v>
      </c>
      <c r="C21236" t="s">
        <v>9746</v>
      </c>
      <c r="D21236">
        <v>403</v>
      </c>
      <c r="E21236">
        <v>0</v>
      </c>
      <c r="F21236">
        <v>915</v>
      </c>
    </row>
    <row r="21237" spans="1:6" ht="12.75">
      <c r="A21237" s="2">
        <v>43875.996759259258</v>
      </c>
      <c r="B21237" t="str">
        <f>HYPERLINK("https://twitter.com/mcfluuey","@mcfluuey")</f>
        <v>@mcfluuey</v>
      </c>
      <c r="C21237" t="s">
        <v>2444</v>
      </c>
      <c r="D21237">
        <v>3133</v>
      </c>
      <c r="E21237">
        <v>0</v>
      </c>
      <c r="F21237">
        <v>10821</v>
      </c>
    </row>
    <row r="21238" spans="1:6" ht="12.75">
      <c r="A21238" s="2">
        <v>43875.996562500004</v>
      </c>
      <c r="B21238" t="str">
        <f>HYPERLINK("https://twitter.com/tandanVradio","@tandanVradio")</f>
        <v>@tandanVradio</v>
      </c>
      <c r="C21238" t="s">
        <v>10377</v>
      </c>
      <c r="D21238">
        <v>1</v>
      </c>
      <c r="E21238">
        <v>0</v>
      </c>
      <c r="F21238">
        <v>2757</v>
      </c>
    </row>
    <row r="21239" spans="1:6" ht="12.75">
      <c r="A21239" s="2">
        <v>43875.996516203704</v>
      </c>
      <c r="B21239" t="str">
        <f>HYPERLINK("https://twitter.com/suara____rakyat","@suara____rakyat")</f>
        <v>@suara____rakyat</v>
      </c>
      <c r="C21239" t="s">
        <v>10378</v>
      </c>
      <c r="D21239">
        <v>3</v>
      </c>
      <c r="E21239">
        <v>5</v>
      </c>
      <c r="F21239">
        <v>4981</v>
      </c>
    </row>
    <row r="21240" spans="1:6" ht="12.75">
      <c r="A21240" s="2">
        <v>43875.996493055558</v>
      </c>
      <c r="B21240" t="str">
        <f>HYPERLINK("https://twitter.com/salmanabia","@salmanabia")</f>
        <v>@salmanabia</v>
      </c>
      <c r="C21240" t="s">
        <v>5168</v>
      </c>
      <c r="D21240">
        <v>1173</v>
      </c>
      <c r="E21240">
        <v>0</v>
      </c>
      <c r="F21240">
        <v>519</v>
      </c>
    </row>
    <row r="21241" spans="1:6" ht="12.75">
      <c r="A21241" s="2">
        <v>43875.996493055558</v>
      </c>
      <c r="B21241" t="str">
        <f>HYPERLINK("https://twitter.com/sleepyselppy","@sleepyselppy")</f>
        <v>@sleepyselppy</v>
      </c>
      <c r="C21241" t="s">
        <v>5168</v>
      </c>
      <c r="D21241">
        <v>1173</v>
      </c>
      <c r="E21241">
        <v>0</v>
      </c>
      <c r="F21241">
        <v>200</v>
      </c>
    </row>
    <row r="21242" spans="1:6" ht="12.75">
      <c r="A21242" s="2">
        <v>43875.996481481481</v>
      </c>
      <c r="B21242" t="str">
        <f>HYPERLINK("https://twitter.com/wuodzz","@wuodzz")</f>
        <v>@wuodzz</v>
      </c>
      <c r="C21242" t="s">
        <v>2444</v>
      </c>
      <c r="D21242">
        <v>3133</v>
      </c>
      <c r="E21242">
        <v>0</v>
      </c>
      <c r="F21242">
        <v>1681</v>
      </c>
    </row>
    <row r="21243" spans="1:6" ht="12.75">
      <c r="A21243" s="2">
        <v>43875.996469907404</v>
      </c>
      <c r="B21243" t="str">
        <f>HYPERLINK("https://twitter.com/susukocha","@susukocha")</f>
        <v>@susukocha</v>
      </c>
      <c r="C21243" t="s">
        <v>5168</v>
      </c>
      <c r="D21243">
        <v>1173</v>
      </c>
      <c r="E21243">
        <v>0</v>
      </c>
      <c r="F21243">
        <v>382</v>
      </c>
    </row>
    <row r="21244" spans="1:6" ht="12.75">
      <c r="A21244" s="2">
        <v>43875.996388888889</v>
      </c>
      <c r="B21244" t="str">
        <f>HYPERLINK("https://twitter.com/b4distso","@b4distso")</f>
        <v>@b4distso</v>
      </c>
      <c r="C21244" t="s">
        <v>10232</v>
      </c>
      <c r="D21244">
        <v>10</v>
      </c>
      <c r="E21244">
        <v>0</v>
      </c>
      <c r="F21244">
        <v>1581</v>
      </c>
    </row>
    <row r="21245" spans="1:6" ht="12.75">
      <c r="A21245" s="2">
        <v>43875.996365740742</v>
      </c>
      <c r="B21245" t="str">
        <f>HYPERLINK("https://twitter.com/abil_habibi","@abil_habibi")</f>
        <v>@abil_habibi</v>
      </c>
      <c r="C21245" t="s">
        <v>10379</v>
      </c>
      <c r="D21245">
        <v>1</v>
      </c>
      <c r="E21245">
        <v>0</v>
      </c>
      <c r="F21245">
        <v>1448</v>
      </c>
    </row>
    <row r="21246" spans="1:6" ht="12.75">
      <c r="A21246" s="2">
        <v>43875.996238425927</v>
      </c>
      <c r="B21246" t="str">
        <f>HYPERLINK("https://twitter.com/imelbox","@imelbox")</f>
        <v>@imelbox</v>
      </c>
      <c r="C21246" t="s">
        <v>10380</v>
      </c>
      <c r="D21246">
        <v>0</v>
      </c>
      <c r="E21246">
        <v>0</v>
      </c>
      <c r="F21246">
        <v>160</v>
      </c>
    </row>
    <row r="21247" spans="1:6" ht="12.75">
      <c r="A21247" s="2">
        <v>43875.996168981481</v>
      </c>
      <c r="B21247" t="str">
        <f>HYPERLINK("https://twitter.com/Sandraaddd","@Sandraaddd")</f>
        <v>@Sandraaddd</v>
      </c>
      <c r="C21247" t="s">
        <v>8050</v>
      </c>
      <c r="D21247">
        <v>4</v>
      </c>
      <c r="E21247">
        <v>0</v>
      </c>
      <c r="F21247">
        <v>3614</v>
      </c>
    </row>
    <row r="21248" spans="1:6" ht="12.75">
      <c r="A21248" s="2">
        <v>43875.996157407411</v>
      </c>
      <c r="B21248" t="str">
        <f>HYPERLINK("https://twitter.com/jodi_wirawan","@jodi_wirawan")</f>
        <v>@jodi_wirawan</v>
      </c>
      <c r="C21248" t="s">
        <v>10381</v>
      </c>
      <c r="D21248">
        <v>3</v>
      </c>
      <c r="E21248">
        <v>0</v>
      </c>
      <c r="F21248">
        <v>150</v>
      </c>
    </row>
    <row r="21249" spans="1:6" ht="12.75">
      <c r="A21249" s="2">
        <v>43875.995868055557</v>
      </c>
      <c r="B21249" t="str">
        <f>HYPERLINK("https://twitter.com/harihoree1","@harihoree1")</f>
        <v>@harihoree1</v>
      </c>
      <c r="C21249" t="s">
        <v>10152</v>
      </c>
      <c r="D21249">
        <v>3</v>
      </c>
      <c r="E21249">
        <v>0</v>
      </c>
      <c r="F21249">
        <v>1263</v>
      </c>
    </row>
    <row r="21250" spans="1:6" ht="12.75">
      <c r="A21250" s="2">
        <v>43875.995775462958</v>
      </c>
      <c r="B21250" t="str">
        <f>HYPERLINK("https://twitter.com/MELINDARISA","@MELINDARISA")</f>
        <v>@MELINDARISA</v>
      </c>
      <c r="C21250" t="s">
        <v>2126</v>
      </c>
      <c r="D21250">
        <v>2801</v>
      </c>
      <c r="E21250">
        <v>0</v>
      </c>
      <c r="F21250">
        <v>1121</v>
      </c>
    </row>
    <row r="21251" spans="1:6" ht="12.75">
      <c r="A21251" s="2">
        <v>43875.995532407411</v>
      </c>
      <c r="B21251" t="str">
        <f>HYPERLINK("https://twitter.com/LuwitaEmilly878","@LuwitaEmilly878")</f>
        <v>@LuwitaEmilly878</v>
      </c>
      <c r="C21251" t="s">
        <v>10382</v>
      </c>
      <c r="D21251">
        <v>1</v>
      </c>
      <c r="E21251">
        <v>2</v>
      </c>
      <c r="F21251">
        <v>11690</v>
      </c>
    </row>
    <row r="21252" spans="1:6" ht="12.75">
      <c r="A21252" s="2">
        <v>43875.995520833334</v>
      </c>
      <c r="B21252" t="str">
        <f>HYPERLINK("https://twitter.com/YusufNusantara1","@YusufNusantara1")</f>
        <v>@YusufNusantara1</v>
      </c>
      <c r="C21252" t="s">
        <v>10383</v>
      </c>
      <c r="D21252">
        <v>7</v>
      </c>
      <c r="E21252">
        <v>0</v>
      </c>
      <c r="F21252">
        <v>693</v>
      </c>
    </row>
    <row r="21253" spans="1:6" ht="12.75">
      <c r="A21253" s="2">
        <v>43875.995520833334</v>
      </c>
      <c r="B21253" t="str">
        <f>HYPERLINK("https://twitter.com/icaetea","@icaetea")</f>
        <v>@icaetea</v>
      </c>
      <c r="C21253" t="s">
        <v>2444</v>
      </c>
      <c r="D21253">
        <v>3133</v>
      </c>
      <c r="E21253">
        <v>0</v>
      </c>
      <c r="F21253">
        <v>1389</v>
      </c>
    </row>
    <row r="21254" spans="1:6" ht="12.75">
      <c r="A21254" s="2">
        <v>43875.995509259257</v>
      </c>
      <c r="B21254" t="str">
        <f>HYPERLINK("https://twitter.com/Fariz_Davin","@Fariz_Davin")</f>
        <v>@Fariz_Davin</v>
      </c>
      <c r="C21254" t="s">
        <v>6201</v>
      </c>
      <c r="D21254">
        <v>298</v>
      </c>
      <c r="E21254">
        <v>0</v>
      </c>
      <c r="F21254">
        <v>1128</v>
      </c>
    </row>
    <row r="21255" spans="1:6" ht="12.75">
      <c r="A21255" s="2">
        <v>43875.995358796295</v>
      </c>
      <c r="B21255" t="str">
        <f>HYPERLINK("https://twitter.com/YusufNusantara1","@YusufNusantara1")</f>
        <v>@YusufNusantara1</v>
      </c>
      <c r="C21255" t="s">
        <v>10153</v>
      </c>
      <c r="D21255">
        <v>4</v>
      </c>
      <c r="E21255">
        <v>0</v>
      </c>
      <c r="F21255">
        <v>693</v>
      </c>
    </row>
    <row r="21256" spans="1:6" ht="12.75">
      <c r="A21256" s="2">
        <v>43875.99518518518</v>
      </c>
      <c r="B21256" t="str">
        <f>HYPERLINK("https://twitter.com/fuarah","@fuarah")</f>
        <v>@fuarah</v>
      </c>
      <c r="C21256" t="s">
        <v>10384</v>
      </c>
      <c r="D21256">
        <v>0</v>
      </c>
      <c r="E21256">
        <v>1</v>
      </c>
      <c r="F21256">
        <v>45</v>
      </c>
    </row>
    <row r="21257" spans="1:6" ht="12.75">
      <c r="A21257" s="2">
        <v>43875.995115740741</v>
      </c>
      <c r="B21257" t="str">
        <f>HYPERLINK("https://twitter.com/tebarkebaikan01","@tebarkebaikan01")</f>
        <v>@tebarkebaikan01</v>
      </c>
      <c r="C21257" t="s">
        <v>10385</v>
      </c>
      <c r="D21257">
        <v>10</v>
      </c>
      <c r="E21257">
        <v>0</v>
      </c>
      <c r="F21257">
        <v>8</v>
      </c>
    </row>
    <row r="21258" spans="1:6" ht="12.75">
      <c r="A21258" s="2">
        <v>43875.995034722218</v>
      </c>
      <c r="B21258" t="str">
        <f>HYPERLINK("https://twitter.com/aris_sukamto","@aris_sukamto")</f>
        <v>@aris_sukamto</v>
      </c>
      <c r="C21258" t="s">
        <v>2133</v>
      </c>
      <c r="D21258">
        <v>93</v>
      </c>
      <c r="E21258">
        <v>0</v>
      </c>
      <c r="F21258">
        <v>1233</v>
      </c>
    </row>
    <row r="21259" spans="1:6" ht="12.75">
      <c r="A21259" s="2">
        <v>43875.994872685187</v>
      </c>
      <c r="B21259" t="str">
        <f>HYPERLINK("https://twitter.com/msaleh_jr","@msaleh_jr")</f>
        <v>@msaleh_jr</v>
      </c>
      <c r="C21259" t="s">
        <v>10386</v>
      </c>
      <c r="D21259">
        <v>0</v>
      </c>
      <c r="E21259">
        <v>1</v>
      </c>
      <c r="F21259">
        <v>266</v>
      </c>
    </row>
    <row r="21260" spans="1:6" ht="12.75">
      <c r="A21260" s="2">
        <v>43875.994849537034</v>
      </c>
      <c r="B21260" t="str">
        <f>HYPERLINK("https://twitter.com/BoePaps","@BoePaps")</f>
        <v>@BoePaps</v>
      </c>
      <c r="C21260" t="s">
        <v>10387</v>
      </c>
      <c r="D21260">
        <v>20</v>
      </c>
      <c r="E21260">
        <v>0</v>
      </c>
      <c r="F21260">
        <v>1</v>
      </c>
    </row>
    <row r="21261" spans="1:6" ht="12.75">
      <c r="A21261" s="2">
        <v>43875.994675925926</v>
      </c>
      <c r="B21261" t="str">
        <f>HYPERLINK("https://twitter.com/MANGOJU_NE2","@MANGOJU_NE2")</f>
        <v>@MANGOJU_NE2</v>
      </c>
      <c r="C21261" t="s">
        <v>2444</v>
      </c>
      <c r="D21261">
        <v>3133</v>
      </c>
      <c r="E21261">
        <v>0</v>
      </c>
      <c r="F21261">
        <v>565</v>
      </c>
    </row>
    <row r="21262" spans="1:6" ht="12.75">
      <c r="A21262" s="2">
        <v>43875.994606481487</v>
      </c>
      <c r="B21262" t="str">
        <f>HYPERLINK("https://twitter.com/p023456","@p023456")</f>
        <v>@p023456</v>
      </c>
      <c r="C21262" t="s">
        <v>10388</v>
      </c>
      <c r="D21262">
        <v>0</v>
      </c>
      <c r="E21262">
        <v>0</v>
      </c>
      <c r="F21262">
        <v>109</v>
      </c>
    </row>
    <row r="21263" spans="1:6" ht="12.75">
      <c r="A21263" s="2">
        <v>43875.994513888887</v>
      </c>
      <c r="B21263" t="str">
        <f>HYPERLINK("https://twitter.com/nu_online","@nu_online")</f>
        <v>@nu_online</v>
      </c>
      <c r="C21263" t="s">
        <v>10389</v>
      </c>
      <c r="D21263">
        <v>0</v>
      </c>
      <c r="E21263">
        <v>6</v>
      </c>
      <c r="F21263">
        <v>489792</v>
      </c>
    </row>
    <row r="21264" spans="1:6" ht="12.75">
      <c r="A21264" s="2">
        <v>43875.994467592594</v>
      </c>
      <c r="B21264" t="str">
        <f>HYPERLINK("https://twitter.com/radeu00","@radeu00")</f>
        <v>@radeu00</v>
      </c>
      <c r="C21264" t="s">
        <v>2444</v>
      </c>
      <c r="D21264">
        <v>3133</v>
      </c>
      <c r="E21264">
        <v>0</v>
      </c>
      <c r="F21264">
        <v>571</v>
      </c>
    </row>
    <row r="21265" spans="1:6" ht="12.75">
      <c r="A21265" s="2">
        <v>43875.994467592594</v>
      </c>
      <c r="B21265" t="str">
        <f>HYPERLINK("https://twitter.com/AudryRibka","@AudryRibka")</f>
        <v>@AudryRibka</v>
      </c>
      <c r="C21265" t="s">
        <v>8208</v>
      </c>
      <c r="D21265">
        <v>900</v>
      </c>
      <c r="E21265">
        <v>0</v>
      </c>
      <c r="F21265">
        <v>107</v>
      </c>
    </row>
    <row r="21266" spans="1:6" ht="12.75">
      <c r="A21266" s="2">
        <v>43875.994456018518</v>
      </c>
      <c r="B21266" t="str">
        <f>HYPERLINK("https://twitter.com/geloraco","@geloraco")</f>
        <v>@geloraco</v>
      </c>
      <c r="C21266" t="s">
        <v>9958</v>
      </c>
      <c r="D21266">
        <v>3</v>
      </c>
      <c r="E21266">
        <v>2</v>
      </c>
      <c r="F21266">
        <v>99790</v>
      </c>
    </row>
    <row r="21267" spans="1:6" ht="12.75">
      <c r="A21267" s="2">
        <v>43875.994444444441</v>
      </c>
      <c r="B21267" t="str">
        <f>HYPERLINK("https://twitter.com/Placebo_0","@Placebo_0")</f>
        <v>@Placebo_0</v>
      </c>
      <c r="C21267" t="s">
        <v>9082</v>
      </c>
      <c r="D21267">
        <v>71</v>
      </c>
      <c r="E21267">
        <v>0</v>
      </c>
      <c r="F21267">
        <v>5766</v>
      </c>
    </row>
    <row r="21268" spans="1:6" ht="12.75">
      <c r="A21268" s="2">
        <v>43875.994363425925</v>
      </c>
      <c r="B21268" t="str">
        <f>HYPERLINK("https://twitter.com/redo43214292","@redo43214292")</f>
        <v>@redo43214292</v>
      </c>
      <c r="C21268" t="s">
        <v>9746</v>
      </c>
      <c r="D21268">
        <v>403</v>
      </c>
      <c r="E21268">
        <v>0</v>
      </c>
      <c r="F21268">
        <v>130</v>
      </c>
    </row>
    <row r="21269" spans="1:6" ht="12.75">
      <c r="A21269" s="2">
        <v>43875.994328703702</v>
      </c>
      <c r="B21269" t="str">
        <f>HYPERLINK("https://twitter.com/nana040461","@nana040461")</f>
        <v>@nana040461</v>
      </c>
      <c r="C21269" t="s">
        <v>6201</v>
      </c>
      <c r="D21269">
        <v>298</v>
      </c>
      <c r="E21269">
        <v>0</v>
      </c>
      <c r="F21269">
        <v>1820</v>
      </c>
    </row>
    <row r="21270" spans="1:6" ht="12.75">
      <c r="A21270" s="2">
        <v>43875.994201388894</v>
      </c>
      <c r="B21270" t="str">
        <f>HYPERLINK("https://twitter.com/Haryant39257605","@Haryant39257605")</f>
        <v>@Haryant39257605</v>
      </c>
      <c r="C21270" t="s">
        <v>10390</v>
      </c>
      <c r="D21270">
        <v>170</v>
      </c>
      <c r="E21270">
        <v>0</v>
      </c>
      <c r="F21270">
        <v>0</v>
      </c>
    </row>
    <row r="21271" spans="1:6" ht="12.75">
      <c r="A21271" s="2">
        <v>43875.993807870371</v>
      </c>
      <c r="B21271" t="str">
        <f>HYPERLINK("https://twitter.com/TerusJajan","@TerusJajan")</f>
        <v>@TerusJajan</v>
      </c>
      <c r="C21271" t="s">
        <v>10074</v>
      </c>
      <c r="D21271">
        <v>80</v>
      </c>
      <c r="E21271">
        <v>0</v>
      </c>
      <c r="F21271">
        <v>4</v>
      </c>
    </row>
    <row r="21272" spans="1:6" ht="12.75">
      <c r="A21272" s="2">
        <v>43875.993437500001</v>
      </c>
      <c r="B21272" t="str">
        <f>HYPERLINK("https://twitter.com/cahhalu","@cahhalu")</f>
        <v>@cahhalu</v>
      </c>
      <c r="C21272" t="s">
        <v>2444</v>
      </c>
      <c r="D21272">
        <v>3133</v>
      </c>
      <c r="E21272">
        <v>0</v>
      </c>
      <c r="F21272">
        <v>308</v>
      </c>
    </row>
    <row r="21273" spans="1:6" ht="12.75">
      <c r="A21273" s="2">
        <v>43875.993310185186</v>
      </c>
      <c r="B21273" t="str">
        <f>HYPERLINK("https://twitter.com/gadingwd","@gadingwd")</f>
        <v>@gadingwd</v>
      </c>
      <c r="C21273" t="s">
        <v>5168</v>
      </c>
      <c r="D21273">
        <v>1173</v>
      </c>
      <c r="E21273">
        <v>0</v>
      </c>
      <c r="F21273">
        <v>339</v>
      </c>
    </row>
    <row r="21274" spans="1:6" ht="12.75">
      <c r="A21274" s="2">
        <v>43875.993148148147</v>
      </c>
      <c r="B21274" t="str">
        <f>HYPERLINK("https://twitter.com/amoraalba1","@amoraalba1")</f>
        <v>@amoraalba1</v>
      </c>
      <c r="C21274" t="s">
        <v>10391</v>
      </c>
      <c r="D21274">
        <v>0</v>
      </c>
      <c r="E21274">
        <v>0</v>
      </c>
      <c r="F21274">
        <v>0</v>
      </c>
    </row>
    <row r="21275" spans="1:6" ht="12.75">
      <c r="A21275" s="2">
        <v>43875.993032407408</v>
      </c>
      <c r="B21275" t="str">
        <f>HYPERLINK("https://twitter.com/AremaNita__","@AremaNita__")</f>
        <v>@AremaNita__</v>
      </c>
      <c r="C21275" t="s">
        <v>10392</v>
      </c>
      <c r="D21275">
        <v>0</v>
      </c>
      <c r="E21275">
        <v>1</v>
      </c>
      <c r="F21275">
        <v>8086</v>
      </c>
    </row>
    <row r="21276" spans="1:6" ht="12.75">
      <c r="A21276" s="2">
        <v>43875.992997685185</v>
      </c>
      <c r="B21276" t="str">
        <f>HYPERLINK("https://twitter.com/Hendra_1968","@Hendra_1968")</f>
        <v>@Hendra_1968</v>
      </c>
      <c r="C21276" t="s">
        <v>8754</v>
      </c>
      <c r="D21276">
        <v>14</v>
      </c>
      <c r="E21276">
        <v>0</v>
      </c>
      <c r="F21276">
        <v>372</v>
      </c>
    </row>
    <row r="21277" spans="1:6" ht="12.75">
      <c r="A21277" s="2">
        <v>43875.992997685185</v>
      </c>
      <c r="B21277" t="str">
        <f>HYPERLINK("https://twitter.com/AksesorisN","@AksesorisN")</f>
        <v>@AksesorisN</v>
      </c>
      <c r="C21277" t="s">
        <v>9198</v>
      </c>
      <c r="D21277">
        <v>88</v>
      </c>
      <c r="E21277">
        <v>0</v>
      </c>
      <c r="F21277">
        <v>714</v>
      </c>
    </row>
    <row r="21278" spans="1:6" ht="12.75">
      <c r="A21278" s="2">
        <v>43875.992905092593</v>
      </c>
      <c r="B21278" t="str">
        <f>HYPERLINK("https://twitter.com/mirahuha","@mirahuha")</f>
        <v>@mirahuha</v>
      </c>
      <c r="C21278" t="s">
        <v>10393</v>
      </c>
      <c r="D21278">
        <v>0</v>
      </c>
      <c r="E21278">
        <v>0</v>
      </c>
      <c r="F21278">
        <v>952</v>
      </c>
    </row>
    <row r="21279" spans="1:6" ht="12.75">
      <c r="A21279" s="2">
        <v>43875.992893518516</v>
      </c>
      <c r="B21279" t="str">
        <f>HYPERLINK("https://twitter.com/dib_EsTeh","@dib_EsTeh")</f>
        <v>@dib_EsTeh</v>
      </c>
      <c r="C21279" t="s">
        <v>2149</v>
      </c>
      <c r="D21279">
        <v>34</v>
      </c>
      <c r="E21279">
        <v>0</v>
      </c>
      <c r="F21279">
        <v>1</v>
      </c>
    </row>
    <row r="21280" spans="1:6" ht="12.75">
      <c r="A21280" s="2">
        <v>43875.992881944447</v>
      </c>
      <c r="B21280" t="str">
        <f>HYPERLINK("https://twitter.com/tkang_ojek","@tkang_ojek")</f>
        <v>@tkang_ojek</v>
      </c>
      <c r="C21280" t="s">
        <v>10394</v>
      </c>
      <c r="D21280">
        <v>0</v>
      </c>
      <c r="E21280">
        <v>0</v>
      </c>
      <c r="F21280">
        <v>297</v>
      </c>
    </row>
    <row r="21281" spans="1:6" ht="12.75">
      <c r="A21281" s="2">
        <v>43875.992615740739</v>
      </c>
      <c r="B21281" t="str">
        <f>HYPERLINK("https://twitter.com/oppaenthu","@oppaenthu")</f>
        <v>@oppaenthu</v>
      </c>
      <c r="C21281" t="s">
        <v>2444</v>
      </c>
      <c r="D21281">
        <v>3133</v>
      </c>
      <c r="E21281">
        <v>0</v>
      </c>
      <c r="F21281">
        <v>798</v>
      </c>
    </row>
    <row r="21282" spans="1:6" ht="12.75">
      <c r="A21282" s="2">
        <v>43875.992592592593</v>
      </c>
      <c r="B21282" t="str">
        <f>HYPERLINK("https://twitter.com/ryolandafit","@ryolandafit")</f>
        <v>@ryolandafit</v>
      </c>
      <c r="C21282" t="s">
        <v>10395</v>
      </c>
      <c r="D21282">
        <v>3</v>
      </c>
      <c r="E21282">
        <v>0</v>
      </c>
      <c r="F21282">
        <v>651</v>
      </c>
    </row>
    <row r="21283" spans="1:6" ht="12.75">
      <c r="A21283" s="2">
        <v>43875.992592592593</v>
      </c>
      <c r="B21283" t="str">
        <f>HYPERLINK("https://twitter.com/sobatgurunnn","@sobatgurunnn")</f>
        <v>@sobatgurunnn</v>
      </c>
      <c r="C21283" t="s">
        <v>2444</v>
      </c>
      <c r="D21283">
        <v>3133</v>
      </c>
      <c r="E21283">
        <v>0</v>
      </c>
      <c r="F21283">
        <v>752</v>
      </c>
    </row>
    <row r="21284" spans="1:6" ht="12.75">
      <c r="A21284" s="2">
        <v>43875.992569444439</v>
      </c>
      <c r="B21284" t="str">
        <f>HYPERLINK("https://twitter.com/mayafarrell21","@mayafarrell21")</f>
        <v>@mayafarrell21</v>
      </c>
      <c r="C21284" t="s">
        <v>6201</v>
      </c>
      <c r="D21284">
        <v>298</v>
      </c>
      <c r="E21284">
        <v>0</v>
      </c>
      <c r="F21284">
        <v>914</v>
      </c>
    </row>
    <row r="21285" spans="1:6" ht="12.75">
      <c r="A21285" s="2">
        <v>43875.9925462963</v>
      </c>
      <c r="B21285" t="str">
        <f>HYPERLINK("https://twitter.com/PacinoAmy","@PacinoAmy")</f>
        <v>@PacinoAmy</v>
      </c>
      <c r="C21285" t="s">
        <v>6201</v>
      </c>
      <c r="D21285">
        <v>298</v>
      </c>
      <c r="E21285">
        <v>0</v>
      </c>
      <c r="F21285">
        <v>160</v>
      </c>
    </row>
    <row r="21286" spans="1:6" ht="12.75">
      <c r="A21286" s="2">
        <v>43875.992407407408</v>
      </c>
      <c r="B21286" t="str">
        <f>HYPERLINK("https://twitter.com/Retaaa87166140","@Retaaa87166140")</f>
        <v>@Retaaa87166140</v>
      </c>
      <c r="C21286" t="s">
        <v>8050</v>
      </c>
      <c r="D21286">
        <v>4</v>
      </c>
      <c r="E21286">
        <v>0</v>
      </c>
      <c r="F21286">
        <v>63</v>
      </c>
    </row>
    <row r="21287" spans="1:6" ht="12.75">
      <c r="A21287" s="2">
        <v>43875.99219907407</v>
      </c>
      <c r="B21287" t="str">
        <f>HYPERLINK("https://twitter.com/_PernahGondrong","@_PernahGondrong")</f>
        <v>@_PernahGondrong</v>
      </c>
      <c r="C21287" t="s">
        <v>10396</v>
      </c>
      <c r="D21287">
        <v>0</v>
      </c>
      <c r="E21287">
        <v>0</v>
      </c>
      <c r="F21287">
        <v>1778</v>
      </c>
    </row>
    <row r="21288" spans="1:6" ht="12.75">
      <c r="A21288" s="2">
        <v>43875.992118055554</v>
      </c>
      <c r="B21288" t="str">
        <f>HYPERLINK("https://twitter.com/pedang_manthili","@pedang_manthili")</f>
        <v>@pedang_manthili</v>
      </c>
      <c r="C21288" t="s">
        <v>9198</v>
      </c>
      <c r="D21288">
        <v>88</v>
      </c>
      <c r="E21288">
        <v>0</v>
      </c>
      <c r="F21288">
        <v>280</v>
      </c>
    </row>
    <row r="21289" spans="1:6" ht="12.75">
      <c r="A21289" s="2">
        <v>43875.992118055554</v>
      </c>
      <c r="B21289" t="str">
        <f>HYPERLINK("https://twitter.com/Ko_Brama","@Ko_Brama")</f>
        <v>@Ko_Brama</v>
      </c>
      <c r="C21289" t="s">
        <v>9746</v>
      </c>
      <c r="D21289">
        <v>403</v>
      </c>
      <c r="E21289">
        <v>0</v>
      </c>
      <c r="F21289">
        <v>53</v>
      </c>
    </row>
    <row r="21290" spans="1:6" ht="12.75">
      <c r="A21290" s="2">
        <v>43875.992106481484</v>
      </c>
      <c r="B21290" t="str">
        <f>HYPERLINK("https://twitter.com/xnaxra_","@xnaxra_")</f>
        <v>@xnaxra_</v>
      </c>
      <c r="C21290" t="s">
        <v>2444</v>
      </c>
      <c r="D21290">
        <v>3133</v>
      </c>
      <c r="E21290">
        <v>0</v>
      </c>
      <c r="F21290">
        <v>50</v>
      </c>
    </row>
    <row r="21291" spans="1:6" ht="12.75">
      <c r="A21291" s="2">
        <v>43875.992083333331</v>
      </c>
      <c r="B21291" t="str">
        <f>HYPERLINK("https://twitter.com/gowestmor","@gowestmor")</f>
        <v>@gowestmor</v>
      </c>
      <c r="C21291" t="s">
        <v>10397</v>
      </c>
      <c r="D21291">
        <v>71</v>
      </c>
      <c r="E21291">
        <v>0</v>
      </c>
      <c r="F21291">
        <v>1585</v>
      </c>
    </row>
    <row r="21292" spans="1:6" ht="12.75">
      <c r="A21292" s="2">
        <v>43875.992083333331</v>
      </c>
      <c r="B21292" t="str">
        <f>HYPERLINK("https://twitter.com/febriu_p","@febriu_p")</f>
        <v>@febriu_p</v>
      </c>
      <c r="C21292" t="s">
        <v>6201</v>
      </c>
      <c r="D21292">
        <v>298</v>
      </c>
      <c r="E21292">
        <v>0</v>
      </c>
      <c r="F21292">
        <v>495</v>
      </c>
    </row>
    <row r="21293" spans="1:6" ht="12.75">
      <c r="A21293" s="2">
        <v>43875.991990740746</v>
      </c>
      <c r="B21293" t="str">
        <f>HYPERLINK("https://twitter.com/ohdwayne","@ohdwayne")</f>
        <v>@ohdwayne</v>
      </c>
      <c r="C21293" t="s">
        <v>8328</v>
      </c>
      <c r="D21293">
        <v>42</v>
      </c>
      <c r="E21293">
        <v>0</v>
      </c>
      <c r="F21293">
        <v>437</v>
      </c>
    </row>
    <row r="21294" spans="1:6" ht="12.75">
      <c r="A21294" s="2">
        <v>43875.991701388892</v>
      </c>
      <c r="B21294" t="str">
        <f>HYPERLINK("https://twitter.com/rief_rifai","@rief_rifai")</f>
        <v>@rief_rifai</v>
      </c>
      <c r="C21294" t="s">
        <v>10052</v>
      </c>
      <c r="D21294">
        <v>104</v>
      </c>
      <c r="E21294">
        <v>0</v>
      </c>
      <c r="F21294">
        <v>205</v>
      </c>
    </row>
    <row r="21295" spans="1:6" ht="12.75">
      <c r="A21295" s="2">
        <v>43875.991574074069</v>
      </c>
      <c r="B21295" t="str">
        <f>HYPERLINK("https://twitter.com/Emmy8412","@Emmy8412")</f>
        <v>@Emmy8412</v>
      </c>
      <c r="C21295" t="s">
        <v>10398</v>
      </c>
      <c r="D21295">
        <v>1</v>
      </c>
      <c r="E21295">
        <v>2</v>
      </c>
      <c r="F21295">
        <v>2818</v>
      </c>
    </row>
    <row r="21296" spans="1:6" ht="12.75">
      <c r="A21296" s="2">
        <v>43875.991527777776</v>
      </c>
      <c r="B21296" t="str">
        <f>HYPERLINK("https://twitter.com/StyaPramana","@StyaPramana")</f>
        <v>@StyaPramana</v>
      </c>
      <c r="C21296" t="s">
        <v>10399</v>
      </c>
      <c r="D21296">
        <v>0</v>
      </c>
      <c r="E21296">
        <v>0</v>
      </c>
      <c r="F21296">
        <v>57</v>
      </c>
    </row>
    <row r="21297" spans="1:6" ht="12.75">
      <c r="A21297" s="2">
        <v>43875.99150462963</v>
      </c>
      <c r="B21297" t="str">
        <f>HYPERLINK("https://twitter.com/ryolandafit","@ryolandafit")</f>
        <v>@ryolandafit</v>
      </c>
      <c r="C21297" t="s">
        <v>10400</v>
      </c>
      <c r="D21297">
        <v>1</v>
      </c>
      <c r="E21297">
        <v>0</v>
      </c>
      <c r="F21297">
        <v>651</v>
      </c>
    </row>
    <row r="21298" spans="1:6" ht="12.75">
      <c r="A21298" s="2">
        <v>43875.991481481484</v>
      </c>
      <c r="B21298" t="str">
        <f>HYPERLINK("https://twitter.com/sarahannida","@sarahannida")</f>
        <v>@sarahannida</v>
      </c>
      <c r="C21298" t="s">
        <v>2444</v>
      </c>
      <c r="D21298">
        <v>3133</v>
      </c>
      <c r="E21298">
        <v>0</v>
      </c>
      <c r="F21298">
        <v>989</v>
      </c>
    </row>
    <row r="21299" spans="1:6" ht="12.75">
      <c r="A21299" s="2">
        <v>43875.991435185184</v>
      </c>
      <c r="B21299" t="str">
        <f>HYPERLINK("https://twitter.com/kuanlinbosque","@kuanlinbosque")</f>
        <v>@kuanlinbosque</v>
      </c>
      <c r="C21299" t="s">
        <v>2444</v>
      </c>
      <c r="D21299">
        <v>3133</v>
      </c>
      <c r="E21299">
        <v>0</v>
      </c>
      <c r="F21299">
        <v>2103</v>
      </c>
    </row>
    <row r="21300" spans="1:6" ht="12.75">
      <c r="A21300" s="2">
        <v>43875.991296296299</v>
      </c>
      <c r="B21300" t="str">
        <f>HYPERLINK("https://twitter.com/abdhamdan017","@abdhamdan017")</f>
        <v>@abdhamdan017</v>
      </c>
      <c r="C21300" t="s">
        <v>2444</v>
      </c>
      <c r="D21300">
        <v>3133</v>
      </c>
      <c r="E21300">
        <v>0</v>
      </c>
      <c r="F21300">
        <v>223</v>
      </c>
    </row>
    <row r="21301" spans="1:6" ht="12.75">
      <c r="A21301" s="2">
        <v>43875.991284722222</v>
      </c>
      <c r="B21301" t="str">
        <f>HYPERLINK("https://twitter.com/kopassos","@kopassos")</f>
        <v>@kopassos</v>
      </c>
      <c r="C21301" t="s">
        <v>6201</v>
      </c>
      <c r="D21301">
        <v>298</v>
      </c>
      <c r="E21301">
        <v>0</v>
      </c>
      <c r="F21301">
        <v>1640</v>
      </c>
    </row>
    <row r="21302" spans="1:6" ht="12.75">
      <c r="A21302" s="2">
        <v>43875.991018518514</v>
      </c>
      <c r="B21302" t="str">
        <f>HYPERLINK("https://twitter.com/yeojaaaxx","@yeojaaaxx")</f>
        <v>@yeojaaaxx</v>
      </c>
      <c r="C21302" t="s">
        <v>9067</v>
      </c>
      <c r="D21302">
        <v>60</v>
      </c>
      <c r="E21302">
        <v>0</v>
      </c>
      <c r="F21302">
        <v>205</v>
      </c>
    </row>
    <row r="21303" spans="1:6" ht="12.75">
      <c r="A21303" s="2">
        <v>43875.991006944445</v>
      </c>
      <c r="B21303" t="str">
        <f>HYPERLINK("https://twitter.com/Haluan_","@Haluan_")</f>
        <v>@Haluan_</v>
      </c>
      <c r="C21303" t="s">
        <v>10401</v>
      </c>
      <c r="D21303">
        <v>0</v>
      </c>
      <c r="E21303">
        <v>0</v>
      </c>
      <c r="F21303">
        <v>1445</v>
      </c>
    </row>
    <row r="21304" spans="1:6" ht="12.75">
      <c r="A21304" s="2">
        <v>43875.990624999999</v>
      </c>
      <c r="B21304" t="str">
        <f>HYPERLINK("https://twitter.com/AnjaniSA","@AnjaniSA")</f>
        <v>@AnjaniSA</v>
      </c>
      <c r="C21304" t="s">
        <v>2444</v>
      </c>
      <c r="D21304">
        <v>3133</v>
      </c>
      <c r="E21304">
        <v>0</v>
      </c>
      <c r="F21304">
        <v>525</v>
      </c>
    </row>
    <row r="21305" spans="1:6" ht="12.75">
      <c r="A21305" s="2">
        <v>43875.990601851852</v>
      </c>
      <c r="B21305" t="str">
        <f>HYPERLINK("https://twitter.com/Yatie84991237","@Yatie84991237")</f>
        <v>@Yatie84991237</v>
      </c>
      <c r="C21305" t="s">
        <v>10402</v>
      </c>
      <c r="D21305">
        <v>0</v>
      </c>
      <c r="E21305">
        <v>3</v>
      </c>
      <c r="F21305">
        <v>1518</v>
      </c>
    </row>
    <row r="21306" spans="1:6" ht="12.75">
      <c r="A21306" s="2">
        <v>43875.990590277783</v>
      </c>
      <c r="B21306" t="str">
        <f>HYPERLINK("https://twitter.com/misaiba","@misaiba")</f>
        <v>@misaiba</v>
      </c>
      <c r="C21306" t="s">
        <v>10403</v>
      </c>
      <c r="D21306">
        <v>0</v>
      </c>
      <c r="E21306">
        <v>0</v>
      </c>
      <c r="F21306">
        <v>149</v>
      </c>
    </row>
    <row r="21307" spans="1:6" ht="12.75">
      <c r="A21307" s="2">
        <v>43875.99009259259</v>
      </c>
      <c r="B21307" t="str">
        <f>HYPERLINK("https://twitter.com/krisna17revolt","@krisna17revolt")</f>
        <v>@krisna17revolt</v>
      </c>
      <c r="C21307" t="s">
        <v>10404</v>
      </c>
      <c r="D21307">
        <v>0</v>
      </c>
      <c r="E21307">
        <v>0</v>
      </c>
      <c r="F21307">
        <v>429</v>
      </c>
    </row>
    <row r="21308" spans="1:6" ht="12.75">
      <c r="A21308" s="2">
        <v>43875.990069444444</v>
      </c>
      <c r="B21308" t="str">
        <f>HYPERLINK("https://twitter.com/Emmy8412","@Emmy8412")</f>
        <v>@Emmy8412</v>
      </c>
      <c r="C21308" t="s">
        <v>10153</v>
      </c>
      <c r="D21308">
        <v>4</v>
      </c>
      <c r="E21308">
        <v>0</v>
      </c>
      <c r="F21308">
        <v>2818</v>
      </c>
    </row>
    <row r="21309" spans="1:6" ht="12.75">
      <c r="A21309" s="2">
        <v>43875.990069444444</v>
      </c>
      <c r="B21309" t="str">
        <f>HYPERLINK("https://twitter.com/bangtanb0rahae","@bangtanb0rahae")</f>
        <v>@bangtanb0rahae</v>
      </c>
      <c r="C21309" t="s">
        <v>10405</v>
      </c>
      <c r="D21309">
        <v>0</v>
      </c>
      <c r="E21309">
        <v>0</v>
      </c>
      <c r="F21309">
        <v>481</v>
      </c>
    </row>
    <row r="21310" spans="1:6" ht="12.75">
      <c r="A21310" s="2">
        <v>43875.990046296298</v>
      </c>
      <c r="B21310" t="str">
        <f>HYPERLINK("https://twitter.com/gembul151","@gembul151")</f>
        <v>@gembul151</v>
      </c>
      <c r="C21310" t="s">
        <v>10406</v>
      </c>
      <c r="D21310">
        <v>0</v>
      </c>
      <c r="E21310">
        <v>1</v>
      </c>
      <c r="F21310">
        <v>144</v>
      </c>
    </row>
    <row r="21311" spans="1:6" ht="12.75">
      <c r="A21311" s="2">
        <v>43875.989953703705</v>
      </c>
      <c r="B21311" t="str">
        <f>HYPERLINK("https://twitter.com/ucoxregar","@ucoxregar")</f>
        <v>@ucoxregar</v>
      </c>
      <c r="C21311" t="s">
        <v>9198</v>
      </c>
      <c r="D21311">
        <v>88</v>
      </c>
      <c r="E21311">
        <v>0</v>
      </c>
      <c r="F21311">
        <v>341</v>
      </c>
    </row>
    <row r="21312" spans="1:6" ht="12.75">
      <c r="A21312" s="2">
        <v>43875.989791666667</v>
      </c>
      <c r="B21312" t="str">
        <f>HYPERLINK("https://twitter.com/Riskiturrahman","@Riskiturrahman")</f>
        <v>@Riskiturrahman</v>
      </c>
      <c r="C21312" t="s">
        <v>7478</v>
      </c>
      <c r="D21312">
        <v>440</v>
      </c>
      <c r="E21312">
        <v>0</v>
      </c>
      <c r="F21312">
        <v>38</v>
      </c>
    </row>
    <row r="21313" spans="1:6" ht="12.75">
      <c r="A21313" s="2">
        <v>43875.989791666667</v>
      </c>
      <c r="B21313" t="str">
        <f>HYPERLINK("https://twitter.com/a__dinda","@a__dinda")</f>
        <v>@a__dinda</v>
      </c>
      <c r="C21313" t="s">
        <v>5168</v>
      </c>
      <c r="D21313">
        <v>1173</v>
      </c>
      <c r="E21313">
        <v>0</v>
      </c>
      <c r="F21313">
        <v>65</v>
      </c>
    </row>
    <row r="21314" spans="1:6" ht="12.75">
      <c r="A21314" s="2">
        <v>43875.989756944444</v>
      </c>
      <c r="B21314" t="str">
        <f>HYPERLINK("https://twitter.com/Hasan44199360","@Hasan44199360")</f>
        <v>@Hasan44199360</v>
      </c>
      <c r="C21314" t="s">
        <v>10407</v>
      </c>
      <c r="D21314">
        <v>55</v>
      </c>
      <c r="E21314">
        <v>0</v>
      </c>
      <c r="F21314">
        <v>185</v>
      </c>
    </row>
    <row r="21315" spans="1:6" ht="12.75">
      <c r="A21315" s="2">
        <v>43875.989351851851</v>
      </c>
      <c r="B21315" t="str">
        <f>HYPERLINK("https://twitter.com/Roskafe1","@Roskafe1")</f>
        <v>@Roskafe1</v>
      </c>
      <c r="C21315" t="s">
        <v>9198</v>
      </c>
      <c r="D21315">
        <v>88</v>
      </c>
      <c r="E21315">
        <v>0</v>
      </c>
      <c r="F21315">
        <v>2475</v>
      </c>
    </row>
    <row r="21316" spans="1:6" ht="12.75">
      <c r="A21316" s="2">
        <v>43875.989328703705</v>
      </c>
      <c r="B21316" t="str">
        <f>HYPERLINK("https://twitter.com/ariftriyudi","@ariftriyudi")</f>
        <v>@ariftriyudi</v>
      </c>
      <c r="C21316" t="s">
        <v>7478</v>
      </c>
      <c r="D21316">
        <v>440</v>
      </c>
      <c r="E21316">
        <v>0</v>
      </c>
      <c r="F21316">
        <v>85</v>
      </c>
    </row>
    <row r="21317" spans="1:6" ht="12.75">
      <c r="A21317" s="2">
        <v>43875.989247685182</v>
      </c>
      <c r="B21317" t="str">
        <f>HYPERLINK("https://twitter.com/AtikahZahidah_","@AtikahZahidah_")</f>
        <v>@AtikahZahidah_</v>
      </c>
      <c r="C21317" t="s">
        <v>10165</v>
      </c>
      <c r="D21317">
        <v>22</v>
      </c>
      <c r="E21317">
        <v>0</v>
      </c>
      <c r="F21317">
        <v>3161</v>
      </c>
    </row>
    <row r="21318" spans="1:6" ht="12.75">
      <c r="A21318" s="2">
        <v>43875.989166666666</v>
      </c>
      <c r="B21318" t="str">
        <f>HYPERLINK("https://twitter.com/AhsanFurqanIbr9","@AhsanFurqanIbr9")</f>
        <v>@AhsanFurqanIbr9</v>
      </c>
      <c r="C21318" t="s">
        <v>9746</v>
      </c>
      <c r="D21318">
        <v>403</v>
      </c>
      <c r="E21318">
        <v>0</v>
      </c>
      <c r="F21318">
        <v>158</v>
      </c>
    </row>
    <row r="21319" spans="1:6" ht="12.75">
      <c r="A21319" s="2">
        <v>43875.989085648151</v>
      </c>
      <c r="B21319" t="str">
        <f>HYPERLINK("https://twitter.com/fungkx_","@fungkx_")</f>
        <v>@fungkx_</v>
      </c>
      <c r="C21319" t="s">
        <v>2444</v>
      </c>
      <c r="D21319">
        <v>3133</v>
      </c>
      <c r="E21319">
        <v>0</v>
      </c>
      <c r="F21319">
        <v>689</v>
      </c>
    </row>
    <row r="21320" spans="1:6" ht="12.75">
      <c r="A21320" s="2">
        <v>43875.989004629635</v>
      </c>
      <c r="B21320" t="str">
        <f>HYPERLINK("https://twitter.com/rayenisme","@rayenisme")</f>
        <v>@rayenisme</v>
      </c>
      <c r="C21320" t="s">
        <v>2444</v>
      </c>
      <c r="D21320">
        <v>3133</v>
      </c>
      <c r="E21320">
        <v>0</v>
      </c>
      <c r="F21320">
        <v>503</v>
      </c>
    </row>
    <row r="21321" spans="1:6" ht="12.75">
      <c r="A21321" s="2">
        <v>43875.988854166666</v>
      </c>
      <c r="B21321" t="str">
        <f>HYPERLINK("https://twitter.com/nana040461","@nana040461")</f>
        <v>@nana040461</v>
      </c>
      <c r="C21321" t="s">
        <v>10096</v>
      </c>
      <c r="D21321">
        <v>178</v>
      </c>
      <c r="E21321">
        <v>0</v>
      </c>
      <c r="F21321">
        <v>1820</v>
      </c>
    </row>
    <row r="21322" spans="1:6" ht="12.75">
      <c r="A21322" s="2">
        <v>43875.988553240742</v>
      </c>
      <c r="B21322" t="str">
        <f>HYPERLINK("https://twitter.com/AChamplads","@AChamplads")</f>
        <v>@AChamplads</v>
      </c>
      <c r="C21322" t="s">
        <v>7478</v>
      </c>
      <c r="D21322">
        <v>440</v>
      </c>
      <c r="E21322">
        <v>0</v>
      </c>
      <c r="F21322">
        <v>27</v>
      </c>
    </row>
    <row r="21323" spans="1:6" ht="12.75">
      <c r="A21323" s="2">
        <v>43875.988263888888</v>
      </c>
      <c r="B21323" t="str">
        <f>HYPERLINK("https://twitter.com/Mukhtarmichyu1","@Mukhtarmichyu1")</f>
        <v>@Mukhtarmichyu1</v>
      </c>
      <c r="C21323" t="s">
        <v>10408</v>
      </c>
      <c r="D21323">
        <v>0</v>
      </c>
      <c r="E21323">
        <v>0</v>
      </c>
      <c r="F21323">
        <v>441</v>
      </c>
    </row>
    <row r="21324" spans="1:6" ht="12.75">
      <c r="A21324" s="2">
        <v>43875.98809027778</v>
      </c>
      <c r="B21324" t="str">
        <f>HYPERLINK("https://twitter.com/alfn_izn","@alfn_izn")</f>
        <v>@alfn_izn</v>
      </c>
      <c r="C21324" t="s">
        <v>9852</v>
      </c>
      <c r="D21324">
        <v>6</v>
      </c>
      <c r="E21324">
        <v>0</v>
      </c>
      <c r="F21324">
        <v>561</v>
      </c>
    </row>
    <row r="21325" spans="1:6" ht="12.75">
      <c r="A21325" s="2">
        <v>43875.988009259258</v>
      </c>
      <c r="B21325" t="str">
        <f>HYPERLINK("https://twitter.com/wanpartyy","@wanpartyy")</f>
        <v>@wanpartyy</v>
      </c>
      <c r="C21325" t="s">
        <v>7478</v>
      </c>
      <c r="D21325">
        <v>440</v>
      </c>
      <c r="E21325">
        <v>0</v>
      </c>
      <c r="F21325">
        <v>220</v>
      </c>
    </row>
    <row r="21326" spans="1:6" ht="12.75">
      <c r="A21326" s="2">
        <v>43875.987997685181</v>
      </c>
      <c r="B21326" t="str">
        <f>HYPERLINK("https://twitter.com/adimassapta","@adimassapta")</f>
        <v>@adimassapta</v>
      </c>
      <c r="C21326" t="s">
        <v>2963</v>
      </c>
      <c r="D21326">
        <v>1179</v>
      </c>
      <c r="E21326">
        <v>0</v>
      </c>
      <c r="F21326">
        <v>67</v>
      </c>
    </row>
    <row r="21327" spans="1:6" ht="12.75">
      <c r="A21327" s="2">
        <v>43875.987986111111</v>
      </c>
      <c r="B21327" t="str">
        <f>HYPERLINK("https://twitter.com/adiasik2007","@adiasik2007")</f>
        <v>@adiasik2007</v>
      </c>
      <c r="C21327" t="s">
        <v>8754</v>
      </c>
      <c r="D21327">
        <v>14</v>
      </c>
      <c r="E21327">
        <v>0</v>
      </c>
      <c r="F21327">
        <v>617</v>
      </c>
    </row>
    <row r="21328" spans="1:6" ht="12.75">
      <c r="A21328" s="2">
        <v>43875.987812499996</v>
      </c>
      <c r="B21328" t="str">
        <f>HYPERLINK("https://twitter.com/kucingmager","@kucingmager")</f>
        <v>@kucingmager</v>
      </c>
      <c r="C21328" t="s">
        <v>2444</v>
      </c>
      <c r="D21328">
        <v>3133</v>
      </c>
      <c r="E21328">
        <v>0</v>
      </c>
      <c r="F21328">
        <v>370</v>
      </c>
    </row>
    <row r="21329" spans="1:6" ht="12.75">
      <c r="A21329" s="2">
        <v>43875.987777777773</v>
      </c>
      <c r="B21329" t="str">
        <f>HYPERLINK("https://twitter.com/afidrzhrn","@afidrzhrn")</f>
        <v>@afidrzhrn</v>
      </c>
      <c r="C21329" t="s">
        <v>2444</v>
      </c>
      <c r="D21329">
        <v>3133</v>
      </c>
      <c r="E21329">
        <v>0</v>
      </c>
      <c r="F21329">
        <v>809</v>
      </c>
    </row>
    <row r="21330" spans="1:6" ht="12.75">
      <c r="A21330" s="2">
        <v>43875.987708333334</v>
      </c>
      <c r="B21330" t="str">
        <f>HYPERLINK("https://twitter.com/mmarleyt","@mmarleyt")</f>
        <v>@mmarleyt</v>
      </c>
      <c r="C21330" t="s">
        <v>10153</v>
      </c>
      <c r="D21330">
        <v>4</v>
      </c>
      <c r="E21330">
        <v>0</v>
      </c>
      <c r="F21330">
        <v>2037</v>
      </c>
    </row>
    <row r="21331" spans="1:6" ht="12.75">
      <c r="A21331" s="2">
        <v>43875.987650462965</v>
      </c>
      <c r="B21331" t="str">
        <f>HYPERLINK("https://twitter.com/ratukucinghappy","@ratukucinghappy")</f>
        <v>@ratukucinghappy</v>
      </c>
      <c r="C21331" t="s">
        <v>2444</v>
      </c>
      <c r="D21331">
        <v>3133</v>
      </c>
      <c r="E21331">
        <v>0</v>
      </c>
      <c r="F21331">
        <v>115</v>
      </c>
    </row>
    <row r="21332" spans="1:6" ht="12.75">
      <c r="A21332" s="2">
        <v>43875.987581018519</v>
      </c>
      <c r="B21332" t="str">
        <f>HYPERLINK("https://twitter.com/adimassapta","@adimassapta")</f>
        <v>@adimassapta</v>
      </c>
      <c r="C21332" t="s">
        <v>2086</v>
      </c>
      <c r="D21332">
        <v>25</v>
      </c>
      <c r="E21332">
        <v>0</v>
      </c>
      <c r="F21332">
        <v>67</v>
      </c>
    </row>
    <row r="21333" spans="1:6" ht="12.75">
      <c r="A21333" s="2">
        <v>43875.987523148149</v>
      </c>
      <c r="B21333" t="str">
        <f>HYPERLINK("https://twitter.com/mediaindonesia","@mediaindonesia")</f>
        <v>@mediaindonesia</v>
      </c>
      <c r="C21333" t="s">
        <v>10409</v>
      </c>
      <c r="D21333">
        <v>0</v>
      </c>
      <c r="E21333">
        <v>2</v>
      </c>
      <c r="F21333">
        <v>1415870</v>
      </c>
    </row>
    <row r="21334" spans="1:6" ht="12.75">
      <c r="A21334" s="2">
        <v>43875.98737268518</v>
      </c>
      <c r="B21334" t="str">
        <f>HYPERLINK("https://twitter.com/alfn_izn","@alfn_izn")</f>
        <v>@alfn_izn</v>
      </c>
      <c r="C21334" t="s">
        <v>2444</v>
      </c>
      <c r="D21334">
        <v>3133</v>
      </c>
      <c r="E21334">
        <v>0</v>
      </c>
      <c r="F21334">
        <v>561</v>
      </c>
    </row>
    <row r="21335" spans="1:6" ht="12.75">
      <c r="A21335" s="2">
        <v>43875.987303240741</v>
      </c>
      <c r="B21335" t="str">
        <f>HYPERLINK("https://twitter.com/evoctaviani","@evoctaviani")</f>
        <v>@evoctaviani</v>
      </c>
      <c r="C21335" t="s">
        <v>2444</v>
      </c>
      <c r="D21335">
        <v>3133</v>
      </c>
      <c r="E21335">
        <v>0</v>
      </c>
      <c r="F21335">
        <v>989</v>
      </c>
    </row>
    <row r="21336" spans="1:6" ht="12.75">
      <c r="A21336" s="2">
        <v>43875.987164351856</v>
      </c>
      <c r="B21336" t="str">
        <f>HYPERLINK("https://twitter.com/Bima040916","@Bima040916")</f>
        <v>@Bima040916</v>
      </c>
      <c r="C21336" t="s">
        <v>10153</v>
      </c>
      <c r="D21336">
        <v>4</v>
      </c>
      <c r="E21336">
        <v>0</v>
      </c>
      <c r="F21336">
        <v>1617</v>
      </c>
    </row>
    <row r="21337" spans="1:6" ht="12.75">
      <c r="A21337" s="2">
        <v>43875.987002314811</v>
      </c>
      <c r="B21337" t="str">
        <f>HYPERLINK("https://twitter.com/piesoosoo","@piesoosoo")</f>
        <v>@piesoosoo</v>
      </c>
      <c r="C21337" t="s">
        <v>9964</v>
      </c>
      <c r="D21337">
        <v>647</v>
      </c>
      <c r="E21337">
        <v>0</v>
      </c>
      <c r="F21337">
        <v>174</v>
      </c>
    </row>
    <row r="21338" spans="1:6" ht="12.75">
      <c r="A21338" s="2">
        <v>43875.986990740741</v>
      </c>
      <c r="B21338" t="str">
        <f>HYPERLINK("https://twitter.com/wjjeje","@wjjeje")</f>
        <v>@wjjeje</v>
      </c>
      <c r="C21338" t="s">
        <v>2444</v>
      </c>
      <c r="D21338">
        <v>3133</v>
      </c>
      <c r="E21338">
        <v>0</v>
      </c>
      <c r="F21338">
        <v>985</v>
      </c>
    </row>
    <row r="21339" spans="1:6" ht="12.75">
      <c r="A21339" s="2">
        <v>43875.986886574072</v>
      </c>
      <c r="B21339" t="str">
        <f>HYPERLINK("https://twitter.com/dyloulf","@dyloulf")</f>
        <v>@dyloulf</v>
      </c>
      <c r="C21339" t="s">
        <v>5168</v>
      </c>
      <c r="D21339">
        <v>1173</v>
      </c>
      <c r="E21339">
        <v>0</v>
      </c>
      <c r="F21339">
        <v>258</v>
      </c>
    </row>
    <row r="21340" spans="1:6" ht="12.75">
      <c r="A21340" s="2">
        <v>43875.986875000002</v>
      </c>
      <c r="B21340" t="str">
        <f>HYPERLINK("https://twitter.com/dexca_marta","@dexca_marta")</f>
        <v>@dexca_marta</v>
      </c>
      <c r="C21340" t="s">
        <v>2963</v>
      </c>
      <c r="D21340">
        <v>1179</v>
      </c>
      <c r="E21340">
        <v>0</v>
      </c>
      <c r="F21340">
        <v>1745</v>
      </c>
    </row>
    <row r="21341" spans="1:6" ht="12.75">
      <c r="A21341" s="2">
        <v>43875.986793981487</v>
      </c>
      <c r="B21341" t="str">
        <f>HYPERLINK("https://twitter.com/adimassapta","@adimassapta")</f>
        <v>@adimassapta</v>
      </c>
      <c r="C21341" t="s">
        <v>10410</v>
      </c>
      <c r="D21341">
        <v>4</v>
      </c>
      <c r="E21341">
        <v>0</v>
      </c>
      <c r="F21341">
        <v>67</v>
      </c>
    </row>
    <row r="21342" spans="1:6" ht="12.75">
      <c r="A21342" s="2">
        <v>43875.986678240741</v>
      </c>
      <c r="B21342" t="str">
        <f>HYPERLINK("https://twitter.com/imcaramellate","@imcaramellate")</f>
        <v>@imcaramellate</v>
      </c>
      <c r="C21342" t="s">
        <v>2444</v>
      </c>
      <c r="D21342">
        <v>3133</v>
      </c>
      <c r="E21342">
        <v>0</v>
      </c>
      <c r="F21342">
        <v>868</v>
      </c>
    </row>
    <row r="21343" spans="1:6" ht="12.75">
      <c r="A21343" s="2">
        <v>43875.986608796295</v>
      </c>
      <c r="B21343" t="str">
        <f>HYPERLINK("https://twitter.com/Dhitttttttttttt","@Dhitttttttttttt")</f>
        <v>@Dhitttttttttttt</v>
      </c>
      <c r="C21343" t="s">
        <v>10411</v>
      </c>
      <c r="D21343">
        <v>0</v>
      </c>
      <c r="E21343">
        <v>0</v>
      </c>
      <c r="F21343">
        <v>28</v>
      </c>
    </row>
    <row r="21344" spans="1:6" ht="12.75">
      <c r="A21344" s="2">
        <v>43875.986597222218</v>
      </c>
      <c r="B21344" t="str">
        <f>HYPERLINK("https://twitter.com/ochapanasdingin","@ochapanasdingin")</f>
        <v>@ochapanasdingin</v>
      </c>
      <c r="C21344" t="s">
        <v>9964</v>
      </c>
      <c r="D21344">
        <v>647</v>
      </c>
      <c r="E21344">
        <v>0</v>
      </c>
      <c r="F21344">
        <v>499</v>
      </c>
    </row>
    <row r="21345" spans="1:6" ht="12.75">
      <c r="A21345" s="2">
        <v>43875.986550925925</v>
      </c>
      <c r="B21345" t="str">
        <f>HYPERLINK("https://twitter.com/dareallazyman","@dareallazyman")</f>
        <v>@dareallazyman</v>
      </c>
      <c r="C21345" t="s">
        <v>2444</v>
      </c>
      <c r="D21345">
        <v>3133</v>
      </c>
      <c r="E21345">
        <v>0</v>
      </c>
      <c r="F21345">
        <v>2129</v>
      </c>
    </row>
    <row r="21346" spans="1:6" ht="12.75">
      <c r="A21346" s="2">
        <v>43875.986458333333</v>
      </c>
      <c r="B21346" t="str">
        <f>HYPERLINK("https://twitter.com/alananalanala","@alananalanala")</f>
        <v>@alananalanala</v>
      </c>
      <c r="C21346" t="s">
        <v>2444</v>
      </c>
      <c r="D21346">
        <v>3133</v>
      </c>
      <c r="E21346">
        <v>0</v>
      </c>
      <c r="F21346">
        <v>462</v>
      </c>
    </row>
    <row r="21347" spans="1:6" ht="12.75">
      <c r="A21347" s="2">
        <v>43875.986168981486</v>
      </c>
      <c r="B21347" t="str">
        <f>HYPERLINK("https://twitter.com/sirodjudin_ID","@sirodjudin_ID")</f>
        <v>@sirodjudin_ID</v>
      </c>
      <c r="C21347" t="s">
        <v>2963</v>
      </c>
      <c r="D21347">
        <v>1179</v>
      </c>
      <c r="E21347">
        <v>0</v>
      </c>
      <c r="F21347">
        <v>3195</v>
      </c>
    </row>
    <row r="21348" spans="1:6" ht="12.75">
      <c r="A21348" s="2">
        <v>43875.986111111109</v>
      </c>
      <c r="B21348" t="str">
        <f>HYPERLINK("https://twitter.com/Tresia_Re","@Tresia_Re")</f>
        <v>@Tresia_Re</v>
      </c>
      <c r="C21348" t="s">
        <v>2444</v>
      </c>
      <c r="D21348">
        <v>3133</v>
      </c>
      <c r="E21348">
        <v>0</v>
      </c>
      <c r="F21348">
        <v>263</v>
      </c>
    </row>
    <row r="21349" spans="1:6" ht="12.75">
      <c r="A21349" s="2">
        <v>43875.986030092594</v>
      </c>
      <c r="B21349" t="str">
        <f>HYPERLINK("https://twitter.com/IBarayaurang","@IBarayaurang")</f>
        <v>@IBarayaurang</v>
      </c>
      <c r="C21349" t="s">
        <v>2144</v>
      </c>
      <c r="D21349">
        <v>97</v>
      </c>
      <c r="E21349">
        <v>0</v>
      </c>
      <c r="F21349">
        <v>0</v>
      </c>
    </row>
    <row r="21350" spans="1:6" ht="12.75">
      <c r="A21350" s="2">
        <v>43875.985879629632</v>
      </c>
      <c r="B21350" t="str">
        <f>HYPERLINK("https://twitter.com/widyaghe","@widyaghe")</f>
        <v>@widyaghe</v>
      </c>
      <c r="C21350" t="s">
        <v>7157</v>
      </c>
      <c r="D21350">
        <v>84</v>
      </c>
      <c r="E21350">
        <v>0</v>
      </c>
      <c r="F21350">
        <v>57</v>
      </c>
    </row>
    <row r="21351" spans="1:6" ht="12.75">
      <c r="A21351" s="2">
        <v>43875.985879629632</v>
      </c>
      <c r="B21351" t="str">
        <f>HYPERLINK("https://twitter.com/Ronggolawe02","@Ronggolawe02")</f>
        <v>@Ronggolawe02</v>
      </c>
      <c r="C21351" t="s">
        <v>10190</v>
      </c>
      <c r="D21351">
        <v>24</v>
      </c>
      <c r="E21351">
        <v>0</v>
      </c>
      <c r="F21351">
        <v>5061</v>
      </c>
    </row>
    <row r="21352" spans="1:6" ht="12.75">
      <c r="A21352" s="2">
        <v>43875.985833333332</v>
      </c>
      <c r="B21352" t="str">
        <f>HYPERLINK("https://twitter.com/KadrunHunter99","@KadrunHunter99")</f>
        <v>@KadrunHunter99</v>
      </c>
      <c r="C21352" t="s">
        <v>10165</v>
      </c>
      <c r="D21352">
        <v>22</v>
      </c>
      <c r="E21352">
        <v>0</v>
      </c>
      <c r="F21352">
        <v>3897</v>
      </c>
    </row>
    <row r="21353" spans="1:6" ht="12.75">
      <c r="A21353" s="2">
        <v>43875.985462962963</v>
      </c>
      <c r="B21353" t="str">
        <f>HYPERLINK("https://twitter.com/werr_ae","@werr_ae")</f>
        <v>@werr_ae</v>
      </c>
      <c r="C21353" t="s">
        <v>8349</v>
      </c>
      <c r="D21353">
        <v>14</v>
      </c>
      <c r="E21353">
        <v>0</v>
      </c>
      <c r="F21353">
        <v>87</v>
      </c>
    </row>
    <row r="21354" spans="1:6" ht="12.75">
      <c r="A21354" s="2">
        <v>43875.985439814816</v>
      </c>
      <c r="B21354" t="str">
        <f>HYPERLINK("https://twitter.com/alkautsarderian","@alkautsarderian")</f>
        <v>@alkautsarderian</v>
      </c>
      <c r="C21354" t="s">
        <v>10083</v>
      </c>
      <c r="D21354">
        <v>37</v>
      </c>
      <c r="E21354">
        <v>0</v>
      </c>
      <c r="F21354">
        <v>89</v>
      </c>
    </row>
    <row r="21355" spans="1:6" ht="12.75">
      <c r="A21355" s="2">
        <v>43875.98538194444</v>
      </c>
      <c r="B21355" t="str">
        <f>HYPERLINK("https://twitter.com/NinaVertina","@NinaVertina")</f>
        <v>@NinaVertina</v>
      </c>
      <c r="C21355" t="s">
        <v>2963</v>
      </c>
      <c r="D21355">
        <v>1179</v>
      </c>
      <c r="E21355">
        <v>0</v>
      </c>
      <c r="F21355">
        <v>1777</v>
      </c>
    </row>
    <row r="21356" spans="1:6" ht="12.75">
      <c r="A21356" s="2">
        <v>43875.98538194444</v>
      </c>
      <c r="B21356" t="str">
        <f>HYPERLINK("https://twitter.com/Metro_TV","@Metro_TV")</f>
        <v>@Metro_TV</v>
      </c>
      <c r="C21356" t="s">
        <v>10332</v>
      </c>
      <c r="D21356">
        <v>1</v>
      </c>
      <c r="E21356">
        <v>0</v>
      </c>
      <c r="F21356">
        <v>10509138</v>
      </c>
    </row>
    <row r="21357" spans="1:6" ht="12.75">
      <c r="A21357" s="2">
        <v>43875.985254629632</v>
      </c>
      <c r="B21357" t="str">
        <f>HYPERLINK("https://twitter.com/amoraalba1","@amoraalba1")</f>
        <v>@amoraalba1</v>
      </c>
      <c r="C21357" t="s">
        <v>10412</v>
      </c>
      <c r="D21357">
        <v>0</v>
      </c>
      <c r="E21357">
        <v>0</v>
      </c>
      <c r="F21357">
        <v>0</v>
      </c>
    </row>
    <row r="21358" spans="1:6" ht="12.75">
      <c r="A21358" s="2">
        <v>43875.98510416667</v>
      </c>
      <c r="B21358" t="str">
        <f>HYPERLINK("https://twitter.com/dikyriansyaah","@dikyriansyaah")</f>
        <v>@dikyriansyaah</v>
      </c>
      <c r="C21358" t="s">
        <v>7068</v>
      </c>
      <c r="D21358">
        <v>36</v>
      </c>
      <c r="E21358">
        <v>0</v>
      </c>
      <c r="F21358">
        <v>142</v>
      </c>
    </row>
    <row r="21359" spans="1:6" ht="12.75">
      <c r="A21359" s="2">
        <v>43875.985092592593</v>
      </c>
      <c r="B21359" t="str">
        <f>HYPERLINK("https://twitter.com/ainunadhiroh","@ainunadhiroh")</f>
        <v>@ainunadhiroh</v>
      </c>
      <c r="C21359" t="s">
        <v>10413</v>
      </c>
      <c r="D21359">
        <v>0</v>
      </c>
      <c r="E21359">
        <v>0</v>
      </c>
      <c r="F21359">
        <v>474</v>
      </c>
    </row>
    <row r="21360" spans="1:6" ht="12.75">
      <c r="A21360" s="2">
        <v>43875.985000000001</v>
      </c>
      <c r="B21360" t="str">
        <f>HYPERLINK("https://twitter.com/maszpopoo","@maszpopoo")</f>
        <v>@maszpopoo</v>
      </c>
      <c r="C21360" t="s">
        <v>2444</v>
      </c>
      <c r="D21360">
        <v>3133</v>
      </c>
      <c r="E21360">
        <v>0</v>
      </c>
      <c r="F21360">
        <v>328</v>
      </c>
    </row>
    <row r="21361" spans="1:6" ht="12.75">
      <c r="A21361" s="2">
        <v>43875.984965277778</v>
      </c>
      <c r="B21361" t="str">
        <f>HYPERLINK("https://twitter.com/anggiphn","@anggiphn")</f>
        <v>@anggiphn</v>
      </c>
      <c r="C21361" t="s">
        <v>10414</v>
      </c>
      <c r="D21361">
        <v>0</v>
      </c>
      <c r="E21361">
        <v>0</v>
      </c>
      <c r="F21361">
        <v>402</v>
      </c>
    </row>
    <row r="21362" spans="1:6" ht="12.75">
      <c r="A21362" s="2">
        <v>43875.984942129631</v>
      </c>
      <c r="B21362" t="str">
        <f>HYPERLINK("https://twitter.com/dicdicdica","@dicdicdica")</f>
        <v>@dicdicdica</v>
      </c>
      <c r="C21362" t="s">
        <v>10415</v>
      </c>
      <c r="D21362">
        <v>0</v>
      </c>
      <c r="E21362">
        <v>0</v>
      </c>
      <c r="F21362">
        <v>183</v>
      </c>
    </row>
    <row r="21363" spans="1:6" ht="12.75">
      <c r="A21363" s="2">
        <v>43875.984884259262</v>
      </c>
      <c r="B21363" t="str">
        <f>HYPERLINK("https://twitter.com/uyonable","@uyonable")</f>
        <v>@uyonable</v>
      </c>
      <c r="C21363" t="s">
        <v>2444</v>
      </c>
      <c r="D21363">
        <v>3133</v>
      </c>
      <c r="E21363">
        <v>0</v>
      </c>
      <c r="F21363">
        <v>36</v>
      </c>
    </row>
    <row r="21364" spans="1:6" ht="12.75">
      <c r="A21364" s="2">
        <v>43875.984872685185</v>
      </c>
      <c r="B21364" t="str">
        <f>HYPERLINK("https://twitter.com/aupaah","@aupaah")</f>
        <v>@aupaah</v>
      </c>
      <c r="C21364" t="s">
        <v>2444</v>
      </c>
      <c r="D21364">
        <v>3133</v>
      </c>
      <c r="E21364">
        <v>0</v>
      </c>
      <c r="F21364">
        <v>769</v>
      </c>
    </row>
    <row r="21365" spans="1:6" ht="12.75">
      <c r="A21365" s="2">
        <v>43875.984780092593</v>
      </c>
      <c r="B21365" t="str">
        <f>HYPERLINK("https://twitter.com/Nitahrln","@Nitahrln")</f>
        <v>@Nitahrln</v>
      </c>
      <c r="C21365" t="s">
        <v>2444</v>
      </c>
      <c r="D21365">
        <v>3133</v>
      </c>
      <c r="E21365">
        <v>0</v>
      </c>
      <c r="F21365">
        <v>93</v>
      </c>
    </row>
    <row r="21366" spans="1:6" ht="12.75">
      <c r="A21366" s="2">
        <v>43875.984722222223</v>
      </c>
      <c r="B21366" t="str">
        <f>HYPERLINK("https://twitter.com/hermosavidallya","@hermosavidallya")</f>
        <v>@hermosavidallya</v>
      </c>
      <c r="C21366" t="s">
        <v>2444</v>
      </c>
      <c r="D21366">
        <v>3133</v>
      </c>
      <c r="E21366">
        <v>0</v>
      </c>
      <c r="F21366">
        <v>178</v>
      </c>
    </row>
    <row r="21367" spans="1:6" ht="12.75">
      <c r="A21367" s="2">
        <v>43875.984560185185</v>
      </c>
      <c r="B21367" t="str">
        <f>HYPERLINK("https://twitter.com/myatharva","@myatharva")</f>
        <v>@myatharva</v>
      </c>
      <c r="C21367" t="s">
        <v>10416</v>
      </c>
      <c r="D21367">
        <v>0</v>
      </c>
      <c r="E21367">
        <v>0</v>
      </c>
      <c r="F21367">
        <v>4011</v>
      </c>
    </row>
    <row r="21368" spans="1:6" ht="12.75">
      <c r="A21368" s="2">
        <v>43875.984548611115</v>
      </c>
      <c r="B21368" t="str">
        <f>HYPERLINK("https://twitter.com/FurqonDidi1","@FurqonDidi1")</f>
        <v>@FurqonDidi1</v>
      </c>
      <c r="C21368" t="s">
        <v>6201</v>
      </c>
      <c r="D21368">
        <v>298</v>
      </c>
      <c r="E21368">
        <v>0</v>
      </c>
      <c r="F21368">
        <v>3</v>
      </c>
    </row>
    <row r="21369" spans="1:6" ht="12.75">
      <c r="A21369" s="2">
        <v>43875.984143518523</v>
      </c>
      <c r="B21369" t="str">
        <f>HYPERLINK("https://twitter.com/GoldenrulesJong","@GoldenrulesJong")</f>
        <v>@GoldenrulesJong</v>
      </c>
      <c r="C21369" t="s">
        <v>2963</v>
      </c>
      <c r="D21369">
        <v>1179</v>
      </c>
      <c r="E21369">
        <v>0</v>
      </c>
      <c r="F21369">
        <v>241</v>
      </c>
    </row>
    <row r="21370" spans="1:6" ht="12.75">
      <c r="A21370" s="2">
        <v>43875.984085648146</v>
      </c>
      <c r="B21370" t="str">
        <f>HYPERLINK("https://twitter.com/touslescoups","@touslescoups")</f>
        <v>@touslescoups</v>
      </c>
      <c r="C21370" t="s">
        <v>5168</v>
      </c>
      <c r="D21370">
        <v>1173</v>
      </c>
      <c r="E21370">
        <v>0</v>
      </c>
      <c r="F21370">
        <v>333</v>
      </c>
    </row>
    <row r="21371" spans="1:6" ht="12.75">
      <c r="A21371" s="2">
        <v>43875.984050925923</v>
      </c>
      <c r="B21371" t="str">
        <f>HYPERLINK("https://twitter.com/citradepratiwi","@citradepratiwi")</f>
        <v>@citradepratiwi</v>
      </c>
      <c r="C21371" t="s">
        <v>10417</v>
      </c>
      <c r="D21371">
        <v>1</v>
      </c>
      <c r="E21371">
        <v>0</v>
      </c>
      <c r="F21371">
        <v>465</v>
      </c>
    </row>
    <row r="21372" spans="1:6" ht="12.75">
      <c r="A21372" s="2">
        <v>43875.984027777777</v>
      </c>
      <c r="B21372" t="str">
        <f>HYPERLINK("https://twitter.com/sirodjudin_ID","@sirodjudin_ID")</f>
        <v>@sirodjudin_ID</v>
      </c>
      <c r="C21372" t="s">
        <v>10190</v>
      </c>
      <c r="D21372">
        <v>24</v>
      </c>
      <c r="E21372">
        <v>0</v>
      </c>
      <c r="F21372">
        <v>3195</v>
      </c>
    </row>
    <row r="21373" spans="1:6" ht="12.75">
      <c r="A21373" s="2">
        <v>43875.983981481477</v>
      </c>
      <c r="B21373" t="str">
        <f>HYPERLINK("https://twitter.com/su7loo","@su7loo")</f>
        <v>@su7loo</v>
      </c>
      <c r="C21373" t="s">
        <v>10165</v>
      </c>
      <c r="D21373">
        <v>22</v>
      </c>
      <c r="E21373">
        <v>0</v>
      </c>
      <c r="F21373">
        <v>972</v>
      </c>
    </row>
    <row r="21374" spans="1:6" ht="12.75">
      <c r="A21374" s="2">
        <v>43875.983749999999</v>
      </c>
      <c r="B21374" t="str">
        <f>HYPERLINK("https://twitter.com/AJangJoDo","@AJangJoDo")</f>
        <v>@AJangJoDo</v>
      </c>
      <c r="C21374" t="s">
        <v>10418</v>
      </c>
      <c r="D21374">
        <v>0</v>
      </c>
      <c r="E21374">
        <v>0</v>
      </c>
      <c r="F21374">
        <v>121</v>
      </c>
    </row>
    <row r="21375" spans="1:6" ht="12.75">
      <c r="A21375" s="2">
        <v>43875.98373842593</v>
      </c>
      <c r="B21375" t="str">
        <f>HYPERLINK("https://twitter.com/hirjaaan","@hirjaaan")</f>
        <v>@hirjaaan</v>
      </c>
      <c r="C21375" t="s">
        <v>2444</v>
      </c>
      <c r="D21375">
        <v>3133</v>
      </c>
      <c r="E21375">
        <v>0</v>
      </c>
      <c r="F21375">
        <v>156</v>
      </c>
    </row>
    <row r="21376" spans="1:6" ht="12.75">
      <c r="A21376" s="2">
        <v>43875.983564814815</v>
      </c>
      <c r="B21376" t="str">
        <f>HYPERLINK("https://twitter.com/heryoga_m","@heryoga_m")</f>
        <v>@heryoga_m</v>
      </c>
      <c r="C21376" t="s">
        <v>2444</v>
      </c>
      <c r="D21376">
        <v>3133</v>
      </c>
      <c r="E21376">
        <v>0</v>
      </c>
      <c r="F21376">
        <v>245</v>
      </c>
    </row>
    <row r="21377" spans="1:6" ht="12.75">
      <c r="A21377" s="2">
        <v>43875.983425925922</v>
      </c>
      <c r="B21377" t="str">
        <f>HYPERLINK("https://twitter.com/srghhys","@srghhys")</f>
        <v>@srghhys</v>
      </c>
      <c r="C21377" t="s">
        <v>9123</v>
      </c>
      <c r="D21377">
        <v>307</v>
      </c>
      <c r="E21377">
        <v>0</v>
      </c>
      <c r="F21377">
        <v>179</v>
      </c>
    </row>
    <row r="21378" spans="1:6" ht="12.75">
      <c r="A21378" s="2">
        <v>43875.98337962963</v>
      </c>
      <c r="B21378" t="str">
        <f>HYPERLINK("https://twitter.com/eatdin","@eatdin")</f>
        <v>@eatdin</v>
      </c>
      <c r="C21378" t="s">
        <v>2444</v>
      </c>
      <c r="D21378">
        <v>3133</v>
      </c>
      <c r="E21378">
        <v>0</v>
      </c>
      <c r="F21378">
        <v>1113</v>
      </c>
    </row>
    <row r="21379" spans="1:6" ht="12.75">
      <c r="A21379" s="2">
        <v>43875.983124999999</v>
      </c>
      <c r="B21379" t="str">
        <f>HYPERLINK("https://twitter.com/omroypakuan","@omroypakuan")</f>
        <v>@omroypakuan</v>
      </c>
      <c r="C21379" t="s">
        <v>7478</v>
      </c>
      <c r="D21379">
        <v>440</v>
      </c>
      <c r="E21379">
        <v>0</v>
      </c>
      <c r="F21379">
        <v>784</v>
      </c>
    </row>
    <row r="21380" spans="1:6" ht="12.75">
      <c r="A21380" s="2">
        <v>43875.983113425929</v>
      </c>
      <c r="B21380" t="str">
        <f>HYPERLINK("https://twitter.com/RobertFitrahM","@RobertFitrahM")</f>
        <v>@RobertFitrahM</v>
      </c>
      <c r="C21380" t="s">
        <v>6201</v>
      </c>
      <c r="D21380">
        <v>298</v>
      </c>
      <c r="E21380">
        <v>0</v>
      </c>
      <c r="F21380">
        <v>68</v>
      </c>
    </row>
    <row r="21381" spans="1:6" ht="12.75">
      <c r="A21381" s="2">
        <v>43875.982847222222</v>
      </c>
      <c r="B21381" t="str">
        <f>HYPERLINK("https://twitter.com/srghhys","@srghhys")</f>
        <v>@srghhys</v>
      </c>
      <c r="C21381" t="s">
        <v>2444</v>
      </c>
      <c r="D21381">
        <v>3134</v>
      </c>
      <c r="E21381">
        <v>0</v>
      </c>
      <c r="F21381">
        <v>179</v>
      </c>
    </row>
    <row r="21382" spans="1:6" ht="12.75">
      <c r="A21382" s="2">
        <v>43875.982777777783</v>
      </c>
      <c r="B21382" t="str">
        <f>HYPERLINK("https://twitter.com/rief_rifai","@rief_rifai")</f>
        <v>@rief_rifai</v>
      </c>
      <c r="C21382" t="s">
        <v>6201</v>
      </c>
      <c r="D21382">
        <v>298</v>
      </c>
      <c r="E21382">
        <v>0</v>
      </c>
      <c r="F21382">
        <v>205</v>
      </c>
    </row>
    <row r="21383" spans="1:6" ht="12.75">
      <c r="A21383" s="2">
        <v>43875.982615740737</v>
      </c>
      <c r="B21383" t="str">
        <f>HYPERLINK("https://twitter.com/JoPermadi","@JoPermadi")</f>
        <v>@JoPermadi</v>
      </c>
      <c r="C21383" t="s">
        <v>2444</v>
      </c>
      <c r="D21383">
        <v>3134</v>
      </c>
      <c r="E21383">
        <v>0</v>
      </c>
      <c r="F21383">
        <v>496</v>
      </c>
    </row>
    <row r="21384" spans="1:6" ht="12.75">
      <c r="A21384" s="2">
        <v>43875.982604166667</v>
      </c>
      <c r="B21384" t="str">
        <f>HYPERLINK("https://twitter.com/txpsl_twt","@txpsl_twt")</f>
        <v>@txpsl_twt</v>
      </c>
      <c r="C21384" t="s">
        <v>2444</v>
      </c>
      <c r="D21384">
        <v>3134</v>
      </c>
      <c r="E21384">
        <v>0</v>
      </c>
      <c r="F21384">
        <v>1253</v>
      </c>
    </row>
    <row r="21385" spans="1:6" ht="12.75">
      <c r="A21385" s="2">
        <v>43875.982511574075</v>
      </c>
      <c r="B21385" t="str">
        <f>HYPERLINK("https://twitter.com/DediPurwantos","@DediPurwantos")</f>
        <v>@DediPurwantos</v>
      </c>
      <c r="C21385" t="s">
        <v>9857</v>
      </c>
      <c r="D21385">
        <v>17</v>
      </c>
      <c r="E21385">
        <v>0</v>
      </c>
      <c r="F21385">
        <v>28</v>
      </c>
    </row>
    <row r="21386" spans="1:6" ht="12.75">
      <c r="A21386" s="2">
        <v>43875.98238425926</v>
      </c>
      <c r="B21386" t="str">
        <f>HYPERLINK("https://twitter.com/dyxxbae","@dyxxbae")</f>
        <v>@dyxxbae</v>
      </c>
      <c r="C21386" t="s">
        <v>2444</v>
      </c>
      <c r="D21386">
        <v>3134</v>
      </c>
      <c r="E21386">
        <v>0</v>
      </c>
      <c r="F21386">
        <v>2936</v>
      </c>
    </row>
    <row r="21387" spans="1:6" ht="12.75">
      <c r="A21387" s="2">
        <v>43875.982361111106</v>
      </c>
      <c r="B21387" t="str">
        <f>HYPERLINK("https://twitter.com/watashiwakarind","@watashiwakarind")</f>
        <v>@watashiwakarind</v>
      </c>
      <c r="C21387" t="s">
        <v>5168</v>
      </c>
      <c r="D21387">
        <v>1173</v>
      </c>
      <c r="E21387">
        <v>0</v>
      </c>
      <c r="F21387">
        <v>847</v>
      </c>
    </row>
    <row r="21388" spans="1:6" ht="12.75">
      <c r="A21388" s="2">
        <v>43875.982187500005</v>
      </c>
      <c r="B21388" t="str">
        <f>HYPERLINK("https://twitter.com/xylvone","@xylvone")</f>
        <v>@xylvone</v>
      </c>
      <c r="C21388" t="s">
        <v>2444</v>
      </c>
      <c r="D21388">
        <v>3134</v>
      </c>
      <c r="E21388">
        <v>0</v>
      </c>
      <c r="F21388">
        <v>1639</v>
      </c>
    </row>
    <row r="21389" spans="1:6" ht="12.75">
      <c r="A21389" s="2">
        <v>43875.982164351852</v>
      </c>
      <c r="B21389" t="str">
        <f>HYPERLINK("https://twitter.com/mhndrdn","@mhndrdn")</f>
        <v>@mhndrdn</v>
      </c>
      <c r="C21389" t="s">
        <v>5168</v>
      </c>
      <c r="D21389">
        <v>1173</v>
      </c>
      <c r="E21389">
        <v>0</v>
      </c>
      <c r="F21389">
        <v>468</v>
      </c>
    </row>
    <row r="21390" spans="1:6" ht="12.75">
      <c r="A21390" s="2">
        <v>43875.981944444444</v>
      </c>
      <c r="B21390" t="str">
        <f>HYPERLINK("https://twitter.com/tyonngf","@tyonngf")</f>
        <v>@tyonngf</v>
      </c>
      <c r="C21390" t="s">
        <v>2444</v>
      </c>
      <c r="D21390">
        <v>3134</v>
      </c>
      <c r="E21390">
        <v>0</v>
      </c>
      <c r="F21390">
        <v>244</v>
      </c>
    </row>
    <row r="21391" spans="1:6" ht="12.75">
      <c r="A21391" s="2">
        <v>43875.981863425928</v>
      </c>
      <c r="B21391" t="str">
        <f>HYPERLINK("https://twitter.com/bucinnyanomin","@bucinnyanomin")</f>
        <v>@bucinnyanomin</v>
      </c>
      <c r="C21391" t="s">
        <v>2444</v>
      </c>
      <c r="D21391">
        <v>3134</v>
      </c>
      <c r="E21391">
        <v>0</v>
      </c>
      <c r="F21391">
        <v>175</v>
      </c>
    </row>
    <row r="21392" spans="1:6" ht="12.75">
      <c r="A21392" s="2">
        <v>43875.981828703705</v>
      </c>
      <c r="B21392" t="str">
        <f>HYPERLINK("https://twitter.com/evangelicachika","@evangelicachika")</f>
        <v>@evangelicachika</v>
      </c>
      <c r="C21392" t="s">
        <v>8233</v>
      </c>
      <c r="D21392">
        <v>522</v>
      </c>
      <c r="E21392">
        <v>0</v>
      </c>
      <c r="F21392">
        <v>307</v>
      </c>
    </row>
    <row r="21393" spans="1:6" ht="12.75">
      <c r="A21393" s="2">
        <v>43875.981793981482</v>
      </c>
      <c r="B21393" t="str">
        <f>HYPERLINK("https://twitter.com/SyaifudinAyyubi","@SyaifudinAyyubi")</f>
        <v>@SyaifudinAyyubi</v>
      </c>
      <c r="C21393" t="s">
        <v>9198</v>
      </c>
      <c r="D21393">
        <v>88</v>
      </c>
      <c r="E21393">
        <v>0</v>
      </c>
      <c r="F21393">
        <v>537</v>
      </c>
    </row>
    <row r="21394" spans="1:6" ht="12.75">
      <c r="A21394" s="2">
        <v>43875.981678240743</v>
      </c>
      <c r="B21394" t="str">
        <f>HYPERLINK("https://twitter.com/deny_h","@deny_h")</f>
        <v>@deny_h</v>
      </c>
      <c r="C21394" t="s">
        <v>7478</v>
      </c>
      <c r="D21394">
        <v>440</v>
      </c>
      <c r="E21394">
        <v>0</v>
      </c>
      <c r="F21394">
        <v>24</v>
      </c>
    </row>
    <row r="21395" spans="1:6" ht="12.75">
      <c r="A21395" s="2">
        <v>43875.981504629628</v>
      </c>
      <c r="B21395" t="str">
        <f>HYPERLINK("https://twitter.com/afraamalia","@afraamalia")</f>
        <v>@afraamalia</v>
      </c>
      <c r="C21395" t="s">
        <v>8328</v>
      </c>
      <c r="D21395">
        <v>42</v>
      </c>
      <c r="E21395">
        <v>0</v>
      </c>
      <c r="F21395">
        <v>409</v>
      </c>
    </row>
    <row r="21396" spans="1:6" ht="12.75">
      <c r="A21396" s="2">
        <v>43875.98128472222</v>
      </c>
      <c r="B21396" t="str">
        <f>HYPERLINK("https://twitter.com/alukardhi","@alukardhi")</f>
        <v>@alukardhi</v>
      </c>
      <c r="C21396" t="s">
        <v>10419</v>
      </c>
      <c r="D21396">
        <v>0</v>
      </c>
      <c r="E21396">
        <v>0</v>
      </c>
      <c r="F21396">
        <v>483</v>
      </c>
    </row>
    <row r="21397" spans="1:6" ht="12.75">
      <c r="A21397" s="2">
        <v>43875.981076388889</v>
      </c>
      <c r="B21397" t="str">
        <f>HYPERLINK("https://twitter.com/AbdaRizka","@AbdaRizka")</f>
        <v>@AbdaRizka</v>
      </c>
      <c r="C21397" t="s">
        <v>8328</v>
      </c>
      <c r="D21397">
        <v>42</v>
      </c>
      <c r="E21397">
        <v>0</v>
      </c>
      <c r="F21397">
        <v>501</v>
      </c>
    </row>
    <row r="21398" spans="1:6" ht="12.75">
      <c r="A21398" s="2">
        <v>43875.980914351851</v>
      </c>
      <c r="B21398" t="str">
        <f>HYPERLINK("https://twitter.com/alhafizhmfauzy","@alhafizhmfauzy")</f>
        <v>@alhafizhmfauzy</v>
      </c>
      <c r="C21398" t="s">
        <v>10420</v>
      </c>
      <c r="D21398">
        <v>0</v>
      </c>
      <c r="E21398">
        <v>0</v>
      </c>
      <c r="F21398">
        <v>270</v>
      </c>
    </row>
    <row r="21399" spans="1:6" ht="12.75">
      <c r="A21399" s="2">
        <v>43875.980868055558</v>
      </c>
      <c r="B21399" t="str">
        <f>HYPERLINK("https://twitter.com/Twuryanto1","@Twuryanto1")</f>
        <v>@Twuryanto1</v>
      </c>
      <c r="C21399" t="s">
        <v>10421</v>
      </c>
      <c r="D21399">
        <v>0</v>
      </c>
      <c r="E21399">
        <v>0</v>
      </c>
      <c r="F21399">
        <v>46</v>
      </c>
    </row>
    <row r="21400" spans="1:6" ht="12.75">
      <c r="A21400" s="2">
        <v>43875.980856481481</v>
      </c>
      <c r="B21400" t="str">
        <f>HYPERLINK("https://twitter.com/sayurtaoge","@sayurtaoge")</f>
        <v>@sayurtaoge</v>
      </c>
      <c r="C21400" t="s">
        <v>2444</v>
      </c>
      <c r="D21400">
        <v>3134</v>
      </c>
      <c r="E21400">
        <v>0</v>
      </c>
      <c r="F21400">
        <v>862</v>
      </c>
    </row>
    <row r="21401" spans="1:6" ht="12.75">
      <c r="A21401" s="2">
        <v>43875.980775462958</v>
      </c>
      <c r="B21401" t="str">
        <f>HYPERLINK("https://twitter.com/andy36302704","@andy36302704")</f>
        <v>@andy36302704</v>
      </c>
      <c r="C21401" t="s">
        <v>10422</v>
      </c>
      <c r="D21401">
        <v>120</v>
      </c>
      <c r="E21401">
        <v>0</v>
      </c>
      <c r="F21401">
        <v>92</v>
      </c>
    </row>
    <row r="21402" spans="1:6" ht="12.75">
      <c r="A21402" s="2">
        <v>43875.980740740742</v>
      </c>
      <c r="B21402" t="str">
        <f>HYPERLINK("https://twitter.com/Uli79652085","@Uli79652085")</f>
        <v>@Uli79652085</v>
      </c>
      <c r="C21402" t="s">
        <v>10423</v>
      </c>
      <c r="D21402">
        <v>0</v>
      </c>
      <c r="E21402">
        <v>0</v>
      </c>
      <c r="F21402">
        <v>240</v>
      </c>
    </row>
    <row r="21403" spans="1:6" ht="12.75">
      <c r="A21403" s="2">
        <v>43875.980717592596</v>
      </c>
      <c r="B21403" t="str">
        <f>HYPERLINK("https://twitter.com/Maspah_","@Maspah_")</f>
        <v>@Maspah_</v>
      </c>
      <c r="C21403" t="s">
        <v>2444</v>
      </c>
      <c r="D21403">
        <v>3134</v>
      </c>
      <c r="E21403">
        <v>0</v>
      </c>
      <c r="F21403">
        <v>497</v>
      </c>
    </row>
    <row r="21404" spans="1:6" ht="12.75">
      <c r="A21404" s="2">
        <v>43875.980671296296</v>
      </c>
      <c r="B21404" t="str">
        <f>HYPERLINK("https://twitter.com/aasgardd","@aasgardd")</f>
        <v>@aasgardd</v>
      </c>
      <c r="C21404" t="s">
        <v>5168</v>
      </c>
      <c r="D21404">
        <v>1173</v>
      </c>
      <c r="E21404">
        <v>0</v>
      </c>
      <c r="F21404">
        <v>658</v>
      </c>
    </row>
    <row r="21405" spans="1:6" ht="12.75">
      <c r="A21405" s="2">
        <v>43875.980671296296</v>
      </c>
      <c r="B21405" t="str">
        <f>HYPERLINK("https://twitter.com/AnakLolina","@AnakLolina")</f>
        <v>@AnakLolina</v>
      </c>
      <c r="C21405" t="s">
        <v>10165</v>
      </c>
      <c r="D21405">
        <v>22</v>
      </c>
      <c r="E21405">
        <v>0</v>
      </c>
      <c r="F21405">
        <v>14516</v>
      </c>
    </row>
    <row r="21406" spans="1:6" ht="12.75">
      <c r="A21406" s="2">
        <v>43875.980590277773</v>
      </c>
      <c r="B21406" t="str">
        <f>HYPERLINK("https://twitter.com/Lugahonsolum","@Lugahonsolum")</f>
        <v>@Lugahonsolum</v>
      </c>
      <c r="C21406" t="s">
        <v>10424</v>
      </c>
      <c r="D21406">
        <v>0</v>
      </c>
      <c r="E21406">
        <v>0</v>
      </c>
      <c r="F21406">
        <v>1133</v>
      </c>
    </row>
    <row r="21407" spans="1:6" ht="12.75">
      <c r="A21407" s="2">
        <v>43875.980520833335</v>
      </c>
      <c r="B21407" t="str">
        <f>HYPERLINK("https://twitter.com/Bima040916","@Bima040916")</f>
        <v>@Bima040916</v>
      </c>
      <c r="C21407" t="s">
        <v>10425</v>
      </c>
      <c r="D21407">
        <v>64</v>
      </c>
      <c r="E21407">
        <v>0</v>
      </c>
      <c r="F21407">
        <v>1617</v>
      </c>
    </row>
    <row r="21408" spans="1:6" ht="12.75">
      <c r="A21408" s="2">
        <v>43875.980462962965</v>
      </c>
      <c r="B21408" t="str">
        <f>HYPERLINK("https://twitter.com/seductive1401","@seductive1401")</f>
        <v>@seductive1401</v>
      </c>
      <c r="C21408" t="s">
        <v>2137</v>
      </c>
      <c r="D21408">
        <v>219</v>
      </c>
      <c r="E21408">
        <v>0</v>
      </c>
      <c r="F21408">
        <v>281</v>
      </c>
    </row>
    <row r="21409" spans="1:6" ht="12.75">
      <c r="A21409" s="2">
        <v>43875.980428240742</v>
      </c>
      <c r="B21409" t="str">
        <f>HYPERLINK("https://twitter.com/ISIS_Balik_NO","@ISIS_Balik_NO")</f>
        <v>@ISIS_Balik_NO</v>
      </c>
      <c r="C21409" t="s">
        <v>10426</v>
      </c>
      <c r="D21409">
        <v>5</v>
      </c>
      <c r="E21409">
        <v>0</v>
      </c>
      <c r="F21409">
        <v>5912</v>
      </c>
    </row>
    <row r="21410" spans="1:6" ht="12.75">
      <c r="A21410" s="2">
        <v>43875.980231481481</v>
      </c>
      <c r="B21410" t="str">
        <f>HYPERLINK("https://twitter.com/candytuftfrz","@candytuftfrz")</f>
        <v>@candytuftfrz</v>
      </c>
      <c r="C21410" t="s">
        <v>2137</v>
      </c>
      <c r="D21410">
        <v>219</v>
      </c>
      <c r="E21410">
        <v>0</v>
      </c>
      <c r="F21410">
        <v>424</v>
      </c>
    </row>
    <row r="21411" spans="1:6" ht="12.75">
      <c r="A21411" s="2">
        <v>43875.980231481481</v>
      </c>
      <c r="B21411" t="str">
        <f>HYPERLINK("https://twitter.com/nkri_i","@nkri_i")</f>
        <v>@nkri_i</v>
      </c>
      <c r="C21411" t="s">
        <v>10142</v>
      </c>
      <c r="D21411">
        <v>9</v>
      </c>
      <c r="E21411">
        <v>0</v>
      </c>
      <c r="F21411">
        <v>615</v>
      </c>
    </row>
    <row r="21412" spans="1:6" ht="12.75">
      <c r="A21412" s="2">
        <v>43875.980185185181</v>
      </c>
      <c r="B21412" t="str">
        <f>HYPERLINK("https://twitter.com/EviSanti","@EviSanti")</f>
        <v>@EviSanti</v>
      </c>
      <c r="C21412" t="s">
        <v>10427</v>
      </c>
      <c r="D21412">
        <v>7</v>
      </c>
      <c r="E21412">
        <v>0</v>
      </c>
      <c r="F21412">
        <v>170</v>
      </c>
    </row>
    <row r="21413" spans="1:6" ht="12.75">
      <c r="A21413" s="2">
        <v>43875.980138888888</v>
      </c>
      <c r="B21413" t="str">
        <f t="shared" ref="B21413:B21414" si="329">HYPERLINK("https://twitter.com/vivinetty","@vivinetty")</f>
        <v>@vivinetty</v>
      </c>
      <c r="C21413" t="s">
        <v>2444</v>
      </c>
      <c r="D21413">
        <v>3134</v>
      </c>
      <c r="E21413">
        <v>0</v>
      </c>
      <c r="F21413">
        <v>945</v>
      </c>
    </row>
    <row r="21414" spans="1:6" ht="12.75">
      <c r="A21414" s="2">
        <v>43875.980115740742</v>
      </c>
      <c r="B21414" t="str">
        <f t="shared" si="329"/>
        <v>@vivinetty</v>
      </c>
      <c r="C21414" t="s">
        <v>5168</v>
      </c>
      <c r="D21414">
        <v>1173</v>
      </c>
      <c r="E21414">
        <v>0</v>
      </c>
      <c r="F21414">
        <v>945</v>
      </c>
    </row>
    <row r="21415" spans="1:6" ht="12.75">
      <c r="A21415" s="2">
        <v>43875.979907407411</v>
      </c>
      <c r="B21415" t="str">
        <f>HYPERLINK("https://twitter.com/amrudinnejad_","@amrudinnejad_")</f>
        <v>@amrudinnejad_</v>
      </c>
      <c r="C21415" t="s">
        <v>10428</v>
      </c>
      <c r="D21415">
        <v>1</v>
      </c>
      <c r="E21415">
        <v>4</v>
      </c>
      <c r="F21415">
        <v>7751</v>
      </c>
    </row>
    <row r="21416" spans="1:6" ht="12.75">
      <c r="A21416" s="2">
        <v>43875.979849537034</v>
      </c>
      <c r="B21416" t="str">
        <f>HYPERLINK("https://twitter.com/samyangtelor","@samyangtelor")</f>
        <v>@samyangtelor</v>
      </c>
      <c r="C21416" t="s">
        <v>5168</v>
      </c>
      <c r="D21416">
        <v>1173</v>
      </c>
      <c r="E21416">
        <v>0</v>
      </c>
      <c r="F21416">
        <v>976</v>
      </c>
    </row>
    <row r="21417" spans="1:6" ht="12.75">
      <c r="A21417" s="2">
        <v>43875.979814814811</v>
      </c>
      <c r="B21417" t="str">
        <f>HYPERLINK("https://twitter.com/overloxrd","@overloxrd")</f>
        <v>@overloxrd</v>
      </c>
      <c r="C21417" t="s">
        <v>2444</v>
      </c>
      <c r="D21417">
        <v>3134</v>
      </c>
      <c r="E21417">
        <v>0</v>
      </c>
      <c r="F21417">
        <v>1670</v>
      </c>
    </row>
    <row r="21418" spans="1:6" ht="12.75">
      <c r="A21418" s="2">
        <v>43875.979675925926</v>
      </c>
      <c r="B21418" t="str">
        <f>HYPERLINK("https://twitter.com/masasih_aku","@masasih_aku")</f>
        <v>@masasih_aku</v>
      </c>
      <c r="C21418" t="s">
        <v>2444</v>
      </c>
      <c r="D21418">
        <v>3134</v>
      </c>
      <c r="E21418">
        <v>0</v>
      </c>
      <c r="F21418">
        <v>16</v>
      </c>
    </row>
    <row r="21419" spans="1:6" ht="12.75">
      <c r="A21419" s="2">
        <v>43875.979594907403</v>
      </c>
      <c r="B21419" t="str">
        <f>HYPERLINK("https://twitter.com/creamylatae","@creamylatae")</f>
        <v>@creamylatae</v>
      </c>
      <c r="C21419" t="s">
        <v>2444</v>
      </c>
      <c r="D21419">
        <v>3134</v>
      </c>
      <c r="E21419">
        <v>0</v>
      </c>
      <c r="F21419">
        <v>7080</v>
      </c>
    </row>
    <row r="21420" spans="1:6" ht="12.75">
      <c r="A21420" s="2">
        <v>43875.979525462964</v>
      </c>
      <c r="B21420" t="str">
        <f>HYPERLINK("https://twitter.com/gentasat","@gentasat")</f>
        <v>@gentasat</v>
      </c>
      <c r="C21420" t="s">
        <v>10429</v>
      </c>
      <c r="D21420">
        <v>0</v>
      </c>
      <c r="E21420">
        <v>0</v>
      </c>
      <c r="F21420">
        <v>7194</v>
      </c>
    </row>
    <row r="21421" spans="1:6" ht="12.75">
      <c r="A21421" s="2">
        <v>43875.979502314818</v>
      </c>
      <c r="B21421" t="str">
        <f>HYPERLINK("https://twitter.com/rbugiaditya","@rbugiaditya")</f>
        <v>@rbugiaditya</v>
      </c>
      <c r="C21421" t="s">
        <v>2444</v>
      </c>
      <c r="D21421">
        <v>3134</v>
      </c>
      <c r="E21421">
        <v>0</v>
      </c>
      <c r="F21421">
        <v>1036</v>
      </c>
    </row>
    <row r="21422" spans="1:6" ht="12.75">
      <c r="A21422" s="2">
        <v>43875.979444444441</v>
      </c>
      <c r="B21422" t="str">
        <f>HYPERLINK("https://twitter.com/aasgardd","@aasgardd")</f>
        <v>@aasgardd</v>
      </c>
      <c r="C21422" t="s">
        <v>2444</v>
      </c>
      <c r="D21422">
        <v>3134</v>
      </c>
      <c r="E21422">
        <v>0</v>
      </c>
      <c r="F21422">
        <v>658</v>
      </c>
    </row>
    <row r="21423" spans="1:6" ht="12.75">
      <c r="A21423" s="2">
        <v>43875.979317129633</v>
      </c>
      <c r="B21423" t="str">
        <f>HYPERLINK("https://twitter.com/be4_GE","@be4_GE")</f>
        <v>@be4_GE</v>
      </c>
      <c r="C21423" t="s">
        <v>9096</v>
      </c>
      <c r="D21423">
        <v>207</v>
      </c>
      <c r="E21423">
        <v>0</v>
      </c>
      <c r="F21423">
        <v>47</v>
      </c>
    </row>
    <row r="21424" spans="1:6" ht="12.75">
      <c r="A21424" s="2">
        <v>43875.979212962964</v>
      </c>
      <c r="B21424" t="str">
        <f>HYPERLINK("https://twitter.com/HerryNathanael","@HerryNathanael")</f>
        <v>@HerryNathanael</v>
      </c>
      <c r="C21424" t="s">
        <v>10430</v>
      </c>
      <c r="D21424">
        <v>0</v>
      </c>
      <c r="E21424">
        <v>0</v>
      </c>
      <c r="F21424">
        <v>3</v>
      </c>
    </row>
    <row r="21425" spans="1:6" ht="12.75">
      <c r="A21425" s="2">
        <v>43875.979166666672</v>
      </c>
      <c r="B21425" t="str">
        <f>HYPERLINK("https://twitter.com/hmsantuy","@hmsantuy")</f>
        <v>@hmsantuy</v>
      </c>
      <c r="C21425" t="s">
        <v>5168</v>
      </c>
      <c r="D21425">
        <v>1173</v>
      </c>
      <c r="E21425">
        <v>0</v>
      </c>
      <c r="F21425">
        <v>1012</v>
      </c>
    </row>
    <row r="21426" spans="1:6" ht="12.75">
      <c r="A21426" s="2">
        <v>43875.979027777779</v>
      </c>
      <c r="B21426" t="str">
        <f>HYPERLINK("https://twitter.com/gembrotie","@gembrotie")</f>
        <v>@gembrotie</v>
      </c>
      <c r="C21426" t="s">
        <v>5168</v>
      </c>
      <c r="D21426">
        <v>1173</v>
      </c>
      <c r="E21426">
        <v>0</v>
      </c>
      <c r="F21426">
        <v>147</v>
      </c>
    </row>
    <row r="21427" spans="1:6" ht="12.75">
      <c r="A21427" s="2">
        <v>43875.979004629626</v>
      </c>
      <c r="B21427" t="str">
        <f>HYPERLINK("https://twitter.com/setojayakarta","@setojayakarta")</f>
        <v>@setojayakarta</v>
      </c>
      <c r="C21427" t="s">
        <v>2134</v>
      </c>
      <c r="D21427">
        <v>987</v>
      </c>
      <c r="E21427">
        <v>0</v>
      </c>
      <c r="F21427">
        <v>356</v>
      </c>
    </row>
    <row r="21428" spans="1:6" ht="12.75">
      <c r="A21428" s="2">
        <v>43875.978981481487</v>
      </c>
      <c r="B21428" t="str">
        <f>HYPERLINK("https://twitter.com/nazleazle","@nazleazle")</f>
        <v>@nazleazle</v>
      </c>
      <c r="C21428" t="s">
        <v>2444</v>
      </c>
      <c r="D21428">
        <v>3134</v>
      </c>
      <c r="E21428">
        <v>0</v>
      </c>
      <c r="F21428">
        <v>501</v>
      </c>
    </row>
    <row r="21429" spans="1:6" ht="12.75">
      <c r="A21429" s="2">
        <v>43875.978831018518</v>
      </c>
      <c r="B21429" t="str">
        <f>HYPERLINK("https://twitter.com/Yul_Timoti","@Yul_Timoti")</f>
        <v>@Yul_Timoti</v>
      </c>
      <c r="C21429" t="s">
        <v>10422</v>
      </c>
      <c r="D21429">
        <v>120</v>
      </c>
      <c r="E21429">
        <v>0</v>
      </c>
      <c r="F21429">
        <v>63</v>
      </c>
    </row>
    <row r="21430" spans="1:6" ht="12.75">
      <c r="A21430" s="2">
        <v>43875.978506944448</v>
      </c>
      <c r="B21430" t="str">
        <f>HYPERLINK("https://twitter.com/dsuryapradana","@dsuryapradana")</f>
        <v>@dsuryapradana</v>
      </c>
      <c r="C21430" t="s">
        <v>2444</v>
      </c>
      <c r="D21430">
        <v>3134</v>
      </c>
      <c r="E21430">
        <v>0</v>
      </c>
      <c r="F21430">
        <v>13</v>
      </c>
    </row>
    <row r="21431" spans="1:6" ht="12.75">
      <c r="A21431" s="2">
        <v>43875.978483796294</v>
      </c>
      <c r="B21431" t="str">
        <f>HYPERLINK("https://twitter.com/dondihananto","@dondihananto")</f>
        <v>@dondihananto</v>
      </c>
      <c r="C21431" t="s">
        <v>8328</v>
      </c>
      <c r="D21431">
        <v>42</v>
      </c>
      <c r="E21431">
        <v>0</v>
      </c>
      <c r="F21431">
        <v>24905</v>
      </c>
    </row>
    <row r="21432" spans="1:6" ht="12.75">
      <c r="A21432" s="2">
        <v>43875.978460648148</v>
      </c>
      <c r="B21432" t="str">
        <f>HYPERLINK("https://twitter.com/hendrygontoro","@hendrygontoro")</f>
        <v>@hendrygontoro</v>
      </c>
      <c r="C21432" t="s">
        <v>9929</v>
      </c>
      <c r="D21432">
        <v>2</v>
      </c>
      <c r="E21432">
        <v>0</v>
      </c>
      <c r="F21432">
        <v>404</v>
      </c>
    </row>
    <row r="21433" spans="1:6" ht="12.75">
      <c r="A21433" s="2">
        <v>43875.978425925925</v>
      </c>
      <c r="B21433" t="str">
        <f>HYPERLINK("https://twitter.com/UtomoFreddy","@UtomoFreddy")</f>
        <v>@UtomoFreddy</v>
      </c>
      <c r="C21433" t="s">
        <v>10431</v>
      </c>
      <c r="D21433">
        <v>8</v>
      </c>
      <c r="E21433">
        <v>0</v>
      </c>
      <c r="F21433">
        <v>93</v>
      </c>
    </row>
    <row r="21434" spans="1:6" ht="12.75">
      <c r="A21434" s="2">
        <v>43875.978425925925</v>
      </c>
      <c r="B21434" t="str">
        <f>HYPERLINK("https://twitter.com/Indopolitika","@Indopolitika")</f>
        <v>@Indopolitika</v>
      </c>
      <c r="C21434" t="s">
        <v>10432</v>
      </c>
      <c r="D21434">
        <v>0</v>
      </c>
      <c r="E21434">
        <v>0</v>
      </c>
      <c r="F21434">
        <v>10608</v>
      </c>
    </row>
    <row r="21435" spans="1:6" ht="12.75">
      <c r="A21435" s="2">
        <v>43875.978391203702</v>
      </c>
      <c r="B21435" t="str">
        <f>HYPERLINK("https://twitter.com/wasnasjateng","@wasnasjateng")</f>
        <v>@wasnasjateng</v>
      </c>
      <c r="C21435" t="s">
        <v>10433</v>
      </c>
      <c r="D21435">
        <v>3</v>
      </c>
      <c r="E21435">
        <v>0</v>
      </c>
      <c r="F21435">
        <v>452</v>
      </c>
    </row>
    <row r="21436" spans="1:6" ht="12.75">
      <c r="A21436" s="2">
        <v>43875.978379629625</v>
      </c>
      <c r="B21436" t="str">
        <f>HYPERLINK("https://twitter.com/bawelbener","@bawelbener")</f>
        <v>@bawelbener</v>
      </c>
      <c r="C21436" t="s">
        <v>5168</v>
      </c>
      <c r="D21436">
        <v>1173</v>
      </c>
      <c r="E21436">
        <v>0</v>
      </c>
      <c r="F21436">
        <v>1597</v>
      </c>
    </row>
    <row r="21437" spans="1:6" ht="12.75">
      <c r="A21437" s="2">
        <v>43875.978310185186</v>
      </c>
      <c r="B21437" t="str">
        <f>HYPERLINK("https://twitter.com/Indopolitika","@Indopolitika")</f>
        <v>@Indopolitika</v>
      </c>
      <c r="C21437" t="s">
        <v>10434</v>
      </c>
      <c r="D21437">
        <v>0</v>
      </c>
      <c r="E21437">
        <v>0</v>
      </c>
      <c r="F21437">
        <v>10608</v>
      </c>
    </row>
    <row r="21438" spans="1:6" ht="12.75">
      <c r="A21438" s="2">
        <v>43875.97828703704</v>
      </c>
      <c r="B21438" t="str">
        <f>HYPERLINK("https://twitter.com/Hendra27157426","@Hendra27157426")</f>
        <v>@Hendra27157426</v>
      </c>
      <c r="C21438" t="s">
        <v>5665</v>
      </c>
      <c r="D21438">
        <v>68</v>
      </c>
      <c r="E21438">
        <v>0</v>
      </c>
      <c r="F21438">
        <v>18</v>
      </c>
    </row>
    <row r="21439" spans="1:6" ht="12.75">
      <c r="A21439" s="2">
        <v>43875.978229166663</v>
      </c>
      <c r="B21439" t="str">
        <f>HYPERLINK("https://twitter.com/erroyh","@erroyh")</f>
        <v>@erroyh</v>
      </c>
      <c r="C21439" t="s">
        <v>10435</v>
      </c>
      <c r="D21439">
        <v>0</v>
      </c>
      <c r="E21439">
        <v>0</v>
      </c>
      <c r="F21439">
        <v>1135</v>
      </c>
    </row>
    <row r="21440" spans="1:6" ht="12.75">
      <c r="A21440" s="2">
        <v>43875.978206018517</v>
      </c>
      <c r="B21440" t="str">
        <f>HYPERLINK("https://twitter.com/prstwagt","@prstwagt")</f>
        <v>@prstwagt</v>
      </c>
      <c r="C21440" t="s">
        <v>10436</v>
      </c>
      <c r="D21440">
        <v>0</v>
      </c>
      <c r="E21440">
        <v>1</v>
      </c>
      <c r="F21440">
        <v>600</v>
      </c>
    </row>
    <row r="21441" spans="1:6" ht="12.75">
      <c r="A21441" s="2">
        <v>43875.978113425925</v>
      </c>
      <c r="B21441" t="str">
        <f>HYPERLINK("https://twitter.com/kiateisme","@kiateisme")</f>
        <v>@kiateisme</v>
      </c>
      <c r="C21441" t="s">
        <v>2444</v>
      </c>
      <c r="D21441">
        <v>3134</v>
      </c>
      <c r="E21441">
        <v>0</v>
      </c>
      <c r="F21441">
        <v>21</v>
      </c>
    </row>
    <row r="21442" spans="1:6" ht="12.75">
      <c r="A21442" s="2">
        <v>43875.978032407409</v>
      </c>
      <c r="B21442" t="str">
        <f>HYPERLINK("https://twitter.com/hazelevans_","@hazelevans_")</f>
        <v>@hazelevans_</v>
      </c>
      <c r="C21442" t="s">
        <v>3150</v>
      </c>
      <c r="D21442">
        <v>30</v>
      </c>
      <c r="E21442">
        <v>0</v>
      </c>
      <c r="F21442">
        <v>1035</v>
      </c>
    </row>
    <row r="21443" spans="1:6" ht="12.75">
      <c r="A21443" s="2">
        <v>43875.977893518517</v>
      </c>
      <c r="B21443" t="str">
        <f>HYPERLINK("https://twitter.com/c_kukuh","@c_kukuh")</f>
        <v>@c_kukuh</v>
      </c>
      <c r="C21443" t="s">
        <v>9840</v>
      </c>
      <c r="D21443">
        <v>2</v>
      </c>
      <c r="E21443">
        <v>0</v>
      </c>
      <c r="F21443">
        <v>24</v>
      </c>
    </row>
    <row r="21444" spans="1:6" ht="12.75">
      <c r="A21444" s="2">
        <v>43875.977523148147</v>
      </c>
      <c r="B21444" t="str">
        <f>HYPERLINK("https://twitter.com/YogaKrisnanda2","@YogaKrisnanda2")</f>
        <v>@YogaKrisnanda2</v>
      </c>
      <c r="C21444" t="s">
        <v>10437</v>
      </c>
      <c r="D21444">
        <v>0</v>
      </c>
      <c r="E21444">
        <v>1</v>
      </c>
      <c r="F21444">
        <v>3115</v>
      </c>
    </row>
    <row r="21445" spans="1:6" ht="12.75">
      <c r="A21445" s="2">
        <v>43875.977407407408</v>
      </c>
      <c r="B21445" t="str">
        <f>HYPERLINK("https://twitter.com/KepriAntaranews","@KepriAntaranews")</f>
        <v>@KepriAntaranews</v>
      </c>
      <c r="C21445" t="s">
        <v>10438</v>
      </c>
      <c r="D21445">
        <v>0</v>
      </c>
      <c r="E21445">
        <v>0</v>
      </c>
      <c r="F21445">
        <v>22</v>
      </c>
    </row>
    <row r="21446" spans="1:6" ht="12.75">
      <c r="A21446" s="2">
        <v>43875.977268518516</v>
      </c>
      <c r="B21446" t="str">
        <f>HYPERLINK("https://twitter.com/rahmafiraa_","@rahmafiraa_")</f>
        <v>@rahmafiraa_</v>
      </c>
      <c r="C21446" t="s">
        <v>5168</v>
      </c>
      <c r="D21446">
        <v>1173</v>
      </c>
      <c r="E21446">
        <v>0</v>
      </c>
      <c r="F21446">
        <v>89</v>
      </c>
    </row>
    <row r="21447" spans="1:6" ht="12.75">
      <c r="A21447" s="2">
        <v>43875.97724537037</v>
      </c>
      <c r="B21447" t="str">
        <f>HYPERLINK("https://twitter.com/nrl_xzxz","@nrl_xzxz")</f>
        <v>@nrl_xzxz</v>
      </c>
      <c r="C21447" t="s">
        <v>5168</v>
      </c>
      <c r="D21447">
        <v>1173</v>
      </c>
      <c r="E21447">
        <v>0</v>
      </c>
      <c r="F21447">
        <v>2481</v>
      </c>
    </row>
    <row r="21448" spans="1:6" ht="12.75">
      <c r="A21448" s="2">
        <v>43875.977106481485</v>
      </c>
      <c r="B21448" t="str">
        <f>HYPERLINK("https://twitter.com/Haluan_","@Haluan_")</f>
        <v>@Haluan_</v>
      </c>
      <c r="C21448" t="s">
        <v>10439</v>
      </c>
      <c r="D21448">
        <v>0</v>
      </c>
      <c r="E21448">
        <v>0</v>
      </c>
      <c r="F21448">
        <v>1445</v>
      </c>
    </row>
    <row r="21449" spans="1:6" ht="12.75">
      <c r="A21449" s="2">
        <v>43875.977094907408</v>
      </c>
      <c r="B21449" t="str">
        <f>HYPERLINK("https://twitter.com/putriiastri","@putriiastri")</f>
        <v>@putriiastri</v>
      </c>
      <c r="C21449" t="s">
        <v>10440</v>
      </c>
      <c r="D21449">
        <v>331</v>
      </c>
      <c r="E21449">
        <v>0</v>
      </c>
      <c r="F21449">
        <v>50</v>
      </c>
    </row>
    <row r="21450" spans="1:6" ht="12.75">
      <c r="A21450" s="2">
        <v>43875.977002314816</v>
      </c>
      <c r="B21450" t="str">
        <f>HYPERLINK("https://twitter.com/mugiya_wardhany","@mugiya_wardhany")</f>
        <v>@mugiya_wardhany</v>
      </c>
      <c r="C21450" t="s">
        <v>6201</v>
      </c>
      <c r="D21450">
        <v>298</v>
      </c>
      <c r="E21450">
        <v>0</v>
      </c>
      <c r="F21450">
        <v>1623</v>
      </c>
    </row>
    <row r="21451" spans="1:6" ht="12.75">
      <c r="A21451" s="2">
        <v>43875.976967592593</v>
      </c>
      <c r="B21451" t="str">
        <f>HYPERLINK("https://twitter.com/dahynn","@dahynn")</f>
        <v>@dahynn</v>
      </c>
      <c r="C21451" t="s">
        <v>2444</v>
      </c>
      <c r="D21451">
        <v>3134</v>
      </c>
      <c r="E21451">
        <v>0</v>
      </c>
      <c r="F21451">
        <v>332</v>
      </c>
    </row>
    <row r="21452" spans="1:6" ht="12.75">
      <c r="A21452" s="2">
        <v>43875.976956018523</v>
      </c>
      <c r="B21452" t="str">
        <f>HYPERLINK("https://twitter.com/adinisyafira","@adinisyafira")</f>
        <v>@adinisyafira</v>
      </c>
      <c r="C21452" t="s">
        <v>8328</v>
      </c>
      <c r="D21452">
        <v>42</v>
      </c>
      <c r="E21452">
        <v>0</v>
      </c>
      <c r="F21452">
        <v>1056</v>
      </c>
    </row>
    <row r="21453" spans="1:6" ht="12.75">
      <c r="A21453" s="2">
        <v>43875.976863425924</v>
      </c>
      <c r="B21453" t="str">
        <f>HYPERLINK("https://twitter.com/YanuarAzhar1170","@YanuarAzhar1170")</f>
        <v>@YanuarAzhar1170</v>
      </c>
      <c r="C21453" t="s">
        <v>7478</v>
      </c>
      <c r="D21453">
        <v>440</v>
      </c>
      <c r="E21453">
        <v>0</v>
      </c>
      <c r="F21453">
        <v>657</v>
      </c>
    </row>
    <row r="21454" spans="1:6" ht="12.75">
      <c r="A21454" s="2">
        <v>43875.976817129631</v>
      </c>
      <c r="B21454" t="str">
        <f>HYPERLINK("https://twitter.com/zyahpile","@zyahpile")</f>
        <v>@zyahpile</v>
      </c>
      <c r="C21454" t="s">
        <v>2444</v>
      </c>
      <c r="D21454">
        <v>3134</v>
      </c>
      <c r="E21454">
        <v>0</v>
      </c>
      <c r="F21454">
        <v>358</v>
      </c>
    </row>
    <row r="21455" spans="1:6" ht="12.75">
      <c r="A21455" s="2">
        <v>43875.97657407407</v>
      </c>
      <c r="B21455" t="str">
        <f>HYPERLINK("https://twitter.com/chris_filta","@chris_filta")</f>
        <v>@chris_filta</v>
      </c>
      <c r="C21455" t="s">
        <v>2963</v>
      </c>
      <c r="D21455">
        <v>1179</v>
      </c>
      <c r="E21455">
        <v>0</v>
      </c>
      <c r="F21455">
        <v>60</v>
      </c>
    </row>
    <row r="21456" spans="1:6" ht="12.75">
      <c r="A21456" s="2">
        <v>43875.976504629631</v>
      </c>
      <c r="B21456" t="str">
        <f>HYPERLINK("https://twitter.com/LanaayahFayFio","@LanaayahFayFio")</f>
        <v>@LanaayahFayFio</v>
      </c>
      <c r="C21456" t="s">
        <v>10441</v>
      </c>
      <c r="D21456">
        <v>0</v>
      </c>
      <c r="E21456">
        <v>0</v>
      </c>
      <c r="F21456">
        <v>118</v>
      </c>
    </row>
    <row r="21457" spans="1:6" ht="12.75">
      <c r="A21457" s="2">
        <v>43875.976412037038</v>
      </c>
      <c r="B21457" t="str">
        <f>HYPERLINK("https://twitter.com/Bahtiarr_","@Bahtiarr_")</f>
        <v>@Bahtiarr_</v>
      </c>
      <c r="C21457" t="s">
        <v>2963</v>
      </c>
      <c r="D21457">
        <v>1179</v>
      </c>
      <c r="E21457">
        <v>0</v>
      </c>
      <c r="F21457">
        <v>131</v>
      </c>
    </row>
    <row r="21458" spans="1:6" ht="12.75">
      <c r="A21458" s="2">
        <v>43875.97625</v>
      </c>
      <c r="B21458" t="str">
        <f>HYPERLINK("https://twitter.com/elHurryKoRn","@elHurryKoRn")</f>
        <v>@elHurryKoRn</v>
      </c>
      <c r="C21458" t="s">
        <v>10442</v>
      </c>
      <c r="D21458">
        <v>1</v>
      </c>
      <c r="E21458">
        <v>0</v>
      </c>
      <c r="F21458">
        <v>19193</v>
      </c>
    </row>
    <row r="21459" spans="1:6" ht="12.75">
      <c r="A21459" s="2">
        <v>43875.976226851853</v>
      </c>
      <c r="B21459" t="str">
        <f>HYPERLINK("https://twitter.com/glorygloray","@glorygloray")</f>
        <v>@glorygloray</v>
      </c>
      <c r="C21459" t="s">
        <v>5168</v>
      </c>
      <c r="D21459">
        <v>1173</v>
      </c>
      <c r="E21459">
        <v>0</v>
      </c>
      <c r="F21459">
        <v>316</v>
      </c>
    </row>
    <row r="21460" spans="1:6" ht="12.75">
      <c r="A21460" s="2">
        <v>43875.976168981477</v>
      </c>
      <c r="B21460" t="str">
        <f>HYPERLINK("https://twitter.com/elHurryKoRn","@elHurryKoRn")</f>
        <v>@elHurryKoRn</v>
      </c>
      <c r="C21460" t="s">
        <v>10443</v>
      </c>
      <c r="D21460">
        <v>1</v>
      </c>
      <c r="E21460">
        <v>0</v>
      </c>
      <c r="F21460">
        <v>19193</v>
      </c>
    </row>
    <row r="21461" spans="1:6" ht="12.75">
      <c r="A21461" s="2">
        <v>43875.976064814815</v>
      </c>
      <c r="B21461" t="str">
        <f>HYPERLINK("https://twitter.com/newty_i","@newty_i")</f>
        <v>@newty_i</v>
      </c>
      <c r="C21461" t="s">
        <v>2444</v>
      </c>
      <c r="D21461">
        <v>3134</v>
      </c>
      <c r="E21461">
        <v>0</v>
      </c>
      <c r="F21461">
        <v>1730</v>
      </c>
    </row>
    <row r="21462" spans="1:6" ht="12.75">
      <c r="A21462" s="2">
        <v>43875.976018518515</v>
      </c>
      <c r="B21462" t="str">
        <f>HYPERLINK("https://twitter.com/Widjaya58414131","@Widjaya58414131")</f>
        <v>@Widjaya58414131</v>
      </c>
      <c r="C21462" t="s">
        <v>9746</v>
      </c>
      <c r="D21462">
        <v>403</v>
      </c>
      <c r="E21462">
        <v>0</v>
      </c>
      <c r="F21462">
        <v>498</v>
      </c>
    </row>
    <row r="21463" spans="1:6" ht="12.75">
      <c r="A21463" s="2">
        <v>43875.975868055553</v>
      </c>
      <c r="B21463" t="str">
        <f>HYPERLINK("https://twitter.com/pembalapkecill","@pembalapkecill")</f>
        <v>@pembalapkecill</v>
      </c>
      <c r="C21463" t="s">
        <v>5168</v>
      </c>
      <c r="D21463">
        <v>1173</v>
      </c>
      <c r="E21463">
        <v>0</v>
      </c>
      <c r="F21463">
        <v>75</v>
      </c>
    </row>
    <row r="21464" spans="1:6" ht="12.75">
      <c r="A21464" s="2">
        <v>43875.975798611107</v>
      </c>
      <c r="B21464" t="str">
        <f>HYPERLINK("https://twitter.com/AlfaOmega0110","@AlfaOmega0110")</f>
        <v>@AlfaOmega0110</v>
      </c>
      <c r="C21464" t="s">
        <v>10444</v>
      </c>
      <c r="D21464">
        <v>2</v>
      </c>
      <c r="E21464">
        <v>0</v>
      </c>
      <c r="F21464">
        <v>1032</v>
      </c>
    </row>
    <row r="21465" spans="1:6" ht="12.75">
      <c r="A21465" s="2">
        <v>43875.975671296299</v>
      </c>
      <c r="B21465" t="str">
        <f>HYPERLINK("https://twitter.com/creamylatteee","@creamylatteee")</f>
        <v>@creamylatteee</v>
      </c>
      <c r="C21465" t="s">
        <v>5168</v>
      </c>
      <c r="D21465">
        <v>1173</v>
      </c>
      <c r="E21465">
        <v>0</v>
      </c>
      <c r="F21465">
        <v>334</v>
      </c>
    </row>
    <row r="21466" spans="1:6" ht="12.75">
      <c r="A21466" s="2">
        <v>43875.975590277776</v>
      </c>
      <c r="B21466" t="str">
        <f>HYPERLINK("https://twitter.com/adiasik2007","@adiasik2007")</f>
        <v>@adiasik2007</v>
      </c>
      <c r="C21466" t="s">
        <v>6201</v>
      </c>
      <c r="D21466">
        <v>298</v>
      </c>
      <c r="E21466">
        <v>0</v>
      </c>
      <c r="F21466">
        <v>617</v>
      </c>
    </row>
    <row r="21467" spans="1:6" ht="12.75">
      <c r="A21467" s="2">
        <v>43875.975520833337</v>
      </c>
      <c r="B21467" t="str">
        <f>HYPERLINK("https://twitter.com/destiadnhsn","@destiadnhsn")</f>
        <v>@destiadnhsn</v>
      </c>
      <c r="C21467" t="s">
        <v>2444</v>
      </c>
      <c r="D21467">
        <v>3134</v>
      </c>
      <c r="E21467">
        <v>0</v>
      </c>
      <c r="F21467">
        <v>40</v>
      </c>
    </row>
    <row r="21468" spans="1:6" ht="12.75">
      <c r="A21468" s="2">
        <v>43875.975462962961</v>
      </c>
      <c r="B21468" t="str">
        <f>HYPERLINK("https://twitter.com/ativra","@ativra")</f>
        <v>@ativra</v>
      </c>
      <c r="C21468" t="s">
        <v>2444</v>
      </c>
      <c r="D21468">
        <v>3134</v>
      </c>
      <c r="E21468">
        <v>0</v>
      </c>
      <c r="F21468">
        <v>306</v>
      </c>
    </row>
    <row r="21469" spans="1:6" ht="12.75">
      <c r="A21469" s="2">
        <v>43875.975439814814</v>
      </c>
      <c r="B21469" t="str">
        <f>HYPERLINK("https://twitter.com/ssept98","@ssept98")</f>
        <v>@ssept98</v>
      </c>
      <c r="C21469" t="s">
        <v>2444</v>
      </c>
      <c r="D21469">
        <v>3134</v>
      </c>
      <c r="E21469">
        <v>0</v>
      </c>
      <c r="F21469">
        <v>22</v>
      </c>
    </row>
    <row r="21470" spans="1:6" ht="12.75">
      <c r="A21470" s="2">
        <v>43875.975405092591</v>
      </c>
      <c r="B21470" t="str">
        <f>HYPERLINK("https://twitter.com/B1503","@B1503")</f>
        <v>@B1503</v>
      </c>
      <c r="C21470" t="s">
        <v>2963</v>
      </c>
      <c r="D21470">
        <v>1179</v>
      </c>
      <c r="E21470">
        <v>0</v>
      </c>
      <c r="F21470">
        <v>59</v>
      </c>
    </row>
    <row r="21471" spans="1:6" ht="12.75">
      <c r="A21471" s="2">
        <v>43875.975173611107</v>
      </c>
      <c r="B21471" t="str">
        <f>HYPERLINK("https://twitter.com/haihelloow","@haihelloow")</f>
        <v>@haihelloow</v>
      </c>
      <c r="C21471" t="s">
        <v>2963</v>
      </c>
      <c r="D21471">
        <v>1179</v>
      </c>
      <c r="E21471">
        <v>0</v>
      </c>
      <c r="F21471">
        <v>465</v>
      </c>
    </row>
    <row r="21472" spans="1:6" ht="12.75">
      <c r="A21472" s="2">
        <v>43875.975150462968</v>
      </c>
      <c r="B21472" t="str">
        <f>HYPERLINK("https://twitter.com/ponylouist","@ponylouist")</f>
        <v>@ponylouist</v>
      </c>
      <c r="C21472" t="s">
        <v>9964</v>
      </c>
      <c r="D21472">
        <v>647</v>
      </c>
      <c r="E21472">
        <v>0</v>
      </c>
      <c r="F21472">
        <v>1179</v>
      </c>
    </row>
    <row r="21473" spans="1:6" ht="12.75">
      <c r="A21473" s="2">
        <v>43875.975150462968</v>
      </c>
      <c r="B21473" t="str">
        <f>HYPERLINK("https://twitter.com/taminurul1","@taminurul1")</f>
        <v>@taminurul1</v>
      </c>
      <c r="C21473" t="s">
        <v>10445</v>
      </c>
      <c r="D21473">
        <v>0</v>
      </c>
      <c r="E21473">
        <v>0</v>
      </c>
      <c r="F21473">
        <v>661</v>
      </c>
    </row>
    <row r="21474" spans="1:6" ht="12.75">
      <c r="A21474" s="2">
        <v>43875.975011574075</v>
      </c>
      <c r="B21474" t="str">
        <f>HYPERLINK("https://twitter.com/meganovetrishka","@meganovetrishka")</f>
        <v>@meganovetrishka</v>
      </c>
      <c r="C21474" t="s">
        <v>5168</v>
      </c>
      <c r="D21474">
        <v>1173</v>
      </c>
      <c r="E21474">
        <v>0</v>
      </c>
      <c r="F21474">
        <v>1501</v>
      </c>
    </row>
    <row r="21475" spans="1:6" ht="12.75">
      <c r="A21475" s="2">
        <v>43875.975011574075</v>
      </c>
      <c r="B21475" t="str">
        <f>HYPERLINK("https://twitter.com/JanganFollowCuk","@JanganFollowCuk")</f>
        <v>@JanganFollowCuk</v>
      </c>
      <c r="C21475" t="s">
        <v>2110</v>
      </c>
      <c r="D21475">
        <v>61</v>
      </c>
      <c r="E21475">
        <v>0</v>
      </c>
      <c r="F21475">
        <v>426</v>
      </c>
    </row>
    <row r="21476" spans="1:6" ht="12.75">
      <c r="A21476" s="2">
        <v>43875.974803240737</v>
      </c>
      <c r="B21476" t="str">
        <f>HYPERLINK("https://twitter.com/erroyh","@erroyh")</f>
        <v>@erroyh</v>
      </c>
      <c r="C21476" t="s">
        <v>10444</v>
      </c>
      <c r="D21476">
        <v>2</v>
      </c>
      <c r="E21476">
        <v>0</v>
      </c>
      <c r="F21476">
        <v>1135</v>
      </c>
    </row>
    <row r="21477" spans="1:6" ht="12.75">
      <c r="A21477" s="2">
        <v>43875.974780092598</v>
      </c>
      <c r="B21477" t="str">
        <f>HYPERLINK("https://twitter.com/shouthhhout","@shouthhhout")</f>
        <v>@shouthhhout</v>
      </c>
      <c r="C21477" t="s">
        <v>2444</v>
      </c>
      <c r="D21477">
        <v>3134</v>
      </c>
      <c r="E21477">
        <v>0</v>
      </c>
      <c r="F21477">
        <v>3633</v>
      </c>
    </row>
    <row r="21478" spans="1:6" ht="12.75">
      <c r="A21478" s="2">
        <v>43875.974606481483</v>
      </c>
      <c r="B21478" t="str">
        <f>HYPERLINK("https://twitter.com/Zulfika35354359","@Zulfika35354359")</f>
        <v>@Zulfika35354359</v>
      </c>
      <c r="C21478" t="s">
        <v>10446</v>
      </c>
      <c r="D21478">
        <v>0</v>
      </c>
      <c r="E21478">
        <v>4</v>
      </c>
      <c r="F21478">
        <v>1910</v>
      </c>
    </row>
    <row r="21479" spans="1:6" ht="12.75">
      <c r="A21479" s="2">
        <v>43875.974456018521</v>
      </c>
      <c r="B21479" t="str">
        <f>HYPERLINK("https://twitter.com/aisjuice","@aisjuice")</f>
        <v>@aisjuice</v>
      </c>
      <c r="C21479" t="s">
        <v>2444</v>
      </c>
      <c r="D21479">
        <v>3134</v>
      </c>
      <c r="E21479">
        <v>0</v>
      </c>
      <c r="F21479">
        <v>537</v>
      </c>
    </row>
    <row r="21480" spans="1:6" ht="12.75">
      <c r="A21480" s="2">
        <v>43875.974375000005</v>
      </c>
      <c r="B21480" t="str">
        <f>HYPERLINK("https://twitter.com/Keterbatasan234","@Keterbatasan234")</f>
        <v>@Keterbatasan234</v>
      </c>
      <c r="C21480" t="s">
        <v>9746</v>
      </c>
      <c r="D21480">
        <v>403</v>
      </c>
      <c r="E21480">
        <v>0</v>
      </c>
      <c r="F21480">
        <v>208</v>
      </c>
    </row>
    <row r="21481" spans="1:6" ht="12.75">
      <c r="A21481" s="2">
        <v>43875.974351851852</v>
      </c>
      <c r="B21481" t="str">
        <f>HYPERLINK("https://twitter.com/arisfredy","@arisfredy")</f>
        <v>@arisfredy</v>
      </c>
      <c r="C21481" t="s">
        <v>5168</v>
      </c>
      <c r="D21481">
        <v>1173</v>
      </c>
      <c r="E21481">
        <v>0</v>
      </c>
      <c r="F21481">
        <v>133</v>
      </c>
    </row>
    <row r="21482" spans="1:6" ht="12.75">
      <c r="A21482" s="2">
        <v>43875.974282407406</v>
      </c>
      <c r="B21482" t="str">
        <f>HYPERLINK("https://twitter.com/Liz16843504","@Liz16843504")</f>
        <v>@Liz16843504</v>
      </c>
      <c r="C21482" t="s">
        <v>3150</v>
      </c>
      <c r="D21482">
        <v>30</v>
      </c>
      <c r="E21482">
        <v>0</v>
      </c>
      <c r="F21482">
        <v>109</v>
      </c>
    </row>
    <row r="21483" spans="1:6" ht="12.75">
      <c r="A21483" s="2">
        <v>43875.974270833336</v>
      </c>
      <c r="B21483" t="str">
        <f>HYPERLINK("https://twitter.com/flapfloopdoop","@flapfloopdoop")</f>
        <v>@flapfloopdoop</v>
      </c>
      <c r="C21483" t="s">
        <v>10447</v>
      </c>
      <c r="D21483">
        <v>0</v>
      </c>
      <c r="E21483">
        <v>0</v>
      </c>
      <c r="F21483">
        <v>1147</v>
      </c>
    </row>
    <row r="21484" spans="1:6" ht="12.75">
      <c r="A21484" s="2">
        <v>43875.974259259259</v>
      </c>
      <c r="B21484" t="str">
        <f>HYPERLINK("https://twitter.com/Hanumprstw","@Hanumprstw")</f>
        <v>@Hanumprstw</v>
      </c>
      <c r="C21484" t="s">
        <v>5168</v>
      </c>
      <c r="D21484">
        <v>1173</v>
      </c>
      <c r="E21484">
        <v>0</v>
      </c>
      <c r="F21484">
        <v>193</v>
      </c>
    </row>
    <row r="21485" spans="1:6" ht="12.75">
      <c r="A21485" s="2">
        <v>43875.974097222221</v>
      </c>
      <c r="B21485" t="str">
        <f>HYPERLINK("https://twitter.com/redo43214292","@redo43214292")</f>
        <v>@redo43214292</v>
      </c>
      <c r="C21485" t="s">
        <v>6201</v>
      </c>
      <c r="D21485">
        <v>298</v>
      </c>
      <c r="E21485">
        <v>0</v>
      </c>
      <c r="F21485">
        <v>130</v>
      </c>
    </row>
    <row r="21486" spans="1:6" ht="12.75">
      <c r="A21486" s="2">
        <v>43875.973969907413</v>
      </c>
      <c r="B21486" t="str">
        <f>HYPERLINK("https://twitter.com/arastrophile","@arastrophile")</f>
        <v>@arastrophile</v>
      </c>
      <c r="C21486" t="s">
        <v>9067</v>
      </c>
      <c r="D21486">
        <v>60</v>
      </c>
      <c r="E21486">
        <v>0</v>
      </c>
      <c r="F21486">
        <v>484</v>
      </c>
    </row>
    <row r="21487" spans="1:6" ht="12.75">
      <c r="A21487" s="2">
        <v>43875.973958333328</v>
      </c>
      <c r="B21487" t="str">
        <f>HYPERLINK("https://twitter.com/47px","@47px")</f>
        <v>@47px</v>
      </c>
      <c r="C21487" t="s">
        <v>2444</v>
      </c>
      <c r="D21487">
        <v>3134</v>
      </c>
      <c r="E21487">
        <v>0</v>
      </c>
      <c r="F21487">
        <v>625</v>
      </c>
    </row>
    <row r="21488" spans="1:6" ht="12.75">
      <c r="A21488" s="2">
        <v>43875.973958333328</v>
      </c>
      <c r="B21488" t="str">
        <f>HYPERLINK("https://twitter.com/alukardhi","@alukardhi")</f>
        <v>@alukardhi</v>
      </c>
      <c r="C21488" t="s">
        <v>10448</v>
      </c>
      <c r="D21488">
        <v>0</v>
      </c>
      <c r="E21488">
        <v>0</v>
      </c>
      <c r="F21488">
        <v>483</v>
      </c>
    </row>
    <row r="21489" spans="1:6" ht="12.75">
      <c r="A21489" s="2">
        <v>43875.973657407405</v>
      </c>
      <c r="B21489" t="str">
        <f>HYPERLINK("https://twitter.com/AhlulQohwah","@AhlulQohwah")</f>
        <v>@AhlulQohwah</v>
      </c>
      <c r="C21489" t="s">
        <v>10449</v>
      </c>
      <c r="D21489">
        <v>1</v>
      </c>
      <c r="E21489">
        <v>0</v>
      </c>
      <c r="F21489">
        <v>10000</v>
      </c>
    </row>
    <row r="21490" spans="1:6" ht="12.75">
      <c r="A21490" s="2">
        <v>43875.973622685182</v>
      </c>
      <c r="B21490" t="str">
        <f>HYPERLINK("https://twitter.com/melancholybtch","@melancholybtch")</f>
        <v>@melancholybtch</v>
      </c>
      <c r="C21490" t="s">
        <v>10450</v>
      </c>
      <c r="D21490">
        <v>0</v>
      </c>
      <c r="E21490">
        <v>0</v>
      </c>
      <c r="F21490">
        <v>405</v>
      </c>
    </row>
    <row r="21491" spans="1:6" ht="12.75">
      <c r="A21491" s="2">
        <v>43875.973599537036</v>
      </c>
      <c r="B21491" t="str">
        <f>HYPERLINK("https://twitter.com/AminMustolih7","@AminMustolih7")</f>
        <v>@AminMustolih7</v>
      </c>
      <c r="C21491" t="s">
        <v>10451</v>
      </c>
      <c r="D21491">
        <v>0</v>
      </c>
      <c r="E21491">
        <v>0</v>
      </c>
      <c r="F21491">
        <v>21</v>
      </c>
    </row>
    <row r="21492" spans="1:6" ht="12.75">
      <c r="A21492" s="2">
        <v>43875.973576388889</v>
      </c>
      <c r="B21492" t="str">
        <f>HYPERLINK("https://twitter.com/SyaifudinAyyubi","@SyaifudinAyyubi")</f>
        <v>@SyaifudinAyyubi</v>
      </c>
      <c r="C21492" t="s">
        <v>9746</v>
      </c>
      <c r="D21492">
        <v>403</v>
      </c>
      <c r="E21492">
        <v>0</v>
      </c>
      <c r="F21492">
        <v>537</v>
      </c>
    </row>
    <row r="21493" spans="1:6" ht="12.75">
      <c r="A21493" s="2">
        <v>43875.973576388889</v>
      </c>
      <c r="B21493" t="str">
        <f>HYPERLINK("https://twitter.com/babyesungie","@babyesungie")</f>
        <v>@babyesungie</v>
      </c>
      <c r="C21493" t="s">
        <v>2444</v>
      </c>
      <c r="D21493">
        <v>3134</v>
      </c>
      <c r="E21493">
        <v>0</v>
      </c>
      <c r="F21493">
        <v>947</v>
      </c>
    </row>
    <row r="21494" spans="1:6" ht="12.75">
      <c r="A21494" s="2">
        <v>43875.97351851852</v>
      </c>
      <c r="B21494" t="str">
        <f>HYPERLINK("https://twitter.com/positive_values","@positive_values")</f>
        <v>@positive_values</v>
      </c>
      <c r="C21494" t="s">
        <v>10452</v>
      </c>
      <c r="D21494">
        <v>0</v>
      </c>
      <c r="E21494">
        <v>1</v>
      </c>
      <c r="F21494">
        <v>1845</v>
      </c>
    </row>
    <row r="21495" spans="1:6" ht="12.75">
      <c r="A21495" s="2">
        <v>43875.973483796297</v>
      </c>
      <c r="B21495" t="str">
        <f>HYPERLINK("https://twitter.com/Hengki1521","@Hengki1521")</f>
        <v>@Hengki1521</v>
      </c>
      <c r="C21495" t="s">
        <v>10453</v>
      </c>
      <c r="D21495">
        <v>0</v>
      </c>
      <c r="E21495">
        <v>1</v>
      </c>
      <c r="F21495">
        <v>625</v>
      </c>
    </row>
    <row r="21496" spans="1:6" ht="12.75">
      <c r="A21496" s="2">
        <v>43875.973287037035</v>
      </c>
      <c r="B21496" t="str">
        <f>HYPERLINK("https://twitter.com/Taufieq41269575","@Taufieq41269575")</f>
        <v>@Taufieq41269575</v>
      </c>
      <c r="C21496" t="s">
        <v>2963</v>
      </c>
      <c r="D21496">
        <v>1179</v>
      </c>
      <c r="E21496">
        <v>0</v>
      </c>
      <c r="F21496">
        <v>0</v>
      </c>
    </row>
    <row r="21497" spans="1:6" ht="12.75">
      <c r="A21497" s="2">
        <v>43875.973263888889</v>
      </c>
      <c r="B21497" t="str">
        <f>HYPERLINK("https://twitter.com/ditaacorn","@ditaacorn")</f>
        <v>@ditaacorn</v>
      </c>
      <c r="C21497" t="s">
        <v>10454</v>
      </c>
      <c r="D21497">
        <v>0</v>
      </c>
      <c r="E21497">
        <v>0</v>
      </c>
      <c r="F21497">
        <v>9</v>
      </c>
    </row>
    <row r="21498" spans="1:6" ht="12.75">
      <c r="A21498" s="2">
        <v>43875.973263888889</v>
      </c>
      <c r="B21498" t="str">
        <f>HYPERLINK("https://twitter.com/DimasyFermana","@DimasyFermana")</f>
        <v>@DimasyFermana</v>
      </c>
      <c r="C21498" t="s">
        <v>8980</v>
      </c>
      <c r="D21498">
        <v>3</v>
      </c>
      <c r="E21498">
        <v>0</v>
      </c>
      <c r="F21498">
        <v>1471</v>
      </c>
    </row>
    <row r="21499" spans="1:6" ht="12.75">
      <c r="A21499" s="2">
        <v>43875.973229166666</v>
      </c>
      <c r="B21499" t="str">
        <f>HYPERLINK("https://twitter.com/krispididalam","@krispididalam")</f>
        <v>@krispididalam</v>
      </c>
      <c r="C21499" t="s">
        <v>2444</v>
      </c>
      <c r="D21499">
        <v>3134</v>
      </c>
      <c r="E21499">
        <v>0</v>
      </c>
      <c r="F21499">
        <v>1129</v>
      </c>
    </row>
    <row r="21500" spans="1:6" ht="12.75">
      <c r="A21500" s="2">
        <v>43875.973148148143</v>
      </c>
      <c r="B21500" t="str">
        <f>HYPERLINK("https://twitter.com/irmenh","@irmenh")</f>
        <v>@irmenh</v>
      </c>
      <c r="C21500" t="s">
        <v>2444</v>
      </c>
      <c r="D21500">
        <v>3134</v>
      </c>
      <c r="E21500">
        <v>0</v>
      </c>
      <c r="F21500">
        <v>294</v>
      </c>
    </row>
    <row r="21501" spans="1:6" ht="12.75">
      <c r="A21501" s="2">
        <v>43875.973125000004</v>
      </c>
      <c r="B21501" t="str">
        <f>HYPERLINK("https://twitter.com/__lsianturi__","@__lsianturi__")</f>
        <v>@__lsianturi__</v>
      </c>
      <c r="C21501" t="s">
        <v>2110</v>
      </c>
      <c r="D21501">
        <v>61</v>
      </c>
      <c r="E21501">
        <v>0</v>
      </c>
      <c r="F21501">
        <v>48</v>
      </c>
    </row>
    <row r="21502" spans="1:6" ht="12.75">
      <c r="A21502" s="2">
        <v>43875.973113425927</v>
      </c>
      <c r="B21502" t="str">
        <f>HYPERLINK("https://twitter.com/dwijanicahya","@dwijanicahya")</f>
        <v>@dwijanicahya</v>
      </c>
      <c r="C21502" t="s">
        <v>10455</v>
      </c>
      <c r="D21502">
        <v>0</v>
      </c>
      <c r="E21502">
        <v>0</v>
      </c>
      <c r="F21502">
        <v>73</v>
      </c>
    </row>
    <row r="21503" spans="1:6" ht="12.75">
      <c r="A21503" s="2">
        <v>43875.973101851851</v>
      </c>
      <c r="B21503" t="str">
        <f>HYPERLINK("https://twitter.com/caachuuu","@caachuuu")</f>
        <v>@caachuuu</v>
      </c>
      <c r="C21503" t="s">
        <v>2444</v>
      </c>
      <c r="D21503">
        <v>3134</v>
      </c>
      <c r="E21503">
        <v>0</v>
      </c>
      <c r="F21503">
        <v>317</v>
      </c>
    </row>
    <row r="21504" spans="1:6" ht="12.75">
      <c r="A21504" s="2">
        <v>43875.973101851851</v>
      </c>
      <c r="B21504" t="str">
        <f>HYPERLINK("https://twitter.com/NurAgus19","@NurAgus19")</f>
        <v>@NurAgus19</v>
      </c>
      <c r="C21504" t="s">
        <v>7888</v>
      </c>
      <c r="D21504">
        <v>45</v>
      </c>
      <c r="E21504">
        <v>0</v>
      </c>
      <c r="F21504">
        <v>214</v>
      </c>
    </row>
    <row r="21505" spans="1:6" ht="12.75">
      <c r="A21505" s="2">
        <v>43875.972997685181</v>
      </c>
      <c r="B21505" t="str">
        <f>HYPERLINK("https://twitter.com/BudiM_","@BudiM_")</f>
        <v>@BudiM_</v>
      </c>
      <c r="C21505" t="s">
        <v>10300</v>
      </c>
      <c r="D21505">
        <v>62</v>
      </c>
      <c r="E21505">
        <v>0</v>
      </c>
      <c r="F21505">
        <v>576</v>
      </c>
    </row>
    <row r="21506" spans="1:6" ht="12.75">
      <c r="A21506" s="2">
        <v>43875.972905092596</v>
      </c>
      <c r="B21506" t="str">
        <f>HYPERLINK("https://twitter.com/fardybb","@fardybb")</f>
        <v>@fardybb</v>
      </c>
      <c r="C21506" t="s">
        <v>2444</v>
      </c>
      <c r="D21506">
        <v>3134</v>
      </c>
      <c r="E21506">
        <v>0</v>
      </c>
      <c r="F21506">
        <v>57</v>
      </c>
    </row>
    <row r="21507" spans="1:6" ht="12.75">
      <c r="A21507" s="2">
        <v>43875.972800925927</v>
      </c>
      <c r="B21507" t="str">
        <f>HYPERLINK("https://twitter.com/erroyh","@erroyh")</f>
        <v>@erroyh</v>
      </c>
      <c r="C21507" t="s">
        <v>2963</v>
      </c>
      <c r="D21507">
        <v>1179</v>
      </c>
      <c r="E21507">
        <v>0</v>
      </c>
      <c r="F21507">
        <v>1135</v>
      </c>
    </row>
    <row r="21508" spans="1:6" ht="12.75">
      <c r="A21508" s="2">
        <v>43875.972546296296</v>
      </c>
      <c r="B21508" t="str">
        <f>HYPERLINK("https://twitter.com/haribudiman22","@haribudiman22")</f>
        <v>@haribudiman22</v>
      </c>
      <c r="C21508" t="s">
        <v>7888</v>
      </c>
      <c r="D21508">
        <v>45</v>
      </c>
      <c r="E21508">
        <v>0</v>
      </c>
      <c r="F21508">
        <v>556</v>
      </c>
    </row>
    <row r="21509" spans="1:6" ht="12.75">
      <c r="A21509" s="2">
        <v>43875.972511574073</v>
      </c>
      <c r="B21509" t="str">
        <f>HYPERLINK("https://twitter.com/M_JimmyHW98","@M_JimmyHW98")</f>
        <v>@M_JimmyHW98</v>
      </c>
      <c r="C21509" t="s">
        <v>2444</v>
      </c>
      <c r="D21509">
        <v>3134</v>
      </c>
      <c r="E21509">
        <v>0</v>
      </c>
      <c r="F21509">
        <v>188</v>
      </c>
    </row>
    <row r="21510" spans="1:6" ht="12.75">
      <c r="A21510" s="2">
        <v>43875.972418981481</v>
      </c>
      <c r="B21510" t="str">
        <f>HYPERLINK("https://twitter.com/SayHeiYu","@SayHeiYu")</f>
        <v>@SayHeiYu</v>
      </c>
      <c r="C21510" t="s">
        <v>7958</v>
      </c>
      <c r="D21510">
        <v>0</v>
      </c>
      <c r="E21510">
        <v>0</v>
      </c>
      <c r="F21510">
        <v>120173</v>
      </c>
    </row>
    <row r="21511" spans="1:6" ht="12.75">
      <c r="A21511" s="2">
        <v>43875.972418981481</v>
      </c>
      <c r="B21511" t="str">
        <f>HYPERLINK("https://twitter.com/olencieile","@olencieile")</f>
        <v>@olencieile</v>
      </c>
      <c r="C21511" t="s">
        <v>10456</v>
      </c>
      <c r="D21511">
        <v>0</v>
      </c>
      <c r="E21511">
        <v>0</v>
      </c>
      <c r="F21511">
        <v>2924</v>
      </c>
    </row>
    <row r="21512" spans="1:6" ht="12.75">
      <c r="A21512" s="2">
        <v>43875.972395833334</v>
      </c>
      <c r="B21512" t="str">
        <f>HYPERLINK("https://twitter.com/cykabilalt","@cykabilalt")</f>
        <v>@cykabilalt</v>
      </c>
      <c r="C21512" t="s">
        <v>5168</v>
      </c>
      <c r="D21512">
        <v>1173</v>
      </c>
      <c r="E21512">
        <v>0</v>
      </c>
      <c r="F21512">
        <v>85</v>
      </c>
    </row>
    <row r="21513" spans="1:6" ht="12.75">
      <c r="A21513" s="2">
        <v>43875.972337962958</v>
      </c>
      <c r="B21513" t="str">
        <f>HYPERLINK("https://twitter.com/fardybb","@fardybb")</f>
        <v>@fardybb</v>
      </c>
      <c r="C21513" t="s">
        <v>5168</v>
      </c>
      <c r="D21513">
        <v>1173</v>
      </c>
      <c r="E21513">
        <v>0</v>
      </c>
      <c r="F21513">
        <v>57</v>
      </c>
    </row>
    <row r="21514" spans="1:6" ht="12.75">
      <c r="A21514" s="2">
        <v>43875.972037037034</v>
      </c>
      <c r="B21514" t="str">
        <f>HYPERLINK("https://twitter.com/vantaekokoo","@vantaekokoo")</f>
        <v>@vantaekokoo</v>
      </c>
      <c r="C21514" t="s">
        <v>2444</v>
      </c>
      <c r="D21514">
        <v>3134</v>
      </c>
      <c r="E21514">
        <v>0</v>
      </c>
      <c r="F21514">
        <v>1129</v>
      </c>
    </row>
    <row r="21515" spans="1:6" ht="12.75">
      <c r="A21515" s="2">
        <v>43875.972002314811</v>
      </c>
      <c r="B21515" t="str">
        <f>HYPERLINK("https://twitter.com/Nu_rulkh","@Nu_rulkh")</f>
        <v>@Nu_rulkh</v>
      </c>
      <c r="C21515" t="s">
        <v>2110</v>
      </c>
      <c r="D21515">
        <v>61</v>
      </c>
      <c r="E21515">
        <v>0</v>
      </c>
      <c r="F21515">
        <v>214</v>
      </c>
    </row>
    <row r="21516" spans="1:6" ht="12.75">
      <c r="A21516" s="2">
        <v>43875.972002314811</v>
      </c>
      <c r="B21516" t="str">
        <f>HYPERLINK("https://twitter.com/fitrimallcom","@fitrimallcom")</f>
        <v>@fitrimallcom</v>
      </c>
      <c r="C21516" t="s">
        <v>10457</v>
      </c>
      <c r="D21516">
        <v>1</v>
      </c>
      <c r="E21516">
        <v>0</v>
      </c>
      <c r="F21516">
        <v>236</v>
      </c>
    </row>
    <row r="21517" spans="1:6" ht="12.75">
      <c r="A21517" s="2">
        <v>43875.971979166672</v>
      </c>
      <c r="B21517" t="str">
        <f>HYPERLINK("https://twitter.com/ISIS_Balik_NO","@ISIS_Balik_NO")</f>
        <v>@ISIS_Balik_NO</v>
      </c>
      <c r="C21517" t="s">
        <v>10458</v>
      </c>
      <c r="D21517">
        <v>0</v>
      </c>
      <c r="E21517">
        <v>1</v>
      </c>
      <c r="F21517">
        <v>5912</v>
      </c>
    </row>
    <row r="21518" spans="1:6" ht="12.75">
      <c r="A21518" s="2">
        <v>43875.971875000003</v>
      </c>
      <c r="B21518" t="str">
        <f>HYPERLINK("https://twitter.com/finajinnie","@finajinnie")</f>
        <v>@finajinnie</v>
      </c>
      <c r="C21518" t="s">
        <v>2444</v>
      </c>
      <c r="D21518">
        <v>3134</v>
      </c>
      <c r="E21518">
        <v>0</v>
      </c>
      <c r="F21518">
        <v>3413</v>
      </c>
    </row>
    <row r="21519" spans="1:6" ht="12.75">
      <c r="A21519" s="2">
        <v>43875.971863425926</v>
      </c>
      <c r="B21519" t="str">
        <f>HYPERLINK("https://twitter.com/ewoksurewok","@ewoksurewok")</f>
        <v>@ewoksurewok</v>
      </c>
      <c r="C21519" t="s">
        <v>2444</v>
      </c>
      <c r="D21519">
        <v>3134</v>
      </c>
      <c r="E21519">
        <v>0</v>
      </c>
      <c r="F21519">
        <v>814</v>
      </c>
    </row>
    <row r="21520" spans="1:6" ht="12.75">
      <c r="A21520" s="2">
        <v>43875.97184027778</v>
      </c>
      <c r="B21520" t="str">
        <f>HYPERLINK("https://twitter.com/dandebun","@dandebun")</f>
        <v>@dandebun</v>
      </c>
      <c r="C21520" t="s">
        <v>2444</v>
      </c>
      <c r="D21520">
        <v>3134</v>
      </c>
      <c r="E21520">
        <v>0</v>
      </c>
      <c r="F21520">
        <v>147</v>
      </c>
    </row>
    <row r="21521" spans="1:6" ht="12.75">
      <c r="A21521" s="2">
        <v>43875.971817129626</v>
      </c>
      <c r="B21521" t="str">
        <f>HYPERLINK("https://twitter.com/LuwitaEmilly878","@LuwitaEmilly878")</f>
        <v>@LuwitaEmilly878</v>
      </c>
      <c r="C21521" t="s">
        <v>10459</v>
      </c>
      <c r="D21521">
        <v>0</v>
      </c>
      <c r="E21521">
        <v>2</v>
      </c>
      <c r="F21521">
        <v>11690</v>
      </c>
    </row>
    <row r="21522" spans="1:6" ht="12.75">
      <c r="A21522" s="2">
        <v>43875.971689814818</v>
      </c>
      <c r="B21522" t="str">
        <f>HYPERLINK("https://twitter.com/ISIS_Balik_NO","@ISIS_Balik_NO")</f>
        <v>@ISIS_Balik_NO</v>
      </c>
      <c r="C21522" t="s">
        <v>10460</v>
      </c>
      <c r="D21522">
        <v>1</v>
      </c>
      <c r="E21522">
        <v>0</v>
      </c>
      <c r="F21522">
        <v>5912</v>
      </c>
    </row>
    <row r="21523" spans="1:6" ht="12.75">
      <c r="A21523" s="2">
        <v>43875.971539351856</v>
      </c>
      <c r="B21523" t="str">
        <f>HYPERLINK("https://twitter.com/fayecreedo","@fayecreedo")</f>
        <v>@fayecreedo</v>
      </c>
      <c r="C21523" t="s">
        <v>5168</v>
      </c>
      <c r="D21523">
        <v>1173</v>
      </c>
      <c r="E21523">
        <v>0</v>
      </c>
      <c r="F21523">
        <v>62</v>
      </c>
    </row>
    <row r="21524" spans="1:6" ht="12.75">
      <c r="A21524" s="2">
        <v>43875.97148148148</v>
      </c>
      <c r="B21524" t="str">
        <f>HYPERLINK("https://twitter.com/davinamm","@davinamm")</f>
        <v>@davinamm</v>
      </c>
      <c r="C21524" t="s">
        <v>2444</v>
      </c>
      <c r="D21524">
        <v>3134</v>
      </c>
      <c r="E21524">
        <v>0</v>
      </c>
      <c r="F21524">
        <v>556</v>
      </c>
    </row>
    <row r="21525" spans="1:6" ht="12.75">
      <c r="A21525" s="2">
        <v>43875.97146990741</v>
      </c>
      <c r="B21525" t="str">
        <f>HYPERLINK("https://twitter.com/nlprskl","@nlprskl")</f>
        <v>@nlprskl</v>
      </c>
      <c r="C21525" t="s">
        <v>10461</v>
      </c>
      <c r="D21525">
        <v>0</v>
      </c>
      <c r="E21525">
        <v>0</v>
      </c>
      <c r="F21525">
        <v>469</v>
      </c>
    </row>
    <row r="21526" spans="1:6" ht="12.75">
      <c r="A21526" s="2">
        <v>43875.97146990741</v>
      </c>
      <c r="B21526" t="str">
        <f>HYPERLINK("https://twitter.com/fotografure","@fotografure")</f>
        <v>@fotografure</v>
      </c>
      <c r="C21526" t="s">
        <v>2137</v>
      </c>
      <c r="D21526">
        <v>219</v>
      </c>
      <c r="E21526">
        <v>0</v>
      </c>
      <c r="F21526">
        <v>396</v>
      </c>
    </row>
    <row r="21527" spans="1:6" ht="12.75">
      <c r="A21527" s="2">
        <v>43875.971250000002</v>
      </c>
      <c r="B21527" t="str">
        <f>HYPERLINK("https://twitter.com/NgocehNumpang","@NgocehNumpang")</f>
        <v>@NgocehNumpang</v>
      </c>
      <c r="C21527" t="s">
        <v>10462</v>
      </c>
      <c r="D21527">
        <v>238</v>
      </c>
      <c r="E21527">
        <v>0</v>
      </c>
      <c r="F21527">
        <v>0</v>
      </c>
    </row>
    <row r="21528" spans="1:6" ht="12.75">
      <c r="A21528" s="2">
        <v>43875.971215277779</v>
      </c>
      <c r="B21528" t="str">
        <f>HYPERLINK("https://twitter.com/Mukhtarmichyu1","@Mukhtarmichyu1")</f>
        <v>@Mukhtarmichyu1</v>
      </c>
      <c r="C21528" t="s">
        <v>9198</v>
      </c>
      <c r="D21528">
        <v>88</v>
      </c>
      <c r="E21528">
        <v>0</v>
      </c>
      <c r="F21528">
        <v>441</v>
      </c>
    </row>
    <row r="21529" spans="1:6" ht="12.75">
      <c r="A21529" s="2">
        <v>43875.971203703702</v>
      </c>
      <c r="B21529" t="str">
        <f>HYPERLINK("https://twitter.com/davinamm","@davinamm")</f>
        <v>@davinamm</v>
      </c>
      <c r="C21529" t="s">
        <v>5168</v>
      </c>
      <c r="D21529">
        <v>1173</v>
      </c>
      <c r="E21529">
        <v>0</v>
      </c>
      <c r="F21529">
        <v>556</v>
      </c>
    </row>
    <row r="21530" spans="1:6" ht="12.75">
      <c r="A21530" s="2">
        <v>43875.971180555556</v>
      </c>
      <c r="B21530" t="str">
        <f>HYPERLINK("https://twitter.com/FAntasanusa","@FAntasanusa")</f>
        <v>@FAntasanusa</v>
      </c>
      <c r="C21530" t="s">
        <v>10052</v>
      </c>
      <c r="D21530">
        <v>104</v>
      </c>
      <c r="E21530">
        <v>0</v>
      </c>
      <c r="F21530">
        <v>762</v>
      </c>
    </row>
    <row r="21531" spans="1:6" ht="12.75">
      <c r="A21531" s="2">
        <v>43875.971087962964</v>
      </c>
      <c r="B21531" t="str">
        <f>HYPERLINK("https://twitter.com/rwndamel","@rwndamel")</f>
        <v>@rwndamel</v>
      </c>
      <c r="C21531" t="s">
        <v>2444</v>
      </c>
      <c r="D21531">
        <v>3134</v>
      </c>
      <c r="E21531">
        <v>0</v>
      </c>
      <c r="F21531">
        <v>416</v>
      </c>
    </row>
    <row r="21532" spans="1:6" ht="12.75">
      <c r="A21532" s="2">
        <v>43875.971064814818</v>
      </c>
      <c r="B21532" t="str">
        <f>HYPERLINK("https://twitter.com/nmpea","@nmpea")</f>
        <v>@nmpea</v>
      </c>
      <c r="C21532" t="s">
        <v>5168</v>
      </c>
      <c r="D21532">
        <v>1173</v>
      </c>
      <c r="E21532">
        <v>0</v>
      </c>
      <c r="F21532">
        <v>298</v>
      </c>
    </row>
    <row r="21533" spans="1:6" ht="12.75">
      <c r="A21533" s="2">
        <v>43875.970995370371</v>
      </c>
      <c r="B21533" t="str">
        <f>HYPERLINK("https://twitter.com/diannovie","@diannovie")</f>
        <v>@diannovie</v>
      </c>
      <c r="C21533" t="s">
        <v>10142</v>
      </c>
      <c r="D21533">
        <v>9</v>
      </c>
      <c r="E21533">
        <v>0</v>
      </c>
      <c r="F21533">
        <v>5086</v>
      </c>
    </row>
    <row r="21534" spans="1:6" ht="12.75">
      <c r="A21534" s="2">
        <v>43875.970983796295</v>
      </c>
      <c r="B21534" t="str">
        <f>HYPERLINK("https://twitter.com/elinoktavianii","@elinoktavianii")</f>
        <v>@elinoktavianii</v>
      </c>
      <c r="C21534" t="s">
        <v>10463</v>
      </c>
      <c r="D21534">
        <v>0</v>
      </c>
      <c r="E21534">
        <v>0</v>
      </c>
      <c r="F21534">
        <v>323</v>
      </c>
    </row>
    <row r="21535" spans="1:6" ht="12.75">
      <c r="A21535" s="2">
        <v>43875.970949074079</v>
      </c>
      <c r="B21535" t="str">
        <f>HYPERLINK("https://twitter.com/hadenberg_ryan","@hadenberg_ryan")</f>
        <v>@hadenberg_ryan</v>
      </c>
      <c r="C21535" t="s">
        <v>2963</v>
      </c>
      <c r="D21535">
        <v>1179</v>
      </c>
      <c r="E21535">
        <v>0</v>
      </c>
      <c r="F21535">
        <v>255</v>
      </c>
    </row>
    <row r="21536" spans="1:6" ht="12.75">
      <c r="A21536" s="2">
        <v>43875.970925925925</v>
      </c>
      <c r="B21536" t="str">
        <f>HYPERLINK("https://twitter.com/siticholifah28","@siticholifah28")</f>
        <v>@siticholifah28</v>
      </c>
      <c r="C21536" t="s">
        <v>9666</v>
      </c>
      <c r="D21536">
        <v>20</v>
      </c>
      <c r="E21536">
        <v>0</v>
      </c>
      <c r="F21536">
        <v>6</v>
      </c>
    </row>
    <row r="21537" spans="1:6" ht="12.75">
      <c r="A21537" s="2">
        <v>43875.970902777779</v>
      </c>
      <c r="B21537" t="str">
        <f>HYPERLINK("https://twitter.com/ikutsiapa","@ikutsiapa")</f>
        <v>@ikutsiapa</v>
      </c>
      <c r="C21537" t="s">
        <v>10464</v>
      </c>
      <c r="D21537">
        <v>0</v>
      </c>
      <c r="E21537">
        <v>0</v>
      </c>
      <c r="F21537">
        <v>236</v>
      </c>
    </row>
    <row r="21538" spans="1:6" ht="12.75">
      <c r="A21538" s="2">
        <v>43875.97084490741</v>
      </c>
      <c r="B21538" t="str">
        <f>HYPERLINK("https://twitter.com/tandanVradio","@tandanVradio")</f>
        <v>@tandanVradio</v>
      </c>
      <c r="C21538" t="s">
        <v>10465</v>
      </c>
      <c r="D21538">
        <v>1</v>
      </c>
      <c r="E21538">
        <v>0</v>
      </c>
      <c r="F21538">
        <v>2757</v>
      </c>
    </row>
    <row r="21539" spans="1:6" ht="12.75">
      <c r="A21539" s="2">
        <v>43875.970659722225</v>
      </c>
      <c r="B21539" t="str">
        <f>HYPERLINK("https://twitter.com/byunleee___","@byunleee___")</f>
        <v>@byunleee___</v>
      </c>
      <c r="C21539" t="s">
        <v>9067</v>
      </c>
      <c r="D21539">
        <v>60</v>
      </c>
      <c r="E21539">
        <v>0</v>
      </c>
      <c r="F21539">
        <v>10020</v>
      </c>
    </row>
    <row r="21540" spans="1:6" ht="12.75">
      <c r="A21540" s="2">
        <v>43875.970532407402</v>
      </c>
      <c r="B21540" t="str">
        <f>HYPERLINK("https://twitter.com/godaasmara","@godaasmara")</f>
        <v>@godaasmara</v>
      </c>
      <c r="C21540" t="s">
        <v>10466</v>
      </c>
      <c r="D21540">
        <v>1</v>
      </c>
      <c r="E21540">
        <v>3</v>
      </c>
      <c r="F21540">
        <v>354</v>
      </c>
    </row>
    <row r="21541" spans="1:6" ht="12.75">
      <c r="A21541" s="2">
        <v>43875.970266203702</v>
      </c>
      <c r="B21541" t="str">
        <f>HYPERLINK("https://twitter.com/gammanic","@gammanic")</f>
        <v>@gammanic</v>
      </c>
      <c r="C21541" t="s">
        <v>2444</v>
      </c>
      <c r="D21541">
        <v>3134</v>
      </c>
      <c r="E21541">
        <v>0</v>
      </c>
      <c r="F21541">
        <v>99</v>
      </c>
    </row>
    <row r="21542" spans="1:6" ht="12.75">
      <c r="A21542" s="2">
        <v>43875.969861111109</v>
      </c>
      <c r="B21542" t="str">
        <f>HYPERLINK("https://twitter.com/luqman78","@luqman78")</f>
        <v>@luqman78</v>
      </c>
      <c r="C21542" t="s">
        <v>7478</v>
      </c>
      <c r="D21542">
        <v>440</v>
      </c>
      <c r="E21542">
        <v>0</v>
      </c>
      <c r="F21542">
        <v>289</v>
      </c>
    </row>
    <row r="21543" spans="1:6" ht="12.75">
      <c r="A21543" s="2">
        <v>43875.969826388886</v>
      </c>
      <c r="B21543" t="str">
        <f>HYPERLINK("https://twitter.com/byunleee___","@byunleee___")</f>
        <v>@byunleee___</v>
      </c>
      <c r="C21543" t="s">
        <v>2444</v>
      </c>
      <c r="D21543">
        <v>3134</v>
      </c>
      <c r="E21543">
        <v>0</v>
      </c>
      <c r="F21543">
        <v>10020</v>
      </c>
    </row>
    <row r="21544" spans="1:6" ht="12.75">
      <c r="A21544" s="2">
        <v>43875.969722222224</v>
      </c>
      <c r="B21544" t="str">
        <f>HYPERLINK("https://twitter.com/ridho_w","@ridho_w")</f>
        <v>@ridho_w</v>
      </c>
      <c r="C21544" t="s">
        <v>6201</v>
      </c>
      <c r="D21544">
        <v>298</v>
      </c>
      <c r="E21544">
        <v>0</v>
      </c>
      <c r="F21544">
        <v>1416</v>
      </c>
    </row>
    <row r="21545" spans="1:6" ht="12.75">
      <c r="A21545" s="2">
        <v>43875.969513888893</v>
      </c>
      <c r="B21545" t="str">
        <f>HYPERLINK("https://twitter.com/watashiwakarind","@watashiwakarind")</f>
        <v>@watashiwakarind</v>
      </c>
      <c r="C21545" t="s">
        <v>2444</v>
      </c>
      <c r="D21545">
        <v>3134</v>
      </c>
      <c r="E21545">
        <v>0</v>
      </c>
      <c r="F21545">
        <v>847</v>
      </c>
    </row>
    <row r="21546" spans="1:6" ht="12.75">
      <c r="A21546" s="2">
        <v>43875.969351851847</v>
      </c>
      <c r="B21546" t="str">
        <f>HYPERLINK("https://twitter.com/JulagTahtagathi","@JulagTahtagathi")</f>
        <v>@JulagTahtagathi</v>
      </c>
      <c r="C21546" t="s">
        <v>10086</v>
      </c>
      <c r="D21546">
        <v>2</v>
      </c>
      <c r="E21546">
        <v>0</v>
      </c>
      <c r="F21546">
        <v>82</v>
      </c>
    </row>
    <row r="21547" spans="1:6" ht="12.75">
      <c r="A21547" s="2">
        <v>43875.969282407408</v>
      </c>
      <c r="B21547" t="str">
        <f>HYPERLINK("https://twitter.com/faizfn95","@faizfn95")</f>
        <v>@faizfn95</v>
      </c>
      <c r="C21547" t="s">
        <v>10052</v>
      </c>
      <c r="D21547">
        <v>104</v>
      </c>
      <c r="E21547">
        <v>0</v>
      </c>
      <c r="F21547">
        <v>255</v>
      </c>
    </row>
    <row r="21548" spans="1:6" ht="12.75">
      <c r="A21548" s="2">
        <v>43875.969282407408</v>
      </c>
      <c r="B21548" t="str">
        <f>HYPERLINK("https://twitter.com/GweKwat","@GweKwat")</f>
        <v>@GweKwat</v>
      </c>
      <c r="C21548" t="s">
        <v>8754</v>
      </c>
      <c r="D21548">
        <v>14</v>
      </c>
      <c r="E21548">
        <v>0</v>
      </c>
      <c r="F21548">
        <v>1554</v>
      </c>
    </row>
    <row r="21549" spans="1:6" ht="12.75">
      <c r="A21549" s="2">
        <v>43875.9690162037</v>
      </c>
      <c r="B21549" t="str">
        <f>HYPERLINK("https://twitter.com/abahirvan","@abahirvan")</f>
        <v>@abahirvan</v>
      </c>
      <c r="C21549" t="s">
        <v>10086</v>
      </c>
      <c r="D21549">
        <v>2</v>
      </c>
      <c r="E21549">
        <v>0</v>
      </c>
      <c r="F21549">
        <v>335</v>
      </c>
    </row>
    <row r="21550" spans="1:6" ht="12.75">
      <c r="A21550" s="2">
        <v>43875.968912037039</v>
      </c>
      <c r="B21550" t="str">
        <f>HYPERLINK("https://twitter.com/flavorbubble","@flavorbubble")</f>
        <v>@flavorbubble</v>
      </c>
      <c r="C21550" t="s">
        <v>2444</v>
      </c>
      <c r="D21550">
        <v>3134</v>
      </c>
      <c r="E21550">
        <v>0</v>
      </c>
      <c r="F21550">
        <v>412</v>
      </c>
    </row>
    <row r="21551" spans="1:6" ht="12.75">
      <c r="A21551" s="2">
        <v>43875.968865740739</v>
      </c>
      <c r="B21551" t="str">
        <f>HYPERLINK("https://twitter.com/boy_harth","@boy_harth")</f>
        <v>@boy_harth</v>
      </c>
      <c r="C21551" t="s">
        <v>8754</v>
      </c>
      <c r="D21551">
        <v>14</v>
      </c>
      <c r="E21551">
        <v>0</v>
      </c>
      <c r="F21551">
        <v>1054</v>
      </c>
    </row>
    <row r="21552" spans="1:6" ht="12.75">
      <c r="A21552" s="2">
        <v>43875.968784722223</v>
      </c>
      <c r="B21552" t="str">
        <f>HYPERLINK("https://twitter.com/sleeplesshero","@sleeplesshero")</f>
        <v>@sleeplesshero</v>
      </c>
      <c r="C21552" t="s">
        <v>2444</v>
      </c>
      <c r="D21552">
        <v>3134</v>
      </c>
      <c r="E21552">
        <v>0</v>
      </c>
      <c r="F21552">
        <v>192</v>
      </c>
    </row>
    <row r="21553" spans="1:6" ht="12.75">
      <c r="A21553" s="2">
        <v>43875.96875</v>
      </c>
      <c r="B21553" t="str">
        <f>HYPERLINK("https://twitter.com/CNNIDdaily","@CNNIDdaily")</f>
        <v>@CNNIDdaily</v>
      </c>
      <c r="C21553" t="s">
        <v>10467</v>
      </c>
      <c r="D21553">
        <v>2</v>
      </c>
      <c r="E21553">
        <v>3</v>
      </c>
      <c r="F21553">
        <v>115930</v>
      </c>
    </row>
    <row r="21554" spans="1:6" ht="12.75">
      <c r="A21554" s="2">
        <v>43875.968726851846</v>
      </c>
      <c r="B21554" t="str">
        <f>HYPERLINK("https://twitter.com/seuptember","@seuptember")</f>
        <v>@seuptember</v>
      </c>
      <c r="C21554" t="s">
        <v>2444</v>
      </c>
      <c r="D21554">
        <v>3134</v>
      </c>
      <c r="E21554">
        <v>0</v>
      </c>
      <c r="F21554">
        <v>388</v>
      </c>
    </row>
    <row r="21555" spans="1:6" ht="12.75">
      <c r="A21555" s="2">
        <v>43875.968495370369</v>
      </c>
      <c r="B21555" t="str">
        <f>HYPERLINK("https://twitter.com/mikrokosmoszh","@mikrokosmoszh")</f>
        <v>@mikrokosmoszh</v>
      </c>
      <c r="C21555" t="s">
        <v>2444</v>
      </c>
      <c r="D21555">
        <v>3134</v>
      </c>
      <c r="E21555">
        <v>0</v>
      </c>
      <c r="F21555">
        <v>84</v>
      </c>
    </row>
    <row r="21556" spans="1:6" ht="12.75">
      <c r="A21556" s="2">
        <v>43875.968425925923</v>
      </c>
      <c r="B21556" t="str">
        <f>HYPERLINK("https://twitter.com/pilumembiru__","@pilumembiru__")</f>
        <v>@pilumembiru__</v>
      </c>
      <c r="C21556" t="s">
        <v>2444</v>
      </c>
      <c r="D21556">
        <v>3134</v>
      </c>
      <c r="E21556">
        <v>0</v>
      </c>
      <c r="F21556">
        <v>799</v>
      </c>
    </row>
    <row r="21557" spans="1:6" ht="12.75">
      <c r="A21557" s="2">
        <v>43875.968414351853</v>
      </c>
      <c r="B21557" t="str">
        <f>HYPERLINK("https://twitter.com/P_Eneste","@P_Eneste")</f>
        <v>@P_Eneste</v>
      </c>
      <c r="C21557" t="s">
        <v>10468</v>
      </c>
      <c r="D21557">
        <v>4</v>
      </c>
      <c r="E21557">
        <v>8</v>
      </c>
      <c r="F21557">
        <v>1349</v>
      </c>
    </row>
    <row r="21558" spans="1:6" ht="12.75">
      <c r="A21558" s="2">
        <v>43875.9683912037</v>
      </c>
      <c r="B21558" t="str">
        <f>HYPERLINK("https://twitter.com/evanggar_","@evanggar_")</f>
        <v>@evanggar_</v>
      </c>
      <c r="C21558" t="s">
        <v>8233</v>
      </c>
      <c r="D21558">
        <v>522</v>
      </c>
      <c r="E21558">
        <v>0</v>
      </c>
      <c r="F21558">
        <v>257</v>
      </c>
    </row>
    <row r="21559" spans="1:6" ht="12.75">
      <c r="A21559" s="2">
        <v>43875.968194444446</v>
      </c>
      <c r="B21559" t="str">
        <f>HYPERLINK("https://twitter.com/wildandwe","@wildandwe")</f>
        <v>@wildandwe</v>
      </c>
      <c r="C21559" t="s">
        <v>9746</v>
      </c>
      <c r="D21559">
        <v>403</v>
      </c>
      <c r="E21559">
        <v>0</v>
      </c>
      <c r="F21559">
        <v>201</v>
      </c>
    </row>
    <row r="21560" spans="1:6" ht="12.75">
      <c r="A21560" s="2">
        <v>43875.968171296292</v>
      </c>
      <c r="B21560" t="str">
        <f>HYPERLINK("https://twitter.com/_peachyongie","@_peachyongie")</f>
        <v>@_peachyongie</v>
      </c>
      <c r="C21560" t="s">
        <v>5168</v>
      </c>
      <c r="D21560">
        <v>1173</v>
      </c>
      <c r="E21560">
        <v>0</v>
      </c>
      <c r="F21560">
        <v>42</v>
      </c>
    </row>
    <row r="21561" spans="1:6" ht="12.75">
      <c r="A21561" s="2">
        <v>43875.96802083333</v>
      </c>
      <c r="B21561" t="str">
        <f>HYPERLINK("https://twitter.com/piyuanker12","@piyuanker12")</f>
        <v>@piyuanker12</v>
      </c>
      <c r="C21561" t="s">
        <v>10469</v>
      </c>
      <c r="D21561">
        <v>4</v>
      </c>
      <c r="E21561">
        <v>0</v>
      </c>
      <c r="F21561">
        <v>3754</v>
      </c>
    </row>
    <row r="21562" spans="1:6" ht="12.75">
      <c r="A21562" s="2">
        <v>43875.967986111107</v>
      </c>
      <c r="B21562" t="str">
        <f>HYPERLINK("https://twitter.com/ochanissa","@ochanissa")</f>
        <v>@ochanissa</v>
      </c>
      <c r="C21562" t="s">
        <v>10470</v>
      </c>
      <c r="D21562">
        <v>0</v>
      </c>
      <c r="E21562">
        <v>0</v>
      </c>
      <c r="F21562">
        <v>487</v>
      </c>
    </row>
    <row r="21563" spans="1:6" ht="12.75">
      <c r="A21563" s="2">
        <v>43875.967893518522</v>
      </c>
      <c r="B21563" t="str">
        <f>HYPERLINK("https://twitter.com/lalaland_uii","@lalaland_uii")</f>
        <v>@lalaland_uii</v>
      </c>
      <c r="C21563" t="s">
        <v>5168</v>
      </c>
      <c r="D21563">
        <v>1173</v>
      </c>
      <c r="E21563">
        <v>0</v>
      </c>
      <c r="F21563">
        <v>342</v>
      </c>
    </row>
    <row r="21564" spans="1:6" ht="12.75">
      <c r="A21564" s="2">
        <v>43875.967881944445</v>
      </c>
      <c r="B21564" t="str">
        <f>HYPERLINK("https://twitter.com/MalikiMarvell","@MalikiMarvell")</f>
        <v>@MalikiMarvell</v>
      </c>
      <c r="C21564" t="s">
        <v>10471</v>
      </c>
      <c r="D21564">
        <v>0</v>
      </c>
      <c r="E21564">
        <v>0</v>
      </c>
      <c r="F21564">
        <v>1512</v>
      </c>
    </row>
    <row r="21565" spans="1:6" ht="12.75">
      <c r="A21565" s="2">
        <v>43875.967858796299</v>
      </c>
      <c r="B21565" t="str">
        <f>HYPERLINK("https://twitter.com/unwxxnted","@unwxxnted")</f>
        <v>@unwxxnted</v>
      </c>
      <c r="C21565" t="s">
        <v>5168</v>
      </c>
      <c r="D21565">
        <v>1173</v>
      </c>
      <c r="E21565">
        <v>0</v>
      </c>
      <c r="F21565">
        <v>1890</v>
      </c>
    </row>
    <row r="21566" spans="1:6" ht="12.75">
      <c r="A21566" s="2">
        <v>43875.967777777776</v>
      </c>
      <c r="B21566" t="str">
        <f>HYPERLINK("https://twitter.com/HwangLisda","@HwangLisda")</f>
        <v>@HwangLisda</v>
      </c>
      <c r="C21566" t="s">
        <v>2444</v>
      </c>
      <c r="D21566">
        <v>3134</v>
      </c>
      <c r="E21566">
        <v>0</v>
      </c>
      <c r="F21566">
        <v>0</v>
      </c>
    </row>
    <row r="21567" spans="1:6" ht="12.75">
      <c r="A21567" s="2">
        <v>43875.967627314814</v>
      </c>
      <c r="B21567" t="str">
        <f>HYPERLINK("https://twitter.com/Afnan01094586","@Afnan01094586")</f>
        <v>@Afnan01094586</v>
      </c>
      <c r="C21567" t="s">
        <v>2963</v>
      </c>
      <c r="D21567">
        <v>1179</v>
      </c>
      <c r="E21567">
        <v>0</v>
      </c>
      <c r="F21567">
        <v>3</v>
      </c>
    </row>
    <row r="21568" spans="1:6" ht="12.75">
      <c r="A21568" s="2">
        <v>43875.967581018514</v>
      </c>
      <c r="B21568" t="str">
        <f>HYPERLINK("https://twitter.com/EdigemborGe","@EdigemborGe")</f>
        <v>@EdigemborGe</v>
      </c>
      <c r="C21568" t="s">
        <v>10472</v>
      </c>
      <c r="D21568">
        <v>0</v>
      </c>
      <c r="E21568">
        <v>1</v>
      </c>
      <c r="F21568">
        <v>82</v>
      </c>
    </row>
    <row r="21569" spans="1:6" ht="12.75">
      <c r="A21569" s="2">
        <v>43875.967569444445</v>
      </c>
      <c r="B21569" t="str">
        <f>HYPERLINK("https://twitter.com/ilmiboy","@ilmiboy")</f>
        <v>@ilmiboy</v>
      </c>
      <c r="C21569" t="s">
        <v>2110</v>
      </c>
      <c r="D21569">
        <v>61</v>
      </c>
      <c r="E21569">
        <v>0</v>
      </c>
      <c r="F21569">
        <v>544</v>
      </c>
    </row>
    <row r="21570" spans="1:6" ht="12.75">
      <c r="A21570" s="2">
        <v>43875.967534722222</v>
      </c>
      <c r="B21570" t="str">
        <f>HYPERLINK("https://twitter.com/_peachyongie","@_peachyongie")</f>
        <v>@_peachyongie</v>
      </c>
      <c r="C21570" t="s">
        <v>2444</v>
      </c>
      <c r="D21570">
        <v>3134</v>
      </c>
      <c r="E21570">
        <v>0</v>
      </c>
      <c r="F21570">
        <v>42</v>
      </c>
    </row>
    <row r="21571" spans="1:6" ht="12.75">
      <c r="A21571" s="2">
        <v>43875.967453703706</v>
      </c>
      <c r="B21571" t="str">
        <f>HYPERLINK("https://twitter.com/ani_wanti","@ani_wanti")</f>
        <v>@ani_wanti</v>
      </c>
      <c r="C21571" t="s">
        <v>9857</v>
      </c>
      <c r="D21571">
        <v>17</v>
      </c>
      <c r="E21571">
        <v>0</v>
      </c>
      <c r="F21571">
        <v>6</v>
      </c>
    </row>
    <row r="21572" spans="1:6" ht="12.75">
      <c r="A21572" s="2">
        <v>43875.96738425926</v>
      </c>
      <c r="B21572" t="str">
        <f>HYPERLINK("https://twitter.com/NYMPH_ALBA","@NYMPH_ALBA")</f>
        <v>@NYMPH_ALBA</v>
      </c>
      <c r="C21572" t="s">
        <v>10473</v>
      </c>
      <c r="D21572">
        <v>0</v>
      </c>
      <c r="E21572">
        <v>1</v>
      </c>
      <c r="F21572">
        <v>162</v>
      </c>
    </row>
    <row r="21573" spans="1:6" ht="12.75">
      <c r="A21573" s="2">
        <v>43875.967372685191</v>
      </c>
      <c r="B21573" t="str">
        <f>HYPERLINK("https://twitter.com/standay6exo","@standay6exo")</f>
        <v>@standay6exo</v>
      </c>
      <c r="C21573" t="s">
        <v>2444</v>
      </c>
      <c r="D21573">
        <v>3134</v>
      </c>
      <c r="E21573">
        <v>0</v>
      </c>
      <c r="F21573">
        <v>369</v>
      </c>
    </row>
    <row r="21574" spans="1:6" ht="12.75">
      <c r="A21574" s="2">
        <v>43875.967314814814</v>
      </c>
      <c r="B21574" t="str">
        <f>HYPERLINK("https://twitter.com/salahsambungya","@salahsambungya")</f>
        <v>@salahsambungya</v>
      </c>
      <c r="C21574" t="s">
        <v>10474</v>
      </c>
      <c r="D21574">
        <v>1</v>
      </c>
      <c r="E21574">
        <v>0</v>
      </c>
      <c r="F21574">
        <v>5211</v>
      </c>
    </row>
    <row r="21575" spans="1:6" ht="12.75">
      <c r="A21575" s="2">
        <v>43875.967141203699</v>
      </c>
      <c r="B21575" t="str">
        <f>HYPERLINK("https://twitter.com/pureunmulgyeol","@pureunmulgyeol")</f>
        <v>@pureunmulgyeol</v>
      </c>
      <c r="C21575" t="s">
        <v>2444</v>
      </c>
      <c r="D21575">
        <v>3134</v>
      </c>
      <c r="E21575">
        <v>0</v>
      </c>
      <c r="F21575">
        <v>719</v>
      </c>
    </row>
    <row r="21576" spans="1:6" ht="12.75">
      <c r="A21576" s="2">
        <v>43875.967106481483</v>
      </c>
      <c r="B21576" t="str">
        <f>HYPERLINK("https://twitter.com/avabidadari","@avabidadari")</f>
        <v>@avabidadari</v>
      </c>
      <c r="C21576" t="s">
        <v>9067</v>
      </c>
      <c r="D21576">
        <v>60</v>
      </c>
      <c r="E21576">
        <v>0</v>
      </c>
      <c r="F21576">
        <v>1601</v>
      </c>
    </row>
    <row r="21577" spans="1:6" ht="12.75">
      <c r="A21577" s="2">
        <v>43875.967083333337</v>
      </c>
      <c r="B21577" t="str">
        <f>HYPERLINK("https://twitter.com/artikarauf","@artikarauf")</f>
        <v>@artikarauf</v>
      </c>
      <c r="C21577" t="s">
        <v>5168</v>
      </c>
      <c r="D21577">
        <v>1173</v>
      </c>
      <c r="E21577">
        <v>0</v>
      </c>
      <c r="F21577">
        <v>519</v>
      </c>
    </row>
    <row r="21578" spans="1:6" ht="12.75">
      <c r="A21578" s="2">
        <v>43875.96707175926</v>
      </c>
      <c r="B21578" t="str">
        <f>HYPERLINK("https://twitter.com/dianofra","@dianofra")</f>
        <v>@dianofra</v>
      </c>
      <c r="C21578" t="s">
        <v>5168</v>
      </c>
      <c r="D21578">
        <v>1173</v>
      </c>
      <c r="E21578">
        <v>0</v>
      </c>
      <c r="F21578">
        <v>709</v>
      </c>
    </row>
    <row r="21579" spans="1:6" ht="12.75">
      <c r="A21579" s="2">
        <v>43875.967037037037</v>
      </c>
      <c r="B21579" t="str">
        <f>HYPERLINK("https://twitter.com/salahsambungya","@salahsambungya")</f>
        <v>@salahsambungya</v>
      </c>
      <c r="C21579" t="s">
        <v>10475</v>
      </c>
      <c r="D21579">
        <v>1</v>
      </c>
      <c r="E21579">
        <v>0</v>
      </c>
      <c r="F21579">
        <v>5211</v>
      </c>
    </row>
    <row r="21580" spans="1:6" ht="12.75">
      <c r="A21580" s="2">
        <v>43875.966956018514</v>
      </c>
      <c r="B21580" t="str">
        <f>HYPERLINK("https://twitter.com/becak125cc","@becak125cc")</f>
        <v>@becak125cc</v>
      </c>
      <c r="C21580" t="s">
        <v>10114</v>
      </c>
      <c r="D21580">
        <v>22</v>
      </c>
      <c r="E21580">
        <v>0</v>
      </c>
      <c r="F21580">
        <v>498</v>
      </c>
    </row>
    <row r="21581" spans="1:6" ht="12.75">
      <c r="A21581" s="2">
        <v>43875.966909722221</v>
      </c>
      <c r="B21581" t="str">
        <f>HYPERLINK("https://twitter.com/avabidadari","@avabidadari")</f>
        <v>@avabidadari</v>
      </c>
      <c r="C21581" t="s">
        <v>9123</v>
      </c>
      <c r="D21581">
        <v>307</v>
      </c>
      <c r="E21581">
        <v>0</v>
      </c>
      <c r="F21581">
        <v>1601</v>
      </c>
    </row>
    <row r="21582" spans="1:6" ht="12.75">
      <c r="A21582" s="2">
        <v>43875.966793981483</v>
      </c>
      <c r="B21582" t="str">
        <f>HYPERLINK("https://twitter.com/luluhabati","@luluhabati")</f>
        <v>@luluhabati</v>
      </c>
      <c r="C21582" t="s">
        <v>5168</v>
      </c>
      <c r="D21582">
        <v>1173</v>
      </c>
      <c r="E21582">
        <v>0</v>
      </c>
      <c r="F21582">
        <v>450</v>
      </c>
    </row>
    <row r="21583" spans="1:6" ht="12.75">
      <c r="A21583" s="2">
        <v>43875.966736111106</v>
      </c>
      <c r="B21583" t="str">
        <f>HYPERLINK("https://twitter.com/foresterdupan","@foresterdupan")</f>
        <v>@foresterdupan</v>
      </c>
      <c r="C21583" t="s">
        <v>6201</v>
      </c>
      <c r="D21583">
        <v>298</v>
      </c>
      <c r="E21583">
        <v>0</v>
      </c>
      <c r="F21583">
        <v>44</v>
      </c>
    </row>
    <row r="21584" spans="1:6" ht="12.75">
      <c r="A21584" s="2">
        <v>43875.96670138889</v>
      </c>
      <c r="B21584" t="str">
        <f>HYPERLINK("https://twitter.com/naflanis_","@naflanis_")</f>
        <v>@naflanis_</v>
      </c>
      <c r="C21584" t="s">
        <v>2444</v>
      </c>
      <c r="D21584">
        <v>3134</v>
      </c>
      <c r="E21584">
        <v>0</v>
      </c>
      <c r="F21584">
        <v>17</v>
      </c>
    </row>
    <row r="21585" spans="1:6" ht="12.75">
      <c r="A21585" s="2">
        <v>43875.966585648144</v>
      </c>
      <c r="B21585" t="str">
        <f>HYPERLINK("https://twitter.com/YusufNusantara1","@YusufNusantara1")</f>
        <v>@YusufNusantara1</v>
      </c>
      <c r="C21585" t="s">
        <v>10142</v>
      </c>
      <c r="D21585">
        <v>9</v>
      </c>
      <c r="E21585">
        <v>0</v>
      </c>
      <c r="F21585">
        <v>693</v>
      </c>
    </row>
    <row r="21586" spans="1:6" ht="12.75">
      <c r="A21586" s="2">
        <v>43875.966180555552</v>
      </c>
      <c r="B21586" t="str">
        <f>HYPERLINK("https://twitter.com/piyuanker12","@piyuanker12")</f>
        <v>@piyuanker12</v>
      </c>
      <c r="C21586" t="s">
        <v>10476</v>
      </c>
      <c r="D21586">
        <v>1</v>
      </c>
      <c r="E21586">
        <v>0</v>
      </c>
      <c r="F21586">
        <v>3754</v>
      </c>
    </row>
    <row r="21587" spans="1:6" ht="12.75">
      <c r="A21587" s="2">
        <v>43875.966168981482</v>
      </c>
      <c r="B21587" t="str">
        <f>HYPERLINK("https://twitter.com/choc0piie","@choc0piie")</f>
        <v>@choc0piie</v>
      </c>
      <c r="C21587" t="s">
        <v>2444</v>
      </c>
      <c r="D21587">
        <v>3134</v>
      </c>
      <c r="E21587">
        <v>0</v>
      </c>
      <c r="F21587">
        <v>4739</v>
      </c>
    </row>
    <row r="21588" spans="1:6" ht="12.75">
      <c r="A21588" s="2">
        <v>43875.966134259259</v>
      </c>
      <c r="B21588" t="str">
        <f>HYPERLINK("https://twitter.com/aaroon1515","@aaroon1515")</f>
        <v>@aaroon1515</v>
      </c>
      <c r="C21588" t="s">
        <v>10477</v>
      </c>
      <c r="D21588">
        <v>0</v>
      </c>
      <c r="E21588">
        <v>0</v>
      </c>
      <c r="F21588">
        <v>0</v>
      </c>
    </row>
    <row r="21589" spans="1:6" ht="12.75">
      <c r="A21589" s="2">
        <v>43875.966064814813</v>
      </c>
      <c r="B21589" t="str">
        <f>HYPERLINK("https://twitter.com/Gareng04188128","@Gareng04188128")</f>
        <v>@Gareng04188128</v>
      </c>
      <c r="C21589" t="s">
        <v>10478</v>
      </c>
      <c r="D21589">
        <v>0</v>
      </c>
      <c r="E21589">
        <v>0</v>
      </c>
      <c r="F21589">
        <v>8</v>
      </c>
    </row>
    <row r="21590" spans="1:6" ht="12.75">
      <c r="A21590" s="2">
        <v>43875.966053240743</v>
      </c>
      <c r="B21590" t="str">
        <f>HYPERLINK("https://twitter.com/OnnaOnneGO","@OnnaOnneGO")</f>
        <v>@OnnaOnneGO</v>
      </c>
      <c r="C21590" t="s">
        <v>6201</v>
      </c>
      <c r="D21590">
        <v>298</v>
      </c>
      <c r="E21590">
        <v>0</v>
      </c>
      <c r="F21590">
        <v>1048</v>
      </c>
    </row>
    <row r="21591" spans="1:6" ht="12.75">
      <c r="A21591" s="2">
        <v>43875.966006944444</v>
      </c>
      <c r="B21591" t="str">
        <f>HYPERLINK("https://twitter.com/devila25","@devila25")</f>
        <v>@devila25</v>
      </c>
      <c r="C21591" t="s">
        <v>10479</v>
      </c>
      <c r="D21591">
        <v>1</v>
      </c>
      <c r="E21591">
        <v>2</v>
      </c>
      <c r="F21591">
        <v>214</v>
      </c>
    </row>
    <row r="21592" spans="1:6" ht="12.75">
      <c r="A21592" s="2">
        <v>43875.965995370367</v>
      </c>
      <c r="B21592" t="str">
        <f>HYPERLINK("https://twitter.com/Haer1109_","@Haer1109_")</f>
        <v>@Haer1109_</v>
      </c>
      <c r="C21592" t="s">
        <v>9123</v>
      </c>
      <c r="D21592">
        <v>307</v>
      </c>
      <c r="E21592">
        <v>0</v>
      </c>
      <c r="F21592">
        <v>283</v>
      </c>
    </row>
    <row r="21593" spans="1:6" ht="12.75">
      <c r="A21593" s="2">
        <v>43875.965983796297</v>
      </c>
      <c r="B21593" t="str">
        <f>HYPERLINK("https://twitter.com/avabidadari","@avabidadari")</f>
        <v>@avabidadari</v>
      </c>
      <c r="C21593" t="s">
        <v>2444</v>
      </c>
      <c r="D21593">
        <v>3134</v>
      </c>
      <c r="E21593">
        <v>0</v>
      </c>
      <c r="F21593">
        <v>1601</v>
      </c>
    </row>
    <row r="21594" spans="1:6" ht="12.75">
      <c r="A21594" s="2">
        <v>43875.965810185182</v>
      </c>
      <c r="B21594" t="str">
        <f>HYPERLINK("https://twitter.com/bangsatwika","@bangsatwika")</f>
        <v>@bangsatwika</v>
      </c>
      <c r="C21594" t="s">
        <v>2444</v>
      </c>
      <c r="D21594">
        <v>3134</v>
      </c>
      <c r="E21594">
        <v>0</v>
      </c>
      <c r="F21594">
        <v>355</v>
      </c>
    </row>
    <row r="21595" spans="1:6" ht="12.75">
      <c r="A21595" s="2">
        <v>43875.965578703705</v>
      </c>
      <c r="B21595" t="str">
        <f>HYPERLINK("https://twitter.com/Haer1109_","@Haer1109_")</f>
        <v>@Haer1109_</v>
      </c>
      <c r="C21595" t="s">
        <v>2444</v>
      </c>
      <c r="D21595">
        <v>3134</v>
      </c>
      <c r="E21595">
        <v>0</v>
      </c>
      <c r="F21595">
        <v>283</v>
      </c>
    </row>
    <row r="21596" spans="1:6" ht="12.75">
      <c r="A21596" s="2">
        <v>43875.965532407412</v>
      </c>
      <c r="B21596" t="str">
        <f>HYPERLINK("https://twitter.com/farida_nurh","@farida_nurh")</f>
        <v>@farida_nurh</v>
      </c>
      <c r="C21596" t="s">
        <v>2444</v>
      </c>
      <c r="D21596">
        <v>3134</v>
      </c>
      <c r="E21596">
        <v>0</v>
      </c>
      <c r="F21596">
        <v>213</v>
      </c>
    </row>
    <row r="21597" spans="1:6" ht="12.75">
      <c r="A21597" s="2">
        <v>43875.965277777781</v>
      </c>
      <c r="B21597" t="str">
        <f>HYPERLINK("https://twitter.com/nakedjmi_","@nakedjmi_")</f>
        <v>@nakedjmi_</v>
      </c>
      <c r="C21597" t="s">
        <v>2444</v>
      </c>
      <c r="D21597">
        <v>3134</v>
      </c>
      <c r="E21597">
        <v>0</v>
      </c>
      <c r="F21597">
        <v>147</v>
      </c>
    </row>
    <row r="21598" spans="1:6" ht="12.75">
      <c r="A21598" s="2">
        <v>43875.965266203704</v>
      </c>
      <c r="B21598" t="str">
        <f>HYPERLINK("https://twitter.com/Dantomlom2","@Dantomlom2")</f>
        <v>@Dantomlom2</v>
      </c>
      <c r="C21598" t="s">
        <v>3150</v>
      </c>
      <c r="D21598">
        <v>30</v>
      </c>
      <c r="E21598">
        <v>0</v>
      </c>
      <c r="F21598">
        <v>445</v>
      </c>
    </row>
    <row r="21599" spans="1:6" ht="12.75">
      <c r="A21599" s="2">
        <v>43875.965231481481</v>
      </c>
      <c r="B21599" t="str">
        <f>HYPERLINK("https://twitter.com/2m_39cmm","@2m_39cmm")</f>
        <v>@2m_39cmm</v>
      </c>
      <c r="C21599" t="s">
        <v>2444</v>
      </c>
      <c r="D21599">
        <v>3134</v>
      </c>
      <c r="E21599">
        <v>0</v>
      </c>
      <c r="F21599">
        <v>869</v>
      </c>
    </row>
    <row r="21600" spans="1:6" ht="12.75">
      <c r="A21600" s="2">
        <v>43875.965219907404</v>
      </c>
      <c r="B21600" t="str">
        <f>HYPERLINK("https://twitter.com/8ab2cad1a73d4fe","@8ab2cad1a73d4fe")</f>
        <v>@8ab2cad1a73d4fe</v>
      </c>
      <c r="C21600" t="s">
        <v>6201</v>
      </c>
      <c r="D21600">
        <v>298</v>
      </c>
      <c r="E21600">
        <v>0</v>
      </c>
      <c r="F21600">
        <v>465</v>
      </c>
    </row>
    <row r="21601" spans="1:6" ht="12.75">
      <c r="A21601" s="2">
        <v>43875.965115740742</v>
      </c>
      <c r="B21601" t="str">
        <f>HYPERLINK("https://twitter.com/Sales_Toyota_","@Sales_Toyota_")</f>
        <v>@Sales_Toyota_</v>
      </c>
      <c r="C21601" t="s">
        <v>10480</v>
      </c>
      <c r="D21601">
        <v>0</v>
      </c>
      <c r="E21601">
        <v>0</v>
      </c>
      <c r="F21601">
        <v>1563</v>
      </c>
    </row>
    <row r="21602" spans="1:6" ht="12.75">
      <c r="A21602" s="2">
        <v>43875.96502314815</v>
      </c>
      <c r="B21602" t="str">
        <f>HYPERLINK("https://twitter.com/kopassos","@kopassos")</f>
        <v>@kopassos</v>
      </c>
      <c r="C21602" t="s">
        <v>10427</v>
      </c>
      <c r="D21602">
        <v>7</v>
      </c>
      <c r="E21602">
        <v>0</v>
      </c>
      <c r="F21602">
        <v>1640</v>
      </c>
    </row>
    <row r="21603" spans="1:6" ht="12.75">
      <c r="A21603" s="2">
        <v>43875.964884259258</v>
      </c>
      <c r="B21603" t="str">
        <f>HYPERLINK("https://twitter.com/nomuyeppoyo","@nomuyeppoyo")</f>
        <v>@nomuyeppoyo</v>
      </c>
      <c r="C21603" t="s">
        <v>2444</v>
      </c>
      <c r="D21603">
        <v>3134</v>
      </c>
      <c r="E21603">
        <v>0</v>
      </c>
      <c r="F21603">
        <v>699</v>
      </c>
    </row>
    <row r="21604" spans="1:6" ht="12.75">
      <c r="A21604" s="2">
        <v>43875.964849537035</v>
      </c>
      <c r="B21604" t="str">
        <f>HYPERLINK("https://twitter.com/tandanVradio","@tandanVradio")</f>
        <v>@tandanVradio</v>
      </c>
      <c r="C21604" t="s">
        <v>10481</v>
      </c>
      <c r="D21604">
        <v>1</v>
      </c>
      <c r="E21604">
        <v>0</v>
      </c>
      <c r="F21604">
        <v>2757</v>
      </c>
    </row>
    <row r="21605" spans="1:6" ht="12.75">
      <c r="A21605" s="2">
        <v>43875.964780092589</v>
      </c>
      <c r="B21605" t="str">
        <f>HYPERLINK("https://twitter.com/keponakanzeus","@keponakanzeus")</f>
        <v>@keponakanzeus</v>
      </c>
      <c r="C21605" t="s">
        <v>10482</v>
      </c>
      <c r="D21605">
        <v>0</v>
      </c>
      <c r="E21605">
        <v>0</v>
      </c>
      <c r="F21605">
        <v>295</v>
      </c>
    </row>
    <row r="21606" spans="1:6" ht="12.75">
      <c r="A21606" s="2">
        <v>43875.964745370366</v>
      </c>
      <c r="B21606" t="str">
        <f>HYPERLINK("https://twitter.com/licht801","@licht801")</f>
        <v>@licht801</v>
      </c>
      <c r="C21606" t="s">
        <v>2444</v>
      </c>
      <c r="D21606">
        <v>3134</v>
      </c>
      <c r="E21606">
        <v>0</v>
      </c>
      <c r="F21606">
        <v>31</v>
      </c>
    </row>
    <row r="21607" spans="1:6" ht="12.75">
      <c r="A21607" s="2">
        <v>43875.964675925927</v>
      </c>
      <c r="B21607" t="str">
        <f>HYPERLINK("https://twitter.com/HardyEmcd","@HardyEmcd")</f>
        <v>@HardyEmcd</v>
      </c>
      <c r="C21607" t="s">
        <v>9746</v>
      </c>
      <c r="D21607">
        <v>403</v>
      </c>
      <c r="E21607">
        <v>0</v>
      </c>
      <c r="F21607">
        <v>598</v>
      </c>
    </row>
    <row r="21608" spans="1:6" ht="12.75">
      <c r="A21608" s="2">
        <v>43875.964641203704</v>
      </c>
      <c r="B21608" t="str">
        <f>HYPERLINK("https://twitter.com/txpsl_twt","@txpsl_twt")</f>
        <v>@txpsl_twt</v>
      </c>
      <c r="C21608" t="s">
        <v>5168</v>
      </c>
      <c r="D21608">
        <v>1173</v>
      </c>
      <c r="E21608">
        <v>0</v>
      </c>
      <c r="F21608">
        <v>1253</v>
      </c>
    </row>
    <row r="21609" spans="1:6" ht="12.75">
      <c r="A21609" s="2">
        <v>43875.964513888888</v>
      </c>
      <c r="B21609" t="str">
        <f>HYPERLINK("https://twitter.com/AremaNita__","@AremaNita__")</f>
        <v>@AremaNita__</v>
      </c>
      <c r="C21609" t="s">
        <v>10483</v>
      </c>
      <c r="D21609">
        <v>0</v>
      </c>
      <c r="E21609">
        <v>1</v>
      </c>
      <c r="F21609">
        <v>8086</v>
      </c>
    </row>
    <row r="21610" spans="1:6" ht="12.75">
      <c r="A21610" s="2">
        <v>43875.964444444442</v>
      </c>
      <c r="B21610" t="str">
        <f>HYPERLINK("https://twitter.com/arethesunshine","@arethesunshine")</f>
        <v>@arethesunshine</v>
      </c>
      <c r="C21610" t="s">
        <v>5168</v>
      </c>
      <c r="D21610">
        <v>1173</v>
      </c>
      <c r="E21610">
        <v>0</v>
      </c>
      <c r="F21610">
        <v>612</v>
      </c>
    </row>
    <row r="21611" spans="1:6" ht="12.75">
      <c r="A21611" s="2">
        <v>43875.964421296296</v>
      </c>
      <c r="B21611" t="str">
        <f>HYPERLINK("https://twitter.com/purwoto_sugeng","@purwoto_sugeng")</f>
        <v>@purwoto_sugeng</v>
      </c>
      <c r="C21611" t="s">
        <v>6201</v>
      </c>
      <c r="D21611">
        <v>298</v>
      </c>
      <c r="E21611">
        <v>0</v>
      </c>
      <c r="F21611">
        <v>144</v>
      </c>
    </row>
    <row r="21612" spans="1:6" ht="12.75">
      <c r="A21612" s="2">
        <v>43875.964282407411</v>
      </c>
      <c r="B21612" t="str">
        <f>HYPERLINK("https://twitter.com/nolylrza","@nolylrza")</f>
        <v>@nolylrza</v>
      </c>
      <c r="C21612" t="s">
        <v>5168</v>
      </c>
      <c r="D21612">
        <v>1173</v>
      </c>
      <c r="E21612">
        <v>0</v>
      </c>
      <c r="F21612">
        <v>312</v>
      </c>
    </row>
    <row r="21613" spans="1:6" ht="12.75">
      <c r="A21613" s="2">
        <v>43875.963958333334</v>
      </c>
      <c r="B21613" t="str">
        <f>HYPERLINK("https://twitter.com/mamiagarislucu","@mamiagarislucu")</f>
        <v>@mamiagarislucu</v>
      </c>
      <c r="C21613" t="s">
        <v>2963</v>
      </c>
      <c r="D21613">
        <v>1179</v>
      </c>
      <c r="E21613">
        <v>0</v>
      </c>
      <c r="F21613">
        <v>5180</v>
      </c>
    </row>
    <row r="21614" spans="1:6" ht="12.75">
      <c r="A21614" s="2">
        <v>43875.963923611111</v>
      </c>
      <c r="B21614" t="str">
        <f>HYPERLINK("https://twitter.com/JKDaulay","@JKDaulay")</f>
        <v>@JKDaulay</v>
      </c>
      <c r="C21614" t="s">
        <v>10114</v>
      </c>
      <c r="D21614">
        <v>22</v>
      </c>
      <c r="E21614">
        <v>0</v>
      </c>
      <c r="F21614">
        <v>2729</v>
      </c>
    </row>
    <row r="21615" spans="1:6" ht="12.75">
      <c r="A21615" s="2">
        <v>43875.963900462964</v>
      </c>
      <c r="B21615" t="str">
        <f>HYPERLINK("https://twitter.com/yusti666","@yusti666")</f>
        <v>@yusti666</v>
      </c>
      <c r="C21615" t="s">
        <v>6201</v>
      </c>
      <c r="D21615">
        <v>298</v>
      </c>
      <c r="E21615">
        <v>0</v>
      </c>
      <c r="F21615">
        <v>120</v>
      </c>
    </row>
    <row r="21616" spans="1:6" ht="12.75">
      <c r="A21616" s="2">
        <v>43875.963865740741</v>
      </c>
      <c r="B21616" t="str">
        <f>HYPERLINK("https://twitter.com/m7racle","@m7racle")</f>
        <v>@m7racle</v>
      </c>
      <c r="C21616" t="s">
        <v>2444</v>
      </c>
      <c r="D21616">
        <v>3134</v>
      </c>
      <c r="E21616">
        <v>0</v>
      </c>
      <c r="F21616">
        <v>1745</v>
      </c>
    </row>
    <row r="21617" spans="1:6" ht="12.75">
      <c r="A21617" s="2">
        <v>43875.963634259257</v>
      </c>
      <c r="B21617" t="str">
        <f>HYPERLINK("https://twitter.com/ayu_kudo","@ayu_kudo")</f>
        <v>@ayu_kudo</v>
      </c>
      <c r="C21617" t="s">
        <v>2444</v>
      </c>
      <c r="D21617">
        <v>3134</v>
      </c>
      <c r="E21617">
        <v>0</v>
      </c>
      <c r="F21617">
        <v>751</v>
      </c>
    </row>
    <row r="21618" spans="1:6" ht="12.75">
      <c r="A21618" s="2">
        <v>43875.96361111111</v>
      </c>
      <c r="B21618" t="str">
        <f>HYPERLINK("https://twitter.com/Adhityayogaaa","@Adhityayogaaa")</f>
        <v>@Adhityayogaaa</v>
      </c>
      <c r="C21618" t="s">
        <v>5168</v>
      </c>
      <c r="D21618">
        <v>1173</v>
      </c>
      <c r="E21618">
        <v>0</v>
      </c>
      <c r="F21618">
        <v>210</v>
      </c>
    </row>
    <row r="21619" spans="1:6" ht="12.75">
      <c r="A21619" s="2">
        <v>43875.963553240741</v>
      </c>
      <c r="B21619" t="str">
        <f>HYPERLINK("https://twitter.com/LuwitaEmilly878","@LuwitaEmilly878")</f>
        <v>@LuwitaEmilly878</v>
      </c>
      <c r="C21619" t="s">
        <v>10484</v>
      </c>
      <c r="D21619">
        <v>1</v>
      </c>
      <c r="E21619">
        <v>6</v>
      </c>
      <c r="F21619">
        <v>11690</v>
      </c>
    </row>
    <row r="21620" spans="1:6" ht="12.75">
      <c r="A21620" s="2">
        <v>43875.963287037041</v>
      </c>
      <c r="B21620" t="str">
        <f>HYPERLINK("https://twitter.com/nanbiaso","@nanbiaso")</f>
        <v>@nanbiaso</v>
      </c>
      <c r="C21620" t="s">
        <v>6201</v>
      </c>
      <c r="D21620">
        <v>298</v>
      </c>
      <c r="E21620">
        <v>0</v>
      </c>
      <c r="F21620">
        <v>115</v>
      </c>
    </row>
    <row r="21621" spans="1:6" ht="12.75">
      <c r="A21621" s="2">
        <v>43875.963252314818</v>
      </c>
      <c r="B21621" t="str">
        <f>HYPERLINK("https://twitter.com/ErvineKiddies","@ErvineKiddies")</f>
        <v>@ErvineKiddies</v>
      </c>
      <c r="C21621" t="s">
        <v>10485</v>
      </c>
      <c r="D21621">
        <v>0</v>
      </c>
      <c r="E21621">
        <v>1</v>
      </c>
      <c r="F21621">
        <v>739</v>
      </c>
    </row>
    <row r="21622" spans="1:6" ht="12.75">
      <c r="A21622" s="2">
        <v>43875.963252314818</v>
      </c>
      <c r="B21622" t="str">
        <f>HYPERLINK("https://twitter.com/kasmiantjovic","@kasmiantjovic")</f>
        <v>@kasmiantjovic</v>
      </c>
      <c r="C21622" t="s">
        <v>10486</v>
      </c>
      <c r="D21622">
        <v>1</v>
      </c>
      <c r="E21622">
        <v>0</v>
      </c>
      <c r="F21622">
        <v>237</v>
      </c>
    </row>
    <row r="21623" spans="1:6" ht="12.75">
      <c r="A21623" s="2">
        <v>43875.963229166664</v>
      </c>
      <c r="B21623" t="str">
        <f>HYPERLINK("https://twitter.com/rdnakh","@rdnakh")</f>
        <v>@rdnakh</v>
      </c>
      <c r="C21623" t="s">
        <v>2444</v>
      </c>
      <c r="D21623">
        <v>3134</v>
      </c>
      <c r="E21623">
        <v>0</v>
      </c>
      <c r="F21623">
        <v>700</v>
      </c>
    </row>
    <row r="21624" spans="1:6" ht="12.75">
      <c r="A21624" s="2">
        <v>43875.963136574079</v>
      </c>
      <c r="B21624" t="str">
        <f>HYPERLINK("https://twitter.com/lipimnida","@lipimnida")</f>
        <v>@lipimnida</v>
      </c>
      <c r="C21624" t="s">
        <v>5168</v>
      </c>
      <c r="D21624">
        <v>1173</v>
      </c>
      <c r="E21624">
        <v>0</v>
      </c>
      <c r="F21624">
        <v>206</v>
      </c>
    </row>
    <row r="21625" spans="1:6" ht="12.75">
      <c r="A21625" s="2">
        <v>43875.963124999995</v>
      </c>
      <c r="B21625" t="str">
        <f>HYPERLINK("https://twitter.com/prisma93246654","@prisma93246654")</f>
        <v>@prisma93246654</v>
      </c>
      <c r="C21625" t="s">
        <v>10487</v>
      </c>
      <c r="D21625">
        <v>0</v>
      </c>
      <c r="E21625">
        <v>0</v>
      </c>
      <c r="F21625">
        <v>572</v>
      </c>
    </row>
    <row r="21626" spans="1:6" ht="12.75">
      <c r="A21626" s="2">
        <v>43875.963113425925</v>
      </c>
      <c r="B21626" t="str">
        <f>HYPERLINK("https://twitter.com/hutamiekap","@hutamiekap")</f>
        <v>@hutamiekap</v>
      </c>
      <c r="C21626" t="s">
        <v>2444</v>
      </c>
      <c r="D21626">
        <v>3134</v>
      </c>
      <c r="E21626">
        <v>0</v>
      </c>
      <c r="F21626">
        <v>164</v>
      </c>
    </row>
    <row r="21627" spans="1:6" ht="12.75">
      <c r="A21627" s="2">
        <v>43875.963043981479</v>
      </c>
      <c r="B21627" t="str">
        <f>HYPERLINK("https://twitter.com/kimstawn","@kimstawn")</f>
        <v>@kimstawn</v>
      </c>
      <c r="C21627" t="s">
        <v>5168</v>
      </c>
      <c r="D21627">
        <v>1173</v>
      </c>
      <c r="E21627">
        <v>0</v>
      </c>
      <c r="F21627">
        <v>865</v>
      </c>
    </row>
    <row r="21628" spans="1:6" ht="12.75">
      <c r="A21628" s="2">
        <v>43875.96292824074</v>
      </c>
      <c r="B21628" t="str">
        <f>HYPERLINK("https://twitter.com/fitafibriani","@fitafibriani")</f>
        <v>@fitafibriani</v>
      </c>
      <c r="C21628" t="s">
        <v>5168</v>
      </c>
      <c r="D21628">
        <v>1173</v>
      </c>
      <c r="E21628">
        <v>0</v>
      </c>
      <c r="F21628">
        <v>188</v>
      </c>
    </row>
    <row r="21629" spans="1:6" ht="12.75">
      <c r="A21629" s="2">
        <v>43875.962870370371</v>
      </c>
      <c r="B21629" t="str">
        <f>HYPERLINK("https://twitter.com/08x1199","@08x1199")</f>
        <v>@08x1199</v>
      </c>
      <c r="C21629" t="s">
        <v>2444</v>
      </c>
      <c r="D21629">
        <v>3134</v>
      </c>
      <c r="E21629">
        <v>0</v>
      </c>
      <c r="F21629">
        <v>7</v>
      </c>
    </row>
    <row r="21630" spans="1:6" ht="12.75">
      <c r="A21630" s="2">
        <v>43875.962835648148</v>
      </c>
      <c r="B21630" t="str">
        <f>HYPERLINK("https://twitter.com/thesoleils","@thesoleils")</f>
        <v>@thesoleils</v>
      </c>
      <c r="C21630" t="s">
        <v>2444</v>
      </c>
      <c r="D21630">
        <v>3134</v>
      </c>
      <c r="E21630">
        <v>0</v>
      </c>
      <c r="F21630">
        <v>66</v>
      </c>
    </row>
    <row r="21631" spans="1:6" ht="12.75">
      <c r="A21631" s="2">
        <v>43875.962719907402</v>
      </c>
      <c r="B21631" t="str">
        <f>HYPERLINK("https://twitter.com/AdeCand65866045","@AdeCand65866045")</f>
        <v>@AdeCand65866045</v>
      </c>
      <c r="C21631" t="s">
        <v>7888</v>
      </c>
      <c r="D21631">
        <v>45</v>
      </c>
      <c r="E21631">
        <v>0</v>
      </c>
      <c r="F21631">
        <v>160</v>
      </c>
    </row>
    <row r="21632" spans="1:6" ht="12.75">
      <c r="A21632" s="2">
        <v>43875.962708333333</v>
      </c>
      <c r="B21632" t="str">
        <f>HYPERLINK("https://twitter.com/anditoaja","@anditoaja")</f>
        <v>@anditoaja</v>
      </c>
      <c r="C21632" t="s">
        <v>2097</v>
      </c>
      <c r="D21632">
        <v>402</v>
      </c>
      <c r="E21632">
        <v>0</v>
      </c>
      <c r="F21632">
        <v>1413</v>
      </c>
    </row>
    <row r="21633" spans="1:6" ht="12.75">
      <c r="A21633" s="2">
        <v>43875.962627314817</v>
      </c>
      <c r="B21633" t="str">
        <f>HYPERLINK("https://twitter.com/ataamss","@ataamss")</f>
        <v>@ataamss</v>
      </c>
      <c r="C21633" t="s">
        <v>2444</v>
      </c>
      <c r="D21633">
        <v>3134</v>
      </c>
      <c r="E21633">
        <v>0</v>
      </c>
      <c r="F21633">
        <v>586</v>
      </c>
    </row>
    <row r="21634" spans="1:6" ht="12.75">
      <c r="A21634" s="2">
        <v>43875.962523148148</v>
      </c>
      <c r="B21634" t="str">
        <f>HYPERLINK("https://twitter.com/tandanVradio","@tandanVradio")</f>
        <v>@tandanVradio</v>
      </c>
      <c r="C21634" t="s">
        <v>10488</v>
      </c>
      <c r="D21634">
        <v>1</v>
      </c>
      <c r="E21634">
        <v>0</v>
      </c>
      <c r="F21634">
        <v>2757</v>
      </c>
    </row>
    <row r="21635" spans="1:6" ht="12.75">
      <c r="A21635" s="2">
        <v>43875.962349537032</v>
      </c>
      <c r="B21635" t="str">
        <f>HYPERLINK("https://twitter.com/Kethonn2","@Kethonn2")</f>
        <v>@Kethonn2</v>
      </c>
      <c r="C21635" t="s">
        <v>2444</v>
      </c>
      <c r="D21635">
        <v>3134</v>
      </c>
      <c r="E21635">
        <v>0</v>
      </c>
      <c r="F21635">
        <v>0</v>
      </c>
    </row>
    <row r="21636" spans="1:6" ht="12.75">
      <c r="A21636" s="2">
        <v>43875.962337962963</v>
      </c>
      <c r="B21636" t="str">
        <f>HYPERLINK("https://twitter.com/zumarh_","@zumarh_")</f>
        <v>@zumarh_</v>
      </c>
      <c r="C21636" t="s">
        <v>2444</v>
      </c>
      <c r="D21636">
        <v>3134</v>
      </c>
      <c r="E21636">
        <v>0</v>
      </c>
      <c r="F21636">
        <v>40</v>
      </c>
    </row>
    <row r="21637" spans="1:6" ht="12.75">
      <c r="A21637" s="2">
        <v>43875.962233796294</v>
      </c>
      <c r="B21637" t="str">
        <f>HYPERLINK("https://twitter.com/merdekadotcom","@merdekadotcom")</f>
        <v>@merdekadotcom</v>
      </c>
      <c r="C21637" t="s">
        <v>10489</v>
      </c>
      <c r="D21637">
        <v>1</v>
      </c>
      <c r="E21637">
        <v>1</v>
      </c>
      <c r="F21637">
        <v>230424</v>
      </c>
    </row>
    <row r="21638" spans="1:6" ht="12.75">
      <c r="A21638" s="2">
        <v>43875.962175925924</v>
      </c>
      <c r="B21638" t="str">
        <f>HYPERLINK("https://twitter.com/CoolinMilk","@CoolinMilk")</f>
        <v>@CoolinMilk</v>
      </c>
      <c r="C21638" t="s">
        <v>2444</v>
      </c>
      <c r="D21638">
        <v>3134</v>
      </c>
      <c r="E21638">
        <v>0</v>
      </c>
      <c r="F21638">
        <v>358</v>
      </c>
    </row>
    <row r="21639" spans="1:6" ht="12.75">
      <c r="A21639" s="2">
        <v>43875.962129629625</v>
      </c>
      <c r="B21639" t="str">
        <f>HYPERLINK("https://twitter.com/Novv57556191","@Novv57556191")</f>
        <v>@Novv57556191</v>
      </c>
      <c r="C21639" t="s">
        <v>10490</v>
      </c>
      <c r="D21639">
        <v>0</v>
      </c>
      <c r="E21639">
        <v>0</v>
      </c>
      <c r="F21639">
        <v>91</v>
      </c>
    </row>
    <row r="21640" spans="1:6" ht="12.75">
      <c r="A21640" s="2">
        <v>43875.962129629625</v>
      </c>
      <c r="B21640" t="str">
        <f>HYPERLINK("https://twitter.com/yannsuardana","@yannsuardana")</f>
        <v>@yannsuardana</v>
      </c>
      <c r="C21640" t="s">
        <v>10491</v>
      </c>
      <c r="D21640">
        <v>3</v>
      </c>
      <c r="E21640">
        <v>0</v>
      </c>
      <c r="F21640">
        <v>70</v>
      </c>
    </row>
    <row r="21641" spans="1:6" ht="12.75">
      <c r="A21641" s="2">
        <v>43875.962118055555</v>
      </c>
      <c r="B21641" t="str">
        <f>HYPERLINK("https://twitter.com/ar4ragi","@ar4ragi")</f>
        <v>@ar4ragi</v>
      </c>
      <c r="C21641" t="s">
        <v>5168</v>
      </c>
      <c r="D21641">
        <v>1173</v>
      </c>
      <c r="E21641">
        <v>0</v>
      </c>
      <c r="F21641">
        <v>482</v>
      </c>
    </row>
    <row r="21642" spans="1:6" ht="12.75">
      <c r="A21642" s="2">
        <v>43875.962106481486</v>
      </c>
      <c r="B21642" t="str">
        <f>HYPERLINK("https://twitter.com/bedgasmr","@bedgasmr")</f>
        <v>@bedgasmr</v>
      </c>
      <c r="C21642" t="s">
        <v>2444</v>
      </c>
      <c r="D21642">
        <v>3134</v>
      </c>
      <c r="E21642">
        <v>0</v>
      </c>
      <c r="F21642">
        <v>443</v>
      </c>
    </row>
    <row r="21643" spans="1:6" ht="12.75">
      <c r="A21643" s="2">
        <v>43875.962048611109</v>
      </c>
      <c r="B21643" t="str">
        <f>HYPERLINK("https://twitter.com/Ranipr_","@Ranipr_")</f>
        <v>@Ranipr_</v>
      </c>
      <c r="C21643" t="s">
        <v>2444</v>
      </c>
      <c r="D21643">
        <v>3134</v>
      </c>
      <c r="E21643">
        <v>0</v>
      </c>
      <c r="F21643">
        <v>1233</v>
      </c>
    </row>
    <row r="21644" spans="1:6" ht="12.75">
      <c r="A21644" s="2">
        <v>43875.962013888886</v>
      </c>
      <c r="B21644" t="str">
        <f>HYPERLINK("https://twitter.com/mariatulk17","@mariatulk17")</f>
        <v>@mariatulk17</v>
      </c>
      <c r="C21644" t="s">
        <v>2963</v>
      </c>
      <c r="D21644">
        <v>1179</v>
      </c>
      <c r="E21644">
        <v>0</v>
      </c>
      <c r="F21644">
        <v>202</v>
      </c>
    </row>
    <row r="21645" spans="1:6" ht="12.75">
      <c r="A21645" s="2">
        <v>43875.962002314816</v>
      </c>
      <c r="B21645" t="str">
        <f>HYPERLINK("https://twitter.com/djoenaedikoesno","@djoenaedikoesno")</f>
        <v>@djoenaedikoesno</v>
      </c>
      <c r="C21645" t="s">
        <v>10121</v>
      </c>
      <c r="D21645">
        <v>183</v>
      </c>
      <c r="E21645">
        <v>0</v>
      </c>
      <c r="F21645">
        <v>588</v>
      </c>
    </row>
    <row r="21646" spans="1:6" ht="12.75">
      <c r="A21646" s="2">
        <v>43875.96199074074</v>
      </c>
      <c r="B21646" t="str">
        <f>HYPERLINK("https://twitter.com/ar4ragi","@ar4ragi")</f>
        <v>@ar4ragi</v>
      </c>
      <c r="C21646" t="s">
        <v>2444</v>
      </c>
      <c r="D21646">
        <v>3134</v>
      </c>
      <c r="E21646">
        <v>0</v>
      </c>
      <c r="F21646">
        <v>482</v>
      </c>
    </row>
    <row r="21647" spans="1:6" ht="12.75">
      <c r="A21647" s="2">
        <v>43875.961956018524</v>
      </c>
      <c r="B21647" t="str">
        <f>HYPERLINK("https://twitter.com/arcadiangurl","@arcadiangurl")</f>
        <v>@arcadiangurl</v>
      </c>
      <c r="C21647" t="s">
        <v>2444</v>
      </c>
      <c r="D21647">
        <v>3134</v>
      </c>
      <c r="E21647">
        <v>0</v>
      </c>
      <c r="F21647">
        <v>1622</v>
      </c>
    </row>
    <row r="21648" spans="1:6" ht="12.75">
      <c r="A21648" s="2">
        <v>43875.961898148147</v>
      </c>
      <c r="B21648" t="str">
        <f>HYPERLINK("https://twitter.com/Ricky_Anny","@Ricky_Anny")</f>
        <v>@Ricky_Anny</v>
      </c>
      <c r="C21648" t="s">
        <v>9840</v>
      </c>
      <c r="D21648">
        <v>2</v>
      </c>
      <c r="E21648">
        <v>0</v>
      </c>
      <c r="F21648">
        <v>155</v>
      </c>
    </row>
    <row r="21649" spans="1:6" ht="12.75">
      <c r="A21649" s="2">
        <v>43875.961747685185</v>
      </c>
      <c r="B21649" t="str">
        <f>HYPERLINK("https://twitter.com/Aniwendys","@Aniwendys")</f>
        <v>@Aniwendys</v>
      </c>
      <c r="C21649" t="s">
        <v>2444</v>
      </c>
      <c r="D21649">
        <v>3134</v>
      </c>
      <c r="E21649">
        <v>0</v>
      </c>
      <c r="F21649">
        <v>209</v>
      </c>
    </row>
    <row r="21650" spans="1:6" ht="12.75">
      <c r="A21650" s="2">
        <v>43875.961747685185</v>
      </c>
      <c r="B21650" t="str">
        <f>HYPERLINK("https://twitter.com/piyuanker12","@piyuanker12")</f>
        <v>@piyuanker12</v>
      </c>
      <c r="C21650" t="s">
        <v>9857</v>
      </c>
      <c r="D21650">
        <v>17</v>
      </c>
      <c r="E21650">
        <v>0</v>
      </c>
      <c r="F21650">
        <v>3754</v>
      </c>
    </row>
    <row r="21651" spans="1:6" ht="12.75">
      <c r="A21651" s="2">
        <v>43875.961712962962</v>
      </c>
      <c r="B21651" t="str">
        <f>HYPERLINK("https://twitter.com/JunicusPublius","@JunicusPublius")</f>
        <v>@JunicusPublius</v>
      </c>
      <c r="C21651" t="s">
        <v>10492</v>
      </c>
      <c r="D21651">
        <v>0</v>
      </c>
      <c r="E21651">
        <v>0</v>
      </c>
      <c r="F21651">
        <v>39</v>
      </c>
    </row>
    <row r="21652" spans="1:6" ht="12.75">
      <c r="A21652" s="2">
        <v>43875.961643518516</v>
      </c>
      <c r="B21652" t="str">
        <f>HYPERLINK("https://twitter.com/chateaumeh","@chateaumeh")</f>
        <v>@chateaumeh</v>
      </c>
      <c r="C21652" t="s">
        <v>2444</v>
      </c>
      <c r="D21652">
        <v>3134</v>
      </c>
      <c r="E21652">
        <v>0</v>
      </c>
      <c r="F21652">
        <v>3223</v>
      </c>
    </row>
    <row r="21653" spans="1:6" ht="12.75">
      <c r="A21653" s="2">
        <v>43875.96157407407</v>
      </c>
      <c r="B21653" t="str">
        <f>HYPERLINK("https://twitter.com/PametriDina","@PametriDina")</f>
        <v>@PametriDina</v>
      </c>
      <c r="C21653" t="s">
        <v>2444</v>
      </c>
      <c r="D21653">
        <v>3134</v>
      </c>
      <c r="E21653">
        <v>0</v>
      </c>
      <c r="F21653">
        <v>71</v>
      </c>
    </row>
    <row r="21654" spans="1:6" ht="12.75">
      <c r="A21654" s="2">
        <v>43875.961481481485</v>
      </c>
      <c r="B21654" t="str">
        <f>HYPERLINK("https://twitter.com/Mahrus30127858","@Mahrus30127858")</f>
        <v>@Mahrus30127858</v>
      </c>
      <c r="C21654" t="s">
        <v>10057</v>
      </c>
      <c r="D21654">
        <v>12</v>
      </c>
      <c r="E21654">
        <v>0</v>
      </c>
      <c r="F21654">
        <v>4982</v>
      </c>
    </row>
    <row r="21655" spans="1:6" ht="12.75">
      <c r="A21655" s="2">
        <v>43875.961365740739</v>
      </c>
      <c r="B21655" t="str">
        <f>HYPERLINK("https://twitter.com/hestiiyuun_","@hestiiyuun_")</f>
        <v>@hestiiyuun_</v>
      </c>
      <c r="C21655" t="s">
        <v>2444</v>
      </c>
      <c r="D21655">
        <v>3134</v>
      </c>
      <c r="E21655">
        <v>0</v>
      </c>
      <c r="F21655">
        <v>1421</v>
      </c>
    </row>
    <row r="21656" spans="1:6" ht="12.75">
      <c r="A21656" s="2">
        <v>43875.961342592593</v>
      </c>
      <c r="B21656" t="str">
        <f>HYPERLINK("https://twitter.com/new_miis0___","@new_miis0___")</f>
        <v>@new_miis0___</v>
      </c>
      <c r="C21656" t="s">
        <v>5168</v>
      </c>
      <c r="D21656">
        <v>1173</v>
      </c>
      <c r="E21656">
        <v>0</v>
      </c>
      <c r="F21656">
        <v>342</v>
      </c>
    </row>
    <row r="21657" spans="1:6" ht="12.75">
      <c r="A21657" s="2">
        <v>43875.961319444439</v>
      </c>
      <c r="B21657" t="str">
        <f>HYPERLINK("https://twitter.com/kasmiantjovic","@kasmiantjovic")</f>
        <v>@kasmiantjovic</v>
      </c>
      <c r="C21657" t="s">
        <v>2136</v>
      </c>
      <c r="D21657">
        <v>361</v>
      </c>
      <c r="E21657">
        <v>0</v>
      </c>
      <c r="F21657">
        <v>237</v>
      </c>
    </row>
    <row r="21658" spans="1:6" ht="12.75">
      <c r="A21658" s="2">
        <v>43875.96130787037</v>
      </c>
      <c r="B21658" t="str">
        <f>HYPERLINK("https://twitter.com/piyuanker12","@piyuanker12")</f>
        <v>@piyuanker12</v>
      </c>
      <c r="C21658" t="s">
        <v>10493</v>
      </c>
      <c r="D21658">
        <v>4</v>
      </c>
      <c r="E21658">
        <v>0</v>
      </c>
      <c r="F21658">
        <v>3754</v>
      </c>
    </row>
    <row r="21659" spans="1:6" ht="12.75">
      <c r="A21659" s="2">
        <v>43875.961215277777</v>
      </c>
      <c r="B21659" t="str">
        <f>HYPERLINK("https://twitter.com/iniayayu","@iniayayu")</f>
        <v>@iniayayu</v>
      </c>
      <c r="C21659" t="s">
        <v>2444</v>
      </c>
      <c r="D21659">
        <v>3134</v>
      </c>
      <c r="E21659">
        <v>0</v>
      </c>
      <c r="F21659">
        <v>398</v>
      </c>
    </row>
    <row r="21660" spans="1:6" ht="12.75">
      <c r="A21660" s="2">
        <v>43875.961192129631</v>
      </c>
      <c r="B21660" t="str">
        <f>HYPERLINK("https://twitter.com/putriarifira","@putriarifira")</f>
        <v>@putriarifira</v>
      </c>
      <c r="C21660" t="s">
        <v>2444</v>
      </c>
      <c r="D21660">
        <v>3134</v>
      </c>
      <c r="E21660">
        <v>0</v>
      </c>
      <c r="F21660">
        <v>342</v>
      </c>
    </row>
    <row r="21661" spans="1:6" ht="12.75">
      <c r="A21661" s="2">
        <v>43875.961134259254</v>
      </c>
      <c r="B21661" t="str">
        <f>HYPERLINK("https://twitter.com/JunicusPublius","@JunicusPublius")</f>
        <v>@JunicusPublius</v>
      </c>
      <c r="C21661" t="s">
        <v>10494</v>
      </c>
      <c r="D21661">
        <v>0</v>
      </c>
      <c r="E21661">
        <v>0</v>
      </c>
      <c r="F21661">
        <v>39</v>
      </c>
    </row>
    <row r="21662" spans="1:6" ht="12.75">
      <c r="A21662" s="2">
        <v>43875.961134259254</v>
      </c>
      <c r="B21662" t="str">
        <f>HYPERLINK("https://twitter.com/ErvineKiddies","@ErvineKiddies")</f>
        <v>@ErvineKiddies</v>
      </c>
      <c r="C21662" t="s">
        <v>10495</v>
      </c>
      <c r="D21662">
        <v>0</v>
      </c>
      <c r="E21662">
        <v>1</v>
      </c>
      <c r="F21662">
        <v>739</v>
      </c>
    </row>
    <row r="21663" spans="1:6" ht="12.75">
      <c r="A21663" s="2">
        <v>43875.961053240739</v>
      </c>
      <c r="B21663" t="str">
        <f>HYPERLINK("https://twitter.com/gotselove","@gotselove")</f>
        <v>@gotselove</v>
      </c>
      <c r="C21663" t="s">
        <v>10496</v>
      </c>
      <c r="D21663">
        <v>0</v>
      </c>
      <c r="E21663">
        <v>0</v>
      </c>
      <c r="F21663">
        <v>145</v>
      </c>
    </row>
    <row r="21664" spans="1:6" ht="12.75">
      <c r="A21664" s="2">
        <v>43875.961041666669</v>
      </c>
      <c r="B21664" t="str">
        <f>HYPERLINK("https://twitter.com/IrenePuri3104","@IrenePuri3104")</f>
        <v>@IrenePuri3104</v>
      </c>
      <c r="C21664" t="s">
        <v>2126</v>
      </c>
      <c r="D21664">
        <v>2801</v>
      </c>
      <c r="E21664">
        <v>0</v>
      </c>
      <c r="F21664">
        <v>110</v>
      </c>
    </row>
    <row r="21665" spans="1:6" ht="12.75">
      <c r="A21665" s="2">
        <v>43875.960902777777</v>
      </c>
      <c r="B21665" t="str">
        <f>HYPERLINK("https://twitter.com/happyramenn","@happyramenn")</f>
        <v>@happyramenn</v>
      </c>
      <c r="C21665" t="s">
        <v>2444</v>
      </c>
      <c r="D21665">
        <v>3134</v>
      </c>
      <c r="E21665">
        <v>0</v>
      </c>
      <c r="F21665">
        <v>71</v>
      </c>
    </row>
    <row r="21666" spans="1:6" ht="12.75">
      <c r="A21666" s="2">
        <v>43875.960868055554</v>
      </c>
      <c r="B21666" t="str">
        <f>HYPERLINK("https://twitter.com/DatuakAtuk","@DatuakAtuk")</f>
        <v>@DatuakAtuk</v>
      </c>
      <c r="C21666" t="s">
        <v>10497</v>
      </c>
      <c r="D21666">
        <v>1</v>
      </c>
      <c r="E21666">
        <v>3</v>
      </c>
      <c r="F21666">
        <v>650</v>
      </c>
    </row>
    <row r="21667" spans="1:6" ht="12.75">
      <c r="A21667" s="2">
        <v>43875.960844907408</v>
      </c>
      <c r="B21667" t="str">
        <f>HYPERLINK("https://twitter.com/baqiyahuud","@baqiyahuud")</f>
        <v>@baqiyahuud</v>
      </c>
      <c r="C21667" t="s">
        <v>10498</v>
      </c>
      <c r="D21667">
        <v>0</v>
      </c>
      <c r="E21667">
        <v>0</v>
      </c>
      <c r="F21667">
        <v>683</v>
      </c>
    </row>
    <row r="21668" spans="1:6" ht="12.75">
      <c r="A21668" s="2">
        <v>43875.960775462961</v>
      </c>
      <c r="B21668" t="str">
        <f>HYPERLINK("https://twitter.com/gav_w_rfc","@gav_w_rfc")</f>
        <v>@gav_w_rfc</v>
      </c>
      <c r="C21668" t="s">
        <v>3150</v>
      </c>
      <c r="D21668">
        <v>30</v>
      </c>
      <c r="E21668">
        <v>0</v>
      </c>
      <c r="F21668">
        <v>869</v>
      </c>
    </row>
    <row r="21669" spans="1:6" ht="12.75">
      <c r="A21669" s="2">
        <v>43875.960763888885</v>
      </c>
      <c r="B21669" t="str">
        <f>HYPERLINK("https://twitter.com/2_devout","@2_devout")</f>
        <v>@2_devout</v>
      </c>
      <c r="C21669" t="s">
        <v>10499</v>
      </c>
      <c r="D21669">
        <v>0</v>
      </c>
      <c r="E21669">
        <v>0</v>
      </c>
      <c r="F21669">
        <v>389</v>
      </c>
    </row>
    <row r="21670" spans="1:6" ht="12.75">
      <c r="A21670" s="2">
        <v>43875.960706018523</v>
      </c>
      <c r="B21670" t="str">
        <f>HYPERLINK("https://twitter.com/new_miis0___","@new_miis0___")</f>
        <v>@new_miis0___</v>
      </c>
      <c r="C21670" t="s">
        <v>2444</v>
      </c>
      <c r="D21670">
        <v>3134</v>
      </c>
      <c r="E21670">
        <v>0</v>
      </c>
      <c r="F21670">
        <v>342</v>
      </c>
    </row>
    <row r="21671" spans="1:6" ht="12.75">
      <c r="A21671" s="2">
        <v>43875.960648148146</v>
      </c>
      <c r="B21671" t="str">
        <f>HYPERLINK("https://twitter.com/EdyanRc","@EdyanRc")</f>
        <v>@EdyanRc</v>
      </c>
      <c r="C21671" t="s">
        <v>10500</v>
      </c>
      <c r="D21671">
        <v>0</v>
      </c>
      <c r="E21671">
        <v>0</v>
      </c>
      <c r="F21671">
        <v>2</v>
      </c>
    </row>
    <row r="21672" spans="1:6" ht="12.75">
      <c r="A21672" s="2">
        <v>43875.960625</v>
      </c>
      <c r="B21672" t="str">
        <f>HYPERLINK("https://twitter.com/usernamenyawlee","@usernamenyawlee")</f>
        <v>@usernamenyawlee</v>
      </c>
      <c r="C21672" t="s">
        <v>2444</v>
      </c>
      <c r="D21672">
        <v>3134</v>
      </c>
      <c r="E21672">
        <v>0</v>
      </c>
      <c r="F21672">
        <v>400</v>
      </c>
    </row>
    <row r="21673" spans="1:6" ht="12.75">
      <c r="A21673" s="2">
        <v>43875.960601851853</v>
      </c>
      <c r="B21673" t="str">
        <f>HYPERLINK("https://twitter.com/CarolPP9","@CarolPP9")</f>
        <v>@CarolPP9</v>
      </c>
      <c r="C21673" t="s">
        <v>3150</v>
      </c>
      <c r="D21673">
        <v>30</v>
      </c>
      <c r="E21673">
        <v>0</v>
      </c>
      <c r="F21673">
        <v>171</v>
      </c>
    </row>
    <row r="21674" spans="1:6" ht="12.75">
      <c r="A21674" s="2">
        <v>43875.960532407407</v>
      </c>
      <c r="B21674" t="str">
        <f>HYPERLINK("https://twitter.com/yourvitaminss","@yourvitaminss")</f>
        <v>@yourvitaminss</v>
      </c>
      <c r="C21674" t="s">
        <v>5168</v>
      </c>
      <c r="D21674">
        <v>1173</v>
      </c>
      <c r="E21674">
        <v>0</v>
      </c>
      <c r="F21674">
        <v>1385</v>
      </c>
    </row>
    <row r="21675" spans="1:6" ht="12.75">
      <c r="A21675" s="2">
        <v>43875.960532407407</v>
      </c>
      <c r="B21675" t="str">
        <f>HYPERLINK("https://twitter.com/janfrdn","@janfrdn")</f>
        <v>@janfrdn</v>
      </c>
      <c r="C21675" t="s">
        <v>10501</v>
      </c>
      <c r="D21675">
        <v>0</v>
      </c>
      <c r="E21675">
        <v>0</v>
      </c>
      <c r="F21675">
        <v>38</v>
      </c>
    </row>
    <row r="21676" spans="1:6" ht="12.75">
      <c r="A21676" s="2">
        <v>43875.960474537038</v>
      </c>
      <c r="B21676" t="str">
        <f>HYPERLINK("https://twitter.com/danielht2009","@danielht2009")</f>
        <v>@danielht2009</v>
      </c>
      <c r="C21676" t="s">
        <v>10502</v>
      </c>
      <c r="D21676">
        <v>2</v>
      </c>
      <c r="E21676">
        <v>1</v>
      </c>
      <c r="F21676">
        <v>1455</v>
      </c>
    </row>
    <row r="21677" spans="1:6" ht="12.75">
      <c r="A21677" s="2">
        <v>43875.960451388892</v>
      </c>
      <c r="B21677" t="str">
        <f>HYPERLINK("https://twitter.com/gsimone13","@gsimone13")</f>
        <v>@gsimone13</v>
      </c>
      <c r="C21677" t="s">
        <v>10503</v>
      </c>
      <c r="D21677">
        <v>0</v>
      </c>
      <c r="E21677">
        <v>0</v>
      </c>
      <c r="F21677">
        <v>1342</v>
      </c>
    </row>
    <row r="21678" spans="1:6" ht="12.75">
      <c r="A21678" s="2">
        <v>43875.960289351853</v>
      </c>
      <c r="B21678" t="str">
        <f>HYPERLINK("https://twitter.com/anFanani","@anFanani")</f>
        <v>@anFanani</v>
      </c>
      <c r="C21678" t="s">
        <v>6201</v>
      </c>
      <c r="D21678">
        <v>298</v>
      </c>
      <c r="E21678">
        <v>0</v>
      </c>
      <c r="F21678">
        <v>3236</v>
      </c>
    </row>
    <row r="21679" spans="1:6" ht="12.75">
      <c r="A21679" s="2">
        <v>43875.960231481484</v>
      </c>
      <c r="B21679" t="str">
        <f>HYPERLINK("https://twitter.com/isayyoungusayk","@isayyoungusayk")</f>
        <v>@isayyoungusayk</v>
      </c>
      <c r="C21679" t="s">
        <v>9067</v>
      </c>
      <c r="D21679">
        <v>60</v>
      </c>
      <c r="E21679">
        <v>0</v>
      </c>
      <c r="F21679">
        <v>637</v>
      </c>
    </row>
    <row r="21680" spans="1:6" ht="12.75">
      <c r="A21680" s="2">
        <v>43875.960127314815</v>
      </c>
      <c r="B21680" t="str">
        <f>HYPERLINK("https://twitter.com/zamnurjaman66","@zamnurjaman66")</f>
        <v>@zamnurjaman66</v>
      </c>
      <c r="C21680" t="s">
        <v>6201</v>
      </c>
      <c r="D21680">
        <v>298</v>
      </c>
      <c r="E21680">
        <v>0</v>
      </c>
      <c r="F21680">
        <v>214</v>
      </c>
    </row>
    <row r="21681" spans="1:6" ht="12.75">
      <c r="A21681" s="2">
        <v>43875.960069444445</v>
      </c>
      <c r="B21681" t="str">
        <f>HYPERLINK("https://twitter.com/zenrizal160271","@zenrizal160271")</f>
        <v>@zenrizal160271</v>
      </c>
      <c r="C21681" t="s">
        <v>7478</v>
      </c>
      <c r="D21681">
        <v>440</v>
      </c>
      <c r="E21681">
        <v>0</v>
      </c>
      <c r="F21681">
        <v>169</v>
      </c>
    </row>
    <row r="21682" spans="1:6" ht="12.75">
      <c r="A21682" s="2">
        <v>43875.959907407407</v>
      </c>
      <c r="B21682" t="str">
        <f>HYPERLINK("https://twitter.com/tvOneNews","@tvOneNews")</f>
        <v>@tvOneNews</v>
      </c>
      <c r="C21682" t="s">
        <v>10504</v>
      </c>
      <c r="D21682">
        <v>0</v>
      </c>
      <c r="E21682">
        <v>0</v>
      </c>
      <c r="F21682">
        <v>8714712</v>
      </c>
    </row>
    <row r="21683" spans="1:6" ht="12.75">
      <c r="A21683" s="2">
        <v>43875.959895833337</v>
      </c>
      <c r="B21683" t="str">
        <f>HYPERLINK("https://twitter.com/chateaumeh","@chateaumeh")</f>
        <v>@chateaumeh</v>
      </c>
      <c r="C21683" t="s">
        <v>9067</v>
      </c>
      <c r="D21683">
        <v>54</v>
      </c>
      <c r="E21683">
        <v>0</v>
      </c>
      <c r="F21683">
        <v>3223</v>
      </c>
    </row>
    <row r="21684" spans="1:6" ht="12.75">
      <c r="A21684" s="2">
        <v>43875.959872685184</v>
      </c>
      <c r="B21684" t="str">
        <f>HYPERLINK("https://twitter.com/AndromedaMcfc","@AndromedaMcfc")</f>
        <v>@AndromedaMcfc</v>
      </c>
      <c r="C21684" t="s">
        <v>10505</v>
      </c>
      <c r="D21684">
        <v>0</v>
      </c>
      <c r="E21684">
        <v>0</v>
      </c>
      <c r="F21684">
        <v>3916</v>
      </c>
    </row>
    <row r="21685" spans="1:6" ht="12.75">
      <c r="A21685" s="2">
        <v>43875.959768518514</v>
      </c>
      <c r="B21685" t="str">
        <f>HYPERLINK("https://twitter.com/isayyoungusayk","@isayyoungusayk")</f>
        <v>@isayyoungusayk</v>
      </c>
      <c r="C21685" t="s">
        <v>2444</v>
      </c>
      <c r="D21685">
        <v>2979</v>
      </c>
      <c r="E21685">
        <v>0</v>
      </c>
      <c r="F21685">
        <v>637</v>
      </c>
    </row>
    <row r="21686" spans="1:6" ht="12.75">
      <c r="A21686" s="2">
        <v>43875.959745370375</v>
      </c>
      <c r="B21686" t="str">
        <f>HYPERLINK("https://twitter.com/eagyul","@eagyul")</f>
        <v>@eagyul</v>
      </c>
      <c r="C21686" t="s">
        <v>2444</v>
      </c>
      <c r="D21686">
        <v>2979</v>
      </c>
      <c r="E21686">
        <v>0</v>
      </c>
      <c r="F21686">
        <v>6</v>
      </c>
    </row>
    <row r="21687" spans="1:6" ht="12.75">
      <c r="A21687" s="2">
        <v>43875.959710648152</v>
      </c>
      <c r="B21687" t="str">
        <f>HYPERLINK("https://twitter.com/ariepong","@ariepong")</f>
        <v>@ariepong</v>
      </c>
      <c r="C21687" t="s">
        <v>10506</v>
      </c>
      <c r="D21687">
        <v>0</v>
      </c>
      <c r="E21687">
        <v>0</v>
      </c>
      <c r="F21687">
        <v>428</v>
      </c>
    </row>
    <row r="21688" spans="1:6" ht="12.75">
      <c r="A21688" s="2">
        <v>43875.959664351853</v>
      </c>
      <c r="B21688" t="str">
        <f>HYPERLINK("https://twitter.com/arykaitokid","@arykaitokid")</f>
        <v>@arykaitokid</v>
      </c>
      <c r="C21688" t="s">
        <v>2444</v>
      </c>
      <c r="D21688">
        <v>2979</v>
      </c>
      <c r="E21688">
        <v>0</v>
      </c>
      <c r="F21688">
        <v>236</v>
      </c>
    </row>
    <row r="21689" spans="1:6" ht="12.75">
      <c r="A21689" s="2">
        <v>43875.959409722222</v>
      </c>
      <c r="B21689" t="str">
        <f>HYPERLINK("https://twitter.com/Bloomingwwon","@Bloomingwwon")</f>
        <v>@Bloomingwwon</v>
      </c>
      <c r="C21689" t="s">
        <v>7068</v>
      </c>
      <c r="D21689">
        <v>35</v>
      </c>
      <c r="E21689">
        <v>0</v>
      </c>
      <c r="F21689">
        <v>710</v>
      </c>
    </row>
    <row r="21690" spans="1:6" ht="12.75">
      <c r="A21690" s="2">
        <v>43875.959155092598</v>
      </c>
      <c r="B21690" t="str">
        <f>HYPERLINK("https://twitter.com/IwLutfi","@IwLutfi")</f>
        <v>@IwLutfi</v>
      </c>
      <c r="C21690" t="s">
        <v>2444</v>
      </c>
      <c r="D21690">
        <v>2979</v>
      </c>
      <c r="E21690">
        <v>0</v>
      </c>
      <c r="F21690">
        <v>15</v>
      </c>
    </row>
    <row r="21691" spans="1:6" ht="12.75">
      <c r="A21691" s="2">
        <v>43875.959108796298</v>
      </c>
      <c r="B21691" t="str">
        <f>HYPERLINK("https://twitter.com/chece271","@chece271")</f>
        <v>@chece271</v>
      </c>
      <c r="C21691" t="s">
        <v>2444</v>
      </c>
      <c r="D21691">
        <v>2979</v>
      </c>
      <c r="E21691">
        <v>0</v>
      </c>
      <c r="F21691">
        <v>609</v>
      </c>
    </row>
    <row r="21692" spans="1:6" ht="12.75">
      <c r="A21692" s="2">
        <v>43875.958877314813</v>
      </c>
      <c r="B21692" t="str">
        <f>HYPERLINK("https://twitter.com/Pipelcantikk","@Pipelcantikk")</f>
        <v>@Pipelcantikk</v>
      </c>
      <c r="C21692" t="s">
        <v>2444</v>
      </c>
      <c r="D21692">
        <v>2979</v>
      </c>
      <c r="E21692">
        <v>0</v>
      </c>
      <c r="F21692">
        <v>1569</v>
      </c>
    </row>
    <row r="21693" spans="1:6" ht="12.75">
      <c r="A21693" s="2">
        <v>43875.95884259259</v>
      </c>
      <c r="B21693" t="str">
        <f>HYPERLINK("https://twitter.com/firmanadhi3","@firmanadhi3")</f>
        <v>@firmanadhi3</v>
      </c>
      <c r="C21693" t="s">
        <v>10493</v>
      </c>
      <c r="D21693">
        <v>3</v>
      </c>
      <c r="E21693">
        <v>0</v>
      </c>
      <c r="F21693">
        <v>313</v>
      </c>
    </row>
    <row r="21694" spans="1:6" ht="12.75">
      <c r="A21694" s="2">
        <v>43875.958437499998</v>
      </c>
      <c r="B21694" t="str">
        <f>HYPERLINK("https://twitter.com/sapKISSap","@sapKISSap")</f>
        <v>@sapKISSap</v>
      </c>
      <c r="C21694" t="s">
        <v>2444</v>
      </c>
      <c r="D21694">
        <v>2979</v>
      </c>
      <c r="E21694">
        <v>0</v>
      </c>
      <c r="F21694">
        <v>8910</v>
      </c>
    </row>
    <row r="21695" spans="1:6" ht="12.75">
      <c r="A21695" s="2">
        <v>43875.958368055552</v>
      </c>
      <c r="B21695" t="str">
        <f>HYPERLINK("https://twitter.com/starkiels","@starkiels")</f>
        <v>@starkiels</v>
      </c>
      <c r="C21695" t="s">
        <v>10507</v>
      </c>
      <c r="D21695">
        <v>0</v>
      </c>
      <c r="E21695">
        <v>0</v>
      </c>
      <c r="F21695">
        <v>130</v>
      </c>
    </row>
    <row r="21696" spans="1:6" ht="12.75">
      <c r="A21696" s="2">
        <v>43875.958275462966</v>
      </c>
      <c r="B21696" t="str">
        <f>HYPERLINK("https://twitter.com/mnsurbakti","@mnsurbakti")</f>
        <v>@mnsurbakti</v>
      </c>
      <c r="C21696" t="s">
        <v>9198</v>
      </c>
      <c r="D21696">
        <v>80</v>
      </c>
      <c r="E21696">
        <v>0</v>
      </c>
      <c r="F21696">
        <v>569</v>
      </c>
    </row>
    <row r="21697" spans="1:6" ht="12.75">
      <c r="A21697" s="2">
        <v>43875.958240740743</v>
      </c>
      <c r="B21697" t="str">
        <f>HYPERLINK("https://twitter.com/umam_chaerul","@umam_chaerul")</f>
        <v>@umam_chaerul</v>
      </c>
      <c r="C21697" t="s">
        <v>10052</v>
      </c>
      <c r="D21697">
        <v>100</v>
      </c>
      <c r="E21697">
        <v>0</v>
      </c>
      <c r="F21697">
        <v>2880</v>
      </c>
    </row>
    <row r="21698" spans="1:6" ht="12.75">
      <c r="A21698" s="2">
        <v>43875.958229166667</v>
      </c>
      <c r="B21698" t="str">
        <f>HYPERLINK("https://twitter.com/trinugroho162","@trinugroho162")</f>
        <v>@trinugroho162</v>
      </c>
      <c r="C21698" t="s">
        <v>10052</v>
      </c>
      <c r="D21698">
        <v>100</v>
      </c>
      <c r="E21698">
        <v>0</v>
      </c>
      <c r="F21698">
        <v>1663</v>
      </c>
    </row>
    <row r="21699" spans="1:6" ht="12.75">
      <c r="A21699" s="2">
        <v>43875.958194444444</v>
      </c>
      <c r="B21699" t="str">
        <f>HYPERLINK("https://twitter.com/ray_slamet","@ray_slamet")</f>
        <v>@ray_slamet</v>
      </c>
      <c r="C21699" t="s">
        <v>9198</v>
      </c>
      <c r="D21699">
        <v>80</v>
      </c>
      <c r="E21699">
        <v>0</v>
      </c>
      <c r="F21699">
        <v>848</v>
      </c>
    </row>
    <row r="21700" spans="1:6" ht="12.75">
      <c r="A21700" s="2">
        <v>43875.957928240736</v>
      </c>
      <c r="B21700" t="str">
        <f>HYPERLINK("https://twitter.com/firmanadhi3","@firmanadhi3")</f>
        <v>@firmanadhi3</v>
      </c>
      <c r="C21700" t="s">
        <v>10096</v>
      </c>
      <c r="D21700">
        <v>175</v>
      </c>
      <c r="E21700">
        <v>0</v>
      </c>
      <c r="F21700">
        <v>313</v>
      </c>
    </row>
    <row r="21701" spans="1:6" ht="12.75">
      <c r="A21701" s="2">
        <v>43875.957708333328</v>
      </c>
      <c r="B21701" t="str">
        <f>HYPERLINK("https://twitter.com/IbrahimGarcia19","@IbrahimGarcia19")</f>
        <v>@IbrahimGarcia19</v>
      </c>
      <c r="C21701" t="s">
        <v>5761</v>
      </c>
      <c r="D21701">
        <v>85</v>
      </c>
      <c r="E21701">
        <v>0</v>
      </c>
      <c r="F21701">
        <v>1440</v>
      </c>
    </row>
    <row r="21702" spans="1:6" ht="12.75">
      <c r="A21702" s="2">
        <v>43875.957604166666</v>
      </c>
      <c r="B21702" t="str">
        <f>HYPERLINK("https://twitter.com/AprianAjiN","@AprianAjiN")</f>
        <v>@AprianAjiN</v>
      </c>
      <c r="C21702" t="s">
        <v>5168</v>
      </c>
      <c r="D21702">
        <v>1119</v>
      </c>
      <c r="E21702">
        <v>0</v>
      </c>
      <c r="F21702">
        <v>471</v>
      </c>
    </row>
    <row r="21703" spans="1:6" ht="12.75">
      <c r="A21703" s="2">
        <v>43875.957546296297</v>
      </c>
      <c r="B21703" t="str">
        <f>HYPERLINK("https://twitter.com/keponewsdotcom","@keponewsdotcom")</f>
        <v>@keponewsdotcom</v>
      </c>
      <c r="C21703" t="s">
        <v>10508</v>
      </c>
      <c r="D21703">
        <v>0</v>
      </c>
      <c r="E21703">
        <v>0</v>
      </c>
      <c r="F21703">
        <v>166</v>
      </c>
    </row>
    <row r="21704" spans="1:6" ht="12.75">
      <c r="A21704" s="2">
        <v>43875.957488425927</v>
      </c>
      <c r="B21704" t="str">
        <f>HYPERLINK("https://twitter.com/jamaldn","@jamaldn")</f>
        <v>@jamaldn</v>
      </c>
      <c r="C21704" t="s">
        <v>10509</v>
      </c>
      <c r="D21704">
        <v>0</v>
      </c>
      <c r="E21704">
        <v>0</v>
      </c>
      <c r="F21704">
        <v>282</v>
      </c>
    </row>
    <row r="21705" spans="1:6" ht="12.75">
      <c r="A21705" s="2">
        <v>43875.957465277781</v>
      </c>
      <c r="B21705" t="str">
        <f>HYPERLINK("https://twitter.com/koala_of_cactus","@koala_of_cactus")</f>
        <v>@koala_of_cactus</v>
      </c>
      <c r="C21705" t="s">
        <v>2444</v>
      </c>
      <c r="D21705">
        <v>2979</v>
      </c>
      <c r="E21705">
        <v>0</v>
      </c>
      <c r="F21705">
        <v>85</v>
      </c>
    </row>
    <row r="21706" spans="1:6" ht="12.75">
      <c r="A21706" s="2">
        <v>43875.957430555558</v>
      </c>
      <c r="B21706" t="str">
        <f>HYPERLINK("https://twitter.com/jikajik7","@jikajik7")</f>
        <v>@jikajik7</v>
      </c>
      <c r="C21706" t="s">
        <v>2444</v>
      </c>
      <c r="D21706">
        <v>2979</v>
      </c>
      <c r="E21706">
        <v>0</v>
      </c>
      <c r="F21706">
        <v>0</v>
      </c>
    </row>
    <row r="21707" spans="1:6" ht="12.75">
      <c r="A21707" s="2">
        <v>43875.957233796296</v>
      </c>
      <c r="B21707" t="str">
        <f>HYPERLINK("https://twitter.com/tantearine","@tantearine")</f>
        <v>@tantearine</v>
      </c>
      <c r="C21707" t="s">
        <v>10493</v>
      </c>
      <c r="D21707">
        <v>3</v>
      </c>
      <c r="E21707">
        <v>0</v>
      </c>
      <c r="F21707">
        <v>479</v>
      </c>
    </row>
    <row r="21708" spans="1:6" ht="12.75">
      <c r="A21708" s="2">
        <v>43875.957199074073</v>
      </c>
      <c r="B21708" t="str">
        <f>HYPERLINK("https://twitter.com/sonmenn","@sonmenn")</f>
        <v>@sonmenn</v>
      </c>
      <c r="C21708" t="s">
        <v>5168</v>
      </c>
      <c r="D21708">
        <v>1119</v>
      </c>
      <c r="E21708">
        <v>0</v>
      </c>
      <c r="F21708">
        <v>224</v>
      </c>
    </row>
    <row r="21709" spans="1:6" ht="12.75">
      <c r="A21709" s="2">
        <v>43875.957187499997</v>
      </c>
      <c r="B21709" t="str">
        <f>HYPERLINK("https://twitter.com/Ayuky131","@Ayuky131")</f>
        <v>@Ayuky131</v>
      </c>
      <c r="C21709" t="s">
        <v>5168</v>
      </c>
      <c r="D21709">
        <v>1119</v>
      </c>
      <c r="E21709">
        <v>0</v>
      </c>
      <c r="F21709">
        <v>77</v>
      </c>
    </row>
    <row r="21710" spans="1:6" ht="12.75">
      <c r="A21710" s="2">
        <v>43875.957094907411</v>
      </c>
      <c r="B21710" t="str">
        <f>HYPERLINK("https://twitter.com/HeriRiva75","@HeriRiva75")</f>
        <v>@HeriRiva75</v>
      </c>
      <c r="C21710" t="s">
        <v>6201</v>
      </c>
      <c r="D21710">
        <v>271</v>
      </c>
      <c r="E21710">
        <v>0</v>
      </c>
      <c r="F21710">
        <v>451</v>
      </c>
    </row>
    <row r="21711" spans="1:6" ht="12.75">
      <c r="A21711" s="2">
        <v>43875.957083333335</v>
      </c>
      <c r="B21711" t="str">
        <f>HYPERLINK("https://twitter.com/aalunsgrp","@aalunsgrp")</f>
        <v>@aalunsgrp</v>
      </c>
      <c r="C21711" t="s">
        <v>10510</v>
      </c>
      <c r="D21711">
        <v>0</v>
      </c>
      <c r="E21711">
        <v>0</v>
      </c>
      <c r="F21711">
        <v>96</v>
      </c>
    </row>
    <row r="21712" spans="1:6" ht="12.75">
      <c r="A21712" s="2">
        <v>43875.957013888888</v>
      </c>
      <c r="B21712" t="str">
        <f>HYPERLINK("https://twitter.com/demokrasicoid","@demokrasicoid")</f>
        <v>@demokrasicoid</v>
      </c>
      <c r="C21712" t="s">
        <v>10511</v>
      </c>
      <c r="D21712">
        <v>0</v>
      </c>
      <c r="E21712">
        <v>0</v>
      </c>
      <c r="F21712">
        <v>22238</v>
      </c>
    </row>
    <row r="21713" spans="1:6" ht="12.75">
      <c r="A21713" s="2">
        <v>43875.95684027778</v>
      </c>
      <c r="B21713" t="str">
        <f>HYPERLINK("https://twitter.com/umam_chaerul","@umam_chaerul")</f>
        <v>@umam_chaerul</v>
      </c>
      <c r="C21713" t="s">
        <v>10512</v>
      </c>
      <c r="D21713">
        <v>8</v>
      </c>
      <c r="E21713">
        <v>0</v>
      </c>
      <c r="F21713">
        <v>2880</v>
      </c>
    </row>
    <row r="21714" spans="1:6" ht="12.75">
      <c r="A21714" s="2">
        <v>43875.956759259258</v>
      </c>
      <c r="B21714" t="str">
        <f>HYPERLINK("https://twitter.com/enengcantika","@enengcantika")</f>
        <v>@enengcantika</v>
      </c>
      <c r="C21714" t="s">
        <v>10513</v>
      </c>
      <c r="D21714">
        <v>0</v>
      </c>
      <c r="E21714">
        <v>0</v>
      </c>
      <c r="F21714">
        <v>204</v>
      </c>
    </row>
    <row r="21715" spans="1:6" ht="12.75">
      <c r="A21715" s="2">
        <v>43875.956724537042</v>
      </c>
      <c r="B21715" t="str">
        <f>HYPERLINK("https://twitter.com/ginamustika","@ginamustika")</f>
        <v>@ginamustika</v>
      </c>
      <c r="C21715" t="s">
        <v>9198</v>
      </c>
      <c r="D21715">
        <v>80</v>
      </c>
      <c r="E21715">
        <v>0</v>
      </c>
      <c r="F21715">
        <v>807</v>
      </c>
    </row>
    <row r="21716" spans="1:6" ht="12.75">
      <c r="A21716" s="2">
        <v>43875.956689814819</v>
      </c>
      <c r="B21716" t="str">
        <f>HYPERLINK("https://twitter.com/anggiastikaa_","@anggiastikaa_")</f>
        <v>@anggiastikaa_</v>
      </c>
      <c r="C21716" t="s">
        <v>10111</v>
      </c>
      <c r="D21716">
        <v>7</v>
      </c>
      <c r="E21716">
        <v>0</v>
      </c>
      <c r="F21716">
        <v>617</v>
      </c>
    </row>
    <row r="21717" spans="1:6" ht="12.75">
      <c r="A21717" s="2">
        <v>43875.956666666665</v>
      </c>
      <c r="B21717" t="str">
        <f>HYPERLINK("https://twitter.com/binihilsm","@binihilsm")</f>
        <v>@binihilsm</v>
      </c>
      <c r="C21717" t="s">
        <v>2444</v>
      </c>
      <c r="D21717">
        <v>2979</v>
      </c>
      <c r="E21717">
        <v>0</v>
      </c>
      <c r="F21717">
        <v>844</v>
      </c>
    </row>
    <row r="21718" spans="1:6" ht="12.75">
      <c r="A21718" s="2">
        <v>43875.956574074073</v>
      </c>
      <c r="B21718" t="str">
        <f>HYPERLINK("https://twitter.com/dvdrvldo","@dvdrvldo")</f>
        <v>@dvdrvldo</v>
      </c>
      <c r="C21718" t="s">
        <v>2444</v>
      </c>
      <c r="D21718">
        <v>2979</v>
      </c>
      <c r="E21718">
        <v>0</v>
      </c>
      <c r="F21718">
        <v>382</v>
      </c>
    </row>
    <row r="21719" spans="1:6" ht="12.75">
      <c r="A21719" s="2">
        <v>43875.956493055557</v>
      </c>
      <c r="B21719" t="str">
        <f>HYPERLINK("https://twitter.com/BurungKutilang7","@BurungKutilang7")</f>
        <v>@BurungKutilang7</v>
      </c>
      <c r="C21719" t="s">
        <v>2444</v>
      </c>
      <c r="D21719">
        <v>2979</v>
      </c>
      <c r="E21719">
        <v>0</v>
      </c>
      <c r="F21719">
        <v>28</v>
      </c>
    </row>
    <row r="21720" spans="1:6" ht="12.75">
      <c r="A21720" s="2">
        <v>43875.956446759257</v>
      </c>
      <c r="B21720" t="str">
        <f>HYPERLINK("https://twitter.com/fipyon","@fipyon")</f>
        <v>@fipyon</v>
      </c>
      <c r="C21720" t="s">
        <v>5168</v>
      </c>
      <c r="D21720">
        <v>1119</v>
      </c>
      <c r="E21720">
        <v>0</v>
      </c>
      <c r="F21720">
        <v>62</v>
      </c>
    </row>
    <row r="21721" spans="1:6" ht="12.75">
      <c r="A21721" s="2">
        <v>43875.956331018519</v>
      </c>
      <c r="B21721" t="str">
        <f>HYPERLINK("https://twitter.com/Fadly92808117","@Fadly92808117")</f>
        <v>@Fadly92808117</v>
      </c>
      <c r="C21721" t="s">
        <v>9857</v>
      </c>
      <c r="D21721">
        <v>14</v>
      </c>
      <c r="E21721">
        <v>0</v>
      </c>
      <c r="F21721">
        <v>1</v>
      </c>
    </row>
    <row r="21722" spans="1:6" ht="12.75">
      <c r="A21722" s="2">
        <v>43875.956250000003</v>
      </c>
      <c r="B21722" t="str">
        <f>HYPERLINK("https://twitter.com/fipyon","@fipyon")</f>
        <v>@fipyon</v>
      </c>
      <c r="C21722" t="s">
        <v>2444</v>
      </c>
      <c r="D21722">
        <v>2979</v>
      </c>
      <c r="E21722">
        <v>0</v>
      </c>
      <c r="F21722">
        <v>62</v>
      </c>
    </row>
    <row r="21723" spans="1:6" ht="12.75">
      <c r="A21723" s="2">
        <v>43875.95616898148</v>
      </c>
      <c r="B21723" t="str">
        <f>HYPERLINK("https://twitter.com/fasciolahptc","@fasciolahptc")</f>
        <v>@fasciolahptc</v>
      </c>
      <c r="C21723" t="s">
        <v>5168</v>
      </c>
      <c r="D21723">
        <v>1119</v>
      </c>
      <c r="E21723">
        <v>0</v>
      </c>
      <c r="F21723">
        <v>33</v>
      </c>
    </row>
    <row r="21724" spans="1:6" ht="12.75">
      <c r="A21724" s="2">
        <v>43875.955995370372</v>
      </c>
      <c r="B21724" t="str">
        <f>HYPERLINK("https://twitter.com/HalimTeuku","@HalimTeuku")</f>
        <v>@HalimTeuku</v>
      </c>
      <c r="C21724" t="s">
        <v>6201</v>
      </c>
      <c r="D21724">
        <v>271</v>
      </c>
      <c r="E21724">
        <v>0</v>
      </c>
      <c r="F21724">
        <v>3443</v>
      </c>
    </row>
    <row r="21725" spans="1:6" ht="12.75">
      <c r="A21725" s="2">
        <v>43875.955983796295</v>
      </c>
      <c r="B21725" t="str">
        <f>HYPERLINK("https://twitter.com/fasciolahptc","@fasciolahptc")</f>
        <v>@fasciolahptc</v>
      </c>
      <c r="C21725" t="s">
        <v>2444</v>
      </c>
      <c r="D21725">
        <v>2979</v>
      </c>
      <c r="E21725">
        <v>0</v>
      </c>
      <c r="F21725">
        <v>33</v>
      </c>
    </row>
    <row r="21726" spans="1:6" ht="12.75">
      <c r="A21726" s="2">
        <v>43875.955925925926</v>
      </c>
      <c r="B21726" t="str">
        <f>HYPERLINK("https://twitter.com/Kamto96126219","@Kamto96126219")</f>
        <v>@Kamto96126219</v>
      </c>
      <c r="C21726" t="s">
        <v>10493</v>
      </c>
      <c r="D21726">
        <v>3</v>
      </c>
      <c r="E21726">
        <v>0</v>
      </c>
      <c r="F21726">
        <v>422</v>
      </c>
    </row>
    <row r="21727" spans="1:6" ht="12.75">
      <c r="A21727" s="2">
        <v>43875.95584490741</v>
      </c>
      <c r="B21727" t="str">
        <f>HYPERLINK("https://twitter.com/wadmaja","@wadmaja")</f>
        <v>@wadmaja</v>
      </c>
      <c r="C21727" t="s">
        <v>2444</v>
      </c>
      <c r="D21727">
        <v>2979</v>
      </c>
      <c r="E21727">
        <v>0</v>
      </c>
      <c r="F21727">
        <v>277</v>
      </c>
    </row>
    <row r="21728" spans="1:6" ht="12.75">
      <c r="A21728" s="2">
        <v>43875.955810185187</v>
      </c>
      <c r="B21728" t="str">
        <f>HYPERLINK("https://twitter.com/mywoos","@mywoos")</f>
        <v>@mywoos</v>
      </c>
      <c r="C21728" t="s">
        <v>2444</v>
      </c>
      <c r="D21728">
        <v>2979</v>
      </c>
      <c r="E21728">
        <v>0</v>
      </c>
      <c r="F21728">
        <v>1208</v>
      </c>
    </row>
    <row r="21729" spans="1:6" ht="12.75">
      <c r="A21729" s="2">
        <v>43875.955567129626</v>
      </c>
      <c r="B21729" t="str">
        <f>HYPERLINK("https://twitter.com/pluemonnoona","@pluemonnoona")</f>
        <v>@pluemonnoona</v>
      </c>
      <c r="C21729" t="s">
        <v>2444</v>
      </c>
      <c r="D21729">
        <v>2979</v>
      </c>
      <c r="E21729">
        <v>0</v>
      </c>
      <c r="F21729">
        <v>331</v>
      </c>
    </row>
    <row r="21730" spans="1:6" ht="12.75">
      <c r="A21730" s="2">
        <v>43875.955567129626</v>
      </c>
      <c r="B21730" t="str">
        <f>HYPERLINK("https://twitter.com/pam30301","@pam30301")</f>
        <v>@pam30301</v>
      </c>
      <c r="C21730" t="s">
        <v>3150</v>
      </c>
      <c r="D21730">
        <v>23</v>
      </c>
      <c r="E21730">
        <v>0</v>
      </c>
      <c r="F21730">
        <v>8805</v>
      </c>
    </row>
    <row r="21731" spans="1:6" ht="12.75">
      <c r="A21731" s="2">
        <v>43875.955497685187</v>
      </c>
      <c r="B21731" t="str">
        <f>HYPERLINK("https://twitter.com/herihrydi","@herihrydi")</f>
        <v>@herihrydi</v>
      </c>
      <c r="C21731" t="s">
        <v>7478</v>
      </c>
      <c r="D21731">
        <v>425</v>
      </c>
      <c r="E21731">
        <v>0</v>
      </c>
      <c r="F21731">
        <v>207</v>
      </c>
    </row>
    <row r="21732" spans="1:6" ht="12.75">
      <c r="A21732" s="2">
        <v>43875.955451388887</v>
      </c>
      <c r="B21732" t="str">
        <f>HYPERLINK("https://twitter.com/Jpdcw2","@Jpdcw2")</f>
        <v>@Jpdcw2</v>
      </c>
      <c r="C21732" t="s">
        <v>10514</v>
      </c>
      <c r="D21732">
        <v>0</v>
      </c>
      <c r="E21732">
        <v>0</v>
      </c>
      <c r="F21732">
        <v>399</v>
      </c>
    </row>
    <row r="21733" spans="1:6" ht="12.75">
      <c r="A21733" s="2">
        <v>43875.955300925925</v>
      </c>
      <c r="B21733" t="str">
        <f>HYPERLINK("https://twitter.com/benitoraa","@benitoraa")</f>
        <v>@benitoraa</v>
      </c>
      <c r="C21733" t="s">
        <v>5168</v>
      </c>
      <c r="D21733">
        <v>1119</v>
      </c>
      <c r="E21733">
        <v>0</v>
      </c>
      <c r="F21733">
        <v>257</v>
      </c>
    </row>
    <row r="21734" spans="1:6" ht="12.75">
      <c r="A21734" s="2">
        <v>43875.955289351856</v>
      </c>
      <c r="B21734" t="str">
        <f>HYPERLINK("https://twitter.com/vaseIin","@vaseIin")</f>
        <v>@vaseIin</v>
      </c>
      <c r="C21734" t="s">
        <v>5168</v>
      </c>
      <c r="D21734">
        <v>1119</v>
      </c>
      <c r="E21734">
        <v>0</v>
      </c>
      <c r="F21734">
        <v>556</v>
      </c>
    </row>
    <row r="21735" spans="1:6" ht="12.75">
      <c r="A21735" s="2">
        <v>43875.955243055556</v>
      </c>
      <c r="B21735" t="str">
        <f>HYPERLINK("https://twitter.com/Andi_ariyanto99","@Andi_ariyanto99")</f>
        <v>@Andi_ariyanto99</v>
      </c>
      <c r="C21735" t="s">
        <v>2097</v>
      </c>
      <c r="D21735">
        <v>401</v>
      </c>
      <c r="E21735">
        <v>0</v>
      </c>
      <c r="F21735">
        <v>381</v>
      </c>
    </row>
    <row r="21736" spans="1:6" ht="12.75">
      <c r="A21736" s="2">
        <v>43875.95517361111</v>
      </c>
      <c r="B21736" t="str">
        <f>HYPERLINK("https://twitter.com/republikaonline","@republikaonline")</f>
        <v>@republikaonline</v>
      </c>
      <c r="C21736" t="s">
        <v>10515</v>
      </c>
      <c r="D21736">
        <v>3</v>
      </c>
      <c r="E21736">
        <v>2</v>
      </c>
      <c r="F21736">
        <v>1210332</v>
      </c>
    </row>
    <row r="21737" spans="1:6" ht="12.75">
      <c r="A21737" s="2">
        <v>43875.95517361111</v>
      </c>
      <c r="B21737" t="str">
        <f>HYPERLINK("https://twitter.com/EdyanRc","@EdyanRc")</f>
        <v>@EdyanRc</v>
      </c>
      <c r="C21737" t="s">
        <v>2126</v>
      </c>
      <c r="D21737">
        <v>2799</v>
      </c>
      <c r="E21737">
        <v>0</v>
      </c>
      <c r="F21737">
        <v>2</v>
      </c>
    </row>
    <row r="21738" spans="1:6" ht="12.75">
      <c r="A21738" s="2">
        <v>43875.955069444448</v>
      </c>
      <c r="B21738" t="str">
        <f>HYPERLINK("https://twitter.com/andromedip","@andromedip")</f>
        <v>@andromedip</v>
      </c>
      <c r="C21738" t="s">
        <v>2444</v>
      </c>
      <c r="D21738">
        <v>2979</v>
      </c>
      <c r="E21738">
        <v>0</v>
      </c>
      <c r="F21738">
        <v>380</v>
      </c>
    </row>
    <row r="21739" spans="1:6" ht="12.75">
      <c r="A21739" s="2">
        <v>43875.954953703702</v>
      </c>
      <c r="B21739" t="str">
        <f>HYPERLINK("https://twitter.com/jovicohalim70","@jovicohalim70")</f>
        <v>@jovicohalim70</v>
      </c>
      <c r="C21739" t="s">
        <v>10516</v>
      </c>
      <c r="D21739">
        <v>0</v>
      </c>
      <c r="E21739">
        <v>0</v>
      </c>
      <c r="F21739">
        <v>113</v>
      </c>
    </row>
    <row r="21740" spans="1:6" ht="12.75">
      <c r="A21740" s="2">
        <v>43875.954942129625</v>
      </c>
      <c r="B21740" t="str">
        <f>HYPERLINK("https://twitter.com/cinani_","@cinani_")</f>
        <v>@cinani_</v>
      </c>
      <c r="C21740" t="s">
        <v>2444</v>
      </c>
      <c r="D21740">
        <v>2979</v>
      </c>
      <c r="E21740">
        <v>0</v>
      </c>
      <c r="F21740">
        <v>197</v>
      </c>
    </row>
    <row r="21741" spans="1:6" ht="12.75">
      <c r="A21741" s="2">
        <v>43875.954872685186</v>
      </c>
      <c r="B21741" t="str">
        <f>HYPERLINK("https://twitter.com/pmroxy","@pmroxy")</f>
        <v>@pmroxy</v>
      </c>
      <c r="C21741" t="s">
        <v>3150</v>
      </c>
      <c r="D21741">
        <v>23</v>
      </c>
      <c r="E21741">
        <v>0</v>
      </c>
      <c r="F21741">
        <v>1104</v>
      </c>
    </row>
    <row r="21742" spans="1:6" ht="12.75">
      <c r="A21742" s="2">
        <v>43875.95484953704</v>
      </c>
      <c r="B21742" t="str">
        <f>HYPERLINK("https://twitter.com/Imamffau","@Imamffau")</f>
        <v>@Imamffau</v>
      </c>
      <c r="C21742" t="s">
        <v>2444</v>
      </c>
      <c r="D21742">
        <v>2979</v>
      </c>
      <c r="E21742">
        <v>0</v>
      </c>
      <c r="F21742">
        <v>91</v>
      </c>
    </row>
    <row r="21743" spans="1:6" ht="12.75">
      <c r="A21743" s="2">
        <v>43875.95484953704</v>
      </c>
      <c r="B21743" t="str">
        <f>HYPERLINK("https://twitter.com/akhdan04061556","@akhdan04061556")</f>
        <v>@akhdan04061556</v>
      </c>
      <c r="C21743" t="s">
        <v>5761</v>
      </c>
      <c r="D21743">
        <v>85</v>
      </c>
      <c r="E21743">
        <v>0</v>
      </c>
      <c r="F21743">
        <v>79</v>
      </c>
    </row>
    <row r="21744" spans="1:6" ht="12.75">
      <c r="A21744" s="2">
        <v>43875.95480324074</v>
      </c>
      <c r="B21744" t="str">
        <f>HYPERLINK("https://twitter.com/cahyakumara","@cahyakumara")</f>
        <v>@cahyakumara</v>
      </c>
      <c r="C21744" t="s">
        <v>175</v>
      </c>
      <c r="D21744">
        <v>5310</v>
      </c>
      <c r="E21744">
        <v>0</v>
      </c>
      <c r="F21744">
        <v>1410</v>
      </c>
    </row>
    <row r="21745" spans="1:6" ht="12.75">
      <c r="A21745" s="2">
        <v>43875.95480324074</v>
      </c>
      <c r="B21745" t="str">
        <f>HYPERLINK("https://twitter.com/chochoseungyoun","@chochoseungyoun")</f>
        <v>@chochoseungyoun</v>
      </c>
      <c r="C21745" t="s">
        <v>2444</v>
      </c>
      <c r="D21745">
        <v>2979</v>
      </c>
      <c r="E21745">
        <v>0</v>
      </c>
      <c r="F21745">
        <v>19142</v>
      </c>
    </row>
    <row r="21746" spans="1:6" ht="12.75">
      <c r="A21746" s="2">
        <v>43875.954791666663</v>
      </c>
      <c r="B21746" t="str">
        <f>HYPERLINK("https://twitter.com/yus_rizal31","@yus_rizal31")</f>
        <v>@yus_rizal31</v>
      </c>
      <c r="C21746" t="s">
        <v>2444</v>
      </c>
      <c r="D21746">
        <v>2979</v>
      </c>
      <c r="E21746">
        <v>0</v>
      </c>
      <c r="F21746">
        <v>418</v>
      </c>
    </row>
    <row r="21747" spans="1:6" ht="12.75">
      <c r="A21747" s="2">
        <v>43875.954745370371</v>
      </c>
      <c r="B21747" t="str">
        <f>HYPERLINK("https://twitter.com/aryokendhil1","@aryokendhil1")</f>
        <v>@aryokendhil1</v>
      </c>
      <c r="C21747" t="s">
        <v>10266</v>
      </c>
      <c r="D21747">
        <v>274</v>
      </c>
      <c r="E21747">
        <v>0</v>
      </c>
      <c r="F21747">
        <v>187</v>
      </c>
    </row>
    <row r="21748" spans="1:6" ht="12.75">
      <c r="A21748" s="2">
        <v>43875.954687500001</v>
      </c>
      <c r="B21748" t="str">
        <f>HYPERLINK("https://twitter.com/nvalil","@nvalil")</f>
        <v>@nvalil</v>
      </c>
      <c r="C21748" t="s">
        <v>2444</v>
      </c>
      <c r="D21748">
        <v>2979</v>
      </c>
      <c r="E21748">
        <v>0</v>
      </c>
      <c r="F21748">
        <v>1521</v>
      </c>
    </row>
    <row r="21749" spans="1:6" ht="12.75">
      <c r="A21749" s="2">
        <v>43875.954594907409</v>
      </c>
      <c r="B21749" t="str">
        <f>HYPERLINK("https://twitter.com/shitgarette","@shitgarette")</f>
        <v>@shitgarette</v>
      </c>
      <c r="C21749" t="s">
        <v>5168</v>
      </c>
      <c r="D21749">
        <v>1119</v>
      </c>
      <c r="E21749">
        <v>0</v>
      </c>
      <c r="F21749">
        <v>135</v>
      </c>
    </row>
    <row r="21750" spans="1:6" ht="12.75">
      <c r="A21750" s="2">
        <v>43875.954571759255</v>
      </c>
      <c r="B21750" t="str">
        <f>HYPERLINK("https://twitter.com/sunpeachzz","@sunpeachzz")</f>
        <v>@sunpeachzz</v>
      </c>
      <c r="C21750" t="s">
        <v>5168</v>
      </c>
      <c r="D21750">
        <v>1119</v>
      </c>
      <c r="E21750">
        <v>0</v>
      </c>
      <c r="F21750">
        <v>730</v>
      </c>
    </row>
    <row r="21751" spans="1:6" ht="12.75">
      <c r="A21751" s="2">
        <v>43875.95449074074</v>
      </c>
      <c r="B21751" t="str">
        <f>HYPERLINK("https://twitter.com/SikumbangAprial","@SikumbangAprial")</f>
        <v>@SikumbangAprial</v>
      </c>
      <c r="C21751" t="s">
        <v>7478</v>
      </c>
      <c r="D21751">
        <v>425</v>
      </c>
      <c r="E21751">
        <v>0</v>
      </c>
      <c r="F21751">
        <v>75</v>
      </c>
    </row>
    <row r="21752" spans="1:6" ht="12.75">
      <c r="A21752" s="2">
        <v>43875.954467592594</v>
      </c>
      <c r="B21752" t="str">
        <f>HYPERLINK("https://twitter.com/ilusmlin","@ilusmlin")</f>
        <v>@ilusmlin</v>
      </c>
      <c r="C21752" t="s">
        <v>2444</v>
      </c>
      <c r="D21752">
        <v>2979</v>
      </c>
      <c r="E21752">
        <v>0</v>
      </c>
      <c r="F21752">
        <v>925</v>
      </c>
    </row>
    <row r="21753" spans="1:6" ht="12.75">
      <c r="A21753" s="2">
        <v>43875.954444444447</v>
      </c>
      <c r="B21753" t="str">
        <f>HYPERLINK("https://twitter.com/redyhard","@redyhard")</f>
        <v>@redyhard</v>
      </c>
      <c r="C21753" t="s">
        <v>10517</v>
      </c>
      <c r="D21753">
        <v>0</v>
      </c>
      <c r="E21753">
        <v>0</v>
      </c>
      <c r="F21753">
        <v>153</v>
      </c>
    </row>
    <row r="21754" spans="1:6" ht="12.75">
      <c r="A21754" s="2">
        <v>43875.954398148147</v>
      </c>
      <c r="B21754" t="str">
        <f>HYPERLINK("https://twitter.com/racc00n0817","@racc00n0817")</f>
        <v>@racc00n0817</v>
      </c>
      <c r="C21754" t="s">
        <v>2444</v>
      </c>
      <c r="D21754">
        <v>2979</v>
      </c>
      <c r="E21754">
        <v>0</v>
      </c>
      <c r="F21754">
        <v>237</v>
      </c>
    </row>
    <row r="21755" spans="1:6" ht="12.75">
      <c r="A21755" s="2">
        <v>43875.954247685186</v>
      </c>
      <c r="B21755" t="str">
        <f>HYPERLINK("https://twitter.com/vrendim29_","@vrendim29_")</f>
        <v>@vrendim29_</v>
      </c>
      <c r="C21755" t="s">
        <v>7478</v>
      </c>
      <c r="D21755">
        <v>425</v>
      </c>
      <c r="E21755">
        <v>0</v>
      </c>
      <c r="F21755">
        <v>1900</v>
      </c>
    </row>
    <row r="21756" spans="1:6" ht="12.75">
      <c r="A21756" s="2">
        <v>43875.954212962963</v>
      </c>
      <c r="B21756" t="str">
        <f>HYPERLINK("https://twitter.com/ddarpen","@ddarpen")</f>
        <v>@ddarpen</v>
      </c>
      <c r="C21756" t="s">
        <v>6201</v>
      </c>
      <c r="D21756">
        <v>271</v>
      </c>
      <c r="E21756">
        <v>0</v>
      </c>
      <c r="F21756">
        <v>298</v>
      </c>
    </row>
    <row r="21757" spans="1:6" ht="12.75">
      <c r="A21757" s="2">
        <v>43875.95413194444</v>
      </c>
      <c r="B21757" t="str">
        <f>HYPERLINK("https://twitter.com/hermansuwardi","@hermansuwardi")</f>
        <v>@hermansuwardi</v>
      </c>
      <c r="C21757" t="s">
        <v>10518</v>
      </c>
      <c r="D21757">
        <v>314</v>
      </c>
      <c r="E21757">
        <v>0</v>
      </c>
      <c r="F21757">
        <v>340</v>
      </c>
    </row>
    <row r="21758" spans="1:6" ht="12.75">
      <c r="A21758" s="2">
        <v>43875.954062500001</v>
      </c>
      <c r="B21758" t="str">
        <f>HYPERLINK("https://twitter.com/browkiees","@browkiees")</f>
        <v>@browkiees</v>
      </c>
      <c r="C21758" t="s">
        <v>2444</v>
      </c>
      <c r="D21758">
        <v>2979</v>
      </c>
      <c r="E21758">
        <v>0</v>
      </c>
      <c r="F21758">
        <v>683</v>
      </c>
    </row>
    <row r="21759" spans="1:6" ht="12.75">
      <c r="A21759" s="2">
        <v>43875.953958333332</v>
      </c>
      <c r="B21759" t="str">
        <f>HYPERLINK("https://twitter.com/denisawahyudin1","@denisawahyudin1")</f>
        <v>@denisawahyudin1</v>
      </c>
      <c r="C21759" t="s">
        <v>10519</v>
      </c>
      <c r="D21759">
        <v>0</v>
      </c>
      <c r="E21759">
        <v>0</v>
      </c>
      <c r="F21759">
        <v>35</v>
      </c>
    </row>
    <row r="21760" spans="1:6" ht="12.75">
      <c r="A21760" s="2">
        <v>43875.953923611116</v>
      </c>
      <c r="B21760" t="str">
        <f>HYPERLINK("https://twitter.com/Nitizen_Zen","@Nitizen_Zen")</f>
        <v>@Nitizen_Zen</v>
      </c>
      <c r="C21760" t="s">
        <v>10520</v>
      </c>
      <c r="D21760">
        <v>14</v>
      </c>
      <c r="E21760">
        <v>0</v>
      </c>
      <c r="F21760">
        <v>454</v>
      </c>
    </row>
    <row r="21761" spans="1:6" ht="12.75">
      <c r="A21761" s="2">
        <v>43875.953865740739</v>
      </c>
      <c r="B21761" t="str">
        <f>HYPERLINK("https://twitter.com/aminarifin85","@aminarifin85")</f>
        <v>@aminarifin85</v>
      </c>
      <c r="C21761" t="s">
        <v>7478</v>
      </c>
      <c r="D21761">
        <v>425</v>
      </c>
      <c r="E21761">
        <v>0</v>
      </c>
      <c r="F21761">
        <v>154</v>
      </c>
    </row>
    <row r="21762" spans="1:6" ht="12.75">
      <c r="A21762" s="2">
        <v>43875.953668981485</v>
      </c>
      <c r="B21762" t="str">
        <f>HYPERLINK("https://twitter.com/IbuRumahTangg4","@IbuRumahTangg4")</f>
        <v>@IbuRumahTangg4</v>
      </c>
      <c r="C21762" t="s">
        <v>8754</v>
      </c>
      <c r="D21762">
        <v>8</v>
      </c>
      <c r="E21762">
        <v>0</v>
      </c>
      <c r="F21762">
        <v>141</v>
      </c>
    </row>
    <row r="21763" spans="1:6" ht="12.75">
      <c r="A21763" s="2">
        <v>43875.953576388885</v>
      </c>
      <c r="B21763" t="str">
        <f>HYPERLINK("https://twitter.com/mugiya_wardhany","@mugiya_wardhany")</f>
        <v>@mugiya_wardhany</v>
      </c>
      <c r="C21763" t="s">
        <v>9198</v>
      </c>
      <c r="D21763">
        <v>80</v>
      </c>
      <c r="E21763">
        <v>0</v>
      </c>
      <c r="F21763">
        <v>1623</v>
      </c>
    </row>
    <row r="21764" spans="1:6" ht="12.75">
      <c r="A21764" s="2">
        <v>43875.953530092593</v>
      </c>
      <c r="B21764" t="str">
        <f>HYPERLINK("https://twitter.com/Harian_Jogja","@Harian_Jogja")</f>
        <v>@Harian_Jogja</v>
      </c>
      <c r="C21764" t="s">
        <v>10521</v>
      </c>
      <c r="D21764">
        <v>0</v>
      </c>
      <c r="E21764">
        <v>1</v>
      </c>
      <c r="F21764">
        <v>153228</v>
      </c>
    </row>
    <row r="21765" spans="1:6" ht="12.75">
      <c r="A21765" s="2">
        <v>43875.9534837963</v>
      </c>
      <c r="B21765" t="str">
        <f>HYPERLINK("https://twitter.com/jurniscom","@jurniscom")</f>
        <v>@jurniscom</v>
      </c>
      <c r="C21765" t="s">
        <v>10522</v>
      </c>
      <c r="D21765">
        <v>0</v>
      </c>
      <c r="E21765">
        <v>0</v>
      </c>
      <c r="F21765">
        <v>2373</v>
      </c>
    </row>
    <row r="21766" spans="1:6" ht="12.75">
      <c r="A21766" s="2">
        <v>43875.953460648147</v>
      </c>
      <c r="B21766" t="str">
        <f>HYPERLINK("https://twitter.com/sunpeachzz","@sunpeachzz")</f>
        <v>@sunpeachzz</v>
      </c>
      <c r="C21766" t="s">
        <v>2444</v>
      </c>
      <c r="D21766">
        <v>2979</v>
      </c>
      <c r="E21766">
        <v>0</v>
      </c>
      <c r="F21766">
        <v>730</v>
      </c>
    </row>
    <row r="21767" spans="1:6" ht="12.75">
      <c r="A21767" s="2">
        <v>43875.953402777777</v>
      </c>
      <c r="B21767" t="str">
        <f>HYPERLINK("https://twitter.com/mugiya_wardhany","@mugiya_wardhany")</f>
        <v>@mugiya_wardhany</v>
      </c>
      <c r="C21767" t="s">
        <v>7478</v>
      </c>
      <c r="D21767">
        <v>425</v>
      </c>
      <c r="E21767">
        <v>0</v>
      </c>
      <c r="F21767">
        <v>1623</v>
      </c>
    </row>
    <row r="21768" spans="1:6" ht="12.75">
      <c r="A21768" s="2">
        <v>43875.953368055554</v>
      </c>
      <c r="B21768" t="str">
        <f>HYPERLINK("https://twitter.com/zna96","@zna96")</f>
        <v>@zna96</v>
      </c>
      <c r="C21768" t="s">
        <v>8233</v>
      </c>
      <c r="D21768">
        <v>520</v>
      </c>
      <c r="E21768">
        <v>0</v>
      </c>
      <c r="F21768">
        <v>606</v>
      </c>
    </row>
    <row r="21769" spans="1:6" ht="12.75">
      <c r="A21769" s="2">
        <v>43875.953333333338</v>
      </c>
      <c r="B21769" t="str">
        <f>HYPERLINK("https://twitter.com/Dizawesome","@Dizawesome")</f>
        <v>@Dizawesome</v>
      </c>
      <c r="C21769" t="s">
        <v>2444</v>
      </c>
      <c r="D21769">
        <v>2979</v>
      </c>
      <c r="E21769">
        <v>0</v>
      </c>
      <c r="F21769">
        <v>827</v>
      </c>
    </row>
    <row r="21770" spans="1:6" ht="12.75">
      <c r="A21770" s="2">
        <v>43875.953275462962</v>
      </c>
      <c r="B21770" t="str">
        <f>HYPERLINK("https://twitter.com/trahkartasura","@trahkartasura")</f>
        <v>@trahkartasura</v>
      </c>
      <c r="C21770" t="s">
        <v>10523</v>
      </c>
      <c r="D21770">
        <v>0</v>
      </c>
      <c r="E21770">
        <v>0</v>
      </c>
      <c r="F21770">
        <v>251</v>
      </c>
    </row>
    <row r="21771" spans="1:6" ht="12.75">
      <c r="A21771" s="2">
        <v>43875.953090277777</v>
      </c>
      <c r="B21771" t="str">
        <f>HYPERLINK("https://twitter.com/cheoncheonie","@cheoncheonie")</f>
        <v>@cheoncheonie</v>
      </c>
      <c r="C21771" t="s">
        <v>2444</v>
      </c>
      <c r="D21771">
        <v>2979</v>
      </c>
      <c r="E21771">
        <v>0</v>
      </c>
      <c r="F21771">
        <v>159</v>
      </c>
    </row>
    <row r="21772" spans="1:6" ht="12.75">
      <c r="A21772" s="2">
        <v>43875.953009259261</v>
      </c>
      <c r="B21772" t="str">
        <f>HYPERLINK("https://twitter.com/LING_5511","@LING_5511")</f>
        <v>@LING_5511</v>
      </c>
      <c r="C21772" t="s">
        <v>10524</v>
      </c>
      <c r="D21772">
        <v>1</v>
      </c>
      <c r="E21772">
        <v>0</v>
      </c>
      <c r="F21772">
        <v>116</v>
      </c>
    </row>
    <row r="21773" spans="1:6" ht="12.75">
      <c r="A21773" s="2">
        <v>43875.952939814815</v>
      </c>
      <c r="B21773" t="str">
        <f>HYPERLINK("https://twitter.com/Silfanus_Wen","@Silfanus_Wen")</f>
        <v>@Silfanus_Wen</v>
      </c>
      <c r="C21773" t="s">
        <v>10525</v>
      </c>
      <c r="D21773">
        <v>0</v>
      </c>
      <c r="E21773">
        <v>0</v>
      </c>
      <c r="F21773">
        <v>35</v>
      </c>
    </row>
    <row r="21774" spans="1:6" ht="12.75">
      <c r="A21774" s="2">
        <v>43875.952893518523</v>
      </c>
      <c r="B21774" t="str">
        <f>HYPERLINK("https://twitter.com/Dhan61152962","@Dhan61152962")</f>
        <v>@Dhan61152962</v>
      </c>
      <c r="C21774" t="s">
        <v>10526</v>
      </c>
      <c r="D21774">
        <v>146</v>
      </c>
      <c r="E21774">
        <v>0</v>
      </c>
      <c r="F21774">
        <v>332</v>
      </c>
    </row>
    <row r="21775" spans="1:6" ht="12.75">
      <c r="A21775" s="2">
        <v>43875.952673611115</v>
      </c>
      <c r="B21775" t="str">
        <f>HYPERLINK("https://twitter.com/firmanadhi3","@firmanadhi3")</f>
        <v>@firmanadhi3</v>
      </c>
      <c r="C21775" t="s">
        <v>10109</v>
      </c>
      <c r="D21775">
        <v>32</v>
      </c>
      <c r="E21775">
        <v>0</v>
      </c>
      <c r="F21775">
        <v>313</v>
      </c>
    </row>
    <row r="21776" spans="1:6" ht="12.75">
      <c r="A21776" s="2">
        <v>43875.952662037038</v>
      </c>
      <c r="B21776" t="str">
        <f>HYPERLINK("https://twitter.com/trahkartasura","@trahkartasura")</f>
        <v>@trahkartasura</v>
      </c>
      <c r="C21776" t="s">
        <v>10527</v>
      </c>
      <c r="D21776">
        <v>0</v>
      </c>
      <c r="E21776">
        <v>0</v>
      </c>
      <c r="F21776">
        <v>251</v>
      </c>
    </row>
    <row r="21777" spans="1:6" ht="12.75">
      <c r="A21777" s="2">
        <v>43875.952627314815</v>
      </c>
      <c r="B21777" t="str">
        <f>HYPERLINK("https://twitter.com/monyomonyo14","@monyomonyo14")</f>
        <v>@monyomonyo14</v>
      </c>
      <c r="C21777" t="s">
        <v>8233</v>
      </c>
      <c r="D21777">
        <v>520</v>
      </c>
      <c r="E21777">
        <v>0</v>
      </c>
      <c r="F21777">
        <v>317</v>
      </c>
    </row>
    <row r="21778" spans="1:6" ht="12.75">
      <c r="A21778" s="2">
        <v>43875.952534722222</v>
      </c>
      <c r="B21778" t="str">
        <f>HYPERLINK("https://twitter.com/Budicahyonugro1","@Budicahyonugro1")</f>
        <v>@Budicahyonugro1</v>
      </c>
      <c r="C21778" t="s">
        <v>2963</v>
      </c>
      <c r="D21778">
        <v>1161</v>
      </c>
      <c r="E21778">
        <v>0</v>
      </c>
      <c r="F21778">
        <v>1</v>
      </c>
    </row>
    <row r="21779" spans="1:6" ht="12.75">
      <c r="A21779" s="2">
        <v>43875.952418981484</v>
      </c>
      <c r="B21779" t="str">
        <f>HYPERLINK("https://twitter.com/YaziedOranje","@YaziedOranje")</f>
        <v>@YaziedOranje</v>
      </c>
      <c r="C21779" t="s">
        <v>8754</v>
      </c>
      <c r="D21779">
        <v>8</v>
      </c>
      <c r="E21779">
        <v>0</v>
      </c>
      <c r="F21779">
        <v>1831</v>
      </c>
    </row>
    <row r="21780" spans="1:6" ht="12.75">
      <c r="A21780" s="2">
        <v>43875.952407407407</v>
      </c>
      <c r="B21780" t="str">
        <f>HYPERLINK("https://twitter.com/sonnysetia","@sonnysetia")</f>
        <v>@sonnysetia</v>
      </c>
      <c r="C21780" t="s">
        <v>6201</v>
      </c>
      <c r="D21780">
        <v>271</v>
      </c>
      <c r="E21780">
        <v>0</v>
      </c>
      <c r="F21780">
        <v>2376</v>
      </c>
    </row>
    <row r="21781" spans="1:6" ht="12.75">
      <c r="A21781" s="2">
        <v>43875.95239583333</v>
      </c>
      <c r="B21781" t="str">
        <f>HYPERLINK("https://twitter.com/caramelcarbs","@caramelcarbs")</f>
        <v>@caramelcarbs</v>
      </c>
      <c r="C21781" t="s">
        <v>10528</v>
      </c>
      <c r="D21781">
        <v>0</v>
      </c>
      <c r="E21781">
        <v>0</v>
      </c>
      <c r="F21781">
        <v>1330</v>
      </c>
    </row>
    <row r="21782" spans="1:6" ht="12.75">
      <c r="A21782" s="2">
        <v>43875.95239583333</v>
      </c>
      <c r="B21782" t="str">
        <f>HYPERLINK("https://twitter.com/IhzaDjakaria","@IhzaDjakaria")</f>
        <v>@IhzaDjakaria</v>
      </c>
      <c r="C21782" t="s">
        <v>10529</v>
      </c>
      <c r="D21782">
        <v>0</v>
      </c>
      <c r="E21782">
        <v>0</v>
      </c>
      <c r="F21782">
        <v>226</v>
      </c>
    </row>
    <row r="21783" spans="1:6" ht="12.75">
      <c r="A21783" s="2">
        <v>43875.952303240745</v>
      </c>
      <c r="B21783" t="str">
        <f>HYPERLINK("https://twitter.com/denisakbarmulya","@denisakbarmulya")</f>
        <v>@denisakbarmulya</v>
      </c>
      <c r="C21783" t="s">
        <v>6201</v>
      </c>
      <c r="D21783">
        <v>271</v>
      </c>
      <c r="E21783">
        <v>0</v>
      </c>
      <c r="F21783">
        <v>612</v>
      </c>
    </row>
    <row r="21784" spans="1:6" ht="12.75">
      <c r="A21784" s="2">
        <v>43875.952245370368</v>
      </c>
      <c r="B21784" t="str">
        <f>HYPERLINK("https://twitter.com/rayansahel1","@rayansahel1")</f>
        <v>@rayansahel1</v>
      </c>
      <c r="C21784" t="s">
        <v>7478</v>
      </c>
      <c r="D21784">
        <v>425</v>
      </c>
      <c r="E21784">
        <v>0</v>
      </c>
      <c r="F21784">
        <v>137</v>
      </c>
    </row>
    <row r="21785" spans="1:6" ht="12.75">
      <c r="A21785" s="2">
        <v>43875.952175925922</v>
      </c>
      <c r="B21785" t="str">
        <f>HYPERLINK("https://twitter.com/kennerosan","@kennerosan")</f>
        <v>@kennerosan</v>
      </c>
      <c r="C21785" t="s">
        <v>10530</v>
      </c>
      <c r="D21785">
        <v>0</v>
      </c>
      <c r="E21785">
        <v>0</v>
      </c>
      <c r="F21785">
        <v>0</v>
      </c>
    </row>
    <row r="21786" spans="1:6" ht="12.75">
      <c r="A21786" s="2">
        <v>43875.952141203699</v>
      </c>
      <c r="B21786" t="str">
        <f>HYPERLINK("https://twitter.com/Rhezt_Venomed","@Rhezt_Venomed")</f>
        <v>@Rhezt_Venomed</v>
      </c>
      <c r="C21786" t="s">
        <v>10306</v>
      </c>
      <c r="D21786">
        <v>5</v>
      </c>
      <c r="E21786">
        <v>0</v>
      </c>
      <c r="F21786">
        <v>1249</v>
      </c>
    </row>
    <row r="21787" spans="1:6" ht="12.75">
      <c r="A21787" s="2">
        <v>43875.95207175926</v>
      </c>
      <c r="B21787" t="str">
        <f>HYPERLINK("https://twitter.com/arfanne","@arfanne")</f>
        <v>@arfanne</v>
      </c>
      <c r="C21787" t="s">
        <v>2444</v>
      </c>
      <c r="D21787">
        <v>2979</v>
      </c>
      <c r="E21787">
        <v>0</v>
      </c>
      <c r="F21787">
        <v>107</v>
      </c>
    </row>
    <row r="21788" spans="1:6" ht="12.75">
      <c r="A21788" s="2">
        <v>43875.952060185184</v>
      </c>
      <c r="B21788" t="str">
        <f>HYPERLINK("https://twitter.com/YehezkielFRuru1","@YehezkielFRuru1")</f>
        <v>@YehezkielFRuru1</v>
      </c>
      <c r="C21788" t="s">
        <v>2444</v>
      </c>
      <c r="D21788">
        <v>2979</v>
      </c>
      <c r="E21788">
        <v>0</v>
      </c>
      <c r="F21788">
        <v>224</v>
      </c>
    </row>
    <row r="21789" spans="1:6" ht="12.75">
      <c r="A21789" s="2">
        <v>43875.951944444445</v>
      </c>
      <c r="B21789" t="str">
        <f>HYPERLINK("https://twitter.com/LiaTAEM","@LiaTAEM")</f>
        <v>@LiaTAEM</v>
      </c>
      <c r="C21789" t="s">
        <v>2444</v>
      </c>
      <c r="D21789">
        <v>2979</v>
      </c>
      <c r="E21789">
        <v>0</v>
      </c>
      <c r="F21789">
        <v>1133</v>
      </c>
    </row>
    <row r="21790" spans="1:6" ht="12.75">
      <c r="A21790" s="2">
        <v>43875.951863425929</v>
      </c>
      <c r="B21790" t="str">
        <f>HYPERLINK("https://twitter.com/onomsalam2pas","@onomsalam2pas")</f>
        <v>@onomsalam2pas</v>
      </c>
      <c r="C21790" t="s">
        <v>6201</v>
      </c>
      <c r="D21790">
        <v>271</v>
      </c>
      <c r="E21790">
        <v>0</v>
      </c>
      <c r="F21790">
        <v>441</v>
      </c>
    </row>
    <row r="21791" spans="1:6" ht="12.75">
      <c r="A21791" s="2">
        <v>43875.951805555553</v>
      </c>
      <c r="B21791" t="str">
        <f>HYPERLINK("https://twitter.com/d_zinbawe","@d_zinbawe")</f>
        <v>@d_zinbawe</v>
      </c>
      <c r="C21791" t="s">
        <v>10531</v>
      </c>
      <c r="D21791">
        <v>98</v>
      </c>
      <c r="E21791">
        <v>0</v>
      </c>
      <c r="F21791">
        <v>144</v>
      </c>
    </row>
    <row r="21792" spans="1:6" ht="12.75">
      <c r="A21792" s="2">
        <v>43875.95177083333</v>
      </c>
      <c r="B21792" t="str">
        <f>HYPERLINK("https://twitter.com/RecksiGalih","@RecksiGalih")</f>
        <v>@RecksiGalih</v>
      </c>
      <c r="C21792" t="s">
        <v>5168</v>
      </c>
      <c r="D21792">
        <v>1119</v>
      </c>
      <c r="E21792">
        <v>0</v>
      </c>
      <c r="F21792">
        <v>84</v>
      </c>
    </row>
    <row r="21793" spans="1:6" ht="12.75">
      <c r="A21793" s="2">
        <v>43875.951620370368</v>
      </c>
      <c r="B21793" t="str">
        <f>HYPERLINK("https://twitter.com/Ayiev_akbar","@Ayiev_akbar")</f>
        <v>@Ayiev_akbar</v>
      </c>
      <c r="C21793" t="s">
        <v>7478</v>
      </c>
      <c r="D21793">
        <v>425</v>
      </c>
      <c r="E21793">
        <v>0</v>
      </c>
      <c r="F21793">
        <v>296</v>
      </c>
    </row>
    <row r="21794" spans="1:6" ht="12.75">
      <c r="A21794" s="2">
        <v>43875.951585648145</v>
      </c>
      <c r="B21794" t="str">
        <f>HYPERLINK("https://twitter.com/rayansahel1","@rayansahel1")</f>
        <v>@rayansahel1</v>
      </c>
      <c r="C21794" t="s">
        <v>10052</v>
      </c>
      <c r="D21794">
        <v>100</v>
      </c>
      <c r="E21794">
        <v>0</v>
      </c>
      <c r="F21794">
        <v>137</v>
      </c>
    </row>
    <row r="21795" spans="1:6" ht="12.75">
      <c r="A21795" s="2">
        <v>43875.951504629629</v>
      </c>
      <c r="B21795" t="str">
        <f>HYPERLINK("https://twitter.com/jagokendi","@jagokendi")</f>
        <v>@jagokendi</v>
      </c>
      <c r="C21795" t="s">
        <v>2444</v>
      </c>
      <c r="D21795">
        <v>2979</v>
      </c>
      <c r="E21795">
        <v>0</v>
      </c>
      <c r="F21795">
        <v>131</v>
      </c>
    </row>
    <row r="21796" spans="1:6" ht="12.75">
      <c r="A21796" s="2">
        <v>43875.951273148152</v>
      </c>
      <c r="B21796" t="str">
        <f>HYPERLINK("https://twitter.com/ryuchennnn","@ryuchennnn")</f>
        <v>@ryuchennnn</v>
      </c>
      <c r="C21796" t="s">
        <v>10532</v>
      </c>
      <c r="D21796">
        <v>0</v>
      </c>
      <c r="E21796">
        <v>0</v>
      </c>
      <c r="F21796">
        <v>2592</v>
      </c>
    </row>
    <row r="21797" spans="1:6" ht="12.75">
      <c r="A21797" s="2">
        <v>43875.950868055559</v>
      </c>
      <c r="B21797" t="str">
        <f>HYPERLINK("https://twitter.com/BetranPermana","@BetranPermana")</f>
        <v>@BetranPermana</v>
      </c>
      <c r="C21797" t="s">
        <v>9123</v>
      </c>
      <c r="D21797">
        <v>302</v>
      </c>
      <c r="E21797">
        <v>0</v>
      </c>
      <c r="F21797">
        <v>53</v>
      </c>
    </row>
    <row r="21798" spans="1:6" ht="12.75">
      <c r="A21798" s="2">
        <v>43875.950601851851</v>
      </c>
      <c r="B21798" t="str">
        <f>HYPERLINK("https://twitter.com/pndglcs","@pndglcs")</f>
        <v>@pndglcs</v>
      </c>
      <c r="C21798" t="s">
        <v>2444</v>
      </c>
      <c r="D21798">
        <v>2979</v>
      </c>
      <c r="E21798">
        <v>0</v>
      </c>
      <c r="F21798">
        <v>1399</v>
      </c>
    </row>
    <row r="21799" spans="1:6" ht="12.75">
      <c r="A21799" s="2">
        <v>43875.950555555552</v>
      </c>
      <c r="B21799" t="str">
        <f>HYPERLINK("https://twitter.com/Sales_Toyota_","@Sales_Toyota_")</f>
        <v>@Sales_Toyota_</v>
      </c>
      <c r="C21799" t="s">
        <v>10533</v>
      </c>
      <c r="D21799">
        <v>0</v>
      </c>
      <c r="E21799">
        <v>0</v>
      </c>
      <c r="F21799">
        <v>1563</v>
      </c>
    </row>
    <row r="21800" spans="1:6" ht="12.75">
      <c r="A21800" s="2">
        <v>43875.950370370367</v>
      </c>
      <c r="B21800" t="str">
        <f>HYPERLINK("https://twitter.com/Selvi28281","@Selvi28281")</f>
        <v>@Selvi28281</v>
      </c>
      <c r="C21800" t="s">
        <v>9857</v>
      </c>
      <c r="D21800">
        <v>14</v>
      </c>
      <c r="E21800">
        <v>0</v>
      </c>
      <c r="F21800">
        <v>20</v>
      </c>
    </row>
    <row r="21801" spans="1:6" ht="12.75">
      <c r="A21801" s="2">
        <v>43875.950324074074</v>
      </c>
      <c r="B21801" t="str">
        <f>HYPERLINK("https://twitter.com/jonpulangsekola","@jonpulangsekola")</f>
        <v>@jonpulangsekola</v>
      </c>
      <c r="C21801" t="s">
        <v>2444</v>
      </c>
      <c r="D21801">
        <v>2979</v>
      </c>
      <c r="E21801">
        <v>0</v>
      </c>
      <c r="F21801">
        <v>56</v>
      </c>
    </row>
    <row r="21802" spans="1:6" ht="12.75">
      <c r="A21802" s="2">
        <v>43875.950312500005</v>
      </c>
      <c r="B21802" t="str">
        <f>HYPERLINK("https://twitter.com/kajewe1004","@kajewe1004")</f>
        <v>@kajewe1004</v>
      </c>
      <c r="C21802" t="s">
        <v>2963</v>
      </c>
      <c r="D21802">
        <v>1161</v>
      </c>
      <c r="E21802">
        <v>0</v>
      </c>
      <c r="F21802">
        <v>651</v>
      </c>
    </row>
    <row r="21803" spans="1:6" ht="12.75">
      <c r="A21803" s="2">
        <v>43875.950196759259</v>
      </c>
      <c r="B21803" t="str">
        <f>HYPERLINK("https://twitter.com/hichatshire","@hichatshire")</f>
        <v>@hichatshire</v>
      </c>
      <c r="C21803" t="s">
        <v>2444</v>
      </c>
      <c r="D21803">
        <v>2979</v>
      </c>
      <c r="E21803">
        <v>0</v>
      </c>
      <c r="F21803">
        <v>220</v>
      </c>
    </row>
    <row r="21804" spans="1:6" ht="12.75">
      <c r="A21804" s="2">
        <v>43875.950162037036</v>
      </c>
      <c r="B21804" t="str">
        <f>HYPERLINK("https://twitter.com/reiireisky","@reiireisky")</f>
        <v>@reiireisky</v>
      </c>
      <c r="C21804" t="s">
        <v>2444</v>
      </c>
      <c r="D21804">
        <v>2979</v>
      </c>
      <c r="E21804">
        <v>0</v>
      </c>
      <c r="F21804">
        <v>523</v>
      </c>
    </row>
    <row r="21805" spans="1:6" ht="12.75">
      <c r="A21805" s="2">
        <v>43875.950115740736</v>
      </c>
      <c r="B21805" t="str">
        <f>HYPERLINK("https://twitter.com/ray_slamet","@ray_slamet")</f>
        <v>@ray_slamet</v>
      </c>
      <c r="C21805" t="s">
        <v>6201</v>
      </c>
      <c r="D21805">
        <v>271</v>
      </c>
      <c r="E21805">
        <v>0</v>
      </c>
      <c r="F21805">
        <v>848</v>
      </c>
    </row>
    <row r="21806" spans="1:6" ht="12.75">
      <c r="A21806" s="2">
        <v>43875.950057870374</v>
      </c>
      <c r="B21806" t="str">
        <f>HYPERLINK("https://twitter.com/wookie0617","@wookie0617")</f>
        <v>@wookie0617</v>
      </c>
      <c r="C21806" t="s">
        <v>2444</v>
      </c>
      <c r="D21806">
        <v>2979</v>
      </c>
      <c r="E21806">
        <v>0</v>
      </c>
      <c r="F21806">
        <v>0</v>
      </c>
    </row>
    <row r="21807" spans="1:6" ht="12.75">
      <c r="A21807" s="2">
        <v>43875.950046296297</v>
      </c>
      <c r="B21807" t="str">
        <f>HYPERLINK("https://twitter.com/RahadianRundjan","@RahadianRundjan")</f>
        <v>@RahadianRundjan</v>
      </c>
      <c r="C21807" t="s">
        <v>5168</v>
      </c>
      <c r="D21807">
        <v>1119</v>
      </c>
      <c r="E21807">
        <v>0</v>
      </c>
      <c r="F21807">
        <v>657</v>
      </c>
    </row>
    <row r="21808" spans="1:6" ht="12.75">
      <c r="A21808" s="2">
        <v>43875.949814814812</v>
      </c>
      <c r="B21808" t="str">
        <f>HYPERLINK("https://twitter.com/zertenme","@zertenme")</f>
        <v>@zertenme</v>
      </c>
      <c r="C21808" t="s">
        <v>2444</v>
      </c>
      <c r="D21808">
        <v>2979</v>
      </c>
      <c r="E21808">
        <v>0</v>
      </c>
      <c r="F21808">
        <v>14</v>
      </c>
    </row>
    <row r="21809" spans="1:6" ht="12.75">
      <c r="A21809" s="2">
        <v>43875.949722222227</v>
      </c>
      <c r="B21809" t="str">
        <f>HYPERLINK("https://twitter.com/ahk_king","@ahk_king")</f>
        <v>@ahk_king</v>
      </c>
      <c r="C21809" t="s">
        <v>9198</v>
      </c>
      <c r="D21809">
        <v>80</v>
      </c>
      <c r="E21809">
        <v>0</v>
      </c>
      <c r="F21809">
        <v>3085</v>
      </c>
    </row>
    <row r="21810" spans="1:6" ht="12.75">
      <c r="A21810" s="2">
        <v>43875.949606481481</v>
      </c>
      <c r="B21810" t="str">
        <f>HYPERLINK("https://twitter.com/Widiatis279","@Widiatis279")</f>
        <v>@Widiatis279</v>
      </c>
      <c r="C21810" t="s">
        <v>8394</v>
      </c>
      <c r="D21810">
        <v>39</v>
      </c>
      <c r="E21810">
        <v>0</v>
      </c>
      <c r="F21810">
        <v>730</v>
      </c>
    </row>
    <row r="21811" spans="1:6" ht="12.75">
      <c r="A21811" s="2">
        <v>43875.949490740742</v>
      </c>
      <c r="B21811" t="str">
        <f>HYPERLINK("https://twitter.com/Welshdellb0y","@Welshdellb0y")</f>
        <v>@Welshdellb0y</v>
      </c>
      <c r="C21811" t="s">
        <v>3150</v>
      </c>
      <c r="D21811">
        <v>23</v>
      </c>
      <c r="E21811">
        <v>0</v>
      </c>
      <c r="F21811">
        <v>2846</v>
      </c>
    </row>
    <row r="21812" spans="1:6" ht="12.75">
      <c r="A21812" s="2">
        <v>43875.949490740742</v>
      </c>
      <c r="B21812" t="str">
        <f>HYPERLINK("https://twitter.com/mariaaayu_","@mariaaayu_")</f>
        <v>@mariaaayu_</v>
      </c>
      <c r="C21812" t="s">
        <v>10534</v>
      </c>
      <c r="D21812">
        <v>0</v>
      </c>
      <c r="E21812">
        <v>0</v>
      </c>
      <c r="F21812">
        <v>702</v>
      </c>
    </row>
    <row r="21813" spans="1:6" ht="12.75">
      <c r="A21813" s="2">
        <v>43875.949432870373</v>
      </c>
      <c r="B21813" t="str">
        <f>HYPERLINK("https://twitter.com/my_suhr_guitar","@my_suhr_guitar")</f>
        <v>@my_suhr_guitar</v>
      </c>
      <c r="C21813" t="s">
        <v>3150</v>
      </c>
      <c r="D21813">
        <v>23</v>
      </c>
      <c r="E21813">
        <v>0</v>
      </c>
      <c r="F21813">
        <v>2074</v>
      </c>
    </row>
    <row r="21814" spans="1:6" ht="12.75">
      <c r="A21814" s="2">
        <v>43875.949328703704</v>
      </c>
      <c r="B21814" t="str">
        <f>HYPERLINK("https://twitter.com/booflepuff","@booflepuff")</f>
        <v>@booflepuff</v>
      </c>
      <c r="C21814" t="s">
        <v>2444</v>
      </c>
      <c r="D21814">
        <v>2979</v>
      </c>
      <c r="E21814">
        <v>0</v>
      </c>
      <c r="F21814">
        <v>1045</v>
      </c>
    </row>
    <row r="21815" spans="1:6" ht="12.75">
      <c r="A21815" s="2">
        <v>43875.949293981481</v>
      </c>
      <c r="B21815" t="str">
        <f>HYPERLINK("https://twitter.com/Martoloyo12","@Martoloyo12")</f>
        <v>@Martoloyo12</v>
      </c>
      <c r="C21815" t="s">
        <v>10535</v>
      </c>
      <c r="D21815">
        <v>0</v>
      </c>
      <c r="E21815">
        <v>1</v>
      </c>
      <c r="F21815">
        <v>1</v>
      </c>
    </row>
    <row r="21816" spans="1:6" ht="12.75">
      <c r="A21816" s="2">
        <v>43875.949270833335</v>
      </c>
      <c r="B21816" t="str">
        <f>HYPERLINK("https://twitter.com/Lobukey","@Lobukey")</f>
        <v>@Lobukey</v>
      </c>
      <c r="C21816" t="s">
        <v>2444</v>
      </c>
      <c r="D21816">
        <v>2979</v>
      </c>
      <c r="E21816">
        <v>0</v>
      </c>
      <c r="F21816">
        <v>90</v>
      </c>
    </row>
    <row r="21817" spans="1:6" ht="12.75">
      <c r="A21817" s="2">
        <v>43875.949259259258</v>
      </c>
      <c r="B21817" t="str">
        <f>HYPERLINK("https://twitter.com/aleepaja","@aleepaja")</f>
        <v>@aleepaja</v>
      </c>
      <c r="C21817" t="s">
        <v>2444</v>
      </c>
      <c r="D21817">
        <v>2979</v>
      </c>
      <c r="E21817">
        <v>0</v>
      </c>
      <c r="F21817">
        <v>2424</v>
      </c>
    </row>
    <row r="21818" spans="1:6" ht="12.75">
      <c r="A21818" s="2">
        <v>43875.949236111112</v>
      </c>
      <c r="B21818" t="str">
        <f>HYPERLINK("https://twitter.com/smile_guys","@smile_guys")</f>
        <v>@smile_guys</v>
      </c>
      <c r="C21818" t="s">
        <v>2963</v>
      </c>
      <c r="D21818">
        <v>1161</v>
      </c>
      <c r="E21818">
        <v>0</v>
      </c>
      <c r="F21818">
        <v>123</v>
      </c>
    </row>
    <row r="21819" spans="1:6" ht="12.75">
      <c r="A21819" s="2">
        <v>43875.949143518519</v>
      </c>
      <c r="B21819" t="str">
        <f>HYPERLINK("https://twitter.com/EdyGypsum","@EdyGypsum")</f>
        <v>@EdyGypsum</v>
      </c>
      <c r="C21819" t="s">
        <v>10536</v>
      </c>
      <c r="D21819">
        <v>2</v>
      </c>
      <c r="E21819">
        <v>0</v>
      </c>
      <c r="F21819">
        <v>3044</v>
      </c>
    </row>
    <row r="21820" spans="1:6" ht="12.75">
      <c r="A21820" s="2">
        <v>43875.948831018519</v>
      </c>
      <c r="B21820" t="str">
        <f>HYPERLINK("https://twitter.com/joan_deca","@joan_deca")</f>
        <v>@joan_deca</v>
      </c>
      <c r="C21820" t="s">
        <v>7068</v>
      </c>
      <c r="D21820">
        <v>35</v>
      </c>
      <c r="E21820">
        <v>0</v>
      </c>
      <c r="F21820">
        <v>59</v>
      </c>
    </row>
    <row r="21821" spans="1:6" ht="12.75">
      <c r="A21821" s="2">
        <v>43875.948680555557</v>
      </c>
      <c r="B21821" t="str">
        <f>HYPERLINK("https://twitter.com/Ramen_lyfe","@Ramen_lyfe")</f>
        <v>@Ramen_lyfe</v>
      </c>
      <c r="C21821" t="s">
        <v>2444</v>
      </c>
      <c r="D21821">
        <v>2979</v>
      </c>
      <c r="E21821">
        <v>0</v>
      </c>
      <c r="F21821">
        <v>295</v>
      </c>
    </row>
    <row r="21822" spans="1:6" ht="12.75">
      <c r="A21822" s="2">
        <v>43875.948634259257</v>
      </c>
      <c r="B21822" t="str">
        <f>HYPERLINK("https://twitter.com/iankrambil","@iankrambil")</f>
        <v>@iankrambil</v>
      </c>
      <c r="C21822" t="s">
        <v>2963</v>
      </c>
      <c r="D21822">
        <v>1161</v>
      </c>
      <c r="E21822">
        <v>0</v>
      </c>
      <c r="F21822">
        <v>965</v>
      </c>
    </row>
    <row r="21823" spans="1:6" ht="12.75">
      <c r="A21823" s="2">
        <v>43875.948576388888</v>
      </c>
      <c r="B21823" t="str">
        <f>HYPERLINK("https://twitter.com/hann_decade","@hann_decade")</f>
        <v>@hann_decade</v>
      </c>
      <c r="C21823" t="s">
        <v>2444</v>
      </c>
      <c r="D21823">
        <v>2979</v>
      </c>
      <c r="E21823">
        <v>0</v>
      </c>
      <c r="F21823">
        <v>449</v>
      </c>
    </row>
    <row r="21824" spans="1:6" ht="12.75">
      <c r="A21824" s="2">
        <v>43875.948460648149</v>
      </c>
      <c r="B21824" t="str">
        <f>HYPERLINK("https://twitter.com/fdlhhasna","@fdlhhasna")</f>
        <v>@fdlhhasna</v>
      </c>
      <c r="C21824" t="s">
        <v>9067</v>
      </c>
      <c r="D21824">
        <v>54</v>
      </c>
      <c r="E21824">
        <v>0</v>
      </c>
      <c r="F21824">
        <v>18</v>
      </c>
    </row>
    <row r="21825" spans="1:6" ht="12.75">
      <c r="A21825" s="2">
        <v>43875.94840277778</v>
      </c>
      <c r="B21825" t="str">
        <f>HYPERLINK("https://twitter.com/icanin_","@icanin_")</f>
        <v>@icanin_</v>
      </c>
      <c r="C21825" t="s">
        <v>9123</v>
      </c>
      <c r="D21825">
        <v>302</v>
      </c>
      <c r="E21825">
        <v>0</v>
      </c>
      <c r="F21825">
        <v>1096</v>
      </c>
    </row>
    <row r="21826" spans="1:6" ht="12.75">
      <c r="A21826" s="2">
        <v>43875.948333333334</v>
      </c>
      <c r="B21826" t="str">
        <f>HYPERLINK("https://twitter.com/EmilyIsbl13","@EmilyIsbl13")</f>
        <v>@EmilyIsbl13</v>
      </c>
      <c r="C21826" t="s">
        <v>10537</v>
      </c>
      <c r="D21826">
        <v>0</v>
      </c>
      <c r="E21826">
        <v>0</v>
      </c>
      <c r="F21826">
        <v>6</v>
      </c>
    </row>
    <row r="21827" spans="1:6" ht="12.75">
      <c r="A21827" s="2">
        <v>43875.94831018518</v>
      </c>
      <c r="B21827" t="str">
        <f>HYPERLINK("https://twitter.com/finufa","@finufa")</f>
        <v>@finufa</v>
      </c>
      <c r="C21827" t="s">
        <v>10538</v>
      </c>
      <c r="D21827">
        <v>0</v>
      </c>
      <c r="E21827">
        <v>0</v>
      </c>
      <c r="F21827">
        <v>322</v>
      </c>
    </row>
    <row r="21828" spans="1:6" ht="12.75">
      <c r="A21828" s="2">
        <v>43875.948067129633</v>
      </c>
      <c r="B21828" t="str">
        <f>HYPERLINK("https://twitter.com/trinugroho162","@trinugroho162")</f>
        <v>@trinugroho162</v>
      </c>
      <c r="C21828" t="s">
        <v>7888</v>
      </c>
      <c r="D21828">
        <v>41</v>
      </c>
      <c r="E21828">
        <v>0</v>
      </c>
      <c r="F21828">
        <v>1663</v>
      </c>
    </row>
    <row r="21829" spans="1:6" ht="12.75">
      <c r="A21829" s="2">
        <v>43875.948055555556</v>
      </c>
      <c r="B21829" t="str">
        <f>HYPERLINK("https://twitter.com/superradioid","@superradioid")</f>
        <v>@superradioid</v>
      </c>
      <c r="C21829" t="s">
        <v>10539</v>
      </c>
      <c r="D21829">
        <v>0</v>
      </c>
      <c r="E21829">
        <v>0</v>
      </c>
      <c r="F21829">
        <v>63</v>
      </c>
    </row>
    <row r="21830" spans="1:6" ht="12.75">
      <c r="A21830" s="2">
        <v>43875.947939814811</v>
      </c>
      <c r="B21830" t="str">
        <f>HYPERLINK("https://twitter.com/Kaiforlife001","@Kaiforlife001")</f>
        <v>@Kaiforlife001</v>
      </c>
      <c r="C21830" t="s">
        <v>2444</v>
      </c>
      <c r="D21830">
        <v>2979</v>
      </c>
      <c r="E21830">
        <v>0</v>
      </c>
      <c r="F21830">
        <v>226</v>
      </c>
    </row>
    <row r="21831" spans="1:6" ht="12.75">
      <c r="A21831" s="2">
        <v>43875.947835648149</v>
      </c>
      <c r="B21831" t="str">
        <f>HYPERLINK("https://twitter.com/andisukses998","@andisukses998")</f>
        <v>@andisukses998</v>
      </c>
      <c r="C21831" t="s">
        <v>6201</v>
      </c>
      <c r="D21831">
        <v>271</v>
      </c>
      <c r="E21831">
        <v>0</v>
      </c>
      <c r="F21831">
        <v>17</v>
      </c>
    </row>
    <row r="21832" spans="1:6" ht="12.75">
      <c r="A21832" s="2">
        <v>43875.947824074072</v>
      </c>
      <c r="B21832" t="str">
        <f>HYPERLINK("https://twitter.com/last_car_jadul","@last_car_jadul")</f>
        <v>@last_car_jadul</v>
      </c>
      <c r="C21832" t="s">
        <v>10540</v>
      </c>
      <c r="D21832">
        <v>0</v>
      </c>
      <c r="E21832">
        <v>0</v>
      </c>
      <c r="F21832">
        <v>696</v>
      </c>
    </row>
    <row r="21833" spans="1:6" ht="12.75">
      <c r="A21833" s="2">
        <v>43875.947685185187</v>
      </c>
      <c r="B21833" t="str">
        <f>HYPERLINK("https://twitter.com/h4850ro","@h4850ro")</f>
        <v>@h4850ro</v>
      </c>
      <c r="C21833" t="s">
        <v>2963</v>
      </c>
      <c r="D21833">
        <v>1161</v>
      </c>
      <c r="E21833">
        <v>0</v>
      </c>
      <c r="F21833">
        <v>496</v>
      </c>
    </row>
    <row r="21834" spans="1:6" ht="12.75">
      <c r="A21834" s="2">
        <v>43875.947453703702</v>
      </c>
      <c r="B21834" t="str">
        <f>HYPERLINK("https://twitter.com/imayura7","@imayura7")</f>
        <v>@imayura7</v>
      </c>
      <c r="C21834" t="s">
        <v>10541</v>
      </c>
      <c r="D21834">
        <v>0</v>
      </c>
      <c r="E21834">
        <v>0</v>
      </c>
      <c r="F21834">
        <v>151</v>
      </c>
    </row>
    <row r="21835" spans="1:6" ht="12.75">
      <c r="A21835" s="2">
        <v>43875.947187500002</v>
      </c>
      <c r="B21835" t="str">
        <f>HYPERLINK("https://twitter.com/icanin_","@icanin_")</f>
        <v>@icanin_</v>
      </c>
      <c r="C21835" t="s">
        <v>2444</v>
      </c>
      <c r="D21835">
        <v>2979</v>
      </c>
      <c r="E21835">
        <v>0</v>
      </c>
      <c r="F21835">
        <v>1096</v>
      </c>
    </row>
    <row r="21836" spans="1:6" ht="12.75">
      <c r="A21836" s="2">
        <v>43875.947083333333</v>
      </c>
      <c r="B21836" t="str">
        <f>HYPERLINK("https://twitter.com/firmanadhi3","@firmanadhi3")</f>
        <v>@firmanadhi3</v>
      </c>
      <c r="C21836" t="s">
        <v>9056</v>
      </c>
      <c r="D21836">
        <v>5</v>
      </c>
      <c r="E21836">
        <v>0</v>
      </c>
      <c r="F21836">
        <v>313</v>
      </c>
    </row>
    <row r="21837" spans="1:6" ht="12.75">
      <c r="A21837" s="2">
        <v>43875.947060185186</v>
      </c>
      <c r="B21837" t="str">
        <f>HYPERLINK("https://twitter.com/bangtanpath","@bangtanpath")</f>
        <v>@bangtanpath</v>
      </c>
      <c r="C21837" t="s">
        <v>9021</v>
      </c>
      <c r="D21837">
        <v>207</v>
      </c>
      <c r="E21837">
        <v>0</v>
      </c>
      <c r="F21837">
        <v>749</v>
      </c>
    </row>
    <row r="21838" spans="1:6" ht="12.75">
      <c r="A21838" s="2">
        <v>43875.946979166663</v>
      </c>
      <c r="B21838" t="str">
        <f>HYPERLINK("https://twitter.com/Jinrin18","@Jinrin18")</f>
        <v>@Jinrin18</v>
      </c>
      <c r="C21838" t="s">
        <v>2963</v>
      </c>
      <c r="D21838">
        <v>1161</v>
      </c>
      <c r="E21838">
        <v>0</v>
      </c>
      <c r="F21838">
        <v>32</v>
      </c>
    </row>
    <row r="21839" spans="1:6" ht="12.75">
      <c r="A21839" s="2">
        <v>43875.946886574078</v>
      </c>
      <c r="B21839" t="str">
        <f>HYPERLINK("https://twitter.com/AnggiSubagio21","@AnggiSubagio21")</f>
        <v>@AnggiSubagio21</v>
      </c>
      <c r="C21839" t="s">
        <v>10542</v>
      </c>
      <c r="D21839">
        <v>147</v>
      </c>
      <c r="E21839">
        <v>0</v>
      </c>
      <c r="F21839">
        <v>85</v>
      </c>
    </row>
    <row r="21840" spans="1:6" ht="12.75">
      <c r="A21840" s="2">
        <v>43875.946875000001</v>
      </c>
      <c r="B21840" t="str">
        <f>HYPERLINK("https://twitter.com/Haneevan","@Haneevan")</f>
        <v>@Haneevan</v>
      </c>
      <c r="C21840" t="s">
        <v>2444</v>
      </c>
      <c r="D21840">
        <v>2979</v>
      </c>
      <c r="E21840">
        <v>0</v>
      </c>
      <c r="F21840">
        <v>135</v>
      </c>
    </row>
    <row r="21841" spans="1:6" ht="12.75">
      <c r="A21841" s="2">
        <v>43875.946736111116</v>
      </c>
      <c r="B21841" t="str">
        <f>HYPERLINK("https://twitter.com/AminSiregar75","@AminSiregar75")</f>
        <v>@AminSiregar75</v>
      </c>
      <c r="C21841" t="s">
        <v>10543</v>
      </c>
      <c r="D21841">
        <v>1</v>
      </c>
      <c r="E21841">
        <v>0</v>
      </c>
      <c r="F21841">
        <v>2533</v>
      </c>
    </row>
    <row r="21842" spans="1:6" ht="12.75">
      <c r="A21842" s="2">
        <v>43875.946689814809</v>
      </c>
      <c r="B21842" t="str">
        <f>HYPERLINK("https://twitter.com/ratihfebrianny","@ratihfebrianny")</f>
        <v>@ratihfebrianny</v>
      </c>
      <c r="C21842" t="s">
        <v>2444</v>
      </c>
      <c r="D21842">
        <v>2979</v>
      </c>
      <c r="E21842">
        <v>0</v>
      </c>
      <c r="F21842">
        <v>1456</v>
      </c>
    </row>
    <row r="21843" spans="1:6" ht="12.75">
      <c r="A21843" s="2">
        <v>43875.94666666667</v>
      </c>
      <c r="B21843" t="str">
        <f>HYPERLINK("https://twitter.com/paldutdut","@paldutdut")</f>
        <v>@paldutdut</v>
      </c>
      <c r="C21843" t="s">
        <v>2444</v>
      </c>
      <c r="D21843">
        <v>2979</v>
      </c>
      <c r="E21843">
        <v>0</v>
      </c>
      <c r="F21843">
        <v>282</v>
      </c>
    </row>
    <row r="21844" spans="1:6" ht="12.75">
      <c r="A21844" s="2">
        <v>43875.946655092594</v>
      </c>
      <c r="B21844" t="str">
        <f>HYPERLINK("https://twitter.com/dharukusumahady","@dharukusumahady")</f>
        <v>@dharukusumahady</v>
      </c>
      <c r="C21844" t="s">
        <v>8233</v>
      </c>
      <c r="D21844">
        <v>520</v>
      </c>
      <c r="E21844">
        <v>0</v>
      </c>
      <c r="F21844">
        <v>591</v>
      </c>
    </row>
    <row r="21845" spans="1:6" ht="12.75">
      <c r="A21845" s="2">
        <v>43875.946562500001</v>
      </c>
      <c r="B21845" t="str">
        <f>HYPERLINK("https://twitter.com/Haneevan","@Haneevan")</f>
        <v>@Haneevan</v>
      </c>
      <c r="C21845" t="s">
        <v>5168</v>
      </c>
      <c r="D21845">
        <v>1119</v>
      </c>
      <c r="E21845">
        <v>0</v>
      </c>
      <c r="F21845">
        <v>135</v>
      </c>
    </row>
    <row r="21846" spans="1:6" ht="12.75">
      <c r="A21846" s="2">
        <v>43875.946435185186</v>
      </c>
      <c r="B21846" t="str">
        <f>HYPERLINK("https://twitter.com/Roskafe1","@Roskafe1")</f>
        <v>@Roskafe1</v>
      </c>
      <c r="C21846" t="s">
        <v>6201</v>
      </c>
      <c r="D21846">
        <v>271</v>
      </c>
      <c r="E21846">
        <v>0</v>
      </c>
      <c r="F21846">
        <v>2475</v>
      </c>
    </row>
    <row r="21847" spans="1:6" ht="12.75">
      <c r="A21847" s="2">
        <v>43875.946180555555</v>
      </c>
      <c r="B21847" t="str">
        <f>HYPERLINK("https://twitter.com/ggwandas97","@ggwandas97")</f>
        <v>@ggwandas97</v>
      </c>
      <c r="C21847" t="s">
        <v>2444</v>
      </c>
      <c r="D21847">
        <v>2979</v>
      </c>
      <c r="E21847">
        <v>0</v>
      </c>
      <c r="F21847">
        <v>311</v>
      </c>
    </row>
    <row r="21848" spans="1:6" ht="12.75">
      <c r="A21848" s="2">
        <v>43875.946122685185</v>
      </c>
      <c r="B21848" t="str">
        <f>HYPERLINK("https://twitter.com/iyoooll","@iyoooll")</f>
        <v>@iyoooll</v>
      </c>
      <c r="C21848" t="s">
        <v>5168</v>
      </c>
      <c r="D21848">
        <v>1119</v>
      </c>
      <c r="E21848">
        <v>0</v>
      </c>
      <c r="F21848">
        <v>66</v>
      </c>
    </row>
    <row r="21849" spans="1:6" ht="12.75">
      <c r="A21849" s="2">
        <v>43875.946087962962</v>
      </c>
      <c r="B21849" t="str">
        <f>HYPERLINK("https://twitter.com/Maswiro3","@Maswiro3")</f>
        <v>@Maswiro3</v>
      </c>
      <c r="C21849" t="s">
        <v>5761</v>
      </c>
      <c r="D21849">
        <v>85</v>
      </c>
      <c r="E21849">
        <v>0</v>
      </c>
      <c r="F21849">
        <v>1681</v>
      </c>
    </row>
    <row r="21850" spans="1:6" ht="12.75">
      <c r="A21850" s="2">
        <v>43875.945868055554</v>
      </c>
      <c r="B21850" t="str">
        <f>HYPERLINK("https://twitter.com/Haluan_","@Haluan_")</f>
        <v>@Haluan_</v>
      </c>
      <c r="C21850" t="s">
        <v>10544</v>
      </c>
      <c r="D21850">
        <v>0</v>
      </c>
      <c r="E21850">
        <v>0</v>
      </c>
      <c r="F21850">
        <v>1445</v>
      </c>
    </row>
    <row r="21851" spans="1:6" ht="12.75">
      <c r="A21851" s="2">
        <v>43875.945694444439</v>
      </c>
      <c r="B21851" t="str">
        <f>HYPERLINK("https://twitter.com/soendoet1980","@soendoet1980")</f>
        <v>@soendoet1980</v>
      </c>
      <c r="C21851" t="s">
        <v>9746</v>
      </c>
      <c r="D21851">
        <v>390</v>
      </c>
      <c r="E21851">
        <v>0</v>
      </c>
      <c r="F21851">
        <v>328</v>
      </c>
    </row>
    <row r="21852" spans="1:6" ht="12.75">
      <c r="A21852" s="2">
        <v>43875.945567129631</v>
      </c>
      <c r="B21852" t="str">
        <f>HYPERLINK("https://twitter.com/ErvineKiddies","@ErvineKiddies")</f>
        <v>@ErvineKiddies</v>
      </c>
      <c r="C21852" t="s">
        <v>6201</v>
      </c>
      <c r="D21852">
        <v>271</v>
      </c>
      <c r="E21852">
        <v>0</v>
      </c>
      <c r="F21852">
        <v>739</v>
      </c>
    </row>
    <row r="21853" spans="1:6" ht="12.75">
      <c r="A21853" s="2">
        <v>43875.945474537039</v>
      </c>
      <c r="B21853" t="str">
        <f>HYPERLINK("https://twitter.com/ayurff","@ayurff")</f>
        <v>@ayurff</v>
      </c>
      <c r="C21853" t="s">
        <v>8233</v>
      </c>
      <c r="D21853">
        <v>520</v>
      </c>
      <c r="E21853">
        <v>0</v>
      </c>
      <c r="F21853">
        <v>719</v>
      </c>
    </row>
    <row r="21854" spans="1:6" ht="12.75">
      <c r="A21854" s="2">
        <v>43875.945451388892</v>
      </c>
      <c r="B21854" t="str">
        <f>HYPERLINK("https://twitter.com/jjongjongnajong","@jjongjongnajong")</f>
        <v>@jjongjongnajong</v>
      </c>
      <c r="C21854" t="s">
        <v>2444</v>
      </c>
      <c r="D21854">
        <v>2979</v>
      </c>
      <c r="E21854">
        <v>0</v>
      </c>
      <c r="F21854">
        <v>203</v>
      </c>
    </row>
    <row r="21855" spans="1:6" ht="12.75">
      <c r="A21855" s="2">
        <v>43875.94532407407</v>
      </c>
      <c r="B21855" t="str">
        <f>HYPERLINK("https://twitter.com/zaynieboo12","@zaynieboo12")</f>
        <v>@zaynieboo12</v>
      </c>
      <c r="C21855" t="s">
        <v>2444</v>
      </c>
      <c r="D21855">
        <v>2979</v>
      </c>
      <c r="E21855">
        <v>0</v>
      </c>
      <c r="F21855">
        <v>210</v>
      </c>
    </row>
    <row r="21856" spans="1:6" ht="12.75">
      <c r="A21856" s="2">
        <v>43875.945266203707</v>
      </c>
      <c r="B21856" t="str">
        <f>HYPERLINK("https://twitter.com/pchomala","@pchomala")</f>
        <v>@pchomala</v>
      </c>
      <c r="C21856" t="s">
        <v>2149</v>
      </c>
      <c r="D21856">
        <v>33</v>
      </c>
      <c r="E21856">
        <v>0</v>
      </c>
      <c r="F21856">
        <v>37</v>
      </c>
    </row>
    <row r="21857" spans="1:6" ht="12.75">
      <c r="A21857" s="2">
        <v>43875.945243055554</v>
      </c>
      <c r="B21857" t="str">
        <f>HYPERLINK("https://twitter.com/asa_marsya","@asa_marsya")</f>
        <v>@asa_marsya</v>
      </c>
      <c r="C21857" t="s">
        <v>2444</v>
      </c>
      <c r="D21857">
        <v>2979</v>
      </c>
      <c r="E21857">
        <v>0</v>
      </c>
      <c r="F21857">
        <v>427</v>
      </c>
    </row>
    <row r="21858" spans="1:6" ht="12.75">
      <c r="A21858" s="2">
        <v>43875.945127314815</v>
      </c>
      <c r="B21858" t="str">
        <f>HYPERLINK("https://twitter.com/MOCHAMADIWAN5","@MOCHAMADIWAN5")</f>
        <v>@MOCHAMADIWAN5</v>
      </c>
      <c r="C21858" t="s">
        <v>10545</v>
      </c>
      <c r="D21858">
        <v>0</v>
      </c>
      <c r="E21858">
        <v>0</v>
      </c>
      <c r="F21858">
        <v>101</v>
      </c>
    </row>
    <row r="21859" spans="1:6" ht="12.75">
      <c r="A21859" s="2">
        <v>43875.945104166662</v>
      </c>
      <c r="B21859" t="str">
        <f>HYPERLINK("https://twitter.com/bagusyusuf3","@bagusyusuf3")</f>
        <v>@bagusyusuf3</v>
      </c>
      <c r="C21859" t="s">
        <v>2110</v>
      </c>
      <c r="D21859">
        <v>57</v>
      </c>
      <c r="E21859">
        <v>0</v>
      </c>
      <c r="F21859">
        <v>93</v>
      </c>
    </row>
    <row r="21860" spans="1:6" ht="12.75">
      <c r="A21860" s="2">
        <v>43875.945069444446</v>
      </c>
      <c r="B21860" t="str">
        <f>HYPERLINK("https://twitter.com/MOCHAMADIWAN5","@MOCHAMADIWAN5")</f>
        <v>@MOCHAMADIWAN5</v>
      </c>
      <c r="C21860" t="s">
        <v>9113</v>
      </c>
      <c r="D21860">
        <v>309</v>
      </c>
      <c r="E21860">
        <v>0</v>
      </c>
      <c r="F21860">
        <v>101</v>
      </c>
    </row>
    <row r="21861" spans="1:6" ht="12.75">
      <c r="A21861" s="2">
        <v>43875.945034722223</v>
      </c>
      <c r="B21861" t="str">
        <f>HYPERLINK("https://twitter.com/ToyankFlas","@ToyankFlas")</f>
        <v>@ToyankFlas</v>
      </c>
      <c r="C21861" t="s">
        <v>175</v>
      </c>
      <c r="D21861">
        <v>5310</v>
      </c>
      <c r="E21861">
        <v>0</v>
      </c>
      <c r="F21861">
        <v>267</v>
      </c>
    </row>
    <row r="21862" spans="1:6" ht="12.75">
      <c r="A21862" s="2">
        <v>43875.944988425923</v>
      </c>
      <c r="B21862" t="str">
        <f>HYPERLINK("https://twitter.com/DonyAja82981109","@DonyAja82981109")</f>
        <v>@DonyAja82981109</v>
      </c>
      <c r="C21862" t="s">
        <v>10546</v>
      </c>
      <c r="D21862">
        <v>2</v>
      </c>
      <c r="E21862">
        <v>0</v>
      </c>
      <c r="F21862">
        <v>6</v>
      </c>
    </row>
    <row r="21863" spans="1:6" ht="12.75">
      <c r="A21863" s="2">
        <v>43875.944918981477</v>
      </c>
      <c r="B21863" t="str">
        <f>HYPERLINK("https://twitter.com/yolasetra","@yolasetra")</f>
        <v>@yolasetra</v>
      </c>
      <c r="C21863" t="s">
        <v>2444</v>
      </c>
      <c r="D21863">
        <v>2979</v>
      </c>
      <c r="E21863">
        <v>0</v>
      </c>
      <c r="F21863">
        <v>372</v>
      </c>
    </row>
    <row r="21864" spans="1:6" ht="12.75">
      <c r="A21864" s="2">
        <v>43875.944641203707</v>
      </c>
      <c r="B21864" t="str">
        <f>HYPERLINK("https://twitter.com/okezonenews","@okezonenews")</f>
        <v>@okezonenews</v>
      </c>
      <c r="C21864" t="s">
        <v>10547</v>
      </c>
      <c r="D21864">
        <v>0</v>
      </c>
      <c r="E21864">
        <v>1</v>
      </c>
      <c r="F21864">
        <v>1743779</v>
      </c>
    </row>
    <row r="21865" spans="1:6" ht="12.75">
      <c r="A21865" s="2">
        <v>43875.94462962963</v>
      </c>
      <c r="B21865" t="str">
        <f>HYPERLINK("https://twitter.com/bagindadinda","@bagindadinda")</f>
        <v>@bagindadinda</v>
      </c>
      <c r="C21865" t="s">
        <v>2444</v>
      </c>
      <c r="D21865">
        <v>2979</v>
      </c>
      <c r="E21865">
        <v>0</v>
      </c>
      <c r="F21865">
        <v>14</v>
      </c>
    </row>
    <row r="21866" spans="1:6" ht="12.75">
      <c r="A21866" s="2">
        <v>43875.944548611107</v>
      </c>
      <c r="B21866" t="str">
        <f>HYPERLINK("https://twitter.com/AyiIsmail4","@AyiIsmail4")</f>
        <v>@AyiIsmail4</v>
      </c>
      <c r="C21866" t="s">
        <v>6201</v>
      </c>
      <c r="D21866">
        <v>271</v>
      </c>
      <c r="E21866">
        <v>0</v>
      </c>
      <c r="F21866">
        <v>1066</v>
      </c>
    </row>
    <row r="21867" spans="1:6" ht="12.75">
      <c r="A21867" s="2">
        <v>43875.944467592592</v>
      </c>
      <c r="B21867" t="str">
        <f>HYPERLINK("https://twitter.com/kholil62","@kholil62")</f>
        <v>@kholil62</v>
      </c>
      <c r="C21867" t="s">
        <v>8754</v>
      </c>
      <c r="D21867">
        <v>8</v>
      </c>
      <c r="E21867">
        <v>0</v>
      </c>
      <c r="F21867">
        <v>720</v>
      </c>
    </row>
    <row r="21868" spans="1:6" ht="12.75">
      <c r="A21868" s="2">
        <v>43875.944282407407</v>
      </c>
      <c r="B21868" t="str">
        <f>HYPERLINK("https://twitter.com/_wisnuw","@_wisnuw")</f>
        <v>@_wisnuw</v>
      </c>
      <c r="C21868" t="s">
        <v>10548</v>
      </c>
      <c r="D21868">
        <v>0</v>
      </c>
      <c r="E21868">
        <v>0</v>
      </c>
      <c r="F21868">
        <v>290</v>
      </c>
    </row>
    <row r="21869" spans="1:6" ht="12.75">
      <c r="A21869" s="2">
        <v>43875.944155092591</v>
      </c>
      <c r="B21869" t="str">
        <f>HYPERLINK("https://twitter.com/bibin_bey","@bibin_bey")</f>
        <v>@bibin_bey</v>
      </c>
      <c r="C21869" t="s">
        <v>9746</v>
      </c>
      <c r="D21869">
        <v>390</v>
      </c>
      <c r="E21869">
        <v>0</v>
      </c>
      <c r="F21869">
        <v>1605</v>
      </c>
    </row>
    <row r="21870" spans="1:6" ht="12.75">
      <c r="A21870" s="2">
        <v>43875.944074074076</v>
      </c>
      <c r="B21870" t="str">
        <f>HYPERLINK("https://twitter.com/triwul82","@triwul82")</f>
        <v>@triwul82</v>
      </c>
      <c r="C21870" t="s">
        <v>10549</v>
      </c>
      <c r="D21870">
        <v>0</v>
      </c>
      <c r="E21870">
        <v>0</v>
      </c>
      <c r="F21870">
        <v>28858</v>
      </c>
    </row>
    <row r="21871" spans="1:6" ht="12.75">
      <c r="A21871" s="2">
        <v>43875.943981481483</v>
      </c>
      <c r="B21871" t="str">
        <f>HYPERLINK("https://twitter.com/hamiqi","@hamiqi")</f>
        <v>@hamiqi</v>
      </c>
      <c r="C21871" t="s">
        <v>10550</v>
      </c>
      <c r="D21871">
        <v>0</v>
      </c>
      <c r="E21871">
        <v>0</v>
      </c>
      <c r="F21871">
        <v>388</v>
      </c>
    </row>
    <row r="21872" spans="1:6" ht="12.75">
      <c r="A21872" s="2">
        <v>43875.943935185191</v>
      </c>
      <c r="B21872" t="str">
        <f>HYPERLINK("https://twitter.com/fachrizle","@fachrizle")</f>
        <v>@fachrizle</v>
      </c>
      <c r="C21872" t="s">
        <v>2444</v>
      </c>
      <c r="D21872">
        <v>2979</v>
      </c>
      <c r="E21872">
        <v>0</v>
      </c>
      <c r="F21872">
        <v>651</v>
      </c>
    </row>
    <row r="21873" spans="1:6" ht="12.75">
      <c r="A21873" s="2">
        <v>43875.943738425922</v>
      </c>
      <c r="B21873" t="str">
        <f>HYPERLINK("https://twitter.com/RJIshak","@RJIshak")</f>
        <v>@RJIshak</v>
      </c>
      <c r="C21873" t="s">
        <v>5168</v>
      </c>
      <c r="D21873">
        <v>1119</v>
      </c>
      <c r="E21873">
        <v>0</v>
      </c>
      <c r="F21873">
        <v>761</v>
      </c>
    </row>
    <row r="21874" spans="1:6" ht="12.75">
      <c r="A21874" s="2">
        <v>43875.94368055556</v>
      </c>
      <c r="B21874" t="str">
        <f>HYPERLINK("https://twitter.com/captithena","@captithena")</f>
        <v>@captithena</v>
      </c>
      <c r="C21874" t="s">
        <v>2444</v>
      </c>
      <c r="D21874">
        <v>2979</v>
      </c>
      <c r="E21874">
        <v>0</v>
      </c>
      <c r="F21874">
        <v>522</v>
      </c>
    </row>
    <row r="21875" spans="1:6" ht="12.75">
      <c r="A21875" s="2">
        <v>43875.943622685183</v>
      </c>
      <c r="B21875" t="str">
        <f>HYPERLINK("https://twitter.com/BiantyMutiara","@BiantyMutiara")</f>
        <v>@BiantyMutiara</v>
      </c>
      <c r="C21875" t="s">
        <v>8233</v>
      </c>
      <c r="D21875">
        <v>520</v>
      </c>
      <c r="E21875">
        <v>0</v>
      </c>
      <c r="F21875">
        <v>1182</v>
      </c>
    </row>
    <row r="21876" spans="1:6" ht="12.75">
      <c r="A21876" s="2">
        <v>43875.943483796298</v>
      </c>
      <c r="B21876" t="str">
        <f>HYPERLINK("https://twitter.com/rainbaery","@rainbaery")</f>
        <v>@rainbaery</v>
      </c>
      <c r="C21876" t="s">
        <v>2444</v>
      </c>
      <c r="D21876">
        <v>2979</v>
      </c>
      <c r="E21876">
        <v>0</v>
      </c>
      <c r="F21876">
        <v>986</v>
      </c>
    </row>
    <row r="21877" spans="1:6" ht="12.75">
      <c r="A21877" s="2">
        <v>43875.943344907406</v>
      </c>
      <c r="B21877" t="str">
        <f>HYPERLINK("https://twitter.com/SetyaEsti","@SetyaEsti")</f>
        <v>@SetyaEsti</v>
      </c>
      <c r="C21877" t="s">
        <v>2444</v>
      </c>
      <c r="D21877">
        <v>2979</v>
      </c>
      <c r="E21877">
        <v>0</v>
      </c>
      <c r="F21877">
        <v>18</v>
      </c>
    </row>
    <row r="21878" spans="1:6" ht="12.75">
      <c r="A21878" s="2">
        <v>43875.943275462967</v>
      </c>
      <c r="B21878" t="str">
        <f>HYPERLINK("https://twitter.com/MufidusSani","@MufidusSani")</f>
        <v>@MufidusSani</v>
      </c>
      <c r="C21878" t="s">
        <v>5168</v>
      </c>
      <c r="D21878">
        <v>1119</v>
      </c>
      <c r="E21878">
        <v>0</v>
      </c>
      <c r="F21878">
        <v>402</v>
      </c>
    </row>
    <row r="21879" spans="1:6" ht="12.75">
      <c r="A21879" s="2">
        <v>43875.943240740744</v>
      </c>
      <c r="B21879" t="str">
        <f>HYPERLINK("https://twitter.com/dinisofiantii","@dinisofiantii")</f>
        <v>@dinisofiantii</v>
      </c>
      <c r="C21879" t="s">
        <v>2444</v>
      </c>
      <c r="D21879">
        <v>2979</v>
      </c>
      <c r="E21879">
        <v>0</v>
      </c>
      <c r="F21879">
        <v>68</v>
      </c>
    </row>
    <row r="21880" spans="1:6" ht="12.75">
      <c r="A21880" s="2">
        <v>43875.943194444444</v>
      </c>
      <c r="B21880" t="str">
        <f>HYPERLINK("https://twitter.com/SigitAgungPrab2","@SigitAgungPrab2")</f>
        <v>@SigitAgungPrab2</v>
      </c>
      <c r="C21880" t="s">
        <v>10551</v>
      </c>
      <c r="D21880">
        <v>0</v>
      </c>
      <c r="E21880">
        <v>0</v>
      </c>
      <c r="F21880">
        <v>710</v>
      </c>
    </row>
    <row r="21881" spans="1:6" ht="12.75">
      <c r="A21881" s="2">
        <v>43875.942824074074</v>
      </c>
      <c r="B21881" t="str">
        <f>HYPERLINK("https://twitter.com/GweKwat","@GweKwat")</f>
        <v>@GweKwat</v>
      </c>
      <c r="C21881" t="s">
        <v>10552</v>
      </c>
      <c r="D21881">
        <v>480</v>
      </c>
      <c r="E21881">
        <v>0</v>
      </c>
      <c r="F21881">
        <v>1555</v>
      </c>
    </row>
    <row r="21882" spans="1:6" ht="12.75">
      <c r="A21882" s="2">
        <v>43875.942800925928</v>
      </c>
      <c r="B21882" t="str">
        <f>HYPERLINK("https://twitter.com/motivashiit","@motivashiit")</f>
        <v>@motivashiit</v>
      </c>
      <c r="C21882" t="s">
        <v>9557</v>
      </c>
      <c r="D21882">
        <v>5</v>
      </c>
      <c r="E21882">
        <v>0</v>
      </c>
      <c r="F21882">
        <v>84</v>
      </c>
    </row>
    <row r="21883" spans="1:6" ht="12.75">
      <c r="A21883" s="2">
        <v>43875.942615740743</v>
      </c>
      <c r="B21883" t="str">
        <f>HYPERLINK("https://twitter.com/chainofmind","@chainofmind")</f>
        <v>@chainofmind</v>
      </c>
      <c r="C21883" t="s">
        <v>2444</v>
      </c>
      <c r="D21883">
        <v>2979</v>
      </c>
      <c r="E21883">
        <v>0</v>
      </c>
      <c r="F21883">
        <v>396</v>
      </c>
    </row>
    <row r="21884" spans="1:6" ht="12.75">
      <c r="A21884" s="2">
        <v>43875.942557870367</v>
      </c>
      <c r="B21884" t="str">
        <f>HYPERLINK("https://twitter.com/pemantau69","@pemantau69")</f>
        <v>@pemantau69</v>
      </c>
      <c r="C21884" t="s">
        <v>7478</v>
      </c>
      <c r="D21884">
        <v>425</v>
      </c>
      <c r="E21884">
        <v>0</v>
      </c>
      <c r="F21884">
        <v>89</v>
      </c>
    </row>
    <row r="21885" spans="1:6" ht="12.75">
      <c r="A21885" s="2">
        <v>43875.942546296297</v>
      </c>
      <c r="B21885" t="str">
        <f>HYPERLINK("https://twitter.com/chainofmind","@chainofmind")</f>
        <v>@chainofmind</v>
      </c>
      <c r="C21885" t="s">
        <v>5168</v>
      </c>
      <c r="D21885">
        <v>1119</v>
      </c>
      <c r="E21885">
        <v>0</v>
      </c>
      <c r="F21885">
        <v>396</v>
      </c>
    </row>
    <row r="21886" spans="1:6" ht="12.75">
      <c r="A21886" s="2">
        <v>43875.94253472222</v>
      </c>
      <c r="B21886" t="str">
        <f>HYPERLINK("https://twitter.com/CYudas","@CYudas")</f>
        <v>@CYudas</v>
      </c>
      <c r="C21886" t="s">
        <v>6201</v>
      </c>
      <c r="D21886">
        <v>271</v>
      </c>
      <c r="E21886">
        <v>0</v>
      </c>
      <c r="F21886">
        <v>33</v>
      </c>
    </row>
    <row r="21887" spans="1:6" ht="12.75">
      <c r="A21887" s="2">
        <v>43875.942488425921</v>
      </c>
      <c r="B21887" t="str">
        <f>HYPERLINK("https://twitter.com/aoeliaRF","@aoeliaRF")</f>
        <v>@aoeliaRF</v>
      </c>
      <c r="C21887" t="s">
        <v>10553</v>
      </c>
      <c r="D21887">
        <v>0</v>
      </c>
      <c r="E21887">
        <v>0</v>
      </c>
      <c r="F21887">
        <v>142</v>
      </c>
    </row>
    <row r="21888" spans="1:6" ht="12.75">
      <c r="A21888" s="2">
        <v>43875.942337962959</v>
      </c>
      <c r="B21888" t="str">
        <f>HYPERLINK("https://twitter.com/Bintari80907573","@Bintari80907573")</f>
        <v>@Bintari80907573</v>
      </c>
      <c r="C21888" t="s">
        <v>6201</v>
      </c>
      <c r="D21888">
        <v>271</v>
      </c>
      <c r="E21888">
        <v>0</v>
      </c>
      <c r="F21888">
        <v>412</v>
      </c>
    </row>
    <row r="21889" spans="1:6" ht="12.75">
      <c r="A21889" s="2">
        <v>43875.94226851852</v>
      </c>
      <c r="B21889" t="str">
        <f>HYPERLINK("https://twitter.com/anna_burhan","@anna_burhan")</f>
        <v>@anna_burhan</v>
      </c>
      <c r="C21889" t="s">
        <v>10554</v>
      </c>
      <c r="D21889">
        <v>0</v>
      </c>
      <c r="E21889">
        <v>0</v>
      </c>
      <c r="F21889">
        <v>308</v>
      </c>
    </row>
    <row r="21890" spans="1:6" ht="12.75">
      <c r="A21890" s="2">
        <v>43875.942245370374</v>
      </c>
      <c r="B21890" t="str">
        <f>HYPERLINK("https://twitter.com/naIjoahe","@naIjoahe")</f>
        <v>@naIjoahe</v>
      </c>
      <c r="C21890" t="s">
        <v>2444</v>
      </c>
      <c r="D21890">
        <v>2979</v>
      </c>
      <c r="E21890">
        <v>0</v>
      </c>
      <c r="F21890">
        <v>643</v>
      </c>
    </row>
    <row r="21891" spans="1:6" ht="12.75">
      <c r="A21891" s="2">
        <v>43875.942245370374</v>
      </c>
      <c r="B21891" t="str">
        <f>HYPERLINK("https://twitter.com/Baskhara8","@Baskhara8")</f>
        <v>@Baskhara8</v>
      </c>
      <c r="C21891" t="s">
        <v>9538</v>
      </c>
      <c r="D21891">
        <v>154</v>
      </c>
      <c r="E21891">
        <v>0</v>
      </c>
      <c r="F21891">
        <v>334</v>
      </c>
    </row>
    <row r="21892" spans="1:6" ht="12.75">
      <c r="A21892" s="2">
        <v>43875.942187499997</v>
      </c>
      <c r="B21892" t="str">
        <f>HYPERLINK("https://twitter.com/labilone","@labilone")</f>
        <v>@labilone</v>
      </c>
      <c r="C21892" t="s">
        <v>2444</v>
      </c>
      <c r="D21892">
        <v>2979</v>
      </c>
      <c r="E21892">
        <v>0</v>
      </c>
      <c r="F21892">
        <v>1449</v>
      </c>
    </row>
    <row r="21893" spans="1:6" ht="12.75">
      <c r="A21893" s="2">
        <v>43875.942094907412</v>
      </c>
      <c r="B21893" t="str">
        <f>HYPERLINK("https://twitter.com/zxxkarnain","@zxxkarnain")</f>
        <v>@zxxkarnain</v>
      </c>
      <c r="C21893" t="s">
        <v>2444</v>
      </c>
      <c r="D21893">
        <v>2979</v>
      </c>
      <c r="E21893">
        <v>0</v>
      </c>
      <c r="F21893">
        <v>19</v>
      </c>
    </row>
    <row r="21894" spans="1:6" ht="12.75">
      <c r="A21894" s="2">
        <v>43875.942060185189</v>
      </c>
      <c r="B21894" t="str">
        <f>HYPERLINK("https://twitter.com/kookmints","@kookmints")</f>
        <v>@kookmints</v>
      </c>
      <c r="C21894" t="s">
        <v>10555</v>
      </c>
      <c r="D21894">
        <v>0</v>
      </c>
      <c r="E21894">
        <v>1</v>
      </c>
      <c r="F21894">
        <v>16983</v>
      </c>
    </row>
    <row r="21895" spans="1:6" ht="12.75">
      <c r="A21895" s="2">
        <v>43875.942048611112</v>
      </c>
      <c r="B21895" t="str">
        <f>HYPERLINK("https://twitter.com/whalienxx","@whalienxx")</f>
        <v>@whalienxx</v>
      </c>
      <c r="C21895" t="s">
        <v>2444</v>
      </c>
      <c r="D21895">
        <v>2979</v>
      </c>
      <c r="E21895">
        <v>0</v>
      </c>
      <c r="F21895">
        <v>541</v>
      </c>
    </row>
    <row r="21896" spans="1:6" ht="12.75">
      <c r="A21896" s="2">
        <v>43875.941886574074</v>
      </c>
      <c r="B21896" t="str">
        <f>HYPERLINK("https://twitter.com/keyesway","@keyesway")</f>
        <v>@keyesway</v>
      </c>
      <c r="C21896" t="s">
        <v>10074</v>
      </c>
      <c r="D21896">
        <v>78</v>
      </c>
      <c r="E21896">
        <v>0</v>
      </c>
      <c r="F21896">
        <v>1842</v>
      </c>
    </row>
    <row r="21897" spans="1:6" ht="12.75">
      <c r="A21897" s="2">
        <v>43875.941875000004</v>
      </c>
      <c r="B21897" t="str">
        <f>HYPERLINK("https://twitter.com/sukatanyaj","@sukatanyaj")</f>
        <v>@sukatanyaj</v>
      </c>
      <c r="C21897" t="s">
        <v>6201</v>
      </c>
      <c r="D21897">
        <v>271</v>
      </c>
      <c r="E21897">
        <v>0</v>
      </c>
      <c r="F21897">
        <v>5689</v>
      </c>
    </row>
    <row r="21898" spans="1:6" ht="12.75">
      <c r="A21898" s="2">
        <v>43875.941851851851</v>
      </c>
      <c r="B21898" t="str">
        <f>HYPERLINK("https://twitter.com/tinybee83","@tinybee83")</f>
        <v>@tinybee83</v>
      </c>
      <c r="C21898" t="s">
        <v>8394</v>
      </c>
      <c r="D21898">
        <v>39</v>
      </c>
      <c r="E21898">
        <v>0</v>
      </c>
      <c r="F21898">
        <v>158</v>
      </c>
    </row>
    <row r="21899" spans="1:6" ht="12.75">
      <c r="A21899" s="2">
        <v>43875.941817129627</v>
      </c>
      <c r="B21899" t="str">
        <f>HYPERLINK("https://twitter.com/nataliagwn","@nataliagwn")</f>
        <v>@nataliagwn</v>
      </c>
      <c r="C21899" t="s">
        <v>2444</v>
      </c>
      <c r="D21899">
        <v>2979</v>
      </c>
      <c r="E21899">
        <v>0</v>
      </c>
      <c r="F21899">
        <v>273</v>
      </c>
    </row>
    <row r="21900" spans="1:6" ht="12.75">
      <c r="A21900" s="2">
        <v>43875.941770833335</v>
      </c>
      <c r="B21900" t="str">
        <f>HYPERLINK("https://twitter.com/kalolagikangen","@kalolagikangen")</f>
        <v>@kalolagikangen</v>
      </c>
      <c r="C21900" t="s">
        <v>2444</v>
      </c>
      <c r="D21900">
        <v>2979</v>
      </c>
      <c r="E21900">
        <v>0</v>
      </c>
      <c r="F21900">
        <v>3</v>
      </c>
    </row>
    <row r="21901" spans="1:6" ht="12.75">
      <c r="A21901" s="2">
        <v>43875.941736111112</v>
      </c>
      <c r="B21901" t="str">
        <f>HYPERLINK("https://twitter.com/AdellaWibawa","@AdellaWibawa")</f>
        <v>@AdellaWibawa</v>
      </c>
      <c r="C21901" t="s">
        <v>2963</v>
      </c>
      <c r="D21901">
        <v>1161</v>
      </c>
      <c r="E21901">
        <v>0</v>
      </c>
      <c r="F21901">
        <v>6321</v>
      </c>
    </row>
    <row r="21902" spans="1:6" ht="12.75">
      <c r="A21902" s="2">
        <v>43875.941678240742</v>
      </c>
      <c r="B21902" t="str">
        <f>HYPERLINK("https://twitter.com/chrystaIIy","@chrystaIIy")</f>
        <v>@chrystaIIy</v>
      </c>
      <c r="C21902" t="s">
        <v>2444</v>
      </c>
      <c r="D21902">
        <v>2979</v>
      </c>
      <c r="E21902">
        <v>0</v>
      </c>
      <c r="F21902">
        <v>149</v>
      </c>
    </row>
    <row r="21903" spans="1:6" ht="12.75">
      <c r="A21903" s="2">
        <v>43875.941643518519</v>
      </c>
      <c r="B21903" t="str">
        <f>HYPERLINK("https://twitter.com/Banabail","@Banabail")</f>
        <v>@Banabail</v>
      </c>
      <c r="C21903" t="s">
        <v>5168</v>
      </c>
      <c r="D21903">
        <v>1119</v>
      </c>
      <c r="E21903">
        <v>0</v>
      </c>
      <c r="F21903">
        <v>735</v>
      </c>
    </row>
    <row r="21904" spans="1:6" ht="12.75">
      <c r="A21904" s="2">
        <v>43875.94149305555</v>
      </c>
      <c r="B21904" t="str">
        <f>HYPERLINK("https://twitter.com/apeachuliar2","@apeachuliar2")</f>
        <v>@apeachuliar2</v>
      </c>
      <c r="C21904" t="s">
        <v>2444</v>
      </c>
      <c r="D21904">
        <v>2979</v>
      </c>
      <c r="E21904">
        <v>0</v>
      </c>
      <c r="F21904">
        <v>22</v>
      </c>
    </row>
    <row r="21905" spans="1:6" ht="12.75">
      <c r="A21905" s="2">
        <v>43875.941435185188</v>
      </c>
      <c r="B21905" t="str">
        <f>HYPERLINK("https://twitter.com/guiztar","@guiztar")</f>
        <v>@guiztar</v>
      </c>
      <c r="C21905" t="s">
        <v>2444</v>
      </c>
      <c r="D21905">
        <v>2979</v>
      </c>
      <c r="E21905">
        <v>0</v>
      </c>
      <c r="F21905">
        <v>300</v>
      </c>
    </row>
    <row r="21906" spans="1:6" ht="12.75">
      <c r="A21906" s="2">
        <v>43875.94122685185</v>
      </c>
      <c r="B21906" t="str">
        <f>HYPERLINK("https://twitter.com/tama_tamaras","@tama_tamaras")</f>
        <v>@tama_tamaras</v>
      </c>
      <c r="C21906" t="s">
        <v>10556</v>
      </c>
      <c r="D21906">
        <v>0</v>
      </c>
      <c r="E21906">
        <v>0</v>
      </c>
      <c r="F21906">
        <v>538</v>
      </c>
    </row>
    <row r="21907" spans="1:6" ht="12.75">
      <c r="A21907" s="2">
        <v>43875.941122685181</v>
      </c>
      <c r="B21907" t="str">
        <f>HYPERLINK("https://twitter.com/mamiagarislucu","@mamiagarislucu")</f>
        <v>@mamiagarislucu</v>
      </c>
      <c r="C21907" t="s">
        <v>10536</v>
      </c>
      <c r="D21907">
        <v>2</v>
      </c>
      <c r="E21907">
        <v>0</v>
      </c>
      <c r="F21907">
        <v>5174</v>
      </c>
    </row>
    <row r="21908" spans="1:6" ht="12.75">
      <c r="A21908" s="2">
        <v>43875.940983796296</v>
      </c>
      <c r="B21908" t="str">
        <f>HYPERLINK("https://twitter.com/persakmi_id","@persakmi_id")</f>
        <v>@persakmi_id</v>
      </c>
      <c r="C21908" t="s">
        <v>10557</v>
      </c>
      <c r="D21908">
        <v>2</v>
      </c>
      <c r="E21908">
        <v>0</v>
      </c>
      <c r="F21908">
        <v>2047</v>
      </c>
    </row>
    <row r="21909" spans="1:6" ht="12.75">
      <c r="A21909" s="2">
        <v>43875.940891203703</v>
      </c>
      <c r="B21909" t="str">
        <f>HYPERLINK("https://twitter.com/midaepiw","@midaepiw")</f>
        <v>@midaepiw</v>
      </c>
      <c r="C21909" t="s">
        <v>175</v>
      </c>
      <c r="D21909">
        <v>5310</v>
      </c>
      <c r="E21909">
        <v>0</v>
      </c>
      <c r="F21909">
        <v>1037</v>
      </c>
    </row>
    <row r="21910" spans="1:6" ht="12.75">
      <c r="A21910" s="2">
        <v>43875.940868055557</v>
      </c>
      <c r="B21910" t="str">
        <f>HYPERLINK("https://twitter.com/yungseulgo","@yungseulgo")</f>
        <v>@yungseulgo</v>
      </c>
      <c r="C21910" t="s">
        <v>10558</v>
      </c>
      <c r="D21910">
        <v>0</v>
      </c>
      <c r="E21910">
        <v>0</v>
      </c>
      <c r="F21910">
        <v>90</v>
      </c>
    </row>
    <row r="21911" spans="1:6" ht="12.75">
      <c r="A21911" s="2">
        <v>43875.940833333334</v>
      </c>
      <c r="B21911" t="str">
        <f>HYPERLINK("https://twitter.com/ani_nyebar","@ani_nyebar")</f>
        <v>@ani_nyebar</v>
      </c>
      <c r="C21911" t="s">
        <v>10559</v>
      </c>
      <c r="D21911">
        <v>2</v>
      </c>
      <c r="E21911">
        <v>2</v>
      </c>
      <c r="F21911">
        <v>86</v>
      </c>
    </row>
    <row r="21912" spans="1:6" ht="12.75">
      <c r="A21912" s="2">
        <v>43875.940729166672</v>
      </c>
      <c r="B21912" t="str">
        <f>HYPERLINK("https://twitter.com/ANDRE_OCTA_","@ANDRE_OCTA_")</f>
        <v>@ANDRE_OCTA_</v>
      </c>
      <c r="C21912" t="s">
        <v>10560</v>
      </c>
      <c r="D21912">
        <v>0</v>
      </c>
      <c r="E21912">
        <v>1</v>
      </c>
      <c r="F21912">
        <v>16006</v>
      </c>
    </row>
    <row r="21913" spans="1:6" ht="12.75">
      <c r="A21913" s="2">
        <v>43875.940694444449</v>
      </c>
      <c r="B21913" t="str">
        <f>HYPERLINK("https://twitter.com/valentandani","@valentandani")</f>
        <v>@valentandani</v>
      </c>
      <c r="C21913" t="s">
        <v>10561</v>
      </c>
      <c r="D21913">
        <v>0</v>
      </c>
      <c r="E21913">
        <v>0</v>
      </c>
      <c r="F21913">
        <v>882</v>
      </c>
    </row>
    <row r="21914" spans="1:6" ht="12.75">
      <c r="A21914" s="2">
        <v>43875.940671296295</v>
      </c>
      <c r="B21914" t="str">
        <f>HYPERLINK("https://twitter.com/ikipiyerek","@ikipiyerek")</f>
        <v>@ikipiyerek</v>
      </c>
      <c r="C21914" t="s">
        <v>2444</v>
      </c>
      <c r="D21914">
        <v>2979</v>
      </c>
      <c r="E21914">
        <v>0</v>
      </c>
      <c r="F21914">
        <v>113</v>
      </c>
    </row>
    <row r="21915" spans="1:6" ht="12.75">
      <c r="A21915" s="2">
        <v>43875.940625000003</v>
      </c>
      <c r="B21915" t="str">
        <f>HYPERLINK("https://twitter.com/ISIS_Balik_NO","@ISIS_Balik_NO")</f>
        <v>@ISIS_Balik_NO</v>
      </c>
      <c r="C21915" t="s">
        <v>10562</v>
      </c>
      <c r="D21915">
        <v>0</v>
      </c>
      <c r="E21915">
        <v>0</v>
      </c>
      <c r="F21915">
        <v>5911</v>
      </c>
    </row>
    <row r="21916" spans="1:6" ht="12.75">
      <c r="A21916" s="2">
        <v>43875.940625000003</v>
      </c>
      <c r="B21916" t="str">
        <f>HYPERLINK("https://twitter.com/ZuhaAnZa","@ZuhaAnZa")</f>
        <v>@ZuhaAnZa</v>
      </c>
      <c r="C21916" t="s">
        <v>2444</v>
      </c>
      <c r="D21916">
        <v>2979</v>
      </c>
      <c r="E21916">
        <v>0</v>
      </c>
      <c r="F21916">
        <v>30</v>
      </c>
    </row>
    <row r="21917" spans="1:6" ht="12.75">
      <c r="A21917" s="2">
        <v>43875.940601851849</v>
      </c>
      <c r="B21917" t="str">
        <f>HYPERLINK("https://twitter.com/senengtypo","@senengtypo")</f>
        <v>@senengtypo</v>
      </c>
      <c r="C21917" t="s">
        <v>2444</v>
      </c>
      <c r="D21917">
        <v>2979</v>
      </c>
      <c r="E21917">
        <v>0</v>
      </c>
      <c r="F21917">
        <v>8</v>
      </c>
    </row>
    <row r="21918" spans="1:6" ht="12.75">
      <c r="A21918" s="2">
        <v>43875.940578703703</v>
      </c>
      <c r="B21918" t="str">
        <f>HYPERLINK("https://twitter.com/imnoona93","@imnoona93")</f>
        <v>@imnoona93</v>
      </c>
      <c r="C21918" t="s">
        <v>2444</v>
      </c>
      <c r="D21918">
        <v>2979</v>
      </c>
      <c r="E21918">
        <v>0</v>
      </c>
      <c r="F21918">
        <v>144</v>
      </c>
    </row>
    <row r="21919" spans="1:6" ht="12.75">
      <c r="A21919" s="2">
        <v>43875.940555555557</v>
      </c>
      <c r="B21919" t="str">
        <f>HYPERLINK("https://twitter.com/l0stcactus","@l0stcactus")</f>
        <v>@l0stcactus</v>
      </c>
      <c r="C21919" t="s">
        <v>2444</v>
      </c>
      <c r="D21919">
        <v>2979</v>
      </c>
      <c r="E21919">
        <v>0</v>
      </c>
      <c r="F21919">
        <v>1043</v>
      </c>
    </row>
    <row r="21920" spans="1:6" ht="12.75">
      <c r="A21920" s="2">
        <v>43875.940486111111</v>
      </c>
      <c r="B21920" t="str">
        <f>HYPERLINK("https://twitter.com/saidmuhidin16","@saidmuhidin16")</f>
        <v>@saidmuhidin16</v>
      </c>
      <c r="C21920" t="s">
        <v>10563</v>
      </c>
      <c r="D21920">
        <v>16</v>
      </c>
      <c r="E21920">
        <v>0</v>
      </c>
      <c r="F21920">
        <v>4</v>
      </c>
    </row>
    <row r="21921" spans="1:6" ht="12.75">
      <c r="A21921" s="2">
        <v>43875.940358796295</v>
      </c>
      <c r="B21921" t="str">
        <f>HYPERLINK("https://twitter.com/Okhe_Khatika","@Okhe_Khatika")</f>
        <v>@Okhe_Khatika</v>
      </c>
      <c r="C21921" t="s">
        <v>2963</v>
      </c>
      <c r="D21921">
        <v>1161</v>
      </c>
      <c r="E21921">
        <v>0</v>
      </c>
      <c r="F21921">
        <v>753</v>
      </c>
    </row>
    <row r="21922" spans="1:6" ht="12.75">
      <c r="A21922" s="2">
        <v>43875.940266203703</v>
      </c>
      <c r="B21922" t="str">
        <f>HYPERLINK("https://twitter.com/Bertybertzz","@Bertybertzz")</f>
        <v>@Bertybertzz</v>
      </c>
      <c r="C21922" t="s">
        <v>2444</v>
      </c>
      <c r="D21922">
        <v>2979</v>
      </c>
      <c r="E21922">
        <v>0</v>
      </c>
      <c r="F21922">
        <v>192</v>
      </c>
    </row>
    <row r="21923" spans="1:6" ht="12.75">
      <c r="A21923" s="2">
        <v>43875.939953703702</v>
      </c>
      <c r="B21923" t="str">
        <f>HYPERLINK("https://twitter.com/dian_athena","@dian_athena")</f>
        <v>@dian_athena</v>
      </c>
      <c r="C21923" t="s">
        <v>10052</v>
      </c>
      <c r="D21923">
        <v>100</v>
      </c>
      <c r="E21923">
        <v>0</v>
      </c>
      <c r="F21923">
        <v>2462</v>
      </c>
    </row>
    <row r="21924" spans="1:6" ht="12.75">
      <c r="A21924" s="2">
        <v>43875.939895833333</v>
      </c>
      <c r="B21924" t="str">
        <f>HYPERLINK("https://twitter.com/NegaraKecil","@NegaraKecil")</f>
        <v>@NegaraKecil</v>
      </c>
      <c r="C21924" t="s">
        <v>6201</v>
      </c>
      <c r="D21924">
        <v>271</v>
      </c>
      <c r="E21924">
        <v>0</v>
      </c>
      <c r="F21924">
        <v>1246</v>
      </c>
    </row>
    <row r="21925" spans="1:6" ht="12.75">
      <c r="A21925" s="2">
        <v>43875.93986111111</v>
      </c>
      <c r="B21925" t="str">
        <f>HYPERLINK("https://twitter.com/evelinenatania","@evelinenatania")</f>
        <v>@evelinenatania</v>
      </c>
      <c r="C21925" t="s">
        <v>9096</v>
      </c>
      <c r="D21925">
        <v>205</v>
      </c>
      <c r="E21925">
        <v>0</v>
      </c>
      <c r="F21925">
        <v>1817</v>
      </c>
    </row>
    <row r="21926" spans="1:6" ht="12.75">
      <c r="A21926" s="2">
        <v>43875.939768518518</v>
      </c>
      <c r="B21926" t="str">
        <f>HYPERLINK("https://twitter.com/saidmuhidin16","@saidmuhidin16")</f>
        <v>@saidmuhidin16</v>
      </c>
      <c r="C21926" t="s">
        <v>10564</v>
      </c>
      <c r="D21926">
        <v>4</v>
      </c>
      <c r="E21926">
        <v>0</v>
      </c>
      <c r="F21926">
        <v>4</v>
      </c>
    </row>
    <row r="21927" spans="1:6" ht="12.75">
      <c r="A21927" s="2">
        <v>43875.939699074079</v>
      </c>
      <c r="B21927" t="str">
        <f>HYPERLINK("https://twitter.com/Suanggi_Hitam","@Suanggi_Hitam")</f>
        <v>@Suanggi_Hitam</v>
      </c>
      <c r="C21927" t="s">
        <v>10114</v>
      </c>
      <c r="D21927">
        <v>18</v>
      </c>
      <c r="E21927">
        <v>0</v>
      </c>
      <c r="F21927">
        <v>9516</v>
      </c>
    </row>
    <row r="21928" spans="1:6" ht="12.75">
      <c r="A21928" s="2">
        <v>43875.939687499995</v>
      </c>
      <c r="B21928" t="str">
        <f>HYPERLINK("https://twitter.com/InarotulUlyah","@InarotulUlyah")</f>
        <v>@InarotulUlyah</v>
      </c>
      <c r="C21928" t="s">
        <v>2444</v>
      </c>
      <c r="D21928">
        <v>2979</v>
      </c>
      <c r="E21928">
        <v>0</v>
      </c>
      <c r="F21928">
        <v>969</v>
      </c>
    </row>
    <row r="21929" spans="1:6" ht="12.75">
      <c r="A21929" s="2">
        <v>43875.939664351856</v>
      </c>
      <c r="B21929" t="str">
        <f>HYPERLINK("https://twitter.com/Gokong_83","@Gokong_83")</f>
        <v>@Gokong_83</v>
      </c>
      <c r="C21929" t="s">
        <v>9857</v>
      </c>
      <c r="D21929">
        <v>14</v>
      </c>
      <c r="E21929">
        <v>0</v>
      </c>
      <c r="F21929">
        <v>65</v>
      </c>
    </row>
    <row r="21930" spans="1:6" ht="12.75">
      <c r="A21930" s="2">
        <v>43875.939456018517</v>
      </c>
      <c r="B21930" t="str">
        <f>HYPERLINK("https://twitter.com/dislakh","@dislakh")</f>
        <v>@dislakh</v>
      </c>
      <c r="C21930" t="s">
        <v>2444</v>
      </c>
      <c r="D21930">
        <v>2979</v>
      </c>
      <c r="E21930">
        <v>0</v>
      </c>
      <c r="F21930">
        <v>672</v>
      </c>
    </row>
    <row r="21931" spans="1:6" ht="12.75">
      <c r="A21931" s="2">
        <v>43875.939421296294</v>
      </c>
      <c r="B21931" t="str">
        <f>HYPERLINK("https://twitter.com/AlinYalauw","@AlinYalauw")</f>
        <v>@AlinYalauw</v>
      </c>
      <c r="C21931" t="s">
        <v>2444</v>
      </c>
      <c r="D21931">
        <v>2979</v>
      </c>
      <c r="E21931">
        <v>0</v>
      </c>
      <c r="F21931">
        <v>541</v>
      </c>
    </row>
    <row r="21932" spans="1:6" ht="12.75">
      <c r="A21932" s="2">
        <v>43875.939201388886</v>
      </c>
      <c r="B21932" t="str">
        <f>HYPERLINK("https://twitter.com/dysavera","@dysavera")</f>
        <v>@dysavera</v>
      </c>
      <c r="C21932" t="s">
        <v>2444</v>
      </c>
      <c r="D21932">
        <v>2979</v>
      </c>
      <c r="E21932">
        <v>0</v>
      </c>
      <c r="F21932">
        <v>310</v>
      </c>
    </row>
    <row r="21933" spans="1:6" ht="12.75">
      <c r="A21933" s="2">
        <v>43875.939155092594</v>
      </c>
      <c r="B21933" t="str">
        <f>HYPERLINK("https://twitter.com/fadliuwais","@fadliuwais")</f>
        <v>@fadliuwais</v>
      </c>
      <c r="C21933" t="s">
        <v>5168</v>
      </c>
      <c r="D21933">
        <v>1119</v>
      </c>
      <c r="E21933">
        <v>0</v>
      </c>
      <c r="F21933">
        <v>33</v>
      </c>
    </row>
    <row r="21934" spans="1:6" ht="12.75">
      <c r="A21934" s="2">
        <v>43875.93913194444</v>
      </c>
      <c r="B21934" t="str">
        <f>HYPERLINK("https://twitter.com/MeutiaRiskiana","@MeutiaRiskiana")</f>
        <v>@MeutiaRiskiana</v>
      </c>
      <c r="C21934" t="s">
        <v>5168</v>
      </c>
      <c r="D21934">
        <v>1119</v>
      </c>
      <c r="E21934">
        <v>0</v>
      </c>
      <c r="F21934">
        <v>569</v>
      </c>
    </row>
    <row r="21935" spans="1:6" ht="12.75">
      <c r="A21935" s="2">
        <v>43875.939097222217</v>
      </c>
      <c r="B21935" t="str">
        <f>HYPERLINK("https://twitter.com/KamalSandiR","@KamalSandiR")</f>
        <v>@KamalSandiR</v>
      </c>
      <c r="C21935" t="s">
        <v>5168</v>
      </c>
      <c r="D21935">
        <v>1119</v>
      </c>
      <c r="E21935">
        <v>0</v>
      </c>
      <c r="F21935">
        <v>465</v>
      </c>
    </row>
    <row r="21936" spans="1:6" ht="12.75">
      <c r="A21936" s="2">
        <v>43875.939062500001</v>
      </c>
      <c r="B21936" t="str">
        <f>HYPERLINK("https://twitter.com/baginda_irfannn","@baginda_irfannn")</f>
        <v>@baginda_irfannn</v>
      </c>
      <c r="C21936" t="s">
        <v>10565</v>
      </c>
      <c r="D21936">
        <v>0</v>
      </c>
      <c r="E21936">
        <v>0</v>
      </c>
      <c r="F21936">
        <v>57</v>
      </c>
    </row>
    <row r="21937" spans="1:6" ht="12.75">
      <c r="A21937" s="2">
        <v>43875.939050925925</v>
      </c>
      <c r="B21937" t="str">
        <f>HYPERLINK("https://twitter.com/ISIS_Balik_NO","@ISIS_Balik_NO")</f>
        <v>@ISIS_Balik_NO</v>
      </c>
      <c r="C21937" t="s">
        <v>10566</v>
      </c>
      <c r="D21937">
        <v>0</v>
      </c>
      <c r="E21937">
        <v>0</v>
      </c>
      <c r="F21937">
        <v>5911</v>
      </c>
    </row>
    <row r="21938" spans="1:6" ht="12.75">
      <c r="A21938" s="2">
        <v>43875.938981481479</v>
      </c>
      <c r="B21938" t="str">
        <f>HYPERLINK("https://twitter.com/widarto72094379","@widarto72094379")</f>
        <v>@widarto72094379</v>
      </c>
      <c r="C21938" t="s">
        <v>10567</v>
      </c>
      <c r="D21938">
        <v>0</v>
      </c>
      <c r="E21938">
        <v>0</v>
      </c>
      <c r="F21938">
        <v>510</v>
      </c>
    </row>
    <row r="21939" spans="1:6" ht="12.75">
      <c r="A21939" s="2">
        <v>43875.938923611116</v>
      </c>
      <c r="B21939" t="str">
        <f>HYPERLINK("https://twitter.com/dinnariyani_","@dinnariyani_")</f>
        <v>@dinnariyani_</v>
      </c>
      <c r="C21939" t="s">
        <v>2444</v>
      </c>
      <c r="D21939">
        <v>2979</v>
      </c>
      <c r="E21939">
        <v>0</v>
      </c>
      <c r="F21939">
        <v>226</v>
      </c>
    </row>
    <row r="21940" spans="1:6" ht="12.75">
      <c r="A21940" s="2">
        <v>43875.938900462963</v>
      </c>
      <c r="B21940" t="str">
        <f>HYPERLINK("https://twitter.com/eden_prayogi","@eden_prayogi")</f>
        <v>@eden_prayogi</v>
      </c>
      <c r="C21940" t="s">
        <v>10568</v>
      </c>
      <c r="D21940">
        <v>0</v>
      </c>
      <c r="E21940">
        <v>0</v>
      </c>
      <c r="F21940">
        <v>266</v>
      </c>
    </row>
    <row r="21941" spans="1:6" ht="12.75">
      <c r="A21941" s="2">
        <v>43875.938842592594</v>
      </c>
      <c r="B21941" t="str">
        <f>HYPERLINK("https://twitter.com/alva_roe_lee_","@alva_roe_lee_")</f>
        <v>@alva_roe_lee_</v>
      </c>
      <c r="C21941" t="s">
        <v>10569</v>
      </c>
      <c r="D21941">
        <v>0</v>
      </c>
      <c r="E21941">
        <v>0</v>
      </c>
      <c r="F21941">
        <v>3177</v>
      </c>
    </row>
    <row r="21942" spans="1:6" ht="12.75">
      <c r="A21942" s="2">
        <v>43875.938750000001</v>
      </c>
      <c r="B21942" t="str">
        <f>HYPERLINK("https://twitter.com/laikarippang13","@laikarippang13")</f>
        <v>@laikarippang13</v>
      </c>
      <c r="C21942" t="s">
        <v>2963</v>
      </c>
      <c r="D21942">
        <v>1161</v>
      </c>
      <c r="E21942">
        <v>0</v>
      </c>
      <c r="F21942">
        <v>2468</v>
      </c>
    </row>
    <row r="21943" spans="1:6" ht="12.75">
      <c r="A21943" s="2">
        <v>43875.938622685186</v>
      </c>
      <c r="B21943" t="str">
        <f>HYPERLINK("https://twitter.com/AhmadYu71379214","@AhmadYu71379214")</f>
        <v>@AhmadYu71379214</v>
      </c>
      <c r="C21943" t="s">
        <v>9857</v>
      </c>
      <c r="D21943">
        <v>14</v>
      </c>
      <c r="E21943">
        <v>0</v>
      </c>
      <c r="F21943">
        <v>23</v>
      </c>
    </row>
    <row r="21944" spans="1:6" ht="12.75">
      <c r="A21944" s="2">
        <v>43875.938587962963</v>
      </c>
      <c r="B21944" t="str">
        <f>HYPERLINK("https://twitter.com/suryainggrida","@suryainggrida")</f>
        <v>@suryainggrida</v>
      </c>
      <c r="C21944" t="s">
        <v>2444</v>
      </c>
      <c r="D21944">
        <v>2979</v>
      </c>
      <c r="E21944">
        <v>0</v>
      </c>
      <c r="F21944">
        <v>282</v>
      </c>
    </row>
    <row r="21945" spans="1:6" ht="12.75">
      <c r="A21945" s="2">
        <v>43875.938541666663</v>
      </c>
      <c r="B21945" t="str">
        <f>HYPERLINK("https://twitter.com/Dhan61152962","@Dhan61152962")</f>
        <v>@Dhan61152962</v>
      </c>
      <c r="C21945" t="s">
        <v>10114</v>
      </c>
      <c r="D21945">
        <v>18</v>
      </c>
      <c r="E21945">
        <v>0</v>
      </c>
      <c r="F21945">
        <v>332</v>
      </c>
    </row>
    <row r="21946" spans="1:6" ht="12.75">
      <c r="A21946" s="2">
        <v>43875.938344907408</v>
      </c>
      <c r="B21946" t="str">
        <f>HYPERLINK("https://twitter.com/Candra86446600","@Candra86446600")</f>
        <v>@Candra86446600</v>
      </c>
      <c r="C21946" t="s">
        <v>175</v>
      </c>
      <c r="D21946">
        <v>5310</v>
      </c>
      <c r="E21946">
        <v>0</v>
      </c>
      <c r="F21946">
        <v>14</v>
      </c>
    </row>
    <row r="21947" spans="1:6" ht="12.75">
      <c r="A21947" s="2">
        <v>43875.938240740739</v>
      </c>
      <c r="B21947" t="str">
        <f>HYPERLINK("https://twitter.com/mudha_satriya","@mudha_satriya")</f>
        <v>@mudha_satriya</v>
      </c>
      <c r="C21947" t="s">
        <v>10570</v>
      </c>
      <c r="D21947">
        <v>1</v>
      </c>
      <c r="E21947">
        <v>0</v>
      </c>
      <c r="F21947">
        <v>1875</v>
      </c>
    </row>
    <row r="21948" spans="1:6" ht="12.75">
      <c r="A21948" s="2">
        <v>43875.938206018516</v>
      </c>
      <c r="B21948" t="str">
        <f>HYPERLINK("https://twitter.com/Banabail","@Banabail")</f>
        <v>@Banabail</v>
      </c>
      <c r="C21948" t="s">
        <v>9123</v>
      </c>
      <c r="D21948">
        <v>302</v>
      </c>
      <c r="E21948">
        <v>0</v>
      </c>
      <c r="F21948">
        <v>735</v>
      </c>
    </row>
    <row r="21949" spans="1:6" ht="12.75">
      <c r="A21949" s="2">
        <v>43875.93818287037</v>
      </c>
      <c r="B21949" t="str">
        <f>HYPERLINK("https://twitter.com/wonkyunah","@wonkyunah")</f>
        <v>@wonkyunah</v>
      </c>
      <c r="C21949" t="s">
        <v>2444</v>
      </c>
      <c r="D21949">
        <v>2979</v>
      </c>
      <c r="E21949">
        <v>0</v>
      </c>
      <c r="F21949">
        <v>2021</v>
      </c>
    </row>
    <row r="21950" spans="1:6" ht="12.75">
      <c r="A21950" s="2">
        <v>43875.938020833331</v>
      </c>
      <c r="B21950" t="str">
        <f>HYPERLINK("https://twitter.com/lapislikeit","@lapislikeit")</f>
        <v>@lapislikeit</v>
      </c>
      <c r="C21950" t="s">
        <v>2444</v>
      </c>
      <c r="D21950">
        <v>2979</v>
      </c>
      <c r="E21950">
        <v>0</v>
      </c>
      <c r="F21950">
        <v>230</v>
      </c>
    </row>
    <row r="21951" spans="1:6" ht="12.75">
      <c r="A21951" s="2">
        <v>43875.937986111108</v>
      </c>
      <c r="B21951" t="str">
        <f>HYPERLINK("https://twitter.com/ygpunyayedam","@ygpunyayedam")</f>
        <v>@ygpunyayedam</v>
      </c>
      <c r="C21951" t="s">
        <v>10111</v>
      </c>
      <c r="D21951">
        <v>7</v>
      </c>
      <c r="E21951">
        <v>0</v>
      </c>
      <c r="F21951">
        <v>102</v>
      </c>
    </row>
    <row r="21952" spans="1:6" ht="12.75">
      <c r="A21952" s="2">
        <v>43875.937905092593</v>
      </c>
      <c r="B21952" t="str">
        <f>HYPERLINK("https://twitter.com/Banabail","@Banabail")</f>
        <v>@Banabail</v>
      </c>
      <c r="C21952" t="s">
        <v>2444</v>
      </c>
      <c r="D21952">
        <v>2979</v>
      </c>
      <c r="E21952">
        <v>0</v>
      </c>
      <c r="F21952">
        <v>735</v>
      </c>
    </row>
    <row r="21953" spans="1:6" ht="12.75">
      <c r="A21953" s="2">
        <v>43875.937881944439</v>
      </c>
      <c r="B21953" t="str">
        <f>HYPERLINK("https://twitter.com/HanimTarizca","@HanimTarizca")</f>
        <v>@HanimTarizca</v>
      </c>
      <c r="C21953" t="s">
        <v>2444</v>
      </c>
      <c r="D21953">
        <v>2979</v>
      </c>
      <c r="E21953">
        <v>0</v>
      </c>
      <c r="F21953">
        <v>88</v>
      </c>
    </row>
    <row r="21954" spans="1:6" ht="12.75">
      <c r="A21954" s="2">
        <v>43875.9378587963</v>
      </c>
      <c r="B21954" t="str">
        <f>HYPERLINK("https://twitter.com/muharib89571843","@muharib89571843")</f>
        <v>@muharib89571843</v>
      </c>
      <c r="C21954" t="s">
        <v>8754</v>
      </c>
      <c r="D21954">
        <v>8</v>
      </c>
      <c r="E21954">
        <v>0</v>
      </c>
      <c r="F21954">
        <v>144</v>
      </c>
    </row>
    <row r="21955" spans="1:6" ht="12.75">
      <c r="A21955" s="2">
        <v>43875.937800925924</v>
      </c>
      <c r="B21955" t="str">
        <f>HYPERLINK("https://twitter.com/QSyantik","@QSyantik")</f>
        <v>@QSyantik</v>
      </c>
      <c r="C21955" t="s">
        <v>10074</v>
      </c>
      <c r="D21955">
        <v>78</v>
      </c>
      <c r="E21955">
        <v>0</v>
      </c>
      <c r="F21955">
        <v>49</v>
      </c>
    </row>
    <row r="21956" spans="1:6" ht="12.75">
      <c r="A21956" s="2">
        <v>43875.9377662037</v>
      </c>
      <c r="B21956" t="str">
        <f>HYPERLINK("https://twitter.com/DulSastrawijaya","@DulSastrawijaya")</f>
        <v>@DulSastrawijaya</v>
      </c>
      <c r="C21956" t="s">
        <v>9998</v>
      </c>
      <c r="D21956">
        <v>106</v>
      </c>
      <c r="E21956">
        <v>0</v>
      </c>
      <c r="F21956">
        <v>36</v>
      </c>
    </row>
    <row r="21957" spans="1:6" ht="12.75">
      <c r="A21957" s="2">
        <v>43875.937743055554</v>
      </c>
      <c r="B21957" t="str">
        <f>HYPERLINK("https://twitter.com/Dutapakcoy","@Dutapakcoy")</f>
        <v>@Dutapakcoy</v>
      </c>
      <c r="C21957" t="s">
        <v>5168</v>
      </c>
      <c r="D21957">
        <v>1119</v>
      </c>
      <c r="E21957">
        <v>0</v>
      </c>
      <c r="F21957">
        <v>45</v>
      </c>
    </row>
    <row r="21958" spans="1:6" ht="12.75">
      <c r="A21958" s="2">
        <v>43875.937650462962</v>
      </c>
      <c r="B21958" t="str">
        <f>HYPERLINK("https://twitter.com/angelmoncha","@angelmoncha")</f>
        <v>@angelmoncha</v>
      </c>
      <c r="C21958" t="s">
        <v>2444</v>
      </c>
      <c r="D21958">
        <v>2979</v>
      </c>
      <c r="E21958">
        <v>0</v>
      </c>
      <c r="F21958">
        <v>193</v>
      </c>
    </row>
    <row r="21959" spans="1:6" ht="12.75">
      <c r="A21959" s="2">
        <v>43875.937546296293</v>
      </c>
      <c r="B21959" t="str">
        <f>HYPERLINK("https://twitter.com/ISIS_Balik_NO","@ISIS_Balik_NO")</f>
        <v>@ISIS_Balik_NO</v>
      </c>
      <c r="C21959" t="s">
        <v>10571</v>
      </c>
      <c r="D21959">
        <v>0</v>
      </c>
      <c r="E21959">
        <v>0</v>
      </c>
      <c r="F21959">
        <v>5911</v>
      </c>
    </row>
    <row r="21960" spans="1:6" ht="12.75">
      <c r="A21960" s="2">
        <v>43875.937476851846</v>
      </c>
      <c r="B21960" t="str">
        <f>HYPERLINK("https://twitter.com/alooyy","@alooyy")</f>
        <v>@alooyy</v>
      </c>
      <c r="C21960" t="s">
        <v>9746</v>
      </c>
      <c r="D21960">
        <v>390</v>
      </c>
      <c r="E21960">
        <v>0</v>
      </c>
      <c r="F21960">
        <v>763</v>
      </c>
    </row>
    <row r="21961" spans="1:6" ht="12.75">
      <c r="A21961" s="2">
        <v>43875.937291666662</v>
      </c>
      <c r="B21961" t="str">
        <f>HYPERLINK("https://twitter.com/duckfunq","@duckfunq")</f>
        <v>@duckfunq</v>
      </c>
      <c r="C21961" t="s">
        <v>5168</v>
      </c>
      <c r="D21961">
        <v>1119</v>
      </c>
      <c r="E21961">
        <v>0</v>
      </c>
      <c r="F21961">
        <v>317</v>
      </c>
    </row>
    <row r="21962" spans="1:6" ht="12.75">
      <c r="A21962" s="2">
        <v>43875.937280092592</v>
      </c>
      <c r="B21962" t="str">
        <f>HYPERLINK("https://twitter.com/Rexsonarety","@Rexsonarety")</f>
        <v>@Rexsonarety</v>
      </c>
      <c r="C21962" t="s">
        <v>10572</v>
      </c>
      <c r="D21962">
        <v>0</v>
      </c>
      <c r="E21962">
        <v>0</v>
      </c>
      <c r="F21962">
        <v>160</v>
      </c>
    </row>
    <row r="21963" spans="1:6" ht="12.75">
      <c r="A21963" s="2">
        <v>43875.937280092592</v>
      </c>
      <c r="B21963" t="str">
        <f>HYPERLINK("https://twitter.com/akhmadriyadi03","@akhmadriyadi03")</f>
        <v>@akhmadriyadi03</v>
      </c>
      <c r="C21963" t="s">
        <v>10573</v>
      </c>
      <c r="D21963">
        <v>11</v>
      </c>
      <c r="E21963">
        <v>0</v>
      </c>
      <c r="F21963">
        <v>104</v>
      </c>
    </row>
    <row r="21964" spans="1:6" ht="12.75">
      <c r="A21964" s="2">
        <v>43875.937268518523</v>
      </c>
      <c r="B21964" t="str">
        <f>HYPERLINK("https://twitter.com/saintrevoir","@saintrevoir")</f>
        <v>@saintrevoir</v>
      </c>
      <c r="C21964" t="s">
        <v>2444</v>
      </c>
      <c r="D21964">
        <v>2979</v>
      </c>
      <c r="E21964">
        <v>0</v>
      </c>
      <c r="F21964">
        <v>599</v>
      </c>
    </row>
    <row r="21965" spans="1:6" ht="12.75">
      <c r="A21965" s="2">
        <v>43875.937256944446</v>
      </c>
      <c r="B21965" t="str">
        <f>HYPERLINK("https://twitter.com/dannywiradharma","@dannywiradharma")</f>
        <v>@dannywiradharma</v>
      </c>
      <c r="C21965" t="s">
        <v>9198</v>
      </c>
      <c r="D21965">
        <v>80</v>
      </c>
      <c r="E21965">
        <v>0</v>
      </c>
      <c r="F21965">
        <v>1311</v>
      </c>
    </row>
    <row r="21966" spans="1:6" ht="12.75">
      <c r="A21966" s="2">
        <v>43875.937025462961</v>
      </c>
      <c r="B21966" t="str">
        <f>HYPERLINK("https://twitter.com/Yogi1517","@Yogi1517")</f>
        <v>@Yogi1517</v>
      </c>
      <c r="C21966" t="s">
        <v>2963</v>
      </c>
      <c r="D21966">
        <v>1161</v>
      </c>
      <c r="E21966">
        <v>0</v>
      </c>
      <c r="F21966">
        <v>12</v>
      </c>
    </row>
    <row r="21967" spans="1:6" ht="12.75">
      <c r="A21967" s="2">
        <v>43875.936944444446</v>
      </c>
      <c r="B21967" t="str">
        <f>HYPERLINK("https://twitter.com/ISIS_Balik_NO","@ISIS_Balik_NO")</f>
        <v>@ISIS_Balik_NO</v>
      </c>
      <c r="C21967" t="s">
        <v>10574</v>
      </c>
      <c r="D21967">
        <v>183</v>
      </c>
      <c r="E21967">
        <v>0</v>
      </c>
      <c r="F21967">
        <v>5911</v>
      </c>
    </row>
    <row r="21968" spans="1:6" ht="12.75">
      <c r="A21968" s="2">
        <v>43875.936851851853</v>
      </c>
      <c r="B21968" t="str">
        <f>HYPERLINK("https://twitter.com/gitssr","@gitssr")</f>
        <v>@gitssr</v>
      </c>
      <c r="C21968" t="s">
        <v>2444</v>
      </c>
      <c r="D21968">
        <v>2979</v>
      </c>
      <c r="E21968">
        <v>0</v>
      </c>
      <c r="F21968">
        <v>337</v>
      </c>
    </row>
    <row r="21969" spans="1:6" ht="12.75">
      <c r="A21969" s="2">
        <v>43875.936701388884</v>
      </c>
      <c r="B21969" t="str">
        <f>HYPERLINK("https://twitter.com/octobelial","@octobelial")</f>
        <v>@octobelial</v>
      </c>
      <c r="C21969" t="s">
        <v>10575</v>
      </c>
      <c r="D21969">
        <v>0</v>
      </c>
      <c r="E21969">
        <v>0</v>
      </c>
      <c r="F21969">
        <v>115</v>
      </c>
    </row>
    <row r="21970" spans="1:6" ht="12.75">
      <c r="A21970" s="2">
        <v>43875.936550925922</v>
      </c>
      <c r="B21970" t="str">
        <f>HYPERLINK("https://twitter.com/mudha_satriya","@mudha_satriya")</f>
        <v>@mudha_satriya</v>
      </c>
      <c r="C21970" t="s">
        <v>10557</v>
      </c>
      <c r="D21970">
        <v>2</v>
      </c>
      <c r="E21970">
        <v>0</v>
      </c>
      <c r="F21970">
        <v>1875</v>
      </c>
    </row>
    <row r="21971" spans="1:6" ht="12.75">
      <c r="A21971" s="2">
        <v>43875.93649305556</v>
      </c>
      <c r="B21971" t="str">
        <f>HYPERLINK("https://twitter.com/saintrevoir","@saintrevoir")</f>
        <v>@saintrevoir</v>
      </c>
      <c r="C21971" t="s">
        <v>5168</v>
      </c>
      <c r="D21971">
        <v>1119</v>
      </c>
      <c r="E21971">
        <v>0</v>
      </c>
      <c r="F21971">
        <v>599</v>
      </c>
    </row>
    <row r="21972" spans="1:6" ht="12.75">
      <c r="A21972" s="2">
        <v>43875.93644675926</v>
      </c>
      <c r="B21972" t="str">
        <f>HYPERLINK("https://twitter.com/Kang_Mas_Ase","@Kang_Mas_Ase")</f>
        <v>@Kang_Mas_Ase</v>
      </c>
      <c r="C21972" t="s">
        <v>2963</v>
      </c>
      <c r="D21972">
        <v>1161</v>
      </c>
      <c r="E21972">
        <v>0</v>
      </c>
      <c r="F21972">
        <v>13</v>
      </c>
    </row>
    <row r="21973" spans="1:6" ht="12.75">
      <c r="A21973" s="2">
        <v>43875.936388888891</v>
      </c>
      <c r="B21973" t="str">
        <f t="shared" ref="B21973:B21974" si="330">HYPERLINK("https://twitter.com/yudhita_riadini","@yudhita_riadini")</f>
        <v>@yudhita_riadini</v>
      </c>
      <c r="C21973" t="s">
        <v>9123</v>
      </c>
      <c r="D21973">
        <v>302</v>
      </c>
      <c r="E21973">
        <v>0</v>
      </c>
      <c r="F21973">
        <v>3</v>
      </c>
    </row>
    <row r="21974" spans="1:6" ht="12.75">
      <c r="A21974" s="2">
        <v>43875.936331018514</v>
      </c>
      <c r="B21974" t="str">
        <f t="shared" si="330"/>
        <v>@yudhita_riadini</v>
      </c>
      <c r="C21974" t="s">
        <v>2444</v>
      </c>
      <c r="D21974">
        <v>2979</v>
      </c>
      <c r="E21974">
        <v>0</v>
      </c>
      <c r="F21974">
        <v>3</v>
      </c>
    </row>
    <row r="21975" spans="1:6" ht="12.75">
      <c r="A21975" s="2">
        <v>43875.936296296291</v>
      </c>
      <c r="B21975" t="str">
        <f>HYPERLINK("https://twitter.com/Silfaamalia","@Silfaamalia")</f>
        <v>@Silfaamalia</v>
      </c>
      <c r="C21975" t="s">
        <v>8233</v>
      </c>
      <c r="D21975">
        <v>520</v>
      </c>
      <c r="E21975">
        <v>0</v>
      </c>
      <c r="F21975">
        <v>1016</v>
      </c>
    </row>
    <row r="21976" spans="1:6" ht="12.75">
      <c r="A21976" s="2">
        <v>43875.936215277776</v>
      </c>
      <c r="B21976" t="str">
        <f>HYPERLINK("https://twitter.com/keranjangkecil","@keranjangkecil")</f>
        <v>@keranjangkecil</v>
      </c>
      <c r="C21976" t="s">
        <v>2444</v>
      </c>
      <c r="D21976">
        <v>2979</v>
      </c>
      <c r="E21976">
        <v>0</v>
      </c>
      <c r="F21976">
        <v>43</v>
      </c>
    </row>
    <row r="21977" spans="1:6" ht="12.75">
      <c r="A21977" s="2">
        <v>43875.936122685191</v>
      </c>
      <c r="B21977" t="str">
        <f>HYPERLINK("https://twitter.com/LanangJ98488522","@LanangJ98488522")</f>
        <v>@LanangJ98488522</v>
      </c>
      <c r="C21977" t="s">
        <v>10576</v>
      </c>
      <c r="D21977">
        <v>0</v>
      </c>
      <c r="E21977">
        <v>0</v>
      </c>
      <c r="F21977">
        <v>2186</v>
      </c>
    </row>
    <row r="21978" spans="1:6" ht="12.75">
      <c r="A21978" s="2">
        <v>43875.936030092591</v>
      </c>
      <c r="B21978" t="str">
        <f>HYPERLINK("https://twitter.com/rusman_10","@rusman_10")</f>
        <v>@rusman_10</v>
      </c>
      <c r="C21978" t="s">
        <v>5168</v>
      </c>
      <c r="D21978">
        <v>1119</v>
      </c>
      <c r="E21978">
        <v>0</v>
      </c>
      <c r="F21978">
        <v>402</v>
      </c>
    </row>
    <row r="21979" spans="1:6" ht="12.75">
      <c r="A21979" s="2">
        <v>43875.935995370368</v>
      </c>
      <c r="B21979" t="str">
        <f>HYPERLINK("https://twitter.com/c0ffeey","@c0ffeey")</f>
        <v>@c0ffeey</v>
      </c>
      <c r="C21979" t="s">
        <v>5168</v>
      </c>
      <c r="D21979">
        <v>1119</v>
      </c>
      <c r="E21979">
        <v>0</v>
      </c>
      <c r="F21979">
        <v>670</v>
      </c>
    </row>
    <row r="21980" spans="1:6" ht="12.75">
      <c r="A21980" s="2">
        <v>43875.935891203699</v>
      </c>
      <c r="B21980" t="str">
        <f>HYPERLINK("https://twitter.com/herapangastuti","@herapangastuti")</f>
        <v>@herapangastuti</v>
      </c>
      <c r="C21980" t="s">
        <v>10577</v>
      </c>
      <c r="D21980">
        <v>0</v>
      </c>
      <c r="E21980">
        <v>0</v>
      </c>
      <c r="F21980">
        <v>485</v>
      </c>
    </row>
    <row r="21981" spans="1:6" ht="12.75">
      <c r="A21981" s="2">
        <v>43875.93586805556</v>
      </c>
      <c r="B21981" t="str">
        <f>HYPERLINK("https://twitter.com/fajrinhazmi","@fajrinhazmi")</f>
        <v>@fajrinhazmi</v>
      </c>
      <c r="C21981" t="s">
        <v>10578</v>
      </c>
      <c r="D21981">
        <v>1</v>
      </c>
      <c r="E21981">
        <v>0</v>
      </c>
      <c r="F21981">
        <v>253</v>
      </c>
    </row>
    <row r="21982" spans="1:6" ht="12.75">
      <c r="A21982" s="2">
        <v>43875.935856481483</v>
      </c>
      <c r="B21982" t="str">
        <f>HYPERLINK("https://twitter.com/CetakTukang","@CetakTukang")</f>
        <v>@CetakTukang</v>
      </c>
      <c r="C21982" t="s">
        <v>10297</v>
      </c>
      <c r="D21982">
        <v>9</v>
      </c>
      <c r="E21982">
        <v>0</v>
      </c>
      <c r="F21982">
        <v>571</v>
      </c>
    </row>
    <row r="21983" spans="1:6" ht="12.75">
      <c r="A21983" s="2">
        <v>43875.93582175926</v>
      </c>
      <c r="B21983" t="str">
        <f>HYPERLINK("https://twitter.com/taewithsel","@taewithsel")</f>
        <v>@taewithsel</v>
      </c>
      <c r="C21983" t="s">
        <v>9123</v>
      </c>
      <c r="D21983">
        <v>302</v>
      </c>
      <c r="E21983">
        <v>0</v>
      </c>
      <c r="F21983">
        <v>369</v>
      </c>
    </row>
    <row r="21984" spans="1:6" ht="12.75">
      <c r="A21984" s="2">
        <v>43875.93582175926</v>
      </c>
      <c r="B21984" t="str">
        <f>HYPERLINK("https://twitter.com/Barata18112560","@Barata18112560")</f>
        <v>@Barata18112560</v>
      </c>
      <c r="C21984" t="s">
        <v>9947</v>
      </c>
      <c r="D21984">
        <v>342</v>
      </c>
      <c r="E21984">
        <v>0</v>
      </c>
      <c r="F21984">
        <v>18</v>
      </c>
    </row>
    <row r="21985" spans="1:6" ht="12.75">
      <c r="A21985" s="2">
        <v>43875.935752314814</v>
      </c>
      <c r="B21985" t="str">
        <f>HYPERLINK("https://twitter.com/CanDigawai","@CanDigawai")</f>
        <v>@CanDigawai</v>
      </c>
      <c r="C21985" t="s">
        <v>7478</v>
      </c>
      <c r="D21985">
        <v>426</v>
      </c>
      <c r="E21985">
        <v>0</v>
      </c>
      <c r="F21985">
        <v>1551</v>
      </c>
    </row>
    <row r="21986" spans="1:6" ht="12.75">
      <c r="A21986" s="2">
        <v>43875.935740740737</v>
      </c>
      <c r="B21986" t="str">
        <f>HYPERLINK("https://twitter.com/spiritanimalSJW","@spiritanimalSJW")</f>
        <v>@spiritanimalSJW</v>
      </c>
      <c r="C21986" t="s">
        <v>2444</v>
      </c>
      <c r="D21986">
        <v>2979</v>
      </c>
      <c r="E21986">
        <v>0</v>
      </c>
      <c r="F21986">
        <v>36</v>
      </c>
    </row>
    <row r="21987" spans="1:6" ht="12.75">
      <c r="A21987" s="2">
        <v>43875.935659722221</v>
      </c>
      <c r="B21987" t="str">
        <f>HYPERLINK("https://twitter.com/BwoJko","@BwoJko")</f>
        <v>@BwoJko</v>
      </c>
      <c r="C21987" t="s">
        <v>10114</v>
      </c>
      <c r="D21987">
        <v>18</v>
      </c>
      <c r="E21987">
        <v>0</v>
      </c>
      <c r="F21987">
        <v>618</v>
      </c>
    </row>
    <row r="21988" spans="1:6" ht="12.75">
      <c r="A21988" s="2">
        <v>43875.935601851852</v>
      </c>
      <c r="B21988" t="str">
        <f>HYPERLINK("https://twitter.com/txxkah","@txxkah")</f>
        <v>@txxkah</v>
      </c>
      <c r="C21988" t="s">
        <v>2444</v>
      </c>
      <c r="D21988">
        <v>2979</v>
      </c>
      <c r="E21988">
        <v>0</v>
      </c>
      <c r="F21988">
        <v>608</v>
      </c>
    </row>
    <row r="21989" spans="1:6" ht="12.75">
      <c r="A21989" s="2">
        <v>43875.935567129629</v>
      </c>
      <c r="B21989" t="str">
        <f>HYPERLINK("https://twitter.com/ZanstuyA","@ZanstuyA")</f>
        <v>@ZanstuyA</v>
      </c>
      <c r="C21989" t="s">
        <v>10579</v>
      </c>
      <c r="D21989">
        <v>0</v>
      </c>
      <c r="E21989">
        <v>0</v>
      </c>
      <c r="F21989">
        <v>15</v>
      </c>
    </row>
    <row r="21990" spans="1:6" ht="12.75">
      <c r="A21990" s="2">
        <v>43875.935462962967</v>
      </c>
      <c r="B21990" t="str">
        <f>HYPERLINK("https://twitter.com/AlfaOmega0110","@AlfaOmega0110")</f>
        <v>@AlfaOmega0110</v>
      </c>
      <c r="C21990" t="s">
        <v>10580</v>
      </c>
      <c r="D21990">
        <v>0</v>
      </c>
      <c r="E21990">
        <v>0</v>
      </c>
      <c r="F21990">
        <v>1003</v>
      </c>
    </row>
    <row r="21991" spans="1:6" ht="12.75">
      <c r="A21991" s="2">
        <v>43875.935428240744</v>
      </c>
      <c r="B21991" t="str">
        <f>HYPERLINK("https://twitter.com/MHMusthofa","@MHMusthofa")</f>
        <v>@MHMusthofa</v>
      </c>
      <c r="C21991" t="s">
        <v>10581</v>
      </c>
      <c r="D21991">
        <v>0</v>
      </c>
      <c r="E21991">
        <v>1</v>
      </c>
      <c r="F21991">
        <v>453</v>
      </c>
    </row>
    <row r="21992" spans="1:6" ht="12.75">
      <c r="A21992" s="2">
        <v>43875.935370370367</v>
      </c>
      <c r="B21992" t="str">
        <f>HYPERLINK("https://twitter.com/D4D4NGLH","@D4D4NGLH")</f>
        <v>@D4D4NGLH</v>
      </c>
      <c r="C21992" t="s">
        <v>8754</v>
      </c>
      <c r="D21992">
        <v>8</v>
      </c>
      <c r="E21992">
        <v>0</v>
      </c>
      <c r="F21992">
        <v>931</v>
      </c>
    </row>
    <row r="21993" spans="1:6" ht="12.75">
      <c r="A21993" s="2">
        <v>43875.935324074075</v>
      </c>
      <c r="B21993" t="str">
        <f>HYPERLINK("https://twitter.com/spiritanimalSJW","@spiritanimalSJW")</f>
        <v>@spiritanimalSJW</v>
      </c>
      <c r="C21993" t="s">
        <v>5168</v>
      </c>
      <c r="D21993">
        <v>1119</v>
      </c>
      <c r="E21993">
        <v>0</v>
      </c>
      <c r="F21993">
        <v>36</v>
      </c>
    </row>
    <row r="21994" spans="1:6" ht="12.75">
      <c r="A21994" s="2">
        <v>43875.935312500005</v>
      </c>
      <c r="B21994" t="str">
        <f>HYPERLINK("https://twitter.com/herdiman29","@herdiman29")</f>
        <v>@herdiman29</v>
      </c>
      <c r="C21994" t="s">
        <v>7888</v>
      </c>
      <c r="D21994">
        <v>41</v>
      </c>
      <c r="E21994">
        <v>0</v>
      </c>
      <c r="F21994">
        <v>960</v>
      </c>
    </row>
    <row r="21995" spans="1:6" ht="12.75">
      <c r="A21995" s="2">
        <v>43875.935289351852</v>
      </c>
      <c r="B21995" t="str">
        <f>HYPERLINK("https://twitter.com/JANGANSENTUHAQq","@JANGANSENTUHAQq")</f>
        <v>@JANGANSENTUHAQq</v>
      </c>
      <c r="C21995" t="s">
        <v>2444</v>
      </c>
      <c r="D21995">
        <v>2979</v>
      </c>
      <c r="E21995">
        <v>0</v>
      </c>
      <c r="F21995">
        <v>5132</v>
      </c>
    </row>
    <row r="21996" spans="1:6" ht="12.75">
      <c r="A21996" s="2">
        <v>43875.935266203705</v>
      </c>
      <c r="B21996" t="str">
        <f>HYPERLINK("https://twitter.com/lulu_lantah","@lulu_lantah")</f>
        <v>@lulu_lantah</v>
      </c>
      <c r="C21996" t="s">
        <v>10582</v>
      </c>
      <c r="D21996">
        <v>0</v>
      </c>
      <c r="E21996">
        <v>0</v>
      </c>
      <c r="F21996">
        <v>58</v>
      </c>
    </row>
    <row r="21997" spans="1:6" ht="12.75">
      <c r="A21997" s="2">
        <v>43875.935173611113</v>
      </c>
      <c r="B21997" t="str">
        <f>HYPERLINK("https://twitter.com/lisalisolis","@lisalisolis")</f>
        <v>@lisalisolis</v>
      </c>
      <c r="C21997" t="s">
        <v>8233</v>
      </c>
      <c r="D21997">
        <v>520</v>
      </c>
      <c r="E21997">
        <v>0</v>
      </c>
      <c r="F21997">
        <v>628</v>
      </c>
    </row>
    <row r="21998" spans="1:6" ht="12.75">
      <c r="A21998" s="2">
        <v>43875.935115740736</v>
      </c>
      <c r="B21998" t="str">
        <f>HYPERLINK("https://twitter.com/Khowod","@Khowod")</f>
        <v>@Khowod</v>
      </c>
      <c r="C21998" t="s">
        <v>2444</v>
      </c>
      <c r="D21998">
        <v>2979</v>
      </c>
      <c r="E21998">
        <v>0</v>
      </c>
      <c r="F21998">
        <v>233</v>
      </c>
    </row>
    <row r="21999" spans="1:6" ht="12.75">
      <c r="A21999" s="2">
        <v>43875.934976851851</v>
      </c>
      <c r="B21999" t="str">
        <f>HYPERLINK("https://twitter.com/NongNayara","@NongNayara")</f>
        <v>@NongNayara</v>
      </c>
      <c r="C21999" t="s">
        <v>9746</v>
      </c>
      <c r="D21999">
        <v>390</v>
      </c>
      <c r="E21999">
        <v>0</v>
      </c>
      <c r="F21999">
        <v>3208</v>
      </c>
    </row>
    <row r="22000" spans="1:6" ht="12.75">
      <c r="A22000" s="2">
        <v>43875.934976851851</v>
      </c>
      <c r="B22000" t="str">
        <f>HYPERLINK("https://twitter.com/triharjuni","@triharjuni")</f>
        <v>@triharjuni</v>
      </c>
      <c r="C22000" t="s">
        <v>10583</v>
      </c>
      <c r="D22000">
        <v>0</v>
      </c>
      <c r="E22000">
        <v>0</v>
      </c>
      <c r="F22000">
        <v>308</v>
      </c>
    </row>
    <row r="22001" spans="1:6" ht="12.75">
      <c r="A22001" s="2">
        <v>43875.934976851851</v>
      </c>
      <c r="B22001" t="str">
        <f>HYPERLINK("https://twitter.com/potatoccips","@potatoccips")</f>
        <v>@potatoccips</v>
      </c>
      <c r="C22001" t="s">
        <v>5168</v>
      </c>
      <c r="D22001">
        <v>1119</v>
      </c>
      <c r="E22001">
        <v>0</v>
      </c>
      <c r="F22001">
        <v>364</v>
      </c>
    </row>
    <row r="22002" spans="1:6" ht="12.75">
      <c r="A22002" s="2">
        <v>43875.934884259259</v>
      </c>
      <c r="B22002" t="str">
        <f>HYPERLINK("https://twitter.com/PutriOktvn1","@PutriOktvn1")</f>
        <v>@PutriOktvn1</v>
      </c>
      <c r="C22002" t="s">
        <v>2444</v>
      </c>
      <c r="D22002">
        <v>2979</v>
      </c>
      <c r="E22002">
        <v>0</v>
      </c>
      <c r="F22002">
        <v>1813</v>
      </c>
    </row>
    <row r="22003" spans="1:6" ht="12.75">
      <c r="A22003" s="2">
        <v>43875.934872685189</v>
      </c>
      <c r="B22003" t="str">
        <f>HYPERLINK("https://twitter.com/EdisonSihombi15","@EdisonSihombi15")</f>
        <v>@EdisonSihombi15</v>
      </c>
      <c r="C22003" t="s">
        <v>10584</v>
      </c>
      <c r="D22003">
        <v>2</v>
      </c>
      <c r="E22003">
        <v>0</v>
      </c>
      <c r="F22003">
        <v>1313</v>
      </c>
    </row>
    <row r="22004" spans="1:6" ht="12.75">
      <c r="A22004" s="2">
        <v>43875.934872685189</v>
      </c>
      <c r="B22004" t="str">
        <f>HYPERLINK("https://twitter.com/bafarifa","@bafarifa")</f>
        <v>@bafarifa</v>
      </c>
      <c r="C22004" t="s">
        <v>10096</v>
      </c>
      <c r="D22004">
        <v>175</v>
      </c>
      <c r="E22004">
        <v>0</v>
      </c>
      <c r="F22004">
        <v>605</v>
      </c>
    </row>
    <row r="22005" spans="1:6" ht="12.75">
      <c r="A22005" s="2">
        <v>43875.934814814813</v>
      </c>
      <c r="B22005" t="str">
        <f>HYPERLINK("https://twitter.com/Dhan61152962","@Dhan61152962")</f>
        <v>@Dhan61152962</v>
      </c>
      <c r="C22005" t="s">
        <v>2963</v>
      </c>
      <c r="D22005">
        <v>1161</v>
      </c>
      <c r="E22005">
        <v>0</v>
      </c>
      <c r="F22005">
        <v>332</v>
      </c>
    </row>
    <row r="22006" spans="1:6" ht="12.75">
      <c r="A22006" s="2">
        <v>43875.934745370367</v>
      </c>
      <c r="B22006" t="str">
        <f>HYPERLINK("https://twitter.com/alzakha","@alzakha")</f>
        <v>@alzakha</v>
      </c>
      <c r="C22006" t="s">
        <v>7888</v>
      </c>
      <c r="D22006">
        <v>41</v>
      </c>
      <c r="E22006">
        <v>0</v>
      </c>
      <c r="F22006">
        <v>488</v>
      </c>
    </row>
    <row r="22007" spans="1:6" ht="12.75">
      <c r="A22007" s="2">
        <v>43875.93472222222</v>
      </c>
      <c r="B22007" t="str">
        <f>HYPERLINK("https://twitter.com/kemenkopmk","@kemenkopmk")</f>
        <v>@kemenkopmk</v>
      </c>
      <c r="C22007" t="s">
        <v>10585</v>
      </c>
      <c r="D22007">
        <v>2</v>
      </c>
      <c r="E22007">
        <v>2</v>
      </c>
      <c r="F22007">
        <v>129249</v>
      </c>
    </row>
    <row r="22008" spans="1:6" ht="12.75">
      <c r="A22008" s="2">
        <v>43875.934641203705</v>
      </c>
      <c r="B22008" t="str">
        <f>HYPERLINK("https://twitter.com/TitikTerangNews","@TitikTerangNews")</f>
        <v>@TitikTerangNews</v>
      </c>
      <c r="C22008" t="s">
        <v>10586</v>
      </c>
      <c r="D22008">
        <v>0</v>
      </c>
      <c r="E22008">
        <v>0</v>
      </c>
      <c r="F22008">
        <v>15</v>
      </c>
    </row>
    <row r="22009" spans="1:6" ht="12.75">
      <c r="A22009" s="2">
        <v>43875.934560185182</v>
      </c>
      <c r="B22009" t="str">
        <f>HYPERLINK("https://twitter.com/rifqymaul","@rifqymaul")</f>
        <v>@rifqymaul</v>
      </c>
      <c r="C22009" t="s">
        <v>8328</v>
      </c>
      <c r="D22009">
        <v>38</v>
      </c>
      <c r="E22009">
        <v>0</v>
      </c>
      <c r="F22009">
        <v>263</v>
      </c>
    </row>
    <row r="22010" spans="1:6" ht="12.75">
      <c r="A22010" s="2">
        <v>43875.934548611112</v>
      </c>
      <c r="B22010" t="str">
        <f>HYPERLINK("https://twitter.com/Gendorowo3","@Gendorowo3")</f>
        <v>@Gendorowo3</v>
      </c>
      <c r="C22010" t="s">
        <v>10587</v>
      </c>
      <c r="D22010">
        <v>0</v>
      </c>
      <c r="E22010">
        <v>1</v>
      </c>
      <c r="F22010">
        <v>91</v>
      </c>
    </row>
    <row r="22011" spans="1:6" ht="12.75">
      <c r="A22011" s="2">
        <v>43875.934525462959</v>
      </c>
      <c r="B22011" t="str">
        <f>HYPERLINK("https://twitter.com/CikalJsp","@CikalJsp")</f>
        <v>@CikalJsp</v>
      </c>
      <c r="C22011" t="s">
        <v>6201</v>
      </c>
      <c r="D22011">
        <v>271</v>
      </c>
      <c r="E22011">
        <v>0</v>
      </c>
      <c r="F22011">
        <v>150</v>
      </c>
    </row>
    <row r="22012" spans="1:6" ht="12.75">
      <c r="A22012" s="2">
        <v>43875.934374999997</v>
      </c>
      <c r="B22012" t="str">
        <f>HYPERLINK("https://twitter.com/Alfian26Alfi","@Alfian26Alfi")</f>
        <v>@Alfian26Alfi</v>
      </c>
      <c r="C22012" t="s">
        <v>2963</v>
      </c>
      <c r="D22012">
        <v>1161</v>
      </c>
      <c r="E22012">
        <v>0</v>
      </c>
      <c r="F22012">
        <v>187</v>
      </c>
    </row>
    <row r="22013" spans="1:6" ht="12.75">
      <c r="A22013" s="2">
        <v>43875.934236111112</v>
      </c>
      <c r="B22013" t="str">
        <f>HYPERLINK("https://twitter.com/haro_arnold","@haro_arnold")</f>
        <v>@haro_arnold</v>
      </c>
      <c r="C22013" t="s">
        <v>10588</v>
      </c>
      <c r="D22013">
        <v>111</v>
      </c>
      <c r="E22013">
        <v>0</v>
      </c>
      <c r="F22013">
        <v>4491</v>
      </c>
    </row>
    <row r="22014" spans="1:6" ht="12.75">
      <c r="A22014" s="2">
        <v>43875.934224537035</v>
      </c>
      <c r="B22014" t="str">
        <f>HYPERLINK("https://twitter.com/Ginamei6","@Ginamei6")</f>
        <v>@Ginamei6</v>
      </c>
      <c r="C22014" t="s">
        <v>10589</v>
      </c>
      <c r="D22014">
        <v>0</v>
      </c>
      <c r="E22014">
        <v>0</v>
      </c>
      <c r="F22014">
        <v>6</v>
      </c>
    </row>
    <row r="22015" spans="1:6" ht="12.75">
      <c r="A22015" s="2">
        <v>43875.934189814812</v>
      </c>
      <c r="B22015" t="str">
        <f>HYPERLINK("https://twitter.com/eternalsoonshin","@eternalsoonshin")</f>
        <v>@eternalsoonshin</v>
      </c>
      <c r="C22015" t="s">
        <v>2444</v>
      </c>
      <c r="D22015">
        <v>2979</v>
      </c>
      <c r="E22015">
        <v>0</v>
      </c>
      <c r="F22015">
        <v>356</v>
      </c>
    </row>
    <row r="22016" spans="1:6" ht="12.75">
      <c r="A22016" s="2">
        <v>43875.934131944443</v>
      </c>
      <c r="B22016" t="str">
        <f>HYPERLINK("https://twitter.com/shabinaalika","@shabinaalika")</f>
        <v>@shabinaalika</v>
      </c>
      <c r="C22016" t="s">
        <v>10589</v>
      </c>
      <c r="D22016">
        <v>0</v>
      </c>
      <c r="E22016">
        <v>0</v>
      </c>
      <c r="F22016">
        <v>21</v>
      </c>
    </row>
    <row r="22017" spans="1:6" ht="12.75">
      <c r="A22017" s="2">
        <v>43875.934131944443</v>
      </c>
      <c r="B22017" t="str">
        <f>HYPERLINK("https://twitter.com/m_rahantan","@m_rahantan")</f>
        <v>@m_rahantan</v>
      </c>
      <c r="C22017" t="s">
        <v>10590</v>
      </c>
      <c r="D22017">
        <v>0</v>
      </c>
      <c r="E22017">
        <v>0</v>
      </c>
      <c r="F22017">
        <v>662</v>
      </c>
    </row>
    <row r="22018" spans="1:6" ht="12.75">
      <c r="A22018" s="2">
        <v>43875.934108796297</v>
      </c>
      <c r="B22018" t="str">
        <f>HYPERLINK("https://twitter.com/kalengpringles","@kalengpringles")</f>
        <v>@kalengpringles</v>
      </c>
      <c r="C22018" t="s">
        <v>9123</v>
      </c>
      <c r="D22018">
        <v>302</v>
      </c>
      <c r="E22018">
        <v>0</v>
      </c>
      <c r="F22018">
        <v>873</v>
      </c>
    </row>
    <row r="22019" spans="1:6" ht="12.75">
      <c r="A22019" s="2">
        <v>43875.934039351851</v>
      </c>
      <c r="B22019" t="str">
        <f>HYPERLINK("https://twitter.com/nabaLah","@nabaLah")</f>
        <v>@nabaLah</v>
      </c>
      <c r="C22019" t="s">
        <v>2444</v>
      </c>
      <c r="D22019">
        <v>2979</v>
      </c>
      <c r="E22019">
        <v>0</v>
      </c>
      <c r="F22019">
        <v>372</v>
      </c>
    </row>
    <row r="22020" spans="1:6" ht="12.75">
      <c r="A22020" s="2">
        <v>43875.934039351851</v>
      </c>
      <c r="B22020" t="str">
        <f>HYPERLINK("https://twitter.com/rosaatrwy","@rosaatrwy")</f>
        <v>@rosaatrwy</v>
      </c>
      <c r="C22020" t="s">
        <v>2444</v>
      </c>
      <c r="D22020">
        <v>2979</v>
      </c>
      <c r="E22020">
        <v>0</v>
      </c>
      <c r="F22020">
        <v>110</v>
      </c>
    </row>
    <row r="22021" spans="1:6" ht="12.75">
      <c r="A22021" s="2">
        <v>43875.934004629627</v>
      </c>
      <c r="B22021" t="str">
        <f>HYPERLINK("https://twitter.com/01soverthinker","@01soverthinker")</f>
        <v>@01soverthinker</v>
      </c>
      <c r="C22021" t="s">
        <v>2444</v>
      </c>
      <c r="D22021">
        <v>2979</v>
      </c>
      <c r="E22021">
        <v>0</v>
      </c>
      <c r="F22021">
        <v>344</v>
      </c>
    </row>
    <row r="22022" spans="1:6" ht="12.75">
      <c r="A22022" s="2">
        <v>43875.934004629627</v>
      </c>
      <c r="B22022" t="str">
        <f>HYPERLINK("https://twitter.com/FarahSafitri15","@FarahSafitri15")</f>
        <v>@FarahSafitri15</v>
      </c>
      <c r="C22022" t="s">
        <v>10589</v>
      </c>
      <c r="D22022">
        <v>0</v>
      </c>
      <c r="E22022">
        <v>0</v>
      </c>
      <c r="F22022">
        <v>15</v>
      </c>
    </row>
    <row r="22023" spans="1:6" ht="12.75">
      <c r="A22023" s="2">
        <v>43875.933993055558</v>
      </c>
      <c r="B22023" t="str">
        <f>HYPERLINK("https://twitter.com/magnoliafirstsr","@magnoliafirstsr")</f>
        <v>@magnoliafirstsr</v>
      </c>
      <c r="C22023" t="s">
        <v>2444</v>
      </c>
      <c r="D22023">
        <v>2979</v>
      </c>
      <c r="E22023">
        <v>0</v>
      </c>
      <c r="F22023">
        <v>38</v>
      </c>
    </row>
    <row r="22024" spans="1:6" ht="12.75">
      <c r="A22024" s="2">
        <v>43875.933981481481</v>
      </c>
      <c r="B22024" t="str">
        <f>HYPERLINK("https://twitter.com/nandayuliaks","@nandayuliaks")</f>
        <v>@nandayuliaks</v>
      </c>
      <c r="C22024" t="s">
        <v>10591</v>
      </c>
      <c r="D22024">
        <v>0</v>
      </c>
      <c r="E22024">
        <v>1</v>
      </c>
      <c r="F22024">
        <v>276</v>
      </c>
    </row>
    <row r="22025" spans="1:6" ht="12.75">
      <c r="A22025" s="2">
        <v>43875.933946759258</v>
      </c>
      <c r="B22025" t="str">
        <f>HYPERLINK("https://twitter.com/NailaRahmaaa","@NailaRahmaaa")</f>
        <v>@NailaRahmaaa</v>
      </c>
      <c r="C22025" t="s">
        <v>10589</v>
      </c>
      <c r="D22025">
        <v>0</v>
      </c>
      <c r="E22025">
        <v>0</v>
      </c>
      <c r="F22025">
        <v>66</v>
      </c>
    </row>
    <row r="22026" spans="1:6" ht="12.75">
      <c r="A22026" s="2">
        <v>43875.933935185181</v>
      </c>
      <c r="B22026" t="str">
        <f>HYPERLINK("https://twitter.com/elangbc","@elangbc")</f>
        <v>@elangbc</v>
      </c>
      <c r="C22026" t="s">
        <v>10592</v>
      </c>
      <c r="D22026">
        <v>0</v>
      </c>
      <c r="E22026">
        <v>0</v>
      </c>
      <c r="F22026">
        <v>7955</v>
      </c>
    </row>
    <row r="22027" spans="1:6" ht="12.75">
      <c r="A22027" s="2">
        <v>43875.933900462958</v>
      </c>
      <c r="B22027" t="str">
        <f>HYPERLINK("https://twitter.com/GoblokMasBebas","@GoblokMasBebas")</f>
        <v>@GoblokMasBebas</v>
      </c>
      <c r="C22027" t="s">
        <v>5168</v>
      </c>
      <c r="D22027">
        <v>1119</v>
      </c>
      <c r="E22027">
        <v>0</v>
      </c>
      <c r="F22027">
        <v>279</v>
      </c>
    </row>
    <row r="22028" spans="1:6" ht="12.75">
      <c r="A22028" s="2">
        <v>43875.933900462958</v>
      </c>
      <c r="B22028" t="str">
        <f>HYPERLINK("https://twitter.com/soorayy","@soorayy")</f>
        <v>@soorayy</v>
      </c>
      <c r="C22028" t="s">
        <v>5168</v>
      </c>
      <c r="D22028">
        <v>1119</v>
      </c>
      <c r="E22028">
        <v>0</v>
      </c>
      <c r="F22028">
        <v>580</v>
      </c>
    </row>
    <row r="22029" spans="1:6" ht="12.75">
      <c r="A22029" s="2">
        <v>43875.933877314819</v>
      </c>
      <c r="B22029" t="str">
        <f>HYPERLINK("https://twitter.com/FitriNindira","@FitriNindira")</f>
        <v>@FitriNindira</v>
      </c>
      <c r="C22029" t="s">
        <v>10589</v>
      </c>
      <c r="D22029">
        <v>0</v>
      </c>
      <c r="E22029">
        <v>0</v>
      </c>
      <c r="F22029">
        <v>37</v>
      </c>
    </row>
    <row r="22030" spans="1:6" ht="12.75">
      <c r="A22030" s="2">
        <v>43875.933854166666</v>
      </c>
      <c r="B22030" t="str">
        <f>HYPERLINK("https://twitter.com/Arif_Kachef","@Arif_Kachef")</f>
        <v>@Arif_Kachef</v>
      </c>
      <c r="C22030" t="s">
        <v>7478</v>
      </c>
      <c r="D22030">
        <v>426</v>
      </c>
      <c r="E22030">
        <v>0</v>
      </c>
      <c r="F22030">
        <v>411</v>
      </c>
    </row>
    <row r="22031" spans="1:6" ht="12.75">
      <c r="A22031" s="2">
        <v>43875.933819444443</v>
      </c>
      <c r="B22031" t="str">
        <f>HYPERLINK("https://twitter.com/Syantiws","@Syantiws")</f>
        <v>@Syantiws</v>
      </c>
      <c r="C22031" t="s">
        <v>2444</v>
      </c>
      <c r="D22031">
        <v>2979</v>
      </c>
      <c r="E22031">
        <v>0</v>
      </c>
      <c r="F22031">
        <v>747</v>
      </c>
    </row>
    <row r="22032" spans="1:6" ht="12.75">
      <c r="A22032" s="2">
        <v>43875.933796296296</v>
      </c>
      <c r="B22032" t="str">
        <f>HYPERLINK("https://twitter.com/zulhendribasri2","@zulhendribasri2")</f>
        <v>@zulhendribasri2</v>
      </c>
      <c r="C22032" t="s">
        <v>9746</v>
      </c>
      <c r="D22032">
        <v>390</v>
      </c>
      <c r="E22032">
        <v>0</v>
      </c>
      <c r="F22032">
        <v>1504</v>
      </c>
    </row>
    <row r="22033" spans="1:6" ht="12.75">
      <c r="A22033" s="2">
        <v>43875.933796296296</v>
      </c>
      <c r="B22033" t="str">
        <f>HYPERLINK("https://twitter.com/Iwan_Kapuk","@Iwan_Kapuk")</f>
        <v>@Iwan_Kapuk</v>
      </c>
      <c r="C22033" t="s">
        <v>10114</v>
      </c>
      <c r="D22033">
        <v>18</v>
      </c>
      <c r="E22033">
        <v>0</v>
      </c>
      <c r="F22033">
        <v>2726</v>
      </c>
    </row>
    <row r="22034" spans="1:6" ht="12.75">
      <c r="A22034" s="2">
        <v>43875.933715277773</v>
      </c>
      <c r="B22034" t="str">
        <f>HYPERLINK("https://twitter.com/Hamjawi1","@Hamjawi1")</f>
        <v>@Hamjawi1</v>
      </c>
      <c r="C22034" t="s">
        <v>10593</v>
      </c>
      <c r="D22034">
        <v>48</v>
      </c>
      <c r="E22034">
        <v>0</v>
      </c>
      <c r="F22034">
        <v>1484</v>
      </c>
    </row>
    <row r="22035" spans="1:6" ht="12.75">
      <c r="A22035" s="2">
        <v>43875.933668981481</v>
      </c>
      <c r="B22035" t="str">
        <f>HYPERLINK("https://twitter.com/Kiaaa_a","@Kiaaa_a")</f>
        <v>@Kiaaa_a</v>
      </c>
      <c r="C22035" t="s">
        <v>2137</v>
      </c>
      <c r="D22035">
        <v>212</v>
      </c>
      <c r="E22035">
        <v>0</v>
      </c>
      <c r="F22035">
        <v>156</v>
      </c>
    </row>
    <row r="22036" spans="1:6" ht="12.75">
      <c r="A22036" s="2">
        <v>43875.933668981481</v>
      </c>
      <c r="B22036" t="str">
        <f>HYPERLINK("https://twitter.com/zum4ss","@zum4ss")</f>
        <v>@zum4ss</v>
      </c>
      <c r="C22036" t="s">
        <v>7478</v>
      </c>
      <c r="D22036">
        <v>426</v>
      </c>
      <c r="E22036">
        <v>0</v>
      </c>
      <c r="F22036">
        <v>906</v>
      </c>
    </row>
    <row r="22037" spans="1:6" ht="12.75">
      <c r="A22037" s="2">
        <v>43875.933622685188</v>
      </c>
      <c r="B22037" t="str">
        <f>HYPERLINK("https://twitter.com/didiknaurofiq","@didiknaurofiq")</f>
        <v>@didiknaurofiq</v>
      </c>
      <c r="C22037" t="s">
        <v>2963</v>
      </c>
      <c r="D22037">
        <v>1161</v>
      </c>
      <c r="E22037">
        <v>0</v>
      </c>
      <c r="F22037">
        <v>34</v>
      </c>
    </row>
    <row r="22038" spans="1:6" ht="12.75">
      <c r="A22038" s="2">
        <v>43875.933576388888</v>
      </c>
      <c r="B22038" t="str">
        <f>HYPERLINK("https://twitter.com/bondangtp","@bondangtp")</f>
        <v>@bondangtp</v>
      </c>
      <c r="C22038" t="s">
        <v>10594</v>
      </c>
      <c r="D22038">
        <v>0</v>
      </c>
      <c r="E22038">
        <v>0</v>
      </c>
      <c r="F22038">
        <v>203</v>
      </c>
    </row>
    <row r="22039" spans="1:6" ht="12.75">
      <c r="A22039" s="2">
        <v>43875.933564814812</v>
      </c>
      <c r="B22039" t="str">
        <f>HYPERLINK("https://twitter.com/ISIS_Balik_NO","@ISIS_Balik_NO")</f>
        <v>@ISIS_Balik_NO</v>
      </c>
      <c r="C22039" t="s">
        <v>10595</v>
      </c>
      <c r="D22039">
        <v>0</v>
      </c>
      <c r="E22039">
        <v>0</v>
      </c>
      <c r="F22039">
        <v>5911</v>
      </c>
    </row>
    <row r="22040" spans="1:6" ht="12.75">
      <c r="A22040" s="2">
        <v>43875.93346064815</v>
      </c>
      <c r="B22040" t="str">
        <f>HYPERLINK("https://twitter.com/13thcat","@13thcat")</f>
        <v>@13thcat</v>
      </c>
      <c r="C22040" t="s">
        <v>2444</v>
      </c>
      <c r="D22040">
        <v>2979</v>
      </c>
      <c r="E22040">
        <v>0</v>
      </c>
      <c r="F22040">
        <v>149</v>
      </c>
    </row>
    <row r="22041" spans="1:6" ht="12.75">
      <c r="A22041" s="2">
        <v>43875.93340277778</v>
      </c>
      <c r="B22041" t="str">
        <f>HYPERLINK("https://twitter.com/herdiman29","@herdiman29")</f>
        <v>@herdiman29</v>
      </c>
      <c r="C22041" t="s">
        <v>9056</v>
      </c>
      <c r="D22041">
        <v>5</v>
      </c>
      <c r="E22041">
        <v>0</v>
      </c>
      <c r="F22041">
        <v>960</v>
      </c>
    </row>
    <row r="22042" spans="1:6" ht="12.75">
      <c r="A22042" s="2">
        <v>43875.933217592596</v>
      </c>
      <c r="B22042" t="str">
        <f>HYPERLINK("https://twitter.com/ALMAHDIDAUDZ","@ALMAHDIDAUDZ")</f>
        <v>@ALMAHDIDAUDZ</v>
      </c>
      <c r="C22042" t="s">
        <v>2102</v>
      </c>
      <c r="D22042">
        <v>444</v>
      </c>
      <c r="E22042">
        <v>0</v>
      </c>
      <c r="F22042">
        <v>3984</v>
      </c>
    </row>
    <row r="22043" spans="1:6" ht="12.75">
      <c r="A22043" s="2">
        <v>43875.933217592596</v>
      </c>
      <c r="B22043" t="str">
        <f>HYPERLINK("https://twitter.com/gigifidiani","@gigifidiani")</f>
        <v>@gigifidiani</v>
      </c>
      <c r="C22043" t="s">
        <v>2444</v>
      </c>
      <c r="D22043">
        <v>2979</v>
      </c>
      <c r="E22043">
        <v>0</v>
      </c>
      <c r="F22043">
        <v>361</v>
      </c>
    </row>
    <row r="22044" spans="1:6" ht="12.75">
      <c r="A22044" s="2">
        <v>43875.933182870373</v>
      </c>
      <c r="B22044" t="str">
        <f>HYPERLINK("https://twitter.com/kolekaikitcox","@kolekaikitcox")</f>
        <v>@kolekaikitcox</v>
      </c>
      <c r="C22044" t="s">
        <v>5168</v>
      </c>
      <c r="D22044">
        <v>1119</v>
      </c>
      <c r="E22044">
        <v>0</v>
      </c>
      <c r="F22044">
        <v>4051</v>
      </c>
    </row>
    <row r="22045" spans="1:6" ht="12.75">
      <c r="A22045" s="2">
        <v>43875.933182870373</v>
      </c>
      <c r="B22045" t="str">
        <f>HYPERLINK("https://twitter.com/foresterdupan","@foresterdupan")</f>
        <v>@foresterdupan</v>
      </c>
      <c r="C22045" t="s">
        <v>5761</v>
      </c>
      <c r="D22045">
        <v>85</v>
      </c>
      <c r="E22045">
        <v>0</v>
      </c>
      <c r="F22045">
        <v>44</v>
      </c>
    </row>
    <row r="22046" spans="1:6" ht="12.75">
      <c r="A22046" s="2">
        <v>43875.933182870373</v>
      </c>
      <c r="B22046" t="str">
        <f>HYPERLINK("https://twitter.com/Gendorowo3","@Gendorowo3")</f>
        <v>@Gendorowo3</v>
      </c>
      <c r="C22046" t="s">
        <v>10596</v>
      </c>
      <c r="D22046">
        <v>3</v>
      </c>
      <c r="E22046">
        <v>0</v>
      </c>
      <c r="F22046">
        <v>91</v>
      </c>
    </row>
    <row r="22047" spans="1:6" ht="12.75">
      <c r="A22047" s="2">
        <v>43875.933136574073</v>
      </c>
      <c r="B22047" t="str">
        <f>HYPERLINK("https://twitter.com/Maswiro3","@Maswiro3")</f>
        <v>@Maswiro3</v>
      </c>
      <c r="C22047" t="s">
        <v>10052</v>
      </c>
      <c r="D22047">
        <v>100</v>
      </c>
      <c r="E22047">
        <v>0</v>
      </c>
      <c r="F22047">
        <v>1681</v>
      </c>
    </row>
    <row r="22048" spans="1:6" ht="12.75">
      <c r="A22048" s="2">
        <v>43875.933113425926</v>
      </c>
      <c r="B22048" t="str">
        <f>HYPERLINK("https://twitter.com/aa_argun","@aa_argun")</f>
        <v>@aa_argun</v>
      </c>
      <c r="C22048" t="s">
        <v>9746</v>
      </c>
      <c r="D22048">
        <v>390</v>
      </c>
      <c r="E22048">
        <v>0</v>
      </c>
      <c r="F22048">
        <v>107</v>
      </c>
    </row>
    <row r="22049" spans="1:6" ht="12.75">
      <c r="A22049" s="2">
        <v>43875.932939814811</v>
      </c>
      <c r="B22049" t="str">
        <f>HYPERLINK("https://twitter.com/Widyay_","@Widyay_")</f>
        <v>@Widyay_</v>
      </c>
      <c r="C22049" t="s">
        <v>2444</v>
      </c>
      <c r="D22049">
        <v>2979</v>
      </c>
      <c r="E22049">
        <v>0</v>
      </c>
      <c r="F22049">
        <v>349</v>
      </c>
    </row>
    <row r="22050" spans="1:6" ht="12.75">
      <c r="A22050" s="2">
        <v>43875.932696759264</v>
      </c>
      <c r="B22050" t="str">
        <f>HYPERLINK("https://twitter.com/salima252","@salima252")</f>
        <v>@salima252</v>
      </c>
      <c r="C22050" t="s">
        <v>10597</v>
      </c>
      <c r="D22050">
        <v>1</v>
      </c>
      <c r="E22050">
        <v>0</v>
      </c>
      <c r="F22050">
        <v>3166</v>
      </c>
    </row>
    <row r="22051" spans="1:6" ht="12.75">
      <c r="A22051" s="2">
        <v>43875.932673611111</v>
      </c>
      <c r="B22051" t="str">
        <f>HYPERLINK("https://twitter.com/ZahidJagirdar","@ZahidJagirdar")</f>
        <v>@ZahidJagirdar</v>
      </c>
      <c r="C22051" t="s">
        <v>2963</v>
      </c>
      <c r="D22051">
        <v>1161</v>
      </c>
      <c r="E22051">
        <v>0</v>
      </c>
      <c r="F22051">
        <v>1779</v>
      </c>
    </row>
    <row r="22052" spans="1:6" ht="12.75">
      <c r="A22052" s="2">
        <v>43875.932615740741</v>
      </c>
      <c r="B22052" t="str">
        <f>HYPERLINK("https://twitter.com/haribudiman22","@haribudiman22")</f>
        <v>@haribudiman22</v>
      </c>
      <c r="C22052" t="s">
        <v>6201</v>
      </c>
      <c r="D22052">
        <v>271</v>
      </c>
      <c r="E22052">
        <v>0</v>
      </c>
      <c r="F22052">
        <v>555</v>
      </c>
    </row>
    <row r="22053" spans="1:6" ht="12.75">
      <c r="A22053" s="2">
        <v>43875.932615740741</v>
      </c>
      <c r="B22053" t="str">
        <f>HYPERLINK("https://twitter.com/kalengpringles","@kalengpringles")</f>
        <v>@kalengpringles</v>
      </c>
      <c r="C22053" t="s">
        <v>2444</v>
      </c>
      <c r="D22053">
        <v>2979</v>
      </c>
      <c r="E22053">
        <v>0</v>
      </c>
      <c r="F22053">
        <v>873</v>
      </c>
    </row>
    <row r="22054" spans="1:6" ht="12.75">
      <c r="A22054" s="2">
        <v>43875.932604166665</v>
      </c>
      <c r="B22054" t="str">
        <f>HYPERLINK("https://twitter.com/shantan85514039","@shantan85514039")</f>
        <v>@shantan85514039</v>
      </c>
      <c r="C22054" t="s">
        <v>10598</v>
      </c>
      <c r="D22054">
        <v>0</v>
      </c>
      <c r="E22054">
        <v>0</v>
      </c>
      <c r="F22054">
        <v>68</v>
      </c>
    </row>
    <row r="22055" spans="1:6" ht="12.75">
      <c r="A22055" s="2">
        <v>43875.932604166665</v>
      </c>
      <c r="B22055" t="str">
        <f>HYPERLINK("https://twitter.com/Hamjawi1","@Hamjawi1")</f>
        <v>@Hamjawi1</v>
      </c>
      <c r="C22055" t="s">
        <v>10052</v>
      </c>
      <c r="D22055">
        <v>100</v>
      </c>
      <c r="E22055">
        <v>0</v>
      </c>
      <c r="F22055">
        <v>1484</v>
      </c>
    </row>
    <row r="22056" spans="1:6" ht="12.75">
      <c r="A22056" s="2">
        <v>43875.932569444441</v>
      </c>
      <c r="B22056" t="str">
        <f>HYPERLINK("https://twitter.com/NicolasBakhtiar","@NicolasBakhtiar")</f>
        <v>@NicolasBakhtiar</v>
      </c>
      <c r="C22056" t="s">
        <v>7478</v>
      </c>
      <c r="D22056">
        <v>426</v>
      </c>
      <c r="E22056">
        <v>0</v>
      </c>
      <c r="F22056">
        <v>222</v>
      </c>
    </row>
    <row r="22057" spans="1:6" ht="12.75">
      <c r="A22057" s="2">
        <v>43875.932430555556</v>
      </c>
      <c r="B22057" t="str">
        <f>HYPERLINK("https://twitter.com/gigifidiani","@gigifidiani")</f>
        <v>@gigifidiani</v>
      </c>
      <c r="C22057" t="s">
        <v>5168</v>
      </c>
      <c r="D22057">
        <v>1119</v>
      </c>
      <c r="E22057">
        <v>0</v>
      </c>
      <c r="F22057">
        <v>361</v>
      </c>
    </row>
    <row r="22058" spans="1:6" ht="12.75">
      <c r="A22058" s="2">
        <v>43875.932314814811</v>
      </c>
      <c r="B22058" t="str">
        <f>HYPERLINK("https://twitter.com/masmugialba","@masmugialba")</f>
        <v>@masmugialba</v>
      </c>
      <c r="C22058" t="s">
        <v>10083</v>
      </c>
      <c r="D22058">
        <v>36</v>
      </c>
      <c r="E22058">
        <v>0</v>
      </c>
      <c r="F22058">
        <v>900</v>
      </c>
    </row>
    <row r="22059" spans="1:6" ht="12.75">
      <c r="A22059" s="2">
        <v>43875.932210648149</v>
      </c>
      <c r="B22059" t="str">
        <f>HYPERLINK("https://twitter.com/Ator54164346","@Ator54164346")</f>
        <v>@Ator54164346</v>
      </c>
      <c r="C22059" t="s">
        <v>7478</v>
      </c>
      <c r="D22059">
        <v>426</v>
      </c>
      <c r="E22059">
        <v>0</v>
      </c>
      <c r="F22059">
        <v>123</v>
      </c>
    </row>
    <row r="22060" spans="1:6" ht="12.75">
      <c r="A22060" s="2">
        <v>43875.932187500002</v>
      </c>
      <c r="B22060" t="str">
        <f>HYPERLINK("https://twitter.com/Galuh748","@Galuh748")</f>
        <v>@Galuh748</v>
      </c>
      <c r="C22060" t="s">
        <v>10599</v>
      </c>
      <c r="D22060">
        <v>4</v>
      </c>
      <c r="E22060">
        <v>0</v>
      </c>
      <c r="F22060">
        <v>310</v>
      </c>
    </row>
    <row r="22061" spans="1:6" ht="12.75">
      <c r="A22061" s="2">
        <v>43875.932175925926</v>
      </c>
      <c r="B22061" t="str">
        <f>HYPERLINK("https://twitter.com/Daelyank","@Daelyank")</f>
        <v>@Daelyank</v>
      </c>
      <c r="C22061" t="s">
        <v>6201</v>
      </c>
      <c r="D22061">
        <v>271</v>
      </c>
      <c r="E22061">
        <v>0</v>
      </c>
      <c r="F22061">
        <v>200</v>
      </c>
    </row>
    <row r="22062" spans="1:6" ht="12.75">
      <c r="A22062" s="2">
        <v>43875.931990740741</v>
      </c>
      <c r="B22062" t="str">
        <f>HYPERLINK("https://twitter.com/panjimao","@panjimao")</f>
        <v>@panjimao</v>
      </c>
      <c r="C22062" t="s">
        <v>2444</v>
      </c>
      <c r="D22062">
        <v>2979</v>
      </c>
      <c r="E22062">
        <v>0</v>
      </c>
      <c r="F22062">
        <v>387</v>
      </c>
    </row>
    <row r="22063" spans="1:6" ht="12.75">
      <c r="A22063" s="2">
        <v>43875.931990740741</v>
      </c>
      <c r="B22063" t="str">
        <f>HYPERLINK("https://twitter.com/gyulpaws","@gyulpaws")</f>
        <v>@gyulpaws</v>
      </c>
      <c r="C22063" t="s">
        <v>2444</v>
      </c>
      <c r="D22063">
        <v>2979</v>
      </c>
      <c r="E22063">
        <v>0</v>
      </c>
      <c r="F22063">
        <v>301</v>
      </c>
    </row>
    <row r="22064" spans="1:6" ht="12.75">
      <c r="A22064" s="2">
        <v>43875.931979166664</v>
      </c>
      <c r="B22064" t="str">
        <f>HYPERLINK("https://twitter.com/JIMsihombing","@JIMsihombing")</f>
        <v>@JIMsihombing</v>
      </c>
      <c r="C22064" t="s">
        <v>10600</v>
      </c>
      <c r="D22064">
        <v>0</v>
      </c>
      <c r="E22064">
        <v>1</v>
      </c>
      <c r="F22064">
        <v>742</v>
      </c>
    </row>
    <row r="22065" spans="1:6" ht="12.75">
      <c r="A22065" s="2">
        <v>43875.931944444441</v>
      </c>
      <c r="B22065" t="str">
        <f>HYPERLINK("https://twitter.com/AnakKolong___","@AnakKolong___")</f>
        <v>@AnakKolong___</v>
      </c>
      <c r="C22065" t="s">
        <v>10601</v>
      </c>
      <c r="D22065">
        <v>4</v>
      </c>
      <c r="E22065">
        <v>0</v>
      </c>
      <c r="F22065">
        <v>5379</v>
      </c>
    </row>
    <row r="22066" spans="1:6" ht="12.75">
      <c r="A22066" s="2">
        <v>43875.931886574079</v>
      </c>
      <c r="B22066" t="str">
        <f>HYPERLINK("https://twitter.com/tukangkejo","@tukangkejo")</f>
        <v>@tukangkejo</v>
      </c>
      <c r="C22066" t="s">
        <v>2102</v>
      </c>
      <c r="D22066">
        <v>444</v>
      </c>
      <c r="E22066">
        <v>0</v>
      </c>
      <c r="F22066">
        <v>2243</v>
      </c>
    </row>
    <row r="22067" spans="1:6" ht="12.75">
      <c r="A22067" s="2">
        <v>43875.931874999995</v>
      </c>
      <c r="B22067" t="str">
        <f>HYPERLINK("https://twitter.com/Chihorii","@Chihorii")</f>
        <v>@Chihorii</v>
      </c>
      <c r="C22067" t="s">
        <v>2444</v>
      </c>
      <c r="D22067">
        <v>2979</v>
      </c>
      <c r="E22067">
        <v>0</v>
      </c>
      <c r="F22067">
        <v>145</v>
      </c>
    </row>
    <row r="22068" spans="1:6" ht="12.75">
      <c r="A22068" s="2">
        <v>43875.931793981479</v>
      </c>
      <c r="B22068" t="str">
        <f>HYPERLINK("https://twitter.com/Iwan_Kapuk","@Iwan_Kapuk")</f>
        <v>@Iwan_Kapuk</v>
      </c>
      <c r="C22068" t="s">
        <v>10601</v>
      </c>
      <c r="D22068">
        <v>4</v>
      </c>
      <c r="E22068">
        <v>0</v>
      </c>
      <c r="F22068">
        <v>2726</v>
      </c>
    </row>
    <row r="22069" spans="1:6" ht="12.75">
      <c r="A22069" s="2">
        <v>43875.931759259256</v>
      </c>
      <c r="B22069" t="str">
        <f>HYPERLINK("https://twitter.com/CikalJsp","@CikalJsp")</f>
        <v>@CikalJsp</v>
      </c>
      <c r="C22069" t="s">
        <v>10052</v>
      </c>
      <c r="D22069">
        <v>100</v>
      </c>
      <c r="E22069">
        <v>0</v>
      </c>
      <c r="F22069">
        <v>150</v>
      </c>
    </row>
    <row r="22070" spans="1:6" ht="12.75">
      <c r="A22070" s="2">
        <v>43875.931747685187</v>
      </c>
      <c r="B22070" t="str">
        <f>HYPERLINK("https://twitter.com/wcpandae","@wcpandae")</f>
        <v>@wcpandae</v>
      </c>
      <c r="C22070" t="s">
        <v>2444</v>
      </c>
      <c r="D22070">
        <v>2979</v>
      </c>
      <c r="E22070">
        <v>0</v>
      </c>
      <c r="F22070">
        <v>808</v>
      </c>
    </row>
    <row r="22071" spans="1:6" ht="12.75">
      <c r="A22071" s="2">
        <v>43875.931585648148</v>
      </c>
      <c r="B22071" t="str">
        <f>HYPERLINK("https://twitter.com/attossssss","@attossssss")</f>
        <v>@attossssss</v>
      </c>
      <c r="C22071" t="s">
        <v>2963</v>
      </c>
      <c r="D22071">
        <v>1161</v>
      </c>
      <c r="E22071">
        <v>0</v>
      </c>
      <c r="F22071">
        <v>86</v>
      </c>
    </row>
    <row r="22072" spans="1:6" ht="12.75">
      <c r="A22072" s="2">
        <v>43875.931493055556</v>
      </c>
      <c r="B22072" t="str">
        <f>HYPERLINK("https://twitter.com/Alif_Lammim08","@Alif_Lammim08")</f>
        <v>@Alif_Lammim08</v>
      </c>
      <c r="C22072" t="s">
        <v>7478</v>
      </c>
      <c r="D22072">
        <v>426</v>
      </c>
      <c r="E22072">
        <v>0</v>
      </c>
      <c r="F22072">
        <v>330</v>
      </c>
    </row>
    <row r="22073" spans="1:6" ht="12.75">
      <c r="A22073" s="2">
        <v>43875.931377314817</v>
      </c>
      <c r="B22073" t="str">
        <f>HYPERLINK("https://twitter.com/wiwinwajhudi","@wiwinwajhudi")</f>
        <v>@wiwinwajhudi</v>
      </c>
      <c r="C22073" t="s">
        <v>175</v>
      </c>
      <c r="D22073">
        <v>5310</v>
      </c>
      <c r="E22073">
        <v>0</v>
      </c>
      <c r="F22073">
        <v>44</v>
      </c>
    </row>
    <row r="22074" spans="1:6" ht="12.75">
      <c r="A22074" s="2">
        <v>43875.93136574074</v>
      </c>
      <c r="B22074" t="str">
        <f>HYPERLINK("https://twitter.com/su7loo","@su7loo")</f>
        <v>@su7loo</v>
      </c>
      <c r="C22074" t="s">
        <v>10602</v>
      </c>
      <c r="D22074">
        <v>4</v>
      </c>
      <c r="E22074">
        <v>8</v>
      </c>
      <c r="F22074">
        <v>972</v>
      </c>
    </row>
    <row r="22075" spans="1:6" ht="12.75">
      <c r="A22075" s="2">
        <v>43875.931273148148</v>
      </c>
      <c r="B22075" t="str">
        <f>HYPERLINK("https://twitter.com/noonalisa","@noonalisa")</f>
        <v>@noonalisa</v>
      </c>
      <c r="C22075" t="s">
        <v>10603</v>
      </c>
      <c r="D22075">
        <v>0</v>
      </c>
      <c r="E22075">
        <v>0</v>
      </c>
      <c r="F22075">
        <v>828</v>
      </c>
    </row>
    <row r="22076" spans="1:6" ht="12.75">
      <c r="A22076" s="2">
        <v>43875.931192129632</v>
      </c>
      <c r="B22076" t="str">
        <f>HYPERLINK("https://twitter.com/istiqlalzahra","@istiqlalzahra")</f>
        <v>@istiqlalzahra</v>
      </c>
      <c r="C22076" t="s">
        <v>5168</v>
      </c>
      <c r="D22076">
        <v>1119</v>
      </c>
      <c r="E22076">
        <v>0</v>
      </c>
      <c r="F22076">
        <v>688</v>
      </c>
    </row>
    <row r="22077" spans="1:6" ht="12.75">
      <c r="A22077" s="2">
        <v>43875.931168981479</v>
      </c>
      <c r="B22077" t="str">
        <f>HYPERLINK("https://twitter.com/sisonbaee","@sisonbaee")</f>
        <v>@sisonbaee</v>
      </c>
      <c r="C22077" t="s">
        <v>5168</v>
      </c>
      <c r="D22077">
        <v>1119</v>
      </c>
      <c r="E22077">
        <v>0</v>
      </c>
      <c r="F22077">
        <v>1298</v>
      </c>
    </row>
    <row r="22078" spans="1:6" ht="12.75">
      <c r="A22078" s="2">
        <v>43875.931099537032</v>
      </c>
      <c r="B22078" t="str">
        <f>HYPERLINK("https://twitter.com/alifian820","@alifian820")</f>
        <v>@alifian820</v>
      </c>
      <c r="C22078" t="s">
        <v>10052</v>
      </c>
      <c r="D22078">
        <v>100</v>
      </c>
      <c r="E22078">
        <v>0</v>
      </c>
      <c r="F22078">
        <v>266</v>
      </c>
    </row>
    <row r="22079" spans="1:6" ht="12.75">
      <c r="A22079" s="2">
        <v>43875.931030092594</v>
      </c>
      <c r="B22079" t="str">
        <f>HYPERLINK("https://twitter.com/CikalJsp","@CikalJsp")</f>
        <v>@CikalJsp</v>
      </c>
      <c r="C22079" t="s">
        <v>7478</v>
      </c>
      <c r="D22079">
        <v>426</v>
      </c>
      <c r="E22079">
        <v>0</v>
      </c>
      <c r="F22079">
        <v>150</v>
      </c>
    </row>
    <row r="22080" spans="1:6" ht="12.75">
      <c r="A22080" s="2">
        <v>43875.93074074074</v>
      </c>
      <c r="B22080" t="str">
        <f>HYPERLINK("https://twitter.com/billgatetoy","@billgatetoy")</f>
        <v>@billgatetoy</v>
      </c>
      <c r="C22080" t="s">
        <v>2963</v>
      </c>
      <c r="D22080">
        <v>1161</v>
      </c>
      <c r="E22080">
        <v>0</v>
      </c>
      <c r="F22080">
        <v>6</v>
      </c>
    </row>
    <row r="22081" spans="1:6" ht="12.75">
      <c r="A22081" s="2">
        <v>43875.930706018524</v>
      </c>
      <c r="B22081" t="str">
        <f>HYPERLINK("https://twitter.com/kapeinnsa","@kapeinnsa")</f>
        <v>@kapeinnsa</v>
      </c>
      <c r="C22081" t="s">
        <v>5168</v>
      </c>
      <c r="D22081">
        <v>1119</v>
      </c>
      <c r="E22081">
        <v>0</v>
      </c>
      <c r="F22081">
        <v>342</v>
      </c>
    </row>
    <row r="22082" spans="1:6" ht="12.75">
      <c r="A22082" s="2">
        <v>43875.930671296301</v>
      </c>
      <c r="B22082" t="str">
        <f>HYPERLINK("https://twitter.com/NaraLoka1","@NaraLoka1")</f>
        <v>@NaraLoka1</v>
      </c>
      <c r="C22082" t="s">
        <v>10604</v>
      </c>
      <c r="D22082">
        <v>0</v>
      </c>
      <c r="E22082">
        <v>0</v>
      </c>
      <c r="F22082">
        <v>170</v>
      </c>
    </row>
    <row r="22083" spans="1:6" ht="12.75">
      <c r="A22083" s="2">
        <v>43875.930601851855</v>
      </c>
      <c r="B22083" t="str">
        <f>HYPERLINK("https://twitter.com/Renny_Indriyati","@Renny_Indriyati")</f>
        <v>@Renny_Indriyati</v>
      </c>
      <c r="C22083" t="s">
        <v>2444</v>
      </c>
      <c r="D22083">
        <v>2979</v>
      </c>
      <c r="E22083">
        <v>0</v>
      </c>
      <c r="F22083">
        <v>80</v>
      </c>
    </row>
    <row r="22084" spans="1:6" ht="12.75">
      <c r="A22084" s="2">
        <v>43875.930543981478</v>
      </c>
      <c r="B22084" t="str">
        <f>HYPERLINK("https://twitter.com/aftata","@aftata")</f>
        <v>@aftata</v>
      </c>
      <c r="C22084" t="s">
        <v>10605</v>
      </c>
      <c r="D22084">
        <v>0</v>
      </c>
      <c r="E22084">
        <v>0</v>
      </c>
      <c r="F22084">
        <v>459</v>
      </c>
    </row>
    <row r="22085" spans="1:6" ht="12.75">
      <c r="A22085" s="2">
        <v>43875.930497685185</v>
      </c>
      <c r="B22085" t="str">
        <f>HYPERLINK("https://twitter.com/Galuh748","@Galuh748")</f>
        <v>@Galuh748</v>
      </c>
      <c r="C22085" t="s">
        <v>10469</v>
      </c>
      <c r="D22085">
        <v>2</v>
      </c>
      <c r="E22085">
        <v>0</v>
      </c>
      <c r="F22085">
        <v>310</v>
      </c>
    </row>
    <row r="22086" spans="1:6" ht="12.75">
      <c r="A22086" s="2">
        <v>43875.930486111116</v>
      </c>
      <c r="B22086" t="str">
        <f>HYPERLINK("https://twitter.com/yourtanpopo","@yourtanpopo")</f>
        <v>@yourtanpopo</v>
      </c>
      <c r="C22086" t="s">
        <v>2444</v>
      </c>
      <c r="D22086">
        <v>2979</v>
      </c>
      <c r="E22086">
        <v>0</v>
      </c>
      <c r="F22086">
        <v>436</v>
      </c>
    </row>
    <row r="22087" spans="1:6" ht="12.75">
      <c r="A22087" s="2">
        <v>43875.930474537032</v>
      </c>
      <c r="B22087" t="str">
        <f>HYPERLINK("https://twitter.com/SlametSt75","@SlametSt75")</f>
        <v>@SlametSt75</v>
      </c>
      <c r="C22087" t="s">
        <v>7478</v>
      </c>
      <c r="D22087">
        <v>426</v>
      </c>
      <c r="E22087">
        <v>0</v>
      </c>
      <c r="F22087">
        <v>44</v>
      </c>
    </row>
    <row r="22088" spans="1:6" ht="12.75">
      <c r="A22088" s="2">
        <v>43875.93041666667</v>
      </c>
      <c r="B22088" t="str">
        <f>HYPERLINK("https://twitter.com/doielogy","@doielogy")</f>
        <v>@doielogy</v>
      </c>
      <c r="C22088" t="s">
        <v>5168</v>
      </c>
      <c r="D22088">
        <v>1119</v>
      </c>
      <c r="E22088">
        <v>0</v>
      </c>
      <c r="F22088">
        <v>776</v>
      </c>
    </row>
    <row r="22089" spans="1:6" ht="12.75">
      <c r="A22089" s="2">
        <v>43875.930335648147</v>
      </c>
      <c r="B22089" t="str">
        <f>HYPERLINK("https://twitter.com/Ddipram","@Ddipram")</f>
        <v>@Ddipram</v>
      </c>
      <c r="C22089" t="s">
        <v>10606</v>
      </c>
      <c r="D22089">
        <v>0</v>
      </c>
      <c r="E22089">
        <v>0</v>
      </c>
      <c r="F22089">
        <v>3097</v>
      </c>
    </row>
    <row r="22090" spans="1:6" ht="12.75">
      <c r="A22090" s="2">
        <v>43875.930312500001</v>
      </c>
      <c r="B22090" t="str">
        <f>HYPERLINK("https://twitter.com/AdeSuradiah","@AdeSuradiah")</f>
        <v>@AdeSuradiah</v>
      </c>
      <c r="C22090" t="s">
        <v>10607</v>
      </c>
      <c r="D22090">
        <v>0</v>
      </c>
      <c r="E22090">
        <v>1</v>
      </c>
      <c r="F22090">
        <v>2749</v>
      </c>
    </row>
    <row r="22091" spans="1:6" ht="12.75">
      <c r="A22091" s="2">
        <v>43875.930254629631</v>
      </c>
      <c r="B22091" t="str">
        <f>HYPERLINK("https://twitter.com/saifdaw99","@saifdaw99")</f>
        <v>@saifdaw99</v>
      </c>
      <c r="C22091" t="s">
        <v>9082</v>
      </c>
      <c r="D22091">
        <v>69</v>
      </c>
      <c r="E22091">
        <v>0</v>
      </c>
      <c r="F22091">
        <v>16</v>
      </c>
    </row>
    <row r="22092" spans="1:6" ht="12.75">
      <c r="A22092" s="2">
        <v>43875.930231481485</v>
      </c>
      <c r="B22092" t="str">
        <f>HYPERLINK("https://twitter.com/B3DuL_SiaJ0k","@B3DuL_SiaJ0k")</f>
        <v>@B3DuL_SiaJ0k</v>
      </c>
      <c r="C22092" t="s">
        <v>7478</v>
      </c>
      <c r="D22092">
        <v>426</v>
      </c>
      <c r="E22092">
        <v>0</v>
      </c>
      <c r="F22092">
        <v>563</v>
      </c>
    </row>
    <row r="22093" spans="1:6" ht="12.75">
      <c r="A22093" s="2">
        <v>43875.930231481485</v>
      </c>
      <c r="B22093" t="str">
        <f>HYPERLINK("https://twitter.com/Arif_Kachef","@Arif_Kachef")</f>
        <v>@Arif_Kachef</v>
      </c>
      <c r="C22093" t="s">
        <v>6201</v>
      </c>
      <c r="D22093">
        <v>271</v>
      </c>
      <c r="E22093">
        <v>0</v>
      </c>
      <c r="F22093">
        <v>411</v>
      </c>
    </row>
    <row r="22094" spans="1:6" ht="12.75">
      <c r="A22094" s="2">
        <v>43875.930138888885</v>
      </c>
      <c r="B22094" t="str">
        <f>HYPERLINK("https://twitter.com/doielogy","@doielogy")</f>
        <v>@doielogy</v>
      </c>
      <c r="C22094" t="s">
        <v>2444</v>
      </c>
      <c r="D22094">
        <v>2979</v>
      </c>
      <c r="E22094">
        <v>0</v>
      </c>
      <c r="F22094">
        <v>776</v>
      </c>
    </row>
    <row r="22095" spans="1:6" ht="12.75">
      <c r="A22095" s="2">
        <v>43875.930115740739</v>
      </c>
      <c r="B22095" t="str">
        <f>HYPERLINK("https://twitter.com/T3TT1R14","@T3TT1R14")</f>
        <v>@T3TT1R14</v>
      </c>
      <c r="C22095" t="s">
        <v>9971</v>
      </c>
      <c r="D22095">
        <v>7</v>
      </c>
      <c r="E22095">
        <v>0</v>
      </c>
      <c r="F22095">
        <v>134</v>
      </c>
    </row>
    <row r="22096" spans="1:6" ht="12.75">
      <c r="A22096" s="2">
        <v>43875.930115740739</v>
      </c>
      <c r="B22096" t="str">
        <f>HYPERLINK("https://twitter.com/rxaye","@rxaye")</f>
        <v>@rxaye</v>
      </c>
      <c r="C22096" t="s">
        <v>2444</v>
      </c>
      <c r="D22096">
        <v>2979</v>
      </c>
      <c r="E22096">
        <v>0</v>
      </c>
      <c r="F22096">
        <v>716</v>
      </c>
    </row>
    <row r="22097" spans="1:6" ht="12.75">
      <c r="A22097" s="2">
        <v>43875.930081018523</v>
      </c>
      <c r="B22097" t="str">
        <f>HYPERLINK("https://twitter.com/berdisteraksi","@berdisteraksi")</f>
        <v>@berdisteraksi</v>
      </c>
      <c r="C22097" t="s">
        <v>2444</v>
      </c>
      <c r="D22097">
        <v>2979</v>
      </c>
      <c r="E22097">
        <v>0</v>
      </c>
      <c r="F22097">
        <v>2356</v>
      </c>
    </row>
    <row r="22098" spans="1:6" ht="12.75">
      <c r="A22098" s="2">
        <v>43875.929895833338</v>
      </c>
      <c r="B22098" t="str">
        <f>HYPERLINK("https://twitter.com/dodi_dodik","@dodi_dodik")</f>
        <v>@dodi_dodik</v>
      </c>
      <c r="C22098" t="s">
        <v>6201</v>
      </c>
      <c r="D22098">
        <v>271</v>
      </c>
      <c r="E22098">
        <v>0</v>
      </c>
      <c r="F22098">
        <v>27</v>
      </c>
    </row>
    <row r="22099" spans="1:6" ht="12.75">
      <c r="A22099" s="2">
        <v>43875.929861111115</v>
      </c>
      <c r="B22099" t="str">
        <f>HYPERLINK("https://twitter.com/HarianInhua","@HarianInhua")</f>
        <v>@HarianInhua</v>
      </c>
      <c r="C22099" t="s">
        <v>10608</v>
      </c>
      <c r="D22099">
        <v>0</v>
      </c>
      <c r="E22099">
        <v>0</v>
      </c>
      <c r="F22099">
        <v>88</v>
      </c>
    </row>
    <row r="22100" spans="1:6" ht="12.75">
      <c r="A22100" s="2">
        <v>43875.929745370369</v>
      </c>
      <c r="B22100" t="str">
        <f>HYPERLINK("https://twitter.com/rxaye","@rxaye")</f>
        <v>@rxaye</v>
      </c>
      <c r="C22100" t="s">
        <v>9123</v>
      </c>
      <c r="D22100">
        <v>302</v>
      </c>
      <c r="E22100">
        <v>0</v>
      </c>
      <c r="F22100">
        <v>716</v>
      </c>
    </row>
    <row r="22101" spans="1:6" ht="12.75">
      <c r="A22101" s="2">
        <v>43875.9296875</v>
      </c>
      <c r="B22101" t="str">
        <f>HYPERLINK("https://twitter.com/shaaaannt","@shaaaannt")</f>
        <v>@shaaaannt</v>
      </c>
      <c r="C22101" t="s">
        <v>2444</v>
      </c>
      <c r="D22101">
        <v>2979</v>
      </c>
      <c r="E22101">
        <v>0</v>
      </c>
      <c r="F22101">
        <v>885</v>
      </c>
    </row>
    <row r="22102" spans="1:6" ht="12.75">
      <c r="A22102" s="2">
        <v>43875.929618055554</v>
      </c>
      <c r="B22102" t="str">
        <f>HYPERLINK("https://twitter.com/peniipuji","@peniipuji")</f>
        <v>@peniipuji</v>
      </c>
      <c r="C22102" t="s">
        <v>2963</v>
      </c>
      <c r="D22102">
        <v>1161</v>
      </c>
      <c r="E22102">
        <v>0</v>
      </c>
      <c r="F22102">
        <v>1112</v>
      </c>
    </row>
    <row r="22103" spans="1:6" ht="12.75">
      <c r="A22103" s="2">
        <v>43875.929548611108</v>
      </c>
      <c r="B22103" t="str">
        <f>HYPERLINK("https://twitter.com/malkhaththath","@malkhaththath")</f>
        <v>@malkhaththath</v>
      </c>
      <c r="C22103" t="s">
        <v>10609</v>
      </c>
      <c r="D22103">
        <v>0</v>
      </c>
      <c r="E22103">
        <v>0</v>
      </c>
      <c r="F22103">
        <v>1185</v>
      </c>
    </row>
    <row r="22104" spans="1:6" ht="12.75">
      <c r="A22104" s="2">
        <v>43875.929537037038</v>
      </c>
      <c r="B22104" t="str">
        <f>HYPERLINK("https://twitter.com/AlaricLuthfy","@AlaricLuthfy")</f>
        <v>@AlaricLuthfy</v>
      </c>
      <c r="C22104" t="s">
        <v>10610</v>
      </c>
      <c r="D22104">
        <v>0</v>
      </c>
      <c r="E22104">
        <v>0</v>
      </c>
      <c r="F22104">
        <v>217</v>
      </c>
    </row>
    <row r="22105" spans="1:6" ht="12.75">
      <c r="A22105" s="2">
        <v>43875.929525462961</v>
      </c>
      <c r="B22105" t="str">
        <f>HYPERLINK("https://twitter.com/LahAkuKenapa","@LahAkuKenapa")</f>
        <v>@LahAkuKenapa</v>
      </c>
      <c r="C22105" t="s">
        <v>10057</v>
      </c>
      <c r="D22105">
        <v>11</v>
      </c>
      <c r="E22105">
        <v>0</v>
      </c>
      <c r="F22105">
        <v>3702</v>
      </c>
    </row>
    <row r="22106" spans="1:6" ht="12.75">
      <c r="A22106" s="2">
        <v>43875.929456018523</v>
      </c>
      <c r="B22106" t="str">
        <f>HYPERLINK("https://twitter.com/mfnid","@mfnid")</f>
        <v>@mfnid</v>
      </c>
      <c r="C22106" t="s">
        <v>10611</v>
      </c>
      <c r="D22106">
        <v>3</v>
      </c>
      <c r="E22106">
        <v>0</v>
      </c>
      <c r="F22106">
        <v>935</v>
      </c>
    </row>
    <row r="22107" spans="1:6" ht="12.75">
      <c r="A22107" s="2">
        <v>43875.929444444446</v>
      </c>
      <c r="B22107" t="str">
        <f>HYPERLINK("https://twitter.com/fajrinhazmi","@fajrinhazmi")</f>
        <v>@fajrinhazmi</v>
      </c>
      <c r="C22107" t="s">
        <v>10612</v>
      </c>
      <c r="D22107">
        <v>1</v>
      </c>
      <c r="E22107">
        <v>0</v>
      </c>
      <c r="F22107">
        <v>253</v>
      </c>
    </row>
    <row r="22108" spans="1:6" ht="12.75">
      <c r="A22108" s="2">
        <v>43875.929432870369</v>
      </c>
      <c r="B22108" t="str">
        <f>HYPERLINK("https://twitter.com/hendrabrastagi5","@hendrabrastagi5")</f>
        <v>@hendrabrastagi5</v>
      </c>
      <c r="C22108" t="s">
        <v>10142</v>
      </c>
      <c r="D22108">
        <v>6</v>
      </c>
      <c r="E22108">
        <v>0</v>
      </c>
      <c r="F22108">
        <v>1066</v>
      </c>
    </row>
    <row r="22109" spans="1:6" ht="12.75">
      <c r="A22109" s="2">
        <v>43875.929351851853</v>
      </c>
      <c r="B22109" t="str">
        <f>HYPERLINK("https://twitter.com/Nigellasativa5","@Nigellasativa5")</f>
        <v>@Nigellasativa5</v>
      </c>
      <c r="C22109" t="s">
        <v>6201</v>
      </c>
      <c r="D22109">
        <v>271</v>
      </c>
      <c r="E22109">
        <v>0</v>
      </c>
      <c r="F22109">
        <v>4158</v>
      </c>
    </row>
    <row r="22110" spans="1:6" ht="12.75">
      <c r="A22110" s="2">
        <v>43875.92931712963</v>
      </c>
      <c r="B22110" t="str">
        <f>HYPERLINK("https://twitter.com/napadahluh","@napadahluh")</f>
        <v>@napadahluh</v>
      </c>
      <c r="C22110" t="s">
        <v>2444</v>
      </c>
      <c r="D22110">
        <v>2979</v>
      </c>
      <c r="E22110">
        <v>0</v>
      </c>
      <c r="F22110">
        <v>411</v>
      </c>
    </row>
    <row r="22111" spans="1:6" ht="12.75">
      <c r="A22111" s="2">
        <v>43875.929259259261</v>
      </c>
      <c r="B22111" t="str">
        <f>HYPERLINK("https://twitter.com/PikiranUmat","@PikiranUmat")</f>
        <v>@PikiranUmat</v>
      </c>
      <c r="C22111" t="s">
        <v>10609</v>
      </c>
      <c r="D22111">
        <v>0</v>
      </c>
      <c r="E22111">
        <v>0</v>
      </c>
      <c r="F22111">
        <v>227</v>
      </c>
    </row>
    <row r="22112" spans="1:6" ht="12.75">
      <c r="A22112" s="2">
        <v>43875.929259259261</v>
      </c>
      <c r="B22112" t="str">
        <f>HYPERLINK("https://twitter.com/adelle_ap","@adelle_ap")</f>
        <v>@adelle_ap</v>
      </c>
      <c r="C22112" t="s">
        <v>6201</v>
      </c>
      <c r="D22112">
        <v>271</v>
      </c>
      <c r="E22112">
        <v>0</v>
      </c>
      <c r="F22112">
        <v>41</v>
      </c>
    </row>
    <row r="22113" spans="1:6" ht="12.75">
      <c r="A22113" s="2">
        <v>43875.92905092593</v>
      </c>
      <c r="B22113" t="str">
        <f>HYPERLINK("https://twitter.com/fanialsa","@fanialsa")</f>
        <v>@fanialsa</v>
      </c>
      <c r="C22113" t="s">
        <v>2444</v>
      </c>
      <c r="D22113">
        <v>2979</v>
      </c>
      <c r="E22113">
        <v>0</v>
      </c>
      <c r="F22113">
        <v>522</v>
      </c>
    </row>
    <row r="22114" spans="1:6" ht="12.75">
      <c r="A22114" s="2">
        <v>43875.928946759261</v>
      </c>
      <c r="B22114" t="str">
        <f>HYPERLINK("https://twitter.com/gst2005","@gst2005")</f>
        <v>@gst2005</v>
      </c>
      <c r="C22114" t="s">
        <v>10613</v>
      </c>
      <c r="D22114">
        <v>0</v>
      </c>
      <c r="E22114">
        <v>0</v>
      </c>
      <c r="F22114">
        <v>32</v>
      </c>
    </row>
    <row r="22115" spans="1:6" ht="12.75">
      <c r="A22115" s="2">
        <v>43875.928912037038</v>
      </c>
      <c r="B22115" t="str">
        <f>HYPERLINK("https://twitter.com/arifdansetiawan","@arifdansetiawan")</f>
        <v>@arifdansetiawan</v>
      </c>
      <c r="C22115" t="s">
        <v>2963</v>
      </c>
      <c r="D22115">
        <v>1161</v>
      </c>
      <c r="E22115">
        <v>0</v>
      </c>
      <c r="F22115">
        <v>196</v>
      </c>
    </row>
    <row r="22116" spans="1:6" ht="12.75">
      <c r="A22116" s="2">
        <v>43875.928888888884</v>
      </c>
      <c r="B22116" t="str">
        <f>HYPERLINK("https://twitter.com/duckisbebew","@duckisbebew")</f>
        <v>@duckisbebew</v>
      </c>
      <c r="C22116" t="s">
        <v>2444</v>
      </c>
      <c r="D22116">
        <v>2979</v>
      </c>
      <c r="E22116">
        <v>0</v>
      </c>
      <c r="F22116">
        <v>370</v>
      </c>
    </row>
    <row r="22117" spans="1:6" ht="12.75">
      <c r="A22117" s="2">
        <v>43875.928749999999</v>
      </c>
      <c r="B22117" t="str">
        <f>HYPERLINK("https://twitter.com/imtarii","@imtarii")</f>
        <v>@imtarii</v>
      </c>
      <c r="C22117" t="s">
        <v>5168</v>
      </c>
      <c r="D22117">
        <v>1119</v>
      </c>
      <c r="E22117">
        <v>0</v>
      </c>
      <c r="F22117">
        <v>785</v>
      </c>
    </row>
    <row r="22118" spans="1:6" ht="12.75">
      <c r="A22118" s="2">
        <v>43875.928726851853</v>
      </c>
      <c r="B22118" t="str">
        <f>HYPERLINK("https://twitter.com/arkansasfa","@arkansasfa")</f>
        <v>@arkansasfa</v>
      </c>
      <c r="C22118" t="s">
        <v>2444</v>
      </c>
      <c r="D22118">
        <v>2979</v>
      </c>
      <c r="E22118">
        <v>0</v>
      </c>
      <c r="F22118">
        <v>279</v>
      </c>
    </row>
    <row r="22119" spans="1:6" ht="12.75">
      <c r="A22119" s="2">
        <v>43875.928668981476</v>
      </c>
      <c r="B22119" t="str">
        <f>HYPERLINK("https://twitter.com/pinkeucloud","@pinkeucloud")</f>
        <v>@pinkeucloud</v>
      </c>
      <c r="C22119" t="s">
        <v>2444</v>
      </c>
      <c r="D22119">
        <v>2979</v>
      </c>
      <c r="E22119">
        <v>0</v>
      </c>
      <c r="F22119">
        <v>296</v>
      </c>
    </row>
    <row r="22120" spans="1:6" ht="12.75">
      <c r="A22120" s="2">
        <v>43875.928553240738</v>
      </c>
      <c r="B22120" t="str">
        <f>HYPERLINK("https://twitter.com/DianSalam2","@DianSalam2")</f>
        <v>@DianSalam2</v>
      </c>
      <c r="C22120" t="s">
        <v>2963</v>
      </c>
      <c r="D22120">
        <v>1161</v>
      </c>
      <c r="E22120">
        <v>0</v>
      </c>
      <c r="F22120">
        <v>2</v>
      </c>
    </row>
    <row r="22121" spans="1:6" ht="12.75">
      <c r="A22121" s="2">
        <v>43875.928460648152</v>
      </c>
      <c r="B22121" t="str">
        <f>HYPERLINK("https://twitter.com/kyoorinn","@kyoorinn")</f>
        <v>@kyoorinn</v>
      </c>
      <c r="C22121" t="s">
        <v>5168</v>
      </c>
      <c r="D22121">
        <v>1119</v>
      </c>
      <c r="E22121">
        <v>0</v>
      </c>
      <c r="F22121">
        <v>1078</v>
      </c>
    </row>
    <row r="22122" spans="1:6" ht="12.75">
      <c r="A22122" s="2">
        <v>43875.928449074076</v>
      </c>
      <c r="B22122" t="str">
        <f>HYPERLINK("https://twitter.com/RandallJacky","@RandallJacky")</f>
        <v>@RandallJacky</v>
      </c>
      <c r="C22122" t="s">
        <v>3150</v>
      </c>
      <c r="D22122">
        <v>23</v>
      </c>
      <c r="E22122">
        <v>0</v>
      </c>
      <c r="F22122">
        <v>517</v>
      </c>
    </row>
    <row r="22123" spans="1:6" ht="12.75">
      <c r="A22123" s="2">
        <v>43875.928425925929</v>
      </c>
      <c r="B22123" t="str">
        <f>HYPERLINK("https://twitter.com/geeeofanyz","@geeeofanyz")</f>
        <v>@geeeofanyz</v>
      </c>
      <c r="C22123" t="s">
        <v>5168</v>
      </c>
      <c r="D22123">
        <v>1119</v>
      </c>
      <c r="E22123">
        <v>0</v>
      </c>
      <c r="F22123">
        <v>839</v>
      </c>
    </row>
    <row r="22124" spans="1:6" ht="12.75">
      <c r="A22124" s="2">
        <v>43875.928402777776</v>
      </c>
      <c r="B22124" t="str">
        <f>HYPERLINK("https://twitter.com/ordainedsins","@ordainedsins")</f>
        <v>@ordainedsins</v>
      </c>
      <c r="C22124" t="s">
        <v>5168</v>
      </c>
      <c r="D22124">
        <v>1119</v>
      </c>
      <c r="E22124">
        <v>0</v>
      </c>
      <c r="F22124">
        <v>237</v>
      </c>
    </row>
    <row r="22125" spans="1:6" ht="12.75">
      <c r="A22125" s="2">
        <v>43875.92833333333</v>
      </c>
      <c r="B22125" t="str">
        <f>HYPERLINK("https://twitter.com/resiameesa","@resiameesa")</f>
        <v>@resiameesa</v>
      </c>
      <c r="C22125" t="s">
        <v>2444</v>
      </c>
      <c r="D22125">
        <v>2979</v>
      </c>
      <c r="E22125">
        <v>0</v>
      </c>
      <c r="F22125">
        <v>557</v>
      </c>
    </row>
    <row r="22126" spans="1:6" ht="12.75">
      <c r="A22126" s="2">
        <v>43875.928206018521</v>
      </c>
      <c r="B22126" t="str">
        <f>HYPERLINK("https://twitter.com/adis_pangestu","@adis_pangestu")</f>
        <v>@adis_pangestu</v>
      </c>
      <c r="C22126" t="s">
        <v>2444</v>
      </c>
      <c r="D22126">
        <v>2979</v>
      </c>
      <c r="E22126">
        <v>0</v>
      </c>
      <c r="F22126">
        <v>380</v>
      </c>
    </row>
    <row r="22127" spans="1:6" ht="12.75">
      <c r="A22127" s="2">
        <v>43875.928194444445</v>
      </c>
      <c r="B22127" t="str">
        <f>HYPERLINK("https://twitter.com/baldhet1","@baldhet1")</f>
        <v>@baldhet1</v>
      </c>
      <c r="C22127" t="s">
        <v>2134</v>
      </c>
      <c r="D22127">
        <v>986</v>
      </c>
      <c r="E22127">
        <v>0</v>
      </c>
      <c r="F22127">
        <v>273</v>
      </c>
    </row>
    <row r="22128" spans="1:6" ht="12.75">
      <c r="A22128" s="2">
        <v>43875.928194444445</v>
      </c>
      <c r="B22128" t="str">
        <f>HYPERLINK("https://twitter.com/Yudawibowo19","@Yudawibowo19")</f>
        <v>@Yudawibowo19</v>
      </c>
      <c r="C22128" t="s">
        <v>10614</v>
      </c>
      <c r="D22128">
        <v>0</v>
      </c>
      <c r="E22128">
        <v>0</v>
      </c>
      <c r="F22128">
        <v>37</v>
      </c>
    </row>
    <row r="22129" spans="1:6" ht="12.75">
      <c r="A22129" s="2">
        <v>43875.928171296298</v>
      </c>
      <c r="B22129" t="str">
        <f>HYPERLINK("https://twitter.com/candramrvl","@candramrvl")</f>
        <v>@candramrvl</v>
      </c>
      <c r="C22129" t="s">
        <v>2963</v>
      </c>
      <c r="D22129">
        <v>1161</v>
      </c>
      <c r="E22129">
        <v>0</v>
      </c>
      <c r="F22129">
        <v>1009</v>
      </c>
    </row>
    <row r="22130" spans="1:6" ht="12.75">
      <c r="A22130" s="2">
        <v>43875.928148148145</v>
      </c>
      <c r="B22130" t="str">
        <f>HYPERLINK("https://twitter.com/sat_1312","@sat_1312")</f>
        <v>@sat_1312</v>
      </c>
      <c r="C22130" t="s">
        <v>2444</v>
      </c>
      <c r="D22130">
        <v>2979</v>
      </c>
      <c r="E22130">
        <v>0</v>
      </c>
      <c r="F22130">
        <v>242</v>
      </c>
    </row>
    <row r="22131" spans="1:6" ht="12.75">
      <c r="A22131" s="2">
        <v>43875.928090277783</v>
      </c>
      <c r="B22131" t="str">
        <f>HYPERLINK("https://twitter.com/AyiIsmail4","@AyiIsmail4")</f>
        <v>@AyiIsmail4</v>
      </c>
      <c r="C22131" t="s">
        <v>8754</v>
      </c>
      <c r="D22131">
        <v>8</v>
      </c>
      <c r="E22131">
        <v>0</v>
      </c>
      <c r="F22131">
        <v>1066</v>
      </c>
    </row>
    <row r="22132" spans="1:6" ht="12.75">
      <c r="A22132" s="2">
        <v>43875.928032407406</v>
      </c>
      <c r="B22132" t="str">
        <f>HYPERLINK("https://twitter.com/seruanhl","@seruanhl")</f>
        <v>@seruanhl</v>
      </c>
      <c r="C22132" t="s">
        <v>10114</v>
      </c>
      <c r="D22132">
        <v>18</v>
      </c>
      <c r="E22132">
        <v>0</v>
      </c>
      <c r="F22132">
        <v>12039</v>
      </c>
    </row>
    <row r="22133" spans="1:6" ht="12.75">
      <c r="A22133" s="2">
        <v>43875.927974537037</v>
      </c>
      <c r="B22133" t="str">
        <f>HYPERLINK("https://twitter.com/Zero_Onesix","@Zero_Onesix")</f>
        <v>@Zero_Onesix</v>
      </c>
      <c r="C22133" t="s">
        <v>9746</v>
      </c>
      <c r="D22133">
        <v>390</v>
      </c>
      <c r="E22133">
        <v>0</v>
      </c>
      <c r="F22133">
        <v>313</v>
      </c>
    </row>
    <row r="22134" spans="1:6" ht="12.75">
      <c r="A22134" s="2">
        <v>43875.927916666667</v>
      </c>
      <c r="B22134" t="str">
        <f>HYPERLINK("https://twitter.com/gutemada","@gutemada")</f>
        <v>@gutemada</v>
      </c>
      <c r="C22134" t="s">
        <v>5168</v>
      </c>
      <c r="D22134">
        <v>1119</v>
      </c>
      <c r="E22134">
        <v>0</v>
      </c>
      <c r="F22134">
        <v>194</v>
      </c>
    </row>
    <row r="22135" spans="1:6" ht="12.75">
      <c r="A22135" s="2">
        <v>43875.927835648152</v>
      </c>
      <c r="B22135" t="str">
        <f>HYPERLINK("https://twitter.com/KompasTV","@KompasTV")</f>
        <v>@KompasTV</v>
      </c>
      <c r="C22135" t="s">
        <v>10615</v>
      </c>
      <c r="D22135">
        <v>1</v>
      </c>
      <c r="E22135">
        <v>2</v>
      </c>
      <c r="F22135">
        <v>2941314</v>
      </c>
    </row>
    <row r="22136" spans="1:6" ht="12.75">
      <c r="A22136" s="2">
        <v>43875.927824074075</v>
      </c>
      <c r="B22136" t="str">
        <f>HYPERLINK("https://twitter.com/meldhyrr","@meldhyrr")</f>
        <v>@meldhyrr</v>
      </c>
      <c r="C22136" t="s">
        <v>2444</v>
      </c>
      <c r="D22136">
        <v>2979</v>
      </c>
      <c r="E22136">
        <v>0</v>
      </c>
      <c r="F22136">
        <v>637</v>
      </c>
    </row>
    <row r="22137" spans="1:6" ht="12.75">
      <c r="A22137" s="2">
        <v>43875.927812499998</v>
      </c>
      <c r="B22137" t="str">
        <f>HYPERLINK("https://twitter.com/fcutomo","@fcutomo")</f>
        <v>@fcutomo</v>
      </c>
      <c r="C22137" t="s">
        <v>2444</v>
      </c>
      <c r="D22137">
        <v>2979</v>
      </c>
      <c r="E22137">
        <v>0</v>
      </c>
      <c r="F22137">
        <v>210</v>
      </c>
    </row>
    <row r="22138" spans="1:6" ht="12.75">
      <c r="A22138" s="2">
        <v>43875.927719907406</v>
      </c>
      <c r="B22138" t="str">
        <f>HYPERLINK("https://twitter.com/hemaviton99","@hemaviton99")</f>
        <v>@hemaviton99</v>
      </c>
      <c r="C22138" t="s">
        <v>10526</v>
      </c>
      <c r="D22138">
        <v>146</v>
      </c>
      <c r="E22138">
        <v>0</v>
      </c>
      <c r="F22138">
        <v>3568</v>
      </c>
    </row>
    <row r="22139" spans="1:6" ht="12.75">
      <c r="A22139" s="2">
        <v>43875.92768518519</v>
      </c>
      <c r="B22139" t="str">
        <f>HYPERLINK("https://twitter.com/wahyupuji197","@wahyupuji197")</f>
        <v>@wahyupuji197</v>
      </c>
      <c r="C22139" t="s">
        <v>5168</v>
      </c>
      <c r="D22139">
        <v>1119</v>
      </c>
      <c r="E22139">
        <v>0</v>
      </c>
      <c r="F22139">
        <v>582</v>
      </c>
    </row>
    <row r="22140" spans="1:6" ht="12.75">
      <c r="A22140" s="2">
        <v>43875.927673611106</v>
      </c>
      <c r="B22140" t="str">
        <f>HYPERLINK("https://twitter.com/Dhan61152962","@Dhan61152962")</f>
        <v>@Dhan61152962</v>
      </c>
      <c r="C22140" t="s">
        <v>10616</v>
      </c>
      <c r="D22140">
        <v>5</v>
      </c>
      <c r="E22140">
        <v>0</v>
      </c>
      <c r="F22140">
        <v>332</v>
      </c>
    </row>
    <row r="22141" spans="1:6" ht="12.75">
      <c r="A22141" s="2">
        <v>43875.927627314813</v>
      </c>
      <c r="B22141" t="str">
        <f>HYPERLINK("https://twitter.com/Mordechai1972","@Mordechai1972")</f>
        <v>@Mordechai1972</v>
      </c>
      <c r="C22141" t="s">
        <v>10422</v>
      </c>
      <c r="D22141">
        <v>117</v>
      </c>
      <c r="E22141">
        <v>0</v>
      </c>
      <c r="F22141">
        <v>57</v>
      </c>
    </row>
    <row r="22142" spans="1:6" ht="12.75">
      <c r="A22142" s="2">
        <v>43875.927581018521</v>
      </c>
      <c r="B22142" t="str">
        <f>HYPERLINK("https://twitter.com/KevinPerwira007","@KevinPerwira007")</f>
        <v>@KevinPerwira007</v>
      </c>
      <c r="C22142" t="s">
        <v>9746</v>
      </c>
      <c r="D22142">
        <v>390</v>
      </c>
      <c r="E22142">
        <v>0</v>
      </c>
      <c r="F22142">
        <v>883</v>
      </c>
    </row>
    <row r="22143" spans="1:6" ht="12.75">
      <c r="A22143" s="2">
        <v>43875.927581018521</v>
      </c>
      <c r="B22143" t="str">
        <f>HYPERLINK("https://twitter.com/Dagdigduq","@Dagdigduq")</f>
        <v>@Dagdigduq</v>
      </c>
      <c r="C22143" t="s">
        <v>5761</v>
      </c>
      <c r="D22143">
        <v>85</v>
      </c>
      <c r="E22143">
        <v>0</v>
      </c>
      <c r="F22143">
        <v>1356</v>
      </c>
    </row>
    <row r="22144" spans="1:6" ht="12.75">
      <c r="A22144" s="2">
        <v>43875.927581018521</v>
      </c>
      <c r="B22144" t="str">
        <f>HYPERLINK("https://twitter.com/Lia_ratih","@Lia_ratih")</f>
        <v>@Lia_ratih</v>
      </c>
      <c r="C22144" t="s">
        <v>10617</v>
      </c>
      <c r="D22144">
        <v>0</v>
      </c>
      <c r="E22144">
        <v>0</v>
      </c>
      <c r="F22144">
        <v>50</v>
      </c>
    </row>
    <row r="22145" spans="1:6" ht="12.75">
      <c r="A22145" s="2">
        <v>43875.927557870367</v>
      </c>
      <c r="B22145" t="str">
        <f>HYPERLINK("https://twitter.com/rahmandahakim","@rahmandahakim")</f>
        <v>@rahmandahakim</v>
      </c>
      <c r="C22145" t="s">
        <v>5168</v>
      </c>
      <c r="D22145">
        <v>1119</v>
      </c>
      <c r="E22145">
        <v>0</v>
      </c>
      <c r="F22145">
        <v>655</v>
      </c>
    </row>
    <row r="22146" spans="1:6" ht="12.75">
      <c r="A22146" s="2">
        <v>43875.927488425921</v>
      </c>
      <c r="B22146" t="str">
        <f>HYPERLINK("https://twitter.com/telorgulungkuu","@telorgulungkuu")</f>
        <v>@telorgulungkuu</v>
      </c>
      <c r="C22146" t="s">
        <v>8233</v>
      </c>
      <c r="D22146">
        <v>520</v>
      </c>
      <c r="E22146">
        <v>0</v>
      </c>
      <c r="F22146">
        <v>778</v>
      </c>
    </row>
    <row r="22147" spans="1:6" ht="12.75">
      <c r="A22147" s="2">
        <v>43875.927465277782</v>
      </c>
      <c r="B22147" t="str">
        <f>HYPERLINK("https://twitter.com/Rozalina143","@Rozalina143")</f>
        <v>@Rozalina143</v>
      </c>
      <c r="C22147" t="s">
        <v>2444</v>
      </c>
      <c r="D22147">
        <v>2979</v>
      </c>
      <c r="E22147">
        <v>0</v>
      </c>
      <c r="F22147">
        <v>38</v>
      </c>
    </row>
    <row r="22148" spans="1:6" ht="12.75">
      <c r="A22148" s="2">
        <v>43875.927372685182</v>
      </c>
      <c r="B22148" t="str">
        <f>HYPERLINK("https://twitter.com/kiikiiboyy","@kiikiiboyy")</f>
        <v>@kiikiiboyy</v>
      </c>
      <c r="C22148" t="s">
        <v>5168</v>
      </c>
      <c r="D22148">
        <v>1119</v>
      </c>
      <c r="E22148">
        <v>0</v>
      </c>
      <c r="F22148">
        <v>1110</v>
      </c>
    </row>
    <row r="22149" spans="1:6" ht="12.75">
      <c r="A22149" s="2">
        <v>43875.927245370374</v>
      </c>
      <c r="B22149" t="str">
        <f>HYPERLINK("https://twitter.com/edithzafirah","@edithzafirah")</f>
        <v>@edithzafirah</v>
      </c>
      <c r="C22149" t="s">
        <v>7478</v>
      </c>
      <c r="D22149">
        <v>426</v>
      </c>
      <c r="E22149">
        <v>0</v>
      </c>
      <c r="F22149">
        <v>299</v>
      </c>
    </row>
    <row r="22150" spans="1:6" ht="12.75">
      <c r="A22150" s="2">
        <v>43875.927060185189</v>
      </c>
      <c r="B22150" t="str">
        <f>HYPERLINK("https://twitter.com/rocknrolla1945","@rocknrolla1945")</f>
        <v>@rocknrolla1945</v>
      </c>
      <c r="C22150" t="s">
        <v>10618</v>
      </c>
      <c r="D22150">
        <v>0</v>
      </c>
      <c r="E22150">
        <v>0</v>
      </c>
      <c r="F22150">
        <v>0</v>
      </c>
    </row>
    <row r="22151" spans="1:6" ht="12.75">
      <c r="A22151" s="2">
        <v>43875.926979166667</v>
      </c>
      <c r="B22151" t="str">
        <f>HYPERLINK("https://twitter.com/wreckshades","@wreckshades")</f>
        <v>@wreckshades</v>
      </c>
      <c r="C22151" t="s">
        <v>5168</v>
      </c>
      <c r="D22151">
        <v>1119</v>
      </c>
      <c r="E22151">
        <v>0</v>
      </c>
      <c r="F22151">
        <v>86</v>
      </c>
    </row>
    <row r="22152" spans="1:6" ht="12.75">
      <c r="A22152" s="2">
        <v>43875.92695601852</v>
      </c>
      <c r="B22152" t="str">
        <f>HYPERLINK("https://twitter.com/togaism","@togaism")</f>
        <v>@togaism</v>
      </c>
      <c r="C22152" t="s">
        <v>9964</v>
      </c>
      <c r="D22152">
        <v>644</v>
      </c>
      <c r="E22152">
        <v>0</v>
      </c>
      <c r="F22152">
        <v>299</v>
      </c>
    </row>
    <row r="22153" spans="1:6" ht="12.75">
      <c r="A22153" s="2">
        <v>43875.926886574074</v>
      </c>
      <c r="B22153" t="str">
        <f>HYPERLINK("https://twitter.com/ibnukowalski","@ibnukowalski")</f>
        <v>@ibnukowalski</v>
      </c>
      <c r="C22153" t="s">
        <v>5168</v>
      </c>
      <c r="D22153">
        <v>1119</v>
      </c>
      <c r="E22153">
        <v>0</v>
      </c>
      <c r="F22153">
        <v>433</v>
      </c>
    </row>
    <row r="22154" spans="1:6" ht="12.75">
      <c r="A22154" s="2">
        <v>43875.926875000005</v>
      </c>
      <c r="B22154" t="str">
        <f>HYPERLINK("https://twitter.com/sigitwid","@sigitwid")</f>
        <v>@sigitwid</v>
      </c>
      <c r="C22154" t="s">
        <v>10619</v>
      </c>
      <c r="D22154">
        <v>1</v>
      </c>
      <c r="E22154">
        <v>0</v>
      </c>
      <c r="F22154">
        <v>7939</v>
      </c>
    </row>
    <row r="22155" spans="1:6" ht="12.75">
      <c r="A22155" s="2">
        <v>43875.926840277782</v>
      </c>
      <c r="B22155" t="str">
        <f>HYPERLINK("https://twitter.com/dermiand","@dermiand")</f>
        <v>@dermiand</v>
      </c>
      <c r="C22155" t="s">
        <v>2444</v>
      </c>
      <c r="D22155">
        <v>2979</v>
      </c>
      <c r="E22155">
        <v>0</v>
      </c>
      <c r="F22155">
        <v>229</v>
      </c>
    </row>
    <row r="22156" spans="1:6" ht="12.75">
      <c r="A22156" s="2">
        <v>43875.926620370374</v>
      </c>
      <c r="B22156" t="str">
        <f>HYPERLINK("https://twitter.com/Paman_Gembul1","@Paman_Gembul1")</f>
        <v>@Paman_Gembul1</v>
      </c>
      <c r="C22156" t="s">
        <v>10620</v>
      </c>
      <c r="D22156">
        <v>0</v>
      </c>
      <c r="E22156">
        <v>0</v>
      </c>
      <c r="F22156">
        <v>1140</v>
      </c>
    </row>
    <row r="22157" spans="1:6" ht="12.75">
      <c r="A22157" s="2">
        <v>43875.926608796297</v>
      </c>
      <c r="B22157" t="str">
        <f>HYPERLINK("https://twitter.com/mollinaraga","@mollinaraga")</f>
        <v>@mollinaraga</v>
      </c>
      <c r="C22157" t="s">
        <v>2444</v>
      </c>
      <c r="D22157">
        <v>2979</v>
      </c>
      <c r="E22157">
        <v>0</v>
      </c>
      <c r="F22157">
        <v>297</v>
      </c>
    </row>
    <row r="22158" spans="1:6" ht="12.75">
      <c r="A22158" s="2">
        <v>43875.926574074074</v>
      </c>
      <c r="B22158" t="str">
        <f>HYPERLINK("https://twitter.com/shineyoourDae","@shineyoourDae")</f>
        <v>@shineyoourDae</v>
      </c>
      <c r="C22158" t="s">
        <v>2444</v>
      </c>
      <c r="D22158">
        <v>2979</v>
      </c>
      <c r="E22158">
        <v>0</v>
      </c>
      <c r="F22158">
        <v>1248</v>
      </c>
    </row>
    <row r="22159" spans="1:6" ht="12.75">
      <c r="A22159" s="2">
        <v>43875.926539351851</v>
      </c>
      <c r="B22159" t="str">
        <f>HYPERLINK("https://twitter.com/KunstArt0101","@KunstArt0101")</f>
        <v>@KunstArt0101</v>
      </c>
      <c r="C22159" t="s">
        <v>2444</v>
      </c>
      <c r="D22159">
        <v>2979</v>
      </c>
      <c r="E22159">
        <v>0</v>
      </c>
      <c r="F22159">
        <v>450</v>
      </c>
    </row>
    <row r="22160" spans="1:6" ht="12.75">
      <c r="A22160" s="2">
        <v>43875.926423611112</v>
      </c>
      <c r="B22160" t="str">
        <f>HYPERLINK("https://twitter.com/nurull_af","@nurull_af")</f>
        <v>@nurull_af</v>
      </c>
      <c r="C22160" t="s">
        <v>10621</v>
      </c>
      <c r="D22160">
        <v>0</v>
      </c>
      <c r="E22160">
        <v>0</v>
      </c>
      <c r="F22160">
        <v>239</v>
      </c>
    </row>
    <row r="22161" spans="1:6" ht="12.75">
      <c r="A22161" s="2">
        <v>43875.926423611112</v>
      </c>
      <c r="B22161" t="str">
        <f>HYPERLINK("https://twitter.com/enpeoke1","@enpeoke1")</f>
        <v>@enpeoke1</v>
      </c>
      <c r="C22161" t="s">
        <v>10622</v>
      </c>
      <c r="D22161">
        <v>0</v>
      </c>
      <c r="E22161">
        <v>0</v>
      </c>
      <c r="F22161">
        <v>1</v>
      </c>
    </row>
    <row r="22162" spans="1:6" ht="12.75">
      <c r="A22162" s="2">
        <v>43875.926377314812</v>
      </c>
      <c r="B22162" t="str">
        <f>HYPERLINK("https://twitter.com/araamh_","@araamh_")</f>
        <v>@araamh_</v>
      </c>
      <c r="C22162" t="s">
        <v>10623</v>
      </c>
      <c r="D22162">
        <v>0</v>
      </c>
      <c r="E22162">
        <v>0</v>
      </c>
      <c r="F22162">
        <v>404</v>
      </c>
    </row>
    <row r="22163" spans="1:6" ht="12.75">
      <c r="A22163" s="2">
        <v>43875.926284722227</v>
      </c>
      <c r="B22163" t="str">
        <f>HYPERLINK("https://twitter.com/KunstArt0101","@KunstArt0101")</f>
        <v>@KunstArt0101</v>
      </c>
      <c r="C22163" t="s">
        <v>5168</v>
      </c>
      <c r="D22163">
        <v>1119</v>
      </c>
      <c r="E22163">
        <v>0</v>
      </c>
      <c r="F22163">
        <v>450</v>
      </c>
    </row>
    <row r="22164" spans="1:6" ht="12.75">
      <c r="A22164" s="2">
        <v>43875.926273148143</v>
      </c>
      <c r="B22164" t="str">
        <f>HYPERLINK("https://twitter.com/MinkaShodiq","@MinkaShodiq")</f>
        <v>@MinkaShodiq</v>
      </c>
      <c r="C22164" t="s">
        <v>10142</v>
      </c>
      <c r="D22164">
        <v>6</v>
      </c>
      <c r="E22164">
        <v>0</v>
      </c>
      <c r="F22164">
        <v>1123</v>
      </c>
    </row>
    <row r="22165" spans="1:6" ht="12.75">
      <c r="A22165" s="2">
        <v>43875.926273148143</v>
      </c>
      <c r="B22165" t="str">
        <f>HYPERLINK("https://twitter.com/mukaantagonis","@mukaantagonis")</f>
        <v>@mukaantagonis</v>
      </c>
      <c r="C22165" t="s">
        <v>2444</v>
      </c>
      <c r="D22165">
        <v>2979</v>
      </c>
      <c r="E22165">
        <v>0</v>
      </c>
      <c r="F22165">
        <v>541</v>
      </c>
    </row>
    <row r="22166" spans="1:6" ht="12.75">
      <c r="A22166" s="2">
        <v>43875.926273148143</v>
      </c>
      <c r="B22166" t="str">
        <f>HYPERLINK("https://twitter.com/flownyzk","@flownyzk")</f>
        <v>@flownyzk</v>
      </c>
      <c r="C22166" t="s">
        <v>5168</v>
      </c>
      <c r="D22166">
        <v>1119</v>
      </c>
      <c r="E22166">
        <v>0</v>
      </c>
      <c r="F22166">
        <v>374</v>
      </c>
    </row>
    <row r="22167" spans="1:6" ht="12.75">
      <c r="A22167" s="2">
        <v>43875.926018518519</v>
      </c>
      <c r="B22167" t="str">
        <f>HYPERLINK("https://twitter.com/gilanggambuang","@gilanggambuang")</f>
        <v>@gilanggambuang</v>
      </c>
      <c r="C22167" t="s">
        <v>10624</v>
      </c>
      <c r="D22167">
        <v>1</v>
      </c>
      <c r="E22167">
        <v>0</v>
      </c>
      <c r="F22167">
        <v>114</v>
      </c>
    </row>
    <row r="22168" spans="1:6" ht="12.75">
      <c r="A22168" s="2">
        <v>43875.92596064815</v>
      </c>
      <c r="B22168" t="str">
        <f>HYPERLINK("https://twitter.com/sagittariyours","@sagittariyours")</f>
        <v>@sagittariyours</v>
      </c>
      <c r="C22168" t="s">
        <v>2444</v>
      </c>
      <c r="D22168">
        <v>2979</v>
      </c>
      <c r="E22168">
        <v>0</v>
      </c>
      <c r="F22168">
        <v>3027</v>
      </c>
    </row>
    <row r="22169" spans="1:6" ht="12.75">
      <c r="A22169" s="2">
        <v>43875.925891203704</v>
      </c>
      <c r="B22169" t="str">
        <f>HYPERLINK("https://twitter.com/valencia_amara","@valencia_amara")</f>
        <v>@valencia_amara</v>
      </c>
      <c r="C22169" t="s">
        <v>10114</v>
      </c>
      <c r="D22169">
        <v>18</v>
      </c>
      <c r="E22169">
        <v>0</v>
      </c>
      <c r="F22169">
        <v>4855</v>
      </c>
    </row>
    <row r="22170" spans="1:6" ht="12.75">
      <c r="A22170" s="2">
        <v>43875.925763888888</v>
      </c>
      <c r="B22170" t="str">
        <f>HYPERLINK("https://twitter.com/DatuakAtuk","@DatuakAtuk")</f>
        <v>@DatuakAtuk</v>
      </c>
      <c r="C22170" t="s">
        <v>10625</v>
      </c>
      <c r="D22170">
        <v>0</v>
      </c>
      <c r="E22170">
        <v>1</v>
      </c>
      <c r="F22170">
        <v>649</v>
      </c>
    </row>
    <row r="22171" spans="1:6" ht="12.75">
      <c r="A22171" s="2">
        <v>43875.925729166665</v>
      </c>
      <c r="B22171" t="str">
        <f>HYPERLINK("https://twitter.com/kompascom","@kompascom")</f>
        <v>@kompascom</v>
      </c>
      <c r="C22171" t="s">
        <v>10626</v>
      </c>
      <c r="D22171">
        <v>2</v>
      </c>
      <c r="E22171">
        <v>3</v>
      </c>
      <c r="F22171">
        <v>7497758</v>
      </c>
    </row>
    <row r="22172" spans="1:6" ht="12.75">
      <c r="A22172" s="2">
        <v>43875.92569444445</v>
      </c>
      <c r="B22172" t="str">
        <f>HYPERLINK("https://twitter.com/ISIS_Balik_NO","@ISIS_Balik_NO")</f>
        <v>@ISIS_Balik_NO</v>
      </c>
      <c r="C22172" t="s">
        <v>10627</v>
      </c>
      <c r="D22172">
        <v>0</v>
      </c>
      <c r="E22172">
        <v>0</v>
      </c>
      <c r="F22172">
        <v>5911</v>
      </c>
    </row>
    <row r="22173" spans="1:6" ht="12.75">
      <c r="A22173" s="2">
        <v>43875.92564814815</v>
      </c>
      <c r="B22173" t="str">
        <f>HYPERLINK("https://twitter.com/hernawanp_","@hernawanp_")</f>
        <v>@hernawanp_</v>
      </c>
      <c r="C22173" t="s">
        <v>10628</v>
      </c>
      <c r="D22173">
        <v>0</v>
      </c>
      <c r="E22173">
        <v>0</v>
      </c>
      <c r="F22173">
        <v>640</v>
      </c>
    </row>
    <row r="22174" spans="1:6" ht="12.75">
      <c r="A22174" s="2">
        <v>43875.925636574073</v>
      </c>
      <c r="B22174" t="str">
        <f>HYPERLINK("https://twitter.com/rusydinat","@rusydinat")</f>
        <v>@rusydinat</v>
      </c>
      <c r="C22174" t="s">
        <v>2444</v>
      </c>
      <c r="D22174">
        <v>2979</v>
      </c>
      <c r="E22174">
        <v>0</v>
      </c>
      <c r="F22174">
        <v>1486</v>
      </c>
    </row>
    <row r="22175" spans="1:6" ht="12.75">
      <c r="A22175" s="2">
        <v>43875.925613425927</v>
      </c>
      <c r="B22175" t="str">
        <f>HYPERLINK("https://twitter.com/pendividia","@pendividia")</f>
        <v>@pendividia</v>
      </c>
      <c r="C22175" t="s">
        <v>10422</v>
      </c>
      <c r="D22175">
        <v>117</v>
      </c>
      <c r="E22175">
        <v>0</v>
      </c>
      <c r="F22175">
        <v>563</v>
      </c>
    </row>
    <row r="22176" spans="1:6" ht="12.75">
      <c r="A22176" s="2">
        <v>43875.92560185185</v>
      </c>
      <c r="B22176" t="str">
        <f>HYPERLINK("https://twitter.com/EBRoestono","@EBRoestono")</f>
        <v>@EBRoestono</v>
      </c>
      <c r="C22176" t="s">
        <v>7478</v>
      </c>
      <c r="D22176">
        <v>426</v>
      </c>
      <c r="E22176">
        <v>0</v>
      </c>
      <c r="F22176">
        <v>733</v>
      </c>
    </row>
    <row r="22177" spans="1:6" ht="12.75">
      <c r="A22177" s="2">
        <v>43875.925543981481</v>
      </c>
      <c r="B22177" t="str">
        <f>HYPERLINK("https://twitter.com/m_rahantan","@m_rahantan")</f>
        <v>@m_rahantan</v>
      </c>
      <c r="C22177" t="s">
        <v>10629</v>
      </c>
      <c r="D22177">
        <v>0</v>
      </c>
      <c r="E22177">
        <v>1</v>
      </c>
      <c r="F22177">
        <v>662</v>
      </c>
    </row>
    <row r="22178" spans="1:6" ht="12.75">
      <c r="A22178" s="2">
        <v>43875.925509259258</v>
      </c>
      <c r="B22178" t="str">
        <f>HYPERLINK("https://twitter.com/juriglagu","@juriglagu")</f>
        <v>@juriglagu</v>
      </c>
      <c r="C22178" t="s">
        <v>5168</v>
      </c>
      <c r="D22178">
        <v>1119</v>
      </c>
      <c r="E22178">
        <v>0</v>
      </c>
      <c r="F22178">
        <v>57481</v>
      </c>
    </row>
    <row r="22179" spans="1:6" ht="12.75">
      <c r="A22179" s="2">
        <v>43875.925439814819</v>
      </c>
      <c r="B22179" t="str">
        <f>HYPERLINK("https://twitter.com/dohbella","@dohbella")</f>
        <v>@dohbella</v>
      </c>
      <c r="C22179" t="s">
        <v>2444</v>
      </c>
      <c r="D22179">
        <v>2979</v>
      </c>
      <c r="E22179">
        <v>0</v>
      </c>
      <c r="F22179">
        <v>873</v>
      </c>
    </row>
    <row r="22180" spans="1:6" ht="12.75">
      <c r="A22180" s="2">
        <v>43875.925393518519</v>
      </c>
      <c r="B22180" t="str">
        <f>HYPERLINK("https://twitter.com/HamdaanLW825Ky","@HamdaanLW825Ky")</f>
        <v>@HamdaanLW825Ky</v>
      </c>
      <c r="C22180" t="s">
        <v>10057</v>
      </c>
      <c r="D22180">
        <v>11</v>
      </c>
      <c r="E22180">
        <v>0</v>
      </c>
      <c r="F22180">
        <v>3969</v>
      </c>
    </row>
    <row r="22181" spans="1:6" ht="12.75">
      <c r="A22181" s="2">
        <v>43875.925000000003</v>
      </c>
      <c r="B22181" t="str">
        <f>HYPERLINK("https://twitter.com/lampuphiliks","@lampuphiliks")</f>
        <v>@lampuphiliks</v>
      </c>
      <c r="C22181" t="s">
        <v>2444</v>
      </c>
      <c r="D22181">
        <v>2979</v>
      </c>
      <c r="E22181">
        <v>0</v>
      </c>
      <c r="F22181">
        <v>313</v>
      </c>
    </row>
    <row r="22182" spans="1:6" ht="12.75">
      <c r="A22182" s="2">
        <v>43875.924988425926</v>
      </c>
      <c r="B22182" t="str">
        <f>HYPERLINK("https://twitter.com/ErvineKiddies","@ErvineKiddies")</f>
        <v>@ErvineKiddies</v>
      </c>
      <c r="C22182" t="s">
        <v>10630</v>
      </c>
      <c r="D22182">
        <v>1</v>
      </c>
      <c r="E22182">
        <v>0</v>
      </c>
      <c r="F22182">
        <v>739</v>
      </c>
    </row>
    <row r="22183" spans="1:6" ht="12.75">
      <c r="A22183" s="2">
        <v>43875.924976851849</v>
      </c>
      <c r="B22183" t="str">
        <f>HYPERLINK("https://twitter.com/rxchntz","@rxchntz")</f>
        <v>@rxchntz</v>
      </c>
      <c r="C22183" t="s">
        <v>2444</v>
      </c>
      <c r="D22183">
        <v>2979</v>
      </c>
      <c r="E22183">
        <v>0</v>
      </c>
      <c r="F22183">
        <v>2110</v>
      </c>
    </row>
    <row r="22184" spans="1:6" ht="12.75">
      <c r="A22184" s="2">
        <v>43875.924942129626</v>
      </c>
      <c r="B22184" t="str">
        <f>HYPERLINK("https://twitter.com/ErvineKiddies","@ErvineKiddies")</f>
        <v>@ErvineKiddies</v>
      </c>
      <c r="C22184" t="s">
        <v>10631</v>
      </c>
      <c r="D22184">
        <v>0</v>
      </c>
      <c r="E22184">
        <v>2</v>
      </c>
      <c r="F22184">
        <v>739</v>
      </c>
    </row>
    <row r="22185" spans="1:6" ht="12.75">
      <c r="A22185" s="2">
        <v>43875.924907407403</v>
      </c>
      <c r="B22185" t="str">
        <f>HYPERLINK("https://twitter.com/SikumbangAprial","@SikumbangAprial")</f>
        <v>@SikumbangAprial</v>
      </c>
      <c r="C22185" t="s">
        <v>9746</v>
      </c>
      <c r="D22185">
        <v>390</v>
      </c>
      <c r="E22185">
        <v>0</v>
      </c>
      <c r="F22185">
        <v>75</v>
      </c>
    </row>
    <row r="22186" spans="1:6" ht="12.75">
      <c r="A22186" s="2">
        <v>43875.924861111111</v>
      </c>
      <c r="B22186" t="str">
        <f>HYPERLINK("https://twitter.com/Latu_saragih","@Latu_saragih")</f>
        <v>@Latu_saragih</v>
      </c>
      <c r="C22186" t="s">
        <v>2963</v>
      </c>
      <c r="D22186">
        <v>1161</v>
      </c>
      <c r="E22186">
        <v>0</v>
      </c>
      <c r="F22186">
        <v>28</v>
      </c>
    </row>
    <row r="22187" spans="1:6" ht="12.75">
      <c r="A22187" s="2">
        <v>43875.924803240741</v>
      </c>
      <c r="B22187" t="str">
        <f>HYPERLINK("https://twitter.com/medhotjanji","@medhotjanji")</f>
        <v>@medhotjanji</v>
      </c>
      <c r="C22187" t="s">
        <v>2444</v>
      </c>
      <c r="D22187">
        <v>2979</v>
      </c>
      <c r="E22187">
        <v>0</v>
      </c>
      <c r="F22187">
        <v>297</v>
      </c>
    </row>
    <row r="22188" spans="1:6" ht="12.75">
      <c r="A22188" s="2">
        <v>43875.924780092595</v>
      </c>
      <c r="B22188" t="str">
        <f>HYPERLINK("https://twitter.com/dhayapon","@dhayapon")</f>
        <v>@dhayapon</v>
      </c>
      <c r="C22188" t="s">
        <v>2444</v>
      </c>
      <c r="D22188">
        <v>2979</v>
      </c>
      <c r="E22188">
        <v>0</v>
      </c>
      <c r="F22188">
        <v>247</v>
      </c>
    </row>
    <row r="22189" spans="1:6" ht="12.75">
      <c r="A22189" s="2">
        <v>43875.924756944441</v>
      </c>
      <c r="B22189" t="str">
        <f>HYPERLINK("https://twitter.com/baebeejy","@baebeejy")</f>
        <v>@baebeejy</v>
      </c>
      <c r="C22189" t="s">
        <v>2444</v>
      </c>
      <c r="D22189">
        <v>2979</v>
      </c>
      <c r="E22189">
        <v>0</v>
      </c>
      <c r="F22189">
        <v>199</v>
      </c>
    </row>
    <row r="22190" spans="1:6" ht="12.75">
      <c r="A22190" s="2">
        <v>43875.924745370372</v>
      </c>
      <c r="B22190" t="str">
        <f>HYPERLINK("https://twitter.com/VChunkyAvocadoS","@VChunkyAvocadoS")</f>
        <v>@VChunkyAvocadoS</v>
      </c>
      <c r="C22190" t="s">
        <v>2963</v>
      </c>
      <c r="D22190">
        <v>1161</v>
      </c>
      <c r="E22190">
        <v>0</v>
      </c>
      <c r="F22190">
        <v>8</v>
      </c>
    </row>
    <row r="22191" spans="1:6" ht="12.75">
      <c r="A22191" s="2">
        <v>43875.924710648149</v>
      </c>
      <c r="B22191" t="str">
        <f>HYPERLINK("https://twitter.com/artibellassm","@artibellassm")</f>
        <v>@artibellassm</v>
      </c>
      <c r="C22191" t="s">
        <v>9964</v>
      </c>
      <c r="D22191">
        <v>644</v>
      </c>
      <c r="E22191">
        <v>0</v>
      </c>
      <c r="F22191">
        <v>667</v>
      </c>
    </row>
    <row r="22192" spans="1:6" ht="12.75">
      <c r="A22192" s="2">
        <v>43875.924629629633</v>
      </c>
      <c r="B22192" t="str">
        <f>HYPERLINK("https://twitter.com/GeoUI2012","@GeoUI2012")</f>
        <v>@GeoUI2012</v>
      </c>
      <c r="C22192" t="s">
        <v>2444</v>
      </c>
      <c r="D22192">
        <v>2979</v>
      </c>
      <c r="E22192">
        <v>0</v>
      </c>
      <c r="F22192">
        <v>181</v>
      </c>
    </row>
    <row r="22193" spans="1:6" ht="12.75">
      <c r="A22193" s="2">
        <v>43875.924618055556</v>
      </c>
      <c r="B22193" t="str">
        <f>HYPERLINK("https://twitter.com/bedhillboy","@bedhillboy")</f>
        <v>@bedhillboy</v>
      </c>
      <c r="C22193" t="s">
        <v>2444</v>
      </c>
      <c r="D22193">
        <v>2979</v>
      </c>
      <c r="E22193">
        <v>0</v>
      </c>
      <c r="F22193">
        <v>21</v>
      </c>
    </row>
    <row r="22194" spans="1:6" ht="12.75">
      <c r="A22194" s="2">
        <v>43875.92459490741</v>
      </c>
      <c r="B22194" t="str">
        <f>HYPERLINK("https://twitter.com/Shaaaarks_","@Shaaaarks_")</f>
        <v>@Shaaaarks_</v>
      </c>
      <c r="C22194" t="s">
        <v>2444</v>
      </c>
      <c r="D22194">
        <v>2979</v>
      </c>
      <c r="E22194">
        <v>0</v>
      </c>
      <c r="F22194">
        <v>455</v>
      </c>
    </row>
    <row r="22195" spans="1:6" ht="12.75">
      <c r="A22195" s="2">
        <v>43875.924537037034</v>
      </c>
      <c r="B22195" t="str">
        <f>HYPERLINK("https://twitter.com/ino_mufc","@ino_mufc")</f>
        <v>@ino_mufc</v>
      </c>
      <c r="C22195" t="s">
        <v>7619</v>
      </c>
      <c r="D22195">
        <v>14</v>
      </c>
      <c r="E22195">
        <v>0</v>
      </c>
      <c r="F22195">
        <v>387</v>
      </c>
    </row>
    <row r="22196" spans="1:6" ht="12.75">
      <c r="A22196" s="2">
        <v>43875.924444444448</v>
      </c>
      <c r="B22196" t="str">
        <f>HYPERLINK("https://twitter.com/KBRI_Manila","@KBRI_Manila")</f>
        <v>@KBRI_Manila</v>
      </c>
      <c r="C22196" t="s">
        <v>10632</v>
      </c>
      <c r="D22196">
        <v>1</v>
      </c>
      <c r="E22196">
        <v>0</v>
      </c>
      <c r="F22196">
        <v>1048</v>
      </c>
    </row>
    <row r="22197" spans="1:6" ht="12.75">
      <c r="A22197" s="2">
        <v>43875.924409722225</v>
      </c>
      <c r="B22197" t="str">
        <f>HYPERLINK("https://twitter.com/for_YoungKzip","@for_YoungKzip")</f>
        <v>@for_YoungKzip</v>
      </c>
      <c r="C22197" t="s">
        <v>2444</v>
      </c>
      <c r="D22197">
        <v>2979</v>
      </c>
      <c r="E22197">
        <v>0</v>
      </c>
      <c r="F22197">
        <v>369</v>
      </c>
    </row>
    <row r="22198" spans="1:6" ht="12.75">
      <c r="A22198" s="2">
        <v>43875.924351851849</v>
      </c>
      <c r="B22198" t="str">
        <f>HYPERLINK("https://twitter.com/Seto_Pambudi","@Seto_Pambudi")</f>
        <v>@Seto_Pambudi</v>
      </c>
      <c r="C22198" t="s">
        <v>10599</v>
      </c>
      <c r="D22198">
        <v>4</v>
      </c>
      <c r="E22198">
        <v>0</v>
      </c>
      <c r="F22198">
        <v>657</v>
      </c>
    </row>
    <row r="22199" spans="1:6" ht="12.75">
      <c r="A22199" s="2">
        <v>43875.924328703702</v>
      </c>
      <c r="B22199" t="str">
        <f>HYPERLINK("https://twitter.com/dwiarara","@dwiarara")</f>
        <v>@dwiarara</v>
      </c>
      <c r="C22199" t="s">
        <v>8233</v>
      </c>
      <c r="D22199">
        <v>520</v>
      </c>
      <c r="E22199">
        <v>0</v>
      </c>
      <c r="F22199">
        <v>1130</v>
      </c>
    </row>
    <row r="22200" spans="1:6" ht="12.75">
      <c r="A22200" s="2">
        <v>43875.924259259264</v>
      </c>
      <c r="B22200" t="str">
        <f>HYPERLINK("https://twitter.com/eizanfolks","@eizanfolks")</f>
        <v>@eizanfolks</v>
      </c>
      <c r="C22200" t="s">
        <v>10526</v>
      </c>
      <c r="D22200">
        <v>146</v>
      </c>
      <c r="E22200">
        <v>0</v>
      </c>
      <c r="F22200">
        <v>7665</v>
      </c>
    </row>
    <row r="22201" spans="1:6" ht="12.75">
      <c r="A22201" s="2">
        <v>43875.924224537041</v>
      </c>
      <c r="B22201" t="str">
        <f>HYPERLINK("https://twitter.com/Ser_Seguro","@Ser_Seguro")</f>
        <v>@Ser_Seguro</v>
      </c>
      <c r="C22201" t="s">
        <v>5168</v>
      </c>
      <c r="D22201">
        <v>1119</v>
      </c>
      <c r="E22201">
        <v>0</v>
      </c>
      <c r="F22201">
        <v>669</v>
      </c>
    </row>
    <row r="22202" spans="1:6" ht="12.75">
      <c r="A22202" s="2">
        <v>43875.924212962964</v>
      </c>
      <c r="B22202" t="str">
        <f>HYPERLINK("https://twitter.com/hejmanik","@hejmanik")</f>
        <v>@hejmanik</v>
      </c>
      <c r="C22202" t="s">
        <v>2444</v>
      </c>
      <c r="D22202">
        <v>2979</v>
      </c>
      <c r="E22202">
        <v>0</v>
      </c>
      <c r="F22202">
        <v>24</v>
      </c>
    </row>
    <row r="22203" spans="1:6" ht="12.75">
      <c r="A22203" s="2">
        <v>43875.924120370371</v>
      </c>
      <c r="B22203" t="str">
        <f>HYPERLINK("https://twitter.com/ahmad_subana","@ahmad_subana")</f>
        <v>@ahmad_subana</v>
      </c>
      <c r="C22203" t="s">
        <v>10057</v>
      </c>
      <c r="D22203">
        <v>11</v>
      </c>
      <c r="E22203">
        <v>0</v>
      </c>
      <c r="F22203">
        <v>5481</v>
      </c>
    </row>
    <row r="22204" spans="1:6" ht="12.75">
      <c r="A22204" s="2">
        <v>43875.923946759256</v>
      </c>
      <c r="B22204" t="str">
        <f>HYPERLINK("https://twitter.com/No_TogoG","@No_TogoG")</f>
        <v>@No_TogoG</v>
      </c>
      <c r="C22204" t="s">
        <v>9732</v>
      </c>
      <c r="D22204">
        <v>74</v>
      </c>
      <c r="E22204">
        <v>0</v>
      </c>
      <c r="F22204">
        <v>1137</v>
      </c>
    </row>
    <row r="22205" spans="1:6" ht="12.75">
      <c r="A22205" s="2">
        <v>43875.923935185187</v>
      </c>
      <c r="B22205" t="str">
        <f>HYPERLINK("https://twitter.com/berawalanu","@berawalanu")</f>
        <v>@berawalanu</v>
      </c>
      <c r="C22205" t="s">
        <v>9123</v>
      </c>
      <c r="D22205">
        <v>302</v>
      </c>
      <c r="E22205">
        <v>0</v>
      </c>
      <c r="F22205">
        <v>8</v>
      </c>
    </row>
    <row r="22206" spans="1:6" ht="12.75">
      <c r="A22206" s="2">
        <v>43875.92386574074</v>
      </c>
      <c r="B22206" t="str">
        <f>HYPERLINK("https://twitter.com/k4ng_C1reNG","@k4ng_C1reNG")</f>
        <v>@k4ng_C1reNG</v>
      </c>
      <c r="C22206" t="s">
        <v>10633</v>
      </c>
      <c r="D22206">
        <v>1</v>
      </c>
      <c r="E22206">
        <v>0</v>
      </c>
      <c r="F22206">
        <v>2224</v>
      </c>
    </row>
    <row r="22207" spans="1:6" ht="12.75">
      <c r="A22207" s="2">
        <v>43875.923831018517</v>
      </c>
      <c r="B22207" t="str">
        <f>HYPERLINK("https://twitter.com/juankarlos111","@juankarlos111")</f>
        <v>@juankarlos111</v>
      </c>
      <c r="C22207" t="s">
        <v>9983</v>
      </c>
      <c r="D22207">
        <v>6</v>
      </c>
      <c r="E22207">
        <v>0</v>
      </c>
      <c r="F22207">
        <v>15</v>
      </c>
    </row>
    <row r="22208" spans="1:6" ht="12.75">
      <c r="A22208" s="2">
        <v>43875.923807870371</v>
      </c>
      <c r="B22208" t="str">
        <f>HYPERLINK("https://twitter.com/77bayoe","@77bayoe")</f>
        <v>@77bayoe</v>
      </c>
      <c r="C22208" t="s">
        <v>9983</v>
      </c>
      <c r="D22208">
        <v>6</v>
      </c>
      <c r="E22208">
        <v>0</v>
      </c>
      <c r="F22208">
        <v>2197</v>
      </c>
    </row>
    <row r="22209" spans="1:6" ht="12.75">
      <c r="A22209" s="2">
        <v>43875.923796296294</v>
      </c>
      <c r="B22209" t="str">
        <f>HYPERLINK("https://twitter.com/M_ali_s79","@M_ali_s79")</f>
        <v>@M_ali_s79</v>
      </c>
      <c r="C22209" t="s">
        <v>10634</v>
      </c>
      <c r="D22209">
        <v>0</v>
      </c>
      <c r="E22209">
        <v>0</v>
      </c>
      <c r="F22209">
        <v>23</v>
      </c>
    </row>
    <row r="22210" spans="1:6" ht="12.75">
      <c r="A22210" s="2">
        <v>43875.923738425925</v>
      </c>
      <c r="B22210" t="str">
        <f>HYPERLINK("https://twitter.com/burungk97792018","@burungk97792018")</f>
        <v>@burungk97792018</v>
      </c>
      <c r="C22210" t="s">
        <v>10635</v>
      </c>
      <c r="D22210">
        <v>1</v>
      </c>
      <c r="E22210">
        <v>0</v>
      </c>
      <c r="F22210">
        <v>142</v>
      </c>
    </row>
    <row r="22211" spans="1:6" ht="12.75">
      <c r="A22211" s="2">
        <v>43875.923692129625</v>
      </c>
      <c r="B22211" t="str">
        <f>HYPERLINK("https://twitter.com/ninomininorin","@ninomininorin")</f>
        <v>@ninomininorin</v>
      </c>
      <c r="C22211" t="s">
        <v>9067</v>
      </c>
      <c r="D22211">
        <v>54</v>
      </c>
      <c r="E22211">
        <v>0</v>
      </c>
      <c r="F22211">
        <v>365</v>
      </c>
    </row>
    <row r="22212" spans="1:6" ht="12.75">
      <c r="A22212" s="2">
        <v>43875.923680555556</v>
      </c>
      <c r="B22212" t="str">
        <f>HYPERLINK("https://twitter.com/evelynules","@evelynules")</f>
        <v>@evelynules</v>
      </c>
      <c r="C22212" t="s">
        <v>3341</v>
      </c>
      <c r="D22212">
        <v>651</v>
      </c>
      <c r="E22212">
        <v>0</v>
      </c>
      <c r="F22212">
        <v>2</v>
      </c>
    </row>
    <row r="22213" spans="1:6" ht="12.75">
      <c r="A22213" s="2">
        <v>43875.923634259263</v>
      </c>
      <c r="B22213" t="str">
        <f>HYPERLINK("https://twitter.com/desyalalala","@desyalalala")</f>
        <v>@desyalalala</v>
      </c>
      <c r="C22213" t="s">
        <v>2444</v>
      </c>
      <c r="D22213">
        <v>2979</v>
      </c>
      <c r="E22213">
        <v>0</v>
      </c>
      <c r="F22213">
        <v>329</v>
      </c>
    </row>
    <row r="22214" spans="1:6" ht="12.75">
      <c r="A22214" s="2">
        <v>43875.923611111109</v>
      </c>
      <c r="B22214" t="str">
        <f>HYPERLINK("https://twitter.com/indonesiana","@indonesiana")</f>
        <v>@indonesiana</v>
      </c>
      <c r="C22214" t="s">
        <v>10636</v>
      </c>
      <c r="D22214">
        <v>0</v>
      </c>
      <c r="E22214">
        <v>0</v>
      </c>
      <c r="F22214">
        <v>49509</v>
      </c>
    </row>
    <row r="22215" spans="1:6" ht="12.75">
      <c r="A22215" s="2">
        <v>43875.92359953704</v>
      </c>
      <c r="B22215" t="str">
        <f>HYPERLINK("https://twitter.com/DatuakAtuk","@DatuakAtuk")</f>
        <v>@DatuakAtuk</v>
      </c>
      <c r="C22215" t="s">
        <v>10637</v>
      </c>
      <c r="D22215">
        <v>1</v>
      </c>
      <c r="E22215">
        <v>2</v>
      </c>
      <c r="F22215">
        <v>649</v>
      </c>
    </row>
    <row r="22216" spans="1:6" ht="12.75">
      <c r="A22216" s="2">
        <v>43875.923587962963</v>
      </c>
      <c r="B22216" t="str">
        <f>HYPERLINK("https://twitter.com/WingitI","@WingitI")</f>
        <v>@WingitI</v>
      </c>
      <c r="C22216" t="s">
        <v>10638</v>
      </c>
      <c r="D22216">
        <v>0</v>
      </c>
      <c r="E22216">
        <v>0</v>
      </c>
      <c r="F22216">
        <v>264</v>
      </c>
    </row>
    <row r="22217" spans="1:6" ht="12.75">
      <c r="A22217" s="2">
        <v>43875.923576388886</v>
      </c>
      <c r="B22217" t="str">
        <f>HYPERLINK("https://twitter.com/Holaakumaa","@Holaakumaa")</f>
        <v>@Holaakumaa</v>
      </c>
      <c r="C22217" t="s">
        <v>2444</v>
      </c>
      <c r="D22217">
        <v>2979</v>
      </c>
      <c r="E22217">
        <v>0</v>
      </c>
      <c r="F22217">
        <v>358</v>
      </c>
    </row>
    <row r="22218" spans="1:6" ht="12.75">
      <c r="A22218" s="2">
        <v>43875.923576388886</v>
      </c>
      <c r="B22218" t="str">
        <f>HYPERLINK("https://twitter.com/loveseutagram","@loveseutagram")</f>
        <v>@loveseutagram</v>
      </c>
      <c r="C22218" t="s">
        <v>2444</v>
      </c>
      <c r="D22218">
        <v>2979</v>
      </c>
      <c r="E22218">
        <v>0</v>
      </c>
      <c r="F22218">
        <v>2187</v>
      </c>
    </row>
    <row r="22219" spans="1:6" ht="12.75">
      <c r="A22219" s="2">
        <v>43875.923541666663</v>
      </c>
      <c r="B22219" t="str">
        <f>HYPERLINK("https://twitter.com/SuryaMajapahi7","@SuryaMajapahi7")</f>
        <v>@SuryaMajapahi7</v>
      </c>
      <c r="C22219" t="s">
        <v>2963</v>
      </c>
      <c r="D22219">
        <v>1161</v>
      </c>
      <c r="E22219">
        <v>0</v>
      </c>
      <c r="F22219">
        <v>522</v>
      </c>
    </row>
    <row r="22220" spans="1:6" ht="12.75">
      <c r="A22220" s="2">
        <v>43875.923472222217</v>
      </c>
      <c r="B22220" t="str">
        <f>HYPERLINK("https://twitter.com/hartatahtapizza","@hartatahtapizza")</f>
        <v>@hartatahtapizza</v>
      </c>
      <c r="C22220" t="s">
        <v>2444</v>
      </c>
      <c r="D22220">
        <v>2979</v>
      </c>
      <c r="E22220">
        <v>0</v>
      </c>
      <c r="F22220">
        <v>1050</v>
      </c>
    </row>
    <row r="22221" spans="1:6" ht="12.75">
      <c r="A22221" s="2">
        <v>43875.923414351855</v>
      </c>
      <c r="B22221" t="str">
        <f>HYPERLINK("https://twitter.com/pyhnxxx","@pyhnxxx")</f>
        <v>@pyhnxxx</v>
      </c>
      <c r="C22221" t="s">
        <v>2444</v>
      </c>
      <c r="D22221">
        <v>2979</v>
      </c>
      <c r="E22221">
        <v>0</v>
      </c>
      <c r="F22221">
        <v>875</v>
      </c>
    </row>
    <row r="22222" spans="1:6" ht="12.75">
      <c r="A22222" s="2">
        <v>43875.923391203702</v>
      </c>
      <c r="B22222" t="str">
        <f>HYPERLINK("https://twitter.com/ReinhardTjoki","@ReinhardTjoki")</f>
        <v>@ReinhardTjoki</v>
      </c>
      <c r="C22222" t="s">
        <v>10639</v>
      </c>
      <c r="D22222">
        <v>0</v>
      </c>
      <c r="E22222">
        <v>1</v>
      </c>
      <c r="F22222">
        <v>22</v>
      </c>
    </row>
    <row r="22223" spans="1:6" ht="12.75">
      <c r="A22223" s="2">
        <v>43875.923298611116</v>
      </c>
      <c r="B22223" t="str">
        <f>HYPERLINK("https://twitter.com/onomsalam2pas","@onomsalam2pas")</f>
        <v>@onomsalam2pas</v>
      </c>
      <c r="C22223" t="s">
        <v>9746</v>
      </c>
      <c r="D22223">
        <v>390</v>
      </c>
      <c r="E22223">
        <v>0</v>
      </c>
      <c r="F22223">
        <v>441</v>
      </c>
    </row>
    <row r="22224" spans="1:6" ht="12.75">
      <c r="A22224" s="2">
        <v>43875.923206018517</v>
      </c>
      <c r="B22224" t="str">
        <f>HYPERLINK("https://twitter.com/ichaadyah","@ichaadyah")</f>
        <v>@ichaadyah</v>
      </c>
      <c r="C22224" t="s">
        <v>2963</v>
      </c>
      <c r="D22224">
        <v>1161</v>
      </c>
      <c r="E22224">
        <v>0</v>
      </c>
      <c r="F22224">
        <v>273</v>
      </c>
    </row>
    <row r="22225" spans="1:6" ht="12.75">
      <c r="A22225" s="2">
        <v>43875.923125000001</v>
      </c>
      <c r="B22225" t="str">
        <f>HYPERLINK("https://twitter.com/ISIS_Balik_NO","@ISIS_Balik_NO")</f>
        <v>@ISIS_Balik_NO</v>
      </c>
      <c r="C22225" t="s">
        <v>10640</v>
      </c>
      <c r="D22225">
        <v>1</v>
      </c>
      <c r="E22225">
        <v>1</v>
      </c>
      <c r="F22225">
        <v>5911</v>
      </c>
    </row>
    <row r="22226" spans="1:6" ht="12.75">
      <c r="A22226" s="2">
        <v>43875.923125000001</v>
      </c>
      <c r="B22226" t="str">
        <f>HYPERLINK("https://twitter.com/FalsSuara","@FalsSuara")</f>
        <v>@FalsSuara</v>
      </c>
      <c r="C22226" t="s">
        <v>10052</v>
      </c>
      <c r="D22226">
        <v>100</v>
      </c>
      <c r="E22226">
        <v>0</v>
      </c>
      <c r="F22226">
        <v>439</v>
      </c>
    </row>
    <row r="22227" spans="1:6" ht="12.75">
      <c r="A22227" s="2">
        <v>43875.923113425924</v>
      </c>
      <c r="B22227" t="str">
        <f>HYPERLINK("https://twitter.com/EBRoestono","@EBRoestono")</f>
        <v>@EBRoestono</v>
      </c>
      <c r="C22227" t="s">
        <v>10427</v>
      </c>
      <c r="D22227">
        <v>5</v>
      </c>
      <c r="E22227">
        <v>0</v>
      </c>
      <c r="F22227">
        <v>733</v>
      </c>
    </row>
    <row r="22228" spans="1:6" ht="12.75">
      <c r="A22228" s="2">
        <v>43875.923078703709</v>
      </c>
      <c r="B22228" t="str">
        <f>HYPERLINK("https://twitter.com/Mulia07094480","@Mulia07094480")</f>
        <v>@Mulia07094480</v>
      </c>
      <c r="C22228" t="s">
        <v>10526</v>
      </c>
      <c r="D22228">
        <v>146</v>
      </c>
      <c r="E22228">
        <v>0</v>
      </c>
      <c r="F22228">
        <v>760</v>
      </c>
    </row>
    <row r="22229" spans="1:6" ht="12.75">
      <c r="A22229" s="2">
        <v>43875.92292824074</v>
      </c>
      <c r="B22229" t="str">
        <f>HYPERLINK("https://twitter.com/jwindria","@jwindria")</f>
        <v>@jwindria</v>
      </c>
      <c r="C22229" t="s">
        <v>2097</v>
      </c>
      <c r="D22229">
        <v>401</v>
      </c>
      <c r="E22229">
        <v>0</v>
      </c>
      <c r="F22229">
        <v>162</v>
      </c>
    </row>
    <row r="22230" spans="1:6" ht="12.75">
      <c r="A22230" s="2">
        <v>43875.922916666663</v>
      </c>
      <c r="B22230" t="str">
        <f>HYPERLINK("https://twitter.com/kompascom","@kompascom")</f>
        <v>@kompascom</v>
      </c>
      <c r="C22230" t="s">
        <v>10641</v>
      </c>
      <c r="D22230">
        <v>4</v>
      </c>
      <c r="E22230">
        <v>11</v>
      </c>
      <c r="F22230">
        <v>7497758</v>
      </c>
    </row>
    <row r="22231" spans="1:6" ht="12.75">
      <c r="A22231" s="2">
        <v>43875.922893518524</v>
      </c>
      <c r="B22231" t="str">
        <f>HYPERLINK("https://twitter.com/DidinMu53631004","@DidinMu53631004")</f>
        <v>@DidinMu53631004</v>
      </c>
      <c r="C22231" t="s">
        <v>10546</v>
      </c>
      <c r="D22231">
        <v>2</v>
      </c>
      <c r="E22231">
        <v>0</v>
      </c>
      <c r="F22231">
        <v>99</v>
      </c>
    </row>
    <row r="22232" spans="1:6" ht="12.75">
      <c r="A22232" s="2">
        <v>43875.92287037037</v>
      </c>
      <c r="B22232" t="str">
        <f>HYPERLINK("https://twitter.com/sehunnesteh","@sehunnesteh")</f>
        <v>@sehunnesteh</v>
      </c>
      <c r="C22232" t="s">
        <v>9123</v>
      </c>
      <c r="D22232">
        <v>302</v>
      </c>
      <c r="E22232">
        <v>0</v>
      </c>
      <c r="F22232">
        <v>195</v>
      </c>
    </row>
    <row r="22233" spans="1:6" ht="12.75">
      <c r="A22233" s="2">
        <v>43875.922719907408</v>
      </c>
      <c r="B22233" t="str">
        <f>HYPERLINK("https://twitter.com/Tinta60446377","@Tinta60446377")</f>
        <v>@Tinta60446377</v>
      </c>
      <c r="C22233" t="s">
        <v>9746</v>
      </c>
      <c r="D22233">
        <v>390</v>
      </c>
      <c r="E22233">
        <v>0</v>
      </c>
      <c r="F22233">
        <v>90</v>
      </c>
    </row>
    <row r="22234" spans="1:6" ht="12.75">
      <c r="A22234" s="2">
        <v>43875.922708333332</v>
      </c>
      <c r="B22234" t="str">
        <f>HYPERLINK("https://twitter.com/off__vie","@off__vie")</f>
        <v>@off__vie</v>
      </c>
      <c r="C22234" t="s">
        <v>2444</v>
      </c>
      <c r="D22234">
        <v>2979</v>
      </c>
      <c r="E22234">
        <v>0</v>
      </c>
      <c r="F22234">
        <v>603</v>
      </c>
    </row>
    <row r="22235" spans="1:6" ht="12.75">
      <c r="A22235" s="2">
        <v>43875.922569444447</v>
      </c>
      <c r="B22235" t="str">
        <f>HYPERLINK("https://twitter.com/Nhudongs","@Nhudongs")</f>
        <v>@Nhudongs</v>
      </c>
      <c r="C22235" t="s">
        <v>2444</v>
      </c>
      <c r="D22235">
        <v>2979</v>
      </c>
      <c r="E22235">
        <v>0</v>
      </c>
      <c r="F22235">
        <v>623</v>
      </c>
    </row>
    <row r="22236" spans="1:6" ht="12.75">
      <c r="A22236" s="2">
        <v>43875.922384259262</v>
      </c>
      <c r="B22236" t="str">
        <f>HYPERLINK("https://twitter.com/bebiykamu","@bebiykamu")</f>
        <v>@bebiykamu</v>
      </c>
      <c r="C22236" t="s">
        <v>10642</v>
      </c>
      <c r="D22236">
        <v>0</v>
      </c>
      <c r="E22236">
        <v>0</v>
      </c>
      <c r="F22236">
        <v>506</v>
      </c>
    </row>
    <row r="22237" spans="1:6" ht="12.75">
      <c r="A22237" s="2">
        <v>43875.922280092593</v>
      </c>
      <c r="B22237" t="str">
        <f>HYPERLINK("https://twitter.com/Voirmountagnes","@Voirmountagnes")</f>
        <v>@Voirmountagnes</v>
      </c>
      <c r="C22237" t="s">
        <v>9198</v>
      </c>
      <c r="D22237">
        <v>80</v>
      </c>
      <c r="E22237">
        <v>0</v>
      </c>
      <c r="F22237">
        <v>524</v>
      </c>
    </row>
    <row r="22238" spans="1:6" ht="12.75">
      <c r="A22238" s="2">
        <v>43875.922210648147</v>
      </c>
      <c r="B22238" t="str">
        <f>HYPERLINK("https://twitter.com/YukinaAiba","@YukinaAiba")</f>
        <v>@YukinaAiba</v>
      </c>
      <c r="C22238" t="s">
        <v>2444</v>
      </c>
      <c r="D22238">
        <v>2979</v>
      </c>
      <c r="E22238">
        <v>0</v>
      </c>
      <c r="F22238">
        <v>426</v>
      </c>
    </row>
    <row r="22239" spans="1:6" ht="12.75">
      <c r="A22239" s="2">
        <v>43875.922152777777</v>
      </c>
      <c r="B22239" t="str">
        <f>HYPERLINK("https://twitter.com/vitta_mangelep","@vitta_mangelep")</f>
        <v>@vitta_mangelep</v>
      </c>
      <c r="C22239" t="s">
        <v>6201</v>
      </c>
      <c r="D22239">
        <v>272</v>
      </c>
      <c r="E22239">
        <v>0</v>
      </c>
      <c r="F22239">
        <v>947</v>
      </c>
    </row>
    <row r="22240" spans="1:6" ht="12.75">
      <c r="A22240" s="2">
        <v>43875.922094907408</v>
      </c>
      <c r="B22240" t="str">
        <f>HYPERLINK("https://twitter.com/Nurings","@Nurings")</f>
        <v>@Nurings</v>
      </c>
      <c r="C22240" t="s">
        <v>2444</v>
      </c>
      <c r="D22240">
        <v>2979</v>
      </c>
      <c r="E22240">
        <v>0</v>
      </c>
      <c r="F22240">
        <v>800</v>
      </c>
    </row>
    <row r="22241" spans="1:6" ht="12.75">
      <c r="A22241" s="2">
        <v>43875.921990740739</v>
      </c>
      <c r="B22241" t="str">
        <f>HYPERLINK("https://twitter.com/lmaobebby","@lmaobebby")</f>
        <v>@lmaobebby</v>
      </c>
      <c r="C22241" t="s">
        <v>5168</v>
      </c>
      <c r="D22241">
        <v>1119</v>
      </c>
      <c r="E22241">
        <v>0</v>
      </c>
      <c r="F22241">
        <v>324</v>
      </c>
    </row>
    <row r="22242" spans="1:6" ht="12.75">
      <c r="A22242" s="2">
        <v>43875.921979166669</v>
      </c>
      <c r="B22242" t="str">
        <f>HYPERLINK("https://twitter.com/cuektogether","@cuektogether")</f>
        <v>@cuektogether</v>
      </c>
      <c r="C22242" t="s">
        <v>7478</v>
      </c>
      <c r="D22242">
        <v>426</v>
      </c>
      <c r="E22242">
        <v>0</v>
      </c>
      <c r="F22242">
        <v>111</v>
      </c>
    </row>
    <row r="22243" spans="1:6" ht="12.75">
      <c r="A22243" s="2">
        <v>43875.921944444446</v>
      </c>
      <c r="B22243" t="str">
        <f>HYPERLINK("https://twitter.com/Johnplerr","@Johnplerr")</f>
        <v>@Johnplerr</v>
      </c>
      <c r="C22243" t="s">
        <v>10127</v>
      </c>
      <c r="D22243">
        <v>48</v>
      </c>
      <c r="E22243">
        <v>0</v>
      </c>
      <c r="F22243">
        <v>934</v>
      </c>
    </row>
    <row r="22244" spans="1:6" ht="12.75">
      <c r="A22244" s="2">
        <v>43875.921932870369</v>
      </c>
      <c r="B22244" t="str">
        <f>HYPERLINK("https://twitter.com/PrimaBerita","@PrimaBerita")</f>
        <v>@PrimaBerita</v>
      </c>
      <c r="C22244" t="s">
        <v>10643</v>
      </c>
      <c r="D22244">
        <v>0</v>
      </c>
      <c r="E22244">
        <v>0</v>
      </c>
      <c r="F22244">
        <v>65</v>
      </c>
    </row>
    <row r="22245" spans="1:6" ht="12.75">
      <c r="A22245" s="2">
        <v>43875.921817129631</v>
      </c>
      <c r="B22245" t="str">
        <f>HYPERLINK("https://twitter.com/Oj0dum3h","@Oj0dum3h")</f>
        <v>@Oj0dum3h</v>
      </c>
      <c r="C22245" t="s">
        <v>10573</v>
      </c>
      <c r="D22245">
        <v>11</v>
      </c>
      <c r="E22245">
        <v>0</v>
      </c>
      <c r="F22245">
        <v>2590</v>
      </c>
    </row>
    <row r="22246" spans="1:6" ht="12.75">
      <c r="A22246" s="2">
        <v>43875.921736111108</v>
      </c>
      <c r="B22246" t="str">
        <f>HYPERLINK("https://twitter.com/koko_dhoni","@koko_dhoni")</f>
        <v>@koko_dhoni</v>
      </c>
      <c r="C22246" t="s">
        <v>10644</v>
      </c>
      <c r="D22246">
        <v>0</v>
      </c>
      <c r="E22246">
        <v>0</v>
      </c>
      <c r="F22246">
        <v>151</v>
      </c>
    </row>
    <row r="22247" spans="1:6" ht="12.75">
      <c r="A22247" s="2">
        <v>43875.921712962961</v>
      </c>
      <c r="B22247" t="str">
        <f>HYPERLINK("https://twitter.com/pion_praponco","@pion_praponco")</f>
        <v>@pion_praponco</v>
      </c>
      <c r="C22247" t="s">
        <v>9746</v>
      </c>
      <c r="D22247">
        <v>390</v>
      </c>
      <c r="E22247">
        <v>0</v>
      </c>
      <c r="F22247">
        <v>788</v>
      </c>
    </row>
    <row r="22248" spans="1:6" ht="12.75">
      <c r="A22248" s="2">
        <v>43875.921643518523</v>
      </c>
      <c r="B22248" t="str">
        <f>HYPERLINK("https://twitter.com/LauraFadillah1","@LauraFadillah1")</f>
        <v>@LauraFadillah1</v>
      </c>
      <c r="C22248" t="s">
        <v>9198</v>
      </c>
      <c r="D22248">
        <v>80</v>
      </c>
      <c r="E22248">
        <v>0</v>
      </c>
      <c r="F22248">
        <v>316</v>
      </c>
    </row>
    <row r="22249" spans="1:6" ht="12.75">
      <c r="A22249" s="2">
        <v>43875.9216087963</v>
      </c>
      <c r="B22249" t="str">
        <f>HYPERLINK("https://twitter.com/pardede_tamim","@pardede_tamim")</f>
        <v>@pardede_tamim</v>
      </c>
      <c r="C22249" t="s">
        <v>10645</v>
      </c>
      <c r="D22249">
        <v>0</v>
      </c>
      <c r="E22249">
        <v>2</v>
      </c>
      <c r="F22249">
        <v>22</v>
      </c>
    </row>
    <row r="22250" spans="1:6" ht="12.75">
      <c r="A22250" s="2">
        <v>43875.921597222223</v>
      </c>
      <c r="B22250" t="str">
        <f>HYPERLINK("https://twitter.com/ino_mufc","@ino_mufc")</f>
        <v>@ino_mufc</v>
      </c>
      <c r="C22250" t="s">
        <v>10052</v>
      </c>
      <c r="D22250">
        <v>100</v>
      </c>
      <c r="E22250">
        <v>0</v>
      </c>
      <c r="F22250">
        <v>387</v>
      </c>
    </row>
    <row r="22251" spans="1:6" ht="12.75">
      <c r="A22251" s="2">
        <v>43875.92150462963</v>
      </c>
      <c r="B22251" t="str">
        <f>HYPERLINK("https://twitter.com/babyysunflowers","@babyysunflowers")</f>
        <v>@babyysunflowers</v>
      </c>
      <c r="C22251" t="s">
        <v>2444</v>
      </c>
      <c r="D22251">
        <v>2979</v>
      </c>
      <c r="E22251">
        <v>0</v>
      </c>
      <c r="F22251">
        <v>631</v>
      </c>
    </row>
    <row r="22252" spans="1:6" ht="12.75">
      <c r="A22252" s="2">
        <v>43875.921469907407</v>
      </c>
      <c r="B22252" t="str">
        <f>HYPERLINK("https://twitter.com/boy_harth","@boy_harth")</f>
        <v>@boy_harth</v>
      </c>
      <c r="C22252" t="s">
        <v>10646</v>
      </c>
      <c r="D22252">
        <v>1</v>
      </c>
      <c r="E22252">
        <v>3</v>
      </c>
      <c r="F22252">
        <v>1051</v>
      </c>
    </row>
    <row r="22253" spans="1:6" ht="12.75">
      <c r="A22253" s="2">
        <v>43875.921423611115</v>
      </c>
      <c r="B22253" t="str">
        <f>HYPERLINK("https://twitter.com/BambangMuryant7","@BambangMuryant7")</f>
        <v>@BambangMuryant7</v>
      </c>
      <c r="C22253" t="s">
        <v>10422</v>
      </c>
      <c r="D22253">
        <v>117</v>
      </c>
      <c r="E22253">
        <v>0</v>
      </c>
      <c r="F22253">
        <v>574</v>
      </c>
    </row>
    <row r="22254" spans="1:6" ht="12.75">
      <c r="A22254" s="2">
        <v>43875.921388888892</v>
      </c>
      <c r="B22254" t="str">
        <f>HYPERLINK("https://twitter.com/fauz13","@fauz13")</f>
        <v>@fauz13</v>
      </c>
      <c r="C22254" t="s">
        <v>10647</v>
      </c>
      <c r="D22254">
        <v>0</v>
      </c>
      <c r="E22254">
        <v>0</v>
      </c>
      <c r="F22254">
        <v>308</v>
      </c>
    </row>
    <row r="22255" spans="1:6" ht="12.75">
      <c r="A22255" s="2">
        <v>43875.921261574069</v>
      </c>
      <c r="B22255" t="str">
        <f>HYPERLINK("https://twitter.com/marioprisca1991","@marioprisca1991")</f>
        <v>@marioprisca1991</v>
      </c>
      <c r="C22255" t="s">
        <v>10648</v>
      </c>
      <c r="D22255">
        <v>0</v>
      </c>
      <c r="E22255">
        <v>1</v>
      </c>
      <c r="F22255">
        <v>26</v>
      </c>
    </row>
    <row r="22256" spans="1:6" ht="12.75">
      <c r="A22256" s="2">
        <v>43875.921041666668</v>
      </c>
      <c r="B22256" t="str">
        <f>HYPERLINK("https://twitter.com/fajarniskala","@fajarniskala")</f>
        <v>@fajarniskala</v>
      </c>
      <c r="C22256" t="s">
        <v>2444</v>
      </c>
      <c r="D22256">
        <v>2979</v>
      </c>
      <c r="E22256">
        <v>0</v>
      </c>
      <c r="F22256">
        <v>1603</v>
      </c>
    </row>
    <row r="22257" spans="1:6" ht="12.75">
      <c r="A22257" s="2">
        <v>43875.920902777776</v>
      </c>
      <c r="B22257" t="str">
        <f>HYPERLINK("https://twitter.com/Lord_Sakto","@Lord_Sakto")</f>
        <v>@Lord_Sakto</v>
      </c>
      <c r="C22257" t="s">
        <v>8754</v>
      </c>
      <c r="D22257">
        <v>8</v>
      </c>
      <c r="E22257">
        <v>0</v>
      </c>
      <c r="F22257">
        <v>2807</v>
      </c>
    </row>
    <row r="22258" spans="1:6" ht="12.75">
      <c r="A22258" s="2">
        <v>43875.920856481476</v>
      </c>
      <c r="B22258" t="str">
        <f>HYPERLINK("https://twitter.com/lalavivienrose","@lalavivienrose")</f>
        <v>@lalavivienrose</v>
      </c>
      <c r="C22258" t="s">
        <v>2444</v>
      </c>
      <c r="D22258">
        <v>2979</v>
      </c>
      <c r="E22258">
        <v>0</v>
      </c>
      <c r="F22258">
        <v>695</v>
      </c>
    </row>
    <row r="22259" spans="1:6" ht="12.75">
      <c r="A22259" s="2">
        <v>43875.920833333337</v>
      </c>
      <c r="B22259" t="str">
        <f>HYPERLINK("https://twitter.com/AzisAditya8","@AzisAditya8")</f>
        <v>@AzisAditya8</v>
      </c>
      <c r="C22259" t="s">
        <v>10649</v>
      </c>
      <c r="D22259">
        <v>0</v>
      </c>
      <c r="E22259">
        <v>0</v>
      </c>
      <c r="F22259">
        <v>2</v>
      </c>
    </row>
    <row r="22260" spans="1:6" ht="12.75">
      <c r="A22260" s="2">
        <v>43875.920798611114</v>
      </c>
      <c r="B22260" t="str">
        <f>HYPERLINK("https://twitter.com/Yasmin15889819","@Yasmin15889819")</f>
        <v>@Yasmin15889819</v>
      </c>
      <c r="C22260" t="s">
        <v>10427</v>
      </c>
      <c r="D22260">
        <v>5</v>
      </c>
      <c r="E22260">
        <v>0</v>
      </c>
      <c r="F22260">
        <v>263</v>
      </c>
    </row>
    <row r="22261" spans="1:6" ht="12.75">
      <c r="A22261" s="2">
        <v>43875.920729166668</v>
      </c>
      <c r="B22261" t="str">
        <f>HYPERLINK("https://twitter.com/sandysandiego76","@sandysandiego76")</f>
        <v>@sandysandiego76</v>
      </c>
      <c r="C22261" t="s">
        <v>10650</v>
      </c>
      <c r="D22261">
        <v>0</v>
      </c>
      <c r="E22261">
        <v>0</v>
      </c>
      <c r="F22261">
        <v>890</v>
      </c>
    </row>
    <row r="22262" spans="1:6" ht="12.75">
      <c r="A22262" s="2">
        <v>43875.920717592591</v>
      </c>
      <c r="B22262" t="str">
        <f>HYPERLINK("https://twitter.com/beatrice_health","@beatrice_health")</f>
        <v>@beatrice_health</v>
      </c>
      <c r="C22262" t="s">
        <v>10074</v>
      </c>
      <c r="D22262">
        <v>78</v>
      </c>
      <c r="E22262">
        <v>0</v>
      </c>
      <c r="F22262">
        <v>71</v>
      </c>
    </row>
    <row r="22263" spans="1:6" ht="12.75">
      <c r="A22263" s="2">
        <v>43875.920694444445</v>
      </c>
      <c r="B22263" t="str">
        <f>HYPERLINK("https://twitter.com/ivan_dhiela","@ivan_dhiela")</f>
        <v>@ivan_dhiela</v>
      </c>
      <c r="C22263" t="s">
        <v>9746</v>
      </c>
      <c r="D22263">
        <v>390</v>
      </c>
      <c r="E22263">
        <v>0</v>
      </c>
      <c r="F22263">
        <v>208</v>
      </c>
    </row>
    <row r="22264" spans="1:6" ht="12.75">
      <c r="A22264" s="2">
        <v>43875.920671296291</v>
      </c>
      <c r="B22264" t="str">
        <f>HYPERLINK("https://twitter.com/hubertanovita","@hubertanovita")</f>
        <v>@hubertanovita</v>
      </c>
      <c r="C22264" t="s">
        <v>10074</v>
      </c>
      <c r="D22264">
        <v>78</v>
      </c>
      <c r="E22264">
        <v>0</v>
      </c>
      <c r="F22264">
        <v>739</v>
      </c>
    </row>
    <row r="22265" spans="1:6" ht="12.75">
      <c r="A22265" s="2">
        <v>43875.920601851853</v>
      </c>
      <c r="B22265" t="str">
        <f>HYPERLINK("https://twitter.com/primusrlw","@primusrlw")</f>
        <v>@primusrlw</v>
      </c>
      <c r="C22265" t="s">
        <v>10651</v>
      </c>
      <c r="D22265">
        <v>0</v>
      </c>
      <c r="E22265">
        <v>0</v>
      </c>
      <c r="F22265">
        <v>277</v>
      </c>
    </row>
    <row r="22266" spans="1:6" ht="12.75">
      <c r="A22266" s="2">
        <v>43875.920590277776</v>
      </c>
      <c r="B22266" t="str">
        <f>HYPERLINK("https://twitter.com/tahupetismanis","@tahupetismanis")</f>
        <v>@tahupetismanis</v>
      </c>
      <c r="C22266" t="s">
        <v>10142</v>
      </c>
      <c r="D22266">
        <v>6</v>
      </c>
      <c r="E22266">
        <v>0</v>
      </c>
      <c r="F22266">
        <v>3959</v>
      </c>
    </row>
    <row r="22267" spans="1:6" ht="12.75">
      <c r="A22267" s="2">
        <v>43875.920567129629</v>
      </c>
      <c r="B22267" t="str">
        <f>HYPERLINK("https://twitter.com/akbartigabelas","@akbartigabelas")</f>
        <v>@akbartigabelas</v>
      </c>
      <c r="C22267" t="s">
        <v>8050</v>
      </c>
      <c r="D22267">
        <v>2</v>
      </c>
      <c r="E22267">
        <v>0</v>
      </c>
      <c r="F22267">
        <v>183</v>
      </c>
    </row>
    <row r="22268" spans="1:6" ht="12.75">
      <c r="A22268" s="2">
        <v>43875.920567129629</v>
      </c>
      <c r="B22268" t="str">
        <f>HYPERLINK("https://twitter.com/sukmairwn","@sukmairwn")</f>
        <v>@sukmairwn</v>
      </c>
      <c r="C22268" t="s">
        <v>2444</v>
      </c>
      <c r="D22268">
        <v>2979</v>
      </c>
      <c r="E22268">
        <v>0</v>
      </c>
      <c r="F22268">
        <v>288</v>
      </c>
    </row>
    <row r="22269" spans="1:6" ht="12.75">
      <c r="A22269" s="2">
        <v>43875.920555555553</v>
      </c>
      <c r="B22269" t="str">
        <f>HYPERLINK("https://twitter.com/RidhoJE_","@RidhoJE_")</f>
        <v>@RidhoJE_</v>
      </c>
      <c r="C22269" t="s">
        <v>2444</v>
      </c>
      <c r="D22269">
        <v>2979</v>
      </c>
      <c r="E22269">
        <v>0</v>
      </c>
      <c r="F22269">
        <v>1549</v>
      </c>
    </row>
    <row r="22270" spans="1:6" ht="12.75">
      <c r="A22270" s="2">
        <v>43875.920335648145</v>
      </c>
      <c r="B22270" t="str">
        <f>HYPERLINK("https://twitter.com/fauzi_m17","@fauzi_m17")</f>
        <v>@fauzi_m17</v>
      </c>
      <c r="C22270" t="s">
        <v>10652</v>
      </c>
      <c r="D22270">
        <v>0</v>
      </c>
      <c r="E22270">
        <v>0</v>
      </c>
      <c r="F22270">
        <v>73</v>
      </c>
    </row>
    <row r="22271" spans="1:6" ht="12.75">
      <c r="A22271" s="2">
        <v>43875.920277777783</v>
      </c>
      <c r="B22271" t="str">
        <f>HYPERLINK("https://twitter.com/aditbme","@aditbme")</f>
        <v>@aditbme</v>
      </c>
      <c r="C22271" t="s">
        <v>5168</v>
      </c>
      <c r="D22271">
        <v>1119</v>
      </c>
      <c r="E22271">
        <v>0</v>
      </c>
      <c r="F22271">
        <v>336</v>
      </c>
    </row>
    <row r="22272" spans="1:6" ht="12.75">
      <c r="A22272" s="2">
        <v>43875.920208333337</v>
      </c>
      <c r="B22272" t="str">
        <f>HYPERLINK("https://twitter.com/AhmadSutoyo9","@AhmadSutoyo9")</f>
        <v>@AhmadSutoyo9</v>
      </c>
      <c r="C22272" t="s">
        <v>6201</v>
      </c>
      <c r="D22272">
        <v>272</v>
      </c>
      <c r="E22272">
        <v>0</v>
      </c>
      <c r="F22272">
        <v>382</v>
      </c>
    </row>
    <row r="22273" spans="1:6" ht="12.75">
      <c r="A22273" s="2">
        <v>43875.920208333337</v>
      </c>
      <c r="B22273" t="str">
        <f>HYPERLINK("https://twitter.com/Cmbun517","@Cmbun517")</f>
        <v>@Cmbun517</v>
      </c>
      <c r="C22273" t="s">
        <v>2444</v>
      </c>
      <c r="D22273">
        <v>2979</v>
      </c>
      <c r="E22273">
        <v>0</v>
      </c>
      <c r="F22273">
        <v>33</v>
      </c>
    </row>
    <row r="22274" spans="1:6" ht="12.75">
      <c r="A22274" s="2">
        <v>43875.920115740737</v>
      </c>
      <c r="B22274" t="str">
        <f>HYPERLINK("https://twitter.com/asepafathoni","@asepafathoni")</f>
        <v>@asepafathoni</v>
      </c>
      <c r="C22274" t="s">
        <v>9746</v>
      </c>
      <c r="D22274">
        <v>390</v>
      </c>
      <c r="E22274">
        <v>0</v>
      </c>
      <c r="F22274">
        <v>308</v>
      </c>
    </row>
    <row r="22275" spans="1:6" ht="12.75">
      <c r="A22275" s="2">
        <v>43875.920092592598</v>
      </c>
      <c r="B22275" t="str">
        <f>HYPERLINK("https://twitter.com/spicyreyy","@spicyreyy")</f>
        <v>@spicyreyy</v>
      </c>
      <c r="C22275" t="s">
        <v>10653</v>
      </c>
      <c r="D22275">
        <v>0</v>
      </c>
      <c r="E22275">
        <v>0</v>
      </c>
      <c r="F22275">
        <v>417</v>
      </c>
    </row>
    <row r="22276" spans="1:6" ht="12.75">
      <c r="A22276" s="2">
        <v>43875.919965277775</v>
      </c>
      <c r="B22276" t="str">
        <f>HYPERLINK("https://twitter.com/aikachiaika","@aikachiaika")</f>
        <v>@aikachiaika</v>
      </c>
      <c r="C22276" t="s">
        <v>10074</v>
      </c>
      <c r="D22276">
        <v>78</v>
      </c>
      <c r="E22276">
        <v>0</v>
      </c>
      <c r="F22276">
        <v>133</v>
      </c>
    </row>
    <row r="22277" spans="1:6" ht="12.75">
      <c r="A22277" s="2">
        <v>43875.91987268519</v>
      </c>
      <c r="B22277" t="str">
        <f>HYPERLINK("https://twitter.com/intanputri1231","@intanputri1231")</f>
        <v>@intanputri1231</v>
      </c>
      <c r="C22277" t="s">
        <v>10654</v>
      </c>
      <c r="D22277">
        <v>0</v>
      </c>
      <c r="E22277">
        <v>0</v>
      </c>
      <c r="F22277">
        <v>0</v>
      </c>
    </row>
    <row r="22278" spans="1:6" ht="12.75">
      <c r="A22278" s="2">
        <v>43875.91987268519</v>
      </c>
      <c r="B22278" t="str">
        <f>HYPERLINK("https://twitter.com/salima252","@salima252")</f>
        <v>@salima252</v>
      </c>
      <c r="C22278" t="s">
        <v>10655</v>
      </c>
      <c r="D22278">
        <v>1</v>
      </c>
      <c r="E22278">
        <v>3</v>
      </c>
      <c r="F22278">
        <v>3166</v>
      </c>
    </row>
    <row r="22279" spans="1:6" ht="12.75">
      <c r="A22279" s="2">
        <v>43875.91982638889</v>
      </c>
      <c r="B22279" t="str">
        <f>HYPERLINK("https://twitter.com/RiyadiYadi3","@RiyadiYadi3")</f>
        <v>@RiyadiYadi3</v>
      </c>
      <c r="C22279" t="s">
        <v>6201</v>
      </c>
      <c r="D22279">
        <v>272</v>
      </c>
      <c r="E22279">
        <v>0</v>
      </c>
      <c r="F22279">
        <v>339</v>
      </c>
    </row>
    <row r="22280" spans="1:6" ht="12.75">
      <c r="A22280" s="2">
        <v>43875.919733796298</v>
      </c>
      <c r="B22280" t="str">
        <f>HYPERLINK("https://twitter.com/MTarutung","@MTarutung")</f>
        <v>@MTarutung</v>
      </c>
      <c r="C22280" t="s">
        <v>9198</v>
      </c>
      <c r="D22280">
        <v>80</v>
      </c>
      <c r="E22280">
        <v>0</v>
      </c>
      <c r="F22280">
        <v>321</v>
      </c>
    </row>
    <row r="22281" spans="1:6" ht="12.75">
      <c r="A22281" s="2">
        <v>43875.919722222221</v>
      </c>
      <c r="B22281" t="str">
        <f>HYPERLINK("https://twitter.com/Michael79820241","@Michael79820241")</f>
        <v>@Michael79820241</v>
      </c>
      <c r="C22281" t="s">
        <v>10114</v>
      </c>
      <c r="D22281">
        <v>18</v>
      </c>
      <c r="E22281">
        <v>0</v>
      </c>
      <c r="F22281">
        <v>93</v>
      </c>
    </row>
    <row r="22282" spans="1:6" ht="12.75">
      <c r="A22282" s="2">
        <v>43875.919710648144</v>
      </c>
      <c r="B22282" t="str">
        <f>HYPERLINK("https://twitter.com/cannelleu","@cannelleu")</f>
        <v>@cannelleu</v>
      </c>
      <c r="C22282" t="s">
        <v>2444</v>
      </c>
      <c r="D22282">
        <v>2979</v>
      </c>
      <c r="E22282">
        <v>0</v>
      </c>
      <c r="F22282">
        <v>239</v>
      </c>
    </row>
    <row r="22283" spans="1:6" ht="12.75">
      <c r="A22283" s="2">
        <v>43875.919664351852</v>
      </c>
      <c r="B22283" t="str">
        <f>HYPERLINK("https://twitter.com/su7loo","@su7loo")</f>
        <v>@su7loo</v>
      </c>
      <c r="C22283" t="s">
        <v>10114</v>
      </c>
      <c r="D22283">
        <v>18</v>
      </c>
      <c r="E22283">
        <v>0</v>
      </c>
      <c r="F22283">
        <v>972</v>
      </c>
    </row>
    <row r="22284" spans="1:6" ht="12.75">
      <c r="A22284" s="2">
        <v>43875.91951388889</v>
      </c>
      <c r="B22284" t="str">
        <f>HYPERLINK("https://twitter.com/AryPrasetyo_85","@AryPrasetyo_85")</f>
        <v>@AryPrasetyo_85</v>
      </c>
      <c r="C22284" t="s">
        <v>10142</v>
      </c>
      <c r="D22284">
        <v>6</v>
      </c>
      <c r="E22284">
        <v>0</v>
      </c>
      <c r="F22284">
        <v>5408</v>
      </c>
    </row>
    <row r="22285" spans="1:6" ht="12.75">
      <c r="A22285" s="2">
        <v>43875.91951388889</v>
      </c>
      <c r="B22285" t="str">
        <f>HYPERLINK("https://twitter.com/bukuberbagi100","@bukuberbagi100")</f>
        <v>@bukuberbagi100</v>
      </c>
      <c r="C22285" t="s">
        <v>7478</v>
      </c>
      <c r="D22285">
        <v>426</v>
      </c>
      <c r="E22285">
        <v>0</v>
      </c>
      <c r="F22285">
        <v>117</v>
      </c>
    </row>
    <row r="22286" spans="1:6" ht="12.75">
      <c r="A22286" s="2">
        <v>43875.919502314813</v>
      </c>
      <c r="B22286" t="str">
        <f>HYPERLINK("https://twitter.com/astriutr","@astriutr")</f>
        <v>@astriutr</v>
      </c>
      <c r="C22286" t="s">
        <v>2444</v>
      </c>
      <c r="D22286">
        <v>2979</v>
      </c>
      <c r="E22286">
        <v>0</v>
      </c>
      <c r="F22286">
        <v>731</v>
      </c>
    </row>
    <row r="22287" spans="1:6" ht="12.75">
      <c r="A22287" s="2">
        <v>43875.919502314813</v>
      </c>
      <c r="B22287" t="str">
        <f>HYPERLINK("https://twitter.com/twxlve","@twxlve")</f>
        <v>@twxlve</v>
      </c>
      <c r="C22287" t="s">
        <v>9964</v>
      </c>
      <c r="D22287">
        <v>644</v>
      </c>
      <c r="E22287">
        <v>0</v>
      </c>
      <c r="F22287">
        <v>825</v>
      </c>
    </row>
    <row r="22288" spans="1:6" ht="12.75">
      <c r="A22288" s="2">
        <v>43875.919479166667</v>
      </c>
      <c r="B22288" t="str">
        <f>HYPERLINK("https://twitter.com/nscboyd","@nscboyd")</f>
        <v>@nscboyd</v>
      </c>
      <c r="C22288" t="s">
        <v>3150</v>
      </c>
      <c r="D22288">
        <v>23</v>
      </c>
      <c r="E22288">
        <v>0</v>
      </c>
      <c r="F22288">
        <v>1223</v>
      </c>
    </row>
    <row r="22289" spans="1:6" ht="12.75">
      <c r="A22289" s="2">
        <v>43875.919432870374</v>
      </c>
      <c r="B22289" t="str">
        <f>HYPERLINK("https://twitter.com/mucharif_","@mucharif_")</f>
        <v>@mucharif_</v>
      </c>
      <c r="C22289" t="s">
        <v>2444</v>
      </c>
      <c r="D22289">
        <v>2979</v>
      </c>
      <c r="E22289">
        <v>0</v>
      </c>
      <c r="F22289">
        <v>246</v>
      </c>
    </row>
    <row r="22290" spans="1:6" ht="12.75">
      <c r="A22290" s="2">
        <v>43875.919398148151</v>
      </c>
      <c r="B22290" t="str">
        <f>HYPERLINK("https://twitter.com/abiemanyu035","@abiemanyu035")</f>
        <v>@abiemanyu035</v>
      </c>
      <c r="C22290" t="s">
        <v>9746</v>
      </c>
      <c r="D22290">
        <v>390</v>
      </c>
      <c r="E22290">
        <v>0</v>
      </c>
      <c r="F22290">
        <v>1222</v>
      </c>
    </row>
    <row r="22291" spans="1:6" ht="12.75">
      <c r="A22291" s="2">
        <v>43875.919398148151</v>
      </c>
      <c r="B22291" t="str">
        <f>HYPERLINK("https://twitter.com/upikelapkelip","@upikelapkelip")</f>
        <v>@upikelapkelip</v>
      </c>
      <c r="C22291" t="s">
        <v>7068</v>
      </c>
      <c r="D22291">
        <v>35</v>
      </c>
      <c r="E22291">
        <v>0</v>
      </c>
      <c r="F22291">
        <v>1954</v>
      </c>
    </row>
    <row r="22292" spans="1:6" ht="12.75">
      <c r="A22292" s="2">
        <v>43875.919236111113</v>
      </c>
      <c r="B22292" t="str">
        <f>HYPERLINK("https://twitter.com/cheseecxke","@cheseecxke")</f>
        <v>@cheseecxke</v>
      </c>
      <c r="C22292" t="s">
        <v>9123</v>
      </c>
      <c r="D22292">
        <v>302</v>
      </c>
      <c r="E22292">
        <v>0</v>
      </c>
      <c r="F22292">
        <v>797</v>
      </c>
    </row>
    <row r="22293" spans="1:6" ht="12.75">
      <c r="A22293" s="2">
        <v>43875.919236111113</v>
      </c>
      <c r="B22293" t="str">
        <f>HYPERLINK("https://twitter.com/atshushichun","@atshushichun")</f>
        <v>@atshushichun</v>
      </c>
      <c r="C22293" t="s">
        <v>10656</v>
      </c>
      <c r="D22293">
        <v>0</v>
      </c>
      <c r="E22293">
        <v>0</v>
      </c>
      <c r="F22293">
        <v>69</v>
      </c>
    </row>
    <row r="22294" spans="1:6" ht="12.75">
      <c r="A22294" s="2">
        <v>43875.919224537036</v>
      </c>
      <c r="B22294" t="str">
        <f>HYPERLINK("https://twitter.com/PenikmatSubsidi","@PenikmatSubsidi")</f>
        <v>@PenikmatSubsidi</v>
      </c>
      <c r="C22294" t="s">
        <v>10657</v>
      </c>
      <c r="D22294">
        <v>0</v>
      </c>
      <c r="E22294">
        <v>0</v>
      </c>
      <c r="F22294">
        <v>126</v>
      </c>
    </row>
    <row r="22295" spans="1:6" ht="12.75">
      <c r="A22295" s="2">
        <v>43875.919108796297</v>
      </c>
      <c r="B22295" t="str">
        <f>HYPERLINK("https://twitter.com/AnakKolong___","@AnakKolong___")</f>
        <v>@AnakKolong___</v>
      </c>
      <c r="C22295" t="s">
        <v>10658</v>
      </c>
      <c r="D22295">
        <v>1</v>
      </c>
      <c r="E22295">
        <v>0</v>
      </c>
      <c r="F22295">
        <v>5379</v>
      </c>
    </row>
    <row r="22296" spans="1:6" ht="12.75">
      <c r="A22296" s="2">
        <v>43875.919050925921</v>
      </c>
      <c r="B22296" t="str">
        <f>HYPERLINK("https://twitter.com/sguy_b","@sguy_b")</f>
        <v>@sguy_b</v>
      </c>
      <c r="C22296" t="s">
        <v>10659</v>
      </c>
      <c r="D22296">
        <v>0</v>
      </c>
      <c r="E22296">
        <v>0</v>
      </c>
      <c r="F22296">
        <v>0</v>
      </c>
    </row>
    <row r="22297" spans="1:6" ht="12.75">
      <c r="A22297" s="2">
        <v>43875.919039351851</v>
      </c>
      <c r="B22297" t="str">
        <f>HYPERLINK("https://twitter.com/saskiaanr","@saskiaanr")</f>
        <v>@saskiaanr</v>
      </c>
      <c r="C22297" t="s">
        <v>9123</v>
      </c>
      <c r="D22297">
        <v>302</v>
      </c>
      <c r="E22297">
        <v>0</v>
      </c>
      <c r="F22297">
        <v>717</v>
      </c>
    </row>
    <row r="22298" spans="1:6" ht="12.75">
      <c r="A22298" s="2">
        <v>43875.919004629628</v>
      </c>
      <c r="B22298" t="str">
        <f>HYPERLINK("https://twitter.com/cheseecxke","@cheseecxke")</f>
        <v>@cheseecxke</v>
      </c>
      <c r="C22298" t="s">
        <v>2444</v>
      </c>
      <c r="D22298">
        <v>2979</v>
      </c>
      <c r="E22298">
        <v>0</v>
      </c>
      <c r="F22298">
        <v>797</v>
      </c>
    </row>
    <row r="22299" spans="1:6" ht="12.75">
      <c r="A22299" s="2">
        <v>43875.918946759259</v>
      </c>
      <c r="B22299" t="str">
        <f>HYPERLINK("https://twitter.com/CindyaKyuniee","@CindyaKyuniee")</f>
        <v>@CindyaKyuniee</v>
      </c>
      <c r="C22299" t="s">
        <v>5168</v>
      </c>
      <c r="D22299">
        <v>1119</v>
      </c>
      <c r="E22299">
        <v>0</v>
      </c>
      <c r="F22299">
        <v>0</v>
      </c>
    </row>
    <row r="22300" spans="1:6" ht="12.75">
      <c r="A22300" s="2">
        <v>43875.918900462959</v>
      </c>
      <c r="B22300" t="str">
        <f>HYPERLINK("https://twitter.com/ibnuhan1ff","@ibnuhan1ff")</f>
        <v>@ibnuhan1ff</v>
      </c>
      <c r="C22300" t="s">
        <v>10660</v>
      </c>
      <c r="D22300">
        <v>0</v>
      </c>
      <c r="E22300">
        <v>0</v>
      </c>
      <c r="F22300">
        <v>142</v>
      </c>
    </row>
    <row r="22301" spans="1:6" ht="12.75">
      <c r="A22301" s="2">
        <v>43875.918888888889</v>
      </c>
      <c r="B22301" t="str">
        <f>HYPERLINK("https://twitter.com/himura89517038","@himura89517038")</f>
        <v>@himura89517038</v>
      </c>
      <c r="C22301" t="s">
        <v>9198</v>
      </c>
      <c r="D22301">
        <v>80</v>
      </c>
      <c r="E22301">
        <v>0</v>
      </c>
      <c r="F22301">
        <v>1669</v>
      </c>
    </row>
    <row r="22302" spans="1:6" ht="12.75">
      <c r="A22302" s="2">
        <v>43875.91883101852</v>
      </c>
      <c r="B22302" t="str">
        <f>HYPERLINK("https://twitter.com/Ipuulsaiful","@Ipuulsaiful")</f>
        <v>@Ipuulsaiful</v>
      </c>
      <c r="C22302" t="s">
        <v>2137</v>
      </c>
      <c r="D22302">
        <v>212</v>
      </c>
      <c r="E22302">
        <v>0</v>
      </c>
      <c r="F22302">
        <v>387</v>
      </c>
    </row>
    <row r="22303" spans="1:6" ht="12.75">
      <c r="A22303" s="2">
        <v>43875.918819444443</v>
      </c>
      <c r="B22303" t="str">
        <f>HYPERLINK("https://twitter.com/Yono98","@Yono98")</f>
        <v>@Yono98</v>
      </c>
      <c r="C22303" t="s">
        <v>10661</v>
      </c>
      <c r="D22303">
        <v>0</v>
      </c>
      <c r="E22303">
        <v>0</v>
      </c>
      <c r="F22303">
        <v>87</v>
      </c>
    </row>
    <row r="22304" spans="1:6" ht="12.75">
      <c r="A22304" s="2">
        <v>43875.918796296297</v>
      </c>
      <c r="B22304" t="str">
        <f>HYPERLINK("https://twitter.com/Binsarritonga96","@Binsarritonga96")</f>
        <v>@Binsarritonga96</v>
      </c>
      <c r="C22304" t="s">
        <v>2963</v>
      </c>
      <c r="D22304">
        <v>1161</v>
      </c>
      <c r="E22304">
        <v>0</v>
      </c>
      <c r="F22304">
        <v>228</v>
      </c>
    </row>
    <row r="22305" spans="1:6" ht="12.75">
      <c r="A22305" s="2">
        <v>43875.918773148151</v>
      </c>
      <c r="B22305" t="str">
        <f>HYPERLINK("https://twitter.com/annoyyiingg","@annoyyiingg")</f>
        <v>@annoyyiingg</v>
      </c>
      <c r="C22305" t="s">
        <v>10662</v>
      </c>
      <c r="D22305">
        <v>0</v>
      </c>
      <c r="E22305">
        <v>2</v>
      </c>
      <c r="F22305">
        <v>1127</v>
      </c>
    </row>
    <row r="22306" spans="1:6" ht="12.75">
      <c r="A22306" s="2">
        <v>43875.918738425928</v>
      </c>
      <c r="B22306" t="str">
        <f>HYPERLINK("https://twitter.com/zulilulelo","@zulilulelo")</f>
        <v>@zulilulelo</v>
      </c>
      <c r="C22306" t="s">
        <v>2444</v>
      </c>
      <c r="D22306">
        <v>2979</v>
      </c>
      <c r="E22306">
        <v>0</v>
      </c>
      <c r="F22306">
        <v>875</v>
      </c>
    </row>
    <row r="22307" spans="1:6" ht="12.75">
      <c r="A22307" s="2">
        <v>43875.918715277774</v>
      </c>
      <c r="B22307" t="str">
        <f>HYPERLINK("https://twitter.com/hariantoagus","@hariantoagus")</f>
        <v>@hariantoagus</v>
      </c>
      <c r="C22307" t="s">
        <v>10052</v>
      </c>
      <c r="D22307">
        <v>100</v>
      </c>
      <c r="E22307">
        <v>0</v>
      </c>
      <c r="F22307">
        <v>256</v>
      </c>
    </row>
    <row r="22308" spans="1:6" ht="12.75">
      <c r="A22308" s="2">
        <v>43875.918622685189</v>
      </c>
      <c r="B22308" t="str">
        <f>HYPERLINK("https://twitter.com/jr_kw19","@jr_kw19")</f>
        <v>@jr_kw19</v>
      </c>
      <c r="C22308" t="s">
        <v>10127</v>
      </c>
      <c r="D22308">
        <v>48</v>
      </c>
      <c r="E22308">
        <v>0</v>
      </c>
      <c r="F22308">
        <v>39496</v>
      </c>
    </row>
    <row r="22309" spans="1:6" ht="12.75">
      <c r="A22309" s="2">
        <v>43875.918599537035</v>
      </c>
      <c r="B22309" t="str">
        <f>HYPERLINK("https://twitter.com/cnixjuang","@cnixjuang")</f>
        <v>@cnixjuang</v>
      </c>
      <c r="C22309" t="s">
        <v>10663</v>
      </c>
      <c r="D22309">
        <v>2</v>
      </c>
      <c r="E22309">
        <v>0</v>
      </c>
      <c r="F22309">
        <v>1336</v>
      </c>
    </row>
    <row r="22310" spans="1:6" ht="12.75">
      <c r="A22310" s="2">
        <v>43875.918576388889</v>
      </c>
      <c r="B22310" t="str">
        <f>HYPERLINK("https://twitter.com/MariaTriastomo","@MariaTriastomo")</f>
        <v>@MariaTriastomo</v>
      </c>
      <c r="C22310" t="s">
        <v>2963</v>
      </c>
      <c r="D22310">
        <v>1161</v>
      </c>
      <c r="E22310">
        <v>0</v>
      </c>
      <c r="F22310">
        <v>574</v>
      </c>
    </row>
    <row r="22311" spans="1:6" ht="12.75">
      <c r="A22311" s="2">
        <v>43875.918553240743</v>
      </c>
      <c r="B22311" t="str">
        <f>HYPERLINK("https://twitter.com/ziialfsyd","@ziialfsyd")</f>
        <v>@ziialfsyd</v>
      </c>
      <c r="C22311" t="s">
        <v>2444</v>
      </c>
      <c r="D22311">
        <v>2979</v>
      </c>
      <c r="E22311">
        <v>0</v>
      </c>
      <c r="F22311">
        <v>704</v>
      </c>
    </row>
    <row r="22312" spans="1:6" ht="12.75">
      <c r="A22312" s="2">
        <v>43875.918553240743</v>
      </c>
      <c r="B22312" t="str">
        <f>HYPERLINK("https://twitter.com/whysato2","@whysato2")</f>
        <v>@whysato2</v>
      </c>
      <c r="C22312" t="s">
        <v>7478</v>
      </c>
      <c r="D22312">
        <v>426</v>
      </c>
      <c r="E22312">
        <v>0</v>
      </c>
      <c r="F22312">
        <v>748</v>
      </c>
    </row>
    <row r="22313" spans="1:6" ht="12.75">
      <c r="A22313" s="2">
        <v>43875.918541666666</v>
      </c>
      <c r="B22313" t="str">
        <f>HYPERLINK("https://twitter.com/JavaraaEthnic","@JavaraaEthnic")</f>
        <v>@JavaraaEthnic</v>
      </c>
      <c r="C22313" t="s">
        <v>9198</v>
      </c>
      <c r="D22313">
        <v>80</v>
      </c>
      <c r="E22313">
        <v>0</v>
      </c>
      <c r="F22313">
        <v>222</v>
      </c>
    </row>
    <row r="22314" spans="1:6" ht="12.75">
      <c r="A22314" s="2">
        <v>43875.918541666666</v>
      </c>
      <c r="B22314" t="str">
        <f>HYPERLINK("https://twitter.com/mamiagarislucu","@mamiagarislucu")</f>
        <v>@mamiagarislucu</v>
      </c>
      <c r="C22314" t="s">
        <v>10664</v>
      </c>
      <c r="D22314">
        <v>0</v>
      </c>
      <c r="E22314">
        <v>4</v>
      </c>
      <c r="F22314">
        <v>5174</v>
      </c>
    </row>
    <row r="22315" spans="1:6" ht="12.75">
      <c r="A22315" s="2">
        <v>43875.918530092589</v>
      </c>
      <c r="B22315" t="str">
        <f>HYPERLINK("https://twitter.com/cnixjuang","@cnixjuang")</f>
        <v>@cnixjuang</v>
      </c>
      <c r="C22315" t="s">
        <v>10665</v>
      </c>
      <c r="D22315">
        <v>2</v>
      </c>
      <c r="E22315">
        <v>0</v>
      </c>
      <c r="F22315">
        <v>1336</v>
      </c>
    </row>
    <row r="22316" spans="1:6" ht="12.75">
      <c r="A22316" s="2">
        <v>43875.918344907404</v>
      </c>
      <c r="B22316" t="str">
        <f>HYPERLINK("https://twitter.com/RezkiSobri","@RezkiSobri")</f>
        <v>@RezkiSobri</v>
      </c>
      <c r="C22316" t="s">
        <v>8328</v>
      </c>
      <c r="D22316">
        <v>38</v>
      </c>
      <c r="E22316">
        <v>0</v>
      </c>
      <c r="F22316">
        <v>24</v>
      </c>
    </row>
    <row r="22317" spans="1:6" ht="12.75">
      <c r="A22317" s="2">
        <v>43875.918344907404</v>
      </c>
      <c r="B22317" t="str">
        <f>HYPERLINK("https://twitter.com/lalaland_uii","@lalaland_uii")</f>
        <v>@lalaland_uii</v>
      </c>
      <c r="C22317" t="s">
        <v>10666</v>
      </c>
      <c r="D22317">
        <v>4</v>
      </c>
      <c r="E22317">
        <v>0</v>
      </c>
      <c r="F22317">
        <v>342</v>
      </c>
    </row>
    <row r="22318" spans="1:6" ht="12.75">
      <c r="A22318" s="2">
        <v>43875.918333333335</v>
      </c>
      <c r="B22318" t="str">
        <f>HYPERLINK("https://twitter.com/deeSign1207","@deeSign1207")</f>
        <v>@deeSign1207</v>
      </c>
      <c r="C22318" t="s">
        <v>8754</v>
      </c>
      <c r="D22318">
        <v>8</v>
      </c>
      <c r="E22318">
        <v>0</v>
      </c>
      <c r="F22318">
        <v>344</v>
      </c>
    </row>
    <row r="22319" spans="1:6" ht="12.75">
      <c r="A22319" s="2">
        <v>43875.918310185181</v>
      </c>
      <c r="B22319" t="str">
        <f>HYPERLINK("https://twitter.com/MohammadShaleh4","@MohammadShaleh4")</f>
        <v>@MohammadShaleh4</v>
      </c>
      <c r="C22319" t="s">
        <v>2963</v>
      </c>
      <c r="D22319">
        <v>1161</v>
      </c>
      <c r="E22319">
        <v>0</v>
      </c>
      <c r="F22319">
        <v>2314</v>
      </c>
    </row>
    <row r="22320" spans="1:6" ht="12.75">
      <c r="A22320" s="2">
        <v>43875.918263888889</v>
      </c>
      <c r="B22320" t="str">
        <f>HYPERLINK("https://twitter.com/primitisme","@primitisme")</f>
        <v>@primitisme</v>
      </c>
      <c r="C22320" t="s">
        <v>10667</v>
      </c>
      <c r="D22320">
        <v>0</v>
      </c>
      <c r="E22320">
        <v>0</v>
      </c>
      <c r="F22320">
        <v>910</v>
      </c>
    </row>
    <row r="22321" spans="1:6" ht="12.75">
      <c r="A22321" s="2">
        <v>43875.918217592596</v>
      </c>
      <c r="B22321" t="str">
        <f>HYPERLINK("https://twitter.com/e_wen28","@e_wen28")</f>
        <v>@e_wen28</v>
      </c>
      <c r="C22321" t="s">
        <v>2094</v>
      </c>
      <c r="D22321">
        <v>160</v>
      </c>
      <c r="E22321">
        <v>0</v>
      </c>
      <c r="F22321">
        <v>15</v>
      </c>
    </row>
    <row r="22322" spans="1:6" ht="12.75">
      <c r="A22322" s="2">
        <v>43875.918182870373</v>
      </c>
      <c r="B22322" t="str">
        <f>HYPERLINK("https://twitter.com/puyuikkk","@puyuikkk")</f>
        <v>@puyuikkk</v>
      </c>
      <c r="C22322" t="s">
        <v>10668</v>
      </c>
      <c r="D22322">
        <v>0</v>
      </c>
      <c r="E22322">
        <v>0</v>
      </c>
      <c r="F22322">
        <v>77</v>
      </c>
    </row>
    <row r="22323" spans="1:6" ht="12.75">
      <c r="A22323" s="2">
        <v>43875.918171296296</v>
      </c>
      <c r="B22323" t="str">
        <f>HYPERLINK("https://twitter.com/mewcaa","@mewcaa")</f>
        <v>@mewcaa</v>
      </c>
      <c r="C22323" t="s">
        <v>10669</v>
      </c>
      <c r="D22323">
        <v>0</v>
      </c>
      <c r="E22323">
        <v>0</v>
      </c>
      <c r="F22323">
        <v>36</v>
      </c>
    </row>
    <row r="22324" spans="1:6" ht="12.75">
      <c r="A22324" s="2">
        <v>43875.918113425927</v>
      </c>
      <c r="B22324" t="str">
        <f>HYPERLINK("https://twitter.com/ErvineKiddies","@ErvineKiddies")</f>
        <v>@ErvineKiddies</v>
      </c>
      <c r="C22324" t="s">
        <v>10670</v>
      </c>
      <c r="D22324">
        <v>0</v>
      </c>
      <c r="E22324">
        <v>0</v>
      </c>
      <c r="F22324">
        <v>738</v>
      </c>
    </row>
    <row r="22325" spans="1:6" ht="12.75">
      <c r="A22325" s="2">
        <v>43875.918090277773</v>
      </c>
      <c r="B22325" t="str">
        <f>HYPERLINK("https://twitter.com/xorion_","@xorion_")</f>
        <v>@xorion_</v>
      </c>
      <c r="C22325" t="s">
        <v>6901</v>
      </c>
      <c r="D22325">
        <v>3</v>
      </c>
      <c r="E22325">
        <v>0</v>
      </c>
      <c r="F22325">
        <v>343</v>
      </c>
    </row>
    <row r="22326" spans="1:6" ht="12.75">
      <c r="A22326" s="2">
        <v>43875.917939814812</v>
      </c>
      <c r="B22326" t="str">
        <f>HYPERLINK("https://twitter.com/BucinnyaBuavita","@BucinnyaBuavita")</f>
        <v>@BucinnyaBuavita</v>
      </c>
      <c r="C22326" t="s">
        <v>2444</v>
      </c>
      <c r="D22326">
        <v>2773</v>
      </c>
      <c r="E22326">
        <v>0</v>
      </c>
      <c r="F22326">
        <v>1070</v>
      </c>
    </row>
    <row r="22327" spans="1:6" ht="12.75">
      <c r="A22327" s="2">
        <v>43875.917939814812</v>
      </c>
      <c r="B22327" t="str">
        <f>HYPERLINK("https://twitter.com/sabriahrazak","@sabriahrazak")</f>
        <v>@sabriahrazak</v>
      </c>
      <c r="C22327" t="s">
        <v>7478</v>
      </c>
      <c r="D22327">
        <v>399</v>
      </c>
      <c r="E22327">
        <v>0</v>
      </c>
      <c r="F22327">
        <v>2276</v>
      </c>
    </row>
    <row r="22328" spans="1:6" ht="12.75">
      <c r="A22328" s="2">
        <v>43875.917893518519</v>
      </c>
      <c r="B22328" t="str">
        <f>HYPERLINK("https://twitter.com/JohnIrwan4","@JohnIrwan4")</f>
        <v>@JohnIrwan4</v>
      </c>
      <c r="C22328" t="s">
        <v>10671</v>
      </c>
      <c r="D22328">
        <v>1</v>
      </c>
      <c r="E22328">
        <v>0</v>
      </c>
      <c r="F22328">
        <v>2126</v>
      </c>
    </row>
    <row r="22329" spans="1:6" ht="12.75">
      <c r="A22329" s="2">
        <v>43875.917870370366</v>
      </c>
      <c r="B22329" t="str">
        <f>HYPERLINK("https://twitter.com/imyourvisual_","@imyourvisual_")</f>
        <v>@imyourvisual_</v>
      </c>
      <c r="C22329" t="s">
        <v>2444</v>
      </c>
      <c r="D22329">
        <v>2773</v>
      </c>
      <c r="E22329">
        <v>0</v>
      </c>
      <c r="F22329">
        <v>134</v>
      </c>
    </row>
    <row r="22330" spans="1:6" ht="12.75">
      <c r="A22330" s="2">
        <v>43875.917719907404</v>
      </c>
      <c r="B22330" t="str">
        <f>HYPERLINK("https://twitter.com/kehednying","@kehednying")</f>
        <v>@kehednying</v>
      </c>
      <c r="C22330" t="s">
        <v>2444</v>
      </c>
      <c r="D22330">
        <v>2773</v>
      </c>
      <c r="E22330">
        <v>0</v>
      </c>
      <c r="F22330">
        <v>1373</v>
      </c>
    </row>
    <row r="22331" spans="1:6" ht="12.75">
      <c r="A22331" s="2">
        <v>43875.917685185181</v>
      </c>
      <c r="B22331" t="str">
        <f>HYPERLINK("https://twitter.com/TribunNew5","@TribunNew5")</f>
        <v>@TribunNew5</v>
      </c>
      <c r="C22331" t="s">
        <v>10672</v>
      </c>
      <c r="D22331">
        <v>0</v>
      </c>
      <c r="E22331">
        <v>0</v>
      </c>
      <c r="F22331">
        <v>516</v>
      </c>
    </row>
    <row r="22332" spans="1:6" ht="12.75">
      <c r="A22332" s="2">
        <v>43875.917662037042</v>
      </c>
      <c r="B22332" t="str">
        <f>HYPERLINK("https://twitter.com/bobotohchelseas","@bobotohchelseas")</f>
        <v>@bobotohchelseas</v>
      </c>
      <c r="C22332" t="s">
        <v>9746</v>
      </c>
      <c r="D22332">
        <v>371</v>
      </c>
      <c r="E22332">
        <v>0</v>
      </c>
      <c r="F22332">
        <v>376</v>
      </c>
    </row>
    <row r="22333" spans="1:6" ht="12.75">
      <c r="A22333" s="2">
        <v>43875.917592592596</v>
      </c>
      <c r="B22333" t="str">
        <f>HYPERLINK("https://twitter.com/dul_cemonk","@dul_cemonk")</f>
        <v>@dul_cemonk</v>
      </c>
      <c r="C22333" t="s">
        <v>10673</v>
      </c>
      <c r="D22333">
        <v>0</v>
      </c>
      <c r="E22333">
        <v>0</v>
      </c>
      <c r="F22333">
        <v>524</v>
      </c>
    </row>
    <row r="22334" spans="1:6" ht="12.75">
      <c r="A22334" s="2">
        <v>43875.917592592596</v>
      </c>
      <c r="B22334" t="str">
        <f>HYPERLINK("https://twitter.com/thaniaoh","@thaniaoh")</f>
        <v>@thaniaoh</v>
      </c>
      <c r="C22334" t="s">
        <v>9067</v>
      </c>
      <c r="D22334">
        <v>51</v>
      </c>
      <c r="E22334">
        <v>0</v>
      </c>
      <c r="F22334">
        <v>29</v>
      </c>
    </row>
    <row r="22335" spans="1:6" ht="12.75">
      <c r="A22335" s="2">
        <v>43875.917395833334</v>
      </c>
      <c r="B22335" t="str">
        <f>HYPERLINK("https://twitter.com/ParfumPriaMurah","@ParfumPriaMurah")</f>
        <v>@ParfumPriaMurah</v>
      </c>
      <c r="C22335" t="s">
        <v>10674</v>
      </c>
      <c r="D22335">
        <v>0</v>
      </c>
      <c r="E22335">
        <v>0</v>
      </c>
      <c r="F22335">
        <v>21</v>
      </c>
    </row>
    <row r="22336" spans="1:6" ht="12.75">
      <c r="A22336" s="2">
        <v>43875.917395833334</v>
      </c>
      <c r="B22336" t="str">
        <f>HYPERLINK("https://twitter.com/pet_meh","@pet_meh")</f>
        <v>@pet_meh</v>
      </c>
      <c r="C22336" t="s">
        <v>5168</v>
      </c>
      <c r="D22336">
        <v>1055</v>
      </c>
      <c r="E22336">
        <v>0</v>
      </c>
      <c r="F22336">
        <v>53</v>
      </c>
    </row>
    <row r="22337" spans="1:6" ht="12.75">
      <c r="A22337" s="2">
        <v>43875.917349537034</v>
      </c>
      <c r="B22337" t="str">
        <f>HYPERLINK("https://twitter.com/akramamir_","@akramamir_")</f>
        <v>@akramamir_</v>
      </c>
      <c r="C22337" t="s">
        <v>10675</v>
      </c>
      <c r="D22337">
        <v>0</v>
      </c>
      <c r="E22337">
        <v>0</v>
      </c>
      <c r="F22337">
        <v>150</v>
      </c>
    </row>
    <row r="22338" spans="1:6" ht="12.75">
      <c r="A22338" s="2">
        <v>43875.917337962965</v>
      </c>
      <c r="B22338" t="str">
        <f>HYPERLINK("https://twitter.com/VakehElfa","@VakehElfa")</f>
        <v>@VakehElfa</v>
      </c>
      <c r="C22338" t="s">
        <v>2444</v>
      </c>
      <c r="D22338">
        <v>2773</v>
      </c>
      <c r="E22338">
        <v>0</v>
      </c>
      <c r="F22338">
        <v>972</v>
      </c>
    </row>
    <row r="22339" spans="1:6" ht="12.75">
      <c r="A22339" s="2">
        <v>43875.917291666672</v>
      </c>
      <c r="B22339" t="str">
        <f>HYPERLINK("https://twitter.com/Lalampa2","@Lalampa2")</f>
        <v>@Lalampa2</v>
      </c>
      <c r="C22339" t="s">
        <v>6201</v>
      </c>
      <c r="D22339">
        <v>240</v>
      </c>
      <c r="E22339">
        <v>0</v>
      </c>
      <c r="F22339">
        <v>470</v>
      </c>
    </row>
    <row r="22340" spans="1:6" ht="12.75">
      <c r="A22340" s="2">
        <v>43875.917256944449</v>
      </c>
      <c r="B22340" t="str">
        <f>HYPERLINK("https://twitter.com/PASPAS05177012","@PASPAS05177012")</f>
        <v>@PASPAS05177012</v>
      </c>
      <c r="C22340" t="s">
        <v>6201</v>
      </c>
      <c r="D22340">
        <v>240</v>
      </c>
      <c r="E22340">
        <v>0</v>
      </c>
      <c r="F22340">
        <v>99</v>
      </c>
    </row>
    <row r="22341" spans="1:6" ht="12.75">
      <c r="A22341" s="2">
        <v>43875.917164351849</v>
      </c>
      <c r="B22341" t="str">
        <f>HYPERLINK("https://twitter.com/juventinaElysia","@juventinaElysia")</f>
        <v>@juventinaElysia</v>
      </c>
      <c r="C22341" t="s">
        <v>10057</v>
      </c>
      <c r="D22341">
        <v>8</v>
      </c>
      <c r="E22341">
        <v>0</v>
      </c>
      <c r="F22341">
        <v>5245</v>
      </c>
    </row>
    <row r="22342" spans="1:6" ht="12.75">
      <c r="A22342" s="2">
        <v>43875.917094907403</v>
      </c>
      <c r="B22342" t="str">
        <f>HYPERLINK("https://twitter.com/sulistyo_np","@sulistyo_np")</f>
        <v>@sulistyo_np</v>
      </c>
      <c r="C22342" t="s">
        <v>2444</v>
      </c>
      <c r="D22342">
        <v>2773</v>
      </c>
      <c r="E22342">
        <v>0</v>
      </c>
      <c r="F22342">
        <v>174</v>
      </c>
    </row>
    <row r="22343" spans="1:6" ht="12.75">
      <c r="A22343" s="2">
        <v>43875.917025462964</v>
      </c>
      <c r="B22343" t="str">
        <f>HYPERLINK("https://twitter.com/alreadyourssss","@alreadyourssss")</f>
        <v>@alreadyourssss</v>
      </c>
      <c r="C22343" t="s">
        <v>2444</v>
      </c>
      <c r="D22343">
        <v>2773</v>
      </c>
      <c r="E22343">
        <v>0</v>
      </c>
      <c r="F22343">
        <v>610</v>
      </c>
    </row>
    <row r="22344" spans="1:6" ht="12.75">
      <c r="A22344" s="2">
        <v>43875.916990740741</v>
      </c>
      <c r="B22344" t="str">
        <f>HYPERLINK("https://twitter.com/DigdayaSigit","@DigdayaSigit")</f>
        <v>@DigdayaSigit</v>
      </c>
      <c r="C22344" t="s">
        <v>6201</v>
      </c>
      <c r="D22344">
        <v>240</v>
      </c>
      <c r="E22344">
        <v>0</v>
      </c>
      <c r="F22344">
        <v>26</v>
      </c>
    </row>
    <row r="22345" spans="1:6" ht="12.75">
      <c r="A22345" s="2">
        <v>43875.916944444441</v>
      </c>
      <c r="B22345" t="str">
        <f>HYPERLINK("https://twitter.com/3fbc29e221d2462","@3fbc29e221d2462")</f>
        <v>@3fbc29e221d2462</v>
      </c>
      <c r="C22345" t="s">
        <v>10676</v>
      </c>
      <c r="D22345">
        <v>0</v>
      </c>
      <c r="E22345">
        <v>0</v>
      </c>
      <c r="F22345">
        <v>1</v>
      </c>
    </row>
    <row r="22346" spans="1:6" ht="12.75">
      <c r="A22346" s="2">
        <v>43875.916851851856</v>
      </c>
      <c r="B22346" t="str">
        <f>HYPERLINK("https://twitter.com/Aryprasetyo85","@Aryprasetyo85")</f>
        <v>@Aryprasetyo85</v>
      </c>
      <c r="C22346" t="s">
        <v>10677</v>
      </c>
      <c r="D22346">
        <v>0</v>
      </c>
      <c r="E22346">
        <v>7</v>
      </c>
      <c r="F22346">
        <v>38587</v>
      </c>
    </row>
    <row r="22347" spans="1:6" ht="12.75">
      <c r="A22347" s="2">
        <v>43875.916817129633</v>
      </c>
      <c r="B22347" t="str">
        <f>HYPERLINK("https://twitter.com/whysato2","@whysato2")</f>
        <v>@whysato2</v>
      </c>
      <c r="C22347" t="s">
        <v>9746</v>
      </c>
      <c r="D22347">
        <v>371</v>
      </c>
      <c r="E22347">
        <v>0</v>
      </c>
      <c r="F22347">
        <v>748</v>
      </c>
    </row>
    <row r="22348" spans="1:6" ht="12.75">
      <c r="A22348" s="2">
        <v>43875.916817129633</v>
      </c>
      <c r="B22348" t="str">
        <f>HYPERLINK("https://twitter.com/khairul72084715","@khairul72084715")</f>
        <v>@khairul72084715</v>
      </c>
      <c r="C22348" t="s">
        <v>6201</v>
      </c>
      <c r="D22348">
        <v>240</v>
      </c>
      <c r="E22348">
        <v>0</v>
      </c>
      <c r="F22348">
        <v>11</v>
      </c>
    </row>
    <row r="22349" spans="1:6" ht="12.75">
      <c r="A22349" s="2">
        <v>43875.91678240741</v>
      </c>
      <c r="B22349" t="str">
        <f>HYPERLINK("https://twitter.com/dumbledokyungso","@dumbledokyungso")</f>
        <v>@dumbledokyungso</v>
      </c>
      <c r="C22349" t="s">
        <v>2444</v>
      </c>
      <c r="D22349">
        <v>2773</v>
      </c>
      <c r="E22349">
        <v>0</v>
      </c>
      <c r="F22349">
        <v>243</v>
      </c>
    </row>
    <row r="22350" spans="1:6" ht="12.75">
      <c r="A22350" s="2">
        <v>43875.916770833333</v>
      </c>
      <c r="B22350" t="str">
        <f>HYPERLINK("https://twitter.com/calcarbonate","@calcarbonate")</f>
        <v>@calcarbonate</v>
      </c>
      <c r="C22350" t="s">
        <v>2444</v>
      </c>
      <c r="D22350">
        <v>2773</v>
      </c>
      <c r="E22350">
        <v>0</v>
      </c>
      <c r="F22350">
        <v>86</v>
      </c>
    </row>
    <row r="22351" spans="1:6" ht="12.75">
      <c r="A22351" s="2">
        <v>43875.916724537034</v>
      </c>
      <c r="B22351" t="str">
        <f>HYPERLINK("https://twitter.com/MTarutung","@MTarutung")</f>
        <v>@MTarutung</v>
      </c>
      <c r="C22351" t="s">
        <v>6201</v>
      </c>
      <c r="D22351">
        <v>240</v>
      </c>
      <c r="E22351">
        <v>0</v>
      </c>
      <c r="F22351">
        <v>321</v>
      </c>
    </row>
    <row r="22352" spans="1:6" ht="12.75">
      <c r="A22352" s="2">
        <v>43875.916724537034</v>
      </c>
      <c r="B22352" t="str">
        <f>HYPERLINK("https://twitter.com/Lalampa2","@Lalampa2")</f>
        <v>@Lalampa2</v>
      </c>
      <c r="C22352" t="s">
        <v>7478</v>
      </c>
      <c r="D22352">
        <v>399</v>
      </c>
      <c r="E22352">
        <v>0</v>
      </c>
      <c r="F22352">
        <v>470</v>
      </c>
    </row>
    <row r="22353" spans="1:6" ht="12.75">
      <c r="A22353" s="2">
        <v>43875.916620370372</v>
      </c>
      <c r="B22353" t="str">
        <f>HYPERLINK("https://twitter.com/Hadi_Sucipto9","@Hadi_Sucipto9")</f>
        <v>@Hadi_Sucipto9</v>
      </c>
      <c r="C22353" t="s">
        <v>2963</v>
      </c>
      <c r="D22353">
        <v>1128</v>
      </c>
      <c r="E22353">
        <v>0</v>
      </c>
      <c r="F22353">
        <v>50</v>
      </c>
    </row>
    <row r="22354" spans="1:6" ht="12.75">
      <c r="A22354" s="2">
        <v>43875.916620370372</v>
      </c>
      <c r="B22354" t="str">
        <f>HYPERLINK("https://twitter.com/k_theod","@k_theod")</f>
        <v>@k_theod</v>
      </c>
      <c r="C22354" t="s">
        <v>9082</v>
      </c>
      <c r="D22354">
        <v>68</v>
      </c>
      <c r="E22354">
        <v>0</v>
      </c>
      <c r="F22354">
        <v>21</v>
      </c>
    </row>
    <row r="22355" spans="1:6" ht="12.75">
      <c r="A22355" s="2">
        <v>43875.916493055556</v>
      </c>
      <c r="B22355" t="str">
        <f>HYPERLINK("https://twitter.com/ehjagaya","@ehjagaya")</f>
        <v>@ehjagaya</v>
      </c>
      <c r="C22355" t="s">
        <v>10678</v>
      </c>
      <c r="D22355">
        <v>0</v>
      </c>
      <c r="E22355">
        <v>2</v>
      </c>
      <c r="F22355">
        <v>287</v>
      </c>
    </row>
    <row r="22356" spans="1:6" ht="12.75">
      <c r="A22356" s="2">
        <v>43875.916458333333</v>
      </c>
      <c r="B22356" t="str">
        <f>HYPERLINK("https://twitter.com/sukamiesedap","@sukamiesedap")</f>
        <v>@sukamiesedap</v>
      </c>
      <c r="C22356" t="s">
        <v>10679</v>
      </c>
      <c r="D22356">
        <v>0</v>
      </c>
      <c r="E22356">
        <v>0</v>
      </c>
      <c r="F22356">
        <v>40</v>
      </c>
    </row>
    <row r="22357" spans="1:6" ht="12.75">
      <c r="A22357" s="2">
        <v>43875.916446759264</v>
      </c>
      <c r="B22357" t="str">
        <f>HYPERLINK("https://twitter.com/abethcia","@abethcia")</f>
        <v>@abethcia</v>
      </c>
      <c r="C22357" t="s">
        <v>10680</v>
      </c>
      <c r="D22357">
        <v>0</v>
      </c>
      <c r="E22357">
        <v>0</v>
      </c>
      <c r="F22357">
        <v>717</v>
      </c>
    </row>
    <row r="22358" spans="1:6" ht="12.75">
      <c r="A22358" s="2">
        <v>43875.916400462964</v>
      </c>
      <c r="B22358" t="str">
        <f>HYPERLINK("https://twitter.com/ipan__","@ipan__")</f>
        <v>@ipan__</v>
      </c>
      <c r="C22358" t="s">
        <v>10681</v>
      </c>
      <c r="D22358">
        <v>0</v>
      </c>
      <c r="E22358">
        <v>0</v>
      </c>
      <c r="F22358">
        <v>564</v>
      </c>
    </row>
    <row r="22359" spans="1:6" ht="12.75">
      <c r="A22359" s="2">
        <v>43875.916365740741</v>
      </c>
      <c r="B22359" t="str">
        <f>HYPERLINK("https://twitter.com/totsky88","@totsky88")</f>
        <v>@totsky88</v>
      </c>
      <c r="C22359" t="s">
        <v>2963</v>
      </c>
      <c r="D22359">
        <v>1128</v>
      </c>
      <c r="E22359">
        <v>0</v>
      </c>
      <c r="F22359">
        <v>577</v>
      </c>
    </row>
    <row r="22360" spans="1:6" ht="12.75">
      <c r="A22360" s="2">
        <v>43875.916226851856</v>
      </c>
      <c r="B22360" t="str">
        <f>HYPERLINK("https://twitter.com/UunAri","@UunAri")</f>
        <v>@UunAri</v>
      </c>
      <c r="C22360" t="s">
        <v>2444</v>
      </c>
      <c r="D22360">
        <v>2773</v>
      </c>
      <c r="E22360">
        <v>0</v>
      </c>
      <c r="F22360">
        <v>557</v>
      </c>
    </row>
    <row r="22361" spans="1:6" ht="12.75">
      <c r="A22361" s="2">
        <v>43875.916168981479</v>
      </c>
      <c r="B22361" t="str">
        <f>HYPERLINK("https://twitter.com/PUTRASA89900130","@PUTRASA89900130")</f>
        <v>@PUTRASA89900130</v>
      </c>
      <c r="C22361" t="s">
        <v>10682</v>
      </c>
      <c r="D22361">
        <v>1</v>
      </c>
      <c r="E22361">
        <v>0</v>
      </c>
      <c r="F22361">
        <v>0</v>
      </c>
    </row>
    <row r="22362" spans="1:6" ht="12.75">
      <c r="A22362" s="2">
        <v>43875.916134259256</v>
      </c>
      <c r="B22362" t="str">
        <f>HYPERLINK("https://twitter.com/amrudinnejad_","@amrudinnejad_")</f>
        <v>@amrudinnejad_</v>
      </c>
      <c r="C22362" t="s">
        <v>10083</v>
      </c>
      <c r="D22362">
        <v>35</v>
      </c>
      <c r="E22362">
        <v>0</v>
      </c>
      <c r="F22362">
        <v>7750</v>
      </c>
    </row>
    <row r="22363" spans="1:6" ht="12.75">
      <c r="A22363" s="2">
        <v>43875.916134259256</v>
      </c>
      <c r="B22363" t="str">
        <f>HYPERLINK("https://twitter.com/PUTRASA89900130","@PUTRASA89900130")</f>
        <v>@PUTRASA89900130</v>
      </c>
      <c r="C22363" t="s">
        <v>10683</v>
      </c>
      <c r="D22363">
        <v>1</v>
      </c>
      <c r="E22363">
        <v>0</v>
      </c>
      <c r="F22363">
        <v>0</v>
      </c>
    </row>
    <row r="22364" spans="1:6" ht="12.75">
      <c r="A22364" s="2">
        <v>43875.916134259256</v>
      </c>
      <c r="B22364" t="str">
        <f>HYPERLINK("https://twitter.com/Ndrews1162011","@Ndrews1162011")</f>
        <v>@Ndrews1162011</v>
      </c>
      <c r="C22364" t="s">
        <v>10684</v>
      </c>
      <c r="D22364">
        <v>0</v>
      </c>
      <c r="E22364">
        <v>0</v>
      </c>
      <c r="F22364">
        <v>1139</v>
      </c>
    </row>
    <row r="22365" spans="1:6" ht="12.75">
      <c r="A22365" s="2">
        <v>43875.916087962964</v>
      </c>
      <c r="B22365" t="str">
        <f>HYPERLINK("https://twitter.com/nabillatifaa","@nabillatifaa")</f>
        <v>@nabillatifaa</v>
      </c>
      <c r="C22365" t="s">
        <v>2444</v>
      </c>
      <c r="D22365">
        <v>2773</v>
      </c>
      <c r="E22365">
        <v>0</v>
      </c>
      <c r="F22365">
        <v>345</v>
      </c>
    </row>
    <row r="22366" spans="1:6" ht="12.75">
      <c r="A22366" s="2">
        <v>43875.916076388894</v>
      </c>
      <c r="B22366" t="str">
        <f t="shared" ref="B22366:B22367" si="331">HYPERLINK("https://twitter.com/PUTRASA89900130","@PUTRASA89900130")</f>
        <v>@PUTRASA89900130</v>
      </c>
      <c r="C22366" t="s">
        <v>10663</v>
      </c>
      <c r="D22366">
        <v>1</v>
      </c>
      <c r="E22366">
        <v>0</v>
      </c>
      <c r="F22366">
        <v>0</v>
      </c>
    </row>
    <row r="22367" spans="1:6" ht="12.75">
      <c r="A22367" s="2">
        <v>43875.916041666671</v>
      </c>
      <c r="B22367" t="str">
        <f t="shared" si="331"/>
        <v>@PUTRASA89900130</v>
      </c>
      <c r="C22367" t="s">
        <v>10665</v>
      </c>
      <c r="D22367">
        <v>1</v>
      </c>
      <c r="E22367">
        <v>0</v>
      </c>
      <c r="F22367">
        <v>0</v>
      </c>
    </row>
    <row r="22368" spans="1:6" ht="12.75">
      <c r="A22368" s="2">
        <v>43875.916041666671</v>
      </c>
      <c r="B22368" t="str">
        <f t="shared" ref="B22368:B22369" si="332">HYPERLINK("https://twitter.com/SSF015","@SSF015")</f>
        <v>@SSF015</v>
      </c>
      <c r="C22368" t="s">
        <v>9067</v>
      </c>
      <c r="D22368">
        <v>51</v>
      </c>
      <c r="E22368">
        <v>0</v>
      </c>
      <c r="F22368">
        <v>760</v>
      </c>
    </row>
    <row r="22369" spans="1:6" ht="12.75">
      <c r="A22369" s="2">
        <v>43875.915937500002</v>
      </c>
      <c r="B22369" t="str">
        <f t="shared" si="332"/>
        <v>@SSF015</v>
      </c>
      <c r="C22369" t="s">
        <v>2444</v>
      </c>
      <c r="D22369">
        <v>2773</v>
      </c>
      <c r="E22369">
        <v>0</v>
      </c>
      <c r="F22369">
        <v>760</v>
      </c>
    </row>
    <row r="22370" spans="1:6" ht="12.75">
      <c r="A22370" s="2">
        <v>43875.915798611109</v>
      </c>
      <c r="B22370" t="str">
        <f>HYPERLINK("https://twitter.com/aragorn_bang","@aragorn_bang")</f>
        <v>@aragorn_bang</v>
      </c>
      <c r="C22370" t="s">
        <v>10057</v>
      </c>
      <c r="D22370">
        <v>8</v>
      </c>
      <c r="E22370">
        <v>0</v>
      </c>
      <c r="F22370">
        <v>788</v>
      </c>
    </row>
    <row r="22371" spans="1:6" ht="12.75">
      <c r="A22371" s="2">
        <v>43875.915775462963</v>
      </c>
      <c r="B22371" t="str">
        <f>HYPERLINK("https://twitter.com/Arthasarim","@Arthasarim")</f>
        <v>@Arthasarim</v>
      </c>
      <c r="C22371" t="s">
        <v>5168</v>
      </c>
      <c r="D22371">
        <v>1055</v>
      </c>
      <c r="E22371">
        <v>0</v>
      </c>
      <c r="F22371">
        <v>93</v>
      </c>
    </row>
    <row r="22372" spans="1:6" ht="12.75">
      <c r="A22372" s="2">
        <v>43875.915763888886</v>
      </c>
      <c r="B22372" t="str">
        <f>HYPERLINK("https://twitter.com/summernyth","@summernyth")</f>
        <v>@summernyth</v>
      </c>
      <c r="C22372" t="s">
        <v>2444</v>
      </c>
      <c r="D22372">
        <v>2773</v>
      </c>
      <c r="E22372">
        <v>0</v>
      </c>
      <c r="F22372">
        <v>29</v>
      </c>
    </row>
    <row r="22373" spans="1:6" ht="12.75">
      <c r="A22373" s="2">
        <v>43875.91569444444</v>
      </c>
      <c r="B22373" t="str">
        <f>HYPERLINK("https://twitter.com/diananana_na","@diananana_na")</f>
        <v>@diananana_na</v>
      </c>
      <c r="C22373" t="s">
        <v>2444</v>
      </c>
      <c r="D22373">
        <v>2773</v>
      </c>
      <c r="E22373">
        <v>0</v>
      </c>
      <c r="F22373">
        <v>195</v>
      </c>
    </row>
    <row r="22374" spans="1:6" ht="12.75">
      <c r="A22374" s="2">
        <v>43875.915682870371</v>
      </c>
      <c r="B22374" t="str">
        <f>HYPERLINK("https://twitter.com/hemaviton99","@hemaviton99")</f>
        <v>@hemaviton99</v>
      </c>
      <c r="C22374" t="s">
        <v>10057</v>
      </c>
      <c r="D22374">
        <v>8</v>
      </c>
      <c r="E22374">
        <v>0</v>
      </c>
      <c r="F22374">
        <v>3556</v>
      </c>
    </row>
    <row r="22375" spans="1:6" ht="12.75">
      <c r="A22375" s="2">
        <v>43875.915682870371</v>
      </c>
      <c r="B22375" t="str">
        <f>HYPERLINK("https://twitter.com/SitompulYunus","@SitompulYunus")</f>
        <v>@SitompulYunus</v>
      </c>
      <c r="C22375" t="s">
        <v>10685</v>
      </c>
      <c r="D22375">
        <v>0</v>
      </c>
      <c r="E22375">
        <v>0</v>
      </c>
      <c r="F22375">
        <v>847</v>
      </c>
    </row>
    <row r="22376" spans="1:6" ht="12.75">
      <c r="A22376" s="2">
        <v>43875.915671296301</v>
      </c>
      <c r="B22376" t="str">
        <f>HYPERLINK("https://twitter.com/cuektogether","@cuektogether")</f>
        <v>@cuektogether</v>
      </c>
      <c r="C22376" t="s">
        <v>6201</v>
      </c>
      <c r="D22376">
        <v>240</v>
      </c>
      <c r="E22376">
        <v>0</v>
      </c>
      <c r="F22376">
        <v>111</v>
      </c>
    </row>
    <row r="22377" spans="1:6" ht="12.75">
      <c r="A22377" s="2">
        <v>43875.915509259255</v>
      </c>
      <c r="B22377" t="str">
        <f>HYPERLINK("https://twitter.com/Sonyrony2","@Sonyrony2")</f>
        <v>@Sonyrony2</v>
      </c>
      <c r="C22377" t="s">
        <v>6201</v>
      </c>
      <c r="D22377">
        <v>240</v>
      </c>
      <c r="E22377">
        <v>0</v>
      </c>
      <c r="F22377">
        <v>327</v>
      </c>
    </row>
    <row r="22378" spans="1:6" ht="12.75">
      <c r="A22378" s="2">
        <v>43875.915462962963</v>
      </c>
      <c r="B22378" t="str">
        <f>HYPERLINK("https://twitter.com/shitlicious","@shitlicious")</f>
        <v>@shitlicious</v>
      </c>
      <c r="C22378" t="s">
        <v>10686</v>
      </c>
      <c r="D22378">
        <v>1</v>
      </c>
      <c r="E22378">
        <v>27</v>
      </c>
      <c r="F22378">
        <v>1009239</v>
      </c>
    </row>
    <row r="22379" spans="1:6" ht="12.75">
      <c r="A22379" s="2">
        <v>43875.915451388893</v>
      </c>
      <c r="B22379" t="str">
        <f>HYPERLINK("https://twitter.com/6_62607004_","@6_62607004_")</f>
        <v>@6_62607004_</v>
      </c>
      <c r="C22379" t="s">
        <v>2444</v>
      </c>
      <c r="D22379">
        <v>2773</v>
      </c>
      <c r="E22379">
        <v>0</v>
      </c>
      <c r="F22379">
        <v>22</v>
      </c>
    </row>
    <row r="22380" spans="1:6" ht="12.75">
      <c r="A22380" s="2">
        <v>43875.915405092594</v>
      </c>
      <c r="B22380" t="str">
        <f>HYPERLINK("https://twitter.com/melodytyawan","@melodytyawan")</f>
        <v>@melodytyawan</v>
      </c>
      <c r="C22380" t="s">
        <v>9123</v>
      </c>
      <c r="D22380">
        <v>290</v>
      </c>
      <c r="E22380">
        <v>0</v>
      </c>
      <c r="F22380">
        <v>511</v>
      </c>
    </row>
    <row r="22381" spans="1:6" ht="12.75">
      <c r="A22381" s="2">
        <v>43875.915324074071</v>
      </c>
      <c r="B22381" t="str">
        <f>HYPERLINK("https://twitter.com/triyanto_l","@triyanto_l")</f>
        <v>@triyanto_l</v>
      </c>
      <c r="C22381" t="s">
        <v>10687</v>
      </c>
      <c r="D22381">
        <v>774</v>
      </c>
      <c r="E22381">
        <v>0</v>
      </c>
      <c r="F22381">
        <v>1517</v>
      </c>
    </row>
    <row r="22382" spans="1:6" ht="12.75">
      <c r="A22382" s="2">
        <v>43875.915254629625</v>
      </c>
      <c r="B22382" t="str">
        <f>HYPERLINK("https://twitter.com/Danangsasongko9","@Danangsasongko9")</f>
        <v>@Danangsasongko9</v>
      </c>
      <c r="C22382" t="s">
        <v>4880</v>
      </c>
      <c r="D22382">
        <v>59</v>
      </c>
      <c r="E22382">
        <v>0</v>
      </c>
      <c r="F22382">
        <v>1906</v>
      </c>
    </row>
    <row r="22383" spans="1:6" ht="12.75">
      <c r="A22383" s="2">
        <v>43875.915173611109</v>
      </c>
      <c r="B22383" t="str">
        <f>HYPERLINK("https://twitter.com/moh_effendie","@moh_effendie")</f>
        <v>@moh_effendie</v>
      </c>
      <c r="C22383" t="s">
        <v>10057</v>
      </c>
      <c r="D22383">
        <v>8</v>
      </c>
      <c r="E22383">
        <v>0</v>
      </c>
      <c r="F22383">
        <v>6814</v>
      </c>
    </row>
    <row r="22384" spans="1:6" ht="12.75">
      <c r="A22384" s="2">
        <v>43875.915162037039</v>
      </c>
      <c r="B22384" t="str">
        <f>HYPERLINK("https://twitter.com/anggunnwr","@anggunnwr")</f>
        <v>@anggunnwr</v>
      </c>
      <c r="C22384" t="s">
        <v>2444</v>
      </c>
      <c r="D22384">
        <v>2773</v>
      </c>
      <c r="E22384">
        <v>0</v>
      </c>
      <c r="F22384">
        <v>348</v>
      </c>
    </row>
    <row r="22385" spans="1:6" ht="12.75">
      <c r="A22385" s="2">
        <v>43875.915162037039</v>
      </c>
      <c r="B22385" t="str">
        <f>HYPERLINK("https://twitter.com/EdyIlham7","@EdyIlham7")</f>
        <v>@EdyIlham7</v>
      </c>
      <c r="C22385" t="s">
        <v>9835</v>
      </c>
      <c r="D22385">
        <v>58</v>
      </c>
      <c r="E22385">
        <v>0</v>
      </c>
      <c r="F22385">
        <v>2337</v>
      </c>
    </row>
    <row r="22386" spans="1:6" ht="12.75">
      <c r="A22386" s="2">
        <v>43875.915138888886</v>
      </c>
      <c r="B22386" t="str">
        <f>HYPERLINK("https://twitter.com/junhuicy","@junhuicy")</f>
        <v>@junhuicy</v>
      </c>
      <c r="C22386" t="s">
        <v>2444</v>
      </c>
      <c r="D22386">
        <v>2773</v>
      </c>
      <c r="E22386">
        <v>0</v>
      </c>
      <c r="F22386">
        <v>52</v>
      </c>
    </row>
    <row r="22387" spans="1:6" ht="12.75">
      <c r="A22387" s="2">
        <v>43875.915092592593</v>
      </c>
      <c r="B22387" t="str">
        <f>HYPERLINK("https://twitter.com/SDwiatya","@SDwiatya")</f>
        <v>@SDwiatya</v>
      </c>
      <c r="C22387" t="s">
        <v>10688</v>
      </c>
      <c r="D22387">
        <v>0</v>
      </c>
      <c r="E22387">
        <v>0</v>
      </c>
      <c r="F22387">
        <v>28</v>
      </c>
    </row>
    <row r="22388" spans="1:6" ht="12.75">
      <c r="A22388" s="2">
        <v>43875.915081018524</v>
      </c>
      <c r="B22388" t="str">
        <f>HYPERLINK("https://twitter.com/AnakLolina","@AnakLolina")</f>
        <v>@AnakLolina</v>
      </c>
      <c r="C22388" t="s">
        <v>10689</v>
      </c>
      <c r="D22388">
        <v>2</v>
      </c>
      <c r="E22388">
        <v>5</v>
      </c>
      <c r="F22388">
        <v>14514</v>
      </c>
    </row>
    <row r="22389" spans="1:6" ht="12.75">
      <c r="A22389" s="2">
        <v>43875.915046296301</v>
      </c>
      <c r="B22389" t="str">
        <f>HYPERLINK("https://twitter.com/LaluAan_","@LaluAan_")</f>
        <v>@LaluAan_</v>
      </c>
      <c r="C22389" t="s">
        <v>2963</v>
      </c>
      <c r="D22389">
        <v>1128</v>
      </c>
      <c r="E22389">
        <v>0</v>
      </c>
      <c r="F22389">
        <v>287</v>
      </c>
    </row>
    <row r="22390" spans="1:6" ht="12.75">
      <c r="A22390" s="2">
        <v>43875.915000000001</v>
      </c>
      <c r="B22390" t="str">
        <f>HYPERLINK("https://twitter.com/tjhinfar21","@tjhinfar21")</f>
        <v>@tjhinfar21</v>
      </c>
      <c r="C22390" t="s">
        <v>10114</v>
      </c>
      <c r="D22390">
        <v>9</v>
      </c>
      <c r="E22390">
        <v>0</v>
      </c>
      <c r="F22390">
        <v>14509</v>
      </c>
    </row>
    <row r="22391" spans="1:6" ht="12.75">
      <c r="A22391" s="2">
        <v>43875.914733796293</v>
      </c>
      <c r="B22391" t="str">
        <f>HYPERLINK("https://twitter.com/Dwi_Setianto","@Dwi_Setianto")</f>
        <v>@Dwi_Setianto</v>
      </c>
      <c r="C22391" t="s">
        <v>2444</v>
      </c>
      <c r="D22391">
        <v>2773</v>
      </c>
      <c r="E22391">
        <v>0</v>
      </c>
      <c r="F22391">
        <v>455</v>
      </c>
    </row>
    <row r="22392" spans="1:6" ht="12.75">
      <c r="A22392" s="2">
        <v>43875.914722222224</v>
      </c>
      <c r="B22392" t="str">
        <f>HYPERLINK("https://twitter.com/TR_Kabayan","@TR_Kabayan")</f>
        <v>@TR_Kabayan</v>
      </c>
      <c r="C22392" t="s">
        <v>10057</v>
      </c>
      <c r="D22392">
        <v>8</v>
      </c>
      <c r="E22392">
        <v>0</v>
      </c>
      <c r="F22392">
        <v>4701</v>
      </c>
    </row>
    <row r="22393" spans="1:6" ht="12.75">
      <c r="A22393" s="2">
        <v>43875.91469907407</v>
      </c>
      <c r="B22393" t="str">
        <f>HYPERLINK("https://twitter.com/nuchannels","@nuchannels")</f>
        <v>@nuchannels</v>
      </c>
      <c r="C22393" t="s">
        <v>10690</v>
      </c>
      <c r="D22393">
        <v>0</v>
      </c>
      <c r="E22393">
        <v>0</v>
      </c>
      <c r="F22393">
        <v>4511</v>
      </c>
    </row>
    <row r="22394" spans="1:6" ht="12.75">
      <c r="A22394" s="2">
        <v>43875.91469907407</v>
      </c>
      <c r="B22394" t="str">
        <f>HYPERLINK("https://twitter.com/Si_Bee","@Si_Bee")</f>
        <v>@Si_Bee</v>
      </c>
      <c r="C22394" t="s">
        <v>10691</v>
      </c>
      <c r="D22394">
        <v>0</v>
      </c>
      <c r="E22394">
        <v>9</v>
      </c>
      <c r="F22394">
        <v>8809</v>
      </c>
    </row>
    <row r="22395" spans="1:6" ht="12.75">
      <c r="A22395" s="2">
        <v>43875.914456018523</v>
      </c>
      <c r="B22395" t="str">
        <f>HYPERLINK("https://twitter.com/SDwiatya","@SDwiatya")</f>
        <v>@SDwiatya</v>
      </c>
      <c r="C22395" t="s">
        <v>10692</v>
      </c>
      <c r="D22395">
        <v>0</v>
      </c>
      <c r="E22395">
        <v>0</v>
      </c>
      <c r="F22395">
        <v>28</v>
      </c>
    </row>
    <row r="22396" spans="1:6" ht="12.75">
      <c r="A22396" s="2">
        <v>43875.914409722223</v>
      </c>
      <c r="B22396" t="str">
        <f>HYPERLINK("https://twitter.com/arungdwi","@arungdwi")</f>
        <v>@arungdwi</v>
      </c>
      <c r="C22396" t="s">
        <v>10693</v>
      </c>
      <c r="D22396">
        <v>0</v>
      </c>
      <c r="E22396">
        <v>0</v>
      </c>
      <c r="F22396">
        <v>182</v>
      </c>
    </row>
    <row r="22397" spans="1:6" ht="12.75">
      <c r="A22397" s="2">
        <v>43875.914386574077</v>
      </c>
      <c r="B22397" t="str">
        <f>HYPERLINK("https://twitter.com/alifiazd","@alifiazd")</f>
        <v>@alifiazd</v>
      </c>
      <c r="C22397" t="s">
        <v>2444</v>
      </c>
      <c r="D22397">
        <v>2773</v>
      </c>
      <c r="E22397">
        <v>0</v>
      </c>
      <c r="F22397">
        <v>1208</v>
      </c>
    </row>
    <row r="22398" spans="1:6" ht="12.75">
      <c r="A22398" s="2">
        <v>43875.914375</v>
      </c>
      <c r="B22398" t="str">
        <f>HYPERLINK("https://twitter.com/bobbinz_atthem","@bobbinz_atthem")</f>
        <v>@bobbinz_atthem</v>
      </c>
      <c r="C22398" t="s">
        <v>10694</v>
      </c>
      <c r="D22398">
        <v>0</v>
      </c>
      <c r="E22398">
        <v>0</v>
      </c>
      <c r="F22398">
        <v>123</v>
      </c>
    </row>
    <row r="22399" spans="1:6" ht="12.75">
      <c r="A22399" s="2">
        <v>43875.914317129631</v>
      </c>
      <c r="B22399" t="str">
        <f>HYPERLINK("https://twitter.com/zaa99_","@zaa99_")</f>
        <v>@zaa99_</v>
      </c>
      <c r="C22399" t="s">
        <v>2137</v>
      </c>
      <c r="D22399">
        <v>209</v>
      </c>
      <c r="E22399">
        <v>0</v>
      </c>
      <c r="F22399">
        <v>8</v>
      </c>
    </row>
    <row r="22400" spans="1:6" ht="12.75">
      <c r="A22400" s="2">
        <v>43875.914305555554</v>
      </c>
      <c r="B22400" t="str">
        <f>HYPERLINK("https://twitter.com/andrianmereun","@andrianmereun")</f>
        <v>@andrianmereun</v>
      </c>
      <c r="C22400" t="s">
        <v>10695</v>
      </c>
      <c r="D22400">
        <v>0</v>
      </c>
      <c r="E22400">
        <v>0</v>
      </c>
      <c r="F22400">
        <v>31</v>
      </c>
    </row>
    <row r="22401" spans="1:6" ht="12.75">
      <c r="A22401" s="2">
        <v>43875.914236111115</v>
      </c>
      <c r="B22401" t="str">
        <f>HYPERLINK("https://twitter.com/HeriawanAdiwan2","@HeriawanAdiwan2")</f>
        <v>@HeriawanAdiwan2</v>
      </c>
      <c r="C22401" t="s">
        <v>6201</v>
      </c>
      <c r="D22401">
        <v>240</v>
      </c>
      <c r="E22401">
        <v>0</v>
      </c>
      <c r="F22401">
        <v>2854</v>
      </c>
    </row>
    <row r="22402" spans="1:6" ht="12.75">
      <c r="A22402" s="2">
        <v>43875.914166666669</v>
      </c>
      <c r="B22402" t="str">
        <f>HYPERLINK("https://twitter.com/BinarMentari_OK","@BinarMentari_OK")</f>
        <v>@BinarMentari_OK</v>
      </c>
      <c r="C22402" t="s">
        <v>10696</v>
      </c>
      <c r="D22402">
        <v>0</v>
      </c>
      <c r="E22402">
        <v>0</v>
      </c>
      <c r="F22402">
        <v>674</v>
      </c>
    </row>
    <row r="22403" spans="1:6" ht="12.75">
      <c r="A22403" s="2">
        <v>43875.914120370369</v>
      </c>
      <c r="B22403" t="str">
        <f>HYPERLINK("https://twitter.com/Arf_f4d","@Arf_f4d")</f>
        <v>@Arf_f4d</v>
      </c>
      <c r="C22403" t="s">
        <v>6201</v>
      </c>
      <c r="D22403">
        <v>240</v>
      </c>
      <c r="E22403">
        <v>0</v>
      </c>
      <c r="F22403">
        <v>818</v>
      </c>
    </row>
    <row r="22404" spans="1:6" ht="12.75">
      <c r="A22404" s="2">
        <v>43875.914120370369</v>
      </c>
      <c r="B22404" t="str">
        <f>HYPERLINK("https://twitter.com/tenderloeyn","@tenderloeyn")</f>
        <v>@tenderloeyn</v>
      </c>
      <c r="C22404" t="s">
        <v>10697</v>
      </c>
      <c r="D22404">
        <v>29</v>
      </c>
      <c r="E22404">
        <v>0</v>
      </c>
      <c r="F22404">
        <v>82</v>
      </c>
    </row>
    <row r="22405" spans="1:6" ht="12.75">
      <c r="A22405" s="2">
        <v>43875.914108796293</v>
      </c>
      <c r="B22405" t="str">
        <f>HYPERLINK("https://twitter.com/skidipapsb","@skidipapsb")</f>
        <v>@skidipapsb</v>
      </c>
      <c r="C22405" t="s">
        <v>2444</v>
      </c>
      <c r="D22405">
        <v>2773</v>
      </c>
      <c r="E22405">
        <v>0</v>
      </c>
      <c r="F22405">
        <v>918</v>
      </c>
    </row>
    <row r="22406" spans="1:6" ht="12.75">
      <c r="A22406" s="2">
        <v>43875.914039351846</v>
      </c>
      <c r="B22406" t="str">
        <f>HYPERLINK("https://twitter.com/kellyrudi","@kellyrudi")</f>
        <v>@kellyrudi</v>
      </c>
      <c r="C22406" t="s">
        <v>7888</v>
      </c>
      <c r="D22406">
        <v>35</v>
      </c>
      <c r="E22406">
        <v>0</v>
      </c>
      <c r="F22406">
        <v>1304</v>
      </c>
    </row>
    <row r="22407" spans="1:6" ht="12.75">
      <c r="A22407" s="2">
        <v>43875.913993055554</v>
      </c>
      <c r="B22407" t="str">
        <f>HYPERLINK("https://twitter.com/DNYLCSTE","@DNYLCSTE")</f>
        <v>@DNYLCSTE</v>
      </c>
      <c r="C22407" t="s">
        <v>2444</v>
      </c>
      <c r="D22407">
        <v>2773</v>
      </c>
      <c r="E22407">
        <v>0</v>
      </c>
      <c r="F22407">
        <v>720</v>
      </c>
    </row>
    <row r="22408" spans="1:6" ht="12.75">
      <c r="A22408" s="2">
        <v>43875.913981481484</v>
      </c>
      <c r="B22408" t="str">
        <f>HYPERLINK("https://twitter.com/ibethafrsh","@ibethafrsh")</f>
        <v>@ibethafrsh</v>
      </c>
      <c r="C22408" t="s">
        <v>2137</v>
      </c>
      <c r="D22408">
        <v>209</v>
      </c>
      <c r="E22408">
        <v>0</v>
      </c>
      <c r="F22408">
        <v>655</v>
      </c>
    </row>
    <row r="22409" spans="1:6" ht="12.75">
      <c r="A22409" s="2">
        <v>43875.913958333331</v>
      </c>
      <c r="B22409" t="str">
        <f>HYPERLINK("https://twitter.com/kolekaikitcox","@kolekaikitcox")</f>
        <v>@kolekaikitcox</v>
      </c>
      <c r="C22409" t="s">
        <v>9067</v>
      </c>
      <c r="D22409">
        <v>51</v>
      </c>
      <c r="E22409">
        <v>0</v>
      </c>
      <c r="F22409">
        <v>4051</v>
      </c>
    </row>
    <row r="22410" spans="1:6" ht="12.75">
      <c r="A22410" s="2">
        <v>43875.913865740746</v>
      </c>
      <c r="B22410" t="str">
        <f>HYPERLINK("https://twitter.com/dagadgetboi","@dagadgetboi")</f>
        <v>@dagadgetboi</v>
      </c>
      <c r="C22410" t="s">
        <v>10698</v>
      </c>
      <c r="D22410">
        <v>0</v>
      </c>
      <c r="E22410">
        <v>0</v>
      </c>
      <c r="F22410">
        <v>1073</v>
      </c>
    </row>
    <row r="22411" spans="1:6" ht="12.75">
      <c r="A22411" s="2">
        <v>43875.913854166662</v>
      </c>
      <c r="B22411" t="str">
        <f>HYPERLINK("https://twitter.com/_geboy","@_geboy")</f>
        <v>@_geboy</v>
      </c>
      <c r="C22411" t="s">
        <v>8328</v>
      </c>
      <c r="D22411">
        <v>35</v>
      </c>
      <c r="E22411">
        <v>0</v>
      </c>
      <c r="F22411">
        <v>200</v>
      </c>
    </row>
    <row r="22412" spans="1:6" ht="12.75">
      <c r="A22412" s="2">
        <v>43875.913726851853</v>
      </c>
      <c r="B22412" t="str">
        <f>HYPERLINK("https://twitter.com/celvinpratama2","@celvinpratama2")</f>
        <v>@celvinpratama2</v>
      </c>
      <c r="C22412" t="s">
        <v>2444</v>
      </c>
      <c r="D22412">
        <v>2773</v>
      </c>
      <c r="E22412">
        <v>0</v>
      </c>
      <c r="F22412">
        <v>570</v>
      </c>
    </row>
    <row r="22413" spans="1:6" ht="12.75">
      <c r="A22413" s="2">
        <v>43875.913495370369</v>
      </c>
      <c r="B22413" t="str">
        <f>HYPERLINK("https://twitter.com/kolekaikitcox","@kolekaikitcox")</f>
        <v>@kolekaikitcox</v>
      </c>
      <c r="C22413" t="s">
        <v>2444</v>
      </c>
      <c r="D22413">
        <v>2773</v>
      </c>
      <c r="E22413">
        <v>0</v>
      </c>
      <c r="F22413">
        <v>4051</v>
      </c>
    </row>
    <row r="22414" spans="1:6" ht="12.75">
      <c r="A22414" s="2">
        <v>43875.91342592593</v>
      </c>
      <c r="B22414" t="str">
        <f>HYPERLINK("https://twitter.com/BerlianaMrena","@BerlianaMrena")</f>
        <v>@BerlianaMrena</v>
      </c>
      <c r="C22414" t="s">
        <v>2444</v>
      </c>
      <c r="D22414">
        <v>2773</v>
      </c>
      <c r="E22414">
        <v>0</v>
      </c>
      <c r="F22414">
        <v>1455</v>
      </c>
    </row>
    <row r="22415" spans="1:6" ht="12.75">
      <c r="A22415" s="2">
        <v>43875.913356481484</v>
      </c>
      <c r="B22415" t="str">
        <f>HYPERLINK("https://twitter.com/antonchriss","@antonchriss")</f>
        <v>@antonchriss</v>
      </c>
      <c r="C22415" t="s">
        <v>7478</v>
      </c>
      <c r="D22415">
        <v>399</v>
      </c>
      <c r="E22415">
        <v>0</v>
      </c>
      <c r="F22415">
        <v>176</v>
      </c>
    </row>
    <row r="22416" spans="1:6" ht="12.75">
      <c r="A22416" s="2">
        <v>43875.913321759261</v>
      </c>
      <c r="B22416" t="str">
        <f>HYPERLINK("https://twitter.com/LusiHQ","@LusiHQ")</f>
        <v>@LusiHQ</v>
      </c>
      <c r="C22416" t="s">
        <v>10699</v>
      </c>
      <c r="D22416">
        <v>0</v>
      </c>
      <c r="E22416">
        <v>0</v>
      </c>
      <c r="F22416">
        <v>17686</v>
      </c>
    </row>
    <row r="22417" spans="1:6" ht="12.75">
      <c r="A22417" s="2">
        <v>43875.913287037038</v>
      </c>
      <c r="B22417" t="str">
        <f>HYPERLINK("https://twitter.com/aulia2199","@aulia2199")</f>
        <v>@aulia2199</v>
      </c>
      <c r="C22417" t="s">
        <v>10700</v>
      </c>
      <c r="D22417">
        <v>1</v>
      </c>
      <c r="E22417">
        <v>0</v>
      </c>
      <c r="F22417">
        <v>121</v>
      </c>
    </row>
    <row r="22418" spans="1:6" ht="12.75">
      <c r="A22418" s="2">
        <v>43875.913229166668</v>
      </c>
      <c r="B22418" t="str">
        <f>HYPERLINK("https://twitter.com/tobasatudotcom","@tobasatudotcom")</f>
        <v>@tobasatudotcom</v>
      </c>
      <c r="C22418" t="s">
        <v>10701</v>
      </c>
      <c r="D22418">
        <v>0</v>
      </c>
      <c r="E22418">
        <v>0</v>
      </c>
      <c r="F22418">
        <v>171</v>
      </c>
    </row>
    <row r="22419" spans="1:6" ht="12.75">
      <c r="A22419" s="2">
        <v>43875.913020833337</v>
      </c>
      <c r="B22419" t="str">
        <f>HYPERLINK("https://twitter.com/hoshayang","@hoshayang")</f>
        <v>@hoshayang</v>
      </c>
      <c r="C22419" t="s">
        <v>2444</v>
      </c>
      <c r="D22419">
        <v>2773</v>
      </c>
      <c r="E22419">
        <v>0</v>
      </c>
      <c r="F22419">
        <v>255</v>
      </c>
    </row>
    <row r="22420" spans="1:6" ht="12.75">
      <c r="A22420" s="2">
        <v>43875.913020833337</v>
      </c>
      <c r="B22420" t="str">
        <f>HYPERLINK("https://twitter.com/nugunuga","@nugunuga")</f>
        <v>@nugunuga</v>
      </c>
      <c r="C22420" t="s">
        <v>2444</v>
      </c>
      <c r="D22420">
        <v>2773</v>
      </c>
      <c r="E22420">
        <v>0</v>
      </c>
      <c r="F22420">
        <v>5</v>
      </c>
    </row>
    <row r="22421" spans="1:6" ht="12.75">
      <c r="A22421" s="2">
        <v>43875.912870370375</v>
      </c>
      <c r="B22421" t="str">
        <f>HYPERLINK("https://twitter.com/soshinata","@soshinata")</f>
        <v>@soshinata</v>
      </c>
      <c r="C22421" t="s">
        <v>7068</v>
      </c>
      <c r="D22421">
        <v>31</v>
      </c>
      <c r="E22421">
        <v>0</v>
      </c>
      <c r="F22421">
        <v>377</v>
      </c>
    </row>
    <row r="22422" spans="1:6" ht="12.75">
      <c r="A22422" s="2">
        <v>43875.912638888884</v>
      </c>
      <c r="B22422" t="str">
        <f>HYPERLINK("https://twitter.com/taufik97anwar","@taufik97anwar")</f>
        <v>@taufik97anwar</v>
      </c>
      <c r="C22422" t="s">
        <v>10702</v>
      </c>
      <c r="D22422">
        <v>0</v>
      </c>
      <c r="E22422">
        <v>0</v>
      </c>
      <c r="F22422">
        <v>4</v>
      </c>
    </row>
    <row r="22423" spans="1:6" ht="12.75">
      <c r="A22423" s="2">
        <v>43875.912592592591</v>
      </c>
      <c r="B22423" t="str">
        <f>HYPERLINK("https://twitter.com/DeviDeviiekaa","@DeviDeviiekaa")</f>
        <v>@DeviDeviiekaa</v>
      </c>
      <c r="C22423" t="s">
        <v>2444</v>
      </c>
      <c r="D22423">
        <v>2773</v>
      </c>
      <c r="E22423">
        <v>0</v>
      </c>
      <c r="F22423">
        <v>1015</v>
      </c>
    </row>
    <row r="22424" spans="1:6" ht="12.75">
      <c r="A22424" s="2">
        <v>43875.912511574075</v>
      </c>
      <c r="B22424" t="str">
        <f>HYPERLINK("https://twitter.com/luvendeur","@luvendeur")</f>
        <v>@luvendeur</v>
      </c>
      <c r="C22424" t="s">
        <v>2444</v>
      </c>
      <c r="D22424">
        <v>2773</v>
      </c>
      <c r="E22424">
        <v>0</v>
      </c>
      <c r="F22424">
        <v>727</v>
      </c>
    </row>
    <row r="22425" spans="1:6" ht="12.75">
      <c r="A22425" s="2">
        <v>43875.91243055556</v>
      </c>
      <c r="B22425" t="str">
        <f>HYPERLINK("https://twitter.com/ediashari1","@ediashari1")</f>
        <v>@ediashari1</v>
      </c>
      <c r="C22425" t="s">
        <v>10427</v>
      </c>
      <c r="D22425">
        <v>3</v>
      </c>
      <c r="E22425">
        <v>0</v>
      </c>
      <c r="F22425">
        <v>354</v>
      </c>
    </row>
    <row r="22426" spans="1:6" ht="12.75">
      <c r="A22426" s="2">
        <v>43875.91233796296</v>
      </c>
      <c r="B22426" t="str">
        <f>HYPERLINK("https://twitter.com/Aq64987848","@Aq64987848")</f>
        <v>@Aq64987848</v>
      </c>
      <c r="C22426" t="s">
        <v>6201</v>
      </c>
      <c r="D22426">
        <v>240</v>
      </c>
      <c r="E22426">
        <v>0</v>
      </c>
      <c r="F22426">
        <v>130</v>
      </c>
    </row>
    <row r="22427" spans="1:6" ht="12.75">
      <c r="A22427" s="2">
        <v>43875.912268518514</v>
      </c>
      <c r="B22427" t="str">
        <f>HYPERLINK("https://twitter.com/Suket_T3k1","@Suket_T3k1")</f>
        <v>@Suket_T3k1</v>
      </c>
      <c r="C22427" t="s">
        <v>9198</v>
      </c>
      <c r="D22427">
        <v>69</v>
      </c>
      <c r="E22427">
        <v>0</v>
      </c>
      <c r="F22427">
        <v>1033</v>
      </c>
    </row>
    <row r="22428" spans="1:6" ht="12.75">
      <c r="A22428" s="2">
        <v>43875.912210648152</v>
      </c>
      <c r="B22428" t="str">
        <f>HYPERLINK("https://twitter.com/yusuf_sajaw","@yusuf_sajaw")</f>
        <v>@yusuf_sajaw</v>
      </c>
      <c r="C22428" t="s">
        <v>10703</v>
      </c>
      <c r="D22428">
        <v>6</v>
      </c>
      <c r="E22428">
        <v>0</v>
      </c>
      <c r="F22428">
        <v>98</v>
      </c>
    </row>
    <row r="22429" spans="1:6" ht="12.75">
      <c r="A22429" s="2">
        <v>43875.912187499998</v>
      </c>
      <c r="B22429" t="str">
        <f>HYPERLINK("https://twitter.com/tempodotco","@tempodotco")</f>
        <v>@tempodotco</v>
      </c>
      <c r="C22429" t="s">
        <v>10636</v>
      </c>
      <c r="D22429">
        <v>0</v>
      </c>
      <c r="E22429">
        <v>4</v>
      </c>
      <c r="F22429">
        <v>1702574</v>
      </c>
    </row>
    <row r="22430" spans="1:6" ht="12.75">
      <c r="A22430" s="2">
        <v>43875.912002314813</v>
      </c>
      <c r="B22430" t="str">
        <f>HYPERLINK("https://twitter.com/bvambank","@bvambank")</f>
        <v>@bvambank</v>
      </c>
      <c r="C22430" t="s">
        <v>2444</v>
      </c>
      <c r="D22430">
        <v>2773</v>
      </c>
      <c r="E22430">
        <v>0</v>
      </c>
      <c r="F22430">
        <v>505</v>
      </c>
    </row>
    <row r="22431" spans="1:6" ht="12.75">
      <c r="A22431" s="2">
        <v>43875.911944444444</v>
      </c>
      <c r="B22431" t="str">
        <f>HYPERLINK("https://twitter.com/niputukamala","@niputukamala")</f>
        <v>@niputukamala</v>
      </c>
      <c r="C22431" t="s">
        <v>2444</v>
      </c>
      <c r="D22431">
        <v>2773</v>
      </c>
      <c r="E22431">
        <v>0</v>
      </c>
      <c r="F22431">
        <v>634</v>
      </c>
    </row>
    <row r="22432" spans="1:6" ht="12.75">
      <c r="A22432" s="2">
        <v>43875.911562499998</v>
      </c>
      <c r="B22432" t="str">
        <f>HYPERLINK("https://twitter.com/PJustitia7","@PJustitia7")</f>
        <v>@PJustitia7</v>
      </c>
      <c r="C22432" t="s">
        <v>10704</v>
      </c>
      <c r="D22432">
        <v>1</v>
      </c>
      <c r="E22432">
        <v>2</v>
      </c>
      <c r="F22432">
        <v>651</v>
      </c>
    </row>
    <row r="22433" spans="1:6" ht="12.75">
      <c r="A22433" s="2">
        <v>43875.911550925928</v>
      </c>
      <c r="B22433" t="str">
        <f>HYPERLINK("https://twitter.com/AdhimasWardhana","@AdhimasWardhana")</f>
        <v>@AdhimasWardhana</v>
      </c>
      <c r="C22433" t="s">
        <v>2444</v>
      </c>
      <c r="D22433">
        <v>2773</v>
      </c>
      <c r="E22433">
        <v>0</v>
      </c>
      <c r="F22433">
        <v>69</v>
      </c>
    </row>
    <row r="22434" spans="1:6" ht="12.75">
      <c r="A22434" s="2">
        <v>43875.911527777775</v>
      </c>
      <c r="B22434" t="str">
        <f>HYPERLINK("https://twitter.com/ErvineKiddies","@ErvineKiddies")</f>
        <v>@ErvineKiddies</v>
      </c>
      <c r="C22434" t="s">
        <v>10705</v>
      </c>
      <c r="D22434">
        <v>0</v>
      </c>
      <c r="E22434">
        <v>0</v>
      </c>
      <c r="F22434">
        <v>738</v>
      </c>
    </row>
    <row r="22435" spans="1:6" ht="12.75">
      <c r="A22435" s="2">
        <v>43875.911516203705</v>
      </c>
      <c r="B22435" t="str">
        <f>HYPERLINK("https://twitter.com/triyanto_l","@triyanto_l")</f>
        <v>@triyanto_l</v>
      </c>
      <c r="C22435" t="s">
        <v>10706</v>
      </c>
      <c r="D22435">
        <v>211</v>
      </c>
      <c r="E22435">
        <v>0</v>
      </c>
      <c r="F22435">
        <v>1517</v>
      </c>
    </row>
    <row r="22436" spans="1:6" ht="12.75">
      <c r="A22436" s="2">
        <v>43875.911493055552</v>
      </c>
      <c r="B22436" t="str">
        <f>HYPERLINK("https://twitter.com/adjibaya","@adjibaya")</f>
        <v>@adjibaya</v>
      </c>
      <c r="C22436" t="s">
        <v>10057</v>
      </c>
      <c r="D22436">
        <v>8</v>
      </c>
      <c r="E22436">
        <v>0</v>
      </c>
      <c r="F22436">
        <v>3987</v>
      </c>
    </row>
    <row r="22437" spans="1:6" ht="12.75">
      <c r="A22437" s="2">
        <v>43875.911481481482</v>
      </c>
      <c r="B22437" t="str">
        <f>HYPERLINK("https://twitter.com/Eva_ernawatiaji","@Eva_ernawatiaji")</f>
        <v>@Eva_ernawatiaji</v>
      </c>
      <c r="C22437" t="s">
        <v>10057</v>
      </c>
      <c r="D22437">
        <v>8</v>
      </c>
      <c r="E22437">
        <v>0</v>
      </c>
      <c r="F22437">
        <v>1949</v>
      </c>
    </row>
    <row r="22438" spans="1:6" ht="12.75">
      <c r="A22438" s="2">
        <v>43875.911377314813</v>
      </c>
      <c r="B22438" t="str">
        <f>HYPERLINK("https://twitter.com/primusrlw","@primusrlw")</f>
        <v>@primusrlw</v>
      </c>
      <c r="C22438" t="s">
        <v>2097</v>
      </c>
      <c r="D22438">
        <v>398</v>
      </c>
      <c r="E22438">
        <v>0</v>
      </c>
      <c r="F22438">
        <v>277</v>
      </c>
    </row>
    <row r="22439" spans="1:6" ht="12.75">
      <c r="A22439" s="2">
        <v>43875.911354166667</v>
      </c>
      <c r="B22439" t="str">
        <f>HYPERLINK("https://twitter.com/HaloBCA","@HaloBCA")</f>
        <v>@HaloBCA</v>
      </c>
      <c r="C22439" t="s">
        <v>10707</v>
      </c>
      <c r="D22439">
        <v>0</v>
      </c>
      <c r="E22439">
        <v>0</v>
      </c>
      <c r="F22439">
        <v>230398</v>
      </c>
    </row>
    <row r="22440" spans="1:6" ht="12.75">
      <c r="A22440" s="2">
        <v>43875.91133101852</v>
      </c>
      <c r="B22440" t="str">
        <f>HYPERLINK("https://twitter.com/JokoSus55968523","@JokoSus55968523")</f>
        <v>@JokoSus55968523</v>
      </c>
      <c r="C22440" t="s">
        <v>10708</v>
      </c>
      <c r="D22440">
        <v>0</v>
      </c>
      <c r="E22440">
        <v>0</v>
      </c>
      <c r="F22440">
        <v>19</v>
      </c>
    </row>
    <row r="22441" spans="1:6" ht="12.75">
      <c r="A22441" s="2">
        <v>43875.911296296297</v>
      </c>
      <c r="B22441" t="str">
        <f>HYPERLINK("https://twitter.com/strawberylava","@strawberylava")</f>
        <v>@strawberylava</v>
      </c>
      <c r="C22441" t="s">
        <v>2444</v>
      </c>
      <c r="D22441">
        <v>2773</v>
      </c>
      <c r="E22441">
        <v>0</v>
      </c>
      <c r="F22441">
        <v>1674</v>
      </c>
    </row>
    <row r="22442" spans="1:6" ht="12.75">
      <c r="A22442" s="2">
        <v>43875.911273148144</v>
      </c>
      <c r="B22442" t="str">
        <f>HYPERLINK("https://twitter.com/triyanto_l","@triyanto_l")</f>
        <v>@triyanto_l</v>
      </c>
      <c r="C22442" t="s">
        <v>10462</v>
      </c>
      <c r="D22442">
        <v>237</v>
      </c>
      <c r="E22442">
        <v>0</v>
      </c>
      <c r="F22442">
        <v>1517</v>
      </c>
    </row>
    <row r="22443" spans="1:6" ht="12.75">
      <c r="A22443" s="2">
        <v>43875.911226851851</v>
      </c>
      <c r="B22443" t="str">
        <f>HYPERLINK("https://twitter.com/rismyn","@rismyn")</f>
        <v>@rismyn</v>
      </c>
      <c r="C22443" t="s">
        <v>7068</v>
      </c>
      <c r="D22443">
        <v>31</v>
      </c>
      <c r="E22443">
        <v>0</v>
      </c>
      <c r="F22443">
        <v>232</v>
      </c>
    </row>
    <row r="22444" spans="1:6" ht="12.75">
      <c r="A22444" s="2">
        <v>43875.911215277782</v>
      </c>
      <c r="B22444" t="str">
        <f>HYPERLINK("https://twitter.com/evarianlaresa","@evarianlaresa")</f>
        <v>@evarianlaresa</v>
      </c>
      <c r="C22444" t="s">
        <v>2444</v>
      </c>
      <c r="D22444">
        <v>2773</v>
      </c>
      <c r="E22444">
        <v>0</v>
      </c>
      <c r="F22444">
        <v>251</v>
      </c>
    </row>
    <row r="22445" spans="1:6" ht="12.75">
      <c r="A22445" s="2">
        <v>43875.911111111112</v>
      </c>
      <c r="B22445" t="str">
        <f>HYPERLINK("https://twitter.com/4_devout","@4_devout")</f>
        <v>@4_devout</v>
      </c>
      <c r="C22445" t="s">
        <v>9599</v>
      </c>
      <c r="D22445">
        <v>12</v>
      </c>
      <c r="E22445">
        <v>0</v>
      </c>
      <c r="F22445">
        <v>607</v>
      </c>
    </row>
    <row r="22446" spans="1:6" ht="12.75">
      <c r="A22446" s="2">
        <v>43875.911006944443</v>
      </c>
      <c r="B22446" t="str">
        <f>HYPERLINK("https://twitter.com/AEPishere","@AEPishere")</f>
        <v>@AEPishere</v>
      </c>
      <c r="C22446" t="s">
        <v>5168</v>
      </c>
      <c r="D22446">
        <v>1055</v>
      </c>
      <c r="E22446">
        <v>0</v>
      </c>
      <c r="F22446">
        <v>3011</v>
      </c>
    </row>
    <row r="22447" spans="1:6" ht="12.75">
      <c r="A22447" s="2">
        <v>43875.910995370374</v>
      </c>
      <c r="B22447" t="str">
        <f>HYPERLINK("https://twitter.com/Arie26Ahmad","@Arie26Ahmad")</f>
        <v>@Arie26Ahmad</v>
      </c>
      <c r="C22447" t="s">
        <v>7478</v>
      </c>
      <c r="D22447">
        <v>399</v>
      </c>
      <c r="E22447">
        <v>0</v>
      </c>
      <c r="F22447">
        <v>339</v>
      </c>
    </row>
    <row r="22448" spans="1:6" ht="12.75">
      <c r="A22448" s="2">
        <v>43875.910925925928</v>
      </c>
      <c r="B22448" t="str">
        <f>HYPERLINK("https://twitter.com/RirinWidyaprsti","@RirinWidyaprsti")</f>
        <v>@RirinWidyaprsti</v>
      </c>
      <c r="C22448" t="s">
        <v>5168</v>
      </c>
      <c r="D22448">
        <v>1055</v>
      </c>
      <c r="E22448">
        <v>0</v>
      </c>
      <c r="F22448">
        <v>660</v>
      </c>
    </row>
    <row r="22449" spans="1:6" ht="12.75">
      <c r="A22449" s="2">
        <v>43875.910914351851</v>
      </c>
      <c r="B22449" t="str">
        <f>HYPERLINK("https://twitter.com/robert_dagenyk","@robert_dagenyk")</f>
        <v>@robert_dagenyk</v>
      </c>
      <c r="C22449" t="s">
        <v>2963</v>
      </c>
      <c r="D22449">
        <v>1129</v>
      </c>
      <c r="E22449">
        <v>0</v>
      </c>
      <c r="F22449">
        <v>193</v>
      </c>
    </row>
    <row r="22450" spans="1:6" ht="12.75">
      <c r="A22450" s="2">
        <v>43875.910787037035</v>
      </c>
      <c r="B22450" t="str">
        <f>HYPERLINK("https://twitter.com/ayaku_95","@ayaku_95")</f>
        <v>@ayaku_95</v>
      </c>
      <c r="C22450" t="s">
        <v>2444</v>
      </c>
      <c r="D22450">
        <v>2773</v>
      </c>
      <c r="E22450">
        <v>0</v>
      </c>
      <c r="F22450">
        <v>12</v>
      </c>
    </row>
    <row r="22451" spans="1:6" ht="12.75">
      <c r="A22451" s="2">
        <v>43875.910775462966</v>
      </c>
      <c r="B22451" t="str">
        <f>HYPERLINK("https://twitter.com/ikhwan_nasai","@ikhwan_nasai")</f>
        <v>@ikhwan_nasai</v>
      </c>
      <c r="C22451" t="s">
        <v>10709</v>
      </c>
      <c r="D22451">
        <v>8</v>
      </c>
      <c r="E22451">
        <v>10</v>
      </c>
      <c r="F22451">
        <v>5502</v>
      </c>
    </row>
    <row r="22452" spans="1:6" ht="12.75">
      <c r="A22452" s="2">
        <v>43875.910752314812</v>
      </c>
      <c r="B22452" t="str">
        <f>HYPERLINK("https://twitter.com/ayaku_95","@ayaku_95")</f>
        <v>@ayaku_95</v>
      </c>
      <c r="C22452" t="s">
        <v>5168</v>
      </c>
      <c r="D22452">
        <v>1055</v>
      </c>
      <c r="E22452">
        <v>0</v>
      </c>
      <c r="F22452">
        <v>12</v>
      </c>
    </row>
    <row r="22453" spans="1:6" ht="12.75">
      <c r="A22453" s="2">
        <v>43875.910694444443</v>
      </c>
      <c r="B22453" t="str">
        <f>HYPERLINK("https://twitter.com/GunGunG49169853","@GunGunG49169853")</f>
        <v>@GunGunG49169853</v>
      </c>
      <c r="C22453" t="s">
        <v>6201</v>
      </c>
      <c r="D22453">
        <v>240</v>
      </c>
      <c r="E22453">
        <v>0</v>
      </c>
      <c r="F22453">
        <v>994</v>
      </c>
    </row>
    <row r="22454" spans="1:6" ht="12.75">
      <c r="A22454" s="2">
        <v>43875.910682870366</v>
      </c>
      <c r="B22454" t="str">
        <f>HYPERLINK("https://twitter.com/Aftakurnia","@Aftakurnia")</f>
        <v>@Aftakurnia</v>
      </c>
      <c r="C22454" t="s">
        <v>10710</v>
      </c>
      <c r="D22454">
        <v>33</v>
      </c>
      <c r="E22454">
        <v>0</v>
      </c>
      <c r="F22454">
        <v>196</v>
      </c>
    </row>
    <row r="22455" spans="1:6" ht="12.75">
      <c r="A22455" s="2">
        <v>43875.910636574074</v>
      </c>
      <c r="B22455" t="str">
        <f>HYPERLINK("https://twitter.com/dzoeL_id","@dzoeL_id")</f>
        <v>@dzoeL_id</v>
      </c>
      <c r="C22455" t="s">
        <v>10711</v>
      </c>
      <c r="D22455">
        <v>0</v>
      </c>
      <c r="E22455">
        <v>0</v>
      </c>
      <c r="F22455">
        <v>11</v>
      </c>
    </row>
    <row r="22456" spans="1:6" ht="12.75">
      <c r="A22456" s="2">
        <v>43875.910613425927</v>
      </c>
      <c r="B22456" t="str">
        <f>HYPERLINK("https://twitter.com/mustbecrazylove","@mustbecrazylove")</f>
        <v>@mustbecrazylove</v>
      </c>
      <c r="C22456" t="s">
        <v>2444</v>
      </c>
      <c r="D22456">
        <v>2773</v>
      </c>
      <c r="E22456">
        <v>0</v>
      </c>
      <c r="F22456">
        <v>186</v>
      </c>
    </row>
    <row r="22457" spans="1:6" ht="12.75">
      <c r="A22457" s="2">
        <v>43875.910567129627</v>
      </c>
      <c r="B22457" t="str">
        <f>HYPERLINK("https://twitter.com/andi_mutaal","@andi_mutaal")</f>
        <v>@andi_mutaal</v>
      </c>
      <c r="C22457" t="s">
        <v>9746</v>
      </c>
      <c r="D22457">
        <v>371</v>
      </c>
      <c r="E22457">
        <v>0</v>
      </c>
      <c r="F22457">
        <v>257</v>
      </c>
    </row>
    <row r="22458" spans="1:6" ht="12.75">
      <c r="A22458" s="2">
        <v>43875.910509259258</v>
      </c>
      <c r="B22458" t="str">
        <f>HYPERLINK("https://twitter.com/gourchof","@gourchof")</f>
        <v>@gourchof</v>
      </c>
      <c r="C22458" t="s">
        <v>10712</v>
      </c>
      <c r="D22458">
        <v>0</v>
      </c>
      <c r="E22458">
        <v>0</v>
      </c>
      <c r="F22458">
        <v>0</v>
      </c>
    </row>
    <row r="22459" spans="1:6" ht="12.75">
      <c r="A22459" s="2">
        <v>43875.910381944443</v>
      </c>
      <c r="B22459" t="str">
        <f>HYPERLINK("https://twitter.com/ZheeOmega","@ZheeOmega")</f>
        <v>@ZheeOmega</v>
      </c>
      <c r="C22459" t="s">
        <v>10713</v>
      </c>
      <c r="D22459">
        <v>2</v>
      </c>
      <c r="E22459">
        <v>0</v>
      </c>
      <c r="F22459">
        <v>17777</v>
      </c>
    </row>
    <row r="22460" spans="1:6" ht="12.75">
      <c r="A22460" s="2">
        <v>43875.910370370373</v>
      </c>
      <c r="B22460" t="str">
        <f>HYPERLINK("https://twitter.com/fadhiiiil_fbrg","@fadhiiiil_fbrg")</f>
        <v>@fadhiiiil_fbrg</v>
      </c>
      <c r="C22460" t="s">
        <v>2963</v>
      </c>
      <c r="D22460">
        <v>1129</v>
      </c>
      <c r="E22460">
        <v>0</v>
      </c>
      <c r="F22460">
        <v>160</v>
      </c>
    </row>
    <row r="22461" spans="1:6" ht="12.75">
      <c r="A22461" s="2">
        <v>43875.910254629634</v>
      </c>
      <c r="B22461" t="str">
        <f>HYPERLINK("https://twitter.com/Wuliten10","@Wuliten10")</f>
        <v>@Wuliten10</v>
      </c>
      <c r="C22461" t="s">
        <v>2444</v>
      </c>
      <c r="D22461">
        <v>2773</v>
      </c>
      <c r="E22461">
        <v>0</v>
      </c>
      <c r="F22461">
        <v>88</v>
      </c>
    </row>
    <row r="22462" spans="1:6" ht="12.75">
      <c r="A22462" s="2">
        <v>43875.910092592589</v>
      </c>
      <c r="B22462" t="str">
        <f>HYPERLINK("https://twitter.com/hgn23","@hgn23")</f>
        <v>@hgn23</v>
      </c>
      <c r="C22462" t="s">
        <v>5168</v>
      </c>
      <c r="D22462">
        <v>1055</v>
      </c>
      <c r="E22462">
        <v>0</v>
      </c>
      <c r="F22462">
        <v>257</v>
      </c>
    </row>
    <row r="22463" spans="1:6" ht="12.75">
      <c r="A22463" s="2">
        <v>43875.910057870366</v>
      </c>
      <c r="B22463" t="str">
        <f>HYPERLINK("https://twitter.com/sepatsieum","@sepatsieum")</f>
        <v>@sepatsieum</v>
      </c>
      <c r="C22463" t="s">
        <v>10714</v>
      </c>
      <c r="D22463">
        <v>0</v>
      </c>
      <c r="E22463">
        <v>0</v>
      </c>
      <c r="F22463">
        <v>270</v>
      </c>
    </row>
    <row r="22464" spans="1:6" ht="12.75">
      <c r="A22464" s="2">
        <v>43875.909942129627</v>
      </c>
      <c r="B22464" t="str">
        <f>HYPERLINK("https://twitter.com/UrLuv93303759","@UrLuv93303759")</f>
        <v>@UrLuv93303759</v>
      </c>
      <c r="C22464" t="s">
        <v>10715</v>
      </c>
      <c r="D22464">
        <v>0</v>
      </c>
      <c r="E22464">
        <v>0</v>
      </c>
      <c r="F22464">
        <v>2</v>
      </c>
    </row>
    <row r="22465" spans="1:6" ht="12.75">
      <c r="A22465" s="2">
        <v>43875.909849537042</v>
      </c>
      <c r="B22465" t="str">
        <f>HYPERLINK("https://twitter.com/nwpelf13","@nwpelf13")</f>
        <v>@nwpelf13</v>
      </c>
      <c r="C22465" t="s">
        <v>9021</v>
      </c>
      <c r="D22465">
        <v>206</v>
      </c>
      <c r="E22465">
        <v>0</v>
      </c>
      <c r="F22465">
        <v>779</v>
      </c>
    </row>
    <row r="22466" spans="1:6" ht="12.75">
      <c r="A22466" s="2">
        <v>43875.909826388888</v>
      </c>
      <c r="B22466" t="str">
        <f>HYPERLINK("https://twitter.com/aya_ddt","@aya_ddt")</f>
        <v>@aya_ddt</v>
      </c>
      <c r="C22466" t="s">
        <v>8948</v>
      </c>
      <c r="D22466">
        <v>5</v>
      </c>
      <c r="E22466">
        <v>0</v>
      </c>
      <c r="F22466">
        <v>425</v>
      </c>
    </row>
    <row r="22467" spans="1:6" ht="12.75">
      <c r="A22467" s="2">
        <v>43875.909745370373</v>
      </c>
      <c r="B22467" t="str">
        <f>HYPERLINK("https://twitter.com/iniSIAlisasi","@iniSIAlisasi")</f>
        <v>@iniSIAlisasi</v>
      </c>
      <c r="C22467" t="s">
        <v>2444</v>
      </c>
      <c r="D22467">
        <v>2773</v>
      </c>
      <c r="E22467">
        <v>0</v>
      </c>
      <c r="F22467">
        <v>448</v>
      </c>
    </row>
    <row r="22468" spans="1:6" ht="12.75">
      <c r="A22468" s="2">
        <v>43875.90960648148</v>
      </c>
      <c r="B22468" t="str">
        <f>HYPERLINK("https://twitter.com/AlaricLuthfy","@AlaricLuthfy")</f>
        <v>@AlaricLuthfy</v>
      </c>
      <c r="C22468" t="s">
        <v>10716</v>
      </c>
      <c r="D22468">
        <v>0</v>
      </c>
      <c r="E22468">
        <v>0</v>
      </c>
      <c r="F22468">
        <v>217</v>
      </c>
    </row>
    <row r="22469" spans="1:6" ht="12.75">
      <c r="A22469" s="2">
        <v>43875.909583333334</v>
      </c>
      <c r="B22469" t="str">
        <f t="shared" ref="B22469:B22471" si="333">HYPERLINK("https://twitter.com/SarRach23","@SarRach23")</f>
        <v>@SarRach23</v>
      </c>
      <c r="C22469" t="s">
        <v>10717</v>
      </c>
      <c r="D22469">
        <v>1</v>
      </c>
      <c r="E22469">
        <v>0</v>
      </c>
      <c r="F22469">
        <v>1358</v>
      </c>
    </row>
    <row r="22470" spans="1:6" ht="12.75">
      <c r="A22470" s="2">
        <v>43875.909560185188</v>
      </c>
      <c r="B22470" t="str">
        <f t="shared" si="333"/>
        <v>@SarRach23</v>
      </c>
      <c r="C22470" t="s">
        <v>10718</v>
      </c>
      <c r="D22470">
        <v>1</v>
      </c>
      <c r="E22470">
        <v>0</v>
      </c>
      <c r="F22470">
        <v>1358</v>
      </c>
    </row>
    <row r="22471" spans="1:6" ht="12.75">
      <c r="A22471" s="2">
        <v>43875.909502314811</v>
      </c>
      <c r="B22471" t="str">
        <f t="shared" si="333"/>
        <v>@SarRach23</v>
      </c>
      <c r="C22471" t="s">
        <v>10719</v>
      </c>
      <c r="D22471">
        <v>1</v>
      </c>
      <c r="E22471">
        <v>0</v>
      </c>
      <c r="F22471">
        <v>1358</v>
      </c>
    </row>
    <row r="22472" spans="1:6" ht="12.75">
      <c r="A22472" s="2">
        <v>43875.909502314811</v>
      </c>
      <c r="B22472" t="str">
        <f>HYPERLINK("https://twitter.com/gunmaboi","@gunmaboi")</f>
        <v>@gunmaboi</v>
      </c>
      <c r="C22472" t="s">
        <v>5168</v>
      </c>
      <c r="D22472">
        <v>1055</v>
      </c>
      <c r="E22472">
        <v>0</v>
      </c>
      <c r="F22472">
        <v>548</v>
      </c>
    </row>
    <row r="22473" spans="1:6" ht="12.75">
      <c r="A22473" s="2">
        <v>43875.909467592588</v>
      </c>
      <c r="B22473" t="str">
        <f>HYPERLINK("https://twitter.com/___ubee","@___ubee")</f>
        <v>@___ubee</v>
      </c>
      <c r="C22473" t="s">
        <v>2444</v>
      </c>
      <c r="D22473">
        <v>2773</v>
      </c>
      <c r="E22473">
        <v>0</v>
      </c>
      <c r="F22473">
        <v>101</v>
      </c>
    </row>
    <row r="22474" spans="1:6" ht="12.75">
      <c r="A22474" s="2">
        <v>43875.909409722226</v>
      </c>
      <c r="B22474" t="str">
        <f>HYPERLINK("https://twitter.com/nadxhn","@nadxhn")</f>
        <v>@nadxhn</v>
      </c>
      <c r="C22474" t="s">
        <v>5168</v>
      </c>
      <c r="D22474">
        <v>1055</v>
      </c>
      <c r="E22474">
        <v>0</v>
      </c>
      <c r="F22474">
        <v>165</v>
      </c>
    </row>
    <row r="22475" spans="1:6" ht="12.75">
      <c r="A22475" s="2">
        <v>43875.909178240741</v>
      </c>
      <c r="B22475" t="str">
        <f>HYPERLINK("https://twitter.com/_kyukuunee","@_kyukuunee")</f>
        <v>@_kyukuunee</v>
      </c>
      <c r="C22475" t="s">
        <v>2444</v>
      </c>
      <c r="D22475">
        <v>2773</v>
      </c>
      <c r="E22475">
        <v>0</v>
      </c>
      <c r="F22475">
        <v>562</v>
      </c>
    </row>
    <row r="22476" spans="1:6" ht="12.75">
      <c r="A22476" s="2">
        <v>43875.909085648149</v>
      </c>
      <c r="B22476" t="str">
        <f>HYPERLINK("https://twitter.com/hajaiz","@hajaiz")</f>
        <v>@hajaiz</v>
      </c>
      <c r="C22476" t="s">
        <v>10720</v>
      </c>
      <c r="D22476">
        <v>0</v>
      </c>
      <c r="E22476">
        <v>0</v>
      </c>
      <c r="F22476">
        <v>95</v>
      </c>
    </row>
    <row r="22477" spans="1:6" ht="12.75">
      <c r="A22477" s="2">
        <v>43875.909062499995</v>
      </c>
      <c r="B22477" t="str">
        <f>HYPERLINK("https://twitter.com/bintanhaya","@bintanhaya")</f>
        <v>@bintanhaya</v>
      </c>
      <c r="C22477" t="s">
        <v>9964</v>
      </c>
      <c r="D22477">
        <v>640</v>
      </c>
      <c r="E22477">
        <v>0</v>
      </c>
      <c r="F22477">
        <v>615</v>
      </c>
    </row>
    <row r="22478" spans="1:6" ht="12.75">
      <c r="A22478" s="2">
        <v>43875.909039351856</v>
      </c>
      <c r="B22478" t="str">
        <f>HYPERLINK("https://twitter.com/blue17w","@blue17w")</f>
        <v>@blue17w</v>
      </c>
      <c r="C22478" t="s">
        <v>2444</v>
      </c>
      <c r="D22478">
        <v>2773</v>
      </c>
      <c r="E22478">
        <v>0</v>
      </c>
      <c r="F22478">
        <v>298</v>
      </c>
    </row>
    <row r="22479" spans="1:6" ht="12.75">
      <c r="A22479" s="2">
        <v>43875.90896990741</v>
      </c>
      <c r="B22479" t="str">
        <f>HYPERLINK("https://twitter.com/Simaskus","@Simaskus")</f>
        <v>@Simaskus</v>
      </c>
      <c r="C22479" t="s">
        <v>2963</v>
      </c>
      <c r="D22479">
        <v>1129</v>
      </c>
      <c r="E22479">
        <v>0</v>
      </c>
      <c r="F22479">
        <v>1051</v>
      </c>
    </row>
    <row r="22480" spans="1:6" ht="12.75">
      <c r="A22480" s="2">
        <v>43875.908912037034</v>
      </c>
      <c r="B22480" t="str">
        <f>HYPERLINK("https://twitter.com/realvirago","@realvirago")</f>
        <v>@realvirago</v>
      </c>
      <c r="C22480" t="s">
        <v>2444</v>
      </c>
      <c r="D22480">
        <v>2773</v>
      </c>
      <c r="E22480">
        <v>0</v>
      </c>
      <c r="F22480">
        <v>1745</v>
      </c>
    </row>
    <row r="22481" spans="1:6" ht="12.75">
      <c r="A22481" s="2">
        <v>43875.908900462964</v>
      </c>
      <c r="B22481" t="str">
        <f>HYPERLINK("https://twitter.com/RirinWidyaprsti","@RirinWidyaprsti")</f>
        <v>@RirinWidyaprsti</v>
      </c>
      <c r="C22481" t="s">
        <v>2444</v>
      </c>
      <c r="D22481">
        <v>2773</v>
      </c>
      <c r="E22481">
        <v>0</v>
      </c>
      <c r="F22481">
        <v>660</v>
      </c>
    </row>
    <row r="22482" spans="1:6" ht="12.75">
      <c r="A22482" s="2">
        <v>43875.908773148149</v>
      </c>
      <c r="B22482" t="str">
        <f>HYPERLINK("https://twitter.com/caesaratiensya","@caesaratiensya")</f>
        <v>@caesaratiensya</v>
      </c>
      <c r="C22482" t="s">
        <v>2444</v>
      </c>
      <c r="D22482">
        <v>2773</v>
      </c>
      <c r="E22482">
        <v>0</v>
      </c>
      <c r="F22482">
        <v>343</v>
      </c>
    </row>
    <row r="22483" spans="1:6" ht="12.75">
      <c r="A22483" s="2">
        <v>43875.908715277779</v>
      </c>
      <c r="B22483" t="str">
        <f>HYPERLINK("https://twitter.com/DindaArya0","@DindaArya0")</f>
        <v>@DindaArya0</v>
      </c>
      <c r="C22483" t="s">
        <v>10721</v>
      </c>
      <c r="D22483">
        <v>0</v>
      </c>
      <c r="E22483">
        <v>0</v>
      </c>
      <c r="F22483">
        <v>44</v>
      </c>
    </row>
    <row r="22484" spans="1:6" ht="12.75">
      <c r="A22484" s="2">
        <v>43875.908576388887</v>
      </c>
      <c r="B22484" t="str">
        <f>HYPERLINK("https://twitter.com/Shima_ru","@Shima_ru")</f>
        <v>@Shima_ru</v>
      </c>
      <c r="C22484" t="s">
        <v>2444</v>
      </c>
      <c r="D22484">
        <v>2773</v>
      </c>
      <c r="E22484">
        <v>0</v>
      </c>
      <c r="F22484">
        <v>350</v>
      </c>
    </row>
    <row r="22485" spans="1:6" ht="12.75">
      <c r="A22485" s="2">
        <v>43875.908564814818</v>
      </c>
      <c r="B22485" t="str">
        <f>HYPERLINK("https://twitter.com/AEPishere","@AEPishere")</f>
        <v>@AEPishere</v>
      </c>
      <c r="C22485" t="s">
        <v>2444</v>
      </c>
      <c r="D22485">
        <v>2773</v>
      </c>
      <c r="E22485">
        <v>0</v>
      </c>
      <c r="F22485">
        <v>3011</v>
      </c>
    </row>
    <row r="22486" spans="1:6" ht="12.75">
      <c r="A22486" s="2">
        <v>43875.908530092594</v>
      </c>
      <c r="B22486" t="str">
        <f>HYPERLINK("https://twitter.com/achmadlartri","@achmadlartri")</f>
        <v>@achmadlartri</v>
      </c>
      <c r="C22486" t="s">
        <v>10395</v>
      </c>
      <c r="D22486">
        <v>2</v>
      </c>
      <c r="E22486">
        <v>0</v>
      </c>
      <c r="F22486">
        <v>467</v>
      </c>
    </row>
    <row r="22487" spans="1:6" ht="12.75">
      <c r="A22487" s="2">
        <v>43875.908506944441</v>
      </c>
      <c r="B22487" t="str">
        <f>HYPERLINK("https://twitter.com/Vasternorland21","@Vasternorland21")</f>
        <v>@Vasternorland21</v>
      </c>
      <c r="C22487" t="s">
        <v>10114</v>
      </c>
      <c r="D22487">
        <v>9</v>
      </c>
      <c r="E22487">
        <v>0</v>
      </c>
      <c r="F22487">
        <v>939</v>
      </c>
    </row>
    <row r="22488" spans="1:6" ht="12.75">
      <c r="A22488" s="2">
        <v>43875.908483796295</v>
      </c>
      <c r="B22488" t="str">
        <f>HYPERLINK("https://twitter.com/mualdives","@mualdives")</f>
        <v>@mualdives</v>
      </c>
      <c r="C22488" t="s">
        <v>5168</v>
      </c>
      <c r="D22488">
        <v>1055</v>
      </c>
      <c r="E22488">
        <v>0</v>
      </c>
      <c r="F22488">
        <v>759</v>
      </c>
    </row>
    <row r="22489" spans="1:6" ht="12.75">
      <c r="A22489" s="2">
        <v>43875.908460648148</v>
      </c>
      <c r="B22489" t="str">
        <f>HYPERLINK("https://twitter.com/aaddiinnii","@aaddiinnii")</f>
        <v>@aaddiinnii</v>
      </c>
      <c r="C22489" t="s">
        <v>2444</v>
      </c>
      <c r="D22489">
        <v>2773</v>
      </c>
      <c r="E22489">
        <v>0</v>
      </c>
      <c r="F22489">
        <v>558</v>
      </c>
    </row>
    <row r="22490" spans="1:6" ht="12.75">
      <c r="A22490" s="2">
        <v>43875.908437499995</v>
      </c>
      <c r="B22490" t="str">
        <f>HYPERLINK("https://twitter.com/gapapasheyenk","@gapapasheyenk")</f>
        <v>@gapapasheyenk</v>
      </c>
      <c r="C22490" t="s">
        <v>2444</v>
      </c>
      <c r="D22490">
        <v>2773</v>
      </c>
      <c r="E22490">
        <v>0</v>
      </c>
      <c r="F22490">
        <v>18</v>
      </c>
    </row>
    <row r="22491" spans="1:6" ht="12.75">
      <c r="A22491" s="2">
        <v>43875.908368055556</v>
      </c>
      <c r="B22491" t="str">
        <f>HYPERLINK("https://twitter.com/madaaputra","@madaaputra")</f>
        <v>@madaaputra</v>
      </c>
      <c r="C22491" t="s">
        <v>10300</v>
      </c>
      <c r="D22491">
        <v>59</v>
      </c>
      <c r="E22491">
        <v>0</v>
      </c>
      <c r="F22491">
        <v>971</v>
      </c>
    </row>
    <row r="22492" spans="1:6" ht="12.75">
      <c r="A22492" s="2">
        <v>43875.908333333333</v>
      </c>
      <c r="B22492" t="str">
        <f>HYPERLINK("https://twitter.com/PipihNeng1","@PipihNeng1")</f>
        <v>@PipihNeng1</v>
      </c>
      <c r="C22492" t="s">
        <v>10462</v>
      </c>
      <c r="D22492">
        <v>237</v>
      </c>
      <c r="E22492">
        <v>0</v>
      </c>
      <c r="F22492">
        <v>382</v>
      </c>
    </row>
    <row r="22493" spans="1:6" ht="12.75">
      <c r="A22493" s="2">
        <v>43875.907916666663</v>
      </c>
      <c r="B22493" t="str">
        <f>HYPERLINK("https://twitter.com/nahimunkarcom","@nahimunkarcom")</f>
        <v>@nahimunkarcom</v>
      </c>
      <c r="C22493" t="s">
        <v>10720</v>
      </c>
      <c r="D22493">
        <v>0</v>
      </c>
      <c r="E22493">
        <v>1</v>
      </c>
      <c r="F22493">
        <v>3877</v>
      </c>
    </row>
    <row r="22494" spans="1:6" ht="12.75">
      <c r="A22494" s="2">
        <v>43875.907731481479</v>
      </c>
      <c r="B22494" t="str">
        <f>HYPERLINK("https://twitter.com/YoshuaHtglng","@YoshuaHtglng")</f>
        <v>@YoshuaHtglng</v>
      </c>
      <c r="C22494" t="s">
        <v>8328</v>
      </c>
      <c r="D22494">
        <v>35</v>
      </c>
      <c r="E22494">
        <v>0</v>
      </c>
      <c r="F22494">
        <v>330</v>
      </c>
    </row>
    <row r="22495" spans="1:6" ht="12.75">
      <c r="A22495" s="2">
        <v>43875.907581018517</v>
      </c>
      <c r="B22495" t="str">
        <f>HYPERLINK("https://twitter.com/aulokta","@aulokta")</f>
        <v>@aulokta</v>
      </c>
      <c r="C22495" t="s">
        <v>2444</v>
      </c>
      <c r="D22495">
        <v>2773</v>
      </c>
      <c r="E22495">
        <v>0</v>
      </c>
      <c r="F22495">
        <v>319</v>
      </c>
    </row>
    <row r="22496" spans="1:6" ht="12.75">
      <c r="A22496" s="2">
        <v>43875.907534722224</v>
      </c>
      <c r="B22496" t="str">
        <f>HYPERLINK("https://twitter.com/2000snoona","@2000snoona")</f>
        <v>@2000snoona</v>
      </c>
      <c r="C22496" t="s">
        <v>9067</v>
      </c>
      <c r="D22496">
        <v>51</v>
      </c>
      <c r="E22496">
        <v>0</v>
      </c>
      <c r="F22496">
        <v>898</v>
      </c>
    </row>
    <row r="22497" spans="1:6" ht="12.75">
      <c r="A22497" s="2">
        <v>43875.907511574071</v>
      </c>
      <c r="B22497" t="str">
        <f>HYPERLINK("https://twitter.com/aweeepcy16","@aweeepcy16")</f>
        <v>@aweeepcy16</v>
      </c>
      <c r="C22497" t="s">
        <v>2444</v>
      </c>
      <c r="D22497">
        <v>2773</v>
      </c>
      <c r="E22497">
        <v>0</v>
      </c>
      <c r="F22497">
        <v>130</v>
      </c>
    </row>
    <row r="22498" spans="1:6" ht="12.75">
      <c r="A22498" s="2">
        <v>43875.907407407409</v>
      </c>
      <c r="B22498" t="str">
        <f>HYPERLINK("https://twitter.com/Bodenkkokko","@Bodenkkokko")</f>
        <v>@Bodenkkokko</v>
      </c>
      <c r="C22498" t="s">
        <v>10722</v>
      </c>
      <c r="D22498">
        <v>1</v>
      </c>
      <c r="E22498">
        <v>0</v>
      </c>
      <c r="F22498">
        <v>255</v>
      </c>
    </row>
    <row r="22499" spans="1:6" ht="12.75">
      <c r="A22499" s="2">
        <v>43875.907407407409</v>
      </c>
      <c r="B22499" t="str">
        <f>HYPERLINK("https://twitter.com/LusiHQ","@LusiHQ")</f>
        <v>@LusiHQ</v>
      </c>
      <c r="C22499" t="s">
        <v>10723</v>
      </c>
      <c r="D22499">
        <v>0</v>
      </c>
      <c r="E22499">
        <v>0</v>
      </c>
      <c r="F22499">
        <v>17686</v>
      </c>
    </row>
    <row r="22500" spans="1:6" ht="12.75">
      <c r="A22500" s="2">
        <v>43875.907361111109</v>
      </c>
      <c r="B22500" t="str">
        <f>HYPERLINK("https://twitter.com/dksownsi","@dksownsi")</f>
        <v>@dksownsi</v>
      </c>
      <c r="C22500" t="s">
        <v>2444</v>
      </c>
      <c r="D22500">
        <v>2773</v>
      </c>
      <c r="E22500">
        <v>0</v>
      </c>
      <c r="F22500">
        <v>504</v>
      </c>
    </row>
    <row r="22501" spans="1:6" ht="12.75">
      <c r="A22501" s="2">
        <v>43875.907314814816</v>
      </c>
      <c r="B22501" t="str">
        <f>HYPERLINK("https://twitter.com/Lforjustice1","@Lforjustice1")</f>
        <v>@Lforjustice1</v>
      </c>
      <c r="C22501" t="s">
        <v>10724</v>
      </c>
      <c r="D22501">
        <v>1</v>
      </c>
      <c r="E22501">
        <v>0</v>
      </c>
      <c r="F22501">
        <v>431</v>
      </c>
    </row>
    <row r="22502" spans="1:6" ht="12.75">
      <c r="A22502" s="2">
        <v>43875.907187500001</v>
      </c>
      <c r="B22502" t="str">
        <f>HYPERLINK("https://twitter.com/soullufthansa","@soullufthansa")</f>
        <v>@soullufthansa</v>
      </c>
      <c r="C22502" t="s">
        <v>10052</v>
      </c>
      <c r="D22502">
        <v>87</v>
      </c>
      <c r="E22502">
        <v>0</v>
      </c>
      <c r="F22502">
        <v>836</v>
      </c>
    </row>
    <row r="22503" spans="1:6" ht="12.75">
      <c r="A22503" s="2">
        <v>43875.907106481478</v>
      </c>
      <c r="B22503" t="str">
        <f>HYPERLINK("https://twitter.com/MondyJacob","@MondyJacob")</f>
        <v>@MondyJacob</v>
      </c>
      <c r="C22503" t="s">
        <v>10725</v>
      </c>
      <c r="D22503">
        <v>0</v>
      </c>
      <c r="E22503">
        <v>1</v>
      </c>
      <c r="F22503">
        <v>188</v>
      </c>
    </row>
    <row r="22504" spans="1:6" ht="12.75">
      <c r="A22504" s="2">
        <v>43875.907071759255</v>
      </c>
      <c r="B22504" t="str">
        <f>HYPERLINK("https://twitter.com/a_putriamanda","@a_putriamanda")</f>
        <v>@a_putriamanda</v>
      </c>
      <c r="C22504" t="s">
        <v>5168</v>
      </c>
      <c r="D22504">
        <v>1055</v>
      </c>
      <c r="E22504">
        <v>0</v>
      </c>
      <c r="F22504">
        <v>645</v>
      </c>
    </row>
    <row r="22505" spans="1:6" ht="12.75">
      <c r="A22505" s="2">
        <v>43875.907002314816</v>
      </c>
      <c r="B22505" t="str">
        <f>HYPERLINK("https://twitter.com/dzoeL_id","@dzoeL_id")</f>
        <v>@dzoeL_id</v>
      </c>
      <c r="C22505" t="s">
        <v>10726</v>
      </c>
      <c r="D22505">
        <v>0</v>
      </c>
      <c r="E22505">
        <v>0</v>
      </c>
      <c r="F22505">
        <v>11</v>
      </c>
    </row>
    <row r="22506" spans="1:6" ht="12.75">
      <c r="A22506" s="2">
        <v>43875.906990740739</v>
      </c>
      <c r="B22506" t="str">
        <f>HYPERLINK("https://twitter.com/ijal791","@ijal791")</f>
        <v>@ijal791</v>
      </c>
      <c r="C22506" t="s">
        <v>10727</v>
      </c>
      <c r="D22506">
        <v>1</v>
      </c>
      <c r="E22506">
        <v>0</v>
      </c>
      <c r="F22506">
        <v>79</v>
      </c>
    </row>
    <row r="22507" spans="1:6" ht="12.75">
      <c r="A22507" s="2">
        <v>43875.906990740739</v>
      </c>
      <c r="B22507" t="str">
        <f>HYPERLINK("https://twitter.com/2000snoona","@2000snoona")</f>
        <v>@2000snoona</v>
      </c>
      <c r="C22507" t="s">
        <v>2444</v>
      </c>
      <c r="D22507">
        <v>2773</v>
      </c>
      <c r="E22507">
        <v>0</v>
      </c>
      <c r="F22507">
        <v>898</v>
      </c>
    </row>
    <row r="22508" spans="1:6" ht="12.75">
      <c r="A22508" s="2">
        <v>43875.906805555554</v>
      </c>
      <c r="B22508" t="str">
        <f>HYPERLINK("https://twitter.com/RHNurcahyo","@RHNurcahyo")</f>
        <v>@RHNurcahyo</v>
      </c>
      <c r="C22508" t="s">
        <v>8233</v>
      </c>
      <c r="D22508">
        <v>510</v>
      </c>
      <c r="E22508">
        <v>0</v>
      </c>
      <c r="F22508">
        <v>456</v>
      </c>
    </row>
    <row r="22509" spans="1:6" ht="12.75">
      <c r="A22509" s="2">
        <v>43875.906701388885</v>
      </c>
      <c r="B22509" t="str">
        <f>HYPERLINK("https://twitter.com/jee_creepers","@jee_creepers")</f>
        <v>@jee_creepers</v>
      </c>
      <c r="C22509" t="s">
        <v>10728</v>
      </c>
      <c r="D22509">
        <v>0</v>
      </c>
      <c r="E22509">
        <v>0</v>
      </c>
      <c r="F22509">
        <v>698</v>
      </c>
    </row>
    <row r="22510" spans="1:6" ht="12.75">
      <c r="A22510" s="2">
        <v>43875.906678240739</v>
      </c>
      <c r="B22510" t="str">
        <f>HYPERLINK("https://twitter.com/yutamissyuuu","@yutamissyuuu")</f>
        <v>@yutamissyuuu</v>
      </c>
      <c r="C22510" t="s">
        <v>2444</v>
      </c>
      <c r="D22510">
        <v>2773</v>
      </c>
      <c r="E22510">
        <v>0</v>
      </c>
      <c r="F22510">
        <v>1285</v>
      </c>
    </row>
    <row r="22511" spans="1:6" ht="12.75">
      <c r="A22511" s="2">
        <v>43875.906666666662</v>
      </c>
      <c r="B22511" t="str">
        <f>HYPERLINK("https://twitter.com/dkusde","@dkusde")</f>
        <v>@dkusde</v>
      </c>
      <c r="C22511" t="s">
        <v>2444</v>
      </c>
      <c r="D22511">
        <v>2773</v>
      </c>
      <c r="E22511">
        <v>0</v>
      </c>
      <c r="F22511">
        <v>396</v>
      </c>
    </row>
    <row r="22512" spans="1:6" ht="12.75">
      <c r="A22512" s="2">
        <v>43875.906666666662</v>
      </c>
      <c r="B22512" t="str">
        <f>HYPERLINK("https://twitter.com/Arizqaaa","@Arizqaaa")</f>
        <v>@Arizqaaa</v>
      </c>
      <c r="C22512" t="s">
        <v>2444</v>
      </c>
      <c r="D22512">
        <v>2773</v>
      </c>
      <c r="E22512">
        <v>0</v>
      </c>
      <c r="F22512">
        <v>66</v>
      </c>
    </row>
    <row r="22513" spans="1:6" ht="12.75">
      <c r="A22513" s="2">
        <v>43875.906666666662</v>
      </c>
      <c r="B22513" t="str">
        <f>HYPERLINK("https://twitter.com/berkilauan","@berkilauan")</f>
        <v>@berkilauan</v>
      </c>
      <c r="C22513" t="s">
        <v>9067</v>
      </c>
      <c r="D22513">
        <v>51</v>
      </c>
      <c r="E22513">
        <v>0</v>
      </c>
      <c r="F22513">
        <v>3082</v>
      </c>
    </row>
    <row r="22514" spans="1:6" ht="12.75">
      <c r="A22514" s="2">
        <v>43875.906631944439</v>
      </c>
      <c r="B22514" t="str">
        <f>HYPERLINK("https://twitter.com/OptimusPRIDE3","@OptimusPRIDE3")</f>
        <v>@OptimusPRIDE3</v>
      </c>
      <c r="C22514" t="s">
        <v>2963</v>
      </c>
      <c r="D22514">
        <v>1129</v>
      </c>
      <c r="E22514">
        <v>0</v>
      </c>
      <c r="F22514">
        <v>1032</v>
      </c>
    </row>
    <row r="22515" spans="1:6" ht="12.75">
      <c r="A22515" s="2">
        <v>43875.9066087963</v>
      </c>
      <c r="B22515" t="str">
        <f>HYPERLINK("https://twitter.com/JiwasrayaGate","@JiwasrayaGate")</f>
        <v>@JiwasrayaGate</v>
      </c>
      <c r="C22515" t="s">
        <v>10569</v>
      </c>
      <c r="D22515">
        <v>1</v>
      </c>
      <c r="E22515">
        <v>3</v>
      </c>
      <c r="F22515">
        <v>3495</v>
      </c>
    </row>
    <row r="22516" spans="1:6" ht="12.75">
      <c r="A22516" s="2">
        <v>43875.906597222223</v>
      </c>
      <c r="B22516" t="str">
        <f>HYPERLINK("https://twitter.com/a_putriamanda","@a_putriamanda")</f>
        <v>@a_putriamanda</v>
      </c>
      <c r="C22516" t="s">
        <v>2444</v>
      </c>
      <c r="D22516">
        <v>2773</v>
      </c>
      <c r="E22516">
        <v>0</v>
      </c>
      <c r="F22516">
        <v>645</v>
      </c>
    </row>
    <row r="22517" spans="1:6" ht="12.75">
      <c r="A22517" s="2">
        <v>43875.906574074077</v>
      </c>
      <c r="B22517" t="str">
        <f>HYPERLINK("https://twitter.com/RevelinoSiahaan","@RevelinoSiahaan")</f>
        <v>@RevelinoSiahaan</v>
      </c>
      <c r="C22517" t="s">
        <v>5168</v>
      </c>
      <c r="D22517">
        <v>1055</v>
      </c>
      <c r="E22517">
        <v>0</v>
      </c>
      <c r="F22517">
        <v>197</v>
      </c>
    </row>
    <row r="22518" spans="1:6" ht="12.75">
      <c r="A22518" s="2">
        <v>43875.906574074077</v>
      </c>
      <c r="B22518" t="str">
        <f>HYPERLINK("https://twitter.com/KadrunHunter99","@KadrunHunter99")</f>
        <v>@KadrunHunter99</v>
      </c>
      <c r="C22518" t="s">
        <v>10114</v>
      </c>
      <c r="D22518">
        <v>9</v>
      </c>
      <c r="E22518">
        <v>0</v>
      </c>
      <c r="F22518">
        <v>3899</v>
      </c>
    </row>
    <row r="22519" spans="1:6" ht="12.75">
      <c r="A22519" s="2">
        <v>43875.9065162037</v>
      </c>
      <c r="B22519" t="str">
        <f>HYPERLINK("https://twitter.com/RHNurcahyo","@RHNurcahyo")</f>
        <v>@RHNurcahyo</v>
      </c>
      <c r="C22519" t="s">
        <v>10422</v>
      </c>
      <c r="D22519">
        <v>114</v>
      </c>
      <c r="E22519">
        <v>0</v>
      </c>
      <c r="F22519">
        <v>456</v>
      </c>
    </row>
    <row r="22520" spans="1:6" ht="12.75">
      <c r="A22520" s="2">
        <v>43875.906504629631</v>
      </c>
      <c r="B22520" t="str">
        <f>HYPERLINK("https://twitter.com/Radar_Cirebon","@Radar_Cirebon")</f>
        <v>@Radar_Cirebon</v>
      </c>
      <c r="C22520" t="s">
        <v>10729</v>
      </c>
      <c r="D22520">
        <v>0</v>
      </c>
      <c r="E22520">
        <v>0</v>
      </c>
      <c r="F22520">
        <v>21751</v>
      </c>
    </row>
    <row r="22521" spans="1:6" ht="12.75">
      <c r="A22521" s="2">
        <v>43875.906377314815</v>
      </c>
      <c r="B22521" t="str">
        <f>HYPERLINK("https://twitter.com/ErvineKiddies","@ErvineKiddies")</f>
        <v>@ErvineKiddies</v>
      </c>
      <c r="C22521" t="s">
        <v>10730</v>
      </c>
      <c r="D22521">
        <v>0</v>
      </c>
      <c r="E22521">
        <v>0</v>
      </c>
      <c r="F22521">
        <v>738</v>
      </c>
    </row>
    <row r="22522" spans="1:6" ht="12.75">
      <c r="A22522" s="2">
        <v>43875.906354166669</v>
      </c>
      <c r="B22522" t="str">
        <f>HYPERLINK("https://twitter.com/xomegarushx","@xomegarushx")</f>
        <v>@xomegarushx</v>
      </c>
      <c r="C22522" t="s">
        <v>2444</v>
      </c>
      <c r="D22522">
        <v>2773</v>
      </c>
      <c r="E22522">
        <v>0</v>
      </c>
      <c r="F22522">
        <v>529</v>
      </c>
    </row>
    <row r="22523" spans="1:6" ht="12.75">
      <c r="A22523" s="2">
        <v>43875.906331018516</v>
      </c>
      <c r="B22523" t="str">
        <f>HYPERLINK("https://twitter.com/ErinaNurhuda","@ErinaNurhuda")</f>
        <v>@ErinaNurhuda</v>
      </c>
      <c r="C22523" t="s">
        <v>9147</v>
      </c>
      <c r="D22523">
        <v>34</v>
      </c>
      <c r="E22523">
        <v>0</v>
      </c>
      <c r="F22523">
        <v>541</v>
      </c>
    </row>
    <row r="22524" spans="1:6" ht="12.75">
      <c r="A22524" s="2">
        <v>43875.906226851846</v>
      </c>
      <c r="B22524" t="str">
        <f>HYPERLINK("https://twitter.com/howyourlifee","@howyourlifee")</f>
        <v>@howyourlifee</v>
      </c>
      <c r="C22524" t="s">
        <v>10731</v>
      </c>
      <c r="D22524">
        <v>0</v>
      </c>
      <c r="E22524">
        <v>0</v>
      </c>
      <c r="F22524">
        <v>371</v>
      </c>
    </row>
    <row r="22525" spans="1:6" ht="12.75">
      <c r="A22525" s="2">
        <v>43875.906018518523</v>
      </c>
      <c r="B22525" t="str">
        <f>HYPERLINK("https://twitter.com/ObaiIdon","@ObaiIdon")</f>
        <v>@ObaiIdon</v>
      </c>
      <c r="C22525" t="s">
        <v>9096</v>
      </c>
      <c r="D22525">
        <v>203</v>
      </c>
      <c r="E22525">
        <v>0</v>
      </c>
      <c r="F22525">
        <v>181</v>
      </c>
    </row>
    <row r="22526" spans="1:6" ht="12.75">
      <c r="A22526" s="2">
        <v>43875.905949074076</v>
      </c>
      <c r="B22526" t="str">
        <f>HYPERLINK("https://twitter.com/yahbangmrx","@yahbangmrx")</f>
        <v>@yahbangmrx</v>
      </c>
      <c r="C22526" t="s">
        <v>10732</v>
      </c>
      <c r="D22526">
        <v>0</v>
      </c>
      <c r="E22526">
        <v>0</v>
      </c>
      <c r="F22526">
        <v>619</v>
      </c>
    </row>
    <row r="22527" spans="1:6" ht="12.75">
      <c r="A22527" s="2">
        <v>43875.905914351853</v>
      </c>
      <c r="B22527" t="str">
        <f>HYPERLINK("https://twitter.com/arsennavois","@arsennavois")</f>
        <v>@arsennavois</v>
      </c>
      <c r="C22527" t="s">
        <v>9964</v>
      </c>
      <c r="D22527">
        <v>640</v>
      </c>
      <c r="E22527">
        <v>0</v>
      </c>
      <c r="F22527">
        <v>421</v>
      </c>
    </row>
    <row r="22528" spans="1:6" ht="12.75">
      <c r="A22528" s="2">
        <v>43875.905914351853</v>
      </c>
      <c r="B22528" t="str">
        <f>HYPERLINK("https://twitter.com/lvihdyts","@lvihdyts")</f>
        <v>@lvihdyts</v>
      </c>
      <c r="C22528" t="s">
        <v>10074</v>
      </c>
      <c r="D22528">
        <v>73</v>
      </c>
      <c r="E22528">
        <v>0</v>
      </c>
      <c r="F22528">
        <v>89</v>
      </c>
    </row>
    <row r="22529" spans="1:6" ht="12.75">
      <c r="A22529" s="2">
        <v>43875.9058912037</v>
      </c>
      <c r="B22529" t="str">
        <f>HYPERLINK("https://twitter.com/AEPishere","@AEPishere")</f>
        <v>@AEPishere</v>
      </c>
      <c r="C22529" t="s">
        <v>10395</v>
      </c>
      <c r="D22529">
        <v>2</v>
      </c>
      <c r="E22529">
        <v>0</v>
      </c>
      <c r="F22529">
        <v>3011</v>
      </c>
    </row>
    <row r="22530" spans="1:6" ht="12.75">
      <c r="A22530" s="2">
        <v>43875.90587962963</v>
      </c>
      <c r="B22530" t="str">
        <f>HYPERLINK("https://twitter.com/slekahena","@slekahena")</f>
        <v>@slekahena</v>
      </c>
      <c r="C22530" t="s">
        <v>2444</v>
      </c>
      <c r="D22530">
        <v>2773</v>
      </c>
      <c r="E22530">
        <v>0</v>
      </c>
      <c r="F22530">
        <v>1230</v>
      </c>
    </row>
    <row r="22531" spans="1:6" ht="12.75">
      <c r="A22531" s="2">
        <v>43875.905856481477</v>
      </c>
      <c r="B22531" t="str">
        <f>HYPERLINK("https://twitter.com/bucinkpop","@bucinkpop")</f>
        <v>@bucinkpop</v>
      </c>
      <c r="C22531" t="s">
        <v>5168</v>
      </c>
      <c r="D22531">
        <v>1055</v>
      </c>
      <c r="E22531">
        <v>0</v>
      </c>
      <c r="F22531">
        <v>183</v>
      </c>
    </row>
    <row r="22532" spans="1:6" ht="12.75">
      <c r="A22532" s="2">
        <v>43875.905763888892</v>
      </c>
      <c r="B22532" t="str">
        <f>HYPERLINK("https://twitter.com/wyukheigf","@wyukheigf")</f>
        <v>@wyukheigf</v>
      </c>
      <c r="C22532" t="s">
        <v>2444</v>
      </c>
      <c r="D22532">
        <v>2773</v>
      </c>
      <c r="E22532">
        <v>0</v>
      </c>
      <c r="F22532">
        <v>978</v>
      </c>
    </row>
    <row r="22533" spans="1:6" ht="12.75">
      <c r="A22533" s="2">
        <v>43875.905740740738</v>
      </c>
      <c r="B22533" t="str">
        <f>HYPERLINK("https://twitter.com/CallmeEstu","@CallmeEstu")</f>
        <v>@CallmeEstu</v>
      </c>
      <c r="C22533" t="s">
        <v>10733</v>
      </c>
      <c r="D22533">
        <v>0</v>
      </c>
      <c r="E22533">
        <v>0</v>
      </c>
      <c r="F22533">
        <v>12</v>
      </c>
    </row>
    <row r="22534" spans="1:6" ht="12.75">
      <c r="A22534" s="2">
        <v>43875.905624999999</v>
      </c>
      <c r="B22534" t="str">
        <f>HYPERLINK("https://twitter.com/sahhhla","@sahhhla")</f>
        <v>@sahhhla</v>
      </c>
      <c r="C22534" t="s">
        <v>2444</v>
      </c>
      <c r="D22534">
        <v>2773</v>
      </c>
      <c r="E22534">
        <v>0</v>
      </c>
      <c r="F22534">
        <v>50</v>
      </c>
    </row>
    <row r="22535" spans="1:6" ht="12.75">
      <c r="A22535" s="2">
        <v>43875.90561342593</v>
      </c>
      <c r="B22535" t="str">
        <f>HYPERLINK("https://twitter.com/hoshyaa","@hoshyaa")</f>
        <v>@hoshyaa</v>
      </c>
      <c r="C22535" t="s">
        <v>2444</v>
      </c>
      <c r="D22535">
        <v>2773</v>
      </c>
      <c r="E22535">
        <v>0</v>
      </c>
      <c r="F22535">
        <v>664</v>
      </c>
    </row>
    <row r="22536" spans="1:6" ht="12.75">
      <c r="A22536" s="2">
        <v>43875.905590277776</v>
      </c>
      <c r="B22536" t="str">
        <f>HYPERLINK("https://twitter.com/trinugroho162","@trinugroho162")</f>
        <v>@trinugroho162</v>
      </c>
      <c r="C22536" t="s">
        <v>6201</v>
      </c>
      <c r="D22536">
        <v>240</v>
      </c>
      <c r="E22536">
        <v>0</v>
      </c>
      <c r="F22536">
        <v>1661</v>
      </c>
    </row>
    <row r="22537" spans="1:6" ht="12.75">
      <c r="A22537" s="2">
        <v>43875.90556712963</v>
      </c>
      <c r="B22537" t="str">
        <f>HYPERLINK("https://twitter.com/tiara_szs","@tiara_szs")</f>
        <v>@tiara_szs</v>
      </c>
      <c r="C22537" t="s">
        <v>2444</v>
      </c>
      <c r="D22537">
        <v>2773</v>
      </c>
      <c r="E22537">
        <v>0</v>
      </c>
      <c r="F22537">
        <v>768</v>
      </c>
    </row>
    <row r="22538" spans="1:6" ht="12.75">
      <c r="A22538" s="2">
        <v>43875.905543981484</v>
      </c>
      <c r="B22538" t="str">
        <f>HYPERLINK("https://twitter.com/CakMan70489610","@CakMan70489610")</f>
        <v>@CakMan70489610</v>
      </c>
      <c r="C22538" t="s">
        <v>9198</v>
      </c>
      <c r="D22538">
        <v>69</v>
      </c>
      <c r="E22538">
        <v>0</v>
      </c>
      <c r="F22538">
        <v>493</v>
      </c>
    </row>
    <row r="22539" spans="1:6" ht="12.75">
      <c r="A22539" s="2">
        <v>43875.905532407407</v>
      </c>
      <c r="B22539" t="str">
        <f>HYPERLINK("https://twitter.com/rtfeina","@rtfeina")</f>
        <v>@rtfeina</v>
      </c>
      <c r="C22539" t="s">
        <v>2444</v>
      </c>
      <c r="D22539">
        <v>2773</v>
      </c>
      <c r="E22539">
        <v>0</v>
      </c>
      <c r="F22539">
        <v>229</v>
      </c>
    </row>
    <row r="22540" spans="1:6" ht="12.75">
      <c r="A22540" s="2">
        <v>43875.905497685184</v>
      </c>
      <c r="B22540" t="str">
        <f>HYPERLINK("https://twitter.com/Rifzikadnt","@Rifzikadnt")</f>
        <v>@Rifzikadnt</v>
      </c>
      <c r="C22540" t="s">
        <v>2963</v>
      </c>
      <c r="D22540">
        <v>1129</v>
      </c>
      <c r="E22540">
        <v>0</v>
      </c>
      <c r="F22540">
        <v>122</v>
      </c>
    </row>
    <row r="22541" spans="1:6" ht="12.75">
      <c r="A22541" s="2">
        <v>43875.905486111107</v>
      </c>
      <c r="B22541" t="str">
        <f>HYPERLINK("https://twitter.com/Gendorowo3","@Gendorowo3")</f>
        <v>@Gendorowo3</v>
      </c>
      <c r="C22541" t="s">
        <v>10734</v>
      </c>
      <c r="D22541">
        <v>0</v>
      </c>
      <c r="E22541">
        <v>0</v>
      </c>
      <c r="F22541">
        <v>91</v>
      </c>
    </row>
    <row r="22542" spans="1:6" ht="12.75">
      <c r="A22542" s="2">
        <v>43875.905405092592</v>
      </c>
      <c r="B22542" t="str">
        <f>HYPERLINK("https://twitter.com/PriyudhaAgung","@PriyudhaAgung")</f>
        <v>@PriyudhaAgung</v>
      </c>
      <c r="C22542" t="s">
        <v>10735</v>
      </c>
      <c r="D22542">
        <v>0</v>
      </c>
      <c r="E22542">
        <v>0</v>
      </c>
      <c r="F22542">
        <v>6</v>
      </c>
    </row>
    <row r="22543" spans="1:6" ht="12.75">
      <c r="A22543" s="2">
        <v>43875.905347222222</v>
      </c>
      <c r="B22543" t="str">
        <f>HYPERLINK("https://twitter.com/BaniAdam____","@BaniAdam____")</f>
        <v>@BaniAdam____</v>
      </c>
      <c r="C22543" t="s">
        <v>10736</v>
      </c>
      <c r="D22543">
        <v>1</v>
      </c>
      <c r="E22543">
        <v>0</v>
      </c>
      <c r="F22543">
        <v>1107</v>
      </c>
    </row>
    <row r="22544" spans="1:6" ht="12.75">
      <c r="A22544" s="2">
        <v>43875.905300925922</v>
      </c>
      <c r="B22544" t="str">
        <f>HYPERLINK("https://twitter.com/koko_dhoni","@koko_dhoni")</f>
        <v>@koko_dhoni</v>
      </c>
      <c r="C22544" t="s">
        <v>10737</v>
      </c>
      <c r="D22544">
        <v>0</v>
      </c>
      <c r="E22544">
        <v>0</v>
      </c>
      <c r="F22544">
        <v>152</v>
      </c>
    </row>
    <row r="22545" spans="1:6" ht="12.75">
      <c r="A22545" s="2">
        <v>43875.90525462963</v>
      </c>
      <c r="B22545" t="str">
        <f>HYPERLINK("https://twitter.com/faiqhnf","@faiqhnf")</f>
        <v>@faiqhnf</v>
      </c>
      <c r="C22545" t="s">
        <v>2444</v>
      </c>
      <c r="D22545">
        <v>2773</v>
      </c>
      <c r="E22545">
        <v>0</v>
      </c>
      <c r="F22545">
        <v>301</v>
      </c>
    </row>
    <row r="22546" spans="1:6" ht="12.75">
      <c r="A22546" s="2">
        <v>43875.90525462963</v>
      </c>
      <c r="B22546" t="str">
        <f>HYPERLINK("https://twitter.com/anditoaja","@anditoaja")</f>
        <v>@anditoaja</v>
      </c>
      <c r="C22546" t="s">
        <v>10738</v>
      </c>
      <c r="D22546">
        <v>1</v>
      </c>
      <c r="E22546">
        <v>0</v>
      </c>
      <c r="F22546">
        <v>1413</v>
      </c>
    </row>
    <row r="22547" spans="1:6" ht="12.75">
      <c r="A22547" s="2">
        <v>43875.90525462963</v>
      </c>
      <c r="B22547" t="str">
        <f>HYPERLINK("https://twitter.com/GKawi369","@GKawi369")</f>
        <v>@GKawi369</v>
      </c>
      <c r="C22547" t="s">
        <v>2963</v>
      </c>
      <c r="D22547">
        <v>1129</v>
      </c>
      <c r="E22547">
        <v>0</v>
      </c>
      <c r="F22547">
        <v>992</v>
      </c>
    </row>
    <row r="22548" spans="1:6" ht="12.75">
      <c r="A22548" s="2">
        <v>43875.90519675926</v>
      </c>
      <c r="B22548" t="str">
        <f>HYPERLINK("https://twitter.com/WSetiawan_ID","@WSetiawan_ID")</f>
        <v>@WSetiawan_ID</v>
      </c>
      <c r="C22548" t="s">
        <v>10739</v>
      </c>
      <c r="D22548">
        <v>237</v>
      </c>
      <c r="E22548">
        <v>0</v>
      </c>
      <c r="F22548">
        <v>7580</v>
      </c>
    </row>
    <row r="22549" spans="1:6" ht="12.75">
      <c r="A22549" s="2">
        <v>43875.905057870375</v>
      </c>
      <c r="B22549" t="str">
        <f>HYPERLINK("https://twitter.com/doyokijay","@doyokijay")</f>
        <v>@doyokijay</v>
      </c>
      <c r="C22549" t="s">
        <v>10740</v>
      </c>
      <c r="D22549">
        <v>95</v>
      </c>
      <c r="E22549">
        <v>0</v>
      </c>
      <c r="F22549">
        <v>306</v>
      </c>
    </row>
    <row r="22550" spans="1:6" ht="12.75">
      <c r="A22550" s="2">
        <v>43875.904942129629</v>
      </c>
      <c r="B22550" t="str">
        <f>HYPERLINK("https://twitter.com/daunseledrii","@daunseledrii")</f>
        <v>@daunseledrii</v>
      </c>
      <c r="C22550" t="s">
        <v>10741</v>
      </c>
      <c r="D22550">
        <v>0</v>
      </c>
      <c r="E22550">
        <v>0</v>
      </c>
      <c r="F22550">
        <v>383</v>
      </c>
    </row>
    <row r="22551" spans="1:6" ht="12.75">
      <c r="A22551" s="2">
        <v>43875.904872685191</v>
      </c>
      <c r="B22551" t="str">
        <f>HYPERLINK("https://twitter.com/gembira683101","@gembira683101")</f>
        <v>@gembira683101</v>
      </c>
      <c r="C22551" t="s">
        <v>7390</v>
      </c>
      <c r="D22551">
        <v>91</v>
      </c>
      <c r="E22551">
        <v>0</v>
      </c>
      <c r="F22551">
        <v>194</v>
      </c>
    </row>
    <row r="22552" spans="1:6" ht="12.75">
      <c r="A22552" s="2">
        <v>43875.904849537037</v>
      </c>
      <c r="B22552" t="str">
        <f>HYPERLINK("https://twitter.com/ngehold","@ngehold")</f>
        <v>@ngehold</v>
      </c>
      <c r="C22552" t="s">
        <v>2137</v>
      </c>
      <c r="D22552">
        <v>209</v>
      </c>
      <c r="E22552">
        <v>0</v>
      </c>
      <c r="F22552">
        <v>176</v>
      </c>
    </row>
    <row r="22553" spans="1:6" ht="12.75">
      <c r="A22553" s="2">
        <v>43875.904837962968</v>
      </c>
      <c r="B22553" t="str">
        <f>HYPERLINK("https://twitter.com/Ishish19885793","@Ishish19885793")</f>
        <v>@Ishish19885793</v>
      </c>
      <c r="C22553" t="s">
        <v>9198</v>
      </c>
      <c r="D22553">
        <v>69</v>
      </c>
      <c r="E22553">
        <v>0</v>
      </c>
      <c r="F22553">
        <v>45</v>
      </c>
    </row>
    <row r="22554" spans="1:6" ht="12.75">
      <c r="A22554" s="2">
        <v>43875.904791666668</v>
      </c>
      <c r="B22554" t="str">
        <f>HYPERLINK("https://twitter.com/sepintasangan","@sepintasangan")</f>
        <v>@sepintasangan</v>
      </c>
      <c r="C22554" t="s">
        <v>10742</v>
      </c>
      <c r="D22554">
        <v>5</v>
      </c>
      <c r="E22554">
        <v>0</v>
      </c>
      <c r="F22554">
        <v>116</v>
      </c>
    </row>
    <row r="22555" spans="1:6" ht="12.75">
      <c r="A22555" s="2">
        <v>43875.904699074075</v>
      </c>
      <c r="B22555" t="str">
        <f>HYPERLINK("https://twitter.com/bangchanee","@bangchanee")</f>
        <v>@bangchanee</v>
      </c>
      <c r="C22555" t="s">
        <v>9123</v>
      </c>
      <c r="D22555">
        <v>290</v>
      </c>
      <c r="E22555">
        <v>0</v>
      </c>
      <c r="F22555">
        <v>866</v>
      </c>
    </row>
    <row r="22556" spans="1:6" ht="12.75">
      <c r="A22556" s="2">
        <v>43875.90461805556</v>
      </c>
      <c r="B22556" t="str">
        <f>HYPERLINK("https://twitter.com/UrLuv93303759","@UrLuv93303759")</f>
        <v>@UrLuv93303759</v>
      </c>
      <c r="C22556" t="s">
        <v>10743</v>
      </c>
      <c r="D22556">
        <v>0</v>
      </c>
      <c r="E22556">
        <v>0</v>
      </c>
      <c r="F22556">
        <v>2</v>
      </c>
    </row>
    <row r="22557" spans="1:6" ht="12.75">
      <c r="A22557" s="2">
        <v>43875.904606481483</v>
      </c>
      <c r="B22557" t="str">
        <f>HYPERLINK("https://twitter.com/EsJorong","@EsJorong")</f>
        <v>@EsJorong</v>
      </c>
      <c r="C22557" t="s">
        <v>9746</v>
      </c>
      <c r="D22557">
        <v>371</v>
      </c>
      <c r="E22557">
        <v>0</v>
      </c>
      <c r="F22557">
        <v>194</v>
      </c>
    </row>
    <row r="22558" spans="1:6" ht="12.75">
      <c r="A22558" s="2">
        <v>43875.904490740737</v>
      </c>
      <c r="B22558" t="str">
        <f>HYPERLINK("https://twitter.com/candoddi","@candoddi")</f>
        <v>@candoddi</v>
      </c>
      <c r="C22558" t="s">
        <v>10297</v>
      </c>
      <c r="D22558">
        <v>8</v>
      </c>
      <c r="E22558">
        <v>0</v>
      </c>
      <c r="F22558">
        <v>110</v>
      </c>
    </row>
    <row r="22559" spans="1:6" ht="12.75">
      <c r="A22559" s="2">
        <v>43875.904490740737</v>
      </c>
      <c r="B22559" t="str">
        <f>HYPERLINK("https://twitter.com/Bimabani13","@Bimabani13")</f>
        <v>@Bimabani13</v>
      </c>
      <c r="C22559" t="s">
        <v>10744</v>
      </c>
      <c r="D22559">
        <v>0</v>
      </c>
      <c r="E22559">
        <v>0</v>
      </c>
      <c r="F22559">
        <v>15</v>
      </c>
    </row>
    <row r="22560" spans="1:6" ht="12.75">
      <c r="A22560" s="2">
        <v>43875.904456018514</v>
      </c>
      <c r="B22560" t="str">
        <f>HYPERLINK("https://twitter.com/RivaldiZakie","@RivaldiZakie")</f>
        <v>@RivaldiZakie</v>
      </c>
      <c r="C22560" t="s">
        <v>10611</v>
      </c>
      <c r="D22560">
        <v>2</v>
      </c>
      <c r="E22560">
        <v>0</v>
      </c>
      <c r="F22560">
        <v>15</v>
      </c>
    </row>
    <row r="22561" spans="1:6" ht="12.75">
      <c r="A22561" s="2">
        <v>43875.904409722221</v>
      </c>
      <c r="B22561" t="str">
        <f>HYPERLINK("https://twitter.com/rakjat4","@rakjat4")</f>
        <v>@rakjat4</v>
      </c>
      <c r="C22561" t="s">
        <v>9835</v>
      </c>
      <c r="D22561">
        <v>58</v>
      </c>
      <c r="E22561">
        <v>0</v>
      </c>
      <c r="F22561">
        <v>947</v>
      </c>
    </row>
    <row r="22562" spans="1:6" ht="12.75">
      <c r="A22562" s="2">
        <v>43875.904398148152</v>
      </c>
      <c r="B22562" t="str">
        <f>HYPERLINK("https://twitter.com/aweeepcy16","@aweeepcy16")</f>
        <v>@aweeepcy16</v>
      </c>
      <c r="C22562" t="s">
        <v>5168</v>
      </c>
      <c r="D22562">
        <v>1055</v>
      </c>
      <c r="E22562">
        <v>0</v>
      </c>
      <c r="F22562">
        <v>130</v>
      </c>
    </row>
    <row r="22563" spans="1:6" ht="12.75">
      <c r="A22563" s="2">
        <v>43875.904386574075</v>
      </c>
      <c r="B22563" t="str">
        <f>HYPERLINK("https://twitter.com/YoshuaHtglng","@YoshuaHtglng")</f>
        <v>@YoshuaHtglng</v>
      </c>
      <c r="C22563" t="s">
        <v>2444</v>
      </c>
      <c r="D22563">
        <v>2773</v>
      </c>
      <c r="E22563">
        <v>0</v>
      </c>
      <c r="F22563">
        <v>330</v>
      </c>
    </row>
    <row r="22564" spans="1:6" ht="12.75">
      <c r="A22564" s="2">
        <v>43875.90425925926</v>
      </c>
      <c r="B22564" t="str">
        <f>HYPERLINK("https://twitter.com/RevelinoSiahaan","@RevelinoSiahaan")</f>
        <v>@RevelinoSiahaan</v>
      </c>
      <c r="C22564" t="s">
        <v>10745</v>
      </c>
      <c r="D22564">
        <v>0</v>
      </c>
      <c r="E22564">
        <v>0</v>
      </c>
      <c r="F22564">
        <v>197</v>
      </c>
    </row>
    <row r="22565" spans="1:6" ht="12.75">
      <c r="A22565" s="2">
        <v>43875.904120370367</v>
      </c>
      <c r="B22565" t="str">
        <f>HYPERLINK("https://twitter.com/DmustH","@DmustH")</f>
        <v>@DmustH</v>
      </c>
      <c r="C22565" t="s">
        <v>2444</v>
      </c>
      <c r="D22565">
        <v>2773</v>
      </c>
      <c r="E22565">
        <v>0</v>
      </c>
      <c r="F22565">
        <v>8</v>
      </c>
    </row>
    <row r="22566" spans="1:6" ht="12.75">
      <c r="A22566" s="2">
        <v>43875.904120370367</v>
      </c>
      <c r="B22566" t="str">
        <f>HYPERLINK("https://twitter.com/KoalaBelantara","@KoalaBelantara")</f>
        <v>@KoalaBelantara</v>
      </c>
      <c r="C22566" t="s">
        <v>6201</v>
      </c>
      <c r="D22566">
        <v>240</v>
      </c>
      <c r="E22566">
        <v>0</v>
      </c>
      <c r="F22566">
        <v>1423</v>
      </c>
    </row>
    <row r="22567" spans="1:6" ht="12.75">
      <c r="A22567" s="2">
        <v>43875.904097222221</v>
      </c>
      <c r="B22567" t="str">
        <f>HYPERLINK("https://twitter.com/juyaby","@juyaby")</f>
        <v>@juyaby</v>
      </c>
      <c r="C22567" t="s">
        <v>2444</v>
      </c>
      <c r="D22567">
        <v>2773</v>
      </c>
      <c r="E22567">
        <v>0</v>
      </c>
      <c r="F22567">
        <v>54</v>
      </c>
    </row>
    <row r="22568" spans="1:6" ht="12.75">
      <c r="A22568" s="2">
        <v>43875.904085648144</v>
      </c>
      <c r="B22568" t="str">
        <f>HYPERLINK("https://twitter.com/itsannisa26","@itsannisa26")</f>
        <v>@itsannisa26</v>
      </c>
      <c r="C22568" t="s">
        <v>2444</v>
      </c>
      <c r="D22568">
        <v>2773</v>
      </c>
      <c r="E22568">
        <v>0</v>
      </c>
      <c r="F22568">
        <v>1080</v>
      </c>
    </row>
    <row r="22569" spans="1:6" ht="12.75">
      <c r="A22569" s="2">
        <v>43875.903981481482</v>
      </c>
      <c r="B22569" t="str">
        <f>HYPERLINK("https://twitter.com/Vito_Pevito","@Vito_Pevito")</f>
        <v>@Vito_Pevito</v>
      </c>
      <c r="C22569" t="s">
        <v>10746</v>
      </c>
      <c r="D22569">
        <v>0</v>
      </c>
      <c r="E22569">
        <v>0</v>
      </c>
      <c r="F22569">
        <v>9</v>
      </c>
    </row>
    <row r="22570" spans="1:6" ht="12.75">
      <c r="A22570" s="2">
        <v>43875.903854166667</v>
      </c>
      <c r="B22570" t="str">
        <f>HYPERLINK("https://twitter.com/Byannn3","@Byannn3")</f>
        <v>@Byannn3</v>
      </c>
      <c r="C22570" t="s">
        <v>7478</v>
      </c>
      <c r="D22570">
        <v>399</v>
      </c>
      <c r="E22570">
        <v>0</v>
      </c>
      <c r="F22570">
        <v>140</v>
      </c>
    </row>
    <row r="22571" spans="1:6" ht="12.75">
      <c r="A22571" s="2">
        <v>43875.903796296298</v>
      </c>
      <c r="B22571" t="str">
        <f>HYPERLINK("https://twitter.com/Metro_TV","@Metro_TV")</f>
        <v>@Metro_TV</v>
      </c>
      <c r="C22571" t="s">
        <v>10747</v>
      </c>
      <c r="D22571">
        <v>2</v>
      </c>
      <c r="E22571">
        <v>4</v>
      </c>
      <c r="F22571">
        <v>10509081</v>
      </c>
    </row>
    <row r="22572" spans="1:6" ht="12.75">
      <c r="A22572" s="2">
        <v>43875.903668981482</v>
      </c>
      <c r="B22572" t="str">
        <f>HYPERLINK("https://twitter.com/Rosie35508606","@Rosie35508606")</f>
        <v>@Rosie35508606</v>
      </c>
      <c r="C22572" t="s">
        <v>8252</v>
      </c>
      <c r="D22572">
        <v>500</v>
      </c>
      <c r="E22572">
        <v>0</v>
      </c>
      <c r="F22572">
        <v>21</v>
      </c>
    </row>
    <row r="22573" spans="1:6" ht="12.75">
      <c r="A22573" s="2">
        <v>43875.903657407413</v>
      </c>
      <c r="B22573" t="str">
        <f>HYPERLINK("https://twitter.com/polarbiru","@polarbiru")</f>
        <v>@polarbiru</v>
      </c>
      <c r="C22573" t="s">
        <v>5168</v>
      </c>
      <c r="D22573">
        <v>1055</v>
      </c>
      <c r="E22573">
        <v>0</v>
      </c>
      <c r="F22573">
        <v>1535</v>
      </c>
    </row>
    <row r="22574" spans="1:6" ht="12.75">
      <c r="A22574" s="2">
        <v>43875.903599537036</v>
      </c>
      <c r="B22574" t="str">
        <f>HYPERLINK("https://twitter.com/Facebookhanali","@Facebookhanali")</f>
        <v>@Facebookhanali</v>
      </c>
      <c r="C22574" t="s">
        <v>2444</v>
      </c>
      <c r="D22574">
        <v>2773</v>
      </c>
      <c r="E22574">
        <v>0</v>
      </c>
      <c r="F22574">
        <v>488</v>
      </c>
    </row>
    <row r="22575" spans="1:6" ht="12.75">
      <c r="A22575" s="2">
        <v>43875.903449074074</v>
      </c>
      <c r="B22575" t="str">
        <f>HYPERLINK("https://twitter.com/Ebheno","@Ebheno")</f>
        <v>@Ebheno</v>
      </c>
      <c r="C22575" t="s">
        <v>10739</v>
      </c>
      <c r="D22575">
        <v>237</v>
      </c>
      <c r="E22575">
        <v>0</v>
      </c>
      <c r="F22575">
        <v>263</v>
      </c>
    </row>
    <row r="22576" spans="1:6" ht="12.75">
      <c r="A22576" s="2">
        <v>43875.903437500005</v>
      </c>
      <c r="B22576" t="str">
        <f>HYPERLINK("https://twitter.com/termosjahe","@termosjahe")</f>
        <v>@termosjahe</v>
      </c>
      <c r="C22576" t="s">
        <v>9067</v>
      </c>
      <c r="D22576">
        <v>51</v>
      </c>
      <c r="E22576">
        <v>0</v>
      </c>
      <c r="F22576">
        <v>51</v>
      </c>
    </row>
    <row r="22577" spans="1:6" ht="12.75">
      <c r="A22577" s="2">
        <v>43875.903379629628</v>
      </c>
      <c r="B22577" t="str">
        <f>HYPERLINK("https://twitter.com/Neukllner1","@Neukllner1")</f>
        <v>@Neukllner1</v>
      </c>
      <c r="C22577" t="s">
        <v>9082</v>
      </c>
      <c r="D22577">
        <v>68</v>
      </c>
      <c r="E22577">
        <v>0</v>
      </c>
      <c r="F22577">
        <v>45</v>
      </c>
    </row>
    <row r="22578" spans="1:6" ht="12.75">
      <c r="A22578" s="2">
        <v>43875.903368055559</v>
      </c>
      <c r="B22578" t="str">
        <f>HYPERLINK("https://twitter.com/indrayono2","@indrayono2")</f>
        <v>@indrayono2</v>
      </c>
      <c r="C22578" t="s">
        <v>10427</v>
      </c>
      <c r="D22578">
        <v>3</v>
      </c>
      <c r="E22578">
        <v>0</v>
      </c>
      <c r="F22578">
        <v>1469</v>
      </c>
    </row>
    <row r="22579" spans="1:6" ht="12.75">
      <c r="A22579" s="2">
        <v>43875.903333333335</v>
      </c>
      <c r="B22579" t="str">
        <f>HYPERLINK("https://twitter.com/AlaricLuthfy","@AlaricLuthfy")</f>
        <v>@AlaricLuthfy</v>
      </c>
      <c r="C22579" t="s">
        <v>10748</v>
      </c>
      <c r="D22579">
        <v>0</v>
      </c>
      <c r="E22579">
        <v>0</v>
      </c>
      <c r="F22579">
        <v>217</v>
      </c>
    </row>
    <row r="22580" spans="1:6" ht="12.75">
      <c r="A22580" s="2">
        <v>43875.903275462959</v>
      </c>
      <c r="B22580" t="str">
        <f>HYPERLINK("https://twitter.com/kemlonih","@kemlonih")</f>
        <v>@kemlonih</v>
      </c>
      <c r="C22580" t="s">
        <v>5761</v>
      </c>
      <c r="D22580">
        <v>80</v>
      </c>
      <c r="E22580">
        <v>0</v>
      </c>
      <c r="F22580">
        <v>5318</v>
      </c>
    </row>
    <row r="22581" spans="1:6" ht="12.75">
      <c r="A22581" s="2">
        <v>43875.903217592597</v>
      </c>
      <c r="B22581" t="str">
        <f>HYPERLINK("https://twitter.com/YaTaqwa83","@YaTaqwa83")</f>
        <v>@YaTaqwa83</v>
      </c>
      <c r="C22581" t="s">
        <v>10052</v>
      </c>
      <c r="D22581">
        <v>87</v>
      </c>
      <c r="E22581">
        <v>0</v>
      </c>
      <c r="F22581">
        <v>712</v>
      </c>
    </row>
    <row r="22582" spans="1:6" ht="12.75">
      <c r="A22582" s="2">
        <v>43875.903217592597</v>
      </c>
      <c r="B22582" t="str">
        <f>HYPERLINK("https://twitter.com/LusiHQ","@LusiHQ")</f>
        <v>@LusiHQ</v>
      </c>
      <c r="C22582" t="s">
        <v>10703</v>
      </c>
      <c r="D22582">
        <v>6</v>
      </c>
      <c r="E22582">
        <v>0</v>
      </c>
      <c r="F22582">
        <v>17686</v>
      </c>
    </row>
    <row r="22583" spans="1:6" ht="12.75">
      <c r="A22583" s="2">
        <v>43875.903148148151</v>
      </c>
      <c r="B22583" t="str">
        <f>HYPERLINK("https://twitter.com/SultraKini_","@SultraKini_")</f>
        <v>@SultraKini_</v>
      </c>
      <c r="C22583" t="s">
        <v>10749</v>
      </c>
      <c r="D22583">
        <v>0</v>
      </c>
      <c r="E22583">
        <v>0</v>
      </c>
      <c r="F22583">
        <v>769</v>
      </c>
    </row>
    <row r="22584" spans="1:6" ht="12.75">
      <c r="A22584" s="2">
        <v>43875.902939814812</v>
      </c>
      <c r="B22584" t="str">
        <f>HYPERLINK("https://twitter.com/seringdeadline","@seringdeadline")</f>
        <v>@seringdeadline</v>
      </c>
      <c r="C22584" t="s">
        <v>2444</v>
      </c>
      <c r="D22584">
        <v>2773</v>
      </c>
      <c r="E22584">
        <v>0</v>
      </c>
      <c r="F22584">
        <v>1050</v>
      </c>
    </row>
    <row r="22585" spans="1:6" ht="12.75">
      <c r="A22585" s="2">
        <v>43875.902835648143</v>
      </c>
      <c r="B22585" t="str">
        <f>HYPERLINK("https://twitter.com/ekha_nugrah","@ekha_nugrah")</f>
        <v>@ekha_nugrah</v>
      </c>
      <c r="C22585" t="s">
        <v>5168</v>
      </c>
      <c r="D22585">
        <v>1055</v>
      </c>
      <c r="E22585">
        <v>0</v>
      </c>
      <c r="F22585">
        <v>324</v>
      </c>
    </row>
    <row r="22586" spans="1:6" ht="12.75">
      <c r="A22586" s="2">
        <v>43875.902824074074</v>
      </c>
      <c r="B22586" t="str">
        <f>HYPERLINK("https://twitter.com/forddyce92","@forddyce92")</f>
        <v>@forddyce92</v>
      </c>
      <c r="C22586" t="s">
        <v>10750</v>
      </c>
      <c r="D22586">
        <v>0</v>
      </c>
      <c r="E22586">
        <v>0</v>
      </c>
      <c r="F22586">
        <v>24</v>
      </c>
    </row>
    <row r="22587" spans="1:6" ht="12.75">
      <c r="A22587" s="2">
        <v>43875.902766203704</v>
      </c>
      <c r="B22587" t="str">
        <f>HYPERLINK("https://twitter.com/yudaptwit20","@yudaptwit20")</f>
        <v>@yudaptwit20</v>
      </c>
      <c r="C22587" t="s">
        <v>9835</v>
      </c>
      <c r="D22587">
        <v>58</v>
      </c>
      <c r="E22587">
        <v>0</v>
      </c>
      <c r="F22587">
        <v>331</v>
      </c>
    </row>
    <row r="22588" spans="1:6" ht="12.75">
      <c r="A22588" s="2">
        <v>43875.902766203704</v>
      </c>
      <c r="B22588" t="str">
        <f>HYPERLINK("https://twitter.com/BJuhaeri","@BJuhaeri")</f>
        <v>@BJuhaeri</v>
      </c>
      <c r="C22588" t="s">
        <v>10751</v>
      </c>
      <c r="D22588">
        <v>0</v>
      </c>
      <c r="E22588">
        <v>0</v>
      </c>
      <c r="F22588">
        <v>16</v>
      </c>
    </row>
    <row r="22589" spans="1:6" ht="12.75">
      <c r="A22589" s="2">
        <v>43875.902708333335</v>
      </c>
      <c r="B22589" t="str">
        <f>HYPERLINK("https://twitter.com/ErvineKiddies","@ErvineKiddies")</f>
        <v>@ErvineKiddies</v>
      </c>
      <c r="C22589" t="s">
        <v>10752</v>
      </c>
      <c r="D22589">
        <v>0</v>
      </c>
      <c r="E22589">
        <v>1</v>
      </c>
      <c r="F22589">
        <v>738</v>
      </c>
    </row>
    <row r="22590" spans="1:6" ht="12.75">
      <c r="A22590" s="2">
        <v>43875.902673611112</v>
      </c>
      <c r="B22590" t="str">
        <f>HYPERLINK("https://twitter.com/5is5nee","@5is5nee")</f>
        <v>@5is5nee</v>
      </c>
      <c r="C22590" t="s">
        <v>2444</v>
      </c>
      <c r="D22590">
        <v>2773</v>
      </c>
      <c r="E22590">
        <v>0</v>
      </c>
      <c r="F22590">
        <v>85</v>
      </c>
    </row>
    <row r="22591" spans="1:6" ht="12.75">
      <c r="A22591" s="2">
        <v>43875.902638888889</v>
      </c>
      <c r="B22591" t="str">
        <f>HYPERLINK("https://twitter.com/ayundaamaharani","@ayundaamaharani")</f>
        <v>@ayundaamaharani</v>
      </c>
      <c r="C22591" t="s">
        <v>5168</v>
      </c>
      <c r="D22591">
        <v>1055</v>
      </c>
      <c r="E22591">
        <v>0</v>
      </c>
      <c r="F22591">
        <v>521</v>
      </c>
    </row>
    <row r="22592" spans="1:6" ht="12.75">
      <c r="A22592" s="2">
        <v>43875.902569444443</v>
      </c>
      <c r="B22592" t="str">
        <f>HYPERLINK("https://twitter.com/mukhlisirfan","@mukhlisirfan")</f>
        <v>@mukhlisirfan</v>
      </c>
      <c r="C22592" t="s">
        <v>2444</v>
      </c>
      <c r="D22592">
        <v>2773</v>
      </c>
      <c r="E22592">
        <v>0</v>
      </c>
      <c r="F22592">
        <v>285</v>
      </c>
    </row>
    <row r="22593" spans="1:6" ht="12.75">
      <c r="A22593" s="2">
        <v>43875.902557870373</v>
      </c>
      <c r="B22593" t="str">
        <f>HYPERLINK("https://twitter.com/Gendorowo3","@Gendorowo3")</f>
        <v>@Gendorowo3</v>
      </c>
      <c r="C22593" t="s">
        <v>10753</v>
      </c>
      <c r="D22593">
        <v>0</v>
      </c>
      <c r="E22593">
        <v>0</v>
      </c>
      <c r="F22593">
        <v>91</v>
      </c>
    </row>
    <row r="22594" spans="1:6" ht="12.75">
      <c r="A22594" s="2">
        <v>43875.902546296296</v>
      </c>
      <c r="B22594" t="str">
        <f>HYPERLINK("https://twitter.com/Djupria2","@Djupria2")</f>
        <v>@Djupria2</v>
      </c>
      <c r="C22594" t="s">
        <v>7888</v>
      </c>
      <c r="D22594">
        <v>35</v>
      </c>
      <c r="E22594">
        <v>0</v>
      </c>
      <c r="F22594">
        <v>652</v>
      </c>
    </row>
    <row r="22595" spans="1:6" ht="12.75">
      <c r="A22595" s="2">
        <v>43875.902546296296</v>
      </c>
      <c r="B22595" t="str">
        <f>HYPERLINK("https://twitter.com/kikagi123","@kikagi123")</f>
        <v>@kikagi123</v>
      </c>
      <c r="C22595" t="s">
        <v>8328</v>
      </c>
      <c r="D22595">
        <v>36</v>
      </c>
      <c r="E22595">
        <v>0</v>
      </c>
      <c r="F22595">
        <v>237</v>
      </c>
    </row>
    <row r="22596" spans="1:6" ht="12.75">
      <c r="A22596" s="2">
        <v>43875.90253472222</v>
      </c>
      <c r="B22596" t="str">
        <f>HYPERLINK("https://twitter.com/miltkyway","@miltkyway")</f>
        <v>@miltkyway</v>
      </c>
      <c r="C22596" t="s">
        <v>2444</v>
      </c>
      <c r="D22596">
        <v>2773</v>
      </c>
      <c r="E22596">
        <v>0</v>
      </c>
      <c r="F22596">
        <v>240</v>
      </c>
    </row>
    <row r="22597" spans="1:6" ht="12.75">
      <c r="A22597" s="2">
        <v>43875.902488425927</v>
      </c>
      <c r="B22597" t="str">
        <f>HYPERLINK("https://twitter.com/RevelinoSiahaan","@RevelinoSiahaan")</f>
        <v>@RevelinoSiahaan</v>
      </c>
      <c r="C22597" t="s">
        <v>2444</v>
      </c>
      <c r="D22597">
        <v>2773</v>
      </c>
      <c r="E22597">
        <v>0</v>
      </c>
      <c r="F22597">
        <v>197</v>
      </c>
    </row>
    <row r="22598" spans="1:6" ht="12.75">
      <c r="A22598" s="2">
        <v>43875.90247685185</v>
      </c>
      <c r="B22598" t="str">
        <f>HYPERLINK("https://twitter.com/intaanNR","@intaanNR")</f>
        <v>@intaanNR</v>
      </c>
      <c r="C22598" t="s">
        <v>2444</v>
      </c>
      <c r="D22598">
        <v>2773</v>
      </c>
      <c r="E22598">
        <v>0</v>
      </c>
      <c r="F22598">
        <v>821</v>
      </c>
    </row>
    <row r="22599" spans="1:6" ht="12.75">
      <c r="A22599" s="2">
        <v>43875.902407407411</v>
      </c>
      <c r="B22599" t="str">
        <f>HYPERLINK("https://twitter.com/Surant6","@Surant6")</f>
        <v>@Surant6</v>
      </c>
      <c r="C22599" t="s">
        <v>9746</v>
      </c>
      <c r="D22599">
        <v>371</v>
      </c>
      <c r="E22599">
        <v>0</v>
      </c>
      <c r="F22599">
        <v>388</v>
      </c>
    </row>
    <row r="22600" spans="1:6" ht="12.75">
      <c r="A22600" s="2">
        <v>43875.902361111112</v>
      </c>
      <c r="B22600" t="str">
        <f>HYPERLINK("https://twitter.com/eufrasia_agnes","@eufrasia_agnes")</f>
        <v>@eufrasia_agnes</v>
      </c>
      <c r="C22600" t="s">
        <v>2444</v>
      </c>
      <c r="D22600">
        <v>2773</v>
      </c>
      <c r="E22600">
        <v>0</v>
      </c>
      <c r="F22600">
        <v>1065</v>
      </c>
    </row>
    <row r="22601" spans="1:6" ht="12.75">
      <c r="A22601" s="2">
        <v>43875.902349537035</v>
      </c>
      <c r="B22601" t="str">
        <f>HYPERLINK("https://twitter.com/UrLuv93303759","@UrLuv93303759")</f>
        <v>@UrLuv93303759</v>
      </c>
      <c r="C22601" t="s">
        <v>10754</v>
      </c>
      <c r="D22601">
        <v>0</v>
      </c>
      <c r="E22601">
        <v>0</v>
      </c>
      <c r="F22601">
        <v>2</v>
      </c>
    </row>
    <row r="22602" spans="1:6" ht="12.75">
      <c r="A22602" s="2">
        <v>43875.902326388888</v>
      </c>
      <c r="B22602" t="str">
        <f>HYPERLINK("https://twitter.com/ch0errysroach","@ch0errysroach")</f>
        <v>@ch0errysroach</v>
      </c>
      <c r="C22602" t="s">
        <v>2444</v>
      </c>
      <c r="D22602">
        <v>2773</v>
      </c>
      <c r="E22602">
        <v>0</v>
      </c>
      <c r="F22602">
        <v>334</v>
      </c>
    </row>
    <row r="22603" spans="1:6" ht="12.75">
      <c r="A22603" s="2">
        <v>43875.902187500003</v>
      </c>
      <c r="B22603" t="str">
        <f>HYPERLINK("https://twitter.com/Khairil40353168","@Khairil40353168")</f>
        <v>@Khairil40353168</v>
      </c>
      <c r="C22603" t="s">
        <v>2963</v>
      </c>
      <c r="D22603">
        <v>1129</v>
      </c>
      <c r="E22603">
        <v>0</v>
      </c>
      <c r="F22603">
        <v>4469</v>
      </c>
    </row>
    <row r="22604" spans="1:6" ht="12.75">
      <c r="A22604" s="2">
        <v>43875.902118055557</v>
      </c>
      <c r="B22604" t="str">
        <f>HYPERLINK("https://twitter.com/wiwigaga_","@wiwigaga_")</f>
        <v>@wiwigaga_</v>
      </c>
      <c r="C22604" t="s">
        <v>2444</v>
      </c>
      <c r="D22604">
        <v>2773</v>
      </c>
      <c r="E22604">
        <v>0</v>
      </c>
      <c r="F22604">
        <v>647</v>
      </c>
    </row>
    <row r="22605" spans="1:6" ht="12.75">
      <c r="A22605" s="2">
        <v>43875.902048611111</v>
      </c>
      <c r="B22605" t="str">
        <f>HYPERLINK("https://twitter.com/jaenationn","@jaenationn")</f>
        <v>@jaenationn</v>
      </c>
      <c r="C22605" t="s">
        <v>2444</v>
      </c>
      <c r="D22605">
        <v>2773</v>
      </c>
      <c r="E22605">
        <v>0</v>
      </c>
      <c r="F22605">
        <v>239</v>
      </c>
    </row>
    <row r="22606" spans="1:6" ht="12.75">
      <c r="A22606" s="2">
        <v>43875.901979166665</v>
      </c>
      <c r="B22606" t="str">
        <f>HYPERLINK("https://twitter.com/CCANOY_","@CCANOY_")</f>
        <v>@CCANOY_</v>
      </c>
      <c r="C22606" t="s">
        <v>2137</v>
      </c>
      <c r="D22606">
        <v>209</v>
      </c>
      <c r="E22606">
        <v>0</v>
      </c>
      <c r="F22606">
        <v>233</v>
      </c>
    </row>
    <row r="22607" spans="1:6" ht="12.75">
      <c r="A22607" s="2">
        <v>43875.901851851857</v>
      </c>
      <c r="B22607" t="str">
        <f>HYPERLINK("https://twitter.com/rn_rinnn","@rn_rinnn")</f>
        <v>@rn_rinnn</v>
      </c>
      <c r="C22607" t="s">
        <v>2444</v>
      </c>
      <c r="D22607">
        <v>2773</v>
      </c>
      <c r="E22607">
        <v>0</v>
      </c>
      <c r="F22607">
        <v>215</v>
      </c>
    </row>
    <row r="22608" spans="1:6" ht="12.75">
      <c r="A22608" s="2">
        <v>43875.901851851857</v>
      </c>
      <c r="B22608" t="str">
        <f>HYPERLINK("https://twitter.com/bellinuy","@bellinuy")</f>
        <v>@bellinuy</v>
      </c>
      <c r="C22608" t="s">
        <v>2444</v>
      </c>
      <c r="D22608">
        <v>2773</v>
      </c>
      <c r="E22608">
        <v>0</v>
      </c>
      <c r="F22608">
        <v>831</v>
      </c>
    </row>
    <row r="22609" spans="1:6" ht="12.75">
      <c r="A22609" s="2">
        <v>43875.901828703703</v>
      </c>
      <c r="B22609" t="str">
        <f>HYPERLINK("https://twitter.com/potatochan_12","@potatochan_12")</f>
        <v>@potatochan_12</v>
      </c>
      <c r="C22609" t="s">
        <v>2444</v>
      </c>
      <c r="D22609">
        <v>2773</v>
      </c>
      <c r="E22609">
        <v>0</v>
      </c>
      <c r="F22609">
        <v>259</v>
      </c>
    </row>
    <row r="22610" spans="1:6" ht="12.75">
      <c r="A22610" s="2">
        <v>43875.901770833334</v>
      </c>
      <c r="B22610" t="str">
        <f>HYPERLINK("https://twitter.com/Ary0977","@Ary0977")</f>
        <v>@Ary0977</v>
      </c>
      <c r="C22610" t="s">
        <v>10755</v>
      </c>
      <c r="D22610">
        <v>0</v>
      </c>
      <c r="E22610">
        <v>0</v>
      </c>
      <c r="F22610">
        <v>615</v>
      </c>
    </row>
    <row r="22611" spans="1:6" ht="12.75">
      <c r="A22611" s="2">
        <v>43875.901585648149</v>
      </c>
      <c r="B22611" t="str">
        <f>HYPERLINK("https://twitter.com/loekistraik","@loekistraik")</f>
        <v>@loekistraik</v>
      </c>
      <c r="C22611" t="s">
        <v>8328</v>
      </c>
      <c r="D22611">
        <v>36</v>
      </c>
      <c r="E22611">
        <v>0</v>
      </c>
      <c r="F22611">
        <v>266</v>
      </c>
    </row>
    <row r="22612" spans="1:6" ht="12.75">
      <c r="A22612" s="2">
        <v>43875.901388888888</v>
      </c>
      <c r="B22612" t="str">
        <f>HYPERLINK("https://twitter.com/letsdrowning","@letsdrowning")</f>
        <v>@letsdrowning</v>
      </c>
      <c r="C22612" t="s">
        <v>2444</v>
      </c>
      <c r="D22612">
        <v>2773</v>
      </c>
      <c r="E22612">
        <v>0</v>
      </c>
      <c r="F22612">
        <v>255</v>
      </c>
    </row>
    <row r="22613" spans="1:6" ht="12.75">
      <c r="A22613" s="2">
        <v>43875.901377314818</v>
      </c>
      <c r="B22613" t="str">
        <f>HYPERLINK("https://twitter.com/AlvaroDeBazan2","@AlvaroDeBazan2")</f>
        <v>@AlvaroDeBazan2</v>
      </c>
      <c r="C22613" t="s">
        <v>8328</v>
      </c>
      <c r="D22613">
        <v>36</v>
      </c>
      <c r="E22613">
        <v>0</v>
      </c>
      <c r="F22613">
        <v>246</v>
      </c>
    </row>
    <row r="22614" spans="1:6" ht="12.75">
      <c r="A22614" s="2">
        <v>43875.901342592595</v>
      </c>
      <c r="B22614" t="str">
        <f>HYPERLINK("https://twitter.com/bieberxnct","@bieberxnct")</f>
        <v>@bieberxnct</v>
      </c>
      <c r="C22614" t="s">
        <v>2444</v>
      </c>
      <c r="D22614">
        <v>2773</v>
      </c>
      <c r="E22614">
        <v>0</v>
      </c>
      <c r="F22614">
        <v>116</v>
      </c>
    </row>
    <row r="22615" spans="1:6" ht="12.75">
      <c r="A22615" s="2">
        <v>43875.901307870372</v>
      </c>
      <c r="B22615" t="str">
        <f t="shared" ref="B22615:B22620" si="334">HYPERLINK("https://twitter.com/garis_bawah_","@garis_bawah_")</f>
        <v>@garis_bawah_</v>
      </c>
      <c r="C22615" t="s">
        <v>10756</v>
      </c>
      <c r="D22615">
        <v>0</v>
      </c>
      <c r="E22615">
        <v>0</v>
      </c>
      <c r="F22615">
        <v>772</v>
      </c>
    </row>
    <row r="22616" spans="1:6" ht="12.75">
      <c r="A22616" s="2">
        <v>43875.901307870372</v>
      </c>
      <c r="B22616" t="str">
        <f t="shared" si="334"/>
        <v>@garis_bawah_</v>
      </c>
      <c r="C22616" t="s">
        <v>10757</v>
      </c>
      <c r="D22616">
        <v>0</v>
      </c>
      <c r="E22616">
        <v>0</v>
      </c>
      <c r="F22616">
        <v>772</v>
      </c>
    </row>
    <row r="22617" spans="1:6" ht="12.75">
      <c r="A22617" s="2">
        <v>43875.901296296295</v>
      </c>
      <c r="B22617" t="str">
        <f t="shared" si="334"/>
        <v>@garis_bawah_</v>
      </c>
      <c r="C22617" t="s">
        <v>10758</v>
      </c>
      <c r="D22617">
        <v>0</v>
      </c>
      <c r="E22617">
        <v>0</v>
      </c>
      <c r="F22617">
        <v>772</v>
      </c>
    </row>
    <row r="22618" spans="1:6" ht="12.75">
      <c r="A22618" s="2">
        <v>43875.901284722218</v>
      </c>
      <c r="B22618" t="str">
        <f t="shared" si="334"/>
        <v>@garis_bawah_</v>
      </c>
      <c r="C22618" t="s">
        <v>10759</v>
      </c>
      <c r="D22618">
        <v>0</v>
      </c>
      <c r="E22618">
        <v>0</v>
      </c>
      <c r="F22618">
        <v>772</v>
      </c>
    </row>
    <row r="22619" spans="1:6" ht="12.75">
      <c r="A22619" s="2">
        <v>43875.901273148149</v>
      </c>
      <c r="B22619" t="str">
        <f t="shared" si="334"/>
        <v>@garis_bawah_</v>
      </c>
      <c r="C22619" t="s">
        <v>10760</v>
      </c>
      <c r="D22619">
        <v>0</v>
      </c>
      <c r="E22619">
        <v>0</v>
      </c>
      <c r="F22619">
        <v>772</v>
      </c>
    </row>
    <row r="22620" spans="1:6" ht="12.75">
      <c r="A22620" s="2">
        <v>43875.901273148149</v>
      </c>
      <c r="B22620" t="str">
        <f t="shared" si="334"/>
        <v>@garis_bawah_</v>
      </c>
      <c r="C22620" t="s">
        <v>10761</v>
      </c>
      <c r="D22620">
        <v>0</v>
      </c>
      <c r="E22620">
        <v>0</v>
      </c>
      <c r="F22620">
        <v>772</v>
      </c>
    </row>
    <row r="22621" spans="1:6" ht="12.75">
      <c r="A22621" s="2">
        <v>43875.901064814811</v>
      </c>
      <c r="B22621" t="str">
        <f>HYPERLINK("https://twitter.com/riswansumba","@riswansumba")</f>
        <v>@riswansumba</v>
      </c>
      <c r="C22621" t="s">
        <v>2963</v>
      </c>
      <c r="D22621">
        <v>1129</v>
      </c>
      <c r="E22621">
        <v>0</v>
      </c>
      <c r="F22621">
        <v>103</v>
      </c>
    </row>
    <row r="22622" spans="1:6" ht="12.75">
      <c r="A22622" s="2">
        <v>43875.901064814811</v>
      </c>
      <c r="B22622" t="str">
        <f>HYPERLINK("https://twitter.com/hotel_tugujogja","@hotel_tugujogja")</f>
        <v>@hotel_tugujogja</v>
      </c>
      <c r="C22622" t="s">
        <v>9198</v>
      </c>
      <c r="D22622">
        <v>69</v>
      </c>
      <c r="E22622">
        <v>0</v>
      </c>
      <c r="F22622">
        <v>337</v>
      </c>
    </row>
    <row r="22623" spans="1:6" ht="12.75">
      <c r="A22623" s="2">
        <v>43875.901041666672</v>
      </c>
      <c r="B22623" t="str">
        <f>HYPERLINK("https://twitter.com/Titin29510451","@Titin29510451")</f>
        <v>@Titin29510451</v>
      </c>
      <c r="C22623" t="s">
        <v>10762</v>
      </c>
      <c r="D22623">
        <v>0</v>
      </c>
      <c r="E22623">
        <v>0</v>
      </c>
      <c r="F22623">
        <v>0</v>
      </c>
    </row>
    <row r="22624" spans="1:6" ht="12.75">
      <c r="A22624" s="2">
        <v>43875.901018518518</v>
      </c>
      <c r="B22624" t="str">
        <f>HYPERLINK("https://twitter.com/ZengeKuni","@ZengeKuni")</f>
        <v>@ZengeKuni</v>
      </c>
      <c r="C22624" t="s">
        <v>2444</v>
      </c>
      <c r="D22624">
        <v>2773</v>
      </c>
      <c r="E22624">
        <v>0</v>
      </c>
      <c r="F22624">
        <v>105</v>
      </c>
    </row>
    <row r="22625" spans="1:6" ht="12.75">
      <c r="A22625" s="2">
        <v>43875.901018518518</v>
      </c>
      <c r="B22625" t="str">
        <f>HYPERLINK("https://twitter.com/soshinata","@soshinata")</f>
        <v>@soshinata</v>
      </c>
      <c r="C22625" t="s">
        <v>9067</v>
      </c>
      <c r="D22625">
        <v>51</v>
      </c>
      <c r="E22625">
        <v>0</v>
      </c>
      <c r="F22625">
        <v>377</v>
      </c>
    </row>
    <row r="22626" spans="1:6" ht="12.75">
      <c r="A22626" s="2">
        <v>43875.900925925926</v>
      </c>
      <c r="B22626" t="str">
        <f>HYPERLINK("https://twitter.com/dearbaek04","@dearbaek04")</f>
        <v>@dearbaek04</v>
      </c>
      <c r="C22626" t="s">
        <v>2444</v>
      </c>
      <c r="D22626">
        <v>2773</v>
      </c>
      <c r="E22626">
        <v>0</v>
      </c>
      <c r="F22626">
        <v>2736</v>
      </c>
    </row>
    <row r="22627" spans="1:6" ht="12.75">
      <c r="A22627" s="2">
        <v>43875.900891203702</v>
      </c>
      <c r="B22627" t="str">
        <f>HYPERLINK("https://twitter.com/FajarArd","@FajarArd")</f>
        <v>@FajarArd</v>
      </c>
      <c r="C22627" t="s">
        <v>10763</v>
      </c>
      <c r="D22627">
        <v>1</v>
      </c>
      <c r="E22627">
        <v>0</v>
      </c>
      <c r="F22627">
        <v>2011</v>
      </c>
    </row>
    <row r="22628" spans="1:6" ht="12.75">
      <c r="A22628" s="2">
        <v>43875.900833333333</v>
      </c>
      <c r="B22628" t="str">
        <f>HYPERLINK("https://twitter.com/gadisresidu_b3","@gadisresidu_b3")</f>
        <v>@gadisresidu_b3</v>
      </c>
      <c r="C22628" t="s">
        <v>10764</v>
      </c>
      <c r="D22628">
        <v>1</v>
      </c>
      <c r="E22628">
        <v>0</v>
      </c>
      <c r="F22628">
        <v>1605</v>
      </c>
    </row>
    <row r="22629" spans="1:6" ht="12.75">
      <c r="A22629" s="2">
        <v>43875.90079861111</v>
      </c>
      <c r="B22629" t="str">
        <f>HYPERLINK("https://twitter.com/LusiHQ","@LusiHQ")</f>
        <v>@LusiHQ</v>
      </c>
      <c r="C22629" t="s">
        <v>10765</v>
      </c>
      <c r="D22629">
        <v>0</v>
      </c>
      <c r="E22629">
        <v>0</v>
      </c>
      <c r="F22629">
        <v>17686</v>
      </c>
    </row>
    <row r="22630" spans="1:6" ht="12.75">
      <c r="A22630" s="2">
        <v>43875.900706018518</v>
      </c>
      <c r="B22630" t="str">
        <f>HYPERLINK("https://twitter.com/gadisresidu_b3","@gadisresidu_b3")</f>
        <v>@gadisresidu_b3</v>
      </c>
      <c r="C22630" t="s">
        <v>10766</v>
      </c>
      <c r="D22630">
        <v>1</v>
      </c>
      <c r="E22630">
        <v>0</v>
      </c>
      <c r="F22630">
        <v>1605</v>
      </c>
    </row>
    <row r="22631" spans="1:6" ht="12.75">
      <c r="A22631" s="2">
        <v>43875.900682870371</v>
      </c>
      <c r="B22631" t="str">
        <f>HYPERLINK("https://twitter.com/ErvineKiddies","@ErvineKiddies")</f>
        <v>@ErvineKiddies</v>
      </c>
      <c r="C22631" t="s">
        <v>10767</v>
      </c>
      <c r="D22631">
        <v>0</v>
      </c>
      <c r="E22631">
        <v>0</v>
      </c>
      <c r="F22631">
        <v>738</v>
      </c>
    </row>
    <row r="22632" spans="1:6" ht="12.75">
      <c r="A22632" s="2">
        <v>43875.900613425925</v>
      </c>
      <c r="B22632" t="str">
        <f>HYPERLINK("https://twitter.com/735T312","@735T312")</f>
        <v>@735T312</v>
      </c>
      <c r="C22632" t="s">
        <v>10052</v>
      </c>
      <c r="D22632">
        <v>87</v>
      </c>
      <c r="E22632">
        <v>0</v>
      </c>
      <c r="F22632">
        <v>150</v>
      </c>
    </row>
    <row r="22633" spans="1:6" ht="12.75">
      <c r="A22633" s="2">
        <v>43875.900578703702</v>
      </c>
      <c r="B22633" t="str">
        <f>HYPERLINK("https://twitter.com/saifaliebahri_","@saifaliebahri_")</f>
        <v>@saifaliebahri_</v>
      </c>
      <c r="C22633" t="s">
        <v>10768</v>
      </c>
      <c r="D22633">
        <v>0</v>
      </c>
      <c r="E22633">
        <v>0</v>
      </c>
      <c r="F22633">
        <v>902</v>
      </c>
    </row>
    <row r="22634" spans="1:6" ht="12.75">
      <c r="A22634" s="2">
        <v>43875.900567129633</v>
      </c>
      <c r="B22634" t="str">
        <f>HYPERLINK("https://twitter.com/aldechan","@aldechan")</f>
        <v>@aldechan</v>
      </c>
      <c r="C22634" t="s">
        <v>8328</v>
      </c>
      <c r="D22634">
        <v>36</v>
      </c>
      <c r="E22634">
        <v>0</v>
      </c>
      <c r="F22634">
        <v>2198</v>
      </c>
    </row>
    <row r="22635" spans="1:6" ht="12.75">
      <c r="A22635" s="2">
        <v>43875.900509259256</v>
      </c>
      <c r="B22635" t="str">
        <f>HYPERLINK("https://twitter.com/bnzrns","@bnzrns")</f>
        <v>@bnzrns</v>
      </c>
      <c r="C22635" t="s">
        <v>2444</v>
      </c>
      <c r="D22635">
        <v>2773</v>
      </c>
      <c r="E22635">
        <v>0</v>
      </c>
      <c r="F22635">
        <v>2550</v>
      </c>
    </row>
    <row r="22636" spans="1:6" ht="12.75">
      <c r="A22636" s="2">
        <v>43875.900381944448</v>
      </c>
      <c r="B22636" t="str">
        <f>HYPERLINK("https://twitter.com/jhon_hancock77","@jhon_hancock77")</f>
        <v>@jhon_hancock77</v>
      </c>
      <c r="C22636" t="s">
        <v>6201</v>
      </c>
      <c r="D22636">
        <v>240</v>
      </c>
      <c r="E22636">
        <v>0</v>
      </c>
      <c r="F22636">
        <v>1314</v>
      </c>
    </row>
    <row r="22637" spans="1:6" ht="12.75">
      <c r="A22637" s="2">
        <v>43875.900370370371</v>
      </c>
      <c r="B22637" t="str">
        <f>HYPERLINK("https://twitter.com/avia_noer","@avia_noer")</f>
        <v>@avia_noer</v>
      </c>
      <c r="C22637" t="s">
        <v>10083</v>
      </c>
      <c r="D22637">
        <v>35</v>
      </c>
      <c r="E22637">
        <v>0</v>
      </c>
      <c r="F22637">
        <v>542</v>
      </c>
    </row>
    <row r="22638" spans="1:6" ht="12.75">
      <c r="A22638" s="2">
        <v>43875.900312500002</v>
      </c>
      <c r="B22638" t="str">
        <f>HYPERLINK("https://twitter.com/Makedni","@Makedni")</f>
        <v>@Makedni</v>
      </c>
      <c r="C22638" t="s">
        <v>9082</v>
      </c>
      <c r="D22638">
        <v>68</v>
      </c>
      <c r="E22638">
        <v>0</v>
      </c>
      <c r="F22638">
        <v>5709</v>
      </c>
    </row>
    <row r="22639" spans="1:6" ht="12.75">
      <c r="A22639" s="2">
        <v>43875.900266203702</v>
      </c>
      <c r="B22639" t="str">
        <f>HYPERLINK("https://twitter.com/D4D4NGLH","@D4D4NGLH")</f>
        <v>@D4D4NGLH</v>
      </c>
      <c r="C22639" t="s">
        <v>9746</v>
      </c>
      <c r="D22639">
        <v>371</v>
      </c>
      <c r="E22639">
        <v>0</v>
      </c>
      <c r="F22639">
        <v>932</v>
      </c>
    </row>
    <row r="22640" spans="1:6" ht="12.75">
      <c r="A22640" s="2">
        <v>43875.900173611109</v>
      </c>
      <c r="B22640" t="str">
        <f>HYPERLINK("https://twitter.com/kittenwuu","@kittenwuu")</f>
        <v>@kittenwuu</v>
      </c>
      <c r="C22640" t="s">
        <v>2444</v>
      </c>
      <c r="D22640">
        <v>2773</v>
      </c>
      <c r="E22640">
        <v>0</v>
      </c>
      <c r="F22640">
        <v>116</v>
      </c>
    </row>
    <row r="22641" spans="1:6" ht="12.75">
      <c r="A22641" s="2">
        <v>43875.90016203704</v>
      </c>
      <c r="B22641" t="str">
        <f>HYPERLINK("https://twitter.com/yudosh","@yudosh")</f>
        <v>@yudosh</v>
      </c>
      <c r="C22641" t="s">
        <v>2444</v>
      </c>
      <c r="D22641">
        <v>2773</v>
      </c>
      <c r="E22641">
        <v>0</v>
      </c>
      <c r="F22641">
        <v>532</v>
      </c>
    </row>
    <row r="22642" spans="1:6" ht="12.75">
      <c r="A22642" s="2">
        <v>43875.900127314817</v>
      </c>
      <c r="B22642" t="str">
        <f>HYPERLINK("https://twitter.com/KBRIPanamaCity","@KBRIPanamaCity")</f>
        <v>@KBRIPanamaCity</v>
      </c>
      <c r="C22642" t="s">
        <v>2444</v>
      </c>
      <c r="D22642">
        <v>2773</v>
      </c>
      <c r="E22642">
        <v>0</v>
      </c>
      <c r="F22642">
        <v>1271</v>
      </c>
    </row>
    <row r="22643" spans="1:6" ht="12.75">
      <c r="A22643" s="2">
        <v>43875.90006944444</v>
      </c>
      <c r="B22643" t="str">
        <f>HYPERLINK("https://twitter.com/afifahpawestri","@afifahpawestri")</f>
        <v>@afifahpawestri</v>
      </c>
      <c r="C22643" t="s">
        <v>2444</v>
      </c>
      <c r="D22643">
        <v>2773</v>
      </c>
      <c r="E22643">
        <v>0</v>
      </c>
      <c r="F22643">
        <v>203</v>
      </c>
    </row>
    <row r="22644" spans="1:6" ht="12.75">
      <c r="A22644" s="2">
        <v>43875.900011574078</v>
      </c>
      <c r="B22644" t="str">
        <f>HYPERLINK("https://twitter.com/chanyeolchagiya","@chanyeolchagiya")</f>
        <v>@chanyeolchagiya</v>
      </c>
      <c r="C22644" t="s">
        <v>2444</v>
      </c>
      <c r="D22644">
        <v>2773</v>
      </c>
      <c r="E22644">
        <v>0</v>
      </c>
      <c r="F22644">
        <v>12</v>
      </c>
    </row>
    <row r="22645" spans="1:6" ht="12.75">
      <c r="A22645" s="2">
        <v>43875.9</v>
      </c>
      <c r="B22645" t="str">
        <f>HYPERLINK("https://twitter.com/aurknrae","@aurknrae")</f>
        <v>@aurknrae</v>
      </c>
      <c r="C22645" t="s">
        <v>5168</v>
      </c>
      <c r="D22645">
        <v>1055</v>
      </c>
      <c r="E22645">
        <v>0</v>
      </c>
      <c r="F22645">
        <v>127</v>
      </c>
    </row>
    <row r="22646" spans="1:6" ht="12.75">
      <c r="A22646" s="2">
        <v>43875.899965277778</v>
      </c>
      <c r="B22646" t="str">
        <f>HYPERLINK("https://twitter.com/AngelaLily6","@AngelaLily6")</f>
        <v>@AngelaLily6</v>
      </c>
      <c r="C22646" t="s">
        <v>2444</v>
      </c>
      <c r="D22646">
        <v>2773</v>
      </c>
      <c r="E22646">
        <v>0</v>
      </c>
      <c r="F22646">
        <v>218</v>
      </c>
    </row>
    <row r="22647" spans="1:6" ht="12.75">
      <c r="A22647" s="2">
        <v>43875.899895833332</v>
      </c>
      <c r="B22647" t="str">
        <f>HYPERLINK("https://twitter.com/WalinHuda","@WalinHuda")</f>
        <v>@WalinHuda</v>
      </c>
      <c r="C22647" t="s">
        <v>6201</v>
      </c>
      <c r="D22647">
        <v>240</v>
      </c>
      <c r="E22647">
        <v>0</v>
      </c>
      <c r="F22647">
        <v>320</v>
      </c>
    </row>
    <row r="22648" spans="1:6" ht="12.75">
      <c r="A22648" s="2">
        <v>43875.899849537032</v>
      </c>
      <c r="B22648" t="str">
        <f>HYPERLINK("https://twitter.com/yosibasuki","@yosibasuki")</f>
        <v>@yosibasuki</v>
      </c>
      <c r="C22648" t="s">
        <v>5168</v>
      </c>
      <c r="D22648">
        <v>1055</v>
      </c>
      <c r="E22648">
        <v>0</v>
      </c>
      <c r="F22648">
        <v>178</v>
      </c>
    </row>
    <row r="22649" spans="1:6" ht="12.75">
      <c r="A22649" s="2">
        <v>43875.899837962963</v>
      </c>
      <c r="B22649" t="str">
        <f>HYPERLINK("https://twitter.com/Amanskid","@Amanskid")</f>
        <v>@Amanskid</v>
      </c>
      <c r="C22649" t="s">
        <v>7888</v>
      </c>
      <c r="D22649">
        <v>35</v>
      </c>
      <c r="E22649">
        <v>0</v>
      </c>
      <c r="F22649">
        <v>1328</v>
      </c>
    </row>
    <row r="22650" spans="1:6" ht="12.75">
      <c r="A22650" s="2">
        <v>43875.899780092594</v>
      </c>
      <c r="B22650" t="str">
        <f>HYPERLINK("https://twitter.com/BoyIsmet","@BoyIsmet")</f>
        <v>@BoyIsmet</v>
      </c>
      <c r="C22650" t="s">
        <v>10769</v>
      </c>
      <c r="D22650">
        <v>0</v>
      </c>
      <c r="E22650">
        <v>1</v>
      </c>
      <c r="F22650">
        <v>2428</v>
      </c>
    </row>
    <row r="22651" spans="1:6" ht="12.75">
      <c r="A22651" s="2">
        <v>43875.899699074071</v>
      </c>
      <c r="B22651" t="str">
        <f>HYPERLINK("https://twitter.com/NyomGuns","@NyomGuns")</f>
        <v>@NyomGuns</v>
      </c>
      <c r="C22651" t="s">
        <v>2444</v>
      </c>
      <c r="D22651">
        <v>2773</v>
      </c>
      <c r="E22651">
        <v>0</v>
      </c>
      <c r="F22651">
        <v>189</v>
      </c>
    </row>
    <row r="22652" spans="1:6" ht="12.75">
      <c r="A22652" s="2">
        <v>43875.899629629625</v>
      </c>
      <c r="B22652" t="str">
        <f>HYPERLINK("https://twitter.com/arifahdini","@arifahdini")</f>
        <v>@arifahdini</v>
      </c>
      <c r="C22652" t="s">
        <v>2444</v>
      </c>
      <c r="D22652">
        <v>2773</v>
      </c>
      <c r="E22652">
        <v>0</v>
      </c>
      <c r="F22652">
        <v>380</v>
      </c>
    </row>
    <row r="22653" spans="1:6" ht="12.75">
      <c r="A22653" s="2">
        <v>43875.899571759262</v>
      </c>
      <c r="B22653" t="str">
        <f>HYPERLINK("https://twitter.com/FajarArd","@FajarArd")</f>
        <v>@FajarArd</v>
      </c>
      <c r="C22653" t="s">
        <v>10770</v>
      </c>
      <c r="D22653">
        <v>1</v>
      </c>
      <c r="E22653">
        <v>0</v>
      </c>
      <c r="F22653">
        <v>2011</v>
      </c>
    </row>
    <row r="22654" spans="1:6" ht="12.75">
      <c r="A22654" s="2">
        <v>43875.899351851855</v>
      </c>
      <c r="B22654" t="str">
        <f>HYPERLINK("https://twitter.com/nh_dayat","@nh_dayat")</f>
        <v>@nh_dayat</v>
      </c>
      <c r="C22654" t="s">
        <v>9198</v>
      </c>
      <c r="D22654">
        <v>69</v>
      </c>
      <c r="E22654">
        <v>0</v>
      </c>
      <c r="F22654">
        <v>522</v>
      </c>
    </row>
    <row r="22655" spans="1:6" ht="12.75">
      <c r="A22655" s="2">
        <v>43875.899143518516</v>
      </c>
      <c r="B22655" t="str">
        <f>HYPERLINK("https://twitter.com/sgwrmyth","@sgwrmyth")</f>
        <v>@sgwrmyth</v>
      </c>
      <c r="C22655" t="s">
        <v>2444</v>
      </c>
      <c r="D22655">
        <v>2773</v>
      </c>
      <c r="E22655">
        <v>0</v>
      </c>
      <c r="F22655">
        <v>246</v>
      </c>
    </row>
    <row r="22656" spans="1:6" ht="12.75">
      <c r="A22656" s="2">
        <v>43875.899131944447</v>
      </c>
      <c r="B22656" t="str">
        <f>HYPERLINK("https://twitter.com/zeatiara","@zeatiara")</f>
        <v>@zeatiara</v>
      </c>
      <c r="C22656" t="s">
        <v>2444</v>
      </c>
      <c r="D22656">
        <v>2773</v>
      </c>
      <c r="E22656">
        <v>0</v>
      </c>
      <c r="F22656">
        <v>3812</v>
      </c>
    </row>
    <row r="22657" spans="1:6" ht="12.75">
      <c r="A22657" s="2">
        <v>43875.899108796293</v>
      </c>
      <c r="B22657" t="str">
        <f>HYPERLINK("https://twitter.com/GusDaAD","@GusDaAD")</f>
        <v>@GusDaAD</v>
      </c>
      <c r="C22657" t="s">
        <v>10771</v>
      </c>
      <c r="D22657">
        <v>0</v>
      </c>
      <c r="E22657">
        <v>0</v>
      </c>
      <c r="F22657">
        <v>1440</v>
      </c>
    </row>
    <row r="22658" spans="1:6" ht="12.75">
      <c r="A22658" s="2">
        <v>43875.899108796293</v>
      </c>
      <c r="B22658" t="str">
        <f>HYPERLINK("https://twitter.com/cadarmerah","@cadarmerah")</f>
        <v>@cadarmerah</v>
      </c>
      <c r="C22658" t="s">
        <v>10772</v>
      </c>
      <c r="D22658">
        <v>1</v>
      </c>
      <c r="E22658">
        <v>0</v>
      </c>
      <c r="F22658">
        <v>5656</v>
      </c>
    </row>
    <row r="22659" spans="1:6" ht="12.75">
      <c r="A22659" s="2">
        <v>43875.899062500001</v>
      </c>
      <c r="B22659" t="str">
        <f>HYPERLINK("https://twitter.com/isalsaurus","@isalsaurus")</f>
        <v>@isalsaurus</v>
      </c>
      <c r="C22659" t="s">
        <v>2444</v>
      </c>
      <c r="D22659">
        <v>2773</v>
      </c>
      <c r="E22659">
        <v>0</v>
      </c>
      <c r="F22659">
        <v>355</v>
      </c>
    </row>
    <row r="22660" spans="1:6" ht="12.75">
      <c r="A22660" s="2">
        <v>43875.899062500001</v>
      </c>
      <c r="B22660" t="str">
        <f>HYPERLINK("https://twitter.com/NeroozRestom","@NeroozRestom")</f>
        <v>@NeroozRestom</v>
      </c>
      <c r="C22660" t="s">
        <v>9082</v>
      </c>
      <c r="D22660">
        <v>68</v>
      </c>
      <c r="E22660">
        <v>0</v>
      </c>
      <c r="F22660">
        <v>1165</v>
      </c>
    </row>
    <row r="22661" spans="1:6" ht="12.75">
      <c r="A22661" s="2">
        <v>43875.898981481485</v>
      </c>
      <c r="B22661" t="str">
        <f>HYPERLINK("https://twitter.com/BoehariMarumam2","@BoehariMarumam2")</f>
        <v>@BoehariMarumam2</v>
      </c>
      <c r="C22661" t="s">
        <v>10773</v>
      </c>
      <c r="D22661">
        <v>0</v>
      </c>
      <c r="E22661">
        <v>0</v>
      </c>
      <c r="F22661">
        <v>615</v>
      </c>
    </row>
    <row r="22662" spans="1:6" ht="12.75">
      <c r="A22662" s="2">
        <v>43875.898946759262</v>
      </c>
      <c r="B22662" t="str">
        <f>HYPERLINK("https://twitter.com/Babypink_zip","@Babypink_zip")</f>
        <v>@Babypink_zip</v>
      </c>
      <c r="C22662" t="s">
        <v>2444</v>
      </c>
      <c r="D22662">
        <v>2773</v>
      </c>
      <c r="E22662">
        <v>0</v>
      </c>
      <c r="F22662">
        <v>633</v>
      </c>
    </row>
    <row r="22663" spans="1:6" ht="12.75">
      <c r="A22663" s="2">
        <v>43875.898923611108</v>
      </c>
      <c r="B22663" t="str">
        <f>HYPERLINK("https://twitter.com/annsarmdh","@annsarmdh")</f>
        <v>@annsarmdh</v>
      </c>
      <c r="C22663" t="s">
        <v>2444</v>
      </c>
      <c r="D22663">
        <v>2773</v>
      </c>
      <c r="E22663">
        <v>0</v>
      </c>
      <c r="F22663">
        <v>629</v>
      </c>
    </row>
    <row r="22664" spans="1:6" ht="12.75">
      <c r="A22664" s="2">
        <v>43875.898854166662</v>
      </c>
      <c r="B22664" t="str">
        <f>HYPERLINK("https://twitter.com/mittajir","@mittajir")</f>
        <v>@mittajir</v>
      </c>
      <c r="C22664" t="s">
        <v>2444</v>
      </c>
      <c r="D22664">
        <v>2773</v>
      </c>
      <c r="E22664">
        <v>0</v>
      </c>
      <c r="F22664">
        <v>1571</v>
      </c>
    </row>
    <row r="22665" spans="1:6" ht="12.75">
      <c r="A22665" s="2">
        <v>43875.898645833338</v>
      </c>
      <c r="B22665" t="str">
        <f>HYPERLINK("https://twitter.com/Paulus_willy","@Paulus_willy")</f>
        <v>@Paulus_willy</v>
      </c>
      <c r="C22665" t="s">
        <v>10114</v>
      </c>
      <c r="D22665">
        <v>9</v>
      </c>
      <c r="E22665">
        <v>0</v>
      </c>
      <c r="F22665">
        <v>1526</v>
      </c>
    </row>
    <row r="22666" spans="1:6" ht="12.75">
      <c r="A22666" s="2">
        <v>43875.898634259254</v>
      </c>
      <c r="B22666" t="str">
        <f>HYPERLINK("https://twitter.com/mayflyswill","@mayflyswill")</f>
        <v>@mayflyswill</v>
      </c>
      <c r="C22666" t="s">
        <v>2444</v>
      </c>
      <c r="D22666">
        <v>2773</v>
      </c>
      <c r="E22666">
        <v>0</v>
      </c>
      <c r="F22666">
        <v>161</v>
      </c>
    </row>
    <row r="22667" spans="1:6" ht="12.75">
      <c r="A22667" s="2">
        <v>43875.898553240739</v>
      </c>
      <c r="B22667" t="str">
        <f>HYPERLINK("https://twitter.com/Khong_Beng","@Khong_Beng")</f>
        <v>@Khong_Beng</v>
      </c>
      <c r="C22667" t="s">
        <v>10422</v>
      </c>
      <c r="D22667">
        <v>114</v>
      </c>
      <c r="E22667">
        <v>0</v>
      </c>
      <c r="F22667">
        <v>160</v>
      </c>
    </row>
    <row r="22668" spans="1:6" ht="12.75">
      <c r="A22668" s="2">
        <v>43875.898518518516</v>
      </c>
      <c r="B22668" t="str">
        <f>HYPERLINK("https://twitter.com/kunenmanai","@kunenmanai")</f>
        <v>@kunenmanai</v>
      </c>
      <c r="C22668" t="s">
        <v>2963</v>
      </c>
      <c r="D22668">
        <v>1129</v>
      </c>
      <c r="E22668">
        <v>0</v>
      </c>
      <c r="F22668">
        <v>2232</v>
      </c>
    </row>
    <row r="22669" spans="1:6" ht="12.75">
      <c r="A22669" s="2">
        <v>43875.898483796293</v>
      </c>
      <c r="B22669" t="str">
        <f>HYPERLINK("https://twitter.com/xefianotsefiya","@xefianotsefiya")</f>
        <v>@xefianotsefiya</v>
      </c>
      <c r="C22669" t="s">
        <v>2137</v>
      </c>
      <c r="D22669">
        <v>209</v>
      </c>
      <c r="E22669">
        <v>0</v>
      </c>
      <c r="F22669">
        <v>335</v>
      </c>
    </row>
    <row r="22670" spans="1:6" ht="12.75">
      <c r="A22670" s="2">
        <v>43875.898460648154</v>
      </c>
      <c r="B22670" t="str">
        <f>HYPERLINK("https://twitter.com/ditamaharrani","@ditamaharrani")</f>
        <v>@ditamaharrani</v>
      </c>
      <c r="C22670" t="s">
        <v>5168</v>
      </c>
      <c r="D22670">
        <v>1055</v>
      </c>
      <c r="E22670">
        <v>0</v>
      </c>
      <c r="F22670">
        <v>725</v>
      </c>
    </row>
    <row r="22671" spans="1:6" ht="12.75">
      <c r="A22671" s="2">
        <v>43875.89844907407</v>
      </c>
      <c r="B22671" t="str">
        <f>HYPERLINK("https://twitter.com/spiderr__matrix","@spiderr__matrix")</f>
        <v>@spiderr__matrix</v>
      </c>
      <c r="C22671" t="s">
        <v>10083</v>
      </c>
      <c r="D22671">
        <v>35</v>
      </c>
      <c r="E22671">
        <v>0</v>
      </c>
      <c r="F22671">
        <v>4770</v>
      </c>
    </row>
    <row r="22672" spans="1:6" ht="12.75">
      <c r="A22672" s="2">
        <v>43875.898379629631</v>
      </c>
      <c r="B22672" t="str">
        <f>HYPERLINK("https://twitter.com/FajarArd","@FajarArd")</f>
        <v>@FajarArd</v>
      </c>
      <c r="C22672" t="s">
        <v>10774</v>
      </c>
      <c r="D22672">
        <v>1</v>
      </c>
      <c r="E22672">
        <v>0</v>
      </c>
      <c r="F22672">
        <v>2011</v>
      </c>
    </row>
    <row r="22673" spans="1:6" ht="12.75">
      <c r="A22673" s="2">
        <v>43875.898368055554</v>
      </c>
      <c r="B22673" t="str">
        <f>HYPERLINK("https://twitter.com/NurjanahRike","@NurjanahRike")</f>
        <v>@NurjanahRike</v>
      </c>
      <c r="C22673" t="s">
        <v>175</v>
      </c>
      <c r="D22673">
        <v>5304</v>
      </c>
      <c r="E22673">
        <v>0</v>
      </c>
      <c r="F22673">
        <v>527</v>
      </c>
    </row>
    <row r="22674" spans="1:6" ht="12.75">
      <c r="A22674" s="2">
        <v>43875.898229166662</v>
      </c>
      <c r="B22674" t="str">
        <f>HYPERLINK("https://twitter.com/mureliyana","@mureliyana")</f>
        <v>@mureliyana</v>
      </c>
      <c r="C22674" t="s">
        <v>9198</v>
      </c>
      <c r="D22674">
        <v>69</v>
      </c>
      <c r="E22674">
        <v>0</v>
      </c>
      <c r="F22674">
        <v>332</v>
      </c>
    </row>
    <row r="22675" spans="1:6" ht="12.75">
      <c r="A22675" s="2">
        <v>43875.898217592592</v>
      </c>
      <c r="B22675" t="str">
        <f>HYPERLINK("https://twitter.com/baharvondalhar","@baharvondalhar")</f>
        <v>@baharvondalhar</v>
      </c>
      <c r="C22675" t="s">
        <v>8252</v>
      </c>
      <c r="D22675">
        <v>500</v>
      </c>
      <c r="E22675">
        <v>0</v>
      </c>
      <c r="F22675">
        <v>162</v>
      </c>
    </row>
    <row r="22676" spans="1:6" ht="12.75">
      <c r="A22676" s="2">
        <v>43875.8981712963</v>
      </c>
      <c r="B22676" t="str">
        <f>HYPERLINK("https://twitter.com/senapradiptya","@senapradiptya")</f>
        <v>@senapradiptya</v>
      </c>
      <c r="C22676" t="s">
        <v>9964</v>
      </c>
      <c r="D22676">
        <v>640</v>
      </c>
      <c r="E22676">
        <v>0</v>
      </c>
      <c r="F22676">
        <v>330</v>
      </c>
    </row>
    <row r="22677" spans="1:6" ht="12.75">
      <c r="A22677" s="2">
        <v>43875.8981712963</v>
      </c>
      <c r="B22677" t="str">
        <f>HYPERLINK("https://twitter.com/TorquiseBlues","@TorquiseBlues")</f>
        <v>@TorquiseBlues</v>
      </c>
      <c r="C22677" t="s">
        <v>2444</v>
      </c>
      <c r="D22677">
        <v>2773</v>
      </c>
      <c r="E22677">
        <v>0</v>
      </c>
      <c r="F22677">
        <v>87</v>
      </c>
    </row>
    <row r="22678" spans="1:6" ht="12.75">
      <c r="A22678" s="2">
        <v>43875.89806712963</v>
      </c>
      <c r="B22678" t="str">
        <f>HYPERLINK("https://twitter.com/Penikmatsubuhh","@Penikmatsubuhh")</f>
        <v>@Penikmatsubuhh</v>
      </c>
      <c r="C22678" t="s">
        <v>8233</v>
      </c>
      <c r="D22678">
        <v>510</v>
      </c>
      <c r="E22678">
        <v>0</v>
      </c>
      <c r="F22678">
        <v>193</v>
      </c>
    </row>
    <row r="22679" spans="1:6" ht="12.75">
      <c r="A22679" s="2">
        <v>43875.897951388892</v>
      </c>
      <c r="B22679" t="str">
        <f>HYPERLINK("https://twitter.com/raihanaditya86","@raihanaditya86")</f>
        <v>@raihanaditya86</v>
      </c>
      <c r="C22679" t="s">
        <v>6201</v>
      </c>
      <c r="D22679">
        <v>240</v>
      </c>
      <c r="E22679">
        <v>0</v>
      </c>
      <c r="F22679">
        <v>31</v>
      </c>
    </row>
    <row r="22680" spans="1:6" ht="12.75">
      <c r="A22680" s="2">
        <v>43875.897951388892</v>
      </c>
      <c r="B22680" t="str">
        <f>HYPERLINK("https://twitter.com/alexis_kiotis","@alexis_kiotis")</f>
        <v>@alexis_kiotis</v>
      </c>
      <c r="C22680" t="s">
        <v>9082</v>
      </c>
      <c r="D22680">
        <v>68</v>
      </c>
      <c r="E22680">
        <v>0</v>
      </c>
      <c r="F22680">
        <v>7</v>
      </c>
    </row>
    <row r="22681" spans="1:6" ht="12.75">
      <c r="A22681" s="2">
        <v>43875.897928240738</v>
      </c>
      <c r="B22681" t="str">
        <f>HYPERLINK("https://twitter.com/terungkupilu","@terungkupilu")</f>
        <v>@terungkupilu</v>
      </c>
      <c r="C22681" t="s">
        <v>10742</v>
      </c>
      <c r="D22681">
        <v>5</v>
      </c>
      <c r="E22681">
        <v>0</v>
      </c>
      <c r="F22681">
        <v>37</v>
      </c>
    </row>
    <row r="22682" spans="1:6" ht="12.75">
      <c r="A22682" s="2">
        <v>43875.897847222222</v>
      </c>
      <c r="B22682" t="str">
        <f>HYPERLINK("https://twitter.com/irawanatuh","@irawanatuh")</f>
        <v>@irawanatuh</v>
      </c>
      <c r="C22682" t="s">
        <v>7020</v>
      </c>
      <c r="D22682">
        <v>35</v>
      </c>
      <c r="E22682">
        <v>0</v>
      </c>
      <c r="F22682">
        <v>577</v>
      </c>
    </row>
    <row r="22683" spans="1:6" ht="12.75">
      <c r="A22683" s="2">
        <v>43875.89780092593</v>
      </c>
      <c r="B22683" t="str">
        <f>HYPERLINK("https://twitter.com/awwindri","@awwindri")</f>
        <v>@awwindri</v>
      </c>
      <c r="C22683" t="s">
        <v>2137</v>
      </c>
      <c r="D22683">
        <v>209</v>
      </c>
      <c r="E22683">
        <v>0</v>
      </c>
      <c r="F22683">
        <v>1221</v>
      </c>
    </row>
    <row r="22684" spans="1:6" ht="12.75">
      <c r="A22684" s="2">
        <v>43875.897777777776</v>
      </c>
      <c r="B22684" t="str">
        <f>HYPERLINK("https://twitter.com/PacarkuD","@PacarkuD")</f>
        <v>@PacarkuD</v>
      </c>
      <c r="C22684" t="s">
        <v>9746</v>
      </c>
      <c r="D22684">
        <v>371</v>
      </c>
      <c r="E22684">
        <v>0</v>
      </c>
      <c r="F22684">
        <v>73</v>
      </c>
    </row>
    <row r="22685" spans="1:6" ht="12.75">
      <c r="A22685" s="2">
        <v>43875.897719907407</v>
      </c>
      <c r="B22685" t="str">
        <f>HYPERLINK("https://twitter.com/RismaStgg","@RismaStgg")</f>
        <v>@RismaStgg</v>
      </c>
      <c r="C22685" t="s">
        <v>5168</v>
      </c>
      <c r="D22685">
        <v>1055</v>
      </c>
      <c r="E22685">
        <v>0</v>
      </c>
      <c r="F22685">
        <v>107</v>
      </c>
    </row>
    <row r="22686" spans="1:6" ht="12.75">
      <c r="A22686" s="2">
        <v>43875.89770833333</v>
      </c>
      <c r="B22686" t="str">
        <f>HYPERLINK("https://twitter.com/zgr3421","@zgr3421")</f>
        <v>@zgr3421</v>
      </c>
      <c r="C22686" t="s">
        <v>9082</v>
      </c>
      <c r="D22686">
        <v>68</v>
      </c>
      <c r="E22686">
        <v>0</v>
      </c>
      <c r="F22686">
        <v>303</v>
      </c>
    </row>
    <row r="22687" spans="1:6" ht="12.75">
      <c r="A22687" s="2">
        <v>43875.897650462968</v>
      </c>
      <c r="B22687" t="str">
        <f>HYPERLINK("https://twitter.com/syofgh","@syofgh")</f>
        <v>@syofgh</v>
      </c>
      <c r="C22687" t="s">
        <v>2444</v>
      </c>
      <c r="D22687">
        <v>2773</v>
      </c>
      <c r="E22687">
        <v>0</v>
      </c>
      <c r="F22687">
        <v>50</v>
      </c>
    </row>
    <row r="22688" spans="1:6" ht="12.75">
      <c r="A22688" s="2">
        <v>43875.897476851853</v>
      </c>
      <c r="B22688" t="str">
        <f>HYPERLINK("https://twitter.com/veraagustian_","@veraagustian_")</f>
        <v>@veraagustian_</v>
      </c>
      <c r="C22688" t="s">
        <v>10083</v>
      </c>
      <c r="D22688">
        <v>35</v>
      </c>
      <c r="E22688">
        <v>0</v>
      </c>
      <c r="F22688">
        <v>2952</v>
      </c>
    </row>
    <row r="22689" spans="1:6" ht="12.75">
      <c r="A22689" s="2">
        <v>43875.897453703699</v>
      </c>
      <c r="B22689" t="str">
        <f>HYPERLINK("https://twitter.com/jiehoonn","@jiehoonn")</f>
        <v>@jiehoonn</v>
      </c>
      <c r="C22689" t="s">
        <v>5168</v>
      </c>
      <c r="D22689">
        <v>1055</v>
      </c>
      <c r="E22689">
        <v>0</v>
      </c>
      <c r="F22689">
        <v>561</v>
      </c>
    </row>
    <row r="22690" spans="1:6" ht="12.75">
      <c r="A22690" s="2">
        <v>43875.897268518514</v>
      </c>
      <c r="B22690" t="str">
        <f>HYPERLINK("https://twitter.com/richardodhstio","@richardodhstio")</f>
        <v>@richardodhstio</v>
      </c>
      <c r="C22690" t="s">
        <v>2963</v>
      </c>
      <c r="D22690">
        <v>1129</v>
      </c>
      <c r="E22690">
        <v>0</v>
      </c>
      <c r="F22690">
        <v>2754</v>
      </c>
    </row>
    <row r="22691" spans="1:6" ht="12.75">
      <c r="A22691" s="2">
        <v>43875.897256944445</v>
      </c>
      <c r="B22691" t="str">
        <f>HYPERLINK("https://twitter.com/Yudhata36908657","@Yudhata36908657")</f>
        <v>@Yudhata36908657</v>
      </c>
      <c r="C22691" t="s">
        <v>6201</v>
      </c>
      <c r="D22691">
        <v>240</v>
      </c>
      <c r="E22691">
        <v>0</v>
      </c>
      <c r="F22691">
        <v>23</v>
      </c>
    </row>
    <row r="22692" spans="1:6" ht="12.75">
      <c r="A22692" s="2">
        <v>43875.897152777776</v>
      </c>
      <c r="B22692" t="str">
        <f>HYPERLINK("https://twitter.com/Kagayaku96","@Kagayaku96")</f>
        <v>@Kagayaku96</v>
      </c>
      <c r="C22692" t="s">
        <v>2444</v>
      </c>
      <c r="D22692">
        <v>2773</v>
      </c>
      <c r="E22692">
        <v>0</v>
      </c>
      <c r="F22692">
        <v>75</v>
      </c>
    </row>
    <row r="22693" spans="1:6" ht="12.75">
      <c r="A22693" s="2">
        <v>43875.897094907406</v>
      </c>
      <c r="B22693" t="str">
        <f>HYPERLINK("https://twitter.com/charlesmaly3","@charlesmaly3")</f>
        <v>@charlesmaly3</v>
      </c>
      <c r="C22693" t="s">
        <v>3150</v>
      </c>
      <c r="D22693">
        <v>15</v>
      </c>
      <c r="E22693">
        <v>0</v>
      </c>
      <c r="F22693">
        <v>5173</v>
      </c>
    </row>
    <row r="22694" spans="1:6" ht="12.75">
      <c r="A22694" s="2">
        <v>43875.896990740745</v>
      </c>
      <c r="B22694" t="str">
        <f>HYPERLINK("https://twitter.com/richardodhstio","@richardodhstio")</f>
        <v>@richardodhstio</v>
      </c>
      <c r="C22694" t="s">
        <v>10083</v>
      </c>
      <c r="D22694">
        <v>35</v>
      </c>
      <c r="E22694">
        <v>0</v>
      </c>
      <c r="F22694">
        <v>2754</v>
      </c>
    </row>
    <row r="22695" spans="1:6" ht="12.75">
      <c r="A22695" s="2">
        <v>43875.896863425922</v>
      </c>
      <c r="B22695" t="str">
        <f>HYPERLINK("https://twitter.com/Satriadananjay7","@Satriadananjay7")</f>
        <v>@Satriadananjay7</v>
      </c>
      <c r="C22695" t="s">
        <v>10775</v>
      </c>
      <c r="D22695">
        <v>0</v>
      </c>
      <c r="E22695">
        <v>0</v>
      </c>
      <c r="F22695">
        <v>32</v>
      </c>
    </row>
    <row r="22696" spans="1:6" ht="12.75">
      <c r="A22696" s="2">
        <v>43875.896817129629</v>
      </c>
      <c r="B22696" t="str">
        <f>HYPERLINK("https://twitter.com/1hsan","@1hsan")</f>
        <v>@1hsan</v>
      </c>
      <c r="C22696" t="s">
        <v>5168</v>
      </c>
      <c r="D22696">
        <v>1055</v>
      </c>
      <c r="E22696">
        <v>0</v>
      </c>
      <c r="F22696">
        <v>236</v>
      </c>
    </row>
    <row r="22697" spans="1:6" ht="12.75">
      <c r="A22697" s="2">
        <v>43875.89675925926</v>
      </c>
      <c r="B22697" t="str">
        <f>HYPERLINK("https://twitter.com/marpaung913","@marpaung913")</f>
        <v>@marpaung913</v>
      </c>
      <c r="C22697" t="s">
        <v>10776</v>
      </c>
      <c r="D22697">
        <v>1</v>
      </c>
      <c r="E22697">
        <v>0</v>
      </c>
      <c r="F22697">
        <v>526</v>
      </c>
    </row>
    <row r="22698" spans="1:6" ht="12.75">
      <c r="A22698" s="2">
        <v>43875.89675925926</v>
      </c>
      <c r="B22698" t="str">
        <f>HYPERLINK("https://twitter.com/spiderr__matrix","@spiderr__matrix")</f>
        <v>@spiderr__matrix</v>
      </c>
      <c r="C22698" t="s">
        <v>10114</v>
      </c>
      <c r="D22698">
        <v>9</v>
      </c>
      <c r="E22698">
        <v>0</v>
      </c>
      <c r="F22698">
        <v>4770</v>
      </c>
    </row>
    <row r="22699" spans="1:6" ht="12.75">
      <c r="A22699" s="2">
        <v>43875.896736111114</v>
      </c>
      <c r="B22699" t="str">
        <f>HYPERLINK("https://twitter.com/usmaidibinaffan","@usmaidibinaffan")</f>
        <v>@usmaidibinaffan</v>
      </c>
      <c r="C22699" t="s">
        <v>2144</v>
      </c>
      <c r="D22699">
        <v>96</v>
      </c>
      <c r="E22699">
        <v>0</v>
      </c>
      <c r="F22699">
        <v>47</v>
      </c>
    </row>
    <row r="22700" spans="1:6" ht="12.75">
      <c r="A22700" s="2">
        <v>43875.896655092598</v>
      </c>
      <c r="B22700" t="str">
        <f>HYPERLINK("https://twitter.com/cadarmerah","@cadarmerah")</f>
        <v>@cadarmerah</v>
      </c>
      <c r="C22700" t="s">
        <v>10777</v>
      </c>
      <c r="D22700">
        <v>0</v>
      </c>
      <c r="E22700">
        <v>0</v>
      </c>
      <c r="F22700">
        <v>5656</v>
      </c>
    </row>
    <row r="22701" spans="1:6" ht="12.75">
      <c r="A22701" s="2">
        <v>43875.896643518514</v>
      </c>
      <c r="B22701" t="str">
        <f>HYPERLINK("https://twitter.com/samacchiato","@samacchiato")</f>
        <v>@samacchiato</v>
      </c>
      <c r="C22701" t="s">
        <v>5168</v>
      </c>
      <c r="D22701">
        <v>1055</v>
      </c>
      <c r="E22701">
        <v>0</v>
      </c>
      <c r="F22701">
        <v>204</v>
      </c>
    </row>
    <row r="22702" spans="1:6" ht="12.75">
      <c r="A22702" s="2">
        <v>43875.896620370375</v>
      </c>
      <c r="B22702" t="str">
        <f>HYPERLINK("https://twitter.com/minxonss","@minxonss")</f>
        <v>@minxonss</v>
      </c>
      <c r="C22702" t="s">
        <v>5168</v>
      </c>
      <c r="D22702">
        <v>1055</v>
      </c>
      <c r="E22702">
        <v>0</v>
      </c>
      <c r="F22702">
        <v>89</v>
      </c>
    </row>
    <row r="22703" spans="1:6" ht="12.75">
      <c r="A22703" s="2">
        <v>43875.896562499998</v>
      </c>
      <c r="B22703" t="str">
        <f>HYPERLINK("https://twitter.com/djaya_karta","@djaya_karta")</f>
        <v>@djaya_karta</v>
      </c>
      <c r="C22703" t="s">
        <v>6201</v>
      </c>
      <c r="D22703">
        <v>240</v>
      </c>
      <c r="E22703">
        <v>0</v>
      </c>
      <c r="F22703">
        <v>177</v>
      </c>
    </row>
    <row r="22704" spans="1:6" ht="12.75">
      <c r="A22704" s="2">
        <v>43875.896550925929</v>
      </c>
      <c r="B22704" t="str">
        <f>HYPERLINK("https://twitter.com/Siwiliwili1","@Siwiliwili1")</f>
        <v>@Siwiliwili1</v>
      </c>
      <c r="C22704" t="s">
        <v>9056</v>
      </c>
      <c r="D22704">
        <v>3</v>
      </c>
      <c r="E22704">
        <v>0</v>
      </c>
      <c r="F22704">
        <v>1053</v>
      </c>
    </row>
    <row r="22705" spans="1:6" ht="12.75">
      <c r="A22705" s="2">
        <v>43875.896527777775</v>
      </c>
      <c r="B22705" t="str">
        <f>HYPERLINK("https://twitter.com/Gesang_mf","@Gesang_mf")</f>
        <v>@Gesang_mf</v>
      </c>
      <c r="C22705" t="s">
        <v>10778</v>
      </c>
      <c r="D22705">
        <v>0</v>
      </c>
      <c r="E22705">
        <v>0</v>
      </c>
      <c r="F22705">
        <v>463</v>
      </c>
    </row>
    <row r="22706" spans="1:6" ht="12.75">
      <c r="A22706" s="2">
        <v>43875.896469907406</v>
      </c>
      <c r="B22706" t="str">
        <f>HYPERLINK("https://twitter.com/yan_bryan","@yan_bryan")</f>
        <v>@yan_bryan</v>
      </c>
      <c r="C22706" t="s">
        <v>2444</v>
      </c>
      <c r="D22706">
        <v>2773</v>
      </c>
      <c r="E22706">
        <v>0</v>
      </c>
      <c r="F22706">
        <v>97</v>
      </c>
    </row>
    <row r="22707" spans="1:6" ht="12.75">
      <c r="A22707" s="2">
        <v>43875.896423611106</v>
      </c>
      <c r="B22707" t="str">
        <f>HYPERLINK("https://twitter.com/735T312","@735T312")</f>
        <v>@735T312</v>
      </c>
      <c r="C22707" t="s">
        <v>9746</v>
      </c>
      <c r="D22707">
        <v>371</v>
      </c>
      <c r="E22707">
        <v>0</v>
      </c>
      <c r="F22707">
        <v>150</v>
      </c>
    </row>
    <row r="22708" spans="1:6" ht="12.75">
      <c r="A22708" s="2">
        <v>43875.896296296298</v>
      </c>
      <c r="B22708" t="str">
        <f>HYPERLINK("https://twitter.com/NaylaOnnelBaki","@NaylaOnnelBaki")</f>
        <v>@NaylaOnnelBaki</v>
      </c>
      <c r="C22708" t="s">
        <v>10114</v>
      </c>
      <c r="D22708">
        <v>9</v>
      </c>
      <c r="E22708">
        <v>0</v>
      </c>
      <c r="F22708">
        <v>2064</v>
      </c>
    </row>
    <row r="22709" spans="1:6" ht="12.75">
      <c r="A22709" s="2">
        <v>43875.896145833336</v>
      </c>
      <c r="B22709" t="str">
        <f>HYPERLINK("https://twitter.com/flurrycandy","@flurrycandy")</f>
        <v>@flurrycandy</v>
      </c>
      <c r="C22709" t="s">
        <v>2444</v>
      </c>
      <c r="D22709">
        <v>2773</v>
      </c>
      <c r="E22709">
        <v>0</v>
      </c>
      <c r="F22709">
        <v>642</v>
      </c>
    </row>
    <row r="22710" spans="1:6" ht="12.75">
      <c r="A22710" s="2">
        <v>43875.895960648151</v>
      </c>
      <c r="B22710" t="str">
        <f>HYPERLINK("https://twitter.com/mamasilvi1","@mamasilvi1")</f>
        <v>@mamasilvi1</v>
      </c>
      <c r="C22710" t="s">
        <v>10779</v>
      </c>
      <c r="D22710">
        <v>0</v>
      </c>
      <c r="E22710">
        <v>0</v>
      </c>
      <c r="F22710">
        <v>91</v>
      </c>
    </row>
    <row r="22711" spans="1:6" ht="12.75">
      <c r="A22711" s="2">
        <v>43875.89571759259</v>
      </c>
      <c r="B22711" t="str">
        <f>HYPERLINK("https://twitter.com/Nadya96562589","@Nadya96562589")</f>
        <v>@Nadya96562589</v>
      </c>
      <c r="C22711" t="s">
        <v>9835</v>
      </c>
      <c r="D22711">
        <v>58</v>
      </c>
      <c r="E22711">
        <v>0</v>
      </c>
      <c r="F22711">
        <v>77</v>
      </c>
    </row>
    <row r="22712" spans="1:6" ht="12.75">
      <c r="A22712" s="2">
        <v>43875.89570601852</v>
      </c>
      <c r="B22712" t="str">
        <f>HYPERLINK("https://twitter.com/broccyeoli","@broccyeoli")</f>
        <v>@broccyeoli</v>
      </c>
      <c r="C22712" t="s">
        <v>9067</v>
      </c>
      <c r="D22712">
        <v>51</v>
      </c>
      <c r="E22712">
        <v>0</v>
      </c>
      <c r="F22712">
        <v>1644</v>
      </c>
    </row>
    <row r="22713" spans="1:6" ht="12.75">
      <c r="A22713" s="2">
        <v>43875.895555555559</v>
      </c>
      <c r="B22713" t="str">
        <f>HYPERLINK("https://twitter.com/fan_nose19","@fan_nose19")</f>
        <v>@fan_nose19</v>
      </c>
      <c r="C22713" t="s">
        <v>9746</v>
      </c>
      <c r="D22713">
        <v>371</v>
      </c>
      <c r="E22713">
        <v>0</v>
      </c>
      <c r="F22713">
        <v>402</v>
      </c>
    </row>
    <row r="22714" spans="1:6" ht="12.75">
      <c r="A22714" s="2">
        <v>43875.895520833335</v>
      </c>
      <c r="B22714" t="str">
        <f>HYPERLINK("https://twitter.com/abdoelnusantara","@abdoelnusantara")</f>
        <v>@abdoelnusantara</v>
      </c>
      <c r="C22714" t="s">
        <v>175</v>
      </c>
      <c r="D22714">
        <v>5304</v>
      </c>
      <c r="E22714">
        <v>0</v>
      </c>
      <c r="F22714">
        <v>213</v>
      </c>
    </row>
    <row r="22715" spans="1:6" ht="12.75">
      <c r="A22715" s="2">
        <v>43875.895462962959</v>
      </c>
      <c r="B22715" t="str">
        <f>HYPERLINK("https://twitter.com/eklesiamrc","@eklesiamrc")</f>
        <v>@eklesiamrc</v>
      </c>
      <c r="C22715" t="s">
        <v>10780</v>
      </c>
      <c r="D22715">
        <v>1</v>
      </c>
      <c r="E22715">
        <v>0</v>
      </c>
      <c r="F22715">
        <v>0</v>
      </c>
    </row>
    <row r="22716" spans="1:6" ht="12.75">
      <c r="A22716" s="2">
        <v>43875.895451388889</v>
      </c>
      <c r="B22716" t="str">
        <f>HYPERLINK("https://twitter.com/AnakLolina","@AnakLolina")</f>
        <v>@AnakLolina</v>
      </c>
      <c r="C22716" t="s">
        <v>10781</v>
      </c>
      <c r="D22716">
        <v>9</v>
      </c>
      <c r="E22716">
        <v>17</v>
      </c>
      <c r="F22716">
        <v>14514</v>
      </c>
    </row>
    <row r="22717" spans="1:6" ht="12.75">
      <c r="A22717" s="2">
        <v>43875.89543981482</v>
      </c>
      <c r="B22717" t="str">
        <f>HYPERLINK("https://twitter.com/pardede_tamim","@pardede_tamim")</f>
        <v>@pardede_tamim</v>
      </c>
      <c r="C22717" t="s">
        <v>10782</v>
      </c>
      <c r="D22717">
        <v>1</v>
      </c>
      <c r="E22717">
        <v>0</v>
      </c>
      <c r="F22717">
        <v>22</v>
      </c>
    </row>
    <row r="22718" spans="1:6" ht="12.75">
      <c r="A22718" s="2">
        <v>43875.895405092597</v>
      </c>
      <c r="B22718" t="str">
        <f>HYPERLINK("https://twitter.com/cadarmerah","@cadarmerah")</f>
        <v>@cadarmerah</v>
      </c>
      <c r="C22718" t="s">
        <v>2095</v>
      </c>
      <c r="D22718">
        <v>8</v>
      </c>
      <c r="E22718">
        <v>0</v>
      </c>
      <c r="F22718">
        <v>5656</v>
      </c>
    </row>
    <row r="22719" spans="1:6" ht="12.75">
      <c r="A22719" s="2">
        <v>43875.89534722222</v>
      </c>
      <c r="B22719" t="str">
        <f>HYPERLINK("https://twitter.com/broccyeoli","@broccyeoli")</f>
        <v>@broccyeoli</v>
      </c>
      <c r="C22719" t="s">
        <v>2444</v>
      </c>
      <c r="D22719">
        <v>2773</v>
      </c>
      <c r="E22719">
        <v>0</v>
      </c>
      <c r="F22719">
        <v>1644</v>
      </c>
    </row>
    <row r="22720" spans="1:6" ht="12.75">
      <c r="A22720" s="2">
        <v>43875.895324074074</v>
      </c>
      <c r="B22720" t="str">
        <f>HYPERLINK("https://twitter.com/cadarmerah","@cadarmerah")</f>
        <v>@cadarmerah</v>
      </c>
      <c r="C22720" t="s">
        <v>2096</v>
      </c>
      <c r="D22720">
        <v>13</v>
      </c>
      <c r="E22720">
        <v>0</v>
      </c>
      <c r="F22720">
        <v>5656</v>
      </c>
    </row>
    <row r="22721" spans="1:6" ht="12.75">
      <c r="A22721" s="2">
        <v>43875.895208333328</v>
      </c>
      <c r="B22721" t="str">
        <f>HYPERLINK("https://twitter.com/MembangunD","@MembangunD")</f>
        <v>@MembangunD</v>
      </c>
      <c r="C22721" t="s">
        <v>10611</v>
      </c>
      <c r="D22721">
        <v>2</v>
      </c>
      <c r="E22721">
        <v>0</v>
      </c>
      <c r="F22721">
        <v>308</v>
      </c>
    </row>
    <row r="22722" spans="1:6" ht="12.75">
      <c r="A22722" s="2">
        <v>43875.895092592589</v>
      </c>
      <c r="B22722" t="str">
        <f>HYPERLINK("https://twitter.com/JulioAndrea4","@JulioAndrea4")</f>
        <v>@JulioAndrea4</v>
      </c>
      <c r="C22722" t="s">
        <v>10783</v>
      </c>
      <c r="D22722">
        <v>0</v>
      </c>
      <c r="E22722">
        <v>7</v>
      </c>
      <c r="F22722">
        <v>1816</v>
      </c>
    </row>
    <row r="22723" spans="1:6" ht="12.75">
      <c r="A22723" s="2">
        <v>43875.894976851851</v>
      </c>
      <c r="B22723" t="str">
        <f>HYPERLINK("https://twitter.com/afrizal90","@afrizal90")</f>
        <v>@afrizal90</v>
      </c>
      <c r="C22723" t="s">
        <v>5761</v>
      </c>
      <c r="D22723">
        <v>80</v>
      </c>
      <c r="E22723">
        <v>0</v>
      </c>
      <c r="F22723">
        <v>416</v>
      </c>
    </row>
    <row r="22724" spans="1:6" ht="12.75">
      <c r="A22724" s="2">
        <v>43875.894953703704</v>
      </c>
      <c r="B22724" t="str">
        <f>HYPERLINK("https://twitter.com/LaingenLisa","@LaingenLisa")</f>
        <v>@LaingenLisa</v>
      </c>
      <c r="C22724" t="s">
        <v>10165</v>
      </c>
      <c r="D22724">
        <v>16</v>
      </c>
      <c r="E22724">
        <v>0</v>
      </c>
      <c r="F22724">
        <v>2837</v>
      </c>
    </row>
    <row r="22725" spans="1:6" ht="12.75">
      <c r="A22725" s="2">
        <v>43875.894884259258</v>
      </c>
      <c r="B22725" t="str">
        <f>HYPERLINK("https://twitter.com/GeorgeTetradis","@GeorgeTetradis")</f>
        <v>@GeorgeTetradis</v>
      </c>
      <c r="C22725" t="s">
        <v>9082</v>
      </c>
      <c r="D22725">
        <v>68</v>
      </c>
      <c r="E22725">
        <v>0</v>
      </c>
      <c r="F22725">
        <v>4156</v>
      </c>
    </row>
    <row r="22726" spans="1:6" ht="12.75">
      <c r="A22726" s="2">
        <v>43875.894861111112</v>
      </c>
      <c r="B22726" t="str">
        <f>HYPERLINK("https://twitter.com/OposisiCerdas","@OposisiCerdas")</f>
        <v>@OposisiCerdas</v>
      </c>
      <c r="C22726" t="s">
        <v>10569</v>
      </c>
      <c r="D22726">
        <v>3</v>
      </c>
      <c r="E22726">
        <v>21</v>
      </c>
      <c r="F22726">
        <v>16077</v>
      </c>
    </row>
    <row r="22727" spans="1:6" ht="12.75">
      <c r="A22727" s="2">
        <v>43875.894756944443</v>
      </c>
      <c r="B22727" t="str">
        <f>HYPERLINK("https://twitter.com/M_Katjasungkana","@M_Katjasungkana")</f>
        <v>@M_Katjasungkana</v>
      </c>
      <c r="C22727" t="s">
        <v>10784</v>
      </c>
      <c r="D22727">
        <v>0</v>
      </c>
      <c r="E22727">
        <v>0</v>
      </c>
      <c r="F22727">
        <v>385</v>
      </c>
    </row>
    <row r="22728" spans="1:6" ht="12.75">
      <c r="A22728" s="2">
        <v>43875.894733796296</v>
      </c>
      <c r="B22728" t="str">
        <f>HYPERLINK("https://twitter.com/maccharcolate","@maccharcolate")</f>
        <v>@maccharcolate</v>
      </c>
      <c r="C22728" t="s">
        <v>2444</v>
      </c>
      <c r="D22728">
        <v>2773</v>
      </c>
      <c r="E22728">
        <v>0</v>
      </c>
      <c r="F22728">
        <v>517</v>
      </c>
    </row>
    <row r="22729" spans="1:6" ht="12.75">
      <c r="A22729" s="2">
        <v>43875.89472222222</v>
      </c>
      <c r="B22729" t="str">
        <f>HYPERLINK("https://twitter.com/heintje_han","@heintje_han")</f>
        <v>@heintje_han</v>
      </c>
      <c r="C22729" t="s">
        <v>2963</v>
      </c>
      <c r="D22729">
        <v>1129</v>
      </c>
      <c r="E22729">
        <v>0</v>
      </c>
      <c r="F22729">
        <v>229</v>
      </c>
    </row>
    <row r="22730" spans="1:6" ht="12.75">
      <c r="A22730" s="2">
        <v>43875.894699074073</v>
      </c>
      <c r="B22730" t="str">
        <f>HYPERLINK("https://twitter.com/sprkgj","@sprkgj")</f>
        <v>@sprkgj</v>
      </c>
      <c r="C22730" t="s">
        <v>10066</v>
      </c>
      <c r="D22730">
        <v>1</v>
      </c>
      <c r="E22730">
        <v>0</v>
      </c>
      <c r="F22730">
        <v>666</v>
      </c>
    </row>
    <row r="22731" spans="1:6" ht="12.75">
      <c r="A22731" s="2">
        <v>43875.894675925927</v>
      </c>
      <c r="B22731" t="str">
        <f>HYPERLINK("https://twitter.com/bpriady","@bpriady")</f>
        <v>@bpriady</v>
      </c>
      <c r="C22731" t="s">
        <v>10422</v>
      </c>
      <c r="D22731">
        <v>114</v>
      </c>
      <c r="E22731">
        <v>0</v>
      </c>
      <c r="F22731">
        <v>591</v>
      </c>
    </row>
    <row r="22732" spans="1:6" ht="12.75">
      <c r="A22732" s="2">
        <v>43875.894432870366</v>
      </c>
      <c r="B22732" t="str">
        <f>HYPERLINK("https://twitter.com/dewirrzkiani","@dewirrzkiani")</f>
        <v>@dewirrzkiani</v>
      </c>
      <c r="C22732" t="s">
        <v>2444</v>
      </c>
      <c r="D22732">
        <v>2773</v>
      </c>
      <c r="E22732">
        <v>0</v>
      </c>
      <c r="F22732">
        <v>372</v>
      </c>
    </row>
    <row r="22733" spans="1:6" ht="12.75">
      <c r="A22733" s="2">
        <v>43875.894375000003</v>
      </c>
      <c r="B22733" t="str">
        <f>HYPERLINK("https://twitter.com/fluffyyong","@fluffyyong")</f>
        <v>@fluffyyong</v>
      </c>
      <c r="C22733" t="s">
        <v>2444</v>
      </c>
      <c r="D22733">
        <v>2773</v>
      </c>
      <c r="E22733">
        <v>0</v>
      </c>
      <c r="F22733">
        <v>2993</v>
      </c>
    </row>
    <row r="22734" spans="1:6" ht="12.75">
      <c r="A22734" s="2">
        <v>43875.894166666665</v>
      </c>
      <c r="B22734" t="str">
        <f>HYPERLINK("https://twitter.com/KemensetnegRI","@KemensetnegRI")</f>
        <v>@KemensetnegRI</v>
      </c>
      <c r="C22734" t="s">
        <v>10785</v>
      </c>
      <c r="D22734">
        <v>2</v>
      </c>
      <c r="E22734">
        <v>10</v>
      </c>
      <c r="F22734">
        <v>402036</v>
      </c>
    </row>
    <row r="22735" spans="1:6" ht="12.75">
      <c r="A22735" s="2">
        <v>43875.894050925926</v>
      </c>
      <c r="B22735" t="str">
        <f>HYPERLINK("https://twitter.com/extraANDInary","@extraANDInary")</f>
        <v>@extraANDInary</v>
      </c>
      <c r="C22735" t="s">
        <v>10096</v>
      </c>
      <c r="D22735">
        <v>172</v>
      </c>
      <c r="E22735">
        <v>0</v>
      </c>
      <c r="F22735">
        <v>670</v>
      </c>
    </row>
    <row r="22736" spans="1:6" ht="12.75">
      <c r="A22736" s="2">
        <v>43875.894027777773</v>
      </c>
      <c r="B22736" t="str">
        <f>HYPERLINK("https://twitter.com/ummiLina2","@ummiLina2")</f>
        <v>@ummiLina2</v>
      </c>
      <c r="C22736" t="s">
        <v>9732</v>
      </c>
      <c r="D22736">
        <v>70</v>
      </c>
      <c r="E22736">
        <v>0</v>
      </c>
      <c r="F22736">
        <v>1433</v>
      </c>
    </row>
    <row r="22737" spans="1:6" ht="12.75">
      <c r="A22737" s="2">
        <v>43875.893854166672</v>
      </c>
      <c r="B22737" t="str">
        <f>HYPERLINK("https://twitter.com/nasyihamaze","@nasyihamaze")</f>
        <v>@nasyihamaze</v>
      </c>
      <c r="C22737" t="s">
        <v>2444</v>
      </c>
      <c r="D22737">
        <v>2773</v>
      </c>
      <c r="E22737">
        <v>0</v>
      </c>
      <c r="F22737">
        <v>630</v>
      </c>
    </row>
    <row r="22738" spans="1:6" ht="12.75">
      <c r="A22738" s="2">
        <v>43875.893761574072</v>
      </c>
      <c r="B22738" t="str">
        <f>HYPERLINK("https://twitter.com/extraANDInary","@extraANDInary")</f>
        <v>@extraANDInary</v>
      </c>
      <c r="C22738" t="s">
        <v>10052</v>
      </c>
      <c r="D22738">
        <v>87</v>
      </c>
      <c r="E22738">
        <v>0</v>
      </c>
      <c r="F22738">
        <v>670</v>
      </c>
    </row>
    <row r="22739" spans="1:6" ht="12.75">
      <c r="A22739" s="2">
        <v>43875.893726851849</v>
      </c>
      <c r="B22739" t="str">
        <f>HYPERLINK("https://twitter.com/hartanto_mas","@hartanto_mas")</f>
        <v>@hartanto_mas</v>
      </c>
      <c r="C22739" t="s">
        <v>9198</v>
      </c>
      <c r="D22739">
        <v>69</v>
      </c>
      <c r="E22739">
        <v>0</v>
      </c>
      <c r="F22739">
        <v>1045</v>
      </c>
    </row>
    <row r="22740" spans="1:6" ht="12.75">
      <c r="A22740" s="2">
        <v>43875.893703703703</v>
      </c>
      <c r="B22740" t="str">
        <f>HYPERLINK("https://twitter.com/wasabiiiie","@wasabiiiie")</f>
        <v>@wasabiiiie</v>
      </c>
      <c r="C22740" t="s">
        <v>10786</v>
      </c>
      <c r="D22740">
        <v>0</v>
      </c>
      <c r="E22740">
        <v>0</v>
      </c>
      <c r="F22740">
        <v>36</v>
      </c>
    </row>
    <row r="22741" spans="1:6" ht="12.75">
      <c r="A22741" s="2">
        <v>43875.893692129626</v>
      </c>
      <c r="B22741" t="str">
        <f>HYPERLINK("https://twitter.com/mifkss","@mifkss")</f>
        <v>@mifkss</v>
      </c>
      <c r="C22741" t="s">
        <v>2444</v>
      </c>
      <c r="D22741">
        <v>2773</v>
      </c>
      <c r="E22741">
        <v>0</v>
      </c>
      <c r="F22741">
        <v>263</v>
      </c>
    </row>
    <row r="22742" spans="1:6" ht="12.75">
      <c r="A22742" s="2">
        <v>43875.893425925926</v>
      </c>
      <c r="B22742" t="str">
        <f>HYPERLINK("https://twitter.com/tanyadoank13","@tanyadoank13")</f>
        <v>@tanyadoank13</v>
      </c>
      <c r="C22742" t="s">
        <v>2444</v>
      </c>
      <c r="D22742">
        <v>2773</v>
      </c>
      <c r="E22742">
        <v>0</v>
      </c>
      <c r="F22742">
        <v>74</v>
      </c>
    </row>
    <row r="22743" spans="1:6" ht="12.75">
      <c r="A22743" s="2">
        <v>43875.89340277778</v>
      </c>
      <c r="B22743" t="str">
        <f>HYPERLINK("https://twitter.com/Rasyeed3","@Rasyeed3")</f>
        <v>@Rasyeed3</v>
      </c>
      <c r="C22743" t="s">
        <v>10052</v>
      </c>
      <c r="D22743">
        <v>87</v>
      </c>
      <c r="E22743">
        <v>0</v>
      </c>
      <c r="F22743">
        <v>1075</v>
      </c>
    </row>
    <row r="22744" spans="1:6" ht="12.75">
      <c r="A22744" s="2">
        <v>43875.89335648148</v>
      </c>
      <c r="B22744" t="str">
        <f>HYPERLINK("https://twitter.com/akugapeduli","@akugapeduli")</f>
        <v>@akugapeduli</v>
      </c>
      <c r="C22744" t="s">
        <v>2137</v>
      </c>
      <c r="D22744">
        <v>209</v>
      </c>
      <c r="E22744">
        <v>0</v>
      </c>
      <c r="F22744">
        <v>2363</v>
      </c>
    </row>
    <row r="22745" spans="1:6" ht="12.75">
      <c r="A22745" s="2">
        <v>43875.893321759257</v>
      </c>
      <c r="B22745" t="str">
        <f>HYPERLINK("https://twitter.com/KenryoBudiman","@KenryoBudiman")</f>
        <v>@KenryoBudiman</v>
      </c>
      <c r="C22745" t="s">
        <v>5168</v>
      </c>
      <c r="D22745">
        <v>1055</v>
      </c>
      <c r="E22745">
        <v>0</v>
      </c>
      <c r="F22745">
        <v>319</v>
      </c>
    </row>
    <row r="22746" spans="1:6" ht="12.75">
      <c r="A22746" s="2">
        <v>43875.893171296295</v>
      </c>
      <c r="B22746" t="str">
        <f>HYPERLINK("https://twitter.com/CoolestWoles","@CoolestWoles")</f>
        <v>@CoolestWoles</v>
      </c>
      <c r="C22746" t="s">
        <v>10295</v>
      </c>
      <c r="D22746">
        <v>92</v>
      </c>
      <c r="E22746">
        <v>0</v>
      </c>
      <c r="F22746">
        <v>11</v>
      </c>
    </row>
    <row r="22747" spans="1:6" ht="12.75">
      <c r="A22747" s="2">
        <v>43875.892962962964</v>
      </c>
      <c r="B22747" t="str">
        <f>HYPERLINK("https://twitter.com/AdeCand65866045","@AdeCand65866045")</f>
        <v>@AdeCand65866045</v>
      </c>
      <c r="C22747" t="s">
        <v>9198</v>
      </c>
      <c r="D22747">
        <v>69</v>
      </c>
      <c r="E22747">
        <v>0</v>
      </c>
      <c r="F22747">
        <v>160</v>
      </c>
    </row>
    <row r="22748" spans="1:6" ht="12.75">
      <c r="A22748" s="2">
        <v>43875.892928240741</v>
      </c>
      <c r="B22748" t="str">
        <f>HYPERLINK("https://twitter.com/Indahtrp_","@Indahtrp_")</f>
        <v>@Indahtrp_</v>
      </c>
      <c r="C22748" t="s">
        <v>5168</v>
      </c>
      <c r="D22748">
        <v>1055</v>
      </c>
      <c r="E22748">
        <v>0</v>
      </c>
      <c r="F22748">
        <v>719</v>
      </c>
    </row>
    <row r="22749" spans="1:6" ht="12.75">
      <c r="A22749" s="2">
        <v>43875.892916666664</v>
      </c>
      <c r="B22749" t="str">
        <f>HYPERLINK("https://twitter.com/JinxChe_02","@JinxChe_02")</f>
        <v>@JinxChe_02</v>
      </c>
      <c r="C22749" t="s">
        <v>9198</v>
      </c>
      <c r="D22749">
        <v>69</v>
      </c>
      <c r="E22749">
        <v>0</v>
      </c>
      <c r="F22749">
        <v>151</v>
      </c>
    </row>
    <row r="22750" spans="1:6" ht="12.75">
      <c r="A22750" s="2">
        <v>43875.892812499995</v>
      </c>
      <c r="B22750" t="str">
        <f>HYPERLINK("https://twitter.com/luckypipel_","@luckypipel_")</f>
        <v>@luckypipel_</v>
      </c>
      <c r="C22750" t="s">
        <v>5168</v>
      </c>
      <c r="D22750">
        <v>1055</v>
      </c>
      <c r="E22750">
        <v>0</v>
      </c>
      <c r="F22750">
        <v>500</v>
      </c>
    </row>
    <row r="22751" spans="1:6" ht="12.75">
      <c r="A22751" s="2">
        <v>43875.892754629633</v>
      </c>
      <c r="B22751" t="str">
        <f>HYPERLINK("https://twitter.com/seductive1401","@seductive1401")</f>
        <v>@seductive1401</v>
      </c>
      <c r="C22751" t="s">
        <v>2444</v>
      </c>
      <c r="D22751">
        <v>2773</v>
      </c>
      <c r="E22751">
        <v>0</v>
      </c>
      <c r="F22751">
        <v>280</v>
      </c>
    </row>
    <row r="22752" spans="1:6" ht="12.75">
      <c r="A22752" s="2">
        <v>43875.892743055556</v>
      </c>
      <c r="B22752" t="str">
        <f>HYPERLINK("https://twitter.com/seyeolaf","@seyeolaf")</f>
        <v>@seyeolaf</v>
      </c>
      <c r="C22752" t="s">
        <v>2444</v>
      </c>
      <c r="D22752">
        <v>2773</v>
      </c>
      <c r="E22752">
        <v>0</v>
      </c>
      <c r="F22752">
        <v>523</v>
      </c>
    </row>
    <row r="22753" spans="1:6" ht="12.75">
      <c r="A22753" s="2">
        <v>43875.892731481479</v>
      </c>
      <c r="B22753" t="str">
        <f>HYPERLINK("https://twitter.com/nwanindya","@nwanindya")</f>
        <v>@nwanindya</v>
      </c>
      <c r="C22753" t="s">
        <v>2444</v>
      </c>
      <c r="D22753">
        <v>2773</v>
      </c>
      <c r="E22753">
        <v>0</v>
      </c>
      <c r="F22753">
        <v>755</v>
      </c>
    </row>
    <row r="22754" spans="1:6" ht="12.75">
      <c r="A22754" s="2">
        <v>43875.892650462964</v>
      </c>
      <c r="B22754" t="str">
        <f>HYPERLINK("https://twitter.com/aditurki","@aditurki")</f>
        <v>@aditurki</v>
      </c>
      <c r="C22754" t="s">
        <v>10787</v>
      </c>
      <c r="D22754">
        <v>0</v>
      </c>
      <c r="E22754">
        <v>0</v>
      </c>
      <c r="F22754">
        <v>207</v>
      </c>
    </row>
    <row r="22755" spans="1:6" ht="12.75">
      <c r="A22755" s="2">
        <v>43875.892476851848</v>
      </c>
      <c r="B22755" t="str">
        <f>HYPERLINK("https://twitter.com/pusenktugas","@pusenktugas")</f>
        <v>@pusenktugas</v>
      </c>
      <c r="C22755" t="s">
        <v>2444</v>
      </c>
      <c r="D22755">
        <v>2773</v>
      </c>
      <c r="E22755">
        <v>0</v>
      </c>
      <c r="F22755">
        <v>168</v>
      </c>
    </row>
    <row r="22756" spans="1:6" ht="12.75">
      <c r="A22756" s="2">
        <v>43875.892465277779</v>
      </c>
      <c r="B22756" t="str">
        <f>HYPERLINK("https://twitter.com/lordpolarsky","@lordpolarsky")</f>
        <v>@lordpolarsky</v>
      </c>
      <c r="C22756" t="s">
        <v>5168</v>
      </c>
      <c r="D22756">
        <v>1055</v>
      </c>
      <c r="E22756">
        <v>0</v>
      </c>
      <c r="F22756">
        <v>1256</v>
      </c>
    </row>
    <row r="22757" spans="1:6" ht="12.75">
      <c r="A22757" s="2">
        <v>43875.892465277779</v>
      </c>
      <c r="B22757" t="str">
        <f>HYPERLINK("https://twitter.com/dailyppang","@dailyppang")</f>
        <v>@dailyppang</v>
      </c>
      <c r="C22757" t="s">
        <v>2444</v>
      </c>
      <c r="D22757">
        <v>2773</v>
      </c>
      <c r="E22757">
        <v>0</v>
      </c>
      <c r="F22757">
        <v>332</v>
      </c>
    </row>
    <row r="22758" spans="1:6" ht="12.75">
      <c r="A22758" s="2">
        <v>43875.892453703702</v>
      </c>
      <c r="B22758" t="str">
        <f>HYPERLINK("https://twitter.com/negoroandi1988","@negoroandi1988")</f>
        <v>@negoroandi1988</v>
      </c>
      <c r="C22758" t="s">
        <v>9198</v>
      </c>
      <c r="D22758">
        <v>69</v>
      </c>
      <c r="E22758">
        <v>0</v>
      </c>
      <c r="F22758">
        <v>161</v>
      </c>
    </row>
    <row r="22759" spans="1:6" ht="12.75">
      <c r="A22759" s="2">
        <v>43875.892407407402</v>
      </c>
      <c r="B22759" t="str">
        <f>HYPERLINK("https://twitter.com/yahyakholid","@yahyakholid")</f>
        <v>@yahyakholid</v>
      </c>
      <c r="C22759" t="s">
        <v>2963</v>
      </c>
      <c r="D22759">
        <v>1129</v>
      </c>
      <c r="E22759">
        <v>0</v>
      </c>
      <c r="F22759">
        <v>545</v>
      </c>
    </row>
    <row r="22760" spans="1:6" ht="12.75">
      <c r="A22760" s="2">
        <v>43875.892395833333</v>
      </c>
      <c r="B22760" t="str">
        <f>HYPERLINK("https://twitter.com/sejutamalam","@sejutamalam")</f>
        <v>@sejutamalam</v>
      </c>
      <c r="C22760" t="s">
        <v>5168</v>
      </c>
      <c r="D22760">
        <v>1055</v>
      </c>
      <c r="E22760">
        <v>0</v>
      </c>
      <c r="F22760">
        <v>454</v>
      </c>
    </row>
    <row r="22761" spans="1:6" ht="12.75">
      <c r="A22761" s="2">
        <v>43875.892361111109</v>
      </c>
      <c r="B22761" t="str">
        <f>HYPERLINK("https://twitter.com/riliviliansyah","@riliviliansyah")</f>
        <v>@riliviliansyah</v>
      </c>
      <c r="C22761" t="s">
        <v>5168</v>
      </c>
      <c r="D22761">
        <v>1055</v>
      </c>
      <c r="E22761">
        <v>0</v>
      </c>
      <c r="F22761">
        <v>8</v>
      </c>
    </row>
    <row r="22762" spans="1:6" ht="12.75">
      <c r="A22762" s="2">
        <v>43875.892245370371</v>
      </c>
      <c r="B22762" t="str">
        <f>HYPERLINK("https://twitter.com/trinugroho162","@trinugroho162")</f>
        <v>@trinugroho162</v>
      </c>
      <c r="C22762" t="s">
        <v>9198</v>
      </c>
      <c r="D22762">
        <v>69</v>
      </c>
      <c r="E22762">
        <v>0</v>
      </c>
      <c r="F22762">
        <v>1661</v>
      </c>
    </row>
    <row r="22763" spans="1:6" ht="12.75">
      <c r="A22763" s="2">
        <v>43875.892037037032</v>
      </c>
      <c r="B22763" t="str">
        <f>HYPERLINK("https://twitter.com/Iqlimaputri_","@Iqlimaputri_")</f>
        <v>@Iqlimaputri_</v>
      </c>
      <c r="C22763" t="s">
        <v>2444</v>
      </c>
      <c r="D22763">
        <v>2773</v>
      </c>
      <c r="E22763">
        <v>0</v>
      </c>
      <c r="F22763">
        <v>420</v>
      </c>
    </row>
    <row r="22764" spans="1:6" ht="12.75">
      <c r="A22764" s="2">
        <v>43875.891863425924</v>
      </c>
      <c r="B22764" t="str">
        <f>HYPERLINK("https://twitter.com/beatrice_health","@beatrice_health")</f>
        <v>@beatrice_health</v>
      </c>
      <c r="C22764" t="s">
        <v>10788</v>
      </c>
      <c r="D22764">
        <v>1</v>
      </c>
      <c r="E22764">
        <v>0</v>
      </c>
      <c r="F22764">
        <v>70</v>
      </c>
    </row>
    <row r="22765" spans="1:6" ht="12.75">
      <c r="A22765" s="2">
        <v>43875.891851851848</v>
      </c>
      <c r="B22765" t="str">
        <f>HYPERLINK("https://twitter.com/AntonSu66364631","@AntonSu66364631")</f>
        <v>@AntonSu66364631</v>
      </c>
      <c r="C22765" t="s">
        <v>10789</v>
      </c>
      <c r="D22765">
        <v>0</v>
      </c>
      <c r="E22765">
        <v>0</v>
      </c>
      <c r="F22765">
        <v>0</v>
      </c>
    </row>
    <row r="22766" spans="1:6" ht="12.75">
      <c r="A22766" s="2">
        <v>43875.891817129625</v>
      </c>
      <c r="B22766" t="str">
        <f>HYPERLINK("https://twitter.com/Iqlimaputri_","@Iqlimaputri_")</f>
        <v>@Iqlimaputri_</v>
      </c>
      <c r="C22766" t="s">
        <v>5168</v>
      </c>
      <c r="D22766">
        <v>1055</v>
      </c>
      <c r="E22766">
        <v>0</v>
      </c>
      <c r="F22766">
        <v>420</v>
      </c>
    </row>
    <row r="22767" spans="1:6" ht="12.75">
      <c r="A22767" s="2">
        <v>43875.891782407409</v>
      </c>
      <c r="B22767" t="str">
        <f>HYPERLINK("https://twitter.com/exfrisz","@exfrisz")</f>
        <v>@exfrisz</v>
      </c>
      <c r="C22767" t="s">
        <v>10790</v>
      </c>
      <c r="D22767">
        <v>1</v>
      </c>
      <c r="E22767">
        <v>0</v>
      </c>
      <c r="F22767">
        <v>187</v>
      </c>
    </row>
    <row r="22768" spans="1:6" ht="12.75">
      <c r="A22768" s="2">
        <v>43875.891759259262</v>
      </c>
      <c r="B22768" t="str">
        <f>HYPERLINK("https://twitter.com/slyxtherinz","@slyxtherinz")</f>
        <v>@slyxtherinz</v>
      </c>
      <c r="C22768" t="s">
        <v>5168</v>
      </c>
      <c r="D22768">
        <v>1055</v>
      </c>
      <c r="E22768">
        <v>0</v>
      </c>
      <c r="F22768">
        <v>115</v>
      </c>
    </row>
    <row r="22769" spans="1:6" ht="12.75">
      <c r="A22769" s="2">
        <v>43875.891689814816</v>
      </c>
      <c r="B22769" t="str">
        <f>HYPERLINK("https://twitter.com/Yanti58704232","@Yanti58704232")</f>
        <v>@Yanti58704232</v>
      </c>
      <c r="C22769" t="s">
        <v>6201</v>
      </c>
      <c r="D22769">
        <v>240</v>
      </c>
      <c r="E22769">
        <v>0</v>
      </c>
      <c r="F22769">
        <v>120</v>
      </c>
    </row>
    <row r="22770" spans="1:6" ht="12.75">
      <c r="A22770" s="2">
        <v>43875.891666666663</v>
      </c>
      <c r="B22770" t="str">
        <f>HYPERLINK("https://twitter.com/baekmuang","@baekmuang")</f>
        <v>@baekmuang</v>
      </c>
      <c r="C22770" t="s">
        <v>5168</v>
      </c>
      <c r="D22770">
        <v>1055</v>
      </c>
      <c r="E22770">
        <v>0</v>
      </c>
      <c r="F22770">
        <v>360</v>
      </c>
    </row>
    <row r="22771" spans="1:6" ht="12.75">
      <c r="A22771" s="2">
        <v>43875.89126157407</v>
      </c>
      <c r="B22771" t="str">
        <f>HYPERLINK("https://twitter.com/Iaperr","@Iaperr")</f>
        <v>@Iaperr</v>
      </c>
      <c r="C22771" t="s">
        <v>2444</v>
      </c>
      <c r="D22771">
        <v>2773</v>
      </c>
      <c r="E22771">
        <v>0</v>
      </c>
      <c r="F22771">
        <v>70</v>
      </c>
    </row>
    <row r="22772" spans="1:6" ht="12.75">
      <c r="A22772" s="2">
        <v>43875.890763888892</v>
      </c>
      <c r="B22772" t="str">
        <f>HYPERLINK("https://twitter.com/arddy_an","@arddy_an")</f>
        <v>@arddy_an</v>
      </c>
      <c r="C22772" t="s">
        <v>7888</v>
      </c>
      <c r="D22772">
        <v>35</v>
      </c>
      <c r="E22772">
        <v>0</v>
      </c>
      <c r="F22772">
        <v>867</v>
      </c>
    </row>
    <row r="22773" spans="1:6" ht="12.75">
      <c r="A22773" s="2">
        <v>43875.890671296293</v>
      </c>
      <c r="B22773" t="str">
        <f>HYPERLINK("https://twitter.com/Lisa_sasaa","@Lisa_sasaa")</f>
        <v>@Lisa_sasaa</v>
      </c>
      <c r="C22773" t="s">
        <v>10440</v>
      </c>
      <c r="D22773">
        <v>330</v>
      </c>
      <c r="E22773">
        <v>0</v>
      </c>
      <c r="F22773">
        <v>377</v>
      </c>
    </row>
    <row r="22774" spans="1:6" ht="12.75">
      <c r="A22774" s="2">
        <v>43875.890555555554</v>
      </c>
      <c r="B22774" t="str">
        <f>HYPERLINK("https://twitter.com/kopites8","@kopites8")</f>
        <v>@kopites8</v>
      </c>
      <c r="C22774" t="s">
        <v>10791</v>
      </c>
      <c r="D22774">
        <v>0</v>
      </c>
      <c r="E22774">
        <v>0</v>
      </c>
      <c r="F22774">
        <v>551</v>
      </c>
    </row>
    <row r="22775" spans="1:6" ht="12.75">
      <c r="A22775" s="2">
        <v>43875.890474537038</v>
      </c>
      <c r="B22775" t="str">
        <f>HYPERLINK("https://twitter.com/pasadenasl","@pasadenasl")</f>
        <v>@pasadenasl</v>
      </c>
      <c r="C22775" t="s">
        <v>10052</v>
      </c>
      <c r="D22775">
        <v>87</v>
      </c>
      <c r="E22775">
        <v>0</v>
      </c>
      <c r="F22775">
        <v>395</v>
      </c>
    </row>
    <row r="22776" spans="1:6" ht="12.75">
      <c r="A22776" s="2">
        <v>43875.890462962961</v>
      </c>
      <c r="B22776" t="str">
        <f>HYPERLINK("https://twitter.com/ponnypon2","@ponnypon2")</f>
        <v>@ponnypon2</v>
      </c>
      <c r="C22776" t="s">
        <v>10074</v>
      </c>
      <c r="D22776">
        <v>73</v>
      </c>
      <c r="E22776">
        <v>0</v>
      </c>
      <c r="F22776">
        <v>87</v>
      </c>
    </row>
    <row r="22777" spans="1:6" ht="12.75">
      <c r="A22777" s="2">
        <v>43875.890462962961</v>
      </c>
      <c r="B22777" t="str">
        <f>HYPERLINK("https://twitter.com/KATADATAcoid","@KATADATAcoid")</f>
        <v>@KATADATAcoid</v>
      </c>
      <c r="C22777" t="s">
        <v>10792</v>
      </c>
      <c r="D22777">
        <v>0</v>
      </c>
      <c r="E22777">
        <v>0</v>
      </c>
      <c r="F22777">
        <v>39271</v>
      </c>
    </row>
    <row r="22778" spans="1:6" ht="12.75">
      <c r="A22778" s="2">
        <v>43875.890451388885</v>
      </c>
      <c r="B22778" t="str">
        <f>HYPERLINK("https://twitter.com/WhyHerdy","@WhyHerdy")</f>
        <v>@WhyHerdy</v>
      </c>
      <c r="C22778" t="s">
        <v>7478</v>
      </c>
      <c r="D22778">
        <v>399</v>
      </c>
      <c r="E22778">
        <v>0</v>
      </c>
      <c r="F22778">
        <v>106</v>
      </c>
    </row>
    <row r="22779" spans="1:6" ht="12.75">
      <c r="A22779" s="2">
        <v>43875.890347222223</v>
      </c>
      <c r="B22779" t="str">
        <f>HYPERLINK("https://twitter.com/Jaewongsingsong","@Jaewongsingsong")</f>
        <v>@Jaewongsingsong</v>
      </c>
      <c r="C22779" t="s">
        <v>10793</v>
      </c>
      <c r="D22779">
        <v>17</v>
      </c>
      <c r="E22779">
        <v>0</v>
      </c>
      <c r="F22779">
        <v>834</v>
      </c>
    </row>
    <row r="22780" spans="1:6" ht="12.75">
      <c r="A22780" s="2">
        <v>43875.890335648146</v>
      </c>
      <c r="B22780" t="str">
        <f>HYPERLINK("https://twitter.com/RismaDaianti_","@RismaDaianti_")</f>
        <v>@RismaDaianti_</v>
      </c>
      <c r="C22780" t="s">
        <v>2444</v>
      </c>
      <c r="D22780">
        <v>2773</v>
      </c>
      <c r="E22780">
        <v>0</v>
      </c>
      <c r="F22780">
        <v>1369</v>
      </c>
    </row>
    <row r="22781" spans="1:6" ht="12.75">
      <c r="A22781" s="2">
        <v>43875.8903125</v>
      </c>
      <c r="B22781" t="str">
        <f>HYPERLINK("https://twitter.com/hatsunemichuu","@hatsunemichuu")</f>
        <v>@hatsunemichuu</v>
      </c>
      <c r="C22781" t="s">
        <v>2444</v>
      </c>
      <c r="D22781">
        <v>2773</v>
      </c>
      <c r="E22781">
        <v>0</v>
      </c>
      <c r="F22781">
        <v>68</v>
      </c>
    </row>
    <row r="22782" spans="1:6" ht="12.75">
      <c r="A22782" s="2">
        <v>43875.8903125</v>
      </c>
      <c r="B22782" t="str">
        <f>HYPERLINK("https://twitter.com/satunovember","@satunovember")</f>
        <v>@satunovember</v>
      </c>
      <c r="C22782" t="s">
        <v>2444</v>
      </c>
      <c r="D22782">
        <v>2773</v>
      </c>
      <c r="E22782">
        <v>0</v>
      </c>
      <c r="F22782">
        <v>83</v>
      </c>
    </row>
    <row r="22783" spans="1:6" ht="12.75">
      <c r="A22783" s="2">
        <v>43875.890300925923</v>
      </c>
      <c r="B22783" t="str">
        <f>HYPERLINK("https://twitter.com/niizar27","@niizar27")</f>
        <v>@niizar27</v>
      </c>
      <c r="C22783" t="s">
        <v>10300</v>
      </c>
      <c r="D22783">
        <v>59</v>
      </c>
      <c r="E22783">
        <v>0</v>
      </c>
      <c r="F22783">
        <v>833</v>
      </c>
    </row>
    <row r="22784" spans="1:6" ht="12.75">
      <c r="A22784" s="2">
        <v>43875.890300925923</v>
      </c>
      <c r="B22784" t="str">
        <f>HYPERLINK("https://twitter.com/DjauhariImamul","@DjauhariImamul")</f>
        <v>@DjauhariImamul</v>
      </c>
      <c r="C22784" t="s">
        <v>10794</v>
      </c>
      <c r="D22784">
        <v>0</v>
      </c>
      <c r="E22784">
        <v>0</v>
      </c>
      <c r="F22784">
        <v>12</v>
      </c>
    </row>
    <row r="22785" spans="1:6" ht="12.75">
      <c r="A22785" s="2">
        <v>43875.890219907407</v>
      </c>
      <c r="B22785" t="str">
        <f>HYPERLINK("https://twitter.com/lydiakhori","@lydiakhori")</f>
        <v>@lydiakhori</v>
      </c>
      <c r="C22785" t="s">
        <v>9123</v>
      </c>
      <c r="D22785">
        <v>290</v>
      </c>
      <c r="E22785">
        <v>0</v>
      </c>
      <c r="F22785">
        <v>346</v>
      </c>
    </row>
    <row r="22786" spans="1:6" ht="12.75">
      <c r="A22786" s="2">
        <v>43875.890208333338</v>
      </c>
      <c r="B22786" t="str">
        <f>HYPERLINK("https://twitter.com/marwan35933953","@marwan35933953")</f>
        <v>@marwan35933953</v>
      </c>
      <c r="C22786" t="s">
        <v>10795</v>
      </c>
      <c r="D22786">
        <v>5</v>
      </c>
      <c r="E22786">
        <v>0</v>
      </c>
      <c r="F22786">
        <v>7</v>
      </c>
    </row>
    <row r="22787" spans="1:6" ht="12.75">
      <c r="A22787" s="2">
        <v>43875.890208333338</v>
      </c>
      <c r="B22787" t="str">
        <f>HYPERLINK("https://twitter.com/EddyRachman7","@EddyRachman7")</f>
        <v>@EddyRachman7</v>
      </c>
      <c r="C22787" t="s">
        <v>10796</v>
      </c>
      <c r="D22787">
        <v>0</v>
      </c>
      <c r="E22787">
        <v>0</v>
      </c>
      <c r="F22787">
        <v>29</v>
      </c>
    </row>
    <row r="22788" spans="1:6" ht="12.75">
      <c r="A22788" s="2">
        <v>43875.890162037038</v>
      </c>
      <c r="B22788" t="str">
        <f>HYPERLINK("https://twitter.com/ayrikusanil","@ayrikusanil")</f>
        <v>@ayrikusanil</v>
      </c>
      <c r="C22788" t="s">
        <v>5729</v>
      </c>
      <c r="D22788">
        <v>276</v>
      </c>
      <c r="E22788">
        <v>0</v>
      </c>
      <c r="F22788">
        <v>64</v>
      </c>
    </row>
    <row r="22789" spans="1:6" ht="12.75">
      <c r="A22789" s="2">
        <v>43875.890127314815</v>
      </c>
      <c r="B22789" t="str">
        <f>HYPERLINK("https://twitter.com/ErvineKiddies","@ErvineKiddies")</f>
        <v>@ErvineKiddies</v>
      </c>
      <c r="C22789" t="s">
        <v>10797</v>
      </c>
      <c r="D22789">
        <v>0</v>
      </c>
      <c r="E22789">
        <v>1</v>
      </c>
      <c r="F22789">
        <v>738</v>
      </c>
    </row>
    <row r="22790" spans="1:6" ht="12.75">
      <c r="A22790" s="2">
        <v>43875.890092592592</v>
      </c>
      <c r="B22790" t="str">
        <f>HYPERLINK("https://twitter.com/telornyaexo","@telornyaexo")</f>
        <v>@telornyaexo</v>
      </c>
      <c r="C22790" t="s">
        <v>10798</v>
      </c>
      <c r="D22790">
        <v>0</v>
      </c>
      <c r="E22790">
        <v>0</v>
      </c>
      <c r="F22790">
        <v>1119</v>
      </c>
    </row>
    <row r="22791" spans="1:6" ht="12.75">
      <c r="A22791" s="2">
        <v>43875.889976851853</v>
      </c>
      <c r="B22791" t="str">
        <f>HYPERLINK("https://twitter.com/jimndipity_","@jimndipity_")</f>
        <v>@jimndipity_</v>
      </c>
      <c r="C22791" t="s">
        <v>2444</v>
      </c>
      <c r="D22791">
        <v>2773</v>
      </c>
      <c r="E22791">
        <v>0</v>
      </c>
      <c r="F22791">
        <v>1955</v>
      </c>
    </row>
    <row r="22792" spans="1:6" ht="12.75">
      <c r="A22792" s="2">
        <v>43875.889930555553</v>
      </c>
      <c r="B22792" t="str">
        <f>HYPERLINK("https://twitter.com/anjares90","@anjares90")</f>
        <v>@anjares90</v>
      </c>
      <c r="C22792" t="s">
        <v>10799</v>
      </c>
      <c r="D22792">
        <v>0</v>
      </c>
      <c r="E22792">
        <v>0</v>
      </c>
      <c r="F22792">
        <v>665</v>
      </c>
    </row>
    <row r="22793" spans="1:6" ht="12.75">
      <c r="A22793" s="2">
        <v>43875.889930555553</v>
      </c>
      <c r="B22793" t="str">
        <f>HYPERLINK("https://twitter.com/AgengSelo_","@AgengSelo_")</f>
        <v>@AgengSelo_</v>
      </c>
      <c r="C22793" t="s">
        <v>10800</v>
      </c>
      <c r="D22793">
        <v>0</v>
      </c>
      <c r="E22793">
        <v>0</v>
      </c>
      <c r="F22793">
        <v>22</v>
      </c>
    </row>
    <row r="22794" spans="1:6" ht="12.75">
      <c r="A22794" s="2">
        <v>43875.889849537038</v>
      </c>
      <c r="B22794" t="str">
        <f>HYPERLINK("https://twitter.com/JaVu321","@JaVu321")</f>
        <v>@JaVu321</v>
      </c>
      <c r="C22794" t="s">
        <v>10052</v>
      </c>
      <c r="D22794">
        <v>87</v>
      </c>
      <c r="E22794">
        <v>0</v>
      </c>
      <c r="F22794">
        <v>1024</v>
      </c>
    </row>
    <row r="22795" spans="1:6" ht="12.75">
      <c r="A22795" s="2">
        <v>43875.889722222222</v>
      </c>
      <c r="B22795" t="str">
        <f>HYPERLINK("https://twitter.com/lydiakhori","@lydiakhori")</f>
        <v>@lydiakhori</v>
      </c>
      <c r="C22795" t="s">
        <v>2444</v>
      </c>
      <c r="D22795">
        <v>2773</v>
      </c>
      <c r="E22795">
        <v>0</v>
      </c>
      <c r="F22795">
        <v>346</v>
      </c>
    </row>
    <row r="22796" spans="1:6" ht="12.75">
      <c r="A22796" s="2">
        <v>43875.889664351853</v>
      </c>
      <c r="B22796" t="str">
        <f>HYPERLINK("https://twitter.com/_racunapi","@_racunapi")</f>
        <v>@_racunapi</v>
      </c>
      <c r="C22796" t="s">
        <v>10801</v>
      </c>
      <c r="D22796">
        <v>8</v>
      </c>
      <c r="E22796">
        <v>0</v>
      </c>
      <c r="F22796">
        <v>80</v>
      </c>
    </row>
    <row r="22797" spans="1:6" ht="12.75">
      <c r="A22797" s="2">
        <v>43875.889537037037</v>
      </c>
      <c r="B22797" t="str">
        <f>HYPERLINK("https://twitter.com/derizzaa","@derizzaa")</f>
        <v>@derizzaa</v>
      </c>
      <c r="C22797" t="s">
        <v>10096</v>
      </c>
      <c r="D22797">
        <v>172</v>
      </c>
      <c r="E22797">
        <v>0</v>
      </c>
      <c r="F22797">
        <v>547</v>
      </c>
    </row>
    <row r="22798" spans="1:6" ht="12.75">
      <c r="A22798" s="2">
        <v>43875.889525462961</v>
      </c>
      <c r="B22798" t="str">
        <f>HYPERLINK("https://twitter.com/ddjongin","@ddjongin")</f>
        <v>@ddjongin</v>
      </c>
      <c r="C22798" t="s">
        <v>9964</v>
      </c>
      <c r="D22798">
        <v>640</v>
      </c>
      <c r="E22798">
        <v>0</v>
      </c>
      <c r="F22798">
        <v>473</v>
      </c>
    </row>
    <row r="22799" spans="1:6" ht="12.75">
      <c r="A22799" s="2">
        <v>43875.889374999999</v>
      </c>
      <c r="B22799" t="str">
        <f>HYPERLINK("https://twitter.com/chefbangkong","@chefbangkong")</f>
        <v>@chefbangkong</v>
      </c>
      <c r="C22799" t="s">
        <v>2144</v>
      </c>
      <c r="D22799">
        <v>96</v>
      </c>
      <c r="E22799">
        <v>0</v>
      </c>
      <c r="F22799">
        <v>72</v>
      </c>
    </row>
    <row r="22800" spans="1:6" ht="12.75">
      <c r="A22800" s="2">
        <v>43875.889293981483</v>
      </c>
      <c r="B22800" t="str">
        <f>HYPERLINK("https://twitter.com/indriseska","@indriseska")</f>
        <v>@indriseska</v>
      </c>
      <c r="C22800" t="s">
        <v>5168</v>
      </c>
      <c r="D22800">
        <v>1055</v>
      </c>
      <c r="E22800">
        <v>0</v>
      </c>
      <c r="F22800">
        <v>9610</v>
      </c>
    </row>
    <row r="22801" spans="1:6" ht="12.75">
      <c r="A22801" s="2">
        <v>43875.88927083333</v>
      </c>
      <c r="B22801" t="str">
        <f>HYPERLINK("https://twitter.com/damarbowo","@damarbowo")</f>
        <v>@damarbowo</v>
      </c>
      <c r="C22801" t="s">
        <v>10802</v>
      </c>
      <c r="D22801">
        <v>489</v>
      </c>
      <c r="E22801">
        <v>0</v>
      </c>
      <c r="F22801">
        <v>638</v>
      </c>
    </row>
    <row r="22802" spans="1:6" ht="12.75">
      <c r="A22802" s="2">
        <v>43875.889201388884</v>
      </c>
      <c r="B22802" t="str">
        <f>HYPERLINK("https://twitter.com/AniesSri","@AniesSri")</f>
        <v>@AniesSri</v>
      </c>
      <c r="C22802" t="s">
        <v>10803</v>
      </c>
      <c r="D22802">
        <v>0</v>
      </c>
      <c r="E22802">
        <v>0</v>
      </c>
      <c r="F22802">
        <v>20</v>
      </c>
    </row>
    <row r="22803" spans="1:6" ht="12.75">
      <c r="A22803" s="2">
        <v>43875.889155092591</v>
      </c>
      <c r="B22803" t="str">
        <f>HYPERLINK("https://twitter.com/Muladi13698518","@Muladi13698518")</f>
        <v>@Muladi13698518</v>
      </c>
      <c r="C22803" t="s">
        <v>6201</v>
      </c>
      <c r="D22803">
        <v>240</v>
      </c>
      <c r="E22803">
        <v>0</v>
      </c>
      <c r="F22803">
        <v>168</v>
      </c>
    </row>
    <row r="22804" spans="1:6" ht="12.75">
      <c r="A22804" s="2">
        <v>43875.889143518521</v>
      </c>
      <c r="B22804" t="str">
        <f>HYPERLINK("https://twitter.com/dwifebrir","@dwifebrir")</f>
        <v>@dwifebrir</v>
      </c>
      <c r="C22804" t="s">
        <v>2444</v>
      </c>
      <c r="D22804">
        <v>2773</v>
      </c>
      <c r="E22804">
        <v>0</v>
      </c>
      <c r="F22804">
        <v>242</v>
      </c>
    </row>
    <row r="22805" spans="1:6" ht="12.75">
      <c r="A22805" s="2">
        <v>43875.889120370368</v>
      </c>
      <c r="B22805" t="str">
        <f>HYPERLINK("https://twitter.com/foers79","@foers79")</f>
        <v>@foers79</v>
      </c>
      <c r="C22805" t="s">
        <v>10804</v>
      </c>
      <c r="D22805">
        <v>3</v>
      </c>
      <c r="E22805">
        <v>0</v>
      </c>
      <c r="F22805">
        <v>400</v>
      </c>
    </row>
    <row r="22806" spans="1:6" ht="12.75">
      <c r="A22806" s="2">
        <v>43875.889074074075</v>
      </c>
      <c r="B22806" t="str">
        <f>HYPERLINK("https://twitter.com/ErlanandaRD","@ErlanandaRD")</f>
        <v>@ErlanandaRD</v>
      </c>
      <c r="C22806" t="s">
        <v>2963</v>
      </c>
      <c r="D22806">
        <v>1129</v>
      </c>
      <c r="E22806">
        <v>0</v>
      </c>
      <c r="F22806">
        <v>193</v>
      </c>
    </row>
    <row r="22807" spans="1:6" ht="12.75">
      <c r="A22807" s="2">
        <v>43875.889039351852</v>
      </c>
      <c r="B22807" t="str">
        <f>HYPERLINK("https://twitter.com/pacarkageyama","@pacarkageyama")</f>
        <v>@pacarkageyama</v>
      </c>
      <c r="C22807" t="s">
        <v>2444</v>
      </c>
      <c r="D22807">
        <v>2773</v>
      </c>
      <c r="E22807">
        <v>0</v>
      </c>
      <c r="F22807">
        <v>681</v>
      </c>
    </row>
    <row r="22808" spans="1:6" ht="12.75">
      <c r="A22808" s="2">
        <v>43875.888958333337</v>
      </c>
      <c r="B22808" t="str">
        <f>HYPERLINK("https://twitter.com/vcar1982","@vcar1982")</f>
        <v>@vcar1982</v>
      </c>
      <c r="C22808" t="s">
        <v>7888</v>
      </c>
      <c r="D22808">
        <v>35</v>
      </c>
      <c r="E22808">
        <v>0</v>
      </c>
      <c r="F22808">
        <v>492</v>
      </c>
    </row>
    <row r="22809" spans="1:6" ht="12.75">
      <c r="A22809" s="2">
        <v>43875.88894675926</v>
      </c>
      <c r="B22809" t="str">
        <f>HYPERLINK("https://twitter.com/Tukangroti13","@Tukangroti13")</f>
        <v>@Tukangroti13</v>
      </c>
      <c r="C22809" t="s">
        <v>9947</v>
      </c>
      <c r="D22809">
        <v>341</v>
      </c>
      <c r="E22809">
        <v>0</v>
      </c>
      <c r="F22809">
        <v>2</v>
      </c>
    </row>
    <row r="22810" spans="1:6" ht="12.75">
      <c r="A22810" s="2">
        <v>43875.888796296298</v>
      </c>
      <c r="B22810" t="str">
        <f>HYPERLINK("https://twitter.com/linluvjk","@linluvjk")</f>
        <v>@linluvjk</v>
      </c>
      <c r="C22810" t="s">
        <v>5168</v>
      </c>
      <c r="D22810">
        <v>1055</v>
      </c>
      <c r="E22810">
        <v>0</v>
      </c>
      <c r="F22810">
        <v>1504</v>
      </c>
    </row>
    <row r="22811" spans="1:6" ht="12.75">
      <c r="A22811" s="2">
        <v>43875.888680555552</v>
      </c>
      <c r="B22811" t="str">
        <f>HYPERLINK("https://twitter.com/ferryuntunggg","@ferryuntunggg")</f>
        <v>@ferryuntunggg</v>
      </c>
      <c r="C22811" t="s">
        <v>10805</v>
      </c>
      <c r="D22811">
        <v>0</v>
      </c>
      <c r="E22811">
        <v>0</v>
      </c>
      <c r="F22811">
        <v>3535</v>
      </c>
    </row>
    <row r="22812" spans="1:6" ht="12.75">
      <c r="A22812" s="2">
        <v>43875.888587962967</v>
      </c>
      <c r="B22812" t="str">
        <f>HYPERLINK("https://twitter.com/elsamust_","@elsamust_")</f>
        <v>@elsamust_</v>
      </c>
      <c r="C22812" t="s">
        <v>5168</v>
      </c>
      <c r="D22812">
        <v>1055</v>
      </c>
      <c r="E22812">
        <v>0</v>
      </c>
      <c r="F22812">
        <v>240</v>
      </c>
    </row>
    <row r="22813" spans="1:6" ht="12.75">
      <c r="A22813" s="2">
        <v>43875.888391203705</v>
      </c>
      <c r="B22813" t="str">
        <f>HYPERLINK("https://twitter.com/bluemoon_run","@bluemoon_run")</f>
        <v>@bluemoon_run</v>
      </c>
      <c r="C22813" t="s">
        <v>2444</v>
      </c>
      <c r="D22813">
        <v>2773</v>
      </c>
      <c r="E22813">
        <v>0</v>
      </c>
      <c r="F22813">
        <v>11</v>
      </c>
    </row>
    <row r="22814" spans="1:6" ht="12.75">
      <c r="A22814" s="2">
        <v>43875.888356481482</v>
      </c>
      <c r="B22814" t="str">
        <f>HYPERLINK("https://twitter.com/ayrikusanil","@ayrikusanil")</f>
        <v>@ayrikusanil</v>
      </c>
      <c r="C22814" t="s">
        <v>9186</v>
      </c>
      <c r="D22814">
        <v>103</v>
      </c>
      <c r="E22814">
        <v>0</v>
      </c>
      <c r="F22814">
        <v>64</v>
      </c>
    </row>
    <row r="22815" spans="1:6" ht="12.75">
      <c r="A22815" s="2">
        <v>43875.888206018513</v>
      </c>
      <c r="B22815" t="str">
        <f>HYPERLINK("https://twitter.com/AFahrudiansyah","@AFahrudiansyah")</f>
        <v>@AFahrudiansyah</v>
      </c>
      <c r="C22815" t="s">
        <v>2444</v>
      </c>
      <c r="D22815">
        <v>2773</v>
      </c>
      <c r="E22815">
        <v>0</v>
      </c>
      <c r="F22815">
        <v>42</v>
      </c>
    </row>
    <row r="22816" spans="1:6" ht="12.75">
      <c r="A22816" s="2">
        <v>43875.888148148151</v>
      </c>
      <c r="B22816" t="str">
        <f>HYPERLINK("https://twitter.com/Ebheno","@Ebheno")</f>
        <v>@Ebheno</v>
      </c>
      <c r="C22816" t="s">
        <v>8252</v>
      </c>
      <c r="D22816">
        <v>500</v>
      </c>
      <c r="E22816">
        <v>0</v>
      </c>
      <c r="F22816">
        <v>263</v>
      </c>
    </row>
    <row r="22817" spans="1:6" ht="12.75">
      <c r="A22817" s="2">
        <v>43875.888078703705</v>
      </c>
      <c r="B22817" t="str">
        <f>HYPERLINK("https://twitter.com/alfisyhrinaa","@alfisyhrinaa")</f>
        <v>@alfisyhrinaa</v>
      </c>
      <c r="C22817" t="s">
        <v>2444</v>
      </c>
      <c r="D22817">
        <v>2773</v>
      </c>
      <c r="E22817">
        <v>0</v>
      </c>
      <c r="F22817">
        <v>731</v>
      </c>
    </row>
    <row r="22818" spans="1:6" ht="12.75">
      <c r="A22818" s="2">
        <v>43875.888067129628</v>
      </c>
      <c r="B22818" t="str">
        <f>HYPERLINK("https://twitter.com/ErickPapua","@ErickPapua")</f>
        <v>@ErickPapua</v>
      </c>
      <c r="C22818" t="s">
        <v>2963</v>
      </c>
      <c r="D22818">
        <v>1129</v>
      </c>
      <c r="E22818">
        <v>0</v>
      </c>
      <c r="F22818">
        <v>951</v>
      </c>
    </row>
    <row r="22819" spans="1:6" ht="12.75">
      <c r="A22819" s="2">
        <v>43875.887696759259</v>
      </c>
      <c r="B22819" t="str">
        <f>HYPERLINK("https://twitter.com/espeachtea","@espeachtea")</f>
        <v>@espeachtea</v>
      </c>
      <c r="C22819" t="s">
        <v>2444</v>
      </c>
      <c r="D22819">
        <v>2773</v>
      </c>
      <c r="E22819">
        <v>0</v>
      </c>
      <c r="F22819">
        <v>30</v>
      </c>
    </row>
    <row r="22820" spans="1:6" ht="12.75">
      <c r="A22820" s="2">
        <v>43875.887662037036</v>
      </c>
      <c r="B22820" t="str">
        <f>HYPERLINK("https://twitter.com/IndahJohania","@IndahJohania")</f>
        <v>@IndahJohania</v>
      </c>
      <c r="C22820" t="s">
        <v>6201</v>
      </c>
      <c r="D22820">
        <v>240</v>
      </c>
      <c r="E22820">
        <v>0</v>
      </c>
      <c r="F22820">
        <v>767</v>
      </c>
    </row>
    <row r="22821" spans="1:6" ht="12.75">
      <c r="A22821" s="2">
        <v>43875.887638888889</v>
      </c>
      <c r="B22821" t="str">
        <f>HYPERLINK("https://twitter.com/AryaWBPinatih47","@AryaWBPinatih47")</f>
        <v>@AryaWBPinatih47</v>
      </c>
      <c r="C22821" t="s">
        <v>10806</v>
      </c>
      <c r="D22821">
        <v>1</v>
      </c>
      <c r="E22821">
        <v>0</v>
      </c>
      <c r="F22821">
        <v>2329</v>
      </c>
    </row>
    <row r="22822" spans="1:6" ht="12.75">
      <c r="A22822" s="2">
        <v>43875.887604166666</v>
      </c>
      <c r="B22822" t="str">
        <f>HYPERLINK("https://twitter.com/marwan35933953","@marwan35933953")</f>
        <v>@marwan35933953</v>
      </c>
      <c r="C22822" t="s">
        <v>10807</v>
      </c>
      <c r="D22822">
        <v>1</v>
      </c>
      <c r="E22822">
        <v>0</v>
      </c>
      <c r="F22822">
        <v>7</v>
      </c>
    </row>
    <row r="22823" spans="1:6" ht="12.75">
      <c r="A22823" s="2">
        <v>43875.887604166666</v>
      </c>
      <c r="B22823" t="str">
        <f>HYPERLINK("https://twitter.com/tini56607177","@tini56607177")</f>
        <v>@tini56607177</v>
      </c>
      <c r="C22823" t="s">
        <v>9198</v>
      </c>
      <c r="D22823">
        <v>69</v>
      </c>
      <c r="E22823">
        <v>0</v>
      </c>
      <c r="F22823">
        <v>19</v>
      </c>
    </row>
    <row r="22824" spans="1:6" ht="12.75">
      <c r="A22824" s="2">
        <v>43875.887488425928</v>
      </c>
      <c r="B22824" t="str">
        <f>HYPERLINK("https://twitter.com/espeachtea","@espeachtea")</f>
        <v>@espeachtea</v>
      </c>
      <c r="C22824" t="s">
        <v>5168</v>
      </c>
      <c r="D22824">
        <v>1055</v>
      </c>
      <c r="E22824">
        <v>0</v>
      </c>
      <c r="F22824">
        <v>30</v>
      </c>
    </row>
    <row r="22825" spans="1:6" ht="12.75">
      <c r="A22825" s="2">
        <v>43875.887418981481</v>
      </c>
      <c r="B22825" t="str">
        <f>HYPERLINK("https://twitter.com/ilhamalfatihah","@ilhamalfatihah")</f>
        <v>@ilhamalfatihah</v>
      </c>
      <c r="C22825" t="s">
        <v>2444</v>
      </c>
      <c r="D22825">
        <v>2773</v>
      </c>
      <c r="E22825">
        <v>0</v>
      </c>
      <c r="F22825">
        <v>308</v>
      </c>
    </row>
    <row r="22826" spans="1:6" ht="12.75">
      <c r="A22826" s="2">
        <v>43875.887407407412</v>
      </c>
      <c r="B22826" t="str">
        <f>HYPERLINK("https://twitter.com/Corporalpublic1","@Corporalpublic1")</f>
        <v>@Corporalpublic1</v>
      </c>
      <c r="C22826" t="s">
        <v>2444</v>
      </c>
      <c r="D22826">
        <v>2773</v>
      </c>
      <c r="E22826">
        <v>0</v>
      </c>
      <c r="F22826">
        <v>156</v>
      </c>
    </row>
    <row r="22827" spans="1:6" ht="12.75">
      <c r="A22827" s="2">
        <v>43875.88726851852</v>
      </c>
      <c r="B22827" t="str">
        <f>HYPERLINK("https://twitter.com/praseptaa","@praseptaa")</f>
        <v>@praseptaa</v>
      </c>
      <c r="C22827" t="s">
        <v>2444</v>
      </c>
      <c r="D22827">
        <v>2773</v>
      </c>
      <c r="E22827">
        <v>0</v>
      </c>
      <c r="F22827">
        <v>672</v>
      </c>
    </row>
    <row r="22828" spans="1:6" ht="12.75">
      <c r="A22828" s="2">
        <v>43875.887118055558</v>
      </c>
      <c r="B22828" t="str">
        <f>HYPERLINK("https://twitter.com/Tukangroti13","@Tukangroti13")</f>
        <v>@Tukangroti13</v>
      </c>
      <c r="C22828" t="s">
        <v>2097</v>
      </c>
      <c r="D22828">
        <v>398</v>
      </c>
      <c r="E22828">
        <v>0</v>
      </c>
      <c r="F22828">
        <v>2</v>
      </c>
    </row>
    <row r="22829" spans="1:6" ht="12.75">
      <c r="A22829" s="2">
        <v>43875.886932870373</v>
      </c>
      <c r="B22829" t="str">
        <f>HYPERLINK("https://twitter.com/hendi87744108","@hendi87744108")</f>
        <v>@hendi87744108</v>
      </c>
      <c r="C22829" t="s">
        <v>10808</v>
      </c>
      <c r="D22829">
        <v>0</v>
      </c>
      <c r="E22829">
        <v>0</v>
      </c>
      <c r="F22829">
        <v>88</v>
      </c>
    </row>
    <row r="22830" spans="1:6" ht="12.75">
      <c r="A22830" s="2">
        <v>43875.88689814815</v>
      </c>
      <c r="B22830" t="str">
        <f>HYPERLINK("https://twitter.com/jaakaajeeka","@jaakaajeeka")</f>
        <v>@jaakaajeeka</v>
      </c>
      <c r="C22830" t="s">
        <v>9746</v>
      </c>
      <c r="D22830">
        <v>371</v>
      </c>
      <c r="E22830">
        <v>0</v>
      </c>
      <c r="F22830">
        <v>1054</v>
      </c>
    </row>
    <row r="22831" spans="1:6" ht="12.75">
      <c r="A22831" s="2">
        <v>43875.886840277773</v>
      </c>
      <c r="B22831" t="str">
        <f>HYPERLINK("https://twitter.com/Kimsxjin_","@Kimsxjin_")</f>
        <v>@Kimsxjin_</v>
      </c>
      <c r="C22831" t="s">
        <v>2444</v>
      </c>
      <c r="D22831">
        <v>2773</v>
      </c>
      <c r="E22831">
        <v>0</v>
      </c>
      <c r="F22831">
        <v>449</v>
      </c>
    </row>
    <row r="22832" spans="1:6" ht="12.75">
      <c r="A22832" s="2">
        <v>43875.886840277773</v>
      </c>
      <c r="B22832" t="str">
        <f>HYPERLINK("https://twitter.com/Jeongdaniaa","@Jeongdaniaa")</f>
        <v>@Jeongdaniaa</v>
      </c>
      <c r="C22832" t="s">
        <v>2137</v>
      </c>
      <c r="D22832">
        <v>209</v>
      </c>
      <c r="E22832">
        <v>0</v>
      </c>
      <c r="F22832">
        <v>701</v>
      </c>
    </row>
    <row r="22833" spans="1:6" ht="12.75">
      <c r="A22833" s="2">
        <v>43875.886724537035</v>
      </c>
      <c r="B22833" t="str">
        <f>HYPERLINK("https://twitter.com/Catforbeomie","@Catforbeomie")</f>
        <v>@Catforbeomie</v>
      </c>
      <c r="C22833" t="s">
        <v>2444</v>
      </c>
      <c r="D22833">
        <v>2773</v>
      </c>
      <c r="E22833">
        <v>0</v>
      </c>
      <c r="F22833">
        <v>1504</v>
      </c>
    </row>
    <row r="22834" spans="1:6" ht="12.75">
      <c r="A22834" s="2">
        <v>43875.886643518519</v>
      </c>
      <c r="B22834" t="str">
        <f>HYPERLINK("https://twitter.com/ImamTurmudi9","@ImamTurmudi9")</f>
        <v>@ImamTurmudi9</v>
      </c>
      <c r="C22834" t="s">
        <v>9147</v>
      </c>
      <c r="D22834">
        <v>34</v>
      </c>
      <c r="E22834">
        <v>0</v>
      </c>
      <c r="F22834">
        <v>143</v>
      </c>
    </row>
    <row r="22835" spans="1:6" ht="12.75">
      <c r="A22835" s="2">
        <v>43875.886620370366</v>
      </c>
      <c r="B22835" t="str">
        <f>HYPERLINK("https://twitter.com/ErvineKiddies","@ErvineKiddies")</f>
        <v>@ErvineKiddies</v>
      </c>
      <c r="C22835" t="s">
        <v>10809</v>
      </c>
      <c r="D22835">
        <v>0</v>
      </c>
      <c r="E22835">
        <v>2</v>
      </c>
      <c r="F22835">
        <v>738</v>
      </c>
    </row>
    <row r="22836" spans="1:6" ht="12.75">
      <c r="A22836" s="2">
        <v>43875.886597222227</v>
      </c>
      <c r="B22836" t="str">
        <f>HYPERLINK("https://twitter.com/sarangjjogji","@sarangjjogji")</f>
        <v>@sarangjjogji</v>
      </c>
      <c r="C22836" t="s">
        <v>5168</v>
      </c>
      <c r="D22836">
        <v>1055</v>
      </c>
      <c r="E22836">
        <v>0</v>
      </c>
      <c r="F22836">
        <v>1245</v>
      </c>
    </row>
    <row r="22837" spans="1:6" ht="12.75">
      <c r="A22837" s="2">
        <v>43875.886550925927</v>
      </c>
      <c r="B22837" t="str">
        <f>HYPERLINK("https://twitter.com/Tukangroti13","@Tukangroti13")</f>
        <v>@Tukangroti13</v>
      </c>
      <c r="C22837" t="s">
        <v>9113</v>
      </c>
      <c r="D22837">
        <v>307</v>
      </c>
      <c r="E22837">
        <v>0</v>
      </c>
      <c r="F22837">
        <v>2</v>
      </c>
    </row>
    <row r="22838" spans="1:6" ht="12.75">
      <c r="A22838" s="2">
        <v>43875.886446759258</v>
      </c>
      <c r="B22838" t="str">
        <f>HYPERLINK("https://twitter.com/BudiPra87870630","@BudiPra87870630")</f>
        <v>@BudiPra87870630</v>
      </c>
      <c r="C22838" t="s">
        <v>10810</v>
      </c>
      <c r="D22838">
        <v>5</v>
      </c>
      <c r="E22838">
        <v>0</v>
      </c>
      <c r="F22838">
        <v>15</v>
      </c>
    </row>
    <row r="22839" spans="1:6" ht="12.75">
      <c r="A22839" s="2">
        <v>43875.886435185181</v>
      </c>
      <c r="B22839" t="str">
        <f>HYPERLINK("https://twitter.com/B_EgyFernando","@B_EgyFernando")</f>
        <v>@B_EgyFernando</v>
      </c>
      <c r="C22839" t="s">
        <v>2444</v>
      </c>
      <c r="D22839">
        <v>2773</v>
      </c>
      <c r="E22839">
        <v>0</v>
      </c>
      <c r="F22839">
        <v>315</v>
      </c>
    </row>
    <row r="22840" spans="1:6" ht="12.75">
      <c r="A22840" s="2">
        <v>43875.886412037042</v>
      </c>
      <c r="B22840" t="str">
        <f>HYPERLINK("https://twitter.com/tugujaya","@tugujaya")</f>
        <v>@tugujaya</v>
      </c>
      <c r="C22840" t="s">
        <v>6201</v>
      </c>
      <c r="D22840">
        <v>240</v>
      </c>
      <c r="E22840">
        <v>0</v>
      </c>
      <c r="F22840">
        <v>313</v>
      </c>
    </row>
    <row r="22841" spans="1:6" ht="12.75">
      <c r="A22841" s="2">
        <v>43875.886400462958</v>
      </c>
      <c r="B22841" t="str">
        <f>HYPERLINK("https://twitter.com/UrLuv93303759","@UrLuv93303759")</f>
        <v>@UrLuv93303759</v>
      </c>
      <c r="C22841" t="s">
        <v>10811</v>
      </c>
      <c r="D22841">
        <v>0</v>
      </c>
      <c r="E22841">
        <v>0</v>
      </c>
      <c r="F22841">
        <v>2</v>
      </c>
    </row>
    <row r="22842" spans="1:6" ht="12.75">
      <c r="A22842" s="2">
        <v>43875.886342592596</v>
      </c>
      <c r="B22842" t="str">
        <f>HYPERLINK("https://twitter.com/pawskick98","@pawskick98")</f>
        <v>@pawskick98</v>
      </c>
      <c r="C22842" t="s">
        <v>2444</v>
      </c>
      <c r="D22842">
        <v>2773</v>
      </c>
      <c r="E22842">
        <v>0</v>
      </c>
      <c r="F22842">
        <v>727</v>
      </c>
    </row>
    <row r="22843" spans="1:6" ht="12.75">
      <c r="A22843" s="2">
        <v>43875.886296296296</v>
      </c>
      <c r="B22843" t="str">
        <f>HYPERLINK("https://twitter.com/baiyoangind","@baiyoangind")</f>
        <v>@baiyoangind</v>
      </c>
      <c r="C22843" t="s">
        <v>10739</v>
      </c>
      <c r="D22843">
        <v>237</v>
      </c>
      <c r="E22843">
        <v>0</v>
      </c>
      <c r="F22843">
        <v>219</v>
      </c>
    </row>
    <row r="22844" spans="1:6" ht="12.75">
      <c r="A22844" s="2">
        <v>43875.886249999996</v>
      </c>
      <c r="B22844" t="str">
        <f>HYPERLINK("https://twitter.com/chairulachir","@chairulachir")</f>
        <v>@chairulachir</v>
      </c>
      <c r="C22844" t="s">
        <v>10812</v>
      </c>
      <c r="D22844">
        <v>3</v>
      </c>
      <c r="E22844">
        <v>0</v>
      </c>
      <c r="F22844">
        <v>2449</v>
      </c>
    </row>
    <row r="22845" spans="1:6" ht="12.75">
      <c r="A22845" s="2">
        <v>43875.886157407411</v>
      </c>
      <c r="B22845" t="str">
        <f>HYPERLINK("https://twitter.com/skyestie","@skyestie")</f>
        <v>@skyestie</v>
      </c>
      <c r="C22845" t="s">
        <v>2444</v>
      </c>
      <c r="D22845">
        <v>2773</v>
      </c>
      <c r="E22845">
        <v>0</v>
      </c>
      <c r="F22845">
        <v>73</v>
      </c>
    </row>
    <row r="22846" spans="1:6" ht="12.75">
      <c r="A22846" s="2">
        <v>43875.886018518519</v>
      </c>
      <c r="B22846" t="str">
        <f>HYPERLINK("https://twitter.com/New0wl","@New0wl")</f>
        <v>@New0wl</v>
      </c>
      <c r="C22846" t="s">
        <v>9746</v>
      </c>
      <c r="D22846">
        <v>371</v>
      </c>
      <c r="E22846">
        <v>0</v>
      </c>
      <c r="F22846">
        <v>112</v>
      </c>
    </row>
    <row r="22847" spans="1:6" ht="12.75">
      <c r="A22847" s="2">
        <v>43875.885972222226</v>
      </c>
      <c r="B22847" t="str">
        <f>HYPERLINK("https://twitter.com/X_SamURay63","@X_SamURay63")</f>
        <v>@X_SamURay63</v>
      </c>
      <c r="C22847" t="s">
        <v>10813</v>
      </c>
      <c r="D22847">
        <v>0</v>
      </c>
      <c r="E22847">
        <v>0</v>
      </c>
      <c r="F22847">
        <v>3935</v>
      </c>
    </row>
    <row r="22848" spans="1:6" ht="12.75">
      <c r="A22848" s="2">
        <v>43875.885937500003</v>
      </c>
      <c r="B22848" t="str">
        <f>HYPERLINK("https://twitter.com/Tukangroti13","@Tukangroti13")</f>
        <v>@Tukangroti13</v>
      </c>
      <c r="C22848" t="s">
        <v>10266</v>
      </c>
      <c r="D22848">
        <v>273</v>
      </c>
      <c r="E22848">
        <v>0</v>
      </c>
      <c r="F22848">
        <v>2</v>
      </c>
    </row>
    <row r="22849" spans="1:6" ht="12.75">
      <c r="A22849" s="2">
        <v>43875.885821759264</v>
      </c>
      <c r="B22849" t="str">
        <f>HYPERLINK("https://twitter.com/wow_keren","@wow_keren")</f>
        <v>@wow_keren</v>
      </c>
      <c r="C22849" t="s">
        <v>10814</v>
      </c>
      <c r="D22849">
        <v>1</v>
      </c>
      <c r="E22849">
        <v>0</v>
      </c>
      <c r="F22849">
        <v>32001</v>
      </c>
    </row>
    <row r="22850" spans="1:6" ht="12.75">
      <c r="A22850" s="2">
        <v>43875.88581018518</v>
      </c>
      <c r="B22850" t="str">
        <f>HYPERLINK("https://twitter.com/alieenate","@alieenate")</f>
        <v>@alieenate</v>
      </c>
      <c r="C22850" t="s">
        <v>2444</v>
      </c>
      <c r="D22850">
        <v>2773</v>
      </c>
      <c r="E22850">
        <v>0</v>
      </c>
      <c r="F22850">
        <v>1089</v>
      </c>
    </row>
    <row r="22851" spans="1:6" ht="12.75">
      <c r="A22851" s="2">
        <v>43875.885671296295</v>
      </c>
      <c r="B22851" t="str">
        <f>HYPERLINK("https://twitter.com/SutraTapak","@SutraTapak")</f>
        <v>@SutraTapak</v>
      </c>
      <c r="C22851" t="s">
        <v>2963</v>
      </c>
      <c r="D22851">
        <v>1129</v>
      </c>
      <c r="E22851">
        <v>0</v>
      </c>
      <c r="F22851">
        <v>1591</v>
      </c>
    </row>
    <row r="22852" spans="1:6" ht="12.75">
      <c r="A22852" s="2">
        <v>43875.88554398148</v>
      </c>
      <c r="B22852" t="str">
        <f>HYPERLINK("https://twitter.com/TheAlloyolla","@TheAlloyolla")</f>
        <v>@TheAlloyolla</v>
      </c>
      <c r="C22852" t="s">
        <v>8328</v>
      </c>
      <c r="D22852">
        <v>36</v>
      </c>
      <c r="E22852">
        <v>0</v>
      </c>
      <c r="F22852">
        <v>638</v>
      </c>
    </row>
    <row r="22853" spans="1:6" ht="12.75">
      <c r="A22853" s="2">
        <v>43875.885474537034</v>
      </c>
      <c r="B22853" t="str">
        <f>HYPERLINK("https://twitter.com/ngakakWEI","@ngakakWEI")</f>
        <v>@ngakakWEI</v>
      </c>
      <c r="C22853" t="s">
        <v>2444</v>
      </c>
      <c r="D22853">
        <v>2773</v>
      </c>
      <c r="E22853">
        <v>0</v>
      </c>
      <c r="F22853">
        <v>1006</v>
      </c>
    </row>
    <row r="22854" spans="1:6" ht="12.75">
      <c r="A22854" s="2">
        <v>43875.885405092587</v>
      </c>
      <c r="B22854" t="str">
        <f>HYPERLINK("https://twitter.com/Mualif66240057","@Mualif66240057")</f>
        <v>@Mualif66240057</v>
      </c>
      <c r="C22854" t="s">
        <v>6201</v>
      </c>
      <c r="D22854">
        <v>240</v>
      </c>
      <c r="E22854">
        <v>0</v>
      </c>
      <c r="F22854">
        <v>20</v>
      </c>
    </row>
    <row r="22855" spans="1:6" ht="12.75">
      <c r="A22855" s="2">
        <v>43875.885324074072</v>
      </c>
      <c r="B22855" t="str">
        <f>HYPERLINK("https://twitter.com/bagussugyarto","@bagussugyarto")</f>
        <v>@bagussugyarto</v>
      </c>
      <c r="C22855" t="s">
        <v>10815</v>
      </c>
      <c r="D22855">
        <v>0</v>
      </c>
      <c r="E22855">
        <v>0</v>
      </c>
      <c r="F22855">
        <v>96</v>
      </c>
    </row>
    <row r="22856" spans="1:6" ht="12.75">
      <c r="A22856" s="2">
        <v>43875.885138888887</v>
      </c>
      <c r="B22856" t="str">
        <f>HYPERLINK("https://twitter.com/waisindar","@waisindar")</f>
        <v>@waisindar</v>
      </c>
      <c r="C22856" t="s">
        <v>5168</v>
      </c>
      <c r="D22856">
        <v>1055</v>
      </c>
      <c r="E22856">
        <v>0</v>
      </c>
      <c r="F22856">
        <v>144</v>
      </c>
    </row>
    <row r="22857" spans="1:6" ht="12.75">
      <c r="A22857" s="2">
        <v>43875.885092592594</v>
      </c>
      <c r="B22857" t="str">
        <f>HYPERLINK("https://twitter.com/summerbrxxze","@summerbrxxze")</f>
        <v>@summerbrxxze</v>
      </c>
      <c r="C22857" t="s">
        <v>10111</v>
      </c>
      <c r="D22857">
        <v>5</v>
      </c>
      <c r="E22857">
        <v>0</v>
      </c>
      <c r="F22857">
        <v>268</v>
      </c>
    </row>
    <row r="22858" spans="1:6" ht="12.75">
      <c r="A22858" s="2">
        <v>43875.884849537033</v>
      </c>
      <c r="B22858" t="str">
        <f>HYPERLINK("https://twitter.com/sirahkumumet","@sirahkumumet")</f>
        <v>@sirahkumumet</v>
      </c>
      <c r="C22858" t="s">
        <v>2444</v>
      </c>
      <c r="D22858">
        <v>2773</v>
      </c>
      <c r="E22858">
        <v>0</v>
      </c>
      <c r="F22858">
        <v>482</v>
      </c>
    </row>
    <row r="22859" spans="1:6" ht="12.75">
      <c r="A22859" s="2">
        <v>43875.884849537033</v>
      </c>
      <c r="B22859" t="str">
        <f>HYPERLINK("https://twitter.com/kopassos","@kopassos")</f>
        <v>@kopassos</v>
      </c>
      <c r="C22859" t="s">
        <v>10816</v>
      </c>
      <c r="D22859">
        <v>5</v>
      </c>
      <c r="E22859">
        <v>0</v>
      </c>
      <c r="F22859">
        <v>1639</v>
      </c>
    </row>
    <row r="22860" spans="1:6" ht="12.75">
      <c r="A22860" s="2">
        <v>43875.88481481481</v>
      </c>
      <c r="B22860" t="str">
        <f>HYPERLINK("https://twitter.com/RismaStgg","@RismaStgg")</f>
        <v>@RismaStgg</v>
      </c>
      <c r="C22860" t="s">
        <v>2444</v>
      </c>
      <c r="D22860">
        <v>2773</v>
      </c>
      <c r="E22860">
        <v>0</v>
      </c>
      <c r="F22860">
        <v>107</v>
      </c>
    </row>
    <row r="22861" spans="1:6" ht="12.75">
      <c r="A22861" s="2">
        <v>43875.884629629625</v>
      </c>
      <c r="B22861" t="str">
        <f>HYPERLINK("https://twitter.com/caesaratiensya","@caesaratiensya")</f>
        <v>@caesaratiensya</v>
      </c>
      <c r="C22861" t="s">
        <v>5168</v>
      </c>
      <c r="D22861">
        <v>1055</v>
      </c>
      <c r="E22861">
        <v>0</v>
      </c>
      <c r="F22861">
        <v>343</v>
      </c>
    </row>
    <row r="22862" spans="1:6" ht="12.75">
      <c r="A22862" s="2">
        <v>43875.884606481486</v>
      </c>
      <c r="B22862" t="str">
        <f>HYPERLINK("https://twitter.com/broileeeer","@broileeeer")</f>
        <v>@broileeeer</v>
      </c>
      <c r="C22862" t="s">
        <v>2444</v>
      </c>
      <c r="D22862">
        <v>2773</v>
      </c>
      <c r="E22862">
        <v>0</v>
      </c>
      <c r="F22862">
        <v>24</v>
      </c>
    </row>
    <row r="22863" spans="1:6" ht="12.75">
      <c r="A22863" s="2">
        <v>43875.884583333333</v>
      </c>
      <c r="B22863" t="str">
        <f>HYPERLINK("https://twitter.com/ephraym8","@ephraym8")</f>
        <v>@ephraym8</v>
      </c>
      <c r="C22863" t="s">
        <v>10817</v>
      </c>
      <c r="D22863">
        <v>7</v>
      </c>
      <c r="E22863">
        <v>0</v>
      </c>
      <c r="F22863">
        <v>1116</v>
      </c>
    </row>
    <row r="22864" spans="1:6" ht="12.75">
      <c r="A22864" s="2">
        <v>43875.884571759263</v>
      </c>
      <c r="B22864" t="str">
        <f>HYPERLINK("https://twitter.com/devy215","@devy215")</f>
        <v>@devy215</v>
      </c>
      <c r="C22864" t="s">
        <v>10818</v>
      </c>
      <c r="D22864">
        <v>0</v>
      </c>
      <c r="E22864">
        <v>2</v>
      </c>
      <c r="F22864">
        <v>2880</v>
      </c>
    </row>
    <row r="22865" spans="1:6" ht="12.75">
      <c r="A22865" s="2">
        <v>43875.884571759263</v>
      </c>
      <c r="B22865" t="str">
        <f>HYPERLINK("https://twitter.com/elhamster","@elhamster")</f>
        <v>@elhamster</v>
      </c>
      <c r="C22865" t="s">
        <v>10819</v>
      </c>
      <c r="D22865">
        <v>0</v>
      </c>
      <c r="E22865">
        <v>0</v>
      </c>
      <c r="F22865">
        <v>327</v>
      </c>
    </row>
    <row r="22866" spans="1:6" ht="12.75">
      <c r="A22866" s="2">
        <v>43875.884548611109</v>
      </c>
      <c r="B22866" t="str">
        <f>HYPERLINK("https://twitter.com/yhosea","@yhosea")</f>
        <v>@yhosea</v>
      </c>
      <c r="C22866" t="s">
        <v>2444</v>
      </c>
      <c r="D22866">
        <v>2773</v>
      </c>
      <c r="E22866">
        <v>0</v>
      </c>
      <c r="F22866">
        <v>845</v>
      </c>
    </row>
    <row r="22867" spans="1:6" ht="12.75">
      <c r="A22867" s="2">
        <v>43875.884456018517</v>
      </c>
      <c r="B22867" t="str">
        <f>HYPERLINK("https://twitter.com/kusumayanuar_23","@kusumayanuar_23")</f>
        <v>@kusumayanuar_23</v>
      </c>
      <c r="C22867" t="s">
        <v>2444</v>
      </c>
      <c r="D22867">
        <v>2773</v>
      </c>
      <c r="E22867">
        <v>0</v>
      </c>
      <c r="F22867">
        <v>300</v>
      </c>
    </row>
    <row r="22868" spans="1:6" ht="12.75">
      <c r="A22868" s="2">
        <v>43875.884421296301</v>
      </c>
      <c r="B22868" t="str">
        <f>HYPERLINK("https://twitter.com/UrLuv93303759","@UrLuv93303759")</f>
        <v>@UrLuv93303759</v>
      </c>
      <c r="C22868" t="s">
        <v>10820</v>
      </c>
      <c r="D22868">
        <v>0</v>
      </c>
      <c r="E22868">
        <v>0</v>
      </c>
      <c r="F22868">
        <v>2</v>
      </c>
    </row>
    <row r="22869" spans="1:6" ht="12.75">
      <c r="A22869" s="2">
        <v>43875.884409722217</v>
      </c>
      <c r="B22869" t="str">
        <f>HYPERLINK("https://twitter.com/HeyyyyyYan","@HeyyyyyYan")</f>
        <v>@HeyyyyyYan</v>
      </c>
      <c r="C22869" t="s">
        <v>10821</v>
      </c>
      <c r="D22869">
        <v>0</v>
      </c>
      <c r="E22869">
        <v>0</v>
      </c>
      <c r="F22869">
        <v>6</v>
      </c>
    </row>
    <row r="22870" spans="1:6" ht="12.75">
      <c r="A22870" s="2">
        <v>43875.884398148148</v>
      </c>
      <c r="B22870" t="str">
        <f>HYPERLINK("https://twitter.com/scarrythings","@scarrythings")</f>
        <v>@scarrythings</v>
      </c>
      <c r="C22870" t="s">
        <v>10822</v>
      </c>
      <c r="D22870">
        <v>0</v>
      </c>
      <c r="E22870">
        <v>0</v>
      </c>
      <c r="F22870">
        <v>244</v>
      </c>
    </row>
    <row r="22871" spans="1:6" ht="12.75">
      <c r="A22871" s="2">
        <v>43875.884293981479</v>
      </c>
      <c r="B22871" t="str">
        <f>HYPERLINK("https://twitter.com/agusboy_1973","@agusboy_1973")</f>
        <v>@agusboy_1973</v>
      </c>
      <c r="C22871" t="s">
        <v>10573</v>
      </c>
      <c r="D22871">
        <v>9</v>
      </c>
      <c r="E22871">
        <v>0</v>
      </c>
      <c r="F22871">
        <v>4788</v>
      </c>
    </row>
    <row r="22872" spans="1:6" ht="12.75">
      <c r="A22872" s="2">
        <v>43875.884201388893</v>
      </c>
      <c r="B22872" t="str">
        <f>HYPERLINK("https://twitter.com/HaidarArsy","@HaidarArsy")</f>
        <v>@HaidarArsy</v>
      </c>
      <c r="C22872" t="s">
        <v>10823</v>
      </c>
      <c r="D22872">
        <v>0</v>
      </c>
      <c r="E22872">
        <v>0</v>
      </c>
      <c r="F22872">
        <v>441</v>
      </c>
    </row>
    <row r="22873" spans="1:6" ht="12.75">
      <c r="A22873" s="2">
        <v>43875.884097222224</v>
      </c>
      <c r="B22873" t="str">
        <f>HYPERLINK("https://twitter.com/Cozybeinglazy","@Cozybeinglazy")</f>
        <v>@Cozybeinglazy</v>
      </c>
      <c r="C22873" t="s">
        <v>2444</v>
      </c>
      <c r="D22873">
        <v>2773</v>
      </c>
      <c r="E22873">
        <v>0</v>
      </c>
      <c r="F22873">
        <v>348</v>
      </c>
    </row>
    <row r="22874" spans="1:6" ht="12.75">
      <c r="A22874" s="2">
        <v>43875.884074074071</v>
      </c>
      <c r="B22874" t="str">
        <f>HYPERLINK("https://twitter.com/atid2807","@atid2807")</f>
        <v>@atid2807</v>
      </c>
      <c r="C22874" t="s">
        <v>5729</v>
      </c>
      <c r="D22874">
        <v>276</v>
      </c>
      <c r="E22874">
        <v>0</v>
      </c>
      <c r="F22874">
        <v>117</v>
      </c>
    </row>
    <row r="22875" spans="1:6" ht="12.75">
      <c r="A22875" s="2">
        <v>43875.884050925924</v>
      </c>
      <c r="B22875" t="str">
        <f>HYPERLINK("https://twitter.com/dhavePC","@dhavePC")</f>
        <v>@dhavePC</v>
      </c>
      <c r="C22875" t="s">
        <v>2444</v>
      </c>
      <c r="D22875">
        <v>2773</v>
      </c>
      <c r="E22875">
        <v>0</v>
      </c>
      <c r="F22875">
        <v>368</v>
      </c>
    </row>
    <row r="22876" spans="1:6" ht="12.75">
      <c r="A22876" s="2">
        <v>43875.883981481486</v>
      </c>
      <c r="B22876" t="str">
        <f>HYPERLINK("https://twitter.com/urehheru","@urehheru")</f>
        <v>@urehheru</v>
      </c>
      <c r="C22876" t="s">
        <v>2444</v>
      </c>
      <c r="D22876">
        <v>2773</v>
      </c>
      <c r="E22876">
        <v>0</v>
      </c>
      <c r="F22876">
        <v>434</v>
      </c>
    </row>
    <row r="22877" spans="1:6" ht="12.75">
      <c r="A22877" s="2">
        <v>43875.883842592593</v>
      </c>
      <c r="B22877" t="str">
        <f>HYPERLINK("https://twitter.com/ggilangrr","@ggilangrr")</f>
        <v>@ggilangrr</v>
      </c>
      <c r="C22877" t="s">
        <v>6201</v>
      </c>
      <c r="D22877">
        <v>240</v>
      </c>
      <c r="E22877">
        <v>0</v>
      </c>
      <c r="F22877">
        <v>263</v>
      </c>
    </row>
    <row r="22878" spans="1:6" ht="12.75">
      <c r="A22878" s="2">
        <v>43875.883645833332</v>
      </c>
      <c r="B22878" t="str">
        <f>HYPERLINK("https://twitter.com/tribunnews","@tribunnews")</f>
        <v>@tribunnews</v>
      </c>
      <c r="C22878" t="s">
        <v>10824</v>
      </c>
      <c r="D22878">
        <v>0</v>
      </c>
      <c r="E22878">
        <v>2</v>
      </c>
      <c r="F22878">
        <v>873492</v>
      </c>
    </row>
    <row r="22879" spans="1:6" ht="12.75">
      <c r="A22879" s="2">
        <v>43875.883622685185</v>
      </c>
      <c r="B22879" t="str">
        <f>HYPERLINK("https://twitter.com/D_iaann","@D_iaann")</f>
        <v>@D_iaann</v>
      </c>
      <c r="C22879" t="s">
        <v>2444</v>
      </c>
      <c r="D22879">
        <v>2773</v>
      </c>
      <c r="E22879">
        <v>0</v>
      </c>
      <c r="F22879">
        <v>268</v>
      </c>
    </row>
    <row r="22880" spans="1:6" ht="12.75">
      <c r="A22880" s="2">
        <v>43875.883611111116</v>
      </c>
      <c r="B22880" t="str">
        <f>HYPERLINK("https://twitter.com/septalfinta","@septalfinta")</f>
        <v>@septalfinta</v>
      </c>
      <c r="C22880" t="s">
        <v>10825</v>
      </c>
      <c r="D22880">
        <v>1</v>
      </c>
      <c r="E22880">
        <v>0</v>
      </c>
      <c r="F22880">
        <v>447</v>
      </c>
    </row>
    <row r="22881" spans="1:6" ht="12.75">
      <c r="A22881" s="2">
        <v>43875.883576388893</v>
      </c>
      <c r="B22881" t="str">
        <f>HYPERLINK("https://twitter.com/PejuangUGM_","@PejuangUGM_")</f>
        <v>@PejuangUGM_</v>
      </c>
      <c r="C22881" t="s">
        <v>9964</v>
      </c>
      <c r="D22881">
        <v>640</v>
      </c>
      <c r="E22881">
        <v>0</v>
      </c>
      <c r="F22881">
        <v>673</v>
      </c>
    </row>
    <row r="22882" spans="1:6" ht="12.75">
      <c r="A22882" s="2">
        <v>43875.88354166667</v>
      </c>
      <c r="B22882" t="str">
        <f>HYPERLINK("https://twitter.com/AHKurnia","@AHKurnia")</f>
        <v>@AHKurnia</v>
      </c>
      <c r="C22882" t="s">
        <v>2144</v>
      </c>
      <c r="D22882">
        <v>96</v>
      </c>
      <c r="E22882">
        <v>0</v>
      </c>
      <c r="F22882">
        <v>610</v>
      </c>
    </row>
    <row r="22883" spans="1:6" ht="12.75">
      <c r="A22883" s="2">
        <v>43875.88354166667</v>
      </c>
      <c r="B22883" t="str">
        <f>HYPERLINK("https://twitter.com/lvyjxx","@lvyjxx")</f>
        <v>@lvyjxx</v>
      </c>
      <c r="C22883" t="s">
        <v>2444</v>
      </c>
      <c r="D22883">
        <v>2773</v>
      </c>
      <c r="E22883">
        <v>0</v>
      </c>
      <c r="F22883">
        <v>310</v>
      </c>
    </row>
    <row r="22884" spans="1:6" ht="12.75">
      <c r="A22884" s="2">
        <v>43875.883506944447</v>
      </c>
      <c r="B22884" t="str">
        <f>HYPERLINK("https://twitter.com/_mademydays_","@_mademydays_")</f>
        <v>@_mademydays_</v>
      </c>
      <c r="C22884" t="s">
        <v>5168</v>
      </c>
      <c r="D22884">
        <v>1055</v>
      </c>
      <c r="E22884">
        <v>0</v>
      </c>
      <c r="F22884">
        <v>478</v>
      </c>
    </row>
    <row r="22885" spans="1:6" ht="12.75">
      <c r="A22885" s="2">
        <v>43875.883506944447</v>
      </c>
      <c r="B22885" t="str">
        <f>HYPERLINK("https://twitter.com/haro_arnold","@haro_arnold")</f>
        <v>@haro_arnold</v>
      </c>
      <c r="C22885" t="s">
        <v>10826</v>
      </c>
      <c r="D22885">
        <v>1</v>
      </c>
      <c r="E22885">
        <v>0</v>
      </c>
      <c r="F22885">
        <v>4490</v>
      </c>
    </row>
    <row r="22886" spans="1:6" ht="12.75">
      <c r="A22886" s="2">
        <v>43875.883472222224</v>
      </c>
      <c r="B22886" t="str">
        <f>HYPERLINK("https://twitter.com/tapirese","@tapirese")</f>
        <v>@tapirese</v>
      </c>
      <c r="C22886" t="s">
        <v>2444</v>
      </c>
      <c r="D22886">
        <v>2773</v>
      </c>
      <c r="E22886">
        <v>0</v>
      </c>
      <c r="F22886">
        <v>187</v>
      </c>
    </row>
    <row r="22887" spans="1:6" ht="12.75">
      <c r="A22887" s="2">
        <v>43875.883379629631</v>
      </c>
      <c r="B22887" t="str">
        <f>HYPERLINK("https://twitter.com/herlambang_tan","@herlambang_tan")</f>
        <v>@herlambang_tan</v>
      </c>
      <c r="C22887" t="s">
        <v>10817</v>
      </c>
      <c r="D22887">
        <v>7</v>
      </c>
      <c r="E22887">
        <v>0</v>
      </c>
      <c r="F22887">
        <v>2343</v>
      </c>
    </row>
    <row r="22888" spans="1:6" ht="12.75">
      <c r="A22888" s="2">
        <v>43875.883298611108</v>
      </c>
      <c r="B22888" t="str">
        <f>HYPERLINK("https://twitter.com/Vasternorland21","@Vasternorland21")</f>
        <v>@Vasternorland21</v>
      </c>
      <c r="C22888" t="s">
        <v>10232</v>
      </c>
      <c r="D22888">
        <v>9</v>
      </c>
      <c r="E22888">
        <v>0</v>
      </c>
      <c r="F22888">
        <v>939</v>
      </c>
    </row>
    <row r="22889" spans="1:6" ht="12.75">
      <c r="A22889" s="2">
        <v>43875.883217592593</v>
      </c>
      <c r="B22889" t="str">
        <f>HYPERLINK("https://twitter.com/GEnlightening","@GEnlightening")</f>
        <v>@GEnlightening</v>
      </c>
      <c r="C22889" t="s">
        <v>6201</v>
      </c>
      <c r="D22889">
        <v>240</v>
      </c>
      <c r="E22889">
        <v>0</v>
      </c>
      <c r="F22889">
        <v>10078</v>
      </c>
    </row>
    <row r="22890" spans="1:6" ht="12.75">
      <c r="A22890" s="2">
        <v>43875.883206018523</v>
      </c>
      <c r="B22890" t="str">
        <f>HYPERLINK("https://twitter.com/fajar1967","@fajar1967")</f>
        <v>@fajar1967</v>
      </c>
      <c r="C22890" t="s">
        <v>2963</v>
      </c>
      <c r="D22890">
        <v>1129</v>
      </c>
      <c r="E22890">
        <v>0</v>
      </c>
      <c r="F22890">
        <v>1964</v>
      </c>
    </row>
    <row r="22891" spans="1:6" ht="12.75">
      <c r="A22891" s="2">
        <v>43875.88318287037</v>
      </c>
      <c r="B22891" t="str">
        <f>HYPERLINK("https://twitter.com/reneechay","@reneechay")</f>
        <v>@reneechay</v>
      </c>
      <c r="C22891" t="s">
        <v>2444</v>
      </c>
      <c r="D22891">
        <v>2773</v>
      </c>
      <c r="E22891">
        <v>0</v>
      </c>
      <c r="F22891">
        <v>32</v>
      </c>
    </row>
    <row r="22892" spans="1:6" ht="12.75">
      <c r="A22892" s="2">
        <v>43875.883125</v>
      </c>
      <c r="B22892" t="str">
        <f t="shared" ref="B22892:B22895" si="335">HYPERLINK("https://twitter.com/cnixjuang","@cnixjuang")</f>
        <v>@cnixjuang</v>
      </c>
      <c r="C22892" t="s">
        <v>10827</v>
      </c>
      <c r="D22892">
        <v>1</v>
      </c>
      <c r="E22892">
        <v>4</v>
      </c>
      <c r="F22892">
        <v>1335</v>
      </c>
    </row>
    <row r="22893" spans="1:6" ht="12.75">
      <c r="A22893" s="2">
        <v>43875.883125</v>
      </c>
      <c r="B22893" t="str">
        <f t="shared" si="335"/>
        <v>@cnixjuang</v>
      </c>
      <c r="C22893" t="s">
        <v>10828</v>
      </c>
      <c r="D22893">
        <v>1</v>
      </c>
      <c r="E22893">
        <v>4</v>
      </c>
      <c r="F22893">
        <v>1335</v>
      </c>
    </row>
    <row r="22894" spans="1:6" ht="12.75">
      <c r="A22894" s="2">
        <v>43875.883125</v>
      </c>
      <c r="B22894" t="str">
        <f t="shared" si="335"/>
        <v>@cnixjuang</v>
      </c>
      <c r="C22894" t="s">
        <v>10829</v>
      </c>
      <c r="D22894">
        <v>1</v>
      </c>
      <c r="E22894">
        <v>3</v>
      </c>
      <c r="F22894">
        <v>1335</v>
      </c>
    </row>
    <row r="22895" spans="1:6" ht="12.75">
      <c r="A22895" s="2">
        <v>43875.883125</v>
      </c>
      <c r="B22895" t="str">
        <f t="shared" si="335"/>
        <v>@cnixjuang</v>
      </c>
      <c r="C22895" t="s">
        <v>10830</v>
      </c>
      <c r="D22895">
        <v>1</v>
      </c>
      <c r="E22895">
        <v>2</v>
      </c>
      <c r="F22895">
        <v>1335</v>
      </c>
    </row>
    <row r="22896" spans="1:6" ht="12.75">
      <c r="A22896" s="2">
        <v>43875.883125</v>
      </c>
      <c r="B22896" t="str">
        <f>HYPERLINK("https://twitter.com/sunfloweryeol","@sunfloweryeol")</f>
        <v>@sunfloweryeol</v>
      </c>
      <c r="C22896" t="s">
        <v>2444</v>
      </c>
      <c r="D22896">
        <v>2773</v>
      </c>
      <c r="E22896">
        <v>0</v>
      </c>
      <c r="F22896">
        <v>1560</v>
      </c>
    </row>
    <row r="22897" spans="1:6" ht="12.75">
      <c r="A22897" s="2">
        <v>43875.8830787037</v>
      </c>
      <c r="B22897" t="str">
        <f>HYPERLINK("https://twitter.com/BwoJko","@BwoJko")</f>
        <v>@BwoJko</v>
      </c>
      <c r="C22897" t="s">
        <v>10740</v>
      </c>
      <c r="D22897">
        <v>95</v>
      </c>
      <c r="E22897">
        <v>0</v>
      </c>
      <c r="F22897">
        <v>617</v>
      </c>
    </row>
    <row r="22898" spans="1:6" ht="12.75">
      <c r="A22898" s="2">
        <v>43875.883032407408</v>
      </c>
      <c r="B22898" t="str">
        <f t="shared" ref="B22898:B22900" si="336">HYPERLINK("https://twitter.com/cnixjuang","@cnixjuang")</f>
        <v>@cnixjuang</v>
      </c>
      <c r="C22898" t="s">
        <v>10831</v>
      </c>
      <c r="D22898">
        <v>0</v>
      </c>
      <c r="E22898">
        <v>3</v>
      </c>
      <c r="F22898">
        <v>1335</v>
      </c>
    </row>
    <row r="22899" spans="1:6" ht="12.75">
      <c r="A22899" s="2">
        <v>43875.883032407408</v>
      </c>
      <c r="B22899" t="str">
        <f t="shared" si="336"/>
        <v>@cnixjuang</v>
      </c>
      <c r="C22899" t="s">
        <v>10832</v>
      </c>
      <c r="D22899">
        <v>0</v>
      </c>
      <c r="E22899">
        <v>0</v>
      </c>
      <c r="F22899">
        <v>1335</v>
      </c>
    </row>
    <row r="22900" spans="1:6" ht="12.75">
      <c r="A22900" s="2">
        <v>43875.882974537039</v>
      </c>
      <c r="B22900" t="str">
        <f t="shared" si="336"/>
        <v>@cnixjuang</v>
      </c>
      <c r="C22900" t="s">
        <v>10833</v>
      </c>
      <c r="D22900">
        <v>1</v>
      </c>
      <c r="E22900">
        <v>2</v>
      </c>
      <c r="F22900">
        <v>1335</v>
      </c>
    </row>
    <row r="22901" spans="1:6" ht="12.75">
      <c r="A22901" s="2">
        <v>43875.882847222223</v>
      </c>
      <c r="B22901" t="str">
        <f>HYPERLINK("https://twitter.com/awnugraha","@awnugraha")</f>
        <v>@awnugraha</v>
      </c>
      <c r="C22901" t="s">
        <v>10834</v>
      </c>
      <c r="D22901">
        <v>0</v>
      </c>
      <c r="E22901">
        <v>0</v>
      </c>
      <c r="F22901">
        <v>341</v>
      </c>
    </row>
    <row r="22902" spans="1:6" ht="12.75">
      <c r="A22902" s="2">
        <v>43875.88282407407</v>
      </c>
      <c r="B22902" t="str">
        <f>HYPERLINK("https://twitter.com/Syakilahku","@Syakilahku")</f>
        <v>@Syakilahku</v>
      </c>
      <c r="C22902" t="s">
        <v>2144</v>
      </c>
      <c r="D22902">
        <v>96</v>
      </c>
      <c r="E22902">
        <v>0</v>
      </c>
      <c r="F22902">
        <v>1609</v>
      </c>
    </row>
    <row r="22903" spans="1:6" ht="12.75">
      <c r="A22903" s="2">
        <v>43875.882766203707</v>
      </c>
      <c r="B22903" t="str">
        <f>HYPERLINK("https://twitter.com/iamstwn","@iamstwn")</f>
        <v>@iamstwn</v>
      </c>
      <c r="C22903" t="s">
        <v>2444</v>
      </c>
      <c r="D22903">
        <v>2773</v>
      </c>
      <c r="E22903">
        <v>0</v>
      </c>
      <c r="F22903">
        <v>516</v>
      </c>
    </row>
    <row r="22904" spans="1:6" ht="12.75">
      <c r="A22904" s="2">
        <v>43875.882685185185</v>
      </c>
      <c r="B22904" t="str">
        <f>HYPERLINK("https://twitter.com/Tanti_Meliana","@Tanti_Meliana")</f>
        <v>@Tanti_Meliana</v>
      </c>
      <c r="C22904" t="s">
        <v>2444</v>
      </c>
      <c r="D22904">
        <v>2773</v>
      </c>
      <c r="E22904">
        <v>0</v>
      </c>
      <c r="F22904">
        <v>12</v>
      </c>
    </row>
    <row r="22905" spans="1:6" ht="12.75">
      <c r="A22905" s="2">
        <v>43875.882673611108</v>
      </c>
      <c r="B22905" t="str">
        <f>HYPERLINK("https://twitter.com/Lia_MG_JAFRA","@Lia_MG_JAFRA")</f>
        <v>@Lia_MG_JAFRA</v>
      </c>
      <c r="C22905" t="s">
        <v>8233</v>
      </c>
      <c r="D22905">
        <v>510</v>
      </c>
      <c r="E22905">
        <v>0</v>
      </c>
      <c r="F22905">
        <v>394</v>
      </c>
    </row>
    <row r="22906" spans="1:6" ht="12.75">
      <c r="A22906" s="2">
        <v>43875.882673611108</v>
      </c>
      <c r="B22906" t="str">
        <f>HYPERLINK("https://twitter.com/rgsaujana","@rgsaujana")</f>
        <v>@rgsaujana</v>
      </c>
      <c r="C22906" t="s">
        <v>9123</v>
      </c>
      <c r="D22906">
        <v>290</v>
      </c>
      <c r="E22906">
        <v>0</v>
      </c>
      <c r="F22906">
        <v>29</v>
      </c>
    </row>
    <row r="22907" spans="1:6" ht="12.75">
      <c r="A22907" s="2">
        <v>43875.882511574076</v>
      </c>
      <c r="B22907" t="str">
        <f>HYPERLINK("https://twitter.com/mjefrisani","@mjefrisani")</f>
        <v>@mjefrisani</v>
      </c>
      <c r="C22907" t="s">
        <v>7888</v>
      </c>
      <c r="D22907">
        <v>35</v>
      </c>
      <c r="E22907">
        <v>0</v>
      </c>
      <c r="F22907">
        <v>921</v>
      </c>
    </row>
    <row r="22908" spans="1:6" ht="12.75">
      <c r="A22908" s="2">
        <v>43875.882488425923</v>
      </c>
      <c r="B22908" t="str">
        <f>HYPERLINK("https://twitter.com/muhlisinImron","@muhlisinImron")</f>
        <v>@muhlisinImron</v>
      </c>
      <c r="C22908" t="s">
        <v>9198</v>
      </c>
      <c r="D22908">
        <v>69</v>
      </c>
      <c r="E22908">
        <v>0</v>
      </c>
      <c r="F22908">
        <v>158</v>
      </c>
    </row>
    <row r="22909" spans="1:6" ht="12.75">
      <c r="A22909" s="2">
        <v>43875.8824537037</v>
      </c>
      <c r="B22909" t="str">
        <f>HYPERLINK("https://twitter.com/raketpatah","@raketpatah")</f>
        <v>@raketpatah</v>
      </c>
      <c r="C22909" t="s">
        <v>10835</v>
      </c>
      <c r="D22909">
        <v>0</v>
      </c>
      <c r="E22909">
        <v>1</v>
      </c>
      <c r="F22909">
        <v>17</v>
      </c>
    </row>
    <row r="22910" spans="1:6" ht="12.75">
      <c r="A22910" s="2">
        <v>43875.882418981477</v>
      </c>
      <c r="B22910" t="str">
        <f>HYPERLINK("https://twitter.com/Intannisal","@Intannisal")</f>
        <v>@Intannisal</v>
      </c>
      <c r="C22910" t="s">
        <v>2137</v>
      </c>
      <c r="D22910">
        <v>209</v>
      </c>
      <c r="E22910">
        <v>0</v>
      </c>
      <c r="F22910">
        <v>611</v>
      </c>
    </row>
    <row r="22911" spans="1:6" ht="12.75">
      <c r="A22911" s="2">
        <v>43875.882303240738</v>
      </c>
      <c r="B22911" t="str">
        <f>HYPERLINK("https://twitter.com/menghela","@menghela")</f>
        <v>@menghela</v>
      </c>
      <c r="C22911" t="s">
        <v>5168</v>
      </c>
      <c r="D22911">
        <v>1055</v>
      </c>
      <c r="E22911">
        <v>0</v>
      </c>
      <c r="F22911">
        <v>569</v>
      </c>
    </row>
    <row r="22912" spans="1:6" ht="12.75">
      <c r="A22912" s="2">
        <v>43875.882245370369</v>
      </c>
      <c r="B22912" t="str">
        <f>HYPERLINK("https://twitter.com/skmndn","@skmndn")</f>
        <v>@skmndn</v>
      </c>
      <c r="C22912" t="s">
        <v>10836</v>
      </c>
      <c r="D22912">
        <v>0</v>
      </c>
      <c r="E22912">
        <v>0</v>
      </c>
      <c r="F22912">
        <v>474</v>
      </c>
    </row>
    <row r="22913" spans="1:6" ht="12.75">
      <c r="A22913" s="2">
        <v>43875.882199074069</v>
      </c>
      <c r="B22913" t="str">
        <f>HYPERLINK("https://twitter.com/Jamaisvubae","@Jamaisvubae")</f>
        <v>@Jamaisvubae</v>
      </c>
      <c r="C22913" t="s">
        <v>2137</v>
      </c>
      <c r="D22913">
        <v>209</v>
      </c>
      <c r="E22913">
        <v>0</v>
      </c>
      <c r="F22913">
        <v>2517</v>
      </c>
    </row>
    <row r="22914" spans="1:6" ht="12.75">
      <c r="A22914" s="2">
        <v>43875.882094907407</v>
      </c>
      <c r="B22914" t="str">
        <f>HYPERLINK("https://twitter.com/HoneyFoyer","@HoneyFoyer")</f>
        <v>@HoneyFoyer</v>
      </c>
      <c r="C22914" t="s">
        <v>10837</v>
      </c>
      <c r="D22914">
        <v>0</v>
      </c>
      <c r="E22914">
        <v>0</v>
      </c>
      <c r="F22914">
        <v>174</v>
      </c>
    </row>
    <row r="22915" spans="1:6" ht="12.75">
      <c r="A22915" s="2">
        <v>43875.882013888884</v>
      </c>
      <c r="B22915" t="str">
        <f>HYPERLINK("https://twitter.com/akangyogurt721","@akangyogurt721")</f>
        <v>@akangyogurt721</v>
      </c>
      <c r="C22915" t="s">
        <v>5168</v>
      </c>
      <c r="D22915">
        <v>1055</v>
      </c>
      <c r="E22915">
        <v>0</v>
      </c>
      <c r="F22915">
        <v>527</v>
      </c>
    </row>
    <row r="22916" spans="1:6" ht="12.75">
      <c r="A22916" s="2">
        <v>43875.881956018522</v>
      </c>
      <c r="B22916" t="str">
        <f>HYPERLINK("https://twitter.com/mncmonicmnc","@mncmonicmnc")</f>
        <v>@mncmonicmnc</v>
      </c>
      <c r="C22916" t="s">
        <v>5168</v>
      </c>
      <c r="D22916">
        <v>1055</v>
      </c>
      <c r="E22916">
        <v>0</v>
      </c>
      <c r="F22916">
        <v>4684</v>
      </c>
    </row>
    <row r="22917" spans="1:6" ht="12.75">
      <c r="A22917" s="2">
        <v>43875.881944444445</v>
      </c>
      <c r="B22917" t="str">
        <f>HYPERLINK("https://twitter.com/purplesyu","@purplesyu")</f>
        <v>@purplesyu</v>
      </c>
      <c r="C22917" t="s">
        <v>2444</v>
      </c>
      <c r="D22917">
        <v>2773</v>
      </c>
      <c r="E22917">
        <v>0</v>
      </c>
      <c r="F22917">
        <v>157</v>
      </c>
    </row>
    <row r="22918" spans="1:6" ht="12.75">
      <c r="A22918" s="2">
        <v>43875.881874999999</v>
      </c>
      <c r="B22918" t="str">
        <f>HYPERLINK("https://twitter.com/sorotnews","@sorotnews")</f>
        <v>@sorotnews</v>
      </c>
      <c r="C22918" t="s">
        <v>10511</v>
      </c>
      <c r="D22918">
        <v>0</v>
      </c>
      <c r="E22918">
        <v>3</v>
      </c>
      <c r="F22918">
        <v>3418</v>
      </c>
    </row>
    <row r="22919" spans="1:6" ht="12.75">
      <c r="A22919" s="2">
        <v>43875.881828703699</v>
      </c>
      <c r="B22919" t="str">
        <f>HYPERLINK("https://twitter.com/waisindar","@waisindar")</f>
        <v>@waisindar</v>
      </c>
      <c r="C22919" t="s">
        <v>2444</v>
      </c>
      <c r="D22919">
        <v>2773</v>
      </c>
      <c r="E22919">
        <v>0</v>
      </c>
      <c r="F22919">
        <v>144</v>
      </c>
    </row>
    <row r="22920" spans="1:6" ht="12.75">
      <c r="A22920" s="2">
        <v>43875.881712962961</v>
      </c>
      <c r="B22920" t="str">
        <f>HYPERLINK("https://twitter.com/BatubaraMelinda","@BatubaraMelinda")</f>
        <v>@BatubaraMelinda</v>
      </c>
      <c r="C22920" t="s">
        <v>7803</v>
      </c>
      <c r="D22920">
        <v>311</v>
      </c>
      <c r="E22920">
        <v>0</v>
      </c>
      <c r="F22920">
        <v>2</v>
      </c>
    </row>
    <row r="22921" spans="1:6" ht="12.75">
      <c r="A22921" s="2">
        <v>43875.881585648152</v>
      </c>
      <c r="B22921" t="str">
        <f>HYPERLINK("https://twitter.com/muadzab","@muadzab")</f>
        <v>@muadzab</v>
      </c>
      <c r="C22921" t="s">
        <v>2444</v>
      </c>
      <c r="D22921">
        <v>2773</v>
      </c>
      <c r="E22921">
        <v>0</v>
      </c>
      <c r="F22921">
        <v>54</v>
      </c>
    </row>
    <row r="22922" spans="1:6" ht="12.75">
      <c r="A22922" s="2">
        <v>43875.881539351853</v>
      </c>
      <c r="B22922" t="str">
        <f>HYPERLINK("https://twitter.com/harihariono1","@harihariono1")</f>
        <v>@harihariono1</v>
      </c>
      <c r="C22922" t="s">
        <v>10817</v>
      </c>
      <c r="D22922">
        <v>7</v>
      </c>
      <c r="E22922">
        <v>0</v>
      </c>
      <c r="F22922">
        <v>9336</v>
      </c>
    </row>
    <row r="22923" spans="1:6" ht="12.75">
      <c r="A22923" s="2">
        <v>43875.881527777776</v>
      </c>
      <c r="B22923" t="str">
        <f>HYPERLINK("https://twitter.com/meirinapane","@meirinapane")</f>
        <v>@meirinapane</v>
      </c>
      <c r="C22923" t="s">
        <v>10838</v>
      </c>
      <c r="D22923">
        <v>0</v>
      </c>
      <c r="E22923">
        <v>0</v>
      </c>
      <c r="F22923">
        <v>438</v>
      </c>
    </row>
    <row r="22924" spans="1:6" ht="12.75">
      <c r="A22924" s="2">
        <v>43875.881481481483</v>
      </c>
      <c r="B22924" t="str">
        <f>HYPERLINK("https://twitter.com/tinaagustinajkt","@tinaagustinajkt")</f>
        <v>@tinaagustinajkt</v>
      </c>
      <c r="C22924" t="s">
        <v>9198</v>
      </c>
      <c r="D22924">
        <v>69</v>
      </c>
      <c r="E22924">
        <v>0</v>
      </c>
      <c r="F22924">
        <v>720</v>
      </c>
    </row>
    <row r="22925" spans="1:6" ht="12.75">
      <c r="A22925" s="2">
        <v>43875.881412037037</v>
      </c>
      <c r="B22925" t="str">
        <f>HYPERLINK("https://twitter.com/Indriadelia21","@Indriadelia21")</f>
        <v>@Indriadelia21</v>
      </c>
      <c r="C22925" t="s">
        <v>9067</v>
      </c>
      <c r="D22925">
        <v>51</v>
      </c>
      <c r="E22925">
        <v>0</v>
      </c>
      <c r="F22925">
        <v>305</v>
      </c>
    </row>
    <row r="22926" spans="1:6" ht="12.75">
      <c r="A22926" s="2">
        <v>43875.881354166668</v>
      </c>
      <c r="B22926" t="str">
        <f>HYPERLINK("https://twitter.com/jiehoonn","@jiehoonn")</f>
        <v>@jiehoonn</v>
      </c>
      <c r="C22926" t="s">
        <v>2444</v>
      </c>
      <c r="D22926">
        <v>2773</v>
      </c>
      <c r="E22926">
        <v>0</v>
      </c>
      <c r="F22926">
        <v>561</v>
      </c>
    </row>
    <row r="22927" spans="1:6" ht="12.75">
      <c r="A22927" s="2">
        <v>43875.881342592591</v>
      </c>
      <c r="B22927" t="str">
        <f>HYPERLINK("https://twitter.com/dwiiraraa","@dwiiraraa")</f>
        <v>@dwiiraraa</v>
      </c>
      <c r="C22927" t="s">
        <v>2444</v>
      </c>
      <c r="D22927">
        <v>2773</v>
      </c>
      <c r="E22927">
        <v>0</v>
      </c>
      <c r="F22927">
        <v>525</v>
      </c>
    </row>
    <row r="22928" spans="1:6" ht="12.75">
      <c r="A22928" s="2">
        <v>43875.881249999999</v>
      </c>
      <c r="B22928" t="str">
        <f>HYPERLINK("https://twitter.com/madyahya","@madyahya")</f>
        <v>@madyahya</v>
      </c>
      <c r="C22928" t="s">
        <v>8328</v>
      </c>
      <c r="D22928">
        <v>36</v>
      </c>
      <c r="E22928">
        <v>0</v>
      </c>
      <c r="F22928">
        <v>448</v>
      </c>
    </row>
    <row r="22929" spans="1:6" ht="12.75">
      <c r="A22929" s="2">
        <v>43875.88118055556</v>
      </c>
      <c r="B22929" t="str">
        <f>HYPERLINK("https://twitter.com/MeyRudy7205","@MeyRudy7205")</f>
        <v>@MeyRudy7205</v>
      </c>
      <c r="C22929" t="s">
        <v>10817</v>
      </c>
      <c r="D22929">
        <v>7</v>
      </c>
      <c r="E22929">
        <v>0</v>
      </c>
      <c r="F22929">
        <v>161</v>
      </c>
    </row>
    <row r="22930" spans="1:6" ht="12.75">
      <c r="A22930" s="2">
        <v>43875.881064814814</v>
      </c>
      <c r="B22930" t="str">
        <f>HYPERLINK("https://twitter.com/jesuissom","@jesuissom")</f>
        <v>@jesuissom</v>
      </c>
      <c r="C22930" t="s">
        <v>2444</v>
      </c>
      <c r="D22930">
        <v>2773</v>
      </c>
      <c r="E22930">
        <v>0</v>
      </c>
      <c r="F22930">
        <v>2207</v>
      </c>
    </row>
    <row r="22931" spans="1:6" ht="12.75">
      <c r="A22931" s="2">
        <v>43875.880902777775</v>
      </c>
      <c r="B22931" t="str">
        <f>HYPERLINK("https://twitter.com/Fredy_Santana01","@Fredy_Santana01")</f>
        <v>@Fredy_Santana01</v>
      </c>
      <c r="C22931" t="s">
        <v>7478</v>
      </c>
      <c r="D22931">
        <v>399</v>
      </c>
      <c r="E22931">
        <v>0</v>
      </c>
      <c r="F22931">
        <v>1689</v>
      </c>
    </row>
    <row r="22932" spans="1:6" ht="12.75">
      <c r="A22932" s="2">
        <v>43875.880868055552</v>
      </c>
      <c r="B22932" t="str">
        <f>HYPERLINK("https://twitter.com/jee_creepers","@jee_creepers")</f>
        <v>@jee_creepers</v>
      </c>
      <c r="C22932" t="s">
        <v>10422</v>
      </c>
      <c r="D22932">
        <v>114</v>
      </c>
      <c r="E22932">
        <v>0</v>
      </c>
      <c r="F22932">
        <v>698</v>
      </c>
    </row>
    <row r="22933" spans="1:6" ht="12.75">
      <c r="A22933" s="2">
        <v>43875.880868055552</v>
      </c>
      <c r="B22933" t="str">
        <f>HYPERLINK("https://twitter.com/muhrosyiddd","@muhrosyiddd")</f>
        <v>@muhrosyiddd</v>
      </c>
      <c r="C22933" t="s">
        <v>2444</v>
      </c>
      <c r="D22933">
        <v>2773</v>
      </c>
      <c r="E22933">
        <v>0</v>
      </c>
      <c r="F22933">
        <v>353</v>
      </c>
    </row>
    <row r="22934" spans="1:6" ht="12.75">
      <c r="A22934" s="2">
        <v>43875.88071759259</v>
      </c>
      <c r="B22934" t="str">
        <f>HYPERLINK("https://twitter.com/rarahahas","@rarahahas")</f>
        <v>@rarahahas</v>
      </c>
      <c r="C22934" t="s">
        <v>10839</v>
      </c>
      <c r="D22934">
        <v>0</v>
      </c>
      <c r="E22934">
        <v>0</v>
      </c>
      <c r="F22934">
        <v>28</v>
      </c>
    </row>
    <row r="22935" spans="1:6" ht="12.75">
      <c r="A22935" s="2">
        <v>43875.880694444444</v>
      </c>
      <c r="B22935" t="str">
        <f>HYPERLINK("https://twitter.com/sasmeeeeee","@sasmeeeeee")</f>
        <v>@sasmeeeeee</v>
      </c>
      <c r="C22935" t="s">
        <v>9067</v>
      </c>
      <c r="D22935">
        <v>51</v>
      </c>
      <c r="E22935">
        <v>0</v>
      </c>
      <c r="F22935">
        <v>527</v>
      </c>
    </row>
    <row r="22936" spans="1:6" ht="12.75">
      <c r="A22936" s="2">
        <v>43875.880671296298</v>
      </c>
      <c r="B22936" t="str">
        <f>HYPERLINK("https://twitter.com/AditoVerdian","@AditoVerdian")</f>
        <v>@AditoVerdian</v>
      </c>
      <c r="C22936" t="s">
        <v>9067</v>
      </c>
      <c r="D22936">
        <v>51</v>
      </c>
      <c r="E22936">
        <v>0</v>
      </c>
      <c r="F22936">
        <v>231</v>
      </c>
    </row>
    <row r="22937" spans="1:6" ht="12.75">
      <c r="A22937" s="2">
        <v>43875.880659722221</v>
      </c>
      <c r="B22937" t="str">
        <f>HYPERLINK("https://twitter.com/V_Putrie16","@V_Putrie16")</f>
        <v>@V_Putrie16</v>
      </c>
      <c r="C22937" t="s">
        <v>2444</v>
      </c>
      <c r="D22937">
        <v>2773</v>
      </c>
      <c r="E22937">
        <v>0</v>
      </c>
      <c r="F22937">
        <v>1014</v>
      </c>
    </row>
    <row r="22938" spans="1:6" ht="12.75">
      <c r="A22938" s="2">
        <v>43875.880578703705</v>
      </c>
      <c r="B22938" t="str">
        <f>HYPERLINK("https://twitter.com/aboutbdgcom","@aboutbdgcom")</f>
        <v>@aboutbdgcom</v>
      </c>
      <c r="C22938" t="s">
        <v>10840</v>
      </c>
      <c r="D22938">
        <v>0</v>
      </c>
      <c r="E22938">
        <v>0</v>
      </c>
      <c r="F22938">
        <v>48146</v>
      </c>
    </row>
    <row r="22939" spans="1:6" ht="12.75">
      <c r="A22939" s="2">
        <v>43875.880567129629</v>
      </c>
      <c r="B22939" t="str">
        <f>HYPERLINK("https://twitter.com/CNNIDdaily","@CNNIDdaily")</f>
        <v>@CNNIDdaily</v>
      </c>
      <c r="C22939" t="s">
        <v>10841</v>
      </c>
      <c r="D22939">
        <v>1</v>
      </c>
      <c r="E22939">
        <v>3</v>
      </c>
      <c r="F22939">
        <v>115922</v>
      </c>
    </row>
    <row r="22940" spans="1:6" ht="12.75">
      <c r="A22940" s="2">
        <v>43875.880543981482</v>
      </c>
      <c r="B22940" t="str">
        <f>HYPERLINK("https://twitter.com/ucoxregar","@ucoxregar")</f>
        <v>@ucoxregar</v>
      </c>
      <c r="C22940" t="s">
        <v>10842</v>
      </c>
      <c r="D22940">
        <v>0</v>
      </c>
      <c r="E22940">
        <v>0</v>
      </c>
      <c r="F22940">
        <v>341</v>
      </c>
    </row>
    <row r="22941" spans="1:6" ht="12.75">
      <c r="A22941" s="2">
        <v>43875.880532407406</v>
      </c>
      <c r="B22941" t="str">
        <f>HYPERLINK("https://twitter.com/adityaaksani","@adityaaksani")</f>
        <v>@adityaaksani</v>
      </c>
      <c r="C22941" t="s">
        <v>10843</v>
      </c>
      <c r="D22941">
        <v>2</v>
      </c>
      <c r="E22941">
        <v>0</v>
      </c>
      <c r="F22941">
        <v>1280</v>
      </c>
    </row>
    <row r="22942" spans="1:6" ht="12.75">
      <c r="A22942" s="2">
        <v>43875.880497685182</v>
      </c>
      <c r="B22942" t="str">
        <f>HYPERLINK("https://twitter.com/dadi_Waa","@dadi_Waa")</f>
        <v>@dadi_Waa</v>
      </c>
      <c r="C22942" t="s">
        <v>10844</v>
      </c>
      <c r="D22942">
        <v>0</v>
      </c>
      <c r="E22942">
        <v>0</v>
      </c>
      <c r="F22942">
        <v>198</v>
      </c>
    </row>
    <row r="22943" spans="1:6" ht="12.75">
      <c r="A22943" s="2">
        <v>43875.880486111113</v>
      </c>
      <c r="B22943" t="str">
        <f>HYPERLINK("https://twitter.com/MasePaytren","@MasePaytren")</f>
        <v>@MasePaytren</v>
      </c>
      <c r="C22943" t="s">
        <v>10083</v>
      </c>
      <c r="D22943">
        <v>35</v>
      </c>
      <c r="E22943">
        <v>0</v>
      </c>
      <c r="F22943">
        <v>430</v>
      </c>
    </row>
    <row r="22944" spans="1:6" ht="12.75">
      <c r="A22944" s="2">
        <v>43875.880439814813</v>
      </c>
      <c r="B22944" t="str">
        <f>HYPERLINK("https://twitter.com/adityaaksani","@adityaaksani")</f>
        <v>@adityaaksani</v>
      </c>
      <c r="C22944" t="s">
        <v>10845</v>
      </c>
      <c r="D22944">
        <v>3</v>
      </c>
      <c r="E22944">
        <v>0</v>
      </c>
      <c r="F22944">
        <v>1280</v>
      </c>
    </row>
    <row r="22945" spans="1:6" ht="12.75">
      <c r="A22945" s="2">
        <v>43875.880277777775</v>
      </c>
      <c r="B22945" t="str">
        <f>HYPERLINK("https://twitter.com/wwxiann","@wwxiann")</f>
        <v>@wwxiann</v>
      </c>
      <c r="C22945" t="s">
        <v>2444</v>
      </c>
      <c r="D22945">
        <v>2773</v>
      </c>
      <c r="E22945">
        <v>0</v>
      </c>
      <c r="F22945">
        <v>635</v>
      </c>
    </row>
    <row r="22946" spans="1:6" ht="12.75">
      <c r="A22946" s="2">
        <v>43875.880231481482</v>
      </c>
      <c r="B22946" t="str">
        <f>HYPERLINK("https://twitter.com/rgsaujana","@rgsaujana")</f>
        <v>@rgsaujana</v>
      </c>
      <c r="C22946" t="s">
        <v>2444</v>
      </c>
      <c r="D22946">
        <v>2773</v>
      </c>
      <c r="E22946">
        <v>0</v>
      </c>
      <c r="F22946">
        <v>29</v>
      </c>
    </row>
    <row r="22947" spans="1:6" ht="12.75">
      <c r="A22947" s="2">
        <v>43875.880196759259</v>
      </c>
      <c r="B22947" t="str">
        <f>HYPERLINK("https://twitter.com/muhammad_mursid","@muhammad_mursid")</f>
        <v>@muhammad_mursid</v>
      </c>
      <c r="C22947" t="s">
        <v>7478</v>
      </c>
      <c r="D22947">
        <v>399</v>
      </c>
      <c r="E22947">
        <v>0</v>
      </c>
      <c r="F22947">
        <v>697</v>
      </c>
    </row>
    <row r="22948" spans="1:6" ht="12.75">
      <c r="A22948" s="2">
        <v>43875.880196759259</v>
      </c>
      <c r="B22948" t="str">
        <f>HYPERLINK("https://twitter.com/hartanto_mas","@hartanto_mas")</f>
        <v>@hartanto_mas</v>
      </c>
      <c r="C22948" t="s">
        <v>9732</v>
      </c>
      <c r="D22948">
        <v>70</v>
      </c>
      <c r="E22948">
        <v>0</v>
      </c>
      <c r="F22948">
        <v>1045</v>
      </c>
    </row>
    <row r="22949" spans="1:6" ht="12.75">
      <c r="A22949" s="2">
        <v>43875.880196759259</v>
      </c>
      <c r="B22949" t="str">
        <f>HYPERLINK("https://twitter.com/Lukman_HARP","@Lukman_HARP")</f>
        <v>@Lukman_HARP</v>
      </c>
      <c r="C22949" t="s">
        <v>10846</v>
      </c>
      <c r="D22949">
        <v>0</v>
      </c>
      <c r="E22949">
        <v>0</v>
      </c>
      <c r="F22949">
        <v>1059</v>
      </c>
    </row>
    <row r="22950" spans="1:6" ht="12.75">
      <c r="A22950" s="2">
        <v>43875.88013888889</v>
      </c>
      <c r="B22950" t="str">
        <f>HYPERLINK("https://twitter.com/irwansupriyono2","@irwansupriyono2")</f>
        <v>@irwansupriyono2</v>
      </c>
      <c r="C22950" t="s">
        <v>10847</v>
      </c>
      <c r="D22950">
        <v>0</v>
      </c>
      <c r="E22950">
        <v>0</v>
      </c>
      <c r="F22950">
        <v>54</v>
      </c>
    </row>
    <row r="22951" spans="1:6" ht="12.75">
      <c r="A22951" s="2">
        <v>43875.880115740743</v>
      </c>
      <c r="B22951" t="str">
        <f>HYPERLINK("https://twitter.com/melsaila","@melsaila")</f>
        <v>@melsaila</v>
      </c>
      <c r="C22951" t="s">
        <v>2963</v>
      </c>
      <c r="D22951">
        <v>1129</v>
      </c>
      <c r="E22951">
        <v>0</v>
      </c>
      <c r="F22951">
        <v>2</v>
      </c>
    </row>
    <row r="22952" spans="1:6" ht="12.75">
      <c r="A22952" s="2">
        <v>43875.880069444444</v>
      </c>
      <c r="B22952" t="str">
        <f>HYPERLINK("https://twitter.com/kopassos","@kopassos")</f>
        <v>@kopassos</v>
      </c>
      <c r="C22952" t="s">
        <v>10573</v>
      </c>
      <c r="D22952">
        <v>9</v>
      </c>
      <c r="E22952">
        <v>0</v>
      </c>
      <c r="F22952">
        <v>1639</v>
      </c>
    </row>
    <row r="22953" spans="1:6" ht="12.75">
      <c r="A22953" s="2">
        <v>43875.879965277782</v>
      </c>
      <c r="B22953" t="str">
        <f>HYPERLINK("https://twitter.com/usida84","@usida84")</f>
        <v>@usida84</v>
      </c>
      <c r="C22953" t="s">
        <v>9096</v>
      </c>
      <c r="D22953">
        <v>203</v>
      </c>
      <c r="E22953">
        <v>0</v>
      </c>
      <c r="F22953">
        <v>607</v>
      </c>
    </row>
    <row r="22954" spans="1:6" ht="12.75">
      <c r="A22954" s="2">
        <v>43875.879953703705</v>
      </c>
      <c r="B22954" t="str">
        <f>HYPERLINK("https://twitter.com/minioniee","@minioniee")</f>
        <v>@minioniee</v>
      </c>
      <c r="C22954" t="s">
        <v>2444</v>
      </c>
      <c r="D22954">
        <v>2773</v>
      </c>
      <c r="E22954">
        <v>0</v>
      </c>
      <c r="F22954">
        <v>1367</v>
      </c>
    </row>
    <row r="22955" spans="1:6" ht="12.75">
      <c r="A22955" s="2">
        <v>43875.879884259259</v>
      </c>
      <c r="B22955" t="str">
        <f>HYPERLINK("https://twitter.com/3_devout","@3_devout")</f>
        <v>@3_devout</v>
      </c>
      <c r="C22955" t="s">
        <v>10817</v>
      </c>
      <c r="D22955">
        <v>7</v>
      </c>
      <c r="E22955">
        <v>0</v>
      </c>
      <c r="F22955">
        <v>1033</v>
      </c>
    </row>
    <row r="22956" spans="1:6" ht="12.75">
      <c r="A22956" s="2">
        <v>43875.879872685182</v>
      </c>
      <c r="B22956" t="str">
        <f>HYPERLINK("https://twitter.com/byunbhwang","@byunbhwang")</f>
        <v>@byunbhwang</v>
      </c>
      <c r="C22956" t="s">
        <v>5168</v>
      </c>
      <c r="D22956">
        <v>1055</v>
      </c>
      <c r="E22956">
        <v>0</v>
      </c>
      <c r="F22956">
        <v>176</v>
      </c>
    </row>
    <row r="22957" spans="1:6" ht="12.75">
      <c r="A22957" s="2">
        <v>43875.879837962959</v>
      </c>
      <c r="B22957" t="str">
        <f>HYPERLINK("https://twitter.com/mamaPram","@mamaPram")</f>
        <v>@mamaPram</v>
      </c>
      <c r="C22957" t="s">
        <v>2444</v>
      </c>
      <c r="D22957">
        <v>2773</v>
      </c>
      <c r="E22957">
        <v>0</v>
      </c>
      <c r="F22957">
        <v>205</v>
      </c>
    </row>
    <row r="22958" spans="1:6" ht="12.75">
      <c r="A22958" s="2">
        <v>43875.879745370374</v>
      </c>
      <c r="B22958" t="str">
        <f>HYPERLINK("https://twitter.com/smile_mamas","@smile_mamas")</f>
        <v>@smile_mamas</v>
      </c>
      <c r="C22958" t="s">
        <v>2444</v>
      </c>
      <c r="D22958">
        <v>2773</v>
      </c>
      <c r="E22958">
        <v>0</v>
      </c>
      <c r="F22958">
        <v>275</v>
      </c>
    </row>
    <row r="22959" spans="1:6" ht="12.75">
      <c r="A22959" s="2">
        <v>43875.879699074074</v>
      </c>
      <c r="B22959" t="str">
        <f>HYPERLINK("https://twitter.com/AntonSu66364631","@AntonSu66364631")</f>
        <v>@AntonSu66364631</v>
      </c>
      <c r="C22959" t="s">
        <v>10789</v>
      </c>
      <c r="D22959">
        <v>0</v>
      </c>
      <c r="E22959">
        <v>0</v>
      </c>
      <c r="F22959">
        <v>0</v>
      </c>
    </row>
    <row r="22960" spans="1:6" ht="12.75">
      <c r="A22960" s="2">
        <v>43875.879652777774</v>
      </c>
      <c r="B22960" t="str">
        <f>HYPERLINK("https://twitter.com/Wahyuwiwid3","@Wahyuwiwid3")</f>
        <v>@Wahyuwiwid3</v>
      </c>
      <c r="C22960" t="s">
        <v>2963</v>
      </c>
      <c r="D22960">
        <v>1129</v>
      </c>
      <c r="E22960">
        <v>0</v>
      </c>
      <c r="F22960">
        <v>1042</v>
      </c>
    </row>
    <row r="22961" spans="1:6" ht="12.75">
      <c r="A22961" s="2">
        <v>43875.879618055551</v>
      </c>
      <c r="B22961" t="str">
        <f>HYPERLINK("https://twitter.com/EqickGalansyaah","@EqickGalansyaah")</f>
        <v>@EqickGalansyaah</v>
      </c>
      <c r="C22961" t="s">
        <v>2444</v>
      </c>
      <c r="D22961">
        <v>2773</v>
      </c>
      <c r="E22961">
        <v>0</v>
      </c>
      <c r="F22961">
        <v>1009</v>
      </c>
    </row>
    <row r="22962" spans="1:6" ht="12.75">
      <c r="A22962" s="2">
        <v>43875.879571759258</v>
      </c>
      <c r="B22962" t="str">
        <f>HYPERLINK("https://twitter.com/honey_tyas","@honey_tyas")</f>
        <v>@honey_tyas</v>
      </c>
      <c r="C22962" t="s">
        <v>5729</v>
      </c>
      <c r="D22962">
        <v>276</v>
      </c>
      <c r="E22962">
        <v>0</v>
      </c>
      <c r="F22962">
        <v>2428</v>
      </c>
    </row>
    <row r="22963" spans="1:6" ht="12.75">
      <c r="A22963" s="2">
        <v>43875.879386574074</v>
      </c>
      <c r="B22963" t="str">
        <f>HYPERLINK("https://twitter.com/kimimakimario","@kimimakimario")</f>
        <v>@kimimakimario</v>
      </c>
      <c r="C22963" t="s">
        <v>10121</v>
      </c>
      <c r="D22963">
        <v>182</v>
      </c>
      <c r="E22963">
        <v>0</v>
      </c>
      <c r="F22963">
        <v>68</v>
      </c>
    </row>
    <row r="22964" spans="1:6" ht="12.75">
      <c r="A22964" s="2">
        <v>43875.879375000004</v>
      </c>
      <c r="B22964" t="str">
        <f>HYPERLINK("https://twitter.com/thri_noviyanti","@thri_noviyanti")</f>
        <v>@thri_noviyanti</v>
      </c>
      <c r="C22964" t="s">
        <v>2444</v>
      </c>
      <c r="D22964">
        <v>2773</v>
      </c>
      <c r="E22964">
        <v>0</v>
      </c>
      <c r="F22964">
        <v>101</v>
      </c>
    </row>
    <row r="22965" spans="1:6" ht="12.75">
      <c r="A22965" s="2">
        <v>43875.879212962958</v>
      </c>
      <c r="B22965" t="str">
        <f>HYPERLINK("https://twitter.com/BwoJko","@BwoJko")</f>
        <v>@BwoJko</v>
      </c>
      <c r="C22965" t="s">
        <v>10848</v>
      </c>
      <c r="D22965">
        <v>4</v>
      </c>
      <c r="E22965">
        <v>0</v>
      </c>
      <c r="F22965">
        <v>617</v>
      </c>
    </row>
    <row r="22966" spans="1:6" ht="12.75">
      <c r="A22966" s="2">
        <v>43875.879143518519</v>
      </c>
      <c r="B22966" t="str">
        <f>HYPERLINK("https://twitter.com/suglybear","@suglybear")</f>
        <v>@suglybear</v>
      </c>
      <c r="C22966" t="s">
        <v>2444</v>
      </c>
      <c r="D22966">
        <v>2773</v>
      </c>
      <c r="E22966">
        <v>0</v>
      </c>
      <c r="F22966">
        <v>250</v>
      </c>
    </row>
    <row r="22967" spans="1:6" ht="12.75">
      <c r="A22967" s="2">
        <v>43875.879108796296</v>
      </c>
      <c r="B22967" t="str">
        <f>HYPERLINK("https://twitter.com/jinggo_j","@jinggo_j")</f>
        <v>@jinggo_j</v>
      </c>
      <c r="C22967" t="s">
        <v>10849</v>
      </c>
      <c r="D22967">
        <v>0</v>
      </c>
      <c r="E22967">
        <v>0</v>
      </c>
      <c r="F22967">
        <v>136</v>
      </c>
    </row>
    <row r="22968" spans="1:6" ht="12.75">
      <c r="A22968" s="2">
        <v>43875.878946759258</v>
      </c>
      <c r="B22968" t="str">
        <f>HYPERLINK("https://twitter.com/YoyokSuharyo3","@YoyokSuharyo3")</f>
        <v>@YoyokSuharyo3</v>
      </c>
      <c r="C22968" t="s">
        <v>10083</v>
      </c>
      <c r="D22968">
        <v>35</v>
      </c>
      <c r="E22968">
        <v>0</v>
      </c>
      <c r="F22968">
        <v>744</v>
      </c>
    </row>
    <row r="22969" spans="1:6" ht="12.75">
      <c r="A22969" s="2">
        <v>43875.878888888888</v>
      </c>
      <c r="B22969" t="str">
        <f>HYPERLINK("https://twitter.com/nananaddn","@nananaddn")</f>
        <v>@nananaddn</v>
      </c>
      <c r="C22969" t="s">
        <v>2444</v>
      </c>
      <c r="D22969">
        <v>2773</v>
      </c>
      <c r="E22969">
        <v>0</v>
      </c>
      <c r="F22969">
        <v>87</v>
      </c>
    </row>
    <row r="22970" spans="1:6" ht="12.75">
      <c r="A22970" s="2">
        <v>43875.878888888888</v>
      </c>
      <c r="B22970" t="str">
        <f>HYPERLINK("https://twitter.com/MZubir_ID","@MZubir_ID")</f>
        <v>@MZubir_ID</v>
      </c>
      <c r="C22970" t="s">
        <v>10850</v>
      </c>
      <c r="D22970">
        <v>0</v>
      </c>
      <c r="E22970">
        <v>0</v>
      </c>
      <c r="F22970">
        <v>5851</v>
      </c>
    </row>
    <row r="22971" spans="1:6" ht="12.75">
      <c r="A22971" s="2">
        <v>43875.878842592589</v>
      </c>
      <c r="B22971" t="str">
        <f>HYPERLINK("https://twitter.com/ypadhyasari","@ypadhyasari")</f>
        <v>@ypadhyasari</v>
      </c>
      <c r="C22971" t="s">
        <v>2444</v>
      </c>
      <c r="D22971">
        <v>2773</v>
      </c>
      <c r="E22971">
        <v>0</v>
      </c>
      <c r="F22971">
        <v>473</v>
      </c>
    </row>
    <row r="22972" spans="1:6" ht="12.75">
      <c r="A22972" s="2">
        <v>43875.878784722227</v>
      </c>
      <c r="B22972" t="str">
        <f>HYPERLINK("https://twitter.com/edwin_basuki","@edwin_basuki")</f>
        <v>@edwin_basuki</v>
      </c>
      <c r="C22972" t="s">
        <v>2444</v>
      </c>
      <c r="D22972">
        <v>2773</v>
      </c>
      <c r="E22972">
        <v>0</v>
      </c>
      <c r="F22972">
        <v>192</v>
      </c>
    </row>
    <row r="22973" spans="1:6" ht="12.75">
      <c r="A22973" s="2">
        <v>43875.87877314815</v>
      </c>
      <c r="B22973" t="str">
        <f>HYPERLINK("https://twitter.com/tetsu0724d","@tetsu0724d")</f>
        <v>@tetsu0724d</v>
      </c>
      <c r="C22973" t="s">
        <v>9962</v>
      </c>
      <c r="D22973">
        <v>38</v>
      </c>
      <c r="E22973">
        <v>0</v>
      </c>
      <c r="F22973">
        <v>0</v>
      </c>
    </row>
    <row r="22974" spans="1:6" ht="12.75">
      <c r="A22974" s="2">
        <v>43875.878668981481</v>
      </c>
      <c r="B22974" t="str">
        <f>HYPERLINK("https://twitter.com/tedi_pirmansyah","@tedi_pirmansyah")</f>
        <v>@tedi_pirmansyah</v>
      </c>
      <c r="C22974" t="s">
        <v>10422</v>
      </c>
      <c r="D22974">
        <v>114</v>
      </c>
      <c r="E22974">
        <v>0</v>
      </c>
      <c r="F22974">
        <v>429</v>
      </c>
    </row>
    <row r="22975" spans="1:6" ht="12.75">
      <c r="A22975" s="2">
        <v>43875.878599537042</v>
      </c>
      <c r="B22975" t="str">
        <f>HYPERLINK("https://twitter.com/syafii28_","@syafii28_")</f>
        <v>@syafii28_</v>
      </c>
      <c r="C22975" t="s">
        <v>2444</v>
      </c>
      <c r="D22975">
        <v>2773</v>
      </c>
      <c r="E22975">
        <v>0</v>
      </c>
      <c r="F22975">
        <v>163</v>
      </c>
    </row>
    <row r="22976" spans="1:6" ht="12.75">
      <c r="A22976" s="2">
        <v>43875.878530092596</v>
      </c>
      <c r="B22976" t="str">
        <f>HYPERLINK("https://twitter.com/Munir06284126","@Munir06284126")</f>
        <v>@Munir06284126</v>
      </c>
      <c r="C22976" t="s">
        <v>2097</v>
      </c>
      <c r="D22976">
        <v>398</v>
      </c>
      <c r="E22976">
        <v>0</v>
      </c>
      <c r="F22976">
        <v>9</v>
      </c>
    </row>
    <row r="22977" spans="1:6" ht="12.75">
      <c r="A22977" s="2">
        <v>43875.878495370373</v>
      </c>
      <c r="B22977" t="str">
        <f>HYPERLINK("https://twitter.com/eddies_song","@eddies_song")</f>
        <v>@eddies_song</v>
      </c>
      <c r="C22977" t="s">
        <v>2963</v>
      </c>
      <c r="D22977">
        <v>1129</v>
      </c>
      <c r="E22977">
        <v>0</v>
      </c>
      <c r="F22977">
        <v>1236</v>
      </c>
    </row>
    <row r="22978" spans="1:6" ht="12.75">
      <c r="A22978" s="2">
        <v>43875.878437499996</v>
      </c>
      <c r="B22978" t="str">
        <f>HYPERLINK("https://twitter.com/4_devout","@4_devout")</f>
        <v>@4_devout</v>
      </c>
      <c r="C22978" t="s">
        <v>10817</v>
      </c>
      <c r="D22978">
        <v>7</v>
      </c>
      <c r="E22978">
        <v>0</v>
      </c>
      <c r="F22978">
        <v>607</v>
      </c>
    </row>
    <row r="22979" spans="1:6" ht="12.75">
      <c r="A22979" s="2">
        <v>43875.878425925926</v>
      </c>
      <c r="B22979" t="str">
        <f>HYPERLINK("https://twitter.com/hartanto_mas","@hartanto_mas")</f>
        <v>@hartanto_mas</v>
      </c>
      <c r="C22979" t="s">
        <v>6201</v>
      </c>
      <c r="D22979">
        <v>240</v>
      </c>
      <c r="E22979">
        <v>0</v>
      </c>
      <c r="F22979">
        <v>1045</v>
      </c>
    </row>
    <row r="22980" spans="1:6" ht="12.75">
      <c r="A22980" s="2">
        <v>43875.878402777773</v>
      </c>
      <c r="B22980" t="str">
        <f>HYPERLINK("https://twitter.com/skurrxs","@skurrxs")</f>
        <v>@skurrxs</v>
      </c>
      <c r="C22980" t="s">
        <v>2444</v>
      </c>
      <c r="D22980">
        <v>2773</v>
      </c>
      <c r="E22980">
        <v>0</v>
      </c>
      <c r="F22980">
        <v>600</v>
      </c>
    </row>
    <row r="22981" spans="1:6" ht="12.75">
      <c r="A22981" s="2">
        <v>43875.878298611111</v>
      </c>
      <c r="B22981" t="str">
        <f>HYPERLINK("https://twitter.com/woopddidoop","@woopddidoop")</f>
        <v>@woopddidoop</v>
      </c>
      <c r="C22981" t="s">
        <v>2444</v>
      </c>
      <c r="D22981">
        <v>2773</v>
      </c>
      <c r="E22981">
        <v>0</v>
      </c>
      <c r="F22981">
        <v>882</v>
      </c>
    </row>
    <row r="22982" spans="1:6" ht="12.75">
      <c r="A22982" s="2">
        <v>43875.878240740742</v>
      </c>
      <c r="B22982" t="str">
        <f>HYPERLINK("https://twitter.com/DemusKrisna","@DemusKrisna")</f>
        <v>@DemusKrisna</v>
      </c>
      <c r="C22982" t="s">
        <v>7803</v>
      </c>
      <c r="D22982">
        <v>311</v>
      </c>
      <c r="E22982">
        <v>0</v>
      </c>
      <c r="F22982">
        <v>178</v>
      </c>
    </row>
    <row r="22983" spans="1:6" ht="12.75">
      <c r="A22983" s="2">
        <v>43875.878229166672</v>
      </c>
      <c r="B22983" t="str">
        <f>HYPERLINK("https://twitter.com/ZheeOmega","@ZheeOmega")</f>
        <v>@ZheeOmega</v>
      </c>
      <c r="C22983" t="s">
        <v>10851</v>
      </c>
      <c r="D22983">
        <v>0</v>
      </c>
      <c r="E22983">
        <v>2</v>
      </c>
      <c r="F22983">
        <v>17777</v>
      </c>
    </row>
    <row r="22984" spans="1:6" ht="12.75">
      <c r="A22984" s="2">
        <v>43875.878206018519</v>
      </c>
      <c r="B22984" t="str">
        <f>HYPERLINK("https://twitter.com/anuniqename","@anuniqename")</f>
        <v>@anuniqename</v>
      </c>
      <c r="C22984" t="s">
        <v>6201</v>
      </c>
      <c r="D22984">
        <v>240</v>
      </c>
      <c r="E22984">
        <v>0</v>
      </c>
      <c r="F22984">
        <v>28</v>
      </c>
    </row>
    <row r="22985" spans="1:6" ht="12.75">
      <c r="A22985" s="2">
        <v>43875.878136574072</v>
      </c>
      <c r="B22985" t="str">
        <f>HYPERLINK("https://twitter.com/Theworo1","@Theworo1")</f>
        <v>@Theworo1</v>
      </c>
      <c r="C22985" t="s">
        <v>9198</v>
      </c>
      <c r="D22985">
        <v>69</v>
      </c>
      <c r="E22985">
        <v>0</v>
      </c>
      <c r="F22985">
        <v>702</v>
      </c>
    </row>
    <row r="22986" spans="1:6" ht="12.75">
      <c r="A22986" s="2">
        <v>43875.87809027778</v>
      </c>
      <c r="B22986" t="str">
        <f>HYPERLINK("https://twitter.com/garis_bawah_","@garis_bawah_")</f>
        <v>@garis_bawah_</v>
      </c>
      <c r="C22986" t="s">
        <v>10852</v>
      </c>
      <c r="D22986">
        <v>0</v>
      </c>
      <c r="E22986">
        <v>0</v>
      </c>
      <c r="F22986">
        <v>772</v>
      </c>
    </row>
    <row r="22987" spans="1:6" ht="12.75">
      <c r="A22987" s="2">
        <v>43875.877962962964</v>
      </c>
      <c r="B22987" t="str">
        <f>HYPERLINK("https://twitter.com/Jovanka_vanke","@Jovanka_vanke")</f>
        <v>@Jovanka_vanke</v>
      </c>
      <c r="C22987" t="s">
        <v>10817</v>
      </c>
      <c r="D22987">
        <v>7</v>
      </c>
      <c r="E22987">
        <v>0</v>
      </c>
      <c r="F22987">
        <v>838</v>
      </c>
    </row>
    <row r="22988" spans="1:6" ht="12.75">
      <c r="A22988" s="2">
        <v>43875.877893518518</v>
      </c>
      <c r="B22988" t="str">
        <f>HYPERLINK("https://twitter.com/permenyupe","@permenyupe")</f>
        <v>@permenyupe</v>
      </c>
      <c r="C22988" t="s">
        <v>2444</v>
      </c>
      <c r="D22988">
        <v>2773</v>
      </c>
      <c r="E22988">
        <v>0</v>
      </c>
      <c r="F22988">
        <v>693</v>
      </c>
    </row>
    <row r="22989" spans="1:6" ht="12.75">
      <c r="A22989" s="2">
        <v>43875.877800925926</v>
      </c>
      <c r="B22989" t="str">
        <f>HYPERLINK("https://twitter.com/wuasyu","@wuasyu")</f>
        <v>@wuasyu</v>
      </c>
      <c r="C22989" t="s">
        <v>6201</v>
      </c>
      <c r="D22989">
        <v>240</v>
      </c>
      <c r="E22989">
        <v>0</v>
      </c>
      <c r="F22989">
        <v>332</v>
      </c>
    </row>
    <row r="22990" spans="1:6" ht="12.75">
      <c r="A22990" s="2">
        <v>43875.87777777778</v>
      </c>
      <c r="B22990" t="str">
        <f>HYPERLINK("https://twitter.com/sjuteen","@sjuteen")</f>
        <v>@sjuteen</v>
      </c>
      <c r="C22990" t="s">
        <v>2444</v>
      </c>
      <c r="D22990">
        <v>2773</v>
      </c>
      <c r="E22990">
        <v>0</v>
      </c>
      <c r="F22990">
        <v>667</v>
      </c>
    </row>
    <row r="22991" spans="1:6" ht="12.75">
      <c r="A22991" s="2">
        <v>43875.87777777778</v>
      </c>
      <c r="B22991" t="str">
        <f>HYPERLINK("https://twitter.com/Are22sadx","@Are22sadx")</f>
        <v>@Are22sadx</v>
      </c>
      <c r="C22991" t="s">
        <v>5168</v>
      </c>
      <c r="D22991">
        <v>1055</v>
      </c>
      <c r="E22991">
        <v>0</v>
      </c>
      <c r="F22991">
        <v>39</v>
      </c>
    </row>
    <row r="22992" spans="1:6" ht="12.75">
      <c r="A22992" s="2">
        <v>43875.877754629633</v>
      </c>
      <c r="B22992" t="str">
        <f>HYPERLINK("https://twitter.com/evermoreeee","@evermoreeee")</f>
        <v>@evermoreeee</v>
      </c>
      <c r="C22992" t="s">
        <v>2444</v>
      </c>
      <c r="D22992">
        <v>2773</v>
      </c>
      <c r="E22992">
        <v>0</v>
      </c>
      <c r="F22992">
        <v>641</v>
      </c>
    </row>
    <row r="22993" spans="1:6" ht="12.75">
      <c r="A22993" s="2">
        <v>43875.87771990741</v>
      </c>
      <c r="B22993" t="str">
        <f>HYPERLINK("https://twitter.com/2_devout","@2_devout")</f>
        <v>@2_devout</v>
      </c>
      <c r="C22993" t="s">
        <v>10853</v>
      </c>
      <c r="D22993">
        <v>7</v>
      </c>
      <c r="E22993">
        <v>7</v>
      </c>
      <c r="F22993">
        <v>389</v>
      </c>
    </row>
    <row r="22994" spans="1:6" ht="12.75">
      <c r="A22994" s="2">
        <v>43875.87771990741</v>
      </c>
      <c r="B22994" t="str">
        <f>HYPERLINK("https://twitter.com/titiknyasatu","@titiknyasatu")</f>
        <v>@titiknyasatu</v>
      </c>
      <c r="C22994" t="s">
        <v>8349</v>
      </c>
      <c r="D22994">
        <v>12</v>
      </c>
      <c r="E22994">
        <v>0</v>
      </c>
      <c r="F22994">
        <v>35</v>
      </c>
    </row>
    <row r="22995" spans="1:6" ht="12.75">
      <c r="A22995" s="2">
        <v>43875.877662037034</v>
      </c>
      <c r="B22995" t="str">
        <f>HYPERLINK("https://twitter.com/sarahnadya95","@sarahnadya95")</f>
        <v>@sarahnadya95</v>
      </c>
      <c r="C22995" t="s">
        <v>2444</v>
      </c>
      <c r="D22995">
        <v>2773</v>
      </c>
      <c r="E22995">
        <v>0</v>
      </c>
      <c r="F22995">
        <v>120</v>
      </c>
    </row>
    <row r="22996" spans="1:6" ht="12.75">
      <c r="A22996" s="2">
        <v>43875.877615740741</v>
      </c>
      <c r="B22996" t="str">
        <f>HYPERLINK("https://twitter.com/mamaPram","@mamaPram")</f>
        <v>@mamaPram</v>
      </c>
      <c r="C22996" t="s">
        <v>2963</v>
      </c>
      <c r="D22996">
        <v>1129</v>
      </c>
      <c r="E22996">
        <v>0</v>
      </c>
      <c r="F22996">
        <v>205</v>
      </c>
    </row>
    <row r="22997" spans="1:6" ht="12.75">
      <c r="A22997" s="2">
        <v>43875.877604166672</v>
      </c>
      <c r="B22997" t="str">
        <f>HYPERLINK("https://twitter.com/RizDevianto","@RizDevianto")</f>
        <v>@RizDevianto</v>
      </c>
      <c r="C22997" t="s">
        <v>5168</v>
      </c>
      <c r="D22997">
        <v>1055</v>
      </c>
      <c r="E22997">
        <v>0</v>
      </c>
      <c r="F22997">
        <v>281</v>
      </c>
    </row>
    <row r="22998" spans="1:6" ht="12.75">
      <c r="A22998" s="2">
        <v>43875.877523148149</v>
      </c>
      <c r="B22998" t="str">
        <f>HYPERLINK("https://twitter.com/jodi_wirawan","@jodi_wirawan")</f>
        <v>@jodi_wirawan</v>
      </c>
      <c r="C22998" t="s">
        <v>2149</v>
      </c>
      <c r="D22998">
        <v>32</v>
      </c>
      <c r="E22998">
        <v>0</v>
      </c>
      <c r="F22998">
        <v>150</v>
      </c>
    </row>
    <row r="22999" spans="1:6" ht="12.75">
      <c r="A22999" s="2">
        <v>43875.877488425926</v>
      </c>
      <c r="B22999" t="str">
        <f>HYPERLINK("https://twitter.com/sayahanyazakie","@sayahanyazakie")</f>
        <v>@sayahanyazakie</v>
      </c>
      <c r="C22999" t="s">
        <v>8328</v>
      </c>
      <c r="D22999">
        <v>36</v>
      </c>
      <c r="E22999">
        <v>0</v>
      </c>
      <c r="F22999">
        <v>450</v>
      </c>
    </row>
    <row r="23000" spans="1:6" ht="12.75">
      <c r="A23000" s="2">
        <v>43875.877453703702</v>
      </c>
      <c r="B23000" t="str">
        <f>HYPERLINK("https://twitter.com/kompascom","@kompascom")</f>
        <v>@kompascom</v>
      </c>
      <c r="C23000" t="s">
        <v>10854</v>
      </c>
      <c r="D23000">
        <v>0</v>
      </c>
      <c r="E23000">
        <v>8</v>
      </c>
      <c r="F23000">
        <v>7497712</v>
      </c>
    </row>
    <row r="23001" spans="1:6" ht="12.75">
      <c r="A23001" s="2">
        <v>43875.877418981487</v>
      </c>
      <c r="B23001" t="str">
        <f>HYPERLINK("https://twitter.com/abikasa","@abikasa")</f>
        <v>@abikasa</v>
      </c>
      <c r="C23001" t="s">
        <v>10855</v>
      </c>
      <c r="D23001">
        <v>0</v>
      </c>
      <c r="E23001">
        <v>0</v>
      </c>
      <c r="F23001">
        <v>22</v>
      </c>
    </row>
    <row r="23002" spans="1:6" ht="12.75">
      <c r="A23002" s="2">
        <v>43875.877372685187</v>
      </c>
      <c r="B23002" t="str">
        <f>HYPERLINK("https://twitter.com/ayambakaryuk","@ayambakaryuk")</f>
        <v>@ayambakaryuk</v>
      </c>
      <c r="C23002" t="s">
        <v>2444</v>
      </c>
      <c r="D23002">
        <v>2773</v>
      </c>
      <c r="E23002">
        <v>0</v>
      </c>
      <c r="F23002">
        <v>90</v>
      </c>
    </row>
    <row r="23003" spans="1:6" ht="12.75">
      <c r="A23003" s="2">
        <v>43875.877256944441</v>
      </c>
      <c r="B23003" t="str">
        <f>HYPERLINK("https://twitter.com/himmaiueo","@himmaiueo")</f>
        <v>@himmaiueo</v>
      </c>
      <c r="C23003" t="s">
        <v>2444</v>
      </c>
      <c r="D23003">
        <v>2773</v>
      </c>
      <c r="E23003">
        <v>0</v>
      </c>
      <c r="F23003">
        <v>8</v>
      </c>
    </row>
    <row r="23004" spans="1:6" ht="12.75">
      <c r="A23004" s="2">
        <v>43875.877175925925</v>
      </c>
      <c r="B23004" t="str">
        <f>HYPERLINK("https://twitter.com/AlaricLuthfy","@AlaricLuthfy")</f>
        <v>@AlaricLuthfy</v>
      </c>
      <c r="C23004" t="s">
        <v>10856</v>
      </c>
      <c r="D23004">
        <v>0</v>
      </c>
      <c r="E23004">
        <v>0</v>
      </c>
      <c r="F23004">
        <v>217</v>
      </c>
    </row>
    <row r="23005" spans="1:6" ht="12.75">
      <c r="A23005" s="2">
        <v>43875.877164351856</v>
      </c>
      <c r="B23005" t="str">
        <f>HYPERLINK("https://twitter.com/udelmonyet","@udelmonyet")</f>
        <v>@udelmonyet</v>
      </c>
      <c r="C23005" t="s">
        <v>5168</v>
      </c>
      <c r="D23005">
        <v>1055</v>
      </c>
      <c r="E23005">
        <v>0</v>
      </c>
      <c r="F23005">
        <v>635</v>
      </c>
    </row>
    <row r="23006" spans="1:6" ht="12.75">
      <c r="A23006" s="2">
        <v>43875.877164351856</v>
      </c>
      <c r="B23006" t="str">
        <f>HYPERLINK("https://twitter.com/harakatuna","@harakatuna")</f>
        <v>@harakatuna</v>
      </c>
      <c r="C23006" t="s">
        <v>10857</v>
      </c>
      <c r="D23006">
        <v>0</v>
      </c>
      <c r="E23006">
        <v>0</v>
      </c>
      <c r="F23006">
        <v>409</v>
      </c>
    </row>
    <row r="23007" spans="1:6" ht="12.75">
      <c r="A23007" s="2">
        <v>43875.877129629633</v>
      </c>
      <c r="B23007" t="str">
        <f>HYPERLINK("https://twitter.com/sofiankawar1","@sofiankawar1")</f>
        <v>@sofiankawar1</v>
      </c>
      <c r="C23007" t="s">
        <v>10858</v>
      </c>
      <c r="D23007">
        <v>0</v>
      </c>
      <c r="E23007">
        <v>0</v>
      </c>
      <c r="F23007">
        <v>56</v>
      </c>
    </row>
    <row r="23008" spans="1:6" ht="12.75">
      <c r="A23008" s="2">
        <v>43875.877118055556</v>
      </c>
      <c r="B23008" t="str">
        <f>HYPERLINK("https://twitter.com/IndahJohania","@IndahJohania")</f>
        <v>@IndahJohania</v>
      </c>
      <c r="C23008" t="s">
        <v>9198</v>
      </c>
      <c r="D23008">
        <v>69</v>
      </c>
      <c r="E23008">
        <v>0</v>
      </c>
      <c r="F23008">
        <v>767</v>
      </c>
    </row>
    <row r="23009" spans="1:6" ht="12.75">
      <c r="A23009" s="2">
        <v>43875.877083333333</v>
      </c>
      <c r="B23009" t="str">
        <f>HYPERLINK("https://twitter.com/nrhytn_","@nrhytn_")</f>
        <v>@nrhytn_</v>
      </c>
      <c r="C23009" t="s">
        <v>5168</v>
      </c>
      <c r="D23009">
        <v>1055</v>
      </c>
      <c r="E23009">
        <v>0</v>
      </c>
      <c r="F23009">
        <v>441</v>
      </c>
    </row>
    <row r="23010" spans="1:6" ht="12.75">
      <c r="A23010" s="2">
        <v>43875.877083333333</v>
      </c>
      <c r="B23010" t="str">
        <f>HYPERLINK("https://twitter.com/TeaUnyu","@TeaUnyu")</f>
        <v>@TeaUnyu</v>
      </c>
      <c r="C23010" t="s">
        <v>10074</v>
      </c>
      <c r="D23010">
        <v>73</v>
      </c>
      <c r="E23010">
        <v>0</v>
      </c>
      <c r="F23010">
        <v>28</v>
      </c>
    </row>
    <row r="23011" spans="1:6" ht="12.75">
      <c r="A23011" s="2">
        <v>43875.877037037033</v>
      </c>
      <c r="B23011" t="str">
        <f>HYPERLINK("https://twitter.com/RudySt6","@RudySt6")</f>
        <v>@RudySt6</v>
      </c>
      <c r="C23011" t="s">
        <v>6201</v>
      </c>
      <c r="D23011">
        <v>240</v>
      </c>
      <c r="E23011">
        <v>0</v>
      </c>
      <c r="F23011">
        <v>348</v>
      </c>
    </row>
    <row r="23012" spans="1:6" ht="12.75">
      <c r="A23012" s="2">
        <v>43875.87700231481</v>
      </c>
      <c r="B23012" t="str">
        <f>HYPERLINK("https://twitter.com/calvinyounglee","@calvinyounglee")</f>
        <v>@calvinyounglee</v>
      </c>
      <c r="C23012" t="s">
        <v>10083</v>
      </c>
      <c r="D23012">
        <v>35</v>
      </c>
      <c r="E23012">
        <v>0</v>
      </c>
      <c r="F23012">
        <v>383</v>
      </c>
    </row>
    <row r="23013" spans="1:6" ht="12.75">
      <c r="A23013" s="2">
        <v>43875.87699074074</v>
      </c>
      <c r="B23013" t="str">
        <f>HYPERLINK("https://twitter.com/abrvv0nsugar","@abrvv0nsugar")</f>
        <v>@abrvv0nsugar</v>
      </c>
      <c r="C23013" t="s">
        <v>2444</v>
      </c>
      <c r="D23013">
        <v>2773</v>
      </c>
      <c r="E23013">
        <v>0</v>
      </c>
      <c r="F23013">
        <v>1391</v>
      </c>
    </row>
    <row r="23014" spans="1:6" ht="12.75">
      <c r="A23014" s="2">
        <v>43875.876932870371</v>
      </c>
      <c r="B23014" t="str">
        <f>HYPERLINK("https://twitter.com/byunbhwang","@byunbhwang")</f>
        <v>@byunbhwang</v>
      </c>
      <c r="C23014" t="s">
        <v>2444</v>
      </c>
      <c r="D23014">
        <v>2773</v>
      </c>
      <c r="E23014">
        <v>0</v>
      </c>
      <c r="F23014">
        <v>176</v>
      </c>
    </row>
    <row r="23015" spans="1:6" ht="12.75">
      <c r="A23015" s="2">
        <v>43875.876875000002</v>
      </c>
      <c r="B23015" t="str">
        <f>HYPERLINK("https://twitter.com/ilhamprmn","@ilhamprmn")</f>
        <v>@ilhamprmn</v>
      </c>
      <c r="C23015" t="s">
        <v>9732</v>
      </c>
      <c r="D23015">
        <v>70</v>
      </c>
      <c r="E23015">
        <v>0</v>
      </c>
      <c r="F23015">
        <v>364</v>
      </c>
    </row>
    <row r="23016" spans="1:6" ht="12.75">
      <c r="A23016" s="2">
        <v>43875.876851851848</v>
      </c>
      <c r="B23016" t="str">
        <f>HYPERLINK("https://twitter.com/muhammadhadi82","@muhammadhadi82")</f>
        <v>@muhammadhadi82</v>
      </c>
      <c r="C23016" t="s">
        <v>9746</v>
      </c>
      <c r="D23016">
        <v>371</v>
      </c>
      <c r="E23016">
        <v>0</v>
      </c>
      <c r="F23016">
        <v>320</v>
      </c>
    </row>
    <row r="23017" spans="1:6" ht="12.75">
      <c r="A23017" s="2">
        <v>43875.876851851848</v>
      </c>
      <c r="B23017" t="str">
        <f>HYPERLINK("https://twitter.com/samoelli","@samoelli")</f>
        <v>@samoelli</v>
      </c>
      <c r="C23017" t="s">
        <v>9198</v>
      </c>
      <c r="D23017">
        <v>69</v>
      </c>
      <c r="E23017">
        <v>0</v>
      </c>
      <c r="F23017">
        <v>524</v>
      </c>
    </row>
    <row r="23018" spans="1:6" ht="12.75">
      <c r="A23018" s="2">
        <v>43875.876851851848</v>
      </c>
      <c r="B23018" t="str">
        <f>HYPERLINK("https://twitter.com/ReMeldy47","@ReMeldy47")</f>
        <v>@ReMeldy47</v>
      </c>
      <c r="C23018" t="s">
        <v>2444</v>
      </c>
      <c r="D23018">
        <v>2773</v>
      </c>
      <c r="E23018">
        <v>0</v>
      </c>
      <c r="F23018">
        <v>1244</v>
      </c>
    </row>
    <row r="23019" spans="1:6" ht="12.75">
      <c r="A23019" s="2">
        <v>43875.876805555556</v>
      </c>
      <c r="B23019" t="str">
        <f>HYPERLINK("https://twitter.com/moccamoons","@moccamoons")</f>
        <v>@moccamoons</v>
      </c>
      <c r="C23019" t="s">
        <v>2444</v>
      </c>
      <c r="D23019">
        <v>2773</v>
      </c>
      <c r="E23019">
        <v>0</v>
      </c>
      <c r="F23019">
        <v>10</v>
      </c>
    </row>
    <row r="23020" spans="1:6" ht="12.75">
      <c r="A23020" s="2">
        <v>43875.876793981486</v>
      </c>
      <c r="B23020" t="str">
        <f>HYPERLINK("https://twitter.com/diars46","@diars46")</f>
        <v>@diars46</v>
      </c>
      <c r="C23020" t="s">
        <v>10859</v>
      </c>
      <c r="D23020">
        <v>31</v>
      </c>
      <c r="E23020">
        <v>0</v>
      </c>
      <c r="F23020">
        <v>257</v>
      </c>
    </row>
    <row r="23021" spans="1:6" ht="12.75">
      <c r="A23021" s="2">
        <v>43875.876782407402</v>
      </c>
      <c r="B23021" t="str">
        <f>HYPERLINK("https://twitter.com/hajinewsonline","@hajinewsonline")</f>
        <v>@hajinewsonline</v>
      </c>
      <c r="C23021" t="s">
        <v>10860</v>
      </c>
      <c r="D23021">
        <v>0</v>
      </c>
      <c r="E23021">
        <v>0</v>
      </c>
      <c r="F23021">
        <v>20</v>
      </c>
    </row>
    <row r="23022" spans="1:6" ht="12.75">
      <c r="A23022" s="2">
        <v>43875.876689814817</v>
      </c>
      <c r="B23022" t="str">
        <f>HYPERLINK("https://twitter.com/luphalp","@luphalp")</f>
        <v>@luphalp</v>
      </c>
      <c r="C23022" t="s">
        <v>7068</v>
      </c>
      <c r="D23022">
        <v>31</v>
      </c>
      <c r="E23022">
        <v>0</v>
      </c>
      <c r="F23022">
        <v>50</v>
      </c>
    </row>
    <row r="23023" spans="1:6" ht="12.75">
      <c r="A23023" s="2">
        <v>43875.876469907409</v>
      </c>
      <c r="B23023" t="str">
        <f>HYPERLINK("https://twitter.com/karyopinot","@karyopinot")</f>
        <v>@karyopinot</v>
      </c>
      <c r="C23023" t="s">
        <v>2444</v>
      </c>
      <c r="D23023">
        <v>2546</v>
      </c>
      <c r="E23023">
        <v>0</v>
      </c>
      <c r="F23023">
        <v>586</v>
      </c>
    </row>
    <row r="23024" spans="1:6" ht="12.75">
      <c r="A23024" s="2">
        <v>43875.876458333332</v>
      </c>
      <c r="B23024" t="str">
        <f t="shared" ref="B23024:B23025" si="337">HYPERLINK("https://twitter.com/pinkyandroses","@pinkyandroses")</f>
        <v>@pinkyandroses</v>
      </c>
      <c r="C23024" t="s">
        <v>9123</v>
      </c>
      <c r="D23024">
        <v>284</v>
      </c>
      <c r="E23024">
        <v>0</v>
      </c>
      <c r="F23024">
        <v>1187</v>
      </c>
    </row>
    <row r="23025" spans="1:6" ht="12.75">
      <c r="A23025" s="2">
        <v>43875.876412037032</v>
      </c>
      <c r="B23025" t="str">
        <f t="shared" si="337"/>
        <v>@pinkyandroses</v>
      </c>
      <c r="C23025" t="s">
        <v>2444</v>
      </c>
      <c r="D23025">
        <v>2546</v>
      </c>
      <c r="E23025">
        <v>0</v>
      </c>
      <c r="F23025">
        <v>1187</v>
      </c>
    </row>
    <row r="23026" spans="1:6" ht="12.75">
      <c r="A23026" s="2">
        <v>43875.87635416667</v>
      </c>
      <c r="B23026" t="str">
        <f>HYPERLINK("https://twitter.com/chocoladf","@chocoladf")</f>
        <v>@chocoladf</v>
      </c>
      <c r="C23026" t="s">
        <v>5168</v>
      </c>
      <c r="D23026">
        <v>990</v>
      </c>
      <c r="E23026">
        <v>0</v>
      </c>
      <c r="F23026">
        <v>1537</v>
      </c>
    </row>
    <row r="23027" spans="1:6" ht="12.75">
      <c r="A23027" s="2">
        <v>43875.876319444447</v>
      </c>
      <c r="B23027" t="str">
        <f>HYPERLINK("https://twitter.com/thdynd","@thdynd")</f>
        <v>@thdynd</v>
      </c>
      <c r="C23027" t="s">
        <v>2444</v>
      </c>
      <c r="D23027">
        <v>2546</v>
      </c>
      <c r="E23027">
        <v>0</v>
      </c>
      <c r="F23027">
        <v>1107</v>
      </c>
    </row>
    <row r="23028" spans="1:6" ht="12.75">
      <c r="A23028" s="2">
        <v>43875.876261574071</v>
      </c>
      <c r="B23028" t="str">
        <f>HYPERLINK("https://twitter.com/khundhori79","@khundhori79")</f>
        <v>@khundhori79</v>
      </c>
      <c r="C23028" t="s">
        <v>9796</v>
      </c>
      <c r="D23028">
        <v>5</v>
      </c>
      <c r="E23028">
        <v>0</v>
      </c>
      <c r="F23028">
        <v>560</v>
      </c>
    </row>
    <row r="23029" spans="1:6" ht="12.75">
      <c r="A23029" s="2">
        <v>43875.876203703709</v>
      </c>
      <c r="B23029" t="str">
        <f>HYPERLINK("https://twitter.com/hartanto_mas","@hartanto_mas")</f>
        <v>@hartanto_mas</v>
      </c>
      <c r="C23029" t="s">
        <v>10052</v>
      </c>
      <c r="D23029">
        <v>78</v>
      </c>
      <c r="E23029">
        <v>0</v>
      </c>
      <c r="F23029">
        <v>1045</v>
      </c>
    </row>
    <row r="23030" spans="1:6" ht="12.75">
      <c r="A23030" s="2">
        <v>43875.876203703709</v>
      </c>
      <c r="B23030" t="str">
        <f>HYPERLINK("https://twitter.com/baca_tanda","@baca_tanda")</f>
        <v>@baca_tanda</v>
      </c>
      <c r="C23030" t="s">
        <v>10861</v>
      </c>
      <c r="D23030">
        <v>0</v>
      </c>
      <c r="E23030">
        <v>0</v>
      </c>
      <c r="F23030">
        <v>977</v>
      </c>
    </row>
    <row r="23031" spans="1:6" ht="12.75">
      <c r="A23031" s="2">
        <v>43875.876122685186</v>
      </c>
      <c r="B23031" t="str">
        <f>HYPERLINK("https://twitter.com/teukurival_","@teukurival_")</f>
        <v>@teukurival_</v>
      </c>
      <c r="C23031" t="s">
        <v>6201</v>
      </c>
      <c r="D23031">
        <v>207</v>
      </c>
      <c r="E23031">
        <v>0</v>
      </c>
      <c r="F23031">
        <v>92</v>
      </c>
    </row>
    <row r="23032" spans="1:6" ht="12.75">
      <c r="A23032" s="2">
        <v>43875.876122685186</v>
      </c>
      <c r="B23032" t="str">
        <f>HYPERLINK("https://twitter.com/trubusid","@trubusid")</f>
        <v>@trubusid</v>
      </c>
      <c r="C23032" t="s">
        <v>10862</v>
      </c>
      <c r="D23032">
        <v>0</v>
      </c>
      <c r="E23032">
        <v>0</v>
      </c>
      <c r="F23032">
        <v>1025</v>
      </c>
    </row>
    <row r="23033" spans="1:6" ht="12.75">
      <c r="A23033" s="2">
        <v>43875.876087962963</v>
      </c>
      <c r="B23033" t="str">
        <f>HYPERLINK("https://twitter.com/D4D4NGLH","@D4D4NGLH")</f>
        <v>@D4D4NGLH</v>
      </c>
      <c r="C23033" t="s">
        <v>10863</v>
      </c>
      <c r="D23033">
        <v>0</v>
      </c>
      <c r="E23033">
        <v>0</v>
      </c>
      <c r="F23033">
        <v>932</v>
      </c>
    </row>
    <row r="23034" spans="1:6" ht="12.75">
      <c r="A23034" s="2">
        <v>43875.876076388886</v>
      </c>
      <c r="B23034" t="str">
        <f>HYPERLINK("https://twitter.com/kepikbesar","@kepikbesar")</f>
        <v>@kepikbesar</v>
      </c>
      <c r="C23034" t="s">
        <v>2444</v>
      </c>
      <c r="D23034">
        <v>2546</v>
      </c>
      <c r="E23034">
        <v>0</v>
      </c>
      <c r="F23034">
        <v>269</v>
      </c>
    </row>
    <row r="23035" spans="1:6" ht="12.75">
      <c r="A23035" s="2">
        <v>43875.87605324074</v>
      </c>
      <c r="B23035" t="str">
        <f>HYPERLINK("https://twitter.com/riniyuli73","@riniyuli73")</f>
        <v>@riniyuli73</v>
      </c>
      <c r="C23035" t="s">
        <v>10864</v>
      </c>
      <c r="D23035">
        <v>0</v>
      </c>
      <c r="E23035">
        <v>0</v>
      </c>
      <c r="F23035">
        <v>124</v>
      </c>
    </row>
    <row r="23036" spans="1:6" ht="12.75">
      <c r="A23036" s="2">
        <v>43875.875914351855</v>
      </c>
      <c r="B23036" t="str">
        <f>HYPERLINK("https://twitter.com/ChokeeManroe","@ChokeeManroe")</f>
        <v>@ChokeeManroe</v>
      </c>
      <c r="C23036" t="s">
        <v>10865</v>
      </c>
      <c r="D23036">
        <v>0</v>
      </c>
      <c r="E23036">
        <v>0</v>
      </c>
      <c r="F23036">
        <v>0</v>
      </c>
    </row>
    <row r="23037" spans="1:6" ht="12.75">
      <c r="A23037" s="2">
        <v>43875.875868055555</v>
      </c>
      <c r="B23037" t="str">
        <f>HYPERLINK("https://twitter.com/honey_tyas","@honey_tyas")</f>
        <v>@honey_tyas</v>
      </c>
      <c r="C23037" t="s">
        <v>10866</v>
      </c>
      <c r="D23037">
        <v>183</v>
      </c>
      <c r="E23037">
        <v>0</v>
      </c>
      <c r="F23037">
        <v>2428</v>
      </c>
    </row>
    <row r="23038" spans="1:6" ht="12.75">
      <c r="A23038" s="2">
        <v>43875.875833333332</v>
      </c>
      <c r="B23038" t="str">
        <f>HYPERLINK("https://twitter.com/KimDongHyunJae","@KimDongHyunJae")</f>
        <v>@KimDongHyunJae</v>
      </c>
      <c r="C23038" t="s">
        <v>9123</v>
      </c>
      <c r="D23038">
        <v>284</v>
      </c>
      <c r="E23038">
        <v>0</v>
      </c>
      <c r="F23038">
        <v>3789</v>
      </c>
    </row>
    <row r="23039" spans="1:6" ht="12.75">
      <c r="A23039" s="2">
        <v>43875.875821759255</v>
      </c>
      <c r="B23039" t="str">
        <f>HYPERLINK("https://twitter.com/libraaagurl","@libraaagurl")</f>
        <v>@libraaagurl</v>
      </c>
      <c r="C23039" t="s">
        <v>5168</v>
      </c>
      <c r="D23039">
        <v>990</v>
      </c>
      <c r="E23039">
        <v>0</v>
      </c>
      <c r="F23039">
        <v>2370</v>
      </c>
    </row>
    <row r="23040" spans="1:6" ht="12.75">
      <c r="A23040" s="2">
        <v>43875.875740740739</v>
      </c>
      <c r="B23040" t="str">
        <f>HYPERLINK("https://twitter.com/KimDongHyunJae","@KimDongHyunJae")</f>
        <v>@KimDongHyunJae</v>
      </c>
      <c r="C23040" t="s">
        <v>2444</v>
      </c>
      <c r="D23040">
        <v>2546</v>
      </c>
      <c r="E23040">
        <v>0</v>
      </c>
      <c r="F23040">
        <v>3789</v>
      </c>
    </row>
    <row r="23041" spans="1:6" ht="12.75">
      <c r="A23041" s="2">
        <v>43875.87572916667</v>
      </c>
      <c r="B23041" t="str">
        <f>HYPERLINK("https://twitter.com/Nur71Cak","@Nur71Cak")</f>
        <v>@Nur71Cak</v>
      </c>
      <c r="C23041" t="s">
        <v>10552</v>
      </c>
      <c r="D23041">
        <v>479</v>
      </c>
      <c r="E23041">
        <v>0</v>
      </c>
      <c r="F23041">
        <v>36</v>
      </c>
    </row>
    <row r="23042" spans="1:6" ht="12.75">
      <c r="A23042" s="2">
        <v>43875.875706018516</v>
      </c>
      <c r="B23042" t="str">
        <f>HYPERLINK("https://twitter.com/reireibei","@reireibei")</f>
        <v>@reireibei</v>
      </c>
      <c r="C23042" t="s">
        <v>2444</v>
      </c>
      <c r="D23042">
        <v>2546</v>
      </c>
      <c r="E23042">
        <v>0</v>
      </c>
      <c r="F23042">
        <v>155</v>
      </c>
    </row>
    <row r="23043" spans="1:6" ht="12.75">
      <c r="A23043" s="2">
        <v>43875.875694444447</v>
      </c>
      <c r="B23043" t="str">
        <f>HYPERLINK("https://twitter.com/rekhmankhl","@rekhmankhl")</f>
        <v>@rekhmankhl</v>
      </c>
      <c r="C23043" t="s">
        <v>10867</v>
      </c>
      <c r="D23043">
        <v>0</v>
      </c>
      <c r="E23043">
        <v>0</v>
      </c>
      <c r="F23043">
        <v>262</v>
      </c>
    </row>
    <row r="23044" spans="1:6" ht="12.75">
      <c r="A23044" s="2">
        <v>43875.875671296293</v>
      </c>
      <c r="B23044" t="str">
        <f>HYPERLINK("https://twitter.com/formywd","@formywd")</f>
        <v>@formywd</v>
      </c>
      <c r="C23044" t="s">
        <v>2444</v>
      </c>
      <c r="D23044">
        <v>2546</v>
      </c>
      <c r="E23044">
        <v>0</v>
      </c>
      <c r="F23044">
        <v>1624</v>
      </c>
    </row>
    <row r="23045" spans="1:6" ht="12.75">
      <c r="A23045" s="2">
        <v>43875.875613425931</v>
      </c>
      <c r="B23045" t="str">
        <f>HYPERLINK("https://twitter.com/diditmuhammad","@diditmuhammad")</f>
        <v>@diditmuhammad</v>
      </c>
      <c r="C23045" t="s">
        <v>9835</v>
      </c>
      <c r="D23045">
        <v>54</v>
      </c>
      <c r="E23045">
        <v>0</v>
      </c>
      <c r="F23045">
        <v>499</v>
      </c>
    </row>
    <row r="23046" spans="1:6" ht="12.75">
      <c r="A23046" s="2">
        <v>43875.875509259262</v>
      </c>
      <c r="B23046" t="str">
        <f>HYPERLINK("https://twitter.com/IpungLombok","@IpungLombok")</f>
        <v>@IpungLombok</v>
      </c>
      <c r="C23046" t="s">
        <v>10868</v>
      </c>
      <c r="D23046">
        <v>1</v>
      </c>
      <c r="E23046">
        <v>0</v>
      </c>
      <c r="F23046">
        <v>14940</v>
      </c>
    </row>
    <row r="23047" spans="1:6" ht="12.75">
      <c r="A23047" s="2">
        <v>43875.875497685185</v>
      </c>
      <c r="B23047" t="str">
        <f>HYPERLINK("https://twitter.com/woelannnn","@woelannnn")</f>
        <v>@woelannnn</v>
      </c>
      <c r="C23047" t="s">
        <v>10869</v>
      </c>
      <c r="D23047">
        <v>1</v>
      </c>
      <c r="E23047">
        <v>0</v>
      </c>
      <c r="F23047">
        <v>20787</v>
      </c>
    </row>
    <row r="23048" spans="1:6" ht="12.75">
      <c r="A23048" s="2">
        <v>43875.875451388885</v>
      </c>
      <c r="B23048" t="str">
        <f>HYPERLINK("https://twitter.com/iepouel","@iepouel")</f>
        <v>@iepouel</v>
      </c>
      <c r="C23048" t="s">
        <v>9746</v>
      </c>
      <c r="D23048">
        <v>349</v>
      </c>
      <c r="E23048">
        <v>0</v>
      </c>
      <c r="F23048">
        <v>223</v>
      </c>
    </row>
    <row r="23049" spans="1:6" ht="12.75">
      <c r="A23049" s="2">
        <v>43875.875439814816</v>
      </c>
      <c r="B23049" t="str">
        <f>HYPERLINK("https://twitter.com/asdfgwhy","@asdfgwhy")</f>
        <v>@asdfgwhy</v>
      </c>
      <c r="C23049" t="s">
        <v>9123</v>
      </c>
      <c r="D23049">
        <v>284</v>
      </c>
      <c r="E23049">
        <v>0</v>
      </c>
      <c r="F23049">
        <v>86</v>
      </c>
    </row>
    <row r="23050" spans="1:6" ht="12.75">
      <c r="A23050" s="2">
        <v>43875.875405092593</v>
      </c>
      <c r="B23050" t="str">
        <f>HYPERLINK("https://twitter.com/xoluvstepi","@xoluvstepi")</f>
        <v>@xoluvstepi</v>
      </c>
      <c r="C23050" t="s">
        <v>10074</v>
      </c>
      <c r="D23050">
        <v>70</v>
      </c>
      <c r="E23050">
        <v>0</v>
      </c>
      <c r="F23050">
        <v>14</v>
      </c>
    </row>
    <row r="23051" spans="1:6" ht="12.75">
      <c r="A23051" s="2">
        <v>43875.875335648147</v>
      </c>
      <c r="B23051" t="str">
        <f>HYPERLINK("https://twitter.com/chanucheek","@chanucheek")</f>
        <v>@chanucheek</v>
      </c>
      <c r="C23051" t="s">
        <v>2444</v>
      </c>
      <c r="D23051">
        <v>2546</v>
      </c>
      <c r="E23051">
        <v>0</v>
      </c>
      <c r="F23051">
        <v>1084</v>
      </c>
    </row>
    <row r="23052" spans="1:6" ht="12.75">
      <c r="A23052" s="2">
        <v>43875.8753125</v>
      </c>
      <c r="B23052" t="str">
        <f>HYPERLINK("https://twitter.com/Morningtyas","@Morningtyas")</f>
        <v>@Morningtyas</v>
      </c>
      <c r="C23052" t="s">
        <v>10870</v>
      </c>
      <c r="D23052">
        <v>0</v>
      </c>
      <c r="E23052">
        <v>0</v>
      </c>
      <c r="F23052">
        <v>30626</v>
      </c>
    </row>
    <row r="23053" spans="1:6" ht="12.75">
      <c r="A23053" s="2">
        <v>43875.8752662037</v>
      </c>
      <c r="B23053" t="str">
        <f>HYPERLINK("https://twitter.com/sebutnamaq3kali","@sebutnamaq3kali")</f>
        <v>@sebutnamaq3kali</v>
      </c>
      <c r="C23053" t="s">
        <v>5168</v>
      </c>
      <c r="D23053">
        <v>990</v>
      </c>
      <c r="E23053">
        <v>0</v>
      </c>
      <c r="F23053">
        <v>665</v>
      </c>
    </row>
    <row r="23054" spans="1:6" ht="12.75">
      <c r="A23054" s="2">
        <v>43875.8752662037</v>
      </c>
      <c r="B23054" t="str">
        <f>HYPERLINK("https://twitter.com/lalunemoonlight","@lalunemoonlight")</f>
        <v>@lalunemoonlight</v>
      </c>
      <c r="C23054" t="s">
        <v>2444</v>
      </c>
      <c r="D23054">
        <v>2546</v>
      </c>
      <c r="E23054">
        <v>0</v>
      </c>
      <c r="F23054">
        <v>1008</v>
      </c>
    </row>
    <row r="23055" spans="1:6" ht="12.75">
      <c r="A23055" s="2">
        <v>43875.875173611115</v>
      </c>
      <c r="B23055" t="str">
        <f>HYPERLINK("https://twitter.com/kikie__fumi46","@kikie__fumi46")</f>
        <v>@kikie__fumi46</v>
      </c>
      <c r="C23055" t="s">
        <v>2444</v>
      </c>
      <c r="D23055">
        <v>2546</v>
      </c>
      <c r="E23055">
        <v>0</v>
      </c>
      <c r="F23055">
        <v>885</v>
      </c>
    </row>
    <row r="23056" spans="1:6" ht="12.75">
      <c r="A23056" s="2">
        <v>43875.875115740739</v>
      </c>
      <c r="B23056" t="str">
        <f>HYPERLINK("https://twitter.com/sketsanewscom","@sketsanewscom")</f>
        <v>@sketsanewscom</v>
      </c>
      <c r="C23056" t="s">
        <v>10871</v>
      </c>
      <c r="D23056">
        <v>0</v>
      </c>
      <c r="E23056">
        <v>0</v>
      </c>
      <c r="F23056">
        <v>10855</v>
      </c>
    </row>
    <row r="23057" spans="1:6" ht="12.75">
      <c r="A23057" s="2">
        <v>43875.875057870369</v>
      </c>
      <c r="B23057" t="str">
        <f>HYPERLINK("https://twitter.com/NurAsfarina14","@NurAsfarina14")</f>
        <v>@NurAsfarina14</v>
      </c>
      <c r="C23057" t="s">
        <v>10872</v>
      </c>
      <c r="D23057">
        <v>0</v>
      </c>
      <c r="E23057">
        <v>0</v>
      </c>
      <c r="F23057">
        <v>266</v>
      </c>
    </row>
    <row r="23058" spans="1:6" ht="12.75">
      <c r="A23058" s="2">
        <v>43875.875034722223</v>
      </c>
      <c r="B23058" t="str">
        <f>HYPERLINK("https://twitter.com/korantempo","@korantempo")</f>
        <v>@korantempo</v>
      </c>
      <c r="C23058" t="s">
        <v>10873</v>
      </c>
      <c r="D23058">
        <v>1</v>
      </c>
      <c r="E23058">
        <v>0</v>
      </c>
      <c r="F23058">
        <v>1745402</v>
      </c>
    </row>
    <row r="23059" spans="1:6" ht="12.75">
      <c r="A23059" s="2">
        <v>43875.874918981484</v>
      </c>
      <c r="B23059" t="str">
        <f>HYPERLINK("https://twitter.com/asdfgwhy","@asdfgwhy")</f>
        <v>@asdfgwhy</v>
      </c>
      <c r="C23059" t="s">
        <v>2444</v>
      </c>
      <c r="D23059">
        <v>2546</v>
      </c>
      <c r="E23059">
        <v>0</v>
      </c>
      <c r="F23059">
        <v>86</v>
      </c>
    </row>
    <row r="23060" spans="1:6" ht="12.75">
      <c r="A23060" s="2">
        <v>43875.874872685185</v>
      </c>
      <c r="B23060" t="str">
        <f>HYPERLINK("https://twitter.com/lifeistai","@lifeistai")</f>
        <v>@lifeistai</v>
      </c>
      <c r="C23060" t="s">
        <v>2444</v>
      </c>
      <c r="D23060">
        <v>2546</v>
      </c>
      <c r="E23060">
        <v>0</v>
      </c>
      <c r="F23060">
        <v>1423</v>
      </c>
    </row>
    <row r="23061" spans="1:6" ht="12.75">
      <c r="A23061" s="2">
        <v>43875.874826388885</v>
      </c>
      <c r="B23061" t="str">
        <f>HYPERLINK("https://twitter.com/BangkitPribumi","@BangkitPribumi")</f>
        <v>@BangkitPribumi</v>
      </c>
      <c r="C23061" t="s">
        <v>6201</v>
      </c>
      <c r="D23061">
        <v>207</v>
      </c>
      <c r="E23061">
        <v>0</v>
      </c>
      <c r="F23061">
        <v>780</v>
      </c>
    </row>
    <row r="23062" spans="1:6" ht="12.75">
      <c r="A23062" s="2">
        <v>43875.874675925923</v>
      </c>
      <c r="B23062" t="str">
        <f>HYPERLINK("https://twitter.com/nblxaaz","@nblxaaz")</f>
        <v>@nblxaaz</v>
      </c>
      <c r="C23062" t="s">
        <v>2444</v>
      </c>
      <c r="D23062">
        <v>2546</v>
      </c>
      <c r="E23062">
        <v>0</v>
      </c>
      <c r="F23062">
        <v>1616</v>
      </c>
    </row>
    <row r="23063" spans="1:6" ht="12.75">
      <c r="A23063" s="2">
        <v>43875.874664351853</v>
      </c>
      <c r="B23063" t="str">
        <f>HYPERLINK("https://twitter.com/fheri_","@fheri_")</f>
        <v>@fheri_</v>
      </c>
      <c r="C23063" t="s">
        <v>2444</v>
      </c>
      <c r="D23063">
        <v>2546</v>
      </c>
      <c r="E23063">
        <v>0</v>
      </c>
      <c r="F23063">
        <v>494</v>
      </c>
    </row>
    <row r="23064" spans="1:6" ht="12.75">
      <c r="A23064" s="2">
        <v>43875.874652777777</v>
      </c>
      <c r="B23064" t="str">
        <f>HYPERLINK("https://twitter.com/Risdaapriliah","@Risdaapriliah")</f>
        <v>@Risdaapriliah</v>
      </c>
      <c r="C23064" t="s">
        <v>2444</v>
      </c>
      <c r="D23064">
        <v>2546</v>
      </c>
      <c r="E23064">
        <v>0</v>
      </c>
      <c r="F23064">
        <v>690</v>
      </c>
    </row>
    <row r="23065" spans="1:6" ht="12.75">
      <c r="A23065" s="2">
        <v>43875.87462962963</v>
      </c>
      <c r="B23065" t="str">
        <f>HYPERLINK("https://twitter.com/onyvumos","@onyvumos")</f>
        <v>@onyvumos</v>
      </c>
      <c r="C23065" t="s">
        <v>2444</v>
      </c>
      <c r="D23065">
        <v>2546</v>
      </c>
      <c r="E23065">
        <v>0</v>
      </c>
      <c r="F23065">
        <v>1631</v>
      </c>
    </row>
    <row r="23066" spans="1:6" ht="12.75">
      <c r="A23066" s="2">
        <v>43875.874571759261</v>
      </c>
      <c r="B23066" t="str">
        <f>HYPERLINK("https://twitter.com/andihindah","@andihindah")</f>
        <v>@andihindah</v>
      </c>
      <c r="C23066" t="s">
        <v>2444</v>
      </c>
      <c r="D23066">
        <v>2546</v>
      </c>
      <c r="E23066">
        <v>0</v>
      </c>
      <c r="F23066">
        <v>959</v>
      </c>
    </row>
    <row r="23067" spans="1:6" ht="12.75">
      <c r="A23067" s="2">
        <v>43875.874548611115</v>
      </c>
      <c r="B23067" t="str">
        <f>HYPERLINK("https://twitter.com/yohanapon","@yohanapon")</f>
        <v>@yohanapon</v>
      </c>
      <c r="C23067" t="s">
        <v>2444</v>
      </c>
      <c r="D23067">
        <v>2546</v>
      </c>
      <c r="E23067">
        <v>0</v>
      </c>
      <c r="F23067">
        <v>457</v>
      </c>
    </row>
    <row r="23068" spans="1:6" ht="12.75">
      <c r="A23068" s="2">
        <v>43875.874479166669</v>
      </c>
      <c r="B23068" t="str">
        <f>HYPERLINK("https://twitter.com/str107","@str107")</f>
        <v>@str107</v>
      </c>
      <c r="C23068" t="s">
        <v>2444</v>
      </c>
      <c r="D23068">
        <v>2546</v>
      </c>
      <c r="E23068">
        <v>0</v>
      </c>
      <c r="F23068">
        <v>585</v>
      </c>
    </row>
    <row r="23069" spans="1:6" ht="12.75">
      <c r="A23069" s="2">
        <v>43875.874432870369</v>
      </c>
      <c r="B23069" t="str">
        <f>HYPERLINK("https://twitter.com/cixbaejiin","@cixbaejiin")</f>
        <v>@cixbaejiin</v>
      </c>
      <c r="C23069" t="s">
        <v>10874</v>
      </c>
      <c r="D23069">
        <v>0</v>
      </c>
      <c r="E23069">
        <v>0</v>
      </c>
      <c r="F23069">
        <v>889</v>
      </c>
    </row>
    <row r="23070" spans="1:6" ht="12.75">
      <c r="A23070" s="2">
        <v>43875.874351851853</v>
      </c>
      <c r="B23070" t="str">
        <f>HYPERLINK("https://twitter.com/Stefanus_Seno","@Stefanus_Seno")</f>
        <v>@Stefanus_Seno</v>
      </c>
      <c r="C23070" t="s">
        <v>2444</v>
      </c>
      <c r="D23070">
        <v>2546</v>
      </c>
      <c r="E23070">
        <v>0</v>
      </c>
      <c r="F23070">
        <v>2170</v>
      </c>
    </row>
    <row r="23071" spans="1:6" ht="12.75">
      <c r="A23071" s="2">
        <v>43875.874236111107</v>
      </c>
      <c r="B23071" t="str">
        <f>HYPERLINK("https://twitter.com/ichbinY98","@ichbinY98")</f>
        <v>@ichbinY98</v>
      </c>
      <c r="C23071" t="s">
        <v>10875</v>
      </c>
      <c r="D23071">
        <v>283</v>
      </c>
      <c r="E23071">
        <v>0</v>
      </c>
      <c r="F23071">
        <v>785</v>
      </c>
    </row>
    <row r="23072" spans="1:6" ht="12.75">
      <c r="A23072" s="2">
        <v>43875.874189814815</v>
      </c>
      <c r="B23072" t="str">
        <f>HYPERLINK("https://twitter.com/chanucheek","@chanucheek")</f>
        <v>@chanucheek</v>
      </c>
      <c r="C23072" t="s">
        <v>5168</v>
      </c>
      <c r="D23072">
        <v>990</v>
      </c>
      <c r="E23072">
        <v>0</v>
      </c>
      <c r="F23072">
        <v>1084</v>
      </c>
    </row>
    <row r="23073" spans="1:6" ht="12.75">
      <c r="A23073" s="2">
        <v>43875.874155092592</v>
      </c>
      <c r="B23073" t="str">
        <f>HYPERLINK("https://twitter.com/maustin09","@maustin09")</f>
        <v>@maustin09</v>
      </c>
      <c r="C23073" t="s">
        <v>10876</v>
      </c>
      <c r="D23073">
        <v>0</v>
      </c>
      <c r="E23073">
        <v>0</v>
      </c>
      <c r="F23073">
        <v>28</v>
      </c>
    </row>
    <row r="23074" spans="1:6" ht="12.75">
      <c r="A23074" s="2">
        <v>43875.874062499999</v>
      </c>
      <c r="B23074" t="str">
        <f>HYPERLINK("https://twitter.com/Hendri02447740","@Hendri02447740")</f>
        <v>@Hendri02447740</v>
      </c>
      <c r="C23074" t="s">
        <v>10877</v>
      </c>
      <c r="D23074">
        <v>0</v>
      </c>
      <c r="E23074">
        <v>0</v>
      </c>
      <c r="F23074">
        <v>336</v>
      </c>
    </row>
    <row r="23075" spans="1:6" ht="12.75">
      <c r="A23075" s="2">
        <v>43875.873958333337</v>
      </c>
      <c r="B23075" t="str">
        <f>HYPERLINK("https://twitter.com/MZianu","@MZianu")</f>
        <v>@MZianu</v>
      </c>
      <c r="C23075" t="s">
        <v>10526</v>
      </c>
      <c r="D23075">
        <v>141</v>
      </c>
      <c r="E23075">
        <v>0</v>
      </c>
      <c r="F23075">
        <v>451</v>
      </c>
    </row>
    <row r="23076" spans="1:6" ht="12.75">
      <c r="A23076" s="2">
        <v>43875.873842592591</v>
      </c>
      <c r="B23076" t="str">
        <f>HYPERLINK("https://twitter.com/scratchynala","@scratchynala")</f>
        <v>@scratchynala</v>
      </c>
      <c r="C23076" t="s">
        <v>9067</v>
      </c>
      <c r="D23076">
        <v>35</v>
      </c>
      <c r="E23076">
        <v>0</v>
      </c>
      <c r="F23076">
        <v>125</v>
      </c>
    </row>
    <row r="23077" spans="1:6" ht="12.75">
      <c r="A23077" s="2">
        <v>43875.873425925922</v>
      </c>
      <c r="B23077" t="str">
        <f>HYPERLINK("https://twitter.com/andri000me","@andri000me")</f>
        <v>@andri000me</v>
      </c>
      <c r="C23077" t="s">
        <v>10878</v>
      </c>
      <c r="D23077">
        <v>0</v>
      </c>
      <c r="E23077">
        <v>0</v>
      </c>
      <c r="F23077">
        <v>175</v>
      </c>
    </row>
    <row r="23078" spans="1:6" ht="12.75">
      <c r="A23078" s="2">
        <v>43875.873402777783</v>
      </c>
      <c r="B23078" t="str">
        <f>HYPERLINK("https://twitter.com/ayufirdhausi","@ayufirdhausi")</f>
        <v>@ayufirdhausi</v>
      </c>
      <c r="C23078" t="s">
        <v>2444</v>
      </c>
      <c r="D23078">
        <v>2546</v>
      </c>
      <c r="E23078">
        <v>0</v>
      </c>
      <c r="F23078">
        <v>251</v>
      </c>
    </row>
    <row r="23079" spans="1:6" ht="12.75">
      <c r="A23079" s="2">
        <v>43875.873356481483</v>
      </c>
      <c r="B23079" t="str">
        <f>HYPERLINK("https://twitter.com/stevansixciokre","@stevansixciokre")</f>
        <v>@stevansixciokre</v>
      </c>
      <c r="C23079" t="s">
        <v>6201</v>
      </c>
      <c r="D23079">
        <v>207</v>
      </c>
      <c r="E23079">
        <v>0</v>
      </c>
      <c r="F23079">
        <v>379</v>
      </c>
    </row>
    <row r="23080" spans="1:6" ht="12.75">
      <c r="A23080" s="2">
        <v>43875.873252314814</v>
      </c>
      <c r="B23080" t="str">
        <f>HYPERLINK("https://twitter.com/Pencint49672464","@Pencint49672464")</f>
        <v>@Pencint49672464</v>
      </c>
      <c r="C23080" t="s">
        <v>10879</v>
      </c>
      <c r="D23080">
        <v>0</v>
      </c>
      <c r="E23080">
        <v>0</v>
      </c>
      <c r="F23080">
        <v>0</v>
      </c>
    </row>
    <row r="23081" spans="1:6" ht="12.75">
      <c r="A23081" s="2">
        <v>43875.873182870375</v>
      </c>
      <c r="B23081" t="str">
        <f>HYPERLINK("https://twitter.com/hamka_kd","@hamka_kd")</f>
        <v>@hamka_kd</v>
      </c>
      <c r="C23081" t="s">
        <v>10880</v>
      </c>
      <c r="D23081">
        <v>8</v>
      </c>
      <c r="E23081">
        <v>0</v>
      </c>
      <c r="F23081">
        <v>525</v>
      </c>
    </row>
    <row r="23082" spans="1:6" ht="12.75">
      <c r="A23082" s="2">
        <v>43875.873101851852</v>
      </c>
      <c r="B23082" t="str">
        <f>HYPERLINK("https://twitter.com/esusuregal","@esusuregal")</f>
        <v>@esusuregal</v>
      </c>
      <c r="C23082" t="s">
        <v>9123</v>
      </c>
      <c r="D23082">
        <v>284</v>
      </c>
      <c r="E23082">
        <v>0</v>
      </c>
      <c r="F23082">
        <v>157</v>
      </c>
    </row>
    <row r="23083" spans="1:6" ht="12.75">
      <c r="A23083" s="2">
        <v>43875.873067129629</v>
      </c>
      <c r="B23083" t="str">
        <f>HYPERLINK("https://twitter.com/24Aspahani","@24Aspahani")</f>
        <v>@24Aspahani</v>
      </c>
      <c r="C23083" t="s">
        <v>10875</v>
      </c>
      <c r="D23083">
        <v>283</v>
      </c>
      <c r="E23083">
        <v>0</v>
      </c>
      <c r="F23083">
        <v>8</v>
      </c>
    </row>
    <row r="23084" spans="1:6" ht="12.75">
      <c r="A23084" s="2">
        <v>43875.87299768519</v>
      </c>
      <c r="B23084" t="str">
        <f>HYPERLINK("https://twitter.com/borokokok_cuit","@borokokok_cuit")</f>
        <v>@borokokok_cuit</v>
      </c>
      <c r="C23084" t="s">
        <v>10881</v>
      </c>
      <c r="D23084">
        <v>0</v>
      </c>
      <c r="E23084">
        <v>0</v>
      </c>
      <c r="F23084">
        <v>18</v>
      </c>
    </row>
    <row r="23085" spans="1:6" ht="12.75">
      <c r="A23085" s="2">
        <v>43875.872962962967</v>
      </c>
      <c r="B23085" t="str">
        <f>HYPERLINK("https://twitter.com/AsepSunandarr","@AsepSunandarr")</f>
        <v>@AsepSunandarr</v>
      </c>
      <c r="C23085" t="s">
        <v>2444</v>
      </c>
      <c r="D23085">
        <v>2546</v>
      </c>
      <c r="E23085">
        <v>0</v>
      </c>
      <c r="F23085">
        <v>284</v>
      </c>
    </row>
    <row r="23086" spans="1:6" ht="12.75">
      <c r="A23086" s="2">
        <v>43875.87295138889</v>
      </c>
      <c r="B23086" t="str">
        <f>HYPERLINK("https://twitter.com/ElfaqirAbdo","@ElfaqirAbdo")</f>
        <v>@ElfaqirAbdo</v>
      </c>
      <c r="C23086" t="s">
        <v>9082</v>
      </c>
      <c r="D23086">
        <v>60</v>
      </c>
      <c r="E23086">
        <v>0</v>
      </c>
      <c r="F23086">
        <v>146</v>
      </c>
    </row>
    <row r="23087" spans="1:6" ht="12.75">
      <c r="A23087" s="2">
        <v>43875.872858796298</v>
      </c>
      <c r="B23087" t="str">
        <f>HYPERLINK("https://twitter.com/seanrdh","@seanrdh")</f>
        <v>@seanrdh</v>
      </c>
      <c r="C23087" t="s">
        <v>2097</v>
      </c>
      <c r="D23087">
        <v>395</v>
      </c>
      <c r="E23087">
        <v>0</v>
      </c>
      <c r="F23087">
        <v>38</v>
      </c>
    </row>
    <row r="23088" spans="1:6" ht="12.75">
      <c r="A23088" s="2">
        <v>43875.872789351852</v>
      </c>
      <c r="B23088" t="str">
        <f>HYPERLINK("https://twitter.com/Adlinaasma21","@Adlinaasma21")</f>
        <v>@Adlinaasma21</v>
      </c>
      <c r="C23088" t="s">
        <v>2444</v>
      </c>
      <c r="D23088">
        <v>2546</v>
      </c>
      <c r="E23088">
        <v>0</v>
      </c>
      <c r="F23088">
        <v>208</v>
      </c>
    </row>
    <row r="23089" spans="1:6" ht="12.75">
      <c r="A23089" s="2">
        <v>43875.872766203705</v>
      </c>
      <c r="B23089" t="str">
        <f>HYPERLINK("https://twitter.com/DenTjak","@DenTjak")</f>
        <v>@DenTjak</v>
      </c>
      <c r="C23089" t="s">
        <v>5761</v>
      </c>
      <c r="D23089">
        <v>78</v>
      </c>
      <c r="E23089">
        <v>0</v>
      </c>
      <c r="F23089">
        <v>182</v>
      </c>
    </row>
    <row r="23090" spans="1:6" ht="12.75">
      <c r="A23090" s="2">
        <v>43875.872731481482</v>
      </c>
      <c r="B23090" t="str">
        <f>HYPERLINK("https://twitter.com/gifthaliaa","@gifthaliaa")</f>
        <v>@gifthaliaa</v>
      </c>
      <c r="C23090" t="s">
        <v>2137</v>
      </c>
      <c r="D23090">
        <v>199</v>
      </c>
      <c r="E23090">
        <v>0</v>
      </c>
      <c r="F23090">
        <v>71</v>
      </c>
    </row>
    <row r="23091" spans="1:6" ht="12.75">
      <c r="A23091" s="2">
        <v>43875.872719907406</v>
      </c>
      <c r="B23091" t="str">
        <f>HYPERLINK("https://twitter.com/peachywoogyul","@peachywoogyul")</f>
        <v>@peachywoogyul</v>
      </c>
      <c r="C23091" t="s">
        <v>2444</v>
      </c>
      <c r="D23091">
        <v>2546</v>
      </c>
      <c r="E23091">
        <v>0</v>
      </c>
      <c r="F23091">
        <v>1077</v>
      </c>
    </row>
    <row r="23092" spans="1:6" ht="12.75">
      <c r="A23092" s="2">
        <v>43875.872696759259</v>
      </c>
      <c r="B23092" t="str">
        <f>HYPERLINK("https://twitter.com/MohSyfri","@MohSyfri")</f>
        <v>@MohSyfri</v>
      </c>
      <c r="C23092" t="s">
        <v>2963</v>
      </c>
      <c r="D23092">
        <v>1097</v>
      </c>
      <c r="E23092">
        <v>0</v>
      </c>
      <c r="F23092">
        <v>534</v>
      </c>
    </row>
    <row r="23093" spans="1:6" ht="12.75">
      <c r="A23093" s="2">
        <v>43875.872650462959</v>
      </c>
      <c r="B23093" t="str">
        <f>HYPERLINK("https://twitter.com/j4pra2","@j4pra2")</f>
        <v>@j4pra2</v>
      </c>
      <c r="C23093" t="s">
        <v>9198</v>
      </c>
      <c r="D23093">
        <v>51</v>
      </c>
      <c r="E23093">
        <v>0</v>
      </c>
      <c r="F23093">
        <v>8</v>
      </c>
    </row>
    <row r="23094" spans="1:6" ht="12.75">
      <c r="A23094" s="2">
        <v>43875.872604166667</v>
      </c>
      <c r="B23094" t="str">
        <f>HYPERLINK("https://twitter.com/UripCak","@UripCak")</f>
        <v>@UripCak</v>
      </c>
      <c r="C23094" t="s">
        <v>10232</v>
      </c>
      <c r="D23094">
        <v>8</v>
      </c>
      <c r="E23094">
        <v>0</v>
      </c>
      <c r="F23094">
        <v>1377</v>
      </c>
    </row>
    <row r="23095" spans="1:6" ht="12.75">
      <c r="A23095" s="2">
        <v>43875.872418981482</v>
      </c>
      <c r="B23095" t="str">
        <f>HYPERLINK("https://twitter.com/Cusna_sw","@Cusna_sw")</f>
        <v>@Cusna_sw</v>
      </c>
      <c r="C23095" t="s">
        <v>2444</v>
      </c>
      <c r="D23095">
        <v>2546</v>
      </c>
      <c r="E23095">
        <v>0</v>
      </c>
      <c r="F23095">
        <v>85</v>
      </c>
    </row>
    <row r="23096" spans="1:6" ht="12.75">
      <c r="A23096" s="2">
        <v>43875.872349537036</v>
      </c>
      <c r="B23096" t="str">
        <f>HYPERLINK("https://twitter.com/xuitpie","@xuitpie")</f>
        <v>@xuitpie</v>
      </c>
      <c r="C23096" t="s">
        <v>5168</v>
      </c>
      <c r="D23096">
        <v>990</v>
      </c>
      <c r="E23096">
        <v>0</v>
      </c>
      <c r="F23096">
        <v>52</v>
      </c>
    </row>
    <row r="23097" spans="1:6" ht="12.75">
      <c r="A23097" s="2">
        <v>43875.872291666667</v>
      </c>
      <c r="B23097" t="str">
        <f>HYPERLINK("https://twitter.com/kompascom","@kompascom")</f>
        <v>@kompascom</v>
      </c>
      <c r="C23097" t="s">
        <v>10882</v>
      </c>
      <c r="D23097">
        <v>0</v>
      </c>
      <c r="E23097">
        <v>3</v>
      </c>
      <c r="F23097">
        <v>7497619</v>
      </c>
    </row>
    <row r="23098" spans="1:6" ht="12.75">
      <c r="A23098" s="2">
        <v>43875.872175925921</v>
      </c>
      <c r="B23098" t="str">
        <f>HYPERLINK("https://twitter.com/AntonSu66364631","@AntonSu66364631")</f>
        <v>@AntonSu66364631</v>
      </c>
      <c r="C23098" t="s">
        <v>10883</v>
      </c>
      <c r="D23098">
        <v>0</v>
      </c>
      <c r="E23098">
        <v>0</v>
      </c>
      <c r="F23098">
        <v>0</v>
      </c>
    </row>
    <row r="23099" spans="1:6" ht="12.75">
      <c r="A23099" s="2">
        <v>43875.872141203705</v>
      </c>
      <c r="B23099" t="str">
        <f>HYPERLINK("https://twitter.com/annainggi","@annainggi")</f>
        <v>@annainggi</v>
      </c>
      <c r="C23099" t="s">
        <v>9983</v>
      </c>
      <c r="D23099">
        <v>3</v>
      </c>
      <c r="E23099">
        <v>0</v>
      </c>
      <c r="F23099">
        <v>875</v>
      </c>
    </row>
    <row r="23100" spans="1:6" ht="12.75">
      <c r="A23100" s="2">
        <v>43875.872106481482</v>
      </c>
      <c r="B23100" t="str">
        <f>HYPERLINK("https://twitter.com/Nuraji19am","@Nuraji19am")</f>
        <v>@Nuraji19am</v>
      </c>
      <c r="C23100" t="s">
        <v>9377</v>
      </c>
      <c r="D23100">
        <v>22</v>
      </c>
      <c r="E23100">
        <v>0</v>
      </c>
      <c r="F23100">
        <v>247</v>
      </c>
    </row>
    <row r="23101" spans="1:6" ht="12.75">
      <c r="A23101" s="2">
        <v>43875.871631944443</v>
      </c>
      <c r="B23101" t="str">
        <f>HYPERLINK("https://twitter.com/tedi_pirmansyah","@tedi_pirmansyah")</f>
        <v>@tedi_pirmansyah</v>
      </c>
      <c r="C23101" t="s">
        <v>2963</v>
      </c>
      <c r="D23101">
        <v>1097</v>
      </c>
      <c r="E23101">
        <v>0</v>
      </c>
      <c r="F23101">
        <v>427</v>
      </c>
    </row>
    <row r="23102" spans="1:6" ht="12.75">
      <c r="A23102" s="2">
        <v>43875.871527777781</v>
      </c>
      <c r="B23102" t="str">
        <f>HYPERLINK("https://twitter.com/mtaufikmJKT48","@mtaufikmJKT48")</f>
        <v>@mtaufikmJKT48</v>
      </c>
      <c r="C23102" t="s">
        <v>9732</v>
      </c>
      <c r="D23102">
        <v>67</v>
      </c>
      <c r="E23102">
        <v>0</v>
      </c>
      <c r="F23102">
        <v>1450</v>
      </c>
    </row>
    <row r="23103" spans="1:6" ht="12.75">
      <c r="A23103" s="2">
        <v>43875.871516203704</v>
      </c>
      <c r="B23103" t="str">
        <f>HYPERLINK("https://twitter.com/esusuregal","@esusuregal")</f>
        <v>@esusuregal</v>
      </c>
      <c r="C23103" t="s">
        <v>9067</v>
      </c>
      <c r="D23103">
        <v>35</v>
      </c>
      <c r="E23103">
        <v>0</v>
      </c>
      <c r="F23103">
        <v>157</v>
      </c>
    </row>
    <row r="23104" spans="1:6" ht="12.75">
      <c r="A23104" s="2">
        <v>43875.871481481481</v>
      </c>
      <c r="B23104" t="str">
        <f>HYPERLINK("https://twitter.com/Benemirantiii","@Benemirantiii")</f>
        <v>@Benemirantiii</v>
      </c>
      <c r="C23104" t="s">
        <v>2444</v>
      </c>
      <c r="D23104">
        <v>2546</v>
      </c>
      <c r="E23104">
        <v>0</v>
      </c>
      <c r="F23104">
        <v>326</v>
      </c>
    </row>
    <row r="23105" spans="1:6" ht="12.75">
      <c r="A23105" s="2">
        <v>43875.871435185181</v>
      </c>
      <c r="B23105" t="str">
        <f>HYPERLINK("https://twitter.com/luieyy","@luieyy")</f>
        <v>@luieyy</v>
      </c>
      <c r="C23105" t="s">
        <v>2444</v>
      </c>
      <c r="D23105">
        <v>2546</v>
      </c>
      <c r="E23105">
        <v>0</v>
      </c>
      <c r="F23105">
        <v>4</v>
      </c>
    </row>
    <row r="23106" spans="1:6" ht="12.75">
      <c r="A23106" s="2">
        <v>43875.871412037042</v>
      </c>
      <c r="B23106" t="str">
        <f>HYPERLINK("https://twitter.com/lusi_ramadhani","@lusi_ramadhani")</f>
        <v>@lusi_ramadhani</v>
      </c>
      <c r="C23106" t="s">
        <v>5168</v>
      </c>
      <c r="D23106">
        <v>990</v>
      </c>
      <c r="E23106">
        <v>0</v>
      </c>
      <c r="F23106">
        <v>354</v>
      </c>
    </row>
    <row r="23107" spans="1:6" ht="12.75">
      <c r="A23107" s="2">
        <v>43875.871388888889</v>
      </c>
      <c r="B23107" t="str">
        <f>HYPERLINK("https://twitter.com/doyeonkaltim","@doyeonkaltim")</f>
        <v>@doyeonkaltim</v>
      </c>
      <c r="C23107" t="s">
        <v>2444</v>
      </c>
      <c r="D23107">
        <v>2546</v>
      </c>
      <c r="E23107">
        <v>0</v>
      </c>
      <c r="F23107">
        <v>459</v>
      </c>
    </row>
    <row r="23108" spans="1:6" ht="12.75">
      <c r="A23108" s="2">
        <v>43875.87128472222</v>
      </c>
      <c r="B23108" t="str">
        <f>HYPERLINK("https://twitter.com/mchmddonny","@mchmddonny")</f>
        <v>@mchmddonny</v>
      </c>
      <c r="C23108" t="s">
        <v>9998</v>
      </c>
      <c r="D23108">
        <v>105</v>
      </c>
      <c r="E23108">
        <v>0</v>
      </c>
      <c r="F23108">
        <v>305</v>
      </c>
    </row>
    <row r="23109" spans="1:6" ht="12.75">
      <c r="A23109" s="2">
        <v>43875.871215277773</v>
      </c>
      <c r="B23109" t="str">
        <f>HYPERLINK("https://twitter.com/MXIMC","@MXIMC")</f>
        <v>@MXIMC</v>
      </c>
      <c r="C23109" t="s">
        <v>9067</v>
      </c>
      <c r="D23109">
        <v>35</v>
      </c>
      <c r="E23109">
        <v>0</v>
      </c>
      <c r="F23109">
        <v>411</v>
      </c>
    </row>
    <row r="23110" spans="1:6" ht="12.75">
      <c r="A23110" s="2">
        <v>43875.871192129634</v>
      </c>
      <c r="B23110" t="str">
        <f>HYPERLINK("https://twitter.com/D4D4NGLH","@D4D4NGLH")</f>
        <v>@D4D4NGLH</v>
      </c>
      <c r="C23110" t="s">
        <v>9198</v>
      </c>
      <c r="D23110">
        <v>51</v>
      </c>
      <c r="E23110">
        <v>0</v>
      </c>
      <c r="F23110">
        <v>932</v>
      </c>
    </row>
    <row r="23111" spans="1:6" ht="12.75">
      <c r="A23111" s="2">
        <v>43875.871053240742</v>
      </c>
      <c r="B23111" t="str">
        <f>HYPERLINK("https://twitter.com/sodiqinsunter","@sodiqinsunter")</f>
        <v>@sodiqinsunter</v>
      </c>
      <c r="C23111" t="s">
        <v>9746</v>
      </c>
      <c r="D23111">
        <v>349</v>
      </c>
      <c r="E23111">
        <v>0</v>
      </c>
      <c r="F23111">
        <v>29</v>
      </c>
    </row>
    <row r="23112" spans="1:6" ht="12.75">
      <c r="A23112" s="2">
        <v>43875.871041666665</v>
      </c>
      <c r="B23112" t="str">
        <f>HYPERLINK("https://twitter.com/Banyak_Bacot666","@Banyak_Bacot666")</f>
        <v>@Banyak_Bacot666</v>
      </c>
      <c r="C23112" t="s">
        <v>10884</v>
      </c>
      <c r="D23112">
        <v>0</v>
      </c>
      <c r="E23112">
        <v>2</v>
      </c>
      <c r="F23112">
        <v>24</v>
      </c>
    </row>
    <row r="23113" spans="1:6" ht="12.75">
      <c r="A23113" s="2">
        <v>43875.871030092589</v>
      </c>
      <c r="B23113" t="str">
        <f>HYPERLINK("https://twitter.com/lidah_tornado","@lidah_tornado")</f>
        <v>@lidah_tornado</v>
      </c>
      <c r="C23113" t="s">
        <v>10885</v>
      </c>
      <c r="D23113">
        <v>0</v>
      </c>
      <c r="E23113">
        <v>0</v>
      </c>
      <c r="F23113">
        <v>2607</v>
      </c>
    </row>
    <row r="23114" spans="1:6" ht="12.75">
      <c r="A23114" s="2">
        <v>43875.871018518519</v>
      </c>
      <c r="B23114" t="str">
        <f>HYPERLINK("https://twitter.com/MMashud84","@MMashud84")</f>
        <v>@MMashud84</v>
      </c>
      <c r="C23114" t="s">
        <v>2963</v>
      </c>
      <c r="D23114">
        <v>1097</v>
      </c>
      <c r="E23114">
        <v>0</v>
      </c>
      <c r="F23114">
        <v>234</v>
      </c>
    </row>
    <row r="23115" spans="1:6" ht="12.75">
      <c r="A23115" s="2">
        <v>43875.870983796296</v>
      </c>
      <c r="B23115" t="str">
        <f>HYPERLINK("https://twitter.com/fajarniskala","@fajarniskala")</f>
        <v>@fajarniskala</v>
      </c>
      <c r="C23115" t="s">
        <v>2963</v>
      </c>
      <c r="D23115">
        <v>1097</v>
      </c>
      <c r="E23115">
        <v>0</v>
      </c>
      <c r="F23115">
        <v>1603</v>
      </c>
    </row>
    <row r="23116" spans="1:6" ht="12.75">
      <c r="A23116" s="2">
        <v>43875.87096064815</v>
      </c>
      <c r="B23116" t="str">
        <f>HYPERLINK("https://twitter.com/Mjohnsamosir","@Mjohnsamosir")</f>
        <v>@Mjohnsamosir</v>
      </c>
      <c r="C23116" t="s">
        <v>10886</v>
      </c>
      <c r="D23116">
        <v>0</v>
      </c>
      <c r="E23116">
        <v>0</v>
      </c>
      <c r="F23116">
        <v>141</v>
      </c>
    </row>
    <row r="23117" spans="1:6" ht="12.75">
      <c r="A23117" s="2">
        <v>43875.87090277778</v>
      </c>
      <c r="B23117" t="str">
        <f>HYPERLINK("https://twitter.com/Aunty_Chala","@Aunty_Chala")</f>
        <v>@Aunty_Chala</v>
      </c>
      <c r="C23117" t="s">
        <v>10887</v>
      </c>
      <c r="D23117">
        <v>0</v>
      </c>
      <c r="E23117">
        <v>0</v>
      </c>
      <c r="F23117">
        <v>483</v>
      </c>
    </row>
    <row r="23118" spans="1:6" ht="12.75">
      <c r="A23118" s="2">
        <v>43875.870821759258</v>
      </c>
      <c r="B23118" t="str">
        <f>HYPERLINK("https://twitter.com/aidanafisah_","@aidanafisah_")</f>
        <v>@aidanafisah_</v>
      </c>
      <c r="C23118" t="s">
        <v>2444</v>
      </c>
      <c r="D23118">
        <v>2546</v>
      </c>
      <c r="E23118">
        <v>0</v>
      </c>
      <c r="F23118">
        <v>414</v>
      </c>
    </row>
    <row r="23119" spans="1:6" ht="12.75">
      <c r="A23119" s="2">
        <v>43875.870636574073</v>
      </c>
      <c r="B23119" t="str">
        <f>HYPERLINK("https://twitter.com/SyaRonie4","@SyaRonie4")</f>
        <v>@SyaRonie4</v>
      </c>
      <c r="C23119" t="s">
        <v>6201</v>
      </c>
      <c r="D23119">
        <v>207</v>
      </c>
      <c r="E23119">
        <v>0</v>
      </c>
      <c r="F23119">
        <v>55</v>
      </c>
    </row>
    <row r="23120" spans="1:6" ht="12.75">
      <c r="A23120" s="2">
        <v>43875.87054398148</v>
      </c>
      <c r="B23120" t="str">
        <f>HYPERLINK("https://twitter.com/ZheeOmega","@ZheeOmega")</f>
        <v>@ZheeOmega</v>
      </c>
      <c r="C23120" t="s">
        <v>10888</v>
      </c>
      <c r="D23120">
        <v>0</v>
      </c>
      <c r="E23120">
        <v>0</v>
      </c>
      <c r="F23120">
        <v>17778</v>
      </c>
    </row>
    <row r="23121" spans="1:6" ht="12.75">
      <c r="A23121" s="2">
        <v>43875.870428240742</v>
      </c>
      <c r="B23121" t="str">
        <f>HYPERLINK("https://twitter.com/yessi40136798","@yessi40136798")</f>
        <v>@yessi40136798</v>
      </c>
      <c r="C23121" t="s">
        <v>2963</v>
      </c>
      <c r="D23121">
        <v>1097</v>
      </c>
      <c r="E23121">
        <v>0</v>
      </c>
      <c r="F23121">
        <v>35</v>
      </c>
    </row>
    <row r="23122" spans="1:6" ht="12.75">
      <c r="A23122" s="2">
        <v>43875.870405092588</v>
      </c>
      <c r="B23122" t="str">
        <f>HYPERLINK("https://twitter.com/Mang_Aldo","@Mang_Aldo")</f>
        <v>@Mang_Aldo</v>
      </c>
      <c r="C23122" t="s">
        <v>6201</v>
      </c>
      <c r="D23122">
        <v>207</v>
      </c>
      <c r="E23122">
        <v>0</v>
      </c>
      <c r="F23122">
        <v>465</v>
      </c>
    </row>
    <row r="23123" spans="1:6" ht="12.75">
      <c r="A23123" s="2">
        <v>43875.870381944449</v>
      </c>
      <c r="B23123" t="str">
        <f>HYPERLINK("https://twitter.com/oktashin","@oktashin")</f>
        <v>@oktashin</v>
      </c>
      <c r="C23123" t="s">
        <v>2444</v>
      </c>
      <c r="D23123">
        <v>2546</v>
      </c>
      <c r="E23123">
        <v>0</v>
      </c>
      <c r="F23123">
        <v>228</v>
      </c>
    </row>
    <row r="23124" spans="1:6" ht="12.75">
      <c r="A23124" s="2">
        <v>43875.870335648149</v>
      </c>
      <c r="B23124" t="str">
        <f>HYPERLINK("https://twitter.com/festusvaldezz","@festusvaldezz")</f>
        <v>@festusvaldezz</v>
      </c>
      <c r="C23124" t="s">
        <v>2444</v>
      </c>
      <c r="D23124">
        <v>2546</v>
      </c>
      <c r="E23124">
        <v>0</v>
      </c>
      <c r="F23124">
        <v>1174</v>
      </c>
    </row>
    <row r="23125" spans="1:6" ht="12.75">
      <c r="A23125" s="2">
        <v>43875.870324074072</v>
      </c>
      <c r="B23125" t="str">
        <f>HYPERLINK("https://twitter.com/fa_qof","@fa_qof")</f>
        <v>@fa_qof</v>
      </c>
      <c r="C23125" t="s">
        <v>8328</v>
      </c>
      <c r="D23125">
        <v>26</v>
      </c>
      <c r="E23125">
        <v>0</v>
      </c>
      <c r="F23125">
        <v>298</v>
      </c>
    </row>
    <row r="23126" spans="1:6" ht="12.75">
      <c r="A23126" s="2">
        <v>43875.870324074072</v>
      </c>
      <c r="B23126" t="str">
        <f>HYPERLINK("https://twitter.com/lutfii_NH","@lutfii_NH")</f>
        <v>@lutfii_NH</v>
      </c>
      <c r="C23126" t="s">
        <v>2444</v>
      </c>
      <c r="D23126">
        <v>2546</v>
      </c>
      <c r="E23126">
        <v>0</v>
      </c>
      <c r="F23126">
        <v>175</v>
      </c>
    </row>
    <row r="23127" spans="1:6" ht="12.75">
      <c r="A23127" s="2">
        <v>43875.870312500003</v>
      </c>
      <c r="B23127" t="str">
        <f>HYPERLINK("https://twitter.com/yusufverdana","@yusufverdana")</f>
        <v>@yusufverdana</v>
      </c>
      <c r="C23127" t="s">
        <v>2444</v>
      </c>
      <c r="D23127">
        <v>2546</v>
      </c>
      <c r="E23127">
        <v>0</v>
      </c>
      <c r="F23127">
        <v>95</v>
      </c>
    </row>
    <row r="23128" spans="1:6" ht="12.75">
      <c r="A23128" s="2">
        <v>43875.870254629626</v>
      </c>
      <c r="B23128" t="str">
        <f>HYPERLINK("https://twitter.com/esusuregal","@esusuregal")</f>
        <v>@esusuregal</v>
      </c>
      <c r="C23128" t="s">
        <v>2444</v>
      </c>
      <c r="D23128">
        <v>2546</v>
      </c>
      <c r="E23128">
        <v>0</v>
      </c>
      <c r="F23128">
        <v>157</v>
      </c>
    </row>
    <row r="23129" spans="1:6" ht="12.75">
      <c r="A23129" s="2">
        <v>43875.87018518518</v>
      </c>
      <c r="B23129" t="str">
        <f>HYPERLINK("https://twitter.com/ErvineKiddies","@ErvineKiddies")</f>
        <v>@ErvineKiddies</v>
      </c>
      <c r="C23129" t="s">
        <v>9198</v>
      </c>
      <c r="D23129">
        <v>51</v>
      </c>
      <c r="E23129">
        <v>0</v>
      </c>
      <c r="F23129">
        <v>740</v>
      </c>
    </row>
    <row r="23130" spans="1:6" ht="12.75">
      <c r="A23130" s="2">
        <v>43875.870173611111</v>
      </c>
      <c r="B23130" t="str">
        <f>HYPERLINK("https://twitter.com/naturapersada","@naturapersada")</f>
        <v>@naturapersada</v>
      </c>
      <c r="C23130" t="s">
        <v>10508</v>
      </c>
      <c r="D23130">
        <v>0</v>
      </c>
      <c r="E23130">
        <v>0</v>
      </c>
      <c r="F23130">
        <v>1615</v>
      </c>
    </row>
    <row r="23131" spans="1:6" ht="12.75">
      <c r="A23131" s="2">
        <v>43875.870069444441</v>
      </c>
      <c r="B23131" t="str">
        <f>HYPERLINK("https://twitter.com/Widya_skb","@Widya_skb")</f>
        <v>@Widya_skb</v>
      </c>
      <c r="C23131" t="s">
        <v>7478</v>
      </c>
      <c r="D23131">
        <v>385</v>
      </c>
      <c r="E23131">
        <v>0</v>
      </c>
      <c r="F23131">
        <v>201</v>
      </c>
    </row>
    <row r="23132" spans="1:6" ht="12.75">
      <c r="A23132" s="2">
        <v>43875.870034722218</v>
      </c>
      <c r="B23132" t="str">
        <f>HYPERLINK("https://twitter.com/TMustcho","@TMustcho")</f>
        <v>@TMustcho</v>
      </c>
      <c r="C23132" t="s">
        <v>6201</v>
      </c>
      <c r="D23132">
        <v>207</v>
      </c>
      <c r="E23132">
        <v>0</v>
      </c>
      <c r="F23132">
        <v>535</v>
      </c>
    </row>
    <row r="23133" spans="1:6" ht="12.75">
      <c r="A23133" s="2">
        <v>43875.869999999995</v>
      </c>
      <c r="B23133" t="str">
        <f>HYPERLINK("https://twitter.com/avia_noer","@avia_noer")</f>
        <v>@avia_noer</v>
      </c>
      <c r="C23133" t="s">
        <v>10232</v>
      </c>
      <c r="D23133">
        <v>8</v>
      </c>
      <c r="E23133">
        <v>0</v>
      </c>
      <c r="F23133">
        <v>541</v>
      </c>
    </row>
    <row r="23134" spans="1:6" ht="12.75">
      <c r="A23134" s="2">
        <v>43875.869988425926</v>
      </c>
      <c r="B23134" t="str">
        <f>HYPERLINK("https://twitter.com/mjefrisani","@mjefrisani")</f>
        <v>@mjefrisani</v>
      </c>
      <c r="C23134" t="s">
        <v>8353</v>
      </c>
      <c r="D23134">
        <v>3</v>
      </c>
      <c r="E23134">
        <v>0</v>
      </c>
      <c r="F23134">
        <v>921</v>
      </c>
    </row>
    <row r="23135" spans="1:6" ht="12.75">
      <c r="A23135" s="2">
        <v>43875.869976851856</v>
      </c>
      <c r="B23135" t="str">
        <f>HYPERLINK("https://twitter.com/hollasundae","@hollasundae")</f>
        <v>@hollasundae</v>
      </c>
      <c r="C23135" t="s">
        <v>2444</v>
      </c>
      <c r="D23135">
        <v>2546</v>
      </c>
      <c r="E23135">
        <v>0</v>
      </c>
      <c r="F23135">
        <v>275</v>
      </c>
    </row>
    <row r="23136" spans="1:6" ht="12.75">
      <c r="A23136" s="2">
        <v>43875.869884259257</v>
      </c>
      <c r="B23136" t="str">
        <f>HYPERLINK("https://twitter.com/SahalaSimbolon3","@SahalaSimbolon3")</f>
        <v>@SahalaSimbolon3</v>
      </c>
      <c r="C23136" t="s">
        <v>10889</v>
      </c>
      <c r="D23136">
        <v>0</v>
      </c>
      <c r="E23136">
        <v>0</v>
      </c>
      <c r="F23136">
        <v>248</v>
      </c>
    </row>
    <row r="23137" spans="1:6" ht="12.75">
      <c r="A23137" s="2">
        <v>43875.86986111111</v>
      </c>
      <c r="B23137" t="str">
        <f>HYPERLINK("https://twitter.com/Antonjuniorche","@Antonjuniorche")</f>
        <v>@Antonjuniorche</v>
      </c>
      <c r="C23137" t="s">
        <v>5168</v>
      </c>
      <c r="D23137">
        <v>990</v>
      </c>
      <c r="E23137">
        <v>0</v>
      </c>
      <c r="F23137">
        <v>279</v>
      </c>
    </row>
    <row r="23138" spans="1:6" ht="12.75">
      <c r="A23138" s="2">
        <v>43875.869849537034</v>
      </c>
      <c r="B23138" t="str">
        <f>HYPERLINK("https://twitter.com/mitaalviona24","@mitaalviona24")</f>
        <v>@mitaalviona24</v>
      </c>
      <c r="C23138" t="s">
        <v>10890</v>
      </c>
      <c r="D23138">
        <v>0</v>
      </c>
      <c r="E23138">
        <v>0</v>
      </c>
      <c r="F23138">
        <v>203</v>
      </c>
    </row>
    <row r="23139" spans="1:6" ht="12.75">
      <c r="A23139" s="2">
        <v>43875.869664351849</v>
      </c>
      <c r="B23139" t="str">
        <f>HYPERLINK("https://twitter.com/baca_tanda","@baca_tanda")</f>
        <v>@baca_tanda</v>
      </c>
      <c r="C23139" t="s">
        <v>10891</v>
      </c>
      <c r="D23139">
        <v>0</v>
      </c>
      <c r="E23139">
        <v>0</v>
      </c>
      <c r="F23139">
        <v>977</v>
      </c>
    </row>
    <row r="23140" spans="1:6" ht="12.75">
      <c r="A23140" s="2">
        <v>43875.869560185187</v>
      </c>
      <c r="B23140" t="str">
        <f>HYPERLINK("https://twitter.com/elcnnsa12","@elcnnsa12")</f>
        <v>@elcnnsa12</v>
      </c>
      <c r="C23140" t="s">
        <v>2444</v>
      </c>
      <c r="D23140">
        <v>2546</v>
      </c>
      <c r="E23140">
        <v>0</v>
      </c>
      <c r="F23140">
        <v>24</v>
      </c>
    </row>
    <row r="23141" spans="1:6" ht="12.75">
      <c r="A23141" s="2">
        <v>43875.869513888887</v>
      </c>
      <c r="B23141" t="str">
        <f>HYPERLINK("https://twitter.com/chocoratze","@chocoratze")</f>
        <v>@chocoratze</v>
      </c>
      <c r="C23141" t="s">
        <v>2444</v>
      </c>
      <c r="D23141">
        <v>2546</v>
      </c>
      <c r="E23141">
        <v>0</v>
      </c>
      <c r="F23141">
        <v>100</v>
      </c>
    </row>
    <row r="23142" spans="1:6" ht="12.75">
      <c r="A23142" s="2">
        <v>43875.869421296295</v>
      </c>
      <c r="B23142" t="str">
        <f>HYPERLINK("https://twitter.com/Pencint49672464","@Pencint49672464")</f>
        <v>@Pencint49672464</v>
      </c>
      <c r="C23142" t="s">
        <v>10892</v>
      </c>
      <c r="D23142">
        <v>0</v>
      </c>
      <c r="E23142">
        <v>0</v>
      </c>
      <c r="F23142">
        <v>0</v>
      </c>
    </row>
    <row r="23143" spans="1:6" ht="12.75">
      <c r="A23143" s="2">
        <v>43875.869270833333</v>
      </c>
      <c r="B23143" t="str">
        <f>HYPERLINK("https://twitter.com/mjefrisani","@mjefrisani")</f>
        <v>@mjefrisani</v>
      </c>
      <c r="C23143" t="s">
        <v>2963</v>
      </c>
      <c r="D23143">
        <v>1097</v>
      </c>
      <c r="E23143">
        <v>0</v>
      </c>
      <c r="F23143">
        <v>921</v>
      </c>
    </row>
    <row r="23144" spans="1:6" ht="12.75">
      <c r="A23144" s="2">
        <v>43875.869201388894</v>
      </c>
      <c r="B23144" t="str">
        <f>HYPERLINK("https://twitter.com/najwa2_nashwan1","@najwa2_nashwan1")</f>
        <v>@najwa2_nashwan1</v>
      </c>
      <c r="C23144" t="s">
        <v>2963</v>
      </c>
      <c r="D23144">
        <v>1097</v>
      </c>
      <c r="E23144">
        <v>0</v>
      </c>
      <c r="F23144">
        <v>506</v>
      </c>
    </row>
    <row r="23145" spans="1:6" ht="12.75">
      <c r="A23145" s="2">
        <v>43875.86918981481</v>
      </c>
      <c r="B23145" t="str">
        <f>HYPERLINK("https://twitter.com/Fredy_Santana01","@Fredy_Santana01")</f>
        <v>@Fredy_Santana01</v>
      </c>
      <c r="C23145" t="s">
        <v>8542</v>
      </c>
      <c r="D23145">
        <v>7</v>
      </c>
      <c r="E23145">
        <v>0</v>
      </c>
      <c r="F23145">
        <v>1688</v>
      </c>
    </row>
    <row r="23146" spans="1:6" ht="12.75">
      <c r="A23146" s="2">
        <v>43875.86918981481</v>
      </c>
      <c r="B23146" t="str">
        <f>HYPERLINK("https://twitter.com/meyladty","@meyladty")</f>
        <v>@meyladty</v>
      </c>
      <c r="C23146" t="s">
        <v>2444</v>
      </c>
      <c r="D23146">
        <v>2546</v>
      </c>
      <c r="E23146">
        <v>0</v>
      </c>
      <c r="F23146">
        <v>169</v>
      </c>
    </row>
    <row r="23147" spans="1:6" ht="12.75">
      <c r="A23147" s="2">
        <v>43875.869166666671</v>
      </c>
      <c r="B23147" t="str">
        <f>HYPERLINK("https://twitter.com/sirajapadoha","@sirajapadoha")</f>
        <v>@sirajapadoha</v>
      </c>
      <c r="C23147" t="s">
        <v>2963</v>
      </c>
      <c r="D23147">
        <v>1097</v>
      </c>
      <c r="E23147">
        <v>0</v>
      </c>
      <c r="F23147">
        <v>2401</v>
      </c>
    </row>
    <row r="23148" spans="1:6" ht="12.75">
      <c r="A23148" s="2">
        <v>43875.869155092594</v>
      </c>
      <c r="B23148" t="str">
        <f>HYPERLINK("https://twitter.com/thenextbatutah","@thenextbatutah")</f>
        <v>@thenextbatutah</v>
      </c>
      <c r="C23148" t="s">
        <v>10893</v>
      </c>
      <c r="D23148">
        <v>0</v>
      </c>
      <c r="E23148">
        <v>0</v>
      </c>
      <c r="F23148">
        <v>348</v>
      </c>
    </row>
    <row r="23149" spans="1:6" ht="12.75">
      <c r="A23149" s="2">
        <v>43875.869120370371</v>
      </c>
      <c r="B23149" t="str">
        <f>HYPERLINK("https://twitter.com/kakwonpeeel","@kakwonpeeel")</f>
        <v>@kakwonpeeel</v>
      </c>
      <c r="C23149" t="s">
        <v>2444</v>
      </c>
      <c r="D23149">
        <v>2546</v>
      </c>
      <c r="E23149">
        <v>0</v>
      </c>
      <c r="F23149">
        <v>1661</v>
      </c>
    </row>
    <row r="23150" spans="1:6" ht="12.75">
      <c r="A23150" s="2">
        <v>43875.869027777779</v>
      </c>
      <c r="B23150" t="str">
        <f>HYPERLINK("https://twitter.com/bmbgst","@bmbgst")</f>
        <v>@bmbgst</v>
      </c>
      <c r="C23150" t="s">
        <v>9198</v>
      </c>
      <c r="D23150">
        <v>51</v>
      </c>
      <c r="E23150">
        <v>0</v>
      </c>
      <c r="F23150">
        <v>567</v>
      </c>
    </row>
    <row r="23151" spans="1:6" ht="12.75">
      <c r="A23151" s="2">
        <v>43875.868900462963</v>
      </c>
      <c r="B23151" t="str">
        <f>HYPERLINK("https://twitter.com/RudySt6","@RudySt6")</f>
        <v>@RudySt6</v>
      </c>
      <c r="C23151" t="s">
        <v>10052</v>
      </c>
      <c r="D23151">
        <v>78</v>
      </c>
      <c r="E23151">
        <v>0</v>
      </c>
      <c r="F23151">
        <v>348</v>
      </c>
    </row>
    <row r="23152" spans="1:6" ht="12.75">
      <c r="A23152" s="2">
        <v>43875.868738425925</v>
      </c>
      <c r="B23152" t="str">
        <f>HYPERLINK("https://twitter.com/ErfaProgrock","@ErfaProgrock")</f>
        <v>@ErfaProgrock</v>
      </c>
      <c r="C23152" t="s">
        <v>10894</v>
      </c>
      <c r="D23152">
        <v>0</v>
      </c>
      <c r="E23152">
        <v>0</v>
      </c>
      <c r="F23152">
        <v>88</v>
      </c>
    </row>
    <row r="23153" spans="1:6" ht="12.75">
      <c r="A23153" s="2">
        <v>43875.868715277778</v>
      </c>
      <c r="B23153" t="str">
        <f t="shared" ref="B23153:B23154" si="338">HYPERLINK("https://twitter.com/Fannytjio1","@Fannytjio1")</f>
        <v>@Fannytjio1</v>
      </c>
      <c r="C23153" t="s">
        <v>5761</v>
      </c>
      <c r="D23153">
        <v>78</v>
      </c>
      <c r="E23153">
        <v>0</v>
      </c>
      <c r="F23153">
        <v>38</v>
      </c>
    </row>
    <row r="23154" spans="1:6" ht="12.75">
      <c r="A23154" s="2">
        <v>43875.868680555555</v>
      </c>
      <c r="B23154" t="str">
        <f t="shared" si="338"/>
        <v>@Fannytjio1</v>
      </c>
      <c r="C23154" t="s">
        <v>2963</v>
      </c>
      <c r="D23154">
        <v>1097</v>
      </c>
      <c r="E23154">
        <v>0</v>
      </c>
      <c r="F23154">
        <v>38</v>
      </c>
    </row>
    <row r="23155" spans="1:6" ht="12.75">
      <c r="A23155" s="2">
        <v>43875.868634259255</v>
      </c>
      <c r="B23155" t="str">
        <f>HYPERLINK("https://twitter.com/Rizky8421","@Rizky8421")</f>
        <v>@Rizky8421</v>
      </c>
      <c r="C23155" t="s">
        <v>6201</v>
      </c>
      <c r="D23155">
        <v>207</v>
      </c>
      <c r="E23155">
        <v>0</v>
      </c>
      <c r="F23155">
        <v>18</v>
      </c>
    </row>
    <row r="23156" spans="1:6" ht="12.75">
      <c r="A23156" s="2">
        <v>43875.868518518517</v>
      </c>
      <c r="B23156" t="str">
        <f>HYPERLINK("https://twitter.com/Datuakpanduko2","@Datuakpanduko2")</f>
        <v>@Datuakpanduko2</v>
      </c>
      <c r="C23156" t="s">
        <v>9732</v>
      </c>
      <c r="D23156">
        <v>67</v>
      </c>
      <c r="E23156">
        <v>0</v>
      </c>
      <c r="F23156">
        <v>1574</v>
      </c>
    </row>
    <row r="23157" spans="1:6" ht="12.75">
      <c r="A23157" s="2">
        <v>43875.868472222224</v>
      </c>
      <c r="B23157" t="str">
        <f>HYPERLINK("https://twitter.com/mondry_eddy","@mondry_eddy")</f>
        <v>@mondry_eddy</v>
      </c>
      <c r="C23157" t="s">
        <v>10895</v>
      </c>
      <c r="D23157">
        <v>0</v>
      </c>
      <c r="E23157">
        <v>2</v>
      </c>
      <c r="F23157">
        <v>266</v>
      </c>
    </row>
    <row r="23158" spans="1:6" ht="12.75">
      <c r="A23158" s="2">
        <v>43875.868449074071</v>
      </c>
      <c r="B23158" t="str">
        <f>HYPERLINK("https://twitter.com/AlfaOmega0110","@AlfaOmega0110")</f>
        <v>@AlfaOmega0110</v>
      </c>
      <c r="C23158" t="s">
        <v>10896</v>
      </c>
      <c r="D23158">
        <v>0</v>
      </c>
      <c r="E23158">
        <v>0</v>
      </c>
      <c r="F23158">
        <v>967</v>
      </c>
    </row>
    <row r="23159" spans="1:6" ht="12.75">
      <c r="A23159" s="2">
        <v>43875.86819444444</v>
      </c>
      <c r="B23159" t="str">
        <f>HYPERLINK("https://twitter.com/matchanthebear","@matchanthebear")</f>
        <v>@matchanthebear</v>
      </c>
      <c r="C23159" t="s">
        <v>2444</v>
      </c>
      <c r="D23159">
        <v>2546</v>
      </c>
      <c r="E23159">
        <v>0</v>
      </c>
      <c r="F23159">
        <v>28</v>
      </c>
    </row>
    <row r="23160" spans="1:6" ht="12.75">
      <c r="A23160" s="2">
        <v>43875.868113425924</v>
      </c>
      <c r="B23160" t="str">
        <f>HYPERLINK("https://twitter.com/menghela","@menghela")</f>
        <v>@menghela</v>
      </c>
      <c r="C23160" t="s">
        <v>9123</v>
      </c>
      <c r="D23160">
        <v>284</v>
      </c>
      <c r="E23160">
        <v>0</v>
      </c>
      <c r="F23160">
        <v>569</v>
      </c>
    </row>
    <row r="23161" spans="1:6" ht="12.75">
      <c r="A23161" s="2">
        <v>43875.868078703701</v>
      </c>
      <c r="B23161" t="str">
        <f>HYPERLINK("https://twitter.com/KolonelTarzan","@KolonelTarzan")</f>
        <v>@KolonelTarzan</v>
      </c>
      <c r="C23161" t="s">
        <v>10897</v>
      </c>
      <c r="D23161">
        <v>0</v>
      </c>
      <c r="E23161">
        <v>0</v>
      </c>
      <c r="F23161">
        <v>343</v>
      </c>
    </row>
    <row r="23162" spans="1:6" ht="12.75">
      <c r="A23162" s="2">
        <v>43875.868067129632</v>
      </c>
      <c r="B23162" t="str">
        <f>HYPERLINK("https://twitter.com/visitgarsela","@visitgarsela")</f>
        <v>@visitgarsela</v>
      </c>
      <c r="C23162" t="s">
        <v>2444</v>
      </c>
      <c r="D23162">
        <v>2546</v>
      </c>
      <c r="E23162">
        <v>0</v>
      </c>
      <c r="F23162">
        <v>397</v>
      </c>
    </row>
    <row r="23163" spans="1:6" ht="12.75">
      <c r="A23163" s="2">
        <v>43875.868032407408</v>
      </c>
      <c r="B23163" t="str">
        <f>HYPERLINK("https://twitter.com/mushafiyani","@mushafiyani")</f>
        <v>@mushafiyani</v>
      </c>
      <c r="C23163" t="s">
        <v>5168</v>
      </c>
      <c r="D23163">
        <v>990</v>
      </c>
      <c r="E23163">
        <v>0</v>
      </c>
      <c r="F23163">
        <v>208</v>
      </c>
    </row>
    <row r="23164" spans="1:6" ht="12.75">
      <c r="A23164" s="2">
        <v>43875.868009259255</v>
      </c>
      <c r="B23164" t="str">
        <f>HYPERLINK("https://twitter.com/babblinx","@babblinx")</f>
        <v>@babblinx</v>
      </c>
      <c r="C23164" t="s">
        <v>9067</v>
      </c>
      <c r="D23164">
        <v>35</v>
      </c>
      <c r="E23164">
        <v>0</v>
      </c>
      <c r="F23164">
        <v>272</v>
      </c>
    </row>
    <row r="23165" spans="1:6" ht="12.75">
      <c r="A23165" s="2">
        <v>43875.867974537032</v>
      </c>
      <c r="B23165" t="str">
        <f>HYPERLINK("https://twitter.com/KetidakpastiHan","@KetidakpastiHan")</f>
        <v>@KetidakpastiHan</v>
      </c>
      <c r="C23165" t="s">
        <v>2444</v>
      </c>
      <c r="D23165">
        <v>2546</v>
      </c>
      <c r="E23165">
        <v>0</v>
      </c>
      <c r="F23165">
        <v>1168</v>
      </c>
    </row>
    <row r="23166" spans="1:6" ht="12.75">
      <c r="A23166" s="2">
        <v>43875.867939814816</v>
      </c>
      <c r="B23166" t="str">
        <f>HYPERLINK("https://twitter.com/yoonkukk","@yoonkukk")</f>
        <v>@yoonkukk</v>
      </c>
      <c r="C23166" t="s">
        <v>10898</v>
      </c>
      <c r="D23166">
        <v>0</v>
      </c>
      <c r="E23166">
        <v>0</v>
      </c>
      <c r="F23166">
        <v>5263</v>
      </c>
    </row>
    <row r="23167" spans="1:6" ht="12.75">
      <c r="A23167" s="2">
        <v>43875.867743055554</v>
      </c>
      <c r="B23167" t="str">
        <f>HYPERLINK("https://twitter.com/jeep_land","@jeep_land")</f>
        <v>@jeep_land</v>
      </c>
      <c r="C23167" t="s">
        <v>10899</v>
      </c>
      <c r="D23167">
        <v>0</v>
      </c>
      <c r="E23167">
        <v>0</v>
      </c>
      <c r="F23167">
        <v>32</v>
      </c>
    </row>
    <row r="23168" spans="1:6" ht="12.75">
      <c r="A23168" s="2">
        <v>43875.867731481485</v>
      </c>
      <c r="B23168" t="str">
        <f>HYPERLINK("https://twitter.com/ppmAswaja","@ppmAswaja")</f>
        <v>@ppmAswaja</v>
      </c>
      <c r="C23168" t="s">
        <v>10900</v>
      </c>
      <c r="D23168">
        <v>0</v>
      </c>
      <c r="E23168">
        <v>0</v>
      </c>
      <c r="F23168">
        <v>7840</v>
      </c>
    </row>
    <row r="23169" spans="1:6" ht="12.75">
      <c r="A23169" s="2">
        <v>43875.867662037039</v>
      </c>
      <c r="B23169" t="str">
        <f>HYPERLINK("https://twitter.com/pattonspotting","@pattonspotting")</f>
        <v>@pattonspotting</v>
      </c>
      <c r="C23169" t="s">
        <v>3150</v>
      </c>
      <c r="D23169">
        <v>13</v>
      </c>
      <c r="E23169">
        <v>0</v>
      </c>
      <c r="F23169">
        <v>1064</v>
      </c>
    </row>
    <row r="23170" spans="1:6" ht="12.75">
      <c r="A23170" s="2">
        <v>43875.86755787037</v>
      </c>
      <c r="B23170" t="str">
        <f>HYPERLINK("https://twitter.com/ninicwahyu","@ninicwahyu")</f>
        <v>@ninicwahyu</v>
      </c>
      <c r="C23170" t="s">
        <v>2444</v>
      </c>
      <c r="D23170">
        <v>2546</v>
      </c>
      <c r="E23170">
        <v>0</v>
      </c>
      <c r="F23170">
        <v>387</v>
      </c>
    </row>
    <row r="23171" spans="1:6" ht="12.75">
      <c r="A23171" s="2">
        <v>43875.867523148147</v>
      </c>
      <c r="B23171" t="str">
        <f>HYPERLINK("https://twitter.com/aniek26551407","@aniek26551407")</f>
        <v>@aniek26551407</v>
      </c>
      <c r="C23171" t="s">
        <v>10407</v>
      </c>
      <c r="D23171">
        <v>54</v>
      </c>
      <c r="E23171">
        <v>0</v>
      </c>
      <c r="F23171">
        <v>571</v>
      </c>
    </row>
    <row r="23172" spans="1:6" ht="12.75">
      <c r="A23172" s="2">
        <v>43875.867523148147</v>
      </c>
      <c r="B23172" t="str">
        <f>HYPERLINK("https://twitter.com/HerryAlexander2","@HerryAlexander2")</f>
        <v>@HerryAlexander2</v>
      </c>
      <c r="C23172" t="s">
        <v>10901</v>
      </c>
      <c r="D23172">
        <v>0</v>
      </c>
      <c r="E23172">
        <v>0</v>
      </c>
      <c r="F23172">
        <v>789</v>
      </c>
    </row>
    <row r="23173" spans="1:6" ht="12.75">
      <c r="A23173" s="2">
        <v>43875.867476851854</v>
      </c>
      <c r="B23173" t="str">
        <f>HYPERLINK("https://twitter.com/azzurafarh","@azzurafarh")</f>
        <v>@azzurafarh</v>
      </c>
      <c r="C23173" t="s">
        <v>2444</v>
      </c>
      <c r="D23173">
        <v>2546</v>
      </c>
      <c r="E23173">
        <v>0</v>
      </c>
      <c r="F23173">
        <v>1190</v>
      </c>
    </row>
    <row r="23174" spans="1:6" ht="12.75">
      <c r="A23174" s="2">
        <v>43875.8674537037</v>
      </c>
      <c r="B23174" t="str">
        <f>HYPERLINK("https://twitter.com/rustanandiabba1","@rustanandiabba1")</f>
        <v>@rustanandiabba1</v>
      </c>
      <c r="C23174" t="s">
        <v>175</v>
      </c>
      <c r="D23174">
        <v>5302</v>
      </c>
      <c r="E23174">
        <v>0</v>
      </c>
      <c r="F23174">
        <v>19</v>
      </c>
    </row>
    <row r="23175" spans="1:6" ht="12.75">
      <c r="A23175" s="2">
        <v>43875.867337962962</v>
      </c>
      <c r="B23175" t="str">
        <f>HYPERLINK("https://twitter.com/feriakbar18","@feriakbar18")</f>
        <v>@feriakbar18</v>
      </c>
      <c r="C23175" t="s">
        <v>7888</v>
      </c>
      <c r="D23175">
        <v>28</v>
      </c>
      <c r="E23175">
        <v>0</v>
      </c>
      <c r="F23175">
        <v>873</v>
      </c>
    </row>
    <row r="23176" spans="1:6" ht="12.75">
      <c r="A23176" s="2">
        <v>43875.867326388892</v>
      </c>
      <c r="B23176" t="str">
        <f>HYPERLINK("https://twitter.com/fujoshi232","@fujoshi232")</f>
        <v>@fujoshi232</v>
      </c>
      <c r="C23176" t="s">
        <v>2444</v>
      </c>
      <c r="D23176">
        <v>2546</v>
      </c>
      <c r="E23176">
        <v>0</v>
      </c>
      <c r="F23176">
        <v>288</v>
      </c>
    </row>
    <row r="23177" spans="1:6" ht="12.75">
      <c r="A23177" s="2">
        <v>43875.867141203707</v>
      </c>
      <c r="B23177" t="str">
        <f>HYPERLINK("https://twitter.com/einstein_idn","@einstein_idn")</f>
        <v>@einstein_idn</v>
      </c>
      <c r="C23177" t="s">
        <v>10902</v>
      </c>
      <c r="D23177">
        <v>0</v>
      </c>
      <c r="E23177">
        <v>0</v>
      </c>
      <c r="F23177">
        <v>1280</v>
      </c>
    </row>
    <row r="23178" spans="1:6" ht="12.75">
      <c r="A23178" s="2">
        <v>43875.867118055554</v>
      </c>
      <c r="B23178" t="str">
        <f>HYPERLINK("https://twitter.com/Zulkifl45368687","@Zulkifl45368687")</f>
        <v>@Zulkifl45368687</v>
      </c>
      <c r="C23178" t="s">
        <v>2963</v>
      </c>
      <c r="D23178">
        <v>1097</v>
      </c>
      <c r="E23178">
        <v>0</v>
      </c>
      <c r="F23178">
        <v>3</v>
      </c>
    </row>
    <row r="23179" spans="1:6" ht="12.75">
      <c r="A23179" s="2">
        <v>43875.867094907408</v>
      </c>
      <c r="B23179" t="str">
        <f>HYPERLINK("https://twitter.com/Erik_Alfredo5","@Erik_Alfredo5")</f>
        <v>@Erik_Alfredo5</v>
      </c>
      <c r="C23179" t="s">
        <v>10903</v>
      </c>
      <c r="D23179">
        <v>0</v>
      </c>
      <c r="E23179">
        <v>0</v>
      </c>
      <c r="F23179">
        <v>790</v>
      </c>
    </row>
    <row r="23180" spans="1:6" ht="12.75">
      <c r="A23180" s="2">
        <v>43875.866979166662</v>
      </c>
      <c r="B23180" t="str">
        <f>HYPERLINK("https://twitter.com/najwa2_nashwan1","@najwa2_nashwan1")</f>
        <v>@najwa2_nashwan1</v>
      </c>
      <c r="C23180" t="s">
        <v>9198</v>
      </c>
      <c r="D23180">
        <v>51</v>
      </c>
      <c r="E23180">
        <v>0</v>
      </c>
      <c r="F23180">
        <v>506</v>
      </c>
    </row>
    <row r="23181" spans="1:6" ht="12.75">
      <c r="A23181" s="2">
        <v>43875.866967592592</v>
      </c>
      <c r="B23181" t="str">
        <f>HYPERLINK("https://twitter.com/RinjaniJB","@RinjaniJB")</f>
        <v>@RinjaniJB</v>
      </c>
      <c r="C23181" t="s">
        <v>10904</v>
      </c>
      <c r="D23181">
        <v>1</v>
      </c>
      <c r="E23181">
        <v>0</v>
      </c>
      <c r="F23181">
        <v>19178</v>
      </c>
    </row>
    <row r="23182" spans="1:6" ht="12.75">
      <c r="A23182" s="2">
        <v>43875.866956018523</v>
      </c>
      <c r="B23182" t="str">
        <f>HYPERLINK("https://twitter.com/john65802895","@john65802895")</f>
        <v>@john65802895</v>
      </c>
      <c r="C23182" t="s">
        <v>10905</v>
      </c>
      <c r="D23182">
        <v>0</v>
      </c>
      <c r="E23182">
        <v>0</v>
      </c>
      <c r="F23182">
        <v>33</v>
      </c>
    </row>
    <row r="23183" spans="1:6" ht="12.75">
      <c r="A23183" s="2">
        <v>43875.86681712963</v>
      </c>
      <c r="B23183" t="str">
        <f>HYPERLINK("https://twitter.com/tiarasanders07","@tiarasanders07")</f>
        <v>@tiarasanders07</v>
      </c>
      <c r="C23183" t="s">
        <v>2444</v>
      </c>
      <c r="D23183">
        <v>2546</v>
      </c>
      <c r="E23183">
        <v>0</v>
      </c>
      <c r="F23183">
        <v>182</v>
      </c>
    </row>
    <row r="23184" spans="1:6" ht="12.75">
      <c r="A23184" s="2">
        <v>43875.866793981477</v>
      </c>
      <c r="B23184" t="str">
        <f>HYPERLINK("https://twitter.com/refiardianata","@refiardianata")</f>
        <v>@refiardianata</v>
      </c>
      <c r="C23184" t="s">
        <v>5168</v>
      </c>
      <c r="D23184">
        <v>990</v>
      </c>
      <c r="E23184">
        <v>0</v>
      </c>
      <c r="F23184">
        <v>358</v>
      </c>
    </row>
    <row r="23185" spans="1:6" ht="12.75">
      <c r="A23185" s="2">
        <v>43875.866759259261</v>
      </c>
      <c r="B23185" t="str">
        <f>HYPERLINK("https://twitter.com/cocont","@cocont")</f>
        <v>@cocont</v>
      </c>
      <c r="C23185" t="s">
        <v>2444</v>
      </c>
      <c r="D23185">
        <v>2546</v>
      </c>
      <c r="E23185">
        <v>0</v>
      </c>
      <c r="F23185">
        <v>240</v>
      </c>
    </row>
    <row r="23186" spans="1:6" ht="12.75">
      <c r="A23186" s="2">
        <v>43875.866689814815</v>
      </c>
      <c r="B23186" t="str">
        <f>HYPERLINK("https://twitter.com/antojudhisthira","@antojudhisthira")</f>
        <v>@antojudhisthira</v>
      </c>
      <c r="C23186" t="s">
        <v>10083</v>
      </c>
      <c r="D23186">
        <v>27</v>
      </c>
      <c r="E23186">
        <v>0</v>
      </c>
      <c r="F23186">
        <v>822</v>
      </c>
    </row>
    <row r="23187" spans="1:6" ht="12.75">
      <c r="A23187" s="2">
        <v>43875.866562499999</v>
      </c>
      <c r="B23187" t="str">
        <f>HYPERLINK("https://twitter.com/mjefrisani","@mjefrisani")</f>
        <v>@mjefrisani</v>
      </c>
      <c r="C23187" t="s">
        <v>6201</v>
      </c>
      <c r="D23187">
        <v>207</v>
      </c>
      <c r="E23187">
        <v>0</v>
      </c>
      <c r="F23187">
        <v>921</v>
      </c>
    </row>
    <row r="23188" spans="1:6" ht="12.75">
      <c r="A23188" s="2">
        <v>43875.86655092593</v>
      </c>
      <c r="B23188" t="str">
        <f>HYPERLINK("https://twitter.com/KhanzoSalman","@KhanzoSalman")</f>
        <v>@KhanzoSalman</v>
      </c>
      <c r="C23188" t="s">
        <v>10906</v>
      </c>
      <c r="D23188">
        <v>3</v>
      </c>
      <c r="E23188">
        <v>0</v>
      </c>
      <c r="F23188">
        <v>54</v>
      </c>
    </row>
    <row r="23189" spans="1:6" ht="12.75">
      <c r="A23189" s="2">
        <v>43875.866527777776</v>
      </c>
      <c r="B23189" t="str">
        <f>HYPERLINK("https://twitter.com/Agusman70452600","@Agusman70452600")</f>
        <v>@Agusman70452600</v>
      </c>
      <c r="C23189" t="s">
        <v>10907</v>
      </c>
      <c r="D23189">
        <v>2</v>
      </c>
      <c r="E23189">
        <v>0</v>
      </c>
      <c r="F23189">
        <v>474</v>
      </c>
    </row>
    <row r="23190" spans="1:6" ht="12.75">
      <c r="A23190" s="2">
        <v>43875.866469907407</v>
      </c>
      <c r="B23190" t="str">
        <f>HYPERLINK("https://twitter.com/espresseo","@espresseo")</f>
        <v>@espresseo</v>
      </c>
      <c r="C23190" t="s">
        <v>9964</v>
      </c>
      <c r="D23190">
        <v>633</v>
      </c>
      <c r="E23190">
        <v>0</v>
      </c>
      <c r="F23190">
        <v>553</v>
      </c>
    </row>
    <row r="23191" spans="1:6" ht="12.75">
      <c r="A23191" s="2">
        <v>43875.866412037038</v>
      </c>
      <c r="B23191" t="str">
        <f>HYPERLINK("https://twitter.com/hedyindrayana","@hedyindrayana")</f>
        <v>@hedyindrayana</v>
      </c>
      <c r="C23191" t="s">
        <v>9198</v>
      </c>
      <c r="D23191">
        <v>51</v>
      </c>
      <c r="E23191">
        <v>0</v>
      </c>
      <c r="F23191">
        <v>971</v>
      </c>
    </row>
    <row r="23192" spans="1:6" ht="12.75">
      <c r="A23192" s="2">
        <v>43875.866319444445</v>
      </c>
      <c r="B23192" t="str">
        <f>HYPERLINK("https://twitter.com/monaaver77","@monaaver77")</f>
        <v>@monaaver77</v>
      </c>
      <c r="C23192" t="s">
        <v>8328</v>
      </c>
      <c r="D23192">
        <v>26</v>
      </c>
      <c r="E23192">
        <v>0</v>
      </c>
      <c r="F23192">
        <v>530</v>
      </c>
    </row>
    <row r="23193" spans="1:6" ht="12.75">
      <c r="A23193" s="2">
        <v>43875.866284722222</v>
      </c>
      <c r="B23193" t="str">
        <f>HYPERLINK("https://twitter.com/Mihsan_firdaus","@Mihsan_firdaus")</f>
        <v>@Mihsan_firdaus</v>
      </c>
      <c r="C23193" t="s">
        <v>2444</v>
      </c>
      <c r="D23193">
        <v>2546</v>
      </c>
      <c r="E23193">
        <v>0</v>
      </c>
      <c r="F23193">
        <v>81</v>
      </c>
    </row>
    <row r="23194" spans="1:6" ht="12.75">
      <c r="A23194" s="2">
        <v>43875.86618055556</v>
      </c>
      <c r="B23194" t="str">
        <f>HYPERLINK("https://twitter.com/RinjaniJB","@RinjaniJB")</f>
        <v>@RinjaniJB</v>
      </c>
      <c r="C23194" t="s">
        <v>9001</v>
      </c>
      <c r="D23194">
        <v>1</v>
      </c>
      <c r="E23194">
        <v>0</v>
      </c>
      <c r="F23194">
        <v>19178</v>
      </c>
    </row>
    <row r="23195" spans="1:6" ht="12.75">
      <c r="A23195" s="2">
        <v>43875.866168981476</v>
      </c>
      <c r="B23195" t="str">
        <f>HYPERLINK("https://twitter.com/intansavhyraa","@intansavhyraa")</f>
        <v>@intansavhyraa</v>
      </c>
      <c r="C23195" t="s">
        <v>10908</v>
      </c>
      <c r="D23195">
        <v>1</v>
      </c>
      <c r="E23195">
        <v>0</v>
      </c>
      <c r="F23195">
        <v>869</v>
      </c>
    </row>
    <row r="23196" spans="1:6" ht="12.75">
      <c r="A23196" s="2">
        <v>43875.866111111114</v>
      </c>
      <c r="B23196" t="str">
        <f>HYPERLINK("https://twitter.com/Ridwannurm","@Ridwannurm")</f>
        <v>@Ridwannurm</v>
      </c>
      <c r="C23196" t="s">
        <v>2444</v>
      </c>
      <c r="D23196">
        <v>2546</v>
      </c>
      <c r="E23196">
        <v>0</v>
      </c>
      <c r="F23196">
        <v>570</v>
      </c>
    </row>
    <row r="23197" spans="1:6" ht="12.75">
      <c r="A23197" s="2">
        <v>43875.866087962961</v>
      </c>
      <c r="B23197" t="str">
        <f>HYPERLINK("https://twitter.com/ariyandi501","@ariyandi501")</f>
        <v>@ariyandi501</v>
      </c>
      <c r="C23197" t="s">
        <v>2444</v>
      </c>
      <c r="D23197">
        <v>2546</v>
      </c>
      <c r="E23197">
        <v>0</v>
      </c>
      <c r="F23197">
        <v>200</v>
      </c>
    </row>
    <row r="23198" spans="1:6" ht="12.75">
      <c r="A23198" s="2">
        <v>43875.866087962961</v>
      </c>
      <c r="B23198" t="str">
        <f>HYPERLINK("https://twitter.com/82Arfun","@82Arfun")</f>
        <v>@82Arfun</v>
      </c>
      <c r="C23198" t="s">
        <v>6201</v>
      </c>
      <c r="D23198">
        <v>207</v>
      </c>
      <c r="E23198">
        <v>0</v>
      </c>
      <c r="F23198">
        <v>2458</v>
      </c>
    </row>
    <row r="23199" spans="1:6" ht="12.75">
      <c r="A23199" s="2">
        <v>43875.866076388891</v>
      </c>
      <c r="B23199" t="str">
        <f>HYPERLINK("https://twitter.com/Erghiokta","@Erghiokta")</f>
        <v>@Erghiokta</v>
      </c>
      <c r="C23199" t="s">
        <v>2444</v>
      </c>
      <c r="D23199">
        <v>2546</v>
      </c>
      <c r="E23199">
        <v>0</v>
      </c>
      <c r="F23199">
        <v>368</v>
      </c>
    </row>
    <row r="23200" spans="1:6" ht="12.75">
      <c r="A23200" s="2">
        <v>43875.866030092591</v>
      </c>
      <c r="B23200" t="str">
        <f>HYPERLINK("https://twitter.com/sintaadzilla","@sintaadzilla")</f>
        <v>@sintaadzilla</v>
      </c>
      <c r="C23200" t="s">
        <v>10909</v>
      </c>
      <c r="D23200">
        <v>0</v>
      </c>
      <c r="E23200">
        <v>0</v>
      </c>
      <c r="F23200">
        <v>482</v>
      </c>
    </row>
    <row r="23201" spans="1:6" ht="12.75">
      <c r="A23201" s="2">
        <v>43875.866030092591</v>
      </c>
      <c r="B23201" t="str">
        <f>HYPERLINK("https://twitter.com/intansavhyraa","@intansavhyraa")</f>
        <v>@intansavhyraa</v>
      </c>
      <c r="C23201" t="s">
        <v>10910</v>
      </c>
      <c r="D23201">
        <v>1</v>
      </c>
      <c r="E23201">
        <v>0</v>
      </c>
      <c r="F23201">
        <v>869</v>
      </c>
    </row>
    <row r="23202" spans="1:6" ht="12.75">
      <c r="A23202" s="2">
        <v>43875.865960648152</v>
      </c>
      <c r="B23202" t="str">
        <f>HYPERLINK("https://twitter.com/kelamaIam","@kelamaIam")</f>
        <v>@kelamaIam</v>
      </c>
      <c r="C23202" t="s">
        <v>2444</v>
      </c>
      <c r="D23202">
        <v>2546</v>
      </c>
      <c r="E23202">
        <v>0</v>
      </c>
      <c r="F23202">
        <v>86</v>
      </c>
    </row>
    <row r="23203" spans="1:6" ht="12.75">
      <c r="A23203" s="2">
        <v>43875.865949074076</v>
      </c>
      <c r="B23203" t="str">
        <f>HYPERLINK("https://twitter.com/mjefrisani","@mjefrisani")</f>
        <v>@mjefrisani</v>
      </c>
      <c r="C23203" t="s">
        <v>10096</v>
      </c>
      <c r="D23203">
        <v>168</v>
      </c>
      <c r="E23203">
        <v>0</v>
      </c>
      <c r="F23203">
        <v>921</v>
      </c>
    </row>
    <row r="23204" spans="1:6" ht="12.75">
      <c r="A23204" s="2">
        <v>43875.865925925929</v>
      </c>
      <c r="B23204" t="str">
        <f>HYPERLINK("https://twitter.com/Pandeka_Cyber","@Pandeka_Cyber")</f>
        <v>@Pandeka_Cyber</v>
      </c>
      <c r="C23204" t="s">
        <v>9198</v>
      </c>
      <c r="D23204">
        <v>51</v>
      </c>
      <c r="E23204">
        <v>0</v>
      </c>
      <c r="F23204">
        <v>2361</v>
      </c>
    </row>
    <row r="23205" spans="1:6" ht="12.75">
      <c r="A23205" s="2">
        <v>43875.865902777776</v>
      </c>
      <c r="B23205" t="str">
        <f>HYPERLINK("https://twitter.com/mediaindonesia","@mediaindonesia")</f>
        <v>@mediaindonesia</v>
      </c>
      <c r="C23205" t="s">
        <v>10911</v>
      </c>
      <c r="D23205">
        <v>1</v>
      </c>
      <c r="E23205">
        <v>4</v>
      </c>
      <c r="F23205">
        <v>1415812</v>
      </c>
    </row>
    <row r="23206" spans="1:6" ht="12.75">
      <c r="A23206" s="2">
        <v>43875.865787037037</v>
      </c>
      <c r="B23206" t="str">
        <f>HYPERLINK("https://twitter.com/mutxan","@mutxan")</f>
        <v>@mutxan</v>
      </c>
      <c r="C23206" t="s">
        <v>2444</v>
      </c>
      <c r="D23206">
        <v>2546</v>
      </c>
      <c r="E23206">
        <v>0</v>
      </c>
      <c r="F23206">
        <v>1806</v>
      </c>
    </row>
    <row r="23207" spans="1:6" ht="12.75">
      <c r="A23207" s="2">
        <v>43875.865763888884</v>
      </c>
      <c r="B23207" t="str">
        <f>HYPERLINK("https://twitter.com/ZheeOmega","@ZheeOmega")</f>
        <v>@ZheeOmega</v>
      </c>
      <c r="C23207" t="s">
        <v>10912</v>
      </c>
      <c r="D23207">
        <v>1</v>
      </c>
      <c r="E23207">
        <v>1</v>
      </c>
      <c r="F23207">
        <v>17778</v>
      </c>
    </row>
    <row r="23208" spans="1:6" ht="12.75">
      <c r="A23208" s="2">
        <v>43875.865717592591</v>
      </c>
      <c r="B23208" t="str">
        <f>HYPERLINK("https://twitter.com/okezonenews","@okezonenews")</f>
        <v>@okezonenews</v>
      </c>
      <c r="C23208" t="s">
        <v>10913</v>
      </c>
      <c r="D23208">
        <v>1</v>
      </c>
      <c r="E23208">
        <v>1</v>
      </c>
      <c r="F23208">
        <v>1743770</v>
      </c>
    </row>
    <row r="23209" spans="1:6" ht="12.75">
      <c r="A23209" s="2">
        <v>43875.865648148145</v>
      </c>
      <c r="B23209" t="str">
        <f>HYPERLINK("https://twitter.com/fujoshi232","@fujoshi232")</f>
        <v>@fujoshi232</v>
      </c>
      <c r="C23209" t="s">
        <v>5168</v>
      </c>
      <c r="D23209">
        <v>990</v>
      </c>
      <c r="E23209">
        <v>0</v>
      </c>
      <c r="F23209">
        <v>288</v>
      </c>
    </row>
    <row r="23210" spans="1:6" ht="12.75">
      <c r="A23210" s="2">
        <v>43875.865648148145</v>
      </c>
      <c r="B23210" t="str">
        <f>HYPERLINK("https://twitter.com/OnoZiliwu","@OnoZiliwu")</f>
        <v>@OnoZiliwu</v>
      </c>
      <c r="C23210" t="s">
        <v>10914</v>
      </c>
      <c r="D23210">
        <v>1</v>
      </c>
      <c r="E23210">
        <v>0</v>
      </c>
      <c r="F23210">
        <v>9</v>
      </c>
    </row>
    <row r="23211" spans="1:6" ht="12.75">
      <c r="A23211" s="2">
        <v>43875.865636574075</v>
      </c>
      <c r="B23211" t="str">
        <f>HYPERLINK("https://twitter.com/cooll04","@cooll04")</f>
        <v>@cooll04</v>
      </c>
      <c r="C23211" t="s">
        <v>10232</v>
      </c>
      <c r="D23211">
        <v>8</v>
      </c>
      <c r="E23211">
        <v>0</v>
      </c>
      <c r="F23211">
        <v>4512</v>
      </c>
    </row>
    <row r="23212" spans="1:6" ht="12.75">
      <c r="A23212" s="2">
        <v>43875.865624999999</v>
      </c>
      <c r="B23212" t="str">
        <f>HYPERLINK("https://twitter.com/bimatm1","@bimatm1")</f>
        <v>@bimatm1</v>
      </c>
      <c r="C23212" t="s">
        <v>10915</v>
      </c>
      <c r="D23212">
        <v>5</v>
      </c>
      <c r="E23212">
        <v>0</v>
      </c>
      <c r="F23212">
        <v>4260</v>
      </c>
    </row>
    <row r="23213" spans="1:6" ht="12.75">
      <c r="A23213" s="2">
        <v>43875.865520833337</v>
      </c>
      <c r="B23213" t="str">
        <f>HYPERLINK("https://twitter.com/dearestyeolmae","@dearestyeolmae")</f>
        <v>@dearestyeolmae</v>
      </c>
      <c r="C23213" t="s">
        <v>2444</v>
      </c>
      <c r="D23213">
        <v>2546</v>
      </c>
      <c r="E23213">
        <v>0</v>
      </c>
      <c r="F23213">
        <v>1197</v>
      </c>
    </row>
    <row r="23214" spans="1:6" ht="12.75">
      <c r="A23214" s="2">
        <v>43875.86550925926</v>
      </c>
      <c r="B23214" t="str">
        <f>HYPERLINK("https://twitter.com/Ga_ang_","@Ga_ang_")</f>
        <v>@Ga_ang_</v>
      </c>
      <c r="C23214" t="s">
        <v>2444</v>
      </c>
      <c r="D23214">
        <v>2546</v>
      </c>
      <c r="E23214">
        <v>0</v>
      </c>
      <c r="F23214">
        <v>2568</v>
      </c>
    </row>
    <row r="23215" spans="1:6" ht="12.75">
      <c r="A23215" s="2">
        <v>43875.865451388891</v>
      </c>
      <c r="B23215" t="str">
        <f>HYPERLINK("https://twitter.com/SD197081","@SD197081")</f>
        <v>@SD197081</v>
      </c>
      <c r="C23215" t="s">
        <v>2963</v>
      </c>
      <c r="D23215">
        <v>1097</v>
      </c>
      <c r="E23215">
        <v>0</v>
      </c>
      <c r="F23215">
        <v>6</v>
      </c>
    </row>
    <row r="23216" spans="1:6" ht="12.75">
      <c r="A23216" s="2">
        <v>43875.865370370375</v>
      </c>
      <c r="B23216" t="str">
        <f>HYPERLINK("https://twitter.com/jd8110404469","@jd8110404469")</f>
        <v>@jd8110404469</v>
      </c>
      <c r="C23216" t="s">
        <v>10916</v>
      </c>
      <c r="D23216">
        <v>1</v>
      </c>
      <c r="E23216">
        <v>0</v>
      </c>
      <c r="F23216">
        <v>99</v>
      </c>
    </row>
    <row r="23217" spans="1:6" ht="12.75">
      <c r="A23217" s="2">
        <v>43875.865358796298</v>
      </c>
      <c r="B23217" t="str">
        <f>HYPERLINK("https://twitter.com/bekchoy","@bekchoy")</f>
        <v>@bekchoy</v>
      </c>
      <c r="C23217" t="s">
        <v>10422</v>
      </c>
      <c r="D23217">
        <v>108</v>
      </c>
      <c r="E23217">
        <v>0</v>
      </c>
      <c r="F23217">
        <v>144</v>
      </c>
    </row>
    <row r="23218" spans="1:6" ht="12.75">
      <c r="A23218" s="2">
        <v>43875.865208333329</v>
      </c>
      <c r="B23218" t="str">
        <f>HYPERLINK("https://twitter.com/natiku1234","@natiku1234")</f>
        <v>@natiku1234</v>
      </c>
      <c r="C23218" t="s">
        <v>10917</v>
      </c>
      <c r="D23218">
        <v>0</v>
      </c>
      <c r="E23218">
        <v>0</v>
      </c>
      <c r="F23218">
        <v>20</v>
      </c>
    </row>
    <row r="23219" spans="1:6" ht="12.75">
      <c r="A23219" s="2">
        <v>43875.865208333329</v>
      </c>
      <c r="B23219" t="str">
        <f>HYPERLINK("https://twitter.com/widodobud1","@widodobud1")</f>
        <v>@widodobud1</v>
      </c>
      <c r="C23219" t="s">
        <v>10918</v>
      </c>
      <c r="D23219">
        <v>0</v>
      </c>
      <c r="E23219">
        <v>0</v>
      </c>
      <c r="F23219">
        <v>133</v>
      </c>
    </row>
    <row r="23220" spans="1:6" ht="12.75">
      <c r="A23220" s="2">
        <v>43875.86519675926</v>
      </c>
      <c r="B23220" t="str">
        <f>HYPERLINK("https://twitter.com/sbokalidis1","@sbokalidis1")</f>
        <v>@sbokalidis1</v>
      </c>
      <c r="C23220" t="s">
        <v>9082</v>
      </c>
      <c r="D23220">
        <v>60</v>
      </c>
      <c r="E23220">
        <v>0</v>
      </c>
      <c r="F23220">
        <v>17</v>
      </c>
    </row>
    <row r="23221" spans="1:6" ht="12.75">
      <c r="A23221" s="2">
        <v>43875.865127314813</v>
      </c>
      <c r="B23221" t="str">
        <f>HYPERLINK("https://twitter.com/jellyciousdonut","@jellyciousdonut")</f>
        <v>@jellyciousdonut</v>
      </c>
      <c r="C23221" t="s">
        <v>2444</v>
      </c>
      <c r="D23221">
        <v>2546</v>
      </c>
      <c r="E23221">
        <v>0</v>
      </c>
      <c r="F23221">
        <v>29</v>
      </c>
    </row>
    <row r="23222" spans="1:6" ht="12.75">
      <c r="A23222" s="2">
        <v>43875.865115740744</v>
      </c>
      <c r="B23222" t="str">
        <f>HYPERLINK("https://twitter.com/wahyujkt73","@wahyujkt73")</f>
        <v>@wahyujkt73</v>
      </c>
      <c r="C23222" t="s">
        <v>7478</v>
      </c>
      <c r="D23222">
        <v>385</v>
      </c>
      <c r="E23222">
        <v>0</v>
      </c>
      <c r="F23222">
        <v>305</v>
      </c>
    </row>
    <row r="23223" spans="1:6" ht="12.75">
      <c r="A23223" s="2">
        <v>43875.865023148144</v>
      </c>
      <c r="B23223" t="str">
        <f>HYPERLINK("https://twitter.com/Maswiro3","@Maswiro3")</f>
        <v>@Maswiro3</v>
      </c>
      <c r="C23223" t="s">
        <v>7478</v>
      </c>
      <c r="D23223">
        <v>385</v>
      </c>
      <c r="E23223">
        <v>0</v>
      </c>
      <c r="F23223">
        <v>1678</v>
      </c>
    </row>
    <row r="23224" spans="1:6" ht="12.75">
      <c r="A23224" s="2">
        <v>43875.864965277782</v>
      </c>
      <c r="B23224" t="str">
        <f>HYPERLINK("https://twitter.com/fIcal85360324","@fIcal85360324")</f>
        <v>@fIcal85360324</v>
      </c>
      <c r="C23224" t="s">
        <v>9746</v>
      </c>
      <c r="D23224">
        <v>349</v>
      </c>
      <c r="E23224">
        <v>0</v>
      </c>
      <c r="F23224">
        <v>515</v>
      </c>
    </row>
    <row r="23225" spans="1:6" ht="12.75">
      <c r="A23225" s="2">
        <v>43875.864942129629</v>
      </c>
      <c r="B23225" t="str">
        <f>HYPERLINK("https://twitter.com/nurantariw","@nurantariw")</f>
        <v>@nurantariw</v>
      </c>
      <c r="C23225" t="s">
        <v>2137</v>
      </c>
      <c r="D23225">
        <v>199</v>
      </c>
      <c r="E23225">
        <v>0</v>
      </c>
      <c r="F23225">
        <v>484</v>
      </c>
    </row>
    <row r="23226" spans="1:6" ht="12.75">
      <c r="A23226" s="2">
        <v>43875.864861111113</v>
      </c>
      <c r="B23226" t="str">
        <f>HYPERLINK("https://twitter.com/Diiyah_DDY","@Diiyah_DDY")</f>
        <v>@Diiyah_DDY</v>
      </c>
      <c r="C23226" t="s">
        <v>10919</v>
      </c>
      <c r="D23226">
        <v>0</v>
      </c>
      <c r="E23226">
        <v>0</v>
      </c>
      <c r="F23226">
        <v>800</v>
      </c>
    </row>
    <row r="23227" spans="1:6" ht="12.75">
      <c r="A23227" s="2">
        <v>43875.864733796298</v>
      </c>
      <c r="B23227" t="str">
        <f>HYPERLINK("https://twitter.com/martinaFYS","@martinaFYS")</f>
        <v>@martinaFYS</v>
      </c>
      <c r="C23227" t="s">
        <v>8328</v>
      </c>
      <c r="D23227">
        <v>26</v>
      </c>
      <c r="E23227">
        <v>0</v>
      </c>
      <c r="F23227">
        <v>561</v>
      </c>
    </row>
    <row r="23228" spans="1:6" ht="12.75">
      <c r="A23228" s="2">
        <v>43875.864675925928</v>
      </c>
      <c r="B23228" t="str">
        <f>HYPERLINK("https://twitter.com/ahfatimahmaya","@ahfatimahmaya")</f>
        <v>@ahfatimahmaya</v>
      </c>
      <c r="C23228" t="s">
        <v>2444</v>
      </c>
      <c r="D23228">
        <v>2546</v>
      </c>
      <c r="E23228">
        <v>0</v>
      </c>
      <c r="F23228">
        <v>7</v>
      </c>
    </row>
    <row r="23229" spans="1:6" ht="12.75">
      <c r="A23229" s="2">
        <v>43875.864618055552</v>
      </c>
      <c r="B23229" t="str">
        <f>HYPERLINK("https://twitter.com/yourstepbroda","@yourstepbroda")</f>
        <v>@yourstepbroda</v>
      </c>
      <c r="C23229" t="s">
        <v>2444</v>
      </c>
      <c r="D23229">
        <v>2546</v>
      </c>
      <c r="E23229">
        <v>0</v>
      </c>
      <c r="F23229">
        <v>474</v>
      </c>
    </row>
    <row r="23230" spans="1:6" ht="12.75">
      <c r="A23230" s="2">
        <v>43875.864606481482</v>
      </c>
      <c r="B23230" t="str">
        <f>HYPERLINK("https://twitter.com/springiced","@springiced")</f>
        <v>@springiced</v>
      </c>
      <c r="C23230" t="s">
        <v>2444</v>
      </c>
      <c r="D23230">
        <v>2546</v>
      </c>
      <c r="E23230">
        <v>0</v>
      </c>
      <c r="F23230">
        <v>174</v>
      </c>
    </row>
    <row r="23231" spans="1:6" ht="12.75">
      <c r="A23231" s="2">
        <v>43875.86446759259</v>
      </c>
      <c r="B23231" t="str">
        <f>HYPERLINK("https://twitter.com/tawasendu","@tawasendu")</f>
        <v>@tawasendu</v>
      </c>
      <c r="C23231" t="s">
        <v>10742</v>
      </c>
      <c r="D23231">
        <v>3</v>
      </c>
      <c r="E23231">
        <v>0</v>
      </c>
      <c r="F23231">
        <v>87</v>
      </c>
    </row>
    <row r="23232" spans="1:6" ht="12.75">
      <c r="A23232" s="2">
        <v>43875.864398148144</v>
      </c>
      <c r="B23232" t="str">
        <f>HYPERLINK("https://twitter.com/_crystalice","@_crystalice")</f>
        <v>@_crystalice</v>
      </c>
      <c r="C23232" t="s">
        <v>2444</v>
      </c>
      <c r="D23232">
        <v>2546</v>
      </c>
      <c r="E23232">
        <v>0</v>
      </c>
      <c r="F23232">
        <v>103</v>
      </c>
    </row>
    <row r="23233" spans="1:6" ht="12.75">
      <c r="A23233" s="2">
        <v>43875.864305555559</v>
      </c>
      <c r="B23233" t="str">
        <f>HYPERLINK("https://twitter.com/toranaga3000","@toranaga3000")</f>
        <v>@toranaga3000</v>
      </c>
      <c r="C23233" t="s">
        <v>10306</v>
      </c>
      <c r="D23233">
        <v>3</v>
      </c>
      <c r="E23233">
        <v>0</v>
      </c>
      <c r="F23233">
        <v>2421</v>
      </c>
    </row>
    <row r="23234" spans="1:6" ht="12.75">
      <c r="A23234" s="2">
        <v>43875.864282407405</v>
      </c>
      <c r="B23234" t="str">
        <f>HYPERLINK("https://twitter.com/rifvailes","@rifvailes")</f>
        <v>@rifvailes</v>
      </c>
      <c r="C23234" t="s">
        <v>2444</v>
      </c>
      <c r="D23234">
        <v>2546</v>
      </c>
      <c r="E23234">
        <v>0</v>
      </c>
      <c r="F23234">
        <v>1069</v>
      </c>
    </row>
    <row r="23235" spans="1:6" ht="12.75">
      <c r="A23235" s="2">
        <v>43875.864247685182</v>
      </c>
      <c r="B23235" t="str">
        <f>HYPERLINK("https://twitter.com/agoesisme","@agoesisme")</f>
        <v>@agoesisme</v>
      </c>
      <c r="C23235" t="s">
        <v>2444</v>
      </c>
      <c r="D23235">
        <v>2546</v>
      </c>
      <c r="E23235">
        <v>0</v>
      </c>
      <c r="F23235">
        <v>510</v>
      </c>
    </row>
    <row r="23236" spans="1:6" ht="12.75">
      <c r="A23236" s="2">
        <v>43875.864224537036</v>
      </c>
      <c r="B23236" t="str">
        <f>HYPERLINK("https://twitter.com/DevinRmd","@DevinRmd")</f>
        <v>@DevinRmd</v>
      </c>
      <c r="C23236" t="s">
        <v>9198</v>
      </c>
      <c r="D23236">
        <v>51</v>
      </c>
      <c r="E23236">
        <v>0</v>
      </c>
      <c r="F23236">
        <v>901</v>
      </c>
    </row>
    <row r="23237" spans="1:6" ht="12.75">
      <c r="A23237" s="2">
        <v>43875.86418981482</v>
      </c>
      <c r="B23237" t="str">
        <f>HYPERLINK("https://twitter.com/toranaga3000","@toranaga3000")</f>
        <v>@toranaga3000</v>
      </c>
      <c r="C23237" t="s">
        <v>9835</v>
      </c>
      <c r="D23237">
        <v>54</v>
      </c>
      <c r="E23237">
        <v>0</v>
      </c>
      <c r="F23237">
        <v>2421</v>
      </c>
    </row>
    <row r="23238" spans="1:6" ht="12.75">
      <c r="A23238" s="2">
        <v>43875.864178240736</v>
      </c>
      <c r="B23238" t="str">
        <f>HYPERLINK("https://twitter.com/iwan_zamorano1","@iwan_zamorano1")</f>
        <v>@iwan_zamorano1</v>
      </c>
      <c r="C23238" t="s">
        <v>2963</v>
      </c>
      <c r="D23238">
        <v>1097</v>
      </c>
      <c r="E23238">
        <v>0</v>
      </c>
      <c r="F23238">
        <v>86</v>
      </c>
    </row>
    <row r="23239" spans="1:6" ht="12.75">
      <c r="A23239" s="2">
        <v>43875.864155092597</v>
      </c>
      <c r="B23239" t="str">
        <f>HYPERLINK("https://twitter.com/mjefrisani","@mjefrisani")</f>
        <v>@mjefrisani</v>
      </c>
      <c r="C23239" t="s">
        <v>10920</v>
      </c>
      <c r="D23239">
        <v>1</v>
      </c>
      <c r="E23239">
        <v>0</v>
      </c>
      <c r="F23239">
        <v>921</v>
      </c>
    </row>
    <row r="23240" spans="1:6" ht="12.75">
      <c r="A23240" s="2">
        <v>43875.86409722222</v>
      </c>
      <c r="B23240" t="str">
        <f>HYPERLINK("https://twitter.com/brahmayp","@brahmayp")</f>
        <v>@brahmayp</v>
      </c>
      <c r="C23240" t="s">
        <v>10096</v>
      </c>
      <c r="D23240">
        <v>168</v>
      </c>
      <c r="E23240">
        <v>0</v>
      </c>
      <c r="F23240">
        <v>85</v>
      </c>
    </row>
    <row r="23241" spans="1:6" ht="12.75">
      <c r="A23241" s="2">
        <v>43875.863981481481</v>
      </c>
      <c r="B23241" t="str">
        <f>HYPERLINK("https://twitter.com/SydSalesman","@SydSalesman")</f>
        <v>@SydSalesman</v>
      </c>
      <c r="C23241" t="s">
        <v>9599</v>
      </c>
      <c r="D23241">
        <v>12</v>
      </c>
      <c r="E23241">
        <v>0</v>
      </c>
      <c r="F23241">
        <v>6224</v>
      </c>
    </row>
    <row r="23242" spans="1:6" ht="12.75">
      <c r="A23242" s="2">
        <v>43875.863935185189</v>
      </c>
      <c r="B23242" t="str">
        <f>HYPERLINK("https://twitter.com/misake89847474","@misake89847474")</f>
        <v>@misake89847474</v>
      </c>
      <c r="C23242" t="s">
        <v>10921</v>
      </c>
      <c r="D23242">
        <v>0</v>
      </c>
      <c r="E23242">
        <v>0</v>
      </c>
      <c r="F23242">
        <v>17</v>
      </c>
    </row>
    <row r="23243" spans="1:6" ht="12.75">
      <c r="A23243" s="2">
        <v>43875.863888888889</v>
      </c>
      <c r="B23243" t="str">
        <f>HYPERLINK("https://twitter.com/estiprayanti","@estiprayanti")</f>
        <v>@estiprayanti</v>
      </c>
      <c r="C23243" t="s">
        <v>2444</v>
      </c>
      <c r="D23243">
        <v>2546</v>
      </c>
      <c r="E23243">
        <v>0</v>
      </c>
      <c r="F23243">
        <v>729</v>
      </c>
    </row>
    <row r="23244" spans="1:6" ht="12.75">
      <c r="A23244" s="2">
        <v>43875.863865740743</v>
      </c>
      <c r="B23244" t="str">
        <f>HYPERLINK("https://twitter.com/NdutSupri","@NdutSupri")</f>
        <v>@NdutSupri</v>
      </c>
      <c r="C23244" t="s">
        <v>10096</v>
      </c>
      <c r="D23244">
        <v>168</v>
      </c>
      <c r="E23244">
        <v>0</v>
      </c>
      <c r="F23244">
        <v>273</v>
      </c>
    </row>
    <row r="23245" spans="1:6" ht="12.75">
      <c r="A23245" s="2">
        <v>43875.863865740743</v>
      </c>
      <c r="B23245" t="str">
        <f>HYPERLINK("https://twitter.com/ribkalidyaA","@ribkalidyaA")</f>
        <v>@ribkalidyaA</v>
      </c>
      <c r="C23245" t="s">
        <v>2444</v>
      </c>
      <c r="D23245">
        <v>2546</v>
      </c>
      <c r="E23245">
        <v>0</v>
      </c>
      <c r="F23245">
        <v>977</v>
      </c>
    </row>
    <row r="23246" spans="1:6" ht="12.75">
      <c r="A23246" s="2">
        <v>43875.863796296297</v>
      </c>
      <c r="B23246" t="str">
        <f>HYPERLINK("https://twitter.com/mjefrisani","@mjefrisani")</f>
        <v>@mjefrisani</v>
      </c>
      <c r="C23246" t="s">
        <v>10922</v>
      </c>
      <c r="D23246">
        <v>1</v>
      </c>
      <c r="E23246">
        <v>0</v>
      </c>
      <c r="F23246">
        <v>921</v>
      </c>
    </row>
    <row r="23247" spans="1:6" ht="12.75">
      <c r="A23247" s="2">
        <v>43875.863796296297</v>
      </c>
      <c r="B23247" t="str">
        <f>HYPERLINK("https://twitter.com/MkUltraHandlers","@MkUltraHandlers")</f>
        <v>@MkUltraHandlers</v>
      </c>
      <c r="C23247" t="s">
        <v>10923</v>
      </c>
      <c r="D23247">
        <v>1</v>
      </c>
      <c r="E23247">
        <v>0</v>
      </c>
      <c r="F23247">
        <v>908</v>
      </c>
    </row>
    <row r="23248" spans="1:6" ht="12.75">
      <c r="A23248" s="2">
        <v>43875.863634259258</v>
      </c>
      <c r="B23248" t="str">
        <f>HYPERLINK("https://twitter.com/Budi201932","@Budi201932")</f>
        <v>@Budi201932</v>
      </c>
      <c r="C23248" t="s">
        <v>9599</v>
      </c>
      <c r="D23248">
        <v>12</v>
      </c>
      <c r="E23248">
        <v>0</v>
      </c>
      <c r="F23248">
        <v>86</v>
      </c>
    </row>
    <row r="23249" spans="1:6" ht="12.75">
      <c r="A23249" s="2">
        <v>43875.863611111112</v>
      </c>
      <c r="B23249" t="str">
        <f>HYPERLINK("https://twitter.com/MrKyairey","@MrKyairey")</f>
        <v>@MrKyairey</v>
      </c>
      <c r="C23249" t="s">
        <v>10924</v>
      </c>
      <c r="D23249">
        <v>1</v>
      </c>
      <c r="E23249">
        <v>0</v>
      </c>
      <c r="F23249">
        <v>18</v>
      </c>
    </row>
    <row r="23250" spans="1:6" ht="12.75">
      <c r="A23250" s="2">
        <v>43875.863587962958</v>
      </c>
      <c r="B23250" t="str">
        <f>HYPERLINK("https://twitter.com/ephraym8","@ephraym8")</f>
        <v>@ephraym8</v>
      </c>
      <c r="C23250" t="s">
        <v>8948</v>
      </c>
      <c r="D23250">
        <v>4</v>
      </c>
      <c r="E23250">
        <v>0</v>
      </c>
      <c r="F23250">
        <v>1115</v>
      </c>
    </row>
    <row r="23251" spans="1:6" ht="12.75">
      <c r="A23251" s="2">
        <v>43875.863564814819</v>
      </c>
      <c r="B23251" t="str">
        <f>HYPERLINK("https://twitter.com/MrKyairey","@MrKyairey")</f>
        <v>@MrKyairey</v>
      </c>
      <c r="C23251" t="s">
        <v>10925</v>
      </c>
      <c r="D23251">
        <v>1</v>
      </c>
      <c r="E23251">
        <v>1</v>
      </c>
      <c r="F23251">
        <v>18</v>
      </c>
    </row>
    <row r="23252" spans="1:6" ht="12.75">
      <c r="A23252" s="2">
        <v>43875.86346064815</v>
      </c>
      <c r="B23252" t="str">
        <f>HYPERLINK("https://twitter.com/LuphKira","@LuphKira")</f>
        <v>@LuphKira</v>
      </c>
      <c r="C23252" t="s">
        <v>2444</v>
      </c>
      <c r="D23252">
        <v>2546</v>
      </c>
      <c r="E23252">
        <v>0</v>
      </c>
      <c r="F23252">
        <v>307</v>
      </c>
    </row>
    <row r="23253" spans="1:6" ht="12.75">
      <c r="A23253" s="2">
        <v>43875.86336805555</v>
      </c>
      <c r="B23253" t="str">
        <f>HYPERLINK("https://twitter.com/bintangdafabs","@bintangdafabs")</f>
        <v>@bintangdafabs</v>
      </c>
      <c r="C23253" t="s">
        <v>10926</v>
      </c>
      <c r="D23253">
        <v>0</v>
      </c>
      <c r="E23253">
        <v>1</v>
      </c>
      <c r="F23253">
        <v>88</v>
      </c>
    </row>
    <row r="23254" spans="1:6" ht="12.75">
      <c r="A23254" s="2">
        <v>43875.863356481481</v>
      </c>
      <c r="B23254" t="str">
        <f>HYPERLINK("https://twitter.com/KalenteridisSav","@KalenteridisSav")</f>
        <v>@KalenteridisSav</v>
      </c>
      <c r="C23254" t="s">
        <v>9082</v>
      </c>
      <c r="D23254">
        <v>60</v>
      </c>
      <c r="E23254">
        <v>0</v>
      </c>
      <c r="F23254">
        <v>11916</v>
      </c>
    </row>
    <row r="23255" spans="1:6" ht="12.75">
      <c r="A23255" s="2">
        <v>43875.863356481481</v>
      </c>
      <c r="B23255" t="str">
        <f>HYPERLINK("https://twitter.com/gatauwak","@gatauwak")</f>
        <v>@gatauwak</v>
      </c>
      <c r="C23255" t="s">
        <v>9021</v>
      </c>
      <c r="D23255">
        <v>205</v>
      </c>
      <c r="E23255">
        <v>0</v>
      </c>
      <c r="F23255">
        <v>64</v>
      </c>
    </row>
    <row r="23256" spans="1:6" ht="12.75">
      <c r="A23256" s="2">
        <v>43875.863344907411</v>
      </c>
      <c r="B23256" t="str">
        <f>HYPERLINK("https://twitter.com/AdiMawa22441862","@AdiMawa22441862")</f>
        <v>@AdiMawa22441862</v>
      </c>
      <c r="C23256" t="s">
        <v>9732</v>
      </c>
      <c r="D23256">
        <v>67</v>
      </c>
      <c r="E23256">
        <v>0</v>
      </c>
      <c r="F23256">
        <v>85</v>
      </c>
    </row>
    <row r="23257" spans="1:6" ht="12.75">
      <c r="A23257" s="2">
        <v>43875.863321759258</v>
      </c>
      <c r="B23257" t="str">
        <f>HYPERLINK("https://twitter.com/michinfree","@michinfree")</f>
        <v>@michinfree</v>
      </c>
      <c r="C23257" t="s">
        <v>9964</v>
      </c>
      <c r="D23257">
        <v>633</v>
      </c>
      <c r="E23257">
        <v>0</v>
      </c>
      <c r="F23257">
        <v>248</v>
      </c>
    </row>
    <row r="23258" spans="1:6" ht="12.75">
      <c r="A23258" s="2">
        <v>43875.863078703704</v>
      </c>
      <c r="B23258" t="str">
        <f>HYPERLINK("https://twitter.com/Agusman70452600","@Agusman70452600")</f>
        <v>@Agusman70452600</v>
      </c>
      <c r="C23258" t="s">
        <v>7888</v>
      </c>
      <c r="D23258">
        <v>28</v>
      </c>
      <c r="E23258">
        <v>0</v>
      </c>
      <c r="F23258">
        <v>474</v>
      </c>
    </row>
    <row r="23259" spans="1:6" ht="12.75">
      <c r="A23259" s="2">
        <v>43875.863078703704</v>
      </c>
      <c r="B23259" t="str">
        <f>HYPERLINK("https://twitter.com/ypypm_ypypm","@ypypm_ypypm")</f>
        <v>@ypypm_ypypm</v>
      </c>
      <c r="C23259" t="s">
        <v>10927</v>
      </c>
      <c r="D23259">
        <v>3</v>
      </c>
      <c r="E23259">
        <v>0</v>
      </c>
      <c r="F23259">
        <v>742</v>
      </c>
    </row>
    <row r="23260" spans="1:6" ht="12.75">
      <c r="A23260" s="2">
        <v>43875.863067129627</v>
      </c>
      <c r="B23260" t="str">
        <f>HYPERLINK("https://twitter.com/dhiratara","@dhiratara")</f>
        <v>@dhiratara</v>
      </c>
      <c r="C23260" t="s">
        <v>8328</v>
      </c>
      <c r="D23260">
        <v>26</v>
      </c>
      <c r="E23260">
        <v>0</v>
      </c>
      <c r="F23260">
        <v>993</v>
      </c>
    </row>
    <row r="23261" spans="1:6" ht="12.75">
      <c r="A23261" s="2">
        <v>43875.863009259258</v>
      </c>
      <c r="B23261" t="str">
        <f>HYPERLINK("https://twitter.com/youliyoud","@youliyoud")</f>
        <v>@youliyoud</v>
      </c>
      <c r="C23261" t="s">
        <v>10928</v>
      </c>
      <c r="D23261">
        <v>1</v>
      </c>
      <c r="E23261">
        <v>0</v>
      </c>
      <c r="F23261">
        <v>21</v>
      </c>
    </row>
    <row r="23262" spans="1:6" ht="12.75">
      <c r="A23262" s="2">
        <v>43875.862974537042</v>
      </c>
      <c r="B23262" t="str">
        <f>HYPERLINK("https://twitter.com/iramady15","@iramady15")</f>
        <v>@iramady15</v>
      </c>
      <c r="C23262" t="s">
        <v>7478</v>
      </c>
      <c r="D23262">
        <v>385</v>
      </c>
      <c r="E23262">
        <v>0</v>
      </c>
      <c r="F23262">
        <v>165</v>
      </c>
    </row>
    <row r="23263" spans="1:6" ht="12.75">
      <c r="A23263" s="2">
        <v>43875.862928240742</v>
      </c>
      <c r="B23263" t="str">
        <f>HYPERLINK("https://twitter.com/YohanesLasino1","@YohanesLasino1")</f>
        <v>@YohanesLasino1</v>
      </c>
      <c r="C23263" t="s">
        <v>10929</v>
      </c>
      <c r="D23263">
        <v>0</v>
      </c>
      <c r="E23263">
        <v>1</v>
      </c>
      <c r="F23263">
        <v>25</v>
      </c>
    </row>
    <row r="23264" spans="1:6" ht="12.75">
      <c r="A23264" s="2">
        <v>43875.862835648149</v>
      </c>
      <c r="B23264" t="str">
        <f>HYPERLINK("https://twitter.com/hartanto_mas","@hartanto_mas")</f>
        <v>@hartanto_mas</v>
      </c>
      <c r="C23264" t="s">
        <v>7478</v>
      </c>
      <c r="D23264">
        <v>385</v>
      </c>
      <c r="E23264">
        <v>0</v>
      </c>
      <c r="F23264">
        <v>1045</v>
      </c>
    </row>
    <row r="23265" spans="1:6" ht="12.75">
      <c r="A23265" s="2">
        <v>43875.862812499996</v>
      </c>
      <c r="B23265" t="str">
        <f>HYPERLINK("https://twitter.com/OpRadioBnpb","@OpRadioBnpb")</f>
        <v>@OpRadioBnpb</v>
      </c>
      <c r="C23265" t="s">
        <v>10930</v>
      </c>
      <c r="D23265">
        <v>1</v>
      </c>
      <c r="E23265">
        <v>0</v>
      </c>
      <c r="F23265">
        <v>61</v>
      </c>
    </row>
    <row r="23266" spans="1:6" ht="12.75">
      <c r="A23266" s="2">
        <v>43875.862743055557</v>
      </c>
      <c r="B23266" t="str">
        <f>HYPERLINK("https://twitter.com/cielrayze","@cielrayze")</f>
        <v>@cielrayze</v>
      </c>
      <c r="C23266" t="s">
        <v>2444</v>
      </c>
      <c r="D23266">
        <v>2546</v>
      </c>
      <c r="E23266">
        <v>0</v>
      </c>
      <c r="F23266">
        <v>781</v>
      </c>
    </row>
    <row r="23267" spans="1:6" ht="12.75">
      <c r="A23267" s="2">
        <v>43875.862743055557</v>
      </c>
      <c r="B23267" t="str">
        <f>HYPERLINK("https://twitter.com/choseokcute","@choseokcute")</f>
        <v>@choseokcute</v>
      </c>
      <c r="C23267" t="s">
        <v>2444</v>
      </c>
      <c r="D23267">
        <v>2546</v>
      </c>
      <c r="E23267">
        <v>0</v>
      </c>
      <c r="F23267">
        <v>34</v>
      </c>
    </row>
    <row r="23268" spans="1:6" ht="12.75">
      <c r="A23268" s="2">
        <v>43875.86273148148</v>
      </c>
      <c r="B23268" t="str">
        <f>HYPERLINK("https://twitter.com/YuniartiDinaa","@YuniartiDinaa")</f>
        <v>@YuniartiDinaa</v>
      </c>
      <c r="C23268" t="s">
        <v>2137</v>
      </c>
      <c r="D23268">
        <v>199</v>
      </c>
      <c r="E23268">
        <v>0</v>
      </c>
      <c r="F23268">
        <v>17</v>
      </c>
    </row>
    <row r="23269" spans="1:6" ht="12.75">
      <c r="A23269" s="2">
        <v>43875.862685185188</v>
      </c>
      <c r="B23269" t="str">
        <f>HYPERLINK("https://twitter.com/intansavhyraa","@intansavhyraa")</f>
        <v>@intansavhyraa</v>
      </c>
      <c r="C23269" t="s">
        <v>2144</v>
      </c>
      <c r="D23269">
        <v>91</v>
      </c>
      <c r="E23269">
        <v>0</v>
      </c>
      <c r="F23269">
        <v>869</v>
      </c>
    </row>
    <row r="23270" spans="1:6" ht="12.75">
      <c r="A23270" s="2">
        <v>43875.862650462965</v>
      </c>
      <c r="B23270" t="str">
        <f>HYPERLINK("https://twitter.com/arizalmania","@arizalmania")</f>
        <v>@arizalmania</v>
      </c>
      <c r="C23270" t="s">
        <v>9198</v>
      </c>
      <c r="D23270">
        <v>51</v>
      </c>
      <c r="E23270">
        <v>0</v>
      </c>
      <c r="F23270">
        <v>1520</v>
      </c>
    </row>
    <row r="23271" spans="1:6" ht="12.75">
      <c r="A23271" s="2">
        <v>43875.862638888888</v>
      </c>
      <c r="B23271" t="str">
        <f>HYPERLINK("https://twitter.com/ameer__dalhatu","@ameer__dalhatu")</f>
        <v>@ameer__dalhatu</v>
      </c>
      <c r="C23271" t="s">
        <v>10931</v>
      </c>
      <c r="D23271">
        <v>0</v>
      </c>
      <c r="E23271">
        <v>1</v>
      </c>
      <c r="F23271">
        <v>1222</v>
      </c>
    </row>
    <row r="23272" spans="1:6" ht="12.75">
      <c r="A23272" s="2">
        <v>43875.862638888888</v>
      </c>
      <c r="B23272" t="str">
        <f>HYPERLINK("https://twitter.com/ajasilv","@ajasilv")</f>
        <v>@ajasilv</v>
      </c>
      <c r="C23272" t="s">
        <v>9123</v>
      </c>
      <c r="D23272">
        <v>284</v>
      </c>
      <c r="E23272">
        <v>0</v>
      </c>
      <c r="F23272">
        <v>218</v>
      </c>
    </row>
    <row r="23273" spans="1:6" ht="12.75">
      <c r="A23273" s="2">
        <v>43875.862557870365</v>
      </c>
      <c r="B23273" t="str">
        <f>HYPERLINK("https://twitter.com/fIu0xetine","@fIu0xetine")</f>
        <v>@fIu0xetine</v>
      </c>
      <c r="C23273" t="s">
        <v>10742</v>
      </c>
      <c r="D23273">
        <v>3</v>
      </c>
      <c r="E23273">
        <v>0</v>
      </c>
      <c r="F23273">
        <v>357</v>
      </c>
    </row>
    <row r="23274" spans="1:6" ht="12.75">
      <c r="A23274" s="2">
        <v>43875.862546296295</v>
      </c>
      <c r="B23274" t="str">
        <f>HYPERLINK("https://twitter.com/abadikinicom","@abadikinicom")</f>
        <v>@abadikinicom</v>
      </c>
      <c r="C23274" t="s">
        <v>10932</v>
      </c>
      <c r="D23274">
        <v>0</v>
      </c>
      <c r="E23274">
        <v>0</v>
      </c>
      <c r="F23274">
        <v>5380</v>
      </c>
    </row>
    <row r="23275" spans="1:6" ht="12.75">
      <c r="A23275" s="2">
        <v>43875.862500000003</v>
      </c>
      <c r="B23275" t="str">
        <f>HYPERLINK("https://twitter.com/ajasilv","@ajasilv")</f>
        <v>@ajasilv</v>
      </c>
      <c r="C23275" t="s">
        <v>2444</v>
      </c>
      <c r="D23275">
        <v>2546</v>
      </c>
      <c r="E23275">
        <v>0</v>
      </c>
      <c r="F23275">
        <v>218</v>
      </c>
    </row>
    <row r="23276" spans="1:6" ht="12.75">
      <c r="A23276" s="2">
        <v>43875.862488425926</v>
      </c>
      <c r="B23276" t="str">
        <f>HYPERLINK("https://twitter.com/yud1b4cht12r","@yud1b4cht12r")</f>
        <v>@yud1b4cht12r</v>
      </c>
      <c r="C23276" t="s">
        <v>10052</v>
      </c>
      <c r="D23276">
        <v>78</v>
      </c>
      <c r="E23276">
        <v>0</v>
      </c>
      <c r="F23276">
        <v>431</v>
      </c>
    </row>
    <row r="23277" spans="1:6" ht="12.75">
      <c r="A23277" s="2">
        <v>43875.86246527778</v>
      </c>
      <c r="B23277" t="str">
        <f>HYPERLINK("https://twitter.com/youliyoud","@youliyoud")</f>
        <v>@youliyoud</v>
      </c>
      <c r="C23277" t="s">
        <v>10933</v>
      </c>
      <c r="D23277">
        <v>1</v>
      </c>
      <c r="E23277">
        <v>0</v>
      </c>
      <c r="F23277">
        <v>21</v>
      </c>
    </row>
    <row r="23278" spans="1:6" ht="12.75">
      <c r="A23278" s="2">
        <v>43875.862314814818</v>
      </c>
      <c r="B23278" t="str">
        <f>HYPERLINK("https://twitter.com/haidir_setiawan","@haidir_setiawan")</f>
        <v>@haidir_setiawan</v>
      </c>
      <c r="C23278" t="s">
        <v>9119</v>
      </c>
      <c r="D23278">
        <v>52</v>
      </c>
      <c r="E23278">
        <v>0</v>
      </c>
      <c r="F23278">
        <v>2295</v>
      </c>
    </row>
    <row r="23279" spans="1:6" ht="12.75">
      <c r="A23279" s="2">
        <v>43875.862303240741</v>
      </c>
      <c r="B23279" t="str">
        <f>HYPERLINK("https://twitter.com/yoobinism","@yoobinism")</f>
        <v>@yoobinism</v>
      </c>
      <c r="C23279" t="s">
        <v>2444</v>
      </c>
      <c r="D23279">
        <v>2546</v>
      </c>
      <c r="E23279">
        <v>0</v>
      </c>
      <c r="F23279">
        <v>716</v>
      </c>
    </row>
    <row r="23280" spans="1:6" ht="12.75">
      <c r="A23280" s="2">
        <v>43875.862268518518</v>
      </c>
      <c r="B23280" t="str">
        <f>HYPERLINK("https://twitter.com/AntonSu66364631","@AntonSu66364631")</f>
        <v>@AntonSu66364631</v>
      </c>
      <c r="C23280" t="s">
        <v>10934</v>
      </c>
      <c r="D23280">
        <v>0</v>
      </c>
      <c r="E23280">
        <v>0</v>
      </c>
      <c r="F23280">
        <v>0</v>
      </c>
    </row>
    <row r="23281" spans="1:6" ht="12.75">
      <c r="A23281" s="2">
        <v>43875.862256944441</v>
      </c>
      <c r="B23281" t="str">
        <f>HYPERLINK("https://twitter.com/ZheeOmega","@ZheeOmega")</f>
        <v>@ZheeOmega</v>
      </c>
      <c r="C23281" t="s">
        <v>10935</v>
      </c>
      <c r="D23281">
        <v>0</v>
      </c>
      <c r="E23281">
        <v>0</v>
      </c>
      <c r="F23281">
        <v>17778</v>
      </c>
    </row>
    <row r="23282" spans="1:6" ht="12.75">
      <c r="A23282" s="2">
        <v>43875.862164351856</v>
      </c>
      <c r="B23282" t="str">
        <f>HYPERLINK("https://twitter.com/mbahbodronoyo","@mbahbodronoyo")</f>
        <v>@mbahbodronoyo</v>
      </c>
      <c r="C23282" t="s">
        <v>5761</v>
      </c>
      <c r="D23282">
        <v>78</v>
      </c>
      <c r="E23282">
        <v>0</v>
      </c>
      <c r="F23282">
        <v>1151</v>
      </c>
    </row>
    <row r="23283" spans="1:6" ht="12.75">
      <c r="A23283" s="2">
        <v>43875.862129629633</v>
      </c>
      <c r="B23283" t="str">
        <f>HYPERLINK("https://twitter.com/rifvailes","@rifvailes")</f>
        <v>@rifvailes</v>
      </c>
      <c r="C23283" t="s">
        <v>9123</v>
      </c>
      <c r="D23283">
        <v>284</v>
      </c>
      <c r="E23283">
        <v>0</v>
      </c>
      <c r="F23283">
        <v>1069</v>
      </c>
    </row>
    <row r="23284" spans="1:6" ht="12.75">
      <c r="A23284" s="2">
        <v>43875.862129629633</v>
      </c>
      <c r="B23284" t="str">
        <f>HYPERLINK("https://twitter.com/b_amash","@b_amash")</f>
        <v>@b_amash</v>
      </c>
      <c r="C23284" t="s">
        <v>9082</v>
      </c>
      <c r="D23284">
        <v>60</v>
      </c>
      <c r="E23284">
        <v>0</v>
      </c>
      <c r="F23284">
        <v>87</v>
      </c>
    </row>
    <row r="23285" spans="1:6" ht="12.75">
      <c r="A23285" s="2">
        <v>43875.86209490741</v>
      </c>
      <c r="B23285" t="str">
        <f>HYPERLINK("https://twitter.com/maulidabdullah","@maulidabdullah")</f>
        <v>@maulidabdullah</v>
      </c>
      <c r="C23285" t="s">
        <v>10936</v>
      </c>
      <c r="D23285">
        <v>0</v>
      </c>
      <c r="E23285">
        <v>0</v>
      </c>
      <c r="F23285">
        <v>377</v>
      </c>
    </row>
    <row r="23286" spans="1:6" ht="12.75">
      <c r="A23286" s="2">
        <v>43875.862025462964</v>
      </c>
      <c r="B23286" t="str">
        <f>HYPERLINK("https://twitter.com/msrendezvous","@msrendezvous")</f>
        <v>@msrendezvous</v>
      </c>
      <c r="C23286" t="s">
        <v>5168</v>
      </c>
      <c r="D23286">
        <v>990</v>
      </c>
      <c r="E23286">
        <v>0</v>
      </c>
      <c r="F23286">
        <v>333</v>
      </c>
    </row>
    <row r="23287" spans="1:6" ht="12.75">
      <c r="A23287" s="2">
        <v>43875.862013888887</v>
      </c>
      <c r="B23287" t="str">
        <f>HYPERLINK("https://twitter.com/DevinRmd","@DevinRmd")</f>
        <v>@DevinRmd</v>
      </c>
      <c r="C23287" t="s">
        <v>6201</v>
      </c>
      <c r="D23287">
        <v>207</v>
      </c>
      <c r="E23287">
        <v>0</v>
      </c>
      <c r="F23287">
        <v>901</v>
      </c>
    </row>
    <row r="23288" spans="1:6" ht="12.75">
      <c r="A23288" s="2">
        <v>43875.862002314811</v>
      </c>
      <c r="B23288" t="str">
        <f>HYPERLINK("https://twitter.com/hardjono08","@hardjono08")</f>
        <v>@hardjono08</v>
      </c>
      <c r="C23288" t="s">
        <v>10422</v>
      </c>
      <c r="D23288">
        <v>108</v>
      </c>
      <c r="E23288">
        <v>0</v>
      </c>
      <c r="F23288">
        <v>1636</v>
      </c>
    </row>
    <row r="23289" spans="1:6" ht="12.75">
      <c r="A23289" s="2">
        <v>43875.861990740741</v>
      </c>
      <c r="B23289" t="str">
        <f>HYPERLINK("https://twitter.com/fangirlsby07","@fangirlsby07")</f>
        <v>@fangirlsby07</v>
      </c>
      <c r="C23289" t="s">
        <v>2444</v>
      </c>
      <c r="D23289">
        <v>2546</v>
      </c>
      <c r="E23289">
        <v>0</v>
      </c>
      <c r="F23289">
        <v>15</v>
      </c>
    </row>
    <row r="23290" spans="1:6" ht="12.75">
      <c r="A23290" s="2">
        <v>43875.861793981487</v>
      </c>
      <c r="B23290" t="str">
        <f>HYPERLINK("https://twitter.com/xsachy","@xsachy")</f>
        <v>@xsachy</v>
      </c>
      <c r="C23290" t="s">
        <v>10742</v>
      </c>
      <c r="D23290">
        <v>3</v>
      </c>
      <c r="E23290">
        <v>0</v>
      </c>
      <c r="F23290">
        <v>133</v>
      </c>
    </row>
    <row r="23291" spans="1:6" ht="12.75">
      <c r="A23291" s="2">
        <v>43875.86173611111</v>
      </c>
      <c r="B23291" t="str">
        <f>HYPERLINK("https://twitter.com/nonmolare","@nonmolare")</f>
        <v>@nonmolare</v>
      </c>
      <c r="C23291" t="s">
        <v>8328</v>
      </c>
      <c r="D23291">
        <v>26</v>
      </c>
      <c r="E23291">
        <v>0</v>
      </c>
      <c r="F23291">
        <v>740</v>
      </c>
    </row>
    <row r="23292" spans="1:6" ht="12.75">
      <c r="A23292" s="2">
        <v>43875.86173611111</v>
      </c>
      <c r="B23292" t="str">
        <f>HYPERLINK("https://twitter.com/Rahminfs","@Rahminfs")</f>
        <v>@Rahminfs</v>
      </c>
      <c r="C23292" t="s">
        <v>2444</v>
      </c>
      <c r="D23292">
        <v>2546</v>
      </c>
      <c r="E23292">
        <v>0</v>
      </c>
      <c r="F23292">
        <v>268</v>
      </c>
    </row>
    <row r="23293" spans="1:6" ht="12.75">
      <c r="A23293" s="2">
        <v>43875.861666666664</v>
      </c>
      <c r="B23293" t="str">
        <f>HYPERLINK("https://twitter.com/ceknricekcom_id","@ceknricekcom_id")</f>
        <v>@ceknricekcom_id</v>
      </c>
      <c r="C23293" t="s">
        <v>10937</v>
      </c>
      <c r="D23293">
        <v>0</v>
      </c>
      <c r="E23293">
        <v>0</v>
      </c>
      <c r="F23293">
        <v>29560</v>
      </c>
    </row>
    <row r="23294" spans="1:6" ht="12.75">
      <c r="A23294" s="2">
        <v>43875.861631944441</v>
      </c>
      <c r="B23294" t="str">
        <f>HYPERLINK("https://twitter.com/inggridddm","@inggridddm")</f>
        <v>@inggridddm</v>
      </c>
      <c r="C23294" t="s">
        <v>2444</v>
      </c>
      <c r="D23294">
        <v>2546</v>
      </c>
      <c r="E23294">
        <v>0</v>
      </c>
      <c r="F23294">
        <v>496</v>
      </c>
    </row>
    <row r="23295" spans="1:6" ht="12.75">
      <c r="A23295" s="2">
        <v>43875.861585648148</v>
      </c>
      <c r="B23295" t="str">
        <f>HYPERLINK("https://twitter.com/robisalmi","@robisalmi")</f>
        <v>@robisalmi</v>
      </c>
      <c r="C23295" t="s">
        <v>7478</v>
      </c>
      <c r="D23295">
        <v>385</v>
      </c>
      <c r="E23295">
        <v>0</v>
      </c>
      <c r="F23295">
        <v>102</v>
      </c>
    </row>
    <row r="23296" spans="1:6" ht="12.75">
      <c r="A23296" s="2">
        <v>43875.861504629633</v>
      </c>
      <c r="B23296" t="str">
        <f>HYPERLINK("https://twitter.com/penjaganusanta1","@penjaganusanta1")</f>
        <v>@penjaganusanta1</v>
      </c>
      <c r="C23296" t="s">
        <v>10938</v>
      </c>
      <c r="D23296">
        <v>0</v>
      </c>
      <c r="E23296">
        <v>0</v>
      </c>
      <c r="F23296">
        <v>194</v>
      </c>
    </row>
    <row r="23297" spans="1:6" ht="12.75">
      <c r="A23297" s="2">
        <v>43875.861435185187</v>
      </c>
      <c r="B23297" t="str">
        <f>HYPERLINK("https://twitter.com/isgnursejati_57","@isgnursejati_57")</f>
        <v>@isgnursejati_57</v>
      </c>
      <c r="C23297" t="s">
        <v>10939</v>
      </c>
      <c r="D23297">
        <v>0</v>
      </c>
      <c r="E23297">
        <v>0</v>
      </c>
      <c r="F23297">
        <v>20</v>
      </c>
    </row>
    <row r="23298" spans="1:6" ht="12.75">
      <c r="A23298" s="2">
        <v>43875.86142361111</v>
      </c>
      <c r="B23298" t="str">
        <f>HYPERLINK("https://twitter.com/ana___05","@ana___05")</f>
        <v>@ana___05</v>
      </c>
      <c r="C23298" t="s">
        <v>2444</v>
      </c>
      <c r="D23298">
        <v>2546</v>
      </c>
      <c r="E23298">
        <v>0</v>
      </c>
      <c r="F23298">
        <v>27</v>
      </c>
    </row>
    <row r="23299" spans="1:6" ht="12.75">
      <c r="A23299" s="2">
        <v>43875.86136574074</v>
      </c>
      <c r="B23299" t="str">
        <f>HYPERLINK("https://twitter.com/bluegeosphere","@bluegeosphere")</f>
        <v>@bluegeosphere</v>
      </c>
      <c r="C23299" t="s">
        <v>2444</v>
      </c>
      <c r="D23299">
        <v>2546</v>
      </c>
      <c r="E23299">
        <v>0</v>
      </c>
      <c r="F23299">
        <v>307</v>
      </c>
    </row>
    <row r="23300" spans="1:6" ht="12.75">
      <c r="A23300" s="2">
        <v>43875.861307870371</v>
      </c>
      <c r="B23300" t="str">
        <f>HYPERLINK("https://twitter.com/imasnry","@imasnry")</f>
        <v>@imasnry</v>
      </c>
      <c r="C23300" t="s">
        <v>5168</v>
      </c>
      <c r="D23300">
        <v>990</v>
      </c>
      <c r="E23300">
        <v>0</v>
      </c>
      <c r="F23300">
        <v>1159</v>
      </c>
    </row>
    <row r="23301" spans="1:6" ht="12.75">
      <c r="A23301" s="2">
        <v>43875.861284722225</v>
      </c>
      <c r="B23301" t="str">
        <f>HYPERLINK("https://twitter.com/rakjat4","@rakjat4")</f>
        <v>@rakjat4</v>
      </c>
      <c r="C23301" t="s">
        <v>9732</v>
      </c>
      <c r="D23301">
        <v>67</v>
      </c>
      <c r="E23301">
        <v>0</v>
      </c>
      <c r="F23301">
        <v>947</v>
      </c>
    </row>
    <row r="23302" spans="1:6" ht="12.75">
      <c r="A23302" s="2">
        <v>43875.861250000002</v>
      </c>
      <c r="B23302" t="str">
        <f>HYPERLINK("https://twitter.com/pdanunagoro","@pdanunagoro")</f>
        <v>@pdanunagoro</v>
      </c>
      <c r="C23302" t="s">
        <v>2444</v>
      </c>
      <c r="D23302">
        <v>2546</v>
      </c>
      <c r="E23302">
        <v>0</v>
      </c>
      <c r="F23302">
        <v>490</v>
      </c>
    </row>
    <row r="23303" spans="1:6" ht="12.75">
      <c r="A23303" s="2">
        <v>43875.861226851848</v>
      </c>
      <c r="B23303" t="str">
        <f>HYPERLINK("https://twitter.com/Erghiokta","@Erghiokta")</f>
        <v>@Erghiokta</v>
      </c>
      <c r="C23303" t="s">
        <v>9123</v>
      </c>
      <c r="D23303">
        <v>284</v>
      </c>
      <c r="E23303">
        <v>0</v>
      </c>
      <c r="F23303">
        <v>368</v>
      </c>
    </row>
    <row r="23304" spans="1:6" ht="12.75">
      <c r="A23304" s="2">
        <v>43875.861215277779</v>
      </c>
      <c r="B23304" t="str">
        <f>HYPERLINK("https://twitter.com/UrLuv93303759","@UrLuv93303759")</f>
        <v>@UrLuv93303759</v>
      </c>
      <c r="C23304" t="s">
        <v>2963</v>
      </c>
      <c r="D23304">
        <v>1097</v>
      </c>
      <c r="E23304">
        <v>0</v>
      </c>
      <c r="F23304">
        <v>1</v>
      </c>
    </row>
    <row r="23305" spans="1:6" ht="12.75">
      <c r="A23305" s="2">
        <v>43875.861215277779</v>
      </c>
      <c r="B23305" t="str">
        <f>HYPERLINK("https://twitter.com/toasan","@toasan")</f>
        <v>@toasan</v>
      </c>
      <c r="C23305" t="s">
        <v>10940</v>
      </c>
      <c r="D23305">
        <v>0</v>
      </c>
      <c r="E23305">
        <v>0</v>
      </c>
      <c r="F23305">
        <v>18</v>
      </c>
    </row>
    <row r="23306" spans="1:6" ht="12.75">
      <c r="A23306" s="2">
        <v>43875.86105324074</v>
      </c>
      <c r="B23306" t="str">
        <f>HYPERLINK("https://twitter.com/youliyoud","@youliyoud")</f>
        <v>@youliyoud</v>
      </c>
      <c r="C23306" t="s">
        <v>10941</v>
      </c>
      <c r="D23306">
        <v>2</v>
      </c>
      <c r="E23306">
        <v>0</v>
      </c>
      <c r="F23306">
        <v>21</v>
      </c>
    </row>
    <row r="23307" spans="1:6" ht="12.75">
      <c r="A23307" s="2">
        <v>43875.860972222217</v>
      </c>
      <c r="B23307" t="str">
        <f>HYPERLINK("https://twitter.com/hichoi407","@hichoi407")</f>
        <v>@hichoi407</v>
      </c>
      <c r="C23307" t="s">
        <v>2444</v>
      </c>
      <c r="D23307">
        <v>2546</v>
      </c>
      <c r="E23307">
        <v>0</v>
      </c>
      <c r="F23307">
        <v>8</v>
      </c>
    </row>
    <row r="23308" spans="1:6" ht="12.75">
      <c r="A23308" s="2">
        <v>43875.860810185186</v>
      </c>
      <c r="B23308" t="str">
        <f>HYPERLINK("https://twitter.com/WahdanaDan_Dana","@WahdanaDan_Dana")</f>
        <v>@WahdanaDan_Dana</v>
      </c>
      <c r="C23308" t="s">
        <v>2444</v>
      </c>
      <c r="D23308">
        <v>2546</v>
      </c>
      <c r="E23308">
        <v>0</v>
      </c>
      <c r="F23308">
        <v>2312</v>
      </c>
    </row>
    <row r="23309" spans="1:6" ht="12.75">
      <c r="A23309" s="2">
        <v>43875.860763888893</v>
      </c>
      <c r="B23309" t="str">
        <f>HYPERLINK("https://twitter.com/haidir_setiawan","@haidir_setiawan")</f>
        <v>@haidir_setiawan</v>
      </c>
      <c r="C23309" t="s">
        <v>10804</v>
      </c>
      <c r="D23309">
        <v>2</v>
      </c>
      <c r="E23309">
        <v>0</v>
      </c>
      <c r="F23309">
        <v>2295</v>
      </c>
    </row>
    <row r="23310" spans="1:6" ht="12.75">
      <c r="A23310" s="2">
        <v>43875.86074074074</v>
      </c>
      <c r="B23310" t="str">
        <f>HYPERLINK("https://twitter.com/abdominpain","@abdominpain")</f>
        <v>@abdominpain</v>
      </c>
      <c r="C23310" t="s">
        <v>2444</v>
      </c>
      <c r="D23310">
        <v>2546</v>
      </c>
      <c r="E23310">
        <v>0</v>
      </c>
      <c r="F23310">
        <v>3094</v>
      </c>
    </row>
    <row r="23311" spans="1:6" ht="12.75">
      <c r="A23311" s="2">
        <v>43875.86074074074</v>
      </c>
      <c r="B23311" t="str">
        <f>HYPERLINK("https://twitter.com/swanylicious","@swanylicious")</f>
        <v>@swanylicious</v>
      </c>
      <c r="C23311" t="s">
        <v>10422</v>
      </c>
      <c r="D23311">
        <v>108</v>
      </c>
      <c r="E23311">
        <v>0</v>
      </c>
      <c r="F23311">
        <v>1438</v>
      </c>
    </row>
    <row r="23312" spans="1:6" ht="12.75">
      <c r="A23312" s="2">
        <v>43875.860694444447</v>
      </c>
      <c r="B23312" t="str">
        <f>HYPERLINK("https://twitter.com/jenk_kelinn","@jenk_kelinn")</f>
        <v>@jenk_kelinn</v>
      </c>
      <c r="C23312" t="s">
        <v>10942</v>
      </c>
      <c r="D23312">
        <v>0</v>
      </c>
      <c r="E23312">
        <v>1</v>
      </c>
      <c r="F23312">
        <v>7626</v>
      </c>
    </row>
    <row r="23313" spans="1:6" ht="12.75">
      <c r="A23313" s="2">
        <v>43875.860555555555</v>
      </c>
      <c r="B23313" t="str">
        <f>HYPERLINK("https://twitter.com/lilfoxyy__","@lilfoxyy__")</f>
        <v>@lilfoxyy__</v>
      </c>
      <c r="C23313" t="s">
        <v>5168</v>
      </c>
      <c r="D23313">
        <v>990</v>
      </c>
      <c r="E23313">
        <v>0</v>
      </c>
      <c r="F23313">
        <v>524</v>
      </c>
    </row>
    <row r="23314" spans="1:6" ht="12.75">
      <c r="A23314" s="2">
        <v>43875.860486111109</v>
      </c>
      <c r="B23314" t="str">
        <f>HYPERLINK("https://twitter.com/bucin_nuna","@bucin_nuna")</f>
        <v>@bucin_nuna</v>
      </c>
      <c r="C23314" t="s">
        <v>2444</v>
      </c>
      <c r="D23314">
        <v>2546</v>
      </c>
      <c r="E23314">
        <v>0</v>
      </c>
      <c r="F23314">
        <v>596</v>
      </c>
    </row>
    <row r="23315" spans="1:6" ht="12.75">
      <c r="A23315" s="2">
        <v>43875.860439814816</v>
      </c>
      <c r="B23315" t="str">
        <f>HYPERLINK("https://twitter.com/rhoyanfp","@rhoyanfp")</f>
        <v>@rhoyanfp</v>
      </c>
      <c r="C23315" t="s">
        <v>2137</v>
      </c>
      <c r="D23315">
        <v>199</v>
      </c>
      <c r="E23315">
        <v>0</v>
      </c>
      <c r="F23315">
        <v>36</v>
      </c>
    </row>
    <row r="23316" spans="1:6" ht="12.75">
      <c r="A23316" s="2">
        <v>43875.860393518524</v>
      </c>
      <c r="B23316" t="str">
        <f>HYPERLINK("https://twitter.com/blackpink828","@blackpink828")</f>
        <v>@blackpink828</v>
      </c>
      <c r="C23316" t="s">
        <v>8328</v>
      </c>
      <c r="D23316">
        <v>26</v>
      </c>
      <c r="E23316">
        <v>0</v>
      </c>
      <c r="F23316">
        <v>2824</v>
      </c>
    </row>
    <row r="23317" spans="1:6" ht="12.75">
      <c r="A23317" s="2">
        <v>43875.860393518524</v>
      </c>
      <c r="B23317" t="str">
        <f>HYPERLINK("https://twitter.com/hermana_t","@hermana_t")</f>
        <v>@hermana_t</v>
      </c>
      <c r="C23317" t="s">
        <v>10943</v>
      </c>
      <c r="D23317">
        <v>1</v>
      </c>
      <c r="E23317">
        <v>3</v>
      </c>
      <c r="F23317">
        <v>10416</v>
      </c>
    </row>
    <row r="23318" spans="1:6" ht="12.75">
      <c r="A23318" s="2">
        <v>43875.860393518524</v>
      </c>
      <c r="B23318" t="str">
        <f>HYPERLINK("https://twitter.com/umaremania87","@umaremania87")</f>
        <v>@umaremania87</v>
      </c>
      <c r="C23318" t="s">
        <v>9147</v>
      </c>
      <c r="D23318">
        <v>31</v>
      </c>
      <c r="E23318">
        <v>0</v>
      </c>
      <c r="F23318">
        <v>310</v>
      </c>
    </row>
    <row r="23319" spans="1:6" ht="12.75">
      <c r="A23319" s="2">
        <v>43875.86037037037</v>
      </c>
      <c r="B23319" t="str">
        <f>HYPERLINK("https://twitter.com/Iemonadesu","@Iemonadesu")</f>
        <v>@Iemonadesu</v>
      </c>
      <c r="C23319" t="s">
        <v>2444</v>
      </c>
      <c r="D23319">
        <v>2546</v>
      </c>
      <c r="E23319">
        <v>0</v>
      </c>
      <c r="F23319">
        <v>135</v>
      </c>
    </row>
    <row r="23320" spans="1:6" ht="12.75">
      <c r="A23320" s="2">
        <v>43875.860347222224</v>
      </c>
      <c r="B23320" t="str">
        <f>HYPERLINK("https://twitter.com/DGhariany","@DGhariany")</f>
        <v>@DGhariany</v>
      </c>
      <c r="C23320" t="s">
        <v>9082</v>
      </c>
      <c r="D23320">
        <v>60</v>
      </c>
      <c r="E23320">
        <v>0</v>
      </c>
      <c r="F23320">
        <v>838</v>
      </c>
    </row>
    <row r="23321" spans="1:6" ht="12.75">
      <c r="A23321" s="2">
        <v>43875.860289351855</v>
      </c>
      <c r="B23321" t="str">
        <f>HYPERLINK("https://twitter.com/_luluuna","@_luluuna")</f>
        <v>@_luluuna</v>
      </c>
      <c r="C23321" t="s">
        <v>2444</v>
      </c>
      <c r="D23321">
        <v>2546</v>
      </c>
      <c r="E23321">
        <v>0</v>
      </c>
      <c r="F23321">
        <v>350</v>
      </c>
    </row>
    <row r="23322" spans="1:6" ht="12.75">
      <c r="A23322" s="2">
        <v>43875.860277777778</v>
      </c>
      <c r="B23322" t="str">
        <f>HYPERLINK("https://twitter.com/RiefqyIlham_","@RiefqyIlham_")</f>
        <v>@RiefqyIlham_</v>
      </c>
      <c r="C23322" t="s">
        <v>2137</v>
      </c>
      <c r="D23322">
        <v>199</v>
      </c>
      <c r="E23322">
        <v>0</v>
      </c>
      <c r="F23322">
        <v>106</v>
      </c>
    </row>
    <row r="23323" spans="1:6" ht="12.75">
      <c r="A23323" s="2">
        <v>43875.860266203701</v>
      </c>
      <c r="B23323" t="str">
        <f>HYPERLINK("https://twitter.com/TanjungSyahril","@TanjungSyahril")</f>
        <v>@TanjungSyahril</v>
      </c>
      <c r="C23323" t="s">
        <v>10944</v>
      </c>
      <c r="D23323">
        <v>16</v>
      </c>
      <c r="E23323">
        <v>0</v>
      </c>
      <c r="F23323">
        <v>2124</v>
      </c>
    </row>
    <row r="23324" spans="1:6" ht="12.75">
      <c r="A23324" s="2">
        <v>43875.860208333332</v>
      </c>
      <c r="B23324" t="str">
        <f>HYPERLINK("https://twitter.com/toasan","@toasan")</f>
        <v>@toasan</v>
      </c>
      <c r="C23324" t="s">
        <v>10945</v>
      </c>
      <c r="D23324">
        <v>0</v>
      </c>
      <c r="E23324">
        <v>0</v>
      </c>
      <c r="F23324">
        <v>18</v>
      </c>
    </row>
    <row r="23325" spans="1:6" ht="12.75">
      <c r="A23325" s="2">
        <v>43875.860173611116</v>
      </c>
      <c r="B23325" t="str">
        <f>HYPERLINK("https://twitter.com/vixtorious","@vixtorious")</f>
        <v>@vixtorious</v>
      </c>
      <c r="C23325" t="s">
        <v>8328</v>
      </c>
      <c r="D23325">
        <v>26</v>
      </c>
      <c r="E23325">
        <v>0</v>
      </c>
      <c r="F23325">
        <v>84</v>
      </c>
    </row>
    <row r="23326" spans="1:6" ht="12.75">
      <c r="A23326" s="2">
        <v>43875.860046296293</v>
      </c>
      <c r="B23326" t="str">
        <f>HYPERLINK("https://twitter.com/KolonelTarzan","@KolonelTarzan")</f>
        <v>@KolonelTarzan</v>
      </c>
      <c r="C23326" t="s">
        <v>10946</v>
      </c>
      <c r="D23326">
        <v>0</v>
      </c>
      <c r="E23326">
        <v>0</v>
      </c>
      <c r="F23326">
        <v>343</v>
      </c>
    </row>
    <row r="23327" spans="1:6" ht="12.75">
      <c r="A23327" s="2">
        <v>43875.86001157407</v>
      </c>
      <c r="B23327" t="str">
        <f>HYPERLINK("https://twitter.com/ina_amzaro","@ina_amzaro")</f>
        <v>@ina_amzaro</v>
      </c>
      <c r="C23327" t="s">
        <v>2444</v>
      </c>
      <c r="D23327">
        <v>2546</v>
      </c>
      <c r="E23327">
        <v>0</v>
      </c>
      <c r="F23327">
        <v>50</v>
      </c>
    </row>
    <row r="23328" spans="1:6" ht="12.75">
      <c r="A23328" s="2">
        <v>43875.859976851847</v>
      </c>
      <c r="B23328" t="str">
        <f>HYPERLINK("https://twitter.com/sunfloweryeol","@sunfloweryeol")</f>
        <v>@sunfloweryeol</v>
      </c>
      <c r="C23328" t="s">
        <v>9067</v>
      </c>
      <c r="D23328">
        <v>35</v>
      </c>
      <c r="E23328">
        <v>0</v>
      </c>
      <c r="F23328">
        <v>1560</v>
      </c>
    </row>
    <row r="23329" spans="1:6" ht="12.75">
      <c r="A23329" s="2">
        <v>43875.859768518523</v>
      </c>
      <c r="B23329" t="str">
        <f>HYPERLINK("https://twitter.com/tithaputriutm","@tithaputriutm")</f>
        <v>@tithaputriutm</v>
      </c>
      <c r="C23329" t="s">
        <v>2444</v>
      </c>
      <c r="D23329">
        <v>2546</v>
      </c>
      <c r="E23329">
        <v>0</v>
      </c>
      <c r="F23329">
        <v>386</v>
      </c>
    </row>
    <row r="23330" spans="1:6" ht="12.75">
      <c r="A23330" s="2">
        <v>43875.85974537037</v>
      </c>
      <c r="B23330" t="str">
        <f>HYPERLINK("https://twitter.com/sammy_chibotR6","@sammy_chibotR6")</f>
        <v>@sammy_chibotR6</v>
      </c>
      <c r="C23330" t="s">
        <v>2963</v>
      </c>
      <c r="D23330">
        <v>1097</v>
      </c>
      <c r="E23330">
        <v>0</v>
      </c>
      <c r="F23330">
        <v>201</v>
      </c>
    </row>
    <row r="23331" spans="1:6" ht="12.75">
      <c r="A23331" s="2">
        <v>43875.859629629631</v>
      </c>
      <c r="B23331" t="str">
        <f>HYPERLINK("https://twitter.com/arinugrs","@arinugrs")</f>
        <v>@arinugrs</v>
      </c>
      <c r="C23331" t="s">
        <v>10947</v>
      </c>
      <c r="D23331">
        <v>0</v>
      </c>
      <c r="E23331">
        <v>0</v>
      </c>
      <c r="F23331">
        <v>384</v>
      </c>
    </row>
    <row r="23332" spans="1:6" ht="12.75">
      <c r="A23332" s="2">
        <v>43875.859606481477</v>
      </c>
      <c r="B23332" t="str">
        <f>HYPERLINK("https://twitter.com/HatiiPuspita","@HatiiPuspita")</f>
        <v>@HatiiPuspita</v>
      </c>
      <c r="C23332" t="s">
        <v>2444</v>
      </c>
      <c r="D23332">
        <v>2546</v>
      </c>
      <c r="E23332">
        <v>0</v>
      </c>
      <c r="F23332">
        <v>505</v>
      </c>
    </row>
    <row r="23333" spans="1:6" ht="12.75">
      <c r="A23333" s="2">
        <v>43875.859594907408</v>
      </c>
      <c r="B23333" t="str">
        <f>HYPERLINK("https://twitter.com/shintaaraa_","@shintaaraa_")</f>
        <v>@shintaaraa_</v>
      </c>
      <c r="C23333" t="s">
        <v>8328</v>
      </c>
      <c r="D23333">
        <v>26</v>
      </c>
      <c r="E23333">
        <v>0</v>
      </c>
      <c r="F23333">
        <v>3369</v>
      </c>
    </row>
    <row r="23334" spans="1:6" ht="12.75">
      <c r="A23334" s="2">
        <v>43875.859548611115</v>
      </c>
      <c r="B23334" t="str">
        <f>HYPERLINK("https://twitter.com/hernowosky","@hernowosky")</f>
        <v>@hernowosky</v>
      </c>
      <c r="C23334" t="s">
        <v>2444</v>
      </c>
      <c r="D23334">
        <v>2546</v>
      </c>
      <c r="E23334">
        <v>0</v>
      </c>
      <c r="F23334">
        <v>701</v>
      </c>
    </row>
    <row r="23335" spans="1:6" ht="12.75">
      <c r="A23335" s="2">
        <v>43875.859525462962</v>
      </c>
      <c r="B23335" t="str">
        <f>HYPERLINK("https://twitter.com/telmidotcom","@telmidotcom")</f>
        <v>@telmidotcom</v>
      </c>
      <c r="C23335" t="s">
        <v>2444</v>
      </c>
      <c r="D23335">
        <v>2546</v>
      </c>
      <c r="E23335">
        <v>0</v>
      </c>
      <c r="F23335">
        <v>61</v>
      </c>
    </row>
    <row r="23336" spans="1:6" ht="12.75">
      <c r="A23336" s="2">
        <v>43875.859456018516</v>
      </c>
      <c r="B23336" t="str">
        <f>HYPERLINK("https://twitter.com/Fals051","@Fals051")</f>
        <v>@Fals051</v>
      </c>
      <c r="C23336" t="s">
        <v>10948</v>
      </c>
      <c r="D23336">
        <v>0</v>
      </c>
      <c r="E23336">
        <v>0</v>
      </c>
      <c r="F23336">
        <v>17</v>
      </c>
    </row>
    <row r="23337" spans="1:6" ht="12.75">
      <c r="A23337" s="2">
        <v>43875.859293981484</v>
      </c>
      <c r="B23337" t="str">
        <f>HYPERLINK("https://twitter.com/AlsadSugi","@AlsadSugi")</f>
        <v>@AlsadSugi</v>
      </c>
      <c r="C23337" t="s">
        <v>10949</v>
      </c>
      <c r="D23337">
        <v>0</v>
      </c>
      <c r="E23337">
        <v>1</v>
      </c>
      <c r="F23337">
        <v>1496</v>
      </c>
    </row>
    <row r="23338" spans="1:6" ht="12.75">
      <c r="A23338" s="2">
        <v>43875.859293981484</v>
      </c>
      <c r="B23338" t="str">
        <f>HYPERLINK("https://twitter.com/pinkishcola","@pinkishcola")</f>
        <v>@pinkishcola</v>
      </c>
      <c r="C23338" t="s">
        <v>2444</v>
      </c>
      <c r="D23338">
        <v>2546</v>
      </c>
      <c r="E23338">
        <v>0</v>
      </c>
      <c r="F23338">
        <v>204</v>
      </c>
    </row>
    <row r="23339" spans="1:6" ht="12.75">
      <c r="A23339" s="2">
        <v>43875.859282407408</v>
      </c>
      <c r="B23339" t="str">
        <f>HYPERLINK("https://twitter.com/bekchoy","@bekchoy")</f>
        <v>@bekchoy</v>
      </c>
      <c r="C23339" t="s">
        <v>10520</v>
      </c>
      <c r="D23339">
        <v>13</v>
      </c>
      <c r="E23339">
        <v>0</v>
      </c>
      <c r="F23339">
        <v>144</v>
      </c>
    </row>
    <row r="23340" spans="1:6" ht="12.75">
      <c r="A23340" s="2">
        <v>43875.859259259261</v>
      </c>
      <c r="B23340" t="str">
        <f>HYPERLINK("https://twitter.com/bolueskrim","@bolueskrim")</f>
        <v>@bolueskrim</v>
      </c>
      <c r="C23340" t="s">
        <v>10950</v>
      </c>
      <c r="D23340">
        <v>3</v>
      </c>
      <c r="E23340">
        <v>0</v>
      </c>
      <c r="F23340">
        <v>149</v>
      </c>
    </row>
    <row r="23341" spans="1:6" ht="12.75">
      <c r="A23341" s="2">
        <v>43875.859224537038</v>
      </c>
      <c r="B23341" t="str">
        <f>HYPERLINK("https://twitter.com/bobby_paribowo","@bobby_paribowo")</f>
        <v>@bobby_paribowo</v>
      </c>
      <c r="C23341" t="s">
        <v>10208</v>
      </c>
      <c r="D23341">
        <v>7</v>
      </c>
      <c r="E23341">
        <v>0</v>
      </c>
      <c r="F23341">
        <v>62</v>
      </c>
    </row>
    <row r="23342" spans="1:6" ht="12.75">
      <c r="A23342" s="2">
        <v>43875.859189814815</v>
      </c>
      <c r="B23342" t="str">
        <f>HYPERLINK("https://twitter.com/ariyapradana","@ariyapradana")</f>
        <v>@ariyapradana</v>
      </c>
      <c r="C23342" t="s">
        <v>5168</v>
      </c>
      <c r="D23342">
        <v>990</v>
      </c>
      <c r="E23342">
        <v>0</v>
      </c>
      <c r="F23342">
        <v>2115</v>
      </c>
    </row>
    <row r="23343" spans="1:6" ht="12.75">
      <c r="A23343" s="2">
        <v>43875.859155092592</v>
      </c>
      <c r="B23343" t="str">
        <f>HYPERLINK("https://twitter.com/samienz","@samienz")</f>
        <v>@samienz</v>
      </c>
      <c r="C23343" t="s">
        <v>9835</v>
      </c>
      <c r="D23343">
        <v>54</v>
      </c>
      <c r="E23343">
        <v>0</v>
      </c>
      <c r="F23343">
        <v>973</v>
      </c>
    </row>
    <row r="23344" spans="1:6" ht="12.75">
      <c r="A23344" s="2">
        <v>43875.859085648146</v>
      </c>
      <c r="B23344" t="str">
        <f>HYPERLINK("https://twitter.com/dexca_marta","@dexca_marta")</f>
        <v>@dexca_marta</v>
      </c>
      <c r="C23344" t="s">
        <v>2083</v>
      </c>
      <c r="D23344">
        <v>552</v>
      </c>
      <c r="E23344">
        <v>0</v>
      </c>
      <c r="F23344">
        <v>1738</v>
      </c>
    </row>
    <row r="23345" spans="1:6" ht="12.75">
      <c r="A23345" s="2">
        <v>43875.859050925923</v>
      </c>
      <c r="B23345" t="str">
        <f>HYPERLINK("https://twitter.com/kompascom","@kompascom")</f>
        <v>@kompascom</v>
      </c>
      <c r="C23345" t="s">
        <v>10951</v>
      </c>
      <c r="D23345">
        <v>1</v>
      </c>
      <c r="E23345">
        <v>2</v>
      </c>
      <c r="F23345">
        <v>7497619</v>
      </c>
    </row>
    <row r="23346" spans="1:6" ht="12.75">
      <c r="A23346" s="2">
        <v>43875.858900462961</v>
      </c>
      <c r="B23346" t="str">
        <f>HYPERLINK("https://twitter.com/yoeslugas","@yoeslugas")</f>
        <v>@yoeslugas</v>
      </c>
      <c r="C23346" t="s">
        <v>8328</v>
      </c>
      <c r="D23346">
        <v>26</v>
      </c>
      <c r="E23346">
        <v>0</v>
      </c>
      <c r="F23346">
        <v>628</v>
      </c>
    </row>
    <row r="23347" spans="1:6" ht="12.75">
      <c r="A23347" s="2">
        <v>43875.858877314815</v>
      </c>
      <c r="B23347" t="str">
        <f>HYPERLINK("https://twitter.com/FebyNiken_","@FebyNiken_")</f>
        <v>@FebyNiken_</v>
      </c>
      <c r="C23347" t="s">
        <v>2444</v>
      </c>
      <c r="D23347">
        <v>2546</v>
      </c>
      <c r="E23347">
        <v>0</v>
      </c>
      <c r="F23347">
        <v>131</v>
      </c>
    </row>
    <row r="23348" spans="1:6" ht="12.75">
      <c r="A23348" s="2">
        <v>43875.858784722222</v>
      </c>
      <c r="B23348" t="str">
        <f>HYPERLINK("https://twitter.com/Nurasyor","@Nurasyor")</f>
        <v>@Nurasyor</v>
      </c>
      <c r="C23348" t="s">
        <v>9835</v>
      </c>
      <c r="D23348">
        <v>54</v>
      </c>
      <c r="E23348">
        <v>0</v>
      </c>
      <c r="F23348">
        <v>912</v>
      </c>
    </row>
    <row r="23349" spans="1:6" ht="12.75">
      <c r="A23349" s="2">
        <v>43875.858761574069</v>
      </c>
      <c r="B23349" t="str">
        <f>HYPERLINK("https://twitter.com/PratamaUnggah","@PratamaUnggah")</f>
        <v>@PratamaUnggah</v>
      </c>
      <c r="C23349" t="s">
        <v>9983</v>
      </c>
      <c r="D23349">
        <v>3</v>
      </c>
      <c r="E23349">
        <v>0</v>
      </c>
      <c r="F23349">
        <v>10</v>
      </c>
    </row>
    <row r="23350" spans="1:6" ht="12.75">
      <c r="A23350" s="2">
        <v>43875.85873842593</v>
      </c>
      <c r="B23350" t="str">
        <f>HYPERLINK("https://twitter.com/septianekacahya","@septianekacahya")</f>
        <v>@septianekacahya</v>
      </c>
      <c r="C23350" t="s">
        <v>5168</v>
      </c>
      <c r="D23350">
        <v>990</v>
      </c>
      <c r="E23350">
        <v>0</v>
      </c>
      <c r="F23350">
        <v>194</v>
      </c>
    </row>
    <row r="23351" spans="1:6" ht="12.75">
      <c r="A23351" s="2">
        <v>43875.858680555553</v>
      </c>
      <c r="B23351" t="str">
        <f>HYPERLINK("https://twitter.com/RajaMandiri70","@RajaMandiri70")</f>
        <v>@RajaMandiri70</v>
      </c>
      <c r="C23351" t="s">
        <v>9198</v>
      </c>
      <c r="D23351">
        <v>51</v>
      </c>
      <c r="E23351">
        <v>0</v>
      </c>
      <c r="F23351">
        <v>477</v>
      </c>
    </row>
    <row r="23352" spans="1:6" ht="12.75">
      <c r="A23352" s="2">
        <v>43875.858680555553</v>
      </c>
      <c r="B23352" t="str">
        <f>HYPERLINK("https://twitter.com/Irsyanomics","@Irsyanomics")</f>
        <v>@Irsyanomics</v>
      </c>
      <c r="C23352" t="s">
        <v>10802</v>
      </c>
      <c r="D23352">
        <v>488</v>
      </c>
      <c r="E23352">
        <v>0</v>
      </c>
      <c r="F23352">
        <v>2</v>
      </c>
    </row>
    <row r="23353" spans="1:6" ht="12.75">
      <c r="A23353" s="2">
        <v>43875.858599537038</v>
      </c>
      <c r="B23353" t="str">
        <f>HYPERLINK("https://twitter.com/NurAlamBdg","@NurAlamBdg")</f>
        <v>@NurAlamBdg</v>
      </c>
      <c r="C23353" t="s">
        <v>10952</v>
      </c>
      <c r="D23353">
        <v>0</v>
      </c>
      <c r="E23353">
        <v>0</v>
      </c>
      <c r="F23353">
        <v>1418</v>
      </c>
    </row>
    <row r="23354" spans="1:6" ht="12.75">
      <c r="A23354" s="2">
        <v>43875.858576388884</v>
      </c>
      <c r="B23354" t="str">
        <f>HYPERLINK("https://twitter.com/aniek26551407","@aniek26551407")</f>
        <v>@aniek26551407</v>
      </c>
      <c r="C23354" t="s">
        <v>6201</v>
      </c>
      <c r="D23354">
        <v>207</v>
      </c>
      <c r="E23354">
        <v>0</v>
      </c>
      <c r="F23354">
        <v>571</v>
      </c>
    </row>
    <row r="23355" spans="1:6" ht="12.75">
      <c r="A23355" s="2">
        <v>43875.858553240745</v>
      </c>
      <c r="B23355" t="str">
        <f>HYPERLINK("https://twitter.com/jeonskkuk","@jeonskkuk")</f>
        <v>@jeonskkuk</v>
      </c>
      <c r="C23355" t="s">
        <v>2444</v>
      </c>
      <c r="D23355">
        <v>2546</v>
      </c>
      <c r="E23355">
        <v>0</v>
      </c>
      <c r="F23355">
        <v>1601</v>
      </c>
    </row>
    <row r="23356" spans="1:6" ht="12.75">
      <c r="A23356" s="2">
        <v>43875.858541666668</v>
      </c>
      <c r="B23356" t="str">
        <f>HYPERLINK("https://twitter.com/mjefrisani","@mjefrisani")</f>
        <v>@mjefrisani</v>
      </c>
      <c r="C23356" t="s">
        <v>9746</v>
      </c>
      <c r="D23356">
        <v>349</v>
      </c>
      <c r="E23356">
        <v>0</v>
      </c>
      <c r="F23356">
        <v>921</v>
      </c>
    </row>
    <row r="23357" spans="1:6" ht="12.75">
      <c r="A23357" s="2">
        <v>43875.858541666668</v>
      </c>
      <c r="B23357" t="str">
        <f>HYPERLINK("https://twitter.com/duswnschlx","@duswnschlx")</f>
        <v>@duswnschlx</v>
      </c>
      <c r="C23357" t="s">
        <v>2444</v>
      </c>
      <c r="D23357">
        <v>2546</v>
      </c>
      <c r="E23357">
        <v>0</v>
      </c>
      <c r="F23357">
        <v>1708</v>
      </c>
    </row>
    <row r="23358" spans="1:6" ht="12.75">
      <c r="A23358" s="2">
        <v>43875.858518518522</v>
      </c>
      <c r="B23358" t="str">
        <f>HYPERLINK("https://twitter.com/mjefrisani","@mjefrisani")</f>
        <v>@mjefrisani</v>
      </c>
      <c r="C23358" t="s">
        <v>7478</v>
      </c>
      <c r="D23358">
        <v>385</v>
      </c>
      <c r="E23358">
        <v>0</v>
      </c>
      <c r="F23358">
        <v>921</v>
      </c>
    </row>
    <row r="23359" spans="1:6" ht="12.75">
      <c r="A23359" s="2">
        <v>43875.858356481476</v>
      </c>
      <c r="B23359" t="str">
        <f>HYPERLINK("https://twitter.com/muka_bebek","@muka_bebek")</f>
        <v>@muka_bebek</v>
      </c>
      <c r="C23359" t="s">
        <v>2444</v>
      </c>
      <c r="D23359">
        <v>2546</v>
      </c>
      <c r="E23359">
        <v>0</v>
      </c>
      <c r="F23359">
        <v>52</v>
      </c>
    </row>
    <row r="23360" spans="1:6" ht="12.75">
      <c r="A23360" s="2">
        <v>43875.858263888891</v>
      </c>
      <c r="B23360" t="str">
        <f>HYPERLINK("https://twitter.com/haiinathan","@haiinathan")</f>
        <v>@haiinathan</v>
      </c>
      <c r="C23360" t="s">
        <v>2444</v>
      </c>
      <c r="D23360">
        <v>2546</v>
      </c>
      <c r="E23360">
        <v>0</v>
      </c>
      <c r="F23360">
        <v>2318</v>
      </c>
    </row>
    <row r="23361" spans="1:6" ht="12.75">
      <c r="A23361" s="2">
        <v>43875.858240740738</v>
      </c>
      <c r="B23361" t="str">
        <f>HYPERLINK("https://twitter.com/SuharYa62226896","@SuharYa62226896")</f>
        <v>@SuharYa62226896</v>
      </c>
      <c r="C23361" t="s">
        <v>2963</v>
      </c>
      <c r="D23361">
        <v>1097</v>
      </c>
      <c r="E23361">
        <v>0</v>
      </c>
      <c r="F23361">
        <v>552</v>
      </c>
    </row>
    <row r="23362" spans="1:6" ht="12.75">
      <c r="A23362" s="2">
        <v>43875.858101851853</v>
      </c>
      <c r="B23362" t="str">
        <f>HYPERLINK("https://twitter.com/cheeseywesey","@cheeseywesey")</f>
        <v>@cheeseywesey</v>
      </c>
      <c r="C23362" t="s">
        <v>175</v>
      </c>
      <c r="D23362">
        <v>5302</v>
      </c>
      <c r="E23362">
        <v>0</v>
      </c>
      <c r="F23362">
        <v>359</v>
      </c>
    </row>
    <row r="23363" spans="1:6" ht="12.75">
      <c r="A23363" s="2">
        <v>43875.858090277776</v>
      </c>
      <c r="B23363" t="str">
        <f>HYPERLINK("https://twitter.com/creonnida","@creonnida")</f>
        <v>@creonnida</v>
      </c>
      <c r="C23363" t="s">
        <v>2444</v>
      </c>
      <c r="D23363">
        <v>2546</v>
      </c>
      <c r="E23363">
        <v>0</v>
      </c>
      <c r="F23363">
        <v>250</v>
      </c>
    </row>
    <row r="23364" spans="1:6" ht="12.75">
      <c r="A23364" s="2">
        <v>43875.857962962968</v>
      </c>
      <c r="B23364" t="str">
        <f>HYPERLINK("https://twitter.com/PENTOLITY","@PENTOLITY")</f>
        <v>@PENTOLITY</v>
      </c>
      <c r="C23364" t="s">
        <v>5168</v>
      </c>
      <c r="D23364">
        <v>990</v>
      </c>
      <c r="E23364">
        <v>0</v>
      </c>
      <c r="F23364">
        <v>1644</v>
      </c>
    </row>
    <row r="23365" spans="1:6" ht="12.75">
      <c r="A23365" s="2">
        <v>43875.857928240745</v>
      </c>
      <c r="B23365" t="str">
        <f>HYPERLINK("https://twitter.com/Nitizen_Zen","@Nitizen_Zen")</f>
        <v>@Nitizen_Zen</v>
      </c>
      <c r="C23365" t="s">
        <v>10200</v>
      </c>
      <c r="D23365">
        <v>29</v>
      </c>
      <c r="E23365">
        <v>0</v>
      </c>
      <c r="F23365">
        <v>454</v>
      </c>
    </row>
    <row r="23366" spans="1:6" ht="12.75">
      <c r="A23366" s="2">
        <v>43875.857847222222</v>
      </c>
      <c r="B23366" t="str">
        <f>HYPERLINK("https://twitter.com/qonitamatiin","@qonitamatiin")</f>
        <v>@qonitamatiin</v>
      </c>
      <c r="C23366" t="s">
        <v>9746</v>
      </c>
      <c r="D23366">
        <v>349</v>
      </c>
      <c r="E23366">
        <v>0</v>
      </c>
      <c r="F23366">
        <v>159</v>
      </c>
    </row>
    <row r="23367" spans="1:6" ht="12.75">
      <c r="A23367" s="2">
        <v>43875.857835648145</v>
      </c>
      <c r="B23367" t="str">
        <f>HYPERLINK("https://twitter.com/AuliaBasuni","@AuliaBasuni")</f>
        <v>@AuliaBasuni</v>
      </c>
      <c r="C23367" t="s">
        <v>2444</v>
      </c>
      <c r="D23367">
        <v>2546</v>
      </c>
      <c r="E23367">
        <v>0</v>
      </c>
      <c r="F23367">
        <v>213</v>
      </c>
    </row>
    <row r="23368" spans="1:6" ht="12.75">
      <c r="A23368" s="2">
        <v>43875.857719907406</v>
      </c>
      <c r="B23368" t="str">
        <f>HYPERLINK("https://twitter.com/KontanNews","@KontanNews")</f>
        <v>@KontanNews</v>
      </c>
      <c r="C23368" t="s">
        <v>10953</v>
      </c>
      <c r="D23368">
        <v>1</v>
      </c>
      <c r="E23368">
        <v>0</v>
      </c>
      <c r="F23368">
        <v>316307</v>
      </c>
    </row>
    <row r="23369" spans="1:6" ht="12.75">
      <c r="A23369" s="2">
        <v>43875.85769675926</v>
      </c>
      <c r="B23369" t="str">
        <f>HYPERLINK("https://twitter.com/menang_2019","@menang_2019")</f>
        <v>@menang_2019</v>
      </c>
      <c r="C23369" t="s">
        <v>10407</v>
      </c>
      <c r="D23369">
        <v>54</v>
      </c>
      <c r="E23369">
        <v>0</v>
      </c>
      <c r="F23369">
        <v>94</v>
      </c>
    </row>
    <row r="23370" spans="1:6" ht="12.75">
      <c r="A23370" s="2">
        <v>43875.857627314814</v>
      </c>
      <c r="B23370" t="str">
        <f>HYPERLINK("https://twitter.com/edwinsaputra15","@edwinsaputra15")</f>
        <v>@edwinsaputra15</v>
      </c>
      <c r="C23370" t="s">
        <v>10052</v>
      </c>
      <c r="D23370">
        <v>78</v>
      </c>
      <c r="E23370">
        <v>0</v>
      </c>
      <c r="F23370">
        <v>525</v>
      </c>
    </row>
    <row r="23371" spans="1:6" ht="12.75">
      <c r="A23371" s="2">
        <v>43875.857557870375</v>
      </c>
      <c r="B23371" t="str">
        <f>HYPERLINK("https://twitter.com/triyuliantoo","@triyuliantoo")</f>
        <v>@triyuliantoo</v>
      </c>
      <c r="C23371" t="s">
        <v>2137</v>
      </c>
      <c r="D23371">
        <v>199</v>
      </c>
      <c r="E23371">
        <v>0</v>
      </c>
      <c r="F23371">
        <v>343</v>
      </c>
    </row>
    <row r="23372" spans="1:6" ht="12.75">
      <c r="A23372" s="2">
        <v>43875.857546296298</v>
      </c>
      <c r="B23372" t="str">
        <f>HYPERLINK("https://twitter.com/3_devout","@3_devout")</f>
        <v>@3_devout</v>
      </c>
      <c r="C23372" t="s">
        <v>8948</v>
      </c>
      <c r="D23372">
        <v>4</v>
      </c>
      <c r="E23372">
        <v>0</v>
      </c>
      <c r="F23372">
        <v>1033</v>
      </c>
    </row>
    <row r="23373" spans="1:6" ht="12.75">
      <c r="A23373" s="2">
        <v>43875.857523148152</v>
      </c>
      <c r="B23373" t="str">
        <f>HYPERLINK("https://twitter.com/Ndrews1162011","@Ndrews1162011")</f>
        <v>@Ndrews1162011</v>
      </c>
      <c r="C23373" t="s">
        <v>10954</v>
      </c>
      <c r="D23373">
        <v>0</v>
      </c>
      <c r="E23373">
        <v>0</v>
      </c>
      <c r="F23373">
        <v>1139</v>
      </c>
    </row>
    <row r="23374" spans="1:6" ht="12.75">
      <c r="A23374" s="2">
        <v>43875.857523148152</v>
      </c>
      <c r="B23374" t="str">
        <f>HYPERLINK("https://twitter.com/IUmnda","@IUmnda")</f>
        <v>@IUmnda</v>
      </c>
      <c r="C23374" t="s">
        <v>2444</v>
      </c>
      <c r="D23374">
        <v>2546</v>
      </c>
      <c r="E23374">
        <v>0</v>
      </c>
      <c r="F23374">
        <v>468</v>
      </c>
    </row>
    <row r="23375" spans="1:6" ht="12.75">
      <c r="A23375" s="2">
        <v>43875.857499999998</v>
      </c>
      <c r="B23375" t="str">
        <f>HYPERLINK("https://twitter.com/IxNdheso","@IxNdheso")</f>
        <v>@IxNdheso</v>
      </c>
      <c r="C23375" t="s">
        <v>10955</v>
      </c>
      <c r="D23375">
        <v>0</v>
      </c>
      <c r="E23375">
        <v>0</v>
      </c>
      <c r="F23375">
        <v>1161</v>
      </c>
    </row>
    <row r="23376" spans="1:6" ht="12.75">
      <c r="A23376" s="2">
        <v>43875.857476851852</v>
      </c>
      <c r="B23376" t="str">
        <f>HYPERLINK("https://twitter.com/chococilk","@chococilk")</f>
        <v>@chococilk</v>
      </c>
      <c r="C23376" t="s">
        <v>5168</v>
      </c>
      <c r="D23376">
        <v>990</v>
      </c>
      <c r="E23376">
        <v>0</v>
      </c>
      <c r="F23376">
        <v>84</v>
      </c>
    </row>
    <row r="23377" spans="1:6" ht="12.75">
      <c r="A23377" s="2">
        <v>43875.857442129629</v>
      </c>
      <c r="B23377" t="str">
        <f>HYPERLINK("https://twitter.com/makelarberas","@makelarberas")</f>
        <v>@makelarberas</v>
      </c>
      <c r="C23377" t="s">
        <v>8328</v>
      </c>
      <c r="D23377">
        <v>26</v>
      </c>
      <c r="E23377">
        <v>0</v>
      </c>
      <c r="F23377">
        <v>424</v>
      </c>
    </row>
    <row r="23378" spans="1:6" ht="12.75">
      <c r="A23378" s="2">
        <v>43875.857442129629</v>
      </c>
      <c r="B23378" t="str">
        <f>HYPERLINK("https://twitter.com/entaahgaluv","@entaahgaluv")</f>
        <v>@entaahgaluv</v>
      </c>
      <c r="C23378" t="s">
        <v>2444</v>
      </c>
      <c r="D23378">
        <v>2546</v>
      </c>
      <c r="E23378">
        <v>0</v>
      </c>
      <c r="F23378">
        <v>168</v>
      </c>
    </row>
    <row r="23379" spans="1:6" ht="12.75">
      <c r="A23379" s="2">
        <v>43875.85737268519</v>
      </c>
      <c r="B23379" t="str">
        <f>HYPERLINK("https://twitter.com/eajislove","@eajislove")</f>
        <v>@eajislove</v>
      </c>
      <c r="C23379" t="s">
        <v>2444</v>
      </c>
      <c r="D23379">
        <v>2546</v>
      </c>
      <c r="E23379">
        <v>0</v>
      </c>
      <c r="F23379">
        <v>318</v>
      </c>
    </row>
    <row r="23380" spans="1:6" ht="12.75">
      <c r="A23380" s="2">
        <v>43875.857314814813</v>
      </c>
      <c r="B23380" t="str">
        <f>HYPERLINK("https://twitter.com/nuridahayat1275","@nuridahayat1275")</f>
        <v>@nuridahayat1275</v>
      </c>
      <c r="C23380" t="s">
        <v>6201</v>
      </c>
      <c r="D23380">
        <v>207</v>
      </c>
      <c r="E23380">
        <v>0</v>
      </c>
      <c r="F23380">
        <v>149</v>
      </c>
    </row>
    <row r="23381" spans="1:6" ht="12.75">
      <c r="A23381" s="2">
        <v>43875.857245370367</v>
      </c>
      <c r="B23381" t="str">
        <f>HYPERLINK("https://twitter.com/utarioep","@utarioep")</f>
        <v>@utarioep</v>
      </c>
      <c r="C23381" t="s">
        <v>9198</v>
      </c>
      <c r="D23381">
        <v>51</v>
      </c>
      <c r="E23381">
        <v>0</v>
      </c>
      <c r="F23381">
        <v>402</v>
      </c>
    </row>
    <row r="23382" spans="1:6" ht="12.75">
      <c r="A23382" s="2">
        <v>43875.857210648144</v>
      </c>
      <c r="B23382" t="str">
        <f>HYPERLINK("https://twitter.com/koko_dhoni","@koko_dhoni")</f>
        <v>@koko_dhoni</v>
      </c>
      <c r="C23382" t="s">
        <v>10956</v>
      </c>
      <c r="D23382">
        <v>0</v>
      </c>
      <c r="E23382">
        <v>0</v>
      </c>
      <c r="F23382">
        <v>152</v>
      </c>
    </row>
    <row r="23383" spans="1:6" ht="12.75">
      <c r="A23383" s="2">
        <v>43875.857164351852</v>
      </c>
      <c r="B23383" t="str">
        <f>HYPERLINK("https://twitter.com/luidarryl","@luidarryl")</f>
        <v>@luidarryl</v>
      </c>
      <c r="C23383" t="s">
        <v>10957</v>
      </c>
      <c r="D23383">
        <v>50</v>
      </c>
      <c r="E23383">
        <v>0</v>
      </c>
      <c r="F23383">
        <v>16</v>
      </c>
    </row>
    <row r="23384" spans="1:6" ht="12.75">
      <c r="A23384" s="2">
        <v>43875.857152777782</v>
      </c>
      <c r="B23384" t="str">
        <f>HYPERLINK("https://twitter.com/bonisafer","@bonisafer")</f>
        <v>@bonisafer</v>
      </c>
      <c r="C23384" t="s">
        <v>7888</v>
      </c>
      <c r="D23384">
        <v>28</v>
      </c>
      <c r="E23384">
        <v>0</v>
      </c>
      <c r="F23384">
        <v>421</v>
      </c>
    </row>
    <row r="23385" spans="1:6" ht="12.75">
      <c r="A23385" s="2">
        <v>43875.857106481482</v>
      </c>
      <c r="B23385" t="str">
        <f>HYPERLINK("https://twitter.com/HeriawanAdiwan2","@HeriawanAdiwan2")</f>
        <v>@HeriawanAdiwan2</v>
      </c>
      <c r="C23385" t="s">
        <v>9835</v>
      </c>
      <c r="D23385">
        <v>54</v>
      </c>
      <c r="E23385">
        <v>0</v>
      </c>
      <c r="F23385">
        <v>2854</v>
      </c>
    </row>
    <row r="23386" spans="1:6" ht="12.75">
      <c r="A23386" s="2">
        <v>43875.857071759259</v>
      </c>
      <c r="B23386" t="str">
        <f>HYPERLINK("https://twitter.com/PideksoRoyo1","@PideksoRoyo1")</f>
        <v>@PideksoRoyo1</v>
      </c>
      <c r="C23386" t="s">
        <v>10958</v>
      </c>
      <c r="D23386">
        <v>0</v>
      </c>
      <c r="E23386">
        <v>0</v>
      </c>
      <c r="F23386">
        <v>718</v>
      </c>
    </row>
    <row r="23387" spans="1:6" ht="12.75">
      <c r="A23387" s="2">
        <v>43875.857002314813</v>
      </c>
      <c r="B23387" t="str">
        <f>HYPERLINK("https://twitter.com/Sophisjl","@Sophisjl")</f>
        <v>@Sophisjl</v>
      </c>
      <c r="C23387" t="s">
        <v>2444</v>
      </c>
      <c r="D23387">
        <v>2546</v>
      </c>
      <c r="E23387">
        <v>0</v>
      </c>
      <c r="F23387">
        <v>164</v>
      </c>
    </row>
    <row r="23388" spans="1:6" ht="12.75">
      <c r="A23388" s="2">
        <v>43875.856990740736</v>
      </c>
      <c r="B23388" t="str">
        <f>HYPERLINK("https://twitter.com/bagasawara","@bagasawara")</f>
        <v>@bagasawara</v>
      </c>
      <c r="C23388" t="s">
        <v>2963</v>
      </c>
      <c r="D23388">
        <v>1097</v>
      </c>
      <c r="E23388">
        <v>0</v>
      </c>
      <c r="F23388">
        <v>14</v>
      </c>
    </row>
    <row r="23389" spans="1:6" ht="12.75">
      <c r="A23389" s="2">
        <v>43875.856979166667</v>
      </c>
      <c r="B23389" t="str">
        <f>HYPERLINK("https://twitter.com/MinamiYuuki2003","@MinamiYuuki2003")</f>
        <v>@MinamiYuuki2003</v>
      </c>
      <c r="C23389" t="s">
        <v>2444</v>
      </c>
      <c r="D23389">
        <v>2546</v>
      </c>
      <c r="E23389">
        <v>0</v>
      </c>
      <c r="F23389">
        <v>552</v>
      </c>
    </row>
    <row r="23390" spans="1:6" ht="12.75">
      <c r="A23390" s="2">
        <v>43875.856851851851</v>
      </c>
      <c r="B23390" t="str">
        <f>HYPERLINK("https://twitter.com/creonnida","@creonnida")</f>
        <v>@creonnida</v>
      </c>
      <c r="C23390" t="s">
        <v>5168</v>
      </c>
      <c r="D23390">
        <v>990</v>
      </c>
      <c r="E23390">
        <v>0</v>
      </c>
      <c r="F23390">
        <v>250</v>
      </c>
    </row>
    <row r="23391" spans="1:6" ht="12.75">
      <c r="A23391" s="2">
        <v>43875.856805555552</v>
      </c>
      <c r="B23391" t="str">
        <f>HYPERLINK("https://twitter.com/aguungJs","@aguungJs")</f>
        <v>@aguungJs</v>
      </c>
      <c r="C23391" t="s">
        <v>10096</v>
      </c>
      <c r="D23391">
        <v>168</v>
      </c>
      <c r="E23391">
        <v>0</v>
      </c>
      <c r="F23391">
        <v>271</v>
      </c>
    </row>
    <row r="23392" spans="1:6" ht="12.75">
      <c r="A23392" s="2">
        <v>43875.856793981482</v>
      </c>
      <c r="B23392" t="str">
        <f>HYPERLINK("https://twitter.com/mocheebyunee","@mocheebyunee")</f>
        <v>@mocheebyunee</v>
      </c>
      <c r="C23392" t="s">
        <v>2444</v>
      </c>
      <c r="D23392">
        <v>2546</v>
      </c>
      <c r="E23392">
        <v>0</v>
      </c>
      <c r="F23392">
        <v>96</v>
      </c>
    </row>
    <row r="23393" spans="1:6" ht="12.75">
      <c r="A23393" s="2">
        <v>43875.856793981482</v>
      </c>
      <c r="B23393" t="str">
        <f>HYPERLINK("https://twitter.com/finelissa_","@finelissa_")</f>
        <v>@finelissa_</v>
      </c>
      <c r="C23393" t="s">
        <v>2444</v>
      </c>
      <c r="D23393">
        <v>2546</v>
      </c>
      <c r="E23393">
        <v>0</v>
      </c>
      <c r="F23393">
        <v>1254</v>
      </c>
    </row>
    <row r="23394" spans="1:6" ht="12.75">
      <c r="A23394" s="2">
        <v>43875.856782407413</v>
      </c>
      <c r="B23394" t="str">
        <f>HYPERLINK("https://twitter.com/Mujirahadi2","@Mujirahadi2")</f>
        <v>@Mujirahadi2</v>
      </c>
      <c r="C23394" t="s">
        <v>9186</v>
      </c>
      <c r="D23394">
        <v>102</v>
      </c>
      <c r="E23394">
        <v>0</v>
      </c>
      <c r="F23394">
        <v>1592</v>
      </c>
    </row>
    <row r="23395" spans="1:6" ht="12.75">
      <c r="A23395" s="2">
        <v>43875.856736111113</v>
      </c>
      <c r="B23395" t="str">
        <f>HYPERLINK("https://twitter.com/busanleads","@busanleads")</f>
        <v>@busanleads</v>
      </c>
      <c r="C23395" t="s">
        <v>2444</v>
      </c>
      <c r="D23395">
        <v>2546</v>
      </c>
      <c r="E23395">
        <v>0</v>
      </c>
      <c r="F23395">
        <v>368</v>
      </c>
    </row>
    <row r="23396" spans="1:6" ht="12.75">
      <c r="A23396" s="2">
        <v>43875.856516203705</v>
      </c>
      <c r="B23396" t="str">
        <f>HYPERLINK("https://twitter.com/YEngran","@YEngran")</f>
        <v>@YEngran</v>
      </c>
      <c r="C23396" t="s">
        <v>10959</v>
      </c>
      <c r="D23396">
        <v>0</v>
      </c>
      <c r="E23396">
        <v>0</v>
      </c>
      <c r="F23396">
        <v>247</v>
      </c>
    </row>
    <row r="23397" spans="1:6" ht="12.75">
      <c r="A23397" s="2">
        <v>43875.856493055559</v>
      </c>
      <c r="B23397" t="str">
        <f>HYPERLINK("https://twitter.com/di_sayangi","@di_sayangi")</f>
        <v>@di_sayangi</v>
      </c>
      <c r="C23397" t="s">
        <v>2444</v>
      </c>
      <c r="D23397">
        <v>2546</v>
      </c>
      <c r="E23397">
        <v>0</v>
      </c>
      <c r="F23397">
        <v>1149</v>
      </c>
    </row>
    <row r="23398" spans="1:6" ht="12.75">
      <c r="A23398" s="2">
        <v>43875.856481481482</v>
      </c>
      <c r="B23398" t="str">
        <f>HYPERLINK("https://twitter.com/mawimong","@mawimong")</f>
        <v>@mawimong</v>
      </c>
      <c r="C23398" t="s">
        <v>9123</v>
      </c>
      <c r="D23398">
        <v>284</v>
      </c>
      <c r="E23398">
        <v>0</v>
      </c>
      <c r="F23398">
        <v>100</v>
      </c>
    </row>
    <row r="23399" spans="1:6" ht="12.75">
      <c r="A23399" s="2">
        <v>43875.856446759259</v>
      </c>
      <c r="B23399" t="str">
        <f>HYPERLINK("https://twitter.com/Adra_silent","@Adra_silent")</f>
        <v>@Adra_silent</v>
      </c>
      <c r="C23399" t="s">
        <v>10907</v>
      </c>
      <c r="D23399">
        <v>2</v>
      </c>
      <c r="E23399">
        <v>0</v>
      </c>
      <c r="F23399">
        <v>4122</v>
      </c>
    </row>
    <row r="23400" spans="1:6" ht="12.75">
      <c r="A23400" s="2">
        <v>43875.856412037036</v>
      </c>
      <c r="B23400" t="str">
        <f>HYPERLINK("https://twitter.com/Kimchzy","@Kimchzy")</f>
        <v>@Kimchzy</v>
      </c>
      <c r="C23400" t="s">
        <v>2444</v>
      </c>
      <c r="D23400">
        <v>2546</v>
      </c>
      <c r="E23400">
        <v>0</v>
      </c>
      <c r="F23400">
        <v>519</v>
      </c>
    </row>
    <row r="23401" spans="1:6" ht="12.75">
      <c r="A23401" s="2">
        <v>43875.85633101852</v>
      </c>
      <c r="B23401" t="str">
        <f>HYPERLINK("https://twitter.com/Adra_silent","@Adra_silent")</f>
        <v>@Adra_silent</v>
      </c>
      <c r="C23401" t="s">
        <v>10960</v>
      </c>
      <c r="D23401">
        <v>2</v>
      </c>
      <c r="E23401">
        <v>1</v>
      </c>
      <c r="F23401">
        <v>4122</v>
      </c>
    </row>
    <row r="23402" spans="1:6" ht="12.75">
      <c r="A23402" s="2">
        <v>43875.856319444443</v>
      </c>
      <c r="B23402" t="str">
        <f>HYPERLINK("https://twitter.com/Hex_Black_Jhex","@Hex_Black_Jhex")</f>
        <v>@Hex_Black_Jhex</v>
      </c>
      <c r="C23402" t="s">
        <v>7478</v>
      </c>
      <c r="D23402">
        <v>385</v>
      </c>
      <c r="E23402">
        <v>0</v>
      </c>
      <c r="F23402">
        <v>1645</v>
      </c>
    </row>
    <row r="23403" spans="1:6" ht="12.75">
      <c r="A23403" s="2">
        <v>43875.856261574074</v>
      </c>
      <c r="B23403" t="str">
        <f>HYPERLINK("https://twitter.com/MinJiRyi","@MinJiRyi")</f>
        <v>@MinJiRyi</v>
      </c>
      <c r="C23403" t="s">
        <v>2444</v>
      </c>
      <c r="D23403">
        <v>2546</v>
      </c>
      <c r="E23403">
        <v>0</v>
      </c>
      <c r="F23403">
        <v>357</v>
      </c>
    </row>
    <row r="23404" spans="1:6" ht="12.75">
      <c r="A23404" s="2">
        <v>43875.856226851851</v>
      </c>
      <c r="B23404" t="str">
        <f>HYPERLINK("https://twitter.com/cnbcindonesia","@cnbcindonesia")</f>
        <v>@cnbcindonesia</v>
      </c>
      <c r="C23404" t="s">
        <v>10961</v>
      </c>
      <c r="D23404">
        <v>0</v>
      </c>
      <c r="E23404">
        <v>3</v>
      </c>
      <c r="F23404">
        <v>30015</v>
      </c>
    </row>
    <row r="23405" spans="1:6" ht="12.75">
      <c r="A23405" s="2">
        <v>43875.856180555551</v>
      </c>
      <c r="B23405" t="str">
        <f>HYPERLINK("https://twitter.com/PideksoRoyo1","@PideksoRoyo1")</f>
        <v>@PideksoRoyo1</v>
      </c>
      <c r="C23405" t="s">
        <v>7619</v>
      </c>
      <c r="D23405">
        <v>13</v>
      </c>
      <c r="E23405">
        <v>0</v>
      </c>
      <c r="F23405">
        <v>718</v>
      </c>
    </row>
    <row r="23406" spans="1:6" ht="12.75">
      <c r="A23406" s="2">
        <v>43875.856076388889</v>
      </c>
      <c r="B23406" t="str">
        <f>HYPERLINK("https://twitter.com/clingydust","@clingydust")</f>
        <v>@clingydust</v>
      </c>
      <c r="C23406" t="s">
        <v>5168</v>
      </c>
      <c r="D23406">
        <v>990</v>
      </c>
      <c r="E23406">
        <v>0</v>
      </c>
      <c r="F23406">
        <v>974</v>
      </c>
    </row>
    <row r="23407" spans="1:6" ht="12.75">
      <c r="A23407" s="2">
        <v>43875.856064814812</v>
      </c>
      <c r="B23407" t="str">
        <f>HYPERLINK("https://twitter.com/urlovelypudding","@urlovelypudding")</f>
        <v>@urlovelypudding</v>
      </c>
      <c r="C23407" t="s">
        <v>2444</v>
      </c>
      <c r="D23407">
        <v>2546</v>
      </c>
      <c r="E23407">
        <v>0</v>
      </c>
      <c r="F23407">
        <v>102</v>
      </c>
    </row>
    <row r="23408" spans="1:6" ht="12.75">
      <c r="A23408" s="2">
        <v>43875.856006944443</v>
      </c>
      <c r="B23408" t="str">
        <f>HYPERLINK("https://twitter.com/XIII_kamp","@XIII_kamp")</f>
        <v>@XIII_kamp</v>
      </c>
      <c r="C23408" t="s">
        <v>10962</v>
      </c>
      <c r="D23408">
        <v>0</v>
      </c>
      <c r="E23408">
        <v>2</v>
      </c>
      <c r="F23408">
        <v>164</v>
      </c>
    </row>
    <row r="23409" spans="1:6" ht="12.75">
      <c r="A23409" s="2">
        <v>43875.855983796297</v>
      </c>
      <c r="B23409" t="str">
        <f>HYPERLINK("https://twitter.com/kylieen_","@kylieen_")</f>
        <v>@kylieen_</v>
      </c>
      <c r="C23409" t="s">
        <v>5168</v>
      </c>
      <c r="D23409">
        <v>990</v>
      </c>
      <c r="E23409">
        <v>0</v>
      </c>
      <c r="F23409">
        <v>318</v>
      </c>
    </row>
    <row r="23410" spans="1:6" ht="12.75">
      <c r="A23410" s="2">
        <v>43875.855949074074</v>
      </c>
      <c r="B23410" t="str">
        <f>HYPERLINK("https://twitter.com/radhitamayps","@radhitamayps")</f>
        <v>@radhitamayps</v>
      </c>
      <c r="C23410" t="s">
        <v>2444</v>
      </c>
      <c r="D23410">
        <v>2546</v>
      </c>
      <c r="E23410">
        <v>0</v>
      </c>
      <c r="F23410">
        <v>341</v>
      </c>
    </row>
    <row r="23411" spans="1:6" ht="12.75">
      <c r="A23411" s="2">
        <v>43875.855868055558</v>
      </c>
      <c r="B23411" t="str">
        <f>HYPERLINK("https://twitter.com/Kimchzy","@Kimchzy")</f>
        <v>@Kimchzy</v>
      </c>
      <c r="C23411" t="s">
        <v>5168</v>
      </c>
      <c r="D23411">
        <v>990</v>
      </c>
      <c r="E23411">
        <v>0</v>
      </c>
      <c r="F23411">
        <v>519</v>
      </c>
    </row>
    <row r="23412" spans="1:6" ht="12.75">
      <c r="A23412" s="2">
        <v>43875.855740740742</v>
      </c>
      <c r="B23412" t="str">
        <f>HYPERLINK("https://twitter.com/AlfredoDeBocori","@AlfredoDeBocori")</f>
        <v>@AlfredoDeBocori</v>
      </c>
      <c r="C23412" t="s">
        <v>9599</v>
      </c>
      <c r="D23412">
        <v>12</v>
      </c>
      <c r="E23412">
        <v>0</v>
      </c>
      <c r="F23412">
        <v>677</v>
      </c>
    </row>
    <row r="23413" spans="1:6" ht="12.75">
      <c r="A23413" s="2">
        <v>43875.855520833335</v>
      </c>
      <c r="B23413" t="str">
        <f>HYPERLINK("https://twitter.com/danjonath","@danjonath")</f>
        <v>@danjonath</v>
      </c>
      <c r="C23413" t="s">
        <v>8328</v>
      </c>
      <c r="D23413">
        <v>26</v>
      </c>
      <c r="E23413">
        <v>0</v>
      </c>
      <c r="F23413">
        <v>472</v>
      </c>
    </row>
    <row r="23414" spans="1:6" ht="12.75">
      <c r="A23414" s="2">
        <v>43875.855497685188</v>
      </c>
      <c r="B23414" t="str">
        <f>HYPERLINK("https://twitter.com/istiqlal_pm","@istiqlal_pm")</f>
        <v>@istiqlal_pm</v>
      </c>
      <c r="C23414" t="s">
        <v>8328</v>
      </c>
      <c r="D23414">
        <v>26</v>
      </c>
      <c r="E23414">
        <v>0</v>
      </c>
      <c r="F23414">
        <v>25</v>
      </c>
    </row>
    <row r="23415" spans="1:6" ht="12.75">
      <c r="A23415" s="2">
        <v>43875.855462962965</v>
      </c>
      <c r="B23415" t="str">
        <f>HYPERLINK("https://twitter.com/picxiehollow","@picxiehollow")</f>
        <v>@picxiehollow</v>
      </c>
      <c r="C23415" t="s">
        <v>2444</v>
      </c>
      <c r="D23415">
        <v>2546</v>
      </c>
      <c r="E23415">
        <v>0</v>
      </c>
      <c r="F23415">
        <v>1309</v>
      </c>
    </row>
    <row r="23416" spans="1:6" ht="12.75">
      <c r="A23416" s="2">
        <v>43875.855300925927</v>
      </c>
      <c r="B23416" t="str">
        <f>HYPERLINK("https://twitter.com/Frend81739521","@Frend81739521")</f>
        <v>@Frend81739521</v>
      </c>
      <c r="C23416" t="s">
        <v>10963</v>
      </c>
      <c r="D23416">
        <v>0</v>
      </c>
      <c r="E23416">
        <v>0</v>
      </c>
      <c r="F23416">
        <v>3</v>
      </c>
    </row>
    <row r="23417" spans="1:6" ht="12.75">
      <c r="A23417" s="2">
        <v>43875.85528935185</v>
      </c>
      <c r="B23417" t="str">
        <f>HYPERLINK("https://twitter.com/AnamWrj","@AnamWrj")</f>
        <v>@AnamWrj</v>
      </c>
      <c r="C23417" t="s">
        <v>9165</v>
      </c>
      <c r="D23417">
        <v>0</v>
      </c>
      <c r="E23417">
        <v>0</v>
      </c>
      <c r="F23417">
        <v>165</v>
      </c>
    </row>
    <row r="23418" spans="1:6" ht="12.75">
      <c r="A23418" s="2">
        <v>43875.855254629627</v>
      </c>
      <c r="B23418" t="str">
        <f>HYPERLINK("https://twitter.com/linse_lin","@linse_lin")</f>
        <v>@linse_lin</v>
      </c>
      <c r="C23418" t="s">
        <v>2444</v>
      </c>
      <c r="D23418">
        <v>2546</v>
      </c>
      <c r="E23418">
        <v>0</v>
      </c>
      <c r="F23418">
        <v>427</v>
      </c>
    </row>
    <row r="23419" spans="1:6" ht="12.75">
      <c r="A23419" s="2">
        <v>43875.855231481481</v>
      </c>
      <c r="B23419" t="str">
        <f>HYPERLINK("https://twitter.com/pikiran_rakyat","@pikiran_rakyat")</f>
        <v>@pikiran_rakyat</v>
      </c>
      <c r="C23419" t="s">
        <v>10964</v>
      </c>
      <c r="D23419">
        <v>0</v>
      </c>
      <c r="E23419">
        <v>0</v>
      </c>
      <c r="F23419">
        <v>412470</v>
      </c>
    </row>
    <row r="23420" spans="1:6" ht="12.75">
      <c r="A23420" s="2">
        <v>43875.855219907404</v>
      </c>
      <c r="B23420" t="str">
        <f>HYPERLINK("https://twitter.com/hanvdtechnik","@hanvdtechnik")</f>
        <v>@hanvdtechnik</v>
      </c>
      <c r="C23420" t="s">
        <v>9666</v>
      </c>
      <c r="D23420">
        <v>17</v>
      </c>
      <c r="E23420">
        <v>0</v>
      </c>
      <c r="F23420">
        <v>29</v>
      </c>
    </row>
    <row r="23421" spans="1:6" ht="12.75">
      <c r="A23421" s="2">
        <v>43875.855208333334</v>
      </c>
      <c r="B23421" t="str">
        <f>HYPERLINK("https://twitter.com/fitri__iskandar","@fitri__iskandar")</f>
        <v>@fitri__iskandar</v>
      </c>
      <c r="C23421" t="s">
        <v>9538</v>
      </c>
      <c r="D23421">
        <v>152</v>
      </c>
      <c r="E23421">
        <v>0</v>
      </c>
      <c r="F23421">
        <v>684</v>
      </c>
    </row>
    <row r="23422" spans="1:6" ht="12.75">
      <c r="A23422" s="2">
        <v>43875.855127314819</v>
      </c>
      <c r="B23422" t="str">
        <f>HYPERLINK("https://twitter.com/v_aji","@v_aji")</f>
        <v>@v_aji</v>
      </c>
      <c r="C23422" t="s">
        <v>7478</v>
      </c>
      <c r="D23422">
        <v>385</v>
      </c>
      <c r="E23422">
        <v>0</v>
      </c>
      <c r="F23422">
        <v>217</v>
      </c>
    </row>
    <row r="23423" spans="1:6" ht="12.75">
      <c r="A23423" s="2">
        <v>43875.855104166665</v>
      </c>
      <c r="B23423" t="str">
        <f>HYPERLINK("https://twitter.com/prescribeddrugs","@prescribeddrugs")</f>
        <v>@prescribeddrugs</v>
      </c>
      <c r="C23423" t="s">
        <v>8328</v>
      </c>
      <c r="D23423">
        <v>26</v>
      </c>
      <c r="E23423">
        <v>0</v>
      </c>
      <c r="F23423">
        <v>117</v>
      </c>
    </row>
    <row r="23424" spans="1:6" ht="12.75">
      <c r="A23424" s="2">
        <v>43875.854895833334</v>
      </c>
      <c r="B23424" t="str">
        <f>HYPERLINK("https://twitter.com/sonnavy","@sonnavy")</f>
        <v>@sonnavy</v>
      </c>
      <c r="C23424" t="s">
        <v>10300</v>
      </c>
      <c r="D23424">
        <v>57</v>
      </c>
      <c r="E23424">
        <v>0</v>
      </c>
      <c r="F23424">
        <v>407</v>
      </c>
    </row>
    <row r="23425" spans="1:6" ht="12.75">
      <c r="A23425" s="2">
        <v>43875.854826388888</v>
      </c>
      <c r="B23425" t="str">
        <f>HYPERLINK("https://twitter.com/bis0234","@bis0234")</f>
        <v>@bis0234</v>
      </c>
      <c r="C23425" t="s">
        <v>2444</v>
      </c>
      <c r="D23425">
        <v>2546</v>
      </c>
      <c r="E23425">
        <v>0</v>
      </c>
      <c r="F23425">
        <v>526</v>
      </c>
    </row>
    <row r="23426" spans="1:6" ht="12.75">
      <c r="A23426" s="2">
        <v>43875.854791666672</v>
      </c>
      <c r="B23426" t="str">
        <f>HYPERLINK("https://twitter.com/Putiiandraini","@Putiiandraini")</f>
        <v>@Putiiandraini</v>
      </c>
      <c r="C23426" t="s">
        <v>2444</v>
      </c>
      <c r="D23426">
        <v>2546</v>
      </c>
      <c r="E23426">
        <v>0</v>
      </c>
      <c r="F23426">
        <v>587</v>
      </c>
    </row>
    <row r="23427" spans="1:6" ht="12.75">
      <c r="A23427" s="2">
        <v>43875.854583333334</v>
      </c>
      <c r="B23427" t="str">
        <f>HYPERLINK("https://twitter.com/Keep11n","@Keep11n")</f>
        <v>@Keep11n</v>
      </c>
      <c r="C23427" t="s">
        <v>2444</v>
      </c>
      <c r="D23427">
        <v>2546</v>
      </c>
      <c r="E23427">
        <v>0</v>
      </c>
      <c r="F23427">
        <v>31</v>
      </c>
    </row>
    <row r="23428" spans="1:6" ht="12.75">
      <c r="A23428" s="2">
        <v>43875.854259259257</v>
      </c>
      <c r="B23428" t="str">
        <f>HYPERLINK("https://twitter.com/fajarjabrixxx","@fajarjabrixxx")</f>
        <v>@fajarjabrixxx</v>
      </c>
      <c r="C23428" t="s">
        <v>2963</v>
      </c>
      <c r="D23428">
        <v>1097</v>
      </c>
      <c r="E23428">
        <v>0</v>
      </c>
      <c r="F23428">
        <v>37</v>
      </c>
    </row>
    <row r="23429" spans="1:6" ht="12.75">
      <c r="A23429" s="2">
        <v>43875.85423611111</v>
      </c>
      <c r="B23429" t="str">
        <f>HYPERLINK("https://twitter.com/andalasiy","@andalasiy")</f>
        <v>@andalasiy</v>
      </c>
      <c r="C23429" t="s">
        <v>10965</v>
      </c>
      <c r="D23429">
        <v>0</v>
      </c>
      <c r="E23429">
        <v>0</v>
      </c>
      <c r="F23429">
        <v>155</v>
      </c>
    </row>
    <row r="23430" spans="1:6" ht="12.75">
      <c r="A23430" s="2">
        <v>43875.854224537034</v>
      </c>
      <c r="B23430" t="str">
        <f>HYPERLINK("https://twitter.com/AlfaOmega0110","@AlfaOmega0110")</f>
        <v>@AlfaOmega0110</v>
      </c>
      <c r="C23430" t="s">
        <v>10966</v>
      </c>
      <c r="D23430">
        <v>0</v>
      </c>
      <c r="E23430">
        <v>0</v>
      </c>
      <c r="F23430">
        <v>967</v>
      </c>
    </row>
    <row r="23431" spans="1:6" ht="12.75">
      <c r="A23431" s="2">
        <v>43875.854212962964</v>
      </c>
      <c r="B23431" t="str">
        <f>HYPERLINK("https://twitter.com/Mama_Untari","@Mama_Untari")</f>
        <v>@Mama_Untari</v>
      </c>
      <c r="C23431" t="s">
        <v>2963</v>
      </c>
      <c r="D23431">
        <v>1097</v>
      </c>
      <c r="E23431">
        <v>0</v>
      </c>
      <c r="F23431">
        <v>569</v>
      </c>
    </row>
    <row r="23432" spans="1:6" ht="12.75">
      <c r="A23432" s="2">
        <v>43875.854201388887</v>
      </c>
      <c r="B23432" t="str">
        <f>HYPERLINK("https://twitter.com/jenk_kelinn","@jenk_kelinn")</f>
        <v>@jenk_kelinn</v>
      </c>
      <c r="C23432" t="s">
        <v>10967</v>
      </c>
      <c r="D23432">
        <v>0</v>
      </c>
      <c r="E23432">
        <v>2</v>
      </c>
      <c r="F23432">
        <v>7626</v>
      </c>
    </row>
    <row r="23433" spans="1:6" ht="12.75">
      <c r="A23433" s="2">
        <v>43875.854201388887</v>
      </c>
      <c r="B23433" t="str">
        <f>HYPERLINK("https://twitter.com/Maysyaroh_Dian","@Maysyaroh_Dian")</f>
        <v>@Maysyaroh_Dian</v>
      </c>
      <c r="C23433" t="s">
        <v>10232</v>
      </c>
      <c r="D23433">
        <v>8</v>
      </c>
      <c r="E23433">
        <v>0</v>
      </c>
      <c r="F23433">
        <v>546</v>
      </c>
    </row>
    <row r="23434" spans="1:6" ht="12.75">
      <c r="A23434" s="2">
        <v>43875.854131944448</v>
      </c>
      <c r="B23434" t="str">
        <f>HYPERLINK("https://twitter.com/ceknricekcom_id","@ceknricekcom_id")</f>
        <v>@ceknricekcom_id</v>
      </c>
      <c r="C23434" t="s">
        <v>10968</v>
      </c>
      <c r="D23434">
        <v>0</v>
      </c>
      <c r="E23434">
        <v>0</v>
      </c>
      <c r="F23434">
        <v>29560</v>
      </c>
    </row>
    <row r="23435" spans="1:6" ht="12.75">
      <c r="A23435" s="2">
        <v>43875.854120370372</v>
      </c>
      <c r="B23435" t="str">
        <f>HYPERLINK("https://twitter.com/cakbajoel","@cakbajoel")</f>
        <v>@cakbajoel</v>
      </c>
      <c r="C23435" t="s">
        <v>10969</v>
      </c>
      <c r="D23435">
        <v>0</v>
      </c>
      <c r="E23435">
        <v>0</v>
      </c>
      <c r="F23435">
        <v>531</v>
      </c>
    </row>
    <row r="23436" spans="1:6" ht="12.75">
      <c r="A23436" s="2">
        <v>43875.854108796295</v>
      </c>
      <c r="B23436" t="str">
        <f>HYPERLINK("https://twitter.com/p023456","@p023456")</f>
        <v>@p023456</v>
      </c>
      <c r="C23436" t="s">
        <v>10970</v>
      </c>
      <c r="D23436">
        <v>0</v>
      </c>
      <c r="E23436">
        <v>0</v>
      </c>
      <c r="F23436">
        <v>109</v>
      </c>
    </row>
    <row r="23437" spans="1:6" ht="12.75">
      <c r="A23437" s="2">
        <v>43875.854108796295</v>
      </c>
      <c r="B23437" t="str">
        <f>HYPERLINK("https://twitter.com/_khasmah","@_khasmah")</f>
        <v>@_khasmah</v>
      </c>
      <c r="C23437" t="s">
        <v>8328</v>
      </c>
      <c r="D23437">
        <v>26</v>
      </c>
      <c r="E23437">
        <v>0</v>
      </c>
      <c r="F23437">
        <v>690</v>
      </c>
    </row>
    <row r="23438" spans="1:6" ht="12.75">
      <c r="A23438" s="2">
        <v>43875.854016203702</v>
      </c>
      <c r="B23438" t="str">
        <f>HYPERLINK("https://twitter.com/1hsan","@1hsan")</f>
        <v>@1hsan</v>
      </c>
      <c r="C23438" t="s">
        <v>10052</v>
      </c>
      <c r="D23438">
        <v>78</v>
      </c>
      <c r="E23438">
        <v>0</v>
      </c>
      <c r="F23438">
        <v>236</v>
      </c>
    </row>
    <row r="23439" spans="1:6" ht="12.75">
      <c r="A23439" s="2">
        <v>43875.853969907403</v>
      </c>
      <c r="B23439" t="str">
        <f>HYPERLINK("https://twitter.com/candra_sarii","@candra_sarii")</f>
        <v>@candra_sarii</v>
      </c>
      <c r="C23439" t="s">
        <v>10491</v>
      </c>
      <c r="D23439">
        <v>2</v>
      </c>
      <c r="E23439">
        <v>0</v>
      </c>
      <c r="F23439">
        <v>980</v>
      </c>
    </row>
    <row r="23440" spans="1:6" ht="12.75">
      <c r="A23440" s="2">
        <v>43875.853819444441</v>
      </c>
      <c r="B23440" t="str">
        <f>HYPERLINK("https://twitter.com/emhaahaahaa","@emhaahaahaa")</f>
        <v>@emhaahaahaa</v>
      </c>
      <c r="C23440" t="s">
        <v>2444</v>
      </c>
      <c r="D23440">
        <v>2546</v>
      </c>
      <c r="E23440">
        <v>0</v>
      </c>
      <c r="F23440">
        <v>148</v>
      </c>
    </row>
    <row r="23441" spans="1:6" ht="12.75">
      <c r="A23441" s="2">
        <v>43875.853807870371</v>
      </c>
      <c r="B23441" t="str">
        <f>HYPERLINK("https://twitter.com/clarendra","@clarendra")</f>
        <v>@clarendra</v>
      </c>
      <c r="C23441" t="s">
        <v>5168</v>
      </c>
      <c r="D23441">
        <v>990</v>
      </c>
      <c r="E23441">
        <v>0</v>
      </c>
      <c r="F23441">
        <v>419</v>
      </c>
    </row>
    <row r="23442" spans="1:6" ht="12.75">
      <c r="A23442" s="2">
        <v>43875.853726851856</v>
      </c>
      <c r="B23442" t="str">
        <f>HYPERLINK("https://twitter.com/MinamiYuuki2003","@MinamiYuuki2003")</f>
        <v>@MinamiYuuki2003</v>
      </c>
      <c r="C23442" t="s">
        <v>9123</v>
      </c>
      <c r="D23442">
        <v>284</v>
      </c>
      <c r="E23442">
        <v>0</v>
      </c>
      <c r="F23442">
        <v>552</v>
      </c>
    </row>
    <row r="23443" spans="1:6" ht="12.75">
      <c r="A23443" s="2">
        <v>43875.853587962964</v>
      </c>
      <c r="B23443" t="str">
        <f>HYPERLINK("https://twitter.com/sukabatagor","@sukabatagor")</f>
        <v>@sukabatagor</v>
      </c>
      <c r="C23443" t="s">
        <v>2444</v>
      </c>
      <c r="D23443">
        <v>2546</v>
      </c>
      <c r="E23443">
        <v>0</v>
      </c>
      <c r="F23443">
        <v>11</v>
      </c>
    </row>
    <row r="23444" spans="1:6" ht="12.75">
      <c r="A23444" s="2">
        <v>43875.853437500002</v>
      </c>
      <c r="B23444" t="str">
        <f>HYPERLINK("https://twitter.com/Burhanu18466446","@Burhanu18466446")</f>
        <v>@Burhanu18466446</v>
      </c>
      <c r="C23444" t="s">
        <v>6201</v>
      </c>
      <c r="D23444">
        <v>207</v>
      </c>
      <c r="E23444">
        <v>0</v>
      </c>
      <c r="F23444">
        <v>322</v>
      </c>
    </row>
    <row r="23445" spans="1:6" ht="12.75">
      <c r="A23445" s="2">
        <v>43875.853368055556</v>
      </c>
      <c r="B23445" t="str">
        <f>HYPERLINK("https://twitter.com/s_total_s2","@s_total_s2")</f>
        <v>@s_total_s2</v>
      </c>
      <c r="C23445" t="s">
        <v>9082</v>
      </c>
      <c r="D23445">
        <v>60</v>
      </c>
      <c r="E23445">
        <v>0</v>
      </c>
      <c r="F23445">
        <v>2242</v>
      </c>
    </row>
    <row r="23446" spans="1:6" ht="12.75">
      <c r="A23446" s="2">
        <v>43875.853171296301</v>
      </c>
      <c r="B23446" t="str">
        <f>HYPERLINK("https://twitter.com/Dio_masAri","@Dio_masAri")</f>
        <v>@Dio_masAri</v>
      </c>
      <c r="C23446" t="s">
        <v>10971</v>
      </c>
      <c r="D23446">
        <v>0</v>
      </c>
      <c r="E23446">
        <v>0</v>
      </c>
      <c r="F23446">
        <v>98</v>
      </c>
    </row>
    <row r="23447" spans="1:6" ht="12.75">
      <c r="A23447" s="2">
        <v>43875.853148148148</v>
      </c>
      <c r="B23447" t="str">
        <f>HYPERLINK("https://twitter.com/siberpedia","@siberpedia")</f>
        <v>@siberpedia</v>
      </c>
      <c r="C23447" t="s">
        <v>10232</v>
      </c>
      <c r="D23447">
        <v>8</v>
      </c>
      <c r="E23447">
        <v>0</v>
      </c>
      <c r="F23447">
        <v>2406</v>
      </c>
    </row>
    <row r="23448" spans="1:6" ht="12.75">
      <c r="A23448" s="2">
        <v>43875.853067129632</v>
      </c>
      <c r="B23448" t="str">
        <f>HYPERLINK("https://twitter.com/Fiqri_Lagi","@Fiqri_Lagi")</f>
        <v>@Fiqri_Lagi</v>
      </c>
      <c r="C23448" t="s">
        <v>10052</v>
      </c>
      <c r="D23448">
        <v>78</v>
      </c>
      <c r="E23448">
        <v>0</v>
      </c>
      <c r="F23448">
        <v>85</v>
      </c>
    </row>
    <row r="23449" spans="1:6" ht="12.75">
      <c r="A23449" s="2">
        <v>43875.853032407409</v>
      </c>
      <c r="B23449" t="str">
        <f>HYPERLINK("https://twitter.com/dwiAngrrr","@dwiAngrrr")</f>
        <v>@dwiAngrrr</v>
      </c>
      <c r="C23449" t="s">
        <v>2444</v>
      </c>
      <c r="D23449">
        <v>2546</v>
      </c>
      <c r="E23449">
        <v>0</v>
      </c>
      <c r="F23449">
        <v>7715</v>
      </c>
    </row>
    <row r="23450" spans="1:6" ht="12.75">
      <c r="A23450" s="2">
        <v>43875.852986111116</v>
      </c>
      <c r="B23450" t="str">
        <f>HYPERLINK("https://twitter.com/GelarPrakosa","@GelarPrakosa")</f>
        <v>@GelarPrakosa</v>
      </c>
      <c r="C23450" t="s">
        <v>2444</v>
      </c>
      <c r="D23450">
        <v>2546</v>
      </c>
      <c r="E23450">
        <v>0</v>
      </c>
      <c r="F23450">
        <v>8747</v>
      </c>
    </row>
    <row r="23451" spans="1:6" ht="12.75">
      <c r="A23451" s="2">
        <v>43875.852951388893</v>
      </c>
      <c r="B23451" t="str">
        <f>HYPERLINK("https://twitter.com/_aLLhibah","@_aLLhibah")</f>
        <v>@_aLLhibah</v>
      </c>
      <c r="C23451" t="s">
        <v>10232</v>
      </c>
      <c r="D23451">
        <v>8</v>
      </c>
      <c r="E23451">
        <v>0</v>
      </c>
      <c r="F23451">
        <v>1832</v>
      </c>
    </row>
    <row r="23452" spans="1:6" ht="12.75">
      <c r="A23452" s="2">
        <v>43875.85292824074</v>
      </c>
      <c r="B23452" t="str">
        <f>HYPERLINK("https://twitter.com/nthniaa","@nthniaa")</f>
        <v>@nthniaa</v>
      </c>
      <c r="C23452" t="s">
        <v>9964</v>
      </c>
      <c r="D23452">
        <v>633</v>
      </c>
      <c r="E23452">
        <v>0</v>
      </c>
      <c r="F23452">
        <v>553</v>
      </c>
    </row>
    <row r="23453" spans="1:6" ht="12.75">
      <c r="A23453" s="2">
        <v>43875.852847222224</v>
      </c>
      <c r="B23453" t="str">
        <f>HYPERLINK("https://twitter.com/billy4riez","@billy4riez")</f>
        <v>@billy4riez</v>
      </c>
      <c r="C23453" t="s">
        <v>9993</v>
      </c>
      <c r="D23453">
        <v>9</v>
      </c>
      <c r="E23453">
        <v>0</v>
      </c>
      <c r="F23453">
        <v>7946</v>
      </c>
    </row>
    <row r="23454" spans="1:6" ht="12.75">
      <c r="A23454" s="2">
        <v>43875.852847222224</v>
      </c>
      <c r="B23454" t="str">
        <f>HYPERLINK("https://twitter.com/vvandiana","@vvandiana")</f>
        <v>@vvandiana</v>
      </c>
      <c r="C23454" t="s">
        <v>2444</v>
      </c>
      <c r="D23454">
        <v>2546</v>
      </c>
      <c r="E23454">
        <v>0</v>
      </c>
      <c r="F23454">
        <v>62</v>
      </c>
    </row>
    <row r="23455" spans="1:6" ht="12.75">
      <c r="A23455" s="2">
        <v>43875.852812500001</v>
      </c>
      <c r="B23455" t="str">
        <f>HYPERLINK("https://twitter.com/AjessyP","@AjessyP")</f>
        <v>@AjessyP</v>
      </c>
      <c r="C23455" t="s">
        <v>5168</v>
      </c>
      <c r="D23455">
        <v>990</v>
      </c>
      <c r="E23455">
        <v>0</v>
      </c>
      <c r="F23455">
        <v>506</v>
      </c>
    </row>
    <row r="23456" spans="1:6" ht="12.75">
      <c r="A23456" s="2">
        <v>43875.852708333332</v>
      </c>
      <c r="B23456" t="str">
        <f>HYPERLINK("https://twitter.com/om_lemon","@om_lemon")</f>
        <v>@om_lemon</v>
      </c>
      <c r="C23456" t="s">
        <v>8328</v>
      </c>
      <c r="D23456">
        <v>26</v>
      </c>
      <c r="E23456">
        <v>0</v>
      </c>
      <c r="F23456">
        <v>540</v>
      </c>
    </row>
    <row r="23457" spans="1:6" ht="12.75">
      <c r="A23457" s="2">
        <v>43875.852685185186</v>
      </c>
      <c r="B23457" t="str">
        <f>HYPERLINK("https://twitter.com/Sarah_Pndj","@Sarah_Pndj")</f>
        <v>@Sarah_Pndj</v>
      </c>
      <c r="C23457" t="s">
        <v>8948</v>
      </c>
      <c r="D23457">
        <v>4</v>
      </c>
      <c r="E23457">
        <v>0</v>
      </c>
      <c r="F23457">
        <v>26638</v>
      </c>
    </row>
    <row r="23458" spans="1:6" ht="12.75">
      <c r="A23458" s="2">
        <v>43875.852638888886</v>
      </c>
      <c r="B23458" t="str">
        <f>HYPERLINK("https://twitter.com/panglimakorea","@panglimakorea")</f>
        <v>@panglimakorea</v>
      </c>
      <c r="C23458" t="s">
        <v>10111</v>
      </c>
      <c r="D23458">
        <v>4</v>
      </c>
      <c r="E23458">
        <v>0</v>
      </c>
      <c r="F23458">
        <v>31</v>
      </c>
    </row>
    <row r="23459" spans="1:6" ht="12.75">
      <c r="A23459" s="2">
        <v>43875.852627314816</v>
      </c>
      <c r="B23459" t="str">
        <f>HYPERLINK("https://twitter.com/10velysgalore","@10velysgalore")</f>
        <v>@10velysgalore</v>
      </c>
      <c r="C23459" t="s">
        <v>2444</v>
      </c>
      <c r="D23459">
        <v>2546</v>
      </c>
      <c r="E23459">
        <v>0</v>
      </c>
      <c r="F23459">
        <v>73</v>
      </c>
    </row>
    <row r="23460" spans="1:6" ht="12.75">
      <c r="A23460" s="2">
        <v>43875.852627314816</v>
      </c>
      <c r="B23460" t="str">
        <f>HYPERLINK("https://twitter.com/HafitSetyabudi","@HafitSetyabudi")</f>
        <v>@HafitSetyabudi</v>
      </c>
      <c r="C23460" t="s">
        <v>9746</v>
      </c>
      <c r="D23460">
        <v>349</v>
      </c>
      <c r="E23460">
        <v>0</v>
      </c>
      <c r="F23460">
        <v>1741</v>
      </c>
    </row>
    <row r="23461" spans="1:6" ht="12.75">
      <c r="A23461" s="2">
        <v>43875.852604166663</v>
      </c>
      <c r="B23461" t="str">
        <f>HYPERLINK("https://twitter.com/ustadzar","@ustadzar")</f>
        <v>@ustadzar</v>
      </c>
      <c r="C23461" t="s">
        <v>9147</v>
      </c>
      <c r="D23461">
        <v>31</v>
      </c>
      <c r="E23461">
        <v>0</v>
      </c>
      <c r="F23461">
        <v>65</v>
      </c>
    </row>
    <row r="23462" spans="1:6" ht="12.75">
      <c r="A23462" s="2">
        <v>43875.852592592593</v>
      </c>
      <c r="B23462" t="str">
        <f>HYPERLINK("https://twitter.com/JhondoexlxG","@JhondoexlxG")</f>
        <v>@JhondoexlxG</v>
      </c>
      <c r="C23462" t="s">
        <v>10972</v>
      </c>
      <c r="D23462">
        <v>0</v>
      </c>
      <c r="E23462">
        <v>0</v>
      </c>
      <c r="F23462">
        <v>386</v>
      </c>
    </row>
    <row r="23463" spans="1:6" ht="12.75">
      <c r="A23463" s="2">
        <v>43875.852546296301</v>
      </c>
      <c r="B23463" t="str">
        <f>HYPERLINK("https://twitter.com/ekopriyobondowo","@ekopriyobondowo")</f>
        <v>@ekopriyobondowo</v>
      </c>
      <c r="C23463" t="s">
        <v>10973</v>
      </c>
      <c r="D23463">
        <v>3</v>
      </c>
      <c r="E23463">
        <v>0</v>
      </c>
      <c r="F23463">
        <v>29</v>
      </c>
    </row>
    <row r="23464" spans="1:6" ht="12.75">
      <c r="A23464" s="2">
        <v>43875.852500000001</v>
      </c>
      <c r="B23464" t="str">
        <f>HYPERLINK("https://twitter.com/4_devout","@4_devout")</f>
        <v>@4_devout</v>
      </c>
      <c r="C23464" t="s">
        <v>8948</v>
      </c>
      <c r="D23464">
        <v>4</v>
      </c>
      <c r="E23464">
        <v>0</v>
      </c>
      <c r="F23464">
        <v>607</v>
      </c>
    </row>
    <row r="23465" spans="1:6" ht="12.75">
      <c r="A23465" s="2">
        <v>43875.852465277778</v>
      </c>
      <c r="B23465" t="str">
        <f>HYPERLINK("https://twitter.com/Maysyaroh_Dian","@Maysyaroh_Dian")</f>
        <v>@Maysyaroh_Dian</v>
      </c>
      <c r="C23465" t="s">
        <v>8233</v>
      </c>
      <c r="D23465">
        <v>506</v>
      </c>
      <c r="E23465">
        <v>0</v>
      </c>
      <c r="F23465">
        <v>546</v>
      </c>
    </row>
    <row r="23466" spans="1:6" ht="12.75">
      <c r="A23466" s="2">
        <v>43875.852395833332</v>
      </c>
      <c r="B23466" t="str">
        <f>HYPERLINK("https://twitter.com/ffitrifauziah","@ffitrifauziah")</f>
        <v>@ffitrifauziah</v>
      </c>
      <c r="C23466" t="s">
        <v>2444</v>
      </c>
      <c r="D23466">
        <v>2546</v>
      </c>
      <c r="E23466">
        <v>0</v>
      </c>
      <c r="F23466">
        <v>882</v>
      </c>
    </row>
    <row r="23467" spans="1:6" ht="12.75">
      <c r="A23467" s="2">
        <v>43875.852326388893</v>
      </c>
      <c r="B23467" t="str">
        <f>HYPERLINK("https://twitter.com/CengkehNastar","@CengkehNastar")</f>
        <v>@CengkehNastar</v>
      </c>
      <c r="C23467" t="s">
        <v>10974</v>
      </c>
      <c r="D23467">
        <v>0</v>
      </c>
      <c r="E23467">
        <v>0</v>
      </c>
      <c r="F23467">
        <v>8</v>
      </c>
    </row>
    <row r="23468" spans="1:6" ht="12.75">
      <c r="A23468" s="2">
        <v>43875.85229166667</v>
      </c>
      <c r="B23468" t="str">
        <f>HYPERLINK("https://twitter.com/eddies_song","@eddies_song")</f>
        <v>@eddies_song</v>
      </c>
      <c r="C23468" t="s">
        <v>10975</v>
      </c>
      <c r="D23468">
        <v>1</v>
      </c>
      <c r="E23468">
        <v>0</v>
      </c>
      <c r="F23468">
        <v>1235</v>
      </c>
    </row>
    <row r="23469" spans="1:6" ht="12.75">
      <c r="A23469" s="2">
        <v>43875.852256944447</v>
      </c>
      <c r="B23469" t="str">
        <f>HYPERLINK("https://twitter.com/PutraSukir","@PutraSukir")</f>
        <v>@PutraSukir</v>
      </c>
      <c r="C23469" t="s">
        <v>10976</v>
      </c>
      <c r="D23469">
        <v>0</v>
      </c>
      <c r="E23469">
        <v>0</v>
      </c>
      <c r="F23469">
        <v>114</v>
      </c>
    </row>
    <row r="23470" spans="1:6" ht="12.75">
      <c r="A23470" s="2">
        <v>43875.852233796293</v>
      </c>
      <c r="B23470" t="str">
        <f>HYPERLINK("https://twitter.com/GalangWahyu17","@GalangWahyu17")</f>
        <v>@GalangWahyu17</v>
      </c>
      <c r="C23470" t="s">
        <v>2444</v>
      </c>
      <c r="D23470">
        <v>2546</v>
      </c>
      <c r="E23470">
        <v>0</v>
      </c>
      <c r="F23470">
        <v>72</v>
      </c>
    </row>
    <row r="23471" spans="1:6" ht="12.75">
      <c r="A23471" s="2">
        <v>43875.852222222224</v>
      </c>
      <c r="B23471" t="str">
        <f>HYPERLINK("https://twitter.com/syifaslsbl","@syifaslsbl")</f>
        <v>@syifaslsbl</v>
      </c>
      <c r="C23471" t="s">
        <v>2444</v>
      </c>
      <c r="D23471">
        <v>2546</v>
      </c>
      <c r="E23471">
        <v>0</v>
      </c>
      <c r="F23471">
        <v>428</v>
      </c>
    </row>
    <row r="23472" spans="1:6" ht="12.75">
      <c r="A23472" s="2">
        <v>43875.852129629631</v>
      </c>
      <c r="B23472" t="str">
        <f>HYPERLINK("https://twitter.com/saraseanne","@saraseanne")</f>
        <v>@saraseanne</v>
      </c>
      <c r="C23472" t="s">
        <v>8328</v>
      </c>
      <c r="D23472">
        <v>26</v>
      </c>
      <c r="E23472">
        <v>0</v>
      </c>
      <c r="F23472">
        <v>1751</v>
      </c>
    </row>
    <row r="23473" spans="1:6" ht="12.75">
      <c r="A23473" s="2">
        <v>43875.852037037039</v>
      </c>
      <c r="B23473" t="str">
        <f>HYPERLINK("https://twitter.com/AAR63028211","@AAR63028211")</f>
        <v>@AAR63028211</v>
      </c>
      <c r="C23473" t="s">
        <v>10977</v>
      </c>
      <c r="D23473">
        <v>0</v>
      </c>
      <c r="E23473">
        <v>0</v>
      </c>
      <c r="F23473">
        <v>195</v>
      </c>
    </row>
    <row r="23474" spans="1:6" ht="12.75">
      <c r="A23474" s="2">
        <v>43875.851817129631</v>
      </c>
      <c r="B23474" t="str">
        <f>HYPERLINK("https://twitter.com/yolandanggita","@yolandanggita")</f>
        <v>@yolandanggita</v>
      </c>
      <c r="C23474" t="s">
        <v>2444</v>
      </c>
      <c r="D23474">
        <v>2546</v>
      </c>
      <c r="E23474">
        <v>0</v>
      </c>
      <c r="F23474">
        <v>100</v>
      </c>
    </row>
    <row r="23475" spans="1:6" ht="12.75">
      <c r="A23475" s="2">
        <v>43875.851805555554</v>
      </c>
      <c r="B23475" t="str">
        <f>HYPERLINK("https://twitter.com/Saitei_Ten","@Saitei_Ten")</f>
        <v>@Saitei_Ten</v>
      </c>
      <c r="C23475" t="s">
        <v>5168</v>
      </c>
      <c r="D23475">
        <v>990</v>
      </c>
      <c r="E23475">
        <v>0</v>
      </c>
      <c r="F23475">
        <v>846</v>
      </c>
    </row>
    <row r="23476" spans="1:6" ht="12.75">
      <c r="A23476" s="2">
        <v>43875.851793981477</v>
      </c>
      <c r="B23476" t="str">
        <f>HYPERLINK("https://twitter.com/lahika93","@lahika93")</f>
        <v>@lahika93</v>
      </c>
      <c r="C23476" t="s">
        <v>2444</v>
      </c>
      <c r="D23476">
        <v>2546</v>
      </c>
      <c r="E23476">
        <v>0</v>
      </c>
      <c r="F23476">
        <v>1254</v>
      </c>
    </row>
    <row r="23477" spans="1:6" ht="12.75">
      <c r="A23477" s="2">
        <v>43875.851678240739</v>
      </c>
      <c r="B23477" t="str">
        <f>HYPERLINK("https://twitter.com/wonderblue49","@wonderblue49")</f>
        <v>@wonderblue49</v>
      </c>
      <c r="C23477" t="s">
        <v>2444</v>
      </c>
      <c r="D23477">
        <v>2546</v>
      </c>
      <c r="E23477">
        <v>0</v>
      </c>
      <c r="F23477">
        <v>24</v>
      </c>
    </row>
    <row r="23478" spans="1:6" ht="12.75">
      <c r="A23478" s="2">
        <v>43875.851655092592</v>
      </c>
      <c r="B23478" t="str">
        <f>HYPERLINK("https://twitter.com/Halimah12732989","@Halimah12732989")</f>
        <v>@Halimah12732989</v>
      </c>
      <c r="C23478" t="s">
        <v>9198</v>
      </c>
      <c r="D23478">
        <v>51</v>
      </c>
      <c r="E23478">
        <v>0</v>
      </c>
      <c r="F23478">
        <v>1029</v>
      </c>
    </row>
    <row r="23479" spans="1:6" ht="12.75">
      <c r="A23479" s="2">
        <v>43875.851458333331</v>
      </c>
      <c r="B23479" t="str">
        <f>HYPERLINK("https://twitter.com/kiiyyyuuuub","@kiiyyyuuuub")</f>
        <v>@kiiyyyuuuub</v>
      </c>
      <c r="C23479" t="s">
        <v>10300</v>
      </c>
      <c r="D23479">
        <v>57</v>
      </c>
      <c r="E23479">
        <v>0</v>
      </c>
      <c r="F23479">
        <v>519</v>
      </c>
    </row>
    <row r="23480" spans="1:6" ht="12.75">
      <c r="A23480" s="2">
        <v>43875.851458333331</v>
      </c>
      <c r="B23480" t="str">
        <f>HYPERLINK("https://twitter.com/princesssemprul","@princesssemprul")</f>
        <v>@princesssemprul</v>
      </c>
      <c r="C23480" t="s">
        <v>2444</v>
      </c>
      <c r="D23480">
        <v>2546</v>
      </c>
      <c r="E23480">
        <v>0</v>
      </c>
      <c r="F23480">
        <v>516</v>
      </c>
    </row>
    <row r="23481" spans="1:6" ht="12.75">
      <c r="A23481" s="2">
        <v>43875.851388888885</v>
      </c>
      <c r="B23481" t="str">
        <f>HYPERLINK("https://twitter.com/weekweeds","@weekweeds")</f>
        <v>@weekweeds</v>
      </c>
      <c r="C23481" t="s">
        <v>2137</v>
      </c>
      <c r="D23481">
        <v>199</v>
      </c>
      <c r="E23481">
        <v>0</v>
      </c>
      <c r="F23481">
        <v>300</v>
      </c>
    </row>
    <row r="23482" spans="1:6" ht="12.75">
      <c r="A23482" s="2">
        <v>43875.851365740746</v>
      </c>
      <c r="B23482" t="str">
        <f>HYPERLINK("https://twitter.com/jeonmara17","@jeonmara17")</f>
        <v>@jeonmara17</v>
      </c>
      <c r="C23482" t="s">
        <v>5168</v>
      </c>
      <c r="D23482">
        <v>990</v>
      </c>
      <c r="E23482">
        <v>0</v>
      </c>
      <c r="F23482">
        <v>972</v>
      </c>
    </row>
    <row r="23483" spans="1:6" ht="12.75">
      <c r="A23483" s="2">
        <v>43875.851307870369</v>
      </c>
      <c r="B23483" t="str">
        <f>HYPERLINK("https://twitter.com/ISIS_Balik_NO","@ISIS_Balik_NO")</f>
        <v>@ISIS_Balik_NO</v>
      </c>
      <c r="C23483" t="s">
        <v>10978</v>
      </c>
      <c r="D23483">
        <v>0</v>
      </c>
      <c r="E23483">
        <v>0</v>
      </c>
      <c r="F23483">
        <v>5905</v>
      </c>
    </row>
    <row r="23484" spans="1:6" ht="12.75">
      <c r="A23484" s="2">
        <v>43875.851238425923</v>
      </c>
      <c r="B23484" t="str">
        <f>HYPERLINK("https://twitter.com/felixmtdg_48","@felixmtdg_48")</f>
        <v>@felixmtdg_48</v>
      </c>
      <c r="C23484" t="s">
        <v>2444</v>
      </c>
      <c r="D23484">
        <v>2546</v>
      </c>
      <c r="E23484">
        <v>0</v>
      </c>
      <c r="F23484">
        <v>169</v>
      </c>
    </row>
    <row r="23485" spans="1:6" ht="12.75">
      <c r="A23485" s="2">
        <v>43875.851238425923</v>
      </c>
      <c r="B23485" t="str">
        <f>HYPERLINK("https://twitter.com/kangejongin","@kangejongin")</f>
        <v>@kangejongin</v>
      </c>
      <c r="C23485" t="s">
        <v>2444</v>
      </c>
      <c r="D23485">
        <v>2546</v>
      </c>
      <c r="E23485">
        <v>0</v>
      </c>
      <c r="F23485">
        <v>1151</v>
      </c>
    </row>
    <row r="23486" spans="1:6" ht="12.75">
      <c r="A23486" s="2">
        <v>43875.851180555561</v>
      </c>
      <c r="B23486" t="str">
        <f>HYPERLINK("https://twitter.com/Jovanka_vanke","@Jovanka_vanke")</f>
        <v>@Jovanka_vanke</v>
      </c>
      <c r="C23486" t="s">
        <v>10979</v>
      </c>
      <c r="D23486">
        <v>4</v>
      </c>
      <c r="E23486">
        <v>3</v>
      </c>
      <c r="F23486">
        <v>838</v>
      </c>
    </row>
    <row r="23487" spans="1:6" ht="12.75">
      <c r="A23487" s="2">
        <v>43875.851168981477</v>
      </c>
      <c r="B23487" t="str">
        <f>HYPERLINK("https://twitter.com/nnabylaff_","@nnabylaff_")</f>
        <v>@nnabylaff_</v>
      </c>
      <c r="C23487" t="s">
        <v>5168</v>
      </c>
      <c r="D23487">
        <v>990</v>
      </c>
      <c r="E23487">
        <v>0</v>
      </c>
      <c r="F23487">
        <v>18</v>
      </c>
    </row>
    <row r="23488" spans="1:6" ht="12.75">
      <c r="A23488" s="2">
        <v>43875.851122685184</v>
      </c>
      <c r="B23488" t="str">
        <f>HYPERLINK("https://twitter.com/AlfaOmega0110","@AlfaOmega0110")</f>
        <v>@AlfaOmega0110</v>
      </c>
      <c r="C23488" t="s">
        <v>10980</v>
      </c>
      <c r="D23488">
        <v>0</v>
      </c>
      <c r="E23488">
        <v>0</v>
      </c>
      <c r="F23488">
        <v>967</v>
      </c>
    </row>
    <row r="23489" spans="1:6" ht="12.75">
      <c r="A23489" s="2">
        <v>43875.851053240738</v>
      </c>
      <c r="B23489" t="str">
        <f>HYPERLINK("https://twitter.com/Bangzul__88","@Bangzul__88")</f>
        <v>@Bangzul__88</v>
      </c>
      <c r="C23489" t="s">
        <v>10232</v>
      </c>
      <c r="D23489">
        <v>8</v>
      </c>
      <c r="E23489">
        <v>0</v>
      </c>
      <c r="F23489">
        <v>5973</v>
      </c>
    </row>
    <row r="23490" spans="1:6" ht="12.75">
      <c r="A23490" s="2">
        <v>43875.851030092592</v>
      </c>
      <c r="B23490" t="str">
        <f>HYPERLINK("https://twitter.com/anggatiffany","@anggatiffany")</f>
        <v>@anggatiffany</v>
      </c>
      <c r="C23490" t="s">
        <v>2444</v>
      </c>
      <c r="D23490">
        <v>2546</v>
      </c>
      <c r="E23490">
        <v>0</v>
      </c>
      <c r="F23490">
        <v>170</v>
      </c>
    </row>
    <row r="23491" spans="1:6" ht="12.75">
      <c r="A23491" s="2">
        <v>43875.850995370369</v>
      </c>
      <c r="B23491" t="str">
        <f>HYPERLINK("https://twitter.com/racheladitya","@racheladitya")</f>
        <v>@racheladitya</v>
      </c>
      <c r="C23491" t="s">
        <v>10981</v>
      </c>
      <c r="D23491">
        <v>0</v>
      </c>
      <c r="E23491">
        <v>0</v>
      </c>
      <c r="F23491">
        <v>259</v>
      </c>
    </row>
    <row r="23492" spans="1:6" ht="12.75">
      <c r="A23492" s="2">
        <v>43875.850949074069</v>
      </c>
      <c r="B23492" t="str">
        <f>HYPERLINK("https://twitter.com/nnabylaff_","@nnabylaff_")</f>
        <v>@nnabylaff_</v>
      </c>
      <c r="C23492" t="s">
        <v>2444</v>
      </c>
      <c r="D23492">
        <v>2546</v>
      </c>
      <c r="E23492">
        <v>0</v>
      </c>
      <c r="F23492">
        <v>18</v>
      </c>
    </row>
    <row r="23493" spans="1:6" ht="12.75">
      <c r="A23493" s="2">
        <v>43875.85092592593</v>
      </c>
      <c r="B23493" t="str">
        <f>HYPERLINK("https://twitter.com/vicky_chandra_","@vicky_chandra_")</f>
        <v>@vicky_chandra_</v>
      </c>
      <c r="C23493" t="s">
        <v>2444</v>
      </c>
      <c r="D23493">
        <v>2546</v>
      </c>
      <c r="E23493">
        <v>0</v>
      </c>
      <c r="F23493">
        <v>610</v>
      </c>
    </row>
    <row r="23494" spans="1:6" ht="12.75">
      <c r="A23494" s="2">
        <v>43875.850914351853</v>
      </c>
      <c r="B23494" t="str">
        <f>HYPERLINK("https://twitter.com/denyngsta02","@denyngsta02")</f>
        <v>@denyngsta02</v>
      </c>
      <c r="C23494" t="s">
        <v>9123</v>
      </c>
      <c r="D23494">
        <v>284</v>
      </c>
      <c r="E23494">
        <v>0</v>
      </c>
      <c r="F23494">
        <v>98</v>
      </c>
    </row>
    <row r="23495" spans="1:6" ht="12.75">
      <c r="A23495" s="2">
        <v>43875.850891203707</v>
      </c>
      <c r="B23495" t="str">
        <f>HYPERLINK("https://twitter.com/nacyaakarinaa","@nacyaakarinaa")</f>
        <v>@nacyaakarinaa</v>
      </c>
      <c r="C23495" t="s">
        <v>5168</v>
      </c>
      <c r="D23495">
        <v>990</v>
      </c>
      <c r="E23495">
        <v>0</v>
      </c>
      <c r="F23495">
        <v>570</v>
      </c>
    </row>
    <row r="23496" spans="1:6" ht="12.75">
      <c r="A23496" s="2">
        <v>43875.85087962963</v>
      </c>
      <c r="B23496" t="str">
        <f>HYPERLINK("https://twitter.com/Shaggy_Solo","@Shaggy_Solo")</f>
        <v>@Shaggy_Solo</v>
      </c>
      <c r="C23496" t="s">
        <v>10982</v>
      </c>
      <c r="D23496">
        <v>0</v>
      </c>
      <c r="E23496">
        <v>0</v>
      </c>
      <c r="F23496">
        <v>463</v>
      </c>
    </row>
    <row r="23497" spans="1:6" ht="12.75">
      <c r="A23497" s="2">
        <v>43875.850694444445</v>
      </c>
      <c r="B23497" t="str">
        <f>HYPERLINK("https://twitter.com/denyngsta02","@denyngsta02")</f>
        <v>@denyngsta02</v>
      </c>
      <c r="C23497" t="s">
        <v>2444</v>
      </c>
      <c r="D23497">
        <v>2546</v>
      </c>
      <c r="E23497">
        <v>0</v>
      </c>
      <c r="F23497">
        <v>98</v>
      </c>
    </row>
    <row r="23498" spans="1:6" ht="12.75">
      <c r="A23498" s="2">
        <v>43875.850682870368</v>
      </c>
      <c r="B23498" t="str">
        <f>HYPERLINK("https://twitter.com/kharitz_ahmad","@kharitz_ahmad")</f>
        <v>@kharitz_ahmad</v>
      </c>
      <c r="C23498" t="s">
        <v>10983</v>
      </c>
      <c r="D23498">
        <v>0</v>
      </c>
      <c r="E23498">
        <v>0</v>
      </c>
      <c r="F23498">
        <v>24</v>
      </c>
    </row>
    <row r="23499" spans="1:6" ht="12.75">
      <c r="A23499" s="2">
        <v>43875.850671296299</v>
      </c>
      <c r="B23499" t="str">
        <f>HYPERLINK("https://twitter.com/kandargalang","@kandargalang")</f>
        <v>@kandargalang</v>
      </c>
      <c r="C23499" t="s">
        <v>10984</v>
      </c>
      <c r="D23499">
        <v>0</v>
      </c>
      <c r="E23499">
        <v>0</v>
      </c>
      <c r="F23499">
        <v>16640</v>
      </c>
    </row>
    <row r="23500" spans="1:6" ht="12.75">
      <c r="A23500" s="2">
        <v>43875.850659722222</v>
      </c>
      <c r="B23500" t="str">
        <f>HYPERLINK("https://twitter.com/hooniec_","@hooniec_")</f>
        <v>@hooniec_</v>
      </c>
      <c r="C23500" t="s">
        <v>2444</v>
      </c>
      <c r="D23500">
        <v>2546</v>
      </c>
      <c r="E23500">
        <v>0</v>
      </c>
      <c r="F23500">
        <v>520</v>
      </c>
    </row>
    <row r="23501" spans="1:6" ht="12.75">
      <c r="A23501" s="2">
        <v>43875.850659722222</v>
      </c>
      <c r="B23501" t="str">
        <f>HYPERLINK("https://twitter.com/desfiati","@desfiati")</f>
        <v>@desfiati</v>
      </c>
      <c r="C23501" t="s">
        <v>10074</v>
      </c>
      <c r="D23501">
        <v>70</v>
      </c>
      <c r="E23501">
        <v>0</v>
      </c>
      <c r="F23501">
        <v>44</v>
      </c>
    </row>
    <row r="23502" spans="1:6" ht="12.75">
      <c r="A23502" s="2">
        <v>43875.85055555556</v>
      </c>
      <c r="B23502" t="str">
        <f>HYPERLINK("https://twitter.com/jaejellybeom","@jaejellybeom")</f>
        <v>@jaejellybeom</v>
      </c>
      <c r="C23502" t="s">
        <v>2444</v>
      </c>
      <c r="D23502">
        <v>2546</v>
      </c>
      <c r="E23502">
        <v>0</v>
      </c>
      <c r="F23502">
        <v>343</v>
      </c>
    </row>
    <row r="23503" spans="1:6" ht="12.75">
      <c r="A23503" s="2">
        <v>43875.850497685184</v>
      </c>
      <c r="B23503" t="str">
        <f>HYPERLINK("https://twitter.com/denikohar620","@denikohar620")</f>
        <v>@denikohar620</v>
      </c>
      <c r="C23503" t="s">
        <v>9983</v>
      </c>
      <c r="D23503">
        <v>3</v>
      </c>
      <c r="E23503">
        <v>0</v>
      </c>
      <c r="F23503">
        <v>57</v>
      </c>
    </row>
    <row r="23504" spans="1:6" ht="12.75">
      <c r="A23504" s="2">
        <v>43875.850451388891</v>
      </c>
      <c r="B23504" t="str">
        <f>HYPERLINK("https://twitter.com/GateJannah","@GateJannah")</f>
        <v>@GateJannah</v>
      </c>
      <c r="C23504" t="s">
        <v>7888</v>
      </c>
      <c r="D23504">
        <v>28</v>
      </c>
      <c r="E23504">
        <v>0</v>
      </c>
      <c r="F23504">
        <v>787</v>
      </c>
    </row>
    <row r="23505" spans="1:6" ht="12.75">
      <c r="A23505" s="2">
        <v>43875.850405092591</v>
      </c>
      <c r="B23505" t="str">
        <f>HYPERLINK("https://twitter.com/Wizqi1","@Wizqi1")</f>
        <v>@Wizqi1</v>
      </c>
      <c r="C23505" t="s">
        <v>8328</v>
      </c>
      <c r="D23505">
        <v>26</v>
      </c>
      <c r="E23505">
        <v>0</v>
      </c>
      <c r="F23505">
        <v>138</v>
      </c>
    </row>
    <row r="23506" spans="1:6" ht="12.75">
      <c r="A23506" s="2">
        <v>43875.85019675926</v>
      </c>
      <c r="B23506" t="str">
        <f>HYPERLINK("https://twitter.com/catuaries","@catuaries")</f>
        <v>@catuaries</v>
      </c>
      <c r="C23506" t="s">
        <v>10985</v>
      </c>
      <c r="D23506">
        <v>26</v>
      </c>
      <c r="E23506">
        <v>18</v>
      </c>
      <c r="F23506">
        <v>7989</v>
      </c>
    </row>
    <row r="23507" spans="1:6" ht="12.75">
      <c r="A23507" s="2">
        <v>43875.850104166668</v>
      </c>
      <c r="B23507" t="str">
        <f>HYPERLINK("https://twitter.com/jerukpontianak","@jerukpontianak")</f>
        <v>@jerukpontianak</v>
      </c>
      <c r="C23507" t="s">
        <v>5168</v>
      </c>
      <c r="D23507">
        <v>990</v>
      </c>
      <c r="E23507">
        <v>0</v>
      </c>
      <c r="F23507">
        <v>3024</v>
      </c>
    </row>
    <row r="23508" spans="1:6" ht="12.75">
      <c r="A23508" s="2">
        <v>43875.850081018521</v>
      </c>
      <c r="B23508" t="str">
        <f>HYPERLINK("https://twitter.com/putrifitriyaaa","@putrifitriyaaa")</f>
        <v>@putrifitriyaaa</v>
      </c>
      <c r="C23508" t="s">
        <v>175</v>
      </c>
      <c r="D23508">
        <v>5302</v>
      </c>
      <c r="E23508">
        <v>0</v>
      </c>
      <c r="F23508">
        <v>944</v>
      </c>
    </row>
    <row r="23509" spans="1:6" ht="12.75">
      <c r="A23509" s="2">
        <v>43875.850069444445</v>
      </c>
      <c r="B23509" t="str">
        <f>HYPERLINK("https://twitter.com/Anto_D_ES","@Anto_D_ES")</f>
        <v>@Anto_D_ES</v>
      </c>
      <c r="C23509" t="s">
        <v>9198</v>
      </c>
      <c r="D23509">
        <v>51</v>
      </c>
      <c r="E23509">
        <v>0</v>
      </c>
      <c r="F23509">
        <v>196</v>
      </c>
    </row>
    <row r="23510" spans="1:6" ht="12.75">
      <c r="A23510" s="2">
        <v>43875.849942129629</v>
      </c>
      <c r="B23510" t="str">
        <f>HYPERLINK("https://twitter.com/IntanSitiAisya7","@IntanSitiAisya7")</f>
        <v>@IntanSitiAisya7</v>
      </c>
      <c r="C23510" t="s">
        <v>6201</v>
      </c>
      <c r="D23510">
        <v>207</v>
      </c>
      <c r="E23510">
        <v>0</v>
      </c>
      <c r="F23510">
        <v>157</v>
      </c>
    </row>
    <row r="23511" spans="1:6" ht="12.75">
      <c r="A23511" s="2">
        <v>43875.849895833337</v>
      </c>
      <c r="B23511" t="str">
        <f>HYPERLINK("https://twitter.com/P_D_G_2_7","@P_D_G_2_7")</f>
        <v>@P_D_G_2_7</v>
      </c>
      <c r="C23511" t="s">
        <v>9082</v>
      </c>
      <c r="D23511">
        <v>60</v>
      </c>
      <c r="E23511">
        <v>0</v>
      </c>
      <c r="F23511">
        <v>160</v>
      </c>
    </row>
    <row r="23512" spans="1:6" ht="12.75">
      <c r="A23512" s="2">
        <v>43875.84988425926</v>
      </c>
      <c r="B23512" t="str">
        <f>HYPERLINK("https://twitter.com/kabarpolitik","@kabarpolitik")</f>
        <v>@kabarpolitik</v>
      </c>
      <c r="C23512" t="s">
        <v>10986</v>
      </c>
      <c r="D23512">
        <v>0</v>
      </c>
      <c r="E23512">
        <v>0</v>
      </c>
      <c r="F23512">
        <v>16767</v>
      </c>
    </row>
    <row r="23513" spans="1:6" ht="12.75">
      <c r="A23513" s="2">
        <v>43875.84983796296</v>
      </c>
      <c r="B23513" t="str">
        <f>HYPERLINK("https://twitter.com/sirajapadoha","@sirajapadoha")</f>
        <v>@sirajapadoha</v>
      </c>
      <c r="C23513" t="s">
        <v>10987</v>
      </c>
      <c r="D23513">
        <v>1</v>
      </c>
      <c r="E23513">
        <v>0</v>
      </c>
      <c r="F23513">
        <v>2401</v>
      </c>
    </row>
    <row r="23514" spans="1:6" ht="12.75">
      <c r="A23514" s="2">
        <v>43875.849814814814</v>
      </c>
      <c r="B23514" t="str">
        <f>HYPERLINK("https://twitter.com/bhotel85","@bhotel85")</f>
        <v>@bhotel85</v>
      </c>
      <c r="C23514" t="s">
        <v>10096</v>
      </c>
      <c r="D23514">
        <v>168</v>
      </c>
      <c r="E23514">
        <v>0</v>
      </c>
      <c r="F23514">
        <v>697</v>
      </c>
    </row>
    <row r="23515" spans="1:6" ht="12.75">
      <c r="A23515" s="2">
        <v>43875.849791666667</v>
      </c>
      <c r="B23515" t="str">
        <f>HYPERLINK("https://twitter.com/LaingenLisa","@LaingenLisa")</f>
        <v>@LaingenLisa</v>
      </c>
      <c r="C23515" t="s">
        <v>10520</v>
      </c>
      <c r="D23515">
        <v>13</v>
      </c>
      <c r="E23515">
        <v>0</v>
      </c>
      <c r="F23515">
        <v>2829</v>
      </c>
    </row>
    <row r="23516" spans="1:6" ht="12.75">
      <c r="A23516" s="2">
        <v>43875.849756944444</v>
      </c>
      <c r="B23516" t="str">
        <f>HYPERLINK("https://twitter.com/AlfaOmega0110","@AlfaOmega0110")</f>
        <v>@AlfaOmega0110</v>
      </c>
      <c r="C23516" t="s">
        <v>10988</v>
      </c>
      <c r="D23516">
        <v>0</v>
      </c>
      <c r="E23516">
        <v>0</v>
      </c>
      <c r="F23516">
        <v>967</v>
      </c>
    </row>
    <row r="23517" spans="1:6" ht="12.75">
      <c r="A23517" s="2">
        <v>43875.849722222221</v>
      </c>
      <c r="B23517" t="str">
        <f>HYPERLINK("https://twitter.com/ArmandGusman","@ArmandGusman")</f>
        <v>@ArmandGusman</v>
      </c>
      <c r="C23517" t="s">
        <v>2963</v>
      </c>
      <c r="D23517">
        <v>1097</v>
      </c>
      <c r="E23517">
        <v>0</v>
      </c>
      <c r="F23517">
        <v>192</v>
      </c>
    </row>
    <row r="23518" spans="1:6" ht="12.75">
      <c r="A23518" s="2">
        <v>43875.849722222221</v>
      </c>
      <c r="B23518" t="str">
        <f>HYPERLINK("https://twitter.com/uwumess","@uwumess")</f>
        <v>@uwumess</v>
      </c>
      <c r="C23518" t="s">
        <v>2444</v>
      </c>
      <c r="D23518">
        <v>2546</v>
      </c>
      <c r="E23518">
        <v>0</v>
      </c>
      <c r="F23518">
        <v>867</v>
      </c>
    </row>
    <row r="23519" spans="1:6" ht="12.75">
      <c r="A23519" s="2">
        <v>43875.849710648152</v>
      </c>
      <c r="B23519" t="str">
        <f>HYPERLINK("https://twitter.com/GAPUROOO1","@GAPUROOO1")</f>
        <v>@GAPUROOO1</v>
      </c>
      <c r="C23519" t="s">
        <v>9746</v>
      </c>
      <c r="D23519">
        <v>349</v>
      </c>
      <c r="E23519">
        <v>0</v>
      </c>
      <c r="F23519">
        <v>110</v>
      </c>
    </row>
    <row r="23520" spans="1:6" ht="12.75">
      <c r="A23520" s="2">
        <v>43875.849641203706</v>
      </c>
      <c r="B23520" t="str">
        <f>HYPERLINK("https://twitter.com/kiki_tjokro03","@kiki_tjokro03")</f>
        <v>@kiki_tjokro03</v>
      </c>
      <c r="C23520" t="s">
        <v>5168</v>
      </c>
      <c r="D23520">
        <v>990</v>
      </c>
      <c r="E23520">
        <v>0</v>
      </c>
      <c r="F23520">
        <v>39</v>
      </c>
    </row>
    <row r="23521" spans="1:6" ht="12.75">
      <c r="A23521" s="2">
        <v>43875.84956018519</v>
      </c>
      <c r="B23521" t="str">
        <f>HYPERLINK("https://twitter.com/Sherman_GR","@Sherman_GR")</f>
        <v>@Sherman_GR</v>
      </c>
      <c r="C23521" t="s">
        <v>9082</v>
      </c>
      <c r="D23521">
        <v>60</v>
      </c>
      <c r="E23521">
        <v>0</v>
      </c>
      <c r="F23521">
        <v>1248</v>
      </c>
    </row>
    <row r="23522" spans="1:6" ht="12.75">
      <c r="A23522" s="2">
        <v>43875.84956018519</v>
      </c>
      <c r="B23522" t="str">
        <f>HYPERLINK("https://twitter.com/sailorlune_","@sailorlune_")</f>
        <v>@sailorlune_</v>
      </c>
      <c r="C23522" t="s">
        <v>2444</v>
      </c>
      <c r="D23522">
        <v>2546</v>
      </c>
      <c r="E23522">
        <v>0</v>
      </c>
      <c r="F23522">
        <v>323</v>
      </c>
    </row>
    <row r="23523" spans="1:6" ht="12.75">
      <c r="A23523" s="2">
        <v>43875.849398148144</v>
      </c>
      <c r="B23523" t="str">
        <f>HYPERLINK("https://twitter.com/jeonmara17","@jeonmara17")</f>
        <v>@jeonmara17</v>
      </c>
      <c r="C23523" t="s">
        <v>9123</v>
      </c>
      <c r="D23523">
        <v>284</v>
      </c>
      <c r="E23523">
        <v>0</v>
      </c>
      <c r="F23523">
        <v>972</v>
      </c>
    </row>
    <row r="23524" spans="1:6" ht="12.75">
      <c r="A23524" s="2">
        <v>43875.849375000005</v>
      </c>
      <c r="B23524" t="str">
        <f>HYPERLINK("https://twitter.com/samhudibae","@samhudibae")</f>
        <v>@samhudibae</v>
      </c>
      <c r="C23524" t="s">
        <v>9165</v>
      </c>
      <c r="D23524">
        <v>8</v>
      </c>
      <c r="E23524">
        <v>14</v>
      </c>
      <c r="F23524">
        <v>3367</v>
      </c>
    </row>
    <row r="23525" spans="1:6" ht="12.75">
      <c r="A23525" s="2">
        <v>43875.849328703705</v>
      </c>
      <c r="B23525" t="str">
        <f>HYPERLINK("https://twitter.com/K_Muslim_UNRAM","@K_Muslim_UNRAM")</f>
        <v>@K_Muslim_UNRAM</v>
      </c>
      <c r="C23525" t="s">
        <v>10121</v>
      </c>
      <c r="D23525">
        <v>181</v>
      </c>
      <c r="E23525">
        <v>0</v>
      </c>
      <c r="F23525">
        <v>1447</v>
      </c>
    </row>
    <row r="23526" spans="1:6" ht="12.75">
      <c r="A23526" s="2">
        <v>43875.849282407406</v>
      </c>
      <c r="B23526" t="str">
        <f>HYPERLINK("https://twitter.com/everydrum6","@everydrum6")</f>
        <v>@everydrum6</v>
      </c>
      <c r="C23526" t="s">
        <v>2444</v>
      </c>
      <c r="D23526">
        <v>2546</v>
      </c>
      <c r="E23526">
        <v>0</v>
      </c>
      <c r="F23526">
        <v>965</v>
      </c>
    </row>
    <row r="23527" spans="1:6" ht="12.75">
      <c r="A23527" s="2">
        <v>43875.849247685182</v>
      </c>
      <c r="B23527" t="str">
        <f>HYPERLINK("https://twitter.com/sopian333351","@sopian333351")</f>
        <v>@sopian333351</v>
      </c>
      <c r="C23527" t="s">
        <v>9599</v>
      </c>
      <c r="D23527">
        <v>12</v>
      </c>
      <c r="E23527">
        <v>0</v>
      </c>
      <c r="F23527">
        <v>1129</v>
      </c>
    </row>
    <row r="23528" spans="1:6" ht="12.75">
      <c r="A23528" s="2">
        <v>43875.849236111113</v>
      </c>
      <c r="B23528" t="str">
        <f>HYPERLINK("https://twitter.com/Masdjodi1","@Masdjodi1")</f>
        <v>@Masdjodi1</v>
      </c>
      <c r="C23528" t="s">
        <v>10052</v>
      </c>
      <c r="D23528">
        <v>78</v>
      </c>
      <c r="E23528">
        <v>0</v>
      </c>
      <c r="F23528">
        <v>682</v>
      </c>
    </row>
    <row r="23529" spans="1:6" ht="12.75">
      <c r="A23529" s="2">
        <v>43875.849166666667</v>
      </c>
      <c r="B23529" t="str">
        <f>HYPERLINK("https://twitter.com/wafinity","@wafinity")</f>
        <v>@wafinity</v>
      </c>
      <c r="C23529" t="s">
        <v>2963</v>
      </c>
      <c r="D23529">
        <v>1097</v>
      </c>
      <c r="E23529">
        <v>0</v>
      </c>
      <c r="F23529">
        <v>602</v>
      </c>
    </row>
    <row r="23530" spans="1:6" ht="12.75">
      <c r="A23530" s="2">
        <v>43875.849155092597</v>
      </c>
      <c r="B23530" t="str">
        <f>HYPERLINK("https://twitter.com/onomsalam2pas","@onomsalam2pas")</f>
        <v>@onomsalam2pas</v>
      </c>
      <c r="C23530" t="s">
        <v>9198</v>
      </c>
      <c r="D23530">
        <v>51</v>
      </c>
      <c r="E23530">
        <v>0</v>
      </c>
      <c r="F23530">
        <v>442</v>
      </c>
    </row>
    <row r="23531" spans="1:6" ht="12.75">
      <c r="A23531" s="2">
        <v>43875.849108796298</v>
      </c>
      <c r="B23531" t="str">
        <f>HYPERLINK("https://twitter.com/AnakKolong___","@AnakKolong___")</f>
        <v>@AnakKolong___</v>
      </c>
      <c r="C23531" t="s">
        <v>10989</v>
      </c>
      <c r="D23531">
        <v>1</v>
      </c>
      <c r="E23531">
        <v>0</v>
      </c>
      <c r="F23531">
        <v>5314</v>
      </c>
    </row>
    <row r="23532" spans="1:6" ht="12.75">
      <c r="A23532" s="2">
        <v>43875.849062499998</v>
      </c>
      <c r="B23532" t="str">
        <f>HYPERLINK("https://twitter.com/AAR63028211","@AAR63028211")</f>
        <v>@AAR63028211</v>
      </c>
      <c r="C23532" t="s">
        <v>10990</v>
      </c>
      <c r="D23532">
        <v>0</v>
      </c>
      <c r="E23532">
        <v>0</v>
      </c>
      <c r="F23532">
        <v>195</v>
      </c>
    </row>
    <row r="23533" spans="1:6" ht="12.75">
      <c r="A23533" s="2">
        <v>43875.849016203705</v>
      </c>
      <c r="B23533" t="str">
        <f>HYPERLINK("https://twitter.com/rapondaeoct","@rapondaeoct")</f>
        <v>@rapondaeoct</v>
      </c>
      <c r="C23533" t="s">
        <v>2444</v>
      </c>
      <c r="D23533">
        <v>2546</v>
      </c>
      <c r="E23533">
        <v>0</v>
      </c>
      <c r="F23533">
        <v>132</v>
      </c>
    </row>
    <row r="23534" spans="1:6" ht="12.75">
      <c r="A23534" s="2">
        <v>43875.848900462966</v>
      </c>
      <c r="B23534" t="str">
        <f>HYPERLINK("https://twitter.com/jeonmara17","@jeonmara17")</f>
        <v>@jeonmara17</v>
      </c>
      <c r="C23534" t="s">
        <v>9067</v>
      </c>
      <c r="D23534">
        <v>35</v>
      </c>
      <c r="E23534">
        <v>0</v>
      </c>
      <c r="F23534">
        <v>972</v>
      </c>
    </row>
    <row r="23535" spans="1:6" ht="12.75">
      <c r="A23535" s="2">
        <v>43875.848865740743</v>
      </c>
      <c r="B23535" t="str">
        <f>HYPERLINK("https://twitter.com/chacharries","@chacharries")</f>
        <v>@chacharries</v>
      </c>
      <c r="C23535" t="s">
        <v>9021</v>
      </c>
      <c r="D23535">
        <v>205</v>
      </c>
      <c r="E23535">
        <v>0</v>
      </c>
      <c r="F23535">
        <v>1065</v>
      </c>
    </row>
    <row r="23536" spans="1:6" ht="12.75">
      <c r="A23536" s="2">
        <v>43875.84883101852</v>
      </c>
      <c r="B23536" t="str">
        <f>HYPERLINK("https://twitter.com/atusfaul","@atusfaul")</f>
        <v>@atusfaul</v>
      </c>
      <c r="C23536" t="s">
        <v>2444</v>
      </c>
      <c r="D23536">
        <v>2546</v>
      </c>
      <c r="E23536">
        <v>0</v>
      </c>
      <c r="F23536">
        <v>314</v>
      </c>
    </row>
    <row r="23537" spans="1:6" ht="12.75">
      <c r="A23537" s="2">
        <v>43875.848703703705</v>
      </c>
      <c r="B23537" t="str">
        <f>HYPERLINK("https://twitter.com/rifqilagiafi","@rifqilagiafi")</f>
        <v>@rifqilagiafi</v>
      </c>
      <c r="C23537" t="s">
        <v>10991</v>
      </c>
      <c r="D23537">
        <v>0</v>
      </c>
      <c r="E23537">
        <v>1</v>
      </c>
      <c r="F23537">
        <v>467</v>
      </c>
    </row>
    <row r="23538" spans="1:6" ht="12.75">
      <c r="A23538" s="2">
        <v>43875.848692129628</v>
      </c>
      <c r="B23538" t="str">
        <f>HYPERLINK("https://twitter.com/habincuan","@habincuan")</f>
        <v>@habincuan</v>
      </c>
      <c r="C23538" t="s">
        <v>2963</v>
      </c>
      <c r="D23538">
        <v>1097</v>
      </c>
      <c r="E23538">
        <v>0</v>
      </c>
      <c r="F23538">
        <v>1441</v>
      </c>
    </row>
    <row r="23539" spans="1:6" ht="12.75">
      <c r="A23539" s="2">
        <v>43875.848611111112</v>
      </c>
      <c r="B23539" t="str">
        <f>HYPERLINK("https://twitter.com/kompascom","@kompascom")</f>
        <v>@kompascom</v>
      </c>
      <c r="C23539" t="s">
        <v>10992</v>
      </c>
      <c r="D23539">
        <v>1</v>
      </c>
      <c r="E23539">
        <v>4</v>
      </c>
      <c r="F23539">
        <v>7497620</v>
      </c>
    </row>
    <row r="23540" spans="1:6" ht="12.75">
      <c r="A23540" s="2">
        <v>43875.84851851852</v>
      </c>
      <c r="B23540" t="str">
        <f>HYPERLINK("https://twitter.com/zarazettirazr","@zarazettirazr")</f>
        <v>@zarazettirazr</v>
      </c>
      <c r="C23540" t="s">
        <v>10993</v>
      </c>
      <c r="D23540">
        <v>0</v>
      </c>
      <c r="E23540">
        <v>5</v>
      </c>
      <c r="F23540">
        <v>250125</v>
      </c>
    </row>
    <row r="23541" spans="1:6" ht="12.75">
      <c r="A23541" s="2">
        <v>43875.848391203705</v>
      </c>
      <c r="B23541" t="str">
        <f>HYPERLINK("https://twitter.com/dyahbasto","@dyahbasto")</f>
        <v>@dyahbasto</v>
      </c>
      <c r="C23541" t="s">
        <v>5168</v>
      </c>
      <c r="D23541">
        <v>990</v>
      </c>
      <c r="E23541">
        <v>0</v>
      </c>
      <c r="F23541">
        <v>104</v>
      </c>
    </row>
    <row r="23542" spans="1:6" ht="12.75">
      <c r="A23542" s="2">
        <v>43875.848368055551</v>
      </c>
      <c r="B23542" t="str">
        <f>HYPERLINK("https://twitter.com/anindnatsir","@anindnatsir")</f>
        <v>@anindnatsir</v>
      </c>
      <c r="C23542" t="s">
        <v>5168</v>
      </c>
      <c r="D23542">
        <v>990</v>
      </c>
      <c r="E23542">
        <v>0</v>
      </c>
      <c r="F23542">
        <v>995</v>
      </c>
    </row>
    <row r="23543" spans="1:6" ht="12.75">
      <c r="A23543" s="2">
        <v>43875.848252314812</v>
      </c>
      <c r="B23543" t="str">
        <f>HYPERLINK("https://twitter.com/Syahril38668244","@Syahril38668244")</f>
        <v>@Syahril38668244</v>
      </c>
      <c r="C23543" t="s">
        <v>6201</v>
      </c>
      <c r="D23543">
        <v>207</v>
      </c>
      <c r="E23543">
        <v>0</v>
      </c>
      <c r="F23543">
        <v>18</v>
      </c>
    </row>
    <row r="23544" spans="1:6" ht="12.75">
      <c r="A23544" s="2">
        <v>43875.84820601852</v>
      </c>
      <c r="B23544" t="str">
        <f>HYPERLINK("https://twitter.com/natathecocoa_","@natathecocoa_")</f>
        <v>@natathecocoa_</v>
      </c>
      <c r="C23544" t="s">
        <v>2444</v>
      </c>
      <c r="D23544">
        <v>2546</v>
      </c>
      <c r="E23544">
        <v>0</v>
      </c>
      <c r="F23544">
        <v>79</v>
      </c>
    </row>
    <row r="23545" spans="1:6" ht="12.75">
      <c r="A23545" s="2">
        <v>43875.848171296297</v>
      </c>
      <c r="B23545" t="str">
        <f>HYPERLINK("https://twitter.com/mawimong","@mawimong")</f>
        <v>@mawimong</v>
      </c>
      <c r="C23545" t="s">
        <v>2444</v>
      </c>
      <c r="D23545">
        <v>2546</v>
      </c>
      <c r="E23545">
        <v>0</v>
      </c>
      <c r="F23545">
        <v>100</v>
      </c>
    </row>
    <row r="23546" spans="1:6" ht="12.75">
      <c r="A23546" s="2">
        <v>43875.84784722222</v>
      </c>
      <c r="B23546" t="str">
        <f>HYPERLINK("https://twitter.com/LanaayahFayFio","@LanaayahFayFio")</f>
        <v>@LanaayahFayFio</v>
      </c>
      <c r="C23546" t="s">
        <v>10994</v>
      </c>
      <c r="D23546">
        <v>0</v>
      </c>
      <c r="E23546">
        <v>0</v>
      </c>
      <c r="F23546">
        <v>118</v>
      </c>
    </row>
    <row r="23547" spans="1:6" ht="12.75">
      <c r="A23547" s="2">
        <v>43875.84778935185</v>
      </c>
      <c r="B23547" t="str">
        <f>HYPERLINK("https://twitter.com/PutriOk2","@PutriOk2")</f>
        <v>@PutriOk2</v>
      </c>
      <c r="C23547" t="s">
        <v>10995</v>
      </c>
      <c r="D23547">
        <v>0</v>
      </c>
      <c r="E23547">
        <v>0</v>
      </c>
      <c r="F23547">
        <v>568</v>
      </c>
    </row>
    <row r="23548" spans="1:6" ht="12.75">
      <c r="A23548" s="2">
        <v>43875.84778935185</v>
      </c>
      <c r="B23548" t="str">
        <f>HYPERLINK("https://twitter.com/zuriswanfajri","@zuriswanfajri")</f>
        <v>@zuriswanfajri</v>
      </c>
      <c r="C23548" t="s">
        <v>9732</v>
      </c>
      <c r="D23548">
        <v>67</v>
      </c>
      <c r="E23548">
        <v>0</v>
      </c>
      <c r="F23548">
        <v>4384</v>
      </c>
    </row>
    <row r="23549" spans="1:6" ht="12.75">
      <c r="A23549" s="2">
        <v>43875.847777777773</v>
      </c>
      <c r="B23549" t="str">
        <f>HYPERLINK("https://twitter.com/anindnatsir","@anindnatsir")</f>
        <v>@anindnatsir</v>
      </c>
      <c r="C23549" t="s">
        <v>2444</v>
      </c>
      <c r="D23549">
        <v>2546</v>
      </c>
      <c r="E23549">
        <v>0</v>
      </c>
      <c r="F23549">
        <v>995</v>
      </c>
    </row>
    <row r="23550" spans="1:6" ht="12.75">
      <c r="A23550" s="2">
        <v>43875.847708333335</v>
      </c>
      <c r="B23550" t="str">
        <f>HYPERLINK("https://twitter.com/amikusashi","@amikusashi")</f>
        <v>@amikusashi</v>
      </c>
      <c r="C23550" t="s">
        <v>2444</v>
      </c>
      <c r="D23550">
        <v>2546</v>
      </c>
      <c r="E23550">
        <v>0</v>
      </c>
      <c r="F23550">
        <v>627</v>
      </c>
    </row>
    <row r="23551" spans="1:6" ht="12.75">
      <c r="A23551" s="2">
        <v>43875.847685185188</v>
      </c>
      <c r="B23551" t="str">
        <f>HYPERLINK("https://twitter.com/ninalonalo","@ninalonalo")</f>
        <v>@ninalonalo</v>
      </c>
      <c r="C23551" t="s">
        <v>2444</v>
      </c>
      <c r="D23551">
        <v>2546</v>
      </c>
      <c r="E23551">
        <v>0</v>
      </c>
      <c r="F23551">
        <v>571</v>
      </c>
    </row>
    <row r="23552" spans="1:6" ht="12.75">
      <c r="A23552" s="2">
        <v>43875.847615740742</v>
      </c>
      <c r="B23552" t="str">
        <f>HYPERLINK("https://twitter.com/AAR63028211","@AAR63028211")</f>
        <v>@AAR63028211</v>
      </c>
      <c r="C23552" t="s">
        <v>10996</v>
      </c>
      <c r="D23552">
        <v>0</v>
      </c>
      <c r="E23552">
        <v>0</v>
      </c>
      <c r="F23552">
        <v>195</v>
      </c>
    </row>
    <row r="23553" spans="1:6" ht="12.75">
      <c r="A23553" s="2">
        <v>43875.847604166665</v>
      </c>
      <c r="B23553" t="str">
        <f>HYPERLINK("https://twitter.com/nguyenengh","@nguyenengh")</f>
        <v>@nguyenengh</v>
      </c>
      <c r="C23553" t="s">
        <v>10997</v>
      </c>
      <c r="D23553">
        <v>0</v>
      </c>
      <c r="E23553">
        <v>0</v>
      </c>
      <c r="F23553">
        <v>1</v>
      </c>
    </row>
    <row r="23554" spans="1:6" ht="12.75">
      <c r="A23554" s="2">
        <v>43875.847488425927</v>
      </c>
      <c r="B23554" t="str">
        <f>HYPERLINK("https://twitter.com/hemaviton99","@hemaviton99")</f>
        <v>@hemaviton99</v>
      </c>
      <c r="C23554" t="s">
        <v>10998</v>
      </c>
      <c r="D23554">
        <v>1</v>
      </c>
      <c r="E23554">
        <v>0</v>
      </c>
      <c r="F23554">
        <v>3540</v>
      </c>
    </row>
    <row r="23555" spans="1:6" ht="12.75">
      <c r="A23555" s="2">
        <v>43875.847361111111</v>
      </c>
      <c r="B23555" t="str">
        <f>HYPERLINK("https://twitter.com/mendingkaya","@mendingkaya")</f>
        <v>@mendingkaya</v>
      </c>
      <c r="C23555" t="s">
        <v>2444</v>
      </c>
      <c r="D23555">
        <v>2546</v>
      </c>
      <c r="E23555">
        <v>0</v>
      </c>
      <c r="F23555">
        <v>425</v>
      </c>
    </row>
    <row r="23556" spans="1:6" ht="12.75">
      <c r="A23556" s="2">
        <v>43875.847164351857</v>
      </c>
      <c r="B23556" t="str">
        <f>HYPERLINK("https://twitter.com/MetroTVToday","@MetroTVToday")</f>
        <v>@MetroTVToday</v>
      </c>
      <c r="C23556" t="s">
        <v>8353</v>
      </c>
      <c r="D23556">
        <v>3</v>
      </c>
      <c r="E23556">
        <v>0</v>
      </c>
      <c r="F23556">
        <v>97612</v>
      </c>
    </row>
    <row r="23557" spans="1:6" ht="12.75">
      <c r="A23557" s="2">
        <v>43875.847118055557</v>
      </c>
      <c r="B23557" t="str">
        <f>HYPERLINK("https://twitter.com/Metro_TV","@Metro_TV")</f>
        <v>@Metro_TV</v>
      </c>
      <c r="C23557" t="s">
        <v>8353</v>
      </c>
      <c r="D23557">
        <v>3</v>
      </c>
      <c r="E23557">
        <v>0</v>
      </c>
      <c r="F23557">
        <v>10509077</v>
      </c>
    </row>
    <row r="23558" spans="1:6" ht="12.75">
      <c r="A23558" s="2">
        <v>43875.84710648148</v>
      </c>
      <c r="B23558" t="str">
        <f>HYPERLINK("https://twitter.com/nmlsly","@nmlsly")</f>
        <v>@nmlsly</v>
      </c>
      <c r="C23558" t="s">
        <v>10999</v>
      </c>
      <c r="D23558">
        <v>0</v>
      </c>
      <c r="E23558">
        <v>0</v>
      </c>
      <c r="F23558">
        <v>162</v>
      </c>
    </row>
    <row r="23559" spans="1:6" ht="12.75">
      <c r="A23559" s="2">
        <v>43875.847071759257</v>
      </c>
      <c r="B23559" t="str">
        <f>HYPERLINK("https://twitter.com/_mutedcolors","@_mutedcolors")</f>
        <v>@_mutedcolors</v>
      </c>
      <c r="C23559" t="s">
        <v>2444</v>
      </c>
      <c r="D23559">
        <v>2546</v>
      </c>
      <c r="E23559">
        <v>0</v>
      </c>
      <c r="F23559">
        <v>404</v>
      </c>
    </row>
    <row r="23560" spans="1:6" ht="12.75">
      <c r="A23560" s="2">
        <v>43875.847060185188</v>
      </c>
      <c r="B23560" t="str">
        <f>HYPERLINK("https://twitter.com/pwdepee","@pwdepee")</f>
        <v>@pwdepee</v>
      </c>
      <c r="C23560" t="s">
        <v>2444</v>
      </c>
      <c r="D23560">
        <v>2546</v>
      </c>
      <c r="E23560">
        <v>0</v>
      </c>
      <c r="F23560">
        <v>582</v>
      </c>
    </row>
    <row r="23561" spans="1:6" ht="12.75">
      <c r="A23561" s="2">
        <v>43875.847037037034</v>
      </c>
      <c r="B23561" t="str">
        <f>HYPERLINK("https://twitter.com/Ervan_jtm","@Ervan_jtm")</f>
        <v>@Ervan_jtm</v>
      </c>
      <c r="C23561" t="s">
        <v>11000</v>
      </c>
      <c r="D23561">
        <v>1</v>
      </c>
      <c r="E23561">
        <v>1</v>
      </c>
      <c r="F23561">
        <v>149</v>
      </c>
    </row>
    <row r="23562" spans="1:6" ht="12.75">
      <c r="A23562" s="2">
        <v>43875.846967592588</v>
      </c>
      <c r="B23562" t="str">
        <f>HYPERLINK("https://twitter.com/teofiliusfirry","@teofiliusfirry")</f>
        <v>@teofiliusfirry</v>
      </c>
      <c r="C23562" t="s">
        <v>11001</v>
      </c>
      <c r="D23562">
        <v>0</v>
      </c>
      <c r="E23562">
        <v>0</v>
      </c>
      <c r="F23562">
        <v>8</v>
      </c>
    </row>
    <row r="23563" spans="1:6" ht="12.75">
      <c r="A23563" s="2">
        <v>43875.84684027778</v>
      </c>
      <c r="B23563" t="str">
        <f>HYPERLINK("https://twitter.com/AhmadALKAF6","@AhmadALKAF6")</f>
        <v>@AhmadALKAF6</v>
      </c>
      <c r="C23563" t="s">
        <v>7478</v>
      </c>
      <c r="D23563">
        <v>385</v>
      </c>
      <c r="E23563">
        <v>0</v>
      </c>
      <c r="F23563">
        <v>103</v>
      </c>
    </row>
    <row r="23564" spans="1:6" ht="12.75">
      <c r="A23564" s="2">
        <v>43875.846817129626</v>
      </c>
      <c r="B23564" t="str">
        <f>HYPERLINK("https://twitter.com/imhasanah07","@imhasanah07")</f>
        <v>@imhasanah07</v>
      </c>
      <c r="C23564" t="s">
        <v>2144</v>
      </c>
      <c r="D23564">
        <v>91</v>
      </c>
      <c r="E23564">
        <v>0</v>
      </c>
      <c r="F23564">
        <v>340</v>
      </c>
    </row>
    <row r="23565" spans="1:6" ht="12.75">
      <c r="A23565" s="2">
        <v>43875.84679398148</v>
      </c>
      <c r="B23565" t="str">
        <f>HYPERLINK("https://twitter.com/X_SamURay63","@X_SamURay63")</f>
        <v>@X_SamURay63</v>
      </c>
      <c r="C23565" t="s">
        <v>7478</v>
      </c>
      <c r="D23565">
        <v>385</v>
      </c>
      <c r="E23565">
        <v>0</v>
      </c>
      <c r="F23565">
        <v>3937</v>
      </c>
    </row>
    <row r="23566" spans="1:6" ht="12.75">
      <c r="A23566" s="2">
        <v>43875.846759259264</v>
      </c>
      <c r="B23566" t="str">
        <f>HYPERLINK("https://twitter.com/seheonnt","@seheonnt")</f>
        <v>@seheonnt</v>
      </c>
      <c r="C23566" t="s">
        <v>9123</v>
      </c>
      <c r="D23566">
        <v>284</v>
      </c>
      <c r="E23566">
        <v>0</v>
      </c>
      <c r="F23566">
        <v>1242</v>
      </c>
    </row>
    <row r="23567" spans="1:6" ht="12.75">
      <c r="A23567" s="2">
        <v>43875.846712962964</v>
      </c>
      <c r="B23567" t="str">
        <f>HYPERLINK("https://twitter.com/Sulthxn","@Sulthxn")</f>
        <v>@Sulthxn</v>
      </c>
      <c r="C23567" t="s">
        <v>5168</v>
      </c>
      <c r="D23567">
        <v>990</v>
      </c>
      <c r="E23567">
        <v>0</v>
      </c>
      <c r="F23567">
        <v>124</v>
      </c>
    </row>
    <row r="23568" spans="1:6" ht="12.75">
      <c r="A23568" s="2">
        <v>43875.846701388888</v>
      </c>
      <c r="B23568" t="str">
        <f>HYPERLINK("https://twitter.com/itspxdst","@itspxdst")</f>
        <v>@itspxdst</v>
      </c>
      <c r="C23568" t="s">
        <v>2444</v>
      </c>
      <c r="D23568">
        <v>2546</v>
      </c>
      <c r="E23568">
        <v>0</v>
      </c>
      <c r="F23568">
        <v>691</v>
      </c>
    </row>
    <row r="23569" spans="1:6" ht="12.75">
      <c r="A23569" s="2">
        <v>43875.846597222218</v>
      </c>
      <c r="B23569" t="str">
        <f>HYPERLINK("https://twitter.com/LauraFadillah1","@LauraFadillah1")</f>
        <v>@LauraFadillah1</v>
      </c>
      <c r="C23569" t="s">
        <v>7888</v>
      </c>
      <c r="D23569">
        <v>28</v>
      </c>
      <c r="E23569">
        <v>0</v>
      </c>
      <c r="F23569">
        <v>315</v>
      </c>
    </row>
    <row r="23570" spans="1:6" ht="12.75">
      <c r="A23570" s="2">
        <v>43875.846550925926</v>
      </c>
      <c r="B23570" t="str">
        <f>HYPERLINK("https://twitter.com/kompascom","@kompascom")</f>
        <v>@kompascom</v>
      </c>
      <c r="C23570" t="s">
        <v>11002</v>
      </c>
      <c r="D23570">
        <v>1</v>
      </c>
      <c r="E23570">
        <v>6</v>
      </c>
      <c r="F23570">
        <v>7497620</v>
      </c>
    </row>
    <row r="23571" spans="1:6" ht="12.75">
      <c r="A23571" s="2">
        <v>43875.846435185187</v>
      </c>
      <c r="B23571" t="str">
        <f>HYPERLINK("https://twitter.com/Apinksjn","@Apinksjn")</f>
        <v>@Apinksjn</v>
      </c>
      <c r="C23571" t="s">
        <v>2444</v>
      </c>
      <c r="D23571">
        <v>2546</v>
      </c>
      <c r="E23571">
        <v>0</v>
      </c>
      <c r="F23571">
        <v>1133</v>
      </c>
    </row>
    <row r="23572" spans="1:6" ht="12.75">
      <c r="A23572" s="2">
        <v>43875.84642361111</v>
      </c>
      <c r="B23572" t="str">
        <f>HYPERLINK("https://twitter.com/apasihtrii","@apasihtrii")</f>
        <v>@apasihtrii</v>
      </c>
      <c r="C23572" t="s">
        <v>2444</v>
      </c>
      <c r="D23572">
        <v>2546</v>
      </c>
      <c r="E23572">
        <v>0</v>
      </c>
      <c r="F23572">
        <v>248</v>
      </c>
    </row>
    <row r="23573" spans="1:6" ht="12.75">
      <c r="A23573" s="2">
        <v>43875.846412037034</v>
      </c>
      <c r="B23573" t="str">
        <f>HYPERLINK("https://twitter.com/AndreantoHendra","@AndreantoHendra")</f>
        <v>@AndreantoHendra</v>
      </c>
      <c r="C23573" t="s">
        <v>11003</v>
      </c>
      <c r="D23573">
        <v>0</v>
      </c>
      <c r="E23573">
        <v>0</v>
      </c>
      <c r="F23573">
        <v>1322</v>
      </c>
    </row>
    <row r="23574" spans="1:6" ht="12.75">
      <c r="A23574" s="2">
        <v>43875.846342592587</v>
      </c>
      <c r="B23574" t="str">
        <f>HYPERLINK("https://twitter.com/Buddie_Munthux","@Buddie_Munthux")</f>
        <v>@Buddie_Munthux</v>
      </c>
      <c r="C23574" t="s">
        <v>2963</v>
      </c>
      <c r="D23574">
        <v>1097</v>
      </c>
      <c r="E23574">
        <v>0</v>
      </c>
      <c r="F23574">
        <v>146</v>
      </c>
    </row>
    <row r="23575" spans="1:6" ht="12.75">
      <c r="A23575" s="2">
        <v>43875.846296296295</v>
      </c>
      <c r="B23575" t="str">
        <f>HYPERLINK("https://twitter.com/redywanjames","@redywanjames")</f>
        <v>@redywanjames</v>
      </c>
      <c r="C23575" t="s">
        <v>7408</v>
      </c>
      <c r="D23575">
        <v>35</v>
      </c>
      <c r="E23575">
        <v>0</v>
      </c>
      <c r="F23575">
        <v>743</v>
      </c>
    </row>
    <row r="23576" spans="1:6" ht="12.75">
      <c r="A23576" s="2">
        <v>43875.846238425926</v>
      </c>
      <c r="B23576" t="str">
        <f>HYPERLINK("https://twitter.com/Metro_TV","@Metro_TV")</f>
        <v>@Metro_TV</v>
      </c>
      <c r="C23576" t="s">
        <v>11004</v>
      </c>
      <c r="D23576">
        <v>3</v>
      </c>
      <c r="E23576">
        <v>13</v>
      </c>
      <c r="F23576">
        <v>10509077</v>
      </c>
    </row>
    <row r="23577" spans="1:6" ht="12.75">
      <c r="A23577" s="2">
        <v>43875.846180555556</v>
      </c>
      <c r="B23577" t="str">
        <f>HYPERLINK("https://twitter.com/Se_Tia_23","@Se_Tia_23")</f>
        <v>@Se_Tia_23</v>
      </c>
      <c r="C23577" t="s">
        <v>9796</v>
      </c>
      <c r="D23577">
        <v>5</v>
      </c>
      <c r="E23577">
        <v>0</v>
      </c>
      <c r="F23577">
        <v>3443</v>
      </c>
    </row>
    <row r="23578" spans="1:6" ht="12.75">
      <c r="A23578" s="2">
        <v>43875.846145833333</v>
      </c>
      <c r="B23578" t="str">
        <f>HYPERLINK("https://twitter.com/jakaswa65626492","@jakaswa65626492")</f>
        <v>@jakaswa65626492</v>
      </c>
      <c r="C23578" t="s">
        <v>7478</v>
      </c>
      <c r="D23578">
        <v>385</v>
      </c>
      <c r="E23578">
        <v>0</v>
      </c>
      <c r="F23578">
        <v>368</v>
      </c>
    </row>
    <row r="23579" spans="1:6" ht="12.75">
      <c r="A23579" s="2">
        <v>43875.846076388887</v>
      </c>
      <c r="B23579" t="str">
        <f>HYPERLINK("https://twitter.com/sandy_rhd","@sandy_rhd")</f>
        <v>@sandy_rhd</v>
      </c>
      <c r="C23579" t="s">
        <v>9147</v>
      </c>
      <c r="D23579">
        <v>31</v>
      </c>
      <c r="E23579">
        <v>0</v>
      </c>
      <c r="F23579">
        <v>172</v>
      </c>
    </row>
    <row r="23580" spans="1:6" ht="12.75">
      <c r="A23580" s="2">
        <v>43875.846006944441</v>
      </c>
      <c r="B23580" t="str">
        <f>HYPERLINK("https://twitter.com/eddies_song","@eddies_song")</f>
        <v>@eddies_song</v>
      </c>
      <c r="C23580" t="s">
        <v>11005</v>
      </c>
      <c r="D23580">
        <v>1</v>
      </c>
      <c r="E23580">
        <v>0</v>
      </c>
      <c r="F23580">
        <v>1235</v>
      </c>
    </row>
    <row r="23581" spans="1:6" ht="12.75">
      <c r="A23581" s="2">
        <v>43875.845983796295</v>
      </c>
      <c r="B23581" t="str">
        <f>HYPERLINK("https://twitter.com/JPalfarabi","@JPalfarabi")</f>
        <v>@JPalfarabi</v>
      </c>
      <c r="C23581" t="s">
        <v>6201</v>
      </c>
      <c r="D23581">
        <v>207</v>
      </c>
      <c r="E23581">
        <v>0</v>
      </c>
      <c r="F23581">
        <v>1291</v>
      </c>
    </row>
    <row r="23582" spans="1:6" ht="12.75">
      <c r="A23582" s="2">
        <v>43875.845833333333</v>
      </c>
      <c r="B23582" t="str">
        <f>HYPERLINK("https://twitter.com/dspie_","@dspie_")</f>
        <v>@dspie_</v>
      </c>
      <c r="C23582" t="s">
        <v>2444</v>
      </c>
      <c r="D23582">
        <v>2546</v>
      </c>
      <c r="E23582">
        <v>0</v>
      </c>
      <c r="F23582">
        <v>12</v>
      </c>
    </row>
    <row r="23583" spans="1:6" ht="12.75">
      <c r="A23583" s="2">
        <v>43875.845775462964</v>
      </c>
      <c r="B23583" t="str">
        <f>HYPERLINK("https://twitter.com/zainal78142749","@zainal78142749")</f>
        <v>@zainal78142749</v>
      </c>
      <c r="C23583" t="s">
        <v>11006</v>
      </c>
      <c r="D23583">
        <v>0</v>
      </c>
      <c r="E23583">
        <v>0</v>
      </c>
      <c r="F23583">
        <v>414</v>
      </c>
    </row>
    <row r="23584" spans="1:6" ht="12.75">
      <c r="A23584" s="2">
        <v>43875.845659722225</v>
      </c>
      <c r="B23584" t="str">
        <f>HYPERLINK("https://twitter.com/redywanjames","@redywanjames")</f>
        <v>@redywanjames</v>
      </c>
      <c r="C23584" t="s">
        <v>7390</v>
      </c>
      <c r="D23584">
        <v>90</v>
      </c>
      <c r="E23584">
        <v>0</v>
      </c>
      <c r="F23584">
        <v>743</v>
      </c>
    </row>
    <row r="23585" spans="1:6" ht="12.75">
      <c r="A23585" s="2">
        <v>43875.845578703702</v>
      </c>
      <c r="B23585" t="str">
        <f>HYPERLINK("https://twitter.com/anggarieko","@anggarieko")</f>
        <v>@anggarieko</v>
      </c>
      <c r="C23585" t="s">
        <v>5168</v>
      </c>
      <c r="D23585">
        <v>990</v>
      </c>
      <c r="E23585">
        <v>0</v>
      </c>
      <c r="F23585">
        <v>149</v>
      </c>
    </row>
    <row r="23586" spans="1:6" ht="12.75">
      <c r="A23586" s="2">
        <v>43875.845532407402</v>
      </c>
      <c r="B23586" t="str">
        <f>HYPERLINK("https://twitter.com/merdekadotcom","@merdekadotcom")</f>
        <v>@merdekadotcom</v>
      </c>
      <c r="C23586" t="s">
        <v>11007</v>
      </c>
      <c r="D23586">
        <v>0</v>
      </c>
      <c r="E23586">
        <v>0</v>
      </c>
      <c r="F23586">
        <v>230412</v>
      </c>
    </row>
    <row r="23587" spans="1:6" ht="12.75">
      <c r="A23587" s="2">
        <v>43875.845509259263</v>
      </c>
      <c r="B23587" t="str">
        <f>HYPERLINK("https://twitter.com/javxadd","@javxadd")</f>
        <v>@javxadd</v>
      </c>
      <c r="C23587" t="s">
        <v>2444</v>
      </c>
      <c r="D23587">
        <v>2546</v>
      </c>
      <c r="E23587">
        <v>0</v>
      </c>
      <c r="F23587">
        <v>223</v>
      </c>
    </row>
    <row r="23588" spans="1:6" ht="12.75">
      <c r="A23588" s="2">
        <v>43875.845486111109</v>
      </c>
      <c r="B23588" t="str">
        <f>HYPERLINK("https://twitter.com/CosmasBayu","@CosmasBayu")</f>
        <v>@CosmasBayu</v>
      </c>
      <c r="C23588" t="s">
        <v>5168</v>
      </c>
      <c r="D23588">
        <v>990</v>
      </c>
      <c r="E23588">
        <v>0</v>
      </c>
      <c r="F23588">
        <v>386</v>
      </c>
    </row>
    <row r="23589" spans="1:6" ht="12.75">
      <c r="A23589" s="2">
        <v>43875.84538194444</v>
      </c>
      <c r="B23589" t="str">
        <f>HYPERLINK("https://twitter.com/Hong_1211","@Hong_1211")</f>
        <v>@Hong_1211</v>
      </c>
      <c r="C23589" t="s">
        <v>11008</v>
      </c>
      <c r="D23589">
        <v>0</v>
      </c>
      <c r="E23589">
        <v>0</v>
      </c>
      <c r="F23589">
        <v>60</v>
      </c>
    </row>
    <row r="23590" spans="1:6" ht="12.75">
      <c r="A23590" s="2">
        <v>43875.84538194444</v>
      </c>
      <c r="B23590" t="str">
        <f>HYPERLINK("https://twitter.com/ComBualbual","@ComBualbual")</f>
        <v>@ComBualbual</v>
      </c>
      <c r="C23590" t="s">
        <v>11009</v>
      </c>
      <c r="D23590">
        <v>0</v>
      </c>
      <c r="E23590">
        <v>0</v>
      </c>
      <c r="F23590">
        <v>72</v>
      </c>
    </row>
    <row r="23591" spans="1:6" ht="12.75">
      <c r="A23591" s="2">
        <v>43875.84538194444</v>
      </c>
      <c r="B23591" t="str">
        <f>HYPERLINK("https://twitter.com/kabarpol","@kabarpol")</f>
        <v>@kabarpol</v>
      </c>
      <c r="C23591" t="s">
        <v>10986</v>
      </c>
      <c r="D23591">
        <v>0</v>
      </c>
      <c r="E23591">
        <v>0</v>
      </c>
      <c r="F23591">
        <v>51</v>
      </c>
    </row>
    <row r="23592" spans="1:6" ht="12.75">
      <c r="A23592" s="2">
        <v>43875.845370370371</v>
      </c>
      <c r="B23592" t="str">
        <f>HYPERLINK("https://twitter.com/kittycatsu","@kittycatsu")</f>
        <v>@kittycatsu</v>
      </c>
      <c r="C23592" t="s">
        <v>9123</v>
      </c>
      <c r="D23592">
        <v>284</v>
      </c>
      <c r="E23592">
        <v>0</v>
      </c>
      <c r="F23592">
        <v>83</v>
      </c>
    </row>
    <row r="23593" spans="1:6" ht="12.75">
      <c r="A23593" s="2">
        <v>43875.845324074078</v>
      </c>
      <c r="B23593" t="str">
        <f>HYPERLINK("https://twitter.com/kabarpolitik","@kabarpolitik")</f>
        <v>@kabarpolitik</v>
      </c>
      <c r="C23593" t="s">
        <v>10986</v>
      </c>
      <c r="D23593">
        <v>0</v>
      </c>
      <c r="E23593">
        <v>1</v>
      </c>
      <c r="F23593">
        <v>16767</v>
      </c>
    </row>
    <row r="23594" spans="1:6" ht="12.75">
      <c r="A23594" s="2">
        <v>43875.845219907409</v>
      </c>
      <c r="B23594" t="str">
        <f>HYPERLINK("https://twitter.com/DDRezhaa","@DDRezhaa")</f>
        <v>@DDRezhaa</v>
      </c>
      <c r="C23594" t="s">
        <v>9746</v>
      </c>
      <c r="D23594">
        <v>349</v>
      </c>
      <c r="E23594">
        <v>0</v>
      </c>
      <c r="F23594">
        <v>25829</v>
      </c>
    </row>
    <row r="23595" spans="1:6" ht="12.75">
      <c r="A23595" s="2">
        <v>43875.845208333332</v>
      </c>
      <c r="B23595" t="str">
        <f>HYPERLINK("https://twitter.com/Riswan6945299","@Riswan6945299")</f>
        <v>@Riswan6945299</v>
      </c>
      <c r="C23595" t="s">
        <v>10083</v>
      </c>
      <c r="D23595">
        <v>27</v>
      </c>
      <c r="E23595">
        <v>0</v>
      </c>
      <c r="F23595">
        <v>147</v>
      </c>
    </row>
    <row r="23596" spans="1:6" ht="12.75">
      <c r="A23596" s="2">
        <v>43875.845150462963</v>
      </c>
      <c r="B23596" t="str">
        <f>HYPERLINK("https://twitter.com/RONALD_the_DUCK","@RONALD_the_DUCK")</f>
        <v>@RONALD_the_DUCK</v>
      </c>
      <c r="C23596" t="s">
        <v>8233</v>
      </c>
      <c r="D23596">
        <v>506</v>
      </c>
      <c r="E23596">
        <v>0</v>
      </c>
      <c r="F23596">
        <v>21</v>
      </c>
    </row>
    <row r="23597" spans="1:6" ht="12.75">
      <c r="A23597" s="2">
        <v>43875.845138888893</v>
      </c>
      <c r="B23597" t="str">
        <f>HYPERLINK("https://twitter.com/kittycatsu","@kittycatsu")</f>
        <v>@kittycatsu</v>
      </c>
      <c r="C23597" t="s">
        <v>2444</v>
      </c>
      <c r="D23597">
        <v>2546</v>
      </c>
      <c r="E23597">
        <v>0</v>
      </c>
      <c r="F23597">
        <v>83</v>
      </c>
    </row>
    <row r="23598" spans="1:6" ht="12.75">
      <c r="A23598" s="2">
        <v>43875.845138888893</v>
      </c>
      <c r="B23598" t="str">
        <f>HYPERLINK("https://twitter.com/ephraym8","@ephraym8")</f>
        <v>@ephraym8</v>
      </c>
      <c r="C23598" t="s">
        <v>9599</v>
      </c>
      <c r="D23598">
        <v>12</v>
      </c>
      <c r="E23598">
        <v>0</v>
      </c>
      <c r="F23598">
        <v>1115</v>
      </c>
    </row>
    <row r="23599" spans="1:6" ht="12.75">
      <c r="A23599" s="2">
        <v>43875.84510416667</v>
      </c>
      <c r="B23599" t="str">
        <f>HYPERLINK("https://twitter.com/Adell1ne","@Adell1ne")</f>
        <v>@Adell1ne</v>
      </c>
      <c r="C23599" t="s">
        <v>9198</v>
      </c>
      <c r="D23599">
        <v>51</v>
      </c>
      <c r="E23599">
        <v>0</v>
      </c>
      <c r="F23599">
        <v>3293</v>
      </c>
    </row>
    <row r="23600" spans="1:6" ht="12.75">
      <c r="A23600" s="2">
        <v>43875.845023148147</v>
      </c>
      <c r="B23600" t="str">
        <f>HYPERLINK("https://twitter.com/coffeecherry_","@coffeecherry_")</f>
        <v>@coffeecherry_</v>
      </c>
      <c r="C23600" t="s">
        <v>2444</v>
      </c>
      <c r="D23600">
        <v>2546</v>
      </c>
      <c r="E23600">
        <v>0</v>
      </c>
      <c r="F23600">
        <v>17</v>
      </c>
    </row>
    <row r="23601" spans="1:6" ht="12.75">
      <c r="A23601" s="2">
        <v>43875.844953703709</v>
      </c>
      <c r="B23601" t="str">
        <f>HYPERLINK("https://twitter.com/babangmu","@babangmu")</f>
        <v>@babangmu</v>
      </c>
      <c r="C23601" t="s">
        <v>11010</v>
      </c>
      <c r="D23601">
        <v>0</v>
      </c>
      <c r="E23601">
        <v>0</v>
      </c>
      <c r="F23601">
        <v>61</v>
      </c>
    </row>
    <row r="23602" spans="1:6" ht="12.75">
      <c r="A23602" s="2">
        <v>43875.844930555555</v>
      </c>
      <c r="B23602" t="str">
        <f>HYPERLINK("https://twitter.com/niwablezinky","@niwablezinky")</f>
        <v>@niwablezinky</v>
      </c>
      <c r="C23602" t="s">
        <v>2963</v>
      </c>
      <c r="D23602">
        <v>1097</v>
      </c>
      <c r="E23602">
        <v>0</v>
      </c>
      <c r="F23602">
        <v>994</v>
      </c>
    </row>
    <row r="23603" spans="1:6" ht="12.75">
      <c r="A23603" s="2">
        <v>43875.844884259262</v>
      </c>
      <c r="B23603" t="str">
        <f>HYPERLINK("https://twitter.com/najwa2_nashwan1","@najwa2_nashwan1")</f>
        <v>@najwa2_nashwan1</v>
      </c>
      <c r="C23603" t="s">
        <v>7478</v>
      </c>
      <c r="D23603">
        <v>385</v>
      </c>
      <c r="E23603">
        <v>0</v>
      </c>
      <c r="F23603">
        <v>506</v>
      </c>
    </row>
    <row r="23604" spans="1:6" ht="12.75">
      <c r="A23604" s="2">
        <v>43875.844826388886</v>
      </c>
      <c r="B23604" t="str">
        <f>HYPERLINK("https://twitter.com/hellloowwwwww","@hellloowwwwww")</f>
        <v>@hellloowwwwww</v>
      </c>
      <c r="C23604" t="s">
        <v>2137</v>
      </c>
      <c r="D23604">
        <v>199</v>
      </c>
      <c r="E23604">
        <v>0</v>
      </c>
      <c r="F23604">
        <v>23</v>
      </c>
    </row>
    <row r="23605" spans="1:6" ht="12.75">
      <c r="A23605" s="2">
        <v>43875.844780092593</v>
      </c>
      <c r="B23605" t="str">
        <f>HYPERLINK("https://twitter.com/panggilakuale","@panggilakuale")</f>
        <v>@panggilakuale</v>
      </c>
      <c r="C23605" t="s">
        <v>2444</v>
      </c>
      <c r="D23605">
        <v>2546</v>
      </c>
      <c r="E23605">
        <v>0</v>
      </c>
      <c r="F23605">
        <v>161</v>
      </c>
    </row>
    <row r="23606" spans="1:6" ht="12.75">
      <c r="A23606" s="2">
        <v>43875.84474537037</v>
      </c>
      <c r="B23606" t="str">
        <f>HYPERLINK("https://twitter.com/interistaahmed","@interistaahmed")</f>
        <v>@interistaahmed</v>
      </c>
      <c r="C23606" t="s">
        <v>9082</v>
      </c>
      <c r="D23606">
        <v>60</v>
      </c>
      <c r="E23606">
        <v>0</v>
      </c>
      <c r="F23606">
        <v>96</v>
      </c>
    </row>
    <row r="23607" spans="1:6" ht="12.75">
      <c r="A23607" s="2">
        <v>43875.844456018516</v>
      </c>
      <c r="B23607" t="str">
        <f>HYPERLINK("https://twitter.com/pendividia","@pendividia")</f>
        <v>@pendividia</v>
      </c>
      <c r="C23607" t="s">
        <v>2963</v>
      </c>
      <c r="D23607">
        <v>1097</v>
      </c>
      <c r="E23607">
        <v>0</v>
      </c>
      <c r="F23607">
        <v>563</v>
      </c>
    </row>
    <row r="23608" spans="1:6" ht="12.75">
      <c r="A23608" s="2">
        <v>43875.844340277778</v>
      </c>
      <c r="B23608" t="str">
        <f>HYPERLINK("https://twitter.com/OpsiMetroTV","@OpsiMetroTV")</f>
        <v>@OpsiMetroTV</v>
      </c>
      <c r="C23608" t="s">
        <v>11011</v>
      </c>
      <c r="D23608">
        <v>3</v>
      </c>
      <c r="E23608">
        <v>6</v>
      </c>
      <c r="F23608">
        <v>15450</v>
      </c>
    </row>
    <row r="23609" spans="1:6" ht="12.75">
      <c r="A23609" s="2">
        <v>43875.844305555554</v>
      </c>
      <c r="B23609" t="str">
        <f>HYPERLINK("https://twitter.com/coffeecherry_","@coffeecherry_")</f>
        <v>@coffeecherry_</v>
      </c>
      <c r="C23609" t="s">
        <v>5168</v>
      </c>
      <c r="D23609">
        <v>990</v>
      </c>
      <c r="E23609">
        <v>0</v>
      </c>
      <c r="F23609">
        <v>17</v>
      </c>
    </row>
    <row r="23610" spans="1:6" ht="12.75">
      <c r="A23610" s="2">
        <v>43875.844201388885</v>
      </c>
      <c r="B23610" t="str">
        <f>HYPERLINK("https://twitter.com/dienafahma","@dienafahma")</f>
        <v>@dienafahma</v>
      </c>
      <c r="C23610" t="s">
        <v>3970</v>
      </c>
      <c r="D23610">
        <v>557</v>
      </c>
      <c r="E23610">
        <v>0</v>
      </c>
      <c r="F23610">
        <v>385</v>
      </c>
    </row>
    <row r="23611" spans="1:6" ht="12.75">
      <c r="A23611" s="2">
        <v>43875.8441087963</v>
      </c>
      <c r="B23611" t="str">
        <f>HYPERLINK("https://twitter.com/nyamjoonamu","@nyamjoonamu")</f>
        <v>@nyamjoonamu</v>
      </c>
      <c r="C23611" t="s">
        <v>2444</v>
      </c>
      <c r="D23611">
        <v>2546</v>
      </c>
      <c r="E23611">
        <v>0</v>
      </c>
      <c r="F23611">
        <v>382</v>
      </c>
    </row>
    <row r="23612" spans="1:6" ht="12.75">
      <c r="A23612" s="2">
        <v>43875.8440162037</v>
      </c>
      <c r="B23612" t="str">
        <f>HYPERLINK("https://twitter.com/Franto_Sihite","@Franto_Sihite")</f>
        <v>@Franto_Sihite</v>
      </c>
      <c r="C23612" t="s">
        <v>11012</v>
      </c>
      <c r="D23612">
        <v>0</v>
      </c>
      <c r="E23612">
        <v>0</v>
      </c>
      <c r="F23612">
        <v>122</v>
      </c>
    </row>
    <row r="23613" spans="1:6" ht="12.75">
      <c r="A23613" s="2">
        <v>43875.843912037039</v>
      </c>
      <c r="B23613" t="str">
        <f>HYPERLINK("https://twitter.com/schkyu","@schkyu")</f>
        <v>@schkyu</v>
      </c>
      <c r="C23613" t="s">
        <v>2444</v>
      </c>
      <c r="D23613">
        <v>2546</v>
      </c>
      <c r="E23613">
        <v>0</v>
      </c>
      <c r="F23613">
        <v>706</v>
      </c>
    </row>
    <row r="23614" spans="1:6" ht="12.75">
      <c r="A23614" s="2">
        <v>43875.84376157407</v>
      </c>
      <c r="B23614" t="str">
        <f>HYPERLINK("https://twitter.com/nafisss_","@nafisss_")</f>
        <v>@nafisss_</v>
      </c>
      <c r="C23614" t="s">
        <v>2963</v>
      </c>
      <c r="D23614">
        <v>1097</v>
      </c>
      <c r="E23614">
        <v>0</v>
      </c>
      <c r="F23614">
        <v>91</v>
      </c>
    </row>
    <row r="23615" spans="1:6" ht="12.75">
      <c r="A23615" s="2">
        <v>43875.843703703707</v>
      </c>
      <c r="B23615" t="str">
        <f>HYPERLINK("https://twitter.com/jejeeeq","@jejeeeq")</f>
        <v>@jejeeeq</v>
      </c>
      <c r="C23615" t="s">
        <v>2444</v>
      </c>
      <c r="D23615">
        <v>2546</v>
      </c>
      <c r="E23615">
        <v>0</v>
      </c>
      <c r="F23615">
        <v>421</v>
      </c>
    </row>
    <row r="23616" spans="1:6" ht="12.75">
      <c r="A23616" s="2">
        <v>43875.843587962961</v>
      </c>
      <c r="B23616" t="str">
        <f>HYPERLINK("https://twitter.com/shookydayo","@shookydayo")</f>
        <v>@shookydayo</v>
      </c>
      <c r="C23616" t="s">
        <v>2444</v>
      </c>
      <c r="D23616">
        <v>2546</v>
      </c>
      <c r="E23616">
        <v>0</v>
      </c>
      <c r="F23616">
        <v>946</v>
      </c>
    </row>
    <row r="23617" spans="1:6" ht="12.75">
      <c r="A23617" s="2">
        <v>43875.843449074076</v>
      </c>
      <c r="B23617" t="str">
        <f>HYPERLINK("https://twitter.com/respati18311584","@respati18311584")</f>
        <v>@respati18311584</v>
      </c>
      <c r="C23617" t="s">
        <v>9198</v>
      </c>
      <c r="D23617">
        <v>51</v>
      </c>
      <c r="E23617">
        <v>0</v>
      </c>
      <c r="F23617">
        <v>224</v>
      </c>
    </row>
    <row r="23618" spans="1:6" ht="12.75">
      <c r="A23618" s="2">
        <v>43875.8433912037</v>
      </c>
      <c r="B23618" t="str">
        <f>HYPERLINK("https://twitter.com/StalistS","@StalistS")</f>
        <v>@StalistS</v>
      </c>
      <c r="C23618" t="s">
        <v>11013</v>
      </c>
      <c r="D23618">
        <v>3</v>
      </c>
      <c r="E23618">
        <v>0</v>
      </c>
      <c r="F23618">
        <v>1805</v>
      </c>
    </row>
    <row r="23619" spans="1:6" ht="12.75">
      <c r="A23619" s="2">
        <v>43875.84337962963</v>
      </c>
      <c r="B23619" t="str">
        <f>HYPERLINK("https://twitter.com/Serabie","@Serabie")</f>
        <v>@Serabie</v>
      </c>
      <c r="C23619" t="s">
        <v>5761</v>
      </c>
      <c r="D23619">
        <v>78</v>
      </c>
      <c r="E23619">
        <v>0</v>
      </c>
      <c r="F23619">
        <v>1704</v>
      </c>
    </row>
    <row r="23620" spans="1:6" ht="12.75">
      <c r="A23620" s="2">
        <v>43875.843298611115</v>
      </c>
      <c r="B23620" t="str">
        <f>HYPERLINK("https://twitter.com/herlambang_tan","@herlambang_tan")</f>
        <v>@herlambang_tan</v>
      </c>
      <c r="C23620" t="s">
        <v>9599</v>
      </c>
      <c r="D23620">
        <v>12</v>
      </c>
      <c r="E23620">
        <v>0</v>
      </c>
      <c r="F23620">
        <v>2344</v>
      </c>
    </row>
    <row r="23621" spans="1:6" ht="12.75">
      <c r="A23621" s="2">
        <v>43875.843263888892</v>
      </c>
      <c r="B23621" t="str">
        <f>HYPERLINK("https://twitter.com/diffaarras","@diffaarras")</f>
        <v>@diffaarras</v>
      </c>
      <c r="C23621" t="s">
        <v>2444</v>
      </c>
      <c r="D23621">
        <v>2547</v>
      </c>
      <c r="E23621">
        <v>0</v>
      </c>
      <c r="F23621">
        <v>540</v>
      </c>
    </row>
    <row r="23622" spans="1:6" ht="12.75">
      <c r="A23622" s="2">
        <v>43875.843252314815</v>
      </c>
      <c r="B23622" t="str">
        <f>HYPERLINK("https://twitter.com/muttle9","@muttle9")</f>
        <v>@muttle9</v>
      </c>
      <c r="C23622" t="s">
        <v>11014</v>
      </c>
      <c r="D23622">
        <v>0</v>
      </c>
      <c r="E23622">
        <v>0</v>
      </c>
      <c r="F23622">
        <v>223</v>
      </c>
    </row>
    <row r="23623" spans="1:6" ht="12.75">
      <c r="A23623" s="2">
        <v>43875.843171296292</v>
      </c>
      <c r="B23623" t="str">
        <f>HYPERLINK("https://twitter.com/felixaaf1","@felixaaf1")</f>
        <v>@felixaaf1</v>
      </c>
      <c r="C23623" t="s">
        <v>2963</v>
      </c>
      <c r="D23623">
        <v>1097</v>
      </c>
      <c r="E23623">
        <v>0</v>
      </c>
      <c r="F23623">
        <v>5943</v>
      </c>
    </row>
    <row r="23624" spans="1:6" ht="12.75">
      <c r="A23624" s="2">
        <v>43875.84306712963</v>
      </c>
      <c r="B23624" t="str">
        <f>HYPERLINK("https://twitter.com/lawjusticeco","@lawjusticeco")</f>
        <v>@lawjusticeco</v>
      </c>
      <c r="C23624" t="s">
        <v>10569</v>
      </c>
      <c r="D23624">
        <v>0</v>
      </c>
      <c r="E23624">
        <v>0</v>
      </c>
      <c r="F23624">
        <v>4922</v>
      </c>
    </row>
    <row r="23625" spans="1:6" ht="12.75">
      <c r="A23625" s="2">
        <v>43875.84302083333</v>
      </c>
      <c r="B23625" t="str">
        <f>HYPERLINK("https://twitter.com/loadeject","@loadeject")</f>
        <v>@loadeject</v>
      </c>
      <c r="C23625" t="s">
        <v>11015</v>
      </c>
      <c r="D23625">
        <v>0</v>
      </c>
      <c r="E23625">
        <v>1</v>
      </c>
      <c r="F23625">
        <v>14</v>
      </c>
    </row>
    <row r="23626" spans="1:6" ht="12.75">
      <c r="A23626" s="2">
        <v>43875.843009259261</v>
      </c>
      <c r="B23626" t="str">
        <f>HYPERLINK("https://twitter.com/dheadhey17","@dheadhey17")</f>
        <v>@dheadhey17</v>
      </c>
      <c r="C23626" t="s">
        <v>2444</v>
      </c>
      <c r="D23626">
        <v>2547</v>
      </c>
      <c r="E23626">
        <v>0</v>
      </c>
      <c r="F23626">
        <v>819</v>
      </c>
    </row>
    <row r="23627" spans="1:6" ht="12.75">
      <c r="A23627" s="2">
        <v>43875.843009259261</v>
      </c>
      <c r="B23627" t="str">
        <f>HYPERLINK("https://twitter.com/AlfaOmega0110","@AlfaOmega0110")</f>
        <v>@AlfaOmega0110</v>
      </c>
      <c r="C23627" t="s">
        <v>11016</v>
      </c>
      <c r="D23627">
        <v>0</v>
      </c>
      <c r="E23627">
        <v>1</v>
      </c>
      <c r="F23627">
        <v>967</v>
      </c>
    </row>
    <row r="23628" spans="1:6" ht="12.75">
      <c r="A23628" s="2">
        <v>43875.843009259261</v>
      </c>
      <c r="B23628" t="str">
        <f>HYPERLINK("https://twitter.com/AWokanubun","@AWokanubun")</f>
        <v>@AWokanubun</v>
      </c>
      <c r="C23628" t="s">
        <v>2963</v>
      </c>
      <c r="D23628">
        <v>1097</v>
      </c>
      <c r="E23628">
        <v>0</v>
      </c>
      <c r="F23628">
        <v>246</v>
      </c>
    </row>
    <row r="23629" spans="1:6" ht="12.75">
      <c r="A23629" s="2">
        <v>43875.842997685184</v>
      </c>
      <c r="B23629" t="str">
        <f>HYPERLINK("https://twitter.com/DJlSAMSOE","@DJlSAMSOE")</f>
        <v>@DJlSAMSOE</v>
      </c>
      <c r="C23629" t="s">
        <v>2444</v>
      </c>
      <c r="D23629">
        <v>2547</v>
      </c>
      <c r="E23629">
        <v>0</v>
      </c>
      <c r="F23629">
        <v>5</v>
      </c>
    </row>
    <row r="23630" spans="1:6" ht="12.75">
      <c r="A23630" s="2">
        <v>43875.842986111107</v>
      </c>
      <c r="B23630" t="str">
        <f>HYPERLINK("https://twitter.com/lho_koq","@lho_koq")</f>
        <v>@lho_koq</v>
      </c>
      <c r="C23630" t="s">
        <v>11017</v>
      </c>
      <c r="D23630">
        <v>0</v>
      </c>
      <c r="E23630">
        <v>1</v>
      </c>
      <c r="F23630">
        <v>779</v>
      </c>
    </row>
    <row r="23631" spans="1:6" ht="12.75">
      <c r="A23631" s="2">
        <v>43875.842974537038</v>
      </c>
      <c r="B23631" t="str">
        <f>HYPERLINK("https://twitter.com/inshecur","@inshecur")</f>
        <v>@inshecur</v>
      </c>
      <c r="C23631" t="s">
        <v>5168</v>
      </c>
      <c r="D23631">
        <v>990</v>
      </c>
      <c r="E23631">
        <v>0</v>
      </c>
      <c r="F23631">
        <v>851</v>
      </c>
    </row>
    <row r="23632" spans="1:6" ht="12.75">
      <c r="A23632" s="2">
        <v>43875.842928240745</v>
      </c>
      <c r="B23632" t="str">
        <f>HYPERLINK("https://twitter.com/royhanalkathiry","@royhanalkathiry")</f>
        <v>@royhanalkathiry</v>
      </c>
      <c r="C23632" t="s">
        <v>5168</v>
      </c>
      <c r="D23632">
        <v>990</v>
      </c>
      <c r="E23632">
        <v>0</v>
      </c>
      <c r="F23632">
        <v>277</v>
      </c>
    </row>
    <row r="23633" spans="1:6" ht="12.75">
      <c r="A23633" s="2">
        <v>43875.842847222222</v>
      </c>
      <c r="B23633" t="str">
        <f>HYPERLINK("https://twitter.com/usmaidibinaffan","@usmaidibinaffan")</f>
        <v>@usmaidibinaffan</v>
      </c>
      <c r="C23633" t="s">
        <v>10407</v>
      </c>
      <c r="D23633">
        <v>54</v>
      </c>
      <c r="E23633">
        <v>0</v>
      </c>
      <c r="F23633">
        <v>47</v>
      </c>
    </row>
    <row r="23634" spans="1:6" ht="12.75">
      <c r="A23634" s="2">
        <v>43875.842719907407</v>
      </c>
      <c r="B23634" t="str">
        <f t="shared" ref="B23634:B23635" si="339">HYPERLINK("https://twitter.com/SumaHan65560614","@SumaHan65560614")</f>
        <v>@SumaHan65560614</v>
      </c>
      <c r="C23634" t="s">
        <v>5761</v>
      </c>
      <c r="D23634">
        <v>78</v>
      </c>
      <c r="E23634">
        <v>0</v>
      </c>
      <c r="F23634">
        <v>48</v>
      </c>
    </row>
    <row r="23635" spans="1:6" ht="12.75">
      <c r="A23635" s="2">
        <v>43875.842662037037</v>
      </c>
      <c r="B23635" t="str">
        <f t="shared" si="339"/>
        <v>@SumaHan65560614</v>
      </c>
      <c r="C23635" t="s">
        <v>11018</v>
      </c>
      <c r="D23635">
        <v>1</v>
      </c>
      <c r="E23635">
        <v>0</v>
      </c>
      <c r="F23635">
        <v>48</v>
      </c>
    </row>
    <row r="23636" spans="1:6" ht="12.75">
      <c r="A23636" s="2">
        <v>43875.842523148152</v>
      </c>
      <c r="B23636" t="str">
        <f>HYPERLINK("https://twitter.com/Aliyarahmanitya","@Aliyarahmanitya")</f>
        <v>@Aliyarahmanitya</v>
      </c>
      <c r="C23636" t="s">
        <v>11019</v>
      </c>
      <c r="D23636">
        <v>27</v>
      </c>
      <c r="E23636">
        <v>0</v>
      </c>
      <c r="F23636">
        <v>169</v>
      </c>
    </row>
    <row r="23637" spans="1:6" ht="12.75">
      <c r="A23637" s="2">
        <v>43875.842511574076</v>
      </c>
      <c r="B23637" t="str">
        <f>HYPERLINK("https://twitter.com/IUmnda","@IUmnda")</f>
        <v>@IUmnda</v>
      </c>
      <c r="C23637" t="s">
        <v>5168</v>
      </c>
      <c r="D23637">
        <v>990</v>
      </c>
      <c r="E23637">
        <v>0</v>
      </c>
      <c r="F23637">
        <v>468</v>
      </c>
    </row>
    <row r="23638" spans="1:6" ht="12.75">
      <c r="A23638" s="2">
        <v>43875.842499999999</v>
      </c>
      <c r="B23638" t="str">
        <f>HYPERLINK("https://twitter.com/Jaquine666","@Jaquine666")</f>
        <v>@Jaquine666</v>
      </c>
      <c r="C23638" t="s">
        <v>11020</v>
      </c>
      <c r="D23638">
        <v>0</v>
      </c>
      <c r="E23638">
        <v>0</v>
      </c>
      <c r="F23638">
        <v>73</v>
      </c>
    </row>
    <row r="23639" spans="1:6" ht="12.75">
      <c r="A23639" s="2">
        <v>43875.842488425929</v>
      </c>
      <c r="B23639" t="str">
        <f>HYPERLINK("https://twitter.com/solitairedelune","@solitairedelune")</f>
        <v>@solitairedelune</v>
      </c>
      <c r="C23639" t="s">
        <v>2444</v>
      </c>
      <c r="D23639">
        <v>2547</v>
      </c>
      <c r="E23639">
        <v>0</v>
      </c>
      <c r="F23639">
        <v>44</v>
      </c>
    </row>
    <row r="23640" spans="1:6" ht="12.75">
      <c r="A23640" s="2">
        <v>43875.842430555553</v>
      </c>
      <c r="B23640" t="str">
        <f>HYPERLINK("https://twitter.com/sondfatoni88","@sondfatoni88")</f>
        <v>@sondfatoni88</v>
      </c>
      <c r="C23640" t="s">
        <v>11021</v>
      </c>
      <c r="D23640">
        <v>4</v>
      </c>
      <c r="E23640">
        <v>0</v>
      </c>
      <c r="F23640">
        <v>57</v>
      </c>
    </row>
    <row r="23641" spans="1:6" ht="12.75">
      <c r="A23641" s="2">
        <v>43875.842430555553</v>
      </c>
      <c r="B23641" t="str">
        <f>HYPERLINK("https://twitter.com/pemudamijah12","@pemudamijah12")</f>
        <v>@pemudamijah12</v>
      </c>
      <c r="C23641" t="s">
        <v>2444</v>
      </c>
      <c r="D23641">
        <v>2547</v>
      </c>
      <c r="E23641">
        <v>0</v>
      </c>
      <c r="F23641">
        <v>518</v>
      </c>
    </row>
    <row r="23642" spans="1:6" ht="12.75">
      <c r="A23642" s="2">
        <v>43875.842349537037</v>
      </c>
      <c r="B23642" t="str">
        <f>HYPERLINK("https://twitter.com/redywanjames","@redywanjames")</f>
        <v>@redywanjames</v>
      </c>
      <c r="C23642" t="s">
        <v>11022</v>
      </c>
      <c r="D23642">
        <v>3</v>
      </c>
      <c r="E23642">
        <v>0</v>
      </c>
      <c r="F23642">
        <v>743</v>
      </c>
    </row>
    <row r="23643" spans="1:6" ht="12.75">
      <c r="A23643" s="2">
        <v>43875.842326388884</v>
      </c>
      <c r="B23643" t="str">
        <f>HYPERLINK("https://twitter.com/imamhs","@imamhs")</f>
        <v>@imamhs</v>
      </c>
      <c r="C23643" t="s">
        <v>11023</v>
      </c>
      <c r="D23643">
        <v>0</v>
      </c>
      <c r="E23643">
        <v>0</v>
      </c>
      <c r="F23643">
        <v>65</v>
      </c>
    </row>
    <row r="23644" spans="1:6" ht="12.75">
      <c r="A23644" s="2">
        <v>43875.842199074075</v>
      </c>
      <c r="B23644" t="str">
        <f>HYPERLINK("https://twitter.com/redywanjames","@redywanjames")</f>
        <v>@redywanjames</v>
      </c>
      <c r="C23644" t="s">
        <v>11024</v>
      </c>
      <c r="D23644">
        <v>14</v>
      </c>
      <c r="E23644">
        <v>0</v>
      </c>
      <c r="F23644">
        <v>743</v>
      </c>
    </row>
    <row r="23645" spans="1:6" ht="12.75">
      <c r="A23645" s="2">
        <v>43875.842164351852</v>
      </c>
      <c r="B23645" t="str">
        <f>HYPERLINK("https://twitter.com/AAR63028211","@AAR63028211")</f>
        <v>@AAR63028211</v>
      </c>
      <c r="C23645" t="s">
        <v>11025</v>
      </c>
      <c r="D23645">
        <v>0</v>
      </c>
      <c r="E23645">
        <v>0</v>
      </c>
      <c r="F23645">
        <v>195</v>
      </c>
    </row>
    <row r="23646" spans="1:6" ht="12.75">
      <c r="A23646" s="2">
        <v>43875.842060185183</v>
      </c>
      <c r="B23646" t="str">
        <f>HYPERLINK("https://twitter.com/kikiherday","@kikiherday")</f>
        <v>@kikiherday</v>
      </c>
      <c r="C23646" t="s">
        <v>2444</v>
      </c>
      <c r="D23646">
        <v>2547</v>
      </c>
      <c r="E23646">
        <v>0</v>
      </c>
      <c r="F23646">
        <v>1081</v>
      </c>
    </row>
    <row r="23647" spans="1:6" ht="12.75">
      <c r="A23647" s="2">
        <v>43875.841979166667</v>
      </c>
      <c r="B23647" t="str">
        <f>HYPERLINK("https://twitter.com/Patriccckk_","@Patriccckk_")</f>
        <v>@Patriccckk_</v>
      </c>
      <c r="C23647" t="s">
        <v>11026</v>
      </c>
      <c r="D23647">
        <v>0</v>
      </c>
      <c r="E23647">
        <v>0</v>
      </c>
      <c r="F23647">
        <v>178</v>
      </c>
    </row>
    <row r="23648" spans="1:6" ht="12.75">
      <c r="A23648" s="2">
        <v>43875.841967592598</v>
      </c>
      <c r="B23648" t="str">
        <f>HYPERLINK("https://twitter.com/Indopolitika","@Indopolitika")</f>
        <v>@Indopolitika</v>
      </c>
      <c r="C23648" t="s">
        <v>10986</v>
      </c>
      <c r="D23648">
        <v>0</v>
      </c>
      <c r="E23648">
        <v>0</v>
      </c>
      <c r="F23648">
        <v>10608</v>
      </c>
    </row>
    <row r="23649" spans="1:6" ht="12.75">
      <c r="A23649" s="2">
        <v>43875.841898148152</v>
      </c>
      <c r="B23649" t="str">
        <f>HYPERLINK("https://twitter.com/hirairyu","@hirairyu")</f>
        <v>@hirairyu</v>
      </c>
      <c r="C23649" t="s">
        <v>5168</v>
      </c>
      <c r="D23649">
        <v>990</v>
      </c>
      <c r="E23649">
        <v>0</v>
      </c>
      <c r="F23649">
        <v>265</v>
      </c>
    </row>
    <row r="23650" spans="1:6" ht="12.75">
      <c r="A23650" s="2">
        <v>43875.841863425929</v>
      </c>
      <c r="B23650" t="str">
        <f>HYPERLINK("https://twitter.com/Indopolitika","@Indopolitika")</f>
        <v>@Indopolitika</v>
      </c>
      <c r="C23650" t="s">
        <v>11027</v>
      </c>
      <c r="D23650">
        <v>0</v>
      </c>
      <c r="E23650">
        <v>0</v>
      </c>
      <c r="F23650">
        <v>10608</v>
      </c>
    </row>
    <row r="23651" spans="1:6" ht="12.75">
      <c r="A23651" s="2">
        <v>43875.84175925926</v>
      </c>
      <c r="B23651" t="str">
        <f>HYPERLINK("https://twitter.com/Rajisapotra","@Rajisapotra")</f>
        <v>@Rajisapotra</v>
      </c>
      <c r="C23651" t="s">
        <v>7478</v>
      </c>
      <c r="D23651">
        <v>385</v>
      </c>
      <c r="E23651">
        <v>0</v>
      </c>
      <c r="F23651">
        <v>505</v>
      </c>
    </row>
    <row r="23652" spans="1:6" ht="12.75">
      <c r="A23652" s="2">
        <v>43875.841724537036</v>
      </c>
      <c r="B23652" t="str">
        <f>HYPERLINK("https://twitter.com/Ichi_No_Kamae","@Ichi_No_Kamae")</f>
        <v>@Ichi_No_Kamae</v>
      </c>
      <c r="C23652" t="s">
        <v>9599</v>
      </c>
      <c r="D23652">
        <v>12</v>
      </c>
      <c r="E23652">
        <v>0</v>
      </c>
      <c r="F23652">
        <v>507</v>
      </c>
    </row>
    <row r="23653" spans="1:6" ht="12.75">
      <c r="A23653" s="2">
        <v>43875.841724537036</v>
      </c>
      <c r="B23653" t="str">
        <f>HYPERLINK("https://twitter.com/oneaperture","@oneaperture")</f>
        <v>@oneaperture</v>
      </c>
      <c r="C23653" t="s">
        <v>9599</v>
      </c>
      <c r="D23653">
        <v>12</v>
      </c>
      <c r="E23653">
        <v>0</v>
      </c>
      <c r="F23653">
        <v>1783</v>
      </c>
    </row>
    <row r="23654" spans="1:6" ht="12.75">
      <c r="A23654" s="2">
        <v>43875.841643518521</v>
      </c>
      <c r="B23654" t="str">
        <f>HYPERLINK("https://twitter.com/budiman_markus","@budiman_markus")</f>
        <v>@budiman_markus</v>
      </c>
      <c r="C23654" t="s">
        <v>11028</v>
      </c>
      <c r="D23654">
        <v>6</v>
      </c>
      <c r="E23654">
        <v>0</v>
      </c>
      <c r="F23654">
        <v>568</v>
      </c>
    </row>
    <row r="23655" spans="1:6" ht="12.75">
      <c r="A23655" s="2">
        <v>43875.841631944444</v>
      </c>
      <c r="B23655" t="str">
        <f>HYPERLINK("https://twitter.com/airlanggakusum4","@airlanggakusum4")</f>
        <v>@airlanggakusum4</v>
      </c>
      <c r="C23655" t="s">
        <v>9198</v>
      </c>
      <c r="D23655">
        <v>51</v>
      </c>
      <c r="E23655">
        <v>0</v>
      </c>
      <c r="F23655">
        <v>742</v>
      </c>
    </row>
    <row r="23656" spans="1:6" ht="12.75">
      <c r="A23656" s="2">
        <v>43875.841516203705</v>
      </c>
      <c r="B23656" t="str">
        <f>HYPERLINK("https://twitter.com/RanggaHardi1","@RanggaHardi1")</f>
        <v>@RanggaHardi1</v>
      </c>
      <c r="C23656" t="s">
        <v>5168</v>
      </c>
      <c r="D23656">
        <v>990</v>
      </c>
      <c r="E23656">
        <v>0</v>
      </c>
      <c r="F23656">
        <v>10</v>
      </c>
    </row>
    <row r="23657" spans="1:6" ht="12.75">
      <c r="A23657" s="2">
        <v>43875.841516203705</v>
      </c>
      <c r="B23657" t="str">
        <f>HYPERLINK("https://twitter.com/AntoniRaja","@AntoniRaja")</f>
        <v>@AntoniRaja</v>
      </c>
      <c r="C23657" t="s">
        <v>11029</v>
      </c>
      <c r="D23657">
        <v>1</v>
      </c>
      <c r="E23657">
        <v>0</v>
      </c>
      <c r="F23657">
        <v>81417</v>
      </c>
    </row>
    <row r="23658" spans="1:6" ht="12.75">
      <c r="A23658" s="2">
        <v>43875.841423611113</v>
      </c>
      <c r="B23658" t="str">
        <f>HYPERLINK("https://twitter.com/Thicc_ss","@Thicc_ss")</f>
        <v>@Thicc_ss</v>
      </c>
      <c r="C23658" t="s">
        <v>11030</v>
      </c>
      <c r="D23658">
        <v>1</v>
      </c>
      <c r="E23658">
        <v>0</v>
      </c>
      <c r="F23658">
        <v>99</v>
      </c>
    </row>
    <row r="23659" spans="1:6" ht="12.75">
      <c r="A23659" s="2">
        <v>43875.841377314813</v>
      </c>
      <c r="B23659" t="str">
        <f>HYPERLINK("https://twitter.com/republikaonline","@republikaonline")</f>
        <v>@republikaonline</v>
      </c>
      <c r="C23659" t="s">
        <v>11031</v>
      </c>
      <c r="D23659">
        <v>0</v>
      </c>
      <c r="E23659">
        <v>1</v>
      </c>
      <c r="F23659">
        <v>1210309</v>
      </c>
    </row>
    <row r="23660" spans="1:6" ht="12.75">
      <c r="A23660" s="2">
        <v>43875.841365740736</v>
      </c>
      <c r="B23660" t="str">
        <f>HYPERLINK("https://twitter.com/Julia_Zeed","@Julia_Zeed")</f>
        <v>@Julia_Zeed</v>
      </c>
      <c r="C23660" t="s">
        <v>9599</v>
      </c>
      <c r="D23660">
        <v>12</v>
      </c>
      <c r="E23660">
        <v>0</v>
      </c>
      <c r="F23660">
        <v>2594</v>
      </c>
    </row>
    <row r="23661" spans="1:6" ht="12.75">
      <c r="A23661" s="2">
        <v>43875.841354166667</v>
      </c>
      <c r="B23661" t="str">
        <f>HYPERLINK("https://twitter.com/sarahmthm","@sarahmthm")</f>
        <v>@sarahmthm</v>
      </c>
      <c r="C23661" t="s">
        <v>2444</v>
      </c>
      <c r="D23661">
        <v>2547</v>
      </c>
      <c r="E23661">
        <v>0</v>
      </c>
      <c r="F23661">
        <v>293</v>
      </c>
    </row>
    <row r="23662" spans="1:6" ht="12.75">
      <c r="A23662" s="2">
        <v>43875.841319444444</v>
      </c>
      <c r="B23662" t="str">
        <f>HYPERLINK("https://twitter.com/kmaladwiagstna","@kmaladwiagstna")</f>
        <v>@kmaladwiagstna</v>
      </c>
      <c r="C23662" t="s">
        <v>9666</v>
      </c>
      <c r="D23662">
        <v>17</v>
      </c>
      <c r="E23662">
        <v>0</v>
      </c>
      <c r="F23662">
        <v>516</v>
      </c>
    </row>
    <row r="23663" spans="1:6" ht="12.75">
      <c r="A23663" s="2">
        <v>43875.841134259259</v>
      </c>
      <c r="B23663" t="str">
        <f>HYPERLINK("https://twitter.com/Julia_Zeed","@Julia_Zeed")</f>
        <v>@Julia_Zeed</v>
      </c>
      <c r="C23663" t="s">
        <v>8944</v>
      </c>
      <c r="D23663">
        <v>2</v>
      </c>
      <c r="E23663">
        <v>0</v>
      </c>
      <c r="F23663">
        <v>2594</v>
      </c>
    </row>
    <row r="23664" spans="1:6" ht="12.75">
      <c r="A23664" s="2">
        <v>43875.841064814813</v>
      </c>
      <c r="B23664" t="str">
        <f>HYPERLINK("https://twitter.com/masayaharuhi","@masayaharuhi")</f>
        <v>@masayaharuhi</v>
      </c>
      <c r="C23664" t="s">
        <v>9198</v>
      </c>
      <c r="D23664">
        <v>51</v>
      </c>
      <c r="E23664">
        <v>0</v>
      </c>
      <c r="F23664">
        <v>994</v>
      </c>
    </row>
    <row r="23665" spans="1:6" ht="12.75">
      <c r="A23665" s="2">
        <v>43875.841041666667</v>
      </c>
      <c r="B23665" t="str">
        <f>HYPERLINK("https://twitter.com/updatedotid","@updatedotid")</f>
        <v>@updatedotid</v>
      </c>
      <c r="C23665" t="s">
        <v>11032</v>
      </c>
      <c r="D23665">
        <v>2</v>
      </c>
      <c r="E23665">
        <v>0</v>
      </c>
      <c r="F23665">
        <v>1617</v>
      </c>
    </row>
    <row r="23666" spans="1:6" ht="12.75">
      <c r="A23666" s="2">
        <v>43875.841041666667</v>
      </c>
      <c r="B23666" t="str">
        <f>HYPERLINK("https://twitter.com/liberalstud","@liberalstud")</f>
        <v>@liberalstud</v>
      </c>
      <c r="C23666" t="s">
        <v>11033</v>
      </c>
      <c r="D23666">
        <v>4</v>
      </c>
      <c r="E23666">
        <v>0</v>
      </c>
      <c r="F23666">
        <v>5809</v>
      </c>
    </row>
    <row r="23667" spans="1:6" ht="12.75">
      <c r="A23667" s="2">
        <v>43875.841006944444</v>
      </c>
      <c r="B23667" t="str">
        <f>HYPERLINK("https://twitter.com/Bulemasyadi1","@Bulemasyadi1")</f>
        <v>@Bulemasyadi1</v>
      </c>
      <c r="C23667" t="s">
        <v>11034</v>
      </c>
      <c r="D23667">
        <v>0</v>
      </c>
      <c r="E23667">
        <v>0</v>
      </c>
      <c r="F23667">
        <v>122</v>
      </c>
    </row>
    <row r="23668" spans="1:6" ht="12.75">
      <c r="A23668" s="2">
        <v>43875.840879629628</v>
      </c>
      <c r="B23668" t="str">
        <f>HYPERLINK("https://twitter.com/beeHamada1","@beeHamada1")</f>
        <v>@beeHamada1</v>
      </c>
      <c r="C23668" t="s">
        <v>9746</v>
      </c>
      <c r="D23668">
        <v>349</v>
      </c>
      <c r="E23668">
        <v>0</v>
      </c>
      <c r="F23668">
        <v>0</v>
      </c>
    </row>
    <row r="23669" spans="1:6" ht="12.75">
      <c r="A23669" s="2">
        <v>43875.840694444443</v>
      </c>
      <c r="B23669" t="str">
        <f>HYPERLINK("https://twitter.com/miyazora","@miyazora")</f>
        <v>@miyazora</v>
      </c>
      <c r="C23669" t="s">
        <v>2444</v>
      </c>
      <c r="D23669">
        <v>2547</v>
      </c>
      <c r="E23669">
        <v>0</v>
      </c>
      <c r="F23669">
        <v>144</v>
      </c>
    </row>
    <row r="23670" spans="1:6" ht="12.75">
      <c r="A23670" s="2">
        <v>43875.840532407412</v>
      </c>
      <c r="B23670" t="str">
        <f>HYPERLINK("https://twitter.com/NHLisaaa","@NHLisaaa")</f>
        <v>@NHLisaaa</v>
      </c>
      <c r="C23670" t="s">
        <v>10300</v>
      </c>
      <c r="D23670">
        <v>57</v>
      </c>
      <c r="E23670">
        <v>0</v>
      </c>
      <c r="F23670">
        <v>1221</v>
      </c>
    </row>
    <row r="23671" spans="1:6" ht="12.75">
      <c r="A23671" s="2">
        <v>43875.840451388889</v>
      </c>
      <c r="B23671" t="str">
        <f>HYPERLINK("https://twitter.com/fentyam_","@fentyam_")</f>
        <v>@fentyam_</v>
      </c>
      <c r="C23671" t="s">
        <v>2444</v>
      </c>
      <c r="D23671">
        <v>2547</v>
      </c>
      <c r="E23671">
        <v>0</v>
      </c>
      <c r="F23671">
        <v>532</v>
      </c>
    </row>
    <row r="23672" spans="1:6" ht="12.75">
      <c r="A23672" s="2">
        <v>43875.840451388889</v>
      </c>
      <c r="B23672" t="str">
        <f>HYPERLINK("https://twitter.com/WidiW_14","@WidiW_14")</f>
        <v>@WidiW_14</v>
      </c>
      <c r="C23672" t="s">
        <v>5168</v>
      </c>
      <c r="D23672">
        <v>990</v>
      </c>
      <c r="E23672">
        <v>0</v>
      </c>
      <c r="F23672">
        <v>618</v>
      </c>
    </row>
    <row r="23673" spans="1:6" ht="12.75">
      <c r="A23673" s="2">
        <v>43875.840358796297</v>
      </c>
      <c r="B23673" t="str">
        <f>HYPERLINK("https://twitter.com/aja_amiruddin","@aja_amiruddin")</f>
        <v>@aja_amiruddin</v>
      </c>
      <c r="C23673" t="s">
        <v>9198</v>
      </c>
      <c r="D23673">
        <v>51</v>
      </c>
      <c r="E23673">
        <v>0</v>
      </c>
      <c r="F23673">
        <v>7</v>
      </c>
    </row>
    <row r="23674" spans="1:6" ht="12.75">
      <c r="A23674" s="2">
        <v>43875.840324074074</v>
      </c>
      <c r="B23674" t="str">
        <f>HYPERLINK("https://twitter.com/Ddipram","@Ddipram")</f>
        <v>@Ddipram</v>
      </c>
      <c r="C23674" t="s">
        <v>9198</v>
      </c>
      <c r="D23674">
        <v>51</v>
      </c>
      <c r="E23674">
        <v>0</v>
      </c>
      <c r="F23674">
        <v>3097</v>
      </c>
    </row>
    <row r="23675" spans="1:6" ht="12.75">
      <c r="A23675" s="2">
        <v>43875.840324074074</v>
      </c>
      <c r="B23675" t="str">
        <f>HYPERLINK("https://twitter.com/SayHeiYu","@SayHeiYu")</f>
        <v>@SayHeiYu</v>
      </c>
      <c r="C23675" t="s">
        <v>708</v>
      </c>
      <c r="D23675">
        <v>0</v>
      </c>
      <c r="E23675">
        <v>0</v>
      </c>
      <c r="F23675">
        <v>120174</v>
      </c>
    </row>
    <row r="23676" spans="1:6" ht="12.75">
      <c r="A23676" s="2">
        <v>43875.840312500004</v>
      </c>
      <c r="B23676" t="str">
        <f>HYPERLINK("https://twitter.com/aya_ddt","@aya_ddt")</f>
        <v>@aya_ddt</v>
      </c>
      <c r="C23676" t="s">
        <v>9599</v>
      </c>
      <c r="D23676">
        <v>12</v>
      </c>
      <c r="E23676">
        <v>0</v>
      </c>
      <c r="F23676">
        <v>425</v>
      </c>
    </row>
    <row r="23677" spans="1:6" ht="12.75">
      <c r="A23677" s="2">
        <v>43875.840208333335</v>
      </c>
      <c r="B23677" t="str">
        <f>HYPERLINK("https://twitter.com/info4marwan","@info4marwan")</f>
        <v>@info4marwan</v>
      </c>
      <c r="C23677" t="s">
        <v>11035</v>
      </c>
      <c r="D23677">
        <v>0</v>
      </c>
      <c r="E23677">
        <v>0</v>
      </c>
      <c r="F23677">
        <v>593</v>
      </c>
    </row>
    <row r="23678" spans="1:6" ht="12.75">
      <c r="A23678" s="2">
        <v>43875.840185185181</v>
      </c>
      <c r="B23678" t="str">
        <f>HYPERLINK("https://twitter.com/cutiecracklebag","@cutiecracklebag")</f>
        <v>@cutiecracklebag</v>
      </c>
      <c r="C23678" t="s">
        <v>11036</v>
      </c>
      <c r="D23678">
        <v>0</v>
      </c>
      <c r="E23678">
        <v>0</v>
      </c>
      <c r="F23678">
        <v>236</v>
      </c>
    </row>
    <row r="23679" spans="1:6" ht="12.75">
      <c r="A23679" s="2">
        <v>43875.840162037042</v>
      </c>
      <c r="B23679" t="str">
        <f>HYPERLINK("https://twitter.com/nyamskuy","@nyamskuy")</f>
        <v>@nyamskuy</v>
      </c>
      <c r="C23679" t="s">
        <v>2444</v>
      </c>
      <c r="D23679">
        <v>2547</v>
      </c>
      <c r="E23679">
        <v>0</v>
      </c>
      <c r="F23679">
        <v>84</v>
      </c>
    </row>
    <row r="23680" spans="1:6" ht="12.75">
      <c r="A23680" s="2">
        <v>43875.840138888889</v>
      </c>
      <c r="B23680" t="str">
        <f>HYPERLINK("https://twitter.com/panglimakorea","@panglimakorea")</f>
        <v>@panglimakorea</v>
      </c>
      <c r="C23680" t="s">
        <v>9067</v>
      </c>
      <c r="D23680">
        <v>35</v>
      </c>
      <c r="E23680">
        <v>0</v>
      </c>
      <c r="F23680">
        <v>31</v>
      </c>
    </row>
    <row r="23681" spans="1:6" ht="12.75">
      <c r="A23681" s="2">
        <v>43875.840081018519</v>
      </c>
      <c r="B23681" t="str">
        <f>HYPERLINK("https://twitter.com/SuratmanUd","@SuratmanUd")</f>
        <v>@SuratmanUd</v>
      </c>
      <c r="C23681" t="s">
        <v>2963</v>
      </c>
      <c r="D23681">
        <v>1097</v>
      </c>
      <c r="E23681">
        <v>0</v>
      </c>
      <c r="F23681">
        <v>86</v>
      </c>
    </row>
    <row r="23682" spans="1:6" ht="12.75">
      <c r="A23682" s="2">
        <v>43875.840069444443</v>
      </c>
      <c r="B23682" t="str">
        <f>HYPERLINK("https://twitter.com/AmySungkono","@AmySungkono")</f>
        <v>@AmySungkono</v>
      </c>
      <c r="C23682" t="s">
        <v>2444</v>
      </c>
      <c r="D23682">
        <v>2547</v>
      </c>
      <c r="E23682">
        <v>0</v>
      </c>
      <c r="F23682">
        <v>3687</v>
      </c>
    </row>
    <row r="23683" spans="1:6" ht="12.75">
      <c r="A23683" s="2">
        <v>43875.840057870373</v>
      </c>
      <c r="B23683" t="str">
        <f>HYPERLINK("https://twitter.com/LaingenLisa","@LaingenLisa")</f>
        <v>@LaingenLisa</v>
      </c>
      <c r="C23683" t="s">
        <v>10083</v>
      </c>
      <c r="D23683">
        <v>27</v>
      </c>
      <c r="E23683">
        <v>0</v>
      </c>
      <c r="F23683">
        <v>2829</v>
      </c>
    </row>
    <row r="23684" spans="1:6" ht="12.75">
      <c r="A23684" s="2">
        <v>43875.839907407411</v>
      </c>
      <c r="B23684" t="str">
        <f>HYPERLINK("https://twitter.com/Karlinaiswandi","@Karlinaiswandi")</f>
        <v>@Karlinaiswandi</v>
      </c>
      <c r="C23684" t="s">
        <v>2444</v>
      </c>
      <c r="D23684">
        <v>2547</v>
      </c>
      <c r="E23684">
        <v>0</v>
      </c>
      <c r="F23684">
        <v>573</v>
      </c>
    </row>
    <row r="23685" spans="1:6" ht="12.75">
      <c r="A23685" s="2">
        <v>43875.839861111112</v>
      </c>
      <c r="B23685" t="str">
        <f>HYPERLINK("https://twitter.com/pidski","@pidski")</f>
        <v>@pidski</v>
      </c>
      <c r="C23685" t="s">
        <v>2444</v>
      </c>
      <c r="D23685">
        <v>2547</v>
      </c>
      <c r="E23685">
        <v>0</v>
      </c>
      <c r="F23685">
        <v>405</v>
      </c>
    </row>
    <row r="23686" spans="1:6" ht="12.75">
      <c r="A23686" s="2">
        <v>43875.839803240742</v>
      </c>
      <c r="B23686" t="str">
        <f>HYPERLINK("https://twitter.com/syifn","@syifn")</f>
        <v>@syifn</v>
      </c>
      <c r="C23686" t="s">
        <v>5168</v>
      </c>
      <c r="D23686">
        <v>990</v>
      </c>
      <c r="E23686">
        <v>0</v>
      </c>
      <c r="F23686">
        <v>173</v>
      </c>
    </row>
    <row r="23687" spans="1:6" ht="12.75">
      <c r="A23687" s="2">
        <v>43875.839780092589</v>
      </c>
      <c r="B23687" t="str">
        <f>HYPERLINK("https://twitter.com/PR3D4TO2","@PR3D4TO2")</f>
        <v>@PR3D4TO2</v>
      </c>
      <c r="C23687" t="s">
        <v>175</v>
      </c>
      <c r="D23687">
        <v>5302</v>
      </c>
      <c r="E23687">
        <v>0</v>
      </c>
      <c r="F23687">
        <v>1015</v>
      </c>
    </row>
    <row r="23688" spans="1:6" ht="12.75">
      <c r="A23688" s="2">
        <v>43875.839745370366</v>
      </c>
      <c r="B23688" t="str">
        <f>HYPERLINK("https://twitter.com/HantuSontoloyo","@HantuSontoloyo")</f>
        <v>@HantuSontoloyo</v>
      </c>
      <c r="C23688" t="s">
        <v>7478</v>
      </c>
      <c r="D23688">
        <v>385</v>
      </c>
      <c r="E23688">
        <v>0</v>
      </c>
      <c r="F23688">
        <v>2311</v>
      </c>
    </row>
    <row r="23689" spans="1:6" ht="12.75">
      <c r="A23689" s="2">
        <v>43875.839722222227</v>
      </c>
      <c r="B23689" t="str">
        <f>HYPERLINK("https://twitter.com/AnakKolong___","@AnakKolong___")</f>
        <v>@AnakKolong___</v>
      </c>
      <c r="C23689" t="s">
        <v>11037</v>
      </c>
      <c r="D23689">
        <v>1</v>
      </c>
      <c r="E23689">
        <v>0</v>
      </c>
      <c r="F23689">
        <v>5314</v>
      </c>
    </row>
    <row r="23690" spans="1:6" ht="12.75">
      <c r="A23690" s="2">
        <v>43875.839687500003</v>
      </c>
      <c r="B23690" t="str">
        <f>HYPERLINK("https://twitter.com/dularips","@dularips")</f>
        <v>@dularips</v>
      </c>
      <c r="C23690" t="s">
        <v>11038</v>
      </c>
      <c r="D23690">
        <v>0</v>
      </c>
      <c r="E23690">
        <v>0</v>
      </c>
      <c r="F23690">
        <v>173</v>
      </c>
    </row>
    <row r="23691" spans="1:6" ht="12.75">
      <c r="A23691" s="2">
        <v>43875.83966435185</v>
      </c>
      <c r="B23691" t="str">
        <f>HYPERLINK("https://twitter.com/4_devout","@4_devout")</f>
        <v>@4_devout</v>
      </c>
      <c r="C23691" t="s">
        <v>9599</v>
      </c>
      <c r="D23691">
        <v>12</v>
      </c>
      <c r="E23691">
        <v>0</v>
      </c>
      <c r="F23691">
        <v>607</v>
      </c>
    </row>
    <row r="23692" spans="1:6" ht="12.75">
      <c r="A23692" s="2">
        <v>43875.839629629627</v>
      </c>
      <c r="B23692" t="str">
        <f>HYPERLINK("https://twitter.com/sherinaadewii","@sherinaadewii")</f>
        <v>@sherinaadewii</v>
      </c>
      <c r="C23692" t="s">
        <v>2137</v>
      </c>
      <c r="D23692">
        <v>199</v>
      </c>
      <c r="E23692">
        <v>0</v>
      </c>
      <c r="F23692">
        <v>119</v>
      </c>
    </row>
    <row r="23693" spans="1:6" ht="12.75">
      <c r="A23693" s="2">
        <v>43875.839606481481</v>
      </c>
      <c r="B23693" t="str">
        <f>HYPERLINK("https://twitter.com/Adra_silent","@Adra_silent")</f>
        <v>@Adra_silent</v>
      </c>
      <c r="C23693" t="s">
        <v>7478</v>
      </c>
      <c r="D23693">
        <v>385</v>
      </c>
      <c r="E23693">
        <v>0</v>
      </c>
      <c r="F23693">
        <v>4122</v>
      </c>
    </row>
    <row r="23694" spans="1:6" ht="12.75">
      <c r="A23694" s="2">
        <v>43875.839571759258</v>
      </c>
      <c r="B23694" t="str">
        <f>HYPERLINK("https://twitter.com/getsxber","@getsxber")</f>
        <v>@getsxber</v>
      </c>
      <c r="C23694" t="s">
        <v>2444</v>
      </c>
      <c r="D23694">
        <v>2547</v>
      </c>
      <c r="E23694">
        <v>0</v>
      </c>
      <c r="F23694">
        <v>10</v>
      </c>
    </row>
    <row r="23695" spans="1:6" ht="12.75">
      <c r="A23695" s="2">
        <v>43875.839548611111</v>
      </c>
      <c r="B23695" t="str">
        <f>HYPERLINK("https://twitter.com/alfakir_alkdr","@alfakir_alkdr")</f>
        <v>@alfakir_alkdr</v>
      </c>
      <c r="C23695" t="s">
        <v>10052</v>
      </c>
      <c r="D23695">
        <v>78</v>
      </c>
      <c r="E23695">
        <v>0</v>
      </c>
      <c r="F23695">
        <v>77</v>
      </c>
    </row>
    <row r="23696" spans="1:6" ht="12.75">
      <c r="A23696" s="2">
        <v>43875.839537037042</v>
      </c>
      <c r="B23696" t="str">
        <f>HYPERLINK("https://twitter.com/jeonmara17","@jeonmara17")</f>
        <v>@jeonmara17</v>
      </c>
      <c r="C23696" t="s">
        <v>2444</v>
      </c>
      <c r="D23696">
        <v>2547</v>
      </c>
      <c r="E23696">
        <v>0</v>
      </c>
      <c r="F23696">
        <v>972</v>
      </c>
    </row>
    <row r="23697" spans="1:6" ht="12.75">
      <c r="A23697" s="2">
        <v>43875.839513888888</v>
      </c>
      <c r="B23697" t="str">
        <f>HYPERLINK("https://twitter.com/whidy_an","@whidy_an")</f>
        <v>@whidy_an</v>
      </c>
      <c r="C23697" t="s">
        <v>11039</v>
      </c>
      <c r="D23697">
        <v>1</v>
      </c>
      <c r="E23697">
        <v>1</v>
      </c>
      <c r="F23697">
        <v>1275</v>
      </c>
    </row>
    <row r="23698" spans="1:6" ht="12.75">
      <c r="A23698" s="2">
        <v>43875.839502314819</v>
      </c>
      <c r="B23698" t="str">
        <f>HYPERLINK("https://twitter.com/LanangGanjar","@LanangGanjar")</f>
        <v>@LanangGanjar</v>
      </c>
      <c r="C23698" t="s">
        <v>2444</v>
      </c>
      <c r="D23698">
        <v>2547</v>
      </c>
      <c r="E23698">
        <v>0</v>
      </c>
      <c r="F23698">
        <v>72</v>
      </c>
    </row>
    <row r="23699" spans="1:6" ht="12.75">
      <c r="A23699" s="2">
        <v>43875.839502314819</v>
      </c>
      <c r="B23699" t="str">
        <f>HYPERLINK("https://twitter.com/sirajapadoha","@sirajapadoha")</f>
        <v>@sirajapadoha</v>
      </c>
      <c r="C23699" t="s">
        <v>11040</v>
      </c>
      <c r="D23699">
        <v>1</v>
      </c>
      <c r="E23699">
        <v>0</v>
      </c>
      <c r="F23699">
        <v>2401</v>
      </c>
    </row>
    <row r="23700" spans="1:6" ht="12.75">
      <c r="A23700" s="2">
        <v>43875.839432870373</v>
      </c>
      <c r="B23700" t="str">
        <f>HYPERLINK("https://twitter.com/AAR63028211","@AAR63028211")</f>
        <v>@AAR63028211</v>
      </c>
      <c r="C23700" t="s">
        <v>11041</v>
      </c>
      <c r="D23700">
        <v>0</v>
      </c>
      <c r="E23700">
        <v>0</v>
      </c>
      <c r="F23700">
        <v>195</v>
      </c>
    </row>
    <row r="23701" spans="1:6" ht="12.75">
      <c r="A23701" s="2">
        <v>43875.839421296296</v>
      </c>
      <c r="B23701" t="str">
        <f>HYPERLINK("https://twitter.com/Shin04211613","@Shin04211613")</f>
        <v>@Shin04211613</v>
      </c>
      <c r="C23701" t="s">
        <v>5168</v>
      </c>
      <c r="D23701">
        <v>990</v>
      </c>
      <c r="E23701">
        <v>0</v>
      </c>
      <c r="F23701">
        <v>0</v>
      </c>
    </row>
    <row r="23702" spans="1:6" ht="12.75">
      <c r="A23702" s="2">
        <v>43875.839259259257</v>
      </c>
      <c r="B23702" t="str">
        <f>HYPERLINK("https://twitter.com/notyourbiy","@notyourbiy")</f>
        <v>@notyourbiy</v>
      </c>
      <c r="C23702" t="s">
        <v>2444</v>
      </c>
      <c r="D23702">
        <v>2547</v>
      </c>
      <c r="E23702">
        <v>0</v>
      </c>
      <c r="F23702">
        <v>1169</v>
      </c>
    </row>
    <row r="23703" spans="1:6" ht="12.75">
      <c r="A23703" s="2">
        <v>43875.839259259257</v>
      </c>
      <c r="B23703" t="str">
        <f>HYPERLINK("https://twitter.com/sabhatansabiz","@sabhatansabiz")</f>
        <v>@sabhatansabiz</v>
      </c>
      <c r="C23703" t="s">
        <v>11032</v>
      </c>
      <c r="D23703">
        <v>2</v>
      </c>
      <c r="E23703">
        <v>0</v>
      </c>
      <c r="F23703">
        <v>1583</v>
      </c>
    </row>
    <row r="23704" spans="1:6" ht="12.75">
      <c r="A23704" s="2">
        <v>43875.839166666672</v>
      </c>
      <c r="B23704" t="str">
        <f>HYPERLINK("https://twitter.com/autsumnn","@autsumnn")</f>
        <v>@autsumnn</v>
      </c>
      <c r="C23704" t="s">
        <v>2444</v>
      </c>
      <c r="D23704">
        <v>2547</v>
      </c>
      <c r="E23704">
        <v>0</v>
      </c>
      <c r="F23704">
        <v>4045</v>
      </c>
    </row>
    <row r="23705" spans="1:6" ht="12.75">
      <c r="A23705" s="2">
        <v>43875.839155092588</v>
      </c>
      <c r="B23705" t="str">
        <f>HYPERLINK("https://twitter.com/ISIS_Balik_NO","@ISIS_Balik_NO")</f>
        <v>@ISIS_Balik_NO</v>
      </c>
      <c r="C23705" t="s">
        <v>11042</v>
      </c>
      <c r="D23705">
        <v>1</v>
      </c>
      <c r="E23705">
        <v>1</v>
      </c>
      <c r="F23705">
        <v>5905</v>
      </c>
    </row>
    <row r="23706" spans="1:6" ht="12.75">
      <c r="A23706" s="2">
        <v>43875.839155092588</v>
      </c>
      <c r="B23706" t="str">
        <f>HYPERLINK("https://twitter.com/IvyLiau","@IvyLiau")</f>
        <v>@IvyLiau</v>
      </c>
      <c r="C23706" t="s">
        <v>5168</v>
      </c>
      <c r="D23706">
        <v>990</v>
      </c>
      <c r="E23706">
        <v>0</v>
      </c>
      <c r="F23706">
        <v>536</v>
      </c>
    </row>
    <row r="23707" spans="1:6" ht="12.75">
      <c r="A23707" s="2">
        <v>43875.839097222226</v>
      </c>
      <c r="B23707" t="str">
        <f>HYPERLINK("https://twitter.com/bungsulananggg","@bungsulananggg")</f>
        <v>@bungsulananggg</v>
      </c>
      <c r="C23707" t="s">
        <v>11043</v>
      </c>
      <c r="D23707">
        <v>2</v>
      </c>
      <c r="E23707">
        <v>0</v>
      </c>
      <c r="F23707">
        <v>31877</v>
      </c>
    </row>
    <row r="23708" spans="1:6" ht="12.75">
      <c r="A23708" s="2">
        <v>43875.839085648149</v>
      </c>
      <c r="B23708" t="str">
        <f>HYPERLINK("https://twitter.com/wahyudinajie","@wahyudinajie")</f>
        <v>@wahyudinajie</v>
      </c>
      <c r="C23708" t="s">
        <v>2963</v>
      </c>
      <c r="D23708">
        <v>1097</v>
      </c>
      <c r="E23708">
        <v>0</v>
      </c>
      <c r="F23708">
        <v>226</v>
      </c>
    </row>
    <row r="23709" spans="1:6" ht="12.75">
      <c r="A23709" s="2">
        <v>43875.839062500003</v>
      </c>
      <c r="B23709" t="str">
        <f>HYPERLINK("https://twitter.com/Dwitadamayanti3","@Dwitadamayanti3")</f>
        <v>@Dwitadamayanti3</v>
      </c>
      <c r="C23709" t="s">
        <v>4745</v>
      </c>
      <c r="D23709">
        <v>859</v>
      </c>
      <c r="E23709">
        <v>0</v>
      </c>
      <c r="F23709">
        <v>210</v>
      </c>
    </row>
    <row r="23710" spans="1:6" ht="12.75">
      <c r="A23710" s="2">
        <v>43875.83902777778</v>
      </c>
      <c r="B23710" t="str">
        <f>HYPERLINK("https://twitter.com/SisiLusipara2","@SisiLusipara2")</f>
        <v>@SisiLusipara2</v>
      </c>
      <c r="C23710" t="s">
        <v>11044</v>
      </c>
      <c r="D23710">
        <v>8</v>
      </c>
      <c r="E23710">
        <v>0</v>
      </c>
      <c r="F23710">
        <v>2331</v>
      </c>
    </row>
    <row r="23711" spans="1:6" ht="12.75">
      <c r="A23711" s="2">
        <v>43875.838946759264</v>
      </c>
      <c r="B23711" t="str">
        <f>HYPERLINK("https://twitter.com/radar_malang","@radar_malang")</f>
        <v>@radar_malang</v>
      </c>
      <c r="C23711" t="s">
        <v>10118</v>
      </c>
      <c r="D23711">
        <v>2</v>
      </c>
      <c r="E23711">
        <v>0</v>
      </c>
      <c r="F23711">
        <v>108479</v>
      </c>
    </row>
    <row r="23712" spans="1:6" ht="12.75">
      <c r="A23712" s="2">
        <v>43875.838854166665</v>
      </c>
      <c r="B23712" t="str">
        <f>HYPERLINK("https://twitter.com/kintakusuka","@kintakusuka")</f>
        <v>@kintakusuka</v>
      </c>
      <c r="C23712" t="s">
        <v>2444</v>
      </c>
      <c r="D23712">
        <v>2547</v>
      </c>
      <c r="E23712">
        <v>0</v>
      </c>
      <c r="F23712">
        <v>760</v>
      </c>
    </row>
    <row r="23713" spans="1:6" ht="12.75">
      <c r="A23713" s="2">
        <v>43875.838807870372</v>
      </c>
      <c r="B23713" t="str">
        <f>HYPERLINK("https://twitter.com/Ill_Tsar","@Ill_Tsar")</f>
        <v>@Ill_Tsar</v>
      </c>
      <c r="C23713" t="s">
        <v>9746</v>
      </c>
      <c r="D23713">
        <v>349</v>
      </c>
      <c r="E23713">
        <v>0</v>
      </c>
      <c r="F23713">
        <v>448</v>
      </c>
    </row>
    <row r="23714" spans="1:6" ht="12.75">
      <c r="A23714" s="2">
        <v>43875.83871527778</v>
      </c>
      <c r="B23714" t="str">
        <f>HYPERLINK("https://twitter.com/AcehSelatanSatu","@AcehSelatanSatu")</f>
        <v>@AcehSelatanSatu</v>
      </c>
      <c r="C23714" t="s">
        <v>10052</v>
      </c>
      <c r="D23714">
        <v>78</v>
      </c>
      <c r="E23714">
        <v>0</v>
      </c>
      <c r="F23714">
        <v>15032</v>
      </c>
    </row>
    <row r="23715" spans="1:6" ht="12.75">
      <c r="A23715" s="2">
        <v>43875.838634259257</v>
      </c>
      <c r="B23715" t="str">
        <f>HYPERLINK("https://twitter.com/L_ikhsan_munir","@L_ikhsan_munir")</f>
        <v>@L_ikhsan_munir</v>
      </c>
      <c r="C23715" t="s">
        <v>11045</v>
      </c>
      <c r="D23715">
        <v>0</v>
      </c>
      <c r="E23715">
        <v>0</v>
      </c>
      <c r="F23715">
        <v>141</v>
      </c>
    </row>
    <row r="23716" spans="1:6" ht="12.75">
      <c r="A23716" s="2">
        <v>43875.838576388887</v>
      </c>
      <c r="B23716" t="str">
        <f>HYPERLINK("https://twitter.com/IvyLiau","@IvyLiau")</f>
        <v>@IvyLiau</v>
      </c>
      <c r="C23716" t="s">
        <v>2444</v>
      </c>
      <c r="D23716">
        <v>2547</v>
      </c>
      <c r="E23716">
        <v>0</v>
      </c>
      <c r="F23716">
        <v>536</v>
      </c>
    </row>
    <row r="23717" spans="1:6" ht="12.75">
      <c r="A23717" s="2">
        <v>43875.838553240741</v>
      </c>
      <c r="B23717" t="str">
        <f>HYPERLINK("https://twitter.com/2002rising","@2002rising")</f>
        <v>@2002rising</v>
      </c>
      <c r="C23717" t="s">
        <v>2444</v>
      </c>
      <c r="D23717">
        <v>2547</v>
      </c>
      <c r="E23717">
        <v>0</v>
      </c>
      <c r="F23717">
        <v>3776</v>
      </c>
    </row>
    <row r="23718" spans="1:6" ht="12.75">
      <c r="A23718" s="2">
        <v>43875.838495370372</v>
      </c>
      <c r="B23718" t="str">
        <f>HYPERLINK("https://twitter.com/ardanaf","@ardanaf")</f>
        <v>@ardanaf</v>
      </c>
      <c r="C23718" t="s">
        <v>2444</v>
      </c>
      <c r="D23718">
        <v>2547</v>
      </c>
      <c r="E23718">
        <v>0</v>
      </c>
      <c r="F23718">
        <v>572</v>
      </c>
    </row>
    <row r="23719" spans="1:6" ht="12.75">
      <c r="A23719" s="2">
        <v>43875.838449074072</v>
      </c>
      <c r="B23719" t="str">
        <f>HYPERLINK("https://twitter.com/mieccasa","@mieccasa")</f>
        <v>@mieccasa</v>
      </c>
      <c r="C23719" t="s">
        <v>2137</v>
      </c>
      <c r="D23719">
        <v>199</v>
      </c>
      <c r="E23719">
        <v>0</v>
      </c>
      <c r="F23719">
        <v>349</v>
      </c>
    </row>
    <row r="23720" spans="1:6" ht="12.75">
      <c r="A23720" s="2">
        <v>43875.838449074072</v>
      </c>
      <c r="B23720" t="str">
        <f>HYPERLINK("https://twitter.com/3_devout","@3_devout")</f>
        <v>@3_devout</v>
      </c>
      <c r="C23720" t="s">
        <v>9599</v>
      </c>
      <c r="D23720">
        <v>12</v>
      </c>
      <c r="E23720">
        <v>0</v>
      </c>
      <c r="F23720">
        <v>1033</v>
      </c>
    </row>
    <row r="23721" spans="1:6" ht="12.75">
      <c r="A23721" s="2">
        <v>43875.838414351849</v>
      </c>
      <c r="B23721" t="str">
        <f>HYPERLINK("https://twitter.com/YWidj","@YWidj")</f>
        <v>@YWidj</v>
      </c>
      <c r="C23721" t="s">
        <v>10915</v>
      </c>
      <c r="D23721">
        <v>5</v>
      </c>
      <c r="E23721">
        <v>0</v>
      </c>
      <c r="F23721">
        <v>185</v>
      </c>
    </row>
    <row r="23722" spans="1:6" ht="12.75">
      <c r="A23722" s="2">
        <v>43875.838333333333</v>
      </c>
      <c r="B23722" t="str">
        <f>HYPERLINK("https://twitter.com/everlyna","@everlyna")</f>
        <v>@everlyna</v>
      </c>
      <c r="C23722" t="s">
        <v>11046</v>
      </c>
      <c r="D23722">
        <v>0</v>
      </c>
      <c r="E23722">
        <v>0</v>
      </c>
      <c r="F23722">
        <v>971</v>
      </c>
    </row>
    <row r="23723" spans="1:6" ht="12.75">
      <c r="A23723" s="2">
        <v>43875.838252314818</v>
      </c>
      <c r="B23723" t="str">
        <f>HYPERLINK("https://twitter.com/HenGTG","@HenGTG")</f>
        <v>@HenGTG</v>
      </c>
      <c r="C23723" t="s">
        <v>11047</v>
      </c>
      <c r="D23723">
        <v>0</v>
      </c>
      <c r="E23723">
        <v>0</v>
      </c>
      <c r="F23723">
        <v>1805</v>
      </c>
    </row>
    <row r="23724" spans="1:6" ht="12.75">
      <c r="A23724" s="2">
        <v>43875.838229166664</v>
      </c>
      <c r="B23724" t="str">
        <f>HYPERLINK("https://twitter.com/TiarraAF","@TiarraAF")</f>
        <v>@TiarraAF</v>
      </c>
      <c r="C23724" t="s">
        <v>2444</v>
      </c>
      <c r="D23724">
        <v>2547</v>
      </c>
      <c r="E23724">
        <v>0</v>
      </c>
      <c r="F23724">
        <v>202</v>
      </c>
    </row>
    <row r="23725" spans="1:6" ht="12.75">
      <c r="A23725" s="2">
        <v>43875.838148148148</v>
      </c>
      <c r="B23725" t="str">
        <f>HYPERLINK("https://twitter.com/AAR63028211","@AAR63028211")</f>
        <v>@AAR63028211</v>
      </c>
      <c r="C23725" t="s">
        <v>11048</v>
      </c>
      <c r="D23725">
        <v>0</v>
      </c>
      <c r="E23725">
        <v>0</v>
      </c>
      <c r="F23725">
        <v>195</v>
      </c>
    </row>
    <row r="23726" spans="1:6" ht="12.75">
      <c r="A23726" s="2">
        <v>43875.838113425925</v>
      </c>
      <c r="B23726" t="str">
        <f>HYPERLINK("https://twitter.com/wawansetyo7","@wawansetyo7")</f>
        <v>@wawansetyo7</v>
      </c>
      <c r="C23726" t="s">
        <v>11049</v>
      </c>
      <c r="D23726">
        <v>0</v>
      </c>
      <c r="E23726">
        <v>0</v>
      </c>
      <c r="F23726">
        <v>1675</v>
      </c>
    </row>
    <row r="23727" spans="1:6" ht="12.75">
      <c r="A23727" s="2">
        <v>43875.838078703702</v>
      </c>
      <c r="B23727" t="str">
        <f>HYPERLINK("https://twitter.com/mewienahto","@mewienahto")</f>
        <v>@mewienahto</v>
      </c>
      <c r="C23727" t="s">
        <v>2444</v>
      </c>
      <c r="D23727">
        <v>2547</v>
      </c>
      <c r="E23727">
        <v>0</v>
      </c>
      <c r="F23727">
        <v>542</v>
      </c>
    </row>
    <row r="23728" spans="1:6" ht="12.75">
      <c r="A23728" s="2">
        <v>43875.838009259256</v>
      </c>
      <c r="B23728" t="str">
        <f>HYPERLINK("https://twitter.com/alvitavitaw","@alvitavitaw")</f>
        <v>@alvitavitaw</v>
      </c>
      <c r="C23728" t="s">
        <v>7068</v>
      </c>
      <c r="D23728">
        <v>29</v>
      </c>
      <c r="E23728">
        <v>0</v>
      </c>
      <c r="F23728">
        <v>2309</v>
      </c>
    </row>
    <row r="23729" spans="1:6" ht="12.75">
      <c r="A23729" s="2">
        <v>43875.837800925925</v>
      </c>
      <c r="B23729" t="str">
        <f>HYPERLINK("https://twitter.com/nanonanonaonn","@nanonanonaonn")</f>
        <v>@nanonanonaonn</v>
      </c>
      <c r="C23729" t="s">
        <v>5168</v>
      </c>
      <c r="D23729">
        <v>990</v>
      </c>
      <c r="E23729">
        <v>0</v>
      </c>
      <c r="F23729">
        <v>458</v>
      </c>
    </row>
    <row r="23730" spans="1:6" ht="12.75">
      <c r="A23730" s="2">
        <v>43875.837731481486</v>
      </c>
      <c r="B23730" t="str">
        <f>HYPERLINK("https://twitter.com/_khasmah","@_khasmah")</f>
        <v>@_khasmah</v>
      </c>
      <c r="C23730" t="s">
        <v>11050</v>
      </c>
      <c r="D23730">
        <v>0</v>
      </c>
      <c r="E23730">
        <v>0</v>
      </c>
      <c r="F23730">
        <v>690</v>
      </c>
    </row>
    <row r="23731" spans="1:6" ht="12.75">
      <c r="A23731" s="2">
        <v>43875.83766203704</v>
      </c>
      <c r="B23731" t="str">
        <f>HYPERLINK("https://twitter.com/tani_suara","@tani_suara")</f>
        <v>@tani_suara</v>
      </c>
      <c r="C23731" t="s">
        <v>11051</v>
      </c>
      <c r="D23731">
        <v>0</v>
      </c>
      <c r="E23731">
        <v>0</v>
      </c>
      <c r="F23731">
        <v>74</v>
      </c>
    </row>
    <row r="23732" spans="1:6" ht="12.75">
      <c r="A23732" s="2">
        <v>43875.837546296301</v>
      </c>
      <c r="B23732" t="str">
        <f>HYPERLINK("https://twitter.com/widyChant","@widyChant")</f>
        <v>@widyChant</v>
      </c>
      <c r="C23732" t="s">
        <v>175</v>
      </c>
      <c r="D23732">
        <v>5302</v>
      </c>
      <c r="E23732">
        <v>0</v>
      </c>
      <c r="F23732">
        <v>628</v>
      </c>
    </row>
    <row r="23733" spans="1:6" ht="12.75">
      <c r="A23733" s="2">
        <v>43875.837523148148</v>
      </c>
      <c r="B23733" t="str">
        <f>HYPERLINK("https://twitter.com/ISIS_Balik_NO","@ISIS_Balik_NO")</f>
        <v>@ISIS_Balik_NO</v>
      </c>
      <c r="C23733" t="s">
        <v>11052</v>
      </c>
      <c r="D23733">
        <v>0</v>
      </c>
      <c r="E23733">
        <v>0</v>
      </c>
      <c r="F23733">
        <v>5905</v>
      </c>
    </row>
    <row r="23734" spans="1:6" ht="12.75">
      <c r="A23734" s="2">
        <v>43875.837395833332</v>
      </c>
      <c r="B23734" t="str">
        <f>HYPERLINK("https://twitter.com/maujadipohon","@maujadipohon")</f>
        <v>@maujadipohon</v>
      </c>
      <c r="C23734" t="s">
        <v>5168</v>
      </c>
      <c r="D23734">
        <v>990</v>
      </c>
      <c r="E23734">
        <v>0</v>
      </c>
      <c r="F23734">
        <v>896</v>
      </c>
    </row>
    <row r="23735" spans="1:6" ht="12.75">
      <c r="A23735" s="2">
        <v>43875.837326388893</v>
      </c>
      <c r="B23735" t="str">
        <f>HYPERLINK("https://twitter.com/GarnisellaT","@GarnisellaT")</f>
        <v>@GarnisellaT</v>
      </c>
      <c r="C23735" t="s">
        <v>2444</v>
      </c>
      <c r="D23735">
        <v>2547</v>
      </c>
      <c r="E23735">
        <v>0</v>
      </c>
      <c r="F23735">
        <v>256</v>
      </c>
    </row>
    <row r="23736" spans="1:6" ht="12.75">
      <c r="A23736" s="2">
        <v>43875.837256944447</v>
      </c>
      <c r="B23736" t="str">
        <f>HYPERLINK("https://twitter.com/Kak_Rohim","@Kak_Rohim")</f>
        <v>@Kak_Rohim</v>
      </c>
      <c r="C23736" t="s">
        <v>7478</v>
      </c>
      <c r="D23736">
        <v>385</v>
      </c>
      <c r="E23736">
        <v>0</v>
      </c>
      <c r="F23736">
        <v>347</v>
      </c>
    </row>
    <row r="23737" spans="1:6" ht="12.75">
      <c r="A23737" s="2">
        <v>43875.837187500001</v>
      </c>
      <c r="B23737" t="str">
        <f>HYPERLINK("https://twitter.com/Satriadananjay7","@Satriadananjay7")</f>
        <v>@Satriadananjay7</v>
      </c>
      <c r="C23737" t="s">
        <v>11053</v>
      </c>
      <c r="D23737">
        <v>0</v>
      </c>
      <c r="E23737">
        <v>0</v>
      </c>
      <c r="F23737">
        <v>32</v>
      </c>
    </row>
    <row r="23738" spans="1:6" ht="12.75">
      <c r="A23738" s="2">
        <v>43875.837060185186</v>
      </c>
      <c r="B23738" t="str">
        <f>HYPERLINK("https://twitter.com/Khojan7","@Khojan7")</f>
        <v>@Khojan7</v>
      </c>
      <c r="C23738" t="s">
        <v>9198</v>
      </c>
      <c r="D23738">
        <v>51</v>
      </c>
      <c r="E23738">
        <v>0</v>
      </c>
      <c r="F23738">
        <v>15</v>
      </c>
    </row>
    <row r="23739" spans="1:6" ht="12.75">
      <c r="A23739" s="2">
        <v>43875.836967592593</v>
      </c>
      <c r="B23739" t="str">
        <f>HYPERLINK("https://twitter.com/dandeIionroots","@dandeIionroots")</f>
        <v>@dandeIionroots</v>
      </c>
      <c r="C23739" t="s">
        <v>2444</v>
      </c>
      <c r="D23739">
        <v>2547</v>
      </c>
      <c r="E23739">
        <v>0</v>
      </c>
      <c r="F23739">
        <v>388</v>
      </c>
    </row>
    <row r="23740" spans="1:6" ht="12.75">
      <c r="A23740" s="2">
        <v>43875.836886574078</v>
      </c>
      <c r="B23740" t="str">
        <f>HYPERLINK("https://twitter.com/wordfngs","@wordfngs")</f>
        <v>@wordfngs</v>
      </c>
      <c r="C23740" t="s">
        <v>2444</v>
      </c>
      <c r="D23740">
        <v>2547</v>
      </c>
      <c r="E23740">
        <v>0</v>
      </c>
      <c r="F23740">
        <v>518</v>
      </c>
    </row>
    <row r="23741" spans="1:6" ht="12.75">
      <c r="A23741" s="2">
        <v>43875.836863425924</v>
      </c>
      <c r="B23741" t="str">
        <f>HYPERLINK("https://twitter.com/agapuut","@agapuut")</f>
        <v>@agapuut</v>
      </c>
      <c r="C23741" t="s">
        <v>2444</v>
      </c>
      <c r="D23741">
        <v>2547</v>
      </c>
      <c r="E23741">
        <v>0</v>
      </c>
      <c r="F23741">
        <v>77</v>
      </c>
    </row>
    <row r="23742" spans="1:6" ht="12.75">
      <c r="A23742" s="2">
        <v>43875.836805555555</v>
      </c>
      <c r="B23742" t="str">
        <f>HYPERLINK("https://twitter.com/_SaputroBayu","@_SaputroBayu")</f>
        <v>@_SaputroBayu</v>
      </c>
      <c r="C23742" t="s">
        <v>2444</v>
      </c>
      <c r="D23742">
        <v>2547</v>
      </c>
      <c r="E23742">
        <v>0</v>
      </c>
      <c r="F23742">
        <v>68</v>
      </c>
    </row>
    <row r="23743" spans="1:6" ht="12.75">
      <c r="A23743" s="2">
        <v>43875.836759259255</v>
      </c>
      <c r="B23743" t="str">
        <f>HYPERLINK("https://twitter.com/ISIS_Balik_NO","@ISIS_Balik_NO")</f>
        <v>@ISIS_Balik_NO</v>
      </c>
      <c r="C23743" t="s">
        <v>11054</v>
      </c>
      <c r="D23743">
        <v>10</v>
      </c>
      <c r="E23743">
        <v>0</v>
      </c>
      <c r="F23743">
        <v>5905</v>
      </c>
    </row>
    <row r="23744" spans="1:6" ht="12.75">
      <c r="A23744" s="2">
        <v>43875.836712962962</v>
      </c>
      <c r="B23744" t="str">
        <f>HYPERLINK("https://twitter.com/ArRochm30388534","@ArRochm30388534")</f>
        <v>@ArRochm30388534</v>
      </c>
      <c r="C23744" t="s">
        <v>6201</v>
      </c>
      <c r="D23744">
        <v>207</v>
      </c>
      <c r="E23744">
        <v>0</v>
      </c>
      <c r="F23744">
        <v>40</v>
      </c>
    </row>
    <row r="23745" spans="1:6" ht="12.75">
      <c r="A23745" s="2">
        <v>43875.836655092593</v>
      </c>
      <c r="B23745" t="str">
        <f>HYPERLINK("https://twitter.com/Giedelweiss","@Giedelweiss")</f>
        <v>@Giedelweiss</v>
      </c>
      <c r="C23745" t="s">
        <v>2444</v>
      </c>
      <c r="D23745">
        <v>2547</v>
      </c>
      <c r="E23745">
        <v>0</v>
      </c>
      <c r="F23745">
        <v>155</v>
      </c>
    </row>
    <row r="23746" spans="1:6" ht="12.75">
      <c r="A23746" s="2">
        <v>43875.836608796293</v>
      </c>
      <c r="B23746" t="str">
        <f>HYPERLINK("https://twitter.com/inugoho","@inugoho")</f>
        <v>@inugoho</v>
      </c>
      <c r="C23746" t="s">
        <v>2444</v>
      </c>
      <c r="D23746">
        <v>2547</v>
      </c>
      <c r="E23746">
        <v>0</v>
      </c>
      <c r="F23746">
        <v>326</v>
      </c>
    </row>
    <row r="23747" spans="1:6" ht="12.75">
      <c r="A23747" s="2">
        <v>43875.836562500001</v>
      </c>
      <c r="B23747" t="str">
        <f>HYPERLINK("https://twitter.com/ISIS_Balik_NO","@ISIS_Balik_NO")</f>
        <v>@ISIS_Balik_NO</v>
      </c>
      <c r="C23747" t="s">
        <v>11055</v>
      </c>
      <c r="D23747">
        <v>84</v>
      </c>
      <c r="E23747">
        <v>0</v>
      </c>
      <c r="F23747">
        <v>5905</v>
      </c>
    </row>
    <row r="23748" spans="1:6" ht="12.75">
      <c r="A23748" s="2">
        <v>43875.836446759262</v>
      </c>
      <c r="B23748" t="str">
        <f>HYPERLINK("https://twitter.com/exoxoexact","@exoxoexact")</f>
        <v>@exoxoexact</v>
      </c>
      <c r="C23748" t="s">
        <v>2444</v>
      </c>
      <c r="D23748">
        <v>2547</v>
      </c>
      <c r="E23748">
        <v>0</v>
      </c>
      <c r="F23748">
        <v>66</v>
      </c>
    </row>
    <row r="23749" spans="1:6" ht="12.75">
      <c r="A23749" s="2">
        <v>43875.836377314816</v>
      </c>
      <c r="B23749" t="str">
        <f>HYPERLINK("https://twitter.com/ShaquilaMega","@ShaquilaMega")</f>
        <v>@ShaquilaMega</v>
      </c>
      <c r="C23749" t="s">
        <v>2963</v>
      </c>
      <c r="D23749">
        <v>1097</v>
      </c>
      <c r="E23749">
        <v>0</v>
      </c>
      <c r="F23749">
        <v>3</v>
      </c>
    </row>
    <row r="23750" spans="1:6" ht="12.75">
      <c r="A23750" s="2">
        <v>43875.836342592593</v>
      </c>
      <c r="B23750" t="str">
        <f>HYPERLINK("https://twitter.com/MNCNewsroom","@MNCNewsroom")</f>
        <v>@MNCNewsroom</v>
      </c>
      <c r="C23750" t="s">
        <v>11056</v>
      </c>
      <c r="D23750">
        <v>0</v>
      </c>
      <c r="E23750">
        <v>0</v>
      </c>
      <c r="F23750">
        <v>17546</v>
      </c>
    </row>
    <row r="23751" spans="1:6" ht="12.75">
      <c r="A23751" s="2">
        <v>43875.8362962963</v>
      </c>
      <c r="B23751" t="str">
        <f>HYPERLINK("https://twitter.com/Setiawan87Iwan","@Setiawan87Iwan")</f>
        <v>@Setiawan87Iwan</v>
      </c>
      <c r="C23751" t="s">
        <v>11057</v>
      </c>
      <c r="D23751">
        <v>0</v>
      </c>
      <c r="E23751">
        <v>1</v>
      </c>
      <c r="F23751">
        <v>102</v>
      </c>
    </row>
    <row r="23752" spans="1:6" ht="12.75">
      <c r="A23752" s="2">
        <v>43875.836226851854</v>
      </c>
      <c r="B23752" t="str">
        <f>HYPERLINK("https://twitter.com/billyktm","@billyktm")</f>
        <v>@billyktm</v>
      </c>
      <c r="C23752" t="s">
        <v>11058</v>
      </c>
      <c r="D23752">
        <v>2</v>
      </c>
      <c r="E23752">
        <v>0</v>
      </c>
      <c r="F23752">
        <v>80</v>
      </c>
    </row>
    <row r="23753" spans="1:6" ht="12.75">
      <c r="A23753" s="2">
        <v>43875.836226851854</v>
      </c>
      <c r="B23753" t="str">
        <f>HYPERLINK("https://twitter.com/Mujirahadi2","@Mujirahadi2")</f>
        <v>@Mujirahadi2</v>
      </c>
      <c r="C23753" t="s">
        <v>2963</v>
      </c>
      <c r="D23753">
        <v>1097</v>
      </c>
      <c r="E23753">
        <v>0</v>
      </c>
      <c r="F23753">
        <v>1592</v>
      </c>
    </row>
    <row r="23754" spans="1:6" ht="12.75">
      <c r="A23754" s="2">
        <v>43875.836215277777</v>
      </c>
      <c r="B23754" t="str">
        <f>HYPERLINK("https://twitter.com/EDYSAF","@EDYSAF")</f>
        <v>@EDYSAF</v>
      </c>
      <c r="C23754" t="s">
        <v>7478</v>
      </c>
      <c r="D23754">
        <v>385</v>
      </c>
      <c r="E23754">
        <v>0</v>
      </c>
      <c r="F23754">
        <v>197</v>
      </c>
    </row>
    <row r="23755" spans="1:6" ht="12.75">
      <c r="A23755" s="2">
        <v>43875.836111111115</v>
      </c>
      <c r="B23755" t="str">
        <f>HYPERLINK("https://twitter.com/hiyahyae","@hiyahyae")</f>
        <v>@hiyahyae</v>
      </c>
      <c r="C23755" t="s">
        <v>5168</v>
      </c>
      <c r="D23755">
        <v>990</v>
      </c>
      <c r="E23755">
        <v>0</v>
      </c>
      <c r="F23755">
        <v>312</v>
      </c>
    </row>
    <row r="23756" spans="1:6" ht="12.75">
      <c r="A23756" s="2">
        <v>43875.835902777777</v>
      </c>
      <c r="B23756" t="str">
        <f>HYPERLINK("https://twitter.com/kureha_alpha","@kureha_alpha")</f>
        <v>@kureha_alpha</v>
      </c>
      <c r="C23756" t="s">
        <v>11059</v>
      </c>
      <c r="D23756">
        <v>0</v>
      </c>
      <c r="E23756">
        <v>0</v>
      </c>
      <c r="F23756">
        <v>447</v>
      </c>
    </row>
    <row r="23757" spans="1:6" ht="12.75">
      <c r="A23757" s="2">
        <v>43875.835856481484</v>
      </c>
      <c r="B23757" t="str">
        <f>HYPERLINK("https://twitter.com/ISIS_Balik_NO","@ISIS_Balik_NO")</f>
        <v>@ISIS_Balik_NO</v>
      </c>
      <c r="C23757" t="s">
        <v>11060</v>
      </c>
      <c r="D23757">
        <v>0</v>
      </c>
      <c r="E23757">
        <v>0</v>
      </c>
      <c r="F23757">
        <v>5905</v>
      </c>
    </row>
    <row r="23758" spans="1:6" ht="12.75">
      <c r="A23758" s="2">
        <v>43875.835821759261</v>
      </c>
      <c r="B23758" t="str">
        <f>HYPERLINK("https://twitter.com/andalasiy","@andalasiy")</f>
        <v>@andalasiy</v>
      </c>
      <c r="C23758" t="s">
        <v>11061</v>
      </c>
      <c r="D23758">
        <v>0</v>
      </c>
      <c r="E23758">
        <v>0</v>
      </c>
      <c r="F23758">
        <v>155</v>
      </c>
    </row>
    <row r="23759" spans="1:6" ht="12.75">
      <c r="A23759" s="2">
        <v>43875.835787037038</v>
      </c>
      <c r="B23759" t="str">
        <f>HYPERLINK("https://twitter.com/nosa_her","@nosa_her")</f>
        <v>@nosa_her</v>
      </c>
      <c r="C23759" t="s">
        <v>10526</v>
      </c>
      <c r="D23759">
        <v>141</v>
      </c>
      <c r="E23759">
        <v>0</v>
      </c>
      <c r="F23759">
        <v>72</v>
      </c>
    </row>
    <row r="23760" spans="1:6" ht="12.75">
      <c r="A23760" s="2">
        <v>43875.835752314815</v>
      </c>
      <c r="B23760" t="str">
        <f>HYPERLINK("https://twitter.com/LilikSatrio","@LilikSatrio")</f>
        <v>@LilikSatrio</v>
      </c>
      <c r="C23760" t="s">
        <v>10915</v>
      </c>
      <c r="D23760">
        <v>5</v>
      </c>
      <c r="E23760">
        <v>0</v>
      </c>
      <c r="F23760">
        <v>479</v>
      </c>
    </row>
    <row r="23761" spans="1:6" ht="12.75">
      <c r="A23761" s="2">
        <v>43875.835729166662</v>
      </c>
      <c r="B23761" t="str">
        <f>HYPERLINK("https://twitter.com/jinwhooops","@jinwhooops")</f>
        <v>@jinwhooops</v>
      </c>
      <c r="C23761" t="s">
        <v>2444</v>
      </c>
      <c r="D23761">
        <v>2547</v>
      </c>
      <c r="E23761">
        <v>0</v>
      </c>
      <c r="F23761">
        <v>301</v>
      </c>
    </row>
    <row r="23762" spans="1:6" ht="12.75">
      <c r="A23762" s="2">
        <v>43875.835543981477</v>
      </c>
      <c r="B23762" t="str">
        <f>HYPERLINK("https://twitter.com/bluecasso10","@bluecasso10")</f>
        <v>@bluecasso10</v>
      </c>
      <c r="C23762" t="s">
        <v>2444</v>
      </c>
      <c r="D23762">
        <v>2547</v>
      </c>
      <c r="E23762">
        <v>0</v>
      </c>
      <c r="F23762">
        <v>554</v>
      </c>
    </row>
    <row r="23763" spans="1:6" ht="12.75">
      <c r="A23763" s="2">
        <v>43875.835543981477</v>
      </c>
      <c r="B23763" t="str">
        <f>HYPERLINK("https://twitter.com/No_TogoG","@No_TogoG")</f>
        <v>@No_TogoG</v>
      </c>
      <c r="C23763" t="s">
        <v>7478</v>
      </c>
      <c r="D23763">
        <v>385</v>
      </c>
      <c r="E23763">
        <v>0</v>
      </c>
      <c r="F23763">
        <v>1137</v>
      </c>
    </row>
    <row r="23764" spans="1:6" ht="12.75">
      <c r="A23764" s="2">
        <v>43875.835509259261</v>
      </c>
      <c r="B23764" t="str">
        <f>HYPERLINK("https://twitter.com/Jenrubyjane_19","@Jenrubyjane_19")</f>
        <v>@Jenrubyjane_19</v>
      </c>
      <c r="C23764" t="s">
        <v>2444</v>
      </c>
      <c r="D23764">
        <v>2547</v>
      </c>
      <c r="E23764">
        <v>0</v>
      </c>
      <c r="F23764">
        <v>0</v>
      </c>
    </row>
    <row r="23765" spans="1:6" ht="12.75">
      <c r="A23765" s="2">
        <v>43875.835486111115</v>
      </c>
      <c r="B23765" t="str">
        <f>HYPERLINK("https://twitter.com/AtaSuharta9","@AtaSuharta9")</f>
        <v>@AtaSuharta9</v>
      </c>
      <c r="C23765" t="s">
        <v>9746</v>
      </c>
      <c r="D23765">
        <v>349</v>
      </c>
      <c r="E23765">
        <v>0</v>
      </c>
      <c r="F23765">
        <v>685</v>
      </c>
    </row>
    <row r="23766" spans="1:6" ht="12.75">
      <c r="A23766" s="2">
        <v>43875.835462962961</v>
      </c>
      <c r="B23766" t="str">
        <f>HYPERLINK("https://twitter.com/noto68941157","@noto68941157")</f>
        <v>@noto68941157</v>
      </c>
      <c r="C23766" t="s">
        <v>10295</v>
      </c>
      <c r="D23766">
        <v>91</v>
      </c>
      <c r="E23766">
        <v>0</v>
      </c>
      <c r="F23766">
        <v>1179</v>
      </c>
    </row>
    <row r="23767" spans="1:6" ht="12.75">
      <c r="A23767" s="2">
        <v>43875.835358796292</v>
      </c>
      <c r="B23767" t="str">
        <f>HYPERLINK("https://twitter.com/Ceha_Anwar","@Ceha_Anwar")</f>
        <v>@Ceha_Anwar</v>
      </c>
      <c r="C23767" t="s">
        <v>11028</v>
      </c>
      <c r="D23767">
        <v>6</v>
      </c>
      <c r="E23767">
        <v>0</v>
      </c>
      <c r="F23767">
        <v>1510</v>
      </c>
    </row>
    <row r="23768" spans="1:6" ht="12.75">
      <c r="A23768" s="2">
        <v>43875.835289351853</v>
      </c>
      <c r="B23768" t="str">
        <f>HYPERLINK("https://twitter.com/himura89517038","@himura89517038")</f>
        <v>@himura89517038</v>
      </c>
      <c r="C23768" t="s">
        <v>6201</v>
      </c>
      <c r="D23768">
        <v>207</v>
      </c>
      <c r="E23768">
        <v>0</v>
      </c>
      <c r="F23768">
        <v>1667</v>
      </c>
    </row>
    <row r="23769" spans="1:6" ht="12.75">
      <c r="A23769" s="2">
        <v>43875.835173611107</v>
      </c>
      <c r="B23769" t="str">
        <f>HYPERLINK("https://twitter.com/viskaya","@viskaya")</f>
        <v>@viskaya</v>
      </c>
      <c r="C23769" t="s">
        <v>9198</v>
      </c>
      <c r="D23769">
        <v>51</v>
      </c>
      <c r="E23769">
        <v>0</v>
      </c>
      <c r="F23769">
        <v>774</v>
      </c>
    </row>
    <row r="23770" spans="1:6" ht="12.75">
      <c r="A23770" s="2">
        <v>43875.835162037038</v>
      </c>
      <c r="B23770" t="str">
        <f>HYPERLINK("https://twitter.com/AnakKolong___","@AnakKolong___")</f>
        <v>@AnakKolong___</v>
      </c>
      <c r="C23770" t="s">
        <v>11062</v>
      </c>
      <c r="D23770">
        <v>2</v>
      </c>
      <c r="E23770">
        <v>0</v>
      </c>
      <c r="F23770">
        <v>5314</v>
      </c>
    </row>
    <row r="23771" spans="1:6" ht="12.75">
      <c r="A23771" s="2">
        <v>43875.835138888884</v>
      </c>
      <c r="B23771" t="str">
        <f>HYPERLINK("https://twitter.com/erikmbah","@erikmbah")</f>
        <v>@erikmbah</v>
      </c>
      <c r="C23771" t="s">
        <v>10306</v>
      </c>
      <c r="D23771">
        <v>3</v>
      </c>
      <c r="E23771">
        <v>0</v>
      </c>
      <c r="F23771">
        <v>246</v>
      </c>
    </row>
    <row r="23772" spans="1:6" ht="12.75">
      <c r="A23772" s="2">
        <v>43875.835046296299</v>
      </c>
      <c r="B23772" t="str">
        <f>HYPERLINK("https://twitter.com/DedRikas","@DedRikas")</f>
        <v>@DedRikas</v>
      </c>
      <c r="C23772" t="s">
        <v>11063</v>
      </c>
      <c r="D23772">
        <v>0</v>
      </c>
      <c r="E23772">
        <v>1</v>
      </c>
      <c r="F23772">
        <v>75</v>
      </c>
    </row>
    <row r="23773" spans="1:6" ht="12.75">
      <c r="A23773" s="2">
        <v>43875.834999999999</v>
      </c>
      <c r="B23773" t="str">
        <f>HYPERLINK("https://twitter.com/adhidrm","@adhidrm")</f>
        <v>@adhidrm</v>
      </c>
      <c r="C23773" t="s">
        <v>2444</v>
      </c>
      <c r="D23773">
        <v>2547</v>
      </c>
      <c r="E23773">
        <v>0</v>
      </c>
      <c r="F23773">
        <v>372</v>
      </c>
    </row>
    <row r="23774" spans="1:6" ht="12.75">
      <c r="A23774" s="2">
        <v>43875.834849537037</v>
      </c>
      <c r="B23774" t="str">
        <f>HYPERLINK("https://twitter.com/natsukazhii","@natsukazhii")</f>
        <v>@natsukazhii</v>
      </c>
      <c r="C23774" t="s">
        <v>2444</v>
      </c>
      <c r="D23774">
        <v>2316</v>
      </c>
      <c r="E23774">
        <v>0</v>
      </c>
      <c r="F23774">
        <v>173</v>
      </c>
    </row>
    <row r="23775" spans="1:6" ht="12.75">
      <c r="A23775" s="2">
        <v>43875.834826388891</v>
      </c>
      <c r="B23775" t="str">
        <f>HYPERLINK("https://twitter.com/massuneko77","@massuneko77")</f>
        <v>@massuneko77</v>
      </c>
      <c r="C23775" t="s">
        <v>2444</v>
      </c>
      <c r="D23775">
        <v>2316</v>
      </c>
      <c r="E23775">
        <v>0</v>
      </c>
      <c r="F23775">
        <v>243</v>
      </c>
    </row>
    <row r="23776" spans="1:6" ht="12.75">
      <c r="A23776" s="2">
        <v>43875.834733796291</v>
      </c>
      <c r="B23776" t="str">
        <f>HYPERLINK("https://twitter.com/BillTemporo","@BillTemporo")</f>
        <v>@BillTemporo</v>
      </c>
      <c r="C23776" t="s">
        <v>832</v>
      </c>
      <c r="D23776">
        <v>0</v>
      </c>
      <c r="E23776">
        <v>0</v>
      </c>
      <c r="F23776">
        <v>11</v>
      </c>
    </row>
    <row r="23777" spans="1:6" ht="12.75">
      <c r="A23777" s="2">
        <v>43875.834733796291</v>
      </c>
      <c r="B23777" t="str">
        <f>HYPERLINK("https://twitter.com/Dongane_Simbok","@Dongane_Simbok")</f>
        <v>@Dongane_Simbok</v>
      </c>
      <c r="C23777" t="s">
        <v>7478</v>
      </c>
      <c r="D23777">
        <v>362</v>
      </c>
      <c r="E23777">
        <v>0</v>
      </c>
      <c r="F23777">
        <v>816</v>
      </c>
    </row>
    <row r="23778" spans="1:6" ht="12.75">
      <c r="A23778" s="2">
        <v>43875.834699074076</v>
      </c>
      <c r="B23778" t="str">
        <f>HYPERLINK("https://twitter.com/galyunerd","@galyunerd")</f>
        <v>@galyunerd</v>
      </c>
      <c r="C23778" t="s">
        <v>2444</v>
      </c>
      <c r="D23778">
        <v>2316</v>
      </c>
      <c r="E23778">
        <v>0</v>
      </c>
      <c r="F23778">
        <v>4764</v>
      </c>
    </row>
    <row r="23779" spans="1:6" ht="12.75">
      <c r="A23779" s="2">
        <v>43875.834594907406</v>
      </c>
      <c r="B23779" t="str">
        <f>HYPERLINK("https://twitter.com/1_devout","@1_devout")</f>
        <v>@1_devout</v>
      </c>
      <c r="C23779" t="s">
        <v>11064</v>
      </c>
      <c r="D23779">
        <v>0</v>
      </c>
      <c r="E23779">
        <v>0</v>
      </c>
      <c r="F23779">
        <v>24</v>
      </c>
    </row>
    <row r="23780" spans="1:6" ht="12.75">
      <c r="A23780" s="2">
        <v>43875.834282407406</v>
      </c>
      <c r="B23780" t="str">
        <f>HYPERLINK("https://twitter.com/becak125cc","@becak125cc")</f>
        <v>@becak125cc</v>
      </c>
      <c r="C23780" t="s">
        <v>10165</v>
      </c>
      <c r="D23780">
        <v>15</v>
      </c>
      <c r="E23780">
        <v>0</v>
      </c>
      <c r="F23780">
        <v>499</v>
      </c>
    </row>
    <row r="23781" spans="1:6" ht="12.75">
      <c r="A23781" s="2">
        <v>43875.834247685183</v>
      </c>
      <c r="B23781" t="str">
        <f>HYPERLINK("https://twitter.com/ekawhynurfjryh","@ekawhynurfjryh")</f>
        <v>@ekawhynurfjryh</v>
      </c>
      <c r="C23781" t="s">
        <v>175</v>
      </c>
      <c r="D23781">
        <v>5295</v>
      </c>
      <c r="E23781">
        <v>0</v>
      </c>
      <c r="F23781">
        <v>25</v>
      </c>
    </row>
    <row r="23782" spans="1:6" ht="12.75">
      <c r="A23782" s="2">
        <v>43875.834166666667</v>
      </c>
      <c r="B23782" t="str">
        <f>HYPERLINK("https://twitter.com/DocVabiris","@DocVabiris")</f>
        <v>@DocVabiris</v>
      </c>
      <c r="C23782" t="s">
        <v>9082</v>
      </c>
      <c r="D23782">
        <v>51</v>
      </c>
      <c r="E23782">
        <v>0</v>
      </c>
      <c r="F23782">
        <v>27</v>
      </c>
    </row>
    <row r="23783" spans="1:6" ht="12.75">
      <c r="A23783" s="2">
        <v>43875.834039351852</v>
      </c>
      <c r="B23783" t="str">
        <f>HYPERLINK("https://twitter.com/Alexdagreece","@Alexdagreece")</f>
        <v>@Alexdagreece</v>
      </c>
      <c r="C23783" t="s">
        <v>9082</v>
      </c>
      <c r="D23783">
        <v>51</v>
      </c>
      <c r="E23783">
        <v>0</v>
      </c>
      <c r="F23783">
        <v>36</v>
      </c>
    </row>
    <row r="23784" spans="1:6" ht="12.75">
      <c r="A23784" s="2">
        <v>43875.834027777775</v>
      </c>
      <c r="B23784" t="str">
        <f>HYPERLINK("https://twitter.com/akhcand","@akhcand")</f>
        <v>@akhcand</v>
      </c>
      <c r="C23784" t="s">
        <v>5168</v>
      </c>
      <c r="D23784">
        <v>935</v>
      </c>
      <c r="E23784">
        <v>0</v>
      </c>
      <c r="F23784">
        <v>241</v>
      </c>
    </row>
    <row r="23785" spans="1:6" ht="12.75">
      <c r="A23785" s="2">
        <v>43875.833993055552</v>
      </c>
      <c r="B23785" t="str">
        <f>HYPERLINK("https://twitter.com/sszki98","@sszki98")</f>
        <v>@sszki98</v>
      </c>
      <c r="C23785" t="s">
        <v>2444</v>
      </c>
      <c r="D23785">
        <v>2316</v>
      </c>
      <c r="E23785">
        <v>0</v>
      </c>
      <c r="F23785">
        <v>154</v>
      </c>
    </row>
    <row r="23786" spans="1:6" ht="12.75">
      <c r="A23786" s="2">
        <v>43875.833958333329</v>
      </c>
      <c r="B23786" t="str">
        <f>HYPERLINK("https://twitter.com/erwnner","@erwnner")</f>
        <v>@erwnner</v>
      </c>
      <c r="C23786" t="s">
        <v>10300</v>
      </c>
      <c r="D23786">
        <v>53</v>
      </c>
      <c r="E23786">
        <v>0</v>
      </c>
      <c r="F23786">
        <v>238</v>
      </c>
    </row>
    <row r="23787" spans="1:6" ht="12.75">
      <c r="A23787" s="2">
        <v>43875.83388888889</v>
      </c>
      <c r="B23787" t="str">
        <f>HYPERLINK("https://twitter.com/imTriani","@imTriani")</f>
        <v>@imTriani</v>
      </c>
      <c r="C23787" t="s">
        <v>2444</v>
      </c>
      <c r="D23787">
        <v>2316</v>
      </c>
      <c r="E23787">
        <v>0</v>
      </c>
      <c r="F23787">
        <v>3598</v>
      </c>
    </row>
    <row r="23788" spans="1:6" ht="12.75">
      <c r="A23788" s="2">
        <v>43875.833831018521</v>
      </c>
      <c r="B23788" t="str">
        <f>HYPERLINK("https://twitter.com/balkim99","@balkim99")</f>
        <v>@balkim99</v>
      </c>
      <c r="C23788" t="s">
        <v>2444</v>
      </c>
      <c r="D23788">
        <v>2316</v>
      </c>
      <c r="E23788">
        <v>0</v>
      </c>
      <c r="F23788">
        <v>1270</v>
      </c>
    </row>
    <row r="23789" spans="1:6" ht="12.75">
      <c r="A23789" s="2">
        <v>43875.833819444444</v>
      </c>
      <c r="B23789" t="str">
        <f>HYPERLINK("https://twitter.com/rygarizky","@rygarizky")</f>
        <v>@rygarizky</v>
      </c>
      <c r="C23789" t="s">
        <v>2444</v>
      </c>
      <c r="D23789">
        <v>2316</v>
      </c>
      <c r="E23789">
        <v>0</v>
      </c>
      <c r="F23789">
        <v>394</v>
      </c>
    </row>
    <row r="23790" spans="1:6" ht="12.75">
      <c r="A23790" s="2">
        <v>43875.833807870367</v>
      </c>
      <c r="B23790" t="str">
        <f>HYPERLINK("https://twitter.com/annainggi","@annainggi")</f>
        <v>@annainggi</v>
      </c>
      <c r="C23790" t="s">
        <v>11065</v>
      </c>
      <c r="D23790">
        <v>12</v>
      </c>
      <c r="E23790">
        <v>0</v>
      </c>
      <c r="F23790">
        <v>874</v>
      </c>
    </row>
    <row r="23791" spans="1:6" ht="12.75">
      <c r="A23791" s="2">
        <v>43875.833750000005</v>
      </c>
      <c r="B23791" t="str">
        <f>HYPERLINK("https://twitter.com/Erwintmsiregar","@Erwintmsiregar")</f>
        <v>@Erwintmsiregar</v>
      </c>
      <c r="C23791" t="s">
        <v>7373</v>
      </c>
      <c r="D23791">
        <v>74</v>
      </c>
      <c r="E23791">
        <v>0</v>
      </c>
      <c r="F23791">
        <v>49</v>
      </c>
    </row>
    <row r="23792" spans="1:6" ht="12.75">
      <c r="A23792" s="2">
        <v>43875.833726851852</v>
      </c>
      <c r="B23792" t="str">
        <f>HYPERLINK("https://twitter.com/yazid_fadhlan","@yazid_fadhlan")</f>
        <v>@yazid_fadhlan</v>
      </c>
      <c r="C23792" t="s">
        <v>11066</v>
      </c>
      <c r="D23792">
        <v>0</v>
      </c>
      <c r="E23792">
        <v>0</v>
      </c>
      <c r="F23792">
        <v>616</v>
      </c>
    </row>
    <row r="23793" spans="1:6" ht="12.75">
      <c r="A23793" s="2">
        <v>43875.833680555559</v>
      </c>
      <c r="B23793" t="str">
        <f>HYPERLINK("https://twitter.com/zahrul_46","@zahrul_46")</f>
        <v>@zahrul_46</v>
      </c>
      <c r="C23793" t="s">
        <v>5168</v>
      </c>
      <c r="D23793">
        <v>935</v>
      </c>
      <c r="E23793">
        <v>0</v>
      </c>
      <c r="F23793">
        <v>344</v>
      </c>
    </row>
    <row r="23794" spans="1:6" ht="12.75">
      <c r="A23794" s="2">
        <v>43875.833634259259</v>
      </c>
      <c r="B23794" t="str">
        <f>HYPERLINK("https://twitter.com/MileniaAriyati","@MileniaAriyati")</f>
        <v>@MileniaAriyati</v>
      </c>
      <c r="C23794" t="s">
        <v>2444</v>
      </c>
      <c r="D23794">
        <v>2316</v>
      </c>
      <c r="E23794">
        <v>0</v>
      </c>
      <c r="F23794">
        <v>692</v>
      </c>
    </row>
    <row r="23795" spans="1:6" ht="12.75">
      <c r="A23795" s="2">
        <v>43875.833634259259</v>
      </c>
      <c r="B23795" t="str">
        <f>HYPERLINK("https://twitter.com/barbaramhnvn","@barbaramhnvn")</f>
        <v>@barbaramhnvn</v>
      </c>
      <c r="C23795" t="s">
        <v>2444</v>
      </c>
      <c r="D23795">
        <v>2316</v>
      </c>
      <c r="E23795">
        <v>0</v>
      </c>
      <c r="F23795">
        <v>40</v>
      </c>
    </row>
    <row r="23796" spans="1:6" ht="12.75">
      <c r="A23796" s="2">
        <v>43875.833611111113</v>
      </c>
      <c r="B23796" t="str">
        <f>HYPERLINK("https://twitter.com/abahiyanfikri","@abahiyanfikri")</f>
        <v>@abahiyanfikri</v>
      </c>
      <c r="C23796" t="s">
        <v>6201</v>
      </c>
      <c r="D23796">
        <v>185</v>
      </c>
      <c r="E23796">
        <v>0</v>
      </c>
      <c r="F23796">
        <v>787</v>
      </c>
    </row>
    <row r="23797" spans="1:6" ht="12.75">
      <c r="A23797" s="2">
        <v>43875.83357638889</v>
      </c>
      <c r="B23797" t="str">
        <f>HYPERLINK("https://twitter.com/Dongane_Simbok","@Dongane_Simbok")</f>
        <v>@Dongane_Simbok</v>
      </c>
      <c r="C23797" t="s">
        <v>6201</v>
      </c>
      <c r="D23797">
        <v>185</v>
      </c>
      <c r="E23797">
        <v>0</v>
      </c>
      <c r="F23797">
        <v>816</v>
      </c>
    </row>
    <row r="23798" spans="1:6" ht="12.75">
      <c r="A23798" s="2">
        <v>43875.833530092597</v>
      </c>
      <c r="B23798" t="str">
        <f>HYPERLINK("https://twitter.com/Roni64831039","@Roni64831039")</f>
        <v>@Roni64831039</v>
      </c>
      <c r="C23798" t="s">
        <v>10520</v>
      </c>
      <c r="D23798">
        <v>9</v>
      </c>
      <c r="E23798">
        <v>0</v>
      </c>
      <c r="F23798">
        <v>166</v>
      </c>
    </row>
    <row r="23799" spans="1:6" ht="12.75">
      <c r="A23799" s="2">
        <v>43875.833518518513</v>
      </c>
      <c r="B23799" t="str">
        <f>HYPERLINK("https://twitter.com/fidyakemala","@fidyakemala")</f>
        <v>@fidyakemala</v>
      </c>
      <c r="C23799" t="s">
        <v>5168</v>
      </c>
      <c r="D23799">
        <v>935</v>
      </c>
      <c r="E23799">
        <v>0</v>
      </c>
      <c r="F23799">
        <v>416</v>
      </c>
    </row>
    <row r="23800" spans="1:6" ht="12.75">
      <c r="A23800" s="2">
        <v>43875.833437499998</v>
      </c>
      <c r="B23800" t="str">
        <f>HYPERLINK("https://twitter.com/temponewsroom","@temponewsroom")</f>
        <v>@temponewsroom</v>
      </c>
      <c r="C23800" t="s">
        <v>11067</v>
      </c>
      <c r="D23800">
        <v>8</v>
      </c>
      <c r="E23800">
        <v>0</v>
      </c>
      <c r="F23800">
        <v>739650</v>
      </c>
    </row>
    <row r="23801" spans="1:6" ht="12.75">
      <c r="A23801" s="2">
        <v>43875.833425925928</v>
      </c>
      <c r="B23801" t="str">
        <f>HYPERLINK("https://twitter.com/soorayy","@soorayy")</f>
        <v>@soorayy</v>
      </c>
      <c r="C23801" t="s">
        <v>2444</v>
      </c>
      <c r="D23801">
        <v>2316</v>
      </c>
      <c r="E23801">
        <v>0</v>
      </c>
      <c r="F23801">
        <v>580</v>
      </c>
    </row>
    <row r="23802" spans="1:6" ht="12.75">
      <c r="A23802" s="2">
        <v>43875.833356481482</v>
      </c>
      <c r="B23802" t="str">
        <f>HYPERLINK("https://twitter.com/kanuhate","@kanuhate")</f>
        <v>@kanuhate</v>
      </c>
      <c r="C23802" t="s">
        <v>2444</v>
      </c>
      <c r="D23802">
        <v>2316</v>
      </c>
      <c r="E23802">
        <v>0</v>
      </c>
      <c r="F23802">
        <v>752</v>
      </c>
    </row>
    <row r="23803" spans="1:6" ht="12.75">
      <c r="A23803" s="2">
        <v>43875.833344907413</v>
      </c>
      <c r="B23803" t="str">
        <f>HYPERLINK("https://twitter.com/rmol_id","@rmol_id")</f>
        <v>@rmol_id</v>
      </c>
      <c r="C23803" t="s">
        <v>11068</v>
      </c>
      <c r="D23803">
        <v>0</v>
      </c>
      <c r="E23803">
        <v>2</v>
      </c>
      <c r="F23803">
        <v>161036</v>
      </c>
    </row>
    <row r="23804" spans="1:6" ht="12.75">
      <c r="A23804" s="2">
        <v>43875.833333333328</v>
      </c>
      <c r="B23804" t="str">
        <f>HYPERLINK("https://twitter.com/mayzabielah","@mayzabielah")</f>
        <v>@mayzabielah</v>
      </c>
      <c r="C23804" t="s">
        <v>2444</v>
      </c>
      <c r="D23804">
        <v>2316</v>
      </c>
      <c r="E23804">
        <v>0</v>
      </c>
      <c r="F23804">
        <v>168</v>
      </c>
    </row>
    <row r="23805" spans="1:6" ht="12.75">
      <c r="A23805" s="2">
        <v>43875.833333333328</v>
      </c>
      <c r="B23805" t="str">
        <f>HYPERLINK("https://twitter.com/Lintas_MNCTV","@Lintas_MNCTV")</f>
        <v>@Lintas_MNCTV</v>
      </c>
      <c r="C23805" t="s">
        <v>11056</v>
      </c>
      <c r="D23805">
        <v>0</v>
      </c>
      <c r="E23805">
        <v>0</v>
      </c>
      <c r="F23805">
        <v>35905</v>
      </c>
    </row>
    <row r="23806" spans="1:6" ht="12.75">
      <c r="A23806" s="2">
        <v>43875.833321759259</v>
      </c>
      <c r="B23806" t="str">
        <f>HYPERLINK("https://twitter.com/LuniazAlHayyu","@LuniazAlHayyu")</f>
        <v>@LuniazAlHayyu</v>
      </c>
      <c r="C23806" t="s">
        <v>6201</v>
      </c>
      <c r="D23806">
        <v>185</v>
      </c>
      <c r="E23806">
        <v>0</v>
      </c>
      <c r="F23806">
        <v>91</v>
      </c>
    </row>
    <row r="23807" spans="1:6" ht="12.75">
      <c r="A23807" s="2">
        <v>43875.833321759259</v>
      </c>
      <c r="B23807" t="str">
        <f>HYPERLINK("https://twitter.com/ahmedhabsyi","@ahmedhabsyi")</f>
        <v>@ahmedhabsyi</v>
      </c>
      <c r="C23807" t="s">
        <v>10052</v>
      </c>
      <c r="D23807">
        <v>66</v>
      </c>
      <c r="E23807">
        <v>0</v>
      </c>
      <c r="F23807">
        <v>670</v>
      </c>
    </row>
    <row r="23808" spans="1:6" ht="12.75">
      <c r="A23808" s="2">
        <v>43875.833321759259</v>
      </c>
      <c r="B23808" t="str">
        <f>HYPERLINK("https://twitter.com/harsa84699286","@harsa84699286")</f>
        <v>@harsa84699286</v>
      </c>
      <c r="C23808" t="s">
        <v>11069</v>
      </c>
      <c r="D23808">
        <v>0</v>
      </c>
      <c r="E23808">
        <v>0</v>
      </c>
      <c r="F23808">
        <v>2165</v>
      </c>
    </row>
    <row r="23809" spans="1:6" ht="12.75">
      <c r="A23809" s="2">
        <v>43875.833310185189</v>
      </c>
      <c r="B23809" t="str">
        <f>HYPERLINK("https://twitter.com/Nijam_Arsyad","@Nijam_Arsyad")</f>
        <v>@Nijam_Arsyad</v>
      </c>
      <c r="C23809" t="s">
        <v>10096</v>
      </c>
      <c r="D23809">
        <v>164</v>
      </c>
      <c r="E23809">
        <v>0</v>
      </c>
      <c r="F23809">
        <v>301</v>
      </c>
    </row>
    <row r="23810" spans="1:6" ht="12.75">
      <c r="A23810" s="2">
        <v>43875.833275462966</v>
      </c>
      <c r="B23810" t="str">
        <f>HYPERLINK("https://twitter.com/AdvokatlK","@AdvokatlK")</f>
        <v>@AdvokatlK</v>
      </c>
      <c r="C23810" t="s">
        <v>2963</v>
      </c>
      <c r="D23810">
        <v>1061</v>
      </c>
      <c r="E23810">
        <v>0</v>
      </c>
      <c r="F23810">
        <v>6452</v>
      </c>
    </row>
    <row r="23811" spans="1:6" ht="12.75">
      <c r="A23811" s="2">
        <v>43875.833229166667</v>
      </c>
      <c r="B23811" t="str">
        <f>HYPERLINK("https://twitter.com/WenSid","@WenSid")</f>
        <v>@WenSid</v>
      </c>
      <c r="C23811" t="s">
        <v>6201</v>
      </c>
      <c r="D23811">
        <v>185</v>
      </c>
      <c r="E23811">
        <v>0</v>
      </c>
      <c r="F23811">
        <v>90</v>
      </c>
    </row>
    <row r="23812" spans="1:6" ht="12.75">
      <c r="A23812" s="2">
        <v>43875.833113425921</v>
      </c>
      <c r="B23812" t="str">
        <f>HYPERLINK("https://twitter.com/marSyaheedAS","@marSyaheedAS")</f>
        <v>@marSyaheedAS</v>
      </c>
      <c r="C23812" t="s">
        <v>6201</v>
      </c>
      <c r="D23812">
        <v>185</v>
      </c>
      <c r="E23812">
        <v>0</v>
      </c>
      <c r="F23812">
        <v>1935</v>
      </c>
    </row>
    <row r="23813" spans="1:6" ht="12.75">
      <c r="A23813" s="2">
        <v>43875.833078703705</v>
      </c>
      <c r="B23813" t="str">
        <f>HYPERLINK("https://twitter.com/adeadag1","@adeadag1")</f>
        <v>@adeadag1</v>
      </c>
      <c r="C23813" t="s">
        <v>9198</v>
      </c>
      <c r="D23813">
        <v>26</v>
      </c>
      <c r="E23813">
        <v>0</v>
      </c>
      <c r="F23813">
        <v>510</v>
      </c>
    </row>
    <row r="23814" spans="1:6" ht="12.75">
      <c r="A23814" s="2">
        <v>43875.832916666666</v>
      </c>
      <c r="B23814" t="str">
        <f>HYPERLINK("https://twitter.com/EndahPu72050200","@EndahPu72050200")</f>
        <v>@EndahPu72050200</v>
      </c>
      <c r="C23814" t="s">
        <v>6201</v>
      </c>
      <c r="D23814">
        <v>185</v>
      </c>
      <c r="E23814">
        <v>0</v>
      </c>
      <c r="F23814">
        <v>2</v>
      </c>
    </row>
    <row r="23815" spans="1:6" ht="12.75">
      <c r="A23815" s="2">
        <v>43875.832881944443</v>
      </c>
      <c r="B23815" t="str">
        <f>HYPERLINK("https://twitter.com/awalludino","@awalludino")</f>
        <v>@awalludino</v>
      </c>
      <c r="C23815" t="s">
        <v>7478</v>
      </c>
      <c r="D23815">
        <v>362</v>
      </c>
      <c r="E23815">
        <v>0</v>
      </c>
      <c r="F23815">
        <v>298</v>
      </c>
    </row>
    <row r="23816" spans="1:6" ht="12.75">
      <c r="A23816" s="2">
        <v>43875.832858796297</v>
      </c>
      <c r="B23816" t="str">
        <f>HYPERLINK("https://twitter.com/3_devout","@3_devout")</f>
        <v>@3_devout</v>
      </c>
      <c r="C23816" t="s">
        <v>8944</v>
      </c>
      <c r="D23816">
        <v>1</v>
      </c>
      <c r="E23816">
        <v>0</v>
      </c>
      <c r="F23816">
        <v>1033</v>
      </c>
    </row>
    <row r="23817" spans="1:6" ht="12.75">
      <c r="A23817" s="2">
        <v>43875.832824074074</v>
      </c>
      <c r="B23817" t="str">
        <f>HYPERLINK("https://twitter.com/Salman49672464","@Salman49672464")</f>
        <v>@Salman49672464</v>
      </c>
      <c r="C23817" t="s">
        <v>11070</v>
      </c>
      <c r="D23817">
        <v>0</v>
      </c>
      <c r="E23817">
        <v>0</v>
      </c>
      <c r="F23817">
        <v>793</v>
      </c>
    </row>
    <row r="23818" spans="1:6" ht="12.75">
      <c r="A23818" s="2">
        <v>43875.832650462966</v>
      </c>
      <c r="B23818" t="str">
        <f>HYPERLINK("https://twitter.com/icebearrrr97","@icebearrrr97")</f>
        <v>@icebearrrr97</v>
      </c>
      <c r="C23818" t="s">
        <v>2137</v>
      </c>
      <c r="D23818">
        <v>188</v>
      </c>
      <c r="E23818">
        <v>0</v>
      </c>
      <c r="F23818">
        <v>807</v>
      </c>
    </row>
    <row r="23819" spans="1:6" ht="12.75">
      <c r="A23819" s="2">
        <v>43875.832615740743</v>
      </c>
      <c r="B23819" t="str">
        <f>HYPERLINK("https://twitter.com/bezsediwla","@bezsediwla")</f>
        <v>@bezsediwla</v>
      </c>
      <c r="C23819" t="s">
        <v>2444</v>
      </c>
      <c r="D23819">
        <v>2316</v>
      </c>
      <c r="E23819">
        <v>0</v>
      </c>
      <c r="F23819">
        <v>396</v>
      </c>
    </row>
    <row r="23820" spans="1:6" ht="12.75">
      <c r="A23820" s="2">
        <v>43875.832604166666</v>
      </c>
      <c r="B23820" t="str">
        <f>HYPERLINK("https://twitter.com/saya__manusia","@saya__manusia")</f>
        <v>@saya__manusia</v>
      </c>
      <c r="C23820" t="s">
        <v>2444</v>
      </c>
      <c r="D23820">
        <v>2316</v>
      </c>
      <c r="E23820">
        <v>0</v>
      </c>
      <c r="F23820">
        <v>84</v>
      </c>
    </row>
    <row r="23821" spans="1:6" ht="12.75">
      <c r="A23821" s="2">
        <v>43875.832592592589</v>
      </c>
      <c r="B23821" t="str">
        <f>HYPERLINK("https://twitter.com/annainggi","@annainggi")</f>
        <v>@annainggi</v>
      </c>
      <c r="C23821" t="s">
        <v>11071</v>
      </c>
      <c r="D23821">
        <v>63</v>
      </c>
      <c r="E23821">
        <v>0</v>
      </c>
      <c r="F23821">
        <v>874</v>
      </c>
    </row>
    <row r="23822" spans="1:6" ht="12.75">
      <c r="A23822" s="2">
        <v>43875.832442129627</v>
      </c>
      <c r="B23822" t="str">
        <f>HYPERLINK("https://twitter.com/octavianimns","@octavianimns")</f>
        <v>@octavianimns</v>
      </c>
      <c r="C23822" t="s">
        <v>11072</v>
      </c>
      <c r="D23822">
        <v>0</v>
      </c>
      <c r="E23822">
        <v>0</v>
      </c>
      <c r="F23822">
        <v>941</v>
      </c>
    </row>
    <row r="23823" spans="1:6" ht="12.75">
      <c r="A23823" s="2">
        <v>43875.832418981481</v>
      </c>
      <c r="B23823" t="str">
        <f>HYPERLINK("https://twitter.com/SutamayasaI","@SutamayasaI")</f>
        <v>@SutamayasaI</v>
      </c>
      <c r="C23823" t="s">
        <v>11073</v>
      </c>
      <c r="D23823">
        <v>0</v>
      </c>
      <c r="E23823">
        <v>0</v>
      </c>
      <c r="F23823">
        <v>332</v>
      </c>
    </row>
    <row r="23824" spans="1:6" ht="12.75">
      <c r="A23824" s="2">
        <v>43875.832384259258</v>
      </c>
      <c r="B23824" t="str">
        <f>HYPERLINK("https://twitter.com/SariniDwi","@SariniDwi")</f>
        <v>@SariniDwi</v>
      </c>
      <c r="C23824" t="s">
        <v>11074</v>
      </c>
      <c r="D23824">
        <v>0</v>
      </c>
      <c r="E23824">
        <v>0</v>
      </c>
      <c r="F23824">
        <v>12</v>
      </c>
    </row>
    <row r="23825" spans="1:6" ht="12.75">
      <c r="A23825" s="2">
        <v>43875.832326388889</v>
      </c>
      <c r="B23825" t="str">
        <f>HYPERLINK("https://twitter.com/AnakKolong___","@AnakKolong___")</f>
        <v>@AnakKolong___</v>
      </c>
      <c r="C23825" t="s">
        <v>11075</v>
      </c>
      <c r="D23825">
        <v>1</v>
      </c>
      <c r="E23825">
        <v>0</v>
      </c>
      <c r="F23825">
        <v>5298</v>
      </c>
    </row>
    <row r="23826" spans="1:6" ht="12.75">
      <c r="A23826" s="2">
        <v>43875.832187499997</v>
      </c>
      <c r="B23826" t="str">
        <f>HYPERLINK("https://twitter.com/tsuchiyagin","@tsuchiyagin")</f>
        <v>@tsuchiyagin</v>
      </c>
      <c r="C23826" t="s">
        <v>2444</v>
      </c>
      <c r="D23826">
        <v>2316</v>
      </c>
      <c r="E23826">
        <v>0</v>
      </c>
      <c r="F23826">
        <v>379</v>
      </c>
    </row>
    <row r="23827" spans="1:6" ht="12.75">
      <c r="A23827" s="2">
        <v>43875.83216435185</v>
      </c>
      <c r="B23827" t="str">
        <f>HYPERLINK("https://twitter.com/Tiger_Bear17","@Tiger_Bear17")</f>
        <v>@Tiger_Bear17</v>
      </c>
      <c r="C23827" t="s">
        <v>9067</v>
      </c>
      <c r="D23827">
        <v>27</v>
      </c>
      <c r="E23827">
        <v>0</v>
      </c>
      <c r="F23827">
        <v>1021</v>
      </c>
    </row>
    <row r="23828" spans="1:6" ht="12.75">
      <c r="A23828" s="2">
        <v>43875.832129629634</v>
      </c>
      <c r="B23828" t="str">
        <f>HYPERLINK("https://twitter.com/btungka1997","@btungka1997")</f>
        <v>@btungka1997</v>
      </c>
      <c r="C23828" t="s">
        <v>11076</v>
      </c>
      <c r="D23828">
        <v>2</v>
      </c>
      <c r="E23828">
        <v>0</v>
      </c>
      <c r="F23828">
        <v>399</v>
      </c>
    </row>
    <row r="23829" spans="1:6" ht="12.75">
      <c r="A23829" s="2">
        <v>43875.83211805555</v>
      </c>
      <c r="B23829" t="str">
        <f>HYPERLINK("https://twitter.com/ardiwit","@ardiwit")</f>
        <v>@ardiwit</v>
      </c>
      <c r="C23829" t="s">
        <v>2444</v>
      </c>
      <c r="D23829">
        <v>2316</v>
      </c>
      <c r="E23829">
        <v>0</v>
      </c>
      <c r="F23829">
        <v>456</v>
      </c>
    </row>
    <row r="23830" spans="1:6" ht="12.75">
      <c r="A23830" s="2">
        <v>43875.832071759258</v>
      </c>
      <c r="B23830" t="str">
        <f>HYPERLINK("https://twitter.com/Rmachiatto","@Rmachiatto")</f>
        <v>@Rmachiatto</v>
      </c>
      <c r="C23830" t="s">
        <v>2444</v>
      </c>
      <c r="D23830">
        <v>2316</v>
      </c>
      <c r="E23830">
        <v>0</v>
      </c>
      <c r="F23830">
        <v>122</v>
      </c>
    </row>
    <row r="23831" spans="1:6" ht="12.75">
      <c r="A23831" s="2">
        <v>43875.832013888888</v>
      </c>
      <c r="B23831" t="str">
        <f>HYPERLINK("https://twitter.com/4re_bie","@4re_bie")</f>
        <v>@4re_bie</v>
      </c>
      <c r="C23831" t="s">
        <v>7478</v>
      </c>
      <c r="D23831">
        <v>362</v>
      </c>
      <c r="E23831">
        <v>0</v>
      </c>
      <c r="F23831">
        <v>347</v>
      </c>
    </row>
    <row r="23832" spans="1:6" ht="12.75">
      <c r="A23832" s="2">
        <v>43875.832002314812</v>
      </c>
      <c r="B23832" t="str">
        <f>HYPERLINK("https://twitter.com/aw3126","@aw3126")</f>
        <v>@aw3126</v>
      </c>
      <c r="C23832" t="s">
        <v>11077</v>
      </c>
      <c r="D23832">
        <v>0</v>
      </c>
      <c r="E23832">
        <v>0</v>
      </c>
      <c r="F23832">
        <v>687</v>
      </c>
    </row>
    <row r="23833" spans="1:6" ht="12.75">
      <c r="A23833" s="2">
        <v>43875.831921296296</v>
      </c>
      <c r="B23833" t="str">
        <f>HYPERLINK("https://twitter.com/MonteiiroTayza","@MonteiiroTayza")</f>
        <v>@MonteiiroTayza</v>
      </c>
      <c r="C23833" t="s">
        <v>11078</v>
      </c>
      <c r="D23833">
        <v>0</v>
      </c>
      <c r="E23833">
        <v>0</v>
      </c>
      <c r="F23833">
        <v>79</v>
      </c>
    </row>
    <row r="23834" spans="1:6" ht="12.75">
      <c r="A23834" s="2">
        <v>43875.831875000003</v>
      </c>
      <c r="B23834" t="str">
        <f>HYPERLINK("https://twitter.com/rullyypratamaa","@rullyypratamaa")</f>
        <v>@rullyypratamaa</v>
      </c>
      <c r="C23834" t="s">
        <v>2444</v>
      </c>
      <c r="D23834">
        <v>2316</v>
      </c>
      <c r="E23834">
        <v>0</v>
      </c>
      <c r="F23834">
        <v>513</v>
      </c>
    </row>
    <row r="23835" spans="1:6" ht="12.75">
      <c r="A23835" s="2">
        <v>43875.831759259258</v>
      </c>
      <c r="B23835" t="str">
        <f>HYPERLINK("https://twitter.com/SutamayasaI","@SutamayasaI")</f>
        <v>@SutamayasaI</v>
      </c>
      <c r="C23835" t="s">
        <v>10167</v>
      </c>
      <c r="D23835">
        <v>23</v>
      </c>
      <c r="E23835">
        <v>0</v>
      </c>
      <c r="F23835">
        <v>332</v>
      </c>
    </row>
    <row r="23836" spans="1:6" ht="12.75">
      <c r="A23836" s="2">
        <v>43875.831736111111</v>
      </c>
      <c r="B23836" t="str">
        <f>HYPERLINK("https://twitter.com/Jolanggg","@Jolanggg")</f>
        <v>@Jolanggg</v>
      </c>
      <c r="C23836" t="s">
        <v>5168</v>
      </c>
      <c r="D23836">
        <v>935</v>
      </c>
      <c r="E23836">
        <v>0</v>
      </c>
      <c r="F23836">
        <v>624</v>
      </c>
    </row>
    <row r="23837" spans="1:6" ht="12.75">
      <c r="A23837" s="2">
        <v>43875.831712962958</v>
      </c>
      <c r="B23837" t="str">
        <f>HYPERLINK("https://twitter.com/todayis_pat","@todayis_pat")</f>
        <v>@todayis_pat</v>
      </c>
      <c r="C23837" t="s">
        <v>9123</v>
      </c>
      <c r="D23837">
        <v>272</v>
      </c>
      <c r="E23837">
        <v>0</v>
      </c>
      <c r="F23837">
        <v>2409</v>
      </c>
    </row>
    <row r="23838" spans="1:6" ht="12.75">
      <c r="A23838" s="2">
        <v>43875.831678240742</v>
      </c>
      <c r="B23838" t="str">
        <f>HYPERLINK("https://twitter.com/erteyoyo","@erteyoyo")</f>
        <v>@erteyoyo</v>
      </c>
      <c r="C23838" t="s">
        <v>10096</v>
      </c>
      <c r="D23838">
        <v>164</v>
      </c>
      <c r="E23838">
        <v>0</v>
      </c>
      <c r="F23838">
        <v>982</v>
      </c>
    </row>
    <row r="23839" spans="1:6" ht="12.75">
      <c r="A23839" s="2">
        <v>43875.831678240742</v>
      </c>
      <c r="B23839" t="str">
        <f>HYPERLINK("https://twitter.com/ZivanaNesha","@ZivanaNesha")</f>
        <v>@ZivanaNesha</v>
      </c>
      <c r="C23839" t="s">
        <v>11079</v>
      </c>
      <c r="D23839">
        <v>39</v>
      </c>
      <c r="E23839">
        <v>0</v>
      </c>
      <c r="F23839">
        <v>13</v>
      </c>
    </row>
    <row r="23840" spans="1:6" ht="12.75">
      <c r="A23840" s="2">
        <v>43875.831678240742</v>
      </c>
      <c r="B23840" t="str">
        <f>HYPERLINK("https://twitter.com/HipHop74934648","@HipHop74934648")</f>
        <v>@HipHop74934648</v>
      </c>
      <c r="C23840" t="s">
        <v>11080</v>
      </c>
      <c r="D23840">
        <v>0</v>
      </c>
      <c r="E23840">
        <v>0</v>
      </c>
      <c r="F23840">
        <v>6360</v>
      </c>
    </row>
    <row r="23841" spans="1:6" ht="12.75">
      <c r="A23841" s="2">
        <v>43875.831527777773</v>
      </c>
      <c r="B23841" t="str">
        <f>HYPERLINK("https://twitter.com/midgard369","@midgard369")</f>
        <v>@midgard369</v>
      </c>
      <c r="C23841" t="s">
        <v>9198</v>
      </c>
      <c r="D23841">
        <v>26</v>
      </c>
      <c r="E23841">
        <v>0</v>
      </c>
      <c r="F23841">
        <v>2529</v>
      </c>
    </row>
    <row r="23842" spans="1:6" ht="12.75">
      <c r="A23842" s="2">
        <v>43875.831458333334</v>
      </c>
      <c r="B23842" t="str">
        <f>HYPERLINK("https://twitter.com/FatihAlAzzam2","@FatihAlAzzam2")</f>
        <v>@FatihAlAzzam2</v>
      </c>
      <c r="C23842" t="s">
        <v>6201</v>
      </c>
      <c r="D23842">
        <v>185</v>
      </c>
      <c r="E23842">
        <v>0</v>
      </c>
      <c r="F23842">
        <v>373</v>
      </c>
    </row>
    <row r="23843" spans="1:6" ht="12.75">
      <c r="A23843" s="2">
        <v>43875.831458333334</v>
      </c>
      <c r="B23843" t="str">
        <f>HYPERLINK("https://twitter.com/josephinina","@josephinina")</f>
        <v>@josephinina</v>
      </c>
      <c r="C23843" t="s">
        <v>9067</v>
      </c>
      <c r="D23843">
        <v>27</v>
      </c>
      <c r="E23843">
        <v>0</v>
      </c>
      <c r="F23843">
        <v>711</v>
      </c>
    </row>
    <row r="23844" spans="1:6" ht="12.75">
      <c r="A23844" s="2">
        <v>43875.831331018519</v>
      </c>
      <c r="B23844" t="str">
        <f>HYPERLINK("https://twitter.com/toastwheatbread","@toastwheatbread")</f>
        <v>@toastwheatbread</v>
      </c>
      <c r="C23844" t="s">
        <v>5168</v>
      </c>
      <c r="D23844">
        <v>935</v>
      </c>
      <c r="E23844">
        <v>0</v>
      </c>
      <c r="F23844">
        <v>355</v>
      </c>
    </row>
    <row r="23845" spans="1:6" ht="12.75">
      <c r="A23845" s="2">
        <v>43875.831331018519</v>
      </c>
      <c r="B23845" t="str">
        <f>HYPERLINK("https://twitter.com/galaluxy","@galaluxy")</f>
        <v>@galaluxy</v>
      </c>
      <c r="C23845" t="s">
        <v>2137</v>
      </c>
      <c r="D23845">
        <v>188</v>
      </c>
      <c r="E23845">
        <v>0</v>
      </c>
      <c r="F23845">
        <v>321</v>
      </c>
    </row>
    <row r="23846" spans="1:6" ht="12.75">
      <c r="A23846" s="2">
        <v>43875.831319444449</v>
      </c>
      <c r="B23846" t="str">
        <f>HYPERLINK("https://twitter.com/josephinina","@josephinina")</f>
        <v>@josephinina</v>
      </c>
      <c r="C23846" t="s">
        <v>2444</v>
      </c>
      <c r="D23846">
        <v>2316</v>
      </c>
      <c r="E23846">
        <v>0</v>
      </c>
      <c r="F23846">
        <v>711</v>
      </c>
    </row>
    <row r="23847" spans="1:6" ht="12.75">
      <c r="A23847" s="2">
        <v>43875.831053240741</v>
      </c>
      <c r="B23847" t="str">
        <f>HYPERLINK("https://twitter.com/dewaairmolewat","@dewaairmolewat")</f>
        <v>@dewaairmolewat</v>
      </c>
      <c r="C23847" t="s">
        <v>11081</v>
      </c>
      <c r="D23847">
        <v>7</v>
      </c>
      <c r="E23847">
        <v>0</v>
      </c>
      <c r="F23847">
        <v>5</v>
      </c>
    </row>
    <row r="23848" spans="1:6" ht="12.75">
      <c r="A23848" s="2">
        <v>43875.831053240741</v>
      </c>
      <c r="B23848" t="str">
        <f>HYPERLINK("https://twitter.com/not_sospecial","@not_sospecial")</f>
        <v>@not_sospecial</v>
      </c>
      <c r="C23848" t="s">
        <v>5168</v>
      </c>
      <c r="D23848">
        <v>935</v>
      </c>
      <c r="E23848">
        <v>0</v>
      </c>
      <c r="F23848">
        <v>125</v>
      </c>
    </row>
    <row r="23849" spans="1:6" ht="12.75">
      <c r="A23849" s="2">
        <v>43875.830937499995</v>
      </c>
      <c r="B23849" t="str">
        <f>HYPERLINK("https://twitter.com/chingurattes","@chingurattes")</f>
        <v>@chingurattes</v>
      </c>
      <c r="C23849" t="s">
        <v>2444</v>
      </c>
      <c r="D23849">
        <v>2316</v>
      </c>
      <c r="E23849">
        <v>0</v>
      </c>
      <c r="F23849">
        <v>1396</v>
      </c>
    </row>
    <row r="23850" spans="1:6" ht="12.75">
      <c r="A23850" s="2">
        <v>43875.830914351856</v>
      </c>
      <c r="B23850" t="str">
        <f>HYPERLINK("https://twitter.com/rintikrain","@rintikrain")</f>
        <v>@rintikrain</v>
      </c>
      <c r="C23850" t="s">
        <v>9964</v>
      </c>
      <c r="D23850">
        <v>628</v>
      </c>
      <c r="E23850">
        <v>0</v>
      </c>
      <c r="F23850">
        <v>294</v>
      </c>
    </row>
    <row r="23851" spans="1:6" ht="12.75">
      <c r="A23851" s="2">
        <v>43875.830775462964</v>
      </c>
      <c r="B23851" t="str">
        <f>HYPERLINK("https://twitter.com/luidarryl","@luidarryl")</f>
        <v>@luidarryl</v>
      </c>
      <c r="C23851" t="s">
        <v>2097</v>
      </c>
      <c r="D23851">
        <v>393</v>
      </c>
      <c r="E23851">
        <v>0</v>
      </c>
      <c r="F23851">
        <v>16</v>
      </c>
    </row>
    <row r="23852" spans="1:6" ht="12.75">
      <c r="A23852" s="2">
        <v>43875.830682870372</v>
      </c>
      <c r="B23852" t="str">
        <f>HYPERLINK("https://twitter.com/Aceseungyoun","@Aceseungyoun")</f>
        <v>@Aceseungyoun</v>
      </c>
      <c r="C23852" t="s">
        <v>2444</v>
      </c>
      <c r="D23852">
        <v>2316</v>
      </c>
      <c r="E23852">
        <v>0</v>
      </c>
      <c r="F23852">
        <v>939</v>
      </c>
    </row>
    <row r="23853" spans="1:6" ht="12.75">
      <c r="A23853" s="2">
        <v>43875.830625000002</v>
      </c>
      <c r="B23853" t="str">
        <f>HYPERLINK("https://twitter.com/nayeayeaye","@nayeayeaye")</f>
        <v>@nayeayeaye</v>
      </c>
      <c r="C23853" t="s">
        <v>7068</v>
      </c>
      <c r="D23853">
        <v>27</v>
      </c>
      <c r="E23853">
        <v>0</v>
      </c>
      <c r="F23853">
        <v>168</v>
      </c>
    </row>
    <row r="23854" spans="1:6" ht="12.75">
      <c r="A23854" s="2">
        <v>43875.830578703702</v>
      </c>
      <c r="B23854" t="str">
        <f>HYPERLINK("https://twitter.com/biciqkau","@biciqkau")</f>
        <v>@biciqkau</v>
      </c>
      <c r="C23854" t="s">
        <v>2137</v>
      </c>
      <c r="D23854">
        <v>188</v>
      </c>
      <c r="E23854">
        <v>0</v>
      </c>
      <c r="F23854">
        <v>125</v>
      </c>
    </row>
    <row r="23855" spans="1:6" ht="12.75">
      <c r="A23855" s="2">
        <v>43875.830451388887</v>
      </c>
      <c r="B23855" t="str">
        <f>HYPERLINK("https://twitter.com/kesehatan_pijat","@kesehatan_pijat")</f>
        <v>@kesehatan_pijat</v>
      </c>
      <c r="C23855" t="s">
        <v>11082</v>
      </c>
      <c r="D23855">
        <v>0</v>
      </c>
      <c r="E23855">
        <v>0</v>
      </c>
      <c r="F23855">
        <v>3846</v>
      </c>
    </row>
    <row r="23856" spans="1:6" ht="12.75">
      <c r="A23856" s="2">
        <v>43875.830335648148</v>
      </c>
      <c r="B23856" t="str">
        <f>HYPERLINK("https://twitter.com/Dellyhniez","@Dellyhniez")</f>
        <v>@Dellyhniez</v>
      </c>
      <c r="C23856" t="s">
        <v>11083</v>
      </c>
      <c r="D23856">
        <v>0</v>
      </c>
      <c r="E23856">
        <v>0</v>
      </c>
      <c r="F23856">
        <v>69</v>
      </c>
    </row>
    <row r="23857" spans="1:6" ht="12.75">
      <c r="A23857" s="2">
        <v>43875.830231481479</v>
      </c>
      <c r="B23857" t="str">
        <f>HYPERLINK("https://twitter.com/Rider_x99x","@Rider_x99x")</f>
        <v>@Rider_x99x</v>
      </c>
      <c r="C23857" t="s">
        <v>6201</v>
      </c>
      <c r="D23857">
        <v>185</v>
      </c>
      <c r="E23857">
        <v>0</v>
      </c>
      <c r="F23857">
        <v>33</v>
      </c>
    </row>
    <row r="23858" spans="1:6" ht="12.75">
      <c r="A23858" s="2">
        <v>43875.830104166671</v>
      </c>
      <c r="B23858" t="str">
        <f>HYPERLINK("https://twitter.com/boedakpop","@boedakpop")</f>
        <v>@boedakpop</v>
      </c>
      <c r="C23858" t="s">
        <v>10111</v>
      </c>
      <c r="D23858">
        <v>3</v>
      </c>
      <c r="E23858">
        <v>0</v>
      </c>
      <c r="F23858">
        <v>589</v>
      </c>
    </row>
    <row r="23859" spans="1:6" ht="12.75">
      <c r="A23859" s="2">
        <v>43875.830046296294</v>
      </c>
      <c r="B23859" t="str">
        <f>HYPERLINK("https://twitter.com/zahrul_46","@zahrul_46")</f>
        <v>@zahrul_46</v>
      </c>
      <c r="C23859" t="s">
        <v>2444</v>
      </c>
      <c r="D23859">
        <v>2316</v>
      </c>
      <c r="E23859">
        <v>0</v>
      </c>
      <c r="F23859">
        <v>344</v>
      </c>
    </row>
    <row r="23860" spans="1:6" ht="12.75">
      <c r="A23860" s="2">
        <v>43875.830034722225</v>
      </c>
      <c r="B23860" t="str">
        <f>HYPERLINK("https://twitter.com/AAR63028211","@AAR63028211")</f>
        <v>@AAR63028211</v>
      </c>
      <c r="C23860" t="s">
        <v>11084</v>
      </c>
      <c r="D23860">
        <v>0</v>
      </c>
      <c r="E23860">
        <v>0</v>
      </c>
      <c r="F23860">
        <v>195</v>
      </c>
    </row>
    <row r="23861" spans="1:6" ht="12.75">
      <c r="A23861" s="2">
        <v>43875.829965277779</v>
      </c>
      <c r="B23861" t="str">
        <f>HYPERLINK("https://twitter.com/kotaksegiempat","@kotaksegiempat")</f>
        <v>@kotaksegiempat</v>
      </c>
      <c r="C23861" t="s">
        <v>9746</v>
      </c>
      <c r="D23861">
        <v>329</v>
      </c>
      <c r="E23861">
        <v>0</v>
      </c>
      <c r="F23861">
        <v>1125</v>
      </c>
    </row>
    <row r="23862" spans="1:6" ht="12.75">
      <c r="A23862" s="2">
        <v>43875.829861111109</v>
      </c>
      <c r="B23862" t="str">
        <f>HYPERLINK("https://twitter.com/HanielPurbowo","@HanielPurbowo")</f>
        <v>@HanielPurbowo</v>
      </c>
      <c r="C23862" t="s">
        <v>2110</v>
      </c>
      <c r="D23862">
        <v>55</v>
      </c>
      <c r="E23862">
        <v>0</v>
      </c>
      <c r="F23862">
        <v>1019</v>
      </c>
    </row>
    <row r="23863" spans="1:6" ht="12.75">
      <c r="A23863" s="2">
        <v>43875.829548611116</v>
      </c>
      <c r="B23863" t="str">
        <f>HYPERLINK("https://twitter.com/szarafah","@szarafah")</f>
        <v>@szarafah</v>
      </c>
      <c r="C23863" t="s">
        <v>2444</v>
      </c>
      <c r="D23863">
        <v>2316</v>
      </c>
      <c r="E23863">
        <v>0</v>
      </c>
      <c r="F23863">
        <v>237</v>
      </c>
    </row>
    <row r="23864" spans="1:6" ht="12.75">
      <c r="A23864" s="2">
        <v>43875.829375000001</v>
      </c>
      <c r="B23864" t="str">
        <f>HYPERLINK("https://twitter.com/idaharjuno90","@idaharjuno90")</f>
        <v>@idaharjuno90</v>
      </c>
      <c r="C23864" t="s">
        <v>6201</v>
      </c>
      <c r="D23864">
        <v>185</v>
      </c>
      <c r="E23864">
        <v>0</v>
      </c>
      <c r="F23864">
        <v>494</v>
      </c>
    </row>
    <row r="23865" spans="1:6" ht="12.75">
      <c r="A23865" s="2">
        <v>43875.82913194444</v>
      </c>
      <c r="B23865" t="str">
        <f>HYPERLINK("https://twitter.com/chenecstacy","@chenecstacy")</f>
        <v>@chenecstacy</v>
      </c>
      <c r="C23865" t="s">
        <v>2444</v>
      </c>
      <c r="D23865">
        <v>2316</v>
      </c>
      <c r="E23865">
        <v>0</v>
      </c>
      <c r="F23865">
        <v>2825</v>
      </c>
    </row>
    <row r="23866" spans="1:6" ht="12.75">
      <c r="A23866" s="2">
        <v>43875.82913194444</v>
      </c>
      <c r="B23866" t="str">
        <f>HYPERLINK("https://twitter.com/kkkrnf","@kkkrnf")</f>
        <v>@kkkrnf</v>
      </c>
      <c r="C23866" t="s">
        <v>9113</v>
      </c>
      <c r="D23866">
        <v>305</v>
      </c>
      <c r="E23866">
        <v>0</v>
      </c>
      <c r="F23866">
        <v>235</v>
      </c>
    </row>
    <row r="23867" spans="1:6" ht="12.75">
      <c r="A23867" s="2">
        <v>43875.828993055555</v>
      </c>
      <c r="B23867" t="str">
        <f>HYPERLINK("https://twitter.com/apreiskagilang","@apreiskagilang")</f>
        <v>@apreiskagilang</v>
      </c>
      <c r="C23867" t="s">
        <v>9964</v>
      </c>
      <c r="D23867">
        <v>628</v>
      </c>
      <c r="E23867">
        <v>0</v>
      </c>
      <c r="F23867">
        <v>1236</v>
      </c>
    </row>
    <row r="23868" spans="1:6" ht="12.75">
      <c r="A23868" s="2">
        <v>43875.828969907408</v>
      </c>
      <c r="B23868" t="str">
        <f>HYPERLINK("https://twitter.com/wahyustr","@wahyustr")</f>
        <v>@wahyustr</v>
      </c>
      <c r="C23868" t="s">
        <v>11085</v>
      </c>
      <c r="D23868">
        <v>0</v>
      </c>
      <c r="E23868">
        <v>0</v>
      </c>
      <c r="F23868">
        <v>129</v>
      </c>
    </row>
    <row r="23869" spans="1:6" ht="12.75">
      <c r="A23869" s="2">
        <v>43875.828958333332</v>
      </c>
      <c r="B23869" t="str">
        <f>HYPERLINK("https://twitter.com/unameakuuu","@unameakuuu")</f>
        <v>@unameakuuu</v>
      </c>
      <c r="C23869" t="s">
        <v>11086</v>
      </c>
      <c r="D23869">
        <v>88</v>
      </c>
      <c r="E23869">
        <v>0</v>
      </c>
      <c r="F23869">
        <v>89</v>
      </c>
    </row>
    <row r="23870" spans="1:6" ht="12.75">
      <c r="A23870" s="2">
        <v>43875.828946759255</v>
      </c>
      <c r="B23870" t="str">
        <f>HYPERLINK("https://twitter.com/nebulaskies_","@nebulaskies_")</f>
        <v>@nebulaskies_</v>
      </c>
      <c r="C23870" t="s">
        <v>2444</v>
      </c>
      <c r="D23870">
        <v>2316</v>
      </c>
      <c r="E23870">
        <v>0</v>
      </c>
      <c r="F23870">
        <v>686</v>
      </c>
    </row>
    <row r="23871" spans="1:6" ht="12.75">
      <c r="A23871" s="2">
        <v>43875.828865740739</v>
      </c>
      <c r="B23871" t="str">
        <f>HYPERLINK("https://twitter.com/Fannytjio1","@Fannytjio1")</f>
        <v>@Fannytjio1</v>
      </c>
      <c r="C23871" t="s">
        <v>11087</v>
      </c>
      <c r="D23871">
        <v>12</v>
      </c>
      <c r="E23871">
        <v>0</v>
      </c>
      <c r="F23871">
        <v>37</v>
      </c>
    </row>
    <row r="23872" spans="1:6" ht="12.75">
      <c r="A23872" s="2">
        <v>43875.82880787037</v>
      </c>
      <c r="B23872" t="str">
        <f>HYPERLINK("https://twitter.com/mixmax2407","@mixmax2407")</f>
        <v>@mixmax2407</v>
      </c>
      <c r="C23872" t="s">
        <v>2444</v>
      </c>
      <c r="D23872">
        <v>2316</v>
      </c>
      <c r="E23872">
        <v>0</v>
      </c>
      <c r="F23872">
        <v>57</v>
      </c>
    </row>
    <row r="23873" spans="1:6" ht="12.75">
      <c r="A23873" s="2">
        <v>43875.828773148147</v>
      </c>
      <c r="B23873" t="str">
        <f>HYPERLINK("https://twitter.com/exomailaifu","@exomailaifu")</f>
        <v>@exomailaifu</v>
      </c>
      <c r="C23873" t="s">
        <v>2444</v>
      </c>
      <c r="D23873">
        <v>2316</v>
      </c>
      <c r="E23873">
        <v>0</v>
      </c>
      <c r="F23873">
        <v>95</v>
      </c>
    </row>
    <row r="23874" spans="1:6" ht="12.75">
      <c r="A23874" s="2">
        <v>43875.828738425931</v>
      </c>
      <c r="B23874" t="str">
        <f>HYPERLINK("https://twitter.com/TeddyLuis6","@TeddyLuis6")</f>
        <v>@TeddyLuis6</v>
      </c>
      <c r="C23874" t="s">
        <v>10866</v>
      </c>
      <c r="D23874">
        <v>182</v>
      </c>
      <c r="E23874">
        <v>0</v>
      </c>
      <c r="F23874">
        <v>2347</v>
      </c>
    </row>
    <row r="23875" spans="1:6" ht="12.75">
      <c r="A23875" s="2">
        <v>43875.828726851847</v>
      </c>
      <c r="B23875" t="str">
        <f>HYPERLINK("https://twitter.com/Fannytjio1","@Fannytjio1")</f>
        <v>@Fannytjio1</v>
      </c>
      <c r="C23875" t="s">
        <v>8233</v>
      </c>
      <c r="D23875">
        <v>504</v>
      </c>
      <c r="E23875">
        <v>0</v>
      </c>
      <c r="F23875">
        <v>37</v>
      </c>
    </row>
    <row r="23876" spans="1:6" ht="12.75">
      <c r="A23876" s="2">
        <v>43875.828703703708</v>
      </c>
      <c r="B23876" t="str">
        <f>HYPERLINK("https://twitter.com/AnnaMuin","@AnnaMuin")</f>
        <v>@AnnaMuin</v>
      </c>
      <c r="C23876" t="s">
        <v>10520</v>
      </c>
      <c r="D23876">
        <v>9</v>
      </c>
      <c r="E23876">
        <v>0</v>
      </c>
      <c r="F23876">
        <v>196</v>
      </c>
    </row>
    <row r="23877" spans="1:6" ht="12.75">
      <c r="A23877" s="2">
        <v>43875.828564814816</v>
      </c>
      <c r="B23877" t="str">
        <f>HYPERLINK("https://twitter.com/itoooyyy","@itoooyyy")</f>
        <v>@itoooyyy</v>
      </c>
      <c r="C23877" t="s">
        <v>2444</v>
      </c>
      <c r="D23877">
        <v>2317</v>
      </c>
      <c r="E23877">
        <v>0</v>
      </c>
      <c r="F23877">
        <v>379</v>
      </c>
    </row>
    <row r="23878" spans="1:6" ht="12.75">
      <c r="A23878" s="2">
        <v>43875.828553240739</v>
      </c>
      <c r="B23878" t="str">
        <f>HYPERLINK("https://twitter.com/Aku51458105","@Aku51458105")</f>
        <v>@Aku51458105</v>
      </c>
      <c r="C23878" t="s">
        <v>7888</v>
      </c>
      <c r="D23878">
        <v>21</v>
      </c>
      <c r="E23878">
        <v>0</v>
      </c>
      <c r="F23878">
        <v>104</v>
      </c>
    </row>
    <row r="23879" spans="1:6" ht="12.75">
      <c r="A23879" s="2">
        <v>43875.82849537037</v>
      </c>
      <c r="B23879" t="str">
        <f>HYPERLINK("https://twitter.com/fachrozi","@fachrozi")</f>
        <v>@fachrozi</v>
      </c>
      <c r="C23879" t="s">
        <v>2963</v>
      </c>
      <c r="D23879">
        <v>1061</v>
      </c>
      <c r="E23879">
        <v>0</v>
      </c>
      <c r="F23879">
        <v>329</v>
      </c>
    </row>
    <row r="23880" spans="1:6" ht="12.75">
      <c r="A23880" s="2">
        <v>43875.828460648147</v>
      </c>
      <c r="B23880" t="str">
        <f>HYPERLINK("https://twitter.com/kanichacabello","@kanichacabello")</f>
        <v>@kanichacabello</v>
      </c>
      <c r="C23880" t="s">
        <v>9123</v>
      </c>
      <c r="D23880">
        <v>272</v>
      </c>
      <c r="E23880">
        <v>0</v>
      </c>
      <c r="F23880">
        <v>1065</v>
      </c>
    </row>
    <row r="23881" spans="1:6" ht="12.75">
      <c r="A23881" s="2">
        <v>43875.828425925924</v>
      </c>
      <c r="B23881" t="str">
        <f>HYPERLINK("https://twitter.com/JhondoexlxG","@JhondoexlxG")</f>
        <v>@JhondoexlxG</v>
      </c>
      <c r="C23881" t="s">
        <v>8542</v>
      </c>
      <c r="D23881">
        <v>5</v>
      </c>
      <c r="E23881">
        <v>0</v>
      </c>
      <c r="F23881">
        <v>386</v>
      </c>
    </row>
    <row r="23882" spans="1:6" ht="12.75">
      <c r="A23882" s="2">
        <v>43875.828414351854</v>
      </c>
      <c r="B23882" t="str">
        <f>HYPERLINK("https://twitter.com/Hasyim33317161","@Hasyim33317161")</f>
        <v>@Hasyim33317161</v>
      </c>
      <c r="C23882" t="s">
        <v>11088</v>
      </c>
      <c r="D23882">
        <v>0</v>
      </c>
      <c r="E23882">
        <v>0</v>
      </c>
      <c r="F23882">
        <v>888</v>
      </c>
    </row>
    <row r="23883" spans="1:6" ht="12.75">
      <c r="A23883" s="2">
        <v>43875.828333333338</v>
      </c>
      <c r="B23883" t="str">
        <f>HYPERLINK("https://twitter.com/Adot1998","@Adot1998")</f>
        <v>@Adot1998</v>
      </c>
      <c r="C23883" t="s">
        <v>9732</v>
      </c>
      <c r="D23883">
        <v>59</v>
      </c>
      <c r="E23883">
        <v>0</v>
      </c>
      <c r="F23883">
        <v>15458</v>
      </c>
    </row>
    <row r="23884" spans="1:6" ht="12.75">
      <c r="A23884" s="2">
        <v>43875.828043981484</v>
      </c>
      <c r="B23884" t="str">
        <f>HYPERLINK("https://twitter.com/AlhadieLukman","@AlhadieLukman")</f>
        <v>@AlhadieLukman</v>
      </c>
      <c r="C23884" t="s">
        <v>11089</v>
      </c>
      <c r="D23884">
        <v>0</v>
      </c>
      <c r="E23884">
        <v>0</v>
      </c>
      <c r="F23884">
        <v>31</v>
      </c>
    </row>
    <row r="23885" spans="1:6" ht="12.75">
      <c r="A23885" s="2">
        <v>43875.827986111108</v>
      </c>
      <c r="B23885" t="str">
        <f>HYPERLINK("https://twitter.com/hiyahyae","@hiyahyae")</f>
        <v>@hiyahyae</v>
      </c>
      <c r="C23885" t="s">
        <v>2444</v>
      </c>
      <c r="D23885">
        <v>2317</v>
      </c>
      <c r="E23885">
        <v>0</v>
      </c>
      <c r="F23885">
        <v>312</v>
      </c>
    </row>
    <row r="23886" spans="1:6" ht="12.75">
      <c r="A23886" s="2">
        <v>43875.827962962961</v>
      </c>
      <c r="B23886" t="str">
        <f>HYPERLINK("https://twitter.com/hermansuwardi","@hermansuwardi")</f>
        <v>@hermansuwardi</v>
      </c>
      <c r="C23886" t="s">
        <v>11090</v>
      </c>
      <c r="D23886">
        <v>36</v>
      </c>
      <c r="E23886">
        <v>0</v>
      </c>
      <c r="F23886">
        <v>339</v>
      </c>
    </row>
    <row r="23887" spans="1:6" ht="12.75">
      <c r="A23887" s="2">
        <v>43875.827928240746</v>
      </c>
      <c r="B23887" t="str">
        <f>HYPERLINK("https://twitter.com/nayeayeaye","@nayeayeaye")</f>
        <v>@nayeayeaye</v>
      </c>
      <c r="C23887" t="s">
        <v>11091</v>
      </c>
      <c r="D23887">
        <v>0</v>
      </c>
      <c r="E23887">
        <v>0</v>
      </c>
      <c r="F23887">
        <v>168</v>
      </c>
    </row>
    <row r="23888" spans="1:6" ht="12.75">
      <c r="A23888" s="2">
        <v>43875.827870370369</v>
      </c>
      <c r="B23888" t="str">
        <f>HYPERLINK("https://twitter.com/IMRPintann","@IMRPintann")</f>
        <v>@IMRPintann</v>
      </c>
      <c r="C23888" t="s">
        <v>2444</v>
      </c>
      <c r="D23888">
        <v>2317</v>
      </c>
      <c r="E23888">
        <v>0</v>
      </c>
      <c r="F23888">
        <v>1624</v>
      </c>
    </row>
    <row r="23889" spans="1:6" ht="12.75">
      <c r="A23889" s="2">
        <v>43875.8278125</v>
      </c>
      <c r="B23889" t="str">
        <f>HYPERLINK("https://twitter.com/smolbanget","@smolbanget")</f>
        <v>@smolbanget</v>
      </c>
      <c r="C23889" t="s">
        <v>2444</v>
      </c>
      <c r="D23889">
        <v>2317</v>
      </c>
      <c r="E23889">
        <v>0</v>
      </c>
      <c r="F23889">
        <v>710</v>
      </c>
    </row>
    <row r="23890" spans="1:6" ht="12.75">
      <c r="A23890" s="2">
        <v>43875.827800925923</v>
      </c>
      <c r="B23890" t="str">
        <f>HYPERLINK("https://twitter.com/sfrdnsa","@sfrdnsa")</f>
        <v>@sfrdnsa</v>
      </c>
      <c r="C23890" t="s">
        <v>2444</v>
      </c>
      <c r="D23890">
        <v>2317</v>
      </c>
      <c r="E23890">
        <v>0</v>
      </c>
      <c r="F23890">
        <v>1095</v>
      </c>
    </row>
    <row r="23891" spans="1:6" ht="12.75">
      <c r="A23891" s="2">
        <v>43875.8277662037</v>
      </c>
      <c r="B23891" t="str">
        <f>HYPERLINK("https://twitter.com/zainpn","@zainpn")</f>
        <v>@zainpn</v>
      </c>
      <c r="C23891" t="s">
        <v>10422</v>
      </c>
      <c r="D23891">
        <v>104</v>
      </c>
      <c r="E23891">
        <v>0</v>
      </c>
      <c r="F23891">
        <v>268</v>
      </c>
    </row>
    <row r="23892" spans="1:6" ht="12.75">
      <c r="A23892" s="2">
        <v>43875.827581018515</v>
      </c>
      <c r="B23892" t="str">
        <f>HYPERLINK("https://twitter.com/AniesSubianto","@AniesSubianto")</f>
        <v>@AniesSubianto</v>
      </c>
      <c r="C23892" t="s">
        <v>8571</v>
      </c>
      <c r="D23892">
        <v>41</v>
      </c>
      <c r="E23892">
        <v>0</v>
      </c>
      <c r="F23892">
        <v>192</v>
      </c>
    </row>
    <row r="23893" spans="1:6" ht="12.75">
      <c r="A23893" s="2">
        <v>43875.827453703707</v>
      </c>
      <c r="B23893" t="str">
        <f>HYPERLINK("https://twitter.com/suaradotcom","@suaradotcom")</f>
        <v>@suaradotcom</v>
      </c>
      <c r="C23893" t="s">
        <v>11092</v>
      </c>
      <c r="D23893">
        <v>0</v>
      </c>
      <c r="E23893">
        <v>0</v>
      </c>
      <c r="F23893">
        <v>24157</v>
      </c>
    </row>
    <row r="23894" spans="1:6" ht="12.75">
      <c r="A23894" s="2">
        <v>43875.827372685184</v>
      </c>
      <c r="B23894" t="str">
        <f>HYPERLINK("https://twitter.com/annainggi","@annainggi")</f>
        <v>@annainggi</v>
      </c>
      <c r="C23894" t="s">
        <v>11093</v>
      </c>
      <c r="D23894">
        <v>2</v>
      </c>
      <c r="E23894">
        <v>0</v>
      </c>
      <c r="F23894">
        <v>874</v>
      </c>
    </row>
    <row r="23895" spans="1:6" ht="12.75">
      <c r="A23895" s="2">
        <v>43875.827303240745</v>
      </c>
      <c r="B23895" t="str">
        <f>HYPERLINK("https://twitter.com/Hendro25062486","@Hendro25062486")</f>
        <v>@Hendro25062486</v>
      </c>
      <c r="C23895" t="s">
        <v>7478</v>
      </c>
      <c r="D23895">
        <v>362</v>
      </c>
      <c r="E23895">
        <v>0</v>
      </c>
      <c r="F23895">
        <v>162</v>
      </c>
    </row>
    <row r="23896" spans="1:6" ht="12.75">
      <c r="A23896" s="2">
        <v>43875.827280092592</v>
      </c>
      <c r="B23896" t="str">
        <f>HYPERLINK("https://twitter.com/Sumarih2","@Sumarih2")</f>
        <v>@Sumarih2</v>
      </c>
      <c r="C23896" t="s">
        <v>6201</v>
      </c>
      <c r="D23896">
        <v>185</v>
      </c>
      <c r="E23896">
        <v>0</v>
      </c>
      <c r="F23896">
        <v>742</v>
      </c>
    </row>
    <row r="23897" spans="1:6" ht="12.75">
      <c r="A23897" s="2">
        <v>43875.827222222222</v>
      </c>
      <c r="B23897" t="str">
        <f>HYPERLINK("https://twitter.com/diannurilma","@diannurilma")</f>
        <v>@diannurilma</v>
      </c>
      <c r="C23897" t="s">
        <v>10027</v>
      </c>
      <c r="D23897">
        <v>2</v>
      </c>
      <c r="E23897">
        <v>0</v>
      </c>
      <c r="F23897">
        <v>408</v>
      </c>
    </row>
    <row r="23898" spans="1:6" ht="12.75">
      <c r="A23898" s="2">
        <v>43875.827175925922</v>
      </c>
      <c r="B23898" t="str">
        <f>HYPERLINK("https://twitter.com/mhrnoct","@mhrnoct")</f>
        <v>@mhrnoct</v>
      </c>
      <c r="C23898" t="s">
        <v>5168</v>
      </c>
      <c r="D23898">
        <v>935</v>
      </c>
      <c r="E23898">
        <v>0</v>
      </c>
      <c r="F23898">
        <v>32</v>
      </c>
    </row>
    <row r="23899" spans="1:6" ht="12.75">
      <c r="A23899" s="2">
        <v>43875.827164351853</v>
      </c>
      <c r="B23899" t="str">
        <f>HYPERLINK("https://twitter.com/annainggi","@annainggi")</f>
        <v>@annainggi</v>
      </c>
      <c r="C23899" t="s">
        <v>11094</v>
      </c>
      <c r="D23899">
        <v>2</v>
      </c>
      <c r="E23899">
        <v>0</v>
      </c>
      <c r="F23899">
        <v>874</v>
      </c>
    </row>
    <row r="23900" spans="1:6" ht="12.75">
      <c r="A23900" s="2">
        <v>43875.82712962963</v>
      </c>
      <c r="B23900" t="str">
        <f>HYPERLINK("https://twitter.com/AniesSubianto","@AniesSubianto")</f>
        <v>@AniesSubianto</v>
      </c>
      <c r="C23900" t="s">
        <v>9377</v>
      </c>
      <c r="D23900">
        <v>20</v>
      </c>
      <c r="E23900">
        <v>0</v>
      </c>
      <c r="F23900">
        <v>192</v>
      </c>
    </row>
    <row r="23901" spans="1:6" ht="12.75">
      <c r="A23901" s="2">
        <v>43875.827025462961</v>
      </c>
      <c r="B23901" t="str">
        <f>HYPERLINK("https://twitter.com/tupperware_emak","@tupperware_emak")</f>
        <v>@tupperware_emak</v>
      </c>
      <c r="C23901" t="s">
        <v>2444</v>
      </c>
      <c r="D23901">
        <v>2317</v>
      </c>
      <c r="E23901">
        <v>0</v>
      </c>
      <c r="F23901">
        <v>459</v>
      </c>
    </row>
    <row r="23902" spans="1:6" ht="12.75">
      <c r="A23902" s="2">
        <v>43875.826990740738</v>
      </c>
      <c r="B23902" t="str">
        <f>HYPERLINK("https://twitter.com/BagioSastro02","@BagioSastro02")</f>
        <v>@BagioSastro02</v>
      </c>
      <c r="C23902" t="s">
        <v>6201</v>
      </c>
      <c r="D23902">
        <v>185</v>
      </c>
      <c r="E23902">
        <v>0</v>
      </c>
      <c r="F23902">
        <v>1452</v>
      </c>
    </row>
    <row r="23903" spans="1:6" ht="12.75">
      <c r="A23903" s="2">
        <v>43875.826898148152</v>
      </c>
      <c r="B23903" t="str">
        <f>HYPERLINK("https://twitter.com/johanyulian","@johanyulian")</f>
        <v>@johanyulian</v>
      </c>
      <c r="C23903" t="s">
        <v>11095</v>
      </c>
      <c r="D23903">
        <v>30</v>
      </c>
      <c r="E23903">
        <v>0</v>
      </c>
      <c r="F23903">
        <v>138</v>
      </c>
    </row>
    <row r="23904" spans="1:6" ht="12.75">
      <c r="A23904" s="2">
        <v>43875.826886574076</v>
      </c>
      <c r="B23904" t="str">
        <f>HYPERLINK("https://twitter.com/FathulKhorib17","@FathulKhorib17")</f>
        <v>@FathulKhorib17</v>
      </c>
      <c r="C23904" t="s">
        <v>2444</v>
      </c>
      <c r="D23904">
        <v>2317</v>
      </c>
      <c r="E23904">
        <v>0</v>
      </c>
      <c r="F23904">
        <v>153</v>
      </c>
    </row>
    <row r="23905" spans="1:6" ht="12.75">
      <c r="A23905" s="2">
        <v>43875.826886574076</v>
      </c>
      <c r="B23905" t="str">
        <f>HYPERLINK("https://twitter.com/alvindaeee131","@alvindaeee131")</f>
        <v>@alvindaeee131</v>
      </c>
      <c r="C23905" t="s">
        <v>11096</v>
      </c>
      <c r="D23905">
        <v>0</v>
      </c>
      <c r="E23905">
        <v>0</v>
      </c>
      <c r="F23905">
        <v>639</v>
      </c>
    </row>
    <row r="23906" spans="1:6" ht="12.75">
      <c r="A23906" s="2">
        <v>43875.826863425929</v>
      </c>
      <c r="B23906" t="str">
        <f>HYPERLINK("https://twitter.com/didisuryokusumo","@didisuryokusumo")</f>
        <v>@didisuryokusumo</v>
      </c>
      <c r="C23906" t="s">
        <v>10866</v>
      </c>
      <c r="D23906">
        <v>182</v>
      </c>
      <c r="E23906">
        <v>0</v>
      </c>
      <c r="F23906">
        <v>3227</v>
      </c>
    </row>
    <row r="23907" spans="1:6" ht="12.75">
      <c r="A23907" s="2">
        <v>43875.826828703706</v>
      </c>
      <c r="B23907" t="str">
        <f t="shared" ref="B23907:B23908" si="340">HYPERLINK("https://twitter.com/HanielPurbowo","@HanielPurbowo")</f>
        <v>@HanielPurbowo</v>
      </c>
      <c r="C23907" t="s">
        <v>11097</v>
      </c>
      <c r="D23907">
        <v>0</v>
      </c>
      <c r="E23907">
        <v>0</v>
      </c>
      <c r="F23907">
        <v>1019</v>
      </c>
    </row>
    <row r="23908" spans="1:6" ht="12.75">
      <c r="A23908" s="2">
        <v>43875.826828703706</v>
      </c>
      <c r="B23908" t="str">
        <f t="shared" si="340"/>
        <v>@HanielPurbowo</v>
      </c>
      <c r="C23908" t="s">
        <v>11098</v>
      </c>
      <c r="D23908">
        <v>1</v>
      </c>
      <c r="E23908">
        <v>1</v>
      </c>
      <c r="F23908">
        <v>1019</v>
      </c>
    </row>
    <row r="23909" spans="1:6" ht="12.75">
      <c r="A23909" s="2">
        <v>43875.826805555553</v>
      </c>
      <c r="B23909" t="str">
        <f>HYPERLINK("https://twitter.com/2_devout","@2_devout")</f>
        <v>@2_devout</v>
      </c>
      <c r="C23909" t="s">
        <v>11099</v>
      </c>
      <c r="D23909">
        <v>1</v>
      </c>
      <c r="E23909">
        <v>0</v>
      </c>
      <c r="F23909">
        <v>388</v>
      </c>
    </row>
    <row r="23910" spans="1:6" ht="12.75">
      <c r="A23910" s="2">
        <v>43875.826712962968</v>
      </c>
      <c r="B23910" t="str">
        <f>HYPERLINK("https://twitter.com/agustinaade","@agustinaade")</f>
        <v>@agustinaade</v>
      </c>
      <c r="C23910" t="s">
        <v>2444</v>
      </c>
      <c r="D23910">
        <v>2317</v>
      </c>
      <c r="E23910">
        <v>0</v>
      </c>
      <c r="F23910">
        <v>208</v>
      </c>
    </row>
    <row r="23911" spans="1:6" ht="12.75">
      <c r="A23911" s="2">
        <v>43875.826504629629</v>
      </c>
      <c r="B23911" t="str">
        <f>HYPERLINK("https://twitter.com/gimanadonghmm","@gimanadonghmm")</f>
        <v>@gimanadonghmm</v>
      </c>
      <c r="C23911" t="s">
        <v>2444</v>
      </c>
      <c r="D23911">
        <v>2317</v>
      </c>
      <c r="E23911">
        <v>0</v>
      </c>
      <c r="F23911">
        <v>46</v>
      </c>
    </row>
    <row r="23912" spans="1:6" ht="12.75">
      <c r="A23912" s="2">
        <v>43875.826435185183</v>
      </c>
      <c r="B23912" t="str">
        <f>HYPERLINK("https://twitter.com/headpotatooo","@headpotatooo")</f>
        <v>@headpotatooo</v>
      </c>
      <c r="C23912" t="s">
        <v>2137</v>
      </c>
      <c r="D23912">
        <v>188</v>
      </c>
      <c r="E23912">
        <v>0</v>
      </c>
      <c r="F23912">
        <v>641</v>
      </c>
    </row>
    <row r="23913" spans="1:6" ht="12.75">
      <c r="A23913" s="2">
        <v>43875.826423611114</v>
      </c>
      <c r="B23913" t="str">
        <f>HYPERLINK("https://twitter.com/DRGSkillmydream","@DRGSkillmydream")</f>
        <v>@DRGSkillmydream</v>
      </c>
      <c r="C23913" t="s">
        <v>11100</v>
      </c>
      <c r="D23913">
        <v>0</v>
      </c>
      <c r="E23913">
        <v>0</v>
      </c>
      <c r="F23913">
        <v>15</v>
      </c>
    </row>
    <row r="23914" spans="1:6" ht="12.75">
      <c r="A23914" s="2">
        <v>43875.826319444444</v>
      </c>
      <c r="B23914" t="str">
        <f>HYPERLINK("https://twitter.com/elshafiya99","@elshafiya99")</f>
        <v>@elshafiya99</v>
      </c>
      <c r="C23914" t="s">
        <v>2444</v>
      </c>
      <c r="D23914">
        <v>2317</v>
      </c>
      <c r="E23914">
        <v>0</v>
      </c>
      <c r="F23914">
        <v>9</v>
      </c>
    </row>
    <row r="23915" spans="1:6" ht="12.75">
      <c r="A23915" s="2">
        <v>43875.826261574075</v>
      </c>
      <c r="B23915" t="str">
        <f>HYPERLINK("https://twitter.com/erteyoyo","@erteyoyo")</f>
        <v>@erteyoyo</v>
      </c>
      <c r="C23915" t="s">
        <v>10052</v>
      </c>
      <c r="D23915">
        <v>66</v>
      </c>
      <c r="E23915">
        <v>0</v>
      </c>
      <c r="F23915">
        <v>982</v>
      </c>
    </row>
    <row r="23916" spans="1:6" ht="12.75">
      <c r="A23916" s="2">
        <v>43875.826168981483</v>
      </c>
      <c r="B23916" t="str">
        <f>HYPERLINK("https://twitter.com/seyowonkyu","@seyowonkyu")</f>
        <v>@seyowonkyu</v>
      </c>
      <c r="C23916" t="s">
        <v>2444</v>
      </c>
      <c r="D23916">
        <v>2317</v>
      </c>
      <c r="E23916">
        <v>0</v>
      </c>
      <c r="F23916">
        <v>161</v>
      </c>
    </row>
    <row r="23917" spans="1:6" ht="12.75">
      <c r="A23917" s="2">
        <v>43875.82613425926</v>
      </c>
      <c r="B23917" t="str">
        <f>HYPERLINK("https://twitter.com/ChrisMokalu82","@ChrisMokalu82")</f>
        <v>@ChrisMokalu82</v>
      </c>
      <c r="C23917" t="s">
        <v>2963</v>
      </c>
      <c r="D23917">
        <v>1061</v>
      </c>
      <c r="E23917">
        <v>0</v>
      </c>
      <c r="F23917">
        <v>497</v>
      </c>
    </row>
    <row r="23918" spans="1:6" ht="12.75">
      <c r="A23918" s="2">
        <v>43875.825891203705</v>
      </c>
      <c r="B23918" t="str">
        <f>HYPERLINK("https://twitter.com/sudirwan_iwan","@sudirwan_iwan")</f>
        <v>@sudirwan_iwan</v>
      </c>
      <c r="C23918" t="s">
        <v>9198</v>
      </c>
      <c r="D23918">
        <v>26</v>
      </c>
      <c r="E23918">
        <v>0</v>
      </c>
      <c r="F23918">
        <v>20</v>
      </c>
    </row>
    <row r="23919" spans="1:6" ht="12.75">
      <c r="A23919" s="2">
        <v>43875.825752314813</v>
      </c>
      <c r="B23919" t="str">
        <f>HYPERLINK("https://twitter.com/mahmara","@mahmara")</f>
        <v>@mahmara</v>
      </c>
      <c r="C23919" t="s">
        <v>2963</v>
      </c>
      <c r="D23919">
        <v>1061</v>
      </c>
      <c r="E23919">
        <v>0</v>
      </c>
      <c r="F23919">
        <v>2205</v>
      </c>
    </row>
    <row r="23920" spans="1:6" ht="12.75">
      <c r="A23920" s="2">
        <v>43875.825578703705</v>
      </c>
      <c r="B23920" t="str">
        <f>HYPERLINK("https://twitter.com/savieragita","@savieragita")</f>
        <v>@savieragita</v>
      </c>
      <c r="C23920" t="s">
        <v>2444</v>
      </c>
      <c r="D23920">
        <v>2317</v>
      </c>
      <c r="E23920">
        <v>0</v>
      </c>
      <c r="F23920">
        <v>792</v>
      </c>
    </row>
    <row r="23921" spans="1:6" ht="12.75">
      <c r="A23921" s="2">
        <v>43875.82534722222</v>
      </c>
      <c r="B23921" t="str">
        <f>HYPERLINK("https://twitter.com/Ardi22M","@Ardi22M")</f>
        <v>@Ardi22M</v>
      </c>
      <c r="C23921" t="s">
        <v>9147</v>
      </c>
      <c r="D23921">
        <v>28</v>
      </c>
      <c r="E23921">
        <v>0</v>
      </c>
      <c r="F23921">
        <v>638</v>
      </c>
    </row>
    <row r="23922" spans="1:6" ht="12.75">
      <c r="A23922" s="2">
        <v>43875.825335648144</v>
      </c>
      <c r="B23922" t="str">
        <f>HYPERLINK("https://twitter.com/bpntry","@bpntry")</f>
        <v>@bpntry</v>
      </c>
      <c r="C23922" t="s">
        <v>5168</v>
      </c>
      <c r="D23922">
        <v>935</v>
      </c>
      <c r="E23922">
        <v>0</v>
      </c>
      <c r="F23922">
        <v>400</v>
      </c>
    </row>
    <row r="23923" spans="1:6" ht="12.75">
      <c r="A23923" s="2">
        <v>43875.825185185182</v>
      </c>
      <c r="B23923" t="str">
        <f>HYPERLINK("https://twitter.com/vivrepourmour","@vivrepourmour")</f>
        <v>@vivrepourmour</v>
      </c>
      <c r="C23923" t="s">
        <v>2444</v>
      </c>
      <c r="D23923">
        <v>2317</v>
      </c>
      <c r="E23923">
        <v>0</v>
      </c>
      <c r="F23923">
        <v>422</v>
      </c>
    </row>
    <row r="23924" spans="1:6" ht="12.75">
      <c r="A23924" s="2">
        <v>43875.825150462959</v>
      </c>
      <c r="B23924" t="str">
        <f>HYPERLINK("https://twitter.com/mediaindonesia","@mediaindonesia")</f>
        <v>@mediaindonesia</v>
      </c>
      <c r="C23924" t="s">
        <v>11101</v>
      </c>
      <c r="D23924">
        <v>0</v>
      </c>
      <c r="E23924">
        <v>1</v>
      </c>
      <c r="F23924">
        <v>1415817</v>
      </c>
    </row>
    <row r="23925" spans="1:6" ht="12.75">
      <c r="A23925" s="2">
        <v>43875.825115740736</v>
      </c>
      <c r="B23925" t="str">
        <f>HYPERLINK("https://twitter.com/cockxas","@cockxas")</f>
        <v>@cockxas</v>
      </c>
      <c r="C23925" t="s">
        <v>9964</v>
      </c>
      <c r="D23925">
        <v>628</v>
      </c>
      <c r="E23925">
        <v>0</v>
      </c>
      <c r="F23925">
        <v>167</v>
      </c>
    </row>
    <row r="23926" spans="1:6" ht="12.75">
      <c r="A23926" s="2">
        <v>43875.82476851852</v>
      </c>
      <c r="B23926" t="str">
        <f>HYPERLINK("https://twitter.com/gfrllyr","@gfrllyr")</f>
        <v>@gfrllyr</v>
      </c>
      <c r="C23926" t="s">
        <v>2444</v>
      </c>
      <c r="D23926">
        <v>2317</v>
      </c>
      <c r="E23926">
        <v>0</v>
      </c>
      <c r="F23926">
        <v>165</v>
      </c>
    </row>
    <row r="23927" spans="1:6" ht="12.75">
      <c r="A23927" s="2">
        <v>43875.824733796297</v>
      </c>
      <c r="B23927" t="str">
        <f>HYPERLINK("https://twitter.com/keas1980","@keas1980")</f>
        <v>@keas1980</v>
      </c>
      <c r="C23927" t="s">
        <v>2963</v>
      </c>
      <c r="D23927">
        <v>1061</v>
      </c>
      <c r="E23927">
        <v>0</v>
      </c>
      <c r="F23927">
        <v>78</v>
      </c>
    </row>
    <row r="23928" spans="1:6" ht="12.75">
      <c r="A23928" s="2">
        <v>43875.824722222227</v>
      </c>
      <c r="B23928" t="str">
        <f>HYPERLINK("https://twitter.com/lidiarosariona","@lidiarosariona")</f>
        <v>@lidiarosariona</v>
      </c>
      <c r="C23928" t="s">
        <v>9857</v>
      </c>
      <c r="D23928">
        <v>8</v>
      </c>
      <c r="E23928">
        <v>0</v>
      </c>
      <c r="F23928">
        <v>640</v>
      </c>
    </row>
    <row r="23929" spans="1:6" ht="12.75">
      <c r="A23929" s="2">
        <v>43875.824699074074</v>
      </c>
      <c r="B23929" t="str">
        <f>HYPERLINK("https://twitter.com/mindrii2","@mindrii2")</f>
        <v>@mindrii2</v>
      </c>
      <c r="C23929" t="s">
        <v>2444</v>
      </c>
      <c r="D23929">
        <v>2317</v>
      </c>
      <c r="E23929">
        <v>0</v>
      </c>
      <c r="F23929">
        <v>267</v>
      </c>
    </row>
    <row r="23930" spans="1:6" ht="12.75">
      <c r="A23930" s="2">
        <v>43875.824699074074</v>
      </c>
      <c r="B23930" t="str">
        <f>HYPERLINK("https://twitter.com/Safha03","@Safha03")</f>
        <v>@Safha03</v>
      </c>
      <c r="C23930" t="s">
        <v>2444</v>
      </c>
      <c r="D23930">
        <v>2317</v>
      </c>
      <c r="E23930">
        <v>0</v>
      </c>
      <c r="F23930">
        <v>135</v>
      </c>
    </row>
    <row r="23931" spans="1:6" ht="12.75">
      <c r="A23931" s="2">
        <v>43875.824687500004</v>
      </c>
      <c r="B23931" t="str">
        <f>HYPERLINK("https://twitter.com/dian_athena","@dian_athena")</f>
        <v>@dian_athena</v>
      </c>
      <c r="C23931" t="s">
        <v>6201</v>
      </c>
      <c r="D23931">
        <v>185</v>
      </c>
      <c r="E23931">
        <v>0</v>
      </c>
      <c r="F23931">
        <v>2460</v>
      </c>
    </row>
    <row r="23932" spans="1:6" ht="12.75">
      <c r="A23932" s="2">
        <v>43875.824641203704</v>
      </c>
      <c r="B23932" t="str">
        <f>HYPERLINK("https://twitter.com/ernaaabcd","@ernaaabcd")</f>
        <v>@ernaaabcd</v>
      </c>
      <c r="C23932" t="s">
        <v>2444</v>
      </c>
      <c r="D23932">
        <v>2317</v>
      </c>
      <c r="E23932">
        <v>0</v>
      </c>
      <c r="F23932">
        <v>6925</v>
      </c>
    </row>
    <row r="23933" spans="1:6" ht="12.75">
      <c r="A23933" s="2">
        <v>43875.824594907404</v>
      </c>
      <c r="B23933" t="str">
        <f>HYPERLINK("https://twitter.com/AcehSelatanSatu","@AcehSelatanSatu")</f>
        <v>@AcehSelatanSatu</v>
      </c>
      <c r="C23933" t="s">
        <v>9198</v>
      </c>
      <c r="D23933">
        <v>26</v>
      </c>
      <c r="E23933">
        <v>0</v>
      </c>
      <c r="F23933">
        <v>15029</v>
      </c>
    </row>
    <row r="23934" spans="1:6" ht="12.75">
      <c r="A23934" s="2">
        <v>43875.824583333335</v>
      </c>
      <c r="B23934" t="str">
        <f>HYPERLINK("https://twitter.com/sukmadiputri","@sukmadiputri")</f>
        <v>@sukmadiputri</v>
      </c>
      <c r="C23934" t="s">
        <v>2444</v>
      </c>
      <c r="D23934">
        <v>2317</v>
      </c>
      <c r="E23934">
        <v>0</v>
      </c>
      <c r="F23934">
        <v>627</v>
      </c>
    </row>
    <row r="23935" spans="1:6" ht="12.75">
      <c r="A23935" s="2">
        <v>43875.824560185181</v>
      </c>
      <c r="B23935" t="str">
        <f>HYPERLINK("https://twitter.com/filladella","@filladella")</f>
        <v>@filladella</v>
      </c>
      <c r="C23935" t="s">
        <v>7068</v>
      </c>
      <c r="D23935">
        <v>27</v>
      </c>
      <c r="E23935">
        <v>0</v>
      </c>
      <c r="F23935">
        <v>1400</v>
      </c>
    </row>
    <row r="23936" spans="1:6" ht="12.75">
      <c r="A23936" s="2">
        <v>43875.824548611112</v>
      </c>
      <c r="B23936" t="str">
        <f>HYPERLINK("https://twitter.com/kambeklagi__","@kambeklagi__")</f>
        <v>@kambeklagi__</v>
      </c>
      <c r="C23936" t="s">
        <v>2444</v>
      </c>
      <c r="D23936">
        <v>2317</v>
      </c>
      <c r="E23936">
        <v>0</v>
      </c>
      <c r="F23936">
        <v>55</v>
      </c>
    </row>
    <row r="23937" spans="1:6" ht="12.75">
      <c r="A23937" s="2">
        <v>43875.82435185185</v>
      </c>
      <c r="B23937" t="str">
        <f>HYPERLINK("https://twitter.com/Kellykusumah","@Kellykusumah")</f>
        <v>@Kellykusumah</v>
      </c>
      <c r="C23937" t="s">
        <v>10190</v>
      </c>
      <c r="D23937">
        <v>22</v>
      </c>
      <c r="E23937">
        <v>0</v>
      </c>
      <c r="F23937">
        <v>177</v>
      </c>
    </row>
    <row r="23938" spans="1:6" ht="12.75">
      <c r="A23938" s="2">
        <v>43875.824317129634</v>
      </c>
      <c r="B23938" t="str">
        <f>HYPERLINK("https://twitter.com/ainthyunjae","@ainthyunjae")</f>
        <v>@ainthyunjae</v>
      </c>
      <c r="C23938" t="s">
        <v>2444</v>
      </c>
      <c r="D23938">
        <v>2317</v>
      </c>
      <c r="E23938">
        <v>0</v>
      </c>
      <c r="F23938">
        <v>588</v>
      </c>
    </row>
    <row r="23939" spans="1:6" ht="12.75">
      <c r="A23939" s="2">
        <v>43875.82430555555</v>
      </c>
      <c r="B23939" t="str">
        <f>HYPERLINK("https://twitter.com/GesuriID","@GesuriID")</f>
        <v>@GesuriID</v>
      </c>
      <c r="C23939" t="s">
        <v>11102</v>
      </c>
      <c r="D23939">
        <v>0</v>
      </c>
      <c r="E23939">
        <v>0</v>
      </c>
      <c r="F23939">
        <v>197409</v>
      </c>
    </row>
    <row r="23940" spans="1:6" ht="12.75">
      <c r="A23940" s="2">
        <v>43875.824293981481</v>
      </c>
      <c r="B23940" t="str">
        <f>HYPERLINK("https://twitter.com/fafresima","@fafresima")</f>
        <v>@fafresima</v>
      </c>
      <c r="C23940" t="s">
        <v>11103</v>
      </c>
      <c r="D23940">
        <v>0</v>
      </c>
      <c r="E23940">
        <v>0</v>
      </c>
      <c r="F23940">
        <v>246</v>
      </c>
    </row>
    <row r="23941" spans="1:6" ht="12.75">
      <c r="A23941" s="2">
        <v>43875.824212962965</v>
      </c>
      <c r="B23941" t="str">
        <f>HYPERLINK("https://twitter.com/DcksnKmra47","@DcksnKmra47")</f>
        <v>@DcksnKmra47</v>
      </c>
      <c r="C23941" t="s">
        <v>8233</v>
      </c>
      <c r="D23941">
        <v>504</v>
      </c>
      <c r="E23941">
        <v>0</v>
      </c>
      <c r="F23941">
        <v>306</v>
      </c>
    </row>
    <row r="23942" spans="1:6" ht="12.75">
      <c r="A23942" s="2">
        <v>43875.824189814812</v>
      </c>
      <c r="B23942" t="str">
        <f>HYPERLINK("https://twitter.com/homeuknow","@homeuknow")</f>
        <v>@homeuknow</v>
      </c>
      <c r="C23942" t="s">
        <v>2963</v>
      </c>
      <c r="D23942">
        <v>1061</v>
      </c>
      <c r="E23942">
        <v>0</v>
      </c>
      <c r="F23942">
        <v>0</v>
      </c>
    </row>
    <row r="23943" spans="1:6" ht="12.75">
      <c r="A23943" s="2">
        <v>43875.824166666665</v>
      </c>
      <c r="B23943" t="str">
        <f>HYPERLINK("https://twitter.com/Rika_Silawati01","@Rika_Silawati01")</f>
        <v>@Rika_Silawati01</v>
      </c>
      <c r="C23943" t="s">
        <v>5168</v>
      </c>
      <c r="D23943">
        <v>935</v>
      </c>
      <c r="E23943">
        <v>0</v>
      </c>
      <c r="F23943">
        <v>86</v>
      </c>
    </row>
    <row r="23944" spans="1:6" ht="12.75">
      <c r="A23944" s="2">
        <v>43875.824155092589</v>
      </c>
      <c r="B23944" t="str">
        <f>HYPERLINK("https://twitter.com/ichaannischa","@ichaannischa")</f>
        <v>@ichaannischa</v>
      </c>
      <c r="C23944" t="s">
        <v>2444</v>
      </c>
      <c r="D23944">
        <v>2317</v>
      </c>
      <c r="E23944">
        <v>0</v>
      </c>
      <c r="F23944">
        <v>424</v>
      </c>
    </row>
    <row r="23945" spans="1:6" ht="12.75">
      <c r="A23945" s="2">
        <v>43875.823958333334</v>
      </c>
      <c r="B23945" t="str">
        <f>HYPERLINK("https://twitter.com/Mirae62981454","@Mirae62981454")</f>
        <v>@Mirae62981454</v>
      </c>
      <c r="C23945" t="s">
        <v>9377</v>
      </c>
      <c r="D23945">
        <v>20</v>
      </c>
      <c r="E23945">
        <v>0</v>
      </c>
      <c r="F23945">
        <v>333</v>
      </c>
    </row>
    <row r="23946" spans="1:6" ht="12.75">
      <c r="A23946" s="2">
        <v>43875.823900462958</v>
      </c>
      <c r="B23946" t="str">
        <f>HYPERLINK("https://twitter.com/devidchia","@devidchia")</f>
        <v>@devidchia</v>
      </c>
      <c r="C23946" t="s">
        <v>11104</v>
      </c>
      <c r="D23946">
        <v>0</v>
      </c>
      <c r="E23946">
        <v>0</v>
      </c>
      <c r="F23946">
        <v>23</v>
      </c>
    </row>
    <row r="23947" spans="1:6" ht="12.75">
      <c r="A23947" s="2">
        <v>43875.823888888888</v>
      </c>
      <c r="B23947" t="str">
        <f>HYPERLINK("https://twitter.com/areumdauneoyah","@areumdauneoyah")</f>
        <v>@areumdauneoyah</v>
      </c>
      <c r="C23947" t="s">
        <v>2444</v>
      </c>
      <c r="D23947">
        <v>2317</v>
      </c>
      <c r="E23947">
        <v>0</v>
      </c>
      <c r="F23947">
        <v>360</v>
      </c>
    </row>
    <row r="23948" spans="1:6" ht="12.75">
      <c r="A23948" s="2">
        <v>43875.823842592596</v>
      </c>
      <c r="B23948" t="str">
        <f>HYPERLINK("https://twitter.com/EllephantzD","@EllephantzD")</f>
        <v>@EllephantzD</v>
      </c>
      <c r="C23948" t="s">
        <v>6201</v>
      </c>
      <c r="D23948">
        <v>185</v>
      </c>
      <c r="E23948">
        <v>0</v>
      </c>
      <c r="F23948">
        <v>213</v>
      </c>
    </row>
    <row r="23949" spans="1:6" ht="12.75">
      <c r="A23949" s="2">
        <v>43875.823576388888</v>
      </c>
      <c r="B23949" t="str">
        <f>HYPERLINK("https://twitter.com/iantrucker","@iantrucker")</f>
        <v>@iantrucker</v>
      </c>
      <c r="C23949" t="s">
        <v>10801</v>
      </c>
      <c r="D23949">
        <v>6</v>
      </c>
      <c r="E23949">
        <v>0</v>
      </c>
      <c r="F23949">
        <v>340</v>
      </c>
    </row>
    <row r="23950" spans="1:6" ht="12.75">
      <c r="A23950" s="2">
        <v>43875.823518518519</v>
      </c>
      <c r="B23950" t="str">
        <f>HYPERLINK("https://twitter.com/fujadinar","@fujadinar")</f>
        <v>@fujadinar</v>
      </c>
      <c r="C23950" t="s">
        <v>8252</v>
      </c>
      <c r="D23950">
        <v>497</v>
      </c>
      <c r="E23950">
        <v>0</v>
      </c>
      <c r="F23950">
        <v>63</v>
      </c>
    </row>
    <row r="23951" spans="1:6" ht="12.75">
      <c r="A23951" s="2">
        <v>43875.823391203703</v>
      </c>
      <c r="B23951" t="str">
        <f>HYPERLINK("https://twitter.com/bmgyluv","@bmgyluv")</f>
        <v>@bmgyluv</v>
      </c>
      <c r="C23951" t="s">
        <v>9067</v>
      </c>
      <c r="D23951">
        <v>27</v>
      </c>
      <c r="E23951">
        <v>0</v>
      </c>
      <c r="F23951">
        <v>60</v>
      </c>
    </row>
    <row r="23952" spans="1:6" ht="12.75">
      <c r="A23952" s="2">
        <v>43875.823298611111</v>
      </c>
      <c r="B23952" t="str">
        <f>HYPERLINK("https://twitter.com/Haluan_","@Haluan_")</f>
        <v>@Haluan_</v>
      </c>
      <c r="C23952" t="s">
        <v>11105</v>
      </c>
      <c r="D23952">
        <v>0</v>
      </c>
      <c r="E23952">
        <v>0</v>
      </c>
      <c r="F23952">
        <v>1444</v>
      </c>
    </row>
    <row r="23953" spans="1:6" ht="12.75">
      <c r="A23953" s="2">
        <v>43875.823298611111</v>
      </c>
      <c r="B23953" t="str">
        <f>HYPERLINK("https://twitter.com/runtowoo_","@runtowoo_")</f>
        <v>@runtowoo_</v>
      </c>
      <c r="C23953" t="s">
        <v>2444</v>
      </c>
      <c r="D23953">
        <v>2317</v>
      </c>
      <c r="E23953">
        <v>0</v>
      </c>
      <c r="F23953">
        <v>924</v>
      </c>
    </row>
    <row r="23954" spans="1:6" ht="12.75">
      <c r="A23954" s="2">
        <v>43875.823252314818</v>
      </c>
      <c r="B23954" t="str">
        <f>HYPERLINK("https://twitter.com/De_rezha","@De_rezha")</f>
        <v>@De_rezha</v>
      </c>
      <c r="C23954" t="s">
        <v>11106</v>
      </c>
      <c r="D23954">
        <v>1</v>
      </c>
      <c r="E23954">
        <v>0</v>
      </c>
      <c r="F23954">
        <v>257</v>
      </c>
    </row>
    <row r="23955" spans="1:6" ht="12.75">
      <c r="A23955" s="2">
        <v>43875.823217592595</v>
      </c>
      <c r="B23955" t="str">
        <f>HYPERLINK("https://twitter.com/IbrahimTjokrod1","@IbrahimTjokrod1")</f>
        <v>@IbrahimTjokrod1</v>
      </c>
      <c r="C23955" t="s">
        <v>10589</v>
      </c>
      <c r="D23955">
        <v>0</v>
      </c>
      <c r="E23955">
        <v>0</v>
      </c>
      <c r="F23955">
        <v>6</v>
      </c>
    </row>
    <row r="23956" spans="1:6" ht="12.75">
      <c r="A23956" s="2">
        <v>43875.823159722218</v>
      </c>
      <c r="B23956" t="str">
        <f>HYPERLINK("https://twitter.com/rizki_kukur","@rizki_kukur")</f>
        <v>@rizki_kukur</v>
      </c>
      <c r="C23956" t="s">
        <v>2444</v>
      </c>
      <c r="D23956">
        <v>2317</v>
      </c>
      <c r="E23956">
        <v>0</v>
      </c>
      <c r="F23956">
        <v>354</v>
      </c>
    </row>
    <row r="23957" spans="1:6" ht="12.75">
      <c r="A23957" s="2">
        <v>43875.823124999995</v>
      </c>
      <c r="B23957" t="str">
        <f>HYPERLINK("https://twitter.com/oijap","@oijap")</f>
        <v>@oijap</v>
      </c>
      <c r="C23957" t="s">
        <v>2444</v>
      </c>
      <c r="D23957">
        <v>2317</v>
      </c>
      <c r="E23957">
        <v>0</v>
      </c>
      <c r="F23957">
        <v>6974</v>
      </c>
    </row>
    <row r="23958" spans="1:6" ht="12.75">
      <c r="A23958" s="2">
        <v>43875.82309027778</v>
      </c>
      <c r="B23958" t="str">
        <f>HYPERLINK("https://twitter.com/nosa_her","@nosa_her")</f>
        <v>@nosa_her</v>
      </c>
      <c r="C23958" t="s">
        <v>10422</v>
      </c>
      <c r="D23958">
        <v>104</v>
      </c>
      <c r="E23958">
        <v>0</v>
      </c>
      <c r="F23958">
        <v>72</v>
      </c>
    </row>
    <row r="23959" spans="1:6" ht="12.75">
      <c r="A23959" s="2">
        <v>43875.82304398148</v>
      </c>
      <c r="B23959" t="str">
        <f>HYPERLINK("https://twitter.com/swandywidjaja06","@swandywidjaja06")</f>
        <v>@swandywidjaja06</v>
      </c>
      <c r="C23959" t="s">
        <v>11107</v>
      </c>
      <c r="D23959">
        <v>1</v>
      </c>
      <c r="E23959">
        <v>0</v>
      </c>
      <c r="F23959">
        <v>240</v>
      </c>
    </row>
    <row r="23960" spans="1:6" ht="12.75">
      <c r="A23960" s="2">
        <v>43875.82304398148</v>
      </c>
      <c r="B23960" t="str">
        <f>HYPERLINK("https://twitter.com/arickdwif","@arickdwif")</f>
        <v>@arickdwif</v>
      </c>
      <c r="C23960" t="s">
        <v>2444</v>
      </c>
      <c r="D23960">
        <v>2317</v>
      </c>
      <c r="E23960">
        <v>0</v>
      </c>
      <c r="F23960">
        <v>100</v>
      </c>
    </row>
    <row r="23961" spans="1:6" ht="12.75">
      <c r="A23961" s="2">
        <v>43875.82303240741</v>
      </c>
      <c r="B23961" t="str">
        <f>HYPERLINK("https://twitter.com/fatheema_zein","@fatheema_zein")</f>
        <v>@fatheema_zein</v>
      </c>
      <c r="C23961" t="s">
        <v>9835</v>
      </c>
      <c r="D23961">
        <v>49</v>
      </c>
      <c r="E23961">
        <v>0</v>
      </c>
      <c r="F23961">
        <v>2193</v>
      </c>
    </row>
    <row r="23962" spans="1:6" ht="12.75">
      <c r="A23962" s="2">
        <v>43875.82298611111</v>
      </c>
      <c r="B23962" t="str">
        <f>HYPERLINK("https://twitter.com/kiki0721426","@kiki0721426")</f>
        <v>@kiki0721426</v>
      </c>
      <c r="C23962" t="s">
        <v>2444</v>
      </c>
      <c r="D23962">
        <v>2317</v>
      </c>
      <c r="E23962">
        <v>0</v>
      </c>
      <c r="F23962">
        <v>125</v>
      </c>
    </row>
    <row r="23963" spans="1:6" ht="12.75">
      <c r="A23963" s="2">
        <v>43875.822951388887</v>
      </c>
      <c r="B23963" t="str">
        <f>HYPERLINK("https://twitter.com/De_rezha","@De_rezha")</f>
        <v>@De_rezha</v>
      </c>
      <c r="C23963" t="s">
        <v>10845</v>
      </c>
      <c r="D23963">
        <v>2</v>
      </c>
      <c r="E23963">
        <v>0</v>
      </c>
      <c r="F23963">
        <v>257</v>
      </c>
    </row>
    <row r="23964" spans="1:6" ht="12.75">
      <c r="A23964" s="2">
        <v>43875.822858796295</v>
      </c>
      <c r="B23964" t="str">
        <f>HYPERLINK("https://twitter.com/vitaprs","@vitaprs")</f>
        <v>@vitaprs</v>
      </c>
      <c r="C23964" t="s">
        <v>2444</v>
      </c>
      <c r="D23964">
        <v>2317</v>
      </c>
      <c r="E23964">
        <v>0</v>
      </c>
      <c r="F23964">
        <v>988</v>
      </c>
    </row>
    <row r="23965" spans="1:6" ht="12.75">
      <c r="A23965" s="2">
        <v>43875.822824074072</v>
      </c>
      <c r="B23965" t="str">
        <f>HYPERLINK("https://twitter.com/hirraish","@hirraish")</f>
        <v>@hirraish</v>
      </c>
      <c r="C23965" t="s">
        <v>9964</v>
      </c>
      <c r="D23965">
        <v>628</v>
      </c>
      <c r="E23965">
        <v>0</v>
      </c>
      <c r="F23965">
        <v>86</v>
      </c>
    </row>
    <row r="23966" spans="1:6" ht="12.75">
      <c r="A23966" s="2">
        <v>43875.822754629626</v>
      </c>
      <c r="B23966" t="str">
        <f>HYPERLINK("https://twitter.com/nuniek52","@nuniek52")</f>
        <v>@nuniek52</v>
      </c>
      <c r="C23966" t="s">
        <v>2444</v>
      </c>
      <c r="D23966">
        <v>2317</v>
      </c>
      <c r="E23966">
        <v>0</v>
      </c>
      <c r="F23966">
        <v>294</v>
      </c>
    </row>
    <row r="23967" spans="1:6" ht="12.75">
      <c r="A23967" s="2">
        <v>43875.822743055556</v>
      </c>
      <c r="B23967" t="str">
        <f>HYPERLINK("https://twitter.com/FelipeSwanstAU","@FelipeSwanstAU")</f>
        <v>@FelipeSwanstAU</v>
      </c>
      <c r="C23967" t="s">
        <v>7888</v>
      </c>
      <c r="D23967">
        <v>21</v>
      </c>
      <c r="E23967">
        <v>0</v>
      </c>
      <c r="F23967">
        <v>840</v>
      </c>
    </row>
    <row r="23968" spans="1:6" ht="12.75">
      <c r="A23968" s="2">
        <v>43875.82267361111</v>
      </c>
      <c r="B23968" t="str">
        <f>HYPERLINK("https://twitter.com/KenHamur","@KenHamur")</f>
        <v>@KenHamur</v>
      </c>
      <c r="C23968" t="s">
        <v>11108</v>
      </c>
      <c r="D23968">
        <v>0</v>
      </c>
      <c r="E23968">
        <v>0</v>
      </c>
      <c r="F23968">
        <v>276</v>
      </c>
    </row>
    <row r="23969" spans="1:6" ht="12.75">
      <c r="A23969" s="2">
        <v>43875.822662037041</v>
      </c>
      <c r="B23969" t="str">
        <f>HYPERLINK("https://twitter.com/TIGERBLUEMOON","@TIGERBLUEMOON")</f>
        <v>@TIGERBLUEMOON</v>
      </c>
      <c r="C23969" t="s">
        <v>2444</v>
      </c>
      <c r="D23969">
        <v>2317</v>
      </c>
      <c r="E23969">
        <v>0</v>
      </c>
      <c r="F23969">
        <v>680</v>
      </c>
    </row>
    <row r="23970" spans="1:6" ht="12.75">
      <c r="A23970" s="2">
        <v>43875.822615740741</v>
      </c>
      <c r="B23970" t="str">
        <f>HYPERLINK("https://twitter.com/dkfvldksl_","@dkfvldksl_")</f>
        <v>@dkfvldksl_</v>
      </c>
      <c r="C23970" t="s">
        <v>5168</v>
      </c>
      <c r="D23970">
        <v>935</v>
      </c>
      <c r="E23970">
        <v>0</v>
      </c>
      <c r="F23970">
        <v>615</v>
      </c>
    </row>
    <row r="23971" spans="1:6" ht="12.75">
      <c r="A23971" s="2">
        <v>43875.822604166664</v>
      </c>
      <c r="B23971" t="str">
        <f>HYPERLINK("https://twitter.com/AwakMedanCoy","@AwakMedanCoy")</f>
        <v>@AwakMedanCoy</v>
      </c>
      <c r="C23971" t="s">
        <v>6201</v>
      </c>
      <c r="D23971">
        <v>185</v>
      </c>
      <c r="E23971">
        <v>0</v>
      </c>
      <c r="F23971">
        <v>4191</v>
      </c>
    </row>
    <row r="23972" spans="1:6" ht="12.75">
      <c r="A23972" s="2">
        <v>43875.822442129633</v>
      </c>
      <c r="B23972" t="str">
        <f>HYPERLINK("https://twitter.com/profatitty","@profatitty")</f>
        <v>@profatitty</v>
      </c>
      <c r="C23972" t="s">
        <v>11109</v>
      </c>
      <c r="D23972">
        <v>0</v>
      </c>
      <c r="E23972">
        <v>0</v>
      </c>
      <c r="F23972">
        <v>169</v>
      </c>
    </row>
    <row r="23973" spans="1:6" ht="12.75">
      <c r="A23973" s="2">
        <v>43875.822384259256</v>
      </c>
      <c r="B23973" t="str">
        <f>HYPERLINK("https://twitter.com/abdulalam_","@abdulalam_")</f>
        <v>@abdulalam_</v>
      </c>
      <c r="C23973" t="s">
        <v>2444</v>
      </c>
      <c r="D23973">
        <v>2317</v>
      </c>
      <c r="E23973">
        <v>0</v>
      </c>
      <c r="F23973">
        <v>289</v>
      </c>
    </row>
    <row r="23974" spans="1:6" ht="12.75">
      <c r="A23974" s="2">
        <v>43875.82236111111</v>
      </c>
      <c r="B23974" t="str">
        <f>HYPERLINK("https://twitter.com/waitingE_XIU_O","@waitingE_XIU_O")</f>
        <v>@waitingE_XIU_O</v>
      </c>
      <c r="C23974" t="s">
        <v>11024</v>
      </c>
      <c r="D23974">
        <v>13</v>
      </c>
      <c r="E23974">
        <v>0</v>
      </c>
      <c r="F23974">
        <v>2097</v>
      </c>
    </row>
    <row r="23975" spans="1:6" ht="12.75">
      <c r="A23975" s="2">
        <v>43875.82230324074</v>
      </c>
      <c r="B23975" t="str">
        <f>HYPERLINK("https://twitter.com/DianKum71289335","@DianKum71289335")</f>
        <v>@DianKum71289335</v>
      </c>
      <c r="C23975" t="s">
        <v>10589</v>
      </c>
      <c r="D23975">
        <v>0</v>
      </c>
      <c r="E23975">
        <v>0</v>
      </c>
      <c r="F23975">
        <v>2</v>
      </c>
    </row>
    <row r="23976" spans="1:6" ht="12.75">
      <c r="A23976" s="2">
        <v>43875.822233796294</v>
      </c>
      <c r="B23976" t="str">
        <f>HYPERLINK("https://twitter.com/Wahyonoeltech","@Wahyonoeltech")</f>
        <v>@Wahyonoeltech</v>
      </c>
      <c r="C23976" t="s">
        <v>9198</v>
      </c>
      <c r="D23976">
        <v>26</v>
      </c>
      <c r="E23976">
        <v>0</v>
      </c>
      <c r="F23976">
        <v>196</v>
      </c>
    </row>
    <row r="23977" spans="1:6" ht="12.75">
      <c r="A23977" s="2">
        <v>43875.822210648148</v>
      </c>
      <c r="B23977" t="str">
        <f>HYPERLINK("https://twitter.com/doremitae","@doremitae")</f>
        <v>@doremitae</v>
      </c>
      <c r="C23977" t="s">
        <v>5168</v>
      </c>
      <c r="D23977">
        <v>935</v>
      </c>
      <c r="E23977">
        <v>0</v>
      </c>
      <c r="F23977">
        <v>808</v>
      </c>
    </row>
    <row r="23978" spans="1:6" ht="12.75">
      <c r="A23978" s="2">
        <v>43875.822106481486</v>
      </c>
      <c r="B23978" t="str">
        <f>HYPERLINK("https://twitter.com/saturnhyuk","@saturnhyuk")</f>
        <v>@saturnhyuk</v>
      </c>
      <c r="C23978" t="s">
        <v>2444</v>
      </c>
      <c r="D23978">
        <v>2317</v>
      </c>
      <c r="E23978">
        <v>0</v>
      </c>
      <c r="F23978">
        <v>729</v>
      </c>
    </row>
    <row r="23979" spans="1:6" ht="12.75">
      <c r="A23979" s="2">
        <v>43875.822094907402</v>
      </c>
      <c r="B23979" t="str">
        <f>HYPERLINK("https://twitter.com/wahyuut64969196","@wahyuut64969196")</f>
        <v>@wahyuut64969196</v>
      </c>
      <c r="C23979" t="s">
        <v>11110</v>
      </c>
      <c r="D23979">
        <v>1</v>
      </c>
      <c r="E23979">
        <v>0</v>
      </c>
      <c r="F23979">
        <v>738</v>
      </c>
    </row>
    <row r="23980" spans="1:6" ht="12.75">
      <c r="A23980" s="2">
        <v>43875.822025462963</v>
      </c>
      <c r="B23980" t="str">
        <f>HYPERLINK("https://twitter.com/waitingE_XIU_O","@waitingE_XIU_O")</f>
        <v>@waitingE_XIU_O</v>
      </c>
      <c r="C23980" t="s">
        <v>11022</v>
      </c>
      <c r="D23980">
        <v>2</v>
      </c>
      <c r="E23980">
        <v>0</v>
      </c>
      <c r="F23980">
        <v>2097</v>
      </c>
    </row>
    <row r="23981" spans="1:6" ht="12.75">
      <c r="A23981" s="2">
        <v>43875.821956018517</v>
      </c>
      <c r="B23981" t="str">
        <f>HYPERLINK("https://twitter.com/jakaswa65626492","@jakaswa65626492")</f>
        <v>@jakaswa65626492</v>
      </c>
      <c r="C23981" t="s">
        <v>9746</v>
      </c>
      <c r="D23981">
        <v>329</v>
      </c>
      <c r="E23981">
        <v>0</v>
      </c>
      <c r="F23981">
        <v>368</v>
      </c>
    </row>
    <row r="23982" spans="1:6" ht="12.75">
      <c r="A23982" s="2">
        <v>43875.821956018517</v>
      </c>
      <c r="B23982" t="str">
        <f>HYPERLINK("https://twitter.com/ProfeFest","@ProfeFest")</f>
        <v>@ProfeFest</v>
      </c>
      <c r="C23982" t="s">
        <v>11111</v>
      </c>
      <c r="D23982">
        <v>0</v>
      </c>
      <c r="E23982">
        <v>0</v>
      </c>
      <c r="F23982">
        <v>184</v>
      </c>
    </row>
    <row r="23983" spans="1:6" ht="12.75">
      <c r="A23983" s="2">
        <v>43875.821898148148</v>
      </c>
      <c r="B23983" t="str">
        <f>HYPERLINK("https://twitter.com/wahyuut64969196","@wahyuut64969196")</f>
        <v>@wahyuut64969196</v>
      </c>
      <c r="C23983" t="s">
        <v>11112</v>
      </c>
      <c r="D23983">
        <v>0</v>
      </c>
      <c r="E23983">
        <v>0</v>
      </c>
      <c r="F23983">
        <v>738</v>
      </c>
    </row>
    <row r="23984" spans="1:6" ht="12.75">
      <c r="A23984" s="2">
        <v>43875.821817129632</v>
      </c>
      <c r="B23984" t="str">
        <f>HYPERLINK("https://twitter.com/senadisha","@senadisha")</f>
        <v>@senadisha</v>
      </c>
      <c r="C23984" t="s">
        <v>2444</v>
      </c>
      <c r="D23984">
        <v>2317</v>
      </c>
      <c r="E23984">
        <v>0</v>
      </c>
      <c r="F23984">
        <v>611</v>
      </c>
    </row>
    <row r="23985" spans="1:6" ht="12.75">
      <c r="A23985" s="2">
        <v>43875.821805555555</v>
      </c>
      <c r="B23985" t="str">
        <f>HYPERLINK("https://twitter.com/MuhammadAly07","@MuhammadAly07")</f>
        <v>@MuhammadAly07</v>
      </c>
      <c r="C23985" t="s">
        <v>2149</v>
      </c>
      <c r="D23985">
        <v>31</v>
      </c>
      <c r="E23985">
        <v>0</v>
      </c>
      <c r="F23985">
        <v>167</v>
      </c>
    </row>
    <row r="23986" spans="1:6" ht="12.75">
      <c r="A23986" s="2">
        <v>43875.821747685186</v>
      </c>
      <c r="B23986" t="str">
        <f>HYPERLINK("https://twitter.com/Ngambissyok","@Ngambissyok")</f>
        <v>@Ngambissyok</v>
      </c>
      <c r="C23986" t="s">
        <v>9123</v>
      </c>
      <c r="D23986">
        <v>272</v>
      </c>
      <c r="E23986">
        <v>0</v>
      </c>
      <c r="F23986">
        <v>328</v>
      </c>
    </row>
    <row r="23987" spans="1:6" ht="12.75">
      <c r="A23987" s="2">
        <v>43875.82166666667</v>
      </c>
      <c r="B23987" t="str">
        <f>HYPERLINK("https://twitter.com/parida_not","@parida_not")</f>
        <v>@parida_not</v>
      </c>
      <c r="C23987" t="s">
        <v>2444</v>
      </c>
      <c r="D23987">
        <v>2317</v>
      </c>
      <c r="E23987">
        <v>0</v>
      </c>
      <c r="F23987">
        <v>325</v>
      </c>
    </row>
    <row r="23988" spans="1:6" ht="12.75">
      <c r="A23988" s="2">
        <v>43875.821585648147</v>
      </c>
      <c r="B23988" t="str">
        <f>HYPERLINK("https://twitter.com/JuliAritonang3","@JuliAritonang3")</f>
        <v>@JuliAritonang3</v>
      </c>
      <c r="C23988" t="s">
        <v>7478</v>
      </c>
      <c r="D23988">
        <v>362</v>
      </c>
      <c r="E23988">
        <v>0</v>
      </c>
      <c r="F23988">
        <v>198</v>
      </c>
    </row>
    <row r="23989" spans="1:6" ht="12.75">
      <c r="A23989" s="2">
        <v>43875.821562500001</v>
      </c>
      <c r="B23989" t="str">
        <f>HYPERLINK("https://twitter.com/StalistS","@StalistS")</f>
        <v>@StalistS</v>
      </c>
      <c r="C23989" t="s">
        <v>7888</v>
      </c>
      <c r="D23989">
        <v>21</v>
      </c>
      <c r="E23989">
        <v>0</v>
      </c>
      <c r="F23989">
        <v>1804</v>
      </c>
    </row>
    <row r="23990" spans="1:6" ht="12.75">
      <c r="A23990" s="2">
        <v>43875.821562500001</v>
      </c>
      <c r="B23990" t="str">
        <f>HYPERLINK("https://twitter.com/gianmaldiniptr","@gianmaldiniptr")</f>
        <v>@gianmaldiniptr</v>
      </c>
      <c r="C23990" t="s">
        <v>2444</v>
      </c>
      <c r="D23990">
        <v>2317</v>
      </c>
      <c r="E23990">
        <v>0</v>
      </c>
      <c r="F23990">
        <v>606</v>
      </c>
    </row>
    <row r="23991" spans="1:6" ht="12.75">
      <c r="A23991" s="2">
        <v>43875.821458333332</v>
      </c>
      <c r="B23991" t="str">
        <f>HYPERLINK("https://twitter.com/ninoadi1978","@ninoadi1978")</f>
        <v>@ninoadi1978</v>
      </c>
      <c r="C23991" t="s">
        <v>10109</v>
      </c>
      <c r="D23991">
        <v>31</v>
      </c>
      <c r="E23991">
        <v>0</v>
      </c>
      <c r="F23991">
        <v>631</v>
      </c>
    </row>
    <row r="23992" spans="1:6" ht="12.75">
      <c r="A23992" s="2">
        <v>43875.821412037039</v>
      </c>
      <c r="B23992" t="str">
        <f>HYPERLINK("https://twitter.com/erteyoyo","@erteyoyo")</f>
        <v>@erteyoyo</v>
      </c>
      <c r="C23992" t="s">
        <v>6201</v>
      </c>
      <c r="D23992">
        <v>185</v>
      </c>
      <c r="E23992">
        <v>0</v>
      </c>
      <c r="F23992">
        <v>982</v>
      </c>
    </row>
    <row r="23993" spans="1:6" ht="12.75">
      <c r="A23993" s="2">
        <v>43875.821331018524</v>
      </c>
      <c r="B23993" t="str">
        <f>HYPERLINK("https://twitter.com/imamteguhp_","@imamteguhp_")</f>
        <v>@imamteguhp_</v>
      </c>
      <c r="C23993" t="s">
        <v>2444</v>
      </c>
      <c r="D23993">
        <v>2317</v>
      </c>
      <c r="E23993">
        <v>0</v>
      </c>
      <c r="F23993">
        <v>80</v>
      </c>
    </row>
    <row r="23994" spans="1:6" ht="12.75">
      <c r="A23994" s="2">
        <v>43875.821273148147</v>
      </c>
      <c r="B23994" t="str">
        <f>HYPERLINK("https://twitter.com/Elangrimba212","@Elangrimba212")</f>
        <v>@Elangrimba212</v>
      </c>
      <c r="C23994" t="s">
        <v>7478</v>
      </c>
      <c r="D23994">
        <v>362</v>
      </c>
      <c r="E23994">
        <v>0</v>
      </c>
      <c r="F23994">
        <v>153</v>
      </c>
    </row>
    <row r="23995" spans="1:6" ht="12.75">
      <c r="A23995" s="2">
        <v>43875.821250000001</v>
      </c>
      <c r="B23995" t="str">
        <f>HYPERLINK("https://twitter.com/im_rosy","@im_rosy")</f>
        <v>@im_rosy</v>
      </c>
      <c r="C23995" t="s">
        <v>2963</v>
      </c>
      <c r="D23995">
        <v>1061</v>
      </c>
      <c r="E23995">
        <v>0</v>
      </c>
      <c r="F23995">
        <v>84</v>
      </c>
    </row>
    <row r="23996" spans="1:6" ht="12.75">
      <c r="A23996" s="2">
        <v>43875.821111111116</v>
      </c>
      <c r="B23996" t="str">
        <f>HYPERLINK("https://twitter.com/ediblefeeln","@ediblefeeln")</f>
        <v>@ediblefeeln</v>
      </c>
      <c r="C23996" t="s">
        <v>5168</v>
      </c>
      <c r="D23996">
        <v>935</v>
      </c>
      <c r="E23996">
        <v>0</v>
      </c>
      <c r="F23996">
        <v>500</v>
      </c>
    </row>
    <row r="23997" spans="1:6" ht="12.75">
      <c r="A23997" s="2">
        <v>43875.821064814816</v>
      </c>
      <c r="B23997" t="str">
        <f>HYPERLINK("https://twitter.com/TikaAyuTriana","@TikaAyuTriana")</f>
        <v>@TikaAyuTriana</v>
      </c>
      <c r="C23997" t="s">
        <v>11113</v>
      </c>
      <c r="D23997">
        <v>56</v>
      </c>
      <c r="E23997">
        <v>0</v>
      </c>
      <c r="F23997">
        <v>105</v>
      </c>
    </row>
    <row r="23998" spans="1:6" ht="12.75">
      <c r="A23998" s="2">
        <v>43875.82104166667</v>
      </c>
      <c r="B23998" t="str">
        <f>HYPERLINK("https://twitter.com/rizki_kukur","@rizki_kukur")</f>
        <v>@rizki_kukur</v>
      </c>
      <c r="C23998" t="s">
        <v>5168</v>
      </c>
      <c r="D23998">
        <v>935</v>
      </c>
      <c r="E23998">
        <v>0</v>
      </c>
      <c r="F23998">
        <v>354</v>
      </c>
    </row>
    <row r="23999" spans="1:6" ht="12.75">
      <c r="A23999" s="2">
        <v>43875.82104166667</v>
      </c>
      <c r="B23999" t="str">
        <f>HYPERLINK("https://twitter.com/ramenkering","@ramenkering")</f>
        <v>@ramenkering</v>
      </c>
      <c r="C23999" t="s">
        <v>8394</v>
      </c>
      <c r="D23999">
        <v>37</v>
      </c>
      <c r="E23999">
        <v>0</v>
      </c>
      <c r="F23999">
        <v>139</v>
      </c>
    </row>
    <row r="24000" spans="1:6" ht="12.75">
      <c r="A24000" s="2">
        <v>43875.821030092593</v>
      </c>
      <c r="B24000" t="str">
        <f>HYPERLINK("https://twitter.com/zenoldgonzalez","@zenoldgonzalez")</f>
        <v>@zenoldgonzalez</v>
      </c>
      <c r="C24000" t="s">
        <v>7478</v>
      </c>
      <c r="D24000">
        <v>362</v>
      </c>
      <c r="E24000">
        <v>0</v>
      </c>
      <c r="F24000">
        <v>1891</v>
      </c>
    </row>
    <row r="24001" spans="1:6" ht="12.75">
      <c r="A24001" s="2">
        <v>43875.820937500001</v>
      </c>
      <c r="B24001" t="str">
        <f>HYPERLINK("https://twitter.com/Shadil10","@Shadil10")</f>
        <v>@Shadil10</v>
      </c>
      <c r="C24001" t="s">
        <v>2444</v>
      </c>
      <c r="D24001">
        <v>2317</v>
      </c>
      <c r="E24001">
        <v>0</v>
      </c>
      <c r="F24001">
        <v>708</v>
      </c>
    </row>
    <row r="24002" spans="1:6" ht="12.75">
      <c r="A24002" s="2">
        <v>43875.820729166662</v>
      </c>
      <c r="B24002" t="str">
        <f>HYPERLINK("https://twitter.com/yaranahika","@yaranahika")</f>
        <v>@yaranahika</v>
      </c>
      <c r="C24002" t="s">
        <v>2444</v>
      </c>
      <c r="D24002">
        <v>2317</v>
      </c>
      <c r="E24002">
        <v>0</v>
      </c>
      <c r="F24002">
        <v>27</v>
      </c>
    </row>
    <row r="24003" spans="1:6" ht="12.75">
      <c r="A24003" s="2">
        <v>43875.820729166662</v>
      </c>
      <c r="B24003" t="str">
        <f>HYPERLINK("https://twitter.com/nateurium","@nateurium")</f>
        <v>@nateurium</v>
      </c>
      <c r="C24003" t="s">
        <v>2444</v>
      </c>
      <c r="D24003">
        <v>2317</v>
      </c>
      <c r="E24003">
        <v>0</v>
      </c>
      <c r="F24003">
        <v>565</v>
      </c>
    </row>
    <row r="24004" spans="1:6" ht="12.75">
      <c r="A24004" s="2">
        <v>43875.820706018523</v>
      </c>
      <c r="B24004" t="str">
        <f>HYPERLINK("https://twitter.com/tiffanydheaa","@tiffanydheaa")</f>
        <v>@tiffanydheaa</v>
      </c>
      <c r="C24004" t="s">
        <v>5168</v>
      </c>
      <c r="D24004">
        <v>935</v>
      </c>
      <c r="E24004">
        <v>0</v>
      </c>
      <c r="F24004">
        <v>296</v>
      </c>
    </row>
    <row r="24005" spans="1:6" ht="12.75">
      <c r="A24005" s="2">
        <v>43875.820694444439</v>
      </c>
      <c r="B24005" t="str">
        <f>HYPERLINK("https://twitter.com/yayakultt","@yayakultt")</f>
        <v>@yayakultt</v>
      </c>
      <c r="C24005" t="s">
        <v>2444</v>
      </c>
      <c r="D24005">
        <v>2317</v>
      </c>
      <c r="E24005">
        <v>0</v>
      </c>
      <c r="F24005">
        <v>1292</v>
      </c>
    </row>
    <row r="24006" spans="1:6" ht="12.75">
      <c r="A24006" s="2">
        <v>43875.8206712963</v>
      </c>
      <c r="B24006" t="str">
        <f>HYPERLINK("https://twitter.com/w1LD_qwerty","@w1LD_qwerty")</f>
        <v>@w1LD_qwerty</v>
      </c>
      <c r="C24006" t="s">
        <v>9198</v>
      </c>
      <c r="D24006">
        <v>26</v>
      </c>
      <c r="E24006">
        <v>0</v>
      </c>
      <c r="F24006">
        <v>234</v>
      </c>
    </row>
    <row r="24007" spans="1:6" ht="12.75">
      <c r="A24007" s="2">
        <v>43875.8206712963</v>
      </c>
      <c r="B24007" t="str">
        <f>HYPERLINK("https://twitter.com/BagusSetyanto2","@BagusSetyanto2")</f>
        <v>@BagusSetyanto2</v>
      </c>
      <c r="C24007" t="s">
        <v>2963</v>
      </c>
      <c r="D24007">
        <v>1061</v>
      </c>
      <c r="E24007">
        <v>0</v>
      </c>
      <c r="F24007">
        <v>11</v>
      </c>
    </row>
    <row r="24008" spans="1:6" ht="12.75">
      <c r="A24008" s="2">
        <v>43875.820659722223</v>
      </c>
      <c r="B24008" t="str">
        <f>HYPERLINK("https://twitter.com/DeassyChandra","@DeassyChandra")</f>
        <v>@DeassyChandra</v>
      </c>
      <c r="C24008" t="s">
        <v>2963</v>
      </c>
      <c r="D24008">
        <v>1061</v>
      </c>
      <c r="E24008">
        <v>0</v>
      </c>
      <c r="F24008">
        <v>10408</v>
      </c>
    </row>
    <row r="24009" spans="1:6" ht="12.75">
      <c r="A24009" s="2">
        <v>43875.8205787037</v>
      </c>
      <c r="B24009" t="str">
        <f>HYPERLINK("https://twitter.com/mastan_73","@mastan_73")</f>
        <v>@mastan_73</v>
      </c>
      <c r="C24009" t="s">
        <v>9947</v>
      </c>
      <c r="D24009">
        <v>340</v>
      </c>
      <c r="E24009">
        <v>0</v>
      </c>
      <c r="F24009">
        <v>147</v>
      </c>
    </row>
    <row r="24010" spans="1:6" ht="12.75">
      <c r="A24010" s="2">
        <v>43875.820509259254</v>
      </c>
      <c r="B24010" t="str">
        <f>HYPERLINK("https://twitter.com/ArdhiJunud","@ArdhiJunud")</f>
        <v>@ArdhiJunud</v>
      </c>
      <c r="C24010" t="s">
        <v>9198</v>
      </c>
      <c r="D24010">
        <v>26</v>
      </c>
      <c r="E24010">
        <v>0</v>
      </c>
      <c r="F24010">
        <v>11</v>
      </c>
    </row>
    <row r="24011" spans="1:6" ht="12.75">
      <c r="A24011" s="2">
        <v>43875.820462962962</v>
      </c>
      <c r="B24011" t="str">
        <f>HYPERLINK("https://twitter.com/2dibukaB","@2dibukaB")</f>
        <v>@2dibukaB</v>
      </c>
      <c r="C24011" t="s">
        <v>6201</v>
      </c>
      <c r="D24011">
        <v>185</v>
      </c>
      <c r="E24011">
        <v>0</v>
      </c>
      <c r="F24011">
        <v>1537</v>
      </c>
    </row>
    <row r="24012" spans="1:6" ht="12.75">
      <c r="A24012" s="2">
        <v>43875.820416666669</v>
      </c>
      <c r="B24012" t="str">
        <f>HYPERLINK("https://twitter.com/ayenjeonginlove","@ayenjeonginlove")</f>
        <v>@ayenjeonginlove</v>
      </c>
      <c r="C24012" t="s">
        <v>2444</v>
      </c>
      <c r="D24012">
        <v>2317</v>
      </c>
      <c r="E24012">
        <v>0</v>
      </c>
      <c r="F24012">
        <v>1380</v>
      </c>
    </row>
    <row r="24013" spans="1:6" ht="12.75">
      <c r="A24013" s="2">
        <v>43875.82030092593</v>
      </c>
      <c r="B24013" t="str">
        <f>HYPERLINK("https://twitter.com/merdeka_lia","@merdeka_lia")</f>
        <v>@merdeka_lia</v>
      </c>
      <c r="C24013" t="s">
        <v>2444</v>
      </c>
      <c r="D24013">
        <v>2317</v>
      </c>
      <c r="E24013">
        <v>0</v>
      </c>
      <c r="F24013">
        <v>2423</v>
      </c>
    </row>
    <row r="24014" spans="1:6" ht="12.75">
      <c r="A24014" s="2">
        <v>43875.820208333331</v>
      </c>
      <c r="B24014" t="str">
        <f>HYPERLINK("https://twitter.com/OI33jl","@OI33jl")</f>
        <v>@OI33jl</v>
      </c>
      <c r="C24014" t="s">
        <v>10096</v>
      </c>
      <c r="D24014">
        <v>164</v>
      </c>
      <c r="E24014">
        <v>0</v>
      </c>
      <c r="F24014">
        <v>723</v>
      </c>
    </row>
    <row r="24015" spans="1:6" ht="12.75">
      <c r="A24015" s="2">
        <v>43875.820115740746</v>
      </c>
      <c r="B24015" t="str">
        <f>HYPERLINK("https://twitter.com/gonkcil","@gonkcil")</f>
        <v>@gonkcil</v>
      </c>
      <c r="C24015" t="s">
        <v>11114</v>
      </c>
      <c r="D24015">
        <v>0</v>
      </c>
      <c r="E24015">
        <v>0</v>
      </c>
      <c r="F24015">
        <v>148</v>
      </c>
    </row>
    <row r="24016" spans="1:6" ht="12.75">
      <c r="A24016" s="2">
        <v>43875.820104166662</v>
      </c>
      <c r="B24016" t="str">
        <f>HYPERLINK("https://twitter.com/cadarmerah","@cadarmerah")</f>
        <v>@cadarmerah</v>
      </c>
      <c r="C24016" t="s">
        <v>10083</v>
      </c>
      <c r="D24016">
        <v>24</v>
      </c>
      <c r="E24016">
        <v>0</v>
      </c>
      <c r="F24016">
        <v>5653</v>
      </c>
    </row>
    <row r="24017" spans="1:6" ht="12.75">
      <c r="A24017" s="2">
        <v>43875.820092592592</v>
      </c>
      <c r="B24017" t="str">
        <f>HYPERLINK("https://twitter.com/kafiradikal","@kafiradikal")</f>
        <v>@kafiradikal</v>
      </c>
      <c r="C24017" t="s">
        <v>11115</v>
      </c>
      <c r="D24017">
        <v>0</v>
      </c>
      <c r="E24017">
        <v>0</v>
      </c>
      <c r="F24017">
        <v>18884</v>
      </c>
    </row>
    <row r="24018" spans="1:6" ht="12.75">
      <c r="A24018" s="2">
        <v>43875.820034722223</v>
      </c>
      <c r="B24018" t="str">
        <f>HYPERLINK("https://twitter.com/olgafeb","@olgafeb")</f>
        <v>@olgafeb</v>
      </c>
      <c r="C24018" t="s">
        <v>2444</v>
      </c>
      <c r="D24018">
        <v>2317</v>
      </c>
      <c r="E24018">
        <v>0</v>
      </c>
      <c r="F24018">
        <v>277</v>
      </c>
    </row>
    <row r="24019" spans="1:6" ht="12.75">
      <c r="A24019" s="2">
        <v>43875.819965277777</v>
      </c>
      <c r="B24019" t="str">
        <f>HYPERLINK("https://twitter.com/cadarmerah","@cadarmerah")</f>
        <v>@cadarmerah</v>
      </c>
      <c r="C24019" t="s">
        <v>11116</v>
      </c>
      <c r="D24019">
        <v>3</v>
      </c>
      <c r="E24019">
        <v>0</v>
      </c>
      <c r="F24019">
        <v>5653</v>
      </c>
    </row>
    <row r="24020" spans="1:6" ht="12.75">
      <c r="A24020" s="2">
        <v>43875.819895833338</v>
      </c>
      <c r="B24020" t="str">
        <f>HYPERLINK("https://twitter.com/joonhoswift","@joonhoswift")</f>
        <v>@joonhoswift</v>
      </c>
      <c r="C24020" t="s">
        <v>9123</v>
      </c>
      <c r="D24020">
        <v>272</v>
      </c>
      <c r="E24020">
        <v>0</v>
      </c>
      <c r="F24020">
        <v>422</v>
      </c>
    </row>
    <row r="24021" spans="1:6" ht="12.75">
      <c r="A24021" s="2">
        <v>43875.819861111115</v>
      </c>
      <c r="B24021" t="str">
        <f>HYPERLINK("https://twitter.com/Baskhara8","@Baskhara8")</f>
        <v>@Baskhara8</v>
      </c>
      <c r="C24021" t="s">
        <v>9198</v>
      </c>
      <c r="D24021">
        <v>26</v>
      </c>
      <c r="E24021">
        <v>0</v>
      </c>
      <c r="F24021">
        <v>332</v>
      </c>
    </row>
    <row r="24022" spans="1:6" ht="12.75">
      <c r="A24022" s="2">
        <v>43875.819803240738</v>
      </c>
      <c r="B24022" t="str">
        <f>HYPERLINK("https://twitter.com/BagusAkmaL95","@BagusAkmaL95")</f>
        <v>@BagusAkmaL95</v>
      </c>
      <c r="C24022" t="s">
        <v>8233</v>
      </c>
      <c r="D24022">
        <v>504</v>
      </c>
      <c r="E24022">
        <v>0</v>
      </c>
      <c r="F24022">
        <v>270</v>
      </c>
    </row>
    <row r="24023" spans="1:6" ht="12.75">
      <c r="A24023" s="2">
        <v>43875.819641203707</v>
      </c>
      <c r="B24023" t="str">
        <f>HYPERLINK("https://twitter.com/aikr_","@aikr_")</f>
        <v>@aikr_</v>
      </c>
      <c r="C24023" t="s">
        <v>2137</v>
      </c>
      <c r="D24023">
        <v>188</v>
      </c>
      <c r="E24023">
        <v>0</v>
      </c>
      <c r="F24023">
        <v>244</v>
      </c>
    </row>
    <row r="24024" spans="1:6" ht="12.75">
      <c r="A24024" s="2">
        <v>43875.819525462968</v>
      </c>
      <c r="B24024" t="str">
        <f>HYPERLINK("https://twitter.com/Satya83358389","@Satya83358389")</f>
        <v>@Satya83358389</v>
      </c>
      <c r="C24024" t="s">
        <v>11117</v>
      </c>
      <c r="D24024">
        <v>0</v>
      </c>
      <c r="E24024">
        <v>0</v>
      </c>
      <c r="F24024">
        <v>15</v>
      </c>
    </row>
    <row r="24025" spans="1:6" ht="12.75">
      <c r="A24025" s="2">
        <v>43875.819490740745</v>
      </c>
      <c r="B24025" t="str">
        <f>HYPERLINK("https://twitter.com/cycloneopropana","@cycloneopropana")</f>
        <v>@cycloneopropana</v>
      </c>
      <c r="C24025" t="s">
        <v>6201</v>
      </c>
      <c r="D24025">
        <v>185</v>
      </c>
      <c r="E24025">
        <v>0</v>
      </c>
      <c r="F24025">
        <v>26</v>
      </c>
    </row>
    <row r="24026" spans="1:6" ht="12.75">
      <c r="A24026" s="2">
        <v>43875.819479166668</v>
      </c>
      <c r="B24026" t="str">
        <f>HYPERLINK("https://twitter.com/joonhoswift","@joonhoswift")</f>
        <v>@joonhoswift</v>
      </c>
      <c r="C24026" t="s">
        <v>2444</v>
      </c>
      <c r="D24026">
        <v>2317</v>
      </c>
      <c r="E24026">
        <v>0</v>
      </c>
      <c r="F24026">
        <v>422</v>
      </c>
    </row>
    <row r="24027" spans="1:6" ht="12.75">
      <c r="A24027" s="2">
        <v>43875.819456018522</v>
      </c>
      <c r="B24027" t="str">
        <f>HYPERLINK("https://twitter.com/cypherscout","@cypherscout")</f>
        <v>@cypherscout</v>
      </c>
      <c r="C24027" t="s">
        <v>11118</v>
      </c>
      <c r="D24027">
        <v>0</v>
      </c>
      <c r="E24027">
        <v>0</v>
      </c>
      <c r="F24027">
        <v>1770</v>
      </c>
    </row>
    <row r="24028" spans="1:6" ht="12.75">
      <c r="A24028" s="2">
        <v>43875.819386574076</v>
      </c>
      <c r="B24028" t="str">
        <f>HYPERLINK("https://twitter.com/harihariono1","@harihariono1")</f>
        <v>@harihariono1</v>
      </c>
      <c r="C24028" t="s">
        <v>11116</v>
      </c>
      <c r="D24028">
        <v>3</v>
      </c>
      <c r="E24028">
        <v>0</v>
      </c>
      <c r="F24028">
        <v>9338</v>
      </c>
    </row>
    <row r="24029" spans="1:6" ht="12.75">
      <c r="A24029" s="2">
        <v>43875.819340277776</v>
      </c>
      <c r="B24029" t="str">
        <f>HYPERLINK("https://twitter.com/ryosukeiko","@ryosukeiko")</f>
        <v>@ryosukeiko</v>
      </c>
      <c r="C24029" t="s">
        <v>2444</v>
      </c>
      <c r="D24029">
        <v>2317</v>
      </c>
      <c r="E24029">
        <v>0</v>
      </c>
      <c r="F24029">
        <v>118</v>
      </c>
    </row>
    <row r="24030" spans="1:6" ht="12.75">
      <c r="A24030" s="2">
        <v>43875.819282407407</v>
      </c>
      <c r="B24030" t="str">
        <f>HYPERLINK("https://twitter.com/coffeecream","@coffeecream")</f>
        <v>@coffeecream</v>
      </c>
      <c r="C24030" t="s">
        <v>9198</v>
      </c>
      <c r="D24030">
        <v>26</v>
      </c>
      <c r="E24030">
        <v>0</v>
      </c>
      <c r="F24030">
        <v>2434</v>
      </c>
    </row>
    <row r="24031" spans="1:6" ht="12.75">
      <c r="A24031" s="2">
        <v>43875.81925925926</v>
      </c>
      <c r="B24031" t="str">
        <f>HYPERLINK("https://twitter.com/ndiipyojun","@ndiipyojun")</f>
        <v>@ndiipyojun</v>
      </c>
      <c r="C24031" t="s">
        <v>9123</v>
      </c>
      <c r="D24031">
        <v>272</v>
      </c>
      <c r="E24031">
        <v>0</v>
      </c>
      <c r="F24031">
        <v>3197</v>
      </c>
    </row>
    <row r="24032" spans="1:6" ht="12.75">
      <c r="A24032" s="2">
        <v>43875.81925925926</v>
      </c>
      <c r="B24032" t="str">
        <f>HYPERLINK("https://twitter.com/c0ffeey","@c0ffeey")</f>
        <v>@c0ffeey</v>
      </c>
      <c r="C24032" t="s">
        <v>2444</v>
      </c>
      <c r="D24032">
        <v>2317</v>
      </c>
      <c r="E24032">
        <v>0</v>
      </c>
      <c r="F24032">
        <v>671</v>
      </c>
    </row>
    <row r="24033" spans="1:6" ht="12.75">
      <c r="A24033" s="2">
        <v>43875.819178240738</v>
      </c>
      <c r="B24033" t="str">
        <f>HYPERLINK("https://twitter.com/ndiipyojun","@ndiipyojun")</f>
        <v>@ndiipyojun</v>
      </c>
      <c r="C24033" t="s">
        <v>2444</v>
      </c>
      <c r="D24033">
        <v>2317</v>
      </c>
      <c r="E24033">
        <v>0</v>
      </c>
      <c r="F24033">
        <v>3197</v>
      </c>
    </row>
    <row r="24034" spans="1:6" ht="12.75">
      <c r="A24034" s="2">
        <v>43875.819155092591</v>
      </c>
      <c r="B24034" t="str">
        <f>HYPERLINK("https://twitter.com/putridwi9_dwi","@putridwi9_dwi")</f>
        <v>@putridwi9_dwi</v>
      </c>
      <c r="C24034" t="s">
        <v>11119</v>
      </c>
      <c r="D24034">
        <v>0</v>
      </c>
      <c r="E24034">
        <v>0</v>
      </c>
      <c r="F24034">
        <v>239</v>
      </c>
    </row>
    <row r="24035" spans="1:6" ht="12.75">
      <c r="A24035" s="2">
        <v>43875.819120370375</v>
      </c>
      <c r="B24035" t="str">
        <f>HYPERLINK("https://twitter.com/longlivecarrot","@longlivecarrot")</f>
        <v>@longlivecarrot</v>
      </c>
      <c r="C24035" t="s">
        <v>9964</v>
      </c>
      <c r="D24035">
        <v>628</v>
      </c>
      <c r="E24035">
        <v>0</v>
      </c>
      <c r="F24035">
        <v>1058</v>
      </c>
    </row>
    <row r="24036" spans="1:6" ht="12.75">
      <c r="A24036" s="2">
        <v>43875.81895833333</v>
      </c>
      <c r="B24036" t="str">
        <f>HYPERLINK("https://twitter.com/Dod1kusw4nto_","@Dod1kusw4nto_")</f>
        <v>@Dod1kusw4nto_</v>
      </c>
      <c r="C24036" t="s">
        <v>11120</v>
      </c>
      <c r="D24036">
        <v>0</v>
      </c>
      <c r="E24036">
        <v>0</v>
      </c>
      <c r="F24036">
        <v>17</v>
      </c>
    </row>
    <row r="24037" spans="1:6" ht="12.75">
      <c r="A24037" s="2">
        <v>43875.818935185191</v>
      </c>
      <c r="B24037" t="str">
        <f>HYPERLINK("https://twitter.com/jerrysoes","@jerrysoes")</f>
        <v>@jerrysoes</v>
      </c>
      <c r="C24037" t="s">
        <v>11121</v>
      </c>
      <c r="D24037">
        <v>14</v>
      </c>
      <c r="E24037">
        <v>0</v>
      </c>
      <c r="F24037">
        <v>392</v>
      </c>
    </row>
    <row r="24038" spans="1:6" ht="12.75">
      <c r="A24038" s="2">
        <v>43875.818842592591</v>
      </c>
      <c r="B24038" t="str">
        <f>HYPERLINK("https://twitter.com/panjimao","@panjimao")</f>
        <v>@panjimao</v>
      </c>
      <c r="C24038" t="s">
        <v>5168</v>
      </c>
      <c r="D24038">
        <v>935</v>
      </c>
      <c r="E24038">
        <v>0</v>
      </c>
      <c r="F24038">
        <v>387</v>
      </c>
    </row>
    <row r="24039" spans="1:6" ht="12.75">
      <c r="A24039" s="2">
        <v>43875.818831018521</v>
      </c>
      <c r="B24039" t="str">
        <f>HYPERLINK("https://twitter.com/kangbudz","@kangbudz")</f>
        <v>@kangbudz</v>
      </c>
      <c r="C24039" t="s">
        <v>11122</v>
      </c>
      <c r="D24039">
        <v>6</v>
      </c>
      <c r="E24039">
        <v>0</v>
      </c>
      <c r="F24039">
        <v>1139</v>
      </c>
    </row>
    <row r="24040" spans="1:6" ht="12.75">
      <c r="A24040" s="2">
        <v>43875.818807870368</v>
      </c>
      <c r="B24040" t="str">
        <f>HYPERLINK("https://twitter.com/BJZweir","@BJZweir")</f>
        <v>@BJZweir</v>
      </c>
      <c r="C24040" t="s">
        <v>10407</v>
      </c>
      <c r="D24040">
        <v>4</v>
      </c>
      <c r="E24040">
        <v>0</v>
      </c>
      <c r="F24040">
        <v>1093</v>
      </c>
    </row>
    <row r="24041" spans="1:6" ht="12.75">
      <c r="A24041" s="2">
        <v>43875.818784722222</v>
      </c>
      <c r="B24041" t="str">
        <f>HYPERLINK("https://twitter.com/lesyeuxdemark","@lesyeuxdemark")</f>
        <v>@lesyeuxdemark</v>
      </c>
      <c r="C24041" t="s">
        <v>2444</v>
      </c>
      <c r="D24041">
        <v>2317</v>
      </c>
      <c r="E24041">
        <v>0</v>
      </c>
      <c r="F24041">
        <v>587</v>
      </c>
    </row>
    <row r="24042" spans="1:6" ht="12.75">
      <c r="A24042" s="2">
        <v>43875.818749999999</v>
      </c>
      <c r="B24042" t="str">
        <f>HYPERLINK("https://twitter.com/ayudyaap_","@ayudyaap_")</f>
        <v>@ayudyaap_</v>
      </c>
      <c r="C24042" t="s">
        <v>9123</v>
      </c>
      <c r="D24042">
        <v>272</v>
      </c>
      <c r="E24042">
        <v>0</v>
      </c>
      <c r="F24042">
        <v>742</v>
      </c>
    </row>
    <row r="24043" spans="1:6" ht="12.75">
      <c r="A24043" s="2">
        <v>43875.818692129629</v>
      </c>
      <c r="B24043" t="str">
        <f>HYPERLINK("https://twitter.com/Pithenk1","@Pithenk1")</f>
        <v>@Pithenk1</v>
      </c>
      <c r="C24043" t="s">
        <v>11123</v>
      </c>
      <c r="D24043">
        <v>0</v>
      </c>
      <c r="E24043">
        <v>0</v>
      </c>
      <c r="F24043">
        <v>44</v>
      </c>
    </row>
    <row r="24044" spans="1:6" ht="12.75">
      <c r="A24044" s="2">
        <v>43875.81868055556</v>
      </c>
      <c r="B24044" t="str">
        <f>HYPERLINK("https://twitter.com/MalikMaulana_14","@MalikMaulana_14")</f>
        <v>@MalikMaulana_14</v>
      </c>
      <c r="C24044" t="s">
        <v>11124</v>
      </c>
      <c r="D24044">
        <v>0</v>
      </c>
      <c r="E24044">
        <v>0</v>
      </c>
      <c r="F24044">
        <v>221</v>
      </c>
    </row>
    <row r="24045" spans="1:6" ht="12.75">
      <c r="A24045" s="2">
        <v>43875.818645833337</v>
      </c>
      <c r="B24045" t="str">
        <f>HYPERLINK("https://twitter.com/RanggaHardi1","@RanggaHardi1")</f>
        <v>@RanggaHardi1</v>
      </c>
      <c r="C24045" t="s">
        <v>2444</v>
      </c>
      <c r="D24045">
        <v>2317</v>
      </c>
      <c r="E24045">
        <v>0</v>
      </c>
      <c r="F24045">
        <v>10</v>
      </c>
    </row>
    <row r="24046" spans="1:6" ht="12.75">
      <c r="A24046" s="2">
        <v>43875.818472222221</v>
      </c>
      <c r="B24046" t="str">
        <f>HYPERLINK("https://twitter.com/Baracuda1818","@Baracuda1818")</f>
        <v>@Baracuda1818</v>
      </c>
      <c r="C24046" t="s">
        <v>10083</v>
      </c>
      <c r="D24046">
        <v>24</v>
      </c>
      <c r="E24046">
        <v>0</v>
      </c>
      <c r="F24046">
        <v>7624</v>
      </c>
    </row>
    <row r="24047" spans="1:6" ht="12.75">
      <c r="A24047" s="2">
        <v>43875.818333333329</v>
      </c>
      <c r="B24047" t="str">
        <f>HYPERLINK("https://twitter.com/ayudyaap_","@ayudyaap_")</f>
        <v>@ayudyaap_</v>
      </c>
      <c r="C24047" t="s">
        <v>2444</v>
      </c>
      <c r="D24047">
        <v>2317</v>
      </c>
      <c r="E24047">
        <v>0</v>
      </c>
      <c r="F24047">
        <v>742</v>
      </c>
    </row>
    <row r="24048" spans="1:6" ht="12.75">
      <c r="A24048" s="2">
        <v>43875.81831018519</v>
      </c>
      <c r="B24048" t="str">
        <f>HYPERLINK("https://twitter.com/gh_inani","@gh_inani")</f>
        <v>@gh_inani</v>
      </c>
      <c r="C24048" t="s">
        <v>2444</v>
      </c>
      <c r="D24048">
        <v>2317</v>
      </c>
      <c r="E24048">
        <v>0</v>
      </c>
      <c r="F24048">
        <v>367</v>
      </c>
    </row>
    <row r="24049" spans="1:6" ht="12.75">
      <c r="A24049" s="2">
        <v>43875.818206018521</v>
      </c>
      <c r="B24049" t="str">
        <f>HYPERLINK("https://twitter.com/Mujirahadi2","@Mujirahadi2")</f>
        <v>@Mujirahadi2</v>
      </c>
      <c r="C24049" t="s">
        <v>9147</v>
      </c>
      <c r="D24049">
        <v>28</v>
      </c>
      <c r="E24049">
        <v>0</v>
      </c>
      <c r="F24049">
        <v>1592</v>
      </c>
    </row>
    <row r="24050" spans="1:6" ht="12.75">
      <c r="A24050" s="2">
        <v>43875.818171296298</v>
      </c>
      <c r="B24050" t="str">
        <f>HYPERLINK("https://twitter.com/bantoro29_","@bantoro29_")</f>
        <v>@bantoro29_</v>
      </c>
      <c r="C24050" t="s">
        <v>9198</v>
      </c>
      <c r="D24050">
        <v>26</v>
      </c>
      <c r="E24050">
        <v>0</v>
      </c>
      <c r="F24050">
        <v>4864</v>
      </c>
    </row>
    <row r="24051" spans="1:6" ht="12.75">
      <c r="A24051" s="2">
        <v>43875.818148148144</v>
      </c>
      <c r="B24051" t="str">
        <f>HYPERLINK("https://twitter.com/anungahadip","@anungahadip")</f>
        <v>@anungahadip</v>
      </c>
      <c r="C24051" t="s">
        <v>2149</v>
      </c>
      <c r="D24051">
        <v>31</v>
      </c>
      <c r="E24051">
        <v>0</v>
      </c>
      <c r="F24051">
        <v>5</v>
      </c>
    </row>
    <row r="24052" spans="1:6" ht="12.75">
      <c r="A24052" s="2">
        <v>43875.818078703705</v>
      </c>
      <c r="B24052" t="str">
        <f>HYPERLINK("https://twitter.com/il242laksamana","@il242laksamana")</f>
        <v>@il242laksamana</v>
      </c>
      <c r="C24052" t="s">
        <v>9746</v>
      </c>
      <c r="D24052">
        <v>329</v>
      </c>
      <c r="E24052">
        <v>0</v>
      </c>
      <c r="F24052">
        <v>273</v>
      </c>
    </row>
    <row r="24053" spans="1:6" ht="12.75">
      <c r="A24053" s="2">
        <v>43875.817986111113</v>
      </c>
      <c r="B24053" t="str">
        <f>HYPERLINK("https://twitter.com/kimmyeoninani","@kimmyeoninani")</f>
        <v>@kimmyeoninani</v>
      </c>
      <c r="C24053" t="s">
        <v>2444</v>
      </c>
      <c r="D24053">
        <v>2317</v>
      </c>
      <c r="E24053">
        <v>0</v>
      </c>
      <c r="F24053">
        <v>534</v>
      </c>
    </row>
    <row r="24054" spans="1:6" ht="12.75">
      <c r="A24054" s="2">
        <v>43875.817870370374</v>
      </c>
      <c r="B24054" t="str">
        <f>HYPERLINK("https://twitter.com/Arif_toyep","@Arif_toyep")</f>
        <v>@Arif_toyep</v>
      </c>
      <c r="C24054" t="s">
        <v>2444</v>
      </c>
      <c r="D24054">
        <v>2317</v>
      </c>
      <c r="E24054">
        <v>0</v>
      </c>
      <c r="F24054">
        <v>488</v>
      </c>
    </row>
    <row r="24055" spans="1:6" ht="12.75">
      <c r="A24055" s="2">
        <v>43875.817835648151</v>
      </c>
      <c r="B24055" t="str">
        <f>HYPERLINK("https://twitter.com/azarazza","@azarazza")</f>
        <v>@azarazza</v>
      </c>
      <c r="C24055" t="s">
        <v>5168</v>
      </c>
      <c r="D24055">
        <v>935</v>
      </c>
      <c r="E24055">
        <v>0</v>
      </c>
      <c r="F24055">
        <v>739</v>
      </c>
    </row>
    <row r="24056" spans="1:6" ht="12.75">
      <c r="A24056" s="2">
        <v>43875.817777777775</v>
      </c>
      <c r="B24056" t="str">
        <f>HYPERLINK("https://twitter.com/jakaswa65626492","@jakaswa65626492")</f>
        <v>@jakaswa65626492</v>
      </c>
      <c r="C24056" t="s">
        <v>6201</v>
      </c>
      <c r="D24056">
        <v>185</v>
      </c>
      <c r="E24056">
        <v>0</v>
      </c>
      <c r="F24056">
        <v>368</v>
      </c>
    </row>
    <row r="24057" spans="1:6" ht="12.75">
      <c r="A24057" s="2">
        <v>43875.817731481482</v>
      </c>
      <c r="B24057" t="str">
        <f>HYPERLINK("https://twitter.com/DSXL3","@DSXL3")</f>
        <v>@DSXL3</v>
      </c>
      <c r="C24057" t="s">
        <v>9198</v>
      </c>
      <c r="D24057">
        <v>26</v>
      </c>
      <c r="E24057">
        <v>0</v>
      </c>
      <c r="F24057">
        <v>3558</v>
      </c>
    </row>
    <row r="24058" spans="1:6" ht="12.75">
      <c r="A24058" s="2">
        <v>43875.817719907413</v>
      </c>
      <c r="B24058" t="str">
        <f>HYPERLINK("https://twitter.com/reinkomm_","@reinkomm_")</f>
        <v>@reinkomm_</v>
      </c>
      <c r="C24058" t="s">
        <v>9852</v>
      </c>
      <c r="D24058">
        <v>4</v>
      </c>
      <c r="E24058">
        <v>0</v>
      </c>
      <c r="F24058">
        <v>347</v>
      </c>
    </row>
    <row r="24059" spans="1:6" ht="12.75">
      <c r="A24059" s="2">
        <v>43875.817708333328</v>
      </c>
      <c r="B24059" t="str">
        <f>HYPERLINK("https://twitter.com/KBRI_Pretoria","@KBRI_Pretoria")</f>
        <v>@KBRI_Pretoria</v>
      </c>
      <c r="C24059" t="s">
        <v>2078</v>
      </c>
      <c r="D24059">
        <v>20</v>
      </c>
      <c r="E24059">
        <v>0</v>
      </c>
      <c r="F24059">
        <v>811</v>
      </c>
    </row>
    <row r="24060" spans="1:6" ht="12.75">
      <c r="A24060" s="2">
        <v>43875.817662037036</v>
      </c>
      <c r="B24060" t="str">
        <f>HYPERLINK("https://twitter.com/azarazza","@azarazza")</f>
        <v>@azarazza</v>
      </c>
      <c r="C24060" t="s">
        <v>2444</v>
      </c>
      <c r="D24060">
        <v>2317</v>
      </c>
      <c r="E24060">
        <v>0</v>
      </c>
      <c r="F24060">
        <v>739</v>
      </c>
    </row>
    <row r="24061" spans="1:6" ht="12.75">
      <c r="A24061" s="2">
        <v>43875.817476851851</v>
      </c>
      <c r="B24061" t="str">
        <f>HYPERLINK("https://twitter.com/_shinchaaa","@_shinchaaa")</f>
        <v>@_shinchaaa</v>
      </c>
      <c r="C24061" t="s">
        <v>2444</v>
      </c>
      <c r="D24061">
        <v>2317</v>
      </c>
      <c r="E24061">
        <v>0</v>
      </c>
      <c r="F24061">
        <v>299</v>
      </c>
    </row>
    <row r="24062" spans="1:6" ht="12.75">
      <c r="A24062" s="2">
        <v>43875.817337962959</v>
      </c>
      <c r="B24062" t="str">
        <f>HYPERLINK("https://twitter.com/redivlvt","@redivlvt")</f>
        <v>@redivlvt</v>
      </c>
      <c r="C24062" t="s">
        <v>2444</v>
      </c>
      <c r="D24062">
        <v>2317</v>
      </c>
      <c r="E24062">
        <v>0</v>
      </c>
      <c r="F24062">
        <v>764</v>
      </c>
    </row>
    <row r="24063" spans="1:6" ht="12.75">
      <c r="A24063" s="2">
        <v>43875.81731481482</v>
      </c>
      <c r="B24063" t="str">
        <f>HYPERLINK("https://twitter.com/nunuananaaa","@nunuananaaa")</f>
        <v>@nunuananaaa</v>
      </c>
      <c r="C24063" t="s">
        <v>2444</v>
      </c>
      <c r="D24063">
        <v>2317</v>
      </c>
      <c r="E24063">
        <v>0</v>
      </c>
      <c r="F24063">
        <v>1262</v>
      </c>
    </row>
    <row r="24064" spans="1:6" ht="12.75">
      <c r="A24064" s="2">
        <v>43875.817233796297</v>
      </c>
      <c r="B24064" t="str">
        <f>HYPERLINK("https://twitter.com/reinkomm_","@reinkomm_")</f>
        <v>@reinkomm_</v>
      </c>
      <c r="C24064" t="s">
        <v>9123</v>
      </c>
      <c r="D24064">
        <v>272</v>
      </c>
      <c r="E24064">
        <v>0</v>
      </c>
      <c r="F24064">
        <v>347</v>
      </c>
    </row>
    <row r="24065" spans="1:6" ht="12.75">
      <c r="A24065" s="2">
        <v>43875.817164351851</v>
      </c>
      <c r="B24065" t="str">
        <f>HYPERLINK("https://twitter.com/SunardiGiman1","@SunardiGiman1")</f>
        <v>@SunardiGiman1</v>
      </c>
      <c r="C24065" t="s">
        <v>7888</v>
      </c>
      <c r="D24065">
        <v>21</v>
      </c>
      <c r="E24065">
        <v>0</v>
      </c>
      <c r="F24065">
        <v>1072</v>
      </c>
    </row>
    <row r="24066" spans="1:6" ht="12.75">
      <c r="A24066" s="2">
        <v>43875.816990740743</v>
      </c>
      <c r="B24066" t="str">
        <f>HYPERLINK("https://twitter.com/jouleitsun","@jouleitsun")</f>
        <v>@jouleitsun</v>
      </c>
      <c r="C24066" t="s">
        <v>2444</v>
      </c>
      <c r="D24066">
        <v>2317</v>
      </c>
      <c r="E24066">
        <v>0</v>
      </c>
      <c r="F24066">
        <v>640</v>
      </c>
    </row>
    <row r="24067" spans="1:6" ht="12.75">
      <c r="A24067" s="2">
        <v>43875.816932870366</v>
      </c>
      <c r="B24067" t="str">
        <f>HYPERLINK("https://twitter.com/Taner6790","@Taner6790")</f>
        <v>@Taner6790</v>
      </c>
      <c r="C24067" t="s">
        <v>11125</v>
      </c>
      <c r="D24067">
        <v>1</v>
      </c>
      <c r="E24067">
        <v>0</v>
      </c>
      <c r="F24067">
        <v>422</v>
      </c>
    </row>
    <row r="24068" spans="1:6" ht="12.75">
      <c r="A24068" s="2">
        <v>43875.816851851851</v>
      </c>
      <c r="B24068" t="str">
        <f>HYPERLINK("https://twitter.com/redivlvt","@redivlvt")</f>
        <v>@redivlvt</v>
      </c>
      <c r="C24068" t="s">
        <v>5168</v>
      </c>
      <c r="D24068">
        <v>935</v>
      </c>
      <c r="E24068">
        <v>0</v>
      </c>
      <c r="F24068">
        <v>764</v>
      </c>
    </row>
    <row r="24069" spans="1:6" ht="12.75">
      <c r="A24069" s="2">
        <v>43875.816817129627</v>
      </c>
      <c r="B24069" t="str">
        <f>HYPERLINK("https://twitter.com/olinregel","@olinregel")</f>
        <v>@olinregel</v>
      </c>
      <c r="C24069" t="s">
        <v>9857</v>
      </c>
      <c r="D24069">
        <v>8</v>
      </c>
      <c r="E24069">
        <v>0</v>
      </c>
      <c r="F24069">
        <v>13</v>
      </c>
    </row>
    <row r="24070" spans="1:6" ht="12.75">
      <c r="A24070" s="2">
        <v>43875.816805555558</v>
      </c>
      <c r="B24070" t="str">
        <f>HYPERLINK("https://twitter.com/Mpok_Hanum","@Mpok_Hanum")</f>
        <v>@Mpok_Hanum</v>
      </c>
      <c r="C24070" t="s">
        <v>11126</v>
      </c>
      <c r="D24070">
        <v>5</v>
      </c>
      <c r="E24070">
        <v>0</v>
      </c>
      <c r="F24070">
        <v>539</v>
      </c>
    </row>
    <row r="24071" spans="1:6" ht="12.75">
      <c r="A24071" s="2">
        <v>43875.816759259258</v>
      </c>
      <c r="B24071" t="str">
        <f>HYPERLINK("https://twitter.com/shophechan","@shophechan")</f>
        <v>@shophechan</v>
      </c>
      <c r="C24071" t="s">
        <v>2444</v>
      </c>
      <c r="D24071">
        <v>2317</v>
      </c>
      <c r="E24071">
        <v>0</v>
      </c>
      <c r="F24071">
        <v>484</v>
      </c>
    </row>
    <row r="24072" spans="1:6" ht="12.75">
      <c r="A24072" s="2">
        <v>43875.816736111112</v>
      </c>
      <c r="B24072" t="str">
        <f>HYPERLINK("https://twitter.com/rajawali888lim","@rajawali888lim")</f>
        <v>@rajawali888lim</v>
      </c>
      <c r="C24072" t="s">
        <v>2963</v>
      </c>
      <c r="D24072">
        <v>1061</v>
      </c>
      <c r="E24072">
        <v>0</v>
      </c>
      <c r="F24072">
        <v>509</v>
      </c>
    </row>
    <row r="24073" spans="1:6" ht="12.75">
      <c r="A24073" s="2">
        <v>43875.816712962958</v>
      </c>
      <c r="B24073" t="str">
        <f>HYPERLINK("https://twitter.com/InaEmbTZ","@InaEmbTZ")</f>
        <v>@InaEmbTZ</v>
      </c>
      <c r="C24073" t="s">
        <v>11127</v>
      </c>
      <c r="D24073">
        <v>0</v>
      </c>
      <c r="E24073">
        <v>0</v>
      </c>
      <c r="F24073">
        <v>2143</v>
      </c>
    </row>
    <row r="24074" spans="1:6" ht="12.75">
      <c r="A24074" s="2">
        <v>43875.816689814819</v>
      </c>
      <c r="B24074" t="str">
        <f>HYPERLINK("https://twitter.com/mrslopeee","@mrslopeee")</f>
        <v>@mrslopeee</v>
      </c>
      <c r="C24074" t="s">
        <v>9067</v>
      </c>
      <c r="D24074">
        <v>27</v>
      </c>
      <c r="E24074">
        <v>0</v>
      </c>
      <c r="F24074">
        <v>406</v>
      </c>
    </row>
    <row r="24075" spans="1:6" ht="12.75">
      <c r="A24075" s="2">
        <v>43875.816643518519</v>
      </c>
      <c r="B24075" t="str">
        <f>HYPERLINK("https://twitter.com/2_devout","@2_devout")</f>
        <v>@2_devout</v>
      </c>
      <c r="C24075" t="s">
        <v>11116</v>
      </c>
      <c r="D24075">
        <v>3</v>
      </c>
      <c r="E24075">
        <v>0</v>
      </c>
      <c r="F24075">
        <v>388</v>
      </c>
    </row>
    <row r="24076" spans="1:6" ht="12.75">
      <c r="A24076" s="2">
        <v>43875.816574074073</v>
      </c>
      <c r="B24076" t="str">
        <f>HYPERLINK("https://twitter.com/puputt_ps","@puputt_ps")</f>
        <v>@puputt_ps</v>
      </c>
      <c r="C24076" t="s">
        <v>2444</v>
      </c>
      <c r="D24076">
        <v>2317</v>
      </c>
      <c r="E24076">
        <v>0</v>
      </c>
      <c r="F24076">
        <v>205</v>
      </c>
    </row>
    <row r="24077" spans="1:6" ht="12.75">
      <c r="A24077" s="2">
        <v>43875.816574074073</v>
      </c>
      <c r="B24077" t="str">
        <f>HYPERLINK("https://twitter.com/NandaGuwn","@NandaGuwn")</f>
        <v>@NandaGuwn</v>
      </c>
      <c r="C24077" t="s">
        <v>2444</v>
      </c>
      <c r="D24077">
        <v>2317</v>
      </c>
      <c r="E24077">
        <v>0</v>
      </c>
      <c r="F24077">
        <v>300</v>
      </c>
    </row>
    <row r="24078" spans="1:6" ht="12.75">
      <c r="A24078" s="2">
        <v>43875.816400462965</v>
      </c>
      <c r="B24078" t="str">
        <f>HYPERLINK("https://twitter.com/gazaxy","@gazaxy")</f>
        <v>@gazaxy</v>
      </c>
      <c r="C24078" t="s">
        <v>2444</v>
      </c>
      <c r="D24078">
        <v>2317</v>
      </c>
      <c r="E24078">
        <v>0</v>
      </c>
      <c r="F24078">
        <v>147</v>
      </c>
    </row>
    <row r="24079" spans="1:6" ht="12.75">
      <c r="A24079" s="2">
        <v>43875.816388888888</v>
      </c>
      <c r="B24079" t="str">
        <f>HYPERLINK("https://twitter.com/Adimasruro1","@Adimasruro1")</f>
        <v>@Adimasruro1</v>
      </c>
      <c r="C24079" t="s">
        <v>10052</v>
      </c>
      <c r="D24079">
        <v>66</v>
      </c>
      <c r="E24079">
        <v>0</v>
      </c>
      <c r="F24079">
        <v>74</v>
      </c>
    </row>
    <row r="24080" spans="1:6" ht="12.75">
      <c r="A24080" s="2">
        <v>43875.816331018519</v>
      </c>
      <c r="B24080" t="str">
        <f>HYPERLINK("https://twitter.com/yesdarkskies","@yesdarkskies")</f>
        <v>@yesdarkskies</v>
      </c>
      <c r="C24080" t="s">
        <v>5168</v>
      </c>
      <c r="D24080">
        <v>935</v>
      </c>
      <c r="E24080">
        <v>0</v>
      </c>
      <c r="F24080">
        <v>547</v>
      </c>
    </row>
    <row r="24081" spans="1:6" ht="12.75">
      <c r="A24081" s="2">
        <v>43875.816296296296</v>
      </c>
      <c r="B24081" t="str">
        <f>HYPERLINK("https://twitter.com/mr_nursetyo","@mr_nursetyo")</f>
        <v>@mr_nursetyo</v>
      </c>
      <c r="C24081" t="s">
        <v>9962</v>
      </c>
      <c r="D24081">
        <v>37</v>
      </c>
      <c r="E24081">
        <v>0</v>
      </c>
      <c r="F24081">
        <v>238</v>
      </c>
    </row>
    <row r="24082" spans="1:6" ht="12.75">
      <c r="A24082" s="2">
        <v>43875.81627314815</v>
      </c>
      <c r="B24082" t="str">
        <f>HYPERLINK("https://twitter.com/Fingo16465330","@Fingo16465330")</f>
        <v>@Fingo16465330</v>
      </c>
      <c r="C24082" t="s">
        <v>5761</v>
      </c>
      <c r="D24082">
        <v>73</v>
      </c>
      <c r="E24082">
        <v>0</v>
      </c>
      <c r="F24082">
        <v>7</v>
      </c>
    </row>
    <row r="24083" spans="1:6" ht="12.75">
      <c r="A24083" s="2">
        <v>43875.81621527778</v>
      </c>
      <c r="B24083" t="str">
        <f>HYPERLINK("https://twitter.com/emak_warrior","@emak_warrior")</f>
        <v>@emak_warrior</v>
      </c>
      <c r="C24083" t="s">
        <v>11128</v>
      </c>
      <c r="D24083">
        <v>0</v>
      </c>
      <c r="E24083">
        <v>0</v>
      </c>
      <c r="F24083">
        <v>1679</v>
      </c>
    </row>
    <row r="24084" spans="1:6" ht="12.75">
      <c r="A24084" s="2">
        <v>43875.816168981481</v>
      </c>
      <c r="B24084" t="str">
        <f>HYPERLINK("https://twitter.com/ArisR_0ke_0ce","@ArisR_0ke_0ce")</f>
        <v>@ArisR_0ke_0ce</v>
      </c>
      <c r="C24084" t="s">
        <v>11129</v>
      </c>
      <c r="D24084">
        <v>0</v>
      </c>
      <c r="E24084">
        <v>6</v>
      </c>
      <c r="F24084">
        <v>2644</v>
      </c>
    </row>
    <row r="24085" spans="1:6" ht="12.75">
      <c r="A24085" s="2">
        <v>43875.816168981481</v>
      </c>
      <c r="B24085" t="str">
        <f>HYPERLINK("https://twitter.com/TjoaAdiPrasetio","@TjoaAdiPrasetio")</f>
        <v>@TjoaAdiPrasetio</v>
      </c>
      <c r="C24085" t="s">
        <v>8233</v>
      </c>
      <c r="D24085">
        <v>504</v>
      </c>
      <c r="E24085">
        <v>0</v>
      </c>
      <c r="F24085">
        <v>217</v>
      </c>
    </row>
    <row r="24086" spans="1:6" ht="12.75">
      <c r="A24086" s="2">
        <v>43875.816145833334</v>
      </c>
      <c r="B24086" t="str">
        <f>HYPERLINK("https://twitter.com/dvfvella","@dvfvella")</f>
        <v>@dvfvella</v>
      </c>
      <c r="C24086" t="s">
        <v>2444</v>
      </c>
      <c r="D24086">
        <v>2317</v>
      </c>
      <c r="E24086">
        <v>0</v>
      </c>
      <c r="F24086">
        <v>1876</v>
      </c>
    </row>
    <row r="24087" spans="1:6" ht="12.75">
      <c r="A24087" s="2">
        <v>43875.81585648148</v>
      </c>
      <c r="B24087" t="str">
        <f>HYPERLINK("https://twitter.com/adityaarfan_","@adityaarfan_")</f>
        <v>@adityaarfan_</v>
      </c>
      <c r="C24087" t="s">
        <v>2444</v>
      </c>
      <c r="D24087">
        <v>2317</v>
      </c>
      <c r="E24087">
        <v>0</v>
      </c>
      <c r="F24087">
        <v>314</v>
      </c>
    </row>
    <row r="24088" spans="1:6" ht="12.75">
      <c r="A24088" s="2">
        <v>43875.815833333334</v>
      </c>
      <c r="B24088" t="str">
        <f>HYPERLINK("https://twitter.com/gorontalo01","@gorontalo01")</f>
        <v>@gorontalo01</v>
      </c>
      <c r="C24088" t="s">
        <v>11130</v>
      </c>
      <c r="D24088">
        <v>0</v>
      </c>
      <c r="E24088">
        <v>0</v>
      </c>
      <c r="F24088">
        <v>11</v>
      </c>
    </row>
    <row r="24089" spans="1:6" ht="12.75">
      <c r="A24089" s="2">
        <v>43875.815821759257</v>
      </c>
      <c r="B24089" t="str">
        <f>HYPERLINK("https://twitter.com/begalismeh","@begalismeh")</f>
        <v>@begalismeh</v>
      </c>
      <c r="C24089" t="s">
        <v>11131</v>
      </c>
      <c r="D24089">
        <v>0</v>
      </c>
      <c r="E24089">
        <v>1</v>
      </c>
      <c r="F24089">
        <v>299</v>
      </c>
    </row>
    <row r="24090" spans="1:6" ht="12.75">
      <c r="A24090" s="2">
        <v>43875.815567129626</v>
      </c>
      <c r="B24090" t="str">
        <f>HYPERLINK("https://twitter.com/illuminationkey","@illuminationkey")</f>
        <v>@illuminationkey</v>
      </c>
      <c r="C24090" t="s">
        <v>2444</v>
      </c>
      <c r="D24090">
        <v>2317</v>
      </c>
      <c r="E24090">
        <v>0</v>
      </c>
      <c r="F24090">
        <v>577</v>
      </c>
    </row>
    <row r="24091" spans="1:6" ht="12.75">
      <c r="A24091" s="2">
        <v>43875.81554398148</v>
      </c>
      <c r="B24091" t="str">
        <f>HYPERLINK("https://twitter.com/hallidii","@hallidii")</f>
        <v>@hallidii</v>
      </c>
      <c r="C24091" t="s">
        <v>11132</v>
      </c>
      <c r="D24091">
        <v>0</v>
      </c>
      <c r="E24091">
        <v>0</v>
      </c>
      <c r="F24091">
        <v>272</v>
      </c>
    </row>
    <row r="24092" spans="1:6" ht="12.75">
      <c r="A24092" s="2">
        <v>43875.815532407403</v>
      </c>
      <c r="B24092" t="str">
        <f>HYPERLINK("https://twitter.com/gorontalo01","@gorontalo01")</f>
        <v>@gorontalo01</v>
      </c>
      <c r="C24092" t="s">
        <v>11133</v>
      </c>
      <c r="D24092">
        <v>0</v>
      </c>
      <c r="E24092">
        <v>0</v>
      </c>
      <c r="F24092">
        <v>11</v>
      </c>
    </row>
    <row r="24093" spans="1:6" ht="12.75">
      <c r="A24093" s="2">
        <v>43875.81549768518</v>
      </c>
      <c r="B24093" t="str">
        <f>HYPERLINK("https://twitter.com/harutosygq","@harutosygq")</f>
        <v>@harutosygq</v>
      </c>
      <c r="C24093" t="s">
        <v>2444</v>
      </c>
      <c r="D24093">
        <v>2317</v>
      </c>
      <c r="E24093">
        <v>0</v>
      </c>
      <c r="F24093">
        <v>2050</v>
      </c>
    </row>
    <row r="24094" spans="1:6" ht="12.75">
      <c r="A24094" s="2">
        <v>43875.815416666665</v>
      </c>
      <c r="B24094" t="str">
        <f>HYPERLINK("https://twitter.com/anggiastikaa_","@anggiastikaa_")</f>
        <v>@anggiastikaa_</v>
      </c>
      <c r="C24094" t="s">
        <v>9067</v>
      </c>
      <c r="D24094">
        <v>27</v>
      </c>
      <c r="E24094">
        <v>0</v>
      </c>
      <c r="F24094">
        <v>617</v>
      </c>
    </row>
    <row r="24095" spans="1:6" ht="12.75">
      <c r="A24095" s="2">
        <v>43875.815289351856</v>
      </c>
      <c r="B24095" t="str">
        <f>HYPERLINK("https://twitter.com/SydSalesman","@SydSalesman")</f>
        <v>@SydSalesman</v>
      </c>
      <c r="C24095" t="s">
        <v>2444</v>
      </c>
      <c r="D24095">
        <v>2317</v>
      </c>
      <c r="E24095">
        <v>0</v>
      </c>
      <c r="F24095">
        <v>6227</v>
      </c>
    </row>
    <row r="24096" spans="1:6" ht="12.75">
      <c r="A24096" s="2">
        <v>43875.81523148148</v>
      </c>
      <c r="B24096" t="str">
        <f>HYPERLINK("https://twitter.com/tiffanydheaa","@tiffanydheaa")</f>
        <v>@tiffanydheaa</v>
      </c>
      <c r="C24096" t="s">
        <v>2444</v>
      </c>
      <c r="D24096">
        <v>2317</v>
      </c>
      <c r="E24096">
        <v>0</v>
      </c>
      <c r="F24096">
        <v>296</v>
      </c>
    </row>
    <row r="24097" spans="1:6" ht="12.75">
      <c r="A24097" s="2">
        <v>43875.815208333333</v>
      </c>
      <c r="B24097" t="str">
        <f>HYPERLINK("https://twitter.com/wen_babysun","@wen_babysun")</f>
        <v>@wen_babysun</v>
      </c>
      <c r="C24097" t="s">
        <v>2444</v>
      </c>
      <c r="D24097">
        <v>2317</v>
      </c>
      <c r="E24097">
        <v>0</v>
      </c>
      <c r="F24097">
        <v>265</v>
      </c>
    </row>
    <row r="24098" spans="1:6" ht="12.75">
      <c r="A24098" s="2">
        <v>43875.815162037034</v>
      </c>
      <c r="B24098" t="str">
        <f>HYPERLINK("https://twitter.com/aroulias","@aroulias")</f>
        <v>@aroulias</v>
      </c>
      <c r="C24098" t="s">
        <v>9082</v>
      </c>
      <c r="D24098">
        <v>51</v>
      </c>
      <c r="E24098">
        <v>0</v>
      </c>
      <c r="F24098">
        <v>922</v>
      </c>
    </row>
    <row r="24099" spans="1:6" ht="12.75">
      <c r="A24099" s="2">
        <v>43875.815138888887</v>
      </c>
      <c r="B24099" t="str">
        <f>HYPERLINK("https://twitter.com/BGST_twt","@BGST_twt")</f>
        <v>@BGST_twt</v>
      </c>
      <c r="C24099" t="s">
        <v>2444</v>
      </c>
      <c r="D24099">
        <v>2317</v>
      </c>
      <c r="E24099">
        <v>0</v>
      </c>
      <c r="F24099">
        <v>215</v>
      </c>
    </row>
    <row r="24100" spans="1:6" ht="12.75">
      <c r="A24100" s="2">
        <v>43875.815127314811</v>
      </c>
      <c r="B24100" t="str">
        <f>HYPERLINK("https://twitter.com/qbayyinah91","@qbayyinah91")</f>
        <v>@qbayyinah91</v>
      </c>
      <c r="C24100" t="s">
        <v>11134</v>
      </c>
      <c r="D24100">
        <v>0</v>
      </c>
      <c r="E24100">
        <v>0</v>
      </c>
      <c r="F24100">
        <v>802</v>
      </c>
    </row>
    <row r="24101" spans="1:6" ht="12.75">
      <c r="A24101" s="2">
        <v>43875.815115740741</v>
      </c>
      <c r="B24101" t="str">
        <f>HYPERLINK("https://twitter.com/alfin_AT","@alfin_AT")</f>
        <v>@alfin_AT</v>
      </c>
      <c r="C24101" t="s">
        <v>2444</v>
      </c>
      <c r="D24101">
        <v>2317</v>
      </c>
      <c r="E24101">
        <v>0</v>
      </c>
      <c r="F24101">
        <v>517</v>
      </c>
    </row>
    <row r="24102" spans="1:6" ht="12.75">
      <c r="A24102" s="2">
        <v>43875.815046296295</v>
      </c>
      <c r="B24102" t="str">
        <f>HYPERLINK("https://twitter.com/tommyhpamungkas","@tommyhpamungkas")</f>
        <v>@tommyhpamungkas</v>
      </c>
      <c r="C24102" t="s">
        <v>9746</v>
      </c>
      <c r="D24102">
        <v>329</v>
      </c>
      <c r="E24102">
        <v>0</v>
      </c>
      <c r="F24102">
        <v>908</v>
      </c>
    </row>
    <row r="24103" spans="1:6" ht="12.75">
      <c r="A24103" s="2">
        <v>43875.814965277779</v>
      </c>
      <c r="B24103" t="str">
        <f>HYPERLINK("https://twitter.com/RanggaHardi1","@RanggaHardi1")</f>
        <v>@RanggaHardi1</v>
      </c>
      <c r="C24103" t="s">
        <v>9835</v>
      </c>
      <c r="D24103">
        <v>49</v>
      </c>
      <c r="E24103">
        <v>0</v>
      </c>
      <c r="F24103">
        <v>10</v>
      </c>
    </row>
    <row r="24104" spans="1:6" ht="12.75">
      <c r="A24104" s="2">
        <v>43875.814918981487</v>
      </c>
      <c r="B24104" t="str">
        <f>HYPERLINK("https://twitter.com/atermoyer","@atermoyer")</f>
        <v>@atermoyer</v>
      </c>
      <c r="C24104" t="s">
        <v>2444</v>
      </c>
      <c r="D24104">
        <v>2317</v>
      </c>
      <c r="E24104">
        <v>0</v>
      </c>
      <c r="F24104">
        <v>30</v>
      </c>
    </row>
    <row r="24105" spans="1:6" ht="12.75">
      <c r="A24105" s="2">
        <v>43875.814849537041</v>
      </c>
      <c r="B24105" t="str">
        <f>HYPERLINK("https://twitter.com/sutardjo_ahmad","@sutardjo_ahmad")</f>
        <v>@sutardjo_ahmad</v>
      </c>
      <c r="C24105" t="s">
        <v>11135</v>
      </c>
      <c r="D24105">
        <v>0</v>
      </c>
      <c r="E24105">
        <v>0</v>
      </c>
      <c r="F24105">
        <v>85</v>
      </c>
    </row>
    <row r="24106" spans="1:6" ht="12.75">
      <c r="A24106" s="2">
        <v>43875.814837962964</v>
      </c>
      <c r="B24106" t="str">
        <f>HYPERLINK("https://twitter.com/sukotjo","@sukotjo")</f>
        <v>@sukotjo</v>
      </c>
      <c r="C24106" t="s">
        <v>2444</v>
      </c>
      <c r="D24106">
        <v>2317</v>
      </c>
      <c r="E24106">
        <v>0</v>
      </c>
      <c r="F24106">
        <v>516</v>
      </c>
    </row>
    <row r="24107" spans="1:6" ht="12.75">
      <c r="A24107" s="2">
        <v>43875.814791666664</v>
      </c>
      <c r="B24107" t="str">
        <f>HYPERLINK("https://twitter.com/jonathan_karla","@jonathan_karla")</f>
        <v>@jonathan_karla</v>
      </c>
      <c r="C24107" t="s">
        <v>2444</v>
      </c>
      <c r="D24107">
        <v>2317</v>
      </c>
      <c r="E24107">
        <v>0</v>
      </c>
      <c r="F24107">
        <v>130</v>
      </c>
    </row>
    <row r="24108" spans="1:6" ht="12.75">
      <c r="A24108" s="2">
        <v>43875.814664351856</v>
      </c>
      <c r="B24108" t="str">
        <f>HYPERLINK("https://twitter.com/ambek76","@ambek76")</f>
        <v>@ambek76</v>
      </c>
      <c r="C24108" t="s">
        <v>11136</v>
      </c>
      <c r="D24108">
        <v>112</v>
      </c>
      <c r="E24108">
        <v>0</v>
      </c>
      <c r="F24108">
        <v>54</v>
      </c>
    </row>
    <row r="24109" spans="1:6" ht="12.75">
      <c r="A24109" s="2">
        <v>43875.814641203702</v>
      </c>
      <c r="B24109" t="str">
        <f>HYPERLINK("https://twitter.com/AyoJKW","@AyoJKW")</f>
        <v>@AyoJKW</v>
      </c>
      <c r="C24109" t="s">
        <v>11137</v>
      </c>
      <c r="D24109">
        <v>0</v>
      </c>
      <c r="E24109">
        <v>0</v>
      </c>
      <c r="F24109">
        <v>57</v>
      </c>
    </row>
    <row r="24110" spans="1:6" ht="12.75">
      <c r="A24110" s="2">
        <v>43875.814513888894</v>
      </c>
      <c r="B24110" t="str">
        <f>HYPERLINK("https://twitter.com/tsurayakhumair","@tsurayakhumair")</f>
        <v>@tsurayakhumair</v>
      </c>
      <c r="C24110" t="s">
        <v>7478</v>
      </c>
      <c r="D24110">
        <v>362</v>
      </c>
      <c r="E24110">
        <v>0</v>
      </c>
      <c r="F24110">
        <v>587</v>
      </c>
    </row>
    <row r="24111" spans="1:6" ht="12.75">
      <c r="A24111" s="2">
        <v>43875.814398148148</v>
      </c>
      <c r="B24111" t="str">
        <f>HYPERLINK("https://twitter.com/2dibukaB","@2dibukaB")</f>
        <v>@2dibukaB</v>
      </c>
      <c r="C24111" t="s">
        <v>9198</v>
      </c>
      <c r="D24111">
        <v>26</v>
      </c>
      <c r="E24111">
        <v>0</v>
      </c>
      <c r="F24111">
        <v>1537</v>
      </c>
    </row>
    <row r="24112" spans="1:6" ht="12.75">
      <c r="A24112" s="2">
        <v>43875.814386574071</v>
      </c>
      <c r="B24112" t="str">
        <f>HYPERLINK("https://twitter.com/qbayyinah91","@qbayyinah91")</f>
        <v>@qbayyinah91</v>
      </c>
      <c r="C24112" t="s">
        <v>9198</v>
      </c>
      <c r="D24112">
        <v>26</v>
      </c>
      <c r="E24112">
        <v>0</v>
      </c>
      <c r="F24112">
        <v>802</v>
      </c>
    </row>
    <row r="24113" spans="1:6" ht="12.75">
      <c r="A24113" s="2">
        <v>43875.814363425925</v>
      </c>
      <c r="B24113" t="str">
        <f>HYPERLINK("https://twitter.com/MegaPur32976725","@MegaPur32976725")</f>
        <v>@MegaPur32976725</v>
      </c>
      <c r="C24113" t="s">
        <v>8233</v>
      </c>
      <c r="D24113">
        <v>504</v>
      </c>
      <c r="E24113">
        <v>0</v>
      </c>
      <c r="F24113">
        <v>1</v>
      </c>
    </row>
    <row r="24114" spans="1:6" ht="12.75">
      <c r="A24114" s="2">
        <v>43875.814305555556</v>
      </c>
      <c r="B24114" t="str">
        <f>HYPERLINK("https://twitter.com/lilyinjar","@lilyinjar")</f>
        <v>@lilyinjar</v>
      </c>
      <c r="C24114" t="s">
        <v>2444</v>
      </c>
      <c r="D24114">
        <v>2317</v>
      </c>
      <c r="E24114">
        <v>0</v>
      </c>
      <c r="F24114">
        <v>1372</v>
      </c>
    </row>
    <row r="24115" spans="1:6" ht="12.75">
      <c r="A24115" s="2">
        <v>43875.814236111109</v>
      </c>
      <c r="B24115" t="str">
        <f>HYPERLINK("https://twitter.com/huffleney","@huffleney")</f>
        <v>@huffleney</v>
      </c>
      <c r="C24115" t="s">
        <v>2444</v>
      </c>
      <c r="D24115">
        <v>2317</v>
      </c>
      <c r="E24115">
        <v>0</v>
      </c>
      <c r="F24115">
        <v>69</v>
      </c>
    </row>
    <row r="24116" spans="1:6" ht="12.75">
      <c r="A24116" s="2">
        <v>43875.81422453704</v>
      </c>
      <c r="B24116" t="str">
        <f>HYPERLINK("https://twitter.com/Hansyo70","@Hansyo70")</f>
        <v>@Hansyo70</v>
      </c>
      <c r="C24116" t="s">
        <v>9198</v>
      </c>
      <c r="D24116">
        <v>26</v>
      </c>
      <c r="E24116">
        <v>0</v>
      </c>
      <c r="F24116">
        <v>375</v>
      </c>
    </row>
    <row r="24117" spans="1:6" ht="12.75">
      <c r="A24117" s="2">
        <v>43875.814155092594</v>
      </c>
      <c r="B24117" t="str">
        <f>HYPERLINK("https://twitter.com/GUSBENSOK","@GUSBENSOK")</f>
        <v>@GUSBENSOK</v>
      </c>
      <c r="C24117" t="s">
        <v>7478</v>
      </c>
      <c r="D24117">
        <v>362</v>
      </c>
      <c r="E24117">
        <v>0</v>
      </c>
      <c r="F24117">
        <v>2037</v>
      </c>
    </row>
    <row r="24118" spans="1:6" ht="12.75">
      <c r="A24118" s="2">
        <v>43875.81413194444</v>
      </c>
      <c r="B24118" t="str">
        <f>HYPERLINK("https://twitter.com/ambek76","@ambek76")</f>
        <v>@ambek76</v>
      </c>
      <c r="C24118" t="s">
        <v>10202</v>
      </c>
      <c r="D24118">
        <v>92</v>
      </c>
      <c r="E24118">
        <v>0</v>
      </c>
      <c r="F24118">
        <v>54</v>
      </c>
    </row>
    <row r="24119" spans="1:6" ht="12.75">
      <c r="A24119" s="2">
        <v>43875.814120370371</v>
      </c>
      <c r="B24119" t="str">
        <f>HYPERLINK("https://twitter.com/3_devout","@3_devout")</f>
        <v>@3_devout</v>
      </c>
      <c r="C24119" t="s">
        <v>11138</v>
      </c>
      <c r="D24119">
        <v>3</v>
      </c>
      <c r="E24119">
        <v>3</v>
      </c>
      <c r="F24119">
        <v>1033</v>
      </c>
    </row>
    <row r="24120" spans="1:6" ht="12.75">
      <c r="A24120" s="2">
        <v>43875.814074074078</v>
      </c>
      <c r="B24120" t="str">
        <f>HYPERLINK("https://twitter.com/Uhaikan","@Uhaikan")</f>
        <v>@Uhaikan</v>
      </c>
      <c r="C24120" t="s">
        <v>9198</v>
      </c>
      <c r="D24120">
        <v>26</v>
      </c>
      <c r="E24120">
        <v>0</v>
      </c>
      <c r="F24120">
        <v>244</v>
      </c>
    </row>
    <row r="24121" spans="1:6" ht="12.75">
      <c r="A24121" s="2">
        <v>43875.814062500001</v>
      </c>
      <c r="B24121" t="str">
        <f>HYPERLINK("https://twitter.com/AlhadieLukman","@AlhadieLukman")</f>
        <v>@AlhadieLukman</v>
      </c>
      <c r="C24121" t="s">
        <v>11139</v>
      </c>
      <c r="D24121">
        <v>0</v>
      </c>
      <c r="E24121">
        <v>0</v>
      </c>
      <c r="F24121">
        <v>31</v>
      </c>
    </row>
    <row r="24122" spans="1:6" ht="12.75">
      <c r="A24122" s="2">
        <v>43875.813993055555</v>
      </c>
      <c r="B24122" t="str">
        <f>HYPERLINK("https://twitter.com/Shella_dila","@Shella_dila")</f>
        <v>@Shella_dila</v>
      </c>
      <c r="C24122" t="s">
        <v>11140</v>
      </c>
      <c r="D24122">
        <v>0</v>
      </c>
      <c r="E24122">
        <v>0</v>
      </c>
      <c r="F24122">
        <v>235</v>
      </c>
    </row>
    <row r="24123" spans="1:6" ht="12.75">
      <c r="A24123" s="2">
        <v>43875.813993055555</v>
      </c>
      <c r="B24123" t="str">
        <f>HYPERLINK("https://twitter.com/PideksoRoyo1","@PideksoRoyo1")</f>
        <v>@PideksoRoyo1</v>
      </c>
      <c r="C24123" t="s">
        <v>9198</v>
      </c>
      <c r="D24123">
        <v>26</v>
      </c>
      <c r="E24123">
        <v>0</v>
      </c>
      <c r="F24123">
        <v>718</v>
      </c>
    </row>
    <row r="24124" spans="1:6" ht="12.75">
      <c r="A24124" s="2">
        <v>43875.813981481479</v>
      </c>
      <c r="B24124" t="str">
        <f>HYPERLINK("https://twitter.com/fallforyunseong","@fallforyunseong")</f>
        <v>@fallforyunseong</v>
      </c>
      <c r="C24124" t="s">
        <v>2444</v>
      </c>
      <c r="D24124">
        <v>2317</v>
      </c>
      <c r="E24124">
        <v>0</v>
      </c>
      <c r="F24124">
        <v>594</v>
      </c>
    </row>
    <row r="24125" spans="1:6" ht="12.75">
      <c r="A24125" s="2">
        <v>43875.813969907409</v>
      </c>
      <c r="B24125" t="str">
        <f>HYPERLINK("https://twitter.com/cat_iskucing","@cat_iskucing")</f>
        <v>@cat_iskucing</v>
      </c>
      <c r="C24125" t="s">
        <v>2444</v>
      </c>
      <c r="D24125">
        <v>2317</v>
      </c>
      <c r="E24125">
        <v>0</v>
      </c>
      <c r="F24125">
        <v>19</v>
      </c>
    </row>
    <row r="24126" spans="1:6" ht="12.75">
      <c r="A24126" s="2">
        <v>43875.813888888893</v>
      </c>
      <c r="B24126" t="str">
        <f>HYPERLINK("https://twitter.com/aryosanjaya","@aryosanjaya")</f>
        <v>@aryosanjaya</v>
      </c>
      <c r="C24126" t="s">
        <v>11141</v>
      </c>
      <c r="D24126">
        <v>0</v>
      </c>
      <c r="E24126">
        <v>0</v>
      </c>
      <c r="F24126">
        <v>962</v>
      </c>
    </row>
    <row r="24127" spans="1:6" ht="12.75">
      <c r="A24127" s="2">
        <v>43875.81385416667</v>
      </c>
      <c r="B24127" t="str">
        <f>HYPERLINK("https://twitter.com/BillTemporo","@BillTemporo")</f>
        <v>@BillTemporo</v>
      </c>
      <c r="C24127" t="s">
        <v>2092</v>
      </c>
      <c r="D24127">
        <v>0</v>
      </c>
      <c r="E24127">
        <v>0</v>
      </c>
      <c r="F24127">
        <v>11</v>
      </c>
    </row>
    <row r="24128" spans="1:6" ht="12.75">
      <c r="A24128" s="2">
        <v>43875.813831018517</v>
      </c>
      <c r="B24128" t="str">
        <f>HYPERLINK("https://twitter.com/loey30510944","@loey30510944")</f>
        <v>@loey30510944</v>
      </c>
      <c r="C24128" t="s">
        <v>4605</v>
      </c>
      <c r="D24128">
        <v>1548</v>
      </c>
      <c r="E24128">
        <v>0</v>
      </c>
      <c r="F24128">
        <v>29</v>
      </c>
    </row>
    <row r="24129" spans="1:6" ht="12.75">
      <c r="A24129" s="2">
        <v>43875.813692129625</v>
      </c>
      <c r="B24129" t="str">
        <f>HYPERLINK("https://twitter.com/ANDRE_OCTA_","@ANDRE_OCTA_")</f>
        <v>@ANDRE_OCTA_</v>
      </c>
      <c r="C24129" t="s">
        <v>11142</v>
      </c>
      <c r="D24129">
        <v>0</v>
      </c>
      <c r="E24129">
        <v>1</v>
      </c>
      <c r="F24129">
        <v>16012</v>
      </c>
    </row>
    <row r="24130" spans="1:6" ht="12.75">
      <c r="A24130" s="2">
        <v>43875.813657407409</v>
      </c>
      <c r="B24130" t="str">
        <f>HYPERLINK("https://twitter.com/mkaryns","@mkaryns")</f>
        <v>@mkaryns</v>
      </c>
      <c r="C24130" t="s">
        <v>11143</v>
      </c>
      <c r="D24130">
        <v>0</v>
      </c>
      <c r="E24130">
        <v>0</v>
      </c>
      <c r="F24130">
        <v>578</v>
      </c>
    </row>
    <row r="24131" spans="1:6" ht="12.75">
      <c r="A24131" s="2">
        <v>43875.813622685186</v>
      </c>
      <c r="B24131" t="str">
        <f>HYPERLINK("https://twitter.com/tCandra_","@tCandra_")</f>
        <v>@tCandra_</v>
      </c>
      <c r="C24131" t="s">
        <v>9021</v>
      </c>
      <c r="D24131">
        <v>201</v>
      </c>
      <c r="E24131">
        <v>0</v>
      </c>
      <c r="F24131">
        <v>218</v>
      </c>
    </row>
    <row r="24132" spans="1:6" ht="12.75">
      <c r="A24132" s="2">
        <v>43875.813611111109</v>
      </c>
      <c r="B24132" t="str">
        <f>HYPERLINK("https://twitter.com/markadenson","@markadenson")</f>
        <v>@markadenson</v>
      </c>
      <c r="C24132" t="s">
        <v>9198</v>
      </c>
      <c r="D24132">
        <v>26</v>
      </c>
      <c r="E24132">
        <v>0</v>
      </c>
      <c r="F24132">
        <v>84</v>
      </c>
    </row>
    <row r="24133" spans="1:6" ht="12.75">
      <c r="A24133" s="2">
        <v>43875.813449074078</v>
      </c>
      <c r="B24133" t="str">
        <f>HYPERLINK("https://twitter.com/slaydenna","@slaydenna")</f>
        <v>@slaydenna</v>
      </c>
      <c r="C24133" t="s">
        <v>2444</v>
      </c>
      <c r="D24133">
        <v>2317</v>
      </c>
      <c r="E24133">
        <v>0</v>
      </c>
      <c r="F24133">
        <v>672</v>
      </c>
    </row>
    <row r="24134" spans="1:6" ht="12.75">
      <c r="A24134" s="2">
        <v>43875.813402777778</v>
      </c>
      <c r="B24134" t="str">
        <f>HYPERLINK("https://twitter.com/HusinShihab","@HusinShihab")</f>
        <v>@HusinShihab</v>
      </c>
      <c r="C24134" t="s">
        <v>10083</v>
      </c>
      <c r="D24134">
        <v>24</v>
      </c>
      <c r="E24134">
        <v>0</v>
      </c>
      <c r="F24134">
        <v>3683</v>
      </c>
    </row>
    <row r="24135" spans="1:6" ht="12.75">
      <c r="A24135" s="2">
        <v>43875.813368055555</v>
      </c>
      <c r="B24135" t="str">
        <f>HYPERLINK("https://twitter.com/tralala_trililu","@tralala_trililu")</f>
        <v>@tralala_trililu</v>
      </c>
      <c r="C24135" t="s">
        <v>11144</v>
      </c>
      <c r="D24135">
        <v>0</v>
      </c>
      <c r="E24135">
        <v>0</v>
      </c>
      <c r="F24135">
        <v>34</v>
      </c>
    </row>
    <row r="24136" spans="1:6" ht="12.75">
      <c r="A24136" s="2">
        <v>43875.813275462962</v>
      </c>
      <c r="B24136" t="str">
        <f>HYPERLINK("https://twitter.com/BudiatnoGomarus","@BudiatnoGomarus")</f>
        <v>@BudiatnoGomarus</v>
      </c>
      <c r="C24136" t="s">
        <v>11145</v>
      </c>
      <c r="D24136">
        <v>0</v>
      </c>
      <c r="E24136">
        <v>0</v>
      </c>
      <c r="F24136">
        <v>3559</v>
      </c>
    </row>
    <row r="24137" spans="1:6" ht="12.75">
      <c r="A24137" s="2">
        <v>43875.813206018516</v>
      </c>
      <c r="B24137" t="str">
        <f>HYPERLINK("https://twitter.com/PakDheGondrong","@PakDheGondrong")</f>
        <v>@PakDheGondrong</v>
      </c>
      <c r="C24137" t="s">
        <v>11146</v>
      </c>
      <c r="D24137">
        <v>0</v>
      </c>
      <c r="E24137">
        <v>0</v>
      </c>
      <c r="F24137">
        <v>582</v>
      </c>
    </row>
    <row r="24138" spans="1:6" ht="12.75">
      <c r="A24138" s="2">
        <v>43875.81318287037</v>
      </c>
      <c r="B24138" t="str">
        <f>HYPERLINK("https://twitter.com/rahriyaadh","@rahriyaadh")</f>
        <v>@rahriyaadh</v>
      </c>
      <c r="C24138" t="s">
        <v>10074</v>
      </c>
      <c r="D24138">
        <v>68</v>
      </c>
      <c r="E24138">
        <v>0</v>
      </c>
      <c r="F24138">
        <v>206</v>
      </c>
    </row>
    <row r="24139" spans="1:6" ht="12.75">
      <c r="A24139" s="2">
        <v>43875.813171296293</v>
      </c>
      <c r="B24139" t="str">
        <f>HYPERLINK("https://twitter.com/blurbyz","@blurbyz")</f>
        <v>@blurbyz</v>
      </c>
      <c r="C24139" t="s">
        <v>2137</v>
      </c>
      <c r="D24139">
        <v>188</v>
      </c>
      <c r="E24139">
        <v>0</v>
      </c>
      <c r="F24139">
        <v>555</v>
      </c>
    </row>
    <row r="24140" spans="1:6" ht="12.75">
      <c r="A24140" s="2">
        <v>43875.813125000001</v>
      </c>
      <c r="B24140" t="str">
        <f>HYPERLINK("https://twitter.com/limitrucks","@limitrucks")</f>
        <v>@limitrucks</v>
      </c>
      <c r="C24140" t="s">
        <v>2444</v>
      </c>
      <c r="D24140">
        <v>2317</v>
      </c>
      <c r="E24140">
        <v>0</v>
      </c>
      <c r="F24140">
        <v>622</v>
      </c>
    </row>
    <row r="24141" spans="1:6" ht="12.75">
      <c r="A24141" s="2">
        <v>43875.813113425931</v>
      </c>
      <c r="B24141" t="str">
        <f>HYPERLINK("https://twitter.com/wooniehoney","@wooniehoney")</f>
        <v>@wooniehoney</v>
      </c>
      <c r="C24141" t="s">
        <v>11147</v>
      </c>
      <c r="D24141">
        <v>0</v>
      </c>
      <c r="E24141">
        <v>0</v>
      </c>
      <c r="F24141">
        <v>554</v>
      </c>
    </row>
    <row r="24142" spans="1:6" ht="12.75">
      <c r="A24142" s="2">
        <v>43875.813101851847</v>
      </c>
      <c r="B24142" t="str">
        <f>HYPERLINK("https://twitter.com/7apulidi","@7apulidi")</f>
        <v>@7apulidi</v>
      </c>
      <c r="C24142" t="s">
        <v>9198</v>
      </c>
      <c r="D24142">
        <v>26</v>
      </c>
      <c r="E24142">
        <v>0</v>
      </c>
      <c r="F24142">
        <v>796</v>
      </c>
    </row>
    <row r="24143" spans="1:6" ht="12.75">
      <c r="A24143" s="2">
        <v>43875.813020833331</v>
      </c>
      <c r="B24143" t="str">
        <f>HYPERLINK("https://twitter.com/ik4mawar3","@ik4mawar3")</f>
        <v>@ik4mawar3</v>
      </c>
      <c r="C24143" t="s">
        <v>9198</v>
      </c>
      <c r="D24143">
        <v>26</v>
      </c>
      <c r="E24143">
        <v>0</v>
      </c>
      <c r="F24143">
        <v>10672</v>
      </c>
    </row>
    <row r="24144" spans="1:6" ht="12.75">
      <c r="A24144" s="2">
        <v>43875.812800925924</v>
      </c>
      <c r="B24144" t="str">
        <f>HYPERLINK("https://twitter.com/asaresty","@asaresty")</f>
        <v>@asaresty</v>
      </c>
      <c r="C24144" t="s">
        <v>9964</v>
      </c>
      <c r="D24144">
        <v>628</v>
      </c>
      <c r="E24144">
        <v>0</v>
      </c>
      <c r="F24144">
        <v>262</v>
      </c>
    </row>
    <row r="24145" spans="1:6" ht="12.75">
      <c r="A24145" s="2">
        <v>43875.812650462962</v>
      </c>
      <c r="B24145" t="str">
        <f>HYPERLINK("https://twitter.com/Hendra_1968","@Hendra_1968")</f>
        <v>@Hendra_1968</v>
      </c>
      <c r="C24145" t="s">
        <v>9198</v>
      </c>
      <c r="D24145">
        <v>26</v>
      </c>
      <c r="E24145">
        <v>0</v>
      </c>
      <c r="F24145">
        <v>370</v>
      </c>
    </row>
    <row r="24146" spans="1:6" ht="12.75">
      <c r="A24146" s="2">
        <v>43875.812557870369</v>
      </c>
      <c r="B24146" t="str">
        <f>HYPERLINK("https://twitter.com/shabinaalika","@shabinaalika")</f>
        <v>@shabinaalika</v>
      </c>
      <c r="C24146" t="s">
        <v>11148</v>
      </c>
      <c r="D24146">
        <v>0</v>
      </c>
      <c r="E24146">
        <v>0</v>
      </c>
      <c r="F24146">
        <v>21</v>
      </c>
    </row>
    <row r="24147" spans="1:6" ht="12.75">
      <c r="A24147" s="2">
        <v>43875.812546296293</v>
      </c>
      <c r="B24147" t="str">
        <f>HYPERLINK("https://twitter.com/asnug_id","@asnug_id")</f>
        <v>@asnug_id</v>
      </c>
      <c r="C24147" t="s">
        <v>10083</v>
      </c>
      <c r="D24147">
        <v>24</v>
      </c>
      <c r="E24147">
        <v>0</v>
      </c>
      <c r="F24147">
        <v>3197</v>
      </c>
    </row>
    <row r="24148" spans="1:6" ht="12.75">
      <c r="A24148" s="2">
        <v>43875.812523148154</v>
      </c>
      <c r="B24148" t="str">
        <f>HYPERLINK("https://twitter.com/Maknya_nctdream","@Maknya_nctdream")</f>
        <v>@Maknya_nctdream</v>
      </c>
      <c r="C24148" t="s">
        <v>11149</v>
      </c>
      <c r="D24148">
        <v>0</v>
      </c>
      <c r="E24148">
        <v>0</v>
      </c>
      <c r="F24148">
        <v>411</v>
      </c>
    </row>
    <row r="24149" spans="1:6" ht="12.75">
      <c r="A24149" s="2">
        <v>43875.812523148154</v>
      </c>
      <c r="B24149" t="str">
        <f>HYPERLINK("https://twitter.com/AyoJKW","@AyoJKW")</f>
        <v>@AyoJKW</v>
      </c>
      <c r="C24149" t="s">
        <v>11150</v>
      </c>
      <c r="D24149">
        <v>0</v>
      </c>
      <c r="E24149">
        <v>0</v>
      </c>
      <c r="F24149">
        <v>57</v>
      </c>
    </row>
    <row r="24150" spans="1:6" ht="12.75">
      <c r="A24150" s="2">
        <v>43875.8125</v>
      </c>
      <c r="B24150" t="str">
        <f>HYPERLINK("https://twitter.com/hariankompas","@hariankompas")</f>
        <v>@hariankompas</v>
      </c>
      <c r="C24150" t="s">
        <v>11151</v>
      </c>
      <c r="D24150">
        <v>0</v>
      </c>
      <c r="E24150">
        <v>2</v>
      </c>
      <c r="F24150">
        <v>785798</v>
      </c>
    </row>
    <row r="24151" spans="1:6" ht="12.75">
      <c r="A24151" s="2">
        <v>43875.8125</v>
      </c>
      <c r="B24151" t="str">
        <f>HYPERLINK("https://twitter.com/CNNIDdaily","@CNNIDdaily")</f>
        <v>@CNNIDdaily</v>
      </c>
      <c r="C24151" t="s">
        <v>11152</v>
      </c>
      <c r="D24151">
        <v>1</v>
      </c>
      <c r="E24151">
        <v>0</v>
      </c>
      <c r="F24151">
        <v>115910</v>
      </c>
    </row>
    <row r="24152" spans="1:6" ht="12.75">
      <c r="A24152" s="2">
        <v>43875.812453703707</v>
      </c>
      <c r="B24152" t="str">
        <f>HYPERLINK("https://twitter.com/zenoldgonzalez","@zenoldgonzalez")</f>
        <v>@zenoldgonzalez</v>
      </c>
      <c r="C24152" t="s">
        <v>9198</v>
      </c>
      <c r="D24152">
        <v>26</v>
      </c>
      <c r="E24152">
        <v>0</v>
      </c>
      <c r="F24152">
        <v>1891</v>
      </c>
    </row>
    <row r="24153" spans="1:6" ht="12.75">
      <c r="A24153" s="2">
        <v>43875.812430555554</v>
      </c>
      <c r="B24153" t="str">
        <f>HYPERLINK("https://twitter.com/Aboriginandind1","@Aboriginandind1")</f>
        <v>@Aboriginandind1</v>
      </c>
      <c r="C24153" t="s">
        <v>11153</v>
      </c>
      <c r="D24153">
        <v>0</v>
      </c>
      <c r="E24153">
        <v>0</v>
      </c>
      <c r="F24153">
        <v>13</v>
      </c>
    </row>
    <row r="24154" spans="1:6" ht="12.75">
      <c r="A24154" s="2">
        <v>43875.812418981484</v>
      </c>
      <c r="B24154" t="str">
        <f>HYPERLINK("https://twitter.com/sowieich_","@sowieich_")</f>
        <v>@sowieich_</v>
      </c>
      <c r="C24154" t="s">
        <v>2444</v>
      </c>
      <c r="D24154">
        <v>2317</v>
      </c>
      <c r="E24154">
        <v>0</v>
      </c>
      <c r="F24154">
        <v>503</v>
      </c>
    </row>
    <row r="24155" spans="1:6" ht="12.75">
      <c r="A24155" s="2">
        <v>43875.812372685185</v>
      </c>
      <c r="B24155" t="str">
        <f>HYPERLINK("https://twitter.com/UltraEnviron","@UltraEnviron")</f>
        <v>@UltraEnviron</v>
      </c>
      <c r="C24155" t="s">
        <v>5168</v>
      </c>
      <c r="D24155">
        <v>935</v>
      </c>
      <c r="E24155">
        <v>0</v>
      </c>
      <c r="F24155">
        <v>120</v>
      </c>
    </row>
    <row r="24156" spans="1:6" ht="12.75">
      <c r="A24156" s="2">
        <v>43875.812326388885</v>
      </c>
      <c r="B24156" t="str">
        <f>HYPERLINK("https://twitter.com/pac_gpansorawn","@pac_gpansorawn")</f>
        <v>@pac_gpansorawn</v>
      </c>
      <c r="C24156" t="s">
        <v>11154</v>
      </c>
      <c r="D24156">
        <v>0</v>
      </c>
      <c r="E24156">
        <v>0</v>
      </c>
      <c r="F24156">
        <v>101</v>
      </c>
    </row>
    <row r="24157" spans="1:6" ht="12.75">
      <c r="A24157" s="2">
        <v>43875.812245370369</v>
      </c>
      <c r="B24157" t="str">
        <f>HYPERLINK("https://twitter.com/sumidi06","@sumidi06")</f>
        <v>@sumidi06</v>
      </c>
      <c r="C24157" t="s">
        <v>8542</v>
      </c>
      <c r="D24157">
        <v>5</v>
      </c>
      <c r="E24157">
        <v>0</v>
      </c>
      <c r="F24157">
        <v>3039</v>
      </c>
    </row>
    <row r="24158" spans="1:6" ht="12.75">
      <c r="A24158" s="2">
        <v>43875.812245370369</v>
      </c>
      <c r="B24158" t="str">
        <f>HYPERLINK("https://twitter.com/masyogapb","@masyogapb")</f>
        <v>@masyogapb</v>
      </c>
      <c r="C24158" t="s">
        <v>2444</v>
      </c>
      <c r="D24158">
        <v>2317</v>
      </c>
      <c r="E24158">
        <v>0</v>
      </c>
      <c r="F24158">
        <v>456</v>
      </c>
    </row>
    <row r="24159" spans="1:6" ht="12.75">
      <c r="A24159" s="2">
        <v>43875.812245370369</v>
      </c>
      <c r="B24159" t="str">
        <f>HYPERLINK("https://twitter.com/ngurahsaka","@ngurahsaka")</f>
        <v>@ngurahsaka</v>
      </c>
      <c r="C24159" t="s">
        <v>11155</v>
      </c>
      <c r="D24159">
        <v>0</v>
      </c>
      <c r="E24159">
        <v>0</v>
      </c>
      <c r="F24159">
        <v>1802</v>
      </c>
    </row>
    <row r="24160" spans="1:6" ht="12.75">
      <c r="A24160" s="2">
        <v>43875.812118055561</v>
      </c>
      <c r="B24160" t="str">
        <f>HYPERLINK("https://twitter.com/baca_tanda","@baca_tanda")</f>
        <v>@baca_tanda</v>
      </c>
      <c r="C24160" t="s">
        <v>11156</v>
      </c>
      <c r="D24160">
        <v>0</v>
      </c>
      <c r="E24160">
        <v>0</v>
      </c>
      <c r="F24160">
        <v>977</v>
      </c>
    </row>
    <row r="24161" spans="1:6" ht="12.75">
      <c r="A24161" s="2">
        <v>43875.812048611115</v>
      </c>
      <c r="B24161" t="str">
        <f>HYPERLINK("https://twitter.com/__beritaterkini","@__beritaterkini")</f>
        <v>@__beritaterkini</v>
      </c>
      <c r="C24161" t="s">
        <v>11157</v>
      </c>
      <c r="D24161">
        <v>0</v>
      </c>
      <c r="E24161">
        <v>0</v>
      </c>
      <c r="F24161">
        <v>419</v>
      </c>
    </row>
    <row r="24162" spans="1:6" ht="12.75">
      <c r="A24162" s="2">
        <v>43875.811990740738</v>
      </c>
      <c r="B24162" t="str">
        <f>HYPERLINK("https://twitter.com/DiartonoSapto","@DiartonoSapto")</f>
        <v>@DiartonoSapto</v>
      </c>
      <c r="C24162" t="s">
        <v>6201</v>
      </c>
      <c r="D24162">
        <v>185</v>
      </c>
      <c r="E24162">
        <v>0</v>
      </c>
      <c r="F24162">
        <v>478</v>
      </c>
    </row>
    <row r="24163" spans="1:6" ht="12.75">
      <c r="A24163" s="2">
        <v>43875.811967592592</v>
      </c>
      <c r="B24163" t="str">
        <f>HYPERLINK("https://twitter.com/bilaprameswari","@bilaprameswari")</f>
        <v>@bilaprameswari</v>
      </c>
      <c r="C24163" t="s">
        <v>2444</v>
      </c>
      <c r="D24163">
        <v>2317</v>
      </c>
      <c r="E24163">
        <v>0</v>
      </c>
      <c r="F24163">
        <v>408</v>
      </c>
    </row>
    <row r="24164" spans="1:6" ht="12.75">
      <c r="A24164" s="2">
        <v>43875.811874999999</v>
      </c>
      <c r="B24164" t="str">
        <f>HYPERLINK("https://twitter.com/SoniMsi07","@SoniMsi07")</f>
        <v>@SoniMsi07</v>
      </c>
      <c r="C24164" t="s">
        <v>10330</v>
      </c>
      <c r="D24164">
        <v>215</v>
      </c>
      <c r="E24164">
        <v>0</v>
      </c>
      <c r="F24164">
        <v>235</v>
      </c>
    </row>
    <row r="24165" spans="1:6" ht="12.75">
      <c r="A24165" s="2">
        <v>43875.811805555553</v>
      </c>
      <c r="B24165" t="str">
        <f>HYPERLINK("https://twitter.com/jd8110404469","@jd8110404469")</f>
        <v>@jd8110404469</v>
      </c>
      <c r="C24165" t="s">
        <v>11158</v>
      </c>
      <c r="D24165">
        <v>0</v>
      </c>
      <c r="E24165">
        <v>0</v>
      </c>
      <c r="F24165">
        <v>99</v>
      </c>
    </row>
    <row r="24166" spans="1:6" ht="12.75">
      <c r="A24166" s="2">
        <v>43875.811712962968</v>
      </c>
      <c r="B24166" t="str">
        <f>HYPERLINK("https://twitter.com/legalies_","@legalies_")</f>
        <v>@legalies_</v>
      </c>
      <c r="C24166" t="s">
        <v>11159</v>
      </c>
      <c r="D24166">
        <v>0</v>
      </c>
      <c r="E24166">
        <v>0</v>
      </c>
      <c r="F24166">
        <v>489</v>
      </c>
    </row>
    <row r="24167" spans="1:6" ht="12.75">
      <c r="A24167" s="2">
        <v>43875.811712962968</v>
      </c>
      <c r="B24167" t="str">
        <f>HYPERLINK("https://twitter.com/herdiman29","@herdiman29")</f>
        <v>@herdiman29</v>
      </c>
      <c r="C24167" t="s">
        <v>9746</v>
      </c>
      <c r="D24167">
        <v>329</v>
      </c>
      <c r="E24167">
        <v>0</v>
      </c>
      <c r="F24167">
        <v>959</v>
      </c>
    </row>
    <row r="24168" spans="1:6" ht="12.75">
      <c r="A24168" s="2">
        <v>43875.811574074076</v>
      </c>
      <c r="B24168" t="str">
        <f>HYPERLINK("https://twitter.com/Safwannur86","@Safwannur86")</f>
        <v>@Safwannur86</v>
      </c>
      <c r="C24168" t="s">
        <v>6201</v>
      </c>
      <c r="D24168">
        <v>185</v>
      </c>
      <c r="E24168">
        <v>0</v>
      </c>
      <c r="F24168">
        <v>502</v>
      </c>
    </row>
    <row r="24169" spans="1:6" ht="12.75">
      <c r="A24169" s="2">
        <v>43875.811516203699</v>
      </c>
      <c r="B24169" t="str">
        <f>HYPERLINK("https://twitter.com/Fuad53808363","@Fuad53808363")</f>
        <v>@Fuad53808363</v>
      </c>
      <c r="C24169" t="s">
        <v>9732</v>
      </c>
      <c r="D24169">
        <v>59</v>
      </c>
      <c r="E24169">
        <v>0</v>
      </c>
      <c r="F24169">
        <v>113</v>
      </c>
    </row>
    <row r="24170" spans="1:6" ht="12.75">
      <c r="A24170" s="2">
        <v>43875.811469907407</v>
      </c>
      <c r="B24170" t="str">
        <f>HYPERLINK("https://twitter.com/anton_kaktuo","@anton_kaktuo")</f>
        <v>@anton_kaktuo</v>
      </c>
      <c r="C24170" t="s">
        <v>9198</v>
      </c>
      <c r="D24170">
        <v>26</v>
      </c>
      <c r="E24170">
        <v>0</v>
      </c>
      <c r="F24170">
        <v>250</v>
      </c>
    </row>
    <row r="24171" spans="1:6" ht="12.75">
      <c r="A24171" s="2">
        <v>43875.811458333337</v>
      </c>
      <c r="B24171" t="str">
        <f>HYPERLINK("https://twitter.com/thisiswira","@thisiswira")</f>
        <v>@thisiswira</v>
      </c>
      <c r="C24171" t="s">
        <v>2444</v>
      </c>
      <c r="D24171">
        <v>2317</v>
      </c>
      <c r="E24171">
        <v>0</v>
      </c>
      <c r="F24171">
        <v>28</v>
      </c>
    </row>
    <row r="24172" spans="1:6" ht="12.75">
      <c r="A24172" s="2">
        <v>43875.811435185184</v>
      </c>
      <c r="B24172" t="str">
        <f>HYPERLINK("https://twitter.com/affandiasry","@affandiasry")</f>
        <v>@affandiasry</v>
      </c>
      <c r="C24172" t="s">
        <v>11160</v>
      </c>
      <c r="D24172">
        <v>0</v>
      </c>
      <c r="E24172">
        <v>0</v>
      </c>
      <c r="F24172">
        <v>647</v>
      </c>
    </row>
    <row r="24173" spans="1:6" ht="12.75">
      <c r="A24173" s="2">
        <v>43875.811319444445</v>
      </c>
      <c r="B24173" t="str">
        <f>HYPERLINK("https://twitter.com/_Amatullah18","@_Amatullah18")</f>
        <v>@_Amatullah18</v>
      </c>
      <c r="C24173" t="s">
        <v>11161</v>
      </c>
      <c r="D24173">
        <v>0</v>
      </c>
      <c r="E24173">
        <v>0</v>
      </c>
      <c r="F24173">
        <v>88</v>
      </c>
    </row>
    <row r="24174" spans="1:6" ht="12.75">
      <c r="A24174" s="2">
        <v>43875.811261574076</v>
      </c>
      <c r="B24174" t="str">
        <f>HYPERLINK("https://twitter.com/ibrahim_karai","@ibrahim_karai")</f>
        <v>@ibrahim_karai</v>
      </c>
      <c r="C24174" t="s">
        <v>2963</v>
      </c>
      <c r="D24174">
        <v>1061</v>
      </c>
      <c r="E24174">
        <v>0</v>
      </c>
      <c r="F24174">
        <v>142</v>
      </c>
    </row>
    <row r="24175" spans="1:6" ht="12.75">
      <c r="A24175" s="2">
        <v>43875.811226851853</v>
      </c>
      <c r="B24175" t="str">
        <f>HYPERLINK("https://twitter.com/Hansyo70","@Hansyo70")</f>
        <v>@Hansyo70</v>
      </c>
      <c r="C24175" t="s">
        <v>6201</v>
      </c>
      <c r="D24175">
        <v>185</v>
      </c>
      <c r="E24175">
        <v>0</v>
      </c>
      <c r="F24175">
        <v>375</v>
      </c>
    </row>
    <row r="24176" spans="1:6" ht="12.75">
      <c r="A24176" s="2">
        <v>43875.811215277776</v>
      </c>
      <c r="B24176" t="str">
        <f>HYPERLINK("https://twitter.com/Andere_zulf","@Andere_zulf")</f>
        <v>@Andere_zulf</v>
      </c>
      <c r="C24176" t="s">
        <v>11162</v>
      </c>
      <c r="D24176">
        <v>0</v>
      </c>
      <c r="E24176">
        <v>0</v>
      </c>
      <c r="F24176">
        <v>43</v>
      </c>
    </row>
    <row r="24177" spans="1:6" ht="12.75">
      <c r="A24177" s="2">
        <v>43875.811157407406</v>
      </c>
      <c r="B24177" t="str">
        <f>HYPERLINK("https://twitter.com/endogasin__","@endogasin__")</f>
        <v>@endogasin__</v>
      </c>
      <c r="C24177" t="s">
        <v>5168</v>
      </c>
      <c r="D24177">
        <v>935</v>
      </c>
      <c r="E24177">
        <v>0</v>
      </c>
      <c r="F24177">
        <v>524</v>
      </c>
    </row>
    <row r="24178" spans="1:6" ht="12.75">
      <c r="A24178" s="2">
        <v>43875.811041666668</v>
      </c>
      <c r="B24178" t="str">
        <f>HYPERLINK("https://twitter.com/Leel310","@Leel310")</f>
        <v>@Leel310</v>
      </c>
      <c r="C24178" t="s">
        <v>11163</v>
      </c>
      <c r="D24178">
        <v>0</v>
      </c>
      <c r="E24178">
        <v>1</v>
      </c>
      <c r="F24178">
        <v>1</v>
      </c>
    </row>
    <row r="24179" spans="1:6" ht="12.75">
      <c r="A24179" s="2">
        <v>43875.811006944445</v>
      </c>
      <c r="B24179" t="str">
        <f>HYPERLINK("https://twitter.com/KavindraOemar","@KavindraOemar")</f>
        <v>@KavindraOemar</v>
      </c>
      <c r="C24179" t="s">
        <v>9198</v>
      </c>
      <c r="D24179">
        <v>26</v>
      </c>
      <c r="E24179">
        <v>0</v>
      </c>
      <c r="F24179">
        <v>3670</v>
      </c>
    </row>
    <row r="24180" spans="1:6" ht="12.75">
      <c r="A24180" s="2">
        <v>43875.810995370368</v>
      </c>
      <c r="B24180" t="str">
        <f>HYPERLINK("https://twitter.com/_wni_","@_wni_")</f>
        <v>@_wni_</v>
      </c>
      <c r="C24180" t="s">
        <v>11164</v>
      </c>
      <c r="D24180">
        <v>0</v>
      </c>
      <c r="E24180">
        <v>1</v>
      </c>
      <c r="F24180">
        <v>8</v>
      </c>
    </row>
    <row r="24181" spans="1:6" ht="12.75">
      <c r="A24181" s="2">
        <v>43875.810960648145</v>
      </c>
      <c r="B24181" t="str">
        <f>HYPERLINK("https://twitter.com/noturtypicalbf","@noturtypicalbf")</f>
        <v>@noturtypicalbf</v>
      </c>
      <c r="C24181" t="s">
        <v>2444</v>
      </c>
      <c r="D24181">
        <v>2317</v>
      </c>
      <c r="E24181">
        <v>0</v>
      </c>
      <c r="F24181">
        <v>21</v>
      </c>
    </row>
    <row r="24182" spans="1:6" ht="12.75">
      <c r="A24182" s="2">
        <v>43875.810856481483</v>
      </c>
      <c r="B24182" t="str">
        <f>HYPERLINK("https://twitter.com/DiartonoSapto","@DiartonoSapto")</f>
        <v>@DiartonoSapto</v>
      </c>
      <c r="C24182" t="s">
        <v>9198</v>
      </c>
      <c r="D24182">
        <v>26</v>
      </c>
      <c r="E24182">
        <v>0</v>
      </c>
      <c r="F24182">
        <v>478</v>
      </c>
    </row>
    <row r="24183" spans="1:6" ht="12.75">
      <c r="A24183" s="2">
        <v>43875.810833333337</v>
      </c>
      <c r="B24183" t="str">
        <f>HYPERLINK("https://twitter.com/shabinaalika","@shabinaalika")</f>
        <v>@shabinaalika</v>
      </c>
      <c r="C24183" t="s">
        <v>11148</v>
      </c>
      <c r="D24183">
        <v>0</v>
      </c>
      <c r="E24183">
        <v>0</v>
      </c>
      <c r="F24183">
        <v>21</v>
      </c>
    </row>
    <row r="24184" spans="1:6" ht="12.75">
      <c r="A24184" s="2">
        <v>43875.810636574075</v>
      </c>
      <c r="B24184" t="str">
        <f>HYPERLINK("https://twitter.com/adlstyles","@adlstyles")</f>
        <v>@adlstyles</v>
      </c>
      <c r="C24184" t="s">
        <v>2444</v>
      </c>
      <c r="D24184">
        <v>2317</v>
      </c>
      <c r="E24184">
        <v>0</v>
      </c>
      <c r="F24184">
        <v>365</v>
      </c>
    </row>
    <row r="24185" spans="1:6" ht="12.75">
      <c r="A24185" s="2">
        <v>43875.810624999998</v>
      </c>
      <c r="B24185" t="str">
        <f>HYPERLINK("https://twitter.com/atlasbuku","@atlasbuku")</f>
        <v>@atlasbuku</v>
      </c>
      <c r="C24185" t="s">
        <v>2444</v>
      </c>
      <c r="D24185">
        <v>2317</v>
      </c>
      <c r="E24185">
        <v>0</v>
      </c>
      <c r="F24185">
        <v>141</v>
      </c>
    </row>
    <row r="24186" spans="1:6" ht="12.75">
      <c r="A24186" s="2">
        <v>43875.810567129629</v>
      </c>
      <c r="B24186" t="str">
        <f>HYPERLINK("https://twitter.com/yanuarbf","@yanuarbf")</f>
        <v>@yanuarbf</v>
      </c>
      <c r="C24186" t="s">
        <v>11165</v>
      </c>
      <c r="D24186">
        <v>0</v>
      </c>
      <c r="E24186">
        <v>1</v>
      </c>
      <c r="F24186">
        <v>1063</v>
      </c>
    </row>
    <row r="24187" spans="1:6" ht="12.75">
      <c r="A24187" s="2">
        <v>43875.810532407406</v>
      </c>
      <c r="B24187" t="str">
        <f>HYPERLINK("https://twitter.com/senjamrahjingga","@senjamrahjingga")</f>
        <v>@senjamrahjingga</v>
      </c>
      <c r="C24187" t="s">
        <v>6201</v>
      </c>
      <c r="D24187">
        <v>185</v>
      </c>
      <c r="E24187">
        <v>0</v>
      </c>
      <c r="F24187">
        <v>557</v>
      </c>
    </row>
    <row r="24188" spans="1:6" ht="12.75">
      <c r="A24188" s="2">
        <v>43875.810474537036</v>
      </c>
      <c r="B24188" t="str">
        <f>HYPERLINK("https://twitter.com/ihatesonson","@ihatesonson")</f>
        <v>@ihatesonson</v>
      </c>
      <c r="C24188" t="s">
        <v>5168</v>
      </c>
      <c r="D24188">
        <v>935</v>
      </c>
      <c r="E24188">
        <v>0</v>
      </c>
      <c r="F24188">
        <v>370</v>
      </c>
    </row>
    <row r="24189" spans="1:6" ht="12.75">
      <c r="A24189" s="2">
        <v>43875.810358796298</v>
      </c>
      <c r="B24189" t="str">
        <f>HYPERLINK("https://twitter.com/Ginamei6","@Ginamei6")</f>
        <v>@Ginamei6</v>
      </c>
      <c r="C24189" t="s">
        <v>11148</v>
      </c>
      <c r="D24189">
        <v>0</v>
      </c>
      <c r="E24189">
        <v>0</v>
      </c>
      <c r="F24189">
        <v>6</v>
      </c>
    </row>
    <row r="24190" spans="1:6" ht="12.75">
      <c r="A24190" s="2">
        <v>43875.810358796298</v>
      </c>
      <c r="B24190" t="str">
        <f>HYPERLINK("https://twitter.com/BJOeing","@BJOeing")</f>
        <v>@BJOeing</v>
      </c>
      <c r="C24190" t="s">
        <v>11044</v>
      </c>
      <c r="D24190">
        <v>7</v>
      </c>
      <c r="E24190">
        <v>0</v>
      </c>
      <c r="F24190">
        <v>535</v>
      </c>
    </row>
    <row r="24191" spans="1:6" ht="12.75">
      <c r="A24191" s="2">
        <v>43875.810300925921</v>
      </c>
      <c r="B24191" t="str">
        <f>HYPERLINK("https://twitter.com/disjkara","@disjkara")</f>
        <v>@disjkara</v>
      </c>
      <c r="C24191" t="s">
        <v>7478</v>
      </c>
      <c r="D24191">
        <v>362</v>
      </c>
      <c r="E24191">
        <v>0</v>
      </c>
      <c r="F24191">
        <v>26</v>
      </c>
    </row>
    <row r="24192" spans="1:6" ht="12.75">
      <c r="A24192" s="2">
        <v>43875.810254629629</v>
      </c>
      <c r="B24192" t="str">
        <f>HYPERLINK("https://twitter.com/KappaOsuzu","@KappaOsuzu")</f>
        <v>@KappaOsuzu</v>
      </c>
      <c r="C24192" t="s">
        <v>2444</v>
      </c>
      <c r="D24192">
        <v>2317</v>
      </c>
      <c r="E24192">
        <v>0</v>
      </c>
      <c r="F24192">
        <v>1013</v>
      </c>
    </row>
    <row r="24193" spans="1:6" ht="12.75">
      <c r="A24193" s="2">
        <v>43875.810219907406</v>
      </c>
      <c r="B24193" t="str">
        <f>HYPERLINK("https://twitter.com/R_Vino95","@R_Vino95")</f>
        <v>@R_Vino95</v>
      </c>
      <c r="C24193" t="s">
        <v>8867</v>
      </c>
      <c r="D24193">
        <v>1</v>
      </c>
      <c r="E24193">
        <v>0</v>
      </c>
      <c r="F24193">
        <v>453</v>
      </c>
    </row>
    <row r="24194" spans="1:6" ht="12.75">
      <c r="A24194" s="2">
        <v>43875.810162037036</v>
      </c>
      <c r="B24194" t="str">
        <f>HYPERLINK("https://twitter.com/buluketekkriswu","@buluketekkriswu")</f>
        <v>@buluketekkriswu</v>
      </c>
      <c r="C24194" t="s">
        <v>2444</v>
      </c>
      <c r="D24194">
        <v>2317</v>
      </c>
      <c r="E24194">
        <v>0</v>
      </c>
      <c r="F24194">
        <v>439</v>
      </c>
    </row>
    <row r="24195" spans="1:6" ht="12.75">
      <c r="A24195" s="2">
        <v>43875.810162037036</v>
      </c>
      <c r="B24195" t="str">
        <f>HYPERLINK("https://twitter.com/catatankakihati","@catatankakihati")</f>
        <v>@catatankakihati</v>
      </c>
      <c r="C24195" t="s">
        <v>10083</v>
      </c>
      <c r="D24195">
        <v>24</v>
      </c>
      <c r="E24195">
        <v>0</v>
      </c>
      <c r="F24195">
        <v>3541</v>
      </c>
    </row>
    <row r="24196" spans="1:6" ht="12.75">
      <c r="A24196" s="2">
        <v>43875.810150462959</v>
      </c>
      <c r="B24196" t="str">
        <f>HYPERLINK("https://twitter.com/Ginamei6","@Ginamei6")</f>
        <v>@Ginamei6</v>
      </c>
      <c r="C24196" t="s">
        <v>11148</v>
      </c>
      <c r="D24196">
        <v>0</v>
      </c>
      <c r="E24196">
        <v>0</v>
      </c>
      <c r="F24196">
        <v>6</v>
      </c>
    </row>
    <row r="24197" spans="1:6" ht="12.75">
      <c r="A24197" s="2">
        <v>43875.810115740736</v>
      </c>
      <c r="B24197" t="str">
        <f>HYPERLINK("https://twitter.com/n42if","@n42if")</f>
        <v>@n42if</v>
      </c>
      <c r="C24197" t="s">
        <v>9198</v>
      </c>
      <c r="D24197">
        <v>26</v>
      </c>
      <c r="E24197">
        <v>0</v>
      </c>
      <c r="F24197">
        <v>479</v>
      </c>
    </row>
    <row r="24198" spans="1:6" ht="12.75">
      <c r="A24198" s="2">
        <v>43875.810046296298</v>
      </c>
      <c r="B24198" t="str">
        <f>HYPERLINK("https://twitter.com/titteril","@titteril")</f>
        <v>@titteril</v>
      </c>
      <c r="C24198" t="s">
        <v>2963</v>
      </c>
      <c r="D24198">
        <v>1061</v>
      </c>
      <c r="E24198">
        <v>0</v>
      </c>
      <c r="F24198">
        <v>2066</v>
      </c>
    </row>
    <row r="24199" spans="1:6" ht="12.75">
      <c r="A24199" s="2">
        <v>43875.810034722221</v>
      </c>
      <c r="B24199" t="str">
        <f>HYPERLINK("https://twitter.com/misstyliciouz","@misstyliciouz")</f>
        <v>@misstyliciouz</v>
      </c>
      <c r="C24199" t="s">
        <v>175</v>
      </c>
      <c r="D24199">
        <v>5295</v>
      </c>
      <c r="E24199">
        <v>0</v>
      </c>
      <c r="F24199">
        <v>302</v>
      </c>
    </row>
    <row r="24200" spans="1:6" ht="12.75">
      <c r="A24200" s="2">
        <v>43875.810034722221</v>
      </c>
      <c r="B24200" t="str">
        <f>HYPERLINK("https://twitter.com/Inlander21","@Inlander21")</f>
        <v>@Inlander21</v>
      </c>
      <c r="C24200" t="s">
        <v>7888</v>
      </c>
      <c r="D24200">
        <v>21</v>
      </c>
      <c r="E24200">
        <v>0</v>
      </c>
      <c r="F24200">
        <v>668</v>
      </c>
    </row>
    <row r="24201" spans="1:6" ht="12.75">
      <c r="A24201" s="2">
        <v>43875.810023148151</v>
      </c>
      <c r="B24201" t="str">
        <f>HYPERLINK("https://twitter.com/fatheema_zein","@fatheema_zein")</f>
        <v>@fatheema_zein</v>
      </c>
      <c r="C24201" t="s">
        <v>7478</v>
      </c>
      <c r="D24201">
        <v>362</v>
      </c>
      <c r="E24201">
        <v>0</v>
      </c>
      <c r="F24201">
        <v>2193</v>
      </c>
    </row>
    <row r="24202" spans="1:6" ht="12.75">
      <c r="A24202" s="2">
        <v>43875.809907407413</v>
      </c>
      <c r="B24202" t="str">
        <f>HYPERLINK("https://twitter.com/fendyylie","@fendyylie")</f>
        <v>@fendyylie</v>
      </c>
      <c r="C24202" t="s">
        <v>2444</v>
      </c>
      <c r="D24202">
        <v>2317</v>
      </c>
      <c r="E24202">
        <v>0</v>
      </c>
      <c r="F24202">
        <v>8</v>
      </c>
    </row>
    <row r="24203" spans="1:6" ht="12.75">
      <c r="A24203" s="2">
        <v>43875.809895833328</v>
      </c>
      <c r="B24203" t="str">
        <f>HYPERLINK("https://twitter.com/adesumiati","@adesumiati")</f>
        <v>@adesumiati</v>
      </c>
      <c r="C24203" t="s">
        <v>2963</v>
      </c>
      <c r="D24203">
        <v>1061</v>
      </c>
      <c r="E24203">
        <v>0</v>
      </c>
      <c r="F24203">
        <v>115</v>
      </c>
    </row>
    <row r="24204" spans="1:6" ht="12.75">
      <c r="A24204" s="2">
        <v>43875.809884259259</v>
      </c>
      <c r="B24204" t="str">
        <f>HYPERLINK("https://twitter.com/macoloursis","@macoloursis")</f>
        <v>@macoloursis</v>
      </c>
      <c r="C24204" t="s">
        <v>5168</v>
      </c>
      <c r="D24204">
        <v>935</v>
      </c>
      <c r="E24204">
        <v>0</v>
      </c>
      <c r="F24204">
        <v>202</v>
      </c>
    </row>
    <row r="24205" spans="1:6" ht="12.75">
      <c r="A24205" s="2">
        <v>43875.809733796297</v>
      </c>
      <c r="B24205" t="str">
        <f>HYPERLINK("https://twitter.com/priyawicaksana","@priyawicaksana")</f>
        <v>@priyawicaksana</v>
      </c>
      <c r="C24205" t="s">
        <v>2963</v>
      </c>
      <c r="D24205">
        <v>1061</v>
      </c>
      <c r="E24205">
        <v>0</v>
      </c>
      <c r="F24205">
        <v>167</v>
      </c>
    </row>
    <row r="24206" spans="1:6" ht="12.75">
      <c r="A24206" s="2">
        <v>43875.809664351851</v>
      </c>
      <c r="B24206" t="str">
        <f>HYPERLINK("https://twitter.com/pecintaikemen","@pecintaikemen")</f>
        <v>@pecintaikemen</v>
      </c>
      <c r="C24206" t="s">
        <v>2444</v>
      </c>
      <c r="D24206">
        <v>2317</v>
      </c>
      <c r="E24206">
        <v>0</v>
      </c>
      <c r="F24206">
        <v>125</v>
      </c>
    </row>
    <row r="24207" spans="1:6" ht="12.75">
      <c r="A24207" s="2">
        <v>43875.809664351851</v>
      </c>
      <c r="B24207" t="str">
        <f>HYPERLINK("https://twitter.com/MoslemUntillDie","@MoslemUntillDie")</f>
        <v>@MoslemUntillDie</v>
      </c>
      <c r="C24207" t="s">
        <v>10052</v>
      </c>
      <c r="D24207">
        <v>66</v>
      </c>
      <c r="E24207">
        <v>0</v>
      </c>
      <c r="F24207">
        <v>338</v>
      </c>
    </row>
    <row r="24208" spans="1:6" ht="12.75">
      <c r="A24208" s="2">
        <v>43875.809652777782</v>
      </c>
      <c r="B24208" t="str">
        <f>HYPERLINK("https://twitter.com/spalpeen_","@spalpeen_")</f>
        <v>@spalpeen_</v>
      </c>
      <c r="C24208" t="s">
        <v>2444</v>
      </c>
      <c r="D24208">
        <v>2317</v>
      </c>
      <c r="E24208">
        <v>0</v>
      </c>
      <c r="F24208">
        <v>1892</v>
      </c>
    </row>
    <row r="24209" spans="1:6" ht="12.75">
      <c r="A24209" s="2">
        <v>43875.809594907405</v>
      </c>
      <c r="B24209" t="str">
        <f>HYPERLINK("https://twitter.com/kak_wew","@kak_wew")</f>
        <v>@kak_wew</v>
      </c>
      <c r="C24209" t="s">
        <v>11166</v>
      </c>
      <c r="D24209">
        <v>0</v>
      </c>
      <c r="E24209">
        <v>0</v>
      </c>
      <c r="F24209">
        <v>230</v>
      </c>
    </row>
    <row r="24210" spans="1:6" ht="12.75">
      <c r="A24210" s="2">
        <v>43875.809444444443</v>
      </c>
      <c r="B24210" t="str">
        <f>HYPERLINK("https://twitter.com/dimasaituaku","@dimasaituaku")</f>
        <v>@dimasaituaku</v>
      </c>
      <c r="C24210" t="s">
        <v>11167</v>
      </c>
      <c r="D24210">
        <v>159</v>
      </c>
      <c r="E24210">
        <v>0</v>
      </c>
      <c r="F24210">
        <v>13</v>
      </c>
    </row>
    <row r="24211" spans="1:6" ht="12.75">
      <c r="A24211" s="2">
        <v>43875.809432870374</v>
      </c>
      <c r="B24211" t="str">
        <f>HYPERLINK("https://twitter.com/n42if","@n42if")</f>
        <v>@n42if</v>
      </c>
      <c r="C24211" t="s">
        <v>10096</v>
      </c>
      <c r="D24211">
        <v>164</v>
      </c>
      <c r="E24211">
        <v>0</v>
      </c>
      <c r="F24211">
        <v>479</v>
      </c>
    </row>
    <row r="24212" spans="1:6" ht="12.75">
      <c r="A24212" s="2">
        <v>43875.809432870374</v>
      </c>
      <c r="B24212" t="str">
        <f>HYPERLINK("https://twitter.com/anggitpy","@anggitpy")</f>
        <v>@anggitpy</v>
      </c>
      <c r="C24212" t="s">
        <v>2444</v>
      </c>
      <c r="D24212">
        <v>2317</v>
      </c>
      <c r="E24212">
        <v>0</v>
      </c>
      <c r="F24212">
        <v>316</v>
      </c>
    </row>
    <row r="24213" spans="1:6" ht="12.75">
      <c r="A24213" s="2">
        <v>43875.809328703705</v>
      </c>
      <c r="B24213" t="str">
        <f>HYPERLINK("https://twitter.com/DonnyJordan1","@DonnyJordan1")</f>
        <v>@DonnyJordan1</v>
      </c>
      <c r="C24213" t="s">
        <v>2963</v>
      </c>
      <c r="D24213">
        <v>1061</v>
      </c>
      <c r="E24213">
        <v>0</v>
      </c>
      <c r="F24213">
        <v>295</v>
      </c>
    </row>
    <row r="24214" spans="1:6" ht="12.75">
      <c r="A24214" s="2">
        <v>43875.809270833328</v>
      </c>
      <c r="B24214" t="str">
        <f>HYPERLINK("https://twitter.com/zarazettirazr","@zarazettirazr")</f>
        <v>@zarazettirazr</v>
      </c>
      <c r="C24214" t="s">
        <v>11168</v>
      </c>
      <c r="D24214">
        <v>26</v>
      </c>
      <c r="E24214">
        <v>106</v>
      </c>
      <c r="F24214">
        <v>250126</v>
      </c>
    </row>
    <row r="24215" spans="1:6" ht="12.75">
      <c r="A24215" s="2">
        <v>43875.809259259258</v>
      </c>
      <c r="B24215" t="str">
        <f>HYPERLINK("https://twitter.com/rezabpras","@rezabpras")</f>
        <v>@rezabpras</v>
      </c>
      <c r="C24215" t="s">
        <v>7068</v>
      </c>
      <c r="D24215">
        <v>27</v>
      </c>
      <c r="E24215">
        <v>0</v>
      </c>
      <c r="F24215">
        <v>580</v>
      </c>
    </row>
    <row r="24216" spans="1:6" ht="12.75">
      <c r="A24216" s="2">
        <v>43875.809212962966</v>
      </c>
      <c r="B24216" t="str">
        <f>HYPERLINK("https://twitter.com/liffinn","@liffinn")</f>
        <v>@liffinn</v>
      </c>
      <c r="C24216" t="s">
        <v>5168</v>
      </c>
      <c r="D24216">
        <v>935</v>
      </c>
      <c r="E24216">
        <v>0</v>
      </c>
      <c r="F24216">
        <v>44</v>
      </c>
    </row>
    <row r="24217" spans="1:6" ht="12.75">
      <c r="A24217" s="2">
        <v>43875.809120370366</v>
      </c>
      <c r="B24217" t="str">
        <f>HYPERLINK("https://twitter.com/mhrydkncr","@mhrydkncr")</f>
        <v>@mhrydkncr</v>
      </c>
      <c r="C24217" t="s">
        <v>9998</v>
      </c>
      <c r="D24217">
        <v>104</v>
      </c>
      <c r="E24217">
        <v>0</v>
      </c>
      <c r="F24217">
        <v>15</v>
      </c>
    </row>
    <row r="24218" spans="1:6" ht="12.75">
      <c r="A24218" s="2">
        <v>43875.809085648143</v>
      </c>
      <c r="B24218" t="str">
        <f>HYPERLINK("https://twitter.com/abdulloh2015","@abdulloh2015")</f>
        <v>@abdulloh2015</v>
      </c>
      <c r="C24218" t="s">
        <v>2123</v>
      </c>
      <c r="D24218">
        <v>0</v>
      </c>
      <c r="E24218">
        <v>0</v>
      </c>
      <c r="F24218">
        <v>61</v>
      </c>
    </row>
    <row r="24219" spans="1:6" ht="12.75">
      <c r="A24219" s="2">
        <v>43875.809062500004</v>
      </c>
      <c r="B24219" t="str">
        <f>HYPERLINK("https://twitter.com/fajrinhazmi","@fajrinhazmi")</f>
        <v>@fajrinhazmi</v>
      </c>
      <c r="C24219" t="s">
        <v>8542</v>
      </c>
      <c r="D24219">
        <v>5</v>
      </c>
      <c r="E24219">
        <v>0</v>
      </c>
      <c r="F24219">
        <v>253</v>
      </c>
    </row>
    <row r="24220" spans="1:6" ht="12.75">
      <c r="A24220" s="2">
        <v>43875.809050925927</v>
      </c>
      <c r="B24220" t="str">
        <f>HYPERLINK("https://twitter.com/_kareneu","@_kareneu")</f>
        <v>@_kareneu</v>
      </c>
      <c r="C24220" t="s">
        <v>5168</v>
      </c>
      <c r="D24220">
        <v>935</v>
      </c>
      <c r="E24220">
        <v>0</v>
      </c>
      <c r="F24220">
        <v>312</v>
      </c>
    </row>
    <row r="24221" spans="1:6" ht="12.75">
      <c r="A24221" s="2">
        <v>43875.809050925927</v>
      </c>
      <c r="B24221" t="str">
        <f>HYPERLINK("https://twitter.com/lairahmaw","@lairahmaw")</f>
        <v>@lairahmaw</v>
      </c>
      <c r="C24221" t="s">
        <v>2444</v>
      </c>
      <c r="D24221">
        <v>2317</v>
      </c>
      <c r="E24221">
        <v>0</v>
      </c>
      <c r="F24221">
        <v>365</v>
      </c>
    </row>
    <row r="24222" spans="1:6" ht="12.75">
      <c r="A24222" s="2">
        <v>43875.808842592596</v>
      </c>
      <c r="B24222" t="str">
        <f>HYPERLINK("https://twitter.com/pebruarimu","@pebruarimu")</f>
        <v>@pebruarimu</v>
      </c>
      <c r="C24222" t="s">
        <v>2444</v>
      </c>
      <c r="D24222">
        <v>2317</v>
      </c>
      <c r="E24222">
        <v>0</v>
      </c>
      <c r="F24222">
        <v>751</v>
      </c>
    </row>
    <row r="24223" spans="1:6" ht="12.75">
      <c r="A24223" s="2">
        <v>43875.80872685185</v>
      </c>
      <c r="B24223" t="str">
        <f>HYPERLINK("https://twitter.com/ankmahpa","@ankmahpa")</f>
        <v>@ankmahpa</v>
      </c>
      <c r="C24223" t="s">
        <v>9123</v>
      </c>
      <c r="D24223">
        <v>272</v>
      </c>
      <c r="E24223">
        <v>0</v>
      </c>
      <c r="F24223">
        <v>77</v>
      </c>
    </row>
    <row r="24224" spans="1:6" ht="12.75">
      <c r="A24224" s="2">
        <v>43875.80872685185</v>
      </c>
      <c r="B24224" t="str">
        <f>HYPERLINK("https://twitter.com/itmammamduhi","@itmammamduhi")</f>
        <v>@itmammamduhi</v>
      </c>
      <c r="C24224" t="s">
        <v>6201</v>
      </c>
      <c r="D24224">
        <v>185</v>
      </c>
      <c r="E24224">
        <v>0</v>
      </c>
      <c r="F24224">
        <v>191</v>
      </c>
    </row>
    <row r="24225" spans="1:6" ht="12.75">
      <c r="A24225" s="2">
        <v>43875.808715277773</v>
      </c>
      <c r="B24225" t="str">
        <f>HYPERLINK("https://twitter.com/Maknya_nctdream","@Maknya_nctdream")</f>
        <v>@Maknya_nctdream</v>
      </c>
      <c r="C24225" t="s">
        <v>2444</v>
      </c>
      <c r="D24225">
        <v>2317</v>
      </c>
      <c r="E24225">
        <v>0</v>
      </c>
      <c r="F24225">
        <v>411</v>
      </c>
    </row>
    <row r="24226" spans="1:6" ht="12.75">
      <c r="A24226" s="2">
        <v>43875.808634259258</v>
      </c>
      <c r="B24226" t="str">
        <f>HYPERLINK("https://twitter.com/jojiesoni_","@jojiesoni_")</f>
        <v>@jojiesoni_</v>
      </c>
      <c r="C24226" t="s">
        <v>2444</v>
      </c>
      <c r="D24226">
        <v>2317</v>
      </c>
      <c r="E24226">
        <v>0</v>
      </c>
      <c r="F24226">
        <v>351</v>
      </c>
    </row>
    <row r="24227" spans="1:6" ht="12.75">
      <c r="A24227" s="2">
        <v>43875.808634259258</v>
      </c>
      <c r="B24227" t="str">
        <f>HYPERLINK("https://twitter.com/BrandenBernabeu","@BrandenBernabeu")</f>
        <v>@BrandenBernabeu</v>
      </c>
      <c r="C24227" t="s">
        <v>10306</v>
      </c>
      <c r="D24227">
        <v>1</v>
      </c>
      <c r="E24227">
        <v>0</v>
      </c>
      <c r="F24227">
        <v>1277</v>
      </c>
    </row>
    <row r="24228" spans="1:6" ht="12.75">
      <c r="A24228" s="2">
        <v>43875.808611111112</v>
      </c>
      <c r="B24228" t="str">
        <f>HYPERLINK("https://twitter.com/tae_loves_bot","@tae_loves_bot")</f>
        <v>@tae_loves_bot</v>
      </c>
      <c r="C24228" t="s">
        <v>11169</v>
      </c>
      <c r="D24228">
        <v>0</v>
      </c>
      <c r="E24228">
        <v>0</v>
      </c>
      <c r="F24228">
        <v>650</v>
      </c>
    </row>
    <row r="24229" spans="1:6" ht="12.75">
      <c r="A24229" s="2">
        <v>43875.80840277778</v>
      </c>
      <c r="B24229" t="str">
        <f>HYPERLINK("https://twitter.com/asongfortwice","@asongfortwice")</f>
        <v>@asongfortwice</v>
      </c>
      <c r="C24229" t="s">
        <v>2444</v>
      </c>
      <c r="D24229">
        <v>2317</v>
      </c>
      <c r="E24229">
        <v>0</v>
      </c>
      <c r="F24229">
        <v>715</v>
      </c>
    </row>
    <row r="24230" spans="1:6" ht="12.75">
      <c r="A24230" s="2">
        <v>43875.808356481481</v>
      </c>
      <c r="B24230" t="str">
        <f>HYPERLINK("https://twitter.com/paudradikul","@paudradikul")</f>
        <v>@paudradikul</v>
      </c>
      <c r="C24230" t="s">
        <v>6201</v>
      </c>
      <c r="D24230">
        <v>185</v>
      </c>
      <c r="E24230">
        <v>0</v>
      </c>
      <c r="F24230">
        <v>378</v>
      </c>
    </row>
    <row r="24231" spans="1:6" ht="12.75">
      <c r="A24231" s="2">
        <v>43875.808310185181</v>
      </c>
      <c r="B24231" t="str">
        <f>HYPERLINK("https://twitter.com/ThywiWienwien","@ThywiWienwien")</f>
        <v>@ThywiWienwien</v>
      </c>
      <c r="C24231" t="s">
        <v>2963</v>
      </c>
      <c r="D24231">
        <v>1061</v>
      </c>
      <c r="E24231">
        <v>0</v>
      </c>
      <c r="F24231">
        <v>108</v>
      </c>
    </row>
    <row r="24232" spans="1:6" ht="12.75">
      <c r="A24232" s="2">
        <v>43875.808310185181</v>
      </c>
      <c r="B24232" t="str">
        <f>HYPERLINK("https://twitter.com/sprebahan","@sprebahan")</f>
        <v>@sprebahan</v>
      </c>
      <c r="C24232" t="s">
        <v>2444</v>
      </c>
      <c r="D24232">
        <v>2317</v>
      </c>
      <c r="E24232">
        <v>0</v>
      </c>
      <c r="F24232">
        <v>31</v>
      </c>
    </row>
    <row r="24233" spans="1:6" ht="12.75">
      <c r="A24233" s="2">
        <v>43875.808229166665</v>
      </c>
      <c r="B24233" t="str">
        <f>HYPERLINK("https://twitter.com/ANDRE_OCTA_","@ANDRE_OCTA_")</f>
        <v>@ANDRE_OCTA_</v>
      </c>
      <c r="C24233" t="s">
        <v>11170</v>
      </c>
      <c r="D24233">
        <v>1</v>
      </c>
      <c r="E24233">
        <v>0</v>
      </c>
      <c r="F24233">
        <v>16012</v>
      </c>
    </row>
    <row r="24234" spans="1:6" ht="12.75">
      <c r="A24234" s="2">
        <v>43875.808217592596</v>
      </c>
      <c r="B24234" t="str">
        <f>HYPERLINK("https://twitter.com/KavindraOemar","@KavindraOemar")</f>
        <v>@KavindraOemar</v>
      </c>
      <c r="C24234" t="s">
        <v>9796</v>
      </c>
      <c r="D24234">
        <v>3</v>
      </c>
      <c r="E24234">
        <v>0</v>
      </c>
      <c r="F24234">
        <v>3670</v>
      </c>
    </row>
    <row r="24235" spans="1:6" ht="12.75">
      <c r="A24235" s="2">
        <v>43875.808182870373</v>
      </c>
      <c r="B24235" t="str">
        <f>HYPERLINK("https://twitter.com/barnabasburn","@barnabasburn")</f>
        <v>@barnabasburn</v>
      </c>
      <c r="C24235" t="s">
        <v>7478</v>
      </c>
      <c r="D24235">
        <v>362</v>
      </c>
      <c r="E24235">
        <v>0</v>
      </c>
      <c r="F24235">
        <v>369</v>
      </c>
    </row>
    <row r="24236" spans="1:6" ht="12.75">
      <c r="A24236" s="2">
        <v>43875.808032407411</v>
      </c>
      <c r="B24236" t="str">
        <f>HYPERLINK("https://twitter.com/sekelas_gw","@sekelas_gw")</f>
        <v>@sekelas_gw</v>
      </c>
      <c r="C24236" t="s">
        <v>11171</v>
      </c>
      <c r="D24236">
        <v>0</v>
      </c>
      <c r="E24236">
        <v>0</v>
      </c>
      <c r="F24236">
        <v>253</v>
      </c>
    </row>
    <row r="24237" spans="1:6" ht="12.75">
      <c r="A24237" s="2">
        <v>43875.807997685188</v>
      </c>
      <c r="B24237" t="str">
        <f>HYPERLINK("https://twitter.com/yourpriorityy_","@yourpriorityy_")</f>
        <v>@yourpriorityy_</v>
      </c>
      <c r="C24237" t="s">
        <v>11172</v>
      </c>
      <c r="D24237">
        <v>0</v>
      </c>
      <c r="E24237">
        <v>0</v>
      </c>
      <c r="F24237">
        <v>482</v>
      </c>
    </row>
    <row r="24238" spans="1:6" ht="12.75">
      <c r="A24238" s="2">
        <v>43875.807974537034</v>
      </c>
      <c r="B24238" t="str">
        <f>HYPERLINK("https://twitter.com/Agussan03610777","@Agussan03610777")</f>
        <v>@Agussan03610777</v>
      </c>
      <c r="C24238" t="s">
        <v>11173</v>
      </c>
      <c r="D24238">
        <v>0</v>
      </c>
      <c r="E24238">
        <v>0</v>
      </c>
      <c r="F24238">
        <v>3</v>
      </c>
    </row>
    <row r="24239" spans="1:6" ht="12.75">
      <c r="A24239" s="2">
        <v>43875.807893518519</v>
      </c>
      <c r="B24239" t="str">
        <f>HYPERLINK("https://twitter.com/sukaubimanis","@sukaubimanis")</f>
        <v>@sukaubimanis</v>
      </c>
      <c r="C24239" t="s">
        <v>10111</v>
      </c>
      <c r="D24239">
        <v>3</v>
      </c>
      <c r="E24239">
        <v>0</v>
      </c>
      <c r="F24239">
        <v>4</v>
      </c>
    </row>
    <row r="24240" spans="1:6" ht="12.75">
      <c r="A24240" s="2">
        <v>43875.807858796295</v>
      </c>
      <c r="B24240" t="str">
        <f>HYPERLINK("https://twitter.com/syamhariary_ary","@syamhariary_ary")</f>
        <v>@syamhariary_ary</v>
      </c>
      <c r="C24240" t="s">
        <v>6201</v>
      </c>
      <c r="D24240">
        <v>185</v>
      </c>
      <c r="E24240">
        <v>0</v>
      </c>
      <c r="F24240">
        <v>321</v>
      </c>
    </row>
    <row r="24241" spans="1:6" ht="12.75">
      <c r="A24241" s="2">
        <v>43875.807847222226</v>
      </c>
      <c r="B24241" t="str">
        <f>HYPERLINK("https://twitter.com/jovizky","@jovizky")</f>
        <v>@jovizky</v>
      </c>
      <c r="C24241" t="s">
        <v>7478</v>
      </c>
      <c r="D24241">
        <v>362</v>
      </c>
      <c r="E24241">
        <v>0</v>
      </c>
      <c r="F24241">
        <v>242</v>
      </c>
    </row>
    <row r="24242" spans="1:6" ht="12.75">
      <c r="A24242" s="2">
        <v>43875.807847222226</v>
      </c>
      <c r="B24242" t="str">
        <f>HYPERLINK("https://twitter.com/tejabenjamin","@tejabenjamin")</f>
        <v>@tejabenjamin</v>
      </c>
      <c r="C24242" t="s">
        <v>11174</v>
      </c>
      <c r="D24242">
        <v>0</v>
      </c>
      <c r="E24242">
        <v>0</v>
      </c>
      <c r="F24242">
        <v>86</v>
      </c>
    </row>
    <row r="24243" spans="1:6" ht="12.75">
      <c r="A24243" s="2">
        <v>43875.807812500003</v>
      </c>
      <c r="B24243" t="str">
        <f>HYPERLINK("https://twitter.com/nadiraizzatis","@nadiraizzatis")</f>
        <v>@nadiraizzatis</v>
      </c>
      <c r="C24243" t="s">
        <v>2444</v>
      </c>
      <c r="D24243">
        <v>2317</v>
      </c>
      <c r="E24243">
        <v>0</v>
      </c>
      <c r="F24243">
        <v>730</v>
      </c>
    </row>
    <row r="24244" spans="1:6" ht="12.75">
      <c r="A24244" s="2">
        <v>43875.807800925926</v>
      </c>
      <c r="B24244" t="str">
        <f>HYPERLINK("https://twitter.com/sunflwrsbabyyyy","@sunflwrsbabyyyy")</f>
        <v>@sunflwrsbabyyyy</v>
      </c>
      <c r="C24244" t="s">
        <v>2444</v>
      </c>
      <c r="D24244">
        <v>2317</v>
      </c>
      <c r="E24244">
        <v>0</v>
      </c>
      <c r="F24244">
        <v>24</v>
      </c>
    </row>
    <row r="24245" spans="1:6" ht="12.75">
      <c r="A24245" s="2">
        <v>43875.807754629626</v>
      </c>
      <c r="B24245" t="str">
        <f>HYPERLINK("https://twitter.com/GarisMerah13","@GarisMerah13")</f>
        <v>@GarisMerah13</v>
      </c>
      <c r="C24245" t="s">
        <v>11175</v>
      </c>
      <c r="D24245">
        <v>0</v>
      </c>
      <c r="E24245">
        <v>0</v>
      </c>
      <c r="F24245">
        <v>25</v>
      </c>
    </row>
    <row r="24246" spans="1:6" ht="12.75">
      <c r="A24246" s="2">
        <v>43875.807592592595</v>
      </c>
      <c r="B24246" t="str">
        <f>HYPERLINK("https://twitter.com/SoniMsi07","@SoniMsi07")</f>
        <v>@SoniMsi07</v>
      </c>
      <c r="C24246" t="s">
        <v>11176</v>
      </c>
      <c r="D24246">
        <v>11</v>
      </c>
      <c r="E24246">
        <v>0</v>
      </c>
      <c r="F24246">
        <v>235</v>
      </c>
    </row>
    <row r="24247" spans="1:6" ht="12.75">
      <c r="A24247" s="2">
        <v>43875.807557870372</v>
      </c>
      <c r="B24247" t="str">
        <f>HYPERLINK("https://twitter.com/hamaro_id","@hamaro_id")</f>
        <v>@hamaro_id</v>
      </c>
      <c r="C24247" t="s">
        <v>2963</v>
      </c>
      <c r="D24247">
        <v>1061</v>
      </c>
      <c r="E24247">
        <v>0</v>
      </c>
      <c r="F24247">
        <v>1569</v>
      </c>
    </row>
    <row r="24248" spans="1:6" ht="12.75">
      <c r="A24248" s="2">
        <v>43875.807534722218</v>
      </c>
      <c r="B24248" t="str">
        <f>HYPERLINK("https://twitter.com/kalitra_arman","@kalitra_arman")</f>
        <v>@kalitra_arman</v>
      </c>
      <c r="C24248" t="s">
        <v>9796</v>
      </c>
      <c r="D24248">
        <v>3</v>
      </c>
      <c r="E24248">
        <v>0</v>
      </c>
      <c r="F24248">
        <v>150</v>
      </c>
    </row>
    <row r="24249" spans="1:6" ht="12.75">
      <c r="A24249" s="2">
        <v>43875.807488425926</v>
      </c>
      <c r="B24249" t="str">
        <f>HYPERLINK("https://twitter.com/yesdarkskies","@yesdarkskies")</f>
        <v>@yesdarkskies</v>
      </c>
      <c r="C24249" t="s">
        <v>9852</v>
      </c>
      <c r="D24249">
        <v>4</v>
      </c>
      <c r="E24249">
        <v>0</v>
      </c>
      <c r="F24249">
        <v>547</v>
      </c>
    </row>
    <row r="24250" spans="1:6" ht="12.75">
      <c r="A24250" s="2">
        <v>43875.80740740741</v>
      </c>
      <c r="B24250" t="str">
        <f>HYPERLINK("https://twitter.com/hellojunii","@hellojunii")</f>
        <v>@hellojunii</v>
      </c>
      <c r="C24250" t="s">
        <v>2444</v>
      </c>
      <c r="D24250">
        <v>2317</v>
      </c>
      <c r="E24250">
        <v>0</v>
      </c>
      <c r="F24250">
        <v>274</v>
      </c>
    </row>
    <row r="24251" spans="1:6" ht="12.75">
      <c r="A24251" s="2">
        <v>43875.80740740741</v>
      </c>
      <c r="B24251" t="str">
        <f>HYPERLINK("https://twitter.com/NoviaAnindhita","@NoviaAnindhita")</f>
        <v>@NoviaAnindhita</v>
      </c>
      <c r="C24251" t="s">
        <v>11177</v>
      </c>
      <c r="D24251">
        <v>0</v>
      </c>
      <c r="E24251">
        <v>0</v>
      </c>
      <c r="F24251">
        <v>816</v>
      </c>
    </row>
    <row r="24252" spans="1:6" ht="12.75">
      <c r="A24252" s="2">
        <v>43875.807384259257</v>
      </c>
      <c r="B24252" t="str">
        <f>HYPERLINK("https://twitter.com/ratratrong","@ratratrong")</f>
        <v>@ratratrong</v>
      </c>
      <c r="C24252" t="s">
        <v>2444</v>
      </c>
      <c r="D24252">
        <v>2317</v>
      </c>
      <c r="E24252">
        <v>0</v>
      </c>
      <c r="F24252">
        <v>419</v>
      </c>
    </row>
    <row r="24253" spans="1:6" ht="12.75">
      <c r="A24253" s="2">
        <v>43875.807210648149</v>
      </c>
      <c r="B24253" t="str">
        <f>HYPERLINK("https://twitter.com/yesdarkskies","@yesdarkskies")</f>
        <v>@yesdarkskies</v>
      </c>
      <c r="C24253" t="s">
        <v>9123</v>
      </c>
      <c r="D24253">
        <v>272</v>
      </c>
      <c r="E24253">
        <v>0</v>
      </c>
      <c r="F24253">
        <v>547</v>
      </c>
    </row>
    <row r="24254" spans="1:6" ht="12.75">
      <c r="A24254" s="2">
        <v>43875.807083333333</v>
      </c>
      <c r="B24254" t="str">
        <f>HYPERLINK("https://twitter.com/13rottenapple","@13rottenapple")</f>
        <v>@13rottenapple</v>
      </c>
      <c r="C24254" t="s">
        <v>2137</v>
      </c>
      <c r="D24254">
        <v>188</v>
      </c>
      <c r="E24254">
        <v>0</v>
      </c>
      <c r="F24254">
        <v>1377</v>
      </c>
    </row>
    <row r="24255" spans="1:6" ht="12.75">
      <c r="A24255" s="2">
        <v>43875.807002314818</v>
      </c>
      <c r="B24255" t="str">
        <f>HYPERLINK("https://twitter.com/zlezzed_","@zlezzed_")</f>
        <v>@zlezzed_</v>
      </c>
      <c r="C24255" t="s">
        <v>2444</v>
      </c>
      <c r="D24255">
        <v>2317</v>
      </c>
      <c r="E24255">
        <v>0</v>
      </c>
      <c r="F24255">
        <v>114</v>
      </c>
    </row>
    <row r="24256" spans="1:6" ht="12.75">
      <c r="A24256" s="2">
        <v>43875.806944444441</v>
      </c>
      <c r="B24256" t="str">
        <f>HYPERLINK("https://twitter.com/the_geotimes","@the_geotimes")</f>
        <v>@the_geotimes</v>
      </c>
      <c r="C24256" t="s">
        <v>11178</v>
      </c>
      <c r="D24256">
        <v>1</v>
      </c>
      <c r="E24256">
        <v>0</v>
      </c>
      <c r="F24256">
        <v>49295</v>
      </c>
    </row>
    <row r="24257" spans="1:6" ht="12.75">
      <c r="A24257" s="2">
        <v>43875.806932870371</v>
      </c>
      <c r="B24257" t="str">
        <f>HYPERLINK("https://twitter.com/lolaaasy","@lolaaasy")</f>
        <v>@lolaaasy</v>
      </c>
      <c r="C24257" t="s">
        <v>11179</v>
      </c>
      <c r="D24257">
        <v>0</v>
      </c>
      <c r="E24257">
        <v>0</v>
      </c>
      <c r="F24257">
        <v>391</v>
      </c>
    </row>
    <row r="24258" spans="1:6" ht="12.75">
      <c r="A24258" s="2">
        <v>43875.806909722218</v>
      </c>
      <c r="B24258" t="str">
        <f>HYPERLINK("https://twitter.com/banyudana_w","@banyudana_w")</f>
        <v>@banyudana_w</v>
      </c>
      <c r="C24258" t="s">
        <v>11180</v>
      </c>
      <c r="D24258">
        <v>0</v>
      </c>
      <c r="E24258">
        <v>0</v>
      </c>
      <c r="F24258">
        <v>481</v>
      </c>
    </row>
    <row r="24259" spans="1:6" ht="12.75">
      <c r="A24259" s="2">
        <v>43875.806898148148</v>
      </c>
      <c r="B24259" t="str">
        <f>HYPERLINK("https://twitter.com/chikeyxx","@chikeyxx")</f>
        <v>@chikeyxx</v>
      </c>
      <c r="C24259" t="s">
        <v>2444</v>
      </c>
      <c r="D24259">
        <v>2317</v>
      </c>
      <c r="E24259">
        <v>0</v>
      </c>
      <c r="F24259">
        <v>501</v>
      </c>
    </row>
    <row r="24260" spans="1:6" ht="12.75">
      <c r="A24260" s="2">
        <v>43875.806851851856</v>
      </c>
      <c r="B24260" t="str">
        <f>HYPERLINK("https://twitter.com/paudradikul","@paudradikul")</f>
        <v>@paudradikul</v>
      </c>
      <c r="C24260" t="s">
        <v>9746</v>
      </c>
      <c r="D24260">
        <v>329</v>
      </c>
      <c r="E24260">
        <v>0</v>
      </c>
      <c r="F24260">
        <v>378</v>
      </c>
    </row>
    <row r="24261" spans="1:6" ht="12.75">
      <c r="A24261" s="2">
        <v>43875.806805555556</v>
      </c>
      <c r="B24261" t="str">
        <f>HYPERLINK("https://twitter.com/ratratrong","@ratratrong")</f>
        <v>@ratratrong</v>
      </c>
      <c r="C24261" t="s">
        <v>5168</v>
      </c>
      <c r="D24261">
        <v>935</v>
      </c>
      <c r="E24261">
        <v>0</v>
      </c>
      <c r="F24261">
        <v>419</v>
      </c>
    </row>
    <row r="24262" spans="1:6" ht="12.75">
      <c r="A24262" s="2">
        <v>43875.806643518517</v>
      </c>
      <c r="B24262" t="str">
        <f>HYPERLINK("https://twitter.com/andreyfakoubun","@andreyfakoubun")</f>
        <v>@andreyfakoubun</v>
      </c>
      <c r="C24262" t="s">
        <v>7478</v>
      </c>
      <c r="D24262">
        <v>362</v>
      </c>
      <c r="E24262">
        <v>0</v>
      </c>
      <c r="F24262">
        <v>189</v>
      </c>
    </row>
    <row r="24263" spans="1:6" ht="12.75">
      <c r="A24263" s="2">
        <v>43875.806550925925</v>
      </c>
      <c r="B24263" t="str">
        <f>HYPERLINK("https://twitter.com/orthodoxiv","@orthodoxiv")</f>
        <v>@orthodoxiv</v>
      </c>
      <c r="C24263" t="s">
        <v>7619</v>
      </c>
      <c r="D24263">
        <v>12</v>
      </c>
      <c r="E24263">
        <v>0</v>
      </c>
      <c r="F24263">
        <v>262</v>
      </c>
    </row>
    <row r="24264" spans="1:6" ht="12.75">
      <c r="A24264" s="2">
        <v>43875.806539351848</v>
      </c>
      <c r="B24264" t="str">
        <f>HYPERLINK("https://twitter.com/tu_laundry","@tu_laundry")</f>
        <v>@tu_laundry</v>
      </c>
      <c r="C24264" t="s">
        <v>6201</v>
      </c>
      <c r="D24264">
        <v>185</v>
      </c>
      <c r="E24264">
        <v>0</v>
      </c>
      <c r="F24264">
        <v>450</v>
      </c>
    </row>
    <row r="24265" spans="1:6" ht="12.75">
      <c r="A24265" s="2">
        <v>43875.806504629625</v>
      </c>
      <c r="B24265" t="str">
        <f>HYPERLINK("https://twitter.com/OrangGa20161296","@OrangGa20161296")</f>
        <v>@OrangGa20161296</v>
      </c>
      <c r="C24265" t="s">
        <v>6201</v>
      </c>
      <c r="D24265">
        <v>185</v>
      </c>
      <c r="E24265">
        <v>0</v>
      </c>
      <c r="F24265">
        <v>98</v>
      </c>
    </row>
    <row r="24266" spans="1:6" ht="12.75">
      <c r="A24266" s="2">
        <v>43875.80641203704</v>
      </c>
      <c r="B24266" t="str">
        <f>HYPERLINK("https://twitter.com/daryamran","@daryamran")</f>
        <v>@daryamran</v>
      </c>
      <c r="C24266" t="s">
        <v>2444</v>
      </c>
      <c r="D24266">
        <v>2317</v>
      </c>
      <c r="E24266">
        <v>0</v>
      </c>
      <c r="F24266">
        <v>200</v>
      </c>
    </row>
    <row r="24267" spans="1:6" ht="12.75">
      <c r="A24267" s="2">
        <v>43875.806296296301</v>
      </c>
      <c r="B24267" t="str">
        <f>HYPERLINK("https://twitter.com/yhsy1221","@yhsy1221")</f>
        <v>@yhsy1221</v>
      </c>
      <c r="C24267" t="s">
        <v>2137</v>
      </c>
      <c r="D24267">
        <v>188</v>
      </c>
      <c r="E24267">
        <v>0</v>
      </c>
      <c r="F24267">
        <v>338</v>
      </c>
    </row>
    <row r="24268" spans="1:6" ht="12.75">
      <c r="A24268" s="2">
        <v>43875.806111111116</v>
      </c>
      <c r="B24268" t="str">
        <f>HYPERLINK("https://twitter.com/pratiwilaras","@pratiwilaras")</f>
        <v>@pratiwilaras</v>
      </c>
      <c r="C24268" t="s">
        <v>2444</v>
      </c>
      <c r="D24268">
        <v>2317</v>
      </c>
      <c r="E24268">
        <v>0</v>
      </c>
      <c r="F24268">
        <v>455</v>
      </c>
    </row>
    <row r="24269" spans="1:6" ht="12.75">
      <c r="A24269" s="2">
        <v>43875.805949074071</v>
      </c>
      <c r="B24269" t="str">
        <f>HYPERLINK("https://twitter.com/isis_eve","@isis_eve")</f>
        <v>@isis_eve</v>
      </c>
      <c r="C24269" t="s">
        <v>11181</v>
      </c>
      <c r="D24269">
        <v>250</v>
      </c>
      <c r="E24269">
        <v>0</v>
      </c>
      <c r="F24269">
        <v>217</v>
      </c>
    </row>
    <row r="24270" spans="1:6" ht="12.75">
      <c r="A24270" s="2">
        <v>43875.805902777778</v>
      </c>
      <c r="B24270" t="str">
        <f>HYPERLINK("https://twitter.com/ErniSulistyawa4","@ErniSulistyawa4")</f>
        <v>@ErniSulistyawa4</v>
      </c>
      <c r="C24270" t="s">
        <v>2444</v>
      </c>
      <c r="D24270">
        <v>2317</v>
      </c>
      <c r="E24270">
        <v>0</v>
      </c>
      <c r="F24270">
        <v>1038</v>
      </c>
    </row>
    <row r="24271" spans="1:6" ht="12.75">
      <c r="A24271" s="2">
        <v>43875.805844907409</v>
      </c>
      <c r="B24271" t="str">
        <f>HYPERLINK("https://twitter.com/manja_jala","@manja_jala")</f>
        <v>@manja_jala</v>
      </c>
      <c r="C24271" t="s">
        <v>7478</v>
      </c>
      <c r="D24271">
        <v>362</v>
      </c>
      <c r="E24271">
        <v>0</v>
      </c>
      <c r="F24271">
        <v>1133</v>
      </c>
    </row>
    <row r="24272" spans="1:6" ht="12.75">
      <c r="A24272" s="2">
        <v>43875.805775462963</v>
      </c>
      <c r="B24272" t="str">
        <f>HYPERLINK("https://twitter.com/collegemenfess","@collegemenfess")</f>
        <v>@collegemenfess</v>
      </c>
      <c r="C24272" t="s">
        <v>11182</v>
      </c>
      <c r="D24272">
        <v>0</v>
      </c>
      <c r="E24272">
        <v>2</v>
      </c>
      <c r="F24272">
        <v>336214</v>
      </c>
    </row>
    <row r="24273" spans="1:6" ht="12.75">
      <c r="A24273" s="2">
        <v>43875.805717592593</v>
      </c>
      <c r="B24273" t="str">
        <f>HYPERLINK("https://twitter.com/yangsukareceh","@yangsukareceh")</f>
        <v>@yangsukareceh</v>
      </c>
      <c r="C24273" t="s">
        <v>2444</v>
      </c>
      <c r="D24273">
        <v>2317</v>
      </c>
      <c r="E24273">
        <v>0</v>
      </c>
      <c r="F24273">
        <v>493</v>
      </c>
    </row>
    <row r="24274" spans="1:6" ht="12.75">
      <c r="A24274" s="2">
        <v>43875.805717592593</v>
      </c>
      <c r="B24274" t="str">
        <f>HYPERLINK("https://twitter.com/taekocheng","@taekocheng")</f>
        <v>@taekocheng</v>
      </c>
      <c r="C24274" t="s">
        <v>2444</v>
      </c>
      <c r="D24274">
        <v>2317</v>
      </c>
      <c r="E24274">
        <v>0</v>
      </c>
      <c r="F24274">
        <v>2153</v>
      </c>
    </row>
    <row r="24275" spans="1:6" ht="12.75">
      <c r="A24275" s="2">
        <v>43875.805555555555</v>
      </c>
      <c r="B24275" t="str">
        <f>HYPERLINK("https://twitter.com/GetukDangdeur","@GetukDangdeur")</f>
        <v>@GetukDangdeur</v>
      </c>
      <c r="C24275" t="s">
        <v>9835</v>
      </c>
      <c r="D24275">
        <v>49</v>
      </c>
      <c r="E24275">
        <v>0</v>
      </c>
      <c r="F24275">
        <v>2493</v>
      </c>
    </row>
    <row r="24276" spans="1:6" ht="12.75">
      <c r="A24276" s="2">
        <v>43875.805509259255</v>
      </c>
      <c r="B24276" t="str">
        <f>HYPERLINK("https://twitter.com/Hasnaffh","@Hasnaffh")</f>
        <v>@Hasnaffh</v>
      </c>
      <c r="C24276" t="s">
        <v>2444</v>
      </c>
      <c r="D24276">
        <v>2317</v>
      </c>
      <c r="E24276">
        <v>0</v>
      </c>
      <c r="F24276">
        <v>732</v>
      </c>
    </row>
    <row r="24277" spans="1:6" ht="12.75">
      <c r="A24277" s="2">
        <v>43875.805486111116</v>
      </c>
      <c r="B24277" t="str">
        <f>HYPERLINK("https://twitter.com/mas_dikin786","@mas_dikin786")</f>
        <v>@mas_dikin786</v>
      </c>
      <c r="C24277" t="s">
        <v>6201</v>
      </c>
      <c r="D24277">
        <v>185</v>
      </c>
      <c r="E24277">
        <v>0</v>
      </c>
      <c r="F24277">
        <v>90</v>
      </c>
    </row>
    <row r="24278" spans="1:6" ht="12.75">
      <c r="A24278" s="2">
        <v>43875.805474537032</v>
      </c>
      <c r="B24278" t="str">
        <f>HYPERLINK("https://twitter.com/vibeom","@vibeom")</f>
        <v>@vibeom</v>
      </c>
      <c r="C24278" t="s">
        <v>2444</v>
      </c>
      <c r="D24278">
        <v>2317</v>
      </c>
      <c r="E24278">
        <v>0</v>
      </c>
      <c r="F24278">
        <v>787</v>
      </c>
    </row>
    <row r="24279" spans="1:6" ht="12.75">
      <c r="A24279" s="2">
        <v>43875.805405092593</v>
      </c>
      <c r="B24279" t="str">
        <f>HYPERLINK("https://twitter.com/yangsukareceh","@yangsukareceh")</f>
        <v>@yangsukareceh</v>
      </c>
      <c r="C24279" t="s">
        <v>5168</v>
      </c>
      <c r="D24279">
        <v>935</v>
      </c>
      <c r="E24279">
        <v>0</v>
      </c>
      <c r="F24279">
        <v>493</v>
      </c>
    </row>
    <row r="24280" spans="1:6" ht="12.75">
      <c r="A24280" s="2">
        <v>43875.805405092593</v>
      </c>
      <c r="B24280" t="str">
        <f>HYPERLINK("https://twitter.com/EfendiMaulana8","@EfendiMaulana8")</f>
        <v>@EfendiMaulana8</v>
      </c>
      <c r="C24280" t="s">
        <v>11183</v>
      </c>
      <c r="D24280">
        <v>0</v>
      </c>
      <c r="E24280">
        <v>0</v>
      </c>
      <c r="F24280">
        <v>9</v>
      </c>
    </row>
    <row r="24281" spans="1:6" ht="12.75">
      <c r="A24281" s="2">
        <v>43875.80537037037</v>
      </c>
      <c r="B24281" t="str">
        <f>HYPERLINK("https://twitter.com/romlahasana","@romlahasana")</f>
        <v>@romlahasana</v>
      </c>
      <c r="C24281" t="s">
        <v>11184</v>
      </c>
      <c r="D24281">
        <v>0</v>
      </c>
      <c r="E24281">
        <v>0</v>
      </c>
      <c r="F24281">
        <v>78</v>
      </c>
    </row>
    <row r="24282" spans="1:6" ht="12.75">
      <c r="A24282" s="2">
        <v>43875.805289351847</v>
      </c>
      <c r="B24282" t="str">
        <f>HYPERLINK("https://twitter.com/Beritasatu","@Beritasatu")</f>
        <v>@Beritasatu</v>
      </c>
      <c r="C24282" t="s">
        <v>11185</v>
      </c>
      <c r="D24282">
        <v>0</v>
      </c>
      <c r="E24282">
        <v>1</v>
      </c>
      <c r="F24282">
        <v>613737</v>
      </c>
    </row>
    <row r="24283" spans="1:6" ht="12.75">
      <c r="A24283" s="2">
        <v>43875.805162037039</v>
      </c>
      <c r="B24283" t="str">
        <f>HYPERLINK("https://twitter.com/aliansyah_moh","@aliansyah_moh")</f>
        <v>@aliansyah_moh</v>
      </c>
      <c r="C24283" t="s">
        <v>9165</v>
      </c>
      <c r="D24283">
        <v>0</v>
      </c>
      <c r="E24283">
        <v>0</v>
      </c>
      <c r="F24283">
        <v>15</v>
      </c>
    </row>
    <row r="24284" spans="1:6" ht="12.75">
      <c r="A24284" s="2">
        <v>43875.805127314816</v>
      </c>
      <c r="B24284" t="str">
        <f>HYPERLINK("https://twitter.com/Indramajid8","@Indramajid8")</f>
        <v>@Indramajid8</v>
      </c>
      <c r="C24284" t="s">
        <v>7888</v>
      </c>
      <c r="D24284">
        <v>21</v>
      </c>
      <c r="E24284">
        <v>0</v>
      </c>
      <c r="F24284">
        <v>2272</v>
      </c>
    </row>
    <row r="24285" spans="1:6" ht="12.75">
      <c r="A24285" s="2">
        <v>43875.805115740739</v>
      </c>
      <c r="B24285" t="str">
        <f>HYPERLINK("https://twitter.com/fariznug","@fariznug")</f>
        <v>@fariznug</v>
      </c>
      <c r="C24285" t="s">
        <v>2444</v>
      </c>
      <c r="D24285">
        <v>2317</v>
      </c>
      <c r="E24285">
        <v>0</v>
      </c>
      <c r="F24285">
        <v>118</v>
      </c>
    </row>
    <row r="24286" spans="1:6" ht="12.75">
      <c r="A24286" s="2">
        <v>43875.805023148147</v>
      </c>
      <c r="B24286" t="str">
        <f>HYPERLINK("https://twitter.com/devimarietta","@devimarietta")</f>
        <v>@devimarietta</v>
      </c>
      <c r="C24286" t="s">
        <v>4880</v>
      </c>
      <c r="D24286">
        <v>59</v>
      </c>
      <c r="E24286">
        <v>0</v>
      </c>
      <c r="F24286">
        <v>478</v>
      </c>
    </row>
    <row r="24287" spans="1:6" ht="12.75">
      <c r="A24287" s="2">
        <v>43875.805011574077</v>
      </c>
      <c r="B24287" t="str">
        <f>HYPERLINK("https://twitter.com/idntimes","@idntimes")</f>
        <v>@idntimes</v>
      </c>
      <c r="C24287" t="s">
        <v>11186</v>
      </c>
      <c r="D24287">
        <v>0</v>
      </c>
      <c r="E24287">
        <v>1</v>
      </c>
      <c r="F24287">
        <v>392666</v>
      </c>
    </row>
    <row r="24288" spans="1:6" ht="12.75">
      <c r="A24288" s="2">
        <v>43875.804976851854</v>
      </c>
      <c r="B24288" t="str">
        <f>HYPERLINK("https://twitter.com/cacamiolle","@cacamiolle")</f>
        <v>@cacamiolle</v>
      </c>
      <c r="C24288" t="s">
        <v>2444</v>
      </c>
      <c r="D24288">
        <v>2317</v>
      </c>
      <c r="E24288">
        <v>0</v>
      </c>
      <c r="F24288">
        <v>592</v>
      </c>
    </row>
    <row r="24289" spans="1:6" ht="12.75">
      <c r="A24289" s="2">
        <v>43875.804861111115</v>
      </c>
      <c r="B24289" t="str">
        <f>HYPERLINK("https://twitter.com/anFanani","@anFanani")</f>
        <v>@anFanani</v>
      </c>
      <c r="C24289" t="s">
        <v>10207</v>
      </c>
      <c r="D24289">
        <v>42</v>
      </c>
      <c r="E24289">
        <v>0</v>
      </c>
      <c r="F24289">
        <v>3234</v>
      </c>
    </row>
    <row r="24290" spans="1:6" ht="12.75">
      <c r="A24290" s="2">
        <v>43875.804849537039</v>
      </c>
      <c r="B24290" t="str">
        <f>HYPERLINK("https://twitter.com/mas_dikin786","@mas_dikin786")</f>
        <v>@mas_dikin786</v>
      </c>
      <c r="C24290" t="s">
        <v>7478</v>
      </c>
      <c r="D24290">
        <v>362</v>
      </c>
      <c r="E24290">
        <v>0</v>
      </c>
      <c r="F24290">
        <v>90</v>
      </c>
    </row>
    <row r="24291" spans="1:6" ht="12.75">
      <c r="A24291" s="2">
        <v>43875.804733796293</v>
      </c>
      <c r="B24291" t="str">
        <f>HYPERLINK("https://twitter.com/ilfikamny","@ilfikamny")</f>
        <v>@ilfikamny</v>
      </c>
      <c r="C24291" t="s">
        <v>2444</v>
      </c>
      <c r="D24291">
        <v>2317</v>
      </c>
      <c r="E24291">
        <v>0</v>
      </c>
      <c r="F24291">
        <v>760</v>
      </c>
    </row>
    <row r="24292" spans="1:6" ht="12.75">
      <c r="A24292" s="2">
        <v>43875.80469907407</v>
      </c>
      <c r="B24292" t="str">
        <f>HYPERLINK("https://twitter.com/Kiyokiyohi","@Kiyokiyohi")</f>
        <v>@Kiyokiyohi</v>
      </c>
      <c r="C24292" t="s">
        <v>2444</v>
      </c>
      <c r="D24292">
        <v>2317</v>
      </c>
      <c r="E24292">
        <v>0</v>
      </c>
      <c r="F24292">
        <v>144</v>
      </c>
    </row>
    <row r="24293" spans="1:6" ht="12.75">
      <c r="A24293" s="2">
        <v>43875.804583333331</v>
      </c>
      <c r="B24293" t="str">
        <f>HYPERLINK("https://twitter.com/aisa_jasmine","@aisa_jasmine")</f>
        <v>@aisa_jasmine</v>
      </c>
      <c r="C24293" t="s">
        <v>11187</v>
      </c>
      <c r="D24293">
        <v>0</v>
      </c>
      <c r="E24293">
        <v>0</v>
      </c>
      <c r="F24293">
        <v>481</v>
      </c>
    </row>
    <row r="24294" spans="1:6" ht="12.75">
      <c r="A24294" s="2">
        <v>43875.804467592592</v>
      </c>
      <c r="B24294" t="str">
        <f>HYPERLINK("https://twitter.com/aizahputri","@aizahputri")</f>
        <v>@aizahputri</v>
      </c>
      <c r="C24294" t="s">
        <v>2444</v>
      </c>
      <c r="D24294">
        <v>2317</v>
      </c>
      <c r="E24294">
        <v>0</v>
      </c>
      <c r="F24294">
        <v>1618</v>
      </c>
    </row>
    <row r="24295" spans="1:6" ht="12.75">
      <c r="A24295" s="2">
        <v>43875.8044212963</v>
      </c>
      <c r="B24295" t="str">
        <f>HYPERLINK("https://twitter.com/isnotcitra","@isnotcitra")</f>
        <v>@isnotcitra</v>
      </c>
      <c r="C24295" t="s">
        <v>2444</v>
      </c>
      <c r="D24295">
        <v>2317</v>
      </c>
      <c r="E24295">
        <v>0</v>
      </c>
      <c r="F24295">
        <v>246</v>
      </c>
    </row>
    <row r="24296" spans="1:6" ht="12.75">
      <c r="A24296" s="2">
        <v>43875.804270833338</v>
      </c>
      <c r="B24296" t="str">
        <f>HYPERLINK("https://twitter.com/anto_djaf66","@anto_djaf66")</f>
        <v>@anto_djaf66</v>
      </c>
      <c r="C24296" t="s">
        <v>2963</v>
      </c>
      <c r="D24296">
        <v>1061</v>
      </c>
      <c r="E24296">
        <v>0</v>
      </c>
      <c r="F24296">
        <v>3796</v>
      </c>
    </row>
    <row r="24297" spans="1:6" ht="12.75">
      <c r="A24297" s="2">
        <v>43875.804189814815</v>
      </c>
      <c r="B24297" t="str">
        <f>HYPERLINK("https://twitter.com/Haluan_","@Haluan_")</f>
        <v>@Haluan_</v>
      </c>
      <c r="C24297" t="s">
        <v>11188</v>
      </c>
      <c r="D24297">
        <v>0</v>
      </c>
      <c r="E24297">
        <v>0</v>
      </c>
      <c r="F24297">
        <v>1444</v>
      </c>
    </row>
    <row r="24298" spans="1:6" ht="12.75">
      <c r="A24298" s="2">
        <v>43875.804166666669</v>
      </c>
      <c r="B24298" t="str">
        <f>HYPERLINK("https://twitter.com/vinaila_","@vinaila_")</f>
        <v>@vinaila_</v>
      </c>
      <c r="C24298" t="s">
        <v>2444</v>
      </c>
      <c r="D24298">
        <v>2317</v>
      </c>
      <c r="E24298">
        <v>0</v>
      </c>
      <c r="F24298">
        <v>910</v>
      </c>
    </row>
    <row r="24299" spans="1:6" ht="12.75">
      <c r="A24299" s="2">
        <v>43875.804097222222</v>
      </c>
      <c r="B24299" t="str">
        <f>HYPERLINK("https://twitter.com/rendrasejati","@rendrasejati")</f>
        <v>@rendrasejati</v>
      </c>
      <c r="C24299" t="s">
        <v>9746</v>
      </c>
      <c r="D24299">
        <v>329</v>
      </c>
      <c r="E24299">
        <v>0</v>
      </c>
      <c r="F24299">
        <v>3952</v>
      </c>
    </row>
    <row r="24300" spans="1:6" ht="12.75">
      <c r="A24300" s="2">
        <v>43875.803981481484</v>
      </c>
      <c r="B24300" t="str">
        <f>HYPERLINK("https://twitter.com/SalwaTJ","@SalwaTJ")</f>
        <v>@SalwaTJ</v>
      </c>
      <c r="C24300" t="s">
        <v>2137</v>
      </c>
      <c r="D24300">
        <v>188</v>
      </c>
      <c r="E24300">
        <v>0</v>
      </c>
      <c r="F24300">
        <v>750</v>
      </c>
    </row>
    <row r="24301" spans="1:6" ht="12.75">
      <c r="A24301" s="2">
        <v>43875.803981481484</v>
      </c>
      <c r="B24301" t="str">
        <f>HYPERLINK("https://twitter.com/WDeso2","@WDeso2")</f>
        <v>@WDeso2</v>
      </c>
      <c r="C24301" t="s">
        <v>6201</v>
      </c>
      <c r="D24301">
        <v>185</v>
      </c>
      <c r="E24301">
        <v>0</v>
      </c>
      <c r="F24301">
        <v>90</v>
      </c>
    </row>
    <row r="24302" spans="1:6" ht="12.75">
      <c r="A24302" s="2">
        <v>43875.803923611107</v>
      </c>
      <c r="B24302" t="str">
        <f>HYPERLINK("https://twitter.com/Climb02A","@Climb02A")</f>
        <v>@Climb02A</v>
      </c>
      <c r="C24302" t="s">
        <v>2963</v>
      </c>
      <c r="D24302">
        <v>1061</v>
      </c>
      <c r="E24302">
        <v>0</v>
      </c>
      <c r="F24302">
        <v>98</v>
      </c>
    </row>
    <row r="24303" spans="1:6" ht="12.75">
      <c r="A24303" s="2">
        <v>43875.803912037038</v>
      </c>
      <c r="B24303" t="str">
        <f>HYPERLINK("https://twitter.com/Mpuy31304827","@Mpuy31304827")</f>
        <v>@Mpuy31304827</v>
      </c>
      <c r="C24303" t="s">
        <v>11189</v>
      </c>
      <c r="D24303">
        <v>0</v>
      </c>
      <c r="E24303">
        <v>0</v>
      </c>
      <c r="F24303">
        <v>332</v>
      </c>
    </row>
    <row r="24304" spans="1:6" ht="12.75">
      <c r="A24304" s="2">
        <v>43875.803912037038</v>
      </c>
      <c r="B24304" t="str">
        <f>HYPERLINK("https://twitter.com/lanunatuna","@lanunatuna")</f>
        <v>@lanunatuna</v>
      </c>
      <c r="C24304" t="s">
        <v>10052</v>
      </c>
      <c r="D24304">
        <v>66</v>
      </c>
      <c r="E24304">
        <v>0</v>
      </c>
      <c r="F24304">
        <v>2957</v>
      </c>
    </row>
    <row r="24305" spans="1:6" ht="12.75">
      <c r="A24305" s="2">
        <v>43875.803900462968</v>
      </c>
      <c r="B24305" t="str">
        <f>HYPERLINK("https://twitter.com/gotte4","@gotte4")</f>
        <v>@gotte4</v>
      </c>
      <c r="C24305" t="s">
        <v>9796</v>
      </c>
      <c r="D24305">
        <v>3</v>
      </c>
      <c r="E24305">
        <v>0</v>
      </c>
      <c r="F24305">
        <v>398</v>
      </c>
    </row>
    <row r="24306" spans="1:6" ht="12.75">
      <c r="A24306" s="2">
        <v>43875.803888888884</v>
      </c>
      <c r="B24306" t="str">
        <f>HYPERLINK("https://twitter.com/sastromenggolo","@sastromenggolo")</f>
        <v>@sastromenggolo</v>
      </c>
      <c r="C24306" t="s">
        <v>10052</v>
      </c>
      <c r="D24306">
        <v>66</v>
      </c>
      <c r="E24306">
        <v>0</v>
      </c>
      <c r="F24306">
        <v>604</v>
      </c>
    </row>
    <row r="24307" spans="1:6" ht="12.75">
      <c r="A24307" s="2">
        <v>43875.803865740745</v>
      </c>
      <c r="B24307" t="str">
        <f>HYPERLINK("https://twitter.com/gowestid","@gowestid")</f>
        <v>@gowestid</v>
      </c>
      <c r="C24307" t="s">
        <v>11190</v>
      </c>
      <c r="D24307">
        <v>0</v>
      </c>
      <c r="E24307">
        <v>0</v>
      </c>
      <c r="F24307">
        <v>4594</v>
      </c>
    </row>
    <row r="24308" spans="1:6" ht="12.75">
      <c r="A24308" s="2">
        <v>43875.803807870368</v>
      </c>
      <c r="B24308" t="str">
        <f>HYPERLINK("https://twitter.com/fireworkID","@fireworkID")</f>
        <v>@fireworkID</v>
      </c>
      <c r="C24308" t="s">
        <v>2444</v>
      </c>
      <c r="D24308">
        <v>2317</v>
      </c>
      <c r="E24308">
        <v>0</v>
      </c>
      <c r="F24308">
        <v>40</v>
      </c>
    </row>
    <row r="24309" spans="1:6" ht="12.75">
      <c r="A24309" s="2">
        <v>43875.803749999999</v>
      </c>
      <c r="B24309" t="str">
        <f>HYPERLINK("https://twitter.com/087ON","@087ON")</f>
        <v>@087ON</v>
      </c>
      <c r="C24309" t="s">
        <v>7068</v>
      </c>
      <c r="D24309">
        <v>27</v>
      </c>
      <c r="E24309">
        <v>0</v>
      </c>
      <c r="F24309">
        <v>657</v>
      </c>
    </row>
    <row r="24310" spans="1:6" ht="12.75">
      <c r="A24310" s="2">
        <v>43875.803738425922</v>
      </c>
      <c r="B24310" t="str">
        <f>HYPERLINK("https://twitter.com/ronaldiskandar","@ronaldiskandar")</f>
        <v>@ronaldiskandar</v>
      </c>
      <c r="C24310" t="s">
        <v>10330</v>
      </c>
      <c r="D24310">
        <v>215</v>
      </c>
      <c r="E24310">
        <v>0</v>
      </c>
      <c r="F24310">
        <v>119</v>
      </c>
    </row>
    <row r="24311" spans="1:6" ht="12.75">
      <c r="A24311" s="2">
        <v>43875.803645833337</v>
      </c>
      <c r="B24311" t="str">
        <f>HYPERLINK("https://twitter.com/Riri___","@Riri___")</f>
        <v>@Riri___</v>
      </c>
      <c r="C24311" t="s">
        <v>2444</v>
      </c>
      <c r="D24311">
        <v>2317</v>
      </c>
      <c r="E24311">
        <v>0</v>
      </c>
      <c r="F24311">
        <v>1272</v>
      </c>
    </row>
    <row r="24312" spans="1:6" ht="12.75">
      <c r="A24312" s="2">
        <v>43875.803564814814</v>
      </c>
      <c r="B24312" t="str">
        <f>HYPERLINK("https://twitter.com/EWiyatno","@EWiyatno")</f>
        <v>@EWiyatno</v>
      </c>
      <c r="C24312" t="s">
        <v>6201</v>
      </c>
      <c r="D24312">
        <v>185</v>
      </c>
      <c r="E24312">
        <v>0</v>
      </c>
      <c r="F24312">
        <v>629</v>
      </c>
    </row>
    <row r="24313" spans="1:6" ht="12.75">
      <c r="A24313" s="2">
        <v>43875.803553240738</v>
      </c>
      <c r="B24313" t="str">
        <f>HYPERLINK("https://twitter.com/yuppiheppi","@yuppiheppi")</f>
        <v>@yuppiheppi</v>
      </c>
      <c r="C24313" t="s">
        <v>5168</v>
      </c>
      <c r="D24313">
        <v>935</v>
      </c>
      <c r="E24313">
        <v>0</v>
      </c>
      <c r="F24313">
        <v>651</v>
      </c>
    </row>
    <row r="24314" spans="1:6" ht="12.75">
      <c r="A24314" s="2">
        <v>43875.803344907406</v>
      </c>
      <c r="B24314" t="str">
        <f>HYPERLINK("https://twitter.com/Jessika_Hutapea","@Jessika_Hutapea")</f>
        <v>@Jessika_Hutapea</v>
      </c>
      <c r="C24314" t="s">
        <v>2444</v>
      </c>
      <c r="D24314">
        <v>2317</v>
      </c>
      <c r="E24314">
        <v>0</v>
      </c>
      <c r="F24314">
        <v>670</v>
      </c>
    </row>
    <row r="24315" spans="1:6" ht="12.75">
      <c r="A24315" s="2">
        <v>43875.80333333333</v>
      </c>
      <c r="B24315" t="str">
        <f>HYPERLINK("https://twitter.com/fbalgasir","@fbalgasir")</f>
        <v>@fbalgasir</v>
      </c>
      <c r="C24315" t="s">
        <v>7478</v>
      </c>
      <c r="D24315">
        <v>362</v>
      </c>
      <c r="E24315">
        <v>0</v>
      </c>
      <c r="F24315">
        <v>314</v>
      </c>
    </row>
    <row r="24316" spans="1:6" ht="12.75">
      <c r="A24316" s="2">
        <v>43875.80332175926</v>
      </c>
      <c r="B24316" t="str">
        <f>HYPERLINK("https://twitter.com/penjaganusanta1","@penjaganusanta1")</f>
        <v>@penjaganusanta1</v>
      </c>
      <c r="C24316" t="s">
        <v>11191</v>
      </c>
      <c r="D24316">
        <v>0</v>
      </c>
      <c r="E24316">
        <v>0</v>
      </c>
      <c r="F24316">
        <v>195</v>
      </c>
    </row>
    <row r="24317" spans="1:6" ht="12.75">
      <c r="A24317" s="2">
        <v>43875.803275462968</v>
      </c>
      <c r="B24317" t="str">
        <f>HYPERLINK("https://twitter.com/optimusthyun","@optimusthyun")</f>
        <v>@optimusthyun</v>
      </c>
      <c r="C24317" t="s">
        <v>2444</v>
      </c>
      <c r="D24317">
        <v>2317</v>
      </c>
      <c r="E24317">
        <v>0</v>
      </c>
      <c r="F24317">
        <v>905</v>
      </c>
    </row>
    <row r="24318" spans="1:6" ht="12.75">
      <c r="A24318" s="2">
        <v>43875.803240740745</v>
      </c>
      <c r="B24318" t="str">
        <f>HYPERLINK("https://twitter.com/iNewsID","@iNewsID")</f>
        <v>@iNewsID</v>
      </c>
      <c r="C24318" t="s">
        <v>11192</v>
      </c>
      <c r="D24318">
        <v>0</v>
      </c>
      <c r="E24318">
        <v>0</v>
      </c>
      <c r="F24318">
        <v>1257</v>
      </c>
    </row>
    <row r="24319" spans="1:6" ht="12.75">
      <c r="A24319" s="2">
        <v>43875.803148148145</v>
      </c>
      <c r="B24319" t="str">
        <f>HYPERLINK("https://twitter.com/windandjani","@windandjani")</f>
        <v>@windandjani</v>
      </c>
      <c r="C24319" t="s">
        <v>2444</v>
      </c>
      <c r="D24319">
        <v>2317</v>
      </c>
      <c r="E24319">
        <v>0</v>
      </c>
      <c r="F24319">
        <v>292</v>
      </c>
    </row>
    <row r="24320" spans="1:6" ht="12.75">
      <c r="A24320" s="2">
        <v>43875.803136574075</v>
      </c>
      <c r="B24320" t="str">
        <f>HYPERLINK("https://twitter.com/Totokalhaqq3","@Totokalhaqq3")</f>
        <v>@Totokalhaqq3</v>
      </c>
      <c r="C24320" t="s">
        <v>11193</v>
      </c>
      <c r="D24320">
        <v>0</v>
      </c>
      <c r="E24320">
        <v>0</v>
      </c>
      <c r="F24320">
        <v>1491</v>
      </c>
    </row>
    <row r="24321" spans="1:6" ht="12.75">
      <c r="A24321" s="2">
        <v>43875.803067129629</v>
      </c>
      <c r="B24321" t="str">
        <f>HYPERLINK("https://twitter.com/chatimeyuk","@chatimeyuk")</f>
        <v>@chatimeyuk</v>
      </c>
      <c r="C24321" t="s">
        <v>2444</v>
      </c>
      <c r="D24321">
        <v>2317</v>
      </c>
      <c r="E24321">
        <v>0</v>
      </c>
      <c r="F24321">
        <v>551</v>
      </c>
    </row>
    <row r="24322" spans="1:6" ht="12.75">
      <c r="A24322" s="2">
        <v>43875.80305555556</v>
      </c>
      <c r="B24322" t="str">
        <f>HYPERLINK("https://twitter.com/Adamdar21591740","@Adamdar21591740")</f>
        <v>@Adamdar21591740</v>
      </c>
      <c r="C24322" t="s">
        <v>6201</v>
      </c>
      <c r="D24322">
        <v>185</v>
      </c>
      <c r="E24322">
        <v>0</v>
      </c>
      <c r="F24322">
        <v>133</v>
      </c>
    </row>
    <row r="24323" spans="1:6" ht="12.75">
      <c r="A24323" s="2">
        <v>43875.803020833337</v>
      </c>
      <c r="B24323" t="str">
        <f>HYPERLINK("https://twitter.com/thexampp","@thexampp")</f>
        <v>@thexampp</v>
      </c>
      <c r="C24323" t="s">
        <v>9123</v>
      </c>
      <c r="D24323">
        <v>272</v>
      </c>
      <c r="E24323">
        <v>0</v>
      </c>
      <c r="F24323">
        <v>3685</v>
      </c>
    </row>
    <row r="24324" spans="1:6" ht="12.75">
      <c r="A24324" s="2">
        <v>43875.80300925926</v>
      </c>
      <c r="B24324" t="str">
        <f>HYPERLINK("https://twitter.com/erwin_agusta","@erwin_agusta")</f>
        <v>@erwin_agusta</v>
      </c>
      <c r="C24324" t="s">
        <v>7478</v>
      </c>
      <c r="D24324">
        <v>362</v>
      </c>
      <c r="E24324">
        <v>0</v>
      </c>
      <c r="F24324">
        <v>84</v>
      </c>
    </row>
    <row r="24325" spans="1:6" ht="12.75">
      <c r="A24325" s="2">
        <v>43875.802974537037</v>
      </c>
      <c r="B24325" t="str">
        <f>HYPERLINK("https://twitter.com/pis1d","@pis1d")</f>
        <v>@pis1d</v>
      </c>
      <c r="C24325" t="s">
        <v>11194</v>
      </c>
      <c r="D24325">
        <v>0</v>
      </c>
      <c r="E24325">
        <v>0</v>
      </c>
      <c r="F24325">
        <v>39</v>
      </c>
    </row>
    <row r="24326" spans="1:6" ht="12.75">
      <c r="A24326" s="2">
        <v>43875.802951388891</v>
      </c>
      <c r="B24326" t="str">
        <f>HYPERLINK("https://twitter.com/AyoJKW","@AyoJKW")</f>
        <v>@AyoJKW</v>
      </c>
      <c r="C24326" t="s">
        <v>11195</v>
      </c>
      <c r="D24326">
        <v>0</v>
      </c>
      <c r="E24326">
        <v>0</v>
      </c>
      <c r="F24326">
        <v>57</v>
      </c>
    </row>
    <row r="24327" spans="1:6" ht="12.75">
      <c r="A24327" s="2">
        <v>43875.802719907406</v>
      </c>
      <c r="B24327" t="str">
        <f>HYPERLINK("https://twitter.com/shalihahmuu","@shalihahmuu")</f>
        <v>@shalihahmuu</v>
      </c>
      <c r="C24327" t="s">
        <v>2137</v>
      </c>
      <c r="D24327">
        <v>188</v>
      </c>
      <c r="E24327">
        <v>0</v>
      </c>
      <c r="F24327">
        <v>61</v>
      </c>
    </row>
    <row r="24328" spans="1:6" ht="12.75">
      <c r="A24328" s="2">
        <v>43875.802708333329</v>
      </c>
      <c r="B24328" t="str">
        <f>HYPERLINK("https://twitter.com/Andriamuis","@Andriamuis")</f>
        <v>@Andriamuis</v>
      </c>
      <c r="C24328" t="s">
        <v>11196</v>
      </c>
      <c r="D24328">
        <v>4</v>
      </c>
      <c r="E24328">
        <v>0</v>
      </c>
      <c r="F24328">
        <v>186</v>
      </c>
    </row>
    <row r="24329" spans="1:6" ht="12.75">
      <c r="A24329" s="2">
        <v>43875.80263888889</v>
      </c>
      <c r="B24329" t="str">
        <f>HYPERLINK("https://twitter.com/thexampp","@thexampp")</f>
        <v>@thexampp</v>
      </c>
      <c r="C24329" t="s">
        <v>2444</v>
      </c>
      <c r="D24329">
        <v>2317</v>
      </c>
      <c r="E24329">
        <v>0</v>
      </c>
      <c r="F24329">
        <v>3685</v>
      </c>
    </row>
    <row r="24330" spans="1:6" ht="12.75">
      <c r="A24330" s="2">
        <v>43875.802534722221</v>
      </c>
      <c r="B24330" t="str">
        <f>HYPERLINK("https://twitter.com/jendongzen","@jendongzen")</f>
        <v>@jendongzen</v>
      </c>
      <c r="C24330" t="s">
        <v>2444</v>
      </c>
      <c r="D24330">
        <v>2317</v>
      </c>
      <c r="E24330">
        <v>0</v>
      </c>
      <c r="F24330">
        <v>73</v>
      </c>
    </row>
    <row r="24331" spans="1:6" ht="12.75">
      <c r="A24331" s="2">
        <v>43875.802534722221</v>
      </c>
      <c r="B24331" t="str">
        <f>HYPERLINK("https://twitter.com/asnug_id","@asnug_id")</f>
        <v>@asnug_id</v>
      </c>
      <c r="C24331" t="s">
        <v>10520</v>
      </c>
      <c r="D24331">
        <v>9</v>
      </c>
      <c r="E24331">
        <v>0</v>
      </c>
      <c r="F24331">
        <v>3197</v>
      </c>
    </row>
    <row r="24332" spans="1:6" ht="12.75">
      <c r="A24332" s="2">
        <v>43875.802523148144</v>
      </c>
      <c r="B24332" t="str">
        <f>HYPERLINK("https://twitter.com/Roseeee100","@Roseeee100")</f>
        <v>@Roseeee100</v>
      </c>
      <c r="C24332" t="s">
        <v>2137</v>
      </c>
      <c r="D24332">
        <v>188</v>
      </c>
      <c r="E24332">
        <v>0</v>
      </c>
      <c r="F24332">
        <v>110</v>
      </c>
    </row>
    <row r="24333" spans="1:6" ht="12.75">
      <c r="A24333" s="2">
        <v>43875.802511574075</v>
      </c>
      <c r="B24333" t="str">
        <f>HYPERLINK("https://twitter.com/riringkriiing","@riringkriiing")</f>
        <v>@riringkriiing</v>
      </c>
      <c r="C24333" t="s">
        <v>2444</v>
      </c>
      <c r="D24333">
        <v>2317</v>
      </c>
      <c r="E24333">
        <v>0</v>
      </c>
      <c r="F24333">
        <v>1109</v>
      </c>
    </row>
    <row r="24334" spans="1:6" ht="12.75">
      <c r="A24334" s="2">
        <v>43875.802476851852</v>
      </c>
      <c r="B24334" t="str">
        <f>HYPERLINK("https://twitter.com/BaniAdam____","@BaniAdam____")</f>
        <v>@BaniAdam____</v>
      </c>
      <c r="C24334" t="s">
        <v>11197</v>
      </c>
      <c r="D24334">
        <v>0</v>
      </c>
      <c r="E24334">
        <v>0</v>
      </c>
      <c r="F24334">
        <v>1107</v>
      </c>
    </row>
    <row r="24335" spans="1:6" ht="12.75">
      <c r="A24335" s="2">
        <v>43875.802442129629</v>
      </c>
      <c r="B24335" t="str">
        <f>HYPERLINK("https://twitter.com/Ngomebias1","@Ngomebias1")</f>
        <v>@Ngomebias1</v>
      </c>
      <c r="C24335" t="s">
        <v>11198</v>
      </c>
      <c r="D24335">
        <v>0</v>
      </c>
      <c r="E24335">
        <v>0</v>
      </c>
      <c r="F24335">
        <v>0</v>
      </c>
    </row>
    <row r="24336" spans="1:6" ht="12.75">
      <c r="A24336" s="2">
        <v>43875.802395833336</v>
      </c>
      <c r="B24336" t="str">
        <f>HYPERLINK("https://twitter.com/sinyo_pm","@sinyo_pm")</f>
        <v>@sinyo_pm</v>
      </c>
      <c r="C24336" t="s">
        <v>2144</v>
      </c>
      <c r="D24336">
        <v>89</v>
      </c>
      <c r="E24336">
        <v>0</v>
      </c>
      <c r="F24336">
        <v>49</v>
      </c>
    </row>
    <row r="24337" spans="1:6" ht="12.75">
      <c r="A24337" s="2">
        <v>43875.802395833336</v>
      </c>
      <c r="B24337" t="str">
        <f>HYPERLINK("https://twitter.com/dwis502","@dwis502")</f>
        <v>@dwis502</v>
      </c>
      <c r="C24337" t="s">
        <v>11199</v>
      </c>
      <c r="D24337">
        <v>0</v>
      </c>
      <c r="E24337">
        <v>0</v>
      </c>
      <c r="F24337">
        <v>0</v>
      </c>
    </row>
    <row r="24338" spans="1:6" ht="12.75">
      <c r="A24338" s="2">
        <v>43875.802372685182</v>
      </c>
      <c r="B24338" t="str">
        <f>HYPERLINK("https://twitter.com/Danslicious","@Danslicious")</f>
        <v>@Danslicious</v>
      </c>
      <c r="C24338" t="s">
        <v>2444</v>
      </c>
      <c r="D24338">
        <v>2317</v>
      </c>
      <c r="E24338">
        <v>0</v>
      </c>
      <c r="F24338">
        <v>506</v>
      </c>
    </row>
    <row r="24339" spans="1:6" ht="12.75">
      <c r="A24339" s="2">
        <v>43875.802210648151</v>
      </c>
      <c r="B24339" t="str">
        <f>HYPERLINK("https://twitter.com/glorygloray","@glorygloray")</f>
        <v>@glorygloray</v>
      </c>
      <c r="C24339" t="s">
        <v>2444</v>
      </c>
      <c r="D24339">
        <v>2317</v>
      </c>
      <c r="E24339">
        <v>0</v>
      </c>
      <c r="F24339">
        <v>316</v>
      </c>
    </row>
    <row r="24340" spans="1:6" ht="12.75">
      <c r="A24340" s="2">
        <v>43875.802141203705</v>
      </c>
      <c r="B24340" t="str">
        <f>HYPERLINK("https://twitter.com/Arrale4","@Arrale4")</f>
        <v>@Arrale4</v>
      </c>
      <c r="C24340" t="s">
        <v>9746</v>
      </c>
      <c r="D24340">
        <v>329</v>
      </c>
      <c r="E24340">
        <v>0</v>
      </c>
      <c r="F24340">
        <v>328</v>
      </c>
    </row>
    <row r="24341" spans="1:6" ht="12.75">
      <c r="A24341" s="2">
        <v>43875.802025462966</v>
      </c>
      <c r="B24341" t="str">
        <f>HYPERLINK("https://twitter.com/paudradikul","@paudradikul")</f>
        <v>@paudradikul</v>
      </c>
      <c r="C24341" t="s">
        <v>7888</v>
      </c>
      <c r="D24341">
        <v>21</v>
      </c>
      <c r="E24341">
        <v>0</v>
      </c>
      <c r="F24341">
        <v>378</v>
      </c>
    </row>
    <row r="24342" spans="1:6" ht="12.75">
      <c r="A24342" s="2">
        <v>43875.802002314813</v>
      </c>
      <c r="B24342" t="str">
        <f>HYPERLINK("https://twitter.com/Hali__lintar","@Hali__lintar")</f>
        <v>@Hali__lintar</v>
      </c>
      <c r="C24342" t="s">
        <v>11200</v>
      </c>
      <c r="D24342">
        <v>0</v>
      </c>
      <c r="E24342">
        <v>0</v>
      </c>
      <c r="F24342">
        <v>9291</v>
      </c>
    </row>
    <row r="24343" spans="1:6" ht="12.75">
      <c r="A24343" s="2">
        <v>43875.801782407405</v>
      </c>
      <c r="B24343" t="str">
        <f>HYPERLINK("https://twitter.com/gonbinfairy","@gonbinfairy")</f>
        <v>@gonbinfairy</v>
      </c>
      <c r="C24343" t="s">
        <v>2444</v>
      </c>
      <c r="D24343">
        <v>2317</v>
      </c>
      <c r="E24343">
        <v>0</v>
      </c>
      <c r="F24343">
        <v>430</v>
      </c>
    </row>
    <row r="24344" spans="1:6" ht="12.75">
      <c r="A24344" s="2">
        <v>43875.801759259259</v>
      </c>
      <c r="B24344" t="str">
        <f>HYPERLINK("https://twitter.com/jisungricegrain","@jisungricegrain")</f>
        <v>@jisungricegrain</v>
      </c>
      <c r="C24344" t="s">
        <v>2137</v>
      </c>
      <c r="D24344">
        <v>188</v>
      </c>
      <c r="E24344">
        <v>0</v>
      </c>
      <c r="F24344">
        <v>729</v>
      </c>
    </row>
    <row r="24345" spans="1:6" ht="12.75">
      <c r="A24345" s="2">
        <v>43875.801736111112</v>
      </c>
      <c r="B24345" t="str">
        <f>HYPERLINK("https://twitter.com/ErsatKera","@ErsatKera")</f>
        <v>@ErsatKera</v>
      </c>
      <c r="C24345" t="s">
        <v>11201</v>
      </c>
      <c r="D24345">
        <v>0</v>
      </c>
      <c r="E24345">
        <v>1</v>
      </c>
      <c r="F24345">
        <v>90</v>
      </c>
    </row>
    <row r="24346" spans="1:6" ht="12.75">
      <c r="A24346" s="2">
        <v>43875.801620370374</v>
      </c>
      <c r="B24346" t="str">
        <f>HYPERLINK("https://twitter.com/xanthorhizol","@xanthorhizol")</f>
        <v>@xanthorhizol</v>
      </c>
      <c r="C24346" t="s">
        <v>2444</v>
      </c>
      <c r="D24346">
        <v>2317</v>
      </c>
      <c r="E24346">
        <v>0</v>
      </c>
      <c r="F24346">
        <v>16</v>
      </c>
    </row>
    <row r="24347" spans="1:6" ht="12.75">
      <c r="A24347" s="2">
        <v>43875.801585648151</v>
      </c>
      <c r="B24347" t="str">
        <f>HYPERLINK("https://twitter.com/taeeegiiii","@taeeegiiii")</f>
        <v>@taeeegiiii</v>
      </c>
      <c r="C24347" t="s">
        <v>9123</v>
      </c>
      <c r="D24347">
        <v>272</v>
      </c>
      <c r="E24347">
        <v>0</v>
      </c>
      <c r="F24347">
        <v>693</v>
      </c>
    </row>
    <row r="24348" spans="1:6" ht="12.75">
      <c r="A24348" s="2">
        <v>43875.801550925928</v>
      </c>
      <c r="B24348" t="str">
        <f>HYPERLINK("https://twitter.com/r_martomo","@r_martomo")</f>
        <v>@r_martomo</v>
      </c>
      <c r="C24348" t="s">
        <v>7478</v>
      </c>
      <c r="D24348">
        <v>362</v>
      </c>
      <c r="E24348">
        <v>0</v>
      </c>
      <c r="F24348">
        <v>2035</v>
      </c>
    </row>
    <row r="24349" spans="1:6" ht="12.75">
      <c r="A24349" s="2">
        <v>43875.801539351851</v>
      </c>
      <c r="B24349" t="str">
        <f>HYPERLINK("https://twitter.com/Neoculturetcnlg","@Neoculturetcnlg")</f>
        <v>@Neoculturetcnlg</v>
      </c>
      <c r="C24349" t="s">
        <v>2444</v>
      </c>
      <c r="D24349">
        <v>2317</v>
      </c>
      <c r="E24349">
        <v>0</v>
      </c>
      <c r="F24349">
        <v>3922</v>
      </c>
    </row>
    <row r="24350" spans="1:6" ht="12.75">
      <c r="A24350" s="2">
        <v>43875.801504629635</v>
      </c>
      <c r="B24350" t="str">
        <f>HYPERLINK("https://twitter.com/Zuniariar","@Zuniariar")</f>
        <v>@Zuniariar</v>
      </c>
      <c r="C24350" t="s">
        <v>11202</v>
      </c>
      <c r="D24350">
        <v>0</v>
      </c>
      <c r="E24350">
        <v>0</v>
      </c>
      <c r="F24350">
        <v>331</v>
      </c>
    </row>
    <row r="24351" spans="1:6" ht="12.75">
      <c r="A24351" s="2">
        <v>43875.801365740743</v>
      </c>
      <c r="B24351" t="str">
        <f>HYPERLINK("https://twitter.com/awan_essence","@awan_essence")</f>
        <v>@awan_essence</v>
      </c>
      <c r="C24351" t="s">
        <v>7478</v>
      </c>
      <c r="D24351">
        <v>362</v>
      </c>
      <c r="E24351">
        <v>0</v>
      </c>
      <c r="F24351">
        <v>83</v>
      </c>
    </row>
    <row r="24352" spans="1:6" ht="12.75">
      <c r="A24352" s="2">
        <v>43875.801365740743</v>
      </c>
      <c r="B24352" t="str">
        <f>HYPERLINK("https://twitter.com/sultanirajin","@sultanirajin")</f>
        <v>@sultanirajin</v>
      </c>
      <c r="C24352" t="s">
        <v>11203</v>
      </c>
      <c r="D24352">
        <v>0</v>
      </c>
      <c r="E24352">
        <v>1</v>
      </c>
      <c r="F24352">
        <v>256</v>
      </c>
    </row>
    <row r="24353" spans="1:6" ht="12.75">
      <c r="A24353" s="2">
        <v>43875.801319444443</v>
      </c>
      <c r="B24353" t="str">
        <f>HYPERLINK("https://twitter.com/natashyays","@natashyays")</f>
        <v>@natashyays</v>
      </c>
      <c r="C24353" t="s">
        <v>8233</v>
      </c>
      <c r="D24353">
        <v>504</v>
      </c>
      <c r="E24353">
        <v>0</v>
      </c>
      <c r="F24353">
        <v>4</v>
      </c>
    </row>
    <row r="24354" spans="1:6" ht="12.75">
      <c r="A24354" s="2">
        <v>43875.801296296297</v>
      </c>
      <c r="B24354" t="str">
        <f>HYPERLINK("https://twitter.com/HisyamMhp","@HisyamMhp")</f>
        <v>@HisyamMhp</v>
      </c>
      <c r="C24354" t="s">
        <v>9663</v>
      </c>
      <c r="D24354">
        <v>3</v>
      </c>
      <c r="E24354">
        <v>0</v>
      </c>
      <c r="F24354">
        <v>162</v>
      </c>
    </row>
    <row r="24355" spans="1:6" ht="12.75">
      <c r="A24355" s="2">
        <v>43875.801261574074</v>
      </c>
      <c r="B24355" t="str">
        <f>HYPERLINK("https://twitter.com/baru_netas","@baru_netas")</f>
        <v>@baru_netas</v>
      </c>
      <c r="C24355" t="s">
        <v>11204</v>
      </c>
      <c r="D24355">
        <v>0</v>
      </c>
      <c r="E24355">
        <v>0</v>
      </c>
      <c r="F24355">
        <v>8</v>
      </c>
    </row>
    <row r="24356" spans="1:6" ht="12.75">
      <c r="A24356" s="2">
        <v>43875.801180555558</v>
      </c>
      <c r="B24356" t="str">
        <f>HYPERLINK("https://twitter.com/timmymalachi","@timmymalachi")</f>
        <v>@timmymalachi</v>
      </c>
      <c r="C24356" t="s">
        <v>7068</v>
      </c>
      <c r="D24356">
        <v>27</v>
      </c>
      <c r="E24356">
        <v>0</v>
      </c>
      <c r="F24356">
        <v>4053</v>
      </c>
    </row>
    <row r="24357" spans="1:6" ht="12.75">
      <c r="A24357" s="2">
        <v>43875.801145833335</v>
      </c>
      <c r="B24357" t="str">
        <f>HYPERLINK("https://twitter.com/hamaro_id","@hamaro_id")</f>
        <v>@hamaro_id</v>
      </c>
      <c r="C24357" t="s">
        <v>10520</v>
      </c>
      <c r="D24357">
        <v>9</v>
      </c>
      <c r="E24357">
        <v>0</v>
      </c>
      <c r="F24357">
        <v>1569</v>
      </c>
    </row>
    <row r="24358" spans="1:6" ht="12.75">
      <c r="A24358" s="2">
        <v>43875.800879629634</v>
      </c>
      <c r="B24358" t="str">
        <f>HYPERLINK("https://twitter.com/kagakinget","@kagakinget")</f>
        <v>@kagakinget</v>
      </c>
      <c r="C24358" t="s">
        <v>2444</v>
      </c>
      <c r="D24358">
        <v>2317</v>
      </c>
      <c r="E24358">
        <v>0</v>
      </c>
      <c r="F24358">
        <v>161</v>
      </c>
    </row>
    <row r="24359" spans="1:6" ht="12.75">
      <c r="A24359" s="2">
        <v>43875.800879629634</v>
      </c>
      <c r="B24359" t="str">
        <f>HYPERLINK("https://twitter.com/koobapsae","@koobapsae")</f>
        <v>@koobapsae</v>
      </c>
      <c r="C24359" t="s">
        <v>11205</v>
      </c>
      <c r="D24359">
        <v>0</v>
      </c>
      <c r="E24359">
        <v>0</v>
      </c>
      <c r="F24359">
        <v>851</v>
      </c>
    </row>
    <row r="24360" spans="1:6" ht="12.75">
      <c r="A24360" s="2">
        <v>43875.800798611112</v>
      </c>
      <c r="B24360" t="str">
        <f>HYPERLINK("https://twitter.com/daniairwansyah","@daniairwansyah")</f>
        <v>@daniairwansyah</v>
      </c>
      <c r="C24360" t="s">
        <v>11206</v>
      </c>
      <c r="D24360">
        <v>0</v>
      </c>
      <c r="E24360">
        <v>0</v>
      </c>
      <c r="F24360">
        <v>501</v>
      </c>
    </row>
    <row r="24361" spans="1:6" ht="12.75">
      <c r="A24361" s="2">
        <v>43875.800763888888</v>
      </c>
      <c r="B24361" t="str">
        <f>HYPERLINK("https://twitter.com/tempodotco","@tempodotco")</f>
        <v>@tempodotco</v>
      </c>
      <c r="C24361" t="s">
        <v>11207</v>
      </c>
      <c r="D24361">
        <v>1</v>
      </c>
      <c r="E24361">
        <v>5</v>
      </c>
      <c r="F24361">
        <v>1702490</v>
      </c>
    </row>
    <row r="24362" spans="1:6" ht="12.75">
      <c r="A24362" s="2">
        <v>43875.800740740742</v>
      </c>
      <c r="B24362" t="str">
        <f>HYPERLINK("https://twitter.com/Helinapratiwi","@Helinapratiwi")</f>
        <v>@Helinapratiwi</v>
      </c>
      <c r="C24362" t="s">
        <v>2444</v>
      </c>
      <c r="D24362">
        <v>2317</v>
      </c>
      <c r="E24362">
        <v>0</v>
      </c>
      <c r="F24362">
        <v>250</v>
      </c>
    </row>
    <row r="24363" spans="1:6" ht="12.75">
      <c r="A24363" s="2">
        <v>43875.80060185185</v>
      </c>
      <c r="B24363" t="str">
        <f>HYPERLINK("https://twitter.com/djournal99","@djournal99")</f>
        <v>@djournal99</v>
      </c>
      <c r="C24363" t="s">
        <v>2444</v>
      </c>
      <c r="D24363">
        <v>2317</v>
      </c>
      <c r="E24363">
        <v>0</v>
      </c>
      <c r="F24363">
        <v>361</v>
      </c>
    </row>
    <row r="24364" spans="1:6" ht="12.75">
      <c r="A24364" s="2">
        <v>43875.800474537042</v>
      </c>
      <c r="B24364" t="str">
        <f>HYPERLINK("https://twitter.com/ronindrawan","@ronindrawan")</f>
        <v>@ronindrawan</v>
      </c>
      <c r="C24364" t="s">
        <v>11176</v>
      </c>
      <c r="D24364">
        <v>11</v>
      </c>
      <c r="E24364">
        <v>0</v>
      </c>
      <c r="F24364">
        <v>708</v>
      </c>
    </row>
    <row r="24365" spans="1:6" ht="12.75">
      <c r="A24365" s="2">
        <v>43875.800312499996</v>
      </c>
      <c r="B24365" t="str">
        <f>HYPERLINK("https://twitter.com/slythbalthazar","@slythbalthazar")</f>
        <v>@slythbalthazar</v>
      </c>
      <c r="C24365" t="s">
        <v>2444</v>
      </c>
      <c r="D24365">
        <v>2317</v>
      </c>
      <c r="E24365">
        <v>0</v>
      </c>
      <c r="F24365">
        <v>163</v>
      </c>
    </row>
    <row r="24366" spans="1:6" ht="12.75">
      <c r="A24366" s="2">
        <v>43875.800266203703</v>
      </c>
      <c r="B24366" t="str">
        <f>HYPERLINK("https://twitter.com/zikro_ZR","@zikro_ZR")</f>
        <v>@zikro_ZR</v>
      </c>
      <c r="C24366" t="s">
        <v>2444</v>
      </c>
      <c r="D24366">
        <v>2317</v>
      </c>
      <c r="E24366">
        <v>0</v>
      </c>
      <c r="F24366">
        <v>372</v>
      </c>
    </row>
    <row r="24367" spans="1:6" ht="12.75">
      <c r="A24367" s="2">
        <v>43875.800173611111</v>
      </c>
      <c r="B24367" t="str">
        <f>HYPERLINK("https://twitter.com/AtaSuharta9","@AtaSuharta9")</f>
        <v>@AtaSuharta9</v>
      </c>
      <c r="C24367" t="s">
        <v>11208</v>
      </c>
      <c r="D24367">
        <v>7</v>
      </c>
      <c r="E24367">
        <v>0</v>
      </c>
      <c r="F24367">
        <v>685</v>
      </c>
    </row>
    <row r="24368" spans="1:6" ht="12.75">
      <c r="A24368" s="2">
        <v>43875.800092592588</v>
      </c>
      <c r="B24368" t="str">
        <f>HYPERLINK("https://twitter.com/itsmeismee","@itsmeismee")</f>
        <v>@itsmeismee</v>
      </c>
      <c r="C24368" t="s">
        <v>2444</v>
      </c>
      <c r="D24368">
        <v>2317</v>
      </c>
      <c r="E24368">
        <v>0</v>
      </c>
      <c r="F24368">
        <v>39</v>
      </c>
    </row>
    <row r="24369" spans="1:6" ht="12.75">
      <c r="A24369" s="2">
        <v>43875.800023148149</v>
      </c>
      <c r="B24369" t="str">
        <f>HYPERLINK("https://twitter.com/eyva513","@eyva513")</f>
        <v>@eyva513</v>
      </c>
      <c r="C24369" t="s">
        <v>2444</v>
      </c>
      <c r="D24369">
        <v>2317</v>
      </c>
      <c r="E24369">
        <v>0</v>
      </c>
      <c r="F24369">
        <v>342</v>
      </c>
    </row>
    <row r="24370" spans="1:6" ht="12.75">
      <c r="A24370" s="2">
        <v>43875.799895833334</v>
      </c>
      <c r="B24370" t="str">
        <f>HYPERLINK("https://twitter.com/dytoxs_eddy","@dytoxs_eddy")</f>
        <v>@dytoxs_eddy</v>
      </c>
      <c r="C24370" t="s">
        <v>11209</v>
      </c>
      <c r="D24370">
        <v>1</v>
      </c>
      <c r="E24370">
        <v>0</v>
      </c>
      <c r="F24370">
        <v>2254</v>
      </c>
    </row>
    <row r="24371" spans="1:6" ht="12.75">
      <c r="A24371" s="2">
        <v>43875.79987268518</v>
      </c>
      <c r="B24371" t="str">
        <f>HYPERLINK("https://twitter.com/Hali__lintar","@Hali__lintar")</f>
        <v>@Hali__lintar</v>
      </c>
      <c r="C24371" t="s">
        <v>11210</v>
      </c>
      <c r="D24371">
        <v>0</v>
      </c>
      <c r="E24371">
        <v>0</v>
      </c>
      <c r="F24371">
        <v>9291</v>
      </c>
    </row>
    <row r="24372" spans="1:6" ht="12.75">
      <c r="A24372" s="2">
        <v>43875.799861111111</v>
      </c>
      <c r="B24372" t="str">
        <f>HYPERLINK("https://twitter.com/salstardust","@salstardust")</f>
        <v>@salstardust</v>
      </c>
      <c r="C24372" t="s">
        <v>2444</v>
      </c>
      <c r="D24372">
        <v>2317</v>
      </c>
      <c r="E24372">
        <v>0</v>
      </c>
      <c r="F24372">
        <v>1010</v>
      </c>
    </row>
    <row r="24373" spans="1:6" ht="12.75">
      <c r="A24373" s="2">
        <v>43875.799849537041</v>
      </c>
      <c r="B24373" t="str">
        <f>HYPERLINK("https://twitter.com/dpriyangka","@dpriyangka")</f>
        <v>@dpriyangka</v>
      </c>
      <c r="C24373" t="s">
        <v>9964</v>
      </c>
      <c r="D24373">
        <v>628</v>
      </c>
      <c r="E24373">
        <v>0</v>
      </c>
      <c r="F24373">
        <v>858</v>
      </c>
    </row>
    <row r="24374" spans="1:6" ht="12.75">
      <c r="A24374" s="2">
        <v>43875.799791666665</v>
      </c>
      <c r="B24374" t="str">
        <f>HYPERLINK("https://twitter.com/putragaruda27","@putragaruda27")</f>
        <v>@putragaruda27</v>
      </c>
      <c r="C24374" t="s">
        <v>10096</v>
      </c>
      <c r="D24374">
        <v>164</v>
      </c>
      <c r="E24374">
        <v>0</v>
      </c>
      <c r="F24374">
        <v>5745</v>
      </c>
    </row>
    <row r="24375" spans="1:6" ht="12.75">
      <c r="A24375" s="2">
        <v>43875.799733796295</v>
      </c>
      <c r="B24375" t="str">
        <f>HYPERLINK("https://twitter.com/AtriLagi","@AtriLagi")</f>
        <v>@AtriLagi</v>
      </c>
      <c r="C24375" t="s">
        <v>7478</v>
      </c>
      <c r="D24375">
        <v>362</v>
      </c>
      <c r="E24375">
        <v>0</v>
      </c>
      <c r="F24375">
        <v>272</v>
      </c>
    </row>
    <row r="24376" spans="1:6" ht="12.75">
      <c r="A24376" s="2">
        <v>43875.799710648149</v>
      </c>
      <c r="B24376" t="str">
        <f>HYPERLINK("https://twitter.com/inoseuke","@inoseuke")</f>
        <v>@inoseuke</v>
      </c>
      <c r="C24376" t="s">
        <v>2444</v>
      </c>
      <c r="D24376">
        <v>2317</v>
      </c>
      <c r="E24376">
        <v>0</v>
      </c>
      <c r="F24376">
        <v>1635</v>
      </c>
    </row>
    <row r="24377" spans="1:6" ht="12.75">
      <c r="A24377" s="2">
        <v>43875.79959490741</v>
      </c>
      <c r="B24377" t="str">
        <f>HYPERLINK("https://twitter.com/kacok","@kacok")</f>
        <v>@kacok</v>
      </c>
      <c r="C24377" t="s">
        <v>9993</v>
      </c>
      <c r="D24377">
        <v>8</v>
      </c>
      <c r="E24377">
        <v>0</v>
      </c>
      <c r="F24377">
        <v>48</v>
      </c>
    </row>
    <row r="24378" spans="1:6" ht="12.75">
      <c r="A24378" s="2">
        <v>43875.79954861111</v>
      </c>
      <c r="B24378" t="str">
        <f>HYPERLINK("https://twitter.com/furiyani","@furiyani")</f>
        <v>@furiyani</v>
      </c>
      <c r="C24378" t="s">
        <v>2444</v>
      </c>
      <c r="D24378">
        <v>2317</v>
      </c>
      <c r="E24378">
        <v>0</v>
      </c>
      <c r="F24378">
        <v>1071</v>
      </c>
    </row>
    <row r="24379" spans="1:6" ht="12.75">
      <c r="A24379" s="2">
        <v>43875.799502314811</v>
      </c>
      <c r="B24379" t="str">
        <f>HYPERLINK("https://twitter.com/aparadox_","@aparadox_")</f>
        <v>@aparadox_</v>
      </c>
      <c r="C24379" t="s">
        <v>5168</v>
      </c>
      <c r="D24379">
        <v>935</v>
      </c>
      <c r="E24379">
        <v>0</v>
      </c>
      <c r="F24379">
        <v>17</v>
      </c>
    </row>
    <row r="24380" spans="1:6" ht="12.75">
      <c r="A24380" s="2">
        <v>43875.799479166672</v>
      </c>
      <c r="B24380" t="str">
        <f>HYPERLINK("https://twitter.com/Iwannabe_Me98","@Iwannabe_Me98")</f>
        <v>@Iwannabe_Me98</v>
      </c>
      <c r="C24380" t="s">
        <v>2444</v>
      </c>
      <c r="D24380">
        <v>2317</v>
      </c>
      <c r="E24380">
        <v>0</v>
      </c>
      <c r="F24380">
        <v>1117</v>
      </c>
    </row>
    <row r="24381" spans="1:6" ht="12.75">
      <c r="A24381" s="2">
        <v>43875.799456018518</v>
      </c>
      <c r="B24381" t="str">
        <f>HYPERLINK("https://twitter.com/YgGregorius","@YgGregorius")</f>
        <v>@YgGregorius</v>
      </c>
      <c r="C24381" t="s">
        <v>11211</v>
      </c>
      <c r="D24381">
        <v>0</v>
      </c>
      <c r="E24381">
        <v>0</v>
      </c>
      <c r="F24381">
        <v>4085</v>
      </c>
    </row>
    <row r="24382" spans="1:6" ht="12.75">
      <c r="A24382" s="2">
        <v>43875.799398148149</v>
      </c>
      <c r="B24382" t="str">
        <f>HYPERLINK("https://twitter.com/firlibelia","@firlibelia")</f>
        <v>@firlibelia</v>
      </c>
      <c r="C24382" t="s">
        <v>11212</v>
      </c>
      <c r="D24382">
        <v>1</v>
      </c>
      <c r="E24382">
        <v>0</v>
      </c>
      <c r="F24382">
        <v>949</v>
      </c>
    </row>
    <row r="24383" spans="1:6" ht="12.75">
      <c r="A24383" s="2">
        <v>43875.799328703702</v>
      </c>
      <c r="B24383" t="str">
        <f>HYPERLINK("https://twitter.com/AyoJKW","@AyoJKW")</f>
        <v>@AyoJKW</v>
      </c>
      <c r="C24383" t="s">
        <v>11213</v>
      </c>
      <c r="D24383">
        <v>0</v>
      </c>
      <c r="E24383">
        <v>0</v>
      </c>
      <c r="F24383">
        <v>57</v>
      </c>
    </row>
    <row r="24384" spans="1:6" ht="12.75">
      <c r="A24384" s="2">
        <v>43875.799328703702</v>
      </c>
      <c r="B24384" t="str">
        <f>HYPERLINK("https://twitter.com/herjunowidi","@herjunowidi")</f>
        <v>@herjunowidi</v>
      </c>
      <c r="C24384" t="s">
        <v>8233</v>
      </c>
      <c r="D24384">
        <v>504</v>
      </c>
      <c r="E24384">
        <v>0</v>
      </c>
      <c r="F24384">
        <v>818</v>
      </c>
    </row>
    <row r="24385" spans="1:6" ht="12.75">
      <c r="A24385" s="2">
        <v>43875.799305555556</v>
      </c>
      <c r="B24385" t="str">
        <f>HYPERLINK("https://twitter.com/oleowle","@oleowle")</f>
        <v>@oleowle</v>
      </c>
      <c r="C24385" t="s">
        <v>11214</v>
      </c>
      <c r="D24385">
        <v>0</v>
      </c>
      <c r="E24385">
        <v>0</v>
      </c>
      <c r="F24385">
        <v>865</v>
      </c>
    </row>
    <row r="24386" spans="1:6" ht="12.75">
      <c r="A24386" s="2">
        <v>43875.799282407403</v>
      </c>
      <c r="B24386" t="str">
        <f>HYPERLINK("https://twitter.com/herfan0","@herfan0")</f>
        <v>@herfan0</v>
      </c>
      <c r="C24386" t="s">
        <v>7478</v>
      </c>
      <c r="D24386">
        <v>362</v>
      </c>
      <c r="E24386">
        <v>0</v>
      </c>
      <c r="F24386">
        <v>1064</v>
      </c>
    </row>
    <row r="24387" spans="1:6" ht="12.75">
      <c r="A24387" s="2">
        <v>43875.799155092594</v>
      </c>
      <c r="B24387" t="str">
        <f>HYPERLINK("https://twitter.com/raniiDT","@raniiDT")</f>
        <v>@raniiDT</v>
      </c>
      <c r="C24387" t="s">
        <v>2444</v>
      </c>
      <c r="D24387">
        <v>2317</v>
      </c>
      <c r="E24387">
        <v>0</v>
      </c>
      <c r="F24387">
        <v>1794</v>
      </c>
    </row>
    <row r="24388" spans="1:6" ht="12.75">
      <c r="A24388" s="2">
        <v>43875.799155092594</v>
      </c>
      <c r="B24388" t="str">
        <f>HYPERLINK("https://twitter.com/imaorchid","@imaorchid")</f>
        <v>@imaorchid</v>
      </c>
      <c r="C24388" t="s">
        <v>2444</v>
      </c>
      <c r="D24388">
        <v>2317</v>
      </c>
      <c r="E24388">
        <v>0</v>
      </c>
      <c r="F24388">
        <v>219</v>
      </c>
    </row>
    <row r="24389" spans="1:6" ht="12.75">
      <c r="A24389" s="2">
        <v>43875.799131944441</v>
      </c>
      <c r="B24389" t="str">
        <f>HYPERLINK("https://twitter.com/camartiga","@camartiga")</f>
        <v>@camartiga</v>
      </c>
      <c r="C24389" t="s">
        <v>6201</v>
      </c>
      <c r="D24389">
        <v>185</v>
      </c>
      <c r="E24389">
        <v>0</v>
      </c>
      <c r="F24389">
        <v>158</v>
      </c>
    </row>
    <row r="24390" spans="1:6" ht="12.75">
      <c r="A24390" s="2">
        <v>43875.799108796295</v>
      </c>
      <c r="B24390" t="str">
        <f>HYPERLINK("https://twitter.com/putragaruda27","@putragaruda27")</f>
        <v>@putragaruda27</v>
      </c>
      <c r="C24390" t="s">
        <v>7478</v>
      </c>
      <c r="D24390">
        <v>362</v>
      </c>
      <c r="E24390">
        <v>0</v>
      </c>
      <c r="F24390">
        <v>5745</v>
      </c>
    </row>
    <row r="24391" spans="1:6" ht="12.75">
      <c r="A24391" s="2">
        <v>43875.799085648148</v>
      </c>
      <c r="B24391" t="str">
        <f>HYPERLINK("https://twitter.com/Retno40667961","@Retno40667961")</f>
        <v>@Retno40667961</v>
      </c>
      <c r="C24391" t="s">
        <v>2963</v>
      </c>
      <c r="D24391">
        <v>1061</v>
      </c>
      <c r="E24391">
        <v>0</v>
      </c>
      <c r="F24391">
        <v>17</v>
      </c>
    </row>
    <row r="24392" spans="1:6" ht="12.75">
      <c r="A24392" s="2">
        <v>43875.799085648148</v>
      </c>
      <c r="B24392" t="str">
        <f>HYPERLINK("https://twitter.com/ridwan2474","@ridwan2474")</f>
        <v>@ridwan2474</v>
      </c>
      <c r="C24392" t="s">
        <v>11215</v>
      </c>
      <c r="D24392">
        <v>0</v>
      </c>
      <c r="E24392">
        <v>0</v>
      </c>
      <c r="F24392">
        <v>96</v>
      </c>
    </row>
    <row r="24393" spans="1:6" ht="12.75">
      <c r="A24393" s="2">
        <v>43875.79896990741</v>
      </c>
      <c r="B24393" t="str">
        <f>HYPERLINK("https://twitter.com/KiDolang","@KiDolang")</f>
        <v>@KiDolang</v>
      </c>
      <c r="C24393" t="s">
        <v>9666</v>
      </c>
      <c r="D24393">
        <v>15</v>
      </c>
      <c r="E24393">
        <v>0</v>
      </c>
      <c r="F24393">
        <v>2</v>
      </c>
    </row>
    <row r="24394" spans="1:6" ht="12.75">
      <c r="A24394" s="2">
        <v>43875.798958333333</v>
      </c>
      <c r="B24394" t="str">
        <f>HYPERLINK("https://twitter.com/ApriansahMeco","@ApriansahMeco")</f>
        <v>@ApriansahMeco</v>
      </c>
      <c r="C24394" t="s">
        <v>7478</v>
      </c>
      <c r="D24394">
        <v>362</v>
      </c>
      <c r="E24394">
        <v>0</v>
      </c>
      <c r="F24394">
        <v>128</v>
      </c>
    </row>
    <row r="24395" spans="1:6" ht="12.75">
      <c r="A24395" s="2">
        <v>43875.798900462964</v>
      </c>
      <c r="B24395" t="str">
        <f>HYPERLINK("https://twitter.com/rawkbastard","@rawkbastard")</f>
        <v>@rawkbastard</v>
      </c>
      <c r="C24395" t="s">
        <v>2963</v>
      </c>
      <c r="D24395">
        <v>1061</v>
      </c>
      <c r="E24395">
        <v>0</v>
      </c>
      <c r="F24395">
        <v>249</v>
      </c>
    </row>
    <row r="24396" spans="1:6" ht="12.75">
      <c r="A24396" s="2">
        <v>43875.798831018517</v>
      </c>
      <c r="B24396" t="str">
        <f>HYPERLINK("https://twitter.com/sychoji","@sychoji")</f>
        <v>@sychoji</v>
      </c>
      <c r="C24396" t="s">
        <v>2444</v>
      </c>
      <c r="D24396">
        <v>2317</v>
      </c>
      <c r="E24396">
        <v>0</v>
      </c>
      <c r="F24396">
        <v>355</v>
      </c>
    </row>
    <row r="24397" spans="1:6" ht="12.75">
      <c r="A24397" s="2">
        <v>43875.798773148148</v>
      </c>
      <c r="B24397" t="str">
        <f>HYPERLINK("https://twitter.com/aldsyhptr","@aldsyhptr")</f>
        <v>@aldsyhptr</v>
      </c>
      <c r="C24397" t="s">
        <v>2963</v>
      </c>
      <c r="D24397">
        <v>1061</v>
      </c>
      <c r="E24397">
        <v>0</v>
      </c>
      <c r="F24397">
        <v>291</v>
      </c>
    </row>
    <row r="24398" spans="1:6" ht="12.75">
      <c r="A24398" s="2">
        <v>43875.798773148148</v>
      </c>
      <c r="B24398" t="str">
        <f>HYPERLINK("https://twitter.com/yepeudaas","@yepeudaas")</f>
        <v>@yepeudaas</v>
      </c>
      <c r="C24398" t="s">
        <v>2444</v>
      </c>
      <c r="D24398">
        <v>2317</v>
      </c>
      <c r="E24398">
        <v>0</v>
      </c>
      <c r="F24398">
        <v>660</v>
      </c>
    </row>
    <row r="24399" spans="1:6" ht="12.75">
      <c r="A24399" s="2">
        <v>43875.798726851848</v>
      </c>
      <c r="B24399" t="str">
        <f>HYPERLINK("https://twitter.com/henymaryati","@henymaryati")</f>
        <v>@henymaryati</v>
      </c>
      <c r="C24399" t="s">
        <v>5168</v>
      </c>
      <c r="D24399">
        <v>935</v>
      </c>
      <c r="E24399">
        <v>0</v>
      </c>
      <c r="F24399">
        <v>486</v>
      </c>
    </row>
    <row r="24400" spans="1:6" ht="12.75">
      <c r="A24400" s="2">
        <v>43875.798657407402</v>
      </c>
      <c r="B24400" t="str">
        <f>HYPERLINK("https://twitter.com/kukangracing","@kukangracing")</f>
        <v>@kukangracing</v>
      </c>
      <c r="C24400" t="s">
        <v>6201</v>
      </c>
      <c r="D24400">
        <v>185</v>
      </c>
      <c r="E24400">
        <v>0</v>
      </c>
      <c r="F24400">
        <v>72</v>
      </c>
    </row>
    <row r="24401" spans="1:6" ht="12.75">
      <c r="A24401" s="2">
        <v>43875.798576388886</v>
      </c>
      <c r="B24401" t="str">
        <f>HYPERLINK("https://twitter.com/hunpoleber","@hunpoleber")</f>
        <v>@hunpoleber</v>
      </c>
      <c r="C24401" t="s">
        <v>2444</v>
      </c>
      <c r="D24401">
        <v>2317</v>
      </c>
      <c r="E24401">
        <v>0</v>
      </c>
      <c r="F24401">
        <v>1010</v>
      </c>
    </row>
    <row r="24402" spans="1:6" ht="12.75">
      <c r="A24402" s="2">
        <v>43875.798495370371</v>
      </c>
      <c r="B24402" t="str">
        <f>HYPERLINK("https://twitter.com/kardusbox08","@kardusbox08")</f>
        <v>@kardusbox08</v>
      </c>
      <c r="C24402" t="s">
        <v>9096</v>
      </c>
      <c r="D24402">
        <v>200</v>
      </c>
      <c r="E24402">
        <v>0</v>
      </c>
      <c r="F24402">
        <v>1213</v>
      </c>
    </row>
    <row r="24403" spans="1:6" ht="12.75">
      <c r="A24403" s="2">
        <v>43875.798437500001</v>
      </c>
      <c r="B24403" t="str">
        <f>HYPERLINK("https://twitter.com/Trollowsky","@Trollowsky")</f>
        <v>@Trollowsky</v>
      </c>
      <c r="C24403" t="s">
        <v>9082</v>
      </c>
      <c r="D24403">
        <v>51</v>
      </c>
      <c r="E24403">
        <v>0</v>
      </c>
      <c r="F24403">
        <v>3422</v>
      </c>
    </row>
    <row r="24404" spans="1:6" ht="12.75">
      <c r="A24404" s="2">
        <v>43875.798298611116</v>
      </c>
      <c r="B24404" t="str">
        <f>HYPERLINK("https://twitter.com/VoxPopuliID","@VoxPopuliID")</f>
        <v>@VoxPopuliID</v>
      </c>
      <c r="C24404" t="s">
        <v>11216</v>
      </c>
      <c r="D24404">
        <v>0</v>
      </c>
      <c r="E24404">
        <v>0</v>
      </c>
      <c r="F24404">
        <v>727</v>
      </c>
    </row>
    <row r="24405" spans="1:6" ht="12.75">
      <c r="A24405" s="2">
        <v>43875.79822916667</v>
      </c>
      <c r="B24405" t="str">
        <f>HYPERLINK("https://twitter.com/SyahbanUmar","@SyahbanUmar")</f>
        <v>@SyahbanUmar</v>
      </c>
      <c r="C24405" t="s">
        <v>7478</v>
      </c>
      <c r="D24405">
        <v>362</v>
      </c>
      <c r="E24405">
        <v>0</v>
      </c>
      <c r="F24405">
        <v>2567</v>
      </c>
    </row>
    <row r="24406" spans="1:6" ht="12.75">
      <c r="A24406" s="2">
        <v>43875.798101851848</v>
      </c>
      <c r="B24406" t="str">
        <f>HYPERLINK("https://twitter.com/fiqiasli","@fiqiasli")</f>
        <v>@fiqiasli</v>
      </c>
      <c r="C24406" t="s">
        <v>2963</v>
      </c>
      <c r="D24406">
        <v>1061</v>
      </c>
      <c r="E24406">
        <v>0</v>
      </c>
      <c r="F24406">
        <v>1615</v>
      </c>
    </row>
    <row r="24407" spans="1:6" ht="12.75">
      <c r="A24407" s="2">
        <v>43875.798078703709</v>
      </c>
      <c r="B24407" t="str">
        <f>HYPERLINK("https://twitter.com/SebastianBara4","@SebastianBara4")</f>
        <v>@SebastianBara4</v>
      </c>
      <c r="C24407" t="s">
        <v>11216</v>
      </c>
      <c r="D24407">
        <v>0</v>
      </c>
      <c r="E24407">
        <v>0</v>
      </c>
      <c r="F24407">
        <v>0</v>
      </c>
    </row>
    <row r="24408" spans="1:6" ht="12.75">
      <c r="A24408" s="2">
        <v>43875.798020833332</v>
      </c>
      <c r="B24408" t="str">
        <f>HYPERLINK("https://twitter.com/kurakuraninjaid","@kurakuraninjaid")</f>
        <v>@kurakuraninjaid</v>
      </c>
      <c r="C24408" t="s">
        <v>11216</v>
      </c>
      <c r="D24408">
        <v>0</v>
      </c>
      <c r="E24408">
        <v>0</v>
      </c>
      <c r="F24408">
        <v>308</v>
      </c>
    </row>
    <row r="24409" spans="1:6" ht="12.75">
      <c r="A24409" s="2">
        <v>43875.798020833332</v>
      </c>
      <c r="B24409" t="str">
        <f>HYPERLINK("https://twitter.com/rpseptiani","@rpseptiani")</f>
        <v>@rpseptiani</v>
      </c>
      <c r="C24409" t="s">
        <v>2444</v>
      </c>
      <c r="D24409">
        <v>2317</v>
      </c>
      <c r="E24409">
        <v>0</v>
      </c>
      <c r="F24409">
        <v>417</v>
      </c>
    </row>
    <row r="24410" spans="1:6" ht="12.75">
      <c r="A24410" s="2">
        <v>43875.797962962963</v>
      </c>
      <c r="B24410" t="str">
        <f>HYPERLINK("https://twitter.com/cikyber","@cikyber")</f>
        <v>@cikyber</v>
      </c>
      <c r="C24410" t="s">
        <v>11216</v>
      </c>
      <c r="D24410">
        <v>0</v>
      </c>
      <c r="E24410">
        <v>0</v>
      </c>
      <c r="F24410">
        <v>291</v>
      </c>
    </row>
    <row r="24411" spans="1:6" ht="12.75">
      <c r="A24411" s="2">
        <v>43875.797893518524</v>
      </c>
      <c r="B24411" t="str">
        <f>HYPERLINK("https://twitter.com/AbdullahMujeed","@AbdullahMujeed")</f>
        <v>@AbdullahMujeed</v>
      </c>
      <c r="C24411" t="s">
        <v>11216</v>
      </c>
      <c r="D24411">
        <v>0</v>
      </c>
      <c r="E24411">
        <v>0</v>
      </c>
      <c r="F24411">
        <v>3</v>
      </c>
    </row>
    <row r="24412" spans="1:6" ht="12.75">
      <c r="A24412" s="2">
        <v>43875.797893518524</v>
      </c>
      <c r="B24412" t="str">
        <f>HYPERLINK("https://twitter.com/flirtyglance_","@flirtyglance_")</f>
        <v>@flirtyglance_</v>
      </c>
      <c r="C24412" t="s">
        <v>2137</v>
      </c>
      <c r="D24412">
        <v>188</v>
      </c>
      <c r="E24412">
        <v>0</v>
      </c>
      <c r="F24412">
        <v>335</v>
      </c>
    </row>
    <row r="24413" spans="1:6" ht="12.75">
      <c r="A24413" s="2">
        <v>43875.79788194444</v>
      </c>
      <c r="B24413" t="str">
        <f>HYPERLINK("https://twitter.com/Erikkahfi19Kaka","@Erikkahfi19Kaka")</f>
        <v>@Erikkahfi19Kaka</v>
      </c>
      <c r="C24413" t="s">
        <v>11217</v>
      </c>
      <c r="D24413">
        <v>0</v>
      </c>
      <c r="E24413">
        <v>0</v>
      </c>
      <c r="F24413">
        <v>1189</v>
      </c>
    </row>
    <row r="24414" spans="1:6" ht="12.75">
      <c r="A24414" s="2">
        <v>43875.79788194444</v>
      </c>
      <c r="B24414" t="str">
        <f>HYPERLINK("https://twitter.com/pnyicha","@pnyicha")</f>
        <v>@pnyicha</v>
      </c>
      <c r="C24414" t="s">
        <v>2444</v>
      </c>
      <c r="D24414">
        <v>2317</v>
      </c>
      <c r="E24414">
        <v>0</v>
      </c>
      <c r="F24414">
        <v>74</v>
      </c>
    </row>
    <row r="24415" spans="1:6" ht="12.75">
      <c r="A24415" s="2">
        <v>43875.79787037037</v>
      </c>
      <c r="B24415" t="str">
        <f>HYPERLINK("https://twitter.com/WahyuEkoW","@WahyuEkoW")</f>
        <v>@WahyuEkoW</v>
      </c>
      <c r="C24415" t="s">
        <v>7478</v>
      </c>
      <c r="D24415">
        <v>362</v>
      </c>
      <c r="E24415">
        <v>0</v>
      </c>
      <c r="F24415">
        <v>459</v>
      </c>
    </row>
    <row r="24416" spans="1:6" ht="12.75">
      <c r="A24416" s="2">
        <v>43875.797835648147</v>
      </c>
      <c r="B24416" t="str">
        <f>HYPERLINK("https://twitter.com/bensutasoma","@bensutasoma")</f>
        <v>@bensutasoma</v>
      </c>
      <c r="C24416" t="s">
        <v>11216</v>
      </c>
      <c r="D24416">
        <v>0</v>
      </c>
      <c r="E24416">
        <v>0</v>
      </c>
      <c r="F24416">
        <v>1</v>
      </c>
    </row>
    <row r="24417" spans="1:6" ht="12.75">
      <c r="A24417" s="2">
        <v>43875.797754629632</v>
      </c>
      <c r="B24417" t="str">
        <f>HYPERLINK("https://twitter.com/spirit_1945","@spirit_1945")</f>
        <v>@spirit_1945</v>
      </c>
      <c r="C24417" t="s">
        <v>11216</v>
      </c>
      <c r="D24417">
        <v>0</v>
      </c>
      <c r="E24417">
        <v>0</v>
      </c>
      <c r="F24417">
        <v>119</v>
      </c>
    </row>
    <row r="24418" spans="1:6" ht="12.75">
      <c r="A24418" s="2">
        <v>43875.797546296293</v>
      </c>
      <c r="B24418" t="str">
        <f>HYPERLINK("https://twitter.com/RingzAgus","@RingzAgus")</f>
        <v>@RingzAgus</v>
      </c>
      <c r="C24418" t="s">
        <v>11218</v>
      </c>
      <c r="D24418">
        <v>0</v>
      </c>
      <c r="E24418">
        <v>0</v>
      </c>
      <c r="F24418">
        <v>90</v>
      </c>
    </row>
    <row r="24419" spans="1:6" ht="12.75">
      <c r="A24419" s="2">
        <v>43875.797453703708</v>
      </c>
      <c r="B24419" t="str">
        <f>HYPERLINK("https://twitter.com/parkgunhooAciel","@parkgunhooAciel")</f>
        <v>@parkgunhooAciel</v>
      </c>
      <c r="C24419" t="s">
        <v>2444</v>
      </c>
      <c r="D24419">
        <v>2317</v>
      </c>
      <c r="E24419">
        <v>0</v>
      </c>
      <c r="F24419">
        <v>2105</v>
      </c>
    </row>
    <row r="24420" spans="1:6" ht="12.75">
      <c r="A24420" s="2">
        <v>43875.797442129631</v>
      </c>
      <c r="B24420" t="str">
        <f>HYPERLINK("https://twitter.com/notnadaaa","@notnadaaa")</f>
        <v>@notnadaaa</v>
      </c>
      <c r="C24420" t="s">
        <v>2444</v>
      </c>
      <c r="D24420">
        <v>2317</v>
      </c>
      <c r="E24420">
        <v>0</v>
      </c>
      <c r="F24420">
        <v>446</v>
      </c>
    </row>
    <row r="24421" spans="1:6" ht="12.75">
      <c r="A24421" s="2">
        <v>43875.797384259262</v>
      </c>
      <c r="B24421" t="str">
        <f>HYPERLINK("https://twitter.com/DyahArumsari99","@DyahArumsari99")</f>
        <v>@DyahArumsari99</v>
      </c>
      <c r="C24421" t="s">
        <v>2144</v>
      </c>
      <c r="D24421">
        <v>89</v>
      </c>
      <c r="E24421">
        <v>0</v>
      </c>
      <c r="F24421">
        <v>116</v>
      </c>
    </row>
    <row r="24422" spans="1:6" ht="12.75">
      <c r="A24422" s="2">
        <v>43875.797372685185</v>
      </c>
      <c r="B24422" t="str">
        <f>HYPERLINK("https://twitter.com/Ganezhaputra1","@Ganezhaputra1")</f>
        <v>@Ganezhaputra1</v>
      </c>
      <c r="C24422" t="s">
        <v>11196</v>
      </c>
      <c r="D24422">
        <v>4</v>
      </c>
      <c r="E24422">
        <v>0</v>
      </c>
      <c r="F24422">
        <v>1519</v>
      </c>
    </row>
    <row r="24423" spans="1:6" ht="12.75">
      <c r="A24423" s="2">
        <v>43875.797337962962</v>
      </c>
      <c r="B24423" t="str">
        <f>HYPERLINK("https://twitter.com/pricklypain","@pricklypain")</f>
        <v>@pricklypain</v>
      </c>
      <c r="C24423" t="s">
        <v>2444</v>
      </c>
      <c r="D24423">
        <v>2317</v>
      </c>
      <c r="E24423">
        <v>0</v>
      </c>
      <c r="F24423">
        <v>283</v>
      </c>
    </row>
    <row r="24424" spans="1:6" ht="12.75">
      <c r="A24424" s="2">
        <v>43875.797268518523</v>
      </c>
      <c r="B24424" t="str">
        <f>HYPERLINK("https://twitter.com/Nurwahi51434261","@Nurwahi51434261")</f>
        <v>@Nurwahi51434261</v>
      </c>
      <c r="C24424" t="s">
        <v>11219</v>
      </c>
      <c r="D24424">
        <v>0</v>
      </c>
      <c r="E24424">
        <v>0</v>
      </c>
      <c r="F24424">
        <v>1</v>
      </c>
    </row>
    <row r="24425" spans="1:6" ht="12.75">
      <c r="A24425" s="2">
        <v>43875.7972337963</v>
      </c>
      <c r="B24425" t="str">
        <f>HYPERLINK("https://twitter.com/kiasleo","@kiasleo")</f>
        <v>@kiasleo</v>
      </c>
      <c r="C24425" t="s">
        <v>2444</v>
      </c>
      <c r="D24425">
        <v>2317</v>
      </c>
      <c r="E24425">
        <v>0</v>
      </c>
      <c r="F24425">
        <v>624</v>
      </c>
    </row>
    <row r="24426" spans="1:6" ht="12.75">
      <c r="A24426" s="2">
        <v>43875.797129629631</v>
      </c>
      <c r="B24426" t="str">
        <f>HYPERLINK("https://twitter.com/Nyllleee","@Nyllleee")</f>
        <v>@Nyllleee</v>
      </c>
      <c r="C24426" t="s">
        <v>2444</v>
      </c>
      <c r="D24426">
        <v>2317</v>
      </c>
      <c r="E24426">
        <v>0</v>
      </c>
      <c r="F24426">
        <v>42</v>
      </c>
    </row>
    <row r="24427" spans="1:6" ht="12.75">
      <c r="A24427" s="2">
        <v>43875.797002314815</v>
      </c>
      <c r="B24427" t="str">
        <f>HYPERLINK("https://twitter.com/marinrin0316","@marinrin0316")</f>
        <v>@marinrin0316</v>
      </c>
      <c r="C24427" t="s">
        <v>2444</v>
      </c>
      <c r="D24427">
        <v>2317</v>
      </c>
      <c r="E24427">
        <v>0</v>
      </c>
      <c r="F24427">
        <v>105</v>
      </c>
    </row>
    <row r="24428" spans="1:6" ht="12.75">
      <c r="A24428" s="2">
        <v>43875.79688657407</v>
      </c>
      <c r="B24428" t="str">
        <f>HYPERLINK("https://twitter.com/Sanka_Ragusti","@Sanka_Ragusti")</f>
        <v>@Sanka_Ragusti</v>
      </c>
      <c r="C24428" t="s">
        <v>9165</v>
      </c>
      <c r="D24428">
        <v>0</v>
      </c>
      <c r="E24428">
        <v>0</v>
      </c>
      <c r="F24428">
        <v>45</v>
      </c>
    </row>
    <row r="24429" spans="1:6" ht="12.75">
      <c r="A24429" s="2">
        <v>43875.796875</v>
      </c>
      <c r="B24429" t="str">
        <f>HYPERLINK("https://twitter.com/Teuku_dedi","@Teuku_dedi")</f>
        <v>@Teuku_dedi</v>
      </c>
      <c r="C24429" t="s">
        <v>11220</v>
      </c>
      <c r="D24429">
        <v>0</v>
      </c>
      <c r="E24429">
        <v>1</v>
      </c>
      <c r="F24429">
        <v>38</v>
      </c>
    </row>
    <row r="24430" spans="1:6" ht="12.75">
      <c r="A24430" s="2">
        <v>43875.79686342593</v>
      </c>
      <c r="B24430" t="str">
        <f>HYPERLINK("https://twitter.com/kakakamri","@kakakamri")</f>
        <v>@kakakamri</v>
      </c>
      <c r="C24430" t="s">
        <v>2444</v>
      </c>
      <c r="D24430">
        <v>2317</v>
      </c>
      <c r="E24430">
        <v>0</v>
      </c>
      <c r="F24430">
        <v>563</v>
      </c>
    </row>
    <row r="24431" spans="1:6" ht="12.75">
      <c r="A24431" s="2">
        <v>43875.796793981484</v>
      </c>
      <c r="B24431" t="str">
        <f>HYPERLINK("https://twitter.com/khanssaakk","@khanssaakk")</f>
        <v>@khanssaakk</v>
      </c>
      <c r="C24431" t="s">
        <v>11221</v>
      </c>
      <c r="D24431">
        <v>0</v>
      </c>
      <c r="E24431">
        <v>0</v>
      </c>
      <c r="F24431">
        <v>402</v>
      </c>
    </row>
    <row r="24432" spans="1:6" ht="12.75">
      <c r="A24432" s="2">
        <v>43875.796655092592</v>
      </c>
      <c r="B24432" t="str">
        <f>HYPERLINK("https://twitter.com/gorontalo01","@gorontalo01")</f>
        <v>@gorontalo01</v>
      </c>
      <c r="C24432" t="s">
        <v>11222</v>
      </c>
      <c r="D24432">
        <v>0</v>
      </c>
      <c r="E24432">
        <v>0</v>
      </c>
      <c r="F24432">
        <v>11</v>
      </c>
    </row>
    <row r="24433" spans="1:6" ht="12.75">
      <c r="A24433" s="2">
        <v>43875.796620370369</v>
      </c>
      <c r="B24433" t="str">
        <f>HYPERLINK("https://twitter.com/afidrohman","@afidrohman")</f>
        <v>@afidrohman</v>
      </c>
      <c r="C24433" t="s">
        <v>2444</v>
      </c>
      <c r="D24433">
        <v>2317</v>
      </c>
      <c r="E24433">
        <v>0</v>
      </c>
      <c r="F24433">
        <v>369</v>
      </c>
    </row>
    <row r="24434" spans="1:6" ht="12.75">
      <c r="A24434" s="2">
        <v>43875.7966087963</v>
      </c>
      <c r="B24434" t="str">
        <f>HYPERLINK("https://twitter.com/gath24","@gath24")</f>
        <v>@gath24</v>
      </c>
      <c r="C24434" t="s">
        <v>10052</v>
      </c>
      <c r="D24434">
        <v>66</v>
      </c>
      <c r="E24434">
        <v>0</v>
      </c>
      <c r="F24434">
        <v>889</v>
      </c>
    </row>
    <row r="24435" spans="1:6" ht="12.75">
      <c r="A24435" s="2">
        <v>43875.796597222223</v>
      </c>
      <c r="B24435" t="str">
        <f>HYPERLINK("https://twitter.com/solifude","@solifude")</f>
        <v>@solifude</v>
      </c>
      <c r="C24435" t="s">
        <v>5168</v>
      </c>
      <c r="D24435">
        <v>935</v>
      </c>
      <c r="E24435">
        <v>0</v>
      </c>
      <c r="F24435">
        <v>807</v>
      </c>
    </row>
    <row r="24436" spans="1:6" ht="12.75">
      <c r="A24436" s="2">
        <v>43875.796319444446</v>
      </c>
      <c r="B24436" t="str">
        <f>HYPERLINK("https://twitter.com/EllephantzD","@EllephantzD")</f>
        <v>@EllephantzD</v>
      </c>
      <c r="C24436" t="s">
        <v>7478</v>
      </c>
      <c r="D24436">
        <v>362</v>
      </c>
      <c r="E24436">
        <v>0</v>
      </c>
      <c r="F24436">
        <v>213</v>
      </c>
    </row>
    <row r="24437" spans="1:6" ht="12.75">
      <c r="A24437" s="2">
        <v>43875.796226851853</v>
      </c>
      <c r="B24437" t="str">
        <f>HYPERLINK("https://twitter.com/bilqis_diba","@bilqis_diba")</f>
        <v>@bilqis_diba</v>
      </c>
      <c r="C24437" t="s">
        <v>5168</v>
      </c>
      <c r="D24437">
        <v>935</v>
      </c>
      <c r="E24437">
        <v>0</v>
      </c>
      <c r="F24437">
        <v>402</v>
      </c>
    </row>
    <row r="24438" spans="1:6" ht="12.75">
      <c r="A24438" s="2">
        <v>43875.796203703707</v>
      </c>
      <c r="B24438" t="str">
        <f>HYPERLINK("https://twitter.com/pacarmerah1897","@pacarmerah1897")</f>
        <v>@pacarmerah1897</v>
      </c>
      <c r="C24438" t="s">
        <v>5168</v>
      </c>
      <c r="D24438">
        <v>935</v>
      </c>
      <c r="E24438">
        <v>0</v>
      </c>
      <c r="F24438">
        <v>403</v>
      </c>
    </row>
    <row r="24439" spans="1:6" ht="12.75">
      <c r="A24439" s="2">
        <v>43875.79619212963</v>
      </c>
      <c r="B24439" t="str">
        <f>HYPERLINK("https://twitter.com/poer72878042","@poer72878042")</f>
        <v>@poer72878042</v>
      </c>
      <c r="C24439" t="s">
        <v>2963</v>
      </c>
      <c r="D24439">
        <v>1061</v>
      </c>
      <c r="E24439">
        <v>0</v>
      </c>
      <c r="F24439">
        <v>13</v>
      </c>
    </row>
    <row r="24440" spans="1:6" ht="12.75">
      <c r="A24440" s="2">
        <v>43875.796134259261</v>
      </c>
      <c r="B24440" t="str">
        <f>HYPERLINK("https://twitter.com/protegosehun","@protegosehun")</f>
        <v>@protegosehun</v>
      </c>
      <c r="C24440" t="s">
        <v>2444</v>
      </c>
      <c r="D24440">
        <v>2317</v>
      </c>
      <c r="E24440">
        <v>0</v>
      </c>
      <c r="F24440">
        <v>675</v>
      </c>
    </row>
    <row r="24441" spans="1:6" ht="12.75">
      <c r="A24441" s="2">
        <v>43875.796122685184</v>
      </c>
      <c r="B24441" t="str">
        <f>HYPERLINK("https://twitter.com/stoptheseshits","@stoptheseshits")</f>
        <v>@stoptheseshits</v>
      </c>
      <c r="C24441" t="s">
        <v>2444</v>
      </c>
      <c r="D24441">
        <v>2317</v>
      </c>
      <c r="E24441">
        <v>0</v>
      </c>
      <c r="F24441">
        <v>2350</v>
      </c>
    </row>
    <row r="24442" spans="1:6" ht="12.75">
      <c r="A24442" s="2">
        <v>43875.796111111107</v>
      </c>
      <c r="B24442" t="str">
        <f>HYPERLINK("https://twitter.com/chntka","@chntka")</f>
        <v>@chntka</v>
      </c>
      <c r="C24442" t="s">
        <v>2444</v>
      </c>
      <c r="D24442">
        <v>2317</v>
      </c>
      <c r="E24442">
        <v>0</v>
      </c>
      <c r="F24442">
        <v>889</v>
      </c>
    </row>
    <row r="24443" spans="1:6" ht="12.75">
      <c r="A24443" s="2">
        <v>43875.796099537038</v>
      </c>
      <c r="B24443" t="str">
        <f>HYPERLINK("https://twitter.com/PandiGrenel","@PandiGrenel")</f>
        <v>@PandiGrenel</v>
      </c>
      <c r="C24443" t="s">
        <v>8233</v>
      </c>
      <c r="D24443">
        <v>504</v>
      </c>
      <c r="E24443">
        <v>0</v>
      </c>
      <c r="F24443">
        <v>3</v>
      </c>
    </row>
    <row r="24444" spans="1:6" ht="12.75">
      <c r="A24444" s="2">
        <v>43875.796030092592</v>
      </c>
      <c r="B24444" t="str">
        <f>HYPERLINK("https://twitter.com/nmoonchiId","@nmoonchiId")</f>
        <v>@nmoonchiId</v>
      </c>
      <c r="C24444" t="s">
        <v>2444</v>
      </c>
      <c r="D24444">
        <v>2317</v>
      </c>
      <c r="E24444">
        <v>0</v>
      </c>
      <c r="F24444">
        <v>1027</v>
      </c>
    </row>
    <row r="24445" spans="1:6" ht="12.75">
      <c r="A24445" s="2">
        <v>43875.796018518522</v>
      </c>
      <c r="B24445" t="str">
        <f>HYPERLINK("https://twitter.com/FutureOfKJH","@FutureOfKJH")</f>
        <v>@FutureOfKJH</v>
      </c>
      <c r="C24445" t="s">
        <v>2444</v>
      </c>
      <c r="D24445">
        <v>2317</v>
      </c>
      <c r="E24445">
        <v>0</v>
      </c>
      <c r="F24445">
        <v>1813</v>
      </c>
    </row>
    <row r="24446" spans="1:6" ht="12.75">
      <c r="A24446" s="2">
        <v>43875.795914351853</v>
      </c>
      <c r="B24446" t="str">
        <f>HYPERLINK("https://twitter.com/jimboblora","@jimboblora")</f>
        <v>@jimboblora</v>
      </c>
      <c r="C24446" t="s">
        <v>11223</v>
      </c>
      <c r="D24446">
        <v>0</v>
      </c>
      <c r="E24446">
        <v>0</v>
      </c>
      <c r="F24446">
        <v>13</v>
      </c>
    </row>
    <row r="24447" spans="1:6" ht="12.75">
      <c r="A24447" s="2">
        <v>43875.79587962963</v>
      </c>
      <c r="B24447" t="str">
        <f>HYPERLINK("https://twitter.com/Indramajid8","@Indramajid8")</f>
        <v>@Indramajid8</v>
      </c>
      <c r="C24447" t="s">
        <v>9119</v>
      </c>
      <c r="D24447">
        <v>51</v>
      </c>
      <c r="E24447">
        <v>0</v>
      </c>
      <c r="F24447">
        <v>2272</v>
      </c>
    </row>
    <row r="24448" spans="1:6" ht="12.75">
      <c r="A24448" s="2">
        <v>43875.795601851853</v>
      </c>
      <c r="B24448" t="str">
        <f>HYPERLINK("https://twitter.com/livinlikea","@livinlikea")</f>
        <v>@livinlikea</v>
      </c>
      <c r="C24448" t="s">
        <v>2444</v>
      </c>
      <c r="D24448">
        <v>2317</v>
      </c>
      <c r="E24448">
        <v>0</v>
      </c>
      <c r="F24448">
        <v>2284</v>
      </c>
    </row>
    <row r="24449" spans="1:6" ht="12.75">
      <c r="A24449" s="2">
        <v>43875.79552083333</v>
      </c>
      <c r="B24449" t="str">
        <f>HYPERLINK("https://twitter.com/AlvaroDeBazan2","@AlvaroDeBazan2")</f>
        <v>@AlvaroDeBazan2</v>
      </c>
      <c r="C24449" t="s">
        <v>11224</v>
      </c>
      <c r="D24449">
        <v>2</v>
      </c>
      <c r="E24449">
        <v>0</v>
      </c>
      <c r="F24449">
        <v>248</v>
      </c>
    </row>
    <row r="24450" spans="1:6" ht="12.75">
      <c r="A24450" s="2">
        <v>43875.795474537037</v>
      </c>
      <c r="B24450" t="str">
        <f t="shared" ref="B24450:B24451" si="341">HYPERLINK("https://twitter.com/NannyAlexendry","@NannyAlexendry")</f>
        <v>@NannyAlexendry</v>
      </c>
      <c r="C24450" t="s">
        <v>10083</v>
      </c>
      <c r="D24450">
        <v>24</v>
      </c>
      <c r="E24450">
        <v>0</v>
      </c>
      <c r="F24450">
        <v>2884</v>
      </c>
    </row>
    <row r="24451" spans="1:6" ht="12.75">
      <c r="A24451" s="2">
        <v>43875.795439814814</v>
      </c>
      <c r="B24451" t="str">
        <f t="shared" si="341"/>
        <v>@NannyAlexendry</v>
      </c>
      <c r="C24451" t="s">
        <v>10165</v>
      </c>
      <c r="D24451">
        <v>15</v>
      </c>
      <c r="E24451">
        <v>0</v>
      </c>
      <c r="F24451">
        <v>2884</v>
      </c>
    </row>
    <row r="24452" spans="1:6" ht="12.75">
      <c r="A24452" s="2">
        <v>43875.795416666668</v>
      </c>
      <c r="B24452" t="str">
        <f>HYPERLINK("https://twitter.com/ristinuroktavia","@ristinuroktavia")</f>
        <v>@ristinuroktavia</v>
      </c>
      <c r="C24452" t="s">
        <v>11225</v>
      </c>
      <c r="D24452">
        <v>0</v>
      </c>
      <c r="E24452">
        <v>0</v>
      </c>
      <c r="F24452">
        <v>495</v>
      </c>
    </row>
    <row r="24453" spans="1:6" ht="12.75">
      <c r="A24453" s="2">
        <v>43875.795393518521</v>
      </c>
      <c r="B24453" t="str">
        <f>HYPERLINK("https://twitter.com/Riz4l_Firmansya","@Riz4l_Firmansya")</f>
        <v>@Riz4l_Firmansya</v>
      </c>
      <c r="C24453" t="s">
        <v>11226</v>
      </c>
      <c r="D24453">
        <v>0</v>
      </c>
      <c r="E24453">
        <v>0</v>
      </c>
      <c r="F24453">
        <v>467</v>
      </c>
    </row>
    <row r="24454" spans="1:6" ht="12.75">
      <c r="A24454" s="2">
        <v>43875.795370370368</v>
      </c>
      <c r="B24454" t="str">
        <f>HYPERLINK("https://twitter.com/nursyamsahadis","@nursyamsahadis")</f>
        <v>@nursyamsahadis</v>
      </c>
      <c r="C24454" t="s">
        <v>11227</v>
      </c>
      <c r="D24454">
        <v>0</v>
      </c>
      <c r="E24454">
        <v>0</v>
      </c>
      <c r="F24454">
        <v>369</v>
      </c>
    </row>
    <row r="24455" spans="1:6" ht="12.75">
      <c r="A24455" s="2">
        <v>43875.795324074075</v>
      </c>
      <c r="B24455" t="str">
        <f>HYPERLINK("https://twitter.com/audreyrachalia","@audreyrachalia")</f>
        <v>@audreyrachalia</v>
      </c>
      <c r="C24455" t="s">
        <v>2444</v>
      </c>
      <c r="D24455">
        <v>2317</v>
      </c>
      <c r="E24455">
        <v>0</v>
      </c>
      <c r="F24455">
        <v>26</v>
      </c>
    </row>
    <row r="24456" spans="1:6" ht="12.75">
      <c r="A24456" s="2">
        <v>43875.795231481483</v>
      </c>
      <c r="B24456" t="str">
        <f>HYPERLINK("https://twitter.com/KATADATAcoid","@KATADATAcoid")</f>
        <v>@KATADATAcoid</v>
      </c>
      <c r="C24456" t="s">
        <v>11228</v>
      </c>
      <c r="D24456">
        <v>1</v>
      </c>
      <c r="E24456">
        <v>1</v>
      </c>
      <c r="F24456">
        <v>39267</v>
      </c>
    </row>
    <row r="24457" spans="1:6" ht="12.75">
      <c r="A24457" s="2">
        <v>43875.795208333337</v>
      </c>
      <c r="B24457" t="str">
        <f>HYPERLINK("https://twitter.com/CannotBeWritten","@CannotBeWritten")</f>
        <v>@CannotBeWritten</v>
      </c>
      <c r="C24457" t="s">
        <v>2444</v>
      </c>
      <c r="D24457">
        <v>2317</v>
      </c>
      <c r="E24457">
        <v>0</v>
      </c>
      <c r="F24457">
        <v>18</v>
      </c>
    </row>
    <row r="24458" spans="1:6" ht="12.75">
      <c r="A24458" s="2">
        <v>43875.79515046296</v>
      </c>
      <c r="B24458" t="str">
        <f>HYPERLINK("https://twitter.com/ifull_mild","@ifull_mild")</f>
        <v>@ifull_mild</v>
      </c>
      <c r="C24458" t="s">
        <v>11229</v>
      </c>
      <c r="D24458">
        <v>0</v>
      </c>
      <c r="E24458">
        <v>0</v>
      </c>
      <c r="F24458">
        <v>706</v>
      </c>
    </row>
    <row r="24459" spans="1:6" ht="12.75">
      <c r="A24459" s="2">
        <v>43875.795069444444</v>
      </c>
      <c r="B24459" t="str">
        <f>HYPERLINK("https://twitter.com/siskanramdan","@siskanramdan")</f>
        <v>@siskanramdan</v>
      </c>
      <c r="C24459" t="s">
        <v>2444</v>
      </c>
      <c r="D24459">
        <v>2317</v>
      </c>
      <c r="E24459">
        <v>0</v>
      </c>
      <c r="F24459">
        <v>7178</v>
      </c>
    </row>
    <row r="24460" spans="1:6" ht="12.75">
      <c r="A24460" s="2">
        <v>43875.795011574075</v>
      </c>
      <c r="B24460" t="str">
        <f>HYPERLINK("https://twitter.com/sekarangjatuhh","@sekarangjatuhh")</f>
        <v>@sekarangjatuhh</v>
      </c>
      <c r="C24460" t="s">
        <v>2444</v>
      </c>
      <c r="D24460">
        <v>2317</v>
      </c>
      <c r="E24460">
        <v>0</v>
      </c>
      <c r="F24460">
        <v>319</v>
      </c>
    </row>
    <row r="24461" spans="1:6" ht="12.75">
      <c r="A24461" s="2">
        <v>43875.794976851852</v>
      </c>
      <c r="B24461" t="str">
        <f>HYPERLINK("https://twitter.com/fatinadelia","@fatinadelia")</f>
        <v>@fatinadelia</v>
      </c>
      <c r="C24461" t="s">
        <v>2444</v>
      </c>
      <c r="D24461">
        <v>2317</v>
      </c>
      <c r="E24461">
        <v>0</v>
      </c>
      <c r="F24461">
        <v>106</v>
      </c>
    </row>
    <row r="24462" spans="1:6" ht="12.75">
      <c r="A24462" s="2">
        <v>43875.79488425926</v>
      </c>
      <c r="B24462" t="str">
        <f>HYPERLINK("https://twitter.com/ptrxsch","@ptrxsch")</f>
        <v>@ptrxsch</v>
      </c>
      <c r="C24462" t="s">
        <v>2444</v>
      </c>
      <c r="D24462">
        <v>2317</v>
      </c>
      <c r="E24462">
        <v>0</v>
      </c>
      <c r="F24462">
        <v>173</v>
      </c>
    </row>
    <row r="24463" spans="1:6" ht="12.75">
      <c r="A24463" s="2">
        <v>43875.79482638889</v>
      </c>
      <c r="B24463" t="str">
        <f>HYPERLINK("https://twitter.com/ISIS_Balik_NO","@ISIS_Balik_NO")</f>
        <v>@ISIS_Balik_NO</v>
      </c>
      <c r="C24463" t="s">
        <v>11230</v>
      </c>
      <c r="D24463">
        <v>0</v>
      </c>
      <c r="E24463">
        <v>0</v>
      </c>
      <c r="F24463">
        <v>5905</v>
      </c>
    </row>
    <row r="24464" spans="1:6" ht="12.75">
      <c r="A24464" s="2">
        <v>43875.794814814813</v>
      </c>
      <c r="B24464" t="str">
        <f>HYPERLINK("https://twitter.com/AyamKam83175751","@AyamKam83175751")</f>
        <v>@AyamKam83175751</v>
      </c>
      <c r="C24464" t="s">
        <v>9746</v>
      </c>
      <c r="D24464">
        <v>329</v>
      </c>
      <c r="E24464">
        <v>0</v>
      </c>
      <c r="F24464">
        <v>84</v>
      </c>
    </row>
    <row r="24465" spans="1:6" ht="12.75">
      <c r="A24465" s="2">
        <v>43875.794768518521</v>
      </c>
      <c r="B24465" t="str">
        <f>HYPERLINK("https://twitter.com/suburbianfellow","@suburbianfellow")</f>
        <v>@suburbianfellow</v>
      </c>
      <c r="C24465" t="s">
        <v>2444</v>
      </c>
      <c r="D24465">
        <v>2317</v>
      </c>
      <c r="E24465">
        <v>0</v>
      </c>
      <c r="F24465">
        <v>1305</v>
      </c>
    </row>
    <row r="24466" spans="1:6" ht="12.75">
      <c r="A24466" s="2">
        <v>43875.794756944444</v>
      </c>
      <c r="B24466" t="str">
        <f>HYPERLINK("https://twitter.com/RasaAris","@RasaAris")</f>
        <v>@RasaAris</v>
      </c>
      <c r="C24466" t="s">
        <v>11231</v>
      </c>
      <c r="D24466">
        <v>0</v>
      </c>
      <c r="E24466">
        <v>0</v>
      </c>
      <c r="F24466">
        <v>2131</v>
      </c>
    </row>
    <row r="24467" spans="1:6" ht="12.75">
      <c r="A24467" s="2">
        <v>43875.794710648144</v>
      </c>
      <c r="B24467" t="str">
        <f>HYPERLINK("https://twitter.com/tasyaalpe","@tasyaalpe")</f>
        <v>@tasyaalpe</v>
      </c>
      <c r="C24467" t="s">
        <v>5168</v>
      </c>
      <c r="D24467">
        <v>935</v>
      </c>
      <c r="E24467">
        <v>0</v>
      </c>
      <c r="F24467">
        <v>592</v>
      </c>
    </row>
    <row r="24468" spans="1:6" ht="12.75">
      <c r="A24468" s="2">
        <v>43875.794687500005</v>
      </c>
      <c r="B24468" t="str">
        <f>HYPERLINK("https://twitter.com/AlvaroDeBazan2","@AlvaroDeBazan2")</f>
        <v>@AlvaroDeBazan2</v>
      </c>
      <c r="C24468" t="s">
        <v>11232</v>
      </c>
      <c r="D24468">
        <v>5</v>
      </c>
      <c r="E24468">
        <v>0</v>
      </c>
      <c r="F24468">
        <v>248</v>
      </c>
    </row>
    <row r="24469" spans="1:6" ht="12.75">
      <c r="A24469" s="2">
        <v>43875.794652777782</v>
      </c>
      <c r="B24469" t="str">
        <f>HYPERLINK("https://twitter.com/CakL1571","@CakL1571")</f>
        <v>@CakL1571</v>
      </c>
      <c r="C24469" t="s">
        <v>11233</v>
      </c>
      <c r="D24469">
        <v>0</v>
      </c>
      <c r="E24469">
        <v>0</v>
      </c>
      <c r="F24469">
        <v>62</v>
      </c>
    </row>
    <row r="24470" spans="1:6" ht="12.75">
      <c r="A24470" s="2">
        <v>43875.794548611113</v>
      </c>
      <c r="B24470" t="str">
        <f>HYPERLINK("https://twitter.com/abharinaatikaa","@abharinaatikaa")</f>
        <v>@abharinaatikaa</v>
      </c>
      <c r="C24470" t="s">
        <v>2137</v>
      </c>
      <c r="D24470">
        <v>188</v>
      </c>
      <c r="E24470">
        <v>0</v>
      </c>
      <c r="F24470">
        <v>238</v>
      </c>
    </row>
    <row r="24471" spans="1:6" ht="12.75">
      <c r="A24471" s="2">
        <v>43875.794502314813</v>
      </c>
      <c r="B24471" t="str">
        <f>HYPERLINK("https://twitter.com/srrhdwl","@srrhdwl")</f>
        <v>@srrhdwl</v>
      </c>
      <c r="C24471" t="s">
        <v>2444</v>
      </c>
      <c r="D24471">
        <v>2317</v>
      </c>
      <c r="E24471">
        <v>0</v>
      </c>
      <c r="F24471">
        <v>341</v>
      </c>
    </row>
    <row r="24472" spans="1:6" ht="12.75">
      <c r="A24472" s="2">
        <v>43875.794386574074</v>
      </c>
      <c r="B24472" t="str">
        <f>HYPERLINK("https://twitter.com/gorontalo01","@gorontalo01")</f>
        <v>@gorontalo01</v>
      </c>
      <c r="C24472" t="s">
        <v>11234</v>
      </c>
      <c r="D24472">
        <v>0</v>
      </c>
      <c r="E24472">
        <v>0</v>
      </c>
      <c r="F24472">
        <v>11</v>
      </c>
    </row>
    <row r="24473" spans="1:6" ht="12.75">
      <c r="A24473" s="2">
        <v>43875.794340277775</v>
      </c>
      <c r="B24473" t="str">
        <f>HYPERLINK("https://twitter.com/r_martomo","@r_martomo")</f>
        <v>@r_martomo</v>
      </c>
      <c r="C24473" t="s">
        <v>6201</v>
      </c>
      <c r="D24473">
        <v>185</v>
      </c>
      <c r="E24473">
        <v>0</v>
      </c>
      <c r="F24473">
        <v>2035</v>
      </c>
    </row>
    <row r="24474" spans="1:6" ht="12.75">
      <c r="A24474" s="2">
        <v>43875.794212962966</v>
      </c>
      <c r="B24474" t="str">
        <f>HYPERLINK("https://twitter.com/mussharold","@mussharold")</f>
        <v>@mussharold</v>
      </c>
      <c r="C24474" t="s">
        <v>2444</v>
      </c>
      <c r="D24474">
        <v>2317</v>
      </c>
      <c r="E24474">
        <v>0</v>
      </c>
      <c r="F24474">
        <v>551</v>
      </c>
    </row>
    <row r="24475" spans="1:6" ht="12.75">
      <c r="A24475" s="2">
        <v>43875.794120370367</v>
      </c>
      <c r="B24475" t="str">
        <f>HYPERLINK("https://twitter.com/itserendipityy","@itserendipityy")</f>
        <v>@itserendipityy</v>
      </c>
      <c r="C24475" t="s">
        <v>2444</v>
      </c>
      <c r="D24475">
        <v>2317</v>
      </c>
      <c r="E24475">
        <v>0</v>
      </c>
      <c r="F24475">
        <v>1332</v>
      </c>
    </row>
    <row r="24476" spans="1:6" ht="12.75">
      <c r="A24476" s="2">
        <v>43875.794062500005</v>
      </c>
      <c r="B24476" t="str">
        <f>HYPERLINK("https://twitter.com/peachjhsss","@peachjhsss")</f>
        <v>@peachjhsss</v>
      </c>
      <c r="C24476" t="s">
        <v>2444</v>
      </c>
      <c r="D24476">
        <v>2317</v>
      </c>
      <c r="E24476">
        <v>0</v>
      </c>
      <c r="F24476">
        <v>3743</v>
      </c>
    </row>
    <row r="24477" spans="1:6" ht="12.75">
      <c r="A24477" s="2">
        <v>43875.794062500005</v>
      </c>
      <c r="B24477" t="str">
        <f>HYPERLINK("https://twitter.com/YOHOYOLOYOLO","@YOHOYOLOYOLO")</f>
        <v>@YOHOYOLOYOLO</v>
      </c>
      <c r="C24477" t="s">
        <v>2444</v>
      </c>
      <c r="D24477">
        <v>2317</v>
      </c>
      <c r="E24477">
        <v>0</v>
      </c>
      <c r="F24477">
        <v>205</v>
      </c>
    </row>
    <row r="24478" spans="1:6" ht="12.75">
      <c r="A24478" s="2">
        <v>43875.794062500005</v>
      </c>
      <c r="B24478" t="str">
        <f>HYPERLINK("https://twitter.com/AMkdmpt","@AMkdmpt")</f>
        <v>@AMkdmpt</v>
      </c>
      <c r="C24478" t="s">
        <v>11235</v>
      </c>
      <c r="D24478">
        <v>0</v>
      </c>
      <c r="E24478">
        <v>0</v>
      </c>
      <c r="F24478">
        <v>9</v>
      </c>
    </row>
    <row r="24479" spans="1:6" ht="12.75">
      <c r="A24479" s="2">
        <v>43875.794062500005</v>
      </c>
      <c r="B24479" t="str">
        <f>HYPERLINK("https://twitter.com/FdhReal","@FdhReal")</f>
        <v>@FdhReal</v>
      </c>
      <c r="C24479" t="s">
        <v>2444</v>
      </c>
      <c r="D24479">
        <v>2317</v>
      </c>
      <c r="E24479">
        <v>0</v>
      </c>
      <c r="F24479">
        <v>59</v>
      </c>
    </row>
    <row r="24480" spans="1:6" ht="12.75">
      <c r="A24480" s="2">
        <v>43875.793854166666</v>
      </c>
      <c r="B24480" t="str">
        <f>HYPERLINK("https://twitter.com/YatSuryaningrat","@YatSuryaningrat")</f>
        <v>@YatSuryaningrat</v>
      </c>
      <c r="C24480" t="s">
        <v>9538</v>
      </c>
      <c r="D24480">
        <v>150</v>
      </c>
      <c r="E24480">
        <v>0</v>
      </c>
      <c r="F24480">
        <v>328</v>
      </c>
    </row>
    <row r="24481" spans="1:6" ht="12.75">
      <c r="A24481" s="2">
        <v>43875.793807870374</v>
      </c>
      <c r="B24481" t="str">
        <f>HYPERLINK("https://twitter.com/Drdorodoro","@Drdorodoro")</f>
        <v>@Drdorodoro</v>
      </c>
      <c r="C24481" t="s">
        <v>2444</v>
      </c>
      <c r="D24481">
        <v>2317</v>
      </c>
      <c r="E24481">
        <v>0</v>
      </c>
      <c r="F24481">
        <v>59</v>
      </c>
    </row>
    <row r="24482" spans="1:6" ht="12.75">
      <c r="A24482" s="2">
        <v>43875.793761574074</v>
      </c>
      <c r="B24482" t="str">
        <f>HYPERLINK("https://twitter.com/airlanggakusum4","@airlanggakusum4")</f>
        <v>@airlanggakusum4</v>
      </c>
      <c r="C24482" t="s">
        <v>7888</v>
      </c>
      <c r="D24482">
        <v>21</v>
      </c>
      <c r="E24482">
        <v>0</v>
      </c>
      <c r="F24482">
        <v>742</v>
      </c>
    </row>
    <row r="24483" spans="1:6" ht="12.75">
      <c r="A24483" s="2">
        <v>43875.793726851851</v>
      </c>
      <c r="B24483" t="str">
        <f>HYPERLINK("https://twitter.com/Galuh748","@Galuh748")</f>
        <v>@Galuh748</v>
      </c>
      <c r="C24483" t="s">
        <v>11236</v>
      </c>
      <c r="D24483">
        <v>1</v>
      </c>
      <c r="E24483">
        <v>0</v>
      </c>
      <c r="F24483">
        <v>306</v>
      </c>
    </row>
    <row r="24484" spans="1:6" ht="12.75">
      <c r="A24484" s="2">
        <v>43875.793657407412</v>
      </c>
      <c r="B24484" t="str">
        <f>HYPERLINK("https://twitter.com/argnwn___","@argnwn___")</f>
        <v>@argnwn___</v>
      </c>
      <c r="C24484" t="s">
        <v>2137</v>
      </c>
      <c r="D24484">
        <v>188</v>
      </c>
      <c r="E24484">
        <v>0</v>
      </c>
      <c r="F24484">
        <v>141</v>
      </c>
    </row>
    <row r="24485" spans="1:6" ht="12.75">
      <c r="A24485" s="2">
        <v>43875.793460648143</v>
      </c>
      <c r="B24485" t="str">
        <f>HYPERLINK("https://twitter.com/hane3y","@hane3y")</f>
        <v>@hane3y</v>
      </c>
      <c r="C24485" t="s">
        <v>2444</v>
      </c>
      <c r="D24485">
        <v>2317</v>
      </c>
      <c r="E24485">
        <v>0</v>
      </c>
      <c r="F24485">
        <v>2166</v>
      </c>
    </row>
    <row r="24486" spans="1:6" ht="12.75">
      <c r="A24486" s="2">
        <v>43875.793344907404</v>
      </c>
      <c r="B24486" t="str">
        <f>HYPERLINK("https://twitter.com/qorryss","@qorryss")</f>
        <v>@qorryss</v>
      </c>
      <c r="C24486" t="s">
        <v>2963</v>
      </c>
      <c r="D24486">
        <v>1061</v>
      </c>
      <c r="E24486">
        <v>0</v>
      </c>
      <c r="F24486">
        <v>212</v>
      </c>
    </row>
    <row r="24487" spans="1:6" ht="12.75">
      <c r="A24487" s="2">
        <v>43875.793321759258</v>
      </c>
      <c r="B24487" t="str">
        <f>HYPERLINK("https://twitter.com/hsnbnfsj","@hsnbnfsj")</f>
        <v>@hsnbnfsj</v>
      </c>
      <c r="C24487" t="s">
        <v>9123</v>
      </c>
      <c r="D24487">
        <v>272</v>
      </c>
      <c r="E24487">
        <v>0</v>
      </c>
      <c r="F24487">
        <v>1585</v>
      </c>
    </row>
    <row r="24488" spans="1:6" ht="12.75">
      <c r="A24488" s="2">
        <v>43875.793298611112</v>
      </c>
      <c r="B24488" t="str">
        <f>HYPERLINK("https://twitter.com/pergusoID","@pergusoID")</f>
        <v>@pergusoID</v>
      </c>
      <c r="C24488" t="s">
        <v>8980</v>
      </c>
      <c r="D24488">
        <v>1</v>
      </c>
      <c r="E24488">
        <v>0</v>
      </c>
      <c r="F24488">
        <v>5806</v>
      </c>
    </row>
    <row r="24489" spans="1:6" ht="12.75">
      <c r="A24489" s="2">
        <v>43875.793252314819</v>
      </c>
      <c r="B24489" t="str">
        <f>HYPERLINK("https://twitter.com/YatSuryaningrat","@YatSuryaningrat")</f>
        <v>@YatSuryaningrat</v>
      </c>
      <c r="C24489" t="s">
        <v>7478</v>
      </c>
      <c r="D24489">
        <v>323</v>
      </c>
      <c r="E24489">
        <v>0</v>
      </c>
      <c r="F24489">
        <v>328</v>
      </c>
    </row>
    <row r="24490" spans="1:6" ht="12.75">
      <c r="A24490" s="2">
        <v>43875.793217592596</v>
      </c>
      <c r="B24490" t="str">
        <f>HYPERLINK("https://twitter.com/fahmiqbaal","@fahmiqbaal")</f>
        <v>@fahmiqbaal</v>
      </c>
      <c r="C24490" t="s">
        <v>11237</v>
      </c>
      <c r="D24490">
        <v>0</v>
      </c>
      <c r="E24490">
        <v>0</v>
      </c>
      <c r="F24490">
        <v>147</v>
      </c>
    </row>
    <row r="24491" spans="1:6" ht="12.75">
      <c r="A24491" s="2">
        <v>43875.793194444443</v>
      </c>
      <c r="B24491" t="str">
        <f>HYPERLINK("https://twitter.com/Aldiasman","@Aldiasman")</f>
        <v>@Aldiasman</v>
      </c>
      <c r="C24491" t="s">
        <v>2444</v>
      </c>
      <c r="D24491">
        <v>2074</v>
      </c>
      <c r="E24491">
        <v>0</v>
      </c>
      <c r="F24491">
        <v>284</v>
      </c>
    </row>
    <row r="24492" spans="1:6" ht="12.75">
      <c r="A24492" s="2">
        <v>43875.793194444443</v>
      </c>
      <c r="B24492" t="str">
        <f>HYPERLINK("https://twitter.com/andi_achilles","@andi_achilles")</f>
        <v>@andi_achilles</v>
      </c>
      <c r="C24492" t="s">
        <v>6201</v>
      </c>
      <c r="D24492">
        <v>150</v>
      </c>
      <c r="E24492">
        <v>0</v>
      </c>
      <c r="F24492">
        <v>1291</v>
      </c>
    </row>
    <row r="24493" spans="1:6" ht="12.75">
      <c r="A24493" s="2">
        <v>43875.793194444443</v>
      </c>
      <c r="B24493" t="str">
        <f>HYPERLINK("https://twitter.com/hafizh97","@hafizh97")</f>
        <v>@hafizh97</v>
      </c>
      <c r="C24493" t="s">
        <v>5168</v>
      </c>
      <c r="D24493">
        <v>896</v>
      </c>
      <c r="E24493">
        <v>0</v>
      </c>
      <c r="F24493">
        <v>3786</v>
      </c>
    </row>
    <row r="24494" spans="1:6" ht="12.75">
      <c r="A24494" s="2">
        <v>43875.79315972222</v>
      </c>
      <c r="B24494" t="str">
        <f>HYPERLINK("https://twitter.com/updatedotid","@updatedotid")</f>
        <v>@updatedotid</v>
      </c>
      <c r="C24494" t="s">
        <v>11238</v>
      </c>
      <c r="D24494">
        <v>2</v>
      </c>
      <c r="E24494">
        <v>0</v>
      </c>
      <c r="F24494">
        <v>1617</v>
      </c>
    </row>
    <row r="24495" spans="1:6" ht="12.75">
      <c r="A24495" s="2">
        <v>43875.793113425927</v>
      </c>
      <c r="B24495" t="str">
        <f>HYPERLINK("https://twitter.com/CitilinkTicket","@CitilinkTicket")</f>
        <v>@CitilinkTicket</v>
      </c>
      <c r="C24495" t="s">
        <v>11239</v>
      </c>
      <c r="D24495">
        <v>0</v>
      </c>
      <c r="E24495">
        <v>0</v>
      </c>
      <c r="F24495">
        <v>3400</v>
      </c>
    </row>
    <row r="24496" spans="1:6" ht="12.75">
      <c r="A24496" s="2">
        <v>43875.793078703704</v>
      </c>
      <c r="B24496" t="str">
        <f>HYPERLINK("https://twitter.com/idelmurad","@idelmurad")</f>
        <v>@idelmurad</v>
      </c>
      <c r="C24496" t="s">
        <v>7888</v>
      </c>
      <c r="D24496">
        <v>13</v>
      </c>
      <c r="E24496">
        <v>0</v>
      </c>
      <c r="F24496">
        <v>395</v>
      </c>
    </row>
    <row r="24497" spans="1:6" ht="12.75">
      <c r="A24497" s="2">
        <v>43875.793043981481</v>
      </c>
      <c r="B24497" t="str">
        <f>HYPERLINK("https://twitter.com/BillTemporo","@BillTemporo")</f>
        <v>@BillTemporo</v>
      </c>
      <c r="C24497" t="s">
        <v>889</v>
      </c>
      <c r="D24497">
        <v>0</v>
      </c>
      <c r="E24497">
        <v>0</v>
      </c>
      <c r="F24497">
        <v>11</v>
      </c>
    </row>
    <row r="24498" spans="1:6" ht="12.75">
      <c r="A24498" s="2">
        <v>43875.793043981481</v>
      </c>
      <c r="B24498" t="str">
        <f>HYPERLINK("https://twitter.com/djimmortha","@djimmortha")</f>
        <v>@djimmortha</v>
      </c>
      <c r="C24498" t="s">
        <v>7478</v>
      </c>
      <c r="D24498">
        <v>323</v>
      </c>
      <c r="E24498">
        <v>0</v>
      </c>
      <c r="F24498">
        <v>815</v>
      </c>
    </row>
    <row r="24499" spans="1:6" ht="12.75">
      <c r="A24499" s="2">
        <v>43875.792951388888</v>
      </c>
      <c r="B24499" t="str">
        <f>HYPERLINK("https://twitter.com/dorandae_il","@dorandae_il")</f>
        <v>@dorandae_il</v>
      </c>
      <c r="C24499" t="s">
        <v>2963</v>
      </c>
      <c r="D24499">
        <v>1038</v>
      </c>
      <c r="E24499">
        <v>0</v>
      </c>
      <c r="F24499">
        <v>1396</v>
      </c>
    </row>
    <row r="24500" spans="1:6" ht="12.75">
      <c r="A24500" s="2">
        <v>43875.792916666665</v>
      </c>
      <c r="B24500" t="str">
        <f>HYPERLINK("https://twitter.com/Achmad_Cyber","@Achmad_Cyber")</f>
        <v>@Achmad_Cyber</v>
      </c>
      <c r="C24500" t="s">
        <v>11240</v>
      </c>
      <c r="D24500">
        <v>1</v>
      </c>
      <c r="E24500">
        <v>0</v>
      </c>
      <c r="F24500">
        <v>304</v>
      </c>
    </row>
    <row r="24501" spans="1:6" ht="12.75">
      <c r="A24501" s="2">
        <v>43875.792893518519</v>
      </c>
      <c r="B24501" t="str">
        <f>HYPERLINK("https://twitter.com/ShafiraRisqiani","@ShafiraRisqiani")</f>
        <v>@ShafiraRisqiani</v>
      </c>
      <c r="C24501" t="s">
        <v>2444</v>
      </c>
      <c r="D24501">
        <v>2074</v>
      </c>
      <c r="E24501">
        <v>0</v>
      </c>
      <c r="F24501">
        <v>347</v>
      </c>
    </row>
    <row r="24502" spans="1:6" ht="12.75">
      <c r="A24502" s="2">
        <v>43875.792870370366</v>
      </c>
      <c r="B24502" t="str">
        <f>HYPERLINK("https://twitter.com/TukangRitwiit","@TukangRitwiit")</f>
        <v>@TukangRitwiit</v>
      </c>
      <c r="C24502" t="s">
        <v>11241</v>
      </c>
      <c r="D24502">
        <v>3</v>
      </c>
      <c r="E24502">
        <v>0</v>
      </c>
      <c r="F24502">
        <v>2038</v>
      </c>
    </row>
    <row r="24503" spans="1:6" ht="12.75">
      <c r="A24503" s="2">
        <v>43875.792870370366</v>
      </c>
      <c r="B24503" t="str">
        <f>HYPERLINK("https://twitter.com/selvimaharanip","@selvimaharanip")</f>
        <v>@selvimaharanip</v>
      </c>
      <c r="C24503" t="s">
        <v>2444</v>
      </c>
      <c r="D24503">
        <v>2074</v>
      </c>
      <c r="E24503">
        <v>0</v>
      </c>
      <c r="F24503">
        <v>644</v>
      </c>
    </row>
    <row r="24504" spans="1:6" ht="12.75">
      <c r="A24504" s="2">
        <v>43875.792824074073</v>
      </c>
      <c r="B24504" t="str">
        <f>HYPERLINK("https://twitter.com/FalaqMaliq","@FalaqMaliq")</f>
        <v>@FalaqMaliq</v>
      </c>
      <c r="C24504" t="s">
        <v>6201</v>
      </c>
      <c r="D24504">
        <v>150</v>
      </c>
      <c r="E24504">
        <v>0</v>
      </c>
      <c r="F24504">
        <v>10</v>
      </c>
    </row>
    <row r="24505" spans="1:6" ht="12.75">
      <c r="A24505" s="2">
        <v>43875.792812500003</v>
      </c>
      <c r="B24505" t="str">
        <f>HYPERLINK("https://twitter.com/hafizh97","@hafizh97")</f>
        <v>@hafizh97</v>
      </c>
      <c r="C24505" t="s">
        <v>2444</v>
      </c>
      <c r="D24505">
        <v>2074</v>
      </c>
      <c r="E24505">
        <v>0</v>
      </c>
      <c r="F24505">
        <v>3786</v>
      </c>
    </row>
    <row r="24506" spans="1:6" ht="12.75">
      <c r="A24506" s="2">
        <v>43875.792766203704</v>
      </c>
      <c r="B24506" t="str">
        <f>HYPERLINK("https://twitter.com/Dhimarjati2","@Dhimarjati2")</f>
        <v>@Dhimarjati2</v>
      </c>
      <c r="C24506" t="s">
        <v>9962</v>
      </c>
      <c r="D24506">
        <v>36</v>
      </c>
      <c r="E24506">
        <v>0</v>
      </c>
      <c r="F24506">
        <v>213</v>
      </c>
    </row>
    <row r="24507" spans="1:6" ht="12.75">
      <c r="A24507" s="2">
        <v>43875.792685185181</v>
      </c>
      <c r="B24507" t="str">
        <f>HYPERLINK("https://twitter.com/4trait_","@4trait_")</f>
        <v>@4trait_</v>
      </c>
      <c r="C24507" t="s">
        <v>2444</v>
      </c>
      <c r="D24507">
        <v>2074</v>
      </c>
      <c r="E24507">
        <v>0</v>
      </c>
      <c r="F24507">
        <v>125</v>
      </c>
    </row>
    <row r="24508" spans="1:6" ht="12.75">
      <c r="A24508" s="2">
        <v>43875.792615740742</v>
      </c>
      <c r="B24508" t="str">
        <f>HYPERLINK("https://twitter.com/lioameu","@lioameu")</f>
        <v>@lioameu</v>
      </c>
      <c r="C24508" t="s">
        <v>2444</v>
      </c>
      <c r="D24508">
        <v>2074</v>
      </c>
      <c r="E24508">
        <v>0</v>
      </c>
      <c r="F24508">
        <v>232</v>
      </c>
    </row>
    <row r="24509" spans="1:6" ht="12.75">
      <c r="A24509" s="2">
        <v>43875.792442129634</v>
      </c>
      <c r="B24509" t="str">
        <f>HYPERLINK("https://twitter.com/anggha1312","@anggha1312")</f>
        <v>@anggha1312</v>
      </c>
      <c r="C24509" t="s">
        <v>2444</v>
      </c>
      <c r="D24509">
        <v>2074</v>
      </c>
      <c r="E24509">
        <v>0</v>
      </c>
      <c r="F24509">
        <v>464</v>
      </c>
    </row>
    <row r="24510" spans="1:6" ht="12.75">
      <c r="A24510" s="2">
        <v>43875.792361111111</v>
      </c>
      <c r="B24510" t="str">
        <f>HYPERLINK("https://twitter.com/kompascom","@kompascom")</f>
        <v>@kompascom</v>
      </c>
      <c r="C24510" t="s">
        <v>11242</v>
      </c>
      <c r="D24510">
        <v>0</v>
      </c>
      <c r="E24510">
        <v>2</v>
      </c>
      <c r="F24510">
        <v>7497529</v>
      </c>
    </row>
    <row r="24511" spans="1:6" ht="12.75">
      <c r="A24511" s="2">
        <v>43875.792291666672</v>
      </c>
      <c r="B24511" t="str">
        <f>HYPERLINK("https://twitter.com/apreiskagilang","@apreiskagilang")</f>
        <v>@apreiskagilang</v>
      </c>
      <c r="C24511" t="s">
        <v>10300</v>
      </c>
      <c r="D24511">
        <v>51</v>
      </c>
      <c r="E24511">
        <v>0</v>
      </c>
      <c r="F24511">
        <v>1236</v>
      </c>
    </row>
    <row r="24512" spans="1:6" ht="12.75">
      <c r="A24512" s="2">
        <v>43875.792175925926</v>
      </c>
      <c r="B24512" t="str">
        <f>HYPERLINK("https://twitter.com/tuvpai","@tuvpai")</f>
        <v>@tuvpai</v>
      </c>
      <c r="C24512" t="s">
        <v>2444</v>
      </c>
      <c r="D24512">
        <v>2074</v>
      </c>
      <c r="E24512">
        <v>0</v>
      </c>
      <c r="F24512">
        <v>1266</v>
      </c>
    </row>
    <row r="24513" spans="1:6" ht="12.75">
      <c r="A24513" s="2">
        <v>43875.792048611111</v>
      </c>
      <c r="B24513" t="str">
        <f>HYPERLINK("https://twitter.com/Jackjackaljugja","@Jackjackaljugja")</f>
        <v>@Jackjackaljugja</v>
      </c>
      <c r="C24513" t="s">
        <v>7478</v>
      </c>
      <c r="D24513">
        <v>323</v>
      </c>
      <c r="E24513">
        <v>0</v>
      </c>
      <c r="F24513">
        <v>604</v>
      </c>
    </row>
    <row r="24514" spans="1:6" ht="12.75">
      <c r="A24514" s="2">
        <v>43875.791932870372</v>
      </c>
      <c r="B24514" t="str">
        <f>HYPERLINK("https://twitter.com/Garuda0115","@Garuda0115")</f>
        <v>@Garuda0115</v>
      </c>
      <c r="C24514" t="s">
        <v>11243</v>
      </c>
      <c r="D24514">
        <v>0</v>
      </c>
      <c r="E24514">
        <v>0</v>
      </c>
      <c r="F24514">
        <v>5</v>
      </c>
    </row>
    <row r="24515" spans="1:6" ht="12.75">
      <c r="A24515" s="2">
        <v>43875.791932870372</v>
      </c>
      <c r="B24515" t="str">
        <f>HYPERLINK("https://twitter.com/rfikrina","@rfikrina")</f>
        <v>@rfikrina</v>
      </c>
      <c r="C24515" t="s">
        <v>8233</v>
      </c>
      <c r="D24515">
        <v>496</v>
      </c>
      <c r="E24515">
        <v>0</v>
      </c>
      <c r="F24515">
        <v>614</v>
      </c>
    </row>
    <row r="24516" spans="1:6" ht="12.75">
      <c r="A24516" s="2">
        <v>43875.791851851856</v>
      </c>
      <c r="B24516" t="str">
        <f>HYPERLINK("https://twitter.com/imamulmu","@imamulmu")</f>
        <v>@imamulmu</v>
      </c>
      <c r="C24516" t="s">
        <v>11244</v>
      </c>
      <c r="D24516">
        <v>0</v>
      </c>
      <c r="E24516">
        <v>0</v>
      </c>
      <c r="F24516">
        <v>219</v>
      </c>
    </row>
    <row r="24517" spans="1:6" ht="12.75">
      <c r="A24517" s="2">
        <v>43875.791666666672</v>
      </c>
      <c r="B24517" t="str">
        <f>HYPERLINK("https://twitter.com/tuvpai","@tuvpai")</f>
        <v>@tuvpai</v>
      </c>
      <c r="C24517" t="s">
        <v>2137</v>
      </c>
      <c r="D24517">
        <v>172</v>
      </c>
      <c r="E24517">
        <v>0</v>
      </c>
      <c r="F24517">
        <v>1266</v>
      </c>
    </row>
    <row r="24518" spans="1:6" ht="12.75">
      <c r="A24518" s="2">
        <v>43875.791620370372</v>
      </c>
      <c r="B24518" t="str">
        <f>HYPERLINK("https://twitter.com/muhammad_mursid","@muhammad_mursid")</f>
        <v>@muhammad_mursid</v>
      </c>
      <c r="C24518" t="s">
        <v>6201</v>
      </c>
      <c r="D24518">
        <v>150</v>
      </c>
      <c r="E24518">
        <v>0</v>
      </c>
      <c r="F24518">
        <v>697</v>
      </c>
    </row>
    <row r="24519" spans="1:6" ht="12.75">
      <c r="A24519" s="2">
        <v>43875.791469907403</v>
      </c>
      <c r="B24519" t="str">
        <f>HYPERLINK("https://twitter.com/novapermana8","@novapermana8")</f>
        <v>@novapermana8</v>
      </c>
      <c r="C24519" t="s">
        <v>11245</v>
      </c>
      <c r="D24519">
        <v>0</v>
      </c>
      <c r="E24519">
        <v>0</v>
      </c>
      <c r="F24519">
        <v>586</v>
      </c>
    </row>
    <row r="24520" spans="1:6" ht="12.75">
      <c r="A24520" s="2">
        <v>43875.791458333333</v>
      </c>
      <c r="B24520" t="str">
        <f>HYPERLINK("https://twitter.com/ISIS_Balik_NO","@ISIS_Balik_NO")</f>
        <v>@ISIS_Balik_NO</v>
      </c>
      <c r="C24520" t="s">
        <v>11246</v>
      </c>
      <c r="D24520">
        <v>9</v>
      </c>
      <c r="E24520">
        <v>0</v>
      </c>
      <c r="F24520">
        <v>5903</v>
      </c>
    </row>
    <row r="24521" spans="1:6" ht="12.75">
      <c r="A24521" s="2">
        <v>43875.791435185187</v>
      </c>
      <c r="B24521" t="str">
        <f>HYPERLINK("https://twitter.com/nopirianto","@nopirianto")</f>
        <v>@nopirianto</v>
      </c>
      <c r="C24521" t="s">
        <v>10300</v>
      </c>
      <c r="D24521">
        <v>51</v>
      </c>
      <c r="E24521">
        <v>0</v>
      </c>
      <c r="F24521">
        <v>419</v>
      </c>
    </row>
    <row r="24522" spans="1:6" ht="12.75">
      <c r="A24522" s="2">
        <v>43875.791354166664</v>
      </c>
      <c r="B24522" t="str">
        <f>HYPERLINK("https://twitter.com/sabhatansabiz","@sabhatansabiz")</f>
        <v>@sabhatansabiz</v>
      </c>
      <c r="C24522" t="s">
        <v>11238</v>
      </c>
      <c r="D24522">
        <v>2</v>
      </c>
      <c r="E24522">
        <v>0</v>
      </c>
      <c r="F24522">
        <v>1583</v>
      </c>
    </row>
    <row r="24523" spans="1:6" ht="12.75">
      <c r="A24523" s="2">
        <v>43875.791284722218</v>
      </c>
      <c r="B24523" t="str">
        <f>HYPERLINK("https://twitter.com/pyrrhicathena","@pyrrhicathena")</f>
        <v>@pyrrhicathena</v>
      </c>
      <c r="C24523" t="s">
        <v>2444</v>
      </c>
      <c r="D24523">
        <v>2074</v>
      </c>
      <c r="E24523">
        <v>0</v>
      </c>
      <c r="F24523">
        <v>190</v>
      </c>
    </row>
    <row r="24524" spans="1:6" ht="12.75">
      <c r="A24524" s="2">
        <v>43875.791273148148</v>
      </c>
      <c r="B24524" t="str">
        <f>HYPERLINK("https://twitter.com/fahariane_","@fahariane_")</f>
        <v>@fahariane_</v>
      </c>
      <c r="C24524" t="s">
        <v>2444</v>
      </c>
      <c r="D24524">
        <v>2074</v>
      </c>
      <c r="E24524">
        <v>0</v>
      </c>
      <c r="F24524">
        <v>553</v>
      </c>
    </row>
    <row r="24525" spans="1:6" ht="12.75">
      <c r="A24525" s="2">
        <v>43875.791226851856</v>
      </c>
      <c r="B24525" t="str">
        <f>HYPERLINK("https://twitter.com/syarifptk","@syarifptk")</f>
        <v>@syarifptk</v>
      </c>
      <c r="C24525" t="s">
        <v>9746</v>
      </c>
      <c r="D24525">
        <v>310</v>
      </c>
      <c r="E24525">
        <v>0</v>
      </c>
      <c r="F24525">
        <v>1482</v>
      </c>
    </row>
    <row r="24526" spans="1:6" ht="12.75">
      <c r="A24526" s="2">
        <v>43875.791099537033</v>
      </c>
      <c r="B24526" t="str">
        <f>HYPERLINK("https://twitter.com/mnopqra","@mnopqra")</f>
        <v>@mnopqra</v>
      </c>
      <c r="C24526" t="s">
        <v>9964</v>
      </c>
      <c r="D24526">
        <v>618</v>
      </c>
      <c r="E24526">
        <v>0</v>
      </c>
      <c r="F24526">
        <v>158</v>
      </c>
    </row>
    <row r="24527" spans="1:6" ht="12.75">
      <c r="A24527" s="2">
        <v>43875.791076388894</v>
      </c>
      <c r="B24527" t="str">
        <f>HYPERLINK("https://twitter.com/agama_nusantara","@agama_nusantara")</f>
        <v>@agama_nusantara</v>
      </c>
      <c r="C24527" t="s">
        <v>11247</v>
      </c>
      <c r="D24527">
        <v>1</v>
      </c>
      <c r="E24527">
        <v>0</v>
      </c>
      <c r="F24527">
        <v>7309</v>
      </c>
    </row>
    <row r="24528" spans="1:6" ht="12.75">
      <c r="A24528" s="2">
        <v>43875.791076388894</v>
      </c>
      <c r="B24528" t="str">
        <f>HYPERLINK("https://twitter.com/Mama_Untari","@Mama_Untari")</f>
        <v>@Mama_Untari</v>
      </c>
      <c r="C24528" t="s">
        <v>7121</v>
      </c>
      <c r="D24528">
        <v>2</v>
      </c>
      <c r="E24528">
        <v>0</v>
      </c>
      <c r="F24528">
        <v>574</v>
      </c>
    </row>
    <row r="24529" spans="1:6" ht="12.75">
      <c r="A24529" s="2">
        <v>43875.791030092594</v>
      </c>
      <c r="B24529" t="str">
        <f>HYPERLINK("https://twitter.com/radar_malang","@radar_malang")</f>
        <v>@radar_malang</v>
      </c>
      <c r="C24529" t="s">
        <v>11248</v>
      </c>
      <c r="D24529">
        <v>2</v>
      </c>
      <c r="E24529">
        <v>0</v>
      </c>
      <c r="F24529">
        <v>108479</v>
      </c>
    </row>
    <row r="24530" spans="1:6" ht="12.75">
      <c r="A24530" s="2">
        <v>43875.790995370371</v>
      </c>
      <c r="B24530" t="str">
        <f>HYPERLINK("https://twitter.com/NewsAt20","@NewsAt20")</f>
        <v>@NewsAt20</v>
      </c>
      <c r="C24530" t="s">
        <v>11249</v>
      </c>
      <c r="D24530">
        <v>1</v>
      </c>
      <c r="E24530">
        <v>0</v>
      </c>
      <c r="F24530">
        <v>38</v>
      </c>
    </row>
    <row r="24531" spans="1:6" ht="12.75">
      <c r="A24531" s="2">
        <v>43875.790902777779</v>
      </c>
      <c r="B24531" t="str">
        <f>HYPERLINK("https://twitter.com/MohammadSadist","@MohammadSadist")</f>
        <v>@MohammadSadist</v>
      </c>
      <c r="C24531" t="s">
        <v>9082</v>
      </c>
      <c r="D24531">
        <v>45</v>
      </c>
      <c r="E24531">
        <v>0</v>
      </c>
      <c r="F24531">
        <v>235</v>
      </c>
    </row>
    <row r="24532" spans="1:6" ht="12.75">
      <c r="A24532" s="2">
        <v>43875.790879629625</v>
      </c>
      <c r="B24532" t="str">
        <f>HYPERLINK("https://twitter.com/raisginandjar","@raisginandjar")</f>
        <v>@raisginandjar</v>
      </c>
      <c r="C24532" t="s">
        <v>10801</v>
      </c>
      <c r="D24532">
        <v>5</v>
      </c>
      <c r="E24532">
        <v>0</v>
      </c>
      <c r="F24532">
        <v>572</v>
      </c>
    </row>
    <row r="24533" spans="1:6" ht="12.75">
      <c r="A24533" s="2">
        <v>43875.790856481486</v>
      </c>
      <c r="B24533" t="str">
        <f>HYPERLINK("https://twitter.com/radiasbokir","@radiasbokir")</f>
        <v>@radiasbokir</v>
      </c>
      <c r="C24533" t="s">
        <v>2963</v>
      </c>
      <c r="D24533">
        <v>1038</v>
      </c>
      <c r="E24533">
        <v>0</v>
      </c>
      <c r="F24533">
        <v>169</v>
      </c>
    </row>
    <row r="24534" spans="1:6" ht="12.75">
      <c r="A24534" s="2">
        <v>43875.790856481486</v>
      </c>
      <c r="B24534" t="str">
        <f>HYPERLINK("https://twitter.com/syarifptk","@syarifptk")</f>
        <v>@syarifptk</v>
      </c>
      <c r="C24534" t="s">
        <v>7478</v>
      </c>
      <c r="D24534">
        <v>323</v>
      </c>
      <c r="E24534">
        <v>0</v>
      </c>
      <c r="F24534">
        <v>1482</v>
      </c>
    </row>
    <row r="24535" spans="1:6" ht="12.75">
      <c r="A24535" s="2">
        <v>43875.790856481486</v>
      </c>
      <c r="B24535" t="str">
        <f>HYPERLINK("https://twitter.com/garisdepannkri","@garisdepannkri")</f>
        <v>@garisdepannkri</v>
      </c>
      <c r="C24535" t="s">
        <v>11216</v>
      </c>
      <c r="D24535">
        <v>0</v>
      </c>
      <c r="E24535">
        <v>0</v>
      </c>
      <c r="F24535">
        <v>7</v>
      </c>
    </row>
    <row r="24536" spans="1:6" ht="12.75">
      <c r="A24536" s="2">
        <v>43875.79078703704</v>
      </c>
      <c r="B24536" t="str">
        <f>HYPERLINK("https://twitter.com/epiphanyybae","@epiphanyybae")</f>
        <v>@epiphanyybae</v>
      </c>
      <c r="C24536" t="s">
        <v>9123</v>
      </c>
      <c r="D24536">
        <v>254</v>
      </c>
      <c r="E24536">
        <v>0</v>
      </c>
      <c r="F24536">
        <v>933</v>
      </c>
    </row>
    <row r="24537" spans="1:6" ht="12.75">
      <c r="A24537" s="2">
        <v>43875.790717592594</v>
      </c>
      <c r="B24537" t="str">
        <f>HYPERLINK("https://twitter.com/verslindt","@verslindt")</f>
        <v>@verslindt</v>
      </c>
      <c r="C24537" t="s">
        <v>9067</v>
      </c>
      <c r="D24537">
        <v>19</v>
      </c>
      <c r="E24537">
        <v>0</v>
      </c>
      <c r="F24537">
        <v>63</v>
      </c>
    </row>
    <row r="24538" spans="1:6" ht="12.75">
      <c r="A24538" s="2">
        <v>43875.790717592594</v>
      </c>
      <c r="B24538" t="str">
        <f>HYPERLINK("https://twitter.com/efflow24","@efflow24")</f>
        <v>@efflow24</v>
      </c>
      <c r="C24538" t="s">
        <v>5168</v>
      </c>
      <c r="D24538">
        <v>896</v>
      </c>
      <c r="E24538">
        <v>0</v>
      </c>
      <c r="F24538">
        <v>785</v>
      </c>
    </row>
    <row r="24539" spans="1:6" ht="12.75">
      <c r="A24539" s="2">
        <v>43875.790706018517</v>
      </c>
      <c r="B24539" t="str">
        <f>HYPERLINK("https://twitter.com/TobioDani","@TobioDani")</f>
        <v>@TobioDani</v>
      </c>
      <c r="C24539" t="s">
        <v>5168</v>
      </c>
      <c r="D24539">
        <v>896</v>
      </c>
      <c r="E24539">
        <v>0</v>
      </c>
      <c r="F24539">
        <v>69</v>
      </c>
    </row>
    <row r="24540" spans="1:6" ht="12.75">
      <c r="A24540" s="2">
        <v>43875.790659722217</v>
      </c>
      <c r="B24540" t="str">
        <f>HYPERLINK("https://twitter.com/dimasyusuf137","@dimasyusuf137")</f>
        <v>@dimasyusuf137</v>
      </c>
      <c r="C24540" t="s">
        <v>11250</v>
      </c>
      <c r="D24540">
        <v>0</v>
      </c>
      <c r="E24540">
        <v>0</v>
      </c>
      <c r="F24540">
        <v>2</v>
      </c>
    </row>
    <row r="24541" spans="1:6" ht="12.75">
      <c r="A24541" s="2">
        <v>43875.790648148148</v>
      </c>
      <c r="B24541" t="str">
        <f>HYPERLINK("https://twitter.com/kompascom","@kompascom")</f>
        <v>@kompascom</v>
      </c>
      <c r="C24541" t="s">
        <v>11251</v>
      </c>
      <c r="D24541">
        <v>1</v>
      </c>
      <c r="E24541">
        <v>3</v>
      </c>
      <c r="F24541">
        <v>7497529</v>
      </c>
    </row>
    <row r="24542" spans="1:6" ht="12.75">
      <c r="A24542" s="2">
        <v>43875.790648148148</v>
      </c>
      <c r="B24542" t="str">
        <f>HYPERLINK("https://twitter.com/niuniuwin","@niuniuwin")</f>
        <v>@niuniuwin</v>
      </c>
      <c r="C24542" t="s">
        <v>9123</v>
      </c>
      <c r="D24542">
        <v>254</v>
      </c>
      <c r="E24542">
        <v>0</v>
      </c>
      <c r="F24542">
        <v>980</v>
      </c>
    </row>
    <row r="24543" spans="1:6" ht="12.75">
      <c r="A24543" s="2">
        <v>43875.790648148148</v>
      </c>
      <c r="B24543" t="str">
        <f>HYPERLINK("https://twitter.com/ultrascanhumint","@ultrascanhumint")</f>
        <v>@ultrascanhumint</v>
      </c>
      <c r="C24543" t="s">
        <v>11252</v>
      </c>
      <c r="D24543">
        <v>1</v>
      </c>
      <c r="E24543">
        <v>0</v>
      </c>
      <c r="F24543">
        <v>3305</v>
      </c>
    </row>
    <row r="24544" spans="1:6" ht="12.75">
      <c r="A24544" s="2">
        <v>43875.790451388893</v>
      </c>
      <c r="B24544" t="str">
        <f>HYPERLINK("https://twitter.com/niuniuwin","@niuniuwin")</f>
        <v>@niuniuwin</v>
      </c>
      <c r="C24544" t="s">
        <v>2444</v>
      </c>
      <c r="D24544">
        <v>2074</v>
      </c>
      <c r="E24544">
        <v>0</v>
      </c>
      <c r="F24544">
        <v>980</v>
      </c>
    </row>
    <row r="24545" spans="1:6" ht="12.75">
      <c r="A24545" s="2">
        <v>43875.790347222224</v>
      </c>
      <c r="B24545" t="str">
        <f>HYPERLINK("https://twitter.com/s_fadjriyani","@s_fadjriyani")</f>
        <v>@s_fadjriyani</v>
      </c>
      <c r="C24545" t="s">
        <v>2963</v>
      </c>
      <c r="D24545">
        <v>1038</v>
      </c>
      <c r="E24545">
        <v>0</v>
      </c>
      <c r="F24545">
        <v>86</v>
      </c>
    </row>
    <row r="24546" spans="1:6" ht="12.75">
      <c r="A24546" s="2">
        <v>43875.790231481486</v>
      </c>
      <c r="B24546" t="str">
        <f>HYPERLINK("https://twitter.com/jhosuaxavier","@jhosuaxavier")</f>
        <v>@jhosuaxavier</v>
      </c>
      <c r="C24546" t="s">
        <v>2963</v>
      </c>
      <c r="D24546">
        <v>1038</v>
      </c>
      <c r="E24546">
        <v>0</v>
      </c>
      <c r="F24546">
        <v>394</v>
      </c>
    </row>
    <row r="24547" spans="1:6" ht="12.75">
      <c r="A24547" s="2">
        <v>43875.790231481486</v>
      </c>
      <c r="B24547" t="str">
        <f t="shared" ref="B24547:B24548" si="342">HYPERLINK("https://twitter.com/Garuda0115","@Garuda0115")</f>
        <v>@Garuda0115</v>
      </c>
      <c r="C24547" t="s">
        <v>11243</v>
      </c>
      <c r="D24547">
        <v>0</v>
      </c>
      <c r="E24547">
        <v>0</v>
      </c>
      <c r="F24547">
        <v>5</v>
      </c>
    </row>
    <row r="24548" spans="1:6" ht="12.75">
      <c r="A24548" s="2">
        <v>43875.790104166663</v>
      </c>
      <c r="B24548" t="str">
        <f t="shared" si="342"/>
        <v>@Garuda0115</v>
      </c>
      <c r="C24548" t="s">
        <v>11243</v>
      </c>
      <c r="D24548">
        <v>0</v>
      </c>
      <c r="E24548">
        <v>0</v>
      </c>
      <c r="F24548">
        <v>5</v>
      </c>
    </row>
    <row r="24549" spans="1:6" ht="12.75">
      <c r="A24549" s="2">
        <v>43875.790104166663</v>
      </c>
      <c r="B24549" t="str">
        <f>HYPERLINK("https://twitter.com/the0ka","@the0ka")</f>
        <v>@the0ka</v>
      </c>
      <c r="C24549" t="s">
        <v>11253</v>
      </c>
      <c r="D24549">
        <v>0</v>
      </c>
      <c r="E24549">
        <v>0</v>
      </c>
      <c r="F24549">
        <v>176</v>
      </c>
    </row>
    <row r="24550" spans="1:6" ht="12.75">
      <c r="A24550" s="2">
        <v>43875.790092592593</v>
      </c>
      <c r="B24550" t="str">
        <f>HYPERLINK("https://twitter.com/cruuciio","@cruuciio")</f>
        <v>@cruuciio</v>
      </c>
      <c r="C24550" t="s">
        <v>2444</v>
      </c>
      <c r="D24550">
        <v>2074</v>
      </c>
      <c r="E24550">
        <v>0</v>
      </c>
      <c r="F24550">
        <v>74</v>
      </c>
    </row>
    <row r="24551" spans="1:6" ht="12.75">
      <c r="A24551" s="2">
        <v>43875.79005787037</v>
      </c>
      <c r="B24551" t="str">
        <f>HYPERLINK("https://twitter.com/pratiwii05","@pratiwii05")</f>
        <v>@pratiwii05</v>
      </c>
      <c r="C24551" t="s">
        <v>11254</v>
      </c>
      <c r="D24551">
        <v>0</v>
      </c>
      <c r="E24551">
        <v>0</v>
      </c>
      <c r="F24551">
        <v>444</v>
      </c>
    </row>
    <row r="24552" spans="1:6" ht="12.75">
      <c r="A24552" s="2">
        <v>43875.789976851855</v>
      </c>
      <c r="B24552" t="str">
        <f>HYPERLINK("https://twitter.com/Nurhadi9913","@Nurhadi9913")</f>
        <v>@Nurhadi9913</v>
      </c>
      <c r="C24552" t="s">
        <v>9746</v>
      </c>
      <c r="D24552">
        <v>310</v>
      </c>
      <c r="E24552">
        <v>0</v>
      </c>
      <c r="F24552">
        <v>148</v>
      </c>
    </row>
    <row r="24553" spans="1:6" ht="12.75">
      <c r="A24553" s="2">
        <v>43875.789918981478</v>
      </c>
      <c r="B24553" t="str">
        <f>HYPERLINK("https://twitter.com/Garuda0115","@Garuda0115")</f>
        <v>@Garuda0115</v>
      </c>
      <c r="C24553" t="s">
        <v>11243</v>
      </c>
      <c r="D24553">
        <v>0</v>
      </c>
      <c r="E24553">
        <v>0</v>
      </c>
      <c r="F24553">
        <v>5</v>
      </c>
    </row>
    <row r="24554" spans="1:6" ht="12.75">
      <c r="A24554" s="2">
        <v>43875.789918981478</v>
      </c>
      <c r="B24554" t="str">
        <f>HYPERLINK("https://twitter.com/trexdimension","@trexdimension")</f>
        <v>@trexdimension</v>
      </c>
      <c r="C24554" t="s">
        <v>2444</v>
      </c>
      <c r="D24554">
        <v>2074</v>
      </c>
      <c r="E24554">
        <v>0</v>
      </c>
      <c r="F24554">
        <v>306</v>
      </c>
    </row>
    <row r="24555" spans="1:6" ht="12.75">
      <c r="A24555" s="2">
        <v>43875.789907407408</v>
      </c>
      <c r="B24555" t="str">
        <f>HYPERLINK("https://twitter.com/ISIS_Balik_NO","@ISIS_Balik_NO")</f>
        <v>@ISIS_Balik_NO</v>
      </c>
      <c r="C24555" t="s">
        <v>11255</v>
      </c>
      <c r="D24555">
        <v>0</v>
      </c>
      <c r="E24555">
        <v>0</v>
      </c>
      <c r="F24555">
        <v>5903</v>
      </c>
    </row>
    <row r="24556" spans="1:6" ht="12.75">
      <c r="A24556" s="2">
        <v>43875.789895833332</v>
      </c>
      <c r="B24556" t="str">
        <f>HYPERLINK("https://twitter.com/gorontalo01","@gorontalo01")</f>
        <v>@gorontalo01</v>
      </c>
      <c r="C24556" t="s">
        <v>11256</v>
      </c>
      <c r="D24556">
        <v>0</v>
      </c>
      <c r="E24556">
        <v>0</v>
      </c>
      <c r="F24556">
        <v>11</v>
      </c>
    </row>
    <row r="24557" spans="1:6" ht="12.75">
      <c r="A24557" s="2">
        <v>43875.789861111116</v>
      </c>
      <c r="B24557" t="str">
        <f>HYPERLINK("https://twitter.com/YoehanRianto","@YoehanRianto")</f>
        <v>@YoehanRianto</v>
      </c>
      <c r="C24557" t="s">
        <v>2963</v>
      </c>
      <c r="D24557">
        <v>1038</v>
      </c>
      <c r="E24557">
        <v>0</v>
      </c>
      <c r="F24557">
        <v>157</v>
      </c>
    </row>
    <row r="24558" spans="1:6" ht="12.75">
      <c r="A24558" s="2">
        <v>43875.789826388893</v>
      </c>
      <c r="B24558" t="str">
        <f>HYPERLINK("https://twitter.com/5angkan","@5angkan")</f>
        <v>@5angkan</v>
      </c>
      <c r="C24558" t="s">
        <v>9857</v>
      </c>
      <c r="D24558">
        <v>4</v>
      </c>
      <c r="E24558">
        <v>0</v>
      </c>
      <c r="F24558">
        <v>141</v>
      </c>
    </row>
    <row r="24559" spans="1:6" ht="12.75">
      <c r="A24559" s="2">
        <v>43875.789826388893</v>
      </c>
      <c r="B24559" t="str">
        <f>HYPERLINK("https://twitter.com/ISIS_Balik_NO","@ISIS_Balik_NO")</f>
        <v>@ISIS_Balik_NO</v>
      </c>
      <c r="C24559" t="s">
        <v>11255</v>
      </c>
      <c r="D24559">
        <v>0</v>
      </c>
      <c r="E24559">
        <v>0</v>
      </c>
      <c r="F24559">
        <v>5903</v>
      </c>
    </row>
    <row r="24560" spans="1:6" ht="12.75">
      <c r="A24560" s="2">
        <v>43875.789780092593</v>
      </c>
      <c r="B24560" t="str">
        <f>HYPERLINK("https://twitter.com/reyharlan","@reyharlan")</f>
        <v>@reyharlan</v>
      </c>
      <c r="C24560" t="s">
        <v>10512</v>
      </c>
      <c r="D24560">
        <v>7</v>
      </c>
      <c r="E24560">
        <v>0</v>
      </c>
      <c r="F24560">
        <v>586</v>
      </c>
    </row>
    <row r="24561" spans="1:6" ht="12.75">
      <c r="A24561" s="2">
        <v>43875.789756944447</v>
      </c>
      <c r="B24561" t="str">
        <f>HYPERLINK("https://twitter.com/okezonenews","@okezonenews")</f>
        <v>@okezonenews</v>
      </c>
      <c r="C24561" t="s">
        <v>11257</v>
      </c>
      <c r="D24561">
        <v>0</v>
      </c>
      <c r="E24561">
        <v>0</v>
      </c>
      <c r="F24561">
        <v>1743766</v>
      </c>
    </row>
    <row r="24562" spans="1:6" ht="12.75">
      <c r="A24562" s="2">
        <v>43875.789710648147</v>
      </c>
      <c r="B24562" t="str">
        <f>HYPERLINK("https://twitter.com/Garuda0115","@Garuda0115")</f>
        <v>@Garuda0115</v>
      </c>
      <c r="C24562" t="s">
        <v>11243</v>
      </c>
      <c r="D24562">
        <v>0</v>
      </c>
      <c r="E24562">
        <v>0</v>
      </c>
      <c r="F24562">
        <v>5</v>
      </c>
    </row>
    <row r="24563" spans="1:6" ht="12.75">
      <c r="A24563" s="2">
        <v>43875.789675925931</v>
      </c>
      <c r="B24563" t="str">
        <f>HYPERLINK("https://twitter.com/Gold29577819","@Gold29577819")</f>
        <v>@Gold29577819</v>
      </c>
      <c r="C24563" t="s">
        <v>9746</v>
      </c>
      <c r="D24563">
        <v>310</v>
      </c>
      <c r="E24563">
        <v>0</v>
      </c>
      <c r="F24563">
        <v>431</v>
      </c>
    </row>
    <row r="24564" spans="1:6" ht="12.75">
      <c r="A24564" s="2">
        <v>43875.789456018523</v>
      </c>
      <c r="B24564" t="str">
        <f>HYPERLINK("https://twitter.com/Garuda0115","@Garuda0115")</f>
        <v>@Garuda0115</v>
      </c>
      <c r="C24564" t="s">
        <v>11243</v>
      </c>
      <c r="D24564">
        <v>0</v>
      </c>
      <c r="E24564">
        <v>0</v>
      </c>
      <c r="F24564">
        <v>5</v>
      </c>
    </row>
    <row r="24565" spans="1:6" ht="12.75">
      <c r="A24565" s="2">
        <v>43875.78943287037</v>
      </c>
      <c r="B24565" t="str">
        <f>HYPERLINK("https://twitter.com/kyunis91","@kyunis91")</f>
        <v>@kyunis91</v>
      </c>
      <c r="C24565" t="s">
        <v>2444</v>
      </c>
      <c r="D24565">
        <v>2074</v>
      </c>
      <c r="E24565">
        <v>0</v>
      </c>
      <c r="F24565">
        <v>371</v>
      </c>
    </row>
    <row r="24566" spans="1:6" ht="12.75">
      <c r="A24566" s="2">
        <v>43875.789282407408</v>
      </c>
      <c r="B24566" t="str">
        <f>HYPERLINK("https://twitter.com/ZahraAmalia31","@ZahraAmalia31")</f>
        <v>@ZahraAmalia31</v>
      </c>
      <c r="C24566" t="s">
        <v>175</v>
      </c>
      <c r="D24566">
        <v>5295</v>
      </c>
      <c r="E24566">
        <v>0</v>
      </c>
      <c r="F24566">
        <v>219</v>
      </c>
    </row>
    <row r="24567" spans="1:6" ht="12.75">
      <c r="A24567" s="2">
        <v>43875.789282407408</v>
      </c>
      <c r="B24567" t="str">
        <f>HYPERLINK("https://twitter.com/tomiragil","@tomiragil")</f>
        <v>@tomiragil</v>
      </c>
      <c r="C24567" t="s">
        <v>2444</v>
      </c>
      <c r="D24567">
        <v>2074</v>
      </c>
      <c r="E24567">
        <v>0</v>
      </c>
      <c r="F24567">
        <v>289</v>
      </c>
    </row>
    <row r="24568" spans="1:6" ht="12.75">
      <c r="A24568" s="2">
        <v>43875.789224537039</v>
      </c>
      <c r="B24568" t="str">
        <f>HYPERLINK("https://twitter.com/ali_nurlah","@ali_nurlah")</f>
        <v>@ali_nurlah</v>
      </c>
      <c r="C24568" t="s">
        <v>9746</v>
      </c>
      <c r="D24568">
        <v>310</v>
      </c>
      <c r="E24568">
        <v>0</v>
      </c>
      <c r="F24568">
        <v>1125</v>
      </c>
    </row>
    <row r="24569" spans="1:6" ht="12.75">
      <c r="A24569" s="2">
        <v>43875.789224537039</v>
      </c>
      <c r="B24569" t="str">
        <f>HYPERLINK("https://twitter.com/real__cak","@real__cak")</f>
        <v>@real__cak</v>
      </c>
      <c r="C24569" t="s">
        <v>2444</v>
      </c>
      <c r="D24569">
        <v>2074</v>
      </c>
      <c r="E24569">
        <v>0</v>
      </c>
      <c r="F24569">
        <v>341</v>
      </c>
    </row>
    <row r="24570" spans="1:6" ht="12.75">
      <c r="A24570" s="2">
        <v>43875.789143518516</v>
      </c>
      <c r="B24570" t="str">
        <f>HYPERLINK("https://twitter.com/Puteriswift_","@Puteriswift_")</f>
        <v>@Puteriswift_</v>
      </c>
      <c r="C24570" t="s">
        <v>11258</v>
      </c>
      <c r="D24570">
        <v>0</v>
      </c>
      <c r="E24570">
        <v>0</v>
      </c>
      <c r="F24570">
        <v>285</v>
      </c>
    </row>
    <row r="24571" spans="1:6" ht="12.75">
      <c r="A24571" s="2">
        <v>43875.789131944446</v>
      </c>
      <c r="B24571" t="str">
        <f>HYPERLINK("https://twitter.com/novanddaa","@novanddaa")</f>
        <v>@novanddaa</v>
      </c>
      <c r="C24571" t="s">
        <v>2444</v>
      </c>
      <c r="D24571">
        <v>2074</v>
      </c>
      <c r="E24571">
        <v>0</v>
      </c>
      <c r="F24571">
        <v>430</v>
      </c>
    </row>
    <row r="24572" spans="1:6" ht="12.75">
      <c r="A24572" s="2">
        <v>43875.789108796293</v>
      </c>
      <c r="B24572" t="str">
        <f>HYPERLINK("https://twitter.com/chipflour","@chipflour")</f>
        <v>@chipflour</v>
      </c>
      <c r="C24572" t="s">
        <v>2444</v>
      </c>
      <c r="D24572">
        <v>2074</v>
      </c>
      <c r="E24572">
        <v>0</v>
      </c>
      <c r="F24572">
        <v>11849</v>
      </c>
    </row>
    <row r="24573" spans="1:6" ht="12.75">
      <c r="A24573" s="2">
        <v>43875.789097222223</v>
      </c>
      <c r="B24573" t="str">
        <f>HYPERLINK("https://twitter.com/KsteAm02","@KsteAm02")</f>
        <v>@KsteAm02</v>
      </c>
      <c r="C24573" t="s">
        <v>7619</v>
      </c>
      <c r="D24573">
        <v>11</v>
      </c>
      <c r="E24573">
        <v>0</v>
      </c>
      <c r="F24573">
        <v>69</v>
      </c>
    </row>
    <row r="24574" spans="1:6" ht="12.75">
      <c r="A24574" s="2">
        <v>43875.789039351846</v>
      </c>
      <c r="B24574" t="str">
        <f>HYPERLINK("https://twitter.com/AnchaKrpatta","@AnchaKrpatta")</f>
        <v>@AnchaKrpatta</v>
      </c>
      <c r="C24574" t="s">
        <v>11259</v>
      </c>
      <c r="D24574">
        <v>0</v>
      </c>
      <c r="E24574">
        <v>0</v>
      </c>
      <c r="F24574">
        <v>1</v>
      </c>
    </row>
    <row r="24575" spans="1:6" ht="12.75">
      <c r="A24575" s="2">
        <v>43875.789039351846</v>
      </c>
      <c r="B24575" t="str">
        <f>HYPERLINK("https://twitter.com/AfriAdam","@AfriAdam")</f>
        <v>@AfriAdam</v>
      </c>
      <c r="C24575" t="s">
        <v>11243</v>
      </c>
      <c r="D24575">
        <v>0</v>
      </c>
      <c r="E24575">
        <v>0</v>
      </c>
      <c r="F24575">
        <v>5</v>
      </c>
    </row>
    <row r="24576" spans="1:6" ht="12.75">
      <c r="A24576" s="2">
        <v>43875.788958333331</v>
      </c>
      <c r="B24576" t="str">
        <f>HYPERLINK("https://twitter.com/muhhdayat","@muhhdayat")</f>
        <v>@muhhdayat</v>
      </c>
      <c r="C24576" t="s">
        <v>2444</v>
      </c>
      <c r="D24576">
        <v>2074</v>
      </c>
      <c r="E24576">
        <v>0</v>
      </c>
      <c r="F24576">
        <v>1056</v>
      </c>
    </row>
    <row r="24577" spans="1:6" ht="12.75">
      <c r="A24577" s="2">
        <v>43875.788900462961</v>
      </c>
      <c r="B24577" t="str">
        <f>HYPERLINK("https://twitter.com/nyonyapipit","@nyonyapipit")</f>
        <v>@nyonyapipit</v>
      </c>
      <c r="C24577" t="s">
        <v>5168</v>
      </c>
      <c r="D24577">
        <v>896</v>
      </c>
      <c r="E24577">
        <v>0</v>
      </c>
      <c r="F24577">
        <v>439</v>
      </c>
    </row>
    <row r="24578" spans="1:6" ht="12.75">
      <c r="A24578" s="2">
        <v>43875.788819444446</v>
      </c>
      <c r="B24578" t="str">
        <f>HYPERLINK("https://twitter.com/AfriAdam","@AfriAdam")</f>
        <v>@AfriAdam</v>
      </c>
      <c r="C24578" t="s">
        <v>11243</v>
      </c>
      <c r="D24578">
        <v>0</v>
      </c>
      <c r="E24578">
        <v>0</v>
      </c>
      <c r="F24578">
        <v>5</v>
      </c>
    </row>
    <row r="24579" spans="1:6" ht="12.75">
      <c r="A24579" s="2">
        <v>43875.788726851853</v>
      </c>
      <c r="B24579" t="str">
        <f>HYPERLINK("https://twitter.com/Gen54_reborn","@Gen54_reborn")</f>
        <v>@Gen54_reborn</v>
      </c>
      <c r="C24579" t="s">
        <v>6201</v>
      </c>
      <c r="D24579">
        <v>150</v>
      </c>
      <c r="E24579">
        <v>0</v>
      </c>
      <c r="F24579">
        <v>577</v>
      </c>
    </row>
    <row r="24580" spans="1:6" ht="12.75">
      <c r="A24580" s="2">
        <v>43875.788645833338</v>
      </c>
      <c r="B24580" t="str">
        <f>HYPERLINK("https://twitter.com/reyharlan","@reyharlan")</f>
        <v>@reyharlan</v>
      </c>
      <c r="C24580" t="s">
        <v>10052</v>
      </c>
      <c r="D24580">
        <v>56</v>
      </c>
      <c r="E24580">
        <v>0</v>
      </c>
      <c r="F24580">
        <v>586</v>
      </c>
    </row>
    <row r="24581" spans="1:6" ht="12.75">
      <c r="A24581" s="2">
        <v>43875.788541666669</v>
      </c>
      <c r="B24581" t="str">
        <f>HYPERLINK("https://twitter.com/ISIS_Balik_NO","@ISIS_Balik_NO")</f>
        <v>@ISIS_Balik_NO</v>
      </c>
      <c r="C24581" t="s">
        <v>11260</v>
      </c>
      <c r="D24581">
        <v>4</v>
      </c>
      <c r="E24581">
        <v>0</v>
      </c>
      <c r="F24581">
        <v>5903</v>
      </c>
    </row>
    <row r="24582" spans="1:6" ht="12.75">
      <c r="A24582" s="2">
        <v>43875.788530092592</v>
      </c>
      <c r="B24582" t="str">
        <f>HYPERLINK("https://twitter.com/zirila3","@zirila3")</f>
        <v>@zirila3</v>
      </c>
      <c r="C24582" t="s">
        <v>6201</v>
      </c>
      <c r="D24582">
        <v>150</v>
      </c>
      <c r="E24582">
        <v>0</v>
      </c>
      <c r="F24582">
        <v>719</v>
      </c>
    </row>
    <row r="24583" spans="1:6" ht="12.75">
      <c r="A24583" s="2">
        <v>43875.788506944446</v>
      </c>
      <c r="B24583" t="str">
        <f>HYPERLINK("https://twitter.com/zarazettirazr","@zarazettirazr")</f>
        <v>@zarazettirazr</v>
      </c>
      <c r="C24583" t="s">
        <v>11261</v>
      </c>
      <c r="D24583">
        <v>0</v>
      </c>
      <c r="E24583">
        <v>8</v>
      </c>
      <c r="F24583">
        <v>250127</v>
      </c>
    </row>
    <row r="24584" spans="1:6" ht="12.75">
      <c r="A24584" s="2">
        <v>43875.788298611107</v>
      </c>
      <c r="B24584" t="str">
        <f>HYPERLINK("https://twitter.com/AfriAdam","@AfriAdam")</f>
        <v>@AfriAdam</v>
      </c>
      <c r="C24584" t="s">
        <v>11243</v>
      </c>
      <c r="D24584">
        <v>0</v>
      </c>
      <c r="E24584">
        <v>0</v>
      </c>
      <c r="F24584">
        <v>5</v>
      </c>
    </row>
    <row r="24585" spans="1:6" ht="12.75">
      <c r="A24585" s="2">
        <v>43875.788298611107</v>
      </c>
      <c r="B24585" t="str">
        <f>HYPERLINK("https://twitter.com/roni_ibrahim78","@roni_ibrahim78")</f>
        <v>@roni_ibrahim78</v>
      </c>
      <c r="C24585" t="s">
        <v>2963</v>
      </c>
      <c r="D24585">
        <v>1038</v>
      </c>
      <c r="E24585">
        <v>0</v>
      </c>
      <c r="F24585">
        <v>1057</v>
      </c>
    </row>
    <row r="24586" spans="1:6" ht="12.75">
      <c r="A24586" s="2">
        <v>43875.788159722222</v>
      </c>
      <c r="B24586" t="str">
        <f>HYPERLINK("https://twitter.com/HeriMaspur","@HeriMaspur")</f>
        <v>@HeriMaspur</v>
      </c>
      <c r="C24586" t="s">
        <v>6201</v>
      </c>
      <c r="D24586">
        <v>150</v>
      </c>
      <c r="E24586">
        <v>0</v>
      </c>
      <c r="F24586">
        <v>331</v>
      </c>
    </row>
    <row r="24587" spans="1:6" ht="12.75">
      <c r="A24587" s="2">
        <v>43875.788124999999</v>
      </c>
      <c r="B24587" t="str">
        <f>HYPERLINK("https://twitter.com/nerdiescientist","@nerdiescientist")</f>
        <v>@nerdiescientist</v>
      </c>
      <c r="C24587" t="s">
        <v>2444</v>
      </c>
      <c r="D24587">
        <v>2074</v>
      </c>
      <c r="E24587">
        <v>0</v>
      </c>
      <c r="F24587">
        <v>728</v>
      </c>
    </row>
    <row r="24588" spans="1:6" ht="12.75">
      <c r="A24588" s="2">
        <v>43875.78806712963</v>
      </c>
      <c r="B24588" t="str">
        <f>HYPERLINK("https://twitter.com/Jovanka_vanke","@Jovanka_vanke")</f>
        <v>@Jovanka_vanke</v>
      </c>
      <c r="C24588" t="s">
        <v>11262</v>
      </c>
      <c r="D24588">
        <v>0</v>
      </c>
      <c r="E24588">
        <v>0</v>
      </c>
      <c r="F24588">
        <v>837</v>
      </c>
    </row>
    <row r="24589" spans="1:6" ht="12.75">
      <c r="A24589" s="2">
        <v>43875.788043981476</v>
      </c>
      <c r="B24589" t="str">
        <f>HYPERLINK("https://twitter.com/SaidBinSofyan1","@SaidBinSofyan1")</f>
        <v>@SaidBinSofyan1</v>
      </c>
      <c r="C24589" t="s">
        <v>6201</v>
      </c>
      <c r="D24589">
        <v>150</v>
      </c>
      <c r="E24589">
        <v>0</v>
      </c>
      <c r="F24589">
        <v>272</v>
      </c>
    </row>
    <row r="24590" spans="1:6" ht="12.75">
      <c r="A24590" s="2">
        <v>43875.788032407407</v>
      </c>
      <c r="B24590" t="str">
        <f>HYPERLINK("https://twitter.com/gremory_saung","@gremory_saung")</f>
        <v>@gremory_saung</v>
      </c>
      <c r="C24590" t="s">
        <v>11263</v>
      </c>
      <c r="D24590">
        <v>0</v>
      </c>
      <c r="E24590">
        <v>0</v>
      </c>
      <c r="F24590">
        <v>247</v>
      </c>
    </row>
    <row r="24591" spans="1:6" ht="12.75">
      <c r="A24591" s="2">
        <v>43875.787986111114</v>
      </c>
      <c r="B24591" t="str">
        <f>HYPERLINK("https://twitter.com/dongbin_123","@dongbin_123")</f>
        <v>@dongbin_123</v>
      </c>
      <c r="C24591" t="s">
        <v>2444</v>
      </c>
      <c r="D24591">
        <v>2074</v>
      </c>
      <c r="E24591">
        <v>0</v>
      </c>
      <c r="F24591">
        <v>296</v>
      </c>
    </row>
    <row r="24592" spans="1:6" ht="12.75">
      <c r="A24592" s="2">
        <v>43875.787974537037</v>
      </c>
      <c r="B24592" t="str">
        <f>HYPERLINK("https://twitter.com/rickythong1","@rickythong1")</f>
        <v>@rickythong1</v>
      </c>
      <c r="C24592" t="s">
        <v>7478</v>
      </c>
      <c r="D24592">
        <v>323</v>
      </c>
      <c r="E24592">
        <v>0</v>
      </c>
      <c r="F24592">
        <v>791</v>
      </c>
    </row>
    <row r="24593" spans="1:6" ht="12.75">
      <c r="A24593" s="2">
        <v>43875.787939814814</v>
      </c>
      <c r="B24593" t="str">
        <f>HYPERLINK("https://twitter.com/littlegamora","@littlegamora")</f>
        <v>@littlegamora</v>
      </c>
      <c r="C24593" t="s">
        <v>2444</v>
      </c>
      <c r="D24593">
        <v>2074</v>
      </c>
      <c r="E24593">
        <v>0</v>
      </c>
      <c r="F24593">
        <v>40</v>
      </c>
    </row>
    <row r="24594" spans="1:6" ht="12.75">
      <c r="A24594" s="2">
        <v>43875.787824074076</v>
      </c>
      <c r="B24594" t="str">
        <f>HYPERLINK("https://twitter.com/TOUMAKlS","@TOUMAKlS")</f>
        <v>@TOUMAKlS</v>
      </c>
      <c r="C24594" t="s">
        <v>2444</v>
      </c>
      <c r="D24594">
        <v>2074</v>
      </c>
      <c r="E24594">
        <v>0</v>
      </c>
      <c r="F24594">
        <v>586</v>
      </c>
    </row>
    <row r="24595" spans="1:6" ht="12.75">
      <c r="A24595" s="2">
        <v>43875.787754629629</v>
      </c>
      <c r="B24595" t="str">
        <f>HYPERLINK("https://twitter.com/dsmnrls","@dsmnrls")</f>
        <v>@dsmnrls</v>
      </c>
      <c r="C24595" t="s">
        <v>5168</v>
      </c>
      <c r="D24595">
        <v>896</v>
      </c>
      <c r="E24595">
        <v>0</v>
      </c>
      <c r="F24595">
        <v>183</v>
      </c>
    </row>
    <row r="24596" spans="1:6" ht="12.75">
      <c r="A24596" s="2">
        <v>43875.787685185191</v>
      </c>
      <c r="B24596" t="str">
        <f>HYPERLINK("https://twitter.com/AAkbar66","@AAkbar66")</f>
        <v>@AAkbar66</v>
      </c>
      <c r="C24596" t="s">
        <v>6201</v>
      </c>
      <c r="D24596">
        <v>150</v>
      </c>
      <c r="E24596">
        <v>0</v>
      </c>
      <c r="F24596">
        <v>563</v>
      </c>
    </row>
    <row r="24597" spans="1:6" ht="12.75">
      <c r="A24597" s="2">
        <v>43875.787638888884</v>
      </c>
      <c r="B24597" t="str">
        <f>HYPERLINK("https://twitter.com/profoundful","@profoundful")</f>
        <v>@profoundful</v>
      </c>
      <c r="C24597" t="s">
        <v>2137</v>
      </c>
      <c r="D24597">
        <v>172</v>
      </c>
      <c r="E24597">
        <v>0</v>
      </c>
      <c r="F24597">
        <v>812</v>
      </c>
    </row>
    <row r="24598" spans="1:6" ht="12.75">
      <c r="A24598" s="2">
        <v>43875.787615740745</v>
      </c>
      <c r="B24598" t="str">
        <f>HYPERLINK("https://twitter.com/DonAdam68","@DonAdam68")</f>
        <v>@DonAdam68</v>
      </c>
      <c r="C24598" t="s">
        <v>7619</v>
      </c>
      <c r="D24598">
        <v>11</v>
      </c>
      <c r="E24598">
        <v>0</v>
      </c>
      <c r="F24598">
        <v>47955</v>
      </c>
    </row>
    <row r="24599" spans="1:6" ht="12.75">
      <c r="A24599" s="2">
        <v>43875.787557870368</v>
      </c>
      <c r="B24599" t="str">
        <f>HYPERLINK("https://twitter.com/mochyusran","@mochyusran")</f>
        <v>@mochyusran</v>
      </c>
      <c r="C24599" t="s">
        <v>6201</v>
      </c>
      <c r="D24599">
        <v>150</v>
      </c>
      <c r="E24599">
        <v>0</v>
      </c>
      <c r="F24599">
        <v>74</v>
      </c>
    </row>
    <row r="24600" spans="1:6" ht="12.75">
      <c r="A24600" s="2">
        <v>43875.787523148145</v>
      </c>
      <c r="B24600" t="str">
        <f>HYPERLINK("https://twitter.com/Firman_Baladewa","@Firman_Baladewa")</f>
        <v>@Firman_Baladewa</v>
      </c>
      <c r="C24600" t="s">
        <v>2963</v>
      </c>
      <c r="D24600">
        <v>1038</v>
      </c>
      <c r="E24600">
        <v>0</v>
      </c>
      <c r="F24600">
        <v>84</v>
      </c>
    </row>
    <row r="24601" spans="1:6" ht="12.75">
      <c r="A24601" s="2">
        <v>43875.787465277783</v>
      </c>
      <c r="B24601" t="str">
        <f>HYPERLINK("https://twitter.com/tribun_palu","@tribun_palu")</f>
        <v>@tribun_palu</v>
      </c>
      <c r="C24601" t="s">
        <v>11264</v>
      </c>
      <c r="D24601">
        <v>0</v>
      </c>
      <c r="E24601">
        <v>0</v>
      </c>
      <c r="F24601">
        <v>106</v>
      </c>
    </row>
    <row r="24602" spans="1:6" ht="12.75">
      <c r="A24602" s="2">
        <v>43875.787418981483</v>
      </c>
      <c r="B24602" t="str">
        <f>HYPERLINK("https://twitter.com/jawapos","@jawapos")</f>
        <v>@jawapos</v>
      </c>
      <c r="C24602" t="s">
        <v>11265</v>
      </c>
      <c r="D24602">
        <v>0</v>
      </c>
      <c r="E24602">
        <v>1</v>
      </c>
      <c r="F24602">
        <v>116528</v>
      </c>
    </row>
    <row r="24603" spans="1:6" ht="12.75">
      <c r="A24603" s="2">
        <v>43875.787245370375</v>
      </c>
      <c r="B24603" t="str">
        <f>HYPERLINK("https://twitter.com/agama_nusantara","@agama_nusantara")</f>
        <v>@agama_nusantara</v>
      </c>
      <c r="C24603" t="s">
        <v>11266</v>
      </c>
      <c r="D24603">
        <v>6</v>
      </c>
      <c r="E24603">
        <v>0</v>
      </c>
      <c r="F24603">
        <v>7309</v>
      </c>
    </row>
    <row r="24604" spans="1:6" ht="12.75">
      <c r="A24604" s="2">
        <v>43875.787118055552</v>
      </c>
      <c r="B24604" t="str">
        <f>HYPERLINK("https://twitter.com/siWen_di","@siWen_di")</f>
        <v>@siWen_di</v>
      </c>
      <c r="C24604" t="s">
        <v>2444</v>
      </c>
      <c r="D24604">
        <v>2074</v>
      </c>
      <c r="E24604">
        <v>0</v>
      </c>
      <c r="F24604">
        <v>256</v>
      </c>
    </row>
    <row r="24605" spans="1:6" ht="12.75">
      <c r="A24605" s="2">
        <v>43875.787002314813</v>
      </c>
      <c r="B24605" t="str">
        <f>HYPERLINK("https://twitter.com/asmrnih","@asmrnih")</f>
        <v>@asmrnih</v>
      </c>
      <c r="C24605" t="s">
        <v>2137</v>
      </c>
      <c r="D24605">
        <v>172</v>
      </c>
      <c r="E24605">
        <v>0</v>
      </c>
      <c r="F24605">
        <v>183</v>
      </c>
    </row>
    <row r="24606" spans="1:6" ht="12.75">
      <c r="A24606" s="2">
        <v>43875.786990740744</v>
      </c>
      <c r="B24606" t="str">
        <f>HYPERLINK("https://twitter.com/dwiasmaulknisa","@dwiasmaulknisa")</f>
        <v>@dwiasmaulknisa</v>
      </c>
      <c r="C24606" t="s">
        <v>2444</v>
      </c>
      <c r="D24606">
        <v>2074</v>
      </c>
      <c r="E24606">
        <v>0</v>
      </c>
      <c r="F24606">
        <v>400</v>
      </c>
    </row>
    <row r="24607" spans="1:6" ht="12.75">
      <c r="A24607" s="2">
        <v>43875.78696759259</v>
      </c>
      <c r="B24607" t="str">
        <f>HYPERLINK("https://twitter.com/tribun_palu","@tribun_palu")</f>
        <v>@tribun_palu</v>
      </c>
      <c r="C24607" t="s">
        <v>11267</v>
      </c>
      <c r="D24607">
        <v>0</v>
      </c>
      <c r="E24607">
        <v>0</v>
      </c>
      <c r="F24607">
        <v>106</v>
      </c>
    </row>
    <row r="24608" spans="1:6" ht="12.75">
      <c r="A24608" s="2">
        <v>43875.786932870367</v>
      </c>
      <c r="B24608" t="str">
        <f>HYPERLINK("https://twitter.com/derachaaaan","@derachaaaan")</f>
        <v>@derachaaaan</v>
      </c>
      <c r="C24608" t="s">
        <v>2444</v>
      </c>
      <c r="D24608">
        <v>2074</v>
      </c>
      <c r="E24608">
        <v>0</v>
      </c>
      <c r="F24608">
        <v>231</v>
      </c>
    </row>
    <row r="24609" spans="1:6" ht="12.75">
      <c r="A24609" s="2">
        <v>43875.786875000005</v>
      </c>
      <c r="B24609" t="str">
        <f>HYPERLINK("https://twitter.com/eqyeriskaaa","@eqyeriskaaa")</f>
        <v>@eqyeriskaaa</v>
      </c>
      <c r="C24609" t="s">
        <v>11268</v>
      </c>
      <c r="D24609">
        <v>1</v>
      </c>
      <c r="E24609">
        <v>0</v>
      </c>
      <c r="F24609">
        <v>83</v>
      </c>
    </row>
    <row r="24610" spans="1:6" ht="12.75">
      <c r="A24610" s="2">
        <v>43875.786851851852</v>
      </c>
      <c r="B24610" t="str">
        <f>HYPERLINK("https://twitter.com/AfriAdam","@AfriAdam")</f>
        <v>@AfriAdam</v>
      </c>
      <c r="C24610" t="s">
        <v>11269</v>
      </c>
      <c r="D24610">
        <v>0</v>
      </c>
      <c r="E24610">
        <v>0</v>
      </c>
      <c r="F24610">
        <v>5</v>
      </c>
    </row>
    <row r="24611" spans="1:6" ht="12.75">
      <c r="A24611" s="2">
        <v>43875.786793981482</v>
      </c>
      <c r="B24611" t="str">
        <f>HYPERLINK("https://twitter.com/marpaung913","@marpaung913")</f>
        <v>@marpaung913</v>
      </c>
      <c r="C24611" t="s">
        <v>11270</v>
      </c>
      <c r="D24611">
        <v>0</v>
      </c>
      <c r="E24611">
        <v>0</v>
      </c>
      <c r="F24611">
        <v>526</v>
      </c>
    </row>
    <row r="24612" spans="1:6" ht="12.75">
      <c r="A24612" s="2">
        <v>43875.786678240736</v>
      </c>
      <c r="B24612" t="str">
        <f>HYPERLINK("https://twitter.com/HaloKBR","@HaloKBR")</f>
        <v>@HaloKBR</v>
      </c>
      <c r="C24612" t="s">
        <v>11247</v>
      </c>
      <c r="D24612">
        <v>1</v>
      </c>
      <c r="E24612">
        <v>0</v>
      </c>
      <c r="F24612">
        <v>58537</v>
      </c>
    </row>
    <row r="24613" spans="1:6" ht="12.75">
      <c r="A24613" s="2">
        <v>43875.786655092597</v>
      </c>
      <c r="B24613" t="str">
        <f>HYPERLINK("https://twitter.com/ItsMe2503_","@ItsMe2503_")</f>
        <v>@ItsMe2503_</v>
      </c>
      <c r="C24613" t="s">
        <v>2144</v>
      </c>
      <c r="D24613">
        <v>86</v>
      </c>
      <c r="E24613">
        <v>0</v>
      </c>
      <c r="F24613">
        <v>5</v>
      </c>
    </row>
    <row r="24614" spans="1:6" ht="12.75">
      <c r="A24614" s="2">
        <v>43875.786655092597</v>
      </c>
      <c r="B24614" t="str">
        <f>HYPERLINK("https://twitter.com/mosangse","@mosangse")</f>
        <v>@mosangse</v>
      </c>
      <c r="C24614" t="s">
        <v>8542</v>
      </c>
      <c r="D24614">
        <v>2</v>
      </c>
      <c r="E24614">
        <v>0</v>
      </c>
      <c r="F24614">
        <v>86</v>
      </c>
    </row>
    <row r="24615" spans="1:6" ht="12.75">
      <c r="A24615" s="2">
        <v>43875.786527777775</v>
      </c>
      <c r="B24615" t="str">
        <f>HYPERLINK("https://twitter.com/noeroelFM","@noeroelFM")</f>
        <v>@noeroelFM</v>
      </c>
      <c r="C24615" t="s">
        <v>2144</v>
      </c>
      <c r="D24615">
        <v>86</v>
      </c>
      <c r="E24615">
        <v>0</v>
      </c>
      <c r="F24615">
        <v>265</v>
      </c>
    </row>
    <row r="24616" spans="1:6" ht="12.75">
      <c r="A24616" s="2">
        <v>43875.786504629628</v>
      </c>
      <c r="B24616" t="str">
        <f>HYPERLINK("https://twitter.com/AnakKolong___","@AnakKolong___")</f>
        <v>@AnakKolong___</v>
      </c>
      <c r="C24616" t="s">
        <v>11271</v>
      </c>
      <c r="D24616">
        <v>1</v>
      </c>
      <c r="E24616">
        <v>0</v>
      </c>
      <c r="F24616">
        <v>5300</v>
      </c>
    </row>
    <row r="24617" spans="1:6" ht="12.75">
      <c r="A24617" s="2">
        <v>43875.786481481482</v>
      </c>
      <c r="B24617" t="str">
        <f>HYPERLINK("https://twitter.com/jypguise","@jypguise")</f>
        <v>@jypguise</v>
      </c>
      <c r="C24617" t="s">
        <v>5168</v>
      </c>
      <c r="D24617">
        <v>896</v>
      </c>
      <c r="E24617">
        <v>0</v>
      </c>
      <c r="F24617">
        <v>975</v>
      </c>
    </row>
    <row r="24618" spans="1:6" ht="12.75">
      <c r="A24618" s="2">
        <v>43875.786412037036</v>
      </c>
      <c r="B24618" t="str">
        <f>HYPERLINK("https://twitter.com/131kee_","@131kee_")</f>
        <v>@131kee_</v>
      </c>
      <c r="C24618" t="s">
        <v>5168</v>
      </c>
      <c r="D24618">
        <v>896</v>
      </c>
      <c r="E24618">
        <v>0</v>
      </c>
      <c r="F24618">
        <v>795</v>
      </c>
    </row>
    <row r="24619" spans="1:6" ht="12.75">
      <c r="A24619" s="2">
        <v>43875.786319444444</v>
      </c>
      <c r="B24619" t="str">
        <f>HYPERLINK("https://twitter.com/watababeharu","@watababeharu")</f>
        <v>@watababeharu</v>
      </c>
      <c r="C24619" t="s">
        <v>9123</v>
      </c>
      <c r="D24619">
        <v>255</v>
      </c>
      <c r="E24619">
        <v>0</v>
      </c>
      <c r="F24619">
        <v>1237</v>
      </c>
    </row>
    <row r="24620" spans="1:6" ht="12.75">
      <c r="A24620" s="2">
        <v>43875.786238425921</v>
      </c>
      <c r="B24620" t="str">
        <f>HYPERLINK("https://twitter.com/siWen_di","@siWen_di")</f>
        <v>@siWen_di</v>
      </c>
      <c r="C24620" t="s">
        <v>5168</v>
      </c>
      <c r="D24620">
        <v>896</v>
      </c>
      <c r="E24620">
        <v>0</v>
      </c>
      <c r="F24620">
        <v>256</v>
      </c>
    </row>
    <row r="24621" spans="1:6" ht="12.75">
      <c r="A24621" s="2">
        <v>43875.786238425921</v>
      </c>
      <c r="B24621" t="str">
        <f>HYPERLINK("https://twitter.com/Arif_Kachef","@Arif_Kachef")</f>
        <v>@Arif_Kachef</v>
      </c>
      <c r="C24621" t="s">
        <v>7888</v>
      </c>
      <c r="D24621">
        <v>13</v>
      </c>
      <c r="E24621">
        <v>0</v>
      </c>
      <c r="F24621">
        <v>412</v>
      </c>
    </row>
    <row r="24622" spans="1:6" ht="12.75">
      <c r="A24622" s="2">
        <v>43875.786226851851</v>
      </c>
      <c r="B24622" t="str">
        <f>HYPERLINK("https://twitter.com/calacil","@calacil")</f>
        <v>@calacil</v>
      </c>
      <c r="C24622" t="s">
        <v>5168</v>
      </c>
      <c r="D24622">
        <v>896</v>
      </c>
      <c r="E24622">
        <v>0</v>
      </c>
      <c r="F24622">
        <v>363</v>
      </c>
    </row>
    <row r="24623" spans="1:6" ht="12.75">
      <c r="A24623" s="2">
        <v>43875.786192129628</v>
      </c>
      <c r="B24623" t="str">
        <f>HYPERLINK("https://twitter.com/sendokicecreeam","@sendokicecreeam")</f>
        <v>@sendokicecreeam</v>
      </c>
      <c r="C24623" t="s">
        <v>7068</v>
      </c>
      <c r="D24623">
        <v>22</v>
      </c>
      <c r="E24623">
        <v>0</v>
      </c>
      <c r="F24623">
        <v>445</v>
      </c>
    </row>
    <row r="24624" spans="1:6" ht="12.75">
      <c r="A24624" s="2">
        <v>43875.786145833335</v>
      </c>
      <c r="B24624" t="str">
        <f>HYPERLINK("https://twitter.com/rizkianiabil","@rizkianiabil")</f>
        <v>@rizkianiabil</v>
      </c>
      <c r="C24624" t="s">
        <v>2444</v>
      </c>
      <c r="D24624">
        <v>2074</v>
      </c>
      <c r="E24624">
        <v>0</v>
      </c>
      <c r="F24624">
        <v>135</v>
      </c>
    </row>
    <row r="24625" spans="1:6" ht="12.75">
      <c r="A24625" s="2">
        <v>43875.786076388889</v>
      </c>
      <c r="B24625" t="str">
        <f>HYPERLINK("https://twitter.com/raihan_oo7","@raihan_oo7")</f>
        <v>@raihan_oo7</v>
      </c>
      <c r="C24625" t="s">
        <v>11272</v>
      </c>
      <c r="D24625">
        <v>0</v>
      </c>
      <c r="E24625">
        <v>0</v>
      </c>
      <c r="F24625">
        <v>1844</v>
      </c>
    </row>
    <row r="24626" spans="1:6" ht="12.75">
      <c r="A24626" s="2">
        <v>43875.786041666666</v>
      </c>
      <c r="B24626" t="str">
        <f>HYPERLINK("https://twitter.com/Zulkifl16605089","@Zulkifl16605089")</f>
        <v>@Zulkifl16605089</v>
      </c>
      <c r="C24626" t="s">
        <v>11273</v>
      </c>
      <c r="D24626">
        <v>0</v>
      </c>
      <c r="E24626">
        <v>0</v>
      </c>
      <c r="F24626">
        <v>13</v>
      </c>
    </row>
    <row r="24627" spans="1:6" ht="12.75">
      <c r="A24627" s="2">
        <v>43875.786041666666</v>
      </c>
      <c r="B24627" t="str">
        <f>HYPERLINK("https://twitter.com/ggydha","@ggydha")</f>
        <v>@ggydha</v>
      </c>
      <c r="C24627" t="s">
        <v>2444</v>
      </c>
      <c r="D24627">
        <v>2074</v>
      </c>
      <c r="E24627">
        <v>0</v>
      </c>
      <c r="F24627">
        <v>394</v>
      </c>
    </row>
    <row r="24628" spans="1:6" ht="12.75">
      <c r="A24628" s="2">
        <v>43875.786030092597</v>
      </c>
      <c r="B24628" t="str">
        <f>HYPERLINK("https://twitter.com/GeovanoDwiki","@GeovanoDwiki")</f>
        <v>@GeovanoDwiki</v>
      </c>
      <c r="C24628" t="s">
        <v>2963</v>
      </c>
      <c r="D24628">
        <v>1038</v>
      </c>
      <c r="E24628">
        <v>0</v>
      </c>
      <c r="F24628">
        <v>278</v>
      </c>
    </row>
    <row r="24629" spans="1:6" ht="12.75">
      <c r="A24629" s="2">
        <v>43875.786006944443</v>
      </c>
      <c r="B24629" t="str">
        <f>HYPERLINK("https://twitter.com/mediaindonesia","@mediaindonesia")</f>
        <v>@mediaindonesia</v>
      </c>
      <c r="C24629" t="s">
        <v>11274</v>
      </c>
      <c r="D24629">
        <v>0</v>
      </c>
      <c r="E24629">
        <v>3</v>
      </c>
      <c r="F24629">
        <v>1415801</v>
      </c>
    </row>
    <row r="24630" spans="1:6" ht="12.75">
      <c r="A24630" s="2">
        <v>43875.785983796297</v>
      </c>
      <c r="B24630" t="str">
        <f>HYPERLINK("https://twitter.com/AfriAdam","@AfriAdam")</f>
        <v>@AfriAdam</v>
      </c>
      <c r="C24630" t="s">
        <v>11275</v>
      </c>
      <c r="D24630">
        <v>0</v>
      </c>
      <c r="E24630">
        <v>0</v>
      </c>
      <c r="F24630">
        <v>5</v>
      </c>
    </row>
    <row r="24631" spans="1:6" ht="12.75">
      <c r="A24631" s="2">
        <v>43875.785949074074</v>
      </c>
      <c r="B24631" t="str">
        <f>HYPERLINK("https://twitter.com/the_bLack12321","@the_bLack12321")</f>
        <v>@the_bLack12321</v>
      </c>
      <c r="C24631" t="s">
        <v>11276</v>
      </c>
      <c r="D24631">
        <v>0</v>
      </c>
      <c r="E24631">
        <v>1</v>
      </c>
      <c r="F24631">
        <v>4637</v>
      </c>
    </row>
    <row r="24632" spans="1:6" ht="12.75">
      <c r="A24632" s="2">
        <v>43875.785902777774</v>
      </c>
      <c r="B24632" t="str">
        <f>HYPERLINK("https://twitter.com/FARHANHLMI","@FARHANHLMI")</f>
        <v>@FARHANHLMI</v>
      </c>
      <c r="C24632" t="s">
        <v>2444</v>
      </c>
      <c r="D24632">
        <v>2074</v>
      </c>
      <c r="E24632">
        <v>0</v>
      </c>
      <c r="F24632">
        <v>282</v>
      </c>
    </row>
    <row r="24633" spans="1:6" ht="12.75">
      <c r="A24633" s="2">
        <v>43875.785844907412</v>
      </c>
      <c r="B24633" t="str">
        <f>HYPERLINK("https://twitter.com/oppapacarku","@oppapacarku")</f>
        <v>@oppapacarku</v>
      </c>
      <c r="C24633" t="s">
        <v>5168</v>
      </c>
      <c r="D24633">
        <v>896</v>
      </c>
      <c r="E24633">
        <v>0</v>
      </c>
      <c r="F24633">
        <v>1400</v>
      </c>
    </row>
    <row r="24634" spans="1:6" ht="12.75">
      <c r="A24634" s="2">
        <v>43875.785833333328</v>
      </c>
      <c r="B24634" t="str">
        <f>HYPERLINK("https://twitter.com/yunna21507221","@yunna21507221")</f>
        <v>@yunna21507221</v>
      </c>
      <c r="C24634" t="s">
        <v>11277</v>
      </c>
      <c r="D24634">
        <v>79</v>
      </c>
      <c r="E24634">
        <v>0</v>
      </c>
      <c r="F24634">
        <v>275</v>
      </c>
    </row>
    <row r="24635" spans="1:6" ht="12.75">
      <c r="A24635" s="2">
        <v>43875.785787037035</v>
      </c>
      <c r="B24635" t="str">
        <f>HYPERLINK("https://twitter.com/gorontalo01","@gorontalo01")</f>
        <v>@gorontalo01</v>
      </c>
      <c r="C24635" t="s">
        <v>11278</v>
      </c>
      <c r="D24635">
        <v>0</v>
      </c>
      <c r="E24635">
        <v>0</v>
      </c>
      <c r="F24635">
        <v>11</v>
      </c>
    </row>
    <row r="24636" spans="1:6" ht="12.75">
      <c r="A24636" s="2">
        <v>43875.785787037035</v>
      </c>
      <c r="B24636" t="str">
        <f>HYPERLINK("https://twitter.com/piiluss","@piiluss")</f>
        <v>@piiluss</v>
      </c>
      <c r="C24636" t="s">
        <v>11279</v>
      </c>
      <c r="D24636">
        <v>0</v>
      </c>
      <c r="E24636">
        <v>0</v>
      </c>
      <c r="F24636">
        <v>1925</v>
      </c>
    </row>
    <row r="24637" spans="1:6" ht="12.75">
      <c r="A24637" s="2">
        <v>43875.785752314812</v>
      </c>
      <c r="B24637" t="str">
        <f>HYPERLINK("https://twitter.com/Johnywick20","@Johnywick20")</f>
        <v>@Johnywick20</v>
      </c>
      <c r="C24637" t="s">
        <v>7888</v>
      </c>
      <c r="D24637">
        <v>13</v>
      </c>
      <c r="E24637">
        <v>0</v>
      </c>
      <c r="F24637">
        <v>599</v>
      </c>
    </row>
    <row r="24638" spans="1:6" ht="12.75">
      <c r="A24638" s="2">
        <v>43875.785636574074</v>
      </c>
      <c r="B24638" t="str">
        <f>HYPERLINK("https://twitter.com/sipilbersenjata","@sipilbersenjata")</f>
        <v>@sipilbersenjata</v>
      </c>
      <c r="C24638" t="s">
        <v>9998</v>
      </c>
      <c r="D24638">
        <v>103</v>
      </c>
      <c r="E24638">
        <v>0</v>
      </c>
      <c r="F24638">
        <v>82</v>
      </c>
    </row>
    <row r="24639" spans="1:6" ht="12.75">
      <c r="A24639" s="2">
        <v>43875.785625000004</v>
      </c>
      <c r="B24639" t="str">
        <f>HYPERLINK("https://twitter.com/Indramajid8","@Indramajid8")</f>
        <v>@Indramajid8</v>
      </c>
      <c r="C24639" t="s">
        <v>9538</v>
      </c>
      <c r="D24639">
        <v>148</v>
      </c>
      <c r="E24639">
        <v>0</v>
      </c>
      <c r="F24639">
        <v>2271</v>
      </c>
    </row>
    <row r="24640" spans="1:6" ht="12.75">
      <c r="A24640" s="2">
        <v>43875.785578703704</v>
      </c>
      <c r="B24640" t="str">
        <f>HYPERLINK("https://twitter.com/taufikcokklat1","@taufikcokklat1")</f>
        <v>@taufikcokklat1</v>
      </c>
      <c r="C24640" t="s">
        <v>11280</v>
      </c>
      <c r="D24640">
        <v>0</v>
      </c>
      <c r="E24640">
        <v>0</v>
      </c>
      <c r="F24640">
        <v>53</v>
      </c>
    </row>
    <row r="24641" spans="1:6" ht="12.75">
      <c r="A24641" s="2">
        <v>43875.785567129627</v>
      </c>
      <c r="B24641" t="str">
        <f>HYPERLINK("https://twitter.com/Tjietjie3","@Tjietjie3")</f>
        <v>@Tjietjie3</v>
      </c>
      <c r="C24641" t="s">
        <v>11281</v>
      </c>
      <c r="D24641">
        <v>0</v>
      </c>
      <c r="E24641">
        <v>0</v>
      </c>
      <c r="F24641">
        <v>1</v>
      </c>
    </row>
    <row r="24642" spans="1:6" ht="12.75">
      <c r="A24642" s="2">
        <v>43875.785555555558</v>
      </c>
      <c r="B24642" t="str">
        <f>HYPERLINK("https://twitter.com/meghaloey","@meghaloey")</f>
        <v>@meghaloey</v>
      </c>
      <c r="C24642" t="s">
        <v>5168</v>
      </c>
      <c r="D24642">
        <v>896</v>
      </c>
      <c r="E24642">
        <v>0</v>
      </c>
      <c r="F24642">
        <v>730</v>
      </c>
    </row>
    <row r="24643" spans="1:6" ht="12.75">
      <c r="A24643" s="2">
        <v>43875.785462962958</v>
      </c>
      <c r="B24643" t="str">
        <f>HYPERLINK("https://twitter.com/PJulianiee","@PJulianiee")</f>
        <v>@PJulianiee</v>
      </c>
      <c r="C24643" t="s">
        <v>8233</v>
      </c>
      <c r="D24643">
        <v>496</v>
      </c>
      <c r="E24643">
        <v>0</v>
      </c>
      <c r="F24643">
        <v>33</v>
      </c>
    </row>
    <row r="24644" spans="1:6" ht="12.75">
      <c r="A24644" s="2">
        <v>43875.785428240742</v>
      </c>
      <c r="B24644" t="str">
        <f>HYPERLINK("https://twitter.com/gatauakupusink","@gatauakupusink")</f>
        <v>@gatauakupusink</v>
      </c>
      <c r="C24644" t="s">
        <v>5168</v>
      </c>
      <c r="D24644">
        <v>896</v>
      </c>
      <c r="E24644">
        <v>0</v>
      </c>
      <c r="F24644">
        <v>555</v>
      </c>
    </row>
    <row r="24645" spans="1:6" ht="12.75">
      <c r="A24645" s="2">
        <v>43875.785416666666</v>
      </c>
      <c r="B24645" t="str">
        <f>HYPERLINK("https://twitter.com/Macilsky","@Macilsky")</f>
        <v>@Macilsky</v>
      </c>
      <c r="C24645" t="s">
        <v>2444</v>
      </c>
      <c r="D24645">
        <v>2074</v>
      </c>
      <c r="E24645">
        <v>0</v>
      </c>
      <c r="F24645">
        <v>36</v>
      </c>
    </row>
    <row r="24646" spans="1:6" ht="12.75">
      <c r="A24646" s="2">
        <v>43875.785312499997</v>
      </c>
      <c r="B24646" t="str">
        <f>HYPERLINK("https://twitter.com/sam_mulyawan","@sam_mulyawan")</f>
        <v>@sam_mulyawan</v>
      </c>
      <c r="C24646" t="s">
        <v>2963</v>
      </c>
      <c r="D24646">
        <v>1038</v>
      </c>
      <c r="E24646">
        <v>0</v>
      </c>
      <c r="F24646">
        <v>318</v>
      </c>
    </row>
    <row r="24647" spans="1:6" ht="12.75">
      <c r="A24647" s="2">
        <v>43875.78528935185</v>
      </c>
      <c r="B24647" t="str">
        <f>HYPERLINK("https://twitter.com/NMudhary","@NMudhary")</f>
        <v>@NMudhary</v>
      </c>
      <c r="C24647" t="s">
        <v>9165</v>
      </c>
      <c r="D24647">
        <v>0</v>
      </c>
      <c r="E24647">
        <v>0</v>
      </c>
      <c r="F24647">
        <v>24</v>
      </c>
    </row>
    <row r="24648" spans="1:6" ht="12.75">
      <c r="A24648" s="2">
        <v>43875.785254629634</v>
      </c>
      <c r="B24648" t="str">
        <f>HYPERLINK("https://twitter.com/tatafatkhan","@tatafatkhan")</f>
        <v>@tatafatkhan</v>
      </c>
      <c r="C24648" t="s">
        <v>11282</v>
      </c>
      <c r="D24648">
        <v>3</v>
      </c>
      <c r="E24648">
        <v>0</v>
      </c>
      <c r="F24648">
        <v>283</v>
      </c>
    </row>
    <row r="24649" spans="1:6" ht="12.75">
      <c r="A24649" s="2">
        <v>43875.78524305555</v>
      </c>
      <c r="B24649" t="str">
        <f>HYPERLINK("https://twitter.com/Haris088","@Haris088")</f>
        <v>@Haris088</v>
      </c>
      <c r="C24649" t="s">
        <v>6201</v>
      </c>
      <c r="D24649">
        <v>150</v>
      </c>
      <c r="E24649">
        <v>0</v>
      </c>
      <c r="F24649">
        <v>62</v>
      </c>
    </row>
    <row r="24650" spans="1:6" ht="12.75">
      <c r="A24650" s="2">
        <v>43875.785185185188</v>
      </c>
      <c r="B24650" t="str">
        <f>HYPERLINK("https://twitter.com/hasibhazbell","@hasibhazbell")</f>
        <v>@hasibhazbell</v>
      </c>
      <c r="C24650" t="s">
        <v>9165</v>
      </c>
      <c r="D24650">
        <v>0</v>
      </c>
      <c r="E24650">
        <v>0</v>
      </c>
      <c r="F24650">
        <v>18</v>
      </c>
    </row>
    <row r="24651" spans="1:6" ht="12.75">
      <c r="A24651" s="2">
        <v>43875.785185185188</v>
      </c>
      <c r="B24651" t="str">
        <f>HYPERLINK("https://twitter.com/lasriwii","@lasriwii")</f>
        <v>@lasriwii</v>
      </c>
      <c r="C24651" t="s">
        <v>5168</v>
      </c>
      <c r="D24651">
        <v>896</v>
      </c>
      <c r="E24651">
        <v>0</v>
      </c>
      <c r="F24651">
        <v>770</v>
      </c>
    </row>
    <row r="24652" spans="1:6" ht="12.75">
      <c r="A24652" s="2">
        <v>43875.785162037035</v>
      </c>
      <c r="B24652" t="str">
        <f>HYPERLINK("https://twitter.com/Mela65467568","@Mela65467568")</f>
        <v>@Mela65467568</v>
      </c>
      <c r="C24652" t="s">
        <v>9067</v>
      </c>
      <c r="D24652">
        <v>19</v>
      </c>
      <c r="E24652">
        <v>0</v>
      </c>
      <c r="F24652">
        <v>21</v>
      </c>
    </row>
    <row r="24653" spans="1:6" ht="12.75">
      <c r="A24653" s="2">
        <v>43875.785127314812</v>
      </c>
      <c r="B24653" t="str">
        <f>HYPERLINK("https://twitter.com/AnakLolina","@AnakLolina")</f>
        <v>@AnakLolina</v>
      </c>
      <c r="C24653" t="s">
        <v>11283</v>
      </c>
      <c r="D24653">
        <v>1</v>
      </c>
      <c r="E24653">
        <v>0</v>
      </c>
      <c r="F24653">
        <v>14516</v>
      </c>
    </row>
    <row r="24654" spans="1:6" ht="12.75">
      <c r="A24654" s="2">
        <v>43875.78506944445</v>
      </c>
      <c r="B24654" t="str">
        <f>HYPERLINK("https://twitter.com/nkri_i","@nkri_i")</f>
        <v>@nkri_i</v>
      </c>
      <c r="C24654" t="s">
        <v>11284</v>
      </c>
      <c r="D24654">
        <v>1</v>
      </c>
      <c r="E24654">
        <v>2</v>
      </c>
      <c r="F24654">
        <v>610</v>
      </c>
    </row>
    <row r="24655" spans="1:6" ht="12.75">
      <c r="A24655" s="2">
        <v>43875.785057870366</v>
      </c>
      <c r="B24655" t="str">
        <f>HYPERLINK("https://twitter.com/widyous","@widyous")</f>
        <v>@widyous</v>
      </c>
      <c r="C24655" t="s">
        <v>7068</v>
      </c>
      <c r="D24655">
        <v>22</v>
      </c>
      <c r="E24655">
        <v>0</v>
      </c>
      <c r="F24655">
        <v>1519</v>
      </c>
    </row>
    <row r="24656" spans="1:6" ht="12.75">
      <c r="A24656" s="2">
        <v>43875.785046296296</v>
      </c>
      <c r="B24656" t="str">
        <f>HYPERLINK("https://twitter.com/me_wo_tojite","@me_wo_tojite")</f>
        <v>@me_wo_tojite</v>
      </c>
      <c r="C24656" t="s">
        <v>2444</v>
      </c>
      <c r="D24656">
        <v>2074</v>
      </c>
      <c r="E24656">
        <v>0</v>
      </c>
      <c r="F24656">
        <v>446</v>
      </c>
    </row>
    <row r="24657" spans="1:6" ht="12.75">
      <c r="A24657" s="2">
        <v>43875.78502314815</v>
      </c>
      <c r="B24657" t="str">
        <f>HYPERLINK("https://twitter.com/Fsilolongan","@Fsilolongan")</f>
        <v>@Fsilolongan</v>
      </c>
      <c r="C24657" t="s">
        <v>11285</v>
      </c>
      <c r="D24657">
        <v>1</v>
      </c>
      <c r="E24657">
        <v>3</v>
      </c>
      <c r="F24657">
        <v>5687</v>
      </c>
    </row>
    <row r="24658" spans="1:6" ht="12.75">
      <c r="A24658" s="2">
        <v>43875.785000000003</v>
      </c>
      <c r="B24658" t="str">
        <f>HYPERLINK("https://twitter.com/ncuhidorowoni","@ncuhidorowoni")</f>
        <v>@ncuhidorowoni</v>
      </c>
      <c r="C24658" t="s">
        <v>9746</v>
      </c>
      <c r="D24658">
        <v>310</v>
      </c>
      <c r="E24658">
        <v>0</v>
      </c>
      <c r="F24658">
        <v>268</v>
      </c>
    </row>
    <row r="24659" spans="1:6" ht="12.75">
      <c r="A24659" s="2">
        <v>43875.784884259258</v>
      </c>
      <c r="B24659" t="str">
        <f>HYPERLINK("https://twitter.com/sniperalhambra1","@sniperalhambra1")</f>
        <v>@sniperalhambra1</v>
      </c>
      <c r="C24659" t="s">
        <v>10052</v>
      </c>
      <c r="D24659">
        <v>56</v>
      </c>
      <c r="E24659">
        <v>0</v>
      </c>
      <c r="F24659">
        <v>408</v>
      </c>
    </row>
    <row r="24660" spans="1:6" ht="12.75">
      <c r="A24660" s="2">
        <v>43875.784861111111</v>
      </c>
      <c r="B24660" t="str">
        <f>HYPERLINK("https://twitter.com/masadamsahid","@masadamsahid")</f>
        <v>@masadamsahid</v>
      </c>
      <c r="C24660" t="s">
        <v>11286</v>
      </c>
      <c r="D24660">
        <v>0</v>
      </c>
      <c r="E24660">
        <v>0</v>
      </c>
      <c r="F24660">
        <v>7</v>
      </c>
    </row>
    <row r="24661" spans="1:6" ht="12.75">
      <c r="A24661" s="2">
        <v>43875.784826388888</v>
      </c>
      <c r="B24661" t="str">
        <f>HYPERLINK("https://twitter.com/imnogoodfory0u","@imnogoodfory0u")</f>
        <v>@imnogoodfory0u</v>
      </c>
      <c r="C24661" t="s">
        <v>2444</v>
      </c>
      <c r="D24661">
        <v>2074</v>
      </c>
      <c r="E24661">
        <v>0</v>
      </c>
      <c r="F24661">
        <v>181</v>
      </c>
    </row>
    <row r="24662" spans="1:6" ht="12.75">
      <c r="A24662" s="2">
        <v>43875.784675925926</v>
      </c>
      <c r="B24662" t="str">
        <f>HYPERLINK("https://twitter.com/just_fandy","@just_fandy")</f>
        <v>@just_fandy</v>
      </c>
      <c r="C24662" t="s">
        <v>4880</v>
      </c>
      <c r="D24662">
        <v>58</v>
      </c>
      <c r="E24662">
        <v>0</v>
      </c>
      <c r="F24662">
        <v>153</v>
      </c>
    </row>
    <row r="24663" spans="1:6" ht="12.75">
      <c r="A24663" s="2">
        <v>43875.784583333334</v>
      </c>
      <c r="B24663" t="str">
        <f>HYPERLINK("https://twitter.com/OpRadioBnpb","@OpRadioBnpb")</f>
        <v>@OpRadioBnpb</v>
      </c>
      <c r="C24663" t="s">
        <v>11287</v>
      </c>
      <c r="D24663">
        <v>4</v>
      </c>
      <c r="E24663">
        <v>0</v>
      </c>
      <c r="F24663">
        <v>61</v>
      </c>
    </row>
    <row r="24664" spans="1:6" ht="12.75">
      <c r="A24664" s="2">
        <v>43875.784571759257</v>
      </c>
      <c r="B24664" t="str">
        <f>HYPERLINK("https://twitter.com/imronAyahnaila","@imronAyahnaila")</f>
        <v>@imronAyahnaila</v>
      </c>
      <c r="C24664" t="s">
        <v>10052</v>
      </c>
      <c r="D24664">
        <v>56</v>
      </c>
      <c r="E24664">
        <v>0</v>
      </c>
      <c r="F24664">
        <v>174</v>
      </c>
    </row>
    <row r="24665" spans="1:6" ht="12.75">
      <c r="A24665" s="2">
        <v>43875.784548611111</v>
      </c>
      <c r="B24665" t="str">
        <f>HYPERLINK("https://twitter.com/alfianrahardjo","@alfianrahardjo")</f>
        <v>@alfianrahardjo</v>
      </c>
      <c r="C24665" t="s">
        <v>5168</v>
      </c>
      <c r="D24665">
        <v>896</v>
      </c>
      <c r="E24665">
        <v>0</v>
      </c>
      <c r="F24665">
        <v>3317</v>
      </c>
    </row>
    <row r="24666" spans="1:6" ht="12.75">
      <c r="A24666" s="2">
        <v>43875.784502314811</v>
      </c>
      <c r="B24666" t="str">
        <f>HYPERLINK("https://twitter.com/jaepoems","@jaepoems")</f>
        <v>@jaepoems</v>
      </c>
      <c r="C24666" t="s">
        <v>2444</v>
      </c>
      <c r="D24666">
        <v>2074</v>
      </c>
      <c r="E24666">
        <v>0</v>
      </c>
      <c r="F24666">
        <v>700</v>
      </c>
    </row>
    <row r="24667" spans="1:6" ht="12.75">
      <c r="A24667" s="2">
        <v>43875.784467592588</v>
      </c>
      <c r="B24667" t="str">
        <f>HYPERLINK("https://twitter.com/imluvbaechu","@imluvbaechu")</f>
        <v>@imluvbaechu</v>
      </c>
      <c r="C24667" t="s">
        <v>2444</v>
      </c>
      <c r="D24667">
        <v>2074</v>
      </c>
      <c r="E24667">
        <v>0</v>
      </c>
      <c r="F24667">
        <v>859</v>
      </c>
    </row>
    <row r="24668" spans="1:6" ht="12.75">
      <c r="A24668" s="2">
        <v>43875.784363425926</v>
      </c>
      <c r="B24668" t="str">
        <f>HYPERLINK("https://twitter.com/Jungkengz9","@Jungkengz9")</f>
        <v>@Jungkengz9</v>
      </c>
      <c r="C24668" t="s">
        <v>2444</v>
      </c>
      <c r="D24668">
        <v>2074</v>
      </c>
      <c r="E24668">
        <v>0</v>
      </c>
      <c r="F24668">
        <v>2100</v>
      </c>
    </row>
    <row r="24669" spans="1:6" ht="12.75">
      <c r="A24669" s="2">
        <v>43875.784351851849</v>
      </c>
      <c r="B24669" t="str">
        <f>HYPERLINK("https://twitter.com/ali_nurlah","@ali_nurlah")</f>
        <v>@ali_nurlah</v>
      </c>
      <c r="C24669" t="s">
        <v>5761</v>
      </c>
      <c r="D24669">
        <v>72</v>
      </c>
      <c r="E24669">
        <v>0</v>
      </c>
      <c r="F24669">
        <v>1125</v>
      </c>
    </row>
    <row r="24670" spans="1:6" ht="12.75">
      <c r="A24670" s="2">
        <v>43875.784351851849</v>
      </c>
      <c r="B24670" t="str">
        <f>HYPERLINK("https://twitter.com/Dandysaputra88","@Dandysaputra88")</f>
        <v>@Dandysaputra88</v>
      </c>
      <c r="C24670" t="s">
        <v>2963</v>
      </c>
      <c r="D24670">
        <v>1038</v>
      </c>
      <c r="E24670">
        <v>0</v>
      </c>
      <c r="F24670">
        <v>26</v>
      </c>
    </row>
    <row r="24671" spans="1:6" ht="12.75">
      <c r="A24671" s="2">
        <v>43875.784259259264</v>
      </c>
      <c r="B24671" t="str">
        <f>HYPERLINK("https://twitter.com/xxxmemels","@xxxmemels")</f>
        <v>@xxxmemels</v>
      </c>
      <c r="C24671" t="s">
        <v>9067</v>
      </c>
      <c r="D24671">
        <v>19</v>
      </c>
      <c r="E24671">
        <v>0</v>
      </c>
      <c r="F24671">
        <v>84</v>
      </c>
    </row>
    <row r="24672" spans="1:6" ht="12.75">
      <c r="A24672" s="2">
        <v>43875.784178240741</v>
      </c>
      <c r="B24672" t="str">
        <f>HYPERLINK("https://twitter.com/Irvan_N24","@Irvan_N24")</f>
        <v>@Irvan_N24</v>
      </c>
      <c r="C24672" t="s">
        <v>7478</v>
      </c>
      <c r="D24672">
        <v>323</v>
      </c>
      <c r="E24672">
        <v>0</v>
      </c>
      <c r="F24672">
        <v>108</v>
      </c>
    </row>
    <row r="24673" spans="1:6" ht="12.75">
      <c r="A24673" s="2">
        <v>43875.784131944441</v>
      </c>
      <c r="B24673" t="str">
        <f>HYPERLINK("https://twitter.com/xxxmemels","@xxxmemels")</f>
        <v>@xxxmemels</v>
      </c>
      <c r="C24673" t="s">
        <v>2444</v>
      </c>
      <c r="D24673">
        <v>2074</v>
      </c>
      <c r="E24673">
        <v>0</v>
      </c>
      <c r="F24673">
        <v>84</v>
      </c>
    </row>
    <row r="24674" spans="1:6" ht="12.75">
      <c r="A24674" s="2">
        <v>43875.784120370372</v>
      </c>
      <c r="B24674" t="str">
        <f>HYPERLINK("https://twitter.com/MamaknyaBobby","@MamaknyaBobby")</f>
        <v>@MamaknyaBobby</v>
      </c>
      <c r="C24674" t="s">
        <v>2444</v>
      </c>
      <c r="D24674">
        <v>2074</v>
      </c>
      <c r="E24674">
        <v>0</v>
      </c>
      <c r="F24674">
        <v>274</v>
      </c>
    </row>
    <row r="24675" spans="1:6" ht="12.75">
      <c r="A24675" s="2">
        <v>43875.784108796295</v>
      </c>
      <c r="B24675" t="str">
        <f>HYPERLINK("https://twitter.com/heebum92","@heebum92")</f>
        <v>@heebum92</v>
      </c>
      <c r="C24675" t="s">
        <v>2444</v>
      </c>
      <c r="D24675">
        <v>2074</v>
      </c>
      <c r="E24675">
        <v>0</v>
      </c>
      <c r="F24675">
        <v>440</v>
      </c>
    </row>
    <row r="24676" spans="1:6" ht="12.75">
      <c r="A24676" s="2">
        <v>43875.783993055556</v>
      </c>
      <c r="B24676" t="str">
        <f>HYPERLINK("https://twitter.com/masadamsahid","@masadamsahid")</f>
        <v>@masadamsahid</v>
      </c>
      <c r="C24676" t="s">
        <v>11288</v>
      </c>
      <c r="D24676">
        <v>0</v>
      </c>
      <c r="E24676">
        <v>0</v>
      </c>
      <c r="F24676">
        <v>7</v>
      </c>
    </row>
    <row r="24677" spans="1:6" ht="12.75">
      <c r="A24677" s="2">
        <v>43875.783993055556</v>
      </c>
      <c r="B24677" t="str">
        <f>HYPERLINK("https://twitter.com/diponegros","@diponegros")</f>
        <v>@diponegros</v>
      </c>
      <c r="C24677" t="s">
        <v>10052</v>
      </c>
      <c r="D24677">
        <v>56</v>
      </c>
      <c r="E24677">
        <v>0</v>
      </c>
      <c r="F24677">
        <v>601</v>
      </c>
    </row>
    <row r="24678" spans="1:6" ht="12.75">
      <c r="A24678" s="2">
        <v>43875.78396990741</v>
      </c>
      <c r="B24678" t="str">
        <f>HYPERLINK("https://twitter.com/godelitsas","@godelitsas")</f>
        <v>@godelitsas</v>
      </c>
      <c r="C24678" t="s">
        <v>10973</v>
      </c>
      <c r="D24678">
        <v>2</v>
      </c>
      <c r="E24678">
        <v>0</v>
      </c>
      <c r="F24678">
        <v>9768</v>
      </c>
    </row>
    <row r="24679" spans="1:6" ht="12.75">
      <c r="A24679" s="2">
        <v>43875.78396990741</v>
      </c>
      <c r="B24679" t="str">
        <f>HYPERLINK("https://twitter.com/JohnZEddi1","@JohnZEddi1")</f>
        <v>@JohnZEddi1</v>
      </c>
      <c r="C24679" t="s">
        <v>6201</v>
      </c>
      <c r="D24679">
        <v>150</v>
      </c>
      <c r="E24679">
        <v>0</v>
      </c>
      <c r="F24679">
        <v>1457</v>
      </c>
    </row>
    <row r="24680" spans="1:6" ht="12.75">
      <c r="A24680" s="2">
        <v>43875.783935185187</v>
      </c>
      <c r="B24680" t="str">
        <f>HYPERLINK("https://twitter.com/indahtikaa","@indahtikaa")</f>
        <v>@indahtikaa</v>
      </c>
      <c r="C24680" t="s">
        <v>2137</v>
      </c>
      <c r="D24680">
        <v>172</v>
      </c>
      <c r="E24680">
        <v>0</v>
      </c>
      <c r="F24680">
        <v>617</v>
      </c>
    </row>
    <row r="24681" spans="1:6" ht="12.75">
      <c r="A24681" s="2">
        <v>43875.783900462964</v>
      </c>
      <c r="B24681" t="str">
        <f>HYPERLINK("https://twitter.com/shasillala","@shasillala")</f>
        <v>@shasillala</v>
      </c>
      <c r="C24681" t="s">
        <v>10074</v>
      </c>
      <c r="D24681">
        <v>67</v>
      </c>
      <c r="E24681">
        <v>0</v>
      </c>
      <c r="F24681">
        <v>17</v>
      </c>
    </row>
    <row r="24682" spans="1:6" ht="12.75">
      <c r="A24682" s="2">
        <v>43875.783900462964</v>
      </c>
      <c r="B24682" t="str">
        <f>HYPERLINK("https://twitter.com/ardhiniriz","@ardhiniriz")</f>
        <v>@ardhiniriz</v>
      </c>
      <c r="C24682" t="s">
        <v>2444</v>
      </c>
      <c r="D24682">
        <v>2074</v>
      </c>
      <c r="E24682">
        <v>0</v>
      </c>
      <c r="F24682">
        <v>811</v>
      </c>
    </row>
    <row r="24683" spans="1:6" ht="12.75">
      <c r="A24683" s="2">
        <v>43875.783865740741</v>
      </c>
      <c r="B24683" t="str">
        <f>HYPERLINK("https://twitter.com/fourleafclovv","@fourleafclovv")</f>
        <v>@fourleafclovv</v>
      </c>
      <c r="C24683" t="s">
        <v>5168</v>
      </c>
      <c r="D24683">
        <v>896</v>
      </c>
      <c r="E24683">
        <v>0</v>
      </c>
      <c r="F24683">
        <v>1299</v>
      </c>
    </row>
    <row r="24684" spans="1:6" ht="12.75">
      <c r="A24684" s="2">
        <v>43875.783819444448</v>
      </c>
      <c r="B24684" t="str">
        <f>HYPERLINK("https://twitter.com/faristghr","@faristghr")</f>
        <v>@faristghr</v>
      </c>
      <c r="C24684" t="s">
        <v>7478</v>
      </c>
      <c r="D24684">
        <v>323</v>
      </c>
      <c r="E24684">
        <v>0</v>
      </c>
      <c r="F24684">
        <v>59</v>
      </c>
    </row>
    <row r="24685" spans="1:6" ht="12.75">
      <c r="A24685" s="2">
        <v>43875.783622685187</v>
      </c>
      <c r="B24685" t="str">
        <f>HYPERLINK("https://twitter.com/Gendorowo3","@Gendorowo3")</f>
        <v>@Gendorowo3</v>
      </c>
      <c r="C24685" t="s">
        <v>11289</v>
      </c>
      <c r="D24685">
        <v>1</v>
      </c>
      <c r="E24685">
        <v>0</v>
      </c>
      <c r="F24685">
        <v>91</v>
      </c>
    </row>
    <row r="24686" spans="1:6" ht="12.75">
      <c r="A24686" s="2">
        <v>43875.783599537041</v>
      </c>
      <c r="B24686" t="str">
        <f>HYPERLINK("https://twitter.com/fourleafclovv","@fourleafclovv")</f>
        <v>@fourleafclovv</v>
      </c>
      <c r="C24686" t="s">
        <v>9123</v>
      </c>
      <c r="D24686">
        <v>255</v>
      </c>
      <c r="E24686">
        <v>0</v>
      </c>
      <c r="F24686">
        <v>1299</v>
      </c>
    </row>
    <row r="24687" spans="1:6" ht="12.75">
      <c r="A24687" s="2">
        <v>43875.783495370371</v>
      </c>
      <c r="B24687" t="str">
        <f>HYPERLINK("https://twitter.com/nikitarii","@nikitarii")</f>
        <v>@nikitarii</v>
      </c>
      <c r="C24687" t="s">
        <v>2444</v>
      </c>
      <c r="D24687">
        <v>2074</v>
      </c>
      <c r="E24687">
        <v>0</v>
      </c>
      <c r="F24687">
        <v>145</v>
      </c>
    </row>
    <row r="24688" spans="1:6" ht="12.75">
      <c r="A24688" s="2">
        <v>43875.783472222218</v>
      </c>
      <c r="B24688" t="str">
        <f>HYPERLINK("https://twitter.com/fibrya_","@fibrya_")</f>
        <v>@fibrya_</v>
      </c>
      <c r="C24688" t="s">
        <v>2444</v>
      </c>
      <c r="D24688">
        <v>2074</v>
      </c>
      <c r="E24688">
        <v>0</v>
      </c>
      <c r="F24688">
        <v>120</v>
      </c>
    </row>
    <row r="24689" spans="1:6" ht="12.75">
      <c r="A24689" s="2">
        <v>43875.783425925925</v>
      </c>
      <c r="B24689" t="str">
        <f>HYPERLINK("https://twitter.com/NdoeUmi","@NdoeUmi")</f>
        <v>@NdoeUmi</v>
      </c>
      <c r="C24689" t="s">
        <v>11290</v>
      </c>
      <c r="D24689">
        <v>0</v>
      </c>
      <c r="E24689">
        <v>0</v>
      </c>
      <c r="F24689">
        <v>651</v>
      </c>
    </row>
    <row r="24690" spans="1:6" ht="12.75">
      <c r="A24690" s="2">
        <v>43875.78329861111</v>
      </c>
      <c r="B24690" t="str">
        <f>HYPERLINK("https://twitter.com/fourleafclovv","@fourleafclovv")</f>
        <v>@fourleafclovv</v>
      </c>
      <c r="C24690" t="s">
        <v>2444</v>
      </c>
      <c r="D24690">
        <v>2074</v>
      </c>
      <c r="E24690">
        <v>0</v>
      </c>
      <c r="F24690">
        <v>1299</v>
      </c>
    </row>
    <row r="24691" spans="1:6" ht="12.75">
      <c r="A24691" s="2">
        <v>43875.783217592594</v>
      </c>
      <c r="B24691" t="str">
        <f>HYPERLINK("https://twitter.com/mbahliem24","@mbahliem24")</f>
        <v>@mbahliem24</v>
      </c>
      <c r="C24691" t="s">
        <v>10096</v>
      </c>
      <c r="D24691">
        <v>156</v>
      </c>
      <c r="E24691">
        <v>0</v>
      </c>
      <c r="F24691">
        <v>906</v>
      </c>
    </row>
    <row r="24692" spans="1:6" ht="12.75">
      <c r="A24692" s="2">
        <v>43875.783194444448</v>
      </c>
      <c r="B24692" t="str">
        <f>HYPERLINK("https://twitter.com/thrownflavors","@thrownflavors")</f>
        <v>@thrownflavors</v>
      </c>
      <c r="C24692" t="s">
        <v>2444</v>
      </c>
      <c r="D24692">
        <v>2074</v>
      </c>
      <c r="E24692">
        <v>0</v>
      </c>
      <c r="F24692">
        <v>260</v>
      </c>
    </row>
    <row r="24693" spans="1:6" ht="12.75">
      <c r="A24693" s="2">
        <v>43875.783182870371</v>
      </c>
      <c r="B24693" t="str">
        <f>HYPERLINK("https://twitter.com/HarkatuZaman","@HarkatuZaman")</f>
        <v>@HarkatuZaman</v>
      </c>
      <c r="C24693" t="s">
        <v>10169</v>
      </c>
      <c r="D24693">
        <v>55</v>
      </c>
      <c r="E24693">
        <v>0</v>
      </c>
      <c r="F24693">
        <v>461</v>
      </c>
    </row>
    <row r="24694" spans="1:6" ht="12.75">
      <c r="A24694" s="2">
        <v>43875.783148148148</v>
      </c>
      <c r="B24694" t="str">
        <f>HYPERLINK("https://twitter.com/gittaapriani","@gittaapriani")</f>
        <v>@gittaapriani</v>
      </c>
      <c r="C24694" t="s">
        <v>2444</v>
      </c>
      <c r="D24694">
        <v>2074</v>
      </c>
      <c r="E24694">
        <v>0</v>
      </c>
      <c r="F24694">
        <v>203</v>
      </c>
    </row>
    <row r="24695" spans="1:6" ht="12.75">
      <c r="A24695" s="2">
        <v>43875.783125000002</v>
      </c>
      <c r="B24695" t="str">
        <f>HYPERLINK("https://twitter.com/Gendorowo3","@Gendorowo3")</f>
        <v>@Gendorowo3</v>
      </c>
      <c r="C24695" t="s">
        <v>11291</v>
      </c>
      <c r="D24695">
        <v>0</v>
      </c>
      <c r="E24695">
        <v>0</v>
      </c>
      <c r="F24695">
        <v>91</v>
      </c>
    </row>
    <row r="24696" spans="1:6" ht="12.75">
      <c r="A24696" s="2">
        <v>43875.783101851848</v>
      </c>
      <c r="B24696" t="str">
        <f>HYPERLINK("https://twitter.com/dianpetet91","@dianpetet91")</f>
        <v>@dianpetet91</v>
      </c>
      <c r="C24696" t="s">
        <v>6201</v>
      </c>
      <c r="D24696">
        <v>150</v>
      </c>
      <c r="E24696">
        <v>0</v>
      </c>
      <c r="F24696">
        <v>60</v>
      </c>
    </row>
    <row r="24697" spans="1:6" ht="12.75">
      <c r="A24697" s="2">
        <v>43875.783067129625</v>
      </c>
      <c r="B24697" t="str">
        <f>HYPERLINK("https://twitter.com/irnyhapsari","@irnyhapsari")</f>
        <v>@irnyhapsari</v>
      </c>
      <c r="C24697" t="s">
        <v>2137</v>
      </c>
      <c r="D24697">
        <v>172</v>
      </c>
      <c r="E24697">
        <v>0</v>
      </c>
      <c r="F24697">
        <v>391</v>
      </c>
    </row>
    <row r="24698" spans="1:6" ht="12.75">
      <c r="A24698" s="2">
        <v>43875.783032407402</v>
      </c>
      <c r="B24698" t="str">
        <f>HYPERLINK("https://twitter.com/jawapos","@jawapos")</f>
        <v>@jawapos</v>
      </c>
      <c r="C24698" t="s">
        <v>11248</v>
      </c>
      <c r="D24698">
        <v>2</v>
      </c>
      <c r="E24698">
        <v>3</v>
      </c>
      <c r="F24698">
        <v>116528</v>
      </c>
    </row>
    <row r="24699" spans="1:6" ht="12.75">
      <c r="A24699" s="2">
        <v>43875.782789351855</v>
      </c>
      <c r="B24699" t="str">
        <f>HYPERLINK("https://twitter.com/crunchypotatto","@crunchypotatto")</f>
        <v>@crunchypotatto</v>
      </c>
      <c r="C24699" t="s">
        <v>2444</v>
      </c>
      <c r="D24699">
        <v>2074</v>
      </c>
      <c r="E24699">
        <v>0</v>
      </c>
      <c r="F24699">
        <v>1286</v>
      </c>
    </row>
    <row r="24700" spans="1:6" ht="12.75">
      <c r="A24700" s="2">
        <v>43875.782719907409</v>
      </c>
      <c r="B24700" t="str">
        <f>HYPERLINK("https://twitter.com/SunardiGiman1","@SunardiGiman1")</f>
        <v>@SunardiGiman1</v>
      </c>
      <c r="C24700" t="s">
        <v>11292</v>
      </c>
      <c r="D24700">
        <v>5</v>
      </c>
      <c r="E24700">
        <v>0</v>
      </c>
      <c r="F24700">
        <v>1071</v>
      </c>
    </row>
    <row r="24701" spans="1:6" ht="12.75">
      <c r="A24701" s="2">
        <v>43875.782685185186</v>
      </c>
      <c r="B24701" t="str">
        <f>HYPERLINK("https://twitter.com/imronAyahnaila","@imronAyahnaila")</f>
        <v>@imronAyahnaila</v>
      </c>
      <c r="C24701" t="s">
        <v>7478</v>
      </c>
      <c r="D24701">
        <v>323</v>
      </c>
      <c r="E24701">
        <v>0</v>
      </c>
      <c r="F24701">
        <v>174</v>
      </c>
    </row>
    <row r="24702" spans="1:6" ht="12.75">
      <c r="A24702" s="2">
        <v>43875.782662037032</v>
      </c>
      <c r="B24702" t="str">
        <f>HYPERLINK("https://twitter.com/slputriii","@slputriii")</f>
        <v>@slputriii</v>
      </c>
      <c r="C24702" t="s">
        <v>5168</v>
      </c>
      <c r="D24702">
        <v>896</v>
      </c>
      <c r="E24702">
        <v>0</v>
      </c>
      <c r="F24702">
        <v>270</v>
      </c>
    </row>
    <row r="24703" spans="1:6" ht="12.75">
      <c r="A24703" s="2">
        <v>43875.782569444447</v>
      </c>
      <c r="B24703" t="str">
        <f>HYPERLINK("https://twitter.com/CassimiraC","@CassimiraC")</f>
        <v>@CassimiraC</v>
      </c>
      <c r="C24703" t="s">
        <v>5168</v>
      </c>
      <c r="D24703">
        <v>896</v>
      </c>
      <c r="E24703">
        <v>0</v>
      </c>
      <c r="F24703">
        <v>333</v>
      </c>
    </row>
    <row r="24704" spans="1:6" ht="12.75">
      <c r="A24704" s="2">
        <v>43875.782442129625</v>
      </c>
      <c r="B24704" t="str">
        <f>HYPERLINK("https://twitter.com/wonyolokal","@wonyolokal")</f>
        <v>@wonyolokal</v>
      </c>
      <c r="C24704" t="s">
        <v>9067</v>
      </c>
      <c r="D24704">
        <v>19</v>
      </c>
      <c r="E24704">
        <v>0</v>
      </c>
      <c r="F24704">
        <v>130</v>
      </c>
    </row>
    <row r="24705" spans="1:6" ht="12.75">
      <c r="A24705" s="2">
        <v>43875.782349537039</v>
      </c>
      <c r="B24705" t="str">
        <f>HYPERLINK("https://twitter.com/giogemb","@giogemb")</f>
        <v>@giogemb</v>
      </c>
      <c r="C24705" t="s">
        <v>9964</v>
      </c>
      <c r="D24705">
        <v>618</v>
      </c>
      <c r="E24705">
        <v>0</v>
      </c>
      <c r="F24705">
        <v>503</v>
      </c>
    </row>
    <row r="24706" spans="1:6" ht="12.75">
      <c r="A24706" s="2">
        <v>43875.78225694444</v>
      </c>
      <c r="B24706" t="str">
        <f>HYPERLINK("https://twitter.com/vinamvr","@vinamvr")</f>
        <v>@vinamvr</v>
      </c>
      <c r="C24706" t="s">
        <v>11293</v>
      </c>
      <c r="D24706">
        <v>1</v>
      </c>
      <c r="E24706">
        <v>0</v>
      </c>
      <c r="F24706">
        <v>2057</v>
      </c>
    </row>
    <row r="24707" spans="1:6" ht="12.75">
      <c r="A24707" s="2">
        <v>43875.78224537037</v>
      </c>
      <c r="B24707" t="str">
        <f>HYPERLINK("https://twitter.com/fauzi_kun","@fauzi_kun")</f>
        <v>@fauzi_kun</v>
      </c>
      <c r="C24707" t="s">
        <v>2444</v>
      </c>
      <c r="D24707">
        <v>2074</v>
      </c>
      <c r="E24707">
        <v>0</v>
      </c>
      <c r="F24707">
        <v>175</v>
      </c>
    </row>
    <row r="24708" spans="1:6" ht="12.75">
      <c r="A24708" s="2">
        <v>43875.782106481478</v>
      </c>
      <c r="B24708" t="str">
        <f>HYPERLINK("https://twitter.com/mochipoppin","@mochipoppin")</f>
        <v>@mochipoppin</v>
      </c>
      <c r="C24708" t="s">
        <v>9067</v>
      </c>
      <c r="D24708">
        <v>19</v>
      </c>
      <c r="E24708">
        <v>0</v>
      </c>
      <c r="F24708">
        <v>1305</v>
      </c>
    </row>
    <row r="24709" spans="1:6" ht="12.75">
      <c r="A24709" s="2">
        <v>43875.782094907408</v>
      </c>
      <c r="B24709" t="str">
        <f>HYPERLINK("https://twitter.com/jeonvyne","@jeonvyne")</f>
        <v>@jeonvyne</v>
      </c>
      <c r="C24709" t="s">
        <v>2444</v>
      </c>
      <c r="D24709">
        <v>2074</v>
      </c>
      <c r="E24709">
        <v>0</v>
      </c>
      <c r="F24709">
        <v>1539</v>
      </c>
    </row>
    <row r="24710" spans="1:6" ht="12.75">
      <c r="A24710" s="2">
        <v>43875.782025462962</v>
      </c>
      <c r="B24710" t="str">
        <f>HYPERLINK("https://twitter.com/enny_endah","@enny_endah")</f>
        <v>@enny_endah</v>
      </c>
      <c r="C24710" t="s">
        <v>2963</v>
      </c>
      <c r="D24710">
        <v>1039</v>
      </c>
      <c r="E24710">
        <v>0</v>
      </c>
      <c r="F24710">
        <v>10598</v>
      </c>
    </row>
    <row r="24711" spans="1:6" ht="12.75">
      <c r="A24711" s="2">
        <v>43875.781967592593</v>
      </c>
      <c r="B24711" t="str">
        <f>HYPERLINK("https://twitter.com/konspirasinews","@konspirasinews")</f>
        <v>@konspirasinews</v>
      </c>
      <c r="C24711" t="s">
        <v>11294</v>
      </c>
      <c r="D24711">
        <v>0</v>
      </c>
      <c r="E24711">
        <v>0</v>
      </c>
      <c r="F24711">
        <v>745</v>
      </c>
    </row>
    <row r="24712" spans="1:6" ht="12.75">
      <c r="A24712" s="2">
        <v>43875.781909722224</v>
      </c>
      <c r="B24712" t="str">
        <f>HYPERLINK("https://twitter.com/mochipoppin","@mochipoppin")</f>
        <v>@mochipoppin</v>
      </c>
      <c r="C24712" t="s">
        <v>2444</v>
      </c>
      <c r="D24712">
        <v>2074</v>
      </c>
      <c r="E24712">
        <v>0</v>
      </c>
      <c r="F24712">
        <v>1305</v>
      </c>
    </row>
    <row r="24713" spans="1:6" ht="12.75">
      <c r="A24713" s="2">
        <v>43875.781863425931</v>
      </c>
      <c r="B24713" t="str">
        <f>HYPERLINK("https://twitter.com/gapedesgaasik","@gapedesgaasik")</f>
        <v>@gapedesgaasik</v>
      </c>
      <c r="C24713" t="s">
        <v>9123</v>
      </c>
      <c r="D24713">
        <v>255</v>
      </c>
      <c r="E24713">
        <v>0</v>
      </c>
      <c r="F24713">
        <v>138</v>
      </c>
    </row>
    <row r="24714" spans="1:6" ht="12.75">
      <c r="A24714" s="2">
        <v>43875.781851851847</v>
      </c>
      <c r="B24714" t="str">
        <f>HYPERLINK("https://twitter.com/MalangPostNews","@MalangPostNews")</f>
        <v>@MalangPostNews</v>
      </c>
      <c r="C24714" t="s">
        <v>11295</v>
      </c>
      <c r="D24714">
        <v>0</v>
      </c>
      <c r="E24714">
        <v>0</v>
      </c>
      <c r="F24714">
        <v>4</v>
      </c>
    </row>
    <row r="24715" spans="1:6" ht="12.75">
      <c r="A24715" s="2">
        <v>43875.781851851847</v>
      </c>
      <c r="B24715" t="str">
        <f>HYPERLINK("https://twitter.com/del_paizo","@del_paizo")</f>
        <v>@del_paizo</v>
      </c>
      <c r="C24715" t="s">
        <v>2963</v>
      </c>
      <c r="D24715">
        <v>1039</v>
      </c>
      <c r="E24715">
        <v>0</v>
      </c>
      <c r="F24715">
        <v>90</v>
      </c>
    </row>
    <row r="24716" spans="1:6" ht="12.75">
      <c r="A24716" s="2">
        <v>43875.781828703708</v>
      </c>
      <c r="B24716" t="str">
        <f>HYPERLINK("https://twitter.com/rudysarwa","@rudysarwa")</f>
        <v>@rudysarwa</v>
      </c>
      <c r="C24716" t="s">
        <v>11296</v>
      </c>
      <c r="D24716">
        <v>0</v>
      </c>
      <c r="E24716">
        <v>0</v>
      </c>
      <c r="F24716">
        <v>1366</v>
      </c>
    </row>
    <row r="24717" spans="1:6" ht="12.75">
      <c r="A24717" s="2">
        <v>43875.781805555554</v>
      </c>
      <c r="B24717" t="str">
        <f>HYPERLINK("https://twitter.com/temangumbal","@temangumbal")</f>
        <v>@temangumbal</v>
      </c>
      <c r="C24717" t="s">
        <v>9123</v>
      </c>
      <c r="D24717">
        <v>255</v>
      </c>
      <c r="E24717">
        <v>0</v>
      </c>
      <c r="F24717">
        <v>114</v>
      </c>
    </row>
    <row r="24718" spans="1:6" ht="12.75">
      <c r="A24718" s="2">
        <v>43875.781747685185</v>
      </c>
      <c r="B24718" t="str">
        <f>HYPERLINK("https://twitter.com/Adamsiapa","@Adamsiapa")</f>
        <v>@Adamsiapa</v>
      </c>
      <c r="C24718" t="s">
        <v>10052</v>
      </c>
      <c r="D24718">
        <v>56</v>
      </c>
      <c r="E24718">
        <v>0</v>
      </c>
      <c r="F24718">
        <v>411</v>
      </c>
    </row>
    <row r="24719" spans="1:6" ht="12.75">
      <c r="A24719" s="2">
        <v>43875.781747685185</v>
      </c>
      <c r="B24719" t="str">
        <f>HYPERLINK("https://twitter.com/Apriliaparida","@Apriliaparida")</f>
        <v>@Apriliaparida</v>
      </c>
      <c r="C24719" t="s">
        <v>2137</v>
      </c>
      <c r="D24719">
        <v>172</v>
      </c>
      <c r="E24719">
        <v>0</v>
      </c>
      <c r="F24719">
        <v>5312</v>
      </c>
    </row>
    <row r="24720" spans="1:6" ht="12.75">
      <c r="A24720" s="2">
        <v>43875.781736111108</v>
      </c>
      <c r="B24720" t="str">
        <f>HYPERLINK("https://twitter.com/vandynfl","@vandynfl")</f>
        <v>@vandynfl</v>
      </c>
      <c r="C24720" t="s">
        <v>11297</v>
      </c>
      <c r="D24720">
        <v>0</v>
      </c>
      <c r="E24720">
        <v>0</v>
      </c>
      <c r="F24720">
        <v>426</v>
      </c>
    </row>
    <row r="24721" spans="1:6" ht="12.75">
      <c r="A24721" s="2">
        <v>43875.781736111108</v>
      </c>
      <c r="B24721" t="str">
        <f>HYPERLINK("https://twitter.com/Indramajid8","@Indramajid8")</f>
        <v>@Indramajid8</v>
      </c>
      <c r="C24721" t="s">
        <v>6201</v>
      </c>
      <c r="D24721">
        <v>150</v>
      </c>
      <c r="E24721">
        <v>0</v>
      </c>
      <c r="F24721">
        <v>2271</v>
      </c>
    </row>
    <row r="24722" spans="1:6" ht="12.75">
      <c r="A24722" s="2">
        <v>43875.781666666662</v>
      </c>
      <c r="B24722" t="str">
        <f>HYPERLINK("https://twitter.com/jishusi","@jishusi")</f>
        <v>@jishusi</v>
      </c>
      <c r="C24722" t="s">
        <v>2444</v>
      </c>
      <c r="D24722">
        <v>2074</v>
      </c>
      <c r="E24722">
        <v>0</v>
      </c>
      <c r="F24722">
        <v>966</v>
      </c>
    </row>
    <row r="24723" spans="1:6" ht="12.75">
      <c r="A24723" s="2">
        <v>43875.781666666662</v>
      </c>
      <c r="B24723" t="str">
        <f>HYPERLINK("https://twitter.com/GanisFahrul_","@GanisFahrul_")</f>
        <v>@GanisFahrul_</v>
      </c>
      <c r="C24723" t="s">
        <v>8233</v>
      </c>
      <c r="D24723">
        <v>496</v>
      </c>
      <c r="E24723">
        <v>0</v>
      </c>
      <c r="F24723">
        <v>361</v>
      </c>
    </row>
    <row r="24724" spans="1:6" ht="12.75">
      <c r="A24724" s="2">
        <v>43875.781631944439</v>
      </c>
      <c r="B24724" t="str">
        <f>HYPERLINK("https://twitter.com/kyunchan24","@kyunchan24")</f>
        <v>@kyunchan24</v>
      </c>
      <c r="C24724" t="s">
        <v>2444</v>
      </c>
      <c r="D24724">
        <v>2074</v>
      </c>
      <c r="E24724">
        <v>0</v>
      </c>
      <c r="F24724">
        <v>359</v>
      </c>
    </row>
    <row r="24725" spans="1:6" ht="12.75">
      <c r="A24725" s="2">
        <v>43875.7815162037</v>
      </c>
      <c r="B24725" t="str">
        <f>HYPERLINK("https://twitter.com/erwin_agusta","@erwin_agusta")</f>
        <v>@erwin_agusta</v>
      </c>
      <c r="C24725" t="s">
        <v>9746</v>
      </c>
      <c r="D24725">
        <v>310</v>
      </c>
      <c r="E24725">
        <v>0</v>
      </c>
      <c r="F24725">
        <v>84</v>
      </c>
    </row>
    <row r="24726" spans="1:6" ht="12.75">
      <c r="A24726" s="2">
        <v>43875.781458333338</v>
      </c>
      <c r="B24726" t="str">
        <f>HYPERLINK("https://twitter.com/indowarta1","@indowarta1")</f>
        <v>@indowarta1</v>
      </c>
      <c r="C24726" t="s">
        <v>11298</v>
      </c>
      <c r="D24726">
        <v>0</v>
      </c>
      <c r="E24726">
        <v>0</v>
      </c>
      <c r="F24726">
        <v>4695</v>
      </c>
    </row>
    <row r="24727" spans="1:6" ht="12.75">
      <c r="A24727" s="2">
        <v>43875.781458333338</v>
      </c>
      <c r="B24727" t="str">
        <f>HYPERLINK("https://twitter.com/JohnZEddi1","@JohnZEddi1")</f>
        <v>@JohnZEddi1</v>
      </c>
      <c r="C24727" t="s">
        <v>9746</v>
      </c>
      <c r="D24727">
        <v>310</v>
      </c>
      <c r="E24727">
        <v>0</v>
      </c>
      <c r="F24727">
        <v>1457</v>
      </c>
    </row>
    <row r="24728" spans="1:6" ht="12.75">
      <c r="A24728" s="2">
        <v>43875.781423611115</v>
      </c>
      <c r="B24728" t="str">
        <f>HYPERLINK("https://twitter.com/aguswantoo","@aguswantoo")</f>
        <v>@aguswantoo</v>
      </c>
      <c r="C24728" t="s">
        <v>11299</v>
      </c>
      <c r="D24728">
        <v>39</v>
      </c>
      <c r="E24728">
        <v>0</v>
      </c>
      <c r="F24728">
        <v>52</v>
      </c>
    </row>
    <row r="24729" spans="1:6" ht="12.75">
      <c r="A24729" s="2">
        <v>43875.781388888892</v>
      </c>
      <c r="B24729" t="str">
        <f>HYPERLINK("https://twitter.com/stappkusut","@stappkusut")</f>
        <v>@stappkusut</v>
      </c>
      <c r="C24729" t="s">
        <v>7478</v>
      </c>
      <c r="D24729">
        <v>323</v>
      </c>
      <c r="E24729">
        <v>0</v>
      </c>
      <c r="F24729">
        <v>1483</v>
      </c>
    </row>
    <row r="24730" spans="1:6" ht="12.75">
      <c r="A24730" s="2">
        <v>43875.781377314815</v>
      </c>
      <c r="B24730" t="str">
        <f>HYPERLINK("https://twitter.com/jepriadim2","@jepriadim2")</f>
        <v>@jepriadim2</v>
      </c>
      <c r="C24730" t="s">
        <v>9096</v>
      </c>
      <c r="D24730">
        <v>198</v>
      </c>
      <c r="E24730">
        <v>0</v>
      </c>
      <c r="F24730">
        <v>321</v>
      </c>
    </row>
    <row r="24731" spans="1:6" ht="12.75">
      <c r="A24731" s="2">
        <v>43875.781354166669</v>
      </c>
      <c r="B24731" t="str">
        <f>HYPERLINK("https://twitter.com/Indramajid8","@Indramajid8")</f>
        <v>@Indramajid8</v>
      </c>
      <c r="C24731" t="s">
        <v>9746</v>
      </c>
      <c r="D24731">
        <v>310</v>
      </c>
      <c r="E24731">
        <v>0</v>
      </c>
      <c r="F24731">
        <v>2271</v>
      </c>
    </row>
    <row r="24732" spans="1:6" ht="12.75">
      <c r="A24732" s="2">
        <v>43875.781342592592</v>
      </c>
      <c r="B24732" t="str">
        <f>HYPERLINK("https://twitter.com/ISIS_Balik_NO","@ISIS_Balik_NO")</f>
        <v>@ISIS_Balik_NO</v>
      </c>
      <c r="C24732" t="s">
        <v>11300</v>
      </c>
      <c r="D24732">
        <v>1</v>
      </c>
      <c r="E24732">
        <v>0</v>
      </c>
      <c r="F24732">
        <v>5903</v>
      </c>
    </row>
    <row r="24733" spans="1:6" ht="12.75">
      <c r="A24733" s="2">
        <v>43875.781331018516</v>
      </c>
      <c r="B24733" t="str">
        <f>HYPERLINK("https://twitter.com/Fertyrrn","@Fertyrrn")</f>
        <v>@Fertyrrn</v>
      </c>
      <c r="C24733" t="s">
        <v>2444</v>
      </c>
      <c r="D24733">
        <v>2074</v>
      </c>
      <c r="E24733">
        <v>0</v>
      </c>
      <c r="F24733">
        <v>540</v>
      </c>
    </row>
    <row r="24734" spans="1:6" ht="12.75">
      <c r="A24734" s="2">
        <v>43875.781226851846</v>
      </c>
      <c r="B24734" t="str">
        <f>HYPERLINK("https://twitter.com/vinkavallen","@vinkavallen")</f>
        <v>@vinkavallen</v>
      </c>
      <c r="C24734" t="s">
        <v>9123</v>
      </c>
      <c r="D24734">
        <v>255</v>
      </c>
      <c r="E24734">
        <v>0</v>
      </c>
      <c r="F24734">
        <v>1265</v>
      </c>
    </row>
    <row r="24735" spans="1:6" ht="12.75">
      <c r="A24735" s="2">
        <v>43875.781203703707</v>
      </c>
      <c r="B24735" t="str">
        <f>HYPERLINK("https://twitter.com/seekorberuang","@seekorberuang")</f>
        <v>@seekorberuang</v>
      </c>
      <c r="C24735" t="s">
        <v>2444</v>
      </c>
      <c r="D24735">
        <v>2074</v>
      </c>
      <c r="E24735">
        <v>0</v>
      </c>
      <c r="F24735">
        <v>698</v>
      </c>
    </row>
    <row r="24736" spans="1:6" ht="12.75">
      <c r="A24736" s="2">
        <v>43875.781192129631</v>
      </c>
      <c r="B24736" t="str">
        <f>HYPERLINK("https://twitter.com/setyosby","@setyosby")</f>
        <v>@setyosby</v>
      </c>
      <c r="C24736" t="s">
        <v>7478</v>
      </c>
      <c r="D24736">
        <v>323</v>
      </c>
      <c r="E24736">
        <v>0</v>
      </c>
      <c r="F24736">
        <v>1925</v>
      </c>
    </row>
    <row r="24737" spans="1:6" ht="12.75">
      <c r="A24737" s="2">
        <v>43875.781192129631</v>
      </c>
      <c r="B24737" t="str">
        <f>HYPERLINK("https://twitter.com/_CHlS_","@_CHlS_")</f>
        <v>@_CHlS_</v>
      </c>
      <c r="C24737" t="s">
        <v>7888</v>
      </c>
      <c r="D24737">
        <v>13</v>
      </c>
      <c r="E24737">
        <v>0</v>
      </c>
      <c r="F24737">
        <v>2695</v>
      </c>
    </row>
    <row r="24738" spans="1:6" ht="12.75">
      <c r="A24738" s="2">
        <v>43875.781134259261</v>
      </c>
      <c r="B24738" t="str">
        <f>HYPERLINK("https://twitter.com/neoizzy","@neoizzy")</f>
        <v>@neoizzy</v>
      </c>
      <c r="C24738" t="s">
        <v>2444</v>
      </c>
      <c r="D24738">
        <v>2074</v>
      </c>
      <c r="E24738">
        <v>0</v>
      </c>
      <c r="F24738">
        <v>1511</v>
      </c>
    </row>
    <row r="24739" spans="1:6" ht="12.75">
      <c r="A24739" s="2">
        <v>43875.781087962961</v>
      </c>
      <c r="B24739" t="str">
        <f>HYPERLINK("https://twitter.com/gremory_saung","@gremory_saung")</f>
        <v>@gremory_saung</v>
      </c>
      <c r="C24739" t="s">
        <v>10300</v>
      </c>
      <c r="D24739">
        <v>51</v>
      </c>
      <c r="E24739">
        <v>0</v>
      </c>
      <c r="F24739">
        <v>247</v>
      </c>
    </row>
    <row r="24740" spans="1:6" ht="12.75">
      <c r="A24740" s="2">
        <v>43875.780960648146</v>
      </c>
      <c r="B24740" t="str">
        <f>HYPERLINK("https://twitter.com/jacktherock5","@jacktherock5")</f>
        <v>@jacktherock5</v>
      </c>
      <c r="C24740" t="s">
        <v>11301</v>
      </c>
      <c r="D24740">
        <v>0</v>
      </c>
      <c r="E24740">
        <v>0</v>
      </c>
      <c r="F24740">
        <v>344</v>
      </c>
    </row>
    <row r="24741" spans="1:6" ht="12.75">
      <c r="A24741" s="2">
        <v>43875.780925925923</v>
      </c>
      <c r="B24741" t="str">
        <f>HYPERLINK("https://twitter.com/AnjasKaTrok","@AnjasKaTrok")</f>
        <v>@AnjasKaTrok</v>
      </c>
      <c r="C24741" t="s">
        <v>11302</v>
      </c>
      <c r="D24741">
        <v>2</v>
      </c>
      <c r="E24741">
        <v>0</v>
      </c>
      <c r="F24741">
        <v>385</v>
      </c>
    </row>
    <row r="24742" spans="1:6" ht="12.75">
      <c r="A24742" s="2">
        <v>43875.780902777777</v>
      </c>
      <c r="B24742" t="str">
        <f>HYPERLINK("https://twitter.com/kocu_moonthe","@kocu_moonthe")</f>
        <v>@kocu_moonthe</v>
      </c>
      <c r="C24742" t="s">
        <v>11303</v>
      </c>
      <c r="D24742">
        <v>0</v>
      </c>
      <c r="E24742">
        <v>0</v>
      </c>
      <c r="F24742">
        <v>339</v>
      </c>
    </row>
    <row r="24743" spans="1:6" ht="12.75">
      <c r="A24743" s="2">
        <v>43875.7808912037</v>
      </c>
      <c r="B24743" t="str">
        <f>HYPERLINK("https://twitter.com/wibowodwicahyo","@wibowodwicahyo")</f>
        <v>@wibowodwicahyo</v>
      </c>
      <c r="C24743" t="s">
        <v>8233</v>
      </c>
      <c r="D24743">
        <v>496</v>
      </c>
      <c r="E24743">
        <v>0</v>
      </c>
      <c r="F24743">
        <v>551</v>
      </c>
    </row>
    <row r="24744" spans="1:6" ht="12.75">
      <c r="A24744" s="2">
        <v>43875.78087962963</v>
      </c>
      <c r="B24744" t="str">
        <f>HYPERLINK("https://twitter.com/ryanxyz","@ryanxyz")</f>
        <v>@ryanxyz</v>
      </c>
      <c r="C24744" t="s">
        <v>2963</v>
      </c>
      <c r="D24744">
        <v>1039</v>
      </c>
      <c r="E24744">
        <v>0</v>
      </c>
      <c r="F24744">
        <v>1190</v>
      </c>
    </row>
    <row r="24745" spans="1:6" ht="12.75">
      <c r="A24745" s="2">
        <v>43875.780787037038</v>
      </c>
      <c r="B24745" t="str">
        <f>HYPERLINK("https://twitter.com/HERALDI141","@HERALDI141")</f>
        <v>@HERALDI141</v>
      </c>
      <c r="C24745" t="s">
        <v>6201</v>
      </c>
      <c r="D24745">
        <v>150</v>
      </c>
      <c r="E24745">
        <v>0</v>
      </c>
      <c r="F24745">
        <v>538</v>
      </c>
    </row>
    <row r="24746" spans="1:6" ht="12.75">
      <c r="A24746" s="2">
        <v>43875.780694444446</v>
      </c>
      <c r="B24746" t="str">
        <f>HYPERLINK("https://twitter.com/tonelemonade","@tonelemonade")</f>
        <v>@tonelemonade</v>
      </c>
      <c r="C24746" t="s">
        <v>11304</v>
      </c>
      <c r="D24746">
        <v>0</v>
      </c>
      <c r="E24746">
        <v>0</v>
      </c>
      <c r="F24746">
        <v>1580</v>
      </c>
    </row>
    <row r="24747" spans="1:6" ht="12.75">
      <c r="A24747" s="2">
        <v>43875.780682870369</v>
      </c>
      <c r="B24747" t="str">
        <f>HYPERLINK("https://twitter.com/naniindah","@naniindah")</f>
        <v>@naniindah</v>
      </c>
      <c r="C24747" t="s">
        <v>2444</v>
      </c>
      <c r="D24747">
        <v>2074</v>
      </c>
      <c r="E24747">
        <v>0</v>
      </c>
      <c r="F24747">
        <v>352</v>
      </c>
    </row>
    <row r="24748" spans="1:6" ht="12.75">
      <c r="A24748" s="2">
        <v>43875.780659722222</v>
      </c>
      <c r="B24748" t="str">
        <f>HYPERLINK("https://twitter.com/jepriadim2","@jepriadim2")</f>
        <v>@jepriadim2</v>
      </c>
      <c r="C24748" t="s">
        <v>10542</v>
      </c>
      <c r="D24748">
        <v>146</v>
      </c>
      <c r="E24748">
        <v>0</v>
      </c>
      <c r="F24748">
        <v>321</v>
      </c>
    </row>
    <row r="24749" spans="1:6" ht="12.75">
      <c r="A24749" s="2">
        <v>43875.780659722222</v>
      </c>
      <c r="B24749" t="str">
        <f>HYPERLINK("https://twitter.com/sweetskoo","@sweetskoo")</f>
        <v>@sweetskoo</v>
      </c>
      <c r="C24749" t="s">
        <v>9123</v>
      </c>
      <c r="D24749">
        <v>255</v>
      </c>
      <c r="E24749">
        <v>0</v>
      </c>
      <c r="F24749">
        <v>2847</v>
      </c>
    </row>
    <row r="24750" spans="1:6" ht="12.75">
      <c r="A24750" s="2">
        <v>43875.780601851853</v>
      </c>
      <c r="B24750" t="str">
        <f>HYPERLINK("https://twitter.com/Fredy_Santana01","@Fredy_Santana01")</f>
        <v>@Fredy_Santana01</v>
      </c>
      <c r="C24750" t="s">
        <v>7888</v>
      </c>
      <c r="D24750">
        <v>13</v>
      </c>
      <c r="E24750">
        <v>0</v>
      </c>
      <c r="F24750">
        <v>1686</v>
      </c>
    </row>
    <row r="24751" spans="1:6" ht="12.75">
      <c r="A24751" s="2">
        <v>43875.780578703707</v>
      </c>
      <c r="B24751" t="str">
        <f>HYPERLINK("https://twitter.com/Anto_D_ES","@Anto_D_ES")</f>
        <v>@Anto_D_ES</v>
      </c>
      <c r="C24751" t="s">
        <v>6201</v>
      </c>
      <c r="D24751">
        <v>150</v>
      </c>
      <c r="E24751">
        <v>0</v>
      </c>
      <c r="F24751">
        <v>195</v>
      </c>
    </row>
    <row r="24752" spans="1:6" ht="12.75">
      <c r="A24752" s="2">
        <v>43875.780439814815</v>
      </c>
      <c r="B24752" t="str">
        <f>HYPERLINK("https://twitter.com/herryfa_","@herryfa_")</f>
        <v>@herryfa_</v>
      </c>
      <c r="C24752" t="s">
        <v>2444</v>
      </c>
      <c r="D24752">
        <v>2074</v>
      </c>
      <c r="E24752">
        <v>0</v>
      </c>
      <c r="F24752">
        <v>376</v>
      </c>
    </row>
    <row r="24753" spans="1:6" ht="12.75">
      <c r="A24753" s="2">
        <v>43875.780405092592</v>
      </c>
      <c r="B24753" t="str">
        <f>HYPERLINK("https://twitter.com/larasatityass","@larasatityass")</f>
        <v>@larasatityass</v>
      </c>
      <c r="C24753" t="s">
        <v>11305</v>
      </c>
      <c r="D24753">
        <v>1</v>
      </c>
      <c r="E24753">
        <v>0</v>
      </c>
      <c r="F24753">
        <v>692</v>
      </c>
    </row>
    <row r="24754" spans="1:6" ht="12.75">
      <c r="A24754" s="2">
        <v>43875.780393518522</v>
      </c>
      <c r="B24754" t="str">
        <f>HYPERLINK("https://twitter.com/Gendorowo3","@Gendorowo3")</f>
        <v>@Gendorowo3</v>
      </c>
      <c r="C24754" t="s">
        <v>11306</v>
      </c>
      <c r="D24754">
        <v>2</v>
      </c>
      <c r="E24754">
        <v>0</v>
      </c>
      <c r="F24754">
        <v>91</v>
      </c>
    </row>
    <row r="24755" spans="1:6" ht="12.75">
      <c r="A24755" s="2">
        <v>43875.780358796299</v>
      </c>
      <c r="B24755" t="str">
        <f>HYPERLINK("https://twitter.com/lumayannt","@lumayannt")</f>
        <v>@lumayannt</v>
      </c>
      <c r="C24755" t="s">
        <v>2444</v>
      </c>
      <c r="D24755">
        <v>2074</v>
      </c>
      <c r="E24755">
        <v>0</v>
      </c>
      <c r="F24755">
        <v>3849</v>
      </c>
    </row>
    <row r="24756" spans="1:6" ht="12.75">
      <c r="A24756" s="2">
        <v>43875.780347222222</v>
      </c>
      <c r="B24756" t="str">
        <f>HYPERLINK("https://twitter.com/Gendorowo3","@Gendorowo3")</f>
        <v>@Gendorowo3</v>
      </c>
      <c r="C24756" t="s">
        <v>11307</v>
      </c>
      <c r="D24756">
        <v>1</v>
      </c>
      <c r="E24756">
        <v>0</v>
      </c>
      <c r="F24756">
        <v>91</v>
      </c>
    </row>
    <row r="24757" spans="1:6" ht="12.75">
      <c r="A24757" s="2">
        <v>43875.780231481476</v>
      </c>
      <c r="B24757" t="str">
        <f>HYPERLINK("https://twitter.com/arsyikaa","@arsyikaa")</f>
        <v>@arsyikaa</v>
      </c>
      <c r="C24757" t="s">
        <v>2444</v>
      </c>
      <c r="D24757">
        <v>2074</v>
      </c>
      <c r="E24757">
        <v>0</v>
      </c>
      <c r="F24757">
        <v>260</v>
      </c>
    </row>
    <row r="24758" spans="1:6" ht="12.75">
      <c r="A24758" s="2">
        <v>43875.780231481476</v>
      </c>
      <c r="B24758" t="str">
        <f>HYPERLINK("https://twitter.com/beritabuanaco","@beritabuanaco")</f>
        <v>@beritabuanaco</v>
      </c>
      <c r="C24758" t="s">
        <v>11308</v>
      </c>
      <c r="D24758">
        <v>0</v>
      </c>
      <c r="E24758">
        <v>0</v>
      </c>
      <c r="F24758">
        <v>66</v>
      </c>
    </row>
    <row r="24759" spans="1:6" ht="12.75">
      <c r="A24759" s="2">
        <v>43875.780127314814</v>
      </c>
      <c r="B24759" t="str">
        <f>HYPERLINK("https://twitter.com/violetpetale","@violetpetale")</f>
        <v>@violetpetale</v>
      </c>
      <c r="C24759" t="s">
        <v>2444</v>
      </c>
      <c r="D24759">
        <v>2074</v>
      </c>
      <c r="E24759">
        <v>0</v>
      </c>
      <c r="F24759">
        <v>188</v>
      </c>
    </row>
    <row r="24760" spans="1:6" ht="12.75">
      <c r="A24760" s="2">
        <v>43875.780092592591</v>
      </c>
      <c r="B24760" t="str">
        <f>HYPERLINK("https://twitter.com/dianpetet91","@dianpetet91")</f>
        <v>@dianpetet91</v>
      </c>
      <c r="C24760" t="s">
        <v>7478</v>
      </c>
      <c r="D24760">
        <v>323</v>
      </c>
      <c r="E24760">
        <v>0</v>
      </c>
      <c r="F24760">
        <v>60</v>
      </c>
    </row>
    <row r="24761" spans="1:6" ht="12.75">
      <c r="A24761" s="2">
        <v>43875.780023148152</v>
      </c>
      <c r="B24761" t="str">
        <f>HYPERLINK("https://twitter.com/JohnZEddi1","@JohnZEddi1")</f>
        <v>@JohnZEddi1</v>
      </c>
      <c r="C24761" t="s">
        <v>7478</v>
      </c>
      <c r="D24761">
        <v>323</v>
      </c>
      <c r="E24761">
        <v>0</v>
      </c>
      <c r="F24761">
        <v>1457</v>
      </c>
    </row>
    <row r="24762" spans="1:6" ht="12.75">
      <c r="A24762" s="2">
        <v>43875.779976851853</v>
      </c>
      <c r="B24762" t="str">
        <f>HYPERLINK("https://twitter.com/Atha879","@Atha879")</f>
        <v>@Atha879</v>
      </c>
      <c r="C24762" t="s">
        <v>2444</v>
      </c>
      <c r="D24762">
        <v>2074</v>
      </c>
      <c r="E24762">
        <v>0</v>
      </c>
      <c r="F24762">
        <v>1392</v>
      </c>
    </row>
    <row r="24763" spans="1:6" ht="12.75">
      <c r="A24763" s="2">
        <v>43875.779965277776</v>
      </c>
      <c r="B24763" t="str">
        <f>HYPERLINK("https://twitter.com/salwaputris","@salwaputris")</f>
        <v>@salwaputris</v>
      </c>
      <c r="C24763" t="s">
        <v>2444</v>
      </c>
      <c r="D24763">
        <v>2074</v>
      </c>
      <c r="E24763">
        <v>0</v>
      </c>
      <c r="F24763">
        <v>70</v>
      </c>
    </row>
    <row r="24764" spans="1:6" ht="12.75">
      <c r="A24764" s="2">
        <v>43875.779965277776</v>
      </c>
      <c r="B24764" t="str">
        <f>HYPERLINK("https://twitter.com/arya_batara","@arya_batara")</f>
        <v>@arya_batara</v>
      </c>
      <c r="C24764" t="s">
        <v>2444</v>
      </c>
      <c r="D24764">
        <v>2074</v>
      </c>
      <c r="E24764">
        <v>0</v>
      </c>
      <c r="F24764">
        <v>1733</v>
      </c>
    </row>
    <row r="24765" spans="1:6" ht="12.75">
      <c r="A24765" s="2">
        <v>43875.779918981483</v>
      </c>
      <c r="B24765" t="str">
        <f>HYPERLINK("https://twitter.com/Gendorowo3","@Gendorowo3")</f>
        <v>@Gendorowo3</v>
      </c>
      <c r="C24765" t="s">
        <v>11309</v>
      </c>
      <c r="D24765">
        <v>2</v>
      </c>
      <c r="E24765">
        <v>0</v>
      </c>
      <c r="F24765">
        <v>91</v>
      </c>
    </row>
    <row r="24766" spans="1:6" ht="12.75">
      <c r="A24766" s="2">
        <v>43875.77988425926</v>
      </c>
      <c r="B24766" t="str">
        <f>HYPERLINK("https://twitter.com/alfa1174","@alfa1174")</f>
        <v>@alfa1174</v>
      </c>
      <c r="C24766" t="s">
        <v>6201</v>
      </c>
      <c r="D24766">
        <v>150</v>
      </c>
      <c r="E24766">
        <v>0</v>
      </c>
      <c r="F24766">
        <v>2327</v>
      </c>
    </row>
    <row r="24767" spans="1:6" ht="12.75">
      <c r="A24767" s="2">
        <v>43875.779814814814</v>
      </c>
      <c r="B24767" t="str">
        <f>HYPERLINK("https://twitter.com/Staargaziing","@Staargaziing")</f>
        <v>@Staargaziing</v>
      </c>
      <c r="C24767" t="s">
        <v>10266</v>
      </c>
      <c r="D24767">
        <v>273</v>
      </c>
      <c r="E24767">
        <v>0</v>
      </c>
      <c r="F24767">
        <v>435</v>
      </c>
    </row>
    <row r="24768" spans="1:6" ht="12.75">
      <c r="A24768" s="2">
        <v>43875.779803240745</v>
      </c>
      <c r="B24768" t="str">
        <f>HYPERLINK("https://twitter.com/MataMediaMMC","@MataMediaMMC")</f>
        <v>@MataMediaMMC</v>
      </c>
      <c r="C24768" t="s">
        <v>11310</v>
      </c>
      <c r="D24768">
        <v>0</v>
      </c>
      <c r="E24768">
        <v>0</v>
      </c>
      <c r="F24768">
        <v>678</v>
      </c>
    </row>
    <row r="24769" spans="1:6" ht="12.75">
      <c r="A24769" s="2">
        <v>43875.779756944445</v>
      </c>
      <c r="B24769" t="str">
        <f>HYPERLINK("https://twitter.com/HariNugros05","@HariNugros05")</f>
        <v>@HariNugros05</v>
      </c>
      <c r="C24769" t="s">
        <v>6201</v>
      </c>
      <c r="D24769">
        <v>150</v>
      </c>
      <c r="E24769">
        <v>0</v>
      </c>
      <c r="F24769">
        <v>655</v>
      </c>
    </row>
    <row r="24770" spans="1:6" ht="12.75">
      <c r="A24770" s="2">
        <v>43875.779745370368</v>
      </c>
      <c r="B24770" t="str">
        <f>HYPERLINK("https://twitter.com/dianpetet91","@dianpetet91")</f>
        <v>@dianpetet91</v>
      </c>
      <c r="C24770" t="s">
        <v>9746</v>
      </c>
      <c r="D24770">
        <v>310</v>
      </c>
      <c r="E24770">
        <v>0</v>
      </c>
      <c r="F24770">
        <v>60</v>
      </c>
    </row>
    <row r="24771" spans="1:6" ht="12.75">
      <c r="A24771" s="2">
        <v>43875.779675925922</v>
      </c>
      <c r="B24771" t="str">
        <f>HYPERLINK("https://twitter.com/HarkatuZaman","@HarkatuZaman")</f>
        <v>@HarkatuZaman</v>
      </c>
      <c r="C24771" t="s">
        <v>11292</v>
      </c>
      <c r="D24771">
        <v>5</v>
      </c>
      <c r="E24771">
        <v>0</v>
      </c>
      <c r="F24771">
        <v>461</v>
      </c>
    </row>
    <row r="24772" spans="1:6" ht="12.75">
      <c r="A24772" s="2">
        <v>43875.779664351852</v>
      </c>
      <c r="B24772" t="str">
        <f>HYPERLINK("https://twitter.com/Hardy_1097","@Hardy_1097")</f>
        <v>@Hardy_1097</v>
      </c>
      <c r="C24772" t="s">
        <v>8233</v>
      </c>
      <c r="D24772">
        <v>496</v>
      </c>
      <c r="E24772">
        <v>0</v>
      </c>
      <c r="F24772">
        <v>363</v>
      </c>
    </row>
    <row r="24773" spans="1:6" ht="12.75">
      <c r="A24773" s="2">
        <v>43875.779641203699</v>
      </c>
      <c r="B24773" t="str">
        <f>HYPERLINK("https://twitter.com/sampalle","@sampalle")</f>
        <v>@sampalle</v>
      </c>
      <c r="C24773" t="s">
        <v>9746</v>
      </c>
      <c r="D24773">
        <v>310</v>
      </c>
      <c r="E24773">
        <v>0</v>
      </c>
      <c r="F24773">
        <v>1179</v>
      </c>
    </row>
    <row r="24774" spans="1:6" ht="12.75">
      <c r="A24774" s="2">
        <v>43875.779641203699</v>
      </c>
      <c r="B24774" t="str">
        <f>HYPERLINK("https://twitter.com/lisa_amuro32","@lisa_amuro32")</f>
        <v>@lisa_amuro32</v>
      </c>
      <c r="C24774" t="s">
        <v>11311</v>
      </c>
      <c r="D24774">
        <v>1</v>
      </c>
      <c r="E24774">
        <v>0</v>
      </c>
      <c r="F24774">
        <v>73</v>
      </c>
    </row>
    <row r="24775" spans="1:6" ht="12.75">
      <c r="A24775" s="2">
        <v>43875.77961805556</v>
      </c>
      <c r="B24775" t="str">
        <f>HYPERLINK("https://twitter.com/_kamelien","@_kamelien")</f>
        <v>@_kamelien</v>
      </c>
      <c r="C24775" t="s">
        <v>9067</v>
      </c>
      <c r="D24775">
        <v>19</v>
      </c>
      <c r="E24775">
        <v>0</v>
      </c>
      <c r="F24775">
        <v>102</v>
      </c>
    </row>
    <row r="24776" spans="1:6" ht="12.75">
      <c r="A24776" s="2">
        <v>43875.779606481483</v>
      </c>
      <c r="B24776" t="str">
        <f>HYPERLINK("https://twitter.com/robiyantooo","@robiyantooo")</f>
        <v>@robiyantooo</v>
      </c>
      <c r="C24776" t="s">
        <v>10300</v>
      </c>
      <c r="D24776">
        <v>51</v>
      </c>
      <c r="E24776">
        <v>0</v>
      </c>
      <c r="F24776">
        <v>336</v>
      </c>
    </row>
    <row r="24777" spans="1:6" ht="12.75">
      <c r="A24777" s="2">
        <v>43875.779537037037</v>
      </c>
      <c r="B24777" t="str">
        <f>HYPERLINK("https://twitter.com/AnakLolina","@AnakLolina")</f>
        <v>@AnakLolina</v>
      </c>
      <c r="C24777" t="s">
        <v>11095</v>
      </c>
      <c r="D24777">
        <v>110</v>
      </c>
      <c r="E24777">
        <v>0</v>
      </c>
      <c r="F24777">
        <v>14516</v>
      </c>
    </row>
    <row r="24778" spans="1:6" ht="12.75">
      <c r="A24778" s="2">
        <v>43875.77952546296</v>
      </c>
      <c r="B24778" t="str">
        <f>HYPERLINK("https://twitter.com/Metro_TV","@Metro_TV")</f>
        <v>@Metro_TV</v>
      </c>
      <c r="C24778" t="s">
        <v>11312</v>
      </c>
      <c r="D24778">
        <v>0</v>
      </c>
      <c r="E24778">
        <v>9</v>
      </c>
      <c r="F24778">
        <v>10509032</v>
      </c>
    </row>
    <row r="24779" spans="1:6" ht="12.75">
      <c r="A24779" s="2">
        <v>43875.779490740737</v>
      </c>
      <c r="B24779" t="str">
        <f>HYPERLINK("https://twitter.com/hallidii","@hallidii")</f>
        <v>@hallidii</v>
      </c>
      <c r="C24779" t="s">
        <v>11313</v>
      </c>
      <c r="D24779">
        <v>1</v>
      </c>
      <c r="E24779">
        <v>0</v>
      </c>
      <c r="F24779">
        <v>272</v>
      </c>
    </row>
    <row r="24780" spans="1:6" ht="12.75">
      <c r="A24780" s="2">
        <v>43875.779444444444</v>
      </c>
      <c r="B24780" t="str">
        <f>HYPERLINK("https://twitter.com/prawirasubarjah","@prawirasubarjah")</f>
        <v>@prawirasubarjah</v>
      </c>
      <c r="C24780" t="s">
        <v>11314</v>
      </c>
      <c r="D24780">
        <v>0</v>
      </c>
      <c r="E24780">
        <v>0</v>
      </c>
      <c r="F24780">
        <v>662</v>
      </c>
    </row>
    <row r="24781" spans="1:6" ht="12.75">
      <c r="A24781" s="2">
        <v>43875.779409722221</v>
      </c>
      <c r="B24781" t="str">
        <f>HYPERLINK("https://twitter.com/AbdulQa40393925","@AbdulQa40393925")</f>
        <v>@AbdulQa40393925</v>
      </c>
      <c r="C24781" t="s">
        <v>9998</v>
      </c>
      <c r="D24781">
        <v>103</v>
      </c>
      <c r="E24781">
        <v>0</v>
      </c>
      <c r="F24781">
        <v>11</v>
      </c>
    </row>
    <row r="24782" spans="1:6" ht="12.75">
      <c r="A24782" s="2">
        <v>43875.779386574075</v>
      </c>
      <c r="B24782" t="str">
        <f>HYPERLINK("https://twitter.com/Indramajid8","@Indramajid8")</f>
        <v>@Indramajid8</v>
      </c>
      <c r="C24782" t="s">
        <v>10407</v>
      </c>
      <c r="D24782">
        <v>51</v>
      </c>
      <c r="E24782">
        <v>0</v>
      </c>
      <c r="F24782">
        <v>2271</v>
      </c>
    </row>
    <row r="24783" spans="1:6" ht="12.75">
      <c r="A24783" s="2">
        <v>43875.779363425929</v>
      </c>
      <c r="B24783" t="str">
        <f>HYPERLINK("https://twitter.com/tapicewereceh","@tapicewereceh")</f>
        <v>@tapicewereceh</v>
      </c>
      <c r="C24783" t="s">
        <v>11315</v>
      </c>
      <c r="D24783">
        <v>0</v>
      </c>
      <c r="E24783">
        <v>0</v>
      </c>
      <c r="F24783">
        <v>355</v>
      </c>
    </row>
    <row r="24784" spans="1:6" ht="12.75">
      <c r="A24784" s="2">
        <v>43875.779317129629</v>
      </c>
      <c r="B24784" t="str">
        <f>HYPERLINK("https://twitter.com/Gendorowo3","@Gendorowo3")</f>
        <v>@Gendorowo3</v>
      </c>
      <c r="C24784" t="s">
        <v>11316</v>
      </c>
      <c r="D24784">
        <v>0</v>
      </c>
      <c r="E24784">
        <v>0</v>
      </c>
      <c r="F24784">
        <v>91</v>
      </c>
    </row>
    <row r="24785" spans="1:6" ht="12.75">
      <c r="A24785" s="2">
        <v>43875.779282407406</v>
      </c>
      <c r="B24785" t="str">
        <f>HYPERLINK("https://twitter.com/biancacecilya","@biancacecilya")</f>
        <v>@biancacecilya</v>
      </c>
      <c r="C24785" t="s">
        <v>11317</v>
      </c>
      <c r="D24785">
        <v>0</v>
      </c>
      <c r="E24785">
        <v>0</v>
      </c>
      <c r="F24785">
        <v>116</v>
      </c>
    </row>
    <row r="24786" spans="1:6" ht="12.75">
      <c r="A24786" s="2">
        <v>43875.779282407406</v>
      </c>
      <c r="B24786" t="str">
        <f>HYPERLINK("https://twitter.com/W_Zamby_BanJir","@W_Zamby_BanJir")</f>
        <v>@W_Zamby_BanJir</v>
      </c>
      <c r="C24786" t="s">
        <v>9165</v>
      </c>
      <c r="D24786">
        <v>0</v>
      </c>
      <c r="E24786">
        <v>0</v>
      </c>
      <c r="F24786">
        <v>106</v>
      </c>
    </row>
    <row r="24787" spans="1:6" ht="12.75">
      <c r="A24787" s="2">
        <v>43875.779178240744</v>
      </c>
      <c r="B24787" t="str">
        <f>HYPERLINK("https://twitter.com/rdndddn","@rdndddn")</f>
        <v>@rdndddn</v>
      </c>
      <c r="C24787" t="s">
        <v>5168</v>
      </c>
      <c r="D24787">
        <v>896</v>
      </c>
      <c r="E24787">
        <v>0</v>
      </c>
      <c r="F24787">
        <v>651</v>
      </c>
    </row>
    <row r="24788" spans="1:6" ht="12.75">
      <c r="A24788" s="2">
        <v>43875.779120370367</v>
      </c>
      <c r="B24788" t="str">
        <f>HYPERLINK("https://twitter.com/rudimulawarman_","@rudimulawarman_")</f>
        <v>@rudimulawarman_</v>
      </c>
      <c r="C24788" t="s">
        <v>9746</v>
      </c>
      <c r="D24788">
        <v>310</v>
      </c>
      <c r="E24788">
        <v>0</v>
      </c>
      <c r="F24788">
        <v>3716</v>
      </c>
    </row>
    <row r="24789" spans="1:6" ht="12.75">
      <c r="A24789" s="2">
        <v>43875.779074074075</v>
      </c>
      <c r="B24789" t="str">
        <f>HYPERLINK("https://twitter.com/ardhyyyyy","@ardhyyyyy")</f>
        <v>@ardhyyyyy</v>
      </c>
      <c r="C24789" t="s">
        <v>11318</v>
      </c>
      <c r="D24789">
        <v>0</v>
      </c>
      <c r="E24789">
        <v>0</v>
      </c>
      <c r="F24789">
        <v>128</v>
      </c>
    </row>
    <row r="24790" spans="1:6" ht="12.75">
      <c r="A24790" s="2">
        <v>43875.778993055559</v>
      </c>
      <c r="B24790" t="str">
        <f>HYPERLINK("https://twitter.com/PramanaListyo","@PramanaListyo")</f>
        <v>@PramanaListyo</v>
      </c>
      <c r="C24790" t="s">
        <v>2963</v>
      </c>
      <c r="D24790">
        <v>1039</v>
      </c>
      <c r="E24790">
        <v>0</v>
      </c>
      <c r="F24790">
        <v>417</v>
      </c>
    </row>
    <row r="24791" spans="1:6" ht="12.75">
      <c r="A24791" s="2">
        <v>43875.778912037036</v>
      </c>
      <c r="B24791" t="str">
        <f>HYPERLINK("https://twitter.com/KakekHalal","@KakekHalal")</f>
        <v>@KakekHalal</v>
      </c>
      <c r="C24791" t="s">
        <v>10165</v>
      </c>
      <c r="D24791">
        <v>13</v>
      </c>
      <c r="E24791">
        <v>0</v>
      </c>
      <c r="F24791">
        <v>21530</v>
      </c>
    </row>
    <row r="24792" spans="1:6" ht="12.75">
      <c r="A24792" s="2">
        <v>43875.778877314813</v>
      </c>
      <c r="B24792" t="str">
        <f>HYPERLINK("https://twitter.com/lesyeuxtenini","@lesyeuxtenini")</f>
        <v>@lesyeuxtenini</v>
      </c>
      <c r="C24792" t="s">
        <v>2444</v>
      </c>
      <c r="D24792">
        <v>2074</v>
      </c>
      <c r="E24792">
        <v>0</v>
      </c>
      <c r="F24792">
        <v>69</v>
      </c>
    </row>
    <row r="24793" spans="1:6" ht="12.75">
      <c r="A24793" s="2">
        <v>43875.778865740736</v>
      </c>
      <c r="B24793" t="str">
        <f>HYPERLINK("https://twitter.com/Azhi21Pagar","@Azhi21Pagar")</f>
        <v>@Azhi21Pagar</v>
      </c>
      <c r="C24793" t="s">
        <v>11319</v>
      </c>
      <c r="D24793">
        <v>0</v>
      </c>
      <c r="E24793">
        <v>0</v>
      </c>
      <c r="F24793">
        <v>9</v>
      </c>
    </row>
    <row r="24794" spans="1:6" ht="12.75">
      <c r="A24794" s="2">
        <v>43875.778819444444</v>
      </c>
      <c r="B24794" t="str">
        <f>HYPERLINK("https://twitter.com/milezaharries","@milezaharries")</f>
        <v>@milezaharries</v>
      </c>
      <c r="C24794" t="s">
        <v>5168</v>
      </c>
      <c r="D24794">
        <v>896</v>
      </c>
      <c r="E24794">
        <v>0</v>
      </c>
      <c r="F24794">
        <v>497</v>
      </c>
    </row>
    <row r="24795" spans="1:6" ht="12.75">
      <c r="A24795" s="2">
        <v>43875.778692129628</v>
      </c>
      <c r="B24795" t="str">
        <f>HYPERLINK("https://twitter.com/tanparaa","@tanparaa")</f>
        <v>@tanparaa</v>
      </c>
      <c r="C24795" t="s">
        <v>5168</v>
      </c>
      <c r="D24795">
        <v>896</v>
      </c>
      <c r="E24795">
        <v>0</v>
      </c>
      <c r="F24795">
        <v>453</v>
      </c>
    </row>
    <row r="24796" spans="1:6" ht="12.75">
      <c r="A24796" s="2">
        <v>43875.778668981482</v>
      </c>
      <c r="B24796" t="str">
        <f>HYPERLINK("https://twitter.com/fIcal85360324","@fIcal85360324")</f>
        <v>@fIcal85360324</v>
      </c>
      <c r="C24796" t="s">
        <v>11208</v>
      </c>
      <c r="D24796">
        <v>6</v>
      </c>
      <c r="E24796">
        <v>0</v>
      </c>
      <c r="F24796">
        <v>515</v>
      </c>
    </row>
    <row r="24797" spans="1:6" ht="12.75">
      <c r="A24797" s="2">
        <v>43875.778645833328</v>
      </c>
      <c r="B24797" t="str">
        <f>HYPERLINK("https://twitter.com/SeeHandy","@SeeHandy")</f>
        <v>@SeeHandy</v>
      </c>
      <c r="C24797" t="s">
        <v>2963</v>
      </c>
      <c r="D24797">
        <v>1039</v>
      </c>
      <c r="E24797">
        <v>0</v>
      </c>
      <c r="F24797">
        <v>798</v>
      </c>
    </row>
    <row r="24798" spans="1:6" ht="12.75">
      <c r="A24798" s="2">
        <v>43875.77853009259</v>
      </c>
      <c r="B24798" t="str">
        <f>HYPERLINK("https://twitter.com/zahrafitrin","@zahrafitrin")</f>
        <v>@zahrafitrin</v>
      </c>
      <c r="C24798" t="s">
        <v>6201</v>
      </c>
      <c r="D24798">
        <v>150</v>
      </c>
      <c r="E24798">
        <v>0</v>
      </c>
      <c r="F24798">
        <v>135</v>
      </c>
    </row>
    <row r="24799" spans="1:6" ht="12.75">
      <c r="A24799" s="2">
        <v>43875.778483796297</v>
      </c>
      <c r="B24799" t="str">
        <f>HYPERLINK("https://twitter.com/PramanaListyo","@PramanaListyo")</f>
        <v>@PramanaListyo</v>
      </c>
      <c r="C24799" t="s">
        <v>10520</v>
      </c>
      <c r="D24799">
        <v>5</v>
      </c>
      <c r="E24799">
        <v>0</v>
      </c>
      <c r="F24799">
        <v>417</v>
      </c>
    </row>
    <row r="24800" spans="1:6" ht="12.75">
      <c r="A24800" s="2">
        <v>43875.778483796297</v>
      </c>
      <c r="B24800" t="str">
        <f>HYPERLINK("https://twitter.com/Adhek_Byt","@Adhek_Byt")</f>
        <v>@Adhek_Byt</v>
      </c>
      <c r="C24800" t="s">
        <v>9835</v>
      </c>
      <c r="D24800">
        <v>45</v>
      </c>
      <c r="E24800">
        <v>0</v>
      </c>
      <c r="F24800">
        <v>1591</v>
      </c>
    </row>
    <row r="24801" spans="1:6" ht="12.75">
      <c r="A24801" s="2">
        <v>43875.778460648144</v>
      </c>
      <c r="B24801" t="str">
        <f>HYPERLINK("https://twitter.com/ISIS_Balik_NO","@ISIS_Balik_NO")</f>
        <v>@ISIS_Balik_NO</v>
      </c>
      <c r="C24801" t="s">
        <v>11320</v>
      </c>
      <c r="D24801">
        <v>1</v>
      </c>
      <c r="E24801">
        <v>0</v>
      </c>
      <c r="F24801">
        <v>5903</v>
      </c>
    </row>
    <row r="24802" spans="1:6" ht="12.75">
      <c r="A24802" s="2">
        <v>43875.778460648144</v>
      </c>
      <c r="B24802" t="str">
        <f>HYPERLINK("https://twitter.com/rdhwnrs","@rdhwnrs")</f>
        <v>@rdhwnrs</v>
      </c>
      <c r="C24802" t="s">
        <v>2149</v>
      </c>
      <c r="D24802">
        <v>28</v>
      </c>
      <c r="E24802">
        <v>0</v>
      </c>
      <c r="F24802">
        <v>55</v>
      </c>
    </row>
    <row r="24803" spans="1:6" ht="12.75">
      <c r="A24803" s="2">
        <v>43875.778379629628</v>
      </c>
      <c r="B24803" t="str">
        <f>HYPERLINK("https://twitter.com/DMLBhe","@DMLBhe")</f>
        <v>@DMLBhe</v>
      </c>
      <c r="C24803" t="s">
        <v>2444</v>
      </c>
      <c r="D24803">
        <v>2074</v>
      </c>
      <c r="E24803">
        <v>0</v>
      </c>
      <c r="F24803">
        <v>340</v>
      </c>
    </row>
    <row r="24804" spans="1:6" ht="12.75">
      <c r="A24804" s="2">
        <v>43875.778356481482</v>
      </c>
      <c r="B24804" t="str">
        <f>HYPERLINK("https://twitter.com/minaa_95","@minaa_95")</f>
        <v>@minaa_95</v>
      </c>
      <c r="C24804" t="s">
        <v>2444</v>
      </c>
      <c r="D24804">
        <v>2074</v>
      </c>
      <c r="E24804">
        <v>0</v>
      </c>
      <c r="F24804">
        <v>419</v>
      </c>
    </row>
    <row r="24805" spans="1:6" ht="12.75">
      <c r="A24805" s="2">
        <v>43875.778333333335</v>
      </c>
      <c r="B24805" t="str">
        <f>HYPERLINK("https://twitter.com/heyflc","@heyflc")</f>
        <v>@heyflc</v>
      </c>
      <c r="C24805" t="s">
        <v>2444</v>
      </c>
      <c r="D24805">
        <v>2074</v>
      </c>
      <c r="E24805">
        <v>0</v>
      </c>
      <c r="F24805">
        <v>274</v>
      </c>
    </row>
    <row r="24806" spans="1:6" ht="12.75">
      <c r="A24806" s="2">
        <v>43875.77825231482</v>
      </c>
      <c r="B24806" t="str">
        <f>HYPERLINK("https://twitter.com/Embrio54","@Embrio54")</f>
        <v>@Embrio54</v>
      </c>
      <c r="C24806" t="s">
        <v>11321</v>
      </c>
      <c r="D24806">
        <v>0</v>
      </c>
      <c r="E24806">
        <v>0</v>
      </c>
      <c r="F24806">
        <v>661</v>
      </c>
    </row>
    <row r="24807" spans="1:6" ht="12.75">
      <c r="A24807" s="2">
        <v>43875.778217592597</v>
      </c>
      <c r="B24807" t="str">
        <f>HYPERLINK("https://twitter.com/ObaiIdon","@ObaiIdon")</f>
        <v>@ObaiIdon</v>
      </c>
      <c r="C24807" t="s">
        <v>11322</v>
      </c>
      <c r="D24807">
        <v>79</v>
      </c>
      <c r="E24807">
        <v>0</v>
      </c>
      <c r="F24807">
        <v>181</v>
      </c>
    </row>
    <row r="24808" spans="1:6" ht="12.75">
      <c r="A24808" s="2">
        <v>43875.778194444443</v>
      </c>
      <c r="B24808" t="str">
        <f>HYPERLINK("https://twitter.com/kkamjong_ireng","@kkamjong_ireng")</f>
        <v>@kkamjong_ireng</v>
      </c>
      <c r="C24808" t="s">
        <v>2444</v>
      </c>
      <c r="D24808">
        <v>2074</v>
      </c>
      <c r="E24808">
        <v>0</v>
      </c>
      <c r="F24808">
        <v>435</v>
      </c>
    </row>
    <row r="24809" spans="1:6" ht="12.75">
      <c r="A24809" s="2">
        <v>43875.77815972222</v>
      </c>
      <c r="B24809" t="str">
        <f>HYPERLINK("https://twitter.com/DfarDjafar","@DfarDjafar")</f>
        <v>@DfarDjafar</v>
      </c>
      <c r="C24809" t="s">
        <v>10266</v>
      </c>
      <c r="D24809">
        <v>273</v>
      </c>
      <c r="E24809">
        <v>0</v>
      </c>
      <c r="F24809">
        <v>674</v>
      </c>
    </row>
    <row r="24810" spans="1:6" ht="12.75">
      <c r="A24810" s="2">
        <v>43875.778043981481</v>
      </c>
      <c r="B24810" t="str">
        <f>HYPERLINK("https://twitter.com/WidiyaSMarwati","@WidiyaSMarwati")</f>
        <v>@WidiyaSMarwati</v>
      </c>
      <c r="C24810" t="s">
        <v>2444</v>
      </c>
      <c r="D24810">
        <v>2074</v>
      </c>
      <c r="E24810">
        <v>0</v>
      </c>
      <c r="F24810">
        <v>957</v>
      </c>
    </row>
    <row r="24811" spans="1:6" ht="12.75">
      <c r="A24811" s="2">
        <v>43875.777731481481</v>
      </c>
      <c r="B24811" t="str">
        <f>HYPERLINK("https://twitter.com/rifkirivaIdi","@rifkirivaIdi")</f>
        <v>@rifkirivaIdi</v>
      </c>
      <c r="C24811" t="s">
        <v>2444</v>
      </c>
      <c r="D24811">
        <v>2074</v>
      </c>
      <c r="E24811">
        <v>0</v>
      </c>
      <c r="F24811">
        <v>151</v>
      </c>
    </row>
    <row r="24812" spans="1:6" ht="12.75">
      <c r="A24812" s="2">
        <v>43875.777719907404</v>
      </c>
      <c r="B24812" t="str">
        <f>HYPERLINK("https://twitter.com/ichaswe","@ichaswe")</f>
        <v>@ichaswe</v>
      </c>
      <c r="C24812" t="s">
        <v>11323</v>
      </c>
      <c r="D24812">
        <v>0</v>
      </c>
      <c r="E24812">
        <v>0</v>
      </c>
      <c r="F24812">
        <v>1263</v>
      </c>
    </row>
    <row r="24813" spans="1:6" ht="12.75">
      <c r="A24813" s="2">
        <v>43875.777708333335</v>
      </c>
      <c r="B24813" t="str">
        <f>HYPERLINK("https://twitter.com/upialma","@upialma")</f>
        <v>@upialma</v>
      </c>
      <c r="C24813" t="s">
        <v>2444</v>
      </c>
      <c r="D24813">
        <v>2074</v>
      </c>
      <c r="E24813">
        <v>0</v>
      </c>
      <c r="F24813">
        <v>37</v>
      </c>
    </row>
    <row r="24814" spans="1:6" ht="12.75">
      <c r="A24814" s="2">
        <v>43875.777604166666</v>
      </c>
      <c r="B24814" t="str">
        <f>HYPERLINK("https://twitter.com/paybuma6","@paybuma6")</f>
        <v>@paybuma6</v>
      </c>
      <c r="C24814" t="s">
        <v>6201</v>
      </c>
      <c r="D24814">
        <v>150</v>
      </c>
      <c r="E24814">
        <v>0</v>
      </c>
      <c r="F24814">
        <v>677</v>
      </c>
    </row>
    <row r="24815" spans="1:6" ht="12.75">
      <c r="A24815" s="2">
        <v>43875.777604166666</v>
      </c>
      <c r="B24815" t="str">
        <f>HYPERLINK("https://twitter.com/crushmu__","@crushmu__")</f>
        <v>@crushmu__</v>
      </c>
      <c r="C24815" t="s">
        <v>2137</v>
      </c>
      <c r="D24815">
        <v>172</v>
      </c>
      <c r="E24815">
        <v>0</v>
      </c>
      <c r="F24815">
        <v>516</v>
      </c>
    </row>
    <row r="24816" spans="1:6" ht="12.75">
      <c r="A24816" s="2">
        <v>43875.77753472222</v>
      </c>
      <c r="B24816" t="str">
        <f>HYPERLINK("https://twitter.com/wonushi","@wonushi")</f>
        <v>@wonushi</v>
      </c>
      <c r="C24816" t="s">
        <v>11324</v>
      </c>
      <c r="D24816">
        <v>0</v>
      </c>
      <c r="E24816">
        <v>1</v>
      </c>
      <c r="F24816">
        <v>776</v>
      </c>
    </row>
    <row r="24817" spans="1:6" ht="12.75">
      <c r="A24817" s="2">
        <v>43875.77752314815</v>
      </c>
      <c r="B24817" t="str">
        <f>HYPERLINK("https://twitter.com/IndriSuharto1","@IndriSuharto1")</f>
        <v>@IndriSuharto1</v>
      </c>
      <c r="C24817" t="s">
        <v>2963</v>
      </c>
      <c r="D24817">
        <v>1039</v>
      </c>
      <c r="E24817">
        <v>0</v>
      </c>
      <c r="F24817">
        <v>42</v>
      </c>
    </row>
    <row r="24818" spans="1:6" ht="12.75">
      <c r="A24818" s="2">
        <v>43875.777511574073</v>
      </c>
      <c r="B24818" t="str">
        <f>HYPERLINK("https://twitter.com/Gendorowo3","@Gendorowo3")</f>
        <v>@Gendorowo3</v>
      </c>
      <c r="C24818" t="s">
        <v>11325</v>
      </c>
      <c r="D24818">
        <v>0</v>
      </c>
      <c r="E24818">
        <v>0</v>
      </c>
      <c r="F24818">
        <v>91</v>
      </c>
    </row>
    <row r="24819" spans="1:6" ht="12.75">
      <c r="A24819" s="2">
        <v>43875.777326388888</v>
      </c>
      <c r="B24819" t="str">
        <f>HYPERLINK("https://twitter.com/saffaatun","@saffaatun")</f>
        <v>@saffaatun</v>
      </c>
      <c r="C24819" t="s">
        <v>2444</v>
      </c>
      <c r="D24819">
        <v>2074</v>
      </c>
      <c r="E24819">
        <v>0</v>
      </c>
      <c r="F24819">
        <v>364</v>
      </c>
    </row>
    <row r="24820" spans="1:6" ht="12.75">
      <c r="A24820" s="2">
        <v>43875.777326388888</v>
      </c>
      <c r="B24820" t="str">
        <f>HYPERLINK("https://twitter.com/MoonlitPaint","@MoonlitPaint")</f>
        <v>@MoonlitPaint</v>
      </c>
      <c r="C24820" t="s">
        <v>2444</v>
      </c>
      <c r="D24820">
        <v>2074</v>
      </c>
      <c r="E24820">
        <v>0</v>
      </c>
      <c r="F24820">
        <v>298</v>
      </c>
    </row>
    <row r="24821" spans="1:6" ht="12.75">
      <c r="A24821" s="2">
        <v>43875.777314814812</v>
      </c>
      <c r="B24821" t="str">
        <f>HYPERLINK("https://twitter.com/AlBanna57697952","@AlBanna57697952")</f>
        <v>@AlBanna57697952</v>
      </c>
      <c r="C24821" t="s">
        <v>2149</v>
      </c>
      <c r="D24821">
        <v>28</v>
      </c>
      <c r="E24821">
        <v>0</v>
      </c>
      <c r="F24821">
        <v>43</v>
      </c>
    </row>
    <row r="24822" spans="1:6" ht="12.75">
      <c r="A24822" s="2">
        <v>43875.777314814812</v>
      </c>
      <c r="B24822" t="str">
        <f>HYPERLINK("https://twitter.com/hallidii","@hallidii")</f>
        <v>@hallidii</v>
      </c>
      <c r="C24822" t="s">
        <v>11326</v>
      </c>
      <c r="D24822">
        <v>0</v>
      </c>
      <c r="E24822">
        <v>0</v>
      </c>
      <c r="F24822">
        <v>272</v>
      </c>
    </row>
    <row r="24823" spans="1:6" ht="12.75">
      <c r="A24823" s="2">
        <v>43875.77725694445</v>
      </c>
      <c r="B24823" t="str">
        <f>HYPERLINK("https://twitter.com/RyanPrdnaS","@RyanPrdnaS")</f>
        <v>@RyanPrdnaS</v>
      </c>
      <c r="C24823" t="s">
        <v>10801</v>
      </c>
      <c r="D24823">
        <v>5</v>
      </c>
      <c r="E24823">
        <v>0</v>
      </c>
      <c r="F24823">
        <v>175</v>
      </c>
    </row>
    <row r="24824" spans="1:6" ht="12.75">
      <c r="A24824" s="2">
        <v>43875.777233796296</v>
      </c>
      <c r="B24824" t="str">
        <f>HYPERLINK("https://twitter.com/anggraini__nur","@anggraini__nur")</f>
        <v>@anggraini__nur</v>
      </c>
      <c r="C24824" t="s">
        <v>2444</v>
      </c>
      <c r="D24824">
        <v>2074</v>
      </c>
      <c r="E24824">
        <v>0</v>
      </c>
      <c r="F24824">
        <v>271</v>
      </c>
    </row>
    <row r="24825" spans="1:6" ht="12.75">
      <c r="A24825" s="2">
        <v>43875.777175925927</v>
      </c>
      <c r="B24825" t="str">
        <f>HYPERLINK("https://twitter.com/salsabylap","@salsabylap")</f>
        <v>@salsabylap</v>
      </c>
      <c r="C24825" t="s">
        <v>2444</v>
      </c>
      <c r="D24825">
        <v>2074</v>
      </c>
      <c r="E24825">
        <v>0</v>
      </c>
      <c r="F24825">
        <v>1202</v>
      </c>
    </row>
    <row r="24826" spans="1:6" ht="12.75">
      <c r="A24826" s="2">
        <v>43875.777118055557</v>
      </c>
      <c r="B24826" t="str">
        <f>HYPERLINK("https://twitter.com/nocta16okt","@nocta16okt")</f>
        <v>@nocta16okt</v>
      </c>
      <c r="C24826" t="s">
        <v>11327</v>
      </c>
      <c r="D24826">
        <v>0</v>
      </c>
      <c r="E24826">
        <v>0</v>
      </c>
      <c r="F24826">
        <v>0</v>
      </c>
    </row>
    <row r="24827" spans="1:6" ht="12.75">
      <c r="A24827" s="2">
        <v>43875.777083333334</v>
      </c>
      <c r="B24827" t="str">
        <f>HYPERLINK("https://twitter.com/enny_endah","@enny_endah")</f>
        <v>@enny_endah</v>
      </c>
      <c r="C24827" t="s">
        <v>10520</v>
      </c>
      <c r="D24827">
        <v>5</v>
      </c>
      <c r="E24827">
        <v>0</v>
      </c>
      <c r="F24827">
        <v>10598</v>
      </c>
    </row>
    <row r="24828" spans="1:6" ht="12.75">
      <c r="A24828" s="2">
        <v>43875.777083333334</v>
      </c>
      <c r="B24828" t="str">
        <f>HYPERLINK("https://twitter.com/FahrulMaulidin","@FahrulMaulidin")</f>
        <v>@FahrulMaulidin</v>
      </c>
      <c r="C24828" t="s">
        <v>2149</v>
      </c>
      <c r="D24828">
        <v>28</v>
      </c>
      <c r="E24828">
        <v>0</v>
      </c>
      <c r="F24828">
        <v>213</v>
      </c>
    </row>
    <row r="24829" spans="1:6" ht="12.75">
      <c r="A24829" s="2">
        <v>43875.777060185181</v>
      </c>
      <c r="B24829" t="str">
        <f>HYPERLINK("https://twitter.com/puaanc","@puaanc")</f>
        <v>@puaanc</v>
      </c>
      <c r="C24829" t="s">
        <v>2444</v>
      </c>
      <c r="D24829">
        <v>2074</v>
      </c>
      <c r="E24829">
        <v>0</v>
      </c>
      <c r="F24829">
        <v>1200</v>
      </c>
    </row>
    <row r="24830" spans="1:6" ht="12.75">
      <c r="A24830" s="2">
        <v>43875.777013888888</v>
      </c>
      <c r="B24830" t="str">
        <f>HYPERLINK("https://twitter.com/royalmargarine","@royalmargarine")</f>
        <v>@royalmargarine</v>
      </c>
      <c r="C24830" t="s">
        <v>2444</v>
      </c>
      <c r="D24830">
        <v>2074</v>
      </c>
      <c r="E24830">
        <v>0</v>
      </c>
      <c r="F24830">
        <v>329</v>
      </c>
    </row>
    <row r="24831" spans="1:6" ht="12.75">
      <c r="A24831" s="2">
        <v>43875.777013888888</v>
      </c>
      <c r="B24831" t="str">
        <f>HYPERLINK("https://twitter.com/milezaharries","@milezaharries")</f>
        <v>@milezaharries</v>
      </c>
      <c r="C24831" t="s">
        <v>2444</v>
      </c>
      <c r="D24831">
        <v>2074</v>
      </c>
      <c r="E24831">
        <v>0</v>
      </c>
      <c r="F24831">
        <v>497</v>
      </c>
    </row>
    <row r="24832" spans="1:6" ht="12.75">
      <c r="A24832" s="2">
        <v>43875.776874999996</v>
      </c>
      <c r="B24832" t="str">
        <f>HYPERLINK("https://twitter.com/KeyLionaaa","@KeyLionaaa")</f>
        <v>@KeyLionaaa</v>
      </c>
      <c r="C24832" t="s">
        <v>2444</v>
      </c>
      <c r="D24832">
        <v>2074</v>
      </c>
      <c r="E24832">
        <v>0</v>
      </c>
      <c r="F24832">
        <v>68</v>
      </c>
    </row>
    <row r="24833" spans="1:6" ht="12.75">
      <c r="A24833" s="2">
        <v>43875.776770833334</v>
      </c>
      <c r="B24833" t="str">
        <f>HYPERLINK("https://twitter.com/nickbiddle","@nickbiddle")</f>
        <v>@nickbiddle</v>
      </c>
      <c r="C24833" t="s">
        <v>9082</v>
      </c>
      <c r="D24833">
        <v>45</v>
      </c>
      <c r="E24833">
        <v>0</v>
      </c>
      <c r="F24833">
        <v>480</v>
      </c>
    </row>
    <row r="24834" spans="1:6" ht="12.75">
      <c r="A24834" s="2">
        <v>43875.776631944449</v>
      </c>
      <c r="B24834" t="str">
        <f>HYPERLINK("https://twitter.com/ferzkarim","@ferzkarim")</f>
        <v>@ferzkarim</v>
      </c>
      <c r="C24834" t="s">
        <v>10710</v>
      </c>
      <c r="D24834">
        <v>31</v>
      </c>
      <c r="E24834">
        <v>0</v>
      </c>
      <c r="F24834">
        <v>118</v>
      </c>
    </row>
    <row r="24835" spans="1:6" ht="12.75">
      <c r="A24835" s="2">
        <v>43875.776608796295</v>
      </c>
      <c r="B24835" t="str">
        <f>HYPERLINK("https://twitter.com/irmannur92","@irmannur92")</f>
        <v>@irmannur92</v>
      </c>
      <c r="C24835" t="s">
        <v>9746</v>
      </c>
      <c r="D24835">
        <v>310</v>
      </c>
      <c r="E24835">
        <v>0</v>
      </c>
      <c r="F24835">
        <v>241</v>
      </c>
    </row>
    <row r="24836" spans="1:6" ht="12.75">
      <c r="A24836" s="2">
        <v>43875.776574074072</v>
      </c>
      <c r="B24836" t="str">
        <f>HYPERLINK("https://twitter.com/manusia_jawa_1","@manusia_jawa_1")</f>
        <v>@manusia_jawa_1</v>
      </c>
      <c r="C24836" t="s">
        <v>2444</v>
      </c>
      <c r="D24836">
        <v>2074</v>
      </c>
      <c r="E24836">
        <v>0</v>
      </c>
      <c r="F24836">
        <v>275</v>
      </c>
    </row>
    <row r="24837" spans="1:6" ht="12.75">
      <c r="A24837" s="2">
        <v>43875.776504629626</v>
      </c>
      <c r="B24837" t="str">
        <f>HYPERLINK("https://twitter.com/Cobeh09","@Cobeh09")</f>
        <v>@Cobeh09</v>
      </c>
      <c r="C24837" t="s">
        <v>8542</v>
      </c>
      <c r="D24837">
        <v>2</v>
      </c>
      <c r="E24837">
        <v>0</v>
      </c>
      <c r="F24837">
        <v>24620</v>
      </c>
    </row>
    <row r="24838" spans="1:6" ht="12.75">
      <c r="A24838" s="2">
        <v>43875.776504629626</v>
      </c>
      <c r="B24838" t="str">
        <f>HYPERLINK("https://twitter.com/sutejooy","@sutejooy")</f>
        <v>@sutejooy</v>
      </c>
      <c r="C24838" t="s">
        <v>11328</v>
      </c>
      <c r="D24838">
        <v>5</v>
      </c>
      <c r="E24838">
        <v>0</v>
      </c>
      <c r="F24838">
        <v>1002</v>
      </c>
    </row>
    <row r="24839" spans="1:6" ht="12.75">
      <c r="A24839" s="2">
        <v>43875.77648148148</v>
      </c>
      <c r="B24839" t="str">
        <f>HYPERLINK("https://twitter.com/RinjaniJB","@RinjaniJB")</f>
        <v>@RinjaniJB</v>
      </c>
      <c r="C24839" t="s">
        <v>11329</v>
      </c>
      <c r="D24839">
        <v>1</v>
      </c>
      <c r="E24839">
        <v>0</v>
      </c>
      <c r="F24839">
        <v>19173</v>
      </c>
    </row>
    <row r="24840" spans="1:6" ht="12.75">
      <c r="A24840" s="2">
        <v>43875.776365740741</v>
      </c>
      <c r="B24840" t="str">
        <f>HYPERLINK("https://twitter.com/mudanuf","@mudanuf")</f>
        <v>@mudanuf</v>
      </c>
      <c r="C24840" t="s">
        <v>2444</v>
      </c>
      <c r="D24840">
        <v>2074</v>
      </c>
      <c r="E24840">
        <v>0</v>
      </c>
      <c r="F24840">
        <v>63</v>
      </c>
    </row>
    <row r="24841" spans="1:6" ht="12.75">
      <c r="A24841" s="2">
        <v>43875.776354166665</v>
      </c>
      <c r="B24841" t="str">
        <f>HYPERLINK("https://twitter.com/prdsrva","@prdsrva")</f>
        <v>@prdsrva</v>
      </c>
      <c r="C24841" t="s">
        <v>2444</v>
      </c>
      <c r="D24841">
        <v>2074</v>
      </c>
      <c r="E24841">
        <v>0</v>
      </c>
      <c r="F24841">
        <v>1107</v>
      </c>
    </row>
    <row r="24842" spans="1:6" ht="12.75">
      <c r="A24842" s="2">
        <v>43875.776319444441</v>
      </c>
      <c r="B24842" t="str">
        <f>HYPERLINK("https://twitter.com/HarkatuZaman","@HarkatuZaman")</f>
        <v>@HarkatuZaman</v>
      </c>
      <c r="C24842" t="s">
        <v>11330</v>
      </c>
      <c r="D24842">
        <v>115</v>
      </c>
      <c r="E24842">
        <v>0</v>
      </c>
      <c r="F24842">
        <v>461</v>
      </c>
    </row>
    <row r="24843" spans="1:6" ht="12.75">
      <c r="A24843" s="2">
        <v>43875.77621527778</v>
      </c>
      <c r="B24843" t="str">
        <f>HYPERLINK("https://twitter.com/DiumahM","@DiumahM")</f>
        <v>@DiumahM</v>
      </c>
      <c r="C24843" t="s">
        <v>2444</v>
      </c>
      <c r="D24843">
        <v>2074</v>
      </c>
      <c r="E24843">
        <v>0</v>
      </c>
      <c r="F24843">
        <v>49</v>
      </c>
    </row>
    <row r="24844" spans="1:6" ht="12.75">
      <c r="A24844" s="2">
        <v>43875.776180555556</v>
      </c>
      <c r="B24844" t="str">
        <f>HYPERLINK("https://twitter.com/ichaswe","@ichaswe")</f>
        <v>@ichaswe</v>
      </c>
      <c r="C24844" t="s">
        <v>11331</v>
      </c>
      <c r="D24844">
        <v>0</v>
      </c>
      <c r="E24844">
        <v>0</v>
      </c>
      <c r="F24844">
        <v>1263</v>
      </c>
    </row>
    <row r="24845" spans="1:6" ht="12.75">
      <c r="A24845" s="2">
        <v>43875.776006944448</v>
      </c>
      <c r="B24845" t="str">
        <f>HYPERLINK("https://twitter.com/dnyyseee","@dnyyseee")</f>
        <v>@dnyyseee</v>
      </c>
      <c r="C24845" t="s">
        <v>2444</v>
      </c>
      <c r="D24845">
        <v>2074</v>
      </c>
      <c r="E24845">
        <v>0</v>
      </c>
      <c r="F24845">
        <v>120</v>
      </c>
    </row>
    <row r="24846" spans="1:6" ht="12.75">
      <c r="A24846" s="2">
        <v>43875.775972222225</v>
      </c>
      <c r="B24846" t="str">
        <f>HYPERLINK("https://twitter.com/delladiningtyas","@delladiningtyas")</f>
        <v>@delladiningtyas</v>
      </c>
      <c r="C24846" t="s">
        <v>9964</v>
      </c>
      <c r="D24846">
        <v>618</v>
      </c>
      <c r="E24846">
        <v>0</v>
      </c>
      <c r="F24846">
        <v>846</v>
      </c>
    </row>
    <row r="24847" spans="1:6" ht="12.75">
      <c r="A24847" s="2">
        <v>43875.775914351849</v>
      </c>
      <c r="B24847" t="str">
        <f>HYPERLINK("https://twitter.com/darmasendok","@darmasendok")</f>
        <v>@darmasendok</v>
      </c>
      <c r="C24847" t="s">
        <v>2110</v>
      </c>
      <c r="D24847">
        <v>52</v>
      </c>
      <c r="E24847">
        <v>0</v>
      </c>
      <c r="F24847">
        <v>555</v>
      </c>
    </row>
    <row r="24848" spans="1:6" ht="12.75">
      <c r="A24848" s="2">
        <v>43875.775902777779</v>
      </c>
      <c r="B24848" t="str">
        <f>HYPERLINK("https://twitter.com/awyunseong","@awyunseong")</f>
        <v>@awyunseong</v>
      </c>
      <c r="C24848" t="s">
        <v>5168</v>
      </c>
      <c r="D24848">
        <v>896</v>
      </c>
      <c r="E24848">
        <v>0</v>
      </c>
      <c r="F24848">
        <v>1250</v>
      </c>
    </row>
    <row r="24849" spans="1:6" ht="12.75">
      <c r="A24849" s="2">
        <v>43875.775856481487</v>
      </c>
      <c r="B24849" t="str">
        <f>HYPERLINK("https://twitter.com/hadiprayitno82","@hadiprayitno82")</f>
        <v>@hadiprayitno82</v>
      </c>
      <c r="C24849" t="s">
        <v>11332</v>
      </c>
      <c r="D24849">
        <v>0</v>
      </c>
      <c r="E24849">
        <v>0</v>
      </c>
      <c r="F24849">
        <v>1384</v>
      </c>
    </row>
    <row r="24850" spans="1:6" ht="12.75">
      <c r="A24850" s="2">
        <v>43875.775763888887</v>
      </c>
      <c r="B24850" t="str">
        <f>HYPERLINK("https://twitter.com/adhichronique","@adhichronique")</f>
        <v>@adhichronique</v>
      </c>
      <c r="C24850" t="s">
        <v>11333</v>
      </c>
      <c r="D24850">
        <v>0</v>
      </c>
      <c r="E24850">
        <v>0</v>
      </c>
      <c r="F24850">
        <v>90</v>
      </c>
    </row>
    <row r="24851" spans="1:6" ht="12.75">
      <c r="A24851" s="2">
        <v>43875.775624999995</v>
      </c>
      <c r="B24851" t="str">
        <f>HYPERLINK("https://twitter.com/AgungWidrajat","@AgungWidrajat")</f>
        <v>@AgungWidrajat</v>
      </c>
      <c r="C24851" t="s">
        <v>2963</v>
      </c>
      <c r="D24851">
        <v>1039</v>
      </c>
      <c r="E24851">
        <v>0</v>
      </c>
      <c r="F24851">
        <v>2292</v>
      </c>
    </row>
    <row r="24852" spans="1:6" ht="12.75">
      <c r="A24852" s="2">
        <v>43875.775474537033</v>
      </c>
      <c r="B24852" t="str">
        <f>HYPERLINK("https://twitter.com/babangmu","@babangmu")</f>
        <v>@babangmu</v>
      </c>
      <c r="C24852" t="s">
        <v>11334</v>
      </c>
      <c r="D24852">
        <v>0</v>
      </c>
      <c r="E24852">
        <v>0</v>
      </c>
      <c r="F24852">
        <v>61</v>
      </c>
    </row>
    <row r="24853" spans="1:6" ht="12.75">
      <c r="A24853" s="2">
        <v>43875.775393518517</v>
      </c>
      <c r="B24853" t="str">
        <f>HYPERLINK("https://twitter.com/bbeelaa","@bbeelaa")</f>
        <v>@bbeelaa</v>
      </c>
      <c r="C24853" t="s">
        <v>2444</v>
      </c>
      <c r="D24853">
        <v>2074</v>
      </c>
      <c r="E24853">
        <v>0</v>
      </c>
      <c r="F24853">
        <v>487</v>
      </c>
    </row>
    <row r="24854" spans="1:6" ht="12.75">
      <c r="A24854" s="2">
        <v>43875.775289351848</v>
      </c>
      <c r="B24854" t="str">
        <f>HYPERLINK("https://twitter.com/Galuhramadhania","@Galuhramadhania")</f>
        <v>@Galuhramadhania</v>
      </c>
      <c r="C24854" t="s">
        <v>11328</v>
      </c>
      <c r="D24854">
        <v>5</v>
      </c>
      <c r="E24854">
        <v>0</v>
      </c>
      <c r="F24854">
        <v>1964</v>
      </c>
    </row>
    <row r="24855" spans="1:6" ht="12.75">
      <c r="A24855" s="2">
        <v>43875.775277777779</v>
      </c>
      <c r="B24855" t="str">
        <f>HYPERLINK("https://twitter.com/byuIroo","@byuIroo")</f>
        <v>@byuIroo</v>
      </c>
      <c r="C24855" t="s">
        <v>2444</v>
      </c>
      <c r="D24855">
        <v>2074</v>
      </c>
      <c r="E24855">
        <v>0</v>
      </c>
      <c r="F24855">
        <v>3165</v>
      </c>
    </row>
    <row r="24856" spans="1:6" ht="12.75">
      <c r="A24856" s="2">
        <v>43875.775266203702</v>
      </c>
      <c r="B24856" t="str">
        <f>HYPERLINK("https://twitter.com/strategylord","@strategylord")</f>
        <v>@strategylord</v>
      </c>
      <c r="C24856" t="s">
        <v>11335</v>
      </c>
      <c r="D24856">
        <v>0</v>
      </c>
      <c r="E24856">
        <v>0</v>
      </c>
      <c r="F24856">
        <v>63</v>
      </c>
    </row>
    <row r="24857" spans="1:6" ht="12.75">
      <c r="A24857" s="2">
        <v>43875.775219907402</v>
      </c>
      <c r="B24857" t="str">
        <f>HYPERLINK("https://twitter.com/r3nDYwJy","@r3nDYwJy")</f>
        <v>@r3nDYwJy</v>
      </c>
      <c r="C24857" t="s">
        <v>11336</v>
      </c>
      <c r="D24857">
        <v>0</v>
      </c>
      <c r="E24857">
        <v>0</v>
      </c>
      <c r="F24857">
        <v>1594</v>
      </c>
    </row>
    <row r="24858" spans="1:6" ht="12.75">
      <c r="A24858" s="2">
        <v>43875.775185185186</v>
      </c>
      <c r="B24858" t="str">
        <f>HYPERLINK("https://twitter.com/isadoradea","@isadoradea")</f>
        <v>@isadoradea</v>
      </c>
      <c r="C24858" t="s">
        <v>2444</v>
      </c>
      <c r="D24858">
        <v>2074</v>
      </c>
      <c r="E24858">
        <v>0</v>
      </c>
      <c r="F24858">
        <v>620</v>
      </c>
    </row>
    <row r="24859" spans="1:6" ht="12.75">
      <c r="A24859" s="2">
        <v>43875.775150462963</v>
      </c>
      <c r="B24859" t="str">
        <f>HYPERLINK("https://twitter.com/khoirulin","@khoirulin")</f>
        <v>@khoirulin</v>
      </c>
      <c r="C24859" t="s">
        <v>2137</v>
      </c>
      <c r="D24859">
        <v>172</v>
      </c>
      <c r="E24859">
        <v>0</v>
      </c>
      <c r="F24859">
        <v>21</v>
      </c>
    </row>
    <row r="24860" spans="1:6" ht="12.75">
      <c r="A24860" s="2">
        <v>43875.775150462963</v>
      </c>
      <c r="B24860" t="str">
        <f>HYPERLINK("https://twitter.com/Gendorowo3","@Gendorowo3")</f>
        <v>@Gendorowo3</v>
      </c>
      <c r="C24860" t="s">
        <v>11337</v>
      </c>
      <c r="D24860">
        <v>3</v>
      </c>
      <c r="E24860">
        <v>0</v>
      </c>
      <c r="F24860">
        <v>91</v>
      </c>
    </row>
    <row r="24861" spans="1:6" ht="12.75">
      <c r="A24861" s="2">
        <v>43875.775138888886</v>
      </c>
      <c r="B24861" t="str">
        <f>HYPERLINK("https://twitter.com/Rezatul_","@Rezatul_")</f>
        <v>@Rezatul_</v>
      </c>
      <c r="C24861" t="s">
        <v>10074</v>
      </c>
      <c r="D24861">
        <v>67</v>
      </c>
      <c r="E24861">
        <v>0</v>
      </c>
      <c r="F24861">
        <v>826</v>
      </c>
    </row>
    <row r="24862" spans="1:6" ht="12.75">
      <c r="A24862" s="2">
        <v>43875.775023148148</v>
      </c>
      <c r="B24862" t="str">
        <f>HYPERLINK("https://twitter.com/poopypfft","@poopypfft")</f>
        <v>@poopypfft</v>
      </c>
      <c r="C24862" t="s">
        <v>5168</v>
      </c>
      <c r="D24862">
        <v>896</v>
      </c>
      <c r="E24862">
        <v>0</v>
      </c>
      <c r="F24862">
        <v>2993</v>
      </c>
    </row>
    <row r="24863" spans="1:6" ht="12.75">
      <c r="A24863" s="2">
        <v>43875.775023148148</v>
      </c>
      <c r="B24863" t="str">
        <f>HYPERLINK("https://twitter.com/zlametabidin","@zlametabidin")</f>
        <v>@zlametabidin</v>
      </c>
      <c r="C24863" t="s">
        <v>10520</v>
      </c>
      <c r="D24863">
        <v>5</v>
      </c>
      <c r="E24863">
        <v>0</v>
      </c>
      <c r="F24863">
        <v>1769</v>
      </c>
    </row>
    <row r="24864" spans="1:6" ht="12.75">
      <c r="A24864" s="2">
        <v>43875.775011574078</v>
      </c>
      <c r="B24864" t="str">
        <f>HYPERLINK("https://twitter.com/Pong_Jinhee","@Pong_Jinhee")</f>
        <v>@Pong_Jinhee</v>
      </c>
      <c r="C24864" t="s">
        <v>2444</v>
      </c>
      <c r="D24864">
        <v>2074</v>
      </c>
      <c r="E24864">
        <v>0</v>
      </c>
      <c r="F24864">
        <v>65</v>
      </c>
    </row>
    <row r="24865" spans="1:6" ht="12.75">
      <c r="A24865" s="2">
        <v>43875.774837962963</v>
      </c>
      <c r="B24865" t="str">
        <f>HYPERLINK("https://twitter.com/AdrisNafsak","@AdrisNafsak")</f>
        <v>@AdrisNafsak</v>
      </c>
      <c r="C24865" t="s">
        <v>9835</v>
      </c>
      <c r="D24865">
        <v>45</v>
      </c>
      <c r="E24865">
        <v>0</v>
      </c>
      <c r="F24865">
        <v>388</v>
      </c>
    </row>
    <row r="24866" spans="1:6" ht="12.75">
      <c r="A24866" s="2">
        <v>43875.77479166667</v>
      </c>
      <c r="B24866" t="str">
        <f>HYPERLINK("https://twitter.com/DavidGentana","@DavidGentana")</f>
        <v>@DavidGentana</v>
      </c>
      <c r="C24866" t="s">
        <v>2144</v>
      </c>
      <c r="D24866">
        <v>86</v>
      </c>
      <c r="E24866">
        <v>0</v>
      </c>
      <c r="F24866">
        <v>160</v>
      </c>
    </row>
    <row r="24867" spans="1:6" ht="12.75">
      <c r="A24867" s="2">
        <v>43875.774780092594</v>
      </c>
      <c r="B24867" t="str">
        <f>HYPERLINK("https://twitter.com/helcvrt","@helcvrt")</f>
        <v>@helcvrt</v>
      </c>
      <c r="C24867" t="s">
        <v>2137</v>
      </c>
      <c r="D24867">
        <v>172</v>
      </c>
      <c r="E24867">
        <v>0</v>
      </c>
      <c r="F24867">
        <v>291</v>
      </c>
    </row>
    <row r="24868" spans="1:6" ht="12.75">
      <c r="A24868" s="2">
        <v>43875.774756944447</v>
      </c>
      <c r="B24868" t="str">
        <f>HYPERLINK("https://twitter.com/_wni_","@_wni_")</f>
        <v>@_wni_</v>
      </c>
      <c r="C24868" t="s">
        <v>11338</v>
      </c>
      <c r="D24868">
        <v>0</v>
      </c>
      <c r="E24868">
        <v>0</v>
      </c>
      <c r="F24868">
        <v>8</v>
      </c>
    </row>
    <row r="24869" spans="1:6" ht="12.75">
      <c r="A24869" s="2">
        <v>43875.774756944447</v>
      </c>
      <c r="B24869" t="str">
        <f>HYPERLINK("https://twitter.com/SlametR72312235","@SlametR72312235")</f>
        <v>@SlametR72312235</v>
      </c>
      <c r="C24869" t="s">
        <v>2963</v>
      </c>
      <c r="D24869">
        <v>1039</v>
      </c>
      <c r="E24869">
        <v>0</v>
      </c>
      <c r="F24869">
        <v>106</v>
      </c>
    </row>
    <row r="24870" spans="1:6" ht="12.75">
      <c r="A24870" s="2">
        <v>43875.774733796294</v>
      </c>
      <c r="B24870" t="str">
        <f>HYPERLINK("https://twitter.com/DavidGentana","@DavidGentana")</f>
        <v>@DavidGentana</v>
      </c>
      <c r="C24870" t="s">
        <v>11176</v>
      </c>
      <c r="D24870">
        <v>8</v>
      </c>
      <c r="E24870">
        <v>0</v>
      </c>
      <c r="F24870">
        <v>160</v>
      </c>
    </row>
    <row r="24871" spans="1:6" ht="12.75">
      <c r="A24871" s="2">
        <v>43875.774513888886</v>
      </c>
      <c r="B24871" t="str">
        <f>HYPERLINK("https://twitter.com/masbhoed","@masbhoed")</f>
        <v>@masbhoed</v>
      </c>
      <c r="C24871" t="s">
        <v>11339</v>
      </c>
      <c r="D24871">
        <v>0</v>
      </c>
      <c r="E24871">
        <v>0</v>
      </c>
      <c r="F24871">
        <v>185</v>
      </c>
    </row>
    <row r="24872" spans="1:6" ht="12.75">
      <c r="A24872" s="2">
        <v>43875.774502314816</v>
      </c>
      <c r="B24872" t="str">
        <f>HYPERLINK("https://twitter.com/monaaver77","@monaaver77")</f>
        <v>@monaaver77</v>
      </c>
      <c r="C24872" t="s">
        <v>11340</v>
      </c>
      <c r="D24872">
        <v>0</v>
      </c>
      <c r="E24872">
        <v>0</v>
      </c>
      <c r="F24872">
        <v>530</v>
      </c>
    </row>
    <row r="24873" spans="1:6" ht="12.75">
      <c r="A24873" s="2">
        <v>43875.774479166663</v>
      </c>
      <c r="B24873" t="str">
        <f>HYPERLINK("https://twitter.com/_wni_","@_wni_")</f>
        <v>@_wni_</v>
      </c>
      <c r="C24873" t="s">
        <v>11341</v>
      </c>
      <c r="D24873">
        <v>0</v>
      </c>
      <c r="E24873">
        <v>0</v>
      </c>
      <c r="F24873">
        <v>8</v>
      </c>
    </row>
    <row r="24874" spans="1:6" ht="12.75">
      <c r="A24874" s="2">
        <v>43875.774456018524</v>
      </c>
      <c r="B24874" t="str">
        <f>HYPERLINK("https://twitter.com/vinkavallen","@vinkavallen")</f>
        <v>@vinkavallen</v>
      </c>
      <c r="C24874" t="s">
        <v>2444</v>
      </c>
      <c r="D24874">
        <v>2074</v>
      </c>
      <c r="E24874">
        <v>0</v>
      </c>
      <c r="F24874">
        <v>1265</v>
      </c>
    </row>
    <row r="24875" spans="1:6" ht="12.75">
      <c r="A24875" s="2">
        <v>43875.774398148147</v>
      </c>
      <c r="B24875" t="str">
        <f>HYPERLINK("https://twitter.com/S_aulia26","@S_aulia26")</f>
        <v>@S_aulia26</v>
      </c>
      <c r="C24875" t="s">
        <v>11342</v>
      </c>
      <c r="D24875">
        <v>1</v>
      </c>
      <c r="E24875">
        <v>0</v>
      </c>
      <c r="F24875">
        <v>3682</v>
      </c>
    </row>
    <row r="24876" spans="1:6" ht="12.75">
      <c r="A24876" s="2">
        <v>43875.774340277778</v>
      </c>
      <c r="B24876" t="str">
        <f>HYPERLINK("https://twitter.com/DavidGentana","@DavidGentana")</f>
        <v>@DavidGentana</v>
      </c>
      <c r="C24876" t="s">
        <v>2963</v>
      </c>
      <c r="D24876">
        <v>1039</v>
      </c>
      <c r="E24876">
        <v>0</v>
      </c>
      <c r="F24876">
        <v>160</v>
      </c>
    </row>
    <row r="24877" spans="1:6" ht="12.75">
      <c r="A24877" s="2">
        <v>43875.774293981478</v>
      </c>
      <c r="B24877" t="str">
        <f>HYPERLINK("https://twitter.com/zulvaryan","@zulvaryan")</f>
        <v>@zulvaryan</v>
      </c>
      <c r="C24877" t="s">
        <v>2444</v>
      </c>
      <c r="D24877">
        <v>2074</v>
      </c>
      <c r="E24877">
        <v>0</v>
      </c>
      <c r="F24877">
        <v>1838</v>
      </c>
    </row>
    <row r="24878" spans="1:6" ht="12.75">
      <c r="A24878" s="2">
        <v>43875.774178240739</v>
      </c>
      <c r="B24878" t="str">
        <f>HYPERLINK("https://twitter.com/ISIS_Balik_NO","@ISIS_Balik_NO")</f>
        <v>@ISIS_Balik_NO</v>
      </c>
      <c r="C24878" t="s">
        <v>11343</v>
      </c>
      <c r="D24878">
        <v>8</v>
      </c>
      <c r="E24878">
        <v>0</v>
      </c>
      <c r="F24878">
        <v>5903</v>
      </c>
    </row>
    <row r="24879" spans="1:6" ht="12.75">
      <c r="A24879" s="2">
        <v>43875.774155092593</v>
      </c>
      <c r="B24879" t="str">
        <f>HYPERLINK("https://twitter.com/NurKhayat18","@NurKhayat18")</f>
        <v>@NurKhayat18</v>
      </c>
      <c r="C24879" t="s">
        <v>11176</v>
      </c>
      <c r="D24879">
        <v>8</v>
      </c>
      <c r="E24879">
        <v>0</v>
      </c>
      <c r="F24879">
        <v>395</v>
      </c>
    </row>
    <row r="24880" spans="1:6" ht="12.75">
      <c r="A24880" s="2">
        <v>43875.774085648147</v>
      </c>
      <c r="B24880" t="str">
        <f>HYPERLINK("https://twitter.com/Gendorowo3","@Gendorowo3")</f>
        <v>@Gendorowo3</v>
      </c>
      <c r="C24880" t="s">
        <v>11344</v>
      </c>
      <c r="D24880">
        <v>2</v>
      </c>
      <c r="E24880">
        <v>0</v>
      </c>
      <c r="F24880">
        <v>91</v>
      </c>
    </row>
    <row r="24881" spans="1:6" ht="12.75">
      <c r="A24881" s="2">
        <v>43875.77407407407</v>
      </c>
      <c r="B24881" t="str">
        <f>HYPERLINK("https://twitter.com/sundaruu","@sundaruu")</f>
        <v>@sundaruu</v>
      </c>
      <c r="C24881" t="s">
        <v>2963</v>
      </c>
      <c r="D24881">
        <v>1039</v>
      </c>
      <c r="E24881">
        <v>0</v>
      </c>
      <c r="F24881">
        <v>93</v>
      </c>
    </row>
    <row r="24882" spans="1:6" ht="12.75">
      <c r="A24882" s="2">
        <v>43875.774027777778</v>
      </c>
      <c r="B24882" t="str">
        <f>HYPERLINK("https://twitter.com/fokkersby","@fokkersby")</f>
        <v>@fokkersby</v>
      </c>
      <c r="C24882" t="s">
        <v>11345</v>
      </c>
      <c r="D24882">
        <v>0</v>
      </c>
      <c r="E24882">
        <v>0</v>
      </c>
      <c r="F24882">
        <v>47</v>
      </c>
    </row>
    <row r="24883" spans="1:6" ht="12.75">
      <c r="A24883" s="2">
        <v>43875.773981481485</v>
      </c>
      <c r="B24883" t="str">
        <f>HYPERLINK("https://twitter.com/ramboisher","@ramboisher")</f>
        <v>@ramboisher</v>
      </c>
      <c r="C24883" t="s">
        <v>11346</v>
      </c>
      <c r="D24883">
        <v>0</v>
      </c>
      <c r="E24883">
        <v>0</v>
      </c>
      <c r="F24883">
        <v>40</v>
      </c>
    </row>
    <row r="24884" spans="1:6" ht="12.75">
      <c r="A24884" s="2">
        <v>43875.773935185185</v>
      </c>
      <c r="B24884" t="str">
        <f>HYPERLINK("https://twitter.com/herdiman29","@herdiman29")</f>
        <v>@herdiman29</v>
      </c>
      <c r="C24884" t="s">
        <v>11347</v>
      </c>
      <c r="D24884">
        <v>0</v>
      </c>
      <c r="E24884">
        <v>0</v>
      </c>
      <c r="F24884">
        <v>959</v>
      </c>
    </row>
    <row r="24885" spans="1:6" ht="12.75">
      <c r="A24885" s="2">
        <v>43875.773483796293</v>
      </c>
      <c r="B24885" t="str">
        <f>HYPERLINK("https://twitter.com/nero_kara","@nero_kara")</f>
        <v>@nero_kara</v>
      </c>
      <c r="C24885" t="s">
        <v>9082</v>
      </c>
      <c r="D24885">
        <v>45</v>
      </c>
      <c r="E24885">
        <v>0</v>
      </c>
      <c r="F24885">
        <v>347</v>
      </c>
    </row>
    <row r="24886" spans="1:6" ht="12.75">
      <c r="A24886" s="2">
        <v>43875.7734375</v>
      </c>
      <c r="B24886" t="str">
        <f>HYPERLINK("https://twitter.com/sukardi_jho","@sukardi_jho")</f>
        <v>@sukardi_jho</v>
      </c>
      <c r="C24886" t="s">
        <v>7478</v>
      </c>
      <c r="D24886">
        <v>323</v>
      </c>
      <c r="E24886">
        <v>0</v>
      </c>
      <c r="F24886">
        <v>446</v>
      </c>
    </row>
    <row r="24887" spans="1:6" ht="12.75">
      <c r="A24887" s="2">
        <v>43875.77342592593</v>
      </c>
      <c r="B24887" t="str">
        <f>HYPERLINK("https://twitter.com/KakekHalal","@KakekHalal")</f>
        <v>@KakekHalal</v>
      </c>
      <c r="C24887" t="s">
        <v>10190</v>
      </c>
      <c r="D24887">
        <v>21</v>
      </c>
      <c r="E24887">
        <v>0</v>
      </c>
      <c r="F24887">
        <v>21530</v>
      </c>
    </row>
    <row r="24888" spans="1:6" ht="12.75">
      <c r="A24888" s="2">
        <v>43875.77342592593</v>
      </c>
      <c r="B24888" t="str">
        <f>HYPERLINK("https://twitter.com/Gendorowo3","@Gendorowo3")</f>
        <v>@Gendorowo3</v>
      </c>
      <c r="C24888" t="s">
        <v>11348</v>
      </c>
      <c r="D24888">
        <v>1</v>
      </c>
      <c r="E24888">
        <v>0</v>
      </c>
      <c r="F24888">
        <v>91</v>
      </c>
    </row>
    <row r="24889" spans="1:6" ht="12.75">
      <c r="A24889" s="2">
        <v>43875.7731712963</v>
      </c>
      <c r="B24889" t="str">
        <f>HYPERLINK("https://twitter.com/enzotaufan","@enzotaufan")</f>
        <v>@enzotaufan</v>
      </c>
      <c r="C24889" t="s">
        <v>11349</v>
      </c>
      <c r="D24889">
        <v>0</v>
      </c>
      <c r="E24889">
        <v>0</v>
      </c>
      <c r="F24889">
        <v>145</v>
      </c>
    </row>
    <row r="24890" spans="1:6" ht="12.75">
      <c r="A24890" s="2">
        <v>43875.773125</v>
      </c>
      <c r="B24890" t="str">
        <f>HYPERLINK("https://twitter.com/DavidDerot","@DavidDerot")</f>
        <v>@DavidDerot</v>
      </c>
      <c r="C24890" t="s">
        <v>11350</v>
      </c>
      <c r="D24890">
        <v>0</v>
      </c>
      <c r="E24890">
        <v>0</v>
      </c>
      <c r="F24890">
        <v>628</v>
      </c>
    </row>
    <row r="24891" spans="1:6" ht="12.75">
      <c r="A24891" s="2">
        <v>43875.77306712963</v>
      </c>
      <c r="B24891" t="str">
        <f>HYPERLINK("https://twitter.com/harsohananto","@harsohananto")</f>
        <v>@harsohananto</v>
      </c>
      <c r="C24891" t="s">
        <v>9835</v>
      </c>
      <c r="D24891">
        <v>45</v>
      </c>
      <c r="E24891">
        <v>0</v>
      </c>
      <c r="F24891">
        <v>628</v>
      </c>
    </row>
    <row r="24892" spans="1:6" ht="12.75">
      <c r="A24892" s="2">
        <v>43875.773032407407</v>
      </c>
      <c r="B24892" t="str">
        <f>HYPERLINK("https://twitter.com/wonushi","@wonushi")</f>
        <v>@wonushi</v>
      </c>
      <c r="C24892" t="s">
        <v>11351</v>
      </c>
      <c r="D24892">
        <v>0</v>
      </c>
      <c r="E24892">
        <v>0</v>
      </c>
      <c r="F24892">
        <v>776</v>
      </c>
    </row>
    <row r="24893" spans="1:6" ht="12.75">
      <c r="A24893" s="2">
        <v>43875.772939814815</v>
      </c>
      <c r="B24893" t="str">
        <f>HYPERLINK("https://twitter.com/ISIS_Balik_NO","@ISIS_Balik_NO")</f>
        <v>@ISIS_Balik_NO</v>
      </c>
      <c r="C24893" t="s">
        <v>11352</v>
      </c>
      <c r="D24893">
        <v>0</v>
      </c>
      <c r="E24893">
        <v>1</v>
      </c>
      <c r="F24893">
        <v>5903</v>
      </c>
    </row>
    <row r="24894" spans="1:6" ht="12.75">
      <c r="A24894" s="2">
        <v>43875.772905092592</v>
      </c>
      <c r="B24894" t="str">
        <f>HYPERLINK("https://twitter.com/ameeska","@ameeska")</f>
        <v>@ameeska</v>
      </c>
      <c r="C24894" t="s">
        <v>10196</v>
      </c>
      <c r="D24894">
        <v>143</v>
      </c>
      <c r="E24894">
        <v>0</v>
      </c>
      <c r="F24894">
        <v>32</v>
      </c>
    </row>
    <row r="24895" spans="1:6" ht="12.75">
      <c r="A24895" s="2">
        <v>43875.772847222222</v>
      </c>
      <c r="B24895" t="str">
        <f>HYPERLINK("https://twitter.com/fikrinitrate","@fikrinitrate")</f>
        <v>@fikrinitrate</v>
      </c>
      <c r="C24895" t="s">
        <v>2444</v>
      </c>
      <c r="D24895">
        <v>2074</v>
      </c>
      <c r="E24895">
        <v>0</v>
      </c>
      <c r="F24895">
        <v>556</v>
      </c>
    </row>
    <row r="24896" spans="1:6" ht="12.75">
      <c r="A24896" s="2">
        <v>43875.77280092593</v>
      </c>
      <c r="B24896" t="str">
        <f>HYPERLINK("https://twitter.com/yoosngi","@yoosngi")</f>
        <v>@yoosngi</v>
      </c>
      <c r="C24896" t="s">
        <v>2444</v>
      </c>
      <c r="D24896">
        <v>2074</v>
      </c>
      <c r="E24896">
        <v>0</v>
      </c>
      <c r="F24896">
        <v>198</v>
      </c>
    </row>
    <row r="24897" spans="1:6" ht="12.75">
      <c r="A24897" s="2">
        <v>43875.772777777776</v>
      </c>
      <c r="B24897" t="str">
        <f>HYPERLINK("https://twitter.com/agusmanlubis16","@agusmanlubis16")</f>
        <v>@agusmanlubis16</v>
      </c>
      <c r="C24897" t="s">
        <v>2444</v>
      </c>
      <c r="D24897">
        <v>2074</v>
      </c>
      <c r="E24897">
        <v>0</v>
      </c>
      <c r="F24897">
        <v>93</v>
      </c>
    </row>
    <row r="24898" spans="1:6" ht="12.75">
      <c r="A24898" s="2">
        <v>43875.772731481484</v>
      </c>
      <c r="B24898" t="str">
        <f>HYPERLINK("https://twitter.com/TeyengCekap","@TeyengCekap")</f>
        <v>@TeyengCekap</v>
      </c>
      <c r="C24898" t="s">
        <v>10520</v>
      </c>
      <c r="D24898">
        <v>5</v>
      </c>
      <c r="E24898">
        <v>0</v>
      </c>
      <c r="F24898">
        <v>4779</v>
      </c>
    </row>
    <row r="24899" spans="1:6" ht="12.75">
      <c r="A24899" s="2">
        <v>43875.772696759261</v>
      </c>
      <c r="B24899" t="str">
        <f>HYPERLINK("https://twitter.com/Donihendarto","@Donihendarto")</f>
        <v>@Donihendarto</v>
      </c>
      <c r="C24899" t="s">
        <v>11353</v>
      </c>
      <c r="D24899">
        <v>2</v>
      </c>
      <c r="E24899">
        <v>7</v>
      </c>
      <c r="F24899">
        <v>30340</v>
      </c>
    </row>
    <row r="24900" spans="1:6" ht="12.75">
      <c r="A24900" s="2">
        <v>43875.772673611107</v>
      </c>
      <c r="B24900" t="str">
        <f>HYPERLINK("https://twitter.com/RahmanAkly","@RahmanAkly")</f>
        <v>@RahmanAkly</v>
      </c>
      <c r="C24900" t="s">
        <v>11354</v>
      </c>
      <c r="D24900">
        <v>0</v>
      </c>
      <c r="E24900">
        <v>1</v>
      </c>
      <c r="F24900">
        <v>480</v>
      </c>
    </row>
    <row r="24901" spans="1:6" ht="12.75">
      <c r="A24901" s="2">
        <v>43875.772650462968</v>
      </c>
      <c r="B24901" t="str">
        <f>HYPERLINK("https://twitter.com/indazulfiyah","@indazulfiyah")</f>
        <v>@indazulfiyah</v>
      </c>
      <c r="C24901" t="s">
        <v>5168</v>
      </c>
      <c r="D24901">
        <v>896</v>
      </c>
      <c r="E24901">
        <v>0</v>
      </c>
      <c r="F24901">
        <v>258</v>
      </c>
    </row>
    <row r="24902" spans="1:6" ht="12.75">
      <c r="A24902" s="2">
        <v>43875.772604166668</v>
      </c>
      <c r="B24902" t="str">
        <f>HYPERLINK("https://twitter.com/hugmyth","@hugmyth")</f>
        <v>@hugmyth</v>
      </c>
      <c r="C24902" t="s">
        <v>5168</v>
      </c>
      <c r="D24902">
        <v>896</v>
      </c>
      <c r="E24902">
        <v>0</v>
      </c>
      <c r="F24902">
        <v>10198</v>
      </c>
    </row>
    <row r="24903" spans="1:6" ht="12.75">
      <c r="A24903" s="2">
        <v>43875.772534722222</v>
      </c>
      <c r="B24903" t="str">
        <f>HYPERLINK("https://twitter.com/mirtojess","@mirtojess")</f>
        <v>@mirtojess</v>
      </c>
      <c r="C24903" t="s">
        <v>6201</v>
      </c>
      <c r="D24903">
        <v>150</v>
      </c>
      <c r="E24903">
        <v>0</v>
      </c>
      <c r="F24903">
        <v>381</v>
      </c>
    </row>
    <row r="24904" spans="1:6" ht="12.75">
      <c r="A24904" s="2">
        <v>43875.772523148145</v>
      </c>
      <c r="B24904" t="str">
        <f>HYPERLINK("https://twitter.com/harsohananto","@harsohananto")</f>
        <v>@harsohananto</v>
      </c>
      <c r="C24904" t="s">
        <v>9746</v>
      </c>
      <c r="D24904">
        <v>310</v>
      </c>
      <c r="E24904">
        <v>0</v>
      </c>
      <c r="F24904">
        <v>628</v>
      </c>
    </row>
    <row r="24905" spans="1:6" ht="12.75">
      <c r="A24905" s="2">
        <v>43875.772488425922</v>
      </c>
      <c r="B24905" t="str">
        <f>HYPERLINK("https://twitter.com/DARMOGATY","@DARMOGATY")</f>
        <v>@DARMOGATY</v>
      </c>
      <c r="C24905" t="s">
        <v>11322</v>
      </c>
      <c r="D24905">
        <v>79</v>
      </c>
      <c r="E24905">
        <v>0</v>
      </c>
      <c r="F24905">
        <v>1368</v>
      </c>
    </row>
    <row r="24906" spans="1:6" ht="12.75">
      <c r="A24906" s="2">
        <v>43875.772407407407</v>
      </c>
      <c r="B24906" t="str">
        <f>HYPERLINK("https://twitter.com/Wisnu_Handoko93","@Wisnu_Handoko93")</f>
        <v>@Wisnu_Handoko93</v>
      </c>
      <c r="C24906" t="s">
        <v>175</v>
      </c>
      <c r="D24906">
        <v>5295</v>
      </c>
      <c r="E24906">
        <v>0</v>
      </c>
      <c r="F24906">
        <v>31</v>
      </c>
    </row>
    <row r="24907" spans="1:6" ht="12.75">
      <c r="A24907" s="2">
        <v>43875.772349537037</v>
      </c>
      <c r="B24907" t="str">
        <f>HYPERLINK("https://twitter.com/kyotoast","@kyotoast")</f>
        <v>@kyotoast</v>
      </c>
      <c r="C24907" t="s">
        <v>2444</v>
      </c>
      <c r="D24907">
        <v>2074</v>
      </c>
      <c r="E24907">
        <v>0</v>
      </c>
      <c r="F24907">
        <v>8</v>
      </c>
    </row>
    <row r="24908" spans="1:6" ht="12.75">
      <c r="A24908" s="2">
        <v>43875.772326388891</v>
      </c>
      <c r="B24908" t="str">
        <f>HYPERLINK("https://twitter.com/AHerucokro","@AHerucokro")</f>
        <v>@AHerucokro</v>
      </c>
      <c r="C24908" t="s">
        <v>10052</v>
      </c>
      <c r="D24908">
        <v>56</v>
      </c>
      <c r="E24908">
        <v>0</v>
      </c>
      <c r="F24908">
        <v>164</v>
      </c>
    </row>
    <row r="24909" spans="1:6" ht="12.75">
      <c r="A24909" s="2">
        <v>43875.772314814814</v>
      </c>
      <c r="B24909" t="str">
        <f>HYPERLINK("https://twitter.com/tikaraiit","@tikaraiit")</f>
        <v>@tikaraiit</v>
      </c>
      <c r="C24909" t="s">
        <v>5168</v>
      </c>
      <c r="D24909">
        <v>896</v>
      </c>
      <c r="E24909">
        <v>0</v>
      </c>
      <c r="F24909">
        <v>317</v>
      </c>
    </row>
    <row r="24910" spans="1:6" ht="12.75">
      <c r="A24910" s="2">
        <v>43875.772245370375</v>
      </c>
      <c r="B24910" t="str">
        <f>HYPERLINK("https://twitter.com/indazulfiyah","@indazulfiyah")</f>
        <v>@indazulfiyah</v>
      </c>
      <c r="C24910" t="s">
        <v>2444</v>
      </c>
      <c r="D24910">
        <v>2074</v>
      </c>
      <c r="E24910">
        <v>0</v>
      </c>
      <c r="F24910">
        <v>258</v>
      </c>
    </row>
    <row r="24911" spans="1:6" ht="12.75">
      <c r="A24911" s="2">
        <v>43875.772187499999</v>
      </c>
      <c r="B24911" t="str">
        <f>HYPERLINK("https://twitter.com/hildaarstt","@hildaarstt")</f>
        <v>@hildaarstt</v>
      </c>
      <c r="C24911" t="s">
        <v>2444</v>
      </c>
      <c r="D24911">
        <v>2074</v>
      </c>
      <c r="E24911">
        <v>0</v>
      </c>
      <c r="F24911">
        <v>349</v>
      </c>
    </row>
    <row r="24912" spans="1:6" ht="12.75">
      <c r="A24912" s="2">
        <v>43875.772164351853</v>
      </c>
      <c r="B24912" t="str">
        <f>HYPERLINK("https://twitter.com/rinidiono","@rinidiono")</f>
        <v>@rinidiono</v>
      </c>
      <c r="C24912" t="s">
        <v>2444</v>
      </c>
      <c r="D24912">
        <v>2074</v>
      </c>
      <c r="E24912">
        <v>0</v>
      </c>
      <c r="F24912">
        <v>252</v>
      </c>
    </row>
    <row r="24913" spans="1:6" ht="12.75">
      <c r="A24913" s="2">
        <v>43875.772002314814</v>
      </c>
      <c r="B24913" t="str">
        <f>HYPERLINK("https://twitter.com/demetrios777","@demetrios777")</f>
        <v>@demetrios777</v>
      </c>
      <c r="C24913" t="s">
        <v>9082</v>
      </c>
      <c r="D24913">
        <v>45</v>
      </c>
      <c r="E24913">
        <v>0</v>
      </c>
      <c r="F24913">
        <v>24</v>
      </c>
    </row>
    <row r="24914" spans="1:6" ht="12.75">
      <c r="A24914" s="2">
        <v>43875.771863425922</v>
      </c>
      <c r="B24914" t="str">
        <f>HYPERLINK("https://twitter.com/Ridlo_Brian","@Ridlo_Brian")</f>
        <v>@Ridlo_Brian</v>
      </c>
      <c r="C24914" t="s">
        <v>10074</v>
      </c>
      <c r="D24914">
        <v>67</v>
      </c>
      <c r="E24914">
        <v>0</v>
      </c>
      <c r="F24914">
        <v>241</v>
      </c>
    </row>
    <row r="24915" spans="1:6" ht="12.75">
      <c r="A24915" s="2">
        <v>43875.771817129629</v>
      </c>
      <c r="B24915" t="str">
        <f>HYPERLINK("https://twitter.com/zSlackJack","@zSlackJack")</f>
        <v>@zSlackJack</v>
      </c>
      <c r="C24915" t="s">
        <v>2963</v>
      </c>
      <c r="D24915">
        <v>1039</v>
      </c>
      <c r="E24915">
        <v>0</v>
      </c>
      <c r="F24915">
        <v>62</v>
      </c>
    </row>
    <row r="24916" spans="1:6" ht="12.75">
      <c r="A24916" s="2">
        <v>43875.771678240737</v>
      </c>
      <c r="B24916" t="str">
        <f>HYPERLINK("https://twitter.com/nokiiyy","@nokiiyy")</f>
        <v>@nokiiyy</v>
      </c>
      <c r="C24916" t="s">
        <v>2444</v>
      </c>
      <c r="D24916">
        <v>2074</v>
      </c>
      <c r="E24916">
        <v>0</v>
      </c>
      <c r="F24916">
        <v>711</v>
      </c>
    </row>
    <row r="24917" spans="1:6" ht="12.75">
      <c r="A24917" s="2">
        <v>43875.771666666667</v>
      </c>
      <c r="B24917" t="str">
        <f>HYPERLINK("https://twitter.com/yesnoot","@yesnoot")</f>
        <v>@yesnoot</v>
      </c>
      <c r="C24917" t="s">
        <v>5168</v>
      </c>
      <c r="D24917">
        <v>896</v>
      </c>
      <c r="E24917">
        <v>0</v>
      </c>
      <c r="F24917">
        <v>46</v>
      </c>
    </row>
    <row r="24918" spans="1:6" ht="12.75">
      <c r="A24918" s="2">
        <v>43875.771620370375</v>
      </c>
      <c r="B24918" t="str">
        <f>HYPERLINK("https://twitter.com/KavindraOemar","@KavindraOemar")</f>
        <v>@KavindraOemar</v>
      </c>
      <c r="C24918" t="s">
        <v>11355</v>
      </c>
      <c r="D24918">
        <v>0</v>
      </c>
      <c r="E24918">
        <v>0</v>
      </c>
      <c r="F24918">
        <v>3670</v>
      </c>
    </row>
    <row r="24919" spans="1:6" ht="12.75">
      <c r="A24919" s="2">
        <v>43875.771539351852</v>
      </c>
      <c r="B24919" t="str">
        <f>HYPERLINK("https://twitter.com/ananda_marvian","@ananda_marvian")</f>
        <v>@ananda_marvian</v>
      </c>
      <c r="C24919" t="s">
        <v>5168</v>
      </c>
      <c r="D24919">
        <v>896</v>
      </c>
      <c r="E24919">
        <v>0</v>
      </c>
      <c r="F24919">
        <v>319</v>
      </c>
    </row>
    <row r="24920" spans="1:6" ht="12.75">
      <c r="A24920" s="2">
        <v>43875.771539351852</v>
      </c>
      <c r="B24920" t="str">
        <f>HYPERLINK("https://twitter.com/munthe_alfredi","@munthe_alfredi")</f>
        <v>@munthe_alfredi</v>
      </c>
      <c r="C24920" t="s">
        <v>11356</v>
      </c>
      <c r="D24920">
        <v>1</v>
      </c>
      <c r="E24920">
        <v>0</v>
      </c>
      <c r="F24920">
        <v>66</v>
      </c>
    </row>
    <row r="24921" spans="1:6" ht="12.75">
      <c r="A24921" s="2">
        <v>43875.771504629629</v>
      </c>
      <c r="B24921" t="str">
        <f>HYPERLINK("https://twitter.com/TrioRjo","@TrioRjo")</f>
        <v>@TrioRjo</v>
      </c>
      <c r="C24921" t="s">
        <v>2444</v>
      </c>
      <c r="D24921">
        <v>2074</v>
      </c>
      <c r="E24921">
        <v>0</v>
      </c>
      <c r="F24921">
        <v>126</v>
      </c>
    </row>
    <row r="24922" spans="1:6" ht="12.75">
      <c r="A24922" s="2">
        <v>43875.771400462967</v>
      </c>
      <c r="B24922" t="str">
        <f>HYPERLINK("https://twitter.com/haerderowei","@haerderowei")</f>
        <v>@haerderowei</v>
      </c>
      <c r="C24922" t="s">
        <v>2963</v>
      </c>
      <c r="D24922">
        <v>1039</v>
      </c>
      <c r="E24922">
        <v>0</v>
      </c>
      <c r="F24922">
        <v>244</v>
      </c>
    </row>
    <row r="24923" spans="1:6" ht="12.75">
      <c r="A24923" s="2">
        <v>43875.771307870367</v>
      </c>
      <c r="B24923" t="str">
        <f>HYPERLINK("https://twitter.com/KharisJalu","@KharisJalu")</f>
        <v>@KharisJalu</v>
      </c>
      <c r="C24923" t="s">
        <v>2444</v>
      </c>
      <c r="D24923">
        <v>2074</v>
      </c>
      <c r="E24923">
        <v>0</v>
      </c>
      <c r="F24923">
        <v>1516</v>
      </c>
    </row>
    <row r="24924" spans="1:6" ht="12.75">
      <c r="A24924" s="2">
        <v>43875.771111111113</v>
      </c>
      <c r="B24924" t="str">
        <f>HYPERLINK("https://twitter.com/handedgirl","@handedgirl")</f>
        <v>@handedgirl</v>
      </c>
      <c r="C24924" t="s">
        <v>2444</v>
      </c>
      <c r="D24924">
        <v>2074</v>
      </c>
      <c r="E24924">
        <v>0</v>
      </c>
      <c r="F24924">
        <v>13</v>
      </c>
    </row>
    <row r="24925" spans="1:6" ht="12.75">
      <c r="A24925" s="2">
        <v>43875.771087962959</v>
      </c>
      <c r="B24925" t="str">
        <f>HYPERLINK("https://twitter.com/donutnut_al","@donutnut_al")</f>
        <v>@donutnut_al</v>
      </c>
      <c r="C24925" t="s">
        <v>5168</v>
      </c>
      <c r="D24925">
        <v>896</v>
      </c>
      <c r="E24925">
        <v>0</v>
      </c>
      <c r="F24925">
        <v>127</v>
      </c>
    </row>
    <row r="24926" spans="1:6" ht="12.75">
      <c r="A24926" s="2">
        <v>43875.770937499998</v>
      </c>
      <c r="B24926" t="str">
        <f>HYPERLINK("https://twitter.com/Kecebon06563249","@Kecebon06563249")</f>
        <v>@Kecebon06563249</v>
      </c>
      <c r="C24926" t="s">
        <v>10520</v>
      </c>
      <c r="D24926">
        <v>5</v>
      </c>
      <c r="E24926">
        <v>0</v>
      </c>
      <c r="F24926">
        <v>3897</v>
      </c>
    </row>
    <row r="24927" spans="1:6" ht="12.75">
      <c r="A24927" s="2">
        <v>43875.770925925928</v>
      </c>
      <c r="B24927" t="str">
        <f>HYPERLINK("https://twitter.com/AhsanLei","@AhsanLei")</f>
        <v>@AhsanLei</v>
      </c>
      <c r="C24927" t="s">
        <v>2963</v>
      </c>
      <c r="D24927">
        <v>1039</v>
      </c>
      <c r="E24927">
        <v>0</v>
      </c>
      <c r="F24927">
        <v>0</v>
      </c>
    </row>
    <row r="24928" spans="1:6" ht="12.75">
      <c r="A24928" s="2">
        <v>43875.770914351851</v>
      </c>
      <c r="B24928" t="str">
        <f>HYPERLINK("https://twitter.com/yozbaonk22","@yozbaonk22")</f>
        <v>@yozbaonk22</v>
      </c>
      <c r="C24928" t="s">
        <v>9857</v>
      </c>
      <c r="D24928">
        <v>4</v>
      </c>
      <c r="E24928">
        <v>0</v>
      </c>
      <c r="F24928">
        <v>637</v>
      </c>
    </row>
    <row r="24929" spans="1:6" ht="12.75">
      <c r="A24929" s="2">
        <v>43875.770844907413</v>
      </c>
      <c r="B24929" t="str">
        <f>HYPERLINK("https://twitter.com/sotogurih","@sotogurih")</f>
        <v>@sotogurih</v>
      </c>
      <c r="C24929" t="s">
        <v>9123</v>
      </c>
      <c r="D24929">
        <v>255</v>
      </c>
      <c r="E24929">
        <v>0</v>
      </c>
      <c r="F24929">
        <v>760</v>
      </c>
    </row>
    <row r="24930" spans="1:6" ht="12.75">
      <c r="A24930" s="2">
        <v>43875.770798611113</v>
      </c>
      <c r="B24930" t="str">
        <f>HYPERLINK("https://twitter.com/donutnut_al","@donutnut_al")</f>
        <v>@donutnut_al</v>
      </c>
      <c r="C24930" t="s">
        <v>9123</v>
      </c>
      <c r="D24930">
        <v>255</v>
      </c>
      <c r="E24930">
        <v>0</v>
      </c>
      <c r="F24930">
        <v>127</v>
      </c>
    </row>
    <row r="24931" spans="1:6" ht="12.75">
      <c r="A24931" s="2">
        <v>43875.770798611113</v>
      </c>
      <c r="B24931" t="str">
        <f>HYPERLINK("https://twitter.com/orindosinaga","@orindosinaga")</f>
        <v>@orindosinaga</v>
      </c>
      <c r="C24931" t="s">
        <v>11357</v>
      </c>
      <c r="D24931">
        <v>0</v>
      </c>
      <c r="E24931">
        <v>0</v>
      </c>
      <c r="F24931">
        <v>206</v>
      </c>
    </row>
    <row r="24932" spans="1:6" ht="12.75">
      <c r="A24932" s="2">
        <v>43875.770752314813</v>
      </c>
      <c r="B24932" t="str">
        <f>HYPERLINK("https://twitter.com/N1ngW4ng1","@N1ngW4ng1")</f>
        <v>@N1ngW4ng1</v>
      </c>
      <c r="C24932" t="s">
        <v>11358</v>
      </c>
      <c r="D24932">
        <v>1</v>
      </c>
      <c r="E24932">
        <v>0</v>
      </c>
      <c r="F24932">
        <v>3271</v>
      </c>
    </row>
    <row r="24933" spans="1:6" ht="12.75">
      <c r="A24933" s="2">
        <v>43875.770543981482</v>
      </c>
      <c r="B24933" t="str">
        <f>HYPERLINK("https://twitter.com/KharisJalu","@KharisJalu")</f>
        <v>@KharisJalu</v>
      </c>
      <c r="C24933" t="s">
        <v>5168</v>
      </c>
      <c r="D24933">
        <v>896</v>
      </c>
      <c r="E24933">
        <v>0</v>
      </c>
      <c r="F24933">
        <v>1516</v>
      </c>
    </row>
    <row r="24934" spans="1:6" ht="12.75">
      <c r="A24934" s="2">
        <v>43875.770509259259</v>
      </c>
      <c r="B24934" t="str">
        <f>HYPERLINK("https://twitter.com/gomdorissi","@gomdorissi")</f>
        <v>@gomdorissi</v>
      </c>
      <c r="C24934" t="s">
        <v>2444</v>
      </c>
      <c r="D24934">
        <v>2074</v>
      </c>
      <c r="E24934">
        <v>0</v>
      </c>
      <c r="F24934">
        <v>540</v>
      </c>
    </row>
    <row r="24935" spans="1:6" ht="12.75">
      <c r="A24935" s="2">
        <v>43875.770474537036</v>
      </c>
      <c r="B24935" t="str">
        <f>HYPERLINK("https://twitter.com/donutnut_al","@donutnut_al")</f>
        <v>@donutnut_al</v>
      </c>
      <c r="C24935" t="s">
        <v>2444</v>
      </c>
      <c r="D24935">
        <v>2074</v>
      </c>
      <c r="E24935">
        <v>0</v>
      </c>
      <c r="F24935">
        <v>127</v>
      </c>
    </row>
    <row r="24936" spans="1:6" ht="12.75">
      <c r="A24936" s="2">
        <v>43875.770416666666</v>
      </c>
      <c r="B24936" t="str">
        <f>HYPERLINK("https://twitter.com/rizkiputraasle","@rizkiputraasle")</f>
        <v>@rizkiputraasle</v>
      </c>
      <c r="C24936" t="s">
        <v>11359</v>
      </c>
      <c r="D24936">
        <v>0</v>
      </c>
      <c r="E24936">
        <v>0</v>
      </c>
      <c r="F24936">
        <v>321</v>
      </c>
    </row>
    <row r="24937" spans="1:6" ht="12.75">
      <c r="A24937" s="2">
        <v>43875.770370370374</v>
      </c>
      <c r="B24937" t="str">
        <f>HYPERLINK("https://twitter.com/Boemi_Pertiwi12","@Boemi_Pertiwi12")</f>
        <v>@Boemi_Pertiwi12</v>
      </c>
      <c r="C24937" t="s">
        <v>11360</v>
      </c>
      <c r="D24937">
        <v>5</v>
      </c>
      <c r="E24937">
        <v>5</v>
      </c>
      <c r="F24937">
        <v>18719</v>
      </c>
    </row>
    <row r="24938" spans="1:6" ht="12.75">
      <c r="A24938" s="2">
        <v>43875.770254629635</v>
      </c>
      <c r="B24938" t="str">
        <f>HYPERLINK("https://twitter.com/nblgalaxxyy","@nblgalaxxyy")</f>
        <v>@nblgalaxxyy</v>
      </c>
      <c r="C24938" t="s">
        <v>2444</v>
      </c>
      <c r="D24938">
        <v>2074</v>
      </c>
      <c r="E24938">
        <v>0</v>
      </c>
      <c r="F24938">
        <v>350</v>
      </c>
    </row>
    <row r="24939" spans="1:6" ht="12.75">
      <c r="A24939" s="2">
        <v>43875.770243055551</v>
      </c>
      <c r="B24939" t="str">
        <f>HYPERLINK("https://twitter.com/hikarijang639","@hikarijang639")</f>
        <v>@hikarijang639</v>
      </c>
      <c r="C24939" t="s">
        <v>2444</v>
      </c>
      <c r="D24939">
        <v>2074</v>
      </c>
      <c r="E24939">
        <v>0</v>
      </c>
      <c r="F24939">
        <v>54</v>
      </c>
    </row>
    <row r="24940" spans="1:6" ht="12.75">
      <c r="A24940" s="2">
        <v>43875.770243055551</v>
      </c>
      <c r="B24940" t="str">
        <f>HYPERLINK("https://twitter.com/DjanChoek","@DjanChoek")</f>
        <v>@DjanChoek</v>
      </c>
      <c r="C24940" t="s">
        <v>11361</v>
      </c>
      <c r="D24940">
        <v>0</v>
      </c>
      <c r="E24940">
        <v>2</v>
      </c>
      <c r="F24940">
        <v>24103</v>
      </c>
    </row>
    <row r="24941" spans="1:6" ht="12.75">
      <c r="A24941" s="2">
        <v>43875.770208333328</v>
      </c>
      <c r="B24941" t="str">
        <f>HYPERLINK("https://twitter.com/donjuansugih","@donjuansugih")</f>
        <v>@donjuansugih</v>
      </c>
      <c r="C24941" t="s">
        <v>6201</v>
      </c>
      <c r="D24941">
        <v>150</v>
      </c>
      <c r="E24941">
        <v>0</v>
      </c>
      <c r="F24941">
        <v>437</v>
      </c>
    </row>
    <row r="24942" spans="1:6" ht="12.75">
      <c r="A24942" s="2">
        <v>43875.770173611112</v>
      </c>
      <c r="B24942" t="str">
        <f>HYPERLINK("https://twitter.com/Metro_TV","@Metro_TV")</f>
        <v>@Metro_TV</v>
      </c>
      <c r="C24942" t="s">
        <v>9857</v>
      </c>
      <c r="D24942">
        <v>4</v>
      </c>
      <c r="E24942">
        <v>0</v>
      </c>
      <c r="F24942">
        <v>10509032</v>
      </c>
    </row>
    <row r="24943" spans="1:6" ht="12.75">
      <c r="A24943" s="2">
        <v>43875.770162037035</v>
      </c>
      <c r="B24943" t="str">
        <f>HYPERLINK("https://twitter.com/n1ckeff","@n1ckeff")</f>
        <v>@n1ckeff</v>
      </c>
      <c r="C24943" t="s">
        <v>10866</v>
      </c>
      <c r="D24943">
        <v>180</v>
      </c>
      <c r="E24943">
        <v>0</v>
      </c>
      <c r="F24943">
        <v>3012</v>
      </c>
    </row>
    <row r="24944" spans="1:6" ht="12.75">
      <c r="A24944" s="2">
        <v>43875.770138888889</v>
      </c>
      <c r="B24944" t="str">
        <f>HYPERLINK("https://twitter.com/Metro_TV","@Metro_TV")</f>
        <v>@Metro_TV</v>
      </c>
      <c r="C24944" t="s">
        <v>11362</v>
      </c>
      <c r="D24944">
        <v>0</v>
      </c>
      <c r="E24944">
        <v>2</v>
      </c>
      <c r="F24944">
        <v>10509032</v>
      </c>
    </row>
    <row r="24945" spans="1:6" ht="12.75">
      <c r="A24945" s="2">
        <v>43875.770127314812</v>
      </c>
      <c r="B24945" t="str">
        <f>HYPERLINK("https://twitter.com/_therma_","@_therma_")</f>
        <v>@_therma_</v>
      </c>
      <c r="C24945" t="s">
        <v>7888</v>
      </c>
      <c r="D24945">
        <v>13</v>
      </c>
      <c r="E24945">
        <v>0</v>
      </c>
      <c r="F24945">
        <v>4431</v>
      </c>
    </row>
    <row r="24946" spans="1:6" ht="12.75">
      <c r="A24946" s="2">
        <v>43875.770104166666</v>
      </c>
      <c r="B24946" t="str">
        <f>HYPERLINK("https://twitter.com/hApetross","@hApetross")</f>
        <v>@hApetross</v>
      </c>
      <c r="C24946" t="s">
        <v>5168</v>
      </c>
      <c r="D24946">
        <v>896</v>
      </c>
      <c r="E24946">
        <v>0</v>
      </c>
      <c r="F24946">
        <v>5041</v>
      </c>
    </row>
    <row r="24947" spans="1:6" ht="12.75">
      <c r="A24947" s="2">
        <v>43875.770011574074</v>
      </c>
      <c r="B24947" t="str">
        <f>HYPERLINK("https://twitter.com/Is_Pangsi","@Is_Pangsi")</f>
        <v>@Is_Pangsi</v>
      </c>
      <c r="C24947" t="s">
        <v>11363</v>
      </c>
      <c r="D24947">
        <v>1</v>
      </c>
      <c r="E24947">
        <v>0</v>
      </c>
      <c r="F24947">
        <v>179</v>
      </c>
    </row>
    <row r="24948" spans="1:6" ht="12.75">
      <c r="A24948" s="2">
        <v>43875.770011574074</v>
      </c>
      <c r="B24948" t="str">
        <f>HYPERLINK("https://twitter.com/RyuKelvin","@RyuKelvin")</f>
        <v>@RyuKelvin</v>
      </c>
      <c r="C24948" t="s">
        <v>11364</v>
      </c>
      <c r="D24948">
        <v>67</v>
      </c>
      <c r="E24948">
        <v>0</v>
      </c>
      <c r="F24948">
        <v>559</v>
      </c>
    </row>
    <row r="24949" spans="1:6" ht="12.75">
      <c r="A24949" s="2">
        <v>43875.769976851851</v>
      </c>
      <c r="B24949" t="str">
        <f>HYPERLINK("https://twitter.com/CNNIDdaily","@CNNIDdaily")</f>
        <v>@CNNIDdaily</v>
      </c>
      <c r="C24949" t="s">
        <v>11365</v>
      </c>
      <c r="D24949">
        <v>1</v>
      </c>
      <c r="E24949">
        <v>2</v>
      </c>
      <c r="F24949">
        <v>115900</v>
      </c>
    </row>
    <row r="24950" spans="1:6" ht="12.75">
      <c r="A24950" s="2">
        <v>43875.769895833335</v>
      </c>
      <c r="B24950" t="str">
        <f>HYPERLINK("https://twitter.com/mukidioon","@mukidioon")</f>
        <v>@mukidioon</v>
      </c>
      <c r="C24950" t="s">
        <v>11366</v>
      </c>
      <c r="D24950">
        <v>0</v>
      </c>
      <c r="E24950">
        <v>0</v>
      </c>
      <c r="F24950">
        <v>10</v>
      </c>
    </row>
    <row r="24951" spans="1:6" ht="12.75">
      <c r="A24951" s="2">
        <v>43875.769837962958</v>
      </c>
      <c r="B24951" t="str">
        <f>HYPERLINK("https://twitter.com/Febyval22","@Febyval22")</f>
        <v>@Febyval22</v>
      </c>
      <c r="C24951" t="s">
        <v>10052</v>
      </c>
      <c r="D24951">
        <v>56</v>
      </c>
      <c r="E24951">
        <v>0</v>
      </c>
      <c r="F24951">
        <v>287</v>
      </c>
    </row>
    <row r="24952" spans="1:6" ht="12.75">
      <c r="A24952" s="2">
        <v>43875.769826388889</v>
      </c>
      <c r="B24952" t="str">
        <f>HYPERLINK("https://twitter.com/hApetross","@hApetross")</f>
        <v>@hApetross</v>
      </c>
      <c r="C24952" t="s">
        <v>2444</v>
      </c>
      <c r="D24952">
        <v>2074</v>
      </c>
      <c r="E24952">
        <v>0</v>
      </c>
      <c r="F24952">
        <v>5041</v>
      </c>
    </row>
    <row r="24953" spans="1:6" ht="12.75">
      <c r="A24953" s="2">
        <v>43875.769745370373</v>
      </c>
      <c r="B24953" t="str">
        <f>HYPERLINK("https://twitter.com/carina_niken","@carina_niken")</f>
        <v>@carina_niken</v>
      </c>
      <c r="C24953" t="s">
        <v>11367</v>
      </c>
      <c r="D24953">
        <v>0</v>
      </c>
      <c r="E24953">
        <v>0</v>
      </c>
      <c r="F24953">
        <v>543</v>
      </c>
    </row>
    <row r="24954" spans="1:6" ht="12.75">
      <c r="A24954" s="2">
        <v>43875.76972222222</v>
      </c>
      <c r="B24954" t="str">
        <f>HYPERLINK("https://twitter.com/RyuKelvin","@RyuKelvin")</f>
        <v>@RyuKelvin</v>
      </c>
      <c r="C24954" t="s">
        <v>11368</v>
      </c>
      <c r="D24954">
        <v>76</v>
      </c>
      <c r="E24954">
        <v>0</v>
      </c>
      <c r="F24954">
        <v>559</v>
      </c>
    </row>
    <row r="24955" spans="1:6" ht="12.75">
      <c r="A24955" s="2">
        <v>43875.769594907411</v>
      </c>
      <c r="B24955" t="str">
        <f>HYPERLINK("https://twitter.com/tompaguci","@tompaguci")</f>
        <v>@tompaguci</v>
      </c>
      <c r="C24955" t="s">
        <v>2444</v>
      </c>
      <c r="D24955">
        <v>2074</v>
      </c>
      <c r="E24955">
        <v>0</v>
      </c>
      <c r="F24955">
        <v>202</v>
      </c>
    </row>
    <row r="24956" spans="1:6" ht="12.75">
      <c r="A24956" s="2">
        <v>43875.769548611112</v>
      </c>
      <c r="B24956" t="str">
        <f>HYPERLINK("https://twitter.com/wahhabicc_jabar","@wahhabicc_jabar")</f>
        <v>@wahhabicc_jabar</v>
      </c>
      <c r="C24956" t="s">
        <v>11369</v>
      </c>
      <c r="D24956">
        <v>1</v>
      </c>
      <c r="E24956">
        <v>0</v>
      </c>
      <c r="F24956">
        <v>30170</v>
      </c>
    </row>
    <row r="24957" spans="1:6" ht="12.75">
      <c r="A24957" s="2">
        <v>43875.769479166665</v>
      </c>
      <c r="B24957" t="str">
        <f>HYPERLINK("https://twitter.com/oedtoyou","@oedtoyou")</f>
        <v>@oedtoyou</v>
      </c>
      <c r="C24957" t="s">
        <v>2444</v>
      </c>
      <c r="D24957">
        <v>2074</v>
      </c>
      <c r="E24957">
        <v>0</v>
      </c>
      <c r="F24957">
        <v>236</v>
      </c>
    </row>
    <row r="24958" spans="1:6" ht="12.75">
      <c r="A24958" s="2">
        <v>43875.76944444445</v>
      </c>
      <c r="B24958" t="str">
        <f>HYPERLINK("https://twitter.com/nisaptx","@nisaptx")</f>
        <v>@nisaptx</v>
      </c>
      <c r="C24958" t="s">
        <v>9123</v>
      </c>
      <c r="D24958">
        <v>255</v>
      </c>
      <c r="E24958">
        <v>0</v>
      </c>
      <c r="F24958">
        <v>244</v>
      </c>
    </row>
    <row r="24959" spans="1:6" ht="12.75">
      <c r="A24959" s="2">
        <v>43875.769421296296</v>
      </c>
      <c r="B24959" t="str">
        <f>HYPERLINK("https://twitter.com/fadlanous","@fadlanous")</f>
        <v>@fadlanous</v>
      </c>
      <c r="C24959" t="s">
        <v>11370</v>
      </c>
      <c r="D24959">
        <v>0</v>
      </c>
      <c r="E24959">
        <v>0</v>
      </c>
      <c r="F24959">
        <v>1420</v>
      </c>
    </row>
    <row r="24960" spans="1:6" ht="12.75">
      <c r="A24960" s="2">
        <v>43875.769421296296</v>
      </c>
      <c r="B24960" t="str">
        <f>HYPERLINK("https://twitter.com/aipsun","@aipsun")</f>
        <v>@aipsun</v>
      </c>
      <c r="C24960" t="s">
        <v>11371</v>
      </c>
      <c r="D24960">
        <v>1</v>
      </c>
      <c r="E24960">
        <v>0</v>
      </c>
      <c r="F24960">
        <v>12596</v>
      </c>
    </row>
    <row r="24961" spans="1:6" ht="12.75">
      <c r="A24961" s="2">
        <v>43875.769317129627</v>
      </c>
      <c r="B24961" t="str">
        <f>HYPERLINK("https://twitter.com/parangsana","@parangsana")</f>
        <v>@parangsana</v>
      </c>
      <c r="C24961" t="s">
        <v>9377</v>
      </c>
      <c r="D24961">
        <v>18</v>
      </c>
      <c r="E24961">
        <v>0</v>
      </c>
      <c r="F24961">
        <v>119</v>
      </c>
    </row>
    <row r="24962" spans="1:6" ht="12.75">
      <c r="A24962" s="2">
        <v>43875.769282407404</v>
      </c>
      <c r="B24962" t="str">
        <f>HYPERLINK("https://twitter.com/joan70an","@joan70an")</f>
        <v>@joan70an</v>
      </c>
      <c r="C24962" t="s">
        <v>2444</v>
      </c>
      <c r="D24962">
        <v>2074</v>
      </c>
      <c r="E24962">
        <v>0</v>
      </c>
      <c r="F24962">
        <v>613</v>
      </c>
    </row>
    <row r="24963" spans="1:6" ht="12.75">
      <c r="A24963" s="2">
        <v>43875.769259259258</v>
      </c>
      <c r="B24963" t="str">
        <f>HYPERLINK("https://twitter.com/SiAndi_","@SiAndi_")</f>
        <v>@SiAndi_</v>
      </c>
      <c r="C24963" t="s">
        <v>10052</v>
      </c>
      <c r="D24963">
        <v>56</v>
      </c>
      <c r="E24963">
        <v>0</v>
      </c>
      <c r="F24963">
        <v>2841</v>
      </c>
    </row>
    <row r="24964" spans="1:6" ht="12.75">
      <c r="A24964" s="2">
        <v>43875.768958333334</v>
      </c>
      <c r="B24964" t="str">
        <f>HYPERLINK("https://twitter.com/V4nn","@V4nn")</f>
        <v>@V4nn</v>
      </c>
      <c r="C24964" t="s">
        <v>11372</v>
      </c>
      <c r="D24964">
        <v>0</v>
      </c>
      <c r="E24964">
        <v>1</v>
      </c>
      <c r="F24964">
        <v>23</v>
      </c>
    </row>
    <row r="24965" spans="1:6" ht="12.75">
      <c r="A24965" s="2">
        <v>43875.768958333334</v>
      </c>
      <c r="B24965" t="str">
        <f>HYPERLINK("https://twitter.com/nabilah_cw","@nabilah_cw")</f>
        <v>@nabilah_cw</v>
      </c>
      <c r="C24965" t="s">
        <v>2444</v>
      </c>
      <c r="D24965">
        <v>2074</v>
      </c>
      <c r="E24965">
        <v>0</v>
      </c>
      <c r="F24965">
        <v>378</v>
      </c>
    </row>
    <row r="24966" spans="1:6" ht="12.75">
      <c r="A24966" s="2">
        <v>43875.768888888888</v>
      </c>
      <c r="B24966" t="str">
        <f>HYPERLINK("https://twitter.com/sicilia_ayu","@sicilia_ayu")</f>
        <v>@sicilia_ayu</v>
      </c>
      <c r="C24966" t="s">
        <v>2963</v>
      </c>
      <c r="D24966">
        <v>1039</v>
      </c>
      <c r="E24966">
        <v>0</v>
      </c>
      <c r="F24966">
        <v>17</v>
      </c>
    </row>
    <row r="24967" spans="1:6" ht="12.75">
      <c r="A24967" s="2">
        <v>43875.768854166672</v>
      </c>
      <c r="B24967" t="str">
        <f>HYPERLINK("https://twitter.com/XD_nim","@XD_nim")</f>
        <v>@XD_nim</v>
      </c>
      <c r="C24967" t="s">
        <v>2444</v>
      </c>
      <c r="D24967">
        <v>2074</v>
      </c>
      <c r="E24967">
        <v>0</v>
      </c>
      <c r="F24967">
        <v>1114</v>
      </c>
    </row>
    <row r="24968" spans="1:6" ht="12.75">
      <c r="A24968" s="2">
        <v>43875.768842592588</v>
      </c>
      <c r="B24968" t="str">
        <f>HYPERLINK("https://twitter.com/Demokrasiq","@Demokrasiq")</f>
        <v>@Demokrasiq</v>
      </c>
      <c r="C24968" t="s">
        <v>11373</v>
      </c>
      <c r="D24968">
        <v>0</v>
      </c>
      <c r="E24968">
        <v>0</v>
      </c>
      <c r="F24968">
        <v>1019</v>
      </c>
    </row>
    <row r="24969" spans="1:6" ht="12.75">
      <c r="A24969" s="2">
        <v>43875.768842592588</v>
      </c>
      <c r="B24969" t="str">
        <f>HYPERLINK("https://twitter.com/niniiinggg","@niniiinggg")</f>
        <v>@niniiinggg</v>
      </c>
      <c r="C24969" t="s">
        <v>2444</v>
      </c>
      <c r="D24969">
        <v>2074</v>
      </c>
      <c r="E24969">
        <v>0</v>
      </c>
      <c r="F24969">
        <v>362</v>
      </c>
    </row>
    <row r="24970" spans="1:6" ht="12.75">
      <c r="A24970" s="2">
        <v>43875.768842592588</v>
      </c>
      <c r="B24970" t="str">
        <f>HYPERLINK("https://twitter.com/Bayu12A","@Bayu12A")</f>
        <v>@Bayu12A</v>
      </c>
      <c r="C24970" t="s">
        <v>10074</v>
      </c>
      <c r="D24970">
        <v>67</v>
      </c>
      <c r="E24970">
        <v>0</v>
      </c>
      <c r="F24970">
        <v>76</v>
      </c>
    </row>
    <row r="24971" spans="1:6" ht="12.75">
      <c r="A24971" s="2">
        <v>43875.768807870365</v>
      </c>
      <c r="B24971" t="str">
        <f>HYPERLINK("https://twitter.com/kompascom","@kompascom")</f>
        <v>@kompascom</v>
      </c>
      <c r="C24971" t="s">
        <v>11374</v>
      </c>
      <c r="D24971">
        <v>1</v>
      </c>
      <c r="E24971">
        <v>4</v>
      </c>
      <c r="F24971">
        <v>7497529</v>
      </c>
    </row>
    <row r="24972" spans="1:6" ht="12.75">
      <c r="A24972" s="2">
        <v>43875.768750000003</v>
      </c>
      <c r="B24972" t="str">
        <f>HYPERLINK("https://twitter.com/adjiesun","@adjiesun")</f>
        <v>@adjiesun</v>
      </c>
      <c r="C24972" t="s">
        <v>11375</v>
      </c>
      <c r="D24972">
        <v>3</v>
      </c>
      <c r="E24972">
        <v>0</v>
      </c>
      <c r="F24972">
        <v>158</v>
      </c>
    </row>
    <row r="24973" spans="1:6" ht="12.75">
      <c r="A24973" s="2">
        <v>43875.768692129626</v>
      </c>
      <c r="B24973" t="str">
        <f>HYPERLINK("https://twitter.com/staerbuxz","@staerbuxz")</f>
        <v>@staerbuxz</v>
      </c>
      <c r="C24973" t="s">
        <v>2444</v>
      </c>
      <c r="D24973">
        <v>2074</v>
      </c>
      <c r="E24973">
        <v>0</v>
      </c>
      <c r="F24973">
        <v>888</v>
      </c>
    </row>
    <row r="24974" spans="1:6" ht="12.75">
      <c r="A24974" s="2">
        <v>43875.76866898148</v>
      </c>
      <c r="B24974" t="str">
        <f>HYPERLINK("https://twitter.com/SusenoKtoet","@SusenoKtoet")</f>
        <v>@SusenoKtoet</v>
      </c>
      <c r="C24974" t="s">
        <v>11376</v>
      </c>
      <c r="D24974">
        <v>0</v>
      </c>
      <c r="E24974">
        <v>0</v>
      </c>
      <c r="F24974">
        <v>1</v>
      </c>
    </row>
    <row r="24975" spans="1:6" ht="12.75">
      <c r="A24975" s="2">
        <v>43875.768645833334</v>
      </c>
      <c r="B24975" t="str">
        <f>HYPERLINK("https://twitter.com/Akmalakmj","@Akmalakmj")</f>
        <v>@Akmalakmj</v>
      </c>
      <c r="C24975" t="s">
        <v>2444</v>
      </c>
      <c r="D24975">
        <v>2074</v>
      </c>
      <c r="E24975">
        <v>0</v>
      </c>
      <c r="F24975">
        <v>5</v>
      </c>
    </row>
    <row r="24976" spans="1:6" ht="12.75">
      <c r="A24976" s="2">
        <v>43875.768634259264</v>
      </c>
      <c r="B24976" t="str">
        <f>HYPERLINK("https://twitter.com/OpsiMetroTV","@OpsiMetroTV")</f>
        <v>@OpsiMetroTV</v>
      </c>
      <c r="C24976" t="s">
        <v>11377</v>
      </c>
      <c r="D24976">
        <v>4</v>
      </c>
      <c r="E24976">
        <v>16</v>
      </c>
      <c r="F24976">
        <v>15450</v>
      </c>
    </row>
    <row r="24977" spans="1:6" ht="12.75">
      <c r="A24977" s="2">
        <v>43875.768611111111</v>
      </c>
      <c r="B24977" t="str">
        <f>HYPERLINK("https://twitter.com/SitompulYunus","@SitompulYunus")</f>
        <v>@SitompulYunus</v>
      </c>
      <c r="C24977" t="s">
        <v>10083</v>
      </c>
      <c r="D24977">
        <v>16</v>
      </c>
      <c r="E24977">
        <v>0</v>
      </c>
      <c r="F24977">
        <v>843</v>
      </c>
    </row>
    <row r="24978" spans="1:6" ht="12.75">
      <c r="A24978" s="2">
        <v>43875.768587962964</v>
      </c>
      <c r="B24978" t="str">
        <f>HYPERLINK("https://twitter.com/BayuSet26765246","@BayuSet26765246")</f>
        <v>@BayuSet26765246</v>
      </c>
      <c r="C24978" t="s">
        <v>10083</v>
      </c>
      <c r="D24978">
        <v>16</v>
      </c>
      <c r="E24978">
        <v>0</v>
      </c>
      <c r="F24978">
        <v>1386</v>
      </c>
    </row>
    <row r="24979" spans="1:6" ht="12.75">
      <c r="A24979" s="2">
        <v>43875.768518518518</v>
      </c>
      <c r="B24979" t="str">
        <f>HYPERLINK("https://twitter.com/bryanesia","@bryanesia")</f>
        <v>@bryanesia</v>
      </c>
      <c r="C24979" t="s">
        <v>11378</v>
      </c>
      <c r="D24979">
        <v>0</v>
      </c>
      <c r="E24979">
        <v>0</v>
      </c>
      <c r="F24979">
        <v>124</v>
      </c>
    </row>
    <row r="24980" spans="1:6" ht="12.75">
      <c r="A24980" s="2">
        <v>43875.768437499995</v>
      </c>
      <c r="B24980" t="str">
        <f>HYPERLINK("https://twitter.com/pinkeumagic","@pinkeumagic")</f>
        <v>@pinkeumagic</v>
      </c>
      <c r="C24980" t="s">
        <v>2444</v>
      </c>
      <c r="D24980">
        <v>2074</v>
      </c>
      <c r="E24980">
        <v>0</v>
      </c>
      <c r="F24980">
        <v>1381</v>
      </c>
    </row>
    <row r="24981" spans="1:6" ht="12.75">
      <c r="A24981" s="2">
        <v>43875.768391203703</v>
      </c>
      <c r="B24981" t="str">
        <f>HYPERLINK("https://twitter.com/chamilillala","@chamilillala")</f>
        <v>@chamilillala</v>
      </c>
      <c r="C24981" t="s">
        <v>11379</v>
      </c>
      <c r="D24981">
        <v>0</v>
      </c>
      <c r="E24981">
        <v>0</v>
      </c>
      <c r="F24981">
        <v>308</v>
      </c>
    </row>
    <row r="24982" spans="1:6" ht="12.75">
      <c r="A24982" s="2">
        <v>43875.768240740741</v>
      </c>
      <c r="B24982" t="str">
        <f>HYPERLINK("https://twitter.com/Bagas36406270","@Bagas36406270")</f>
        <v>@Bagas36406270</v>
      </c>
      <c r="C24982" t="s">
        <v>6201</v>
      </c>
      <c r="D24982">
        <v>150</v>
      </c>
      <c r="E24982">
        <v>0</v>
      </c>
      <c r="F24982">
        <v>1178</v>
      </c>
    </row>
    <row r="24983" spans="1:6" ht="12.75">
      <c r="A24983" s="2">
        <v>43875.768159722225</v>
      </c>
      <c r="B24983" t="str">
        <f>HYPERLINK("https://twitter.com/pho3nixfly","@pho3nixfly")</f>
        <v>@pho3nixfly</v>
      </c>
      <c r="C24983" t="s">
        <v>10052</v>
      </c>
      <c r="D24983">
        <v>56</v>
      </c>
      <c r="E24983">
        <v>0</v>
      </c>
      <c r="F24983">
        <v>181</v>
      </c>
    </row>
    <row r="24984" spans="1:6" ht="12.75">
      <c r="A24984" s="2">
        <v>43875.768159722225</v>
      </c>
      <c r="B24984" t="str">
        <f>HYPERLINK("https://twitter.com/ummychasan","@ummychasan")</f>
        <v>@ummychasan</v>
      </c>
      <c r="C24984" t="s">
        <v>11322</v>
      </c>
      <c r="D24984">
        <v>79</v>
      </c>
      <c r="E24984">
        <v>0</v>
      </c>
      <c r="F24984">
        <v>4335</v>
      </c>
    </row>
    <row r="24985" spans="1:6" ht="12.75">
      <c r="A24985" s="2">
        <v>43875.768078703702</v>
      </c>
      <c r="B24985" t="str">
        <f>HYPERLINK("https://twitter.com/classygom","@classygom")</f>
        <v>@classygom</v>
      </c>
      <c r="C24985" t="s">
        <v>2444</v>
      </c>
      <c r="D24985">
        <v>2074</v>
      </c>
      <c r="E24985">
        <v>0</v>
      </c>
      <c r="F24985">
        <v>576</v>
      </c>
    </row>
    <row r="24986" spans="1:6" ht="12.75">
      <c r="A24986" s="2">
        <v>43875.768020833333</v>
      </c>
      <c r="B24986" t="str">
        <f>HYPERLINK("https://twitter.com/subaystepanus46","@subaystepanus46")</f>
        <v>@subaystepanus46</v>
      </c>
      <c r="C24986" t="s">
        <v>2963</v>
      </c>
      <c r="D24986">
        <v>1039</v>
      </c>
      <c r="E24986">
        <v>0</v>
      </c>
      <c r="F24986">
        <v>380</v>
      </c>
    </row>
    <row r="24987" spans="1:6" ht="12.75">
      <c r="A24987" s="2">
        <v>43875.767905092594</v>
      </c>
      <c r="B24987" t="str">
        <f>HYPERLINK("https://twitter.com/sanuri118","@sanuri118")</f>
        <v>@sanuri118</v>
      </c>
      <c r="C24987" t="s">
        <v>11322</v>
      </c>
      <c r="D24987">
        <v>79</v>
      </c>
      <c r="E24987">
        <v>0</v>
      </c>
      <c r="F24987">
        <v>1449</v>
      </c>
    </row>
    <row r="24988" spans="1:6" ht="12.75">
      <c r="A24988" s="2">
        <v>43875.767847222218</v>
      </c>
      <c r="B24988" t="str">
        <f>HYPERLINK("https://twitter.com/klaksooon","@klaksooon")</f>
        <v>@klaksooon</v>
      </c>
      <c r="C24988" t="s">
        <v>2444</v>
      </c>
      <c r="D24988">
        <v>2074</v>
      </c>
      <c r="E24988">
        <v>0</v>
      </c>
      <c r="F24988">
        <v>610</v>
      </c>
    </row>
    <row r="24989" spans="1:6" ht="12.75">
      <c r="A24989" s="2">
        <v>43875.767789351856</v>
      </c>
      <c r="B24989" t="str">
        <f>HYPERLINK("https://twitter.com/tatataev","@tatataev")</f>
        <v>@tatataev</v>
      </c>
      <c r="C24989" t="s">
        <v>2444</v>
      </c>
      <c r="D24989">
        <v>2074</v>
      </c>
      <c r="E24989">
        <v>0</v>
      </c>
      <c r="F24989">
        <v>2499</v>
      </c>
    </row>
    <row r="24990" spans="1:6" ht="12.75">
      <c r="A24990" s="2">
        <v>43875.767789351856</v>
      </c>
      <c r="B24990" t="str">
        <f>HYPERLINK("https://twitter.com/maulidaah___","@maulidaah___")</f>
        <v>@maulidaah___</v>
      </c>
      <c r="C24990" t="s">
        <v>2149</v>
      </c>
      <c r="D24990">
        <v>28</v>
      </c>
      <c r="E24990">
        <v>0</v>
      </c>
      <c r="F24990">
        <v>470</v>
      </c>
    </row>
    <row r="24991" spans="1:6" ht="12.75">
      <c r="A24991" s="2">
        <v>43875.767789351856</v>
      </c>
      <c r="B24991" t="str">
        <f>HYPERLINK("https://twitter.com/FitrianaWahyu","@FitrianaWahyu")</f>
        <v>@FitrianaWahyu</v>
      </c>
      <c r="C24991" t="s">
        <v>2137</v>
      </c>
      <c r="D24991">
        <v>172</v>
      </c>
      <c r="E24991">
        <v>0</v>
      </c>
      <c r="F24991">
        <v>552</v>
      </c>
    </row>
    <row r="24992" spans="1:6" ht="12.75">
      <c r="A24992" s="2">
        <v>43875.767777777779</v>
      </c>
      <c r="B24992" t="str">
        <f>HYPERLINK("https://twitter.com/Traval0ka","@Traval0ka")</f>
        <v>@Traval0ka</v>
      </c>
      <c r="C24992" t="s">
        <v>2444</v>
      </c>
      <c r="D24992">
        <v>2074</v>
      </c>
      <c r="E24992">
        <v>0</v>
      </c>
      <c r="F24992">
        <v>431</v>
      </c>
    </row>
    <row r="24993" spans="1:6" ht="12.75">
      <c r="A24993" s="2">
        <v>43875.76771990741</v>
      </c>
      <c r="B24993" t="str">
        <f>HYPERLINK("https://twitter.com/wdggrum2","@wdggrum2")</f>
        <v>@wdggrum2</v>
      </c>
      <c r="C24993" t="s">
        <v>2444</v>
      </c>
      <c r="D24993">
        <v>2074</v>
      </c>
      <c r="E24993">
        <v>0</v>
      </c>
      <c r="F24993">
        <v>317</v>
      </c>
    </row>
    <row r="24994" spans="1:6" ht="12.75">
      <c r="A24994" s="2">
        <v>43875.767662037033</v>
      </c>
      <c r="B24994" t="str">
        <f>HYPERLINK("https://twitter.com/MbahUyoks","@MbahUyoks")</f>
        <v>@MbahUyoks</v>
      </c>
      <c r="C24994" t="s">
        <v>11380</v>
      </c>
      <c r="D24994">
        <v>0</v>
      </c>
      <c r="E24994">
        <v>0</v>
      </c>
      <c r="F24994">
        <v>476</v>
      </c>
    </row>
    <row r="24995" spans="1:6" ht="12.75">
      <c r="A24995" s="2">
        <v>43875.767650462964</v>
      </c>
      <c r="B24995" t="str">
        <f>HYPERLINK("https://twitter.com/allanespe","@allanespe")</f>
        <v>@allanespe</v>
      </c>
      <c r="C24995" t="s">
        <v>10083</v>
      </c>
      <c r="D24995">
        <v>16</v>
      </c>
      <c r="E24995">
        <v>0</v>
      </c>
      <c r="F24995">
        <v>8139</v>
      </c>
    </row>
    <row r="24996" spans="1:6" ht="12.75">
      <c r="A24996" s="2">
        <v>43875.767638888894</v>
      </c>
      <c r="B24996" t="str">
        <f>HYPERLINK("https://twitter.com/aliandotcomm","@aliandotcomm")</f>
        <v>@aliandotcomm</v>
      </c>
      <c r="C24996" t="s">
        <v>10052</v>
      </c>
      <c r="D24996">
        <v>56</v>
      </c>
      <c r="E24996">
        <v>0</v>
      </c>
      <c r="F24996">
        <v>397</v>
      </c>
    </row>
    <row r="24997" spans="1:6" ht="12.75">
      <c r="A24997" s="2">
        <v>43875.767557870371</v>
      </c>
      <c r="B24997" t="str">
        <f>HYPERLINK("https://twitter.com/rissaerka","@rissaerka")</f>
        <v>@rissaerka</v>
      </c>
      <c r="C24997" t="s">
        <v>2444</v>
      </c>
      <c r="D24997">
        <v>2074</v>
      </c>
      <c r="E24997">
        <v>0</v>
      </c>
      <c r="F24997">
        <v>1140</v>
      </c>
    </row>
    <row r="24998" spans="1:6" ht="12.75">
      <c r="A24998" s="2">
        <v>43875.767546296294</v>
      </c>
      <c r="B24998" t="str">
        <f>HYPERLINK("https://twitter.com/K_Ompu","@K_Ompu")</f>
        <v>@K_Ompu</v>
      </c>
      <c r="C24998" t="s">
        <v>10297</v>
      </c>
      <c r="D24998">
        <v>7</v>
      </c>
      <c r="E24998">
        <v>0</v>
      </c>
      <c r="F24998">
        <v>152</v>
      </c>
    </row>
    <row r="24999" spans="1:6" ht="12.75">
      <c r="A24999" s="2">
        <v>43875.767511574071</v>
      </c>
      <c r="B24999" t="str">
        <f>HYPERLINK("https://twitter.com/icholatos","@icholatos")</f>
        <v>@icholatos</v>
      </c>
      <c r="C24999" t="s">
        <v>2444</v>
      </c>
      <c r="D24999">
        <v>2074</v>
      </c>
      <c r="E24999">
        <v>0</v>
      </c>
      <c r="F24999">
        <v>372</v>
      </c>
    </row>
    <row r="25000" spans="1:6" ht="12.75">
      <c r="A25000" s="2">
        <v>43875.767430555556</v>
      </c>
      <c r="B25000" t="str">
        <f>HYPERLINK("https://twitter.com/Afritatata","@Afritatata")</f>
        <v>@Afritatata</v>
      </c>
      <c r="C25000" t="s">
        <v>2444</v>
      </c>
      <c r="D25000">
        <v>2074</v>
      </c>
      <c r="E25000">
        <v>0</v>
      </c>
      <c r="F25000">
        <v>671</v>
      </c>
    </row>
    <row r="25001" spans="1:6" ht="12.75">
      <c r="A25001" s="2">
        <v>43875.767395833333</v>
      </c>
      <c r="B25001" t="str">
        <f>HYPERLINK("https://twitter.com/forddyce92","@forddyce92")</f>
        <v>@forddyce92</v>
      </c>
      <c r="C25001" t="s">
        <v>11381</v>
      </c>
      <c r="D25001">
        <v>0</v>
      </c>
      <c r="E25001">
        <v>0</v>
      </c>
      <c r="F25001">
        <v>24</v>
      </c>
    </row>
    <row r="25002" spans="1:6" ht="12.75">
      <c r="A25002" s="2">
        <v>43875.767384259263</v>
      </c>
      <c r="B25002" t="str">
        <f>HYPERLINK("https://twitter.com/dddoyoungie","@dddoyoungie")</f>
        <v>@dddoyoungie</v>
      </c>
      <c r="C25002" t="s">
        <v>2444</v>
      </c>
      <c r="D25002">
        <v>2074</v>
      </c>
      <c r="E25002">
        <v>0</v>
      </c>
      <c r="F25002">
        <v>1356</v>
      </c>
    </row>
    <row r="25003" spans="1:6" ht="12.75">
      <c r="A25003" s="2">
        <v>43875.767268518517</v>
      </c>
      <c r="B25003" t="str">
        <f>HYPERLINK("https://twitter.com/keziasaudale","@keziasaudale")</f>
        <v>@keziasaudale</v>
      </c>
      <c r="C25003" t="s">
        <v>5168</v>
      </c>
      <c r="D25003">
        <v>896</v>
      </c>
      <c r="E25003">
        <v>0</v>
      </c>
      <c r="F25003">
        <v>940</v>
      </c>
    </row>
    <row r="25004" spans="1:6" ht="12.75">
      <c r="A25004" s="2">
        <v>43875.767199074078</v>
      </c>
      <c r="B25004" t="str">
        <f>HYPERLINK("https://twitter.com/harsohananto","@harsohananto")</f>
        <v>@harsohananto</v>
      </c>
      <c r="C25004" t="s">
        <v>7478</v>
      </c>
      <c r="D25004">
        <v>323</v>
      </c>
      <c r="E25004">
        <v>0</v>
      </c>
      <c r="F25004">
        <v>628</v>
      </c>
    </row>
    <row r="25005" spans="1:6" ht="12.75">
      <c r="A25005" s="2">
        <v>43875.767199074078</v>
      </c>
      <c r="B25005" t="str">
        <f>HYPERLINK("https://twitter.com/Ranu1908","@Ranu1908")</f>
        <v>@Ranu1908</v>
      </c>
      <c r="C25005" t="s">
        <v>10593</v>
      </c>
      <c r="D25005">
        <v>45</v>
      </c>
      <c r="E25005">
        <v>0</v>
      </c>
      <c r="F25005">
        <v>409</v>
      </c>
    </row>
    <row r="25006" spans="1:6" ht="12.75">
      <c r="A25006" s="2">
        <v>43875.767199074078</v>
      </c>
      <c r="B25006" t="str">
        <f>HYPERLINK("https://twitter.com/citraaraa1","@citraaraa1")</f>
        <v>@citraaraa1</v>
      </c>
      <c r="C25006" t="s">
        <v>2137</v>
      </c>
      <c r="D25006">
        <v>172</v>
      </c>
      <c r="E25006">
        <v>0</v>
      </c>
      <c r="F25006">
        <v>315</v>
      </c>
    </row>
    <row r="25007" spans="1:6" ht="12.75">
      <c r="A25007" s="2">
        <v>43875.767152777778</v>
      </c>
      <c r="B25007" t="str">
        <f>HYPERLINK("https://twitter.com/caytong","@caytong")</f>
        <v>@caytong</v>
      </c>
      <c r="C25007" t="s">
        <v>11382</v>
      </c>
      <c r="D25007">
        <v>0</v>
      </c>
      <c r="E25007">
        <v>0</v>
      </c>
      <c r="F25007">
        <v>159</v>
      </c>
    </row>
    <row r="25008" spans="1:6" ht="12.75">
      <c r="A25008" s="2">
        <v>43875.767141203702</v>
      </c>
      <c r="B25008" t="str">
        <f>HYPERLINK("https://twitter.com/pizzaftercuddle","@pizzaftercuddle")</f>
        <v>@pizzaftercuddle</v>
      </c>
      <c r="C25008" t="s">
        <v>2444</v>
      </c>
      <c r="D25008">
        <v>2074</v>
      </c>
      <c r="E25008">
        <v>0</v>
      </c>
      <c r="F25008">
        <v>1520</v>
      </c>
    </row>
    <row r="25009" spans="1:6" ht="12.75">
      <c r="A25009" s="2">
        <v>43875.767106481479</v>
      </c>
      <c r="B25009" t="str">
        <f>HYPERLINK("https://twitter.com/AndryWaseso","@AndryWaseso")</f>
        <v>@AndryWaseso</v>
      </c>
      <c r="C25009" t="s">
        <v>11383</v>
      </c>
      <c r="D25009">
        <v>1</v>
      </c>
      <c r="E25009">
        <v>0</v>
      </c>
      <c r="F25009">
        <v>1430</v>
      </c>
    </row>
    <row r="25010" spans="1:6" ht="12.75">
      <c r="A25010" s="2">
        <v>43875.767094907409</v>
      </c>
      <c r="B25010" t="str">
        <f>HYPERLINK("https://twitter.com/joejuve1987","@joejuve1987")</f>
        <v>@joejuve1987</v>
      </c>
      <c r="C25010" t="s">
        <v>6201</v>
      </c>
      <c r="D25010">
        <v>150</v>
      </c>
      <c r="E25010">
        <v>0</v>
      </c>
      <c r="F25010">
        <v>275</v>
      </c>
    </row>
    <row r="25011" spans="1:6" ht="12.75">
      <c r="A25011" s="2">
        <v>43875.76697916667</v>
      </c>
      <c r="B25011" t="str">
        <f>HYPERLINK("https://twitter.com/hendra235","@hendra235")</f>
        <v>@hendra235</v>
      </c>
      <c r="C25011" t="s">
        <v>10957</v>
      </c>
      <c r="D25011">
        <v>49</v>
      </c>
      <c r="E25011">
        <v>0</v>
      </c>
      <c r="F25011">
        <v>292</v>
      </c>
    </row>
    <row r="25012" spans="1:6" ht="12.75">
      <c r="A25012" s="2">
        <v>43875.766956018517</v>
      </c>
      <c r="B25012" t="str">
        <f>HYPERLINK("https://twitter.com/kakautsar","@kakautsar")</f>
        <v>@kakautsar</v>
      </c>
      <c r="C25012" t="s">
        <v>2444</v>
      </c>
      <c r="D25012">
        <v>2074</v>
      </c>
      <c r="E25012">
        <v>0</v>
      </c>
      <c r="F25012">
        <v>335</v>
      </c>
    </row>
    <row r="25013" spans="1:6" ht="12.75">
      <c r="A25013" s="2">
        <v>43875.766863425924</v>
      </c>
      <c r="B25013" t="str">
        <f>HYPERLINK("https://twitter.com/zlametabidin","@zlametabidin")</f>
        <v>@zlametabidin</v>
      </c>
      <c r="C25013" t="s">
        <v>11384</v>
      </c>
      <c r="D25013">
        <v>0</v>
      </c>
      <c r="E25013">
        <v>0</v>
      </c>
      <c r="F25013">
        <v>1769</v>
      </c>
    </row>
    <row r="25014" spans="1:6" ht="12.75">
      <c r="A25014" s="2">
        <v>43875.766747685186</v>
      </c>
      <c r="B25014" t="str">
        <f>HYPERLINK("https://twitter.com/tribunnews","@tribunnews")</f>
        <v>@tribunnews</v>
      </c>
      <c r="C25014" t="s">
        <v>11385</v>
      </c>
      <c r="D25014">
        <v>0</v>
      </c>
      <c r="E25014">
        <v>0</v>
      </c>
      <c r="F25014">
        <v>873384</v>
      </c>
    </row>
    <row r="25015" spans="1:6" ht="12.75">
      <c r="A25015" s="2">
        <v>43875.766747685186</v>
      </c>
      <c r="B25015" t="str">
        <f>HYPERLINK("https://twitter.com/ilmAudian","@ilmAudian")</f>
        <v>@ilmAudian</v>
      </c>
      <c r="C25015" t="s">
        <v>11386</v>
      </c>
      <c r="D25015">
        <v>0</v>
      </c>
      <c r="E25015">
        <v>0</v>
      </c>
      <c r="F25015">
        <v>366</v>
      </c>
    </row>
    <row r="25016" spans="1:6" ht="12.75">
      <c r="A25016" s="2">
        <v>43875.766724537039</v>
      </c>
      <c r="B25016" t="str">
        <f>HYPERLINK("https://twitter.com/ISIS_Balik_NO","@ISIS_Balik_NO")</f>
        <v>@ISIS_Balik_NO</v>
      </c>
      <c r="C25016" t="s">
        <v>11387</v>
      </c>
      <c r="D25016">
        <v>77</v>
      </c>
      <c r="E25016">
        <v>0</v>
      </c>
      <c r="F25016">
        <v>5903</v>
      </c>
    </row>
    <row r="25017" spans="1:6" ht="12.75">
      <c r="A25017" s="2">
        <v>43875.76663194444</v>
      </c>
      <c r="B25017" t="str">
        <f>HYPERLINK("https://twitter.com/Hasian41568376","@Hasian41568376")</f>
        <v>@Hasian41568376</v>
      </c>
      <c r="C25017" t="s">
        <v>11388</v>
      </c>
      <c r="D25017">
        <v>0</v>
      </c>
      <c r="E25017">
        <v>1</v>
      </c>
      <c r="F25017">
        <v>185</v>
      </c>
    </row>
    <row r="25018" spans="1:6" ht="12.75">
      <c r="A25018" s="2">
        <v>43875.766597222224</v>
      </c>
      <c r="B25018" t="str">
        <f>HYPERLINK("https://twitter.com/egull_","@egull_")</f>
        <v>@egull_</v>
      </c>
      <c r="C25018" t="s">
        <v>2963</v>
      </c>
      <c r="D25018">
        <v>1039</v>
      </c>
      <c r="E25018">
        <v>0</v>
      </c>
      <c r="F25018">
        <v>273</v>
      </c>
    </row>
    <row r="25019" spans="1:6" ht="12.75">
      <c r="A25019" s="2">
        <v>43875.766562500001</v>
      </c>
      <c r="B25019" t="str">
        <f>HYPERLINK("https://twitter.com/DarkAbsinth","@DarkAbsinth")</f>
        <v>@DarkAbsinth</v>
      </c>
      <c r="C25019" t="s">
        <v>5168</v>
      </c>
      <c r="D25019">
        <v>896</v>
      </c>
      <c r="E25019">
        <v>0</v>
      </c>
      <c r="F25019">
        <v>374</v>
      </c>
    </row>
    <row r="25020" spans="1:6" ht="12.75">
      <c r="A25020" s="2">
        <v>43875.766481481478</v>
      </c>
      <c r="B25020" t="str">
        <f>HYPERLINK("https://twitter.com/ISIS_Balik_NO","@ISIS_Balik_NO")</f>
        <v>@ISIS_Balik_NO</v>
      </c>
      <c r="C25020" t="s">
        <v>11389</v>
      </c>
      <c r="D25020">
        <v>0</v>
      </c>
      <c r="E25020">
        <v>1</v>
      </c>
      <c r="F25020">
        <v>5903</v>
      </c>
    </row>
    <row r="25021" spans="1:6" ht="12.75">
      <c r="A25021" s="2">
        <v>43875.766458333332</v>
      </c>
      <c r="B25021" t="str">
        <f>HYPERLINK("https://twitter.com/flawyless","@flawyless")</f>
        <v>@flawyless</v>
      </c>
      <c r="C25021" t="s">
        <v>2444</v>
      </c>
      <c r="D25021">
        <v>2074</v>
      </c>
      <c r="E25021">
        <v>0</v>
      </c>
      <c r="F25021">
        <v>594</v>
      </c>
    </row>
    <row r="25022" spans="1:6" ht="12.75">
      <c r="A25022" s="2">
        <v>43875.766423611116</v>
      </c>
      <c r="B25022" t="str">
        <f>HYPERLINK("https://twitter.com/prytnma","@prytnma")</f>
        <v>@prytnma</v>
      </c>
      <c r="C25022" t="s">
        <v>11390</v>
      </c>
      <c r="D25022">
        <v>79</v>
      </c>
      <c r="E25022">
        <v>0</v>
      </c>
      <c r="F25022">
        <v>409</v>
      </c>
    </row>
    <row r="25023" spans="1:6" ht="12.75">
      <c r="A25023" s="2">
        <v>43875.766377314816</v>
      </c>
      <c r="B25023" t="str">
        <f>HYPERLINK("https://twitter.com/orindosinaga","@orindosinaga")</f>
        <v>@orindosinaga</v>
      </c>
      <c r="C25023" t="s">
        <v>11391</v>
      </c>
      <c r="D25023">
        <v>1</v>
      </c>
      <c r="E25023">
        <v>1</v>
      </c>
      <c r="F25023">
        <v>206</v>
      </c>
    </row>
    <row r="25024" spans="1:6" ht="12.75">
      <c r="A25024" s="2">
        <v>43875.76635416667</v>
      </c>
      <c r="B25024" t="str">
        <f>HYPERLINK("https://twitter.com/rizal_shmm62","@rizal_shmm62")</f>
        <v>@rizal_shmm62</v>
      </c>
      <c r="C25024" t="s">
        <v>7888</v>
      </c>
      <c r="D25024">
        <v>13</v>
      </c>
      <c r="E25024">
        <v>0</v>
      </c>
      <c r="F25024">
        <v>1018</v>
      </c>
    </row>
    <row r="25025" spans="1:6" ht="12.75">
      <c r="A25025" s="2">
        <v>43875.766203703708</v>
      </c>
      <c r="B25025" t="str">
        <f>HYPERLINK("https://twitter.com/BattosaKaki","@BattosaKaki")</f>
        <v>@BattosaKaki</v>
      </c>
      <c r="C25025" t="s">
        <v>6201</v>
      </c>
      <c r="D25025">
        <v>150</v>
      </c>
      <c r="E25025">
        <v>0</v>
      </c>
      <c r="F25025">
        <v>199</v>
      </c>
    </row>
    <row r="25026" spans="1:6" ht="12.75">
      <c r="A25026" s="2">
        <v>43875.766192129631</v>
      </c>
      <c r="B25026" t="str">
        <f>HYPERLINK("https://twitter.com/novapermana8","@novapermana8")</f>
        <v>@novapermana8</v>
      </c>
      <c r="C25026" t="s">
        <v>11392</v>
      </c>
      <c r="D25026">
        <v>0</v>
      </c>
      <c r="E25026">
        <v>0</v>
      </c>
      <c r="F25026">
        <v>586</v>
      </c>
    </row>
    <row r="25027" spans="1:6" ht="12.75">
      <c r="A25027" s="2">
        <v>43875.766192129631</v>
      </c>
      <c r="B25027" t="str">
        <f>HYPERLINK("https://twitter.com/_Bakemono","@_Bakemono")</f>
        <v>@_Bakemono</v>
      </c>
      <c r="C25027" t="s">
        <v>9123</v>
      </c>
      <c r="D25027">
        <v>255</v>
      </c>
      <c r="E25027">
        <v>0</v>
      </c>
      <c r="F25027">
        <v>817</v>
      </c>
    </row>
    <row r="25028" spans="1:6" ht="12.75">
      <c r="A25028" s="2">
        <v>43875.766180555554</v>
      </c>
      <c r="B25028" t="str">
        <f>HYPERLINK("https://twitter.com/V4nn","@V4nn")</f>
        <v>@V4nn</v>
      </c>
      <c r="C25028" t="s">
        <v>11393</v>
      </c>
      <c r="D25028">
        <v>0</v>
      </c>
      <c r="E25028">
        <v>1</v>
      </c>
      <c r="F25028">
        <v>23</v>
      </c>
    </row>
    <row r="25029" spans="1:6" ht="12.75">
      <c r="A25029" s="2">
        <v>43875.766099537039</v>
      </c>
      <c r="B25029" t="str">
        <f>HYPERLINK("https://twitter.com/CakMan70489610","@CakMan70489610")</f>
        <v>@CakMan70489610</v>
      </c>
      <c r="C25029" t="s">
        <v>10052</v>
      </c>
      <c r="D25029">
        <v>56</v>
      </c>
      <c r="E25029">
        <v>0</v>
      </c>
      <c r="F25029">
        <v>494</v>
      </c>
    </row>
    <row r="25030" spans="1:6" ht="12.75">
      <c r="A25030" s="2">
        <v>43875.766087962962</v>
      </c>
      <c r="B25030" t="str">
        <f>HYPERLINK("https://twitter.com/miftahulfalah","@miftahulfalah")</f>
        <v>@miftahulfalah</v>
      </c>
      <c r="C25030" t="s">
        <v>7888</v>
      </c>
      <c r="D25030">
        <v>13</v>
      </c>
      <c r="E25030">
        <v>0</v>
      </c>
      <c r="F25030">
        <v>1282</v>
      </c>
    </row>
    <row r="25031" spans="1:6" ht="12.75">
      <c r="A25031" s="2">
        <v>43875.766076388885</v>
      </c>
      <c r="B25031" t="str">
        <f>HYPERLINK("https://twitter.com/IstiantoBayu","@IstiantoBayu")</f>
        <v>@IstiantoBayu</v>
      </c>
      <c r="C25031" t="s">
        <v>11394</v>
      </c>
      <c r="D25031">
        <v>26</v>
      </c>
      <c r="E25031">
        <v>0</v>
      </c>
      <c r="F25031">
        <v>134</v>
      </c>
    </row>
    <row r="25032" spans="1:6" ht="12.75">
      <c r="A25032" s="2">
        <v>43875.766064814816</v>
      </c>
      <c r="B25032" t="str">
        <f>HYPERLINK("https://twitter.com/takdirmenyamar","@takdirmenyamar")</f>
        <v>@takdirmenyamar</v>
      </c>
      <c r="C25032" t="s">
        <v>11395</v>
      </c>
      <c r="D25032">
        <v>0</v>
      </c>
      <c r="E25032">
        <v>0</v>
      </c>
      <c r="F25032">
        <v>85</v>
      </c>
    </row>
    <row r="25033" spans="1:6" ht="12.75">
      <c r="A25033" s="2">
        <v>43875.765949074077</v>
      </c>
      <c r="B25033" t="str">
        <f>HYPERLINK("https://twitter.com/IstiantoBayu","@IstiantoBayu")</f>
        <v>@IstiantoBayu</v>
      </c>
      <c r="C25033" t="s">
        <v>2963</v>
      </c>
      <c r="D25033">
        <v>1039</v>
      </c>
      <c r="E25033">
        <v>0</v>
      </c>
      <c r="F25033">
        <v>134</v>
      </c>
    </row>
    <row r="25034" spans="1:6" ht="12.75">
      <c r="A25034" s="2">
        <v>43875.765902777777</v>
      </c>
      <c r="B25034" t="str">
        <f>HYPERLINK("https://twitter.com/dedirambe","@dedirambe")</f>
        <v>@dedirambe</v>
      </c>
      <c r="C25034" t="s">
        <v>9835</v>
      </c>
      <c r="D25034">
        <v>45</v>
      </c>
      <c r="E25034">
        <v>0</v>
      </c>
      <c r="F25034">
        <v>420</v>
      </c>
    </row>
    <row r="25035" spans="1:6" ht="12.75">
      <c r="A25035" s="2">
        <v>43875.765787037039</v>
      </c>
      <c r="B25035" t="str">
        <f>HYPERLINK("https://twitter.com/ISIS_Balik_NO","@ISIS_Balik_NO")</f>
        <v>@ISIS_Balik_NO</v>
      </c>
      <c r="C25035" t="s">
        <v>11396</v>
      </c>
      <c r="D25035">
        <v>99</v>
      </c>
      <c r="E25035">
        <v>0</v>
      </c>
      <c r="F25035">
        <v>5903</v>
      </c>
    </row>
    <row r="25036" spans="1:6" ht="12.75">
      <c r="A25036" s="2">
        <v>43875.765752314815</v>
      </c>
      <c r="B25036" t="str">
        <f>HYPERLINK("https://twitter.com/Arifwbw_dr","@Arifwbw_dr")</f>
        <v>@Arifwbw_dr</v>
      </c>
      <c r="C25036" t="s">
        <v>11397</v>
      </c>
      <c r="D25036">
        <v>0</v>
      </c>
      <c r="E25036">
        <v>0</v>
      </c>
      <c r="F25036">
        <v>380</v>
      </c>
    </row>
    <row r="25037" spans="1:6" ht="12.75">
      <c r="A25037" s="2">
        <v>43875.765694444446</v>
      </c>
      <c r="B25037" t="str">
        <f>HYPERLINK("https://twitter.com/DoniSatriawan8","@DoniSatriawan8")</f>
        <v>@DoniSatriawan8</v>
      </c>
      <c r="C25037" t="s">
        <v>9746</v>
      </c>
      <c r="D25037">
        <v>310</v>
      </c>
      <c r="E25037">
        <v>0</v>
      </c>
      <c r="F25037">
        <v>53</v>
      </c>
    </row>
    <row r="25038" spans="1:6" ht="12.75">
      <c r="A25038" s="2">
        <v>43875.765694444446</v>
      </c>
      <c r="B25038" t="str">
        <f>HYPERLINK("https://twitter.com/dddaisyyy","@dddaisyyy")</f>
        <v>@dddaisyyy</v>
      </c>
      <c r="C25038" t="s">
        <v>5168</v>
      </c>
      <c r="D25038">
        <v>896</v>
      </c>
      <c r="E25038">
        <v>0</v>
      </c>
      <c r="F25038">
        <v>673</v>
      </c>
    </row>
    <row r="25039" spans="1:6" ht="12.75">
      <c r="A25039" s="2">
        <v>43875.765671296293</v>
      </c>
      <c r="B25039" t="str">
        <f>HYPERLINK("https://twitter.com/pacarnaruto","@pacarnaruto")</f>
        <v>@pacarnaruto</v>
      </c>
      <c r="C25039" t="s">
        <v>2444</v>
      </c>
      <c r="D25039">
        <v>2074</v>
      </c>
      <c r="E25039">
        <v>0</v>
      </c>
      <c r="F25039">
        <v>119</v>
      </c>
    </row>
    <row r="25040" spans="1:6" ht="12.75">
      <c r="A25040" s="2">
        <v>43875.765416666662</v>
      </c>
      <c r="B25040" t="str">
        <f>HYPERLINK("https://twitter.com/NurdiansyahDodi","@NurdiansyahDodi")</f>
        <v>@NurdiansyahDodi</v>
      </c>
      <c r="C25040" t="s">
        <v>6201</v>
      </c>
      <c r="D25040">
        <v>150</v>
      </c>
      <c r="E25040">
        <v>0</v>
      </c>
      <c r="F25040">
        <v>1228</v>
      </c>
    </row>
    <row r="25041" spans="1:6" ht="12.75">
      <c r="A25041" s="2">
        <v>43875.765277777777</v>
      </c>
      <c r="B25041" t="str">
        <f>HYPERLINK("https://twitter.com/ACho70160026","@ACho70160026")</f>
        <v>@ACho70160026</v>
      </c>
      <c r="C25041" t="s">
        <v>8541</v>
      </c>
      <c r="D25041">
        <v>49</v>
      </c>
      <c r="E25041">
        <v>0</v>
      </c>
      <c r="F25041">
        <v>1</v>
      </c>
    </row>
    <row r="25042" spans="1:6" ht="12.75">
      <c r="A25042" s="2">
        <v>43875.765243055561</v>
      </c>
      <c r="B25042" t="str">
        <f>HYPERLINK("https://twitter.com/YumnaImtiyaz1","@YumnaImtiyaz1")</f>
        <v>@YumnaImtiyaz1</v>
      </c>
      <c r="C25042" t="s">
        <v>10074</v>
      </c>
      <c r="D25042">
        <v>67</v>
      </c>
      <c r="E25042">
        <v>0</v>
      </c>
      <c r="F25042">
        <v>1</v>
      </c>
    </row>
    <row r="25043" spans="1:6" ht="12.75">
      <c r="A25043" s="2">
        <v>43875.765196759261</v>
      </c>
      <c r="B25043" t="str">
        <f>HYPERLINK("https://twitter.com/janiceessi","@janiceessi")</f>
        <v>@janiceessi</v>
      </c>
      <c r="C25043" t="s">
        <v>2444</v>
      </c>
      <c r="D25043">
        <v>2074</v>
      </c>
      <c r="E25043">
        <v>0</v>
      </c>
      <c r="F25043">
        <v>47</v>
      </c>
    </row>
    <row r="25044" spans="1:6" ht="12.75">
      <c r="A25044" s="2">
        <v>43875.765092592592</v>
      </c>
      <c r="B25044" t="str">
        <f>HYPERLINK("https://twitter.com/AdeCand65866045","@AdeCand65866045")</f>
        <v>@AdeCand65866045</v>
      </c>
      <c r="C25044" t="s">
        <v>9746</v>
      </c>
      <c r="D25044">
        <v>310</v>
      </c>
      <c r="E25044">
        <v>0</v>
      </c>
      <c r="F25044">
        <v>160</v>
      </c>
    </row>
    <row r="25045" spans="1:6" ht="12.75">
      <c r="A25045" s="2">
        <v>43875.765046296292</v>
      </c>
      <c r="B25045" t="str">
        <f>HYPERLINK("https://twitter.com/kurdiyAttubany","@kurdiyAttubany")</f>
        <v>@kurdiyAttubany</v>
      </c>
      <c r="C25045" t="s">
        <v>10052</v>
      </c>
      <c r="D25045">
        <v>56</v>
      </c>
      <c r="E25045">
        <v>0</v>
      </c>
      <c r="F25045">
        <v>127</v>
      </c>
    </row>
    <row r="25046" spans="1:6" ht="12.75">
      <c r="A25046" s="2">
        <v>43875.765023148153</v>
      </c>
      <c r="B25046" t="str">
        <f>HYPERLINK("https://twitter.com/prytnma","@prytnma")</f>
        <v>@prytnma</v>
      </c>
      <c r="C25046" t="s">
        <v>3038</v>
      </c>
      <c r="D25046">
        <v>115</v>
      </c>
      <c r="E25046">
        <v>0</v>
      </c>
      <c r="F25046">
        <v>409</v>
      </c>
    </row>
    <row r="25047" spans="1:6" ht="12.75">
      <c r="A25047" s="2">
        <v>43875.764999999999</v>
      </c>
      <c r="B25047" t="str">
        <f>HYPERLINK("https://twitter.com/rifqy_cing","@rifqy_cing")</f>
        <v>@rifqy_cing</v>
      </c>
      <c r="C25047" t="s">
        <v>11398</v>
      </c>
      <c r="D25047">
        <v>0</v>
      </c>
      <c r="E25047">
        <v>0</v>
      </c>
      <c r="F25047">
        <v>334</v>
      </c>
    </row>
    <row r="25048" spans="1:6" ht="12.75">
      <c r="A25048" s="2">
        <v>43875.764965277776</v>
      </c>
      <c r="B25048" t="str">
        <f>HYPERLINK("https://twitter.com/lintang_smart","@lintang_smart")</f>
        <v>@lintang_smart</v>
      </c>
      <c r="C25048" t="s">
        <v>7478</v>
      </c>
      <c r="D25048">
        <v>323</v>
      </c>
      <c r="E25048">
        <v>0</v>
      </c>
      <c r="F25048">
        <v>1429</v>
      </c>
    </row>
    <row r="25049" spans="1:6" ht="12.75">
      <c r="A25049" s="2">
        <v>43875.764953703707</v>
      </c>
      <c r="B25049" t="str">
        <f>HYPERLINK("https://twitter.com/by_renn","@by_renn")</f>
        <v>@by_renn</v>
      </c>
      <c r="C25049" t="s">
        <v>2444</v>
      </c>
      <c r="D25049">
        <v>2074</v>
      </c>
      <c r="E25049">
        <v>0</v>
      </c>
      <c r="F25049">
        <v>25</v>
      </c>
    </row>
    <row r="25050" spans="1:6" ht="12.75">
      <c r="A25050" s="2">
        <v>43875.76489583333</v>
      </c>
      <c r="B25050" t="str">
        <f>HYPERLINK("https://twitter.com/hsnbnfsj","@hsnbnfsj")</f>
        <v>@hsnbnfsj</v>
      </c>
      <c r="C25050" t="s">
        <v>5168</v>
      </c>
      <c r="D25050">
        <v>896</v>
      </c>
      <c r="E25050">
        <v>0</v>
      </c>
      <c r="F25050">
        <v>1580</v>
      </c>
    </row>
    <row r="25051" spans="1:6" ht="12.75">
      <c r="A25051" s="2">
        <v>43875.764861111107</v>
      </c>
      <c r="B25051" t="str">
        <f>HYPERLINK("https://twitter.com/TeyengCekap","@TeyengCekap")</f>
        <v>@TeyengCekap</v>
      </c>
      <c r="C25051" t="s">
        <v>11399</v>
      </c>
      <c r="D25051">
        <v>2</v>
      </c>
      <c r="E25051">
        <v>0</v>
      </c>
      <c r="F25051">
        <v>4779</v>
      </c>
    </row>
    <row r="25052" spans="1:6" ht="12.75">
      <c r="A25052" s="2">
        <v>43875.764745370368</v>
      </c>
      <c r="B25052" t="str">
        <f>HYPERLINK("https://twitter.com/ituperak","@ituperak")</f>
        <v>@ituperak</v>
      </c>
      <c r="C25052" t="s">
        <v>10074</v>
      </c>
      <c r="D25052">
        <v>67</v>
      </c>
      <c r="E25052">
        <v>0</v>
      </c>
      <c r="F25052">
        <v>1</v>
      </c>
    </row>
    <row r="25053" spans="1:6" ht="12.75">
      <c r="A25053" s="2">
        <v>43875.764745370368</v>
      </c>
      <c r="B25053" t="str">
        <f>HYPERLINK("https://twitter.com/kinsaymauraa","@kinsaymauraa")</f>
        <v>@kinsaymauraa</v>
      </c>
      <c r="C25053" t="s">
        <v>10074</v>
      </c>
      <c r="D25053">
        <v>67</v>
      </c>
      <c r="E25053">
        <v>0</v>
      </c>
      <c r="F25053">
        <v>15</v>
      </c>
    </row>
    <row r="25054" spans="1:6" ht="12.75">
      <c r="A25054" s="2">
        <v>43875.764733796299</v>
      </c>
      <c r="B25054" t="str">
        <f>HYPERLINK("https://twitter.com/takdirmenyamar","@takdirmenyamar")</f>
        <v>@takdirmenyamar</v>
      </c>
      <c r="C25054" t="s">
        <v>11400</v>
      </c>
      <c r="D25054">
        <v>0</v>
      </c>
      <c r="E25054">
        <v>0</v>
      </c>
      <c r="F25054">
        <v>85</v>
      </c>
    </row>
    <row r="25055" spans="1:6" ht="12.75">
      <c r="A25055" s="2">
        <v>43875.764641203699</v>
      </c>
      <c r="B25055" t="str">
        <f>HYPERLINK("https://twitter.com/tigakomadelapan","@tigakomadelapan")</f>
        <v>@tigakomadelapan</v>
      </c>
      <c r="C25055" t="s">
        <v>2444</v>
      </c>
      <c r="D25055">
        <v>2074</v>
      </c>
      <c r="E25055">
        <v>0</v>
      </c>
      <c r="F25055">
        <v>401</v>
      </c>
    </row>
    <row r="25056" spans="1:6" ht="12.75">
      <c r="A25056" s="2">
        <v>43875.764560185184</v>
      </c>
      <c r="B25056" t="str">
        <f>HYPERLINK("https://twitter.com/Ppaay_","@Ppaay_")</f>
        <v>@Ppaay_</v>
      </c>
      <c r="C25056" t="s">
        <v>10300</v>
      </c>
      <c r="D25056">
        <v>51</v>
      </c>
      <c r="E25056">
        <v>0</v>
      </c>
      <c r="F25056">
        <v>70</v>
      </c>
    </row>
    <row r="25057" spans="1:6" ht="12.75">
      <c r="A25057" s="2">
        <v>43875.764560185184</v>
      </c>
      <c r="B25057" t="str">
        <f>HYPERLINK("https://twitter.com/miilkktea","@miilkktea")</f>
        <v>@miilkktea</v>
      </c>
      <c r="C25057" t="s">
        <v>2444</v>
      </c>
      <c r="D25057">
        <v>2074</v>
      </c>
      <c r="E25057">
        <v>0</v>
      </c>
      <c r="F25057">
        <v>484</v>
      </c>
    </row>
    <row r="25058" spans="1:6" ht="12.75">
      <c r="A25058" s="2">
        <v>43875.764548611114</v>
      </c>
      <c r="B25058" t="str">
        <f>HYPERLINK("https://twitter.com/iqbal_murtadho","@iqbal_murtadho")</f>
        <v>@iqbal_murtadho</v>
      </c>
      <c r="C25058" t="s">
        <v>10052</v>
      </c>
      <c r="D25058">
        <v>56</v>
      </c>
      <c r="E25058">
        <v>0</v>
      </c>
      <c r="F25058">
        <v>297</v>
      </c>
    </row>
    <row r="25059" spans="1:6" ht="12.75">
      <c r="A25059" s="2">
        <v>43875.764502314814</v>
      </c>
      <c r="B25059" t="str">
        <f>HYPERLINK("https://twitter.com/IgaWinati","@IgaWinati")</f>
        <v>@IgaWinati</v>
      </c>
      <c r="C25059" t="s">
        <v>2444</v>
      </c>
      <c r="D25059">
        <v>2074</v>
      </c>
      <c r="E25059">
        <v>0</v>
      </c>
      <c r="F25059">
        <v>104</v>
      </c>
    </row>
    <row r="25060" spans="1:6" ht="12.75">
      <c r="A25060" s="2">
        <v>43875.764444444445</v>
      </c>
      <c r="B25060" t="str">
        <f>HYPERLINK("https://twitter.com/Manggit_garis","@Manggit_garis")</f>
        <v>@Manggit_garis</v>
      </c>
      <c r="C25060" t="s">
        <v>2444</v>
      </c>
      <c r="D25060">
        <v>2074</v>
      </c>
      <c r="E25060">
        <v>0</v>
      </c>
      <c r="F25060">
        <v>436</v>
      </c>
    </row>
    <row r="25061" spans="1:6" ht="12.75">
      <c r="A25061" s="2">
        <v>43875.764398148152</v>
      </c>
      <c r="B25061" t="str">
        <f>HYPERLINK("https://twitter.com/BucinLaif","@BucinLaif")</f>
        <v>@BucinLaif</v>
      </c>
      <c r="C25061" t="s">
        <v>10074</v>
      </c>
      <c r="D25061">
        <v>67</v>
      </c>
      <c r="E25061">
        <v>0</v>
      </c>
      <c r="F25061">
        <v>12</v>
      </c>
    </row>
    <row r="25062" spans="1:6" ht="12.75">
      <c r="A25062" s="2">
        <v>43875.764386574076</v>
      </c>
      <c r="B25062" t="str">
        <f>HYPERLINK("https://twitter.com/peachesgvrl","@peachesgvrl")</f>
        <v>@peachesgvrl</v>
      </c>
      <c r="C25062" t="s">
        <v>11401</v>
      </c>
      <c r="D25062">
        <v>0</v>
      </c>
      <c r="E25062">
        <v>0</v>
      </c>
      <c r="F25062">
        <v>644</v>
      </c>
    </row>
    <row r="25063" spans="1:6" ht="12.75">
      <c r="A25063" s="2">
        <v>43875.764340277776</v>
      </c>
      <c r="B25063" t="str">
        <f>HYPERLINK("https://twitter.com/seaulgy","@seaulgy")</f>
        <v>@seaulgy</v>
      </c>
      <c r="C25063" t="s">
        <v>2444</v>
      </c>
      <c r="D25063">
        <v>2074</v>
      </c>
      <c r="E25063">
        <v>0</v>
      </c>
      <c r="F25063">
        <v>3403</v>
      </c>
    </row>
    <row r="25064" spans="1:6" ht="12.75">
      <c r="A25064" s="2">
        <v>43875.764328703706</v>
      </c>
      <c r="B25064" t="str">
        <f>HYPERLINK("https://twitter.com/Bagas36406270","@Bagas36406270")</f>
        <v>@Bagas36406270</v>
      </c>
      <c r="C25064" t="s">
        <v>9746</v>
      </c>
      <c r="D25064">
        <v>310</v>
      </c>
      <c r="E25064">
        <v>0</v>
      </c>
      <c r="F25064">
        <v>1178</v>
      </c>
    </row>
    <row r="25065" spans="1:6" ht="12.75">
      <c r="A25065" s="2">
        <v>43875.764293981483</v>
      </c>
      <c r="B25065" t="str">
        <f>HYPERLINK("https://twitter.com/tisatica","@tisatica")</f>
        <v>@tisatica</v>
      </c>
      <c r="C25065" t="s">
        <v>8233</v>
      </c>
      <c r="D25065">
        <v>496</v>
      </c>
      <c r="E25065">
        <v>0</v>
      </c>
      <c r="F25065">
        <v>387</v>
      </c>
    </row>
    <row r="25066" spans="1:6" ht="12.75">
      <c r="A25066" s="2">
        <v>43875.764143518521</v>
      </c>
      <c r="B25066" t="str">
        <f>HYPERLINK("https://twitter.com/iqbal_murtadho","@iqbal_murtadho")</f>
        <v>@iqbal_murtadho</v>
      </c>
      <c r="C25066" t="s">
        <v>9732</v>
      </c>
      <c r="D25066">
        <v>58</v>
      </c>
      <c r="E25066">
        <v>0</v>
      </c>
      <c r="F25066">
        <v>297</v>
      </c>
    </row>
    <row r="25067" spans="1:6" ht="12.75">
      <c r="A25067" s="2">
        <v>43875.763888888891</v>
      </c>
      <c r="B25067" t="str">
        <f>HYPERLINK("https://twitter.com/agoessp","@agoessp")</f>
        <v>@agoessp</v>
      </c>
      <c r="C25067" t="s">
        <v>10165</v>
      </c>
      <c r="D25067">
        <v>13</v>
      </c>
      <c r="E25067">
        <v>0</v>
      </c>
      <c r="F25067">
        <v>130</v>
      </c>
    </row>
    <row r="25068" spans="1:6" ht="12.75">
      <c r="A25068" s="2">
        <v>43875.763819444444</v>
      </c>
      <c r="B25068" t="str">
        <f>HYPERLINK("https://twitter.com/atsuhi13","@atsuhi13")</f>
        <v>@atsuhi13</v>
      </c>
      <c r="C25068" t="s">
        <v>11402</v>
      </c>
      <c r="D25068">
        <v>0</v>
      </c>
      <c r="E25068">
        <v>0</v>
      </c>
      <c r="F25068">
        <v>2</v>
      </c>
    </row>
    <row r="25069" spans="1:6" ht="12.75">
      <c r="A25069" s="2">
        <v>43875.763807870375</v>
      </c>
      <c r="B25069" t="str">
        <f>HYPERLINK("https://twitter.com/hesaidaguamenti","@hesaidaguamenti")</f>
        <v>@hesaidaguamenti</v>
      </c>
      <c r="C25069" t="s">
        <v>11403</v>
      </c>
      <c r="D25069">
        <v>0</v>
      </c>
      <c r="E25069">
        <v>0</v>
      </c>
      <c r="F25069">
        <v>38</v>
      </c>
    </row>
    <row r="25070" spans="1:6" ht="12.75">
      <c r="A25070" s="2">
        <v>43875.763784722221</v>
      </c>
      <c r="B25070" t="str">
        <f>HYPERLINK("https://twitter.com/ISIS_Balik_NO","@ISIS_Balik_NO")</f>
        <v>@ISIS_Balik_NO</v>
      </c>
      <c r="C25070" t="s">
        <v>11404</v>
      </c>
      <c r="D25070">
        <v>1</v>
      </c>
      <c r="E25070">
        <v>2</v>
      </c>
      <c r="F25070">
        <v>5903</v>
      </c>
    </row>
    <row r="25071" spans="1:6" ht="12.75">
      <c r="A25071" s="2">
        <v>43875.763483796298</v>
      </c>
      <c r="B25071" t="str">
        <f>HYPERLINK("https://twitter.com/john_daud","@john_daud")</f>
        <v>@john_daud</v>
      </c>
      <c r="C25071" t="s">
        <v>2444</v>
      </c>
      <c r="D25071">
        <v>2074</v>
      </c>
      <c r="E25071">
        <v>0</v>
      </c>
      <c r="F25071">
        <v>363</v>
      </c>
    </row>
    <row r="25072" spans="1:6" ht="12.75">
      <c r="A25072" s="2">
        <v>43875.763449074075</v>
      </c>
      <c r="B25072" t="str">
        <f>HYPERLINK("https://twitter.com/ptszzzh","@ptszzzh")</f>
        <v>@ptszzzh</v>
      </c>
      <c r="C25072" t="s">
        <v>10074</v>
      </c>
      <c r="D25072">
        <v>67</v>
      </c>
      <c r="E25072">
        <v>0</v>
      </c>
      <c r="F25072">
        <v>7</v>
      </c>
    </row>
    <row r="25073" spans="1:6" ht="12.75">
      <c r="A25073" s="2">
        <v>43875.763333333336</v>
      </c>
      <c r="B25073" t="str">
        <f>HYPERLINK("https://twitter.com/inganggita","@inganggita")</f>
        <v>@inganggita</v>
      </c>
      <c r="C25073" t="s">
        <v>11405</v>
      </c>
      <c r="D25073">
        <v>3</v>
      </c>
      <c r="E25073">
        <v>0</v>
      </c>
      <c r="F25073">
        <v>1222</v>
      </c>
    </row>
    <row r="25074" spans="1:6" ht="12.75">
      <c r="A25074" s="2">
        <v>43875.763321759259</v>
      </c>
      <c r="B25074" t="str">
        <f>HYPERLINK("https://twitter.com/ivaputri","@ivaputri")</f>
        <v>@ivaputri</v>
      </c>
      <c r="C25074" t="s">
        <v>2137</v>
      </c>
      <c r="D25074">
        <v>172</v>
      </c>
      <c r="E25074">
        <v>0</v>
      </c>
      <c r="F25074">
        <v>511</v>
      </c>
    </row>
    <row r="25075" spans="1:6" ht="12.75">
      <c r="A25075" s="2">
        <v>43875.763206018513</v>
      </c>
      <c r="B25075" t="str">
        <f>HYPERLINK("https://twitter.com/Moka55258149","@Moka55258149")</f>
        <v>@Moka55258149</v>
      </c>
      <c r="C25075" t="s">
        <v>11406</v>
      </c>
      <c r="D25075">
        <v>0</v>
      </c>
      <c r="E25075">
        <v>0</v>
      </c>
      <c r="F25075">
        <v>2</v>
      </c>
    </row>
    <row r="25076" spans="1:6" ht="12.75">
      <c r="A25076" s="2">
        <v>43875.763182870374</v>
      </c>
      <c r="B25076" t="str">
        <f>HYPERLINK("https://twitter.com/SemboyanR","@SemboyanR")</f>
        <v>@SemboyanR</v>
      </c>
      <c r="C25076" t="s">
        <v>10096</v>
      </c>
      <c r="D25076">
        <v>156</v>
      </c>
      <c r="E25076">
        <v>0</v>
      </c>
      <c r="F25076">
        <v>1262</v>
      </c>
    </row>
    <row r="25077" spans="1:6" ht="12.75">
      <c r="A25077" s="2">
        <v>43875.763182870374</v>
      </c>
      <c r="B25077" t="str">
        <f>HYPERLINK("https://twitter.com/MithaAy77996999","@MithaAy77996999")</f>
        <v>@MithaAy77996999</v>
      </c>
      <c r="C25077" t="s">
        <v>11323</v>
      </c>
      <c r="D25077">
        <v>0</v>
      </c>
      <c r="E25077">
        <v>0</v>
      </c>
      <c r="F25077">
        <v>496</v>
      </c>
    </row>
    <row r="25078" spans="1:6" ht="12.75">
      <c r="A25078" s="2">
        <v>43875.763055555552</v>
      </c>
      <c r="B25078" t="str">
        <f>HYPERLINK("https://twitter.com/hadiahMertua","@hadiahMertua")</f>
        <v>@hadiahMertua</v>
      </c>
      <c r="C25078" t="s">
        <v>11407</v>
      </c>
      <c r="D25078">
        <v>0</v>
      </c>
      <c r="E25078">
        <v>0</v>
      </c>
      <c r="F25078">
        <v>41</v>
      </c>
    </row>
    <row r="25079" spans="1:6" ht="12.75">
      <c r="A25079" s="2">
        <v>43875.763032407413</v>
      </c>
      <c r="B25079" t="str">
        <f>HYPERLINK("https://twitter.com/GendisKhansa","@GendisKhansa")</f>
        <v>@GendisKhansa</v>
      </c>
      <c r="C25079" t="s">
        <v>11408</v>
      </c>
      <c r="D25079">
        <v>0</v>
      </c>
      <c r="E25079">
        <v>0</v>
      </c>
      <c r="F25079">
        <v>647</v>
      </c>
    </row>
    <row r="25080" spans="1:6" ht="12.75">
      <c r="A25080" s="2">
        <v>43875.763009259259</v>
      </c>
      <c r="B25080" t="str">
        <f>HYPERLINK("https://twitter.com/BVdotnet","@BVdotnet")</f>
        <v>@BVdotnet</v>
      </c>
      <c r="C25080" t="s">
        <v>11408</v>
      </c>
      <c r="D25080">
        <v>0</v>
      </c>
      <c r="E25080">
        <v>0</v>
      </c>
      <c r="F25080">
        <v>14</v>
      </c>
    </row>
    <row r="25081" spans="1:6" ht="12.75">
      <c r="A25081" s="2">
        <v>43875.762858796297</v>
      </c>
      <c r="B25081" t="str">
        <f>HYPERLINK("https://twitter.com/indahraini_","@indahraini_")</f>
        <v>@indahraini_</v>
      </c>
      <c r="C25081" t="s">
        <v>10074</v>
      </c>
      <c r="D25081">
        <v>67</v>
      </c>
      <c r="E25081">
        <v>0</v>
      </c>
      <c r="F25081">
        <v>397</v>
      </c>
    </row>
    <row r="25082" spans="1:6" ht="12.75">
      <c r="A25082" s="2">
        <v>43875.762835648144</v>
      </c>
      <c r="B25082" t="str">
        <f>HYPERLINK("https://twitter.com/SamsulB91513613","@SamsulB91513613")</f>
        <v>@SamsulB91513613</v>
      </c>
      <c r="C25082" t="s">
        <v>2963</v>
      </c>
      <c r="D25082">
        <v>1039</v>
      </c>
      <c r="E25082">
        <v>0</v>
      </c>
      <c r="F25082">
        <v>296</v>
      </c>
    </row>
    <row r="25083" spans="1:6" ht="12.75">
      <c r="A25083" s="2">
        <v>43875.762824074074</v>
      </c>
      <c r="B25083" t="str">
        <f>HYPERLINK("https://twitter.com/FlagRaiser1924","@FlagRaiser1924")</f>
        <v>@FlagRaiser1924</v>
      </c>
      <c r="C25083" t="s">
        <v>11409</v>
      </c>
      <c r="D25083">
        <v>0</v>
      </c>
      <c r="E25083">
        <v>0</v>
      </c>
      <c r="F25083">
        <v>3952</v>
      </c>
    </row>
    <row r="25084" spans="1:6" ht="12.75">
      <c r="A25084" s="2">
        <v>43875.762789351851</v>
      </c>
      <c r="B25084" t="str">
        <f>HYPERLINK("https://twitter.com/danikediri1908","@danikediri1908")</f>
        <v>@danikediri1908</v>
      </c>
      <c r="C25084" t="s">
        <v>6201</v>
      </c>
      <c r="D25084">
        <v>150</v>
      </c>
      <c r="E25084">
        <v>0</v>
      </c>
      <c r="F25084">
        <v>4806</v>
      </c>
    </row>
    <row r="25085" spans="1:6" ht="12.75">
      <c r="A25085" s="2">
        <v>43875.762731481482</v>
      </c>
      <c r="B25085" t="str">
        <f>HYPERLINK("https://twitter.com/BradPitek","@BradPitek")</f>
        <v>@BradPitek</v>
      </c>
      <c r="C25085" t="s">
        <v>10266</v>
      </c>
      <c r="D25085">
        <v>273</v>
      </c>
      <c r="E25085">
        <v>0</v>
      </c>
      <c r="F25085">
        <v>80</v>
      </c>
    </row>
    <row r="25086" spans="1:6" ht="12.75">
      <c r="A25086" s="2">
        <v>43875.762418981481</v>
      </c>
      <c r="B25086" t="str">
        <f>HYPERLINK("https://twitter.com/hadhiayu","@hadhiayu")</f>
        <v>@hadhiayu</v>
      </c>
      <c r="C25086" t="s">
        <v>2444</v>
      </c>
      <c r="D25086">
        <v>2075</v>
      </c>
      <c r="E25086">
        <v>0</v>
      </c>
      <c r="F25086">
        <v>329</v>
      </c>
    </row>
    <row r="25087" spans="1:6" ht="12.75">
      <c r="A25087" s="2">
        <v>43875.762395833328</v>
      </c>
      <c r="B25087" t="str">
        <f>HYPERLINK("https://twitter.com/henymaryati","@henymaryati")</f>
        <v>@henymaryati</v>
      </c>
      <c r="C25087" t="s">
        <v>2444</v>
      </c>
      <c r="D25087">
        <v>2075</v>
      </c>
      <c r="E25087">
        <v>0</v>
      </c>
      <c r="F25087">
        <v>486</v>
      </c>
    </row>
    <row r="25088" spans="1:6" ht="12.75">
      <c r="A25088" s="2">
        <v>43875.762326388889</v>
      </c>
      <c r="B25088" t="str">
        <f>HYPERLINK("https://twitter.com/nhojsuh","@nhojsuh")</f>
        <v>@nhojsuh</v>
      </c>
      <c r="C25088" t="s">
        <v>5168</v>
      </c>
      <c r="D25088">
        <v>896</v>
      </c>
      <c r="E25088">
        <v>0</v>
      </c>
      <c r="F25088">
        <v>189</v>
      </c>
    </row>
    <row r="25089" spans="1:6" ht="12.75">
      <c r="A25089" s="2">
        <v>43875.762314814812</v>
      </c>
      <c r="B25089" t="str">
        <f>HYPERLINK("https://twitter.com/carsita89","@carsita89")</f>
        <v>@carsita89</v>
      </c>
      <c r="C25089" t="s">
        <v>11410</v>
      </c>
      <c r="D25089">
        <v>0</v>
      </c>
      <c r="E25089">
        <v>0</v>
      </c>
      <c r="F25089">
        <v>24</v>
      </c>
    </row>
    <row r="25090" spans="1:6" ht="12.75">
      <c r="A25090" s="2">
        <v>43875.762210648143</v>
      </c>
      <c r="B25090" t="str">
        <f>HYPERLINK("https://twitter.com/wijaya_48","@wijaya_48")</f>
        <v>@wijaya_48</v>
      </c>
      <c r="C25090" t="s">
        <v>11411</v>
      </c>
      <c r="D25090">
        <v>8</v>
      </c>
      <c r="E25090">
        <v>0</v>
      </c>
      <c r="F25090">
        <v>380</v>
      </c>
    </row>
    <row r="25091" spans="1:6" ht="12.75">
      <c r="A25091" s="2">
        <v>43875.762141203704</v>
      </c>
      <c r="B25091" t="str">
        <f>HYPERLINK("https://twitter.com/kawakamitakeru","@kawakamitakeru")</f>
        <v>@kawakamitakeru</v>
      </c>
      <c r="C25091" t="s">
        <v>2444</v>
      </c>
      <c r="D25091">
        <v>2075</v>
      </c>
      <c r="E25091">
        <v>0</v>
      </c>
      <c r="F25091">
        <v>303</v>
      </c>
    </row>
    <row r="25092" spans="1:6" ht="12.75">
      <c r="A25092" s="2">
        <v>43875.762118055558</v>
      </c>
      <c r="B25092" t="str">
        <f>HYPERLINK("https://twitter.com/TeyengCekap","@TeyengCekap")</f>
        <v>@TeyengCekap</v>
      </c>
      <c r="C25092" t="s">
        <v>11412</v>
      </c>
      <c r="D25092">
        <v>0</v>
      </c>
      <c r="E25092">
        <v>1</v>
      </c>
      <c r="F25092">
        <v>4779</v>
      </c>
    </row>
    <row r="25093" spans="1:6" ht="12.75">
      <c r="A25093" s="2">
        <v>43875.762048611112</v>
      </c>
      <c r="B25093" t="str">
        <f>HYPERLINK("https://twitter.com/violinchia","@violinchia")</f>
        <v>@violinchia</v>
      </c>
      <c r="C25093" t="s">
        <v>2444</v>
      </c>
      <c r="D25093">
        <v>2075</v>
      </c>
      <c r="E25093">
        <v>0</v>
      </c>
      <c r="F25093">
        <v>556</v>
      </c>
    </row>
    <row r="25094" spans="1:6" ht="12.75">
      <c r="A25094" s="2">
        <v>43875.761932870373</v>
      </c>
      <c r="B25094" t="str">
        <f>HYPERLINK("https://twitter.com/MithaAy77996999","@MithaAy77996999")</f>
        <v>@MithaAy77996999</v>
      </c>
      <c r="C25094" t="s">
        <v>11413</v>
      </c>
      <c r="D25094">
        <v>0</v>
      </c>
      <c r="E25094">
        <v>0</v>
      </c>
      <c r="F25094">
        <v>496</v>
      </c>
    </row>
    <row r="25095" spans="1:6" ht="12.75">
      <c r="A25095" s="2">
        <v>43875.761701388888</v>
      </c>
      <c r="B25095" t="str">
        <f>HYPERLINK("https://twitter.com/alvin_d17","@alvin_d17")</f>
        <v>@alvin_d17</v>
      </c>
      <c r="C25095" t="s">
        <v>9964</v>
      </c>
      <c r="D25095">
        <v>618</v>
      </c>
      <c r="E25095">
        <v>0</v>
      </c>
      <c r="F25095">
        <v>56</v>
      </c>
    </row>
    <row r="25096" spans="1:6" ht="12.75">
      <c r="A25096" s="2">
        <v>43875.761666666665</v>
      </c>
      <c r="B25096" t="str">
        <f>HYPERLINK("https://twitter.com/mangkuto78","@mangkuto78")</f>
        <v>@mangkuto78</v>
      </c>
      <c r="C25096" t="s">
        <v>11414</v>
      </c>
      <c r="D25096">
        <v>0</v>
      </c>
      <c r="E25096">
        <v>0</v>
      </c>
      <c r="F25096">
        <v>458</v>
      </c>
    </row>
    <row r="25097" spans="1:6" ht="12.75">
      <c r="A25097" s="2">
        <v>43875.761643518519</v>
      </c>
      <c r="B25097" t="str">
        <f>HYPERLINK("https://twitter.com/DimasyFermana","@DimasyFermana")</f>
        <v>@DimasyFermana</v>
      </c>
      <c r="C25097" t="s">
        <v>10083</v>
      </c>
      <c r="D25097">
        <v>16</v>
      </c>
      <c r="E25097">
        <v>0</v>
      </c>
      <c r="F25097">
        <v>1457</v>
      </c>
    </row>
    <row r="25098" spans="1:6" ht="12.75">
      <c r="A25098" s="2">
        <v>43875.76163194445</v>
      </c>
      <c r="B25098" t="str">
        <f>HYPERLINK("https://twitter.com/iim666","@iim666")</f>
        <v>@iim666</v>
      </c>
      <c r="C25098" t="s">
        <v>10573</v>
      </c>
      <c r="D25098">
        <v>7</v>
      </c>
      <c r="E25098">
        <v>0</v>
      </c>
      <c r="F25098">
        <v>322</v>
      </c>
    </row>
    <row r="25099" spans="1:6" ht="12.75">
      <c r="A25099" s="2">
        <v>43875.76158564815</v>
      </c>
      <c r="B25099" t="str">
        <f>HYPERLINK("https://twitter.com/Rharrys","@Rharrys")</f>
        <v>@Rharrys</v>
      </c>
      <c r="C25099" t="s">
        <v>11415</v>
      </c>
      <c r="D25099">
        <v>0</v>
      </c>
      <c r="E25099">
        <v>0</v>
      </c>
      <c r="F25099">
        <v>1339</v>
      </c>
    </row>
    <row r="25100" spans="1:6" ht="12.75">
      <c r="A25100" s="2">
        <v>43875.761458333334</v>
      </c>
      <c r="B25100" t="str">
        <f>HYPERLINK("https://twitter.com/GenovevaJennyR1","@GenovevaJennyR1")</f>
        <v>@GenovevaJennyR1</v>
      </c>
      <c r="C25100" t="s">
        <v>2444</v>
      </c>
      <c r="D25100">
        <v>2075</v>
      </c>
      <c r="E25100">
        <v>0</v>
      </c>
      <c r="F25100">
        <v>19</v>
      </c>
    </row>
    <row r="25101" spans="1:6" ht="12.75">
      <c r="A25101" s="2">
        <v>43875.761354166665</v>
      </c>
      <c r="B25101" t="str">
        <f>HYPERLINK("https://twitter.com/Syukriroy","@Syukriroy")</f>
        <v>@Syukriroy</v>
      </c>
      <c r="C25101" t="s">
        <v>9147</v>
      </c>
      <c r="D25101">
        <v>25</v>
      </c>
      <c r="E25101">
        <v>0</v>
      </c>
      <c r="F25101">
        <v>2424</v>
      </c>
    </row>
    <row r="25102" spans="1:6" ht="12.75">
      <c r="A25102" s="2">
        <v>43875.761331018519</v>
      </c>
      <c r="B25102" t="str">
        <f>HYPERLINK("https://twitter.com/feebbbyaa","@feebbbyaa")</f>
        <v>@feebbbyaa</v>
      </c>
      <c r="C25102" t="s">
        <v>2444</v>
      </c>
      <c r="D25102">
        <v>2075</v>
      </c>
      <c r="E25102">
        <v>0</v>
      </c>
      <c r="F25102">
        <v>9</v>
      </c>
    </row>
    <row r="25103" spans="1:6" ht="12.75">
      <c r="A25103" s="2">
        <v>43875.761319444442</v>
      </c>
      <c r="B25103" t="str">
        <f>HYPERLINK("https://twitter.com/SemboyanR","@SemboyanR")</f>
        <v>@SemboyanR</v>
      </c>
      <c r="C25103" t="s">
        <v>6201</v>
      </c>
      <c r="D25103">
        <v>150</v>
      </c>
      <c r="E25103">
        <v>0</v>
      </c>
      <c r="F25103">
        <v>1262</v>
      </c>
    </row>
    <row r="25104" spans="1:6" ht="12.75">
      <c r="A25104" s="2">
        <v>43875.761273148149</v>
      </c>
      <c r="B25104" t="str">
        <f>HYPERLINK("https://twitter.com/ennyelf2","@ennyelf2")</f>
        <v>@ennyelf2</v>
      </c>
      <c r="C25104" t="s">
        <v>9746</v>
      </c>
      <c r="D25104">
        <v>310</v>
      </c>
      <c r="E25104">
        <v>0</v>
      </c>
      <c r="F25104">
        <v>305</v>
      </c>
    </row>
    <row r="25105" spans="1:6" ht="12.75">
      <c r="A25105" s="2">
        <v>43875.761215277773</v>
      </c>
      <c r="B25105" t="str">
        <f>HYPERLINK("https://twitter.com/Dedyrm1993","@Dedyrm1993")</f>
        <v>@Dedyrm1993</v>
      </c>
      <c r="C25105" t="s">
        <v>11416</v>
      </c>
      <c r="D25105">
        <v>2</v>
      </c>
      <c r="E25105">
        <v>0</v>
      </c>
      <c r="F25105">
        <v>33</v>
      </c>
    </row>
    <row r="25106" spans="1:6" ht="12.75">
      <c r="A25106" s="2">
        <v>43875.76116898148</v>
      </c>
      <c r="B25106" t="str">
        <f>HYPERLINK("https://twitter.com/08aprEXO","@08aprEXO")</f>
        <v>@08aprEXO</v>
      </c>
      <c r="C25106" t="s">
        <v>2444</v>
      </c>
      <c r="D25106">
        <v>2075</v>
      </c>
      <c r="E25106">
        <v>0</v>
      </c>
      <c r="F25106">
        <v>245</v>
      </c>
    </row>
    <row r="25107" spans="1:6" ht="12.75">
      <c r="A25107" s="2">
        <v>43875.761122685188</v>
      </c>
      <c r="B25107" t="str">
        <f>HYPERLINK("https://twitter.com/ginaaria","@ginaaria")</f>
        <v>@ginaaria</v>
      </c>
      <c r="C25107" t="s">
        <v>2444</v>
      </c>
      <c r="D25107">
        <v>2075</v>
      </c>
      <c r="E25107">
        <v>0</v>
      </c>
      <c r="F25107">
        <v>165</v>
      </c>
    </row>
    <row r="25108" spans="1:6" ht="12.75">
      <c r="A25108" s="2">
        <v>43875.761099537034</v>
      </c>
      <c r="B25108" t="str">
        <f>HYPERLINK("https://twitter.com/muhammadbenny_","@muhammadbenny_")</f>
        <v>@muhammadbenny_</v>
      </c>
      <c r="C25108" t="s">
        <v>9147</v>
      </c>
      <c r="D25108">
        <v>25</v>
      </c>
      <c r="E25108">
        <v>0</v>
      </c>
      <c r="F25108">
        <v>17</v>
      </c>
    </row>
    <row r="25109" spans="1:6" ht="12.75">
      <c r="A25109" s="2">
        <v>43875.761087962965</v>
      </c>
      <c r="B25109" t="str">
        <f>HYPERLINK("https://twitter.com/atinahika","@atinahika")</f>
        <v>@atinahika</v>
      </c>
      <c r="C25109" t="s">
        <v>5168</v>
      </c>
      <c r="D25109">
        <v>896</v>
      </c>
      <c r="E25109">
        <v>0</v>
      </c>
      <c r="F25109">
        <v>605</v>
      </c>
    </row>
    <row r="25110" spans="1:6" ht="12.75">
      <c r="A25110" s="2">
        <v>43875.761076388888</v>
      </c>
      <c r="B25110" t="str">
        <f>HYPERLINK("https://twitter.com/wahpriadi","@wahpriadi")</f>
        <v>@wahpriadi</v>
      </c>
      <c r="C25110" t="s">
        <v>11417</v>
      </c>
      <c r="D25110">
        <v>0</v>
      </c>
      <c r="E25110">
        <v>1</v>
      </c>
      <c r="F25110">
        <v>86</v>
      </c>
    </row>
    <row r="25111" spans="1:6" ht="12.75">
      <c r="A25111" s="2">
        <v>43875.761064814811</v>
      </c>
      <c r="B25111" t="str">
        <f>HYPERLINK("https://twitter.com/dayintagoji","@dayintagoji")</f>
        <v>@dayintagoji</v>
      </c>
      <c r="C25111" t="s">
        <v>11418</v>
      </c>
      <c r="D25111">
        <v>3</v>
      </c>
      <c r="E25111">
        <v>0</v>
      </c>
      <c r="F25111">
        <v>355</v>
      </c>
    </row>
    <row r="25112" spans="1:6" ht="12.75">
      <c r="A25112" s="2">
        <v>43875.761053240742</v>
      </c>
      <c r="B25112" t="str">
        <f>HYPERLINK("https://twitter.com/RizkyApriliaAS","@RizkyApriliaAS")</f>
        <v>@RizkyApriliaAS</v>
      </c>
      <c r="C25112" t="s">
        <v>11419</v>
      </c>
      <c r="D25112">
        <v>0</v>
      </c>
      <c r="E25112">
        <v>0</v>
      </c>
      <c r="F25112">
        <v>856</v>
      </c>
    </row>
    <row r="25113" spans="1:6" ht="12.75">
      <c r="A25113" s="2">
        <v>43875.760983796295</v>
      </c>
      <c r="B25113" t="str">
        <f>HYPERLINK("https://twitter.com/rashoumoans","@rashoumoans")</f>
        <v>@rashoumoans</v>
      </c>
      <c r="C25113" t="s">
        <v>2444</v>
      </c>
      <c r="D25113">
        <v>2075</v>
      </c>
      <c r="E25113">
        <v>0</v>
      </c>
      <c r="F25113">
        <v>605</v>
      </c>
    </row>
    <row r="25114" spans="1:6" ht="12.75">
      <c r="A25114" s="2">
        <v>43875.760937500003</v>
      </c>
      <c r="B25114" t="str">
        <f>HYPERLINK("https://twitter.com/aardiva","@aardiva")</f>
        <v>@aardiva</v>
      </c>
      <c r="C25114" t="s">
        <v>2444</v>
      </c>
      <c r="D25114">
        <v>2075</v>
      </c>
      <c r="E25114">
        <v>0</v>
      </c>
      <c r="F25114">
        <v>148</v>
      </c>
    </row>
    <row r="25115" spans="1:6" ht="12.75">
      <c r="A25115" s="2">
        <v>43875.76085648148</v>
      </c>
      <c r="B25115" t="str">
        <f>HYPERLINK("https://twitter.com/2dibukaB","@2dibukaB")</f>
        <v>@2dibukaB</v>
      </c>
      <c r="C25115" t="s">
        <v>7478</v>
      </c>
      <c r="D25115">
        <v>323</v>
      </c>
      <c r="E25115">
        <v>0</v>
      </c>
      <c r="F25115">
        <v>1537</v>
      </c>
    </row>
    <row r="25116" spans="1:6" ht="12.75">
      <c r="A25116" s="2">
        <v>43875.760844907403</v>
      </c>
      <c r="B25116" t="str">
        <f>HYPERLINK("https://twitter.com/Gendorowo3","@Gendorowo3")</f>
        <v>@Gendorowo3</v>
      </c>
      <c r="C25116" t="s">
        <v>11420</v>
      </c>
      <c r="D25116">
        <v>0</v>
      </c>
      <c r="E25116">
        <v>0</v>
      </c>
      <c r="F25116">
        <v>91</v>
      </c>
    </row>
    <row r="25117" spans="1:6" ht="12.75">
      <c r="A25117" s="2">
        <v>43875.76081018518</v>
      </c>
      <c r="B25117" t="str">
        <f>HYPERLINK("https://twitter.com/aduhgabut","@aduhgabut")</f>
        <v>@aduhgabut</v>
      </c>
      <c r="C25117" t="s">
        <v>2444</v>
      </c>
      <c r="D25117">
        <v>2075</v>
      </c>
      <c r="E25117">
        <v>0</v>
      </c>
      <c r="F25117">
        <v>867</v>
      </c>
    </row>
    <row r="25118" spans="1:6" ht="12.75">
      <c r="A25118" s="2">
        <v>43875.760775462964</v>
      </c>
      <c r="B25118" t="str">
        <f>HYPERLINK("https://twitter.com/Zuniariar","@Zuniariar")</f>
        <v>@Zuniariar</v>
      </c>
      <c r="C25118" t="s">
        <v>2444</v>
      </c>
      <c r="D25118">
        <v>2075</v>
      </c>
      <c r="E25118">
        <v>0</v>
      </c>
      <c r="F25118">
        <v>331</v>
      </c>
    </row>
    <row r="25119" spans="1:6" ht="12.75">
      <c r="A25119" s="2">
        <v>43875.760729166665</v>
      </c>
      <c r="B25119" t="str">
        <f>HYPERLINK("https://twitter.com/Adot1998","@Adot1998")</f>
        <v>@Adot1998</v>
      </c>
      <c r="C25119" t="s">
        <v>9732</v>
      </c>
      <c r="D25119">
        <v>58</v>
      </c>
      <c r="E25119">
        <v>0</v>
      </c>
      <c r="F25119">
        <v>15458</v>
      </c>
    </row>
    <row r="25120" spans="1:6" ht="12.75">
      <c r="A25120" s="2">
        <v>43875.760729166665</v>
      </c>
      <c r="B25120" t="str">
        <f>HYPERLINK("https://twitter.com/setiadjit","@setiadjit")</f>
        <v>@setiadjit</v>
      </c>
      <c r="C25120" t="s">
        <v>11421</v>
      </c>
      <c r="D25120">
        <v>0</v>
      </c>
      <c r="E25120">
        <v>0</v>
      </c>
      <c r="F25120">
        <v>238</v>
      </c>
    </row>
    <row r="25121" spans="1:6" ht="12.75">
      <c r="A25121" s="2">
        <v>43875.760636574079</v>
      </c>
      <c r="B25121" t="str">
        <f>HYPERLINK("https://twitter.com/hallidii","@hallidii")</f>
        <v>@hallidii</v>
      </c>
      <c r="C25121" t="s">
        <v>11422</v>
      </c>
      <c r="D25121">
        <v>0</v>
      </c>
      <c r="E25121">
        <v>0</v>
      </c>
      <c r="F25121">
        <v>272</v>
      </c>
    </row>
    <row r="25122" spans="1:6" ht="12.75">
      <c r="A25122" s="2">
        <v>43875.760624999995</v>
      </c>
      <c r="B25122" t="str">
        <f>HYPERLINK("https://twitter.com/beakiyowo","@beakiyowo")</f>
        <v>@beakiyowo</v>
      </c>
      <c r="C25122" t="s">
        <v>5168</v>
      </c>
      <c r="D25122">
        <v>896</v>
      </c>
      <c r="E25122">
        <v>0</v>
      </c>
      <c r="F25122">
        <v>692</v>
      </c>
    </row>
    <row r="25123" spans="1:6" ht="12.75">
      <c r="A25123" s="2">
        <v>43875.760509259257</v>
      </c>
      <c r="B25123" t="str">
        <f>HYPERLINK("https://twitter.com/DjuniharTeguh","@DjuniharTeguh")</f>
        <v>@DjuniharTeguh</v>
      </c>
      <c r="C25123" t="s">
        <v>10032</v>
      </c>
      <c r="D25123">
        <v>40</v>
      </c>
      <c r="E25123">
        <v>0</v>
      </c>
      <c r="F25123">
        <v>30</v>
      </c>
    </row>
    <row r="25124" spans="1:6" ht="12.75">
      <c r="A25124" s="2">
        <v>43875.760474537034</v>
      </c>
      <c r="B25124" t="str">
        <f>HYPERLINK("https://twitter.com/ulyanadia","@ulyanadia")</f>
        <v>@ulyanadia</v>
      </c>
      <c r="C25124" t="s">
        <v>2444</v>
      </c>
      <c r="D25124">
        <v>2075</v>
      </c>
      <c r="E25124">
        <v>0</v>
      </c>
      <c r="F25124">
        <v>437</v>
      </c>
    </row>
    <row r="25125" spans="1:6" ht="12.75">
      <c r="A25125" s="2">
        <v>43875.760358796295</v>
      </c>
      <c r="B25125" t="str">
        <f>HYPERLINK("https://twitter.com/annainggi","@annainggi")</f>
        <v>@annainggi</v>
      </c>
      <c r="C25125" t="s">
        <v>10196</v>
      </c>
      <c r="D25125">
        <v>143</v>
      </c>
      <c r="E25125">
        <v>0</v>
      </c>
      <c r="F25125">
        <v>874</v>
      </c>
    </row>
    <row r="25126" spans="1:6" ht="12.75">
      <c r="A25126" s="2">
        <v>43875.760347222225</v>
      </c>
      <c r="B25126" t="str">
        <f>HYPERLINK("https://twitter.com/Sjaechu","@Sjaechu")</f>
        <v>@Sjaechu</v>
      </c>
      <c r="C25126" t="s">
        <v>9746</v>
      </c>
      <c r="D25126">
        <v>310</v>
      </c>
      <c r="E25126">
        <v>0</v>
      </c>
      <c r="F25126">
        <v>5758</v>
      </c>
    </row>
    <row r="25127" spans="1:6" ht="12.75">
      <c r="A25127" s="2">
        <v>43875.760289351849</v>
      </c>
      <c r="B25127" t="str">
        <f>HYPERLINK("https://twitter.com/mangkuto78","@mangkuto78")</f>
        <v>@mangkuto78</v>
      </c>
      <c r="C25127" t="s">
        <v>11423</v>
      </c>
      <c r="D25127">
        <v>0</v>
      </c>
      <c r="E25127">
        <v>0</v>
      </c>
      <c r="F25127">
        <v>458</v>
      </c>
    </row>
    <row r="25128" spans="1:6" ht="12.75">
      <c r="A25128" s="2">
        <v>43875.760196759264</v>
      </c>
      <c r="B25128" t="str">
        <f>HYPERLINK("https://twitter.com/deeAdiwijaya999","@deeAdiwijaya999")</f>
        <v>@deeAdiwijaya999</v>
      </c>
      <c r="C25128" t="s">
        <v>10165</v>
      </c>
      <c r="D25128">
        <v>13</v>
      </c>
      <c r="E25128">
        <v>0</v>
      </c>
      <c r="F25128">
        <v>942</v>
      </c>
    </row>
    <row r="25129" spans="1:6" ht="12.75">
      <c r="A25129" s="2">
        <v>43875.760162037041</v>
      </c>
      <c r="B25129" t="str">
        <f>HYPERLINK("https://twitter.com/brillynotbrili","@brillynotbrili")</f>
        <v>@brillynotbrili</v>
      </c>
      <c r="C25129" t="s">
        <v>2444</v>
      </c>
      <c r="D25129">
        <v>2075</v>
      </c>
      <c r="E25129">
        <v>0</v>
      </c>
      <c r="F25129">
        <v>849</v>
      </c>
    </row>
    <row r="25130" spans="1:6" ht="12.75">
      <c r="A25130" s="2">
        <v>43875.760162037041</v>
      </c>
      <c r="B25130" t="str">
        <f>HYPERLINK("https://twitter.com/annainggi","@annainggi")</f>
        <v>@annainggi</v>
      </c>
      <c r="C25130" t="s">
        <v>11424</v>
      </c>
      <c r="D25130">
        <v>46</v>
      </c>
      <c r="E25130">
        <v>0</v>
      </c>
      <c r="F25130">
        <v>874</v>
      </c>
    </row>
    <row r="25131" spans="1:6" ht="12.75">
      <c r="A25131" s="2">
        <v>43875.760104166664</v>
      </c>
      <c r="B25131" t="str">
        <f>HYPERLINK("https://twitter.com/Alexdanco06","@Alexdanco06")</f>
        <v>@Alexdanco06</v>
      </c>
      <c r="C25131" t="s">
        <v>9186</v>
      </c>
      <c r="D25131">
        <v>101</v>
      </c>
      <c r="E25131">
        <v>0</v>
      </c>
      <c r="F25131">
        <v>1948</v>
      </c>
    </row>
    <row r="25132" spans="1:6" ht="12.75">
      <c r="A25132" s="2">
        <v>43875.760069444441</v>
      </c>
      <c r="B25132" t="str">
        <f>HYPERLINK("https://twitter.com/dhenandar0770","@dhenandar0770")</f>
        <v>@dhenandar0770</v>
      </c>
      <c r="C25132" t="s">
        <v>11425</v>
      </c>
      <c r="D25132">
        <v>225</v>
      </c>
      <c r="E25132">
        <v>0</v>
      </c>
      <c r="F25132">
        <v>47</v>
      </c>
    </row>
    <row r="25133" spans="1:6" ht="12.75">
      <c r="A25133" s="2">
        <v>43875.760046296295</v>
      </c>
      <c r="B25133" t="str">
        <f>HYPERLINK("https://twitter.com/AhmadBi76989398","@AhmadBi76989398")</f>
        <v>@AhmadBi76989398</v>
      </c>
      <c r="C25133" t="s">
        <v>10739</v>
      </c>
      <c r="D25133">
        <v>234</v>
      </c>
      <c r="E25133">
        <v>0</v>
      </c>
      <c r="F25133">
        <v>530</v>
      </c>
    </row>
    <row r="25134" spans="1:6" ht="12.75">
      <c r="A25134" s="2">
        <v>43875.760034722218</v>
      </c>
      <c r="B25134" t="str">
        <f>HYPERLINK("https://twitter.com/IsnanZulfida","@IsnanZulfida")</f>
        <v>@IsnanZulfida</v>
      </c>
      <c r="C25134" t="s">
        <v>11426</v>
      </c>
      <c r="D25134">
        <v>0</v>
      </c>
      <c r="E25134">
        <v>0</v>
      </c>
      <c r="F25134">
        <v>73</v>
      </c>
    </row>
    <row r="25135" spans="1:6" ht="12.75">
      <c r="A25135" s="2">
        <v>43875.759895833333</v>
      </c>
      <c r="B25135" t="str">
        <f>HYPERLINK("https://twitter.com/wijaya_48","@wijaya_48")</f>
        <v>@wijaya_48</v>
      </c>
      <c r="C25135" t="s">
        <v>11427</v>
      </c>
      <c r="D25135">
        <v>1</v>
      </c>
      <c r="E25135">
        <v>0</v>
      </c>
      <c r="F25135">
        <v>380</v>
      </c>
    </row>
    <row r="25136" spans="1:6" ht="12.75">
      <c r="A25136" s="2">
        <v>43875.759849537033</v>
      </c>
      <c r="B25136" t="str">
        <f>HYPERLINK("https://twitter.com/sidneyalesandra","@sidneyalesandra")</f>
        <v>@sidneyalesandra</v>
      </c>
      <c r="C25136" t="s">
        <v>2444</v>
      </c>
      <c r="D25136">
        <v>2075</v>
      </c>
      <c r="E25136">
        <v>0</v>
      </c>
      <c r="F25136">
        <v>765</v>
      </c>
    </row>
    <row r="25137" spans="1:6" ht="12.75">
      <c r="A25137" s="2">
        <v>43875.759780092594</v>
      </c>
      <c r="B25137" t="str">
        <f>HYPERLINK("https://twitter.com/Sjaechu","@Sjaechu")</f>
        <v>@Sjaechu</v>
      </c>
      <c r="C25137" t="s">
        <v>7478</v>
      </c>
      <c r="D25137">
        <v>323</v>
      </c>
      <c r="E25137">
        <v>0</v>
      </c>
      <c r="F25137">
        <v>5758</v>
      </c>
    </row>
    <row r="25138" spans="1:6" ht="12.75">
      <c r="A25138" s="2">
        <v>43875.759722222225</v>
      </c>
      <c r="B25138" t="str">
        <f>HYPERLINK("https://twitter.com/oktipz","@oktipz")</f>
        <v>@oktipz</v>
      </c>
      <c r="C25138" t="s">
        <v>9964</v>
      </c>
      <c r="D25138">
        <v>618</v>
      </c>
      <c r="E25138">
        <v>0</v>
      </c>
      <c r="F25138">
        <v>255</v>
      </c>
    </row>
    <row r="25139" spans="1:6" ht="12.75">
      <c r="A25139" s="2">
        <v>43875.759606481486</v>
      </c>
      <c r="B25139" t="str">
        <f>HYPERLINK("https://twitter.com/Fuad53808363","@Fuad53808363")</f>
        <v>@Fuad53808363</v>
      </c>
      <c r="C25139" t="s">
        <v>11428</v>
      </c>
      <c r="D25139">
        <v>6</v>
      </c>
      <c r="E25139">
        <v>0</v>
      </c>
      <c r="F25139">
        <v>111</v>
      </c>
    </row>
    <row r="25140" spans="1:6" ht="12.75">
      <c r="A25140" s="2">
        <v>43875.759583333333</v>
      </c>
      <c r="B25140" t="str">
        <f>HYPERLINK("https://twitter.com/CloaksA","@CloaksA")</f>
        <v>@CloaksA</v>
      </c>
      <c r="C25140" t="s">
        <v>11429</v>
      </c>
      <c r="D25140">
        <v>0</v>
      </c>
      <c r="E25140">
        <v>0</v>
      </c>
      <c r="F25140">
        <v>107</v>
      </c>
    </row>
    <row r="25141" spans="1:6" ht="12.75">
      <c r="A25141" s="2">
        <v>43875.759583333333</v>
      </c>
      <c r="B25141" t="str">
        <f>HYPERLINK("https://twitter.com/wijaya_48","@wijaya_48")</f>
        <v>@wijaya_48</v>
      </c>
      <c r="C25141" t="s">
        <v>11430</v>
      </c>
      <c r="D25141">
        <v>0</v>
      </c>
      <c r="E25141">
        <v>0</v>
      </c>
      <c r="F25141">
        <v>380</v>
      </c>
    </row>
    <row r="25142" spans="1:6" ht="12.75">
      <c r="A25142" s="2">
        <v>43875.759560185186</v>
      </c>
      <c r="B25142" t="str">
        <f>HYPERLINK("https://twitter.com/jokosantoso_id","@jokosantoso_id")</f>
        <v>@jokosantoso_id</v>
      </c>
      <c r="C25142" t="s">
        <v>2963</v>
      </c>
      <c r="D25142">
        <v>1039</v>
      </c>
      <c r="E25142">
        <v>0</v>
      </c>
      <c r="F25142">
        <v>175</v>
      </c>
    </row>
    <row r="25143" spans="1:6" ht="12.75">
      <c r="A25143" s="2">
        <v>43875.759560185186</v>
      </c>
      <c r="B25143" t="str">
        <f>HYPERLINK("https://twitter.com/Suryaboym2","@Suryaboym2")</f>
        <v>@Suryaboym2</v>
      </c>
      <c r="C25143" t="s">
        <v>11431</v>
      </c>
      <c r="D25143">
        <v>0</v>
      </c>
      <c r="E25143">
        <v>1</v>
      </c>
      <c r="F25143">
        <v>71</v>
      </c>
    </row>
    <row r="25144" spans="1:6" ht="12.75">
      <c r="A25144" s="2">
        <v>43875.759502314817</v>
      </c>
      <c r="B25144" t="str">
        <f>HYPERLINK("https://twitter.com/hgddvjk","@hgddvjk")</f>
        <v>@hgddvjk</v>
      </c>
      <c r="C25144" t="s">
        <v>3140</v>
      </c>
      <c r="D25144">
        <v>15</v>
      </c>
      <c r="E25144">
        <v>0</v>
      </c>
      <c r="F25144">
        <v>247</v>
      </c>
    </row>
    <row r="25145" spans="1:6" ht="12.75">
      <c r="A25145" s="2">
        <v>43875.759421296301</v>
      </c>
      <c r="B25145" t="str">
        <f>HYPERLINK("https://twitter.com/rifky_muach","@rifky_muach")</f>
        <v>@rifky_muach</v>
      </c>
      <c r="C25145" t="s">
        <v>7478</v>
      </c>
      <c r="D25145">
        <v>323</v>
      </c>
      <c r="E25145">
        <v>0</v>
      </c>
      <c r="F25145">
        <v>344</v>
      </c>
    </row>
    <row r="25146" spans="1:6" ht="12.75">
      <c r="A25146" s="2">
        <v>43875.759421296301</v>
      </c>
      <c r="B25146" t="str">
        <f>HYPERLINK("https://twitter.com/rianntears","@rianntears")</f>
        <v>@rianntears</v>
      </c>
      <c r="C25146" t="s">
        <v>6201</v>
      </c>
      <c r="D25146">
        <v>150</v>
      </c>
      <c r="E25146">
        <v>0</v>
      </c>
      <c r="F25146">
        <v>1181</v>
      </c>
    </row>
    <row r="25147" spans="1:6" ht="12.75">
      <c r="A25147" s="2">
        <v>43875.759328703702</v>
      </c>
      <c r="B25147" t="str">
        <f>HYPERLINK("https://twitter.com/Setoy_marley","@Setoy_marley")</f>
        <v>@Setoy_marley</v>
      </c>
      <c r="C25147" t="s">
        <v>5168</v>
      </c>
      <c r="D25147">
        <v>896</v>
      </c>
      <c r="E25147">
        <v>0</v>
      </c>
      <c r="F25147">
        <v>263</v>
      </c>
    </row>
    <row r="25148" spans="1:6" ht="12.75">
      <c r="A25148" s="2">
        <v>43875.759293981479</v>
      </c>
      <c r="B25148" t="str">
        <f>HYPERLINK("https://twitter.com/lmyshnt_11","@lmyshnt_11")</f>
        <v>@lmyshnt_11</v>
      </c>
      <c r="C25148" t="s">
        <v>2444</v>
      </c>
      <c r="D25148">
        <v>2075</v>
      </c>
      <c r="E25148">
        <v>0</v>
      </c>
      <c r="F25148">
        <v>210</v>
      </c>
    </row>
    <row r="25149" spans="1:6" ht="12.75">
      <c r="A25149" s="2">
        <v>43875.75917824074</v>
      </c>
      <c r="B25149" t="str">
        <f>HYPERLINK("https://twitter.com/AEPishere","@AEPishere")</f>
        <v>@AEPishere</v>
      </c>
      <c r="C25149" t="s">
        <v>11418</v>
      </c>
      <c r="D25149">
        <v>3</v>
      </c>
      <c r="E25149">
        <v>0</v>
      </c>
      <c r="F25149">
        <v>3009</v>
      </c>
    </row>
    <row r="25150" spans="1:6" ht="12.75">
      <c r="A25150" s="2">
        <v>43875.759097222224</v>
      </c>
      <c r="B25150" t="str">
        <f>HYPERLINK("https://twitter.com/Mpok_Hanum","@Mpok_Hanum")</f>
        <v>@Mpok_Hanum</v>
      </c>
      <c r="C25150" t="s">
        <v>11394</v>
      </c>
      <c r="D25150">
        <v>26</v>
      </c>
      <c r="E25150">
        <v>0</v>
      </c>
      <c r="F25150">
        <v>539</v>
      </c>
    </row>
    <row r="25151" spans="1:6" ht="12.75">
      <c r="A25151" s="2">
        <v>43875.759085648147</v>
      </c>
      <c r="B25151" t="str">
        <f>HYPERLINK("https://twitter.com/Nas_NRoll","@Nas_NRoll")</f>
        <v>@Nas_NRoll</v>
      </c>
      <c r="C25151" t="s">
        <v>8233</v>
      </c>
      <c r="D25151">
        <v>496</v>
      </c>
      <c r="E25151">
        <v>0</v>
      </c>
      <c r="F25151">
        <v>143</v>
      </c>
    </row>
    <row r="25152" spans="1:6" ht="12.75">
      <c r="A25152" s="2">
        <v>43875.759062500001</v>
      </c>
      <c r="B25152" t="str">
        <f>HYPERLINK("https://twitter.com/didikpe","@didikpe")</f>
        <v>@didikpe</v>
      </c>
      <c r="C25152" t="s">
        <v>11432</v>
      </c>
      <c r="D25152">
        <v>0</v>
      </c>
      <c r="E25152">
        <v>0</v>
      </c>
      <c r="F25152">
        <v>209</v>
      </c>
    </row>
    <row r="25153" spans="1:6" ht="12.75">
      <c r="A25153" s="2">
        <v>43875.759062500001</v>
      </c>
      <c r="B25153" t="str">
        <f>HYPERLINK("https://twitter.com/yudha_first","@yudha_first")</f>
        <v>@yudha_first</v>
      </c>
      <c r="C25153" t="s">
        <v>9962</v>
      </c>
      <c r="D25153">
        <v>36</v>
      </c>
      <c r="E25153">
        <v>0</v>
      </c>
      <c r="F25153">
        <v>112</v>
      </c>
    </row>
    <row r="25154" spans="1:6" ht="12.75">
      <c r="A25154" s="2">
        <v>43875.758993055555</v>
      </c>
      <c r="B25154" t="str">
        <f>HYPERLINK("https://twitter.com/Rizz_irsyad","@Rizz_irsyad")</f>
        <v>@Rizz_irsyad</v>
      </c>
      <c r="C25154" t="s">
        <v>9067</v>
      </c>
      <c r="D25154">
        <v>19</v>
      </c>
      <c r="E25154">
        <v>0</v>
      </c>
      <c r="F25154">
        <v>515</v>
      </c>
    </row>
    <row r="25155" spans="1:6" ht="12.75">
      <c r="A25155" s="2">
        <v>43875.758900462963</v>
      </c>
      <c r="B25155" t="str">
        <f>HYPERLINK("https://twitter.com/Hsnl_khatimaa","@Hsnl_khatimaa")</f>
        <v>@Hsnl_khatimaa</v>
      </c>
      <c r="C25155" t="s">
        <v>2444</v>
      </c>
      <c r="D25155">
        <v>2075</v>
      </c>
      <c r="E25155">
        <v>0</v>
      </c>
      <c r="F25155">
        <v>491</v>
      </c>
    </row>
    <row r="25156" spans="1:6" ht="12.75">
      <c r="A25156" s="2">
        <v>43875.758842592593</v>
      </c>
      <c r="B25156" t="str">
        <f>HYPERLINK("https://twitter.com/rudimulawarman_","@rudimulawarman_")</f>
        <v>@rudimulawarman_</v>
      </c>
      <c r="C25156" t="s">
        <v>6201</v>
      </c>
      <c r="D25156">
        <v>150</v>
      </c>
      <c r="E25156">
        <v>0</v>
      </c>
      <c r="F25156">
        <v>3716</v>
      </c>
    </row>
    <row r="25157" spans="1:6" ht="12.75">
      <c r="A25157" s="2">
        <v>43875.758784722224</v>
      </c>
      <c r="B25157" t="str">
        <f>HYPERLINK("https://twitter.com/martasandhi","@martasandhi")</f>
        <v>@martasandhi</v>
      </c>
      <c r="C25157" t="s">
        <v>9979</v>
      </c>
      <c r="D25157">
        <v>1</v>
      </c>
      <c r="E25157">
        <v>0</v>
      </c>
      <c r="F25157">
        <v>647</v>
      </c>
    </row>
    <row r="25158" spans="1:6" ht="12.75">
      <c r="A25158" s="2">
        <v>43875.758773148147</v>
      </c>
      <c r="B25158" t="str">
        <f>HYPERLINK("https://twitter.com/fitaminaramu","@fitaminaramu")</f>
        <v>@fitaminaramu</v>
      </c>
      <c r="C25158" t="s">
        <v>2444</v>
      </c>
      <c r="D25158">
        <v>2075</v>
      </c>
      <c r="E25158">
        <v>0</v>
      </c>
      <c r="F25158">
        <v>226</v>
      </c>
    </row>
    <row r="25159" spans="1:6" ht="12.75">
      <c r="A25159" s="2">
        <v>43875.758761574078</v>
      </c>
      <c r="B25159" t="str">
        <f>HYPERLINK("https://twitter.com/Lasupu_0472","@Lasupu_0472")</f>
        <v>@Lasupu_0472</v>
      </c>
      <c r="C25159" t="s">
        <v>5761</v>
      </c>
      <c r="D25159">
        <v>72</v>
      </c>
      <c r="E25159">
        <v>0</v>
      </c>
      <c r="F25159">
        <v>183</v>
      </c>
    </row>
    <row r="25160" spans="1:6" ht="12.75">
      <c r="A25160" s="2">
        <v>43875.758726851855</v>
      </c>
      <c r="B25160" t="str">
        <f>HYPERLINK("https://twitter.com/021_vldi","@021_vldi")</f>
        <v>@021_vldi</v>
      </c>
      <c r="C25160" t="s">
        <v>9964</v>
      </c>
      <c r="D25160">
        <v>618</v>
      </c>
      <c r="E25160">
        <v>0</v>
      </c>
      <c r="F25160">
        <v>21</v>
      </c>
    </row>
    <row r="25161" spans="1:6" ht="12.75">
      <c r="A25161" s="2">
        <v>43875.758680555555</v>
      </c>
      <c r="B25161" t="str">
        <f>HYPERLINK("https://twitter.com/ZMitreka","@ZMitreka")</f>
        <v>@ZMitreka</v>
      </c>
      <c r="C25161" t="s">
        <v>6201</v>
      </c>
      <c r="D25161">
        <v>150</v>
      </c>
      <c r="E25161">
        <v>0</v>
      </c>
      <c r="F25161">
        <v>20235</v>
      </c>
    </row>
    <row r="25162" spans="1:6" ht="12.75">
      <c r="A25162" s="2">
        <v>43875.758680555555</v>
      </c>
      <c r="B25162" t="str">
        <f>HYPERLINK("https://twitter.com/hariadhi84","@hariadhi84")</f>
        <v>@hariadhi84</v>
      </c>
      <c r="C25162" t="s">
        <v>11418</v>
      </c>
      <c r="D25162">
        <v>3</v>
      </c>
      <c r="E25162">
        <v>0</v>
      </c>
      <c r="F25162">
        <v>10848</v>
      </c>
    </row>
    <row r="25163" spans="1:6" ht="12.75">
      <c r="A25163" s="2">
        <v>43875.758599537032</v>
      </c>
      <c r="B25163" t="str">
        <f>HYPERLINK("https://twitter.com/AjeeGileee","@AjeeGileee")</f>
        <v>@AjeeGileee</v>
      </c>
      <c r="C25163" t="s">
        <v>9746</v>
      </c>
      <c r="D25163">
        <v>310</v>
      </c>
      <c r="E25163">
        <v>0</v>
      </c>
      <c r="F25163">
        <v>194</v>
      </c>
    </row>
    <row r="25164" spans="1:6" ht="12.75">
      <c r="A25164" s="2">
        <v>43875.758599537032</v>
      </c>
      <c r="B25164" t="str">
        <f>HYPERLINK("https://twitter.com/phadthaj","@phadthaj")</f>
        <v>@phadthaj</v>
      </c>
      <c r="C25164" t="s">
        <v>5168</v>
      </c>
      <c r="D25164">
        <v>896</v>
      </c>
      <c r="E25164">
        <v>0</v>
      </c>
      <c r="F25164">
        <v>18</v>
      </c>
    </row>
    <row r="25165" spans="1:6" ht="12.75">
      <c r="A25165" s="2">
        <v>43875.758506944447</v>
      </c>
      <c r="B25165" t="str">
        <f>HYPERLINK("https://twitter.com/MutantMan2829","@MutantMan2829")</f>
        <v>@MutantMan2829</v>
      </c>
      <c r="C25165" t="s">
        <v>11433</v>
      </c>
      <c r="D25165">
        <v>0</v>
      </c>
      <c r="E25165">
        <v>0</v>
      </c>
      <c r="F25165">
        <v>61</v>
      </c>
    </row>
    <row r="25166" spans="1:6" ht="12.75">
      <c r="A25166" s="2">
        <v>43875.758506944447</v>
      </c>
      <c r="B25166" t="str">
        <f>HYPERLINK("https://twitter.com/GigihKarindra","@GigihKarindra")</f>
        <v>@GigihKarindra</v>
      </c>
      <c r="C25166" t="s">
        <v>5168</v>
      </c>
      <c r="D25166">
        <v>896</v>
      </c>
      <c r="E25166">
        <v>0</v>
      </c>
      <c r="F25166">
        <v>202</v>
      </c>
    </row>
    <row r="25167" spans="1:6" ht="12.75">
      <c r="A25167" s="2">
        <v>43875.75849537037</v>
      </c>
      <c r="B25167" t="str">
        <f>HYPERLINK("https://twitter.com/jefri117","@jefri117")</f>
        <v>@jefri117</v>
      </c>
      <c r="C25167" t="s">
        <v>9947</v>
      </c>
      <c r="D25167">
        <v>339</v>
      </c>
      <c r="E25167">
        <v>0</v>
      </c>
      <c r="F25167">
        <v>24</v>
      </c>
    </row>
    <row r="25168" spans="1:6" ht="12.75">
      <c r="A25168" s="2">
        <v>43875.758472222224</v>
      </c>
      <c r="B25168" t="str">
        <f>HYPERLINK("https://twitter.com/artmelandromeda","@artmelandromeda")</f>
        <v>@artmelandromeda</v>
      </c>
      <c r="C25168" t="s">
        <v>11434</v>
      </c>
      <c r="D25168">
        <v>1</v>
      </c>
      <c r="E25168">
        <v>0</v>
      </c>
      <c r="F25168">
        <v>138</v>
      </c>
    </row>
    <row r="25169" spans="1:6" ht="12.75">
      <c r="A25169" s="2">
        <v>43875.758275462962</v>
      </c>
      <c r="B25169" t="str">
        <f>HYPERLINK("https://twitter.com/puutrianggraini","@puutrianggraini")</f>
        <v>@puutrianggraini</v>
      </c>
      <c r="C25169" t="s">
        <v>2444</v>
      </c>
      <c r="D25169">
        <v>2075</v>
      </c>
      <c r="E25169">
        <v>0</v>
      </c>
      <c r="F25169">
        <v>126</v>
      </c>
    </row>
    <row r="25170" spans="1:6" ht="12.75">
      <c r="A25170" s="2">
        <v>43875.758263888885</v>
      </c>
      <c r="B25170" t="str">
        <f>HYPERLINK("https://twitter.com/wartapoLitik","@wartapoLitik")</f>
        <v>@wartapoLitik</v>
      </c>
      <c r="C25170" t="s">
        <v>10052</v>
      </c>
      <c r="D25170">
        <v>56</v>
      </c>
      <c r="E25170">
        <v>0</v>
      </c>
      <c r="F25170">
        <v>73519</v>
      </c>
    </row>
    <row r="25171" spans="1:6" ht="12.75">
      <c r="A25171" s="2">
        <v>43875.758240740739</v>
      </c>
      <c r="B25171" t="str">
        <f>HYPERLINK("https://twitter.com/artmelandromeda","@artmelandromeda")</f>
        <v>@artmelandromeda</v>
      </c>
      <c r="C25171" t="s">
        <v>7812</v>
      </c>
      <c r="D25171">
        <v>1</v>
      </c>
      <c r="E25171">
        <v>0</v>
      </c>
      <c r="F25171">
        <v>138</v>
      </c>
    </row>
    <row r="25172" spans="1:6" ht="12.75">
      <c r="A25172" s="2">
        <v>43875.75818287037</v>
      </c>
      <c r="B25172" t="str">
        <f>HYPERLINK("https://twitter.com/SoniMsi07","@SoniMsi07")</f>
        <v>@SoniMsi07</v>
      </c>
      <c r="C25172" t="s">
        <v>10542</v>
      </c>
      <c r="D25172">
        <v>146</v>
      </c>
      <c r="E25172">
        <v>0</v>
      </c>
      <c r="F25172">
        <v>234</v>
      </c>
    </row>
    <row r="25173" spans="1:6" ht="12.75">
      <c r="A25173" s="2">
        <v>43875.75818287037</v>
      </c>
      <c r="B25173" t="str">
        <f>HYPERLINK("https://twitter.com/bumi_Luwuutara","@bumi_Luwuutara")</f>
        <v>@bumi_Luwuutara</v>
      </c>
      <c r="C25173" t="s">
        <v>11435</v>
      </c>
      <c r="D25173">
        <v>5</v>
      </c>
      <c r="E25173">
        <v>0</v>
      </c>
      <c r="F25173">
        <v>46</v>
      </c>
    </row>
    <row r="25174" spans="1:6" ht="12.75">
      <c r="A25174" s="2">
        <v>43875.758148148147</v>
      </c>
      <c r="B25174" t="str">
        <f>HYPERLINK("https://twitter.com/reynold_prima","@reynold_prima")</f>
        <v>@reynold_prima</v>
      </c>
      <c r="C25174" t="s">
        <v>11436</v>
      </c>
      <c r="D25174">
        <v>0</v>
      </c>
      <c r="E25174">
        <v>0</v>
      </c>
      <c r="F25174">
        <v>258</v>
      </c>
    </row>
    <row r="25175" spans="1:6" ht="12.75">
      <c r="A25175" s="2">
        <v>43875.758090277777</v>
      </c>
      <c r="B25175" t="str">
        <f>HYPERLINK("https://twitter.com/phadthaj","@phadthaj")</f>
        <v>@phadthaj</v>
      </c>
      <c r="C25175" t="s">
        <v>2444</v>
      </c>
      <c r="D25175">
        <v>2075</v>
      </c>
      <c r="E25175">
        <v>0</v>
      </c>
      <c r="F25175">
        <v>18</v>
      </c>
    </row>
    <row r="25176" spans="1:6" ht="12.75">
      <c r="A25176" s="2">
        <v>43875.758067129631</v>
      </c>
      <c r="B25176" t="str">
        <f>HYPERLINK("https://twitter.com/notcts","@notcts")</f>
        <v>@notcts</v>
      </c>
      <c r="C25176" t="s">
        <v>2444</v>
      </c>
      <c r="D25176">
        <v>2075</v>
      </c>
      <c r="E25176">
        <v>0</v>
      </c>
      <c r="F25176">
        <v>553</v>
      </c>
    </row>
    <row r="25177" spans="1:6" ht="12.75">
      <c r="A25177" s="2">
        <v>43875.758032407408</v>
      </c>
      <c r="B25177" t="str">
        <f>HYPERLINK("https://twitter.com/SoniMsi07","@SoniMsi07")</f>
        <v>@SoniMsi07</v>
      </c>
      <c r="C25177" t="s">
        <v>10431</v>
      </c>
      <c r="D25177">
        <v>7</v>
      </c>
      <c r="E25177">
        <v>0</v>
      </c>
      <c r="F25177">
        <v>234</v>
      </c>
    </row>
    <row r="25178" spans="1:6" ht="12.75">
      <c r="A25178" s="2">
        <v>43875.758009259254</v>
      </c>
      <c r="B25178" t="str">
        <f>HYPERLINK("https://twitter.com/BestariPB","@BestariPB")</f>
        <v>@BestariPB</v>
      </c>
      <c r="C25178" t="s">
        <v>2444</v>
      </c>
      <c r="D25178">
        <v>2075</v>
      </c>
      <c r="E25178">
        <v>0</v>
      </c>
      <c r="F25178">
        <v>591</v>
      </c>
    </row>
    <row r="25179" spans="1:6" ht="12.75">
      <c r="A25179" s="2">
        <v>43875.758009259254</v>
      </c>
      <c r="B25179" t="str">
        <f>HYPERLINK("https://twitter.com/chanviosa","@chanviosa")</f>
        <v>@chanviosa</v>
      </c>
      <c r="C25179" t="s">
        <v>10697</v>
      </c>
      <c r="D25179">
        <v>28</v>
      </c>
      <c r="E25179">
        <v>0</v>
      </c>
      <c r="F25179">
        <v>183</v>
      </c>
    </row>
    <row r="25180" spans="1:6" ht="12.75">
      <c r="A25180" s="2">
        <v>43875.757974537039</v>
      </c>
      <c r="B25180" t="str">
        <f>HYPERLINK("https://twitter.com/yooenthusiast","@yooenthusiast")</f>
        <v>@yooenthusiast</v>
      </c>
      <c r="C25180" t="s">
        <v>9557</v>
      </c>
      <c r="D25180">
        <v>4</v>
      </c>
      <c r="E25180">
        <v>0</v>
      </c>
      <c r="F25180">
        <v>321</v>
      </c>
    </row>
    <row r="25181" spans="1:6" ht="12.75">
      <c r="A25181" s="2">
        <v>43875.757962962962</v>
      </c>
      <c r="B25181" t="str">
        <f>HYPERLINK("https://twitter.com/dankimdantjm1","@dankimdantjm1")</f>
        <v>@dankimdantjm1</v>
      </c>
      <c r="C25181" t="s">
        <v>11437</v>
      </c>
      <c r="D25181">
        <v>0</v>
      </c>
      <c r="E25181">
        <v>0</v>
      </c>
      <c r="F25181">
        <v>116</v>
      </c>
    </row>
    <row r="25182" spans="1:6" ht="12.75">
      <c r="A25182" s="2">
        <v>43875.757905092592</v>
      </c>
      <c r="B25182" t="str">
        <f>HYPERLINK("https://twitter.com/rzkamrllh","@rzkamrllh")</f>
        <v>@rzkamrllh</v>
      </c>
      <c r="C25182" t="s">
        <v>2444</v>
      </c>
      <c r="D25182">
        <v>2075</v>
      </c>
      <c r="E25182">
        <v>0</v>
      </c>
      <c r="F25182">
        <v>1170</v>
      </c>
    </row>
    <row r="25183" spans="1:6" ht="12.75">
      <c r="A25183" s="2">
        <v>43875.757905092592</v>
      </c>
      <c r="B25183" t="str">
        <f>HYPERLINK("https://twitter.com/piji_p","@piji_p")</f>
        <v>@piji_p</v>
      </c>
      <c r="C25183" t="s">
        <v>11438</v>
      </c>
      <c r="D25183">
        <v>61</v>
      </c>
      <c r="E25183">
        <v>0</v>
      </c>
      <c r="F25183">
        <v>168</v>
      </c>
    </row>
    <row r="25184" spans="1:6" ht="12.75">
      <c r="A25184" s="2">
        <v>43875.757858796293</v>
      </c>
      <c r="B25184" t="str">
        <f>HYPERLINK("https://twitter.com/makmunrahmi","@makmunrahmi")</f>
        <v>@makmunrahmi</v>
      </c>
      <c r="C25184" t="s">
        <v>2963</v>
      </c>
      <c r="D25184">
        <v>1039</v>
      </c>
      <c r="E25184">
        <v>0</v>
      </c>
      <c r="F25184">
        <v>89</v>
      </c>
    </row>
    <row r="25185" spans="1:6" ht="12.75">
      <c r="A25185" s="2">
        <v>43875.757719907408</v>
      </c>
      <c r="B25185" t="str">
        <f>HYPERLINK("https://twitter.com/luciaayuningsih","@luciaayuningsih")</f>
        <v>@luciaayuningsih</v>
      </c>
      <c r="C25185" t="s">
        <v>2444</v>
      </c>
      <c r="D25185">
        <v>2075</v>
      </c>
      <c r="E25185">
        <v>0</v>
      </c>
      <c r="F25185">
        <v>16</v>
      </c>
    </row>
    <row r="25186" spans="1:6" ht="12.75">
      <c r="A25186" s="2">
        <v>43875.757569444446</v>
      </c>
      <c r="B25186" t="str">
        <f>HYPERLINK("https://twitter.com/winchiet03","@winchiet03")</f>
        <v>@winchiet03</v>
      </c>
      <c r="C25186" t="s">
        <v>11439</v>
      </c>
      <c r="D25186">
        <v>0</v>
      </c>
      <c r="E25186">
        <v>0</v>
      </c>
      <c r="F25186">
        <v>82</v>
      </c>
    </row>
    <row r="25187" spans="1:6" ht="12.75">
      <c r="A25187" s="2">
        <v>43875.757557870369</v>
      </c>
      <c r="B25187" t="str">
        <f>HYPERLINK("https://twitter.com/Aryo82819046","@Aryo82819046")</f>
        <v>@Aryo82819046</v>
      </c>
      <c r="C25187" t="s">
        <v>6201</v>
      </c>
      <c r="D25187">
        <v>150</v>
      </c>
      <c r="E25187">
        <v>0</v>
      </c>
      <c r="F25187">
        <v>1152</v>
      </c>
    </row>
    <row r="25188" spans="1:6" ht="12.75">
      <c r="A25188" s="2">
        <v>43875.7574537037</v>
      </c>
      <c r="B25188" t="str">
        <f>HYPERLINK("https://twitter.com/sunbaekhyun_","@sunbaekhyun_")</f>
        <v>@sunbaekhyun_</v>
      </c>
      <c r="C25188" t="s">
        <v>2444</v>
      </c>
      <c r="D25188">
        <v>2075</v>
      </c>
      <c r="E25188">
        <v>0</v>
      </c>
      <c r="F25188">
        <v>1975</v>
      </c>
    </row>
    <row r="25189" spans="1:6" ht="12.75">
      <c r="A25189" s="2">
        <v>43875.75744212963</v>
      </c>
      <c r="B25189" t="str">
        <f>HYPERLINK("https://twitter.com/fenrysva","@fenrysva")</f>
        <v>@fenrysva</v>
      </c>
      <c r="C25189" t="s">
        <v>5168</v>
      </c>
      <c r="D25189">
        <v>896</v>
      </c>
      <c r="E25189">
        <v>0</v>
      </c>
      <c r="F25189">
        <v>811</v>
      </c>
    </row>
    <row r="25190" spans="1:6" ht="12.75">
      <c r="A25190" s="2">
        <v>43875.757395833338</v>
      </c>
      <c r="B25190" t="str">
        <f>HYPERLINK("https://twitter.com/Engkong_Adul","@Engkong_Adul")</f>
        <v>@Engkong_Adul</v>
      </c>
      <c r="C25190" t="s">
        <v>6201</v>
      </c>
      <c r="D25190">
        <v>150</v>
      </c>
      <c r="E25190">
        <v>0</v>
      </c>
      <c r="F25190">
        <v>228</v>
      </c>
    </row>
    <row r="25191" spans="1:6" ht="12.75">
      <c r="A25191" s="2">
        <v>43875.757349537038</v>
      </c>
      <c r="B25191" t="str">
        <f>HYPERLINK("https://twitter.com/Roroarumi3","@Roroarumi3")</f>
        <v>@Roroarumi3</v>
      </c>
      <c r="C25191" t="s">
        <v>11440</v>
      </c>
      <c r="D25191">
        <v>0</v>
      </c>
      <c r="E25191">
        <v>0</v>
      </c>
      <c r="F25191">
        <v>131</v>
      </c>
    </row>
    <row r="25192" spans="1:6" ht="12.75">
      <c r="A25192" s="2">
        <v>43875.757337962961</v>
      </c>
      <c r="B25192" t="str">
        <f>HYPERLINK("https://twitter.com/Santri_PKB","@Santri_PKB")</f>
        <v>@Santri_PKB</v>
      </c>
      <c r="C25192" t="s">
        <v>11441</v>
      </c>
      <c r="D25192">
        <v>0</v>
      </c>
      <c r="E25192">
        <v>0</v>
      </c>
      <c r="F25192">
        <v>374</v>
      </c>
    </row>
    <row r="25193" spans="1:6" ht="12.75">
      <c r="A25193" s="2">
        <v>43875.757268518515</v>
      </c>
      <c r="B25193" t="str">
        <f>HYPERLINK("https://twitter.com/jinyeokhae","@jinyeokhae")</f>
        <v>@jinyeokhae</v>
      </c>
      <c r="C25193" t="s">
        <v>2444</v>
      </c>
      <c r="D25193">
        <v>2075</v>
      </c>
      <c r="E25193">
        <v>0</v>
      </c>
      <c r="F25193">
        <v>1431</v>
      </c>
    </row>
    <row r="25194" spans="1:6" ht="12.75">
      <c r="A25194" s="2">
        <v>43875.757152777776</v>
      </c>
      <c r="B25194" t="str">
        <f>HYPERLINK("https://twitter.com/reynold_prima","@reynold_prima")</f>
        <v>@reynold_prima</v>
      </c>
      <c r="C25194" t="s">
        <v>11442</v>
      </c>
      <c r="D25194">
        <v>0</v>
      </c>
      <c r="E25194">
        <v>0</v>
      </c>
      <c r="F25194">
        <v>258</v>
      </c>
    </row>
    <row r="25195" spans="1:6" ht="12.75">
      <c r="A25195" s="2">
        <v>43875.757060185184</v>
      </c>
      <c r="B25195" t="str">
        <f>HYPERLINK("https://twitter.com/SonHaji57795944","@SonHaji57795944")</f>
        <v>@SonHaji57795944</v>
      </c>
      <c r="C25195" t="s">
        <v>2963</v>
      </c>
      <c r="D25195">
        <v>1039</v>
      </c>
      <c r="E25195">
        <v>0</v>
      </c>
      <c r="F25195">
        <v>80</v>
      </c>
    </row>
    <row r="25196" spans="1:6" ht="12.75">
      <c r="A25196" s="2">
        <v>43875.756944444445</v>
      </c>
      <c r="B25196" t="str">
        <f>HYPERLINK("https://twitter.com/dyahwindiya","@dyahwindiya")</f>
        <v>@dyahwindiya</v>
      </c>
      <c r="C25196" t="s">
        <v>2963</v>
      </c>
      <c r="D25196">
        <v>1039</v>
      </c>
      <c r="E25196">
        <v>0</v>
      </c>
      <c r="F25196">
        <v>325</v>
      </c>
    </row>
    <row r="25197" spans="1:6" ht="12.75">
      <c r="A25197" s="2">
        <v>43875.756944444445</v>
      </c>
      <c r="B25197" t="str">
        <f>HYPERLINK("https://twitter.com/Terlaknattt","@Terlaknattt")</f>
        <v>@Terlaknattt</v>
      </c>
      <c r="C25197" t="s">
        <v>11443</v>
      </c>
      <c r="D25197">
        <v>0</v>
      </c>
      <c r="E25197">
        <v>0</v>
      </c>
      <c r="F25197">
        <v>281</v>
      </c>
    </row>
    <row r="25198" spans="1:6" ht="12.75">
      <c r="A25198" s="2">
        <v>43875.756793981476</v>
      </c>
      <c r="B25198" t="str">
        <f>HYPERLINK("https://twitter.com/sigtgdrguahantu","@sigtgdrguahantu")</f>
        <v>@sigtgdrguahantu</v>
      </c>
      <c r="C25198" t="s">
        <v>9964</v>
      </c>
      <c r="D25198">
        <v>618</v>
      </c>
      <c r="E25198">
        <v>0</v>
      </c>
      <c r="F25198">
        <v>682</v>
      </c>
    </row>
    <row r="25199" spans="1:6" ht="12.75">
      <c r="A25199" s="2">
        <v>43875.756747685184</v>
      </c>
      <c r="B25199" t="str">
        <f>HYPERLINK("https://twitter.com/sumintakstmudo","@sumintakstmudo")</f>
        <v>@sumintakstmudo</v>
      </c>
      <c r="C25199" t="s">
        <v>175</v>
      </c>
      <c r="D25199">
        <v>5295</v>
      </c>
      <c r="E25199">
        <v>0</v>
      </c>
      <c r="F25199">
        <v>715</v>
      </c>
    </row>
    <row r="25200" spans="1:6" ht="12.75">
      <c r="A25200" s="2">
        <v>43875.756736111114</v>
      </c>
      <c r="B25200" t="str">
        <f>HYPERLINK("https://twitter.com/echaasmawi","@echaasmawi")</f>
        <v>@echaasmawi</v>
      </c>
      <c r="C25200" t="s">
        <v>9746</v>
      </c>
      <c r="D25200">
        <v>310</v>
      </c>
      <c r="E25200">
        <v>0</v>
      </c>
      <c r="F25200">
        <v>1336</v>
      </c>
    </row>
    <row r="25201" spans="1:6" ht="12.75">
      <c r="A25201" s="2">
        <v>43875.756597222222</v>
      </c>
      <c r="B25201" t="str">
        <f>HYPERLINK("https://twitter.com/Kustedi4","@Kustedi4")</f>
        <v>@Kustedi4</v>
      </c>
      <c r="C25201" t="s">
        <v>2963</v>
      </c>
      <c r="D25201">
        <v>1039</v>
      </c>
      <c r="E25201">
        <v>0</v>
      </c>
      <c r="F25201">
        <v>30</v>
      </c>
    </row>
    <row r="25202" spans="1:6" ht="12.75">
      <c r="A25202" s="2">
        <v>43875.756539351853</v>
      </c>
      <c r="B25202" t="str">
        <f>HYPERLINK("https://twitter.com/fftasya","@fftasya")</f>
        <v>@fftasya</v>
      </c>
      <c r="C25202" t="s">
        <v>2444</v>
      </c>
      <c r="D25202">
        <v>2075</v>
      </c>
      <c r="E25202">
        <v>0</v>
      </c>
      <c r="F25202">
        <v>736</v>
      </c>
    </row>
    <row r="25203" spans="1:6" ht="12.75">
      <c r="A25203" s="2">
        <v>43875.756516203706</v>
      </c>
      <c r="B25203" t="str">
        <f>HYPERLINK("https://twitter.com/kiasleo","@kiasleo")</f>
        <v>@kiasleo</v>
      </c>
      <c r="C25203" t="s">
        <v>2963</v>
      </c>
      <c r="D25203">
        <v>1039</v>
      </c>
      <c r="E25203">
        <v>0</v>
      </c>
      <c r="F25203">
        <v>624</v>
      </c>
    </row>
    <row r="25204" spans="1:6" ht="12.75">
      <c r="A25204" s="2">
        <v>43875.756261574075</v>
      </c>
      <c r="B25204" t="str">
        <f>HYPERLINK("https://twitter.com/filadmojo","@filadmojo")</f>
        <v>@filadmojo</v>
      </c>
      <c r="C25204" t="s">
        <v>2444</v>
      </c>
      <c r="D25204">
        <v>2075</v>
      </c>
      <c r="E25204">
        <v>0</v>
      </c>
      <c r="F25204">
        <v>699</v>
      </c>
    </row>
    <row r="25205" spans="1:6" ht="12.75">
      <c r="A25205" s="2">
        <v>43875.756249999999</v>
      </c>
      <c r="B25205" t="str">
        <f>HYPERLINK("https://twitter.com/newsmerahputih","@newsmerahputih")</f>
        <v>@newsmerahputih</v>
      </c>
      <c r="C25205" t="s">
        <v>11444</v>
      </c>
      <c r="D25205">
        <v>0</v>
      </c>
      <c r="E25205">
        <v>0</v>
      </c>
      <c r="F25205">
        <v>8748</v>
      </c>
    </row>
    <row r="25206" spans="1:6" ht="12.75">
      <c r="A25206" s="2">
        <v>43875.756145833337</v>
      </c>
      <c r="B25206" t="str">
        <f>HYPERLINK("https://twitter.com/pinkeublanket","@pinkeublanket")</f>
        <v>@pinkeublanket</v>
      </c>
      <c r="C25206" t="s">
        <v>2444</v>
      </c>
      <c r="D25206">
        <v>2075</v>
      </c>
      <c r="E25206">
        <v>0</v>
      </c>
      <c r="F25206">
        <v>314</v>
      </c>
    </row>
    <row r="25207" spans="1:6" ht="12.75">
      <c r="A25207" s="2">
        <v>43875.756030092598</v>
      </c>
      <c r="B25207" t="str">
        <f>HYPERLINK("https://twitter.com/dabenone2","@dabenone2")</f>
        <v>@dabenone2</v>
      </c>
      <c r="C25207" t="s">
        <v>10096</v>
      </c>
      <c r="D25207">
        <v>156</v>
      </c>
      <c r="E25207">
        <v>0</v>
      </c>
      <c r="F25207">
        <v>44</v>
      </c>
    </row>
    <row r="25208" spans="1:6" ht="12.75">
      <c r="A25208" s="2">
        <v>43875.75581018519</v>
      </c>
      <c r="B25208" t="str">
        <f>HYPERLINK("https://twitter.com/loffyuu","@loffyuu")</f>
        <v>@loffyuu</v>
      </c>
      <c r="C25208" t="s">
        <v>9123</v>
      </c>
      <c r="D25208">
        <v>255</v>
      </c>
      <c r="E25208">
        <v>0</v>
      </c>
      <c r="F25208">
        <v>189</v>
      </c>
    </row>
    <row r="25209" spans="1:6" ht="12.75">
      <c r="A25209" s="2">
        <v>43875.755729166667</v>
      </c>
      <c r="B25209" t="str">
        <f>HYPERLINK("https://twitter.com/kaorinusantara","@kaorinusantara")</f>
        <v>@kaorinusantara</v>
      </c>
      <c r="C25209" t="s">
        <v>11445</v>
      </c>
      <c r="D25209">
        <v>1</v>
      </c>
      <c r="E25209">
        <v>3</v>
      </c>
      <c r="F25209">
        <v>7690</v>
      </c>
    </row>
    <row r="25210" spans="1:6" ht="12.75">
      <c r="A25210" s="2">
        <v>43875.755671296298</v>
      </c>
      <c r="B25210" t="str">
        <f>HYPERLINK("https://twitter.com/ABudima68828545","@ABudima68828545")</f>
        <v>@ABudima68828545</v>
      </c>
      <c r="C25210" t="s">
        <v>6201</v>
      </c>
      <c r="D25210">
        <v>150</v>
      </c>
      <c r="E25210">
        <v>0</v>
      </c>
      <c r="F25210">
        <v>265</v>
      </c>
    </row>
    <row r="25211" spans="1:6" ht="12.75">
      <c r="A25211" s="2">
        <v>43875.755659722221</v>
      </c>
      <c r="B25211" t="str">
        <f>HYPERLINK("https://twitter.com/YustikaShofi","@YustikaShofi")</f>
        <v>@YustikaShofi</v>
      </c>
      <c r="C25211" t="s">
        <v>2444</v>
      </c>
      <c r="D25211">
        <v>2075</v>
      </c>
      <c r="E25211">
        <v>0</v>
      </c>
      <c r="F25211">
        <v>385</v>
      </c>
    </row>
    <row r="25212" spans="1:6" ht="12.75">
      <c r="A25212" s="2">
        <v>43875.755636574075</v>
      </c>
      <c r="B25212" t="str">
        <f>HYPERLINK("https://twitter.com/ErollG","@ErollG")</f>
        <v>@ErollG</v>
      </c>
      <c r="C25212" t="s">
        <v>11446</v>
      </c>
      <c r="D25212">
        <v>0</v>
      </c>
      <c r="E25212">
        <v>0</v>
      </c>
      <c r="F25212">
        <v>214</v>
      </c>
    </row>
    <row r="25213" spans="1:6" ht="12.75">
      <c r="A25213" s="2">
        <v>43875.755590277782</v>
      </c>
      <c r="B25213" t="str">
        <f>HYPERLINK("https://twitter.com/SoniMsi07","@SoniMsi07")</f>
        <v>@SoniMsi07</v>
      </c>
      <c r="C25213" t="s">
        <v>10422</v>
      </c>
      <c r="D25213">
        <v>102</v>
      </c>
      <c r="E25213">
        <v>0</v>
      </c>
      <c r="F25213">
        <v>234</v>
      </c>
    </row>
    <row r="25214" spans="1:6" ht="12.75">
      <c r="A25214" s="2">
        <v>43875.755578703705</v>
      </c>
      <c r="B25214" t="str">
        <f>HYPERLINK("https://twitter.com/cxzdefgbii","@cxzdefgbii")</f>
        <v>@cxzdefgbii</v>
      </c>
      <c r="C25214" t="s">
        <v>2444</v>
      </c>
      <c r="D25214">
        <v>2075</v>
      </c>
      <c r="E25214">
        <v>0</v>
      </c>
      <c r="F25214">
        <v>1044</v>
      </c>
    </row>
    <row r="25215" spans="1:6" ht="12.75">
      <c r="A25215" s="2">
        <v>43875.755543981482</v>
      </c>
      <c r="B25215" t="str">
        <f>HYPERLINK("https://twitter.com/ensyclo47","@ensyclo47")</f>
        <v>@ensyclo47</v>
      </c>
      <c r="C25215" t="s">
        <v>11447</v>
      </c>
      <c r="D25215">
        <v>0</v>
      </c>
      <c r="E25215">
        <v>1</v>
      </c>
      <c r="F25215">
        <v>1770</v>
      </c>
    </row>
    <row r="25216" spans="1:6" ht="12.75">
      <c r="A25216" s="2">
        <v>43875.755520833336</v>
      </c>
      <c r="B25216" t="str">
        <f>HYPERLINK("https://twitter.com/AngelaKorras","@AngelaKorras")</f>
        <v>@AngelaKorras</v>
      </c>
      <c r="C25216" t="s">
        <v>9082</v>
      </c>
      <c r="D25216">
        <v>46</v>
      </c>
      <c r="E25216">
        <v>0</v>
      </c>
      <c r="F25216">
        <v>3530</v>
      </c>
    </row>
    <row r="25217" spans="1:6" ht="12.75">
      <c r="A25217" s="2">
        <v>43875.755509259259</v>
      </c>
      <c r="B25217" t="str">
        <f>HYPERLINK("https://twitter.com/Mpok_Hanum","@Mpok_Hanum")</f>
        <v>@Mpok_Hanum</v>
      </c>
      <c r="C25217" t="s">
        <v>10526</v>
      </c>
      <c r="D25217">
        <v>138</v>
      </c>
      <c r="E25217">
        <v>0</v>
      </c>
      <c r="F25217">
        <v>539</v>
      </c>
    </row>
    <row r="25218" spans="1:6" ht="12.75">
      <c r="A25218" s="2">
        <v>43875.75545138889</v>
      </c>
      <c r="B25218" t="str">
        <f>HYPERLINK("https://twitter.com/ggloriancs","@ggloriancs")</f>
        <v>@ggloriancs</v>
      </c>
      <c r="C25218" t="s">
        <v>5168</v>
      </c>
      <c r="D25218">
        <v>896</v>
      </c>
      <c r="E25218">
        <v>0</v>
      </c>
      <c r="F25218">
        <v>33</v>
      </c>
    </row>
    <row r="25219" spans="1:6" ht="12.75">
      <c r="A25219" s="2">
        <v>43875.755393518513</v>
      </c>
      <c r="B25219" t="str">
        <f>HYPERLINK("https://twitter.com/nanniemontz","@nanniemontz")</f>
        <v>@nanniemontz</v>
      </c>
      <c r="C25219" t="s">
        <v>11448</v>
      </c>
      <c r="D25219">
        <v>0</v>
      </c>
      <c r="E25219">
        <v>0</v>
      </c>
      <c r="F25219">
        <v>400</v>
      </c>
    </row>
    <row r="25220" spans="1:6" ht="12.75">
      <c r="A25220" s="2">
        <v>43875.755381944444</v>
      </c>
      <c r="B25220" t="str">
        <f>HYPERLINK("https://twitter.com/mutiaraenha","@mutiaraenha")</f>
        <v>@mutiaraenha</v>
      </c>
      <c r="C25220" t="s">
        <v>11449</v>
      </c>
      <c r="D25220">
        <v>22</v>
      </c>
      <c r="E25220">
        <v>0</v>
      </c>
      <c r="F25220">
        <v>407</v>
      </c>
    </row>
    <row r="25221" spans="1:6" ht="12.75">
      <c r="A25221" s="2">
        <v>43875.755312499998</v>
      </c>
      <c r="B25221" t="str">
        <f>HYPERLINK("https://twitter.com/AndromedaMcfc","@AndromedaMcfc")</f>
        <v>@AndromedaMcfc</v>
      </c>
      <c r="C25221" t="s">
        <v>11450</v>
      </c>
      <c r="D25221">
        <v>0</v>
      </c>
      <c r="E25221">
        <v>0</v>
      </c>
      <c r="F25221">
        <v>3918</v>
      </c>
    </row>
    <row r="25222" spans="1:6" ht="12.75">
      <c r="A25222" s="2">
        <v>43875.755312499998</v>
      </c>
      <c r="B25222" t="str">
        <f>HYPERLINK("https://twitter.com/Aypratiwi_","@Aypratiwi_")</f>
        <v>@Aypratiwi_</v>
      </c>
      <c r="C25222" t="s">
        <v>2444</v>
      </c>
      <c r="D25222">
        <v>2075</v>
      </c>
      <c r="E25222">
        <v>0</v>
      </c>
      <c r="F25222">
        <v>209</v>
      </c>
    </row>
    <row r="25223" spans="1:6" ht="12.75">
      <c r="A25223" s="2">
        <v>43875.755254629628</v>
      </c>
      <c r="B25223" t="str">
        <f>HYPERLINK("https://twitter.com/klmholic","@klmholic")</f>
        <v>@klmholic</v>
      </c>
      <c r="C25223" t="s">
        <v>2444</v>
      </c>
      <c r="D25223">
        <v>2075</v>
      </c>
      <c r="E25223">
        <v>0</v>
      </c>
      <c r="F25223">
        <v>1505</v>
      </c>
    </row>
    <row r="25224" spans="1:6" ht="12.75">
      <c r="A25224" s="2">
        <v>43875.755127314813</v>
      </c>
      <c r="B25224" t="str">
        <f>HYPERLINK("https://twitter.com/dislakh","@dislakh")</f>
        <v>@dislakh</v>
      </c>
      <c r="C25224" t="s">
        <v>10593</v>
      </c>
      <c r="D25224">
        <v>45</v>
      </c>
      <c r="E25224">
        <v>0</v>
      </c>
      <c r="F25224">
        <v>672</v>
      </c>
    </row>
    <row r="25225" spans="1:6" ht="12.75">
      <c r="A25225" s="2">
        <v>43875.754907407405</v>
      </c>
      <c r="B25225" t="str">
        <f>HYPERLINK("https://twitter.com/jo_wiyono","@jo_wiyono")</f>
        <v>@jo_wiyono</v>
      </c>
      <c r="C25225" t="s">
        <v>11451</v>
      </c>
      <c r="D25225">
        <v>86</v>
      </c>
      <c r="E25225">
        <v>0</v>
      </c>
      <c r="F25225">
        <v>12</v>
      </c>
    </row>
    <row r="25226" spans="1:6" ht="12.75">
      <c r="A25226" s="2">
        <v>43875.754861111112</v>
      </c>
      <c r="B25226" t="str">
        <f>HYPERLINK("https://twitter.com/Sptdifrdy","@Sptdifrdy")</f>
        <v>@Sptdifrdy</v>
      </c>
      <c r="C25226" t="s">
        <v>11452</v>
      </c>
      <c r="D25226">
        <v>0</v>
      </c>
      <c r="E25226">
        <v>0</v>
      </c>
      <c r="F25226">
        <v>23</v>
      </c>
    </row>
    <row r="25227" spans="1:6" ht="12.75">
      <c r="A25227" s="2">
        <v>43875.754849537036</v>
      </c>
      <c r="B25227" t="str">
        <f>HYPERLINK("https://twitter.com/tribunnews","@tribunnews")</f>
        <v>@tribunnews</v>
      </c>
      <c r="C25227" t="s">
        <v>11453</v>
      </c>
      <c r="D25227">
        <v>0</v>
      </c>
      <c r="E25227">
        <v>1</v>
      </c>
      <c r="F25227">
        <v>873384</v>
      </c>
    </row>
    <row r="25228" spans="1:6" ht="12.75">
      <c r="A25228" s="2">
        <v>43875.754791666666</v>
      </c>
      <c r="B25228" t="str">
        <f>HYPERLINK("https://twitter.com/girammy10","@girammy10")</f>
        <v>@girammy10</v>
      </c>
      <c r="C25228" t="s">
        <v>2444</v>
      </c>
      <c r="D25228">
        <v>2075</v>
      </c>
      <c r="E25228">
        <v>0</v>
      </c>
      <c r="F25228">
        <v>48</v>
      </c>
    </row>
    <row r="25229" spans="1:6" ht="12.75">
      <c r="A25229" s="2">
        <v>43875.754756944443</v>
      </c>
      <c r="B25229" t="str">
        <f>HYPERLINK("https://twitter.com/gilanguage","@gilanguage")</f>
        <v>@gilanguage</v>
      </c>
      <c r="C25229" t="s">
        <v>2444</v>
      </c>
      <c r="D25229">
        <v>2075</v>
      </c>
      <c r="E25229">
        <v>0</v>
      </c>
      <c r="F25229">
        <v>17</v>
      </c>
    </row>
    <row r="25230" spans="1:6" ht="12.75">
      <c r="A25230" s="2">
        <v>43875.754641203705</v>
      </c>
      <c r="B25230" t="str">
        <f>HYPERLINK("https://twitter.com/barata871","@barata871")</f>
        <v>@barata871</v>
      </c>
      <c r="C25230" t="s">
        <v>2963</v>
      </c>
      <c r="D25230">
        <v>1039</v>
      </c>
      <c r="E25230">
        <v>0</v>
      </c>
      <c r="F25230">
        <v>7</v>
      </c>
    </row>
    <row r="25231" spans="1:6" ht="12.75">
      <c r="A25231" s="2">
        <v>43875.754618055551</v>
      </c>
      <c r="B25231" t="str">
        <f>HYPERLINK("https://twitter.com/bpriady","@bpriady")</f>
        <v>@bpriady</v>
      </c>
      <c r="C25231" t="s">
        <v>11454</v>
      </c>
      <c r="D25231">
        <v>1</v>
      </c>
      <c r="E25231">
        <v>0</v>
      </c>
      <c r="F25231">
        <v>591</v>
      </c>
    </row>
    <row r="25232" spans="1:6" ht="12.75">
      <c r="A25232" s="2">
        <v>43875.754594907412</v>
      </c>
      <c r="B25232" t="str">
        <f>HYPERLINK("https://twitter.com/SuratmanUd","@SuratmanUd")</f>
        <v>@SuratmanUd</v>
      </c>
      <c r="C25232" t="s">
        <v>2097</v>
      </c>
      <c r="D25232">
        <v>391</v>
      </c>
      <c r="E25232">
        <v>0</v>
      </c>
      <c r="F25232">
        <v>86</v>
      </c>
    </row>
    <row r="25233" spans="1:6" ht="12.75">
      <c r="A25233" s="2">
        <v>43875.754571759258</v>
      </c>
      <c r="B25233" t="str">
        <f>HYPERLINK("https://twitter.com/C45One","@C45One")</f>
        <v>@C45One</v>
      </c>
      <c r="C25233" t="s">
        <v>11455</v>
      </c>
      <c r="D25233">
        <v>1</v>
      </c>
      <c r="E25233">
        <v>0</v>
      </c>
      <c r="F25233">
        <v>1746</v>
      </c>
    </row>
    <row r="25234" spans="1:6" ht="12.75">
      <c r="A25234" s="2">
        <v>43875.754444444443</v>
      </c>
      <c r="B25234" t="str">
        <f>HYPERLINK("https://twitter.com/yogapraditow","@yogapraditow")</f>
        <v>@yogapraditow</v>
      </c>
      <c r="C25234" t="s">
        <v>11456</v>
      </c>
      <c r="D25234">
        <v>1</v>
      </c>
      <c r="E25234">
        <v>0</v>
      </c>
      <c r="F25234">
        <v>404</v>
      </c>
    </row>
    <row r="25235" spans="1:6" ht="12.75">
      <c r="A25235" s="2">
        <v>43875.754398148143</v>
      </c>
      <c r="B25235" t="str">
        <f>HYPERLINK("https://twitter.com/cleptopluto","@cleptopluto")</f>
        <v>@cleptopluto</v>
      </c>
      <c r="C25235" t="s">
        <v>11457</v>
      </c>
      <c r="D25235">
        <v>0</v>
      </c>
      <c r="E25235">
        <v>0</v>
      </c>
      <c r="F25235">
        <v>0</v>
      </c>
    </row>
    <row r="25236" spans="1:6" ht="12.75">
      <c r="A25236" s="2">
        <v>43875.754328703704</v>
      </c>
      <c r="B25236" t="str">
        <f>HYPERLINK("https://twitter.com/RedsVendetta","@RedsVendetta")</f>
        <v>@RedsVendetta</v>
      </c>
      <c r="C25236" t="s">
        <v>5168</v>
      </c>
      <c r="D25236">
        <v>896</v>
      </c>
      <c r="E25236">
        <v>0</v>
      </c>
      <c r="F25236">
        <v>567</v>
      </c>
    </row>
    <row r="25237" spans="1:6" ht="12.75">
      <c r="A25237" s="2">
        <v>43875.753877314812</v>
      </c>
      <c r="B25237" t="str">
        <f>HYPERLINK("https://twitter.com/kairocity22","@kairocity22")</f>
        <v>@kairocity22</v>
      </c>
      <c r="C25237" t="s">
        <v>11458</v>
      </c>
      <c r="D25237">
        <v>0</v>
      </c>
      <c r="E25237">
        <v>0</v>
      </c>
      <c r="F25237">
        <v>71</v>
      </c>
    </row>
    <row r="25238" spans="1:6" ht="12.75">
      <c r="A25238" s="2">
        <v>43875.75381944445</v>
      </c>
      <c r="B25238" t="str">
        <f>HYPERLINK("https://twitter.com/bpriady","@bpriady")</f>
        <v>@bpriady</v>
      </c>
      <c r="C25238" t="s">
        <v>2444</v>
      </c>
      <c r="D25238">
        <v>2075</v>
      </c>
      <c r="E25238">
        <v>0</v>
      </c>
      <c r="F25238">
        <v>591</v>
      </c>
    </row>
    <row r="25239" spans="1:6" ht="12.75">
      <c r="A25239" s="2">
        <v>43875.753750000003</v>
      </c>
      <c r="B25239" t="str">
        <f>HYPERLINK("https://twitter.com/visiau","@visiau")</f>
        <v>@visiau</v>
      </c>
      <c r="C25239" t="s">
        <v>6201</v>
      </c>
      <c r="D25239">
        <v>150</v>
      </c>
      <c r="E25239">
        <v>0</v>
      </c>
      <c r="F25239">
        <v>1760</v>
      </c>
    </row>
    <row r="25240" spans="1:6" ht="12.75">
      <c r="A25240" s="2">
        <v>43875.753738425927</v>
      </c>
      <c r="B25240" t="str">
        <f>HYPERLINK("https://twitter.com/akucintaususku","@akucintaususku")</f>
        <v>@akucintaususku</v>
      </c>
      <c r="C25240" t="s">
        <v>9964</v>
      </c>
      <c r="D25240">
        <v>618</v>
      </c>
      <c r="E25240">
        <v>0</v>
      </c>
      <c r="F25240">
        <v>680</v>
      </c>
    </row>
    <row r="25241" spans="1:6" ht="12.75">
      <c r="A25241" s="2">
        <v>43875.75372685185</v>
      </c>
      <c r="B25241" t="str">
        <f>HYPERLINK("https://twitter.com/Officials_BS","@Officials_BS")</f>
        <v>@Officials_BS</v>
      </c>
      <c r="C25241" t="s">
        <v>11459</v>
      </c>
      <c r="D25241">
        <v>1</v>
      </c>
      <c r="E25241">
        <v>2</v>
      </c>
      <c r="F25241">
        <v>154</v>
      </c>
    </row>
    <row r="25242" spans="1:6" ht="12.75">
      <c r="A25242" s="2">
        <v>43875.75371527778</v>
      </c>
      <c r="B25242" t="str">
        <f>HYPERLINK("https://twitter.com/shxxbi1303","@shxxbi1303")</f>
        <v>@shxxbi1303</v>
      </c>
      <c r="C25242" t="s">
        <v>2444</v>
      </c>
      <c r="D25242">
        <v>2075</v>
      </c>
      <c r="E25242">
        <v>0</v>
      </c>
      <c r="F25242">
        <v>249</v>
      </c>
    </row>
    <row r="25243" spans="1:6" ht="12.75">
      <c r="A25243" s="2">
        <v>43875.753576388888</v>
      </c>
      <c r="B25243" t="str">
        <f>HYPERLINK("https://twitter.com/rizki_50","@rizki_50")</f>
        <v>@rizki_50</v>
      </c>
      <c r="C25243" t="s">
        <v>9746</v>
      </c>
      <c r="D25243">
        <v>310</v>
      </c>
      <c r="E25243">
        <v>0</v>
      </c>
      <c r="F25243">
        <v>2051</v>
      </c>
    </row>
    <row r="25244" spans="1:6" ht="12.75">
      <c r="A25244" s="2">
        <v>43875.753391203703</v>
      </c>
      <c r="B25244" t="str">
        <f>HYPERLINK("https://twitter.com/SaddamHusein123","@SaddamHusein123")</f>
        <v>@SaddamHusein123</v>
      </c>
      <c r="C25244" t="s">
        <v>2963</v>
      </c>
      <c r="D25244">
        <v>1039</v>
      </c>
      <c r="E25244">
        <v>0</v>
      </c>
      <c r="F25244">
        <v>80</v>
      </c>
    </row>
    <row r="25245" spans="1:6" ht="12.75">
      <c r="A25245" s="2">
        <v>43875.753379629634</v>
      </c>
      <c r="B25245" t="str">
        <f>HYPERLINK("https://twitter.com/agoessp","@agoessp")</f>
        <v>@agoessp</v>
      </c>
      <c r="C25245" t="s">
        <v>10083</v>
      </c>
      <c r="D25245">
        <v>16</v>
      </c>
      <c r="E25245">
        <v>0</v>
      </c>
      <c r="F25245">
        <v>130</v>
      </c>
    </row>
    <row r="25246" spans="1:6" ht="12.75">
      <c r="A25246" s="2">
        <v>43875.75335648148</v>
      </c>
      <c r="B25246" t="str">
        <f>HYPERLINK("https://twitter.com/suydra","@suydra")</f>
        <v>@suydra</v>
      </c>
      <c r="C25246" t="s">
        <v>2444</v>
      </c>
      <c r="D25246">
        <v>2075</v>
      </c>
      <c r="E25246">
        <v>0</v>
      </c>
      <c r="F25246">
        <v>383</v>
      </c>
    </row>
    <row r="25247" spans="1:6" ht="12.75">
      <c r="A25247" s="2">
        <v>43875.753333333334</v>
      </c>
      <c r="B25247" t="str">
        <f>HYPERLINK("https://twitter.com/Ngalalakon","@Ngalalakon")</f>
        <v>@Ngalalakon</v>
      </c>
      <c r="C25247" t="s">
        <v>10052</v>
      </c>
      <c r="D25247">
        <v>56</v>
      </c>
      <c r="E25247">
        <v>0</v>
      </c>
      <c r="F25247">
        <v>413</v>
      </c>
    </row>
    <row r="25248" spans="1:6" ht="12.75">
      <c r="A25248" s="2">
        <v>43875.753298611111</v>
      </c>
      <c r="B25248" t="str">
        <f>HYPERLINK("https://twitter.com/kopassos","@kopassos")</f>
        <v>@kopassos</v>
      </c>
      <c r="C25248" t="s">
        <v>7888</v>
      </c>
      <c r="D25248">
        <v>13</v>
      </c>
      <c r="E25248">
        <v>0</v>
      </c>
      <c r="F25248">
        <v>1640</v>
      </c>
    </row>
    <row r="25249" spans="1:6" ht="12.75">
      <c r="A25249" s="2">
        <v>43875.753275462965</v>
      </c>
      <c r="B25249" t="str">
        <f>HYPERLINK("https://twitter.com/dayatsedengan","@dayatsedengan")</f>
        <v>@dayatsedengan</v>
      </c>
      <c r="C25249" t="s">
        <v>2149</v>
      </c>
      <c r="D25249">
        <v>28</v>
      </c>
      <c r="E25249">
        <v>0</v>
      </c>
      <c r="F25249">
        <v>428</v>
      </c>
    </row>
    <row r="25250" spans="1:6" ht="12.75">
      <c r="A25250" s="2">
        <v>43875.753263888888</v>
      </c>
      <c r="B25250" t="str">
        <f>HYPERLINK("https://twitter.com/Rekap08965362","@Rekap08965362")</f>
        <v>@Rekap08965362</v>
      </c>
      <c r="C25250" t="s">
        <v>6201</v>
      </c>
      <c r="D25250">
        <v>150</v>
      </c>
      <c r="E25250">
        <v>0</v>
      </c>
      <c r="F25250">
        <v>21</v>
      </c>
    </row>
    <row r="25251" spans="1:6" ht="12.75">
      <c r="A25251" s="2">
        <v>43875.753171296295</v>
      </c>
      <c r="B25251" t="str">
        <f>HYPERLINK("https://twitter.com/katrineww","@katrineww")</f>
        <v>@katrineww</v>
      </c>
      <c r="C25251" t="s">
        <v>5168</v>
      </c>
      <c r="D25251">
        <v>896</v>
      </c>
      <c r="E25251">
        <v>0</v>
      </c>
      <c r="F25251">
        <v>404</v>
      </c>
    </row>
    <row r="25252" spans="1:6" ht="12.75">
      <c r="A25252" s="2">
        <v>43875.753125000003</v>
      </c>
      <c r="B25252" t="str">
        <f>HYPERLINK("https://twitter.com/otavros","@otavros")</f>
        <v>@otavros</v>
      </c>
      <c r="C25252" t="s">
        <v>9082</v>
      </c>
      <c r="D25252">
        <v>46</v>
      </c>
      <c r="E25252">
        <v>0</v>
      </c>
      <c r="F25252">
        <v>8</v>
      </c>
    </row>
    <row r="25253" spans="1:6" ht="12.75">
      <c r="A25253" s="2">
        <v>43875.753125000003</v>
      </c>
      <c r="B25253" t="str">
        <f>HYPERLINK("https://twitter.com/deviaoktaa","@deviaoktaa")</f>
        <v>@deviaoktaa</v>
      </c>
      <c r="C25253" t="s">
        <v>2444</v>
      </c>
      <c r="D25253">
        <v>2075</v>
      </c>
      <c r="E25253">
        <v>0</v>
      </c>
      <c r="F25253">
        <v>27</v>
      </c>
    </row>
    <row r="25254" spans="1:6" ht="12.75">
      <c r="A25254" s="2">
        <v>43875.753101851849</v>
      </c>
      <c r="B25254" t="str">
        <f>HYPERLINK("https://twitter.com/_aliems","@_aliems")</f>
        <v>@_aliems</v>
      </c>
      <c r="C25254" t="s">
        <v>2149</v>
      </c>
      <c r="D25254">
        <v>28</v>
      </c>
      <c r="E25254">
        <v>0</v>
      </c>
      <c r="F25254">
        <v>12</v>
      </c>
    </row>
    <row r="25255" spans="1:6" ht="12.75">
      <c r="A25255" s="2">
        <v>43875.753020833334</v>
      </c>
      <c r="B25255" t="str">
        <f>HYPERLINK("https://twitter.com/dhiratara","@dhiratara")</f>
        <v>@dhiratara</v>
      </c>
      <c r="C25255" t="s">
        <v>11021</v>
      </c>
      <c r="D25255">
        <v>3</v>
      </c>
      <c r="E25255">
        <v>0</v>
      </c>
      <c r="F25255">
        <v>993</v>
      </c>
    </row>
    <row r="25256" spans="1:6" ht="12.75">
      <c r="A25256" s="2">
        <v>43875.752962962964</v>
      </c>
      <c r="B25256" t="str">
        <f>HYPERLINK("https://twitter.com/De_Es_We","@De_Es_We")</f>
        <v>@De_Es_We</v>
      </c>
      <c r="C25256" t="s">
        <v>2444</v>
      </c>
      <c r="D25256">
        <v>2075</v>
      </c>
      <c r="E25256">
        <v>0</v>
      </c>
      <c r="F25256">
        <v>628</v>
      </c>
    </row>
    <row r="25257" spans="1:6" ht="12.75">
      <c r="A25257" s="2">
        <v>43875.752951388888</v>
      </c>
      <c r="B25257" t="str">
        <f>HYPERLINK("https://twitter.com/svnflowe","@svnflowe")</f>
        <v>@svnflowe</v>
      </c>
      <c r="C25257" t="s">
        <v>9964</v>
      </c>
      <c r="D25257">
        <v>618</v>
      </c>
      <c r="E25257">
        <v>0</v>
      </c>
      <c r="F25257">
        <v>205</v>
      </c>
    </row>
    <row r="25258" spans="1:6" ht="12.75">
      <c r="A25258" s="2">
        <v>43875.752939814818</v>
      </c>
      <c r="B25258" t="str">
        <f>HYPERLINK("https://twitter.com/hardiyan_thy","@hardiyan_thy")</f>
        <v>@hardiyan_thy</v>
      </c>
      <c r="C25258" t="s">
        <v>8720</v>
      </c>
      <c r="D25258">
        <v>45</v>
      </c>
      <c r="E25258">
        <v>0</v>
      </c>
      <c r="F25258">
        <v>170</v>
      </c>
    </row>
    <row r="25259" spans="1:6" ht="12.75">
      <c r="A25259" s="2">
        <v>43875.752939814818</v>
      </c>
      <c r="B25259" t="str">
        <f>HYPERLINK("https://twitter.com/Alie_Fahnoor","@Alie_Fahnoor")</f>
        <v>@Alie_Fahnoor</v>
      </c>
      <c r="C25259" t="s">
        <v>6201</v>
      </c>
      <c r="D25259">
        <v>150</v>
      </c>
      <c r="E25259">
        <v>0</v>
      </c>
      <c r="F25259">
        <v>437</v>
      </c>
    </row>
    <row r="25260" spans="1:6" ht="12.75">
      <c r="A25260" s="2">
        <v>43875.752905092595</v>
      </c>
      <c r="B25260" t="str">
        <f>HYPERLINK("https://twitter.com/embunsorehari","@embunsorehari")</f>
        <v>@embunsorehari</v>
      </c>
      <c r="C25260" t="s">
        <v>2444</v>
      </c>
      <c r="D25260">
        <v>2075</v>
      </c>
      <c r="E25260">
        <v>0</v>
      </c>
      <c r="F25260">
        <v>1296</v>
      </c>
    </row>
    <row r="25261" spans="1:6" ht="12.75">
      <c r="A25261" s="2">
        <v>43875.752824074079</v>
      </c>
      <c r="B25261" t="str">
        <f>HYPERLINK("https://twitter.com/laridankembali","@laridankembali")</f>
        <v>@laridankembali</v>
      </c>
      <c r="C25261" t="s">
        <v>11460</v>
      </c>
      <c r="D25261">
        <v>24</v>
      </c>
      <c r="E25261">
        <v>0</v>
      </c>
      <c r="F25261">
        <v>300</v>
      </c>
    </row>
    <row r="25262" spans="1:6" ht="12.75">
      <c r="A25262" s="2">
        <v>43875.75277777778</v>
      </c>
      <c r="B25262" t="str">
        <f>HYPERLINK("https://twitter.com/gambarjagad1926","@gambarjagad1926")</f>
        <v>@gambarjagad1926</v>
      </c>
      <c r="C25262" t="s">
        <v>9147</v>
      </c>
      <c r="D25262">
        <v>25</v>
      </c>
      <c r="E25262">
        <v>0</v>
      </c>
      <c r="F25262">
        <v>330</v>
      </c>
    </row>
    <row r="25263" spans="1:6" ht="12.75">
      <c r="A25263" s="2">
        <v>43875.752627314811</v>
      </c>
      <c r="B25263" t="str">
        <f>HYPERLINK("https://twitter.com/jinniebx","@jinniebx")</f>
        <v>@jinniebx</v>
      </c>
      <c r="C25263" t="s">
        <v>2444</v>
      </c>
      <c r="D25263">
        <v>2075</v>
      </c>
      <c r="E25263">
        <v>0</v>
      </c>
      <c r="F25263">
        <v>440</v>
      </c>
    </row>
    <row r="25264" spans="1:6" ht="12.75">
      <c r="A25264" s="2">
        <v>43875.752615740741</v>
      </c>
      <c r="B25264" t="str">
        <f>HYPERLINK("https://twitter.com/raelayx","@raelayx")</f>
        <v>@raelayx</v>
      </c>
      <c r="C25264" t="s">
        <v>2444</v>
      </c>
      <c r="D25264">
        <v>2075</v>
      </c>
      <c r="E25264">
        <v>0</v>
      </c>
      <c r="F25264">
        <v>455</v>
      </c>
    </row>
    <row r="25265" spans="1:6" ht="12.75">
      <c r="A25265" s="2">
        <v>43875.752557870372</v>
      </c>
      <c r="B25265" t="str">
        <f>HYPERLINK("https://twitter.com/jonrasyid1","@jonrasyid1")</f>
        <v>@jonrasyid1</v>
      </c>
      <c r="C25265" t="s">
        <v>9746</v>
      </c>
      <c r="D25265">
        <v>310</v>
      </c>
      <c r="E25265">
        <v>0</v>
      </c>
      <c r="F25265">
        <v>125</v>
      </c>
    </row>
    <row r="25266" spans="1:6" ht="12.75">
      <c r="A25266" s="2">
        <v>43875.752500000002</v>
      </c>
      <c r="B25266" t="str">
        <f>HYPERLINK("https://twitter.com/agathaeka72","@agathaeka72")</f>
        <v>@agathaeka72</v>
      </c>
      <c r="C25266" t="s">
        <v>2444</v>
      </c>
      <c r="D25266">
        <v>2075</v>
      </c>
      <c r="E25266">
        <v>0</v>
      </c>
      <c r="F25266">
        <v>279</v>
      </c>
    </row>
    <row r="25267" spans="1:6" ht="12.75">
      <c r="A25267" s="2">
        <v>43875.752488425926</v>
      </c>
      <c r="B25267" t="str">
        <f>HYPERLINK("https://twitter.com/umay_patria","@umay_patria")</f>
        <v>@umay_patria</v>
      </c>
      <c r="C25267" t="s">
        <v>10096</v>
      </c>
      <c r="D25267">
        <v>156</v>
      </c>
      <c r="E25267">
        <v>0</v>
      </c>
      <c r="F25267">
        <v>1136</v>
      </c>
    </row>
    <row r="25268" spans="1:6" ht="12.75">
      <c r="A25268" s="2">
        <v>43875.752488425926</v>
      </c>
      <c r="B25268" t="str">
        <f>HYPERLINK("https://twitter.com/tengku__","@tengku__")</f>
        <v>@tengku__</v>
      </c>
      <c r="C25268" t="s">
        <v>2110</v>
      </c>
      <c r="D25268">
        <v>52</v>
      </c>
      <c r="E25268">
        <v>0</v>
      </c>
      <c r="F25268">
        <v>40</v>
      </c>
    </row>
    <row r="25269" spans="1:6" ht="12.75">
      <c r="A25269" s="2">
        <v>43875.752314814818</v>
      </c>
      <c r="B25269" t="str">
        <f>HYPERLINK("https://twitter.com/arcadiri","@arcadiri")</f>
        <v>@arcadiri</v>
      </c>
      <c r="C25269" t="s">
        <v>11461</v>
      </c>
      <c r="D25269">
        <v>0</v>
      </c>
      <c r="E25269">
        <v>0</v>
      </c>
      <c r="F25269">
        <v>183</v>
      </c>
    </row>
    <row r="25270" spans="1:6" ht="12.75">
      <c r="A25270" s="2">
        <v>43875.752303240741</v>
      </c>
      <c r="B25270" t="str">
        <f>HYPERLINK("https://twitter.com/linda110590","@linda110590")</f>
        <v>@linda110590</v>
      </c>
      <c r="C25270" t="s">
        <v>11462</v>
      </c>
      <c r="D25270">
        <v>0</v>
      </c>
      <c r="E25270">
        <v>0</v>
      </c>
      <c r="F25270">
        <v>1538</v>
      </c>
    </row>
    <row r="25271" spans="1:6" ht="12.75">
      <c r="A25271" s="2">
        <v>43875.752291666664</v>
      </c>
      <c r="B25271" t="str">
        <f>HYPERLINK("https://twitter.com/dm_krs_id","@dm_krs_id")</f>
        <v>@dm_krs_id</v>
      </c>
      <c r="C25271" t="s">
        <v>11463</v>
      </c>
      <c r="D25271">
        <v>0</v>
      </c>
      <c r="E25271">
        <v>0</v>
      </c>
      <c r="F25271">
        <v>2</v>
      </c>
    </row>
    <row r="25272" spans="1:6" ht="12.75">
      <c r="A25272" s="2">
        <v>43875.752210648148</v>
      </c>
      <c r="B25272" t="str">
        <f>HYPERLINK("https://twitter.com/djumelan","@djumelan")</f>
        <v>@djumelan</v>
      </c>
      <c r="C25272" t="s">
        <v>7478</v>
      </c>
      <c r="D25272">
        <v>323</v>
      </c>
      <c r="E25272">
        <v>0</v>
      </c>
      <c r="F25272">
        <v>313</v>
      </c>
    </row>
    <row r="25273" spans="1:6" ht="12.75">
      <c r="A25273" s="2">
        <v>43875.752199074079</v>
      </c>
      <c r="B25273" t="str">
        <f>HYPERLINK("https://twitter.com/baekphanter","@baekphanter")</f>
        <v>@baekphanter</v>
      </c>
      <c r="C25273" t="s">
        <v>2444</v>
      </c>
      <c r="D25273">
        <v>2075</v>
      </c>
      <c r="E25273">
        <v>0</v>
      </c>
      <c r="F25273">
        <v>121</v>
      </c>
    </row>
    <row r="25274" spans="1:6" ht="12.75">
      <c r="A25274" s="2">
        <v>43875.752164351856</v>
      </c>
      <c r="B25274" t="str">
        <f>HYPERLINK("https://twitter.com/robiharyadi86","@robiharyadi86")</f>
        <v>@robiharyadi86</v>
      </c>
      <c r="C25274" t="s">
        <v>7478</v>
      </c>
      <c r="D25274">
        <v>323</v>
      </c>
      <c r="E25274">
        <v>0</v>
      </c>
      <c r="F25274">
        <v>97</v>
      </c>
    </row>
    <row r="25275" spans="1:6" ht="12.75">
      <c r="A25275" s="2">
        <v>43875.752141203702</v>
      </c>
      <c r="B25275" t="str">
        <f>HYPERLINK("https://twitter.com/WlSNUWA","@WlSNUWA")</f>
        <v>@WlSNUWA</v>
      </c>
      <c r="C25275" t="s">
        <v>2137</v>
      </c>
      <c r="D25275">
        <v>172</v>
      </c>
      <c r="E25275">
        <v>0</v>
      </c>
      <c r="F25275">
        <v>391</v>
      </c>
    </row>
    <row r="25276" spans="1:6" ht="12.75">
      <c r="A25276" s="2">
        <v>43875.752141203702</v>
      </c>
      <c r="B25276" t="str">
        <f>HYPERLINK("https://twitter.com/dm_krs_id","@dm_krs_id")</f>
        <v>@dm_krs_id</v>
      </c>
      <c r="C25276" t="s">
        <v>11464</v>
      </c>
      <c r="D25276">
        <v>0</v>
      </c>
      <c r="E25276">
        <v>0</v>
      </c>
      <c r="F25276">
        <v>2</v>
      </c>
    </row>
    <row r="25277" spans="1:6" ht="12.75">
      <c r="A25277" s="2">
        <v>43875.75209490741</v>
      </c>
      <c r="B25277" t="str">
        <f>HYPERLINK("https://twitter.com/_rozezie","@_rozezie")</f>
        <v>@_rozezie</v>
      </c>
      <c r="C25277" t="s">
        <v>2444</v>
      </c>
      <c r="D25277">
        <v>2075</v>
      </c>
      <c r="E25277">
        <v>0</v>
      </c>
      <c r="F25277">
        <v>133</v>
      </c>
    </row>
    <row r="25278" spans="1:6" ht="12.75">
      <c r="A25278" s="2">
        <v>43875.752060185187</v>
      </c>
      <c r="B25278" t="str">
        <f t="shared" ref="B25278:B25279" si="343">HYPERLINK("https://twitter.com/dm_krs_id","@dm_krs_id")</f>
        <v>@dm_krs_id</v>
      </c>
      <c r="C25278" t="s">
        <v>11465</v>
      </c>
      <c r="D25278">
        <v>0</v>
      </c>
      <c r="E25278">
        <v>0</v>
      </c>
      <c r="F25278">
        <v>2</v>
      </c>
    </row>
    <row r="25279" spans="1:6" ht="12.75">
      <c r="A25279" s="2">
        <v>43875.752013888894</v>
      </c>
      <c r="B25279" t="str">
        <f t="shared" si="343"/>
        <v>@dm_krs_id</v>
      </c>
      <c r="C25279" t="s">
        <v>11466</v>
      </c>
      <c r="D25279">
        <v>0</v>
      </c>
      <c r="E25279">
        <v>1</v>
      </c>
      <c r="F25279">
        <v>2</v>
      </c>
    </row>
    <row r="25280" spans="1:6" ht="12.75">
      <c r="A25280" s="2">
        <v>43875.75200231481</v>
      </c>
      <c r="B25280" t="str">
        <f>HYPERLINK("https://twitter.com/IkaYolanda7","@IkaYolanda7")</f>
        <v>@IkaYolanda7</v>
      </c>
      <c r="C25280" t="s">
        <v>175</v>
      </c>
      <c r="D25280">
        <v>5295</v>
      </c>
      <c r="E25280">
        <v>0</v>
      </c>
      <c r="F25280">
        <v>40</v>
      </c>
    </row>
    <row r="25281" spans="1:6" ht="12.75">
      <c r="A25281" s="2">
        <v>43875.751886574071</v>
      </c>
      <c r="B25281" t="str">
        <f>HYPERLINK("https://twitter.com/laridankembali","@laridankembali")</f>
        <v>@laridankembali</v>
      </c>
      <c r="C25281" t="s">
        <v>11467</v>
      </c>
      <c r="D25281">
        <v>4</v>
      </c>
      <c r="E25281">
        <v>0</v>
      </c>
      <c r="F25281">
        <v>300</v>
      </c>
    </row>
    <row r="25282" spans="1:6" ht="12.75">
      <c r="A25282" s="2">
        <v>43875.751875000002</v>
      </c>
      <c r="B25282" t="str">
        <f>HYPERLINK("https://twitter.com/nrhtia","@nrhtia")</f>
        <v>@nrhtia</v>
      </c>
      <c r="C25282" t="s">
        <v>2444</v>
      </c>
      <c r="D25282">
        <v>2075</v>
      </c>
      <c r="E25282">
        <v>0</v>
      </c>
      <c r="F25282">
        <v>308</v>
      </c>
    </row>
    <row r="25283" spans="1:6" ht="12.75">
      <c r="A25283" s="2">
        <v>43875.751863425925</v>
      </c>
      <c r="B25283" t="str">
        <f>HYPERLINK("https://twitter.com/kairocity22","@kairocity22")</f>
        <v>@kairocity22</v>
      </c>
      <c r="C25283" t="s">
        <v>11468</v>
      </c>
      <c r="D25283">
        <v>0</v>
      </c>
      <c r="E25283">
        <v>0</v>
      </c>
      <c r="F25283">
        <v>71</v>
      </c>
    </row>
    <row r="25284" spans="1:6" ht="12.75">
      <c r="A25284" s="2">
        <v>43875.751840277779</v>
      </c>
      <c r="B25284" t="str">
        <f>HYPERLINK("https://twitter.com/jodohwoonpil","@jodohwoonpil")</f>
        <v>@jodohwoonpil</v>
      </c>
      <c r="C25284" t="s">
        <v>5168</v>
      </c>
      <c r="D25284">
        <v>896</v>
      </c>
      <c r="E25284">
        <v>0</v>
      </c>
      <c r="F25284">
        <v>166</v>
      </c>
    </row>
    <row r="25285" spans="1:6" ht="12.75">
      <c r="A25285" s="2">
        <v>43875.751747685186</v>
      </c>
      <c r="B25285" t="str">
        <f>HYPERLINK("https://twitter.com/bukanicetaro","@bukanicetaro")</f>
        <v>@bukanicetaro</v>
      </c>
      <c r="C25285" t="s">
        <v>2444</v>
      </c>
      <c r="D25285">
        <v>2075</v>
      </c>
      <c r="E25285">
        <v>0</v>
      </c>
      <c r="F25285">
        <v>569</v>
      </c>
    </row>
    <row r="25286" spans="1:6" ht="12.75">
      <c r="A25286" s="2">
        <v>43875.751747685186</v>
      </c>
      <c r="B25286" t="str">
        <f>HYPERLINK("https://twitter.com/pipitloveft","@pipitloveft")</f>
        <v>@pipitloveft</v>
      </c>
      <c r="C25286" t="s">
        <v>2444</v>
      </c>
      <c r="D25286">
        <v>2075</v>
      </c>
      <c r="E25286">
        <v>0</v>
      </c>
      <c r="F25286">
        <v>15</v>
      </c>
    </row>
    <row r="25287" spans="1:6" ht="12.75">
      <c r="A25287" s="2">
        <v>43875.75172453704</v>
      </c>
      <c r="B25287" t="str">
        <f>HYPERLINK("https://twitter.com/silkyroasted","@silkyroasted")</f>
        <v>@silkyroasted</v>
      </c>
      <c r="C25287" t="s">
        <v>5168</v>
      </c>
      <c r="D25287">
        <v>896</v>
      </c>
      <c r="E25287">
        <v>0</v>
      </c>
      <c r="F25287">
        <v>461</v>
      </c>
    </row>
    <row r="25288" spans="1:6" ht="12.75">
      <c r="A25288" s="2">
        <v>43875.751701388886</v>
      </c>
      <c r="B25288" t="str">
        <f>HYPERLINK("https://twitter.com/nisannisaaaa","@nisannisaaaa")</f>
        <v>@nisannisaaaa</v>
      </c>
      <c r="C25288" t="s">
        <v>2444</v>
      </c>
      <c r="D25288">
        <v>2075</v>
      </c>
      <c r="E25288">
        <v>0</v>
      </c>
      <c r="F25288">
        <v>474</v>
      </c>
    </row>
    <row r="25289" spans="1:6" ht="12.75">
      <c r="A25289" s="2">
        <v>43875.751689814817</v>
      </c>
      <c r="B25289" t="str">
        <f>HYPERLINK("https://twitter.com/gusduriantng","@gusduriantng")</f>
        <v>@gusduriantng</v>
      </c>
      <c r="C25289" t="s">
        <v>2149</v>
      </c>
      <c r="D25289">
        <v>28</v>
      </c>
      <c r="E25289">
        <v>0</v>
      </c>
      <c r="F25289">
        <v>517</v>
      </c>
    </row>
    <row r="25290" spans="1:6" ht="12.75">
      <c r="A25290" s="2">
        <v>43875.751597222217</v>
      </c>
      <c r="B25290" t="str">
        <f>HYPERLINK("https://twitter.com/Nrlazz","@Nrlazz")</f>
        <v>@Nrlazz</v>
      </c>
      <c r="C25290" t="s">
        <v>2444</v>
      </c>
      <c r="D25290">
        <v>1857</v>
      </c>
      <c r="E25290">
        <v>0</v>
      </c>
      <c r="F25290">
        <v>357</v>
      </c>
    </row>
    <row r="25291" spans="1:6" ht="12.75">
      <c r="A25291" s="2">
        <v>43875.751550925925</v>
      </c>
      <c r="B25291" t="str">
        <f>HYPERLINK("https://twitter.com/AdriShlby","@AdriShlby")</f>
        <v>@AdriShlby</v>
      </c>
      <c r="C25291" t="s">
        <v>11469</v>
      </c>
      <c r="D25291">
        <v>0</v>
      </c>
      <c r="E25291">
        <v>0</v>
      </c>
      <c r="F25291">
        <v>411</v>
      </c>
    </row>
    <row r="25292" spans="1:6" ht="12.75">
      <c r="A25292" s="2">
        <v>43875.751539351855</v>
      </c>
      <c r="B25292" t="str">
        <f>HYPERLINK("https://twitter.com/MaxDose1","@MaxDose1")</f>
        <v>@MaxDose1</v>
      </c>
      <c r="C25292" t="s">
        <v>2963</v>
      </c>
      <c r="D25292">
        <v>994</v>
      </c>
      <c r="E25292">
        <v>0</v>
      </c>
      <c r="F25292">
        <v>77</v>
      </c>
    </row>
    <row r="25293" spans="1:6" ht="12.75">
      <c r="A25293" s="2">
        <v>43875.751504629632</v>
      </c>
      <c r="B25293" t="str">
        <f>HYPERLINK("https://twitter.com/batamnewsonline","@batamnewsonline")</f>
        <v>@batamnewsonline</v>
      </c>
      <c r="C25293" t="s">
        <v>11470</v>
      </c>
      <c r="D25293">
        <v>0</v>
      </c>
      <c r="E25293">
        <v>0</v>
      </c>
      <c r="F25293">
        <v>10215</v>
      </c>
    </row>
    <row r="25294" spans="1:6" ht="12.75">
      <c r="A25294" s="2">
        <v>43875.751446759255</v>
      </c>
      <c r="B25294" t="str">
        <f>HYPERLINK("https://twitter.com/gitajlyna","@gitajlyna")</f>
        <v>@gitajlyna</v>
      </c>
      <c r="C25294" t="s">
        <v>2444</v>
      </c>
      <c r="D25294">
        <v>1857</v>
      </c>
      <c r="E25294">
        <v>0</v>
      </c>
      <c r="F25294">
        <v>101</v>
      </c>
    </row>
    <row r="25295" spans="1:6" ht="12.75">
      <c r="A25295" s="2">
        <v>43875.75135416667</v>
      </c>
      <c r="B25295" t="str">
        <f>HYPERLINK("https://twitter.com/DoniChristian13","@DoniChristian13")</f>
        <v>@DoniChristian13</v>
      </c>
      <c r="C25295" t="s">
        <v>10330</v>
      </c>
      <c r="D25295">
        <v>212</v>
      </c>
      <c r="E25295">
        <v>0</v>
      </c>
      <c r="F25295">
        <v>11</v>
      </c>
    </row>
    <row r="25296" spans="1:6" ht="12.75">
      <c r="A25296" s="2">
        <v>43875.751331018517</v>
      </c>
      <c r="B25296" t="str">
        <f>HYPERLINK("https://twitter.com/orangbyasya","@orangbyasya")</f>
        <v>@orangbyasya</v>
      </c>
      <c r="C25296" t="s">
        <v>2444</v>
      </c>
      <c r="D25296">
        <v>1857</v>
      </c>
      <c r="E25296">
        <v>0</v>
      </c>
      <c r="F25296">
        <v>550</v>
      </c>
    </row>
    <row r="25297" spans="1:6" ht="12.75">
      <c r="A25297" s="2">
        <v>43875.751296296294</v>
      </c>
      <c r="B25297" t="str">
        <f>HYPERLINK("https://twitter.com/NetizenJulidz","@NetizenJulidz")</f>
        <v>@NetizenJulidz</v>
      </c>
      <c r="C25297" t="s">
        <v>2444</v>
      </c>
      <c r="D25297">
        <v>1857</v>
      </c>
      <c r="E25297">
        <v>0</v>
      </c>
      <c r="F25297">
        <v>1204</v>
      </c>
    </row>
    <row r="25298" spans="1:6" ht="12.75">
      <c r="A25298" s="2">
        <v>43875.751250000001</v>
      </c>
      <c r="B25298" t="str">
        <f>HYPERLINK("https://twitter.com/harike_6","@harike_6")</f>
        <v>@harike_6</v>
      </c>
      <c r="C25298" t="s">
        <v>2444</v>
      </c>
      <c r="D25298">
        <v>1857</v>
      </c>
      <c r="E25298">
        <v>0</v>
      </c>
      <c r="F25298">
        <v>355</v>
      </c>
    </row>
    <row r="25299" spans="1:6" ht="12.75">
      <c r="A25299" s="2">
        <v>43875.751238425924</v>
      </c>
      <c r="B25299" t="str">
        <f>HYPERLINK("https://twitter.com/orangbyasya","@orangbyasya")</f>
        <v>@orangbyasya</v>
      </c>
      <c r="C25299" t="s">
        <v>9123</v>
      </c>
      <c r="D25299">
        <v>240</v>
      </c>
      <c r="E25299">
        <v>0</v>
      </c>
      <c r="F25299">
        <v>550</v>
      </c>
    </row>
    <row r="25300" spans="1:6" ht="12.75">
      <c r="A25300" s="2">
        <v>43875.751064814816</v>
      </c>
      <c r="B25300" t="str">
        <f>HYPERLINK("https://twitter.com/smstaa","@smstaa")</f>
        <v>@smstaa</v>
      </c>
      <c r="C25300" t="s">
        <v>11471</v>
      </c>
      <c r="D25300">
        <v>0</v>
      </c>
      <c r="E25300">
        <v>0</v>
      </c>
      <c r="F25300">
        <v>177</v>
      </c>
    </row>
    <row r="25301" spans="1:6" ht="12.75">
      <c r="A25301" s="2">
        <v>43875.75105324074</v>
      </c>
      <c r="B25301" t="str">
        <f>HYPERLINK("https://twitter.com/NaylaOnnelBaki","@NaylaOnnelBaki")</f>
        <v>@NaylaOnnelBaki</v>
      </c>
      <c r="C25301" t="s">
        <v>2122</v>
      </c>
      <c r="D25301">
        <v>215</v>
      </c>
      <c r="E25301">
        <v>0</v>
      </c>
      <c r="F25301">
        <v>2063</v>
      </c>
    </row>
    <row r="25302" spans="1:6" ht="12.75">
      <c r="A25302" s="2">
        <v>43875.750902777778</v>
      </c>
      <c r="B25302" t="str">
        <f>HYPERLINK("https://twitter.com/beavis_30","@beavis_30")</f>
        <v>@beavis_30</v>
      </c>
      <c r="C25302" t="s">
        <v>7478</v>
      </c>
      <c r="D25302">
        <v>291</v>
      </c>
      <c r="E25302">
        <v>0</v>
      </c>
      <c r="F25302">
        <v>942</v>
      </c>
    </row>
    <row r="25303" spans="1:6" ht="12.75">
      <c r="A25303" s="2">
        <v>43875.750902777778</v>
      </c>
      <c r="B25303" t="str">
        <f>HYPERLINK("https://twitter.com/irwanstanjung","@irwanstanjung")</f>
        <v>@irwanstanjung</v>
      </c>
      <c r="C25303" t="s">
        <v>11472</v>
      </c>
      <c r="D25303">
        <v>0</v>
      </c>
      <c r="E25303">
        <v>0</v>
      </c>
      <c r="F25303">
        <v>166</v>
      </c>
    </row>
    <row r="25304" spans="1:6" ht="12.75">
      <c r="A25304" s="2">
        <v>43875.750856481478</v>
      </c>
      <c r="B25304" t="str">
        <f>HYPERLINK("https://twitter.com/nazqulboy99","@nazqulboy99")</f>
        <v>@nazqulboy99</v>
      </c>
      <c r="C25304" t="s">
        <v>9123</v>
      </c>
      <c r="D25304">
        <v>240</v>
      </c>
      <c r="E25304">
        <v>0</v>
      </c>
      <c r="F25304">
        <v>4</v>
      </c>
    </row>
    <row r="25305" spans="1:6" ht="12.75">
      <c r="A25305" s="2">
        <v>43875.750844907408</v>
      </c>
      <c r="B25305" t="str">
        <f>HYPERLINK("https://twitter.com/nutellasabbath","@nutellasabbath")</f>
        <v>@nutellasabbath</v>
      </c>
      <c r="C25305" t="s">
        <v>2444</v>
      </c>
      <c r="D25305">
        <v>1857</v>
      </c>
      <c r="E25305">
        <v>0</v>
      </c>
      <c r="F25305">
        <v>169</v>
      </c>
    </row>
    <row r="25306" spans="1:6" ht="12.75">
      <c r="A25306" s="2">
        <v>43875.750763888893</v>
      </c>
      <c r="B25306" t="str">
        <f>HYPERLINK("https://twitter.com/destiwie8","@destiwie8")</f>
        <v>@destiwie8</v>
      </c>
      <c r="C25306" t="s">
        <v>10052</v>
      </c>
      <c r="D25306">
        <v>37</v>
      </c>
      <c r="E25306">
        <v>0</v>
      </c>
      <c r="F25306">
        <v>159</v>
      </c>
    </row>
    <row r="25307" spans="1:6" ht="12.75">
      <c r="A25307" s="2">
        <v>43875.750752314816</v>
      </c>
      <c r="B25307" t="str">
        <f>HYPERLINK("https://twitter.com/Beritabaruco","@Beritabaruco")</f>
        <v>@Beritabaruco</v>
      </c>
      <c r="C25307" t="s">
        <v>10785</v>
      </c>
      <c r="D25307">
        <v>0</v>
      </c>
      <c r="E25307">
        <v>0</v>
      </c>
      <c r="F25307">
        <v>180</v>
      </c>
    </row>
    <row r="25308" spans="1:6" ht="12.75">
      <c r="A25308" s="2">
        <v>43875.750659722224</v>
      </c>
      <c r="B25308" t="str">
        <f>HYPERLINK("https://twitter.com/endogasin__","@endogasin__")</f>
        <v>@endogasin__</v>
      </c>
      <c r="C25308" t="s">
        <v>2444</v>
      </c>
      <c r="D25308">
        <v>1857</v>
      </c>
      <c r="E25308">
        <v>0</v>
      </c>
      <c r="F25308">
        <v>524</v>
      </c>
    </row>
    <row r="25309" spans="1:6" ht="12.75">
      <c r="A25309" s="2">
        <v>43875.75063657407</v>
      </c>
      <c r="B25309" t="str">
        <f>HYPERLINK("https://twitter.com/babymarkIee","@babymarkIee")</f>
        <v>@babymarkIee</v>
      </c>
      <c r="C25309" t="s">
        <v>2444</v>
      </c>
      <c r="D25309">
        <v>1857</v>
      </c>
      <c r="E25309">
        <v>0</v>
      </c>
      <c r="F25309">
        <v>1032</v>
      </c>
    </row>
    <row r="25310" spans="1:6" ht="12.75">
      <c r="A25310" s="2">
        <v>43875.750601851847</v>
      </c>
      <c r="B25310" t="str">
        <f>HYPERLINK("https://twitter.com/hariankompas","@hariankompas")</f>
        <v>@hariankompas</v>
      </c>
      <c r="C25310" t="s">
        <v>11473</v>
      </c>
      <c r="D25310">
        <v>0</v>
      </c>
      <c r="E25310">
        <v>0</v>
      </c>
      <c r="F25310">
        <v>785792</v>
      </c>
    </row>
    <row r="25311" spans="1:6" ht="12.75">
      <c r="A25311" s="2">
        <v>43875.750578703708</v>
      </c>
      <c r="B25311" t="str">
        <f>HYPERLINK("https://twitter.com/firmanadhi3","@firmanadhi3")</f>
        <v>@firmanadhi3</v>
      </c>
      <c r="C25311" t="s">
        <v>6201</v>
      </c>
      <c r="D25311">
        <v>109</v>
      </c>
      <c r="E25311">
        <v>0</v>
      </c>
      <c r="F25311">
        <v>309</v>
      </c>
    </row>
    <row r="25312" spans="1:6" ht="12.75">
      <c r="A25312" s="2">
        <v>43875.750578703708</v>
      </c>
      <c r="B25312" t="str">
        <f>HYPERLINK("https://twitter.com/Dhinoe2","@Dhinoe2")</f>
        <v>@Dhinoe2</v>
      </c>
      <c r="C25312" t="s">
        <v>11474</v>
      </c>
      <c r="D25312">
        <v>0</v>
      </c>
      <c r="E25312">
        <v>0</v>
      </c>
      <c r="F25312">
        <v>280</v>
      </c>
    </row>
    <row r="25313" spans="1:6" ht="12.75">
      <c r="A25313" s="2">
        <v>43875.750520833331</v>
      </c>
      <c r="B25313" t="str">
        <f>HYPERLINK("https://twitter.com/haisoleil","@haisoleil")</f>
        <v>@haisoleil</v>
      </c>
      <c r="C25313" t="s">
        <v>9663</v>
      </c>
      <c r="D25313">
        <v>1</v>
      </c>
      <c r="E25313">
        <v>0</v>
      </c>
      <c r="F25313">
        <v>5170</v>
      </c>
    </row>
    <row r="25314" spans="1:6" ht="12.75">
      <c r="A25314" s="2">
        <v>43875.750486111108</v>
      </c>
      <c r="B25314" t="str">
        <f>HYPERLINK("https://twitter.com/toegiono","@toegiono")</f>
        <v>@toegiono</v>
      </c>
      <c r="C25314" t="s">
        <v>2444</v>
      </c>
      <c r="D25314">
        <v>1857</v>
      </c>
      <c r="E25314">
        <v>0</v>
      </c>
      <c r="F25314">
        <v>32316</v>
      </c>
    </row>
    <row r="25315" spans="1:6" ht="12.75">
      <c r="A25315" s="2">
        <v>43875.750451388885</v>
      </c>
      <c r="B25315" t="str">
        <f>HYPERLINK("https://twitter.com/kurofah","@kurofah")</f>
        <v>@kurofah</v>
      </c>
      <c r="C25315" t="s">
        <v>11475</v>
      </c>
      <c r="D25315">
        <v>0</v>
      </c>
      <c r="E25315">
        <v>0</v>
      </c>
      <c r="F25315">
        <v>147</v>
      </c>
    </row>
    <row r="25316" spans="1:6" ht="12.75">
      <c r="A25316" s="2">
        <v>43875.750416666662</v>
      </c>
      <c r="B25316" t="str">
        <f>HYPERLINK("https://twitter.com/beavis_30","@beavis_30")</f>
        <v>@beavis_30</v>
      </c>
      <c r="C25316" t="s">
        <v>9746</v>
      </c>
      <c r="D25316">
        <v>280</v>
      </c>
      <c r="E25316">
        <v>0</v>
      </c>
      <c r="F25316">
        <v>942</v>
      </c>
    </row>
    <row r="25317" spans="1:6" ht="12.75">
      <c r="A25317" s="2">
        <v>43875.75037037037</v>
      </c>
      <c r="B25317" t="str">
        <f>HYPERLINK("https://twitter.com/tribunnews","@tribunnews")</f>
        <v>@tribunnews</v>
      </c>
      <c r="C25317" t="s">
        <v>11476</v>
      </c>
      <c r="D25317">
        <v>0</v>
      </c>
      <c r="E25317">
        <v>0</v>
      </c>
      <c r="F25317">
        <v>873360</v>
      </c>
    </row>
    <row r="25318" spans="1:6" ht="12.75">
      <c r="A25318" s="2">
        <v>43875.750335648147</v>
      </c>
      <c r="B25318" t="str">
        <f>HYPERLINK("https://twitter.com/BucekHerman","@BucekHerman")</f>
        <v>@BucekHerman</v>
      </c>
      <c r="C25318" t="s">
        <v>9096</v>
      </c>
      <c r="D25318">
        <v>197</v>
      </c>
      <c r="E25318">
        <v>0</v>
      </c>
      <c r="F25318">
        <v>1487</v>
      </c>
    </row>
    <row r="25319" spans="1:6" ht="12.75">
      <c r="A25319" s="2">
        <v>43875.750196759254</v>
      </c>
      <c r="B25319" t="str">
        <f>HYPERLINK("https://twitter.com/HallanBoniek","@HallanBoniek")</f>
        <v>@HallanBoniek</v>
      </c>
      <c r="C25319" t="s">
        <v>11477</v>
      </c>
      <c r="D25319">
        <v>0</v>
      </c>
      <c r="E25319">
        <v>0</v>
      </c>
      <c r="F25319">
        <v>0</v>
      </c>
    </row>
    <row r="25320" spans="1:6" ht="12.75">
      <c r="A25320" s="2">
        <v>43875.750162037039</v>
      </c>
      <c r="B25320" t="str">
        <f>HYPERLINK("https://twitter.com/Joglosemarnews","@Joglosemarnews")</f>
        <v>@Joglosemarnews</v>
      </c>
      <c r="C25320" t="s">
        <v>11478</v>
      </c>
      <c r="D25320">
        <v>0</v>
      </c>
      <c r="E25320">
        <v>0</v>
      </c>
      <c r="F25320">
        <v>303</v>
      </c>
    </row>
    <row r="25321" spans="1:6" ht="12.75">
      <c r="A25321" s="2">
        <v>43875.750127314815</v>
      </c>
      <c r="B25321" t="str">
        <f>HYPERLINK("https://twitter.com/BangGodham","@BangGodham")</f>
        <v>@BangGodham</v>
      </c>
      <c r="C25321" t="s">
        <v>7478</v>
      </c>
      <c r="D25321">
        <v>291</v>
      </c>
      <c r="E25321">
        <v>0</v>
      </c>
      <c r="F25321">
        <v>915</v>
      </c>
    </row>
    <row r="25322" spans="1:6" ht="12.75">
      <c r="A25322" s="2">
        <v>43875.750127314815</v>
      </c>
      <c r="B25322" t="str">
        <f>HYPERLINK("https://twitter.com/LatifahTriA","@LatifahTriA")</f>
        <v>@LatifahTriA</v>
      </c>
      <c r="C25322" t="s">
        <v>2444</v>
      </c>
      <c r="D25322">
        <v>1857</v>
      </c>
      <c r="E25322">
        <v>0</v>
      </c>
      <c r="F25322">
        <v>574</v>
      </c>
    </row>
    <row r="25323" spans="1:6" ht="12.75">
      <c r="A25323" s="2">
        <v>43875.750115740739</v>
      </c>
      <c r="B25323" t="str">
        <f>HYPERLINK("https://twitter.com/iyodmr","@iyodmr")</f>
        <v>@iyodmr</v>
      </c>
      <c r="C25323" t="s">
        <v>5168</v>
      </c>
      <c r="D25323">
        <v>843</v>
      </c>
      <c r="E25323">
        <v>0</v>
      </c>
      <c r="F25323">
        <v>213</v>
      </c>
    </row>
    <row r="25324" spans="1:6" ht="12.75">
      <c r="A25324" s="2">
        <v>43875.750034722223</v>
      </c>
      <c r="B25324" t="str">
        <f>HYPERLINK("https://twitter.com/SabaryaniS","@SabaryaniS")</f>
        <v>@SabaryaniS</v>
      </c>
      <c r="C25324" t="s">
        <v>513</v>
      </c>
      <c r="D25324">
        <v>23206</v>
      </c>
      <c r="E25324">
        <v>0</v>
      </c>
      <c r="F25324">
        <v>101</v>
      </c>
    </row>
    <row r="25325" spans="1:6" ht="12.75">
      <c r="A25325" s="2">
        <v>43875.75</v>
      </c>
      <c r="B25325" t="str">
        <f>HYPERLINK("https://twitter.com/the_magdalene","@the_magdalene")</f>
        <v>@the_magdalene</v>
      </c>
      <c r="C25325" t="s">
        <v>9668</v>
      </c>
      <c r="D25325">
        <v>1</v>
      </c>
      <c r="E25325">
        <v>0</v>
      </c>
      <c r="F25325">
        <v>55802</v>
      </c>
    </row>
    <row r="25326" spans="1:6" ht="12.75">
      <c r="A25326" s="2">
        <v>43875.749942129631</v>
      </c>
      <c r="B25326" t="str">
        <f>HYPERLINK("https://twitter.com/dodicktan","@dodicktan")</f>
        <v>@dodicktan</v>
      </c>
      <c r="C25326" t="s">
        <v>9147</v>
      </c>
      <c r="D25326">
        <v>22</v>
      </c>
      <c r="E25326">
        <v>0</v>
      </c>
      <c r="F25326">
        <v>1430</v>
      </c>
    </row>
    <row r="25327" spans="1:6" ht="12.75">
      <c r="A25327" s="2">
        <v>43875.749780092592</v>
      </c>
      <c r="B25327" t="str">
        <f>HYPERLINK("https://twitter.com/trisnowidibagus","@trisnowidibagus")</f>
        <v>@trisnowidibagus</v>
      </c>
      <c r="C25327" t="s">
        <v>2963</v>
      </c>
      <c r="D25327">
        <v>994</v>
      </c>
      <c r="E25327">
        <v>0</v>
      </c>
      <c r="F25327">
        <v>463</v>
      </c>
    </row>
    <row r="25328" spans="1:6" ht="12.75">
      <c r="A25328" s="2">
        <v>43875.749768518523</v>
      </c>
      <c r="B25328" t="str">
        <f>HYPERLINK("https://twitter.com/heniunique","@heniunique")</f>
        <v>@heniunique</v>
      </c>
      <c r="C25328" t="s">
        <v>10083</v>
      </c>
      <c r="D25328">
        <v>11</v>
      </c>
      <c r="E25328">
        <v>0</v>
      </c>
      <c r="F25328">
        <v>9740</v>
      </c>
    </row>
    <row r="25329" spans="1:6" ht="12.75">
      <c r="A25329" s="2">
        <v>43875.749756944446</v>
      </c>
      <c r="B25329" t="str">
        <f>HYPERLINK("https://twitter.com/pramestiwulan","@pramestiwulan")</f>
        <v>@pramestiwulan</v>
      </c>
      <c r="C25329" t="s">
        <v>2444</v>
      </c>
      <c r="D25329">
        <v>1857</v>
      </c>
      <c r="E25329">
        <v>0</v>
      </c>
      <c r="F25329">
        <v>20</v>
      </c>
    </row>
    <row r="25330" spans="1:6" ht="12.75">
      <c r="A25330" s="2">
        <v>43875.749699074076</v>
      </c>
      <c r="B25330" t="str">
        <f>HYPERLINK("https://twitter.com/kandargalang","@kandargalang")</f>
        <v>@kandargalang</v>
      </c>
      <c r="C25330" t="s">
        <v>6201</v>
      </c>
      <c r="D25330">
        <v>109</v>
      </c>
      <c r="E25330">
        <v>0</v>
      </c>
      <c r="F25330">
        <v>16637</v>
      </c>
    </row>
    <row r="25331" spans="1:6" ht="12.75">
      <c r="A25331" s="2">
        <v>43875.7496875</v>
      </c>
      <c r="B25331" t="str">
        <f>HYPERLINK("https://twitter.com/heniunique","@heniunique")</f>
        <v>@heniunique</v>
      </c>
      <c r="C25331" t="s">
        <v>10165</v>
      </c>
      <c r="D25331">
        <v>10</v>
      </c>
      <c r="E25331">
        <v>0</v>
      </c>
      <c r="F25331">
        <v>9740</v>
      </c>
    </row>
    <row r="25332" spans="1:6" ht="12.75">
      <c r="A25332" s="2">
        <v>43875.74962962963</v>
      </c>
      <c r="B25332" t="str">
        <f>HYPERLINK("https://twitter.com/Lord_Sakto","@Lord_Sakto")</f>
        <v>@Lord_Sakto</v>
      </c>
      <c r="C25332" t="s">
        <v>11479</v>
      </c>
      <c r="D25332">
        <v>1</v>
      </c>
      <c r="E25332">
        <v>0</v>
      </c>
      <c r="F25332">
        <v>2808</v>
      </c>
    </row>
    <row r="25333" spans="1:6" ht="12.75">
      <c r="A25333" s="2">
        <v>43875.749606481477</v>
      </c>
      <c r="B25333" t="str">
        <f>HYPERLINK("https://twitter.com/kairocity22","@kairocity22")</f>
        <v>@kairocity22</v>
      </c>
      <c r="C25333" t="s">
        <v>11480</v>
      </c>
      <c r="D25333">
        <v>0</v>
      </c>
      <c r="E25333">
        <v>0</v>
      </c>
      <c r="F25333">
        <v>71</v>
      </c>
    </row>
    <row r="25334" spans="1:6" ht="12.75">
      <c r="A25334" s="2">
        <v>43875.749594907407</v>
      </c>
      <c r="B25334" t="str">
        <f>HYPERLINK("https://twitter.com/dabenone2","@dabenone2")</f>
        <v>@dabenone2</v>
      </c>
      <c r="C25334" t="s">
        <v>7478</v>
      </c>
      <c r="D25334">
        <v>291</v>
      </c>
      <c r="E25334">
        <v>0</v>
      </c>
      <c r="F25334">
        <v>44</v>
      </c>
    </row>
    <row r="25335" spans="1:6" ht="12.75">
      <c r="A25335" s="2">
        <v>43875.749537037038</v>
      </c>
      <c r="B25335" t="str">
        <f>HYPERLINK("https://twitter.com/resyad_alby","@resyad_alby")</f>
        <v>@resyad_alby</v>
      </c>
      <c r="C25335" t="s">
        <v>10096</v>
      </c>
      <c r="D25335">
        <v>150</v>
      </c>
      <c r="E25335">
        <v>0</v>
      </c>
      <c r="F25335">
        <v>145</v>
      </c>
    </row>
    <row r="25336" spans="1:6" ht="12.75">
      <c r="A25336" s="2">
        <v>43875.749502314815</v>
      </c>
      <c r="B25336" t="str">
        <f>HYPERLINK("https://twitter.com/aannurrohmatull","@aannurrohmatull")</f>
        <v>@aannurrohmatull</v>
      </c>
      <c r="C25336" t="s">
        <v>11481</v>
      </c>
      <c r="D25336">
        <v>3</v>
      </c>
      <c r="E25336">
        <v>0</v>
      </c>
      <c r="F25336">
        <v>654</v>
      </c>
    </row>
    <row r="25337" spans="1:6" ht="12.75">
      <c r="A25337" s="2">
        <v>43875.749490740738</v>
      </c>
      <c r="B25337" t="str">
        <f>HYPERLINK("https://twitter.com/firmanadhi3","@firmanadhi3")</f>
        <v>@firmanadhi3</v>
      </c>
      <c r="C25337" t="s">
        <v>7888</v>
      </c>
      <c r="D25337">
        <v>2</v>
      </c>
      <c r="E25337">
        <v>0</v>
      </c>
      <c r="F25337">
        <v>309</v>
      </c>
    </row>
    <row r="25338" spans="1:6" ht="12.75">
      <c r="A25338" s="2">
        <v>43875.749490740738</v>
      </c>
      <c r="B25338" t="str">
        <f>HYPERLINK("https://twitter.com/Derri_dayen","@Derri_dayen")</f>
        <v>@Derri_dayen</v>
      </c>
      <c r="C25338" t="s">
        <v>7478</v>
      </c>
      <c r="D25338">
        <v>291</v>
      </c>
      <c r="E25338">
        <v>0</v>
      </c>
      <c r="F25338">
        <v>662</v>
      </c>
    </row>
    <row r="25339" spans="1:6" ht="12.75">
      <c r="A25339" s="2">
        <v>43875.749421296292</v>
      </c>
      <c r="B25339" t="str">
        <f>HYPERLINK("https://twitter.com/FandiAc55658442","@FandiAc55658442")</f>
        <v>@FandiAc55658442</v>
      </c>
      <c r="C25339" t="s">
        <v>11482</v>
      </c>
      <c r="D25339">
        <v>0</v>
      </c>
      <c r="E25339">
        <v>0</v>
      </c>
      <c r="F25339">
        <v>3</v>
      </c>
    </row>
    <row r="25340" spans="1:6" ht="12.75">
      <c r="A25340" s="2">
        <v>43875.749374999999</v>
      </c>
      <c r="B25340" t="str">
        <f>HYPERLINK("https://twitter.com/anggunwda","@anggunwda")</f>
        <v>@anggunwda</v>
      </c>
      <c r="C25340" t="s">
        <v>2444</v>
      </c>
      <c r="D25340">
        <v>1857</v>
      </c>
      <c r="E25340">
        <v>0</v>
      </c>
      <c r="F25340">
        <v>650</v>
      </c>
    </row>
    <row r="25341" spans="1:6" ht="12.75">
      <c r="A25341" s="2">
        <v>43875.74931712963</v>
      </c>
      <c r="B25341" t="str">
        <f>HYPERLINK("https://twitter.com/sasa_laks","@sasa_laks")</f>
        <v>@sasa_laks</v>
      </c>
      <c r="C25341" t="s">
        <v>2444</v>
      </c>
      <c r="D25341">
        <v>1857</v>
      </c>
      <c r="E25341">
        <v>0</v>
      </c>
      <c r="F25341">
        <v>334</v>
      </c>
    </row>
    <row r="25342" spans="1:6" ht="12.75">
      <c r="A25342" s="2">
        <v>43875.749259259261</v>
      </c>
      <c r="B25342" t="str">
        <f>HYPERLINK("https://twitter.com/fachri_kh","@fachri_kh")</f>
        <v>@fachri_kh</v>
      </c>
      <c r="C25342" t="s">
        <v>7888</v>
      </c>
      <c r="D25342">
        <v>2</v>
      </c>
      <c r="E25342">
        <v>0</v>
      </c>
      <c r="F25342">
        <v>4036</v>
      </c>
    </row>
    <row r="25343" spans="1:6" ht="12.75">
      <c r="A25343" s="2">
        <v>43875.749016203699</v>
      </c>
      <c r="B25343" t="str">
        <f>HYPERLINK("https://twitter.com/black13side","@black13side")</f>
        <v>@black13side</v>
      </c>
      <c r="C25343" t="s">
        <v>6201</v>
      </c>
      <c r="D25343">
        <v>109</v>
      </c>
      <c r="E25343">
        <v>0</v>
      </c>
      <c r="F25343">
        <v>618</v>
      </c>
    </row>
    <row r="25344" spans="1:6" ht="12.75">
      <c r="A25344" s="2">
        <v>43875.748981481476</v>
      </c>
      <c r="B25344" t="str">
        <f>HYPERLINK("https://twitter.com/nowaldi","@nowaldi")</f>
        <v>@nowaldi</v>
      </c>
      <c r="C25344" t="s">
        <v>9746</v>
      </c>
      <c r="D25344">
        <v>280</v>
      </c>
      <c r="E25344">
        <v>0</v>
      </c>
      <c r="F25344">
        <v>291</v>
      </c>
    </row>
    <row r="25345" spans="1:6" ht="12.75">
      <c r="A25345" s="2">
        <v>43875.748981481476</v>
      </c>
      <c r="B25345" t="str">
        <f>HYPERLINK("https://twitter.com/doyokijay","@doyokijay")</f>
        <v>@doyokijay</v>
      </c>
      <c r="C25345" t="s">
        <v>11337</v>
      </c>
      <c r="D25345">
        <v>2</v>
      </c>
      <c r="E25345">
        <v>0</v>
      </c>
      <c r="F25345">
        <v>305</v>
      </c>
    </row>
    <row r="25346" spans="1:6" ht="12.75">
      <c r="A25346" s="2">
        <v>43875.748958333337</v>
      </c>
      <c r="B25346" t="str">
        <f>HYPERLINK("https://twitter.com/age_am","@age_am")</f>
        <v>@age_am</v>
      </c>
      <c r="C25346" t="s">
        <v>9947</v>
      </c>
      <c r="D25346">
        <v>337</v>
      </c>
      <c r="E25346">
        <v>0</v>
      </c>
      <c r="F25346">
        <v>457</v>
      </c>
    </row>
    <row r="25347" spans="1:6" ht="12.75">
      <c r="A25347" s="2">
        <v>43875.748888888891</v>
      </c>
      <c r="B25347" t="str">
        <f>HYPERLINK("https://twitter.com/gtmlyc","@gtmlyc")</f>
        <v>@gtmlyc</v>
      </c>
      <c r="C25347" t="s">
        <v>7068</v>
      </c>
      <c r="D25347">
        <v>20</v>
      </c>
      <c r="E25347">
        <v>0</v>
      </c>
      <c r="F25347">
        <v>311</v>
      </c>
    </row>
    <row r="25348" spans="1:6" ht="12.75">
      <c r="A25348" s="2">
        <v>43875.748854166668</v>
      </c>
      <c r="B25348" t="str">
        <f>HYPERLINK("https://twitter.com/jawapos","@jawapos")</f>
        <v>@jawapos</v>
      </c>
      <c r="C25348" t="s">
        <v>11483</v>
      </c>
      <c r="D25348">
        <v>0</v>
      </c>
      <c r="E25348">
        <v>0</v>
      </c>
      <c r="F25348">
        <v>116506</v>
      </c>
    </row>
    <row r="25349" spans="1:6" ht="12.75">
      <c r="A25349" s="2">
        <v>43875.748854166668</v>
      </c>
      <c r="B25349" t="str">
        <f>HYPERLINK("https://twitter.com/PutraDewax","@PutraDewax")</f>
        <v>@PutraDewax</v>
      </c>
      <c r="C25349" t="s">
        <v>2963</v>
      </c>
      <c r="D25349">
        <v>994</v>
      </c>
      <c r="E25349">
        <v>0</v>
      </c>
      <c r="F25349">
        <v>81</v>
      </c>
    </row>
    <row r="25350" spans="1:6" ht="12.75">
      <c r="A25350" s="2">
        <v>43875.748842592591</v>
      </c>
      <c r="B25350" t="str">
        <f>HYPERLINK("https://twitter.com/syadirsyad2602","@syadirsyad2602")</f>
        <v>@syadirsyad2602</v>
      </c>
      <c r="C25350" t="s">
        <v>2144</v>
      </c>
      <c r="D25350">
        <v>82</v>
      </c>
      <c r="E25350">
        <v>0</v>
      </c>
      <c r="F25350">
        <v>9</v>
      </c>
    </row>
    <row r="25351" spans="1:6" ht="12.75">
      <c r="A25351" s="2">
        <v>43875.748842592591</v>
      </c>
      <c r="B25351" t="str">
        <f>HYPERLINK("https://twitter.com/adihutama_20","@adihutama_20")</f>
        <v>@adihutama_20</v>
      </c>
      <c r="C25351" t="s">
        <v>2444</v>
      </c>
      <c r="D25351">
        <v>1857</v>
      </c>
      <c r="E25351">
        <v>0</v>
      </c>
      <c r="F25351">
        <v>277</v>
      </c>
    </row>
    <row r="25352" spans="1:6" ht="12.75">
      <c r="A25352" s="2">
        <v>43875.748831018514</v>
      </c>
      <c r="B25352" t="str">
        <f>HYPERLINK("https://twitter.com/abbe_kaka22","@abbe_kaka22")</f>
        <v>@abbe_kaka22</v>
      </c>
      <c r="C25352" t="s">
        <v>9746</v>
      </c>
      <c r="D25352">
        <v>280</v>
      </c>
      <c r="E25352">
        <v>0</v>
      </c>
      <c r="F25352">
        <v>292</v>
      </c>
    </row>
    <row r="25353" spans="1:6" ht="12.75">
      <c r="A25353" s="2">
        <v>43875.748761574076</v>
      </c>
      <c r="B25353" t="str">
        <f>HYPERLINK("https://twitter.com/AwaliaRizky_","@AwaliaRizky_")</f>
        <v>@AwaliaRizky_</v>
      </c>
      <c r="C25353" t="s">
        <v>2444</v>
      </c>
      <c r="D25353">
        <v>1857</v>
      </c>
      <c r="E25353">
        <v>0</v>
      </c>
      <c r="F25353">
        <v>423</v>
      </c>
    </row>
    <row r="25354" spans="1:6" ht="12.75">
      <c r="A25354" s="2">
        <v>43875.748692129629</v>
      </c>
      <c r="B25354" t="str">
        <f>HYPERLINK("https://twitter.com/okkywan95","@okkywan95")</f>
        <v>@okkywan95</v>
      </c>
      <c r="C25354" t="s">
        <v>2444</v>
      </c>
      <c r="D25354">
        <v>1857</v>
      </c>
      <c r="E25354">
        <v>0</v>
      </c>
      <c r="F25354">
        <v>37</v>
      </c>
    </row>
    <row r="25355" spans="1:6" ht="12.75">
      <c r="A25355" s="2">
        <v>43875.748668981483</v>
      </c>
      <c r="B25355" t="str">
        <f>HYPERLINK("https://twitter.com/ikuyalovebot","@ikuyalovebot")</f>
        <v>@ikuyalovebot</v>
      </c>
      <c r="C25355" t="s">
        <v>2444</v>
      </c>
      <c r="D25355">
        <v>1857</v>
      </c>
      <c r="E25355">
        <v>0</v>
      </c>
      <c r="F25355">
        <v>772</v>
      </c>
    </row>
    <row r="25356" spans="1:6" ht="12.75">
      <c r="A25356" s="2">
        <v>43875.748564814814</v>
      </c>
      <c r="B25356" t="str">
        <f>HYPERLINK("https://twitter.com/DidinMu53631004","@DidinMu53631004")</f>
        <v>@DidinMu53631004</v>
      </c>
      <c r="C25356" t="s">
        <v>11484</v>
      </c>
      <c r="D25356">
        <v>261</v>
      </c>
      <c r="E25356">
        <v>0</v>
      </c>
      <c r="F25356">
        <v>99</v>
      </c>
    </row>
    <row r="25357" spans="1:6" ht="12.75">
      <c r="A25357" s="2">
        <v>43875.748472222222</v>
      </c>
      <c r="B25357" t="str">
        <f>HYPERLINK("https://twitter.com/kaest309","@kaest309")</f>
        <v>@kaest309</v>
      </c>
      <c r="C25357" t="s">
        <v>2444</v>
      </c>
      <c r="D25357">
        <v>1857</v>
      </c>
      <c r="E25357">
        <v>0</v>
      </c>
      <c r="F25357">
        <v>641</v>
      </c>
    </row>
    <row r="25358" spans="1:6" ht="12.75">
      <c r="A25358" s="2">
        <v>43875.748449074075</v>
      </c>
      <c r="B25358" t="str">
        <f>HYPERLINK("https://twitter.com/gagukfby","@gagukfby")</f>
        <v>@gagukfby</v>
      </c>
      <c r="C25358" t="s">
        <v>2444</v>
      </c>
      <c r="D25358">
        <v>1857</v>
      </c>
      <c r="E25358">
        <v>0</v>
      </c>
      <c r="F25358">
        <v>324</v>
      </c>
    </row>
    <row r="25359" spans="1:6" ht="12.75">
      <c r="A25359" s="2">
        <v>43875.748391203699</v>
      </c>
      <c r="B25359" t="str">
        <f>HYPERLINK("https://twitter.com/squirreltokki","@squirreltokki")</f>
        <v>@squirreltokki</v>
      </c>
      <c r="C25359" t="s">
        <v>2137</v>
      </c>
      <c r="D25359">
        <v>155</v>
      </c>
      <c r="E25359">
        <v>0</v>
      </c>
      <c r="F25359">
        <v>118</v>
      </c>
    </row>
    <row r="25360" spans="1:6" ht="12.75">
      <c r="A25360" s="2">
        <v>43875.74836805556</v>
      </c>
      <c r="B25360" t="str">
        <f>HYPERLINK("https://twitter.com/pputri707","@pputri707")</f>
        <v>@pputri707</v>
      </c>
      <c r="C25360" t="s">
        <v>5168</v>
      </c>
      <c r="D25360">
        <v>843</v>
      </c>
      <c r="E25360">
        <v>0</v>
      </c>
      <c r="F25360">
        <v>19</v>
      </c>
    </row>
    <row r="25361" spans="1:6" ht="12.75">
      <c r="A25361" s="2">
        <v>43875.74832175926</v>
      </c>
      <c r="B25361" t="str">
        <f>HYPERLINK("https://twitter.com/DolinSimbolon","@DolinSimbolon")</f>
        <v>@DolinSimbolon</v>
      </c>
      <c r="C25361" t="s">
        <v>11485</v>
      </c>
      <c r="D25361">
        <v>0</v>
      </c>
      <c r="E25361">
        <v>0</v>
      </c>
      <c r="F25361">
        <v>46</v>
      </c>
    </row>
    <row r="25362" spans="1:6" ht="12.75">
      <c r="A25362" s="2">
        <v>43875.74832175926</v>
      </c>
      <c r="B25362" t="str">
        <f>HYPERLINK("https://twitter.com/dewitiara_","@dewitiara_")</f>
        <v>@dewitiara_</v>
      </c>
      <c r="C25362" t="s">
        <v>5168</v>
      </c>
      <c r="D25362">
        <v>843</v>
      </c>
      <c r="E25362">
        <v>0</v>
      </c>
      <c r="F25362">
        <v>781</v>
      </c>
    </row>
    <row r="25363" spans="1:6" ht="12.75">
      <c r="A25363" s="2">
        <v>43875.748298611114</v>
      </c>
      <c r="B25363" t="str">
        <f>HYPERLINK("https://twitter.com/egimaulana09","@egimaulana09")</f>
        <v>@egimaulana09</v>
      </c>
      <c r="C25363" t="s">
        <v>2444</v>
      </c>
      <c r="D25363">
        <v>1857</v>
      </c>
      <c r="E25363">
        <v>0</v>
      </c>
      <c r="F25363">
        <v>161</v>
      </c>
    </row>
    <row r="25364" spans="1:6" ht="12.75">
      <c r="A25364" s="2">
        <v>43875.748043981483</v>
      </c>
      <c r="B25364" t="str">
        <f>HYPERLINK("https://twitter.com/shani_888","@shani_888")</f>
        <v>@shani_888</v>
      </c>
      <c r="C25364" t="s">
        <v>11486</v>
      </c>
      <c r="D25364">
        <v>0</v>
      </c>
      <c r="E25364">
        <v>0</v>
      </c>
      <c r="F25364">
        <v>11</v>
      </c>
    </row>
    <row r="25365" spans="1:6" ht="12.75">
      <c r="A25365" s="2">
        <v>43875.747974537036</v>
      </c>
      <c r="B25365" t="str">
        <f>HYPERLINK("https://twitter.com/keanuoktazian","@keanuoktazian")</f>
        <v>@keanuoktazian</v>
      </c>
      <c r="C25365" t="s">
        <v>2444</v>
      </c>
      <c r="D25365">
        <v>1857</v>
      </c>
      <c r="E25365">
        <v>0</v>
      </c>
      <c r="F25365">
        <v>398</v>
      </c>
    </row>
    <row r="25366" spans="1:6" ht="12.75">
      <c r="A25366" s="2">
        <v>43875.747893518521</v>
      </c>
      <c r="B25366" t="str">
        <f>HYPERLINK("https://twitter.com/prawiro_warno","@prawiro_warno")</f>
        <v>@prawiro_warno</v>
      </c>
      <c r="C25366" t="s">
        <v>6201</v>
      </c>
      <c r="D25366">
        <v>109</v>
      </c>
      <c r="E25366">
        <v>0</v>
      </c>
      <c r="F25366">
        <v>598</v>
      </c>
    </row>
    <row r="25367" spans="1:6" ht="12.75">
      <c r="A25367" s="2">
        <v>43875.747789351852</v>
      </c>
      <c r="B25367" t="str">
        <f>HYPERLINK("https://twitter.com/ivooxid","@ivooxid")</f>
        <v>@ivooxid</v>
      </c>
      <c r="C25367" t="s">
        <v>11487</v>
      </c>
      <c r="D25367">
        <v>0</v>
      </c>
      <c r="E25367">
        <v>0</v>
      </c>
      <c r="F25367">
        <v>1432</v>
      </c>
    </row>
    <row r="25368" spans="1:6" ht="12.75">
      <c r="A25368" s="2">
        <v>43875.747546296298</v>
      </c>
      <c r="B25368" t="str">
        <f>HYPERLINK("https://twitter.com/aannurrohmatull","@aannurrohmatull")</f>
        <v>@aannurrohmatull</v>
      </c>
      <c r="C25368" t="s">
        <v>11488</v>
      </c>
      <c r="D25368">
        <v>0</v>
      </c>
      <c r="E25368">
        <v>0</v>
      </c>
      <c r="F25368">
        <v>654</v>
      </c>
    </row>
    <row r="25369" spans="1:6" ht="12.75">
      <c r="A25369" s="2">
        <v>43875.747534722221</v>
      </c>
      <c r="B25369" t="str">
        <f>HYPERLINK("https://twitter.com/hamballahygke10","@hamballahygke10")</f>
        <v>@hamballahygke10</v>
      </c>
      <c r="C25369" t="s">
        <v>2444</v>
      </c>
      <c r="D25369">
        <v>1857</v>
      </c>
      <c r="E25369">
        <v>0</v>
      </c>
      <c r="F25369">
        <v>182</v>
      </c>
    </row>
    <row r="25370" spans="1:6" ht="12.75">
      <c r="A25370" s="2">
        <v>43875.747407407413</v>
      </c>
      <c r="B25370" t="str">
        <f>HYPERLINK("https://twitter.com/OmBruBANS","@OmBruBANS")</f>
        <v>@OmBruBANS</v>
      </c>
      <c r="C25370" t="s">
        <v>2444</v>
      </c>
      <c r="D25370">
        <v>1857</v>
      </c>
      <c r="E25370">
        <v>0</v>
      </c>
      <c r="F25370">
        <v>861</v>
      </c>
    </row>
    <row r="25371" spans="1:6" ht="12.75">
      <c r="A25371" s="2">
        <v>43875.74726851852</v>
      </c>
      <c r="B25371" t="str">
        <f>HYPERLINK("https://twitter.com/AnnashrMaulana","@AnnashrMaulana")</f>
        <v>@AnnashrMaulana</v>
      </c>
      <c r="C25371" t="s">
        <v>9746</v>
      </c>
      <c r="D25371">
        <v>280</v>
      </c>
      <c r="E25371">
        <v>0</v>
      </c>
      <c r="F25371">
        <v>359</v>
      </c>
    </row>
    <row r="25372" spans="1:6" ht="12.75">
      <c r="A25372" s="2">
        <v>43875.74722222222</v>
      </c>
      <c r="B25372" t="str">
        <f>HYPERLINK("https://twitter.com/eko_suhartanto","@eko_suhartanto")</f>
        <v>@eko_suhartanto</v>
      </c>
      <c r="C25372" t="s">
        <v>2963</v>
      </c>
      <c r="D25372">
        <v>994</v>
      </c>
      <c r="E25372">
        <v>0</v>
      </c>
      <c r="F25372">
        <v>343</v>
      </c>
    </row>
    <row r="25373" spans="1:6" ht="12.75">
      <c r="A25373" s="2">
        <v>43875.747094907405</v>
      </c>
      <c r="B25373" t="str">
        <f>HYPERLINK("https://twitter.com/zanmubin","@zanmubin")</f>
        <v>@zanmubin</v>
      </c>
      <c r="C25373" t="s">
        <v>2444</v>
      </c>
      <c r="D25373">
        <v>1857</v>
      </c>
      <c r="E25373">
        <v>0</v>
      </c>
      <c r="F25373">
        <v>204</v>
      </c>
    </row>
    <row r="25374" spans="1:6" ht="12.75">
      <c r="A25374" s="2">
        <v>43875.747037037036</v>
      </c>
      <c r="B25374" t="str">
        <f>HYPERLINK("https://twitter.com/feizurrahman","@feizurrahman")</f>
        <v>@feizurrahman</v>
      </c>
      <c r="C25374" t="s">
        <v>2149</v>
      </c>
      <c r="D25374">
        <v>20</v>
      </c>
      <c r="E25374">
        <v>0</v>
      </c>
      <c r="F25374">
        <v>110</v>
      </c>
    </row>
    <row r="25375" spans="1:6" ht="12.75">
      <c r="A25375" s="2">
        <v>43875.747025462959</v>
      </c>
      <c r="B25375" t="str">
        <f>HYPERLINK("https://twitter.com/HDblek","@HDblek")</f>
        <v>@HDblek</v>
      </c>
      <c r="C25375" t="s">
        <v>11489</v>
      </c>
      <c r="D25375">
        <v>0</v>
      </c>
      <c r="E25375">
        <v>0</v>
      </c>
      <c r="F25375">
        <v>23</v>
      </c>
    </row>
    <row r="25376" spans="1:6" ht="12.75">
      <c r="A25376" s="2">
        <v>43875.74700231482</v>
      </c>
      <c r="B25376" t="str">
        <f>HYPERLINK("https://twitter.com/Nisaanzr","@Nisaanzr")</f>
        <v>@Nisaanzr</v>
      </c>
      <c r="C25376" t="s">
        <v>2444</v>
      </c>
      <c r="D25376">
        <v>1857</v>
      </c>
      <c r="E25376">
        <v>0</v>
      </c>
      <c r="F25376">
        <v>222</v>
      </c>
    </row>
    <row r="25377" spans="1:6" ht="12.75">
      <c r="A25377" s="2">
        <v>43875.746990740736</v>
      </c>
      <c r="B25377" t="str">
        <f>HYPERLINK("https://twitter.com/RindhaYuliani","@RindhaYuliani")</f>
        <v>@RindhaYuliani</v>
      </c>
      <c r="C25377" t="s">
        <v>2444</v>
      </c>
      <c r="D25377">
        <v>1857</v>
      </c>
      <c r="E25377">
        <v>0</v>
      </c>
      <c r="F25377">
        <v>466</v>
      </c>
    </row>
    <row r="25378" spans="1:6" ht="12.75">
      <c r="A25378" s="2">
        <v>43875.746944444443</v>
      </c>
      <c r="B25378" t="str">
        <f>HYPERLINK("https://twitter.com/SATRIAN09792416","@SATRIAN09792416")</f>
        <v>@SATRIAN09792416</v>
      </c>
      <c r="C25378" t="s">
        <v>11490</v>
      </c>
      <c r="D25378">
        <v>0</v>
      </c>
      <c r="E25378">
        <v>0</v>
      </c>
      <c r="F25378">
        <v>1348</v>
      </c>
    </row>
    <row r="25379" spans="1:6" ht="12.75">
      <c r="A25379" s="2">
        <v>43875.746851851851</v>
      </c>
      <c r="B25379" t="str">
        <f>HYPERLINK("https://twitter.com/ariewid","@ariewid")</f>
        <v>@ariewid</v>
      </c>
      <c r="C25379" t="s">
        <v>5168</v>
      </c>
      <c r="D25379">
        <v>843</v>
      </c>
      <c r="E25379">
        <v>0</v>
      </c>
      <c r="F25379">
        <v>391</v>
      </c>
    </row>
    <row r="25380" spans="1:6" ht="12.75">
      <c r="A25380" s="2">
        <v>43875.746840277774</v>
      </c>
      <c r="B25380" t="str">
        <f>HYPERLINK("https://twitter.com/ndmdri","@ndmdri")</f>
        <v>@ndmdri</v>
      </c>
      <c r="C25380" t="s">
        <v>2444</v>
      </c>
      <c r="D25380">
        <v>1857</v>
      </c>
      <c r="E25380">
        <v>0</v>
      </c>
      <c r="F25380">
        <v>857</v>
      </c>
    </row>
    <row r="25381" spans="1:6" ht="12.75">
      <c r="A25381" s="2">
        <v>43875.746782407412</v>
      </c>
      <c r="B25381" t="str">
        <f>HYPERLINK("https://twitter.com/koobapsae","@koobapsae")</f>
        <v>@koobapsae</v>
      </c>
      <c r="C25381" t="s">
        <v>2444</v>
      </c>
      <c r="D25381">
        <v>1857</v>
      </c>
      <c r="E25381">
        <v>0</v>
      </c>
      <c r="F25381">
        <v>847</v>
      </c>
    </row>
    <row r="25382" spans="1:6" ht="12.75">
      <c r="A25382" s="2">
        <v>43875.746782407412</v>
      </c>
      <c r="B25382" t="str">
        <f>HYPERLINK("https://twitter.com/GusdurianBraya","@GusdurianBraya")</f>
        <v>@GusdurianBraya</v>
      </c>
      <c r="C25382" t="s">
        <v>2149</v>
      </c>
      <c r="D25382">
        <v>20</v>
      </c>
      <c r="E25382">
        <v>0</v>
      </c>
      <c r="F25382">
        <v>327</v>
      </c>
    </row>
    <row r="25383" spans="1:6" ht="12.75">
      <c r="A25383" s="2">
        <v>43875.746747685189</v>
      </c>
      <c r="B25383" t="str">
        <f>HYPERLINK("https://twitter.com/aannurrohmatull","@aannurrohmatull")</f>
        <v>@aannurrohmatull</v>
      </c>
      <c r="C25383" t="s">
        <v>9538</v>
      </c>
      <c r="D25383">
        <v>146</v>
      </c>
      <c r="E25383">
        <v>0</v>
      </c>
      <c r="F25383">
        <v>654</v>
      </c>
    </row>
    <row r="25384" spans="1:6" ht="12.75">
      <c r="A25384" s="2">
        <v>43875.746631944443</v>
      </c>
      <c r="B25384" t="str">
        <f>HYPERLINK("https://twitter.com/KoeswaraMas","@KoeswaraMas")</f>
        <v>@KoeswaraMas</v>
      </c>
      <c r="C25384" t="s">
        <v>9746</v>
      </c>
      <c r="D25384">
        <v>280</v>
      </c>
      <c r="E25384">
        <v>0</v>
      </c>
      <c r="F25384">
        <v>788</v>
      </c>
    </row>
    <row r="25385" spans="1:6" ht="12.75">
      <c r="A25385" s="2">
        <v>43875.746608796297</v>
      </c>
      <c r="B25385" t="str">
        <f>HYPERLINK("https://twitter.com/idn_update","@idn_update")</f>
        <v>@idn_update</v>
      </c>
      <c r="C25385" t="s">
        <v>11323</v>
      </c>
      <c r="D25385">
        <v>0</v>
      </c>
      <c r="E25385">
        <v>0</v>
      </c>
      <c r="F25385">
        <v>676</v>
      </c>
    </row>
    <row r="25386" spans="1:6" ht="12.75">
      <c r="A25386" s="2">
        <v>43875.746608796297</v>
      </c>
      <c r="B25386" t="str">
        <f>HYPERLINK("https://twitter.com/juontor","@juontor")</f>
        <v>@juontor</v>
      </c>
      <c r="C25386" t="s">
        <v>11330</v>
      </c>
      <c r="D25386">
        <v>114</v>
      </c>
      <c r="E25386">
        <v>0</v>
      </c>
      <c r="F25386">
        <v>350</v>
      </c>
    </row>
    <row r="25387" spans="1:6" ht="12.75">
      <c r="A25387" s="2">
        <v>43875.746539351851</v>
      </c>
      <c r="B25387" t="str">
        <f>HYPERLINK("https://twitter.com/akucintaususku","@akucintaususku")</f>
        <v>@akucintaususku</v>
      </c>
      <c r="C25387" t="s">
        <v>11491</v>
      </c>
      <c r="D25387">
        <v>2</v>
      </c>
      <c r="E25387">
        <v>0</v>
      </c>
      <c r="F25387">
        <v>681</v>
      </c>
    </row>
    <row r="25388" spans="1:6" ht="12.75">
      <c r="A25388" s="2">
        <v>43875.746527777781</v>
      </c>
      <c r="B25388" t="str">
        <f>HYPERLINK("https://twitter.com/CCANOY_","@CCANOY_")</f>
        <v>@CCANOY_</v>
      </c>
      <c r="C25388" t="s">
        <v>5168</v>
      </c>
      <c r="D25388">
        <v>843</v>
      </c>
      <c r="E25388">
        <v>0</v>
      </c>
      <c r="F25388">
        <v>233</v>
      </c>
    </row>
    <row r="25389" spans="1:6" ht="12.75">
      <c r="A25389" s="2">
        <v>43875.746504629627</v>
      </c>
      <c r="B25389" t="str">
        <f>HYPERLINK("https://twitter.com/Wrp73RM","@Wrp73RM")</f>
        <v>@Wrp73RM</v>
      </c>
      <c r="C25389" t="s">
        <v>6201</v>
      </c>
      <c r="D25389">
        <v>109</v>
      </c>
      <c r="E25389">
        <v>0</v>
      </c>
      <c r="F25389">
        <v>676</v>
      </c>
    </row>
    <row r="25390" spans="1:6" ht="12.75">
      <c r="A25390" s="2">
        <v>43875.746481481481</v>
      </c>
      <c r="B25390" t="str">
        <f>HYPERLINK("https://twitter.com/maktal_212","@maktal_212")</f>
        <v>@maktal_212</v>
      </c>
      <c r="C25390" t="s">
        <v>10593</v>
      </c>
      <c r="D25390">
        <v>43</v>
      </c>
      <c r="E25390">
        <v>0</v>
      </c>
      <c r="F25390">
        <v>1431</v>
      </c>
    </row>
    <row r="25391" spans="1:6" ht="12.75">
      <c r="A25391" s="2">
        <v>43875.746469907404</v>
      </c>
      <c r="B25391" t="str">
        <f>HYPERLINK("https://twitter.com/0d5e359a58f4437","@0d5e359a58f4437")</f>
        <v>@0d5e359a58f4437</v>
      </c>
      <c r="C25391" t="s">
        <v>11492</v>
      </c>
      <c r="D25391">
        <v>0</v>
      </c>
      <c r="E25391">
        <v>0</v>
      </c>
      <c r="F25391">
        <v>870</v>
      </c>
    </row>
    <row r="25392" spans="1:6" ht="12.75">
      <c r="A25392" s="2">
        <v>43875.746331018519</v>
      </c>
      <c r="B25392" t="str">
        <f>HYPERLINK("https://twitter.com/miekewj","@miekewj")</f>
        <v>@miekewj</v>
      </c>
      <c r="C25392" t="s">
        <v>2444</v>
      </c>
      <c r="D25392">
        <v>1857</v>
      </c>
      <c r="E25392">
        <v>0</v>
      </c>
      <c r="F25392">
        <v>696</v>
      </c>
    </row>
    <row r="25393" spans="1:6" ht="12.75">
      <c r="A25393" s="2">
        <v>43875.74628472222</v>
      </c>
      <c r="B25393" t="str">
        <f>HYPERLINK("https://twitter.com/MajidDarham","@MajidDarham")</f>
        <v>@MajidDarham</v>
      </c>
      <c r="C25393" t="s">
        <v>11493</v>
      </c>
      <c r="D25393">
        <v>0</v>
      </c>
      <c r="E25393">
        <v>0</v>
      </c>
      <c r="F25393">
        <v>10</v>
      </c>
    </row>
    <row r="25394" spans="1:6" ht="12.75">
      <c r="A25394" s="2">
        <v>43875.746249999997</v>
      </c>
      <c r="B25394" t="str">
        <f>HYPERLINK("https://twitter.com/maktal_212","@maktal_212")</f>
        <v>@maktal_212</v>
      </c>
      <c r="C25394" t="s">
        <v>10052</v>
      </c>
      <c r="D25394">
        <v>37</v>
      </c>
      <c r="E25394">
        <v>0</v>
      </c>
      <c r="F25394">
        <v>1431</v>
      </c>
    </row>
    <row r="25395" spans="1:6" ht="12.75">
      <c r="A25395" s="2">
        <v>43875.746249999997</v>
      </c>
      <c r="B25395" t="str">
        <f>HYPERLINK("https://twitter.com/as_Smr","@as_Smr")</f>
        <v>@as_Smr</v>
      </c>
      <c r="C25395" t="s">
        <v>2963</v>
      </c>
      <c r="D25395">
        <v>994</v>
      </c>
      <c r="E25395">
        <v>0</v>
      </c>
      <c r="F25395">
        <v>106</v>
      </c>
    </row>
    <row r="25396" spans="1:6" ht="12.75">
      <c r="A25396" s="2">
        <v>43875.74622685185</v>
      </c>
      <c r="B25396" t="str">
        <f>HYPERLINK("https://twitter.com/akuinginnnn","@akuinginnnn")</f>
        <v>@akuinginnnn</v>
      </c>
      <c r="C25396" t="s">
        <v>2444</v>
      </c>
      <c r="D25396">
        <v>1857</v>
      </c>
      <c r="E25396">
        <v>0</v>
      </c>
      <c r="F25396">
        <v>505</v>
      </c>
    </row>
    <row r="25397" spans="1:6" ht="12.75">
      <c r="A25397" s="2">
        <v>43875.746203703704</v>
      </c>
      <c r="B25397" t="str">
        <f>HYPERLINK("https://twitter.com/rozi_amat","@rozi_amat")</f>
        <v>@rozi_amat</v>
      </c>
      <c r="C25397" t="s">
        <v>11337</v>
      </c>
      <c r="D25397">
        <v>2</v>
      </c>
      <c r="E25397">
        <v>0</v>
      </c>
      <c r="F25397">
        <v>787</v>
      </c>
    </row>
    <row r="25398" spans="1:6" ht="12.75">
      <c r="A25398" s="2">
        <v>43875.746168981481</v>
      </c>
      <c r="B25398" t="str">
        <f>HYPERLINK("https://twitter.com/rdsamin","@rdsamin")</f>
        <v>@rdsamin</v>
      </c>
      <c r="C25398" t="s">
        <v>11494</v>
      </c>
      <c r="D25398">
        <v>0</v>
      </c>
      <c r="E25398">
        <v>0</v>
      </c>
      <c r="F25398">
        <v>488</v>
      </c>
    </row>
    <row r="25399" spans="1:6" ht="12.75">
      <c r="A25399" s="2">
        <v>43875.746168981481</v>
      </c>
      <c r="B25399" t="str">
        <f>HYPERLINK("https://twitter.com/ordinary68","@ordinary68")</f>
        <v>@ordinary68</v>
      </c>
      <c r="C25399" t="s">
        <v>11495</v>
      </c>
      <c r="D25399">
        <v>0</v>
      </c>
      <c r="E25399">
        <v>0</v>
      </c>
      <c r="F25399">
        <v>158</v>
      </c>
    </row>
    <row r="25400" spans="1:6" ht="12.75">
      <c r="A25400" s="2">
        <v>43875.745983796296</v>
      </c>
      <c r="B25400" t="str">
        <f>HYPERLINK("https://twitter.com/asep_maoshul","@asep_maoshul")</f>
        <v>@asep_maoshul</v>
      </c>
      <c r="C25400" t="s">
        <v>6201</v>
      </c>
      <c r="D25400">
        <v>109</v>
      </c>
      <c r="E25400">
        <v>0</v>
      </c>
      <c r="F25400">
        <v>1554</v>
      </c>
    </row>
    <row r="25401" spans="1:6" ht="12.75">
      <c r="A25401" s="2">
        <v>43875.745983796296</v>
      </c>
      <c r="B25401" t="str">
        <f>HYPERLINK("https://twitter.com/OctoRisel","@OctoRisel")</f>
        <v>@OctoRisel</v>
      </c>
      <c r="C25401" t="s">
        <v>175</v>
      </c>
      <c r="D25401">
        <v>5291</v>
      </c>
      <c r="E25401">
        <v>0</v>
      </c>
      <c r="F25401">
        <v>73</v>
      </c>
    </row>
    <row r="25402" spans="1:6" ht="12.75">
      <c r="A25402" s="2">
        <v>43875.745972222227</v>
      </c>
      <c r="B25402" t="str">
        <f>HYPERLINK("https://twitter.com/idn_update","@idn_update")</f>
        <v>@idn_update</v>
      </c>
      <c r="C25402" t="s">
        <v>11413</v>
      </c>
      <c r="D25402">
        <v>0</v>
      </c>
      <c r="E25402">
        <v>0</v>
      </c>
      <c r="F25402">
        <v>676</v>
      </c>
    </row>
    <row r="25403" spans="1:6" ht="12.75">
      <c r="A25403" s="2">
        <v>43875.74590277778</v>
      </c>
      <c r="B25403" t="str">
        <f>HYPERLINK("https://twitter.com/Kumbanghutan18","@Kumbanghutan18")</f>
        <v>@Kumbanghutan18</v>
      </c>
      <c r="C25403" t="s">
        <v>7478</v>
      </c>
      <c r="D25403">
        <v>291</v>
      </c>
      <c r="E25403">
        <v>0</v>
      </c>
      <c r="F25403">
        <v>651</v>
      </c>
    </row>
    <row r="25404" spans="1:6" ht="12.75">
      <c r="A25404" s="2">
        <v>43875.74590277778</v>
      </c>
      <c r="B25404" t="str">
        <f>HYPERLINK("https://twitter.com/baek_dewi","@baek_dewi")</f>
        <v>@baek_dewi</v>
      </c>
      <c r="C25404" t="s">
        <v>11496</v>
      </c>
      <c r="D25404">
        <v>0</v>
      </c>
      <c r="E25404">
        <v>0</v>
      </c>
      <c r="F25404">
        <v>76</v>
      </c>
    </row>
    <row r="25405" spans="1:6" ht="12.75">
      <c r="A25405" s="2">
        <v>43875.745844907404</v>
      </c>
      <c r="B25405" t="str">
        <f>HYPERLINK("https://twitter.com/adstiana","@adstiana")</f>
        <v>@adstiana</v>
      </c>
      <c r="C25405" t="s">
        <v>2444</v>
      </c>
      <c r="D25405">
        <v>1857</v>
      </c>
      <c r="E25405">
        <v>0</v>
      </c>
      <c r="F25405">
        <v>641</v>
      </c>
    </row>
    <row r="25406" spans="1:6" ht="12.75">
      <c r="A25406" s="2">
        <v>43875.745833333334</v>
      </c>
      <c r="B25406" t="str">
        <f>HYPERLINK("https://twitter.com/apaasii","@apaasii")</f>
        <v>@apaasii</v>
      </c>
      <c r="C25406" t="s">
        <v>9067</v>
      </c>
      <c r="D25406">
        <v>11</v>
      </c>
      <c r="E25406">
        <v>0</v>
      </c>
      <c r="F25406">
        <v>200</v>
      </c>
    </row>
    <row r="25407" spans="1:6" ht="12.75">
      <c r="A25407" s="2">
        <v>43875.745810185181</v>
      </c>
      <c r="B25407" t="str">
        <f>HYPERLINK("https://twitter.com/nouvalnopal","@nouvalnopal")</f>
        <v>@nouvalnopal</v>
      </c>
      <c r="C25407" t="s">
        <v>2444</v>
      </c>
      <c r="D25407">
        <v>1857</v>
      </c>
      <c r="E25407">
        <v>0</v>
      </c>
      <c r="F25407">
        <v>1464</v>
      </c>
    </row>
    <row r="25408" spans="1:6" ht="12.75">
      <c r="A25408" s="2">
        <v>43875.745798611111</v>
      </c>
      <c r="B25408" t="str">
        <f>HYPERLINK("https://twitter.com/way_firdaus","@way_firdaus")</f>
        <v>@way_firdaus</v>
      </c>
      <c r="C25408" t="s">
        <v>9377</v>
      </c>
      <c r="D25408">
        <v>17</v>
      </c>
      <c r="E25408">
        <v>0</v>
      </c>
      <c r="F25408">
        <v>282</v>
      </c>
    </row>
    <row r="25409" spans="1:6" ht="12.75">
      <c r="A25409" s="2">
        <v>43875.745729166665</v>
      </c>
      <c r="B25409" t="str">
        <f>HYPERLINK("https://twitter.com/apaasii","@apaasii")</f>
        <v>@apaasii</v>
      </c>
      <c r="C25409" t="s">
        <v>9123</v>
      </c>
      <c r="D25409">
        <v>240</v>
      </c>
      <c r="E25409">
        <v>0</v>
      </c>
      <c r="F25409">
        <v>200</v>
      </c>
    </row>
    <row r="25410" spans="1:6" ht="12.75">
      <c r="A25410" s="2">
        <v>43875.745659722219</v>
      </c>
      <c r="B25410" t="str">
        <f>HYPERLINK("https://twitter.com/princes66934439","@princes66934439")</f>
        <v>@princes66934439</v>
      </c>
      <c r="C25410" t="s">
        <v>11323</v>
      </c>
      <c r="D25410">
        <v>0</v>
      </c>
      <c r="E25410">
        <v>0</v>
      </c>
      <c r="F25410">
        <v>46</v>
      </c>
    </row>
    <row r="25411" spans="1:6" ht="12.75">
      <c r="A25411" s="2">
        <v>43875.745636574073</v>
      </c>
      <c r="B25411" t="str">
        <f>HYPERLINK("https://twitter.com/atrhi","@atrhi")</f>
        <v>@atrhi</v>
      </c>
      <c r="C25411" t="s">
        <v>2444</v>
      </c>
      <c r="D25411">
        <v>1857</v>
      </c>
      <c r="E25411">
        <v>0</v>
      </c>
      <c r="F25411">
        <v>299</v>
      </c>
    </row>
    <row r="25412" spans="1:6" ht="12.75">
      <c r="A25412" s="2">
        <v>43875.745636574073</v>
      </c>
      <c r="B25412" t="str">
        <f>HYPERLINK("https://twitter.com/ruangsigit","@ruangsigit")</f>
        <v>@ruangsigit</v>
      </c>
      <c r="C25412" t="s">
        <v>11497</v>
      </c>
      <c r="D25412">
        <v>0</v>
      </c>
      <c r="E25412">
        <v>0</v>
      </c>
      <c r="F25412">
        <v>180</v>
      </c>
    </row>
    <row r="25413" spans="1:6" ht="12.75">
      <c r="A25413" s="2">
        <v>43875.745613425926</v>
      </c>
      <c r="B25413" t="str">
        <f>HYPERLINK("https://twitter.com/jkt1488","@jkt1488")</f>
        <v>@jkt1488</v>
      </c>
      <c r="C25413" t="s">
        <v>5168</v>
      </c>
      <c r="D25413">
        <v>843</v>
      </c>
      <c r="E25413">
        <v>0</v>
      </c>
      <c r="F25413">
        <v>105</v>
      </c>
    </row>
    <row r="25414" spans="1:6" ht="12.75">
      <c r="A25414" s="2">
        <v>43875.74554398148</v>
      </c>
      <c r="B25414" t="str">
        <f>HYPERLINK("https://twitter.com/Eustasboy","@Eustasboy")</f>
        <v>@Eustasboy</v>
      </c>
      <c r="C25414" t="s">
        <v>5168</v>
      </c>
      <c r="D25414">
        <v>843</v>
      </c>
      <c r="E25414">
        <v>0</v>
      </c>
      <c r="F25414">
        <v>1887</v>
      </c>
    </row>
    <row r="25415" spans="1:6" ht="12.75">
      <c r="A25415" s="2">
        <v>43875.745532407411</v>
      </c>
      <c r="B25415" t="str">
        <f>HYPERLINK("https://twitter.com/CCANOY_","@CCANOY_")</f>
        <v>@CCANOY_</v>
      </c>
      <c r="C25415" t="s">
        <v>7068</v>
      </c>
      <c r="D25415">
        <v>20</v>
      </c>
      <c r="E25415">
        <v>0</v>
      </c>
      <c r="F25415">
        <v>233</v>
      </c>
    </row>
    <row r="25416" spans="1:6" ht="12.75">
      <c r="A25416" s="2">
        <v>43875.745520833334</v>
      </c>
      <c r="B25416" t="str">
        <f>HYPERLINK("https://twitter.com/naturapersada","@naturapersada")</f>
        <v>@naturapersada</v>
      </c>
      <c r="C25416" t="s">
        <v>11498</v>
      </c>
      <c r="D25416">
        <v>0</v>
      </c>
      <c r="E25416">
        <v>0</v>
      </c>
      <c r="F25416">
        <v>1615</v>
      </c>
    </row>
    <row r="25417" spans="1:6" ht="12.75">
      <c r="A25417" s="2">
        <v>43875.745509259257</v>
      </c>
      <c r="B25417" t="str">
        <f>HYPERLINK("https://twitter.com/apaasii","@apaasii")</f>
        <v>@apaasii</v>
      </c>
      <c r="C25417" t="s">
        <v>2444</v>
      </c>
      <c r="D25417">
        <v>1857</v>
      </c>
      <c r="E25417">
        <v>0</v>
      </c>
      <c r="F25417">
        <v>200</v>
      </c>
    </row>
    <row r="25418" spans="1:6" ht="12.75">
      <c r="A25418" s="2">
        <v>43875.745497685188</v>
      </c>
      <c r="B25418" t="str">
        <f>HYPERLINK("https://twitter.com/ismail_pratama1","@ismail_pratama1")</f>
        <v>@ismail_pratama1</v>
      </c>
      <c r="C25418" t="s">
        <v>2444</v>
      </c>
      <c r="D25418">
        <v>1857</v>
      </c>
      <c r="E25418">
        <v>0</v>
      </c>
      <c r="F25418">
        <v>178</v>
      </c>
    </row>
    <row r="25419" spans="1:6" ht="12.75">
      <c r="A25419" s="2">
        <v>43875.745428240742</v>
      </c>
      <c r="B25419" t="str">
        <f>HYPERLINK("https://twitter.com/princes66934439","@princes66934439")</f>
        <v>@princes66934439</v>
      </c>
      <c r="C25419" t="s">
        <v>11413</v>
      </c>
      <c r="D25419">
        <v>0</v>
      </c>
      <c r="E25419">
        <v>0</v>
      </c>
      <c r="F25419">
        <v>46</v>
      </c>
    </row>
    <row r="25420" spans="1:6" ht="12.75">
      <c r="A25420" s="2">
        <v>43875.745416666672</v>
      </c>
      <c r="B25420" t="str">
        <f>HYPERLINK("https://twitter.com/wahyuriatri","@wahyuriatri")</f>
        <v>@wahyuriatri</v>
      </c>
      <c r="C25420" t="s">
        <v>2745</v>
      </c>
      <c r="D25420">
        <v>12286</v>
      </c>
      <c r="E25420">
        <v>0</v>
      </c>
      <c r="F25420">
        <v>420</v>
      </c>
    </row>
    <row r="25421" spans="1:6" ht="12.75">
      <c r="A25421" s="2">
        <v>43875.745416666672</v>
      </c>
      <c r="B25421" t="str">
        <f>HYPERLINK("https://twitter.com/beneficialfish","@beneficialfish")</f>
        <v>@beneficialfish</v>
      </c>
      <c r="C25421" t="s">
        <v>2444</v>
      </c>
      <c r="D25421">
        <v>1857</v>
      </c>
      <c r="E25421">
        <v>0</v>
      </c>
      <c r="F25421">
        <v>510</v>
      </c>
    </row>
    <row r="25422" spans="1:6" ht="12.75">
      <c r="A25422" s="2">
        <v>43875.745393518519</v>
      </c>
      <c r="B25422" t="str">
        <f>HYPERLINK("https://twitter.com/lontongtahu_","@lontongtahu_")</f>
        <v>@lontongtahu_</v>
      </c>
      <c r="C25422" t="s">
        <v>2963</v>
      </c>
      <c r="D25422">
        <v>994</v>
      </c>
      <c r="E25422">
        <v>0</v>
      </c>
      <c r="F25422">
        <v>167</v>
      </c>
    </row>
    <row r="25423" spans="1:6" ht="12.75">
      <c r="A25423" s="2">
        <v>43875.745393518519</v>
      </c>
      <c r="B25423" t="str">
        <f>HYPERLINK("https://twitter.com/kihyun887","@kihyun887")</f>
        <v>@kihyun887</v>
      </c>
      <c r="C25423" t="s">
        <v>2444</v>
      </c>
      <c r="D25423">
        <v>1857</v>
      </c>
      <c r="E25423">
        <v>0</v>
      </c>
      <c r="F25423">
        <v>101</v>
      </c>
    </row>
    <row r="25424" spans="1:6" ht="12.75">
      <c r="A25424" s="2">
        <v>43875.745057870372</v>
      </c>
      <c r="B25424" t="str">
        <f>HYPERLINK("https://twitter.com/iqbal_murtadho","@iqbal_murtadho")</f>
        <v>@iqbal_murtadho</v>
      </c>
      <c r="C25424" t="s">
        <v>6201</v>
      </c>
      <c r="D25424">
        <v>109</v>
      </c>
      <c r="E25424">
        <v>0</v>
      </c>
      <c r="F25424">
        <v>297</v>
      </c>
    </row>
    <row r="25425" spans="1:6" ht="12.75">
      <c r="A25425" s="2">
        <v>43875.74496527778</v>
      </c>
      <c r="B25425" t="str">
        <f>HYPERLINK("https://twitter.com/way_firdaus","@way_firdaus")</f>
        <v>@way_firdaus</v>
      </c>
      <c r="C25425" t="s">
        <v>8571</v>
      </c>
      <c r="D25425">
        <v>40</v>
      </c>
      <c r="E25425">
        <v>0</v>
      </c>
      <c r="F25425">
        <v>282</v>
      </c>
    </row>
    <row r="25426" spans="1:6" ht="12.75">
      <c r="A25426" s="2">
        <v>43875.744930555556</v>
      </c>
      <c r="B25426" t="str">
        <f>HYPERLINK("https://twitter.com/Adot1998","@Adot1998")</f>
        <v>@Adot1998</v>
      </c>
      <c r="C25426" t="s">
        <v>9732</v>
      </c>
      <c r="D25426">
        <v>56</v>
      </c>
      <c r="E25426">
        <v>0</v>
      </c>
      <c r="F25426">
        <v>15457</v>
      </c>
    </row>
    <row r="25427" spans="1:6" ht="12.75">
      <c r="A25427" s="2">
        <v>43875.744895833333</v>
      </c>
      <c r="B25427" t="str">
        <f>HYPERLINK("https://twitter.com/aduhharusmikir","@aduhharusmikir")</f>
        <v>@aduhharusmikir</v>
      </c>
      <c r="C25427" t="s">
        <v>2444</v>
      </c>
      <c r="D25427">
        <v>1857</v>
      </c>
      <c r="E25427">
        <v>0</v>
      </c>
      <c r="F25427">
        <v>22</v>
      </c>
    </row>
    <row r="25428" spans="1:6" ht="12.75">
      <c r="A25428" s="2">
        <v>43875.74486111111</v>
      </c>
      <c r="B25428" t="str">
        <f>HYPERLINK("https://twitter.com/dare_darou","@dare_darou")</f>
        <v>@dare_darou</v>
      </c>
      <c r="C25428" t="s">
        <v>5168</v>
      </c>
      <c r="D25428">
        <v>843</v>
      </c>
      <c r="E25428">
        <v>0</v>
      </c>
      <c r="F25428">
        <v>2840</v>
      </c>
    </row>
    <row r="25429" spans="1:6" ht="12.75">
      <c r="A25429" s="2">
        <v>43875.744652777779</v>
      </c>
      <c r="B25429" t="str">
        <f>HYPERLINK("https://twitter.com/Dani_Cicadas","@Dani_Cicadas")</f>
        <v>@Dani_Cicadas</v>
      </c>
      <c r="C25429" t="s">
        <v>7478</v>
      </c>
      <c r="D25429">
        <v>291</v>
      </c>
      <c r="E25429">
        <v>0</v>
      </c>
      <c r="F25429">
        <v>1044</v>
      </c>
    </row>
    <row r="25430" spans="1:6" ht="12.75">
      <c r="A25430" s="2">
        <v>43875.744560185187</v>
      </c>
      <c r="B25430" t="str">
        <f>HYPERLINK("https://twitter.com/OViktorLimbong","@OViktorLimbong")</f>
        <v>@OViktorLimbong</v>
      </c>
      <c r="C25430" t="s">
        <v>2110</v>
      </c>
      <c r="D25430">
        <v>50</v>
      </c>
      <c r="E25430">
        <v>0</v>
      </c>
      <c r="F25430">
        <v>682</v>
      </c>
    </row>
    <row r="25431" spans="1:6" ht="12.75">
      <c r="A25431" s="2">
        <v>43875.744537037041</v>
      </c>
      <c r="B25431" t="str">
        <f>HYPERLINK("https://twitter.com/kingsDja","@kingsDja")</f>
        <v>@kingsDja</v>
      </c>
      <c r="C25431" t="s">
        <v>6355</v>
      </c>
      <c r="D25431">
        <v>239</v>
      </c>
      <c r="E25431">
        <v>0</v>
      </c>
      <c r="F25431">
        <v>689</v>
      </c>
    </row>
    <row r="25432" spans="1:6" ht="12.75">
      <c r="A25432" s="2">
        <v>43875.744513888887</v>
      </c>
      <c r="B25432" t="str">
        <f>HYPERLINK("https://twitter.com/itsmgnn","@itsmgnn")</f>
        <v>@itsmgnn</v>
      </c>
      <c r="C25432" t="s">
        <v>2444</v>
      </c>
      <c r="D25432">
        <v>1857</v>
      </c>
      <c r="E25432">
        <v>0</v>
      </c>
      <c r="F25432">
        <v>285</v>
      </c>
    </row>
    <row r="25433" spans="1:6" ht="12.75">
      <c r="A25433" s="2">
        <v>43875.744502314818</v>
      </c>
      <c r="B25433" t="str">
        <f>HYPERLINK("https://twitter.com/al_sfr18","@al_sfr18")</f>
        <v>@al_sfr18</v>
      </c>
      <c r="C25433" t="s">
        <v>9835</v>
      </c>
      <c r="D25433">
        <v>42</v>
      </c>
      <c r="E25433">
        <v>0</v>
      </c>
      <c r="F25433">
        <v>165</v>
      </c>
    </row>
    <row r="25434" spans="1:6" ht="12.75">
      <c r="A25434" s="2">
        <v>43875.744479166664</v>
      </c>
      <c r="B25434" t="str">
        <f>HYPERLINK("https://twitter.com/jamzsay","@jamzsay")</f>
        <v>@jamzsay</v>
      </c>
      <c r="C25434" t="s">
        <v>2963</v>
      </c>
      <c r="D25434">
        <v>994</v>
      </c>
      <c r="E25434">
        <v>0</v>
      </c>
      <c r="F25434">
        <v>1298</v>
      </c>
    </row>
    <row r="25435" spans="1:6" ht="12.75">
      <c r="A25435" s="2">
        <v>43875.744479166664</v>
      </c>
      <c r="B25435" t="str">
        <f>HYPERLINK("https://twitter.com/AdiHermawan1207","@AdiHermawan1207")</f>
        <v>@AdiHermawan1207</v>
      </c>
      <c r="C25435" t="s">
        <v>2963</v>
      </c>
      <c r="D25435">
        <v>994</v>
      </c>
      <c r="E25435">
        <v>0</v>
      </c>
      <c r="F25435">
        <v>3</v>
      </c>
    </row>
    <row r="25436" spans="1:6" ht="12.75">
      <c r="A25436" s="2">
        <v>43875.744467592594</v>
      </c>
      <c r="B25436" t="str">
        <f>HYPERLINK("https://twitter.com/lieberpool","@lieberpool")</f>
        <v>@lieberpool</v>
      </c>
      <c r="C25436" t="s">
        <v>5168</v>
      </c>
      <c r="D25436">
        <v>843</v>
      </c>
      <c r="E25436">
        <v>0</v>
      </c>
      <c r="F25436">
        <v>88</v>
      </c>
    </row>
    <row r="25437" spans="1:6" ht="12.75">
      <c r="A25437" s="2">
        <v>43875.744444444441</v>
      </c>
      <c r="B25437" t="str">
        <f>HYPERLINK("https://twitter.com/bopanirfan","@bopanirfan")</f>
        <v>@bopanirfan</v>
      </c>
      <c r="C25437" t="s">
        <v>2444</v>
      </c>
      <c r="D25437">
        <v>1857</v>
      </c>
      <c r="E25437">
        <v>0</v>
      </c>
      <c r="F25437">
        <v>201</v>
      </c>
    </row>
    <row r="25438" spans="1:6" ht="12.75">
      <c r="A25438" s="2">
        <v>43875.744409722218</v>
      </c>
      <c r="B25438" t="str">
        <f>HYPERLINK("https://twitter.com/ekayulinar_","@ekayulinar_")</f>
        <v>@ekayulinar_</v>
      </c>
      <c r="C25438" t="s">
        <v>2444</v>
      </c>
      <c r="D25438">
        <v>1857</v>
      </c>
      <c r="E25438">
        <v>0</v>
      </c>
      <c r="F25438">
        <v>483</v>
      </c>
    </row>
    <row r="25439" spans="1:6" ht="12.75">
      <c r="A25439" s="2">
        <v>43875.744363425925</v>
      </c>
      <c r="B25439" t="str">
        <f>HYPERLINK("https://twitter.com/Cahkuwut","@Cahkuwut")</f>
        <v>@Cahkuwut</v>
      </c>
      <c r="C25439" t="s">
        <v>10410</v>
      </c>
      <c r="D25439">
        <v>3</v>
      </c>
      <c r="E25439">
        <v>0</v>
      </c>
      <c r="F25439">
        <v>609</v>
      </c>
    </row>
    <row r="25440" spans="1:6" ht="12.75">
      <c r="A25440" s="2">
        <v>43875.744363425925</v>
      </c>
      <c r="B25440" t="str">
        <f>HYPERLINK("https://twitter.com/shoesno9","@shoesno9")</f>
        <v>@shoesno9</v>
      </c>
      <c r="C25440" t="s">
        <v>5168</v>
      </c>
      <c r="D25440">
        <v>843</v>
      </c>
      <c r="E25440">
        <v>0</v>
      </c>
      <c r="F25440">
        <v>44</v>
      </c>
    </row>
    <row r="25441" spans="1:6" ht="12.75">
      <c r="A25441" s="2">
        <v>43875.744351851856</v>
      </c>
      <c r="B25441" t="str">
        <f>HYPERLINK("https://twitter.com/FatihAlAzzam2","@FatihAlAzzam2")</f>
        <v>@FatihAlAzzam2</v>
      </c>
      <c r="C25441" t="s">
        <v>9746</v>
      </c>
      <c r="D25441">
        <v>280</v>
      </c>
      <c r="E25441">
        <v>0</v>
      </c>
      <c r="F25441">
        <v>374</v>
      </c>
    </row>
    <row r="25442" spans="1:6" ht="12.75">
      <c r="A25442" s="2">
        <v>43875.744328703702</v>
      </c>
      <c r="B25442" t="str">
        <f>HYPERLINK("https://twitter.com/Fahad_Marzuki","@Fahad_Marzuki")</f>
        <v>@Fahad_Marzuki</v>
      </c>
      <c r="C25442" t="s">
        <v>11499</v>
      </c>
      <c r="D25442">
        <v>0</v>
      </c>
      <c r="E25442">
        <v>0</v>
      </c>
      <c r="F25442">
        <v>103</v>
      </c>
    </row>
    <row r="25443" spans="1:6" ht="12.75">
      <c r="A25443" s="2">
        <v>43875.744317129633</v>
      </c>
      <c r="B25443" t="str">
        <f>HYPERLINK("https://twitter.com/andarisqiwahab","@andarisqiwahab")</f>
        <v>@andarisqiwahab</v>
      </c>
      <c r="C25443" t="s">
        <v>9746</v>
      </c>
      <c r="D25443">
        <v>280</v>
      </c>
      <c r="E25443">
        <v>0</v>
      </c>
      <c r="F25443">
        <v>761</v>
      </c>
    </row>
    <row r="25444" spans="1:6" ht="12.75">
      <c r="A25444" s="2">
        <v>43875.744317129633</v>
      </c>
      <c r="B25444" t="str">
        <f>HYPERLINK("https://twitter.com/deathbyluck13th","@deathbyluck13th")</f>
        <v>@deathbyluck13th</v>
      </c>
      <c r="C25444" t="s">
        <v>11500</v>
      </c>
      <c r="D25444">
        <v>0</v>
      </c>
      <c r="E25444">
        <v>0</v>
      </c>
      <c r="F25444">
        <v>352</v>
      </c>
    </row>
    <row r="25445" spans="1:6" ht="12.75">
      <c r="A25445" s="2">
        <v>43875.74417824074</v>
      </c>
      <c r="B25445" t="str">
        <f>HYPERLINK("https://twitter.com/Anggara502","@Anggara502")</f>
        <v>@Anggara502</v>
      </c>
      <c r="C25445" t="s">
        <v>2963</v>
      </c>
      <c r="D25445">
        <v>994</v>
      </c>
      <c r="E25445">
        <v>0</v>
      </c>
      <c r="F25445">
        <v>99</v>
      </c>
    </row>
    <row r="25446" spans="1:6" ht="12.75">
      <c r="A25446" s="2">
        <v>43875.744155092594</v>
      </c>
      <c r="B25446" t="str">
        <f>HYPERLINK("https://twitter.com/pawerangerpink","@pawerangerpink")</f>
        <v>@pawerangerpink</v>
      </c>
      <c r="C25446" t="s">
        <v>2137</v>
      </c>
      <c r="D25446">
        <v>155</v>
      </c>
      <c r="E25446">
        <v>0</v>
      </c>
      <c r="F25446">
        <v>212</v>
      </c>
    </row>
    <row r="25447" spans="1:6" ht="12.75">
      <c r="A25447" s="2">
        <v>43875.744131944448</v>
      </c>
      <c r="B25447" t="str">
        <f>HYPERLINK("https://twitter.com/Sitanggang_mel","@Sitanggang_mel")</f>
        <v>@Sitanggang_mel</v>
      </c>
      <c r="C25447" t="s">
        <v>2444</v>
      </c>
      <c r="D25447">
        <v>1857</v>
      </c>
      <c r="E25447">
        <v>0</v>
      </c>
      <c r="F25447">
        <v>37</v>
      </c>
    </row>
    <row r="25448" spans="1:6" ht="12.75">
      <c r="A25448" s="2">
        <v>43875.744120370371</v>
      </c>
      <c r="B25448" t="str">
        <f>HYPERLINK("https://twitter.com/meoggosipeo","@meoggosipeo")</f>
        <v>@meoggosipeo</v>
      </c>
      <c r="C25448" t="s">
        <v>2444</v>
      </c>
      <c r="D25448">
        <v>1857</v>
      </c>
      <c r="E25448">
        <v>0</v>
      </c>
      <c r="F25448">
        <v>83</v>
      </c>
    </row>
    <row r="25449" spans="1:6" ht="12.75">
      <c r="A25449" s="2">
        <v>43875.744062500002</v>
      </c>
      <c r="B25449" t="str">
        <f>HYPERLINK("https://twitter.com/rvnkna","@rvnkna")</f>
        <v>@rvnkna</v>
      </c>
      <c r="C25449" t="s">
        <v>2444</v>
      </c>
      <c r="D25449">
        <v>1857</v>
      </c>
      <c r="E25449">
        <v>0</v>
      </c>
      <c r="F25449">
        <v>2231</v>
      </c>
    </row>
    <row r="25450" spans="1:6" ht="12.75">
      <c r="A25450" s="2">
        <v>43875.744062500002</v>
      </c>
      <c r="B25450" t="str">
        <f>HYPERLINK("https://twitter.com/AdiMawa22441862","@AdiMawa22441862")</f>
        <v>@AdiMawa22441862</v>
      </c>
      <c r="C25450" t="s">
        <v>11501</v>
      </c>
      <c r="D25450">
        <v>0</v>
      </c>
      <c r="E25450">
        <v>0</v>
      </c>
      <c r="F25450">
        <v>85</v>
      </c>
    </row>
    <row r="25451" spans="1:6" ht="12.75">
      <c r="A25451" s="2">
        <v>43875.744027777779</v>
      </c>
      <c r="B25451" t="str">
        <f>HYPERLINK("https://twitter.com/AsabriGate","@AsabriGate")</f>
        <v>@AsabriGate</v>
      </c>
      <c r="C25451" t="s">
        <v>10279</v>
      </c>
      <c r="D25451">
        <v>1</v>
      </c>
      <c r="E25451">
        <v>1</v>
      </c>
      <c r="F25451">
        <v>3246</v>
      </c>
    </row>
    <row r="25452" spans="1:6" ht="12.75">
      <c r="A25452" s="2">
        <v>43875.743958333333</v>
      </c>
      <c r="B25452" t="str">
        <f>HYPERLINK("https://twitter.com/otwtajir","@otwtajir")</f>
        <v>@otwtajir</v>
      </c>
      <c r="C25452" t="s">
        <v>2444</v>
      </c>
      <c r="D25452">
        <v>1857</v>
      </c>
      <c r="E25452">
        <v>0</v>
      </c>
      <c r="F25452">
        <v>164</v>
      </c>
    </row>
    <row r="25453" spans="1:6" ht="12.75">
      <c r="A25453" s="2">
        <v>43875.743796296301</v>
      </c>
      <c r="B25453" t="str">
        <f>HYPERLINK("https://twitter.com/kaiautama","@kaiautama")</f>
        <v>@kaiautama</v>
      </c>
      <c r="C25453" t="s">
        <v>9123</v>
      </c>
      <c r="D25453">
        <v>240</v>
      </c>
      <c r="E25453">
        <v>0</v>
      </c>
      <c r="F25453">
        <v>371</v>
      </c>
    </row>
    <row r="25454" spans="1:6" ht="12.75">
      <c r="A25454" s="2">
        <v>43875.743773148148</v>
      </c>
      <c r="B25454" t="str">
        <f>HYPERLINK("https://twitter.com/SemboyanR","@SemboyanR")</f>
        <v>@SemboyanR</v>
      </c>
      <c r="C25454" t="s">
        <v>9746</v>
      </c>
      <c r="D25454">
        <v>280</v>
      </c>
      <c r="E25454">
        <v>0</v>
      </c>
      <c r="F25454">
        <v>1261</v>
      </c>
    </row>
    <row r="25455" spans="1:6" ht="12.75">
      <c r="A25455" s="2">
        <v>43875.743657407409</v>
      </c>
      <c r="B25455" t="str">
        <f>HYPERLINK("https://twitter.com/AB_1_X_R","@AB_1_X_R")</f>
        <v>@AB_1_X_R</v>
      </c>
      <c r="C25455" t="s">
        <v>6201</v>
      </c>
      <c r="D25455">
        <v>109</v>
      </c>
      <c r="E25455">
        <v>0</v>
      </c>
      <c r="F25455">
        <v>683</v>
      </c>
    </row>
    <row r="25456" spans="1:6" ht="12.75">
      <c r="A25456" s="2">
        <v>43875.743645833332</v>
      </c>
      <c r="B25456" t="str">
        <f>HYPERLINK("https://twitter.com/BudiRahadian5","@BudiRahadian5")</f>
        <v>@BudiRahadian5</v>
      </c>
      <c r="C25456" t="s">
        <v>11484</v>
      </c>
      <c r="D25456">
        <v>261</v>
      </c>
      <c r="E25456">
        <v>0</v>
      </c>
      <c r="F25456">
        <v>1254</v>
      </c>
    </row>
    <row r="25457" spans="1:6" ht="12.75">
      <c r="A25457" s="2">
        <v>43875.743645833332</v>
      </c>
      <c r="B25457" t="str">
        <f>HYPERLINK("https://twitter.com/kaiautama","@kaiautama")</f>
        <v>@kaiautama</v>
      </c>
      <c r="C25457" t="s">
        <v>2444</v>
      </c>
      <c r="D25457">
        <v>1857</v>
      </c>
      <c r="E25457">
        <v>0</v>
      </c>
      <c r="F25457">
        <v>371</v>
      </c>
    </row>
    <row r="25458" spans="1:6" ht="12.75">
      <c r="A25458" s="2">
        <v>43875.743599537032</v>
      </c>
      <c r="B25458" t="str">
        <f>HYPERLINK("https://twitter.com/hellenicpraktor","@hellenicpraktor")</f>
        <v>@hellenicpraktor</v>
      </c>
      <c r="C25458" t="s">
        <v>9082</v>
      </c>
      <c r="D25458">
        <v>37</v>
      </c>
      <c r="E25458">
        <v>0</v>
      </c>
      <c r="F25458">
        <v>167</v>
      </c>
    </row>
    <row r="25459" spans="1:6" ht="12.75">
      <c r="A25459" s="2">
        <v>43875.743483796294</v>
      </c>
      <c r="B25459" t="str">
        <f>HYPERLINK("https://twitter.com/Naaa94351859","@Naaa94351859")</f>
        <v>@Naaa94351859</v>
      </c>
      <c r="C25459" t="s">
        <v>2444</v>
      </c>
      <c r="D25459">
        <v>1857</v>
      </c>
      <c r="E25459">
        <v>0</v>
      </c>
      <c r="F25459">
        <v>35</v>
      </c>
    </row>
    <row r="25460" spans="1:6" ht="12.75">
      <c r="A25460" s="2">
        <v>43875.743437500001</v>
      </c>
      <c r="B25460" t="str">
        <f>HYPERLINK("https://twitter.com/hermana_t","@hermana_t")</f>
        <v>@hermana_t</v>
      </c>
      <c r="C25460" t="s">
        <v>11502</v>
      </c>
      <c r="D25460">
        <v>2</v>
      </c>
      <c r="E25460">
        <v>7</v>
      </c>
      <c r="F25460">
        <v>10414</v>
      </c>
    </row>
    <row r="25461" spans="1:6" ht="12.75">
      <c r="A25461" s="2">
        <v>43875.743437500001</v>
      </c>
      <c r="B25461" t="str">
        <f>HYPERLINK("https://twitter.com/miekewj","@miekewj")</f>
        <v>@miekewj</v>
      </c>
      <c r="C25461" t="s">
        <v>5168</v>
      </c>
      <c r="D25461">
        <v>843</v>
      </c>
      <c r="E25461">
        <v>0</v>
      </c>
      <c r="F25461">
        <v>696</v>
      </c>
    </row>
    <row r="25462" spans="1:6" ht="12.75">
      <c r="A25462" s="2">
        <v>43875.743425925924</v>
      </c>
      <c r="B25462" t="str">
        <f>HYPERLINK("https://twitter.com/DedehKu95290849","@DedehKu95290849")</f>
        <v>@DedehKu95290849</v>
      </c>
      <c r="C25462" t="s">
        <v>9732</v>
      </c>
      <c r="D25462">
        <v>56</v>
      </c>
      <c r="E25462">
        <v>0</v>
      </c>
      <c r="F25462">
        <v>416</v>
      </c>
    </row>
    <row r="25463" spans="1:6" ht="12.75">
      <c r="A25463" s="2">
        <v>43875.743414351848</v>
      </c>
      <c r="B25463" t="str">
        <f>HYPERLINK("https://twitter.com/idaharjuno90","@idaharjuno90")</f>
        <v>@idaharjuno90</v>
      </c>
      <c r="C25463" t="s">
        <v>9746</v>
      </c>
      <c r="D25463">
        <v>280</v>
      </c>
      <c r="E25463">
        <v>0</v>
      </c>
      <c r="F25463">
        <v>494</v>
      </c>
    </row>
    <row r="25464" spans="1:6" ht="12.75">
      <c r="A25464" s="2">
        <v>43875.743321759262</v>
      </c>
      <c r="B25464" t="str">
        <f>HYPERLINK("https://twitter.com/jjsengui","@jjsengui")</f>
        <v>@jjsengui</v>
      </c>
      <c r="C25464" t="s">
        <v>11503</v>
      </c>
      <c r="D25464">
        <v>2</v>
      </c>
      <c r="E25464">
        <v>0</v>
      </c>
      <c r="F25464">
        <v>828</v>
      </c>
    </row>
    <row r="25465" spans="1:6" ht="12.75">
      <c r="A25465" s="2">
        <v>43875.743275462963</v>
      </c>
      <c r="B25465" t="str">
        <f>HYPERLINK("https://twitter.com/abasri_03","@abasri_03")</f>
        <v>@abasri_03</v>
      </c>
      <c r="C25465" t="s">
        <v>7478</v>
      </c>
      <c r="D25465">
        <v>291</v>
      </c>
      <c r="E25465">
        <v>0</v>
      </c>
      <c r="F25465">
        <v>456</v>
      </c>
    </row>
    <row r="25466" spans="1:6" ht="12.75">
      <c r="A25466" s="2">
        <v>43875.743229166663</v>
      </c>
      <c r="B25466" t="str">
        <f>HYPERLINK("https://twitter.com/snotcoping","@snotcoping")</f>
        <v>@snotcoping</v>
      </c>
      <c r="C25466" t="s">
        <v>2444</v>
      </c>
      <c r="D25466">
        <v>1857</v>
      </c>
      <c r="E25466">
        <v>0</v>
      </c>
      <c r="F25466">
        <v>19</v>
      </c>
    </row>
    <row r="25467" spans="1:6" ht="12.75">
      <c r="A25467" s="2">
        <v>43875.743159722224</v>
      </c>
      <c r="B25467" t="str">
        <f>HYPERLINK("https://twitter.com/anputrih","@anputrih")</f>
        <v>@anputrih</v>
      </c>
      <c r="C25467" t="s">
        <v>2444</v>
      </c>
      <c r="D25467">
        <v>1857</v>
      </c>
      <c r="E25467">
        <v>0</v>
      </c>
      <c r="F25467">
        <v>1243</v>
      </c>
    </row>
    <row r="25468" spans="1:6" ht="12.75">
      <c r="A25468" s="2">
        <v>43875.743159722224</v>
      </c>
      <c r="B25468" t="str">
        <f>HYPERLINK("https://twitter.com/SemboyanR","@SemboyanR")</f>
        <v>@SemboyanR</v>
      </c>
      <c r="C25468" t="s">
        <v>7478</v>
      </c>
      <c r="D25468">
        <v>291</v>
      </c>
      <c r="E25468">
        <v>0</v>
      </c>
      <c r="F25468">
        <v>1261</v>
      </c>
    </row>
    <row r="25469" spans="1:6" ht="12.75">
      <c r="A25469" s="2">
        <v>43875.743009259255</v>
      </c>
      <c r="B25469" t="str">
        <f>HYPERLINK("https://twitter.com/Metro_TV","@Metro_TV")</f>
        <v>@Metro_TV</v>
      </c>
      <c r="C25469" t="s">
        <v>11504</v>
      </c>
      <c r="D25469">
        <v>1</v>
      </c>
      <c r="E25469">
        <v>4</v>
      </c>
      <c r="F25469">
        <v>10509008</v>
      </c>
    </row>
    <row r="25470" spans="1:6" ht="12.75">
      <c r="A25470" s="2">
        <v>43875.742743055554</v>
      </c>
      <c r="B25470" t="str">
        <f>HYPERLINK("https://twitter.com/shoesno9","@shoesno9")</f>
        <v>@shoesno9</v>
      </c>
      <c r="C25470" t="s">
        <v>2444</v>
      </c>
      <c r="D25470">
        <v>1857</v>
      </c>
      <c r="E25470">
        <v>0</v>
      </c>
      <c r="F25470">
        <v>44</v>
      </c>
    </row>
    <row r="25471" spans="1:6" ht="12.75">
      <c r="A25471" s="2">
        <v>43875.742708333331</v>
      </c>
      <c r="B25471" t="str">
        <f>HYPERLINK("https://twitter.com/notifindonesia","@notifindonesia")</f>
        <v>@notifindonesia</v>
      </c>
      <c r="C25471" t="s">
        <v>11505</v>
      </c>
      <c r="D25471">
        <v>0</v>
      </c>
      <c r="E25471">
        <v>0</v>
      </c>
      <c r="F25471">
        <v>1201</v>
      </c>
    </row>
    <row r="25472" spans="1:6" ht="12.75">
      <c r="A25472" s="2">
        <v>43875.742685185185</v>
      </c>
      <c r="B25472" t="str">
        <f>HYPERLINK("https://twitter.com/dhoyzonly","@dhoyzonly")</f>
        <v>@dhoyzonly</v>
      </c>
      <c r="C25472" t="s">
        <v>2963</v>
      </c>
      <c r="D25472">
        <v>994</v>
      </c>
      <c r="E25472">
        <v>0</v>
      </c>
      <c r="F25472">
        <v>485</v>
      </c>
    </row>
    <row r="25473" spans="1:6" ht="12.75">
      <c r="A25473" s="2">
        <v>43875.742673611108</v>
      </c>
      <c r="B25473" t="str">
        <f>HYPERLINK("https://twitter.com/triomacan2000ba","@triomacan2000ba")</f>
        <v>@triomacan2000ba</v>
      </c>
      <c r="C25473" t="s">
        <v>11506</v>
      </c>
      <c r="D25473">
        <v>0</v>
      </c>
      <c r="E25473">
        <v>0</v>
      </c>
      <c r="F25473">
        <v>24086</v>
      </c>
    </row>
    <row r="25474" spans="1:6" ht="12.75">
      <c r="A25474" s="2">
        <v>43875.742662037039</v>
      </c>
      <c r="B25474" t="str">
        <f>HYPERLINK("https://twitter.com/gandesalbasori","@gandesalbasori")</f>
        <v>@gandesalbasori</v>
      </c>
      <c r="C25474" t="s">
        <v>11506</v>
      </c>
      <c r="D25474">
        <v>0</v>
      </c>
      <c r="E25474">
        <v>0</v>
      </c>
      <c r="F25474">
        <v>694</v>
      </c>
    </row>
    <row r="25475" spans="1:6" ht="12.75">
      <c r="A25475" s="2">
        <v>43875.742638888885</v>
      </c>
      <c r="B25475" t="str">
        <f>HYPERLINK("https://twitter.com/konspirasinews","@konspirasinews")</f>
        <v>@konspirasinews</v>
      </c>
      <c r="C25475" t="s">
        <v>11506</v>
      </c>
      <c r="D25475">
        <v>0</v>
      </c>
      <c r="E25475">
        <v>0</v>
      </c>
      <c r="F25475">
        <v>745</v>
      </c>
    </row>
    <row r="25476" spans="1:6" ht="12.75">
      <c r="A25476" s="2">
        <v>43875.742604166662</v>
      </c>
      <c r="B25476" t="str">
        <f>HYPERLINK("https://twitter.com/ditya_mub","@ditya_mub")</f>
        <v>@ditya_mub</v>
      </c>
      <c r="C25476" t="s">
        <v>2444</v>
      </c>
      <c r="D25476">
        <v>1857</v>
      </c>
      <c r="E25476">
        <v>0</v>
      </c>
      <c r="F25476">
        <v>325</v>
      </c>
    </row>
    <row r="25477" spans="1:6" ht="12.75">
      <c r="A25477" s="2">
        <v>43875.742592592593</v>
      </c>
      <c r="B25477" t="str">
        <f>HYPERLINK("https://twitter.com/yudhi_ulogeni","@yudhi_ulogeni")</f>
        <v>@yudhi_ulogeni</v>
      </c>
      <c r="C25477" t="s">
        <v>11507</v>
      </c>
      <c r="D25477">
        <v>0</v>
      </c>
      <c r="E25477">
        <v>0</v>
      </c>
      <c r="F25477">
        <v>641</v>
      </c>
    </row>
    <row r="25478" spans="1:6" ht="12.75">
      <c r="A25478" s="2">
        <v>43875.742523148147</v>
      </c>
      <c r="B25478" t="str">
        <f>HYPERLINK("https://twitter.com/caracmeI","@caracmeI")</f>
        <v>@caracmeI</v>
      </c>
      <c r="C25478" t="s">
        <v>5168</v>
      </c>
      <c r="D25478">
        <v>843</v>
      </c>
      <c r="E25478">
        <v>0</v>
      </c>
      <c r="F25478">
        <v>861</v>
      </c>
    </row>
    <row r="25479" spans="1:6" ht="12.75">
      <c r="A25479" s="2">
        <v>43875.7424537037</v>
      </c>
      <c r="B25479" t="str">
        <f>HYPERLINK("https://twitter.com/darahliar","@darahliar")</f>
        <v>@darahliar</v>
      </c>
      <c r="C25479" t="s">
        <v>9123</v>
      </c>
      <c r="D25479">
        <v>240</v>
      </c>
      <c r="E25479">
        <v>0</v>
      </c>
      <c r="F25479">
        <v>472</v>
      </c>
    </row>
    <row r="25480" spans="1:6" ht="12.75">
      <c r="A25480" s="2">
        <v>43875.742418981477</v>
      </c>
      <c r="B25480" t="str">
        <f>HYPERLINK("https://twitter.com/Irfangenotic","@Irfangenotic")</f>
        <v>@Irfangenotic</v>
      </c>
      <c r="C25480" t="s">
        <v>2444</v>
      </c>
      <c r="D25480">
        <v>1857</v>
      </c>
      <c r="E25480">
        <v>0</v>
      </c>
      <c r="F25480">
        <v>572</v>
      </c>
    </row>
    <row r="25481" spans="1:6" ht="12.75">
      <c r="A25481" s="2">
        <v>43875.742361111115</v>
      </c>
      <c r="B25481" t="str">
        <f>HYPERLINK("https://twitter.com/xregitax","@xregitax")</f>
        <v>@xregitax</v>
      </c>
      <c r="C25481" t="s">
        <v>11508</v>
      </c>
      <c r="D25481">
        <v>1</v>
      </c>
      <c r="E25481">
        <v>0</v>
      </c>
      <c r="F25481">
        <v>138</v>
      </c>
    </row>
    <row r="25482" spans="1:6" ht="12.75">
      <c r="A25482" s="2">
        <v>43875.742326388892</v>
      </c>
      <c r="B25482" t="str">
        <f>HYPERLINK("https://twitter.com/angel_mell","@angel_mell")</f>
        <v>@angel_mell</v>
      </c>
      <c r="C25482" t="s">
        <v>8233</v>
      </c>
      <c r="D25482">
        <v>486</v>
      </c>
      <c r="E25482">
        <v>0</v>
      </c>
      <c r="F25482">
        <v>559</v>
      </c>
    </row>
    <row r="25483" spans="1:6" ht="12.75">
      <c r="A25483" s="2">
        <v>43875.742245370369</v>
      </c>
      <c r="B25483" t="str">
        <f>HYPERLINK("https://twitter.com/jatmikoWwidodo","@jatmikoWwidodo")</f>
        <v>@jatmikoWwidodo</v>
      </c>
      <c r="C25483" t="s">
        <v>10165</v>
      </c>
      <c r="D25483">
        <v>10</v>
      </c>
      <c r="E25483">
        <v>0</v>
      </c>
      <c r="F25483">
        <v>1073</v>
      </c>
    </row>
    <row r="25484" spans="1:6" ht="12.75">
      <c r="A25484" s="2">
        <v>43875.742060185185</v>
      </c>
      <c r="B25484" t="str">
        <f>HYPERLINK("https://twitter.com/yudhi_ulogeni","@yudhi_ulogeni")</f>
        <v>@yudhi_ulogeni</v>
      </c>
      <c r="C25484" t="s">
        <v>11509</v>
      </c>
      <c r="D25484">
        <v>0</v>
      </c>
      <c r="E25484">
        <v>0</v>
      </c>
      <c r="F25484">
        <v>641</v>
      </c>
    </row>
    <row r="25485" spans="1:6" ht="12.75">
      <c r="A25485" s="2">
        <v>43875.742037037038</v>
      </c>
      <c r="B25485" t="str">
        <f>HYPERLINK("https://twitter.com/sofianrohman","@sofianrohman")</f>
        <v>@sofianrohman</v>
      </c>
      <c r="C25485" t="s">
        <v>11510</v>
      </c>
      <c r="D25485">
        <v>6</v>
      </c>
      <c r="E25485">
        <v>0</v>
      </c>
      <c r="F25485">
        <v>784</v>
      </c>
    </row>
    <row r="25486" spans="1:6" ht="12.75">
      <c r="A25486" s="2">
        <v>43875.742037037038</v>
      </c>
      <c r="B25486" t="str">
        <f>HYPERLINK("https://twitter.com/siilverlight","@siilverlight")</f>
        <v>@siilverlight</v>
      </c>
      <c r="C25486" t="s">
        <v>5168</v>
      </c>
      <c r="D25486">
        <v>843</v>
      </c>
      <c r="E25486">
        <v>0</v>
      </c>
      <c r="F25486">
        <v>126</v>
      </c>
    </row>
    <row r="25487" spans="1:6" ht="12.75">
      <c r="A25487" s="2">
        <v>43875.742013888885</v>
      </c>
      <c r="B25487" t="str">
        <f>HYPERLINK("https://twitter.com/rachmanmmm","@rachmanmmm")</f>
        <v>@rachmanmmm</v>
      </c>
      <c r="C25487" t="s">
        <v>7478</v>
      </c>
      <c r="D25487">
        <v>291</v>
      </c>
      <c r="E25487">
        <v>0</v>
      </c>
      <c r="F25487">
        <v>285</v>
      </c>
    </row>
    <row r="25488" spans="1:6" ht="12.75">
      <c r="A25488" s="2">
        <v>43875.741886574076</v>
      </c>
      <c r="B25488" t="str">
        <f>HYPERLINK("https://twitter.com/rifqy_cing","@rifqy_cing")</f>
        <v>@rifqy_cing</v>
      </c>
      <c r="C25488" t="s">
        <v>11511</v>
      </c>
      <c r="D25488">
        <v>0</v>
      </c>
      <c r="E25488">
        <v>0</v>
      </c>
      <c r="F25488">
        <v>334</v>
      </c>
    </row>
    <row r="25489" spans="1:6" ht="12.75">
      <c r="A25489" s="2">
        <v>43875.74181712963</v>
      </c>
      <c r="B25489" t="str">
        <f>HYPERLINK("https://twitter.com/Reminpsrb","@Reminpsrb")</f>
        <v>@Reminpsrb</v>
      </c>
      <c r="C25489" t="s">
        <v>11512</v>
      </c>
      <c r="D25489">
        <v>0</v>
      </c>
      <c r="E25489">
        <v>0</v>
      </c>
      <c r="F25489">
        <v>0</v>
      </c>
    </row>
    <row r="25490" spans="1:6" ht="12.75">
      <c r="A25490" s="2">
        <v>43875.74181712963</v>
      </c>
      <c r="B25490" t="str">
        <f>HYPERLINK("https://twitter.com/Martinu23669859","@Martinu23669859")</f>
        <v>@Martinu23669859</v>
      </c>
      <c r="C25490" t="s">
        <v>11513</v>
      </c>
      <c r="D25490">
        <v>0</v>
      </c>
      <c r="E25490">
        <v>0</v>
      </c>
      <c r="F25490">
        <v>9</v>
      </c>
    </row>
    <row r="25491" spans="1:6" ht="12.75">
      <c r="A25491" s="2">
        <v>43875.741631944446</v>
      </c>
      <c r="B25491" t="str">
        <f>HYPERLINK("https://twitter.com/apaini1111","@apaini1111")</f>
        <v>@apaini1111</v>
      </c>
      <c r="C25491" t="s">
        <v>10096</v>
      </c>
      <c r="D25491">
        <v>150</v>
      </c>
      <c r="E25491">
        <v>0</v>
      </c>
      <c r="F25491">
        <v>332</v>
      </c>
    </row>
    <row r="25492" spans="1:6" ht="12.75">
      <c r="A25492" s="2">
        <v>43875.741574074069</v>
      </c>
      <c r="B25492" t="str">
        <f>HYPERLINK("https://twitter.com/graceyairanitaa","@graceyairanitaa")</f>
        <v>@graceyairanitaa</v>
      </c>
      <c r="C25492" t="s">
        <v>2444</v>
      </c>
      <c r="D25492">
        <v>1857</v>
      </c>
      <c r="E25492">
        <v>0</v>
      </c>
      <c r="F25492">
        <v>456</v>
      </c>
    </row>
    <row r="25493" spans="1:6" ht="12.75">
      <c r="A25493" s="2">
        <v>43875.74150462963</v>
      </c>
      <c r="B25493" t="str">
        <f>HYPERLINK("https://twitter.com/DoriBose","@DoriBose")</f>
        <v>@DoriBose</v>
      </c>
      <c r="C25493" t="s">
        <v>10526</v>
      </c>
      <c r="D25493">
        <v>137</v>
      </c>
      <c r="E25493">
        <v>0</v>
      </c>
      <c r="F25493">
        <v>261</v>
      </c>
    </row>
    <row r="25494" spans="1:6" ht="12.75">
      <c r="A25494" s="2">
        <v>43875.741412037038</v>
      </c>
      <c r="B25494" t="str">
        <f>HYPERLINK("https://twitter.com/anisastuff","@anisastuff")</f>
        <v>@anisastuff</v>
      </c>
      <c r="C25494" t="s">
        <v>11514</v>
      </c>
      <c r="D25494">
        <v>2</v>
      </c>
      <c r="E25494">
        <v>0</v>
      </c>
      <c r="F25494">
        <v>279</v>
      </c>
    </row>
    <row r="25495" spans="1:6" ht="12.75">
      <c r="A25495" s="2">
        <v>43875.741377314815</v>
      </c>
      <c r="B25495" t="str">
        <f>HYPERLINK("https://twitter.com/yusufiananta","@yusufiananta")</f>
        <v>@yusufiananta</v>
      </c>
      <c r="C25495" t="s">
        <v>2444</v>
      </c>
      <c r="D25495">
        <v>1857</v>
      </c>
      <c r="E25495">
        <v>0</v>
      </c>
      <c r="F25495">
        <v>409</v>
      </c>
    </row>
    <row r="25496" spans="1:6" ht="12.75">
      <c r="A25496" s="2">
        <v>43875.741365740745</v>
      </c>
      <c r="B25496" t="str">
        <f>HYPERLINK("https://twitter.com/Nordenn27","@Nordenn27")</f>
        <v>@Nordenn27</v>
      </c>
      <c r="C25496" t="s">
        <v>2444</v>
      </c>
      <c r="D25496">
        <v>1857</v>
      </c>
      <c r="E25496">
        <v>0</v>
      </c>
      <c r="F25496">
        <v>148</v>
      </c>
    </row>
    <row r="25497" spans="1:6" ht="12.75">
      <c r="A25497" s="2">
        <v>43875.741342592592</v>
      </c>
      <c r="B25497" t="str">
        <f>HYPERLINK("https://twitter.com/Geyelicius","@Geyelicius")</f>
        <v>@Geyelicius</v>
      </c>
      <c r="C25497" t="s">
        <v>11514</v>
      </c>
      <c r="D25497">
        <v>2</v>
      </c>
      <c r="E25497">
        <v>0</v>
      </c>
      <c r="F25497">
        <v>10485</v>
      </c>
    </row>
    <row r="25498" spans="1:6" ht="12.75">
      <c r="A25498" s="2">
        <v>43875.741307870368</v>
      </c>
      <c r="B25498" t="str">
        <f>HYPERLINK("https://twitter.com/AntonSudewo","@AntonSudewo")</f>
        <v>@AntonSudewo</v>
      </c>
      <c r="C25498" t="s">
        <v>7478</v>
      </c>
      <c r="D25498">
        <v>291</v>
      </c>
      <c r="E25498">
        <v>0</v>
      </c>
      <c r="F25498">
        <v>850</v>
      </c>
    </row>
    <row r="25499" spans="1:6" ht="12.75">
      <c r="A25499" s="2">
        <v>43875.741307870368</v>
      </c>
      <c r="B25499" t="str">
        <f>HYPERLINK("https://twitter.com/qsphayo","@qsphayo")</f>
        <v>@qsphayo</v>
      </c>
      <c r="C25499" t="s">
        <v>2444</v>
      </c>
      <c r="D25499">
        <v>1857</v>
      </c>
      <c r="E25499">
        <v>0</v>
      </c>
      <c r="F25499">
        <v>224</v>
      </c>
    </row>
    <row r="25500" spans="1:6" ht="12.75">
      <c r="A25500" s="2">
        <v>43875.741261574076</v>
      </c>
      <c r="B25500" t="str">
        <f>HYPERLINK("https://twitter.com/isitolive_","@isitolive_")</f>
        <v>@isitolive_</v>
      </c>
      <c r="C25500" t="s">
        <v>2444</v>
      </c>
      <c r="D25500">
        <v>1857</v>
      </c>
      <c r="E25500">
        <v>0</v>
      </c>
      <c r="F25500">
        <v>78</v>
      </c>
    </row>
    <row r="25501" spans="1:6" ht="12.75">
      <c r="A25501" s="2">
        <v>43875.741215277776</v>
      </c>
      <c r="B25501" t="str">
        <f>HYPERLINK("https://twitter.com/juniasari07","@juniasari07")</f>
        <v>@juniasari07</v>
      </c>
      <c r="C25501" t="s">
        <v>5168</v>
      </c>
      <c r="D25501">
        <v>843</v>
      </c>
      <c r="E25501">
        <v>0</v>
      </c>
      <c r="F25501">
        <v>808</v>
      </c>
    </row>
    <row r="25502" spans="1:6" ht="12.75">
      <c r="A25502" s="2">
        <v>43875.741203703699</v>
      </c>
      <c r="B25502" t="str">
        <f>HYPERLINK("https://twitter.com/tobiltobil","@tobiltobil")</f>
        <v>@tobiltobil</v>
      </c>
      <c r="C25502" t="s">
        <v>11515</v>
      </c>
      <c r="D25502">
        <v>2</v>
      </c>
      <c r="E25502">
        <v>0</v>
      </c>
      <c r="F25502">
        <v>185</v>
      </c>
    </row>
    <row r="25503" spans="1:6" ht="12.75">
      <c r="A25503" s="2">
        <v>43875.741203703699</v>
      </c>
      <c r="B25503" t="str">
        <f>HYPERLINK("https://twitter.com/RA_drtjiptaning","@RA_drtjiptaning")</f>
        <v>@RA_drtjiptaning</v>
      </c>
      <c r="C25503" t="s">
        <v>11516</v>
      </c>
      <c r="D25503">
        <v>0</v>
      </c>
      <c r="E25503">
        <v>0</v>
      </c>
      <c r="F25503">
        <v>331</v>
      </c>
    </row>
    <row r="25504" spans="1:6" ht="12.75">
      <c r="A25504" s="2">
        <v>43875.741122685184</v>
      </c>
      <c r="B25504" t="str">
        <f>HYPERLINK("https://twitter.com/hemhijau","@hemhijau")</f>
        <v>@hemhijau</v>
      </c>
      <c r="C25504" t="s">
        <v>2444</v>
      </c>
      <c r="D25504">
        <v>1857</v>
      </c>
      <c r="E25504">
        <v>0</v>
      </c>
      <c r="F25504">
        <v>226</v>
      </c>
    </row>
    <row r="25505" spans="1:6" ht="12.75">
      <c r="A25505" s="2">
        <v>43875.740972222222</v>
      </c>
      <c r="B25505" t="str">
        <f>HYPERLINK("https://twitter.com/aprielCN2PM","@aprielCN2PM")</f>
        <v>@aprielCN2PM</v>
      </c>
      <c r="C25505" t="s">
        <v>9067</v>
      </c>
      <c r="D25505">
        <v>11</v>
      </c>
      <c r="E25505">
        <v>0</v>
      </c>
      <c r="F25505">
        <v>312</v>
      </c>
    </row>
    <row r="25506" spans="1:6" ht="12.75">
      <c r="A25506" s="2">
        <v>43875.740937499999</v>
      </c>
      <c r="B25506" t="str">
        <f>HYPERLINK("https://twitter.com/IniPastiDotCom","@IniPastiDotCom")</f>
        <v>@IniPastiDotCom</v>
      </c>
      <c r="C25506" t="s">
        <v>11517</v>
      </c>
      <c r="D25506">
        <v>0</v>
      </c>
      <c r="E25506">
        <v>0</v>
      </c>
      <c r="F25506">
        <v>273</v>
      </c>
    </row>
    <row r="25507" spans="1:6" ht="12.75">
      <c r="A25507" s="2">
        <v>43875.740787037037</v>
      </c>
      <c r="B25507" t="str">
        <f>HYPERLINK("https://twitter.com/Herry733","@Herry733")</f>
        <v>@Herry733</v>
      </c>
      <c r="C25507" t="s">
        <v>11518</v>
      </c>
      <c r="D25507">
        <v>0</v>
      </c>
      <c r="E25507">
        <v>0</v>
      </c>
      <c r="F25507">
        <v>262</v>
      </c>
    </row>
    <row r="25508" spans="1:6" ht="12.75">
      <c r="A25508" s="2">
        <v>43875.740694444445</v>
      </c>
      <c r="B25508" t="str">
        <f>HYPERLINK("https://twitter.com/yaudahdehyaaa","@yaudahdehyaaa")</f>
        <v>@yaudahdehyaaa</v>
      </c>
      <c r="C25508" t="s">
        <v>8233</v>
      </c>
      <c r="D25508">
        <v>486</v>
      </c>
      <c r="E25508">
        <v>0</v>
      </c>
      <c r="F25508">
        <v>114</v>
      </c>
    </row>
    <row r="25509" spans="1:6" ht="12.75">
      <c r="A25509" s="2">
        <v>43875.740671296298</v>
      </c>
      <c r="B25509" t="str">
        <f>HYPERLINK("https://twitter.com/sarangjjogji","@sarangjjogji")</f>
        <v>@sarangjjogji</v>
      </c>
      <c r="C25509" t="s">
        <v>2444</v>
      </c>
      <c r="D25509">
        <v>1857</v>
      </c>
      <c r="E25509">
        <v>0</v>
      </c>
      <c r="F25509">
        <v>1244</v>
      </c>
    </row>
    <row r="25510" spans="1:6" ht="12.75">
      <c r="A25510" s="2">
        <v>43875.740613425922</v>
      </c>
      <c r="B25510" t="str">
        <f>HYPERLINK("https://twitter.com/Rachsofyan82","@Rachsofyan82")</f>
        <v>@Rachsofyan82</v>
      </c>
      <c r="C25510" t="s">
        <v>11519</v>
      </c>
      <c r="D25510">
        <v>1</v>
      </c>
      <c r="E25510">
        <v>0</v>
      </c>
      <c r="F25510">
        <v>150</v>
      </c>
    </row>
    <row r="25511" spans="1:6" ht="12.75">
      <c r="A25511" s="2">
        <v>43875.740567129629</v>
      </c>
      <c r="B25511" t="str">
        <f>HYPERLINK("https://twitter.com/TetanggaO","@TetanggaO")</f>
        <v>@TetanggaO</v>
      </c>
      <c r="C25511" t="s">
        <v>5878</v>
      </c>
      <c r="D25511">
        <v>45</v>
      </c>
      <c r="E25511">
        <v>0</v>
      </c>
      <c r="F25511">
        <v>59</v>
      </c>
    </row>
    <row r="25512" spans="1:6" ht="12.75">
      <c r="A25512" s="2">
        <v>43875.740567129629</v>
      </c>
      <c r="B25512" t="str">
        <f>HYPERLINK("https://twitter.com/JiwasrayaGate","@JiwasrayaGate")</f>
        <v>@JiwasrayaGate</v>
      </c>
      <c r="C25512" t="s">
        <v>10279</v>
      </c>
      <c r="D25512">
        <v>0</v>
      </c>
      <c r="E25512">
        <v>0</v>
      </c>
      <c r="F25512">
        <v>3490</v>
      </c>
    </row>
    <row r="25513" spans="1:6" ht="12.75">
      <c r="A25513" s="2">
        <v>43875.74050925926</v>
      </c>
      <c r="B25513" t="str">
        <f>HYPERLINK("https://twitter.com/egaskalit","@egaskalit")</f>
        <v>@egaskalit</v>
      </c>
      <c r="C25513" t="s">
        <v>11520</v>
      </c>
      <c r="D25513">
        <v>0</v>
      </c>
      <c r="E25513">
        <v>0</v>
      </c>
      <c r="F25513">
        <v>79</v>
      </c>
    </row>
    <row r="25514" spans="1:6" ht="12.75">
      <c r="A25514" s="2">
        <v>43875.740486111114</v>
      </c>
      <c r="B25514" t="str">
        <f>HYPERLINK("https://twitter.com/AufarHafiz","@AufarHafiz")</f>
        <v>@AufarHafiz</v>
      </c>
      <c r="C25514" t="s">
        <v>7478</v>
      </c>
      <c r="D25514">
        <v>291</v>
      </c>
      <c r="E25514">
        <v>0</v>
      </c>
      <c r="F25514">
        <v>511</v>
      </c>
    </row>
    <row r="25515" spans="1:6" ht="12.75">
      <c r="A25515" s="2">
        <v>43875.740474537037</v>
      </c>
      <c r="B25515" t="str">
        <f>HYPERLINK("https://twitter.com/bibin_bey","@bibin_bey")</f>
        <v>@bibin_bey</v>
      </c>
      <c r="C25515" t="s">
        <v>10109</v>
      </c>
      <c r="D25515">
        <v>30</v>
      </c>
      <c r="E25515">
        <v>0</v>
      </c>
      <c r="F25515">
        <v>1605</v>
      </c>
    </row>
    <row r="25516" spans="1:6" ht="12.75">
      <c r="A25516" s="2">
        <v>43875.740405092598</v>
      </c>
      <c r="B25516" t="str">
        <f>HYPERLINK("https://twitter.com/DoriBose","@DoriBose")</f>
        <v>@DoriBose</v>
      </c>
      <c r="C25516" t="s">
        <v>10422</v>
      </c>
      <c r="D25516">
        <v>100</v>
      </c>
      <c r="E25516">
        <v>0</v>
      </c>
      <c r="F25516">
        <v>261</v>
      </c>
    </row>
    <row r="25517" spans="1:6" ht="12.75">
      <c r="A25517" s="2">
        <v>43875.740347222221</v>
      </c>
      <c r="B25517" t="str">
        <f>HYPERLINK("https://twitter.com/ririnyu","@ririnyu")</f>
        <v>@ririnyu</v>
      </c>
      <c r="C25517" t="s">
        <v>11521</v>
      </c>
      <c r="D25517">
        <v>0</v>
      </c>
      <c r="E25517">
        <v>0</v>
      </c>
      <c r="F25517">
        <v>555</v>
      </c>
    </row>
    <row r="25518" spans="1:6" ht="12.75">
      <c r="A25518" s="2">
        <v>43875.740335648152</v>
      </c>
      <c r="B25518" t="str">
        <f>HYPERLINK("https://twitter.com/jatmikoWwidodo","@jatmikoWwidodo")</f>
        <v>@jatmikoWwidodo</v>
      </c>
      <c r="C25518" t="s">
        <v>10083</v>
      </c>
      <c r="D25518">
        <v>11</v>
      </c>
      <c r="E25518">
        <v>0</v>
      </c>
      <c r="F25518">
        <v>1073</v>
      </c>
    </row>
    <row r="25519" spans="1:6" ht="12.75">
      <c r="A25519" s="2">
        <v>43875.740335648152</v>
      </c>
      <c r="B25519" t="str">
        <f>HYPERLINK("https://twitter.com/qsphayo","@qsphayo")</f>
        <v>@qsphayo</v>
      </c>
      <c r="C25519" t="s">
        <v>9964</v>
      </c>
      <c r="D25519">
        <v>605</v>
      </c>
      <c r="E25519">
        <v>0</v>
      </c>
      <c r="F25519">
        <v>224</v>
      </c>
    </row>
    <row r="25520" spans="1:6" ht="12.75">
      <c r="A25520" s="2">
        <v>43875.74013888889</v>
      </c>
      <c r="B25520" t="str">
        <f>HYPERLINK("https://twitter.com/papaciaaa","@papaciaaa")</f>
        <v>@papaciaaa</v>
      </c>
      <c r="C25520" t="s">
        <v>2963</v>
      </c>
      <c r="D25520">
        <v>994</v>
      </c>
      <c r="E25520">
        <v>0</v>
      </c>
      <c r="F25520">
        <v>59</v>
      </c>
    </row>
    <row r="25521" spans="1:6" ht="12.75">
      <c r="A25521" s="2">
        <v>43875.740115740744</v>
      </c>
      <c r="B25521" t="str">
        <f>HYPERLINK("https://twitter.com/Gennome2","@Gennome2")</f>
        <v>@Gennome2</v>
      </c>
      <c r="C25521" t="s">
        <v>11484</v>
      </c>
      <c r="D25521">
        <v>261</v>
      </c>
      <c r="E25521">
        <v>0</v>
      </c>
      <c r="F25521">
        <v>1634</v>
      </c>
    </row>
    <row r="25522" spans="1:6" ht="12.75">
      <c r="A25522" s="2">
        <v>43875.740069444444</v>
      </c>
      <c r="B25522" t="str">
        <f>HYPERLINK("https://twitter.com/Ricky_Anny","@Ricky_Anny")</f>
        <v>@Ricky_Anny</v>
      </c>
      <c r="C25522" t="s">
        <v>8233</v>
      </c>
      <c r="D25522">
        <v>486</v>
      </c>
      <c r="E25522">
        <v>0</v>
      </c>
      <c r="F25522">
        <v>155</v>
      </c>
    </row>
    <row r="25523" spans="1:6" ht="12.75">
      <c r="A25523" s="2">
        <v>43875.740011574075</v>
      </c>
      <c r="B25523" t="str">
        <f>HYPERLINK("https://twitter.com/karinakarinyu","@karinakarinyu")</f>
        <v>@karinakarinyu</v>
      </c>
      <c r="C25523" t="s">
        <v>11522</v>
      </c>
      <c r="D25523">
        <v>0</v>
      </c>
      <c r="E25523">
        <v>0</v>
      </c>
      <c r="F25523">
        <v>25</v>
      </c>
    </row>
    <row r="25524" spans="1:6" ht="12.75">
      <c r="A25524" s="2">
        <v>43875.739988425921</v>
      </c>
      <c r="B25524" t="str">
        <f>HYPERLINK("https://twitter.com/Azetromx","@Azetromx")</f>
        <v>@Azetromx</v>
      </c>
      <c r="C25524" t="s">
        <v>2444</v>
      </c>
      <c r="D25524">
        <v>1857</v>
      </c>
      <c r="E25524">
        <v>0</v>
      </c>
      <c r="F25524">
        <v>443</v>
      </c>
    </row>
    <row r="25525" spans="1:6" ht="12.75">
      <c r="A25525" s="2">
        <v>43875.739942129629</v>
      </c>
      <c r="B25525" t="str">
        <f>HYPERLINK("https://twitter.com/WinarsihParis","@WinarsihParis")</f>
        <v>@WinarsihParis</v>
      </c>
      <c r="C25525" t="s">
        <v>11523</v>
      </c>
      <c r="D25525">
        <v>0</v>
      </c>
      <c r="E25525">
        <v>0</v>
      </c>
      <c r="F25525">
        <v>83</v>
      </c>
    </row>
    <row r="25526" spans="1:6" ht="12.75">
      <c r="A25526" s="2">
        <v>43875.739942129629</v>
      </c>
      <c r="B25526" t="str">
        <f>HYPERLINK("https://twitter.com/trahwahyudi","@trahwahyudi")</f>
        <v>@trahwahyudi</v>
      </c>
      <c r="C25526" t="s">
        <v>11524</v>
      </c>
      <c r="D25526">
        <v>0</v>
      </c>
      <c r="E25526">
        <v>0</v>
      </c>
      <c r="F25526">
        <v>41</v>
      </c>
    </row>
    <row r="25527" spans="1:6" ht="12.75">
      <c r="A25527" s="2">
        <v>43875.739907407406</v>
      </c>
      <c r="B25527" t="str">
        <f>HYPERLINK("https://twitter.com/ArdianZA_099","@ArdianZA_099")</f>
        <v>@ArdianZA_099</v>
      </c>
      <c r="C25527" t="s">
        <v>11525</v>
      </c>
      <c r="D25527">
        <v>2</v>
      </c>
      <c r="E25527">
        <v>6</v>
      </c>
      <c r="F25527">
        <v>1896</v>
      </c>
    </row>
    <row r="25528" spans="1:6" ht="12.75">
      <c r="A25528" s="2">
        <v>43875.739884259259</v>
      </c>
      <c r="B25528" t="str">
        <f>HYPERLINK("https://twitter.com/Rasheed_inn","@Rasheed_inn")</f>
        <v>@Rasheed_inn</v>
      </c>
      <c r="C25528" t="s">
        <v>2149</v>
      </c>
      <c r="D25528">
        <v>21</v>
      </c>
      <c r="E25528">
        <v>0</v>
      </c>
      <c r="F25528">
        <v>3472</v>
      </c>
    </row>
    <row r="25529" spans="1:6" ht="12.75">
      <c r="A25529" s="2">
        <v>43875.739861111113</v>
      </c>
      <c r="B25529" t="str">
        <f>HYPERLINK("https://twitter.com/djumelan","@djumelan")</f>
        <v>@djumelan</v>
      </c>
      <c r="C25529" t="s">
        <v>10207</v>
      </c>
      <c r="D25529">
        <v>41</v>
      </c>
      <c r="E25529">
        <v>0</v>
      </c>
      <c r="F25529">
        <v>315</v>
      </c>
    </row>
    <row r="25530" spans="1:6" ht="12.75">
      <c r="A25530" s="2">
        <v>43875.739861111113</v>
      </c>
      <c r="B25530" t="str">
        <f>HYPERLINK("https://twitter.com/Budi_puolaper","@Budi_puolaper")</f>
        <v>@Budi_puolaper</v>
      </c>
      <c r="C25530" t="s">
        <v>11526</v>
      </c>
      <c r="D25530">
        <v>0</v>
      </c>
      <c r="E25530">
        <v>0</v>
      </c>
      <c r="F25530">
        <v>119</v>
      </c>
    </row>
    <row r="25531" spans="1:6" ht="12.75">
      <c r="A25531" s="2">
        <v>43875.739861111113</v>
      </c>
      <c r="B25531" t="str">
        <f>HYPERLINK("https://twitter.com/extraANDInary","@extraANDInary")</f>
        <v>@extraANDInary</v>
      </c>
      <c r="C25531" t="s">
        <v>7619</v>
      </c>
      <c r="D25531">
        <v>9</v>
      </c>
      <c r="E25531">
        <v>0</v>
      </c>
      <c r="F25531">
        <v>670</v>
      </c>
    </row>
    <row r="25532" spans="1:6" ht="12.75">
      <c r="A25532" s="2">
        <v>43875.739837962959</v>
      </c>
      <c r="B25532" t="str">
        <f>HYPERLINK("https://twitter.com/Paperpepperpoo","@Paperpepperpoo")</f>
        <v>@Paperpepperpoo</v>
      </c>
      <c r="C25532" t="s">
        <v>2444</v>
      </c>
      <c r="D25532">
        <v>1857</v>
      </c>
      <c r="E25532">
        <v>0</v>
      </c>
      <c r="F25532">
        <v>194</v>
      </c>
    </row>
    <row r="25533" spans="1:6" ht="12.75">
      <c r="A25533" s="2">
        <v>43875.739733796298</v>
      </c>
      <c r="B25533" t="str">
        <f>HYPERLINK("https://twitter.com/sbu_rikiman","@sbu_rikiman")</f>
        <v>@sbu_rikiman</v>
      </c>
      <c r="C25533" t="s">
        <v>5761</v>
      </c>
      <c r="D25533">
        <v>70</v>
      </c>
      <c r="E25533">
        <v>0</v>
      </c>
      <c r="F25533">
        <v>40</v>
      </c>
    </row>
    <row r="25534" spans="1:6" ht="12.75">
      <c r="A25534" s="2">
        <v>43875.739664351851</v>
      </c>
      <c r="B25534" t="str">
        <f>HYPERLINK("https://twitter.com/Fm98Sonora","@Fm98Sonora")</f>
        <v>@Fm98Sonora</v>
      </c>
      <c r="C25534" t="s">
        <v>11527</v>
      </c>
      <c r="D25534">
        <v>2</v>
      </c>
      <c r="E25534">
        <v>0</v>
      </c>
      <c r="F25534">
        <v>18</v>
      </c>
    </row>
    <row r="25535" spans="1:6" ht="12.75">
      <c r="A25535" s="2">
        <v>43875.739629629628</v>
      </c>
      <c r="B25535" t="str">
        <f>HYPERLINK("https://twitter.com/lawuhpiteks","@lawuhpiteks")</f>
        <v>@lawuhpiteks</v>
      </c>
      <c r="C25535" t="s">
        <v>8349</v>
      </c>
      <c r="D25535">
        <v>11</v>
      </c>
      <c r="E25535">
        <v>0</v>
      </c>
      <c r="F25535">
        <v>123</v>
      </c>
    </row>
    <row r="25536" spans="1:6" ht="12.75">
      <c r="A25536" s="2">
        <v>43875.739618055552</v>
      </c>
      <c r="B25536" t="str">
        <f>HYPERLINK("https://twitter.com/KasandraCintaMu","@KasandraCintaMu")</f>
        <v>@KasandraCintaMu</v>
      </c>
      <c r="C25536" t="s">
        <v>7478</v>
      </c>
      <c r="D25536">
        <v>291</v>
      </c>
      <c r="E25536">
        <v>0</v>
      </c>
      <c r="F25536">
        <v>128</v>
      </c>
    </row>
    <row r="25537" spans="1:6" ht="12.75">
      <c r="A25537" s="2">
        <v>43875.739606481482</v>
      </c>
      <c r="B25537" t="str">
        <f>HYPERLINK("https://twitter.com/sofianrohman","@sofianrohman")</f>
        <v>@sofianrohman</v>
      </c>
      <c r="C25537" t="s">
        <v>9119</v>
      </c>
      <c r="D25537">
        <v>50</v>
      </c>
      <c r="E25537">
        <v>0</v>
      </c>
      <c r="F25537">
        <v>784</v>
      </c>
    </row>
    <row r="25538" spans="1:6" ht="12.75">
      <c r="A25538" s="2">
        <v>43875.739606481482</v>
      </c>
      <c r="B25538" t="str">
        <f>HYPERLINK("https://twitter.com/kompascom","@kompascom")</f>
        <v>@kompascom</v>
      </c>
      <c r="C25538" t="s">
        <v>11528</v>
      </c>
      <c r="D25538">
        <v>2</v>
      </c>
      <c r="E25538">
        <v>2</v>
      </c>
      <c r="F25538">
        <v>7497497</v>
      </c>
    </row>
    <row r="25539" spans="1:6" ht="12.75">
      <c r="A25539" s="2">
        <v>43875.739571759259</v>
      </c>
      <c r="B25539" t="str">
        <f>HYPERLINK("https://twitter.com/bibin_bey","@bibin_bey")</f>
        <v>@bibin_bey</v>
      </c>
      <c r="C25539" t="s">
        <v>6201</v>
      </c>
      <c r="D25539">
        <v>109</v>
      </c>
      <c r="E25539">
        <v>0</v>
      </c>
      <c r="F25539">
        <v>1605</v>
      </c>
    </row>
    <row r="25540" spans="1:6" ht="12.75">
      <c r="A25540" s="2">
        <v>43875.739502314813</v>
      </c>
      <c r="B25540" t="str">
        <f>HYPERLINK("https://twitter.com/IchlslArif","@IchlslArif")</f>
        <v>@IchlslArif</v>
      </c>
      <c r="C25540" t="s">
        <v>5168</v>
      </c>
      <c r="D25540">
        <v>843</v>
      </c>
      <c r="E25540">
        <v>0</v>
      </c>
      <c r="F25540">
        <v>404</v>
      </c>
    </row>
    <row r="25541" spans="1:6" ht="12.75">
      <c r="A25541" s="2">
        <v>43875.739502314813</v>
      </c>
      <c r="B25541" t="str">
        <f>HYPERLINK("https://twitter.com/Metro_TV","@Metro_TV")</f>
        <v>@Metro_TV</v>
      </c>
      <c r="C25541" t="s">
        <v>11529</v>
      </c>
      <c r="D25541">
        <v>0</v>
      </c>
      <c r="E25541">
        <v>1</v>
      </c>
      <c r="F25541">
        <v>10509008</v>
      </c>
    </row>
    <row r="25542" spans="1:6" ht="12.75">
      <c r="A25542" s="2">
        <v>43875.739444444444</v>
      </c>
      <c r="B25542" t="str">
        <f>HYPERLINK("https://twitter.com/kodokpangeran5","@kodokpangeran5")</f>
        <v>@kodokpangeran5</v>
      </c>
      <c r="C25542" t="s">
        <v>11530</v>
      </c>
      <c r="D25542">
        <v>0</v>
      </c>
      <c r="E25542">
        <v>0</v>
      </c>
      <c r="F25542">
        <v>99</v>
      </c>
    </row>
    <row r="25543" spans="1:6" ht="12.75">
      <c r="A25543" s="2">
        <v>43875.73940972222</v>
      </c>
      <c r="B25543" t="str">
        <f>HYPERLINK("https://twitter.com/JKadrun","@JKadrun")</f>
        <v>@JKadrun</v>
      </c>
      <c r="C25543" t="s">
        <v>6201</v>
      </c>
      <c r="D25543">
        <v>109</v>
      </c>
      <c r="E25543">
        <v>0</v>
      </c>
      <c r="F25543">
        <v>222</v>
      </c>
    </row>
    <row r="25544" spans="1:6" ht="12.75">
      <c r="A25544" s="2">
        <v>43875.739386574074</v>
      </c>
      <c r="B25544" t="str">
        <f>HYPERLINK("https://twitter.com/bashandid","@bashandid")</f>
        <v>@bashandid</v>
      </c>
      <c r="C25544" t="s">
        <v>6201</v>
      </c>
      <c r="D25544">
        <v>109</v>
      </c>
      <c r="E25544">
        <v>0</v>
      </c>
      <c r="F25544">
        <v>75</v>
      </c>
    </row>
    <row r="25545" spans="1:6" ht="12.75">
      <c r="A25545" s="2">
        <v>43875.739328703705</v>
      </c>
      <c r="B25545" t="str">
        <f>HYPERLINK("https://twitter.com/hadiahMertua","@hadiahMertua")</f>
        <v>@hadiahMertua</v>
      </c>
      <c r="C25545" t="s">
        <v>11531</v>
      </c>
      <c r="D25545">
        <v>0</v>
      </c>
      <c r="E25545">
        <v>1</v>
      </c>
      <c r="F25545">
        <v>41</v>
      </c>
    </row>
    <row r="25546" spans="1:6" ht="12.75">
      <c r="A25546" s="2">
        <v>43875.739270833335</v>
      </c>
      <c r="B25546" t="str">
        <f>HYPERLINK("https://twitter.com/septienurm","@septienurm")</f>
        <v>@septienurm</v>
      </c>
      <c r="C25546" t="s">
        <v>11491</v>
      </c>
      <c r="D25546">
        <v>2</v>
      </c>
      <c r="E25546">
        <v>0</v>
      </c>
      <c r="F25546">
        <v>1133</v>
      </c>
    </row>
    <row r="25547" spans="1:6" ht="12.75">
      <c r="A25547" s="2">
        <v>43875.739224537036</v>
      </c>
      <c r="B25547" t="str">
        <f>HYPERLINK("https://twitter.com/valentinoroti4","@valentinoroti4")</f>
        <v>@valentinoroti4</v>
      </c>
      <c r="C25547" t="s">
        <v>11532</v>
      </c>
      <c r="D25547">
        <v>0</v>
      </c>
      <c r="E25547">
        <v>0</v>
      </c>
      <c r="F25547">
        <v>7</v>
      </c>
    </row>
    <row r="25548" spans="1:6" ht="12.75">
      <c r="A25548" s="2">
        <v>43875.739178240736</v>
      </c>
      <c r="B25548" t="str">
        <f>HYPERLINK("https://twitter.com/rrrainbowmoon","@rrrainbowmoon")</f>
        <v>@rrrainbowmoon</v>
      </c>
      <c r="C25548" t="s">
        <v>2149</v>
      </c>
      <c r="D25548">
        <v>21</v>
      </c>
      <c r="E25548">
        <v>0</v>
      </c>
      <c r="F25548">
        <v>52</v>
      </c>
    </row>
    <row r="25549" spans="1:6" ht="12.75">
      <c r="A25549" s="2">
        <v>43875.739155092597</v>
      </c>
      <c r="B25549" t="str">
        <f>HYPERLINK("https://twitter.com/babyminheee","@babyminheee")</f>
        <v>@babyminheee</v>
      </c>
      <c r="C25549" t="s">
        <v>2077</v>
      </c>
      <c r="D25549">
        <v>24</v>
      </c>
      <c r="E25549">
        <v>0</v>
      </c>
      <c r="F25549">
        <v>113</v>
      </c>
    </row>
    <row r="25550" spans="1:6" ht="12.75">
      <c r="A25550" s="2">
        <v>43875.739085648151</v>
      </c>
      <c r="B25550" t="str">
        <f>HYPERLINK("https://twitter.com/endang_ano","@endang_ano")</f>
        <v>@endang_ano</v>
      </c>
      <c r="C25550" t="s">
        <v>11533</v>
      </c>
      <c r="D25550">
        <v>1</v>
      </c>
      <c r="E25550">
        <v>0</v>
      </c>
      <c r="F25550">
        <v>71</v>
      </c>
    </row>
    <row r="25551" spans="1:6" ht="12.75">
      <c r="A25551" s="2">
        <v>43875.739085648151</v>
      </c>
      <c r="B25551" t="str">
        <f>HYPERLINK("https://twitter.com/herubadala","@herubadala")</f>
        <v>@herubadala</v>
      </c>
      <c r="C25551" t="s">
        <v>2963</v>
      </c>
      <c r="D25551">
        <v>994</v>
      </c>
      <c r="E25551">
        <v>0</v>
      </c>
      <c r="F25551">
        <v>467</v>
      </c>
    </row>
    <row r="25552" spans="1:6" ht="12.75">
      <c r="A25552" s="2">
        <v>43875.739016203705</v>
      </c>
      <c r="B25552" t="str">
        <f>HYPERLINK("https://twitter.com/indahpaiq","@indahpaiq")</f>
        <v>@indahpaiq</v>
      </c>
      <c r="C25552" t="s">
        <v>11534</v>
      </c>
      <c r="D25552">
        <v>1</v>
      </c>
      <c r="E25552">
        <v>0</v>
      </c>
      <c r="F25552">
        <v>14</v>
      </c>
    </row>
    <row r="25553" spans="1:6" ht="12.75">
      <c r="A25553" s="2">
        <v>43875.738969907412</v>
      </c>
      <c r="B25553" t="str">
        <f>HYPERLINK("https://twitter.com/cetaphiler","@cetaphiler")</f>
        <v>@cetaphiler</v>
      </c>
      <c r="C25553" t="s">
        <v>2444</v>
      </c>
      <c r="D25553">
        <v>1857</v>
      </c>
      <c r="E25553">
        <v>0</v>
      </c>
      <c r="F25553">
        <v>1833</v>
      </c>
    </row>
    <row r="25554" spans="1:6" ht="12.75">
      <c r="A25554" s="2">
        <v>43875.738900462966</v>
      </c>
      <c r="B25554" t="str">
        <f>HYPERLINK("https://twitter.com/valencia_amara","@valencia_amara")</f>
        <v>@valencia_amara</v>
      </c>
      <c r="C25554" t="s">
        <v>10941</v>
      </c>
      <c r="D25554">
        <v>1</v>
      </c>
      <c r="E25554">
        <v>0</v>
      </c>
      <c r="F25554">
        <v>4850</v>
      </c>
    </row>
    <row r="25555" spans="1:6" ht="12.75">
      <c r="A25555" s="2">
        <v>43875.738900462966</v>
      </c>
      <c r="B25555" t="str">
        <f>HYPERLINK("https://twitter.com/KasandraCintaMu","@KasandraCintaMu")</f>
        <v>@KasandraCintaMu</v>
      </c>
      <c r="C25555" t="s">
        <v>6201</v>
      </c>
      <c r="D25555">
        <v>109</v>
      </c>
      <c r="E25555">
        <v>0</v>
      </c>
      <c r="F25555">
        <v>128</v>
      </c>
    </row>
    <row r="25556" spans="1:6" ht="12.75">
      <c r="A25556" s="2">
        <v>43875.738877314812</v>
      </c>
      <c r="B25556" t="str">
        <f>HYPERLINK("https://twitter.com/ahm_mujani","@ahm_mujani")</f>
        <v>@ahm_mujani</v>
      </c>
      <c r="C25556" t="s">
        <v>11535</v>
      </c>
      <c r="D25556">
        <v>0</v>
      </c>
      <c r="E25556">
        <v>0</v>
      </c>
      <c r="F25556">
        <v>207</v>
      </c>
    </row>
    <row r="25557" spans="1:6" ht="12.75">
      <c r="A25557" s="2">
        <v>43875.738865740743</v>
      </c>
      <c r="B25557" t="str">
        <f>HYPERLINK("https://twitter.com/LCimory","@LCimory")</f>
        <v>@LCimory</v>
      </c>
      <c r="C25557" t="s">
        <v>11536</v>
      </c>
      <c r="D25557">
        <v>0</v>
      </c>
      <c r="E25557">
        <v>0</v>
      </c>
      <c r="F25557">
        <v>135</v>
      </c>
    </row>
    <row r="25558" spans="1:6" ht="12.75">
      <c r="A25558" s="2">
        <v>43875.738761574074</v>
      </c>
      <c r="B25558" t="str">
        <f>HYPERLINK("https://twitter.com/KaZep7","@KaZep7")</f>
        <v>@KaZep7</v>
      </c>
      <c r="C25558" t="s">
        <v>11537</v>
      </c>
      <c r="D25558">
        <v>0</v>
      </c>
      <c r="E25558">
        <v>0</v>
      </c>
      <c r="F25558">
        <v>188</v>
      </c>
    </row>
    <row r="25559" spans="1:6" ht="12.75">
      <c r="A25559" s="2">
        <v>43875.738738425927</v>
      </c>
      <c r="B25559" t="str">
        <f>HYPERLINK("https://twitter.com/yoojungmu","@yoojungmu")</f>
        <v>@yoojungmu</v>
      </c>
      <c r="C25559" t="s">
        <v>11538</v>
      </c>
      <c r="D25559">
        <v>1</v>
      </c>
      <c r="E25559">
        <v>0</v>
      </c>
      <c r="F25559">
        <v>8655</v>
      </c>
    </row>
    <row r="25560" spans="1:6" ht="12.75">
      <c r="A25560" s="2">
        <v>43875.738726851851</v>
      </c>
      <c r="B25560" t="str">
        <f>HYPERLINK("https://twitter.com/ferryirawanac","@ferryirawanac")</f>
        <v>@ferryirawanac</v>
      </c>
      <c r="C25560" t="s">
        <v>9746</v>
      </c>
      <c r="D25560">
        <v>280</v>
      </c>
      <c r="E25560">
        <v>0</v>
      </c>
      <c r="F25560">
        <v>169</v>
      </c>
    </row>
    <row r="25561" spans="1:6" ht="12.75">
      <c r="A25561" s="2">
        <v>43875.738715277781</v>
      </c>
      <c r="B25561" t="str">
        <f>HYPERLINK("https://twitter.com/LaksmiWidajanti","@LaksmiWidajanti")</f>
        <v>@LaksmiWidajanti</v>
      </c>
      <c r="C25561" t="s">
        <v>10433</v>
      </c>
      <c r="D25561">
        <v>2</v>
      </c>
      <c r="E25561">
        <v>0</v>
      </c>
      <c r="F25561">
        <v>298</v>
      </c>
    </row>
    <row r="25562" spans="1:6" ht="12.75">
      <c r="A25562" s="2">
        <v>43875.738668981481</v>
      </c>
      <c r="B25562" t="str">
        <f>HYPERLINK("https://twitter.com/ochotootmors","@ochotootmors")</f>
        <v>@ochotootmors</v>
      </c>
      <c r="C25562" t="s">
        <v>2444</v>
      </c>
      <c r="D25562">
        <v>1857</v>
      </c>
      <c r="E25562">
        <v>0</v>
      </c>
      <c r="F25562">
        <v>693</v>
      </c>
    </row>
    <row r="25563" spans="1:6" ht="12.75">
      <c r="A25563" s="2">
        <v>43875.738668981481</v>
      </c>
      <c r="B25563" t="str">
        <f>HYPERLINK("https://twitter.com/monomonnieah","@monomonnieah")</f>
        <v>@monomonnieah</v>
      </c>
      <c r="C25563" t="s">
        <v>2444</v>
      </c>
      <c r="D25563">
        <v>1857</v>
      </c>
      <c r="E25563">
        <v>0</v>
      </c>
      <c r="F25563">
        <v>1504</v>
      </c>
    </row>
    <row r="25564" spans="1:6" ht="12.75">
      <c r="A25564" s="2">
        <v>43875.738657407404</v>
      </c>
      <c r="B25564" t="str">
        <f>HYPERLINK("https://twitter.com/albetprayogi","@albetprayogi")</f>
        <v>@albetprayogi</v>
      </c>
      <c r="C25564" t="s">
        <v>11539</v>
      </c>
      <c r="D25564">
        <v>0</v>
      </c>
      <c r="E25564">
        <v>0</v>
      </c>
      <c r="F25564">
        <v>252</v>
      </c>
    </row>
    <row r="25565" spans="1:6" ht="12.75">
      <c r="A25565" s="2">
        <v>43875.738611111112</v>
      </c>
      <c r="B25565" t="str">
        <f>HYPERLINK("https://twitter.com/cetaphiler","@cetaphiler")</f>
        <v>@cetaphiler</v>
      </c>
      <c r="C25565" t="s">
        <v>5168</v>
      </c>
      <c r="D25565">
        <v>843</v>
      </c>
      <c r="E25565">
        <v>0</v>
      </c>
      <c r="F25565">
        <v>1833</v>
      </c>
    </row>
    <row r="25566" spans="1:6" ht="12.75">
      <c r="A25566" s="2">
        <v>43875.738518518519</v>
      </c>
      <c r="B25566" t="str">
        <f>HYPERLINK("https://twitter.com/AzmiFaiqoh","@AzmiFaiqoh")</f>
        <v>@AzmiFaiqoh</v>
      </c>
      <c r="C25566" t="s">
        <v>5168</v>
      </c>
      <c r="D25566">
        <v>843</v>
      </c>
      <c r="E25566">
        <v>0</v>
      </c>
      <c r="F25566">
        <v>562</v>
      </c>
    </row>
    <row r="25567" spans="1:6" ht="12.75">
      <c r="A25567" s="2">
        <v>43875.738495370373</v>
      </c>
      <c r="B25567" t="str">
        <f>HYPERLINK("https://twitter.com/YoyokSubandriy3","@YoyokSubandriy3")</f>
        <v>@YoyokSubandriy3</v>
      </c>
      <c r="C25567" t="s">
        <v>11540</v>
      </c>
      <c r="D25567">
        <v>2</v>
      </c>
      <c r="E25567">
        <v>0</v>
      </c>
      <c r="F25567">
        <v>1354</v>
      </c>
    </row>
    <row r="25568" spans="1:6" ht="12.75">
      <c r="A25568" s="2">
        <v>43875.738425925927</v>
      </c>
      <c r="B25568" t="str">
        <f>HYPERLINK("https://twitter.com/fadil52979416","@fadil52979416")</f>
        <v>@fadil52979416</v>
      </c>
      <c r="C25568" t="s">
        <v>5761</v>
      </c>
      <c r="D25568">
        <v>70</v>
      </c>
      <c r="E25568">
        <v>0</v>
      </c>
      <c r="F25568">
        <v>353</v>
      </c>
    </row>
    <row r="25569" spans="1:6" ht="12.75">
      <c r="A25569" s="2">
        <v>43875.738379629634</v>
      </c>
      <c r="B25569" t="str">
        <f>HYPERLINK("https://twitter.com/nnyzhuxin","@nnyzhuxin")</f>
        <v>@nnyzhuxin</v>
      </c>
      <c r="C25569" t="s">
        <v>10083</v>
      </c>
      <c r="D25569">
        <v>11</v>
      </c>
      <c r="E25569">
        <v>0</v>
      </c>
      <c r="F25569">
        <v>11508</v>
      </c>
    </row>
    <row r="25570" spans="1:6" ht="12.75">
      <c r="A25570" s="2">
        <v>43875.738344907411</v>
      </c>
      <c r="B25570" t="str">
        <f>HYPERLINK("https://twitter.com/Pattymurapatty","@Pattymurapatty")</f>
        <v>@Pattymurapatty</v>
      </c>
      <c r="C25570" t="s">
        <v>7478</v>
      </c>
      <c r="D25570">
        <v>291</v>
      </c>
      <c r="E25570">
        <v>0</v>
      </c>
      <c r="F25570">
        <v>604</v>
      </c>
    </row>
    <row r="25571" spans="1:6" ht="12.75">
      <c r="A25571" s="2">
        <v>43875.738206018519</v>
      </c>
      <c r="B25571" t="str">
        <f>HYPERLINK("https://twitter.com/Ashar20442678","@Ashar20442678")</f>
        <v>@Ashar20442678</v>
      </c>
      <c r="C25571" t="s">
        <v>10083</v>
      </c>
      <c r="D25571">
        <v>11</v>
      </c>
      <c r="E25571">
        <v>0</v>
      </c>
      <c r="F25571">
        <v>1084</v>
      </c>
    </row>
    <row r="25572" spans="1:6" ht="12.75">
      <c r="A25572" s="2">
        <v>43875.73814814815</v>
      </c>
      <c r="B25572" t="str">
        <f>HYPERLINK("https://twitter.com/kantisari_cassi","@kantisari_cassi")</f>
        <v>@kantisari_cassi</v>
      </c>
      <c r="C25572" t="s">
        <v>2444</v>
      </c>
      <c r="D25572">
        <v>1857</v>
      </c>
      <c r="E25572">
        <v>0</v>
      </c>
      <c r="F25572">
        <v>212</v>
      </c>
    </row>
    <row r="25573" spans="1:6" ht="12.75">
      <c r="A25573" s="2">
        <v>43875.738055555557</v>
      </c>
      <c r="B25573" t="str">
        <f>HYPERLINK("https://twitter.com/Amy_Anwar","@Amy_Anwar")</f>
        <v>@Amy_Anwar</v>
      </c>
      <c r="C25573" t="s">
        <v>2110</v>
      </c>
      <c r="D25573">
        <v>50</v>
      </c>
      <c r="E25573">
        <v>0</v>
      </c>
      <c r="F25573">
        <v>1111</v>
      </c>
    </row>
    <row r="25574" spans="1:6" ht="12.75">
      <c r="A25574" s="2">
        <v>43875.737974537042</v>
      </c>
      <c r="B25574" t="str">
        <f>HYPERLINK("https://twitter.com/xxxBerrypopxxx","@xxxBerrypopxxx")</f>
        <v>@xxxBerrypopxxx</v>
      </c>
      <c r="C25574" t="s">
        <v>11541</v>
      </c>
      <c r="D25574">
        <v>0</v>
      </c>
      <c r="E25574">
        <v>0</v>
      </c>
      <c r="F25574">
        <v>369</v>
      </c>
    </row>
    <row r="25575" spans="1:6" ht="12.75">
      <c r="A25575" s="2">
        <v>43875.737928240742</v>
      </c>
      <c r="B25575" t="str">
        <f>HYPERLINK("https://twitter.com/whishkie","@whishkie")</f>
        <v>@whishkie</v>
      </c>
      <c r="C25575" t="s">
        <v>2444</v>
      </c>
      <c r="D25575">
        <v>1857</v>
      </c>
      <c r="E25575">
        <v>0</v>
      </c>
      <c r="F25575">
        <v>88</v>
      </c>
    </row>
    <row r="25576" spans="1:6" ht="12.75">
      <c r="A25576" s="2">
        <v>43875.737881944442</v>
      </c>
      <c r="B25576" t="str">
        <f>HYPERLINK("https://twitter.com/Alviandaaaa","@Alviandaaaa")</f>
        <v>@Alviandaaaa</v>
      </c>
      <c r="C25576" t="s">
        <v>2149</v>
      </c>
      <c r="D25576">
        <v>21</v>
      </c>
      <c r="E25576">
        <v>0</v>
      </c>
      <c r="F25576">
        <v>25</v>
      </c>
    </row>
    <row r="25577" spans="1:6" ht="12.75">
      <c r="A25577" s="2">
        <v>43875.73773148148</v>
      </c>
      <c r="B25577" t="str">
        <f>HYPERLINK("https://twitter.com/petrichoryan","@petrichoryan")</f>
        <v>@petrichoryan</v>
      </c>
      <c r="C25577" t="s">
        <v>11542</v>
      </c>
      <c r="D25577">
        <v>0</v>
      </c>
      <c r="E25577">
        <v>0</v>
      </c>
      <c r="F25577">
        <v>1760</v>
      </c>
    </row>
    <row r="25578" spans="1:6" ht="12.75">
      <c r="A25578" s="2">
        <v>43875.737650462965</v>
      </c>
      <c r="B25578" t="str">
        <f>HYPERLINK("https://twitter.com/chairulachir","@chairulachir")</f>
        <v>@chairulachir</v>
      </c>
      <c r="C25578" t="s">
        <v>11484</v>
      </c>
      <c r="D25578">
        <v>261</v>
      </c>
      <c r="E25578">
        <v>0</v>
      </c>
      <c r="F25578">
        <v>2445</v>
      </c>
    </row>
    <row r="25579" spans="1:6" ht="12.75">
      <c r="A25579" s="2">
        <v>43875.737581018519</v>
      </c>
      <c r="B25579" t="str">
        <f>HYPERLINK("https://twitter.com/Ivone_RSZ","@Ivone_RSZ")</f>
        <v>@Ivone_RSZ</v>
      </c>
      <c r="C25579" t="s">
        <v>8233</v>
      </c>
      <c r="D25579">
        <v>486</v>
      </c>
      <c r="E25579">
        <v>0</v>
      </c>
      <c r="F25579">
        <v>16744</v>
      </c>
    </row>
    <row r="25580" spans="1:6" ht="12.75">
      <c r="A25580" s="2">
        <v>43875.737546296295</v>
      </c>
      <c r="B25580" t="str">
        <f>HYPERLINK("https://twitter.com/pandapudlian","@pandapudlian")</f>
        <v>@pandapudlian</v>
      </c>
      <c r="C25580" t="s">
        <v>11543</v>
      </c>
      <c r="D25580">
        <v>1</v>
      </c>
      <c r="E25580">
        <v>0</v>
      </c>
      <c r="F25580">
        <v>159</v>
      </c>
    </row>
    <row r="25581" spans="1:6" ht="12.75">
      <c r="A25581" s="2">
        <v>43875.737523148149</v>
      </c>
      <c r="B25581" t="str">
        <f>HYPERLINK("https://twitter.com/mwiiran","@mwiiran")</f>
        <v>@mwiiran</v>
      </c>
      <c r="C25581" t="s">
        <v>10802</v>
      </c>
      <c r="D25581">
        <v>487</v>
      </c>
      <c r="E25581">
        <v>0</v>
      </c>
      <c r="F25581">
        <v>298</v>
      </c>
    </row>
    <row r="25582" spans="1:6" ht="12.75">
      <c r="A25582" s="2">
        <v>43875.737523148149</v>
      </c>
      <c r="B25582" t="str">
        <f>HYPERLINK("https://twitter.com/the_geotimes","@the_geotimes")</f>
        <v>@the_geotimes</v>
      </c>
      <c r="C25582" t="s">
        <v>11544</v>
      </c>
      <c r="D25582">
        <v>1</v>
      </c>
      <c r="E25582">
        <v>0</v>
      </c>
      <c r="F25582">
        <v>49291</v>
      </c>
    </row>
    <row r="25583" spans="1:6" ht="12.75">
      <c r="A25583" s="2">
        <v>43875.737476851849</v>
      </c>
      <c r="B25583" t="str">
        <f>HYPERLINK("https://twitter.com/yoojungmu","@yoojungmu")</f>
        <v>@yoojungmu</v>
      </c>
      <c r="C25583" t="s">
        <v>11545</v>
      </c>
      <c r="D25583">
        <v>0</v>
      </c>
      <c r="E25583">
        <v>0</v>
      </c>
      <c r="F25583">
        <v>8655</v>
      </c>
    </row>
    <row r="25584" spans="1:6" ht="12.75">
      <c r="A25584" s="2">
        <v>43875.73741898148</v>
      </c>
      <c r="B25584" t="str">
        <f>HYPERLINK("https://twitter.com/ggugphoria","@ggugphoria")</f>
        <v>@ggugphoria</v>
      </c>
      <c r="C25584" t="s">
        <v>2444</v>
      </c>
      <c r="D25584">
        <v>1857</v>
      </c>
      <c r="E25584">
        <v>0</v>
      </c>
      <c r="F25584">
        <v>2429</v>
      </c>
    </row>
    <row r="25585" spans="1:6" ht="12.75">
      <c r="A25585" s="2">
        <v>43875.737361111111</v>
      </c>
      <c r="B25585" t="str">
        <f>HYPERLINK("https://twitter.com/coegmin","@coegmin")</f>
        <v>@coegmin</v>
      </c>
      <c r="C25585" t="s">
        <v>5168</v>
      </c>
      <c r="D25585">
        <v>843</v>
      </c>
      <c r="E25585">
        <v>0</v>
      </c>
      <c r="F25585">
        <v>51</v>
      </c>
    </row>
    <row r="25586" spans="1:6" ht="12.75">
      <c r="A25586" s="2">
        <v>43875.737268518518</v>
      </c>
      <c r="B25586" t="str">
        <f>HYPERLINK("https://twitter.com/ImamBukhori7701","@ImamBukhori7701")</f>
        <v>@ImamBukhori7701</v>
      </c>
      <c r="C25586" t="s">
        <v>6201</v>
      </c>
      <c r="D25586">
        <v>109</v>
      </c>
      <c r="E25586">
        <v>0</v>
      </c>
      <c r="F25586">
        <v>1082</v>
      </c>
    </row>
    <row r="25587" spans="1:6" ht="12.75">
      <c r="A25587" s="2">
        <v>43875.737233796295</v>
      </c>
      <c r="B25587" t="str">
        <f>HYPERLINK("https://twitter.com/varin_mchtr","@varin_mchtr")</f>
        <v>@varin_mchtr</v>
      </c>
      <c r="C25587" t="s">
        <v>2444</v>
      </c>
      <c r="D25587">
        <v>1857</v>
      </c>
      <c r="E25587">
        <v>0</v>
      </c>
      <c r="F25587">
        <v>364</v>
      </c>
    </row>
    <row r="25588" spans="1:6" ht="12.75">
      <c r="A25588" s="2">
        <v>43875.737199074079</v>
      </c>
      <c r="B25588" t="str">
        <f>HYPERLINK("https://twitter.com/milsikumil","@milsikumil")</f>
        <v>@milsikumil</v>
      </c>
      <c r="C25588" t="s">
        <v>11546</v>
      </c>
      <c r="D25588">
        <v>0</v>
      </c>
      <c r="E25588">
        <v>0</v>
      </c>
      <c r="F25588">
        <v>208</v>
      </c>
    </row>
    <row r="25589" spans="1:6" ht="12.75">
      <c r="A25589" s="2">
        <v>43875.73709490741</v>
      </c>
      <c r="B25589" t="str">
        <f>HYPERLINK("https://twitter.com/ahmad_deza","@ahmad_deza")</f>
        <v>@ahmad_deza</v>
      </c>
      <c r="C25589" t="s">
        <v>5168</v>
      </c>
      <c r="D25589">
        <v>843</v>
      </c>
      <c r="E25589">
        <v>0</v>
      </c>
      <c r="F25589">
        <v>1339</v>
      </c>
    </row>
    <row r="25590" spans="1:6" ht="12.75">
      <c r="A25590" s="2">
        <v>43875.737083333333</v>
      </c>
      <c r="B25590" t="str">
        <f>HYPERLINK("https://twitter.com/rendhydepuniet","@rendhydepuniet")</f>
        <v>@rendhydepuniet</v>
      </c>
      <c r="C25590" t="s">
        <v>5168</v>
      </c>
      <c r="D25590">
        <v>843</v>
      </c>
      <c r="E25590">
        <v>0</v>
      </c>
      <c r="F25590">
        <v>483</v>
      </c>
    </row>
    <row r="25591" spans="1:6" ht="12.75">
      <c r="A25591" s="2">
        <v>43875.737083333333</v>
      </c>
      <c r="B25591" t="str">
        <f>HYPERLINK("https://twitter.com/minyeogu","@minyeogu")</f>
        <v>@minyeogu</v>
      </c>
      <c r="C25591" t="s">
        <v>2444</v>
      </c>
      <c r="D25591">
        <v>1858</v>
      </c>
      <c r="E25591">
        <v>0</v>
      </c>
      <c r="F25591">
        <v>588</v>
      </c>
    </row>
    <row r="25592" spans="1:6" ht="12.75">
      <c r="A25592" s="2">
        <v>43875.737025462964</v>
      </c>
      <c r="B25592" t="str">
        <f>HYPERLINK("https://twitter.com/2_devout","@2_devout")</f>
        <v>@2_devout</v>
      </c>
      <c r="C25592" t="s">
        <v>11547</v>
      </c>
      <c r="D25592">
        <v>0</v>
      </c>
      <c r="E25592">
        <v>0</v>
      </c>
      <c r="F25592">
        <v>388</v>
      </c>
    </row>
    <row r="25593" spans="1:6" ht="12.75">
      <c r="A25593" s="2">
        <v>43875.737013888887</v>
      </c>
      <c r="B25593" t="str">
        <f>HYPERLINK("https://twitter.com/Teropongtimeind","@Teropongtimeind")</f>
        <v>@Teropongtimeind</v>
      </c>
      <c r="C25593" t="s">
        <v>11548</v>
      </c>
      <c r="D25593">
        <v>0</v>
      </c>
      <c r="E25593">
        <v>0</v>
      </c>
      <c r="F25593">
        <v>44</v>
      </c>
    </row>
    <row r="25594" spans="1:6" ht="12.75">
      <c r="A25594" s="2">
        <v>43875.737013888887</v>
      </c>
      <c r="B25594" t="str">
        <f>HYPERLINK("https://twitter.com/zamnurjaman66","@zamnurjaman66")</f>
        <v>@zamnurjaman66</v>
      </c>
      <c r="C25594" t="s">
        <v>7478</v>
      </c>
      <c r="D25594">
        <v>291</v>
      </c>
      <c r="E25594">
        <v>0</v>
      </c>
      <c r="F25594">
        <v>214</v>
      </c>
    </row>
    <row r="25595" spans="1:6" ht="12.75">
      <c r="A25595" s="2">
        <v>43875.736990740741</v>
      </c>
      <c r="B25595" t="str">
        <f>HYPERLINK("https://twitter.com/YoyokSubandriy3","@YoyokSubandriy3")</f>
        <v>@YoyokSubandriy3</v>
      </c>
      <c r="C25595" t="s">
        <v>11549</v>
      </c>
      <c r="D25595">
        <v>1</v>
      </c>
      <c r="E25595">
        <v>0</v>
      </c>
      <c r="F25595">
        <v>1354</v>
      </c>
    </row>
    <row r="25596" spans="1:6" ht="12.75">
      <c r="A25596" s="2">
        <v>43875.736967592587</v>
      </c>
      <c r="B25596" t="str">
        <f>HYPERLINK("https://twitter.com/Cemonk_69","@Cemonk_69")</f>
        <v>@Cemonk_69</v>
      </c>
      <c r="C25596" t="s">
        <v>9746</v>
      </c>
      <c r="D25596">
        <v>280</v>
      </c>
      <c r="E25596">
        <v>0</v>
      </c>
      <c r="F25596">
        <v>398</v>
      </c>
    </row>
    <row r="25597" spans="1:6" ht="12.75">
      <c r="A25597" s="2">
        <v>43875.736921296295</v>
      </c>
      <c r="B25597" t="str">
        <f>HYPERLINK("https://twitter.com/kodokpangeran5","@kodokpangeran5")</f>
        <v>@kodokpangeran5</v>
      </c>
      <c r="C25597" t="s">
        <v>11550</v>
      </c>
      <c r="D25597">
        <v>0</v>
      </c>
      <c r="E25597">
        <v>0</v>
      </c>
      <c r="F25597">
        <v>99</v>
      </c>
    </row>
    <row r="25598" spans="1:6" ht="12.75">
      <c r="A25598" s="2">
        <v>43875.736875000002</v>
      </c>
      <c r="B25598" t="str">
        <f>HYPERLINK("https://twitter.com/ArdianAndreas","@ArdianAndreas")</f>
        <v>@ArdianAndreas</v>
      </c>
      <c r="C25598" t="s">
        <v>11551</v>
      </c>
      <c r="D25598">
        <v>0</v>
      </c>
      <c r="E25598">
        <v>0</v>
      </c>
      <c r="F25598">
        <v>168</v>
      </c>
    </row>
    <row r="25599" spans="1:6" ht="12.75">
      <c r="A25599" s="2">
        <v>43875.736863425926</v>
      </c>
      <c r="B25599" t="str">
        <f>HYPERLINK("https://twitter.com/JENDERALISA","@JENDERALISA")</f>
        <v>@JENDERALISA</v>
      </c>
      <c r="C25599" t="s">
        <v>2444</v>
      </c>
      <c r="D25599">
        <v>1858</v>
      </c>
      <c r="E25599">
        <v>0</v>
      </c>
      <c r="F25599">
        <v>93</v>
      </c>
    </row>
    <row r="25600" spans="1:6" ht="12.75">
      <c r="A25600" s="2">
        <v>43875.736840277779</v>
      </c>
      <c r="B25600" t="str">
        <f>HYPERLINK("https://twitter.com/Bung501Reksen","@Bung501Reksen")</f>
        <v>@Bung501Reksen</v>
      </c>
      <c r="C25600" t="s">
        <v>9732</v>
      </c>
      <c r="D25600">
        <v>56</v>
      </c>
      <c r="E25600">
        <v>0</v>
      </c>
      <c r="F25600">
        <v>848</v>
      </c>
    </row>
    <row r="25601" spans="1:6" ht="12.75">
      <c r="A25601" s="2">
        <v>43875.736840277779</v>
      </c>
      <c r="B25601" t="str">
        <f>HYPERLINK("https://twitter.com/HaiMagazine","@HaiMagazine")</f>
        <v>@HaiMagazine</v>
      </c>
      <c r="C25601" t="s">
        <v>11552</v>
      </c>
      <c r="D25601">
        <v>0</v>
      </c>
      <c r="E25601">
        <v>1</v>
      </c>
      <c r="F25601">
        <v>552574</v>
      </c>
    </row>
    <row r="25602" spans="1:6" ht="12.75">
      <c r="A25602" s="2">
        <v>43875.736828703702</v>
      </c>
      <c r="B25602" t="str">
        <f>HYPERLINK("https://twitter.com/diantrypST","@diantrypST")</f>
        <v>@diantrypST</v>
      </c>
      <c r="C25602" t="s">
        <v>2444</v>
      </c>
      <c r="D25602">
        <v>1858</v>
      </c>
      <c r="E25602">
        <v>0</v>
      </c>
      <c r="F25602">
        <v>376</v>
      </c>
    </row>
    <row r="25603" spans="1:6" ht="12.75">
      <c r="A25603" s="2">
        <v>43875.736817129626</v>
      </c>
      <c r="B25603" t="str">
        <f>HYPERLINK("https://twitter.com/Lukman_HARP","@Lukman_HARP")</f>
        <v>@Lukman_HARP</v>
      </c>
      <c r="C25603" t="s">
        <v>11553</v>
      </c>
      <c r="D25603">
        <v>0</v>
      </c>
      <c r="E25603">
        <v>1</v>
      </c>
      <c r="F25603">
        <v>1059</v>
      </c>
    </row>
    <row r="25604" spans="1:6" ht="12.75">
      <c r="A25604" s="2">
        <v>43875.736793981487</v>
      </c>
      <c r="B25604" t="str">
        <f>HYPERLINK("https://twitter.com/yoojungmu","@yoojungmu")</f>
        <v>@yoojungmu</v>
      </c>
      <c r="C25604" t="s">
        <v>11554</v>
      </c>
      <c r="D25604">
        <v>0</v>
      </c>
      <c r="E25604">
        <v>0</v>
      </c>
      <c r="F25604">
        <v>8655</v>
      </c>
    </row>
    <row r="25605" spans="1:6" ht="12.75">
      <c r="A25605" s="2">
        <v>43875.736585648148</v>
      </c>
      <c r="B25605" t="str">
        <f>HYPERLINK("https://twitter.com/abyalif74_noni","@abyalif74_noni")</f>
        <v>@abyalif74_noni</v>
      </c>
      <c r="C25605" t="s">
        <v>6201</v>
      </c>
      <c r="D25605">
        <v>109</v>
      </c>
      <c r="E25605">
        <v>0</v>
      </c>
      <c r="F25605">
        <v>3961</v>
      </c>
    </row>
    <row r="25606" spans="1:6" ht="12.75">
      <c r="A25606" s="2">
        <v>43875.736574074079</v>
      </c>
      <c r="B25606" t="str">
        <f>HYPERLINK("https://twitter.com/ini_nano","@ini_nano")</f>
        <v>@ini_nano</v>
      </c>
      <c r="C25606" t="s">
        <v>7478</v>
      </c>
      <c r="D25606">
        <v>291</v>
      </c>
      <c r="E25606">
        <v>0</v>
      </c>
      <c r="F25606">
        <v>1103</v>
      </c>
    </row>
    <row r="25607" spans="1:6" ht="12.75">
      <c r="A25607" s="2">
        <v>43875.736539351856</v>
      </c>
      <c r="B25607" t="str">
        <f>HYPERLINK("https://twitter.com/TRANS7","@TRANS7")</f>
        <v>@TRANS7</v>
      </c>
      <c r="C25607" t="s">
        <v>11555</v>
      </c>
      <c r="D25607">
        <v>2</v>
      </c>
      <c r="E25607">
        <v>2</v>
      </c>
      <c r="F25607">
        <v>5569147</v>
      </c>
    </row>
    <row r="25608" spans="1:6" ht="12.75">
      <c r="A25608" s="2">
        <v>43875.736539351856</v>
      </c>
      <c r="B25608" t="str">
        <f>HYPERLINK("https://twitter.com/redaksisore_t7","@redaksisore_t7")</f>
        <v>@redaksisore_t7</v>
      </c>
      <c r="C25608" t="s">
        <v>11555</v>
      </c>
      <c r="D25608">
        <v>0</v>
      </c>
      <c r="E25608">
        <v>0</v>
      </c>
      <c r="F25608">
        <v>12097</v>
      </c>
    </row>
    <row r="25609" spans="1:6" ht="12.75">
      <c r="A25609" s="2">
        <v>43875.736412037033</v>
      </c>
      <c r="B25609" t="str">
        <f>HYPERLINK("https://twitter.com/Metro_TV","@Metro_TV")</f>
        <v>@Metro_TV</v>
      </c>
      <c r="C25609" t="s">
        <v>11556</v>
      </c>
      <c r="D25609">
        <v>1</v>
      </c>
      <c r="E25609">
        <v>0</v>
      </c>
      <c r="F25609">
        <v>10509008</v>
      </c>
    </row>
    <row r="25610" spans="1:6" ht="12.75">
      <c r="A25610" s="2">
        <v>43875.736342592594</v>
      </c>
      <c r="B25610" t="str">
        <f>HYPERLINK("https://twitter.com/felixaaf1","@felixaaf1")</f>
        <v>@felixaaf1</v>
      </c>
      <c r="C25610" t="s">
        <v>11557</v>
      </c>
      <c r="D25610">
        <v>4</v>
      </c>
      <c r="E25610">
        <v>0</v>
      </c>
      <c r="F25610">
        <v>5942</v>
      </c>
    </row>
    <row r="25611" spans="1:6" ht="12.75">
      <c r="A25611" s="2">
        <v>43875.736296296294</v>
      </c>
      <c r="B25611" t="str">
        <f>HYPERLINK("https://twitter.com/redaksisore_t7","@redaksisore_t7")</f>
        <v>@redaksisore_t7</v>
      </c>
      <c r="C25611" t="s">
        <v>11558</v>
      </c>
      <c r="D25611">
        <v>0</v>
      </c>
      <c r="E25611">
        <v>0</v>
      </c>
      <c r="F25611">
        <v>12097</v>
      </c>
    </row>
    <row r="25612" spans="1:6" ht="12.75">
      <c r="A25612" s="2">
        <v>43875.736296296294</v>
      </c>
      <c r="B25612" t="str">
        <f>HYPERLINK("https://twitter.com/TRANS7","@TRANS7")</f>
        <v>@TRANS7</v>
      </c>
      <c r="C25612" t="s">
        <v>11558</v>
      </c>
      <c r="D25612">
        <v>1</v>
      </c>
      <c r="E25612">
        <v>4</v>
      </c>
      <c r="F25612">
        <v>5569147</v>
      </c>
    </row>
    <row r="25613" spans="1:6" ht="12.75">
      <c r="A25613" s="2">
        <v>43875.736261574071</v>
      </c>
      <c r="B25613" t="str">
        <f>HYPERLINK("https://twitter.com/morryhudson1","@morryhudson1")</f>
        <v>@morryhudson1</v>
      </c>
      <c r="C25613" t="s">
        <v>6201</v>
      </c>
      <c r="D25613">
        <v>109</v>
      </c>
      <c r="E25613">
        <v>0</v>
      </c>
      <c r="F25613">
        <v>465</v>
      </c>
    </row>
    <row r="25614" spans="1:6" ht="12.75">
      <c r="A25614" s="2">
        <v>43875.736215277779</v>
      </c>
      <c r="B25614" t="str">
        <f>HYPERLINK("https://twitter.com/ngurahsaka","@ngurahsaka")</f>
        <v>@ngurahsaka</v>
      </c>
      <c r="C25614" t="s">
        <v>11559</v>
      </c>
      <c r="D25614">
        <v>0</v>
      </c>
      <c r="E25614">
        <v>0</v>
      </c>
      <c r="F25614">
        <v>1801</v>
      </c>
    </row>
    <row r="25615" spans="1:6" ht="12.75">
      <c r="A25615" s="2">
        <v>43875.736180555556</v>
      </c>
      <c r="B25615" t="str">
        <f>HYPERLINK("https://twitter.com/SyairaziAl","@SyairaziAl")</f>
        <v>@SyairaziAl</v>
      </c>
      <c r="C25615" t="s">
        <v>9732</v>
      </c>
      <c r="D25615">
        <v>56</v>
      </c>
      <c r="E25615">
        <v>0</v>
      </c>
      <c r="F25615">
        <v>37</v>
      </c>
    </row>
    <row r="25616" spans="1:6" ht="12.75">
      <c r="A25616" s="2">
        <v>43875.736180555556</v>
      </c>
      <c r="B25616" t="str">
        <f>HYPERLINK("https://twitter.com/beritaA1","@beritaA1")</f>
        <v>@beritaA1</v>
      </c>
      <c r="C25616" t="s">
        <v>11560</v>
      </c>
      <c r="D25616">
        <v>0</v>
      </c>
      <c r="E25616">
        <v>0</v>
      </c>
      <c r="F25616">
        <v>9241</v>
      </c>
    </row>
    <row r="25617" spans="1:6" ht="12.75">
      <c r="A25617" s="2">
        <v>43875.73609953704</v>
      </c>
      <c r="B25617" t="str">
        <f>HYPERLINK("https://twitter.com/Realitarakyat01","@Realitarakyat01")</f>
        <v>@Realitarakyat01</v>
      </c>
      <c r="C25617" t="s">
        <v>11561</v>
      </c>
      <c r="D25617">
        <v>0</v>
      </c>
      <c r="E25617">
        <v>0</v>
      </c>
      <c r="F25617">
        <v>121</v>
      </c>
    </row>
    <row r="25618" spans="1:6" ht="12.75">
      <c r="A25618" s="2">
        <v>43875.736018518517</v>
      </c>
      <c r="B25618" t="str">
        <f>HYPERLINK("https://twitter.com/TeddyIrjaya","@TeddyIrjaya")</f>
        <v>@TeddyIrjaya</v>
      </c>
      <c r="C25618" t="s">
        <v>11562</v>
      </c>
      <c r="D25618">
        <v>0</v>
      </c>
      <c r="E25618">
        <v>0</v>
      </c>
      <c r="F25618">
        <v>667</v>
      </c>
    </row>
    <row r="25619" spans="1:6" ht="12.75">
      <c r="A25619" s="2">
        <v>43875.735995370371</v>
      </c>
      <c r="B25619" t="str">
        <f>HYPERLINK("https://twitter.com/Muiz_Shiddiq","@Muiz_Shiddiq")</f>
        <v>@Muiz_Shiddiq</v>
      </c>
      <c r="C25619" t="s">
        <v>10927</v>
      </c>
      <c r="D25619">
        <v>2</v>
      </c>
      <c r="E25619">
        <v>0</v>
      </c>
      <c r="F25619">
        <v>132</v>
      </c>
    </row>
    <row r="25620" spans="1:6" ht="12.75">
      <c r="A25620" s="2">
        <v>43875.735983796301</v>
      </c>
      <c r="B25620" t="str">
        <f>HYPERLINK("https://twitter.com/pinkflowxr","@pinkflowxr")</f>
        <v>@pinkflowxr</v>
      </c>
      <c r="C25620" t="s">
        <v>2444</v>
      </c>
      <c r="D25620">
        <v>1858</v>
      </c>
      <c r="E25620">
        <v>0</v>
      </c>
      <c r="F25620">
        <v>327</v>
      </c>
    </row>
    <row r="25621" spans="1:6" ht="12.75">
      <c r="A25621" s="2">
        <v>43875.735983796301</v>
      </c>
      <c r="B25621" t="str">
        <f>HYPERLINK("https://twitter.com/SevenSeas87","@SevenSeas87")</f>
        <v>@SevenSeas87</v>
      </c>
      <c r="C25621" t="s">
        <v>10207</v>
      </c>
      <c r="D25621">
        <v>41</v>
      </c>
      <c r="E25621">
        <v>0</v>
      </c>
      <c r="F25621">
        <v>1337</v>
      </c>
    </row>
    <row r="25622" spans="1:6" ht="12.75">
      <c r="A25622" s="2">
        <v>43875.735972222217</v>
      </c>
      <c r="B25622" t="str">
        <f>HYPERLINK("https://twitter.com/HaniahHanamichi","@HaniahHanamichi")</f>
        <v>@HaniahHanamichi</v>
      </c>
      <c r="C25622" t="s">
        <v>11328</v>
      </c>
      <c r="D25622">
        <v>2</v>
      </c>
      <c r="E25622">
        <v>0</v>
      </c>
      <c r="F25622">
        <v>2342</v>
      </c>
    </row>
    <row r="25623" spans="1:6" ht="12.75">
      <c r="A25623" s="2">
        <v>43875.735949074078</v>
      </c>
      <c r="B25623" t="str">
        <f>HYPERLINK("https://twitter.com/al_fakru","@al_fakru")</f>
        <v>@al_fakru</v>
      </c>
      <c r="C25623" t="s">
        <v>11557</v>
      </c>
      <c r="D25623">
        <v>4</v>
      </c>
      <c r="E25623">
        <v>0</v>
      </c>
      <c r="F25623">
        <v>2976</v>
      </c>
    </row>
    <row r="25624" spans="1:6" ht="12.75">
      <c r="A25624" s="2">
        <v>43875.735856481479</v>
      </c>
      <c r="B25624" t="str">
        <f>HYPERLINK("https://twitter.com/translatorbali","@translatorbali")</f>
        <v>@translatorbali</v>
      </c>
      <c r="C25624" t="s">
        <v>2444</v>
      </c>
      <c r="D25624">
        <v>1858</v>
      </c>
      <c r="E25624">
        <v>0</v>
      </c>
      <c r="F25624">
        <v>3860</v>
      </c>
    </row>
    <row r="25625" spans="1:6" ht="12.75">
      <c r="A25625" s="2">
        <v>43875.735798611116</v>
      </c>
      <c r="B25625" t="str">
        <f>HYPERLINK("https://twitter.com/farid10indra","@farid10indra")</f>
        <v>@farid10indra</v>
      </c>
      <c r="C25625" t="s">
        <v>5168</v>
      </c>
      <c r="D25625">
        <v>843</v>
      </c>
      <c r="E25625">
        <v>0</v>
      </c>
      <c r="F25625">
        <v>695</v>
      </c>
    </row>
    <row r="25626" spans="1:6" ht="12.75">
      <c r="A25626" s="2">
        <v>43875.735717592594</v>
      </c>
      <c r="B25626" t="str">
        <f>HYPERLINK("https://twitter.com/andarisqiwahab","@andarisqiwahab")</f>
        <v>@andarisqiwahab</v>
      </c>
      <c r="C25626" t="s">
        <v>7478</v>
      </c>
      <c r="D25626">
        <v>291</v>
      </c>
      <c r="E25626">
        <v>0</v>
      </c>
      <c r="F25626">
        <v>761</v>
      </c>
    </row>
    <row r="25627" spans="1:6" ht="12.75">
      <c r="A25627" s="2">
        <v>43875.735706018517</v>
      </c>
      <c r="B25627" t="str">
        <f>HYPERLINK("https://twitter.com/UstianaRestian","@UstianaRestian")</f>
        <v>@UstianaRestian</v>
      </c>
      <c r="C25627" t="s">
        <v>11563</v>
      </c>
      <c r="D25627">
        <v>0</v>
      </c>
      <c r="E25627">
        <v>0</v>
      </c>
      <c r="F25627">
        <v>614</v>
      </c>
    </row>
    <row r="25628" spans="1:6" ht="12.75">
      <c r="A25628" s="2">
        <v>43875.735682870371</v>
      </c>
      <c r="B25628" t="str">
        <f>HYPERLINK("https://twitter.com/sitris_putra","@sitris_putra")</f>
        <v>@sitris_putra</v>
      </c>
      <c r="C25628" t="s">
        <v>11564</v>
      </c>
      <c r="D25628">
        <v>0</v>
      </c>
      <c r="E25628">
        <v>0</v>
      </c>
      <c r="F25628">
        <v>987</v>
      </c>
    </row>
    <row r="25629" spans="1:6" ht="12.75">
      <c r="A25629" s="2">
        <v>43875.735636574071</v>
      </c>
      <c r="B25629" t="str">
        <f>HYPERLINK("https://twitter.com/Ranah_iniitu","@Ranah_iniitu")</f>
        <v>@Ranah_iniitu</v>
      </c>
      <c r="C25629" t="s">
        <v>5168</v>
      </c>
      <c r="D25629">
        <v>843</v>
      </c>
      <c r="E25629">
        <v>0</v>
      </c>
      <c r="F25629">
        <v>158</v>
      </c>
    </row>
    <row r="25630" spans="1:6" ht="12.75">
      <c r="A25630" s="2">
        <v>43875.735625000001</v>
      </c>
      <c r="B25630" t="str">
        <f>HYPERLINK("https://twitter.com/indahpaiq","@indahpaiq")</f>
        <v>@indahpaiq</v>
      </c>
      <c r="C25630" t="s">
        <v>11565</v>
      </c>
      <c r="D25630">
        <v>1</v>
      </c>
      <c r="E25630">
        <v>0</v>
      </c>
      <c r="F25630">
        <v>14</v>
      </c>
    </row>
    <row r="25631" spans="1:6" ht="12.75">
      <c r="A25631" s="2">
        <v>43875.735578703709</v>
      </c>
      <c r="B25631" t="str">
        <f>HYPERLINK("https://twitter.com/shamelessmalum","@shamelessmalum")</f>
        <v>@shamelessmalum</v>
      </c>
      <c r="C25631" t="s">
        <v>2444</v>
      </c>
      <c r="D25631">
        <v>1858</v>
      </c>
      <c r="E25631">
        <v>0</v>
      </c>
      <c r="F25631">
        <v>2540</v>
      </c>
    </row>
    <row r="25632" spans="1:6" ht="12.75">
      <c r="A25632" s="2">
        <v>43875.735578703709</v>
      </c>
      <c r="B25632" t="str">
        <f>HYPERLINK("https://twitter.com/desdesideees","@desdesideees")</f>
        <v>@desdesideees</v>
      </c>
      <c r="C25632" t="s">
        <v>11566</v>
      </c>
      <c r="D25632">
        <v>106</v>
      </c>
      <c r="E25632">
        <v>0</v>
      </c>
      <c r="F25632">
        <v>52</v>
      </c>
    </row>
    <row r="25633" spans="1:6" ht="12.75">
      <c r="A25633" s="2">
        <v>43875.73537037037</v>
      </c>
      <c r="B25633" t="str">
        <f>HYPERLINK("https://twitter.com/minhyunsc","@minhyunsc")</f>
        <v>@minhyunsc</v>
      </c>
      <c r="C25633" t="s">
        <v>11567</v>
      </c>
      <c r="D25633">
        <v>1</v>
      </c>
      <c r="E25633">
        <v>0</v>
      </c>
      <c r="F25633">
        <v>7544</v>
      </c>
    </row>
    <row r="25634" spans="1:6" ht="12.75">
      <c r="A25634" s="2">
        <v>43875.735312500001</v>
      </c>
      <c r="B25634" t="str">
        <f>HYPERLINK("https://twitter.com/aa_argun","@aa_argun")</f>
        <v>@aa_argun</v>
      </c>
      <c r="C25634" t="s">
        <v>11568</v>
      </c>
      <c r="D25634">
        <v>1</v>
      </c>
      <c r="E25634">
        <v>0</v>
      </c>
      <c r="F25634">
        <v>107</v>
      </c>
    </row>
    <row r="25635" spans="1:6" ht="12.75">
      <c r="A25635" s="2">
        <v>43875.735254629632</v>
      </c>
      <c r="B25635" t="str">
        <f>HYPERLINK("https://twitter.com/hlnajulee","@hlnajulee")</f>
        <v>@hlnajulee</v>
      </c>
      <c r="C25635" t="s">
        <v>11569</v>
      </c>
      <c r="D25635">
        <v>0</v>
      </c>
      <c r="E25635">
        <v>0</v>
      </c>
      <c r="F25635">
        <v>62</v>
      </c>
    </row>
    <row r="25636" spans="1:6" ht="12.75">
      <c r="A25636" s="2">
        <v>43875.735231481478</v>
      </c>
      <c r="B25636" t="str">
        <f>HYPERLINK("https://twitter.com/ayeydaaa","@ayeydaaa")</f>
        <v>@ayeydaaa</v>
      </c>
      <c r="C25636" t="s">
        <v>2444</v>
      </c>
      <c r="D25636">
        <v>1858</v>
      </c>
      <c r="E25636">
        <v>0</v>
      </c>
      <c r="F25636">
        <v>1197</v>
      </c>
    </row>
    <row r="25637" spans="1:6" ht="12.75">
      <c r="A25637" s="2">
        <v>43875.735208333332</v>
      </c>
      <c r="B25637" t="str">
        <f>HYPERLINK("https://twitter.com/doyokijay","@doyokijay")</f>
        <v>@doyokijay</v>
      </c>
      <c r="C25637" t="s">
        <v>10165</v>
      </c>
      <c r="D25637">
        <v>10</v>
      </c>
      <c r="E25637">
        <v>0</v>
      </c>
      <c r="F25637">
        <v>305</v>
      </c>
    </row>
    <row r="25638" spans="1:6" ht="12.75">
      <c r="A25638" s="2">
        <v>43875.735150462962</v>
      </c>
      <c r="B25638" t="str">
        <f>HYPERLINK("https://twitter.com/MarchelBerry","@MarchelBerry")</f>
        <v>@MarchelBerry</v>
      </c>
      <c r="C25638" t="s">
        <v>11570</v>
      </c>
      <c r="D25638">
        <v>0</v>
      </c>
      <c r="E25638">
        <v>0</v>
      </c>
      <c r="F25638">
        <v>1358</v>
      </c>
    </row>
    <row r="25639" spans="1:6" ht="12.75">
      <c r="A25639" s="2">
        <v>43875.735046296293</v>
      </c>
      <c r="B25639" t="str">
        <f>HYPERLINK("https://twitter.com/LoeyChoco_9461","@LoeyChoco_9461")</f>
        <v>@LoeyChoco_9461</v>
      </c>
      <c r="C25639" t="s">
        <v>2444</v>
      </c>
      <c r="D25639">
        <v>1858</v>
      </c>
      <c r="E25639">
        <v>0</v>
      </c>
      <c r="F25639">
        <v>950</v>
      </c>
    </row>
    <row r="25640" spans="1:6" ht="12.75">
      <c r="A25640" s="2">
        <v>43875.735034722224</v>
      </c>
      <c r="B25640" t="str">
        <f>HYPERLINK("https://twitter.com/kellyrudi","@kellyrudi")</f>
        <v>@kellyrudi</v>
      </c>
      <c r="C25640" t="s">
        <v>6201</v>
      </c>
      <c r="D25640">
        <v>109</v>
      </c>
      <c r="E25640">
        <v>0</v>
      </c>
      <c r="F25640">
        <v>1247</v>
      </c>
    </row>
    <row r="25641" spans="1:6" ht="12.75">
      <c r="A25641" s="2">
        <v>43875.735000000001</v>
      </c>
      <c r="B25641" t="str">
        <f>HYPERLINK("https://twitter.com/grbys","@grbys")</f>
        <v>@grbys</v>
      </c>
      <c r="C25641" t="s">
        <v>11571</v>
      </c>
      <c r="D25641">
        <v>0</v>
      </c>
      <c r="E25641">
        <v>0</v>
      </c>
      <c r="F25641">
        <v>343</v>
      </c>
    </row>
    <row r="25642" spans="1:6" ht="12.75">
      <c r="A25642" s="2">
        <v>43875.734837962962</v>
      </c>
      <c r="B25642" t="str">
        <f>HYPERLINK("https://twitter.com/Adot1998","@Adot1998")</f>
        <v>@Adot1998</v>
      </c>
      <c r="C25642" t="s">
        <v>6201</v>
      </c>
      <c r="D25642">
        <v>109</v>
      </c>
      <c r="E25642">
        <v>0</v>
      </c>
      <c r="F25642">
        <v>15457</v>
      </c>
    </row>
    <row r="25643" spans="1:6" ht="12.75">
      <c r="A25643" s="2">
        <v>43875.734837962962</v>
      </c>
      <c r="B25643" t="str">
        <f>HYPERLINK("https://twitter.com/TukangMu","@TukangMu")</f>
        <v>@TukangMu</v>
      </c>
      <c r="C25643" t="s">
        <v>11557</v>
      </c>
      <c r="D25643">
        <v>4</v>
      </c>
      <c r="E25643">
        <v>0</v>
      </c>
      <c r="F25643">
        <v>1001</v>
      </c>
    </row>
    <row r="25644" spans="1:6" ht="12.75">
      <c r="A25644" s="2">
        <v>43875.734768518523</v>
      </c>
      <c r="B25644" t="str">
        <f>HYPERLINK("https://twitter.com/longlivehwan","@longlivehwan")</f>
        <v>@longlivehwan</v>
      </c>
      <c r="C25644" t="s">
        <v>2444</v>
      </c>
      <c r="D25644">
        <v>1858</v>
      </c>
      <c r="E25644">
        <v>0</v>
      </c>
      <c r="F25644">
        <v>185</v>
      </c>
    </row>
    <row r="25645" spans="1:6" ht="12.75">
      <c r="A25645" s="2">
        <v>43875.734652777777</v>
      </c>
      <c r="B25645" t="str">
        <f>HYPERLINK("https://twitter.com/JoonieKim129","@JoonieKim129")</f>
        <v>@JoonieKim129</v>
      </c>
      <c r="C25645" t="s">
        <v>2444</v>
      </c>
      <c r="D25645">
        <v>1858</v>
      </c>
      <c r="E25645">
        <v>0</v>
      </c>
      <c r="F25645">
        <v>218</v>
      </c>
    </row>
    <row r="25646" spans="1:6" ht="12.75">
      <c r="A25646" s="2">
        <v>43875.734560185185</v>
      </c>
      <c r="B25646" t="str">
        <f>HYPERLINK("https://twitter.com/AderadianDian","@AderadianDian")</f>
        <v>@AderadianDian</v>
      </c>
      <c r="C25646" t="s">
        <v>11572</v>
      </c>
      <c r="D25646">
        <v>0</v>
      </c>
      <c r="E25646">
        <v>0</v>
      </c>
      <c r="F25646">
        <v>46</v>
      </c>
    </row>
    <row r="25647" spans="1:6" ht="12.75">
      <c r="A25647" s="2">
        <v>43875.734548611115</v>
      </c>
      <c r="B25647" t="str">
        <f>HYPERLINK("https://twitter.com/bibin_bey","@bibin_bey")</f>
        <v>@bibin_bey</v>
      </c>
      <c r="C25647" t="s">
        <v>7619</v>
      </c>
      <c r="D25647">
        <v>9</v>
      </c>
      <c r="E25647">
        <v>0</v>
      </c>
      <c r="F25647">
        <v>1605</v>
      </c>
    </row>
    <row r="25648" spans="1:6" ht="12.75">
      <c r="A25648" s="2">
        <v>43875.734467592592</v>
      </c>
      <c r="B25648" t="str">
        <f>HYPERLINK("https://twitter.com/shofiaamalias","@shofiaamalias")</f>
        <v>@shofiaamalias</v>
      </c>
      <c r="C25648" t="s">
        <v>2963</v>
      </c>
      <c r="D25648">
        <v>994</v>
      </c>
      <c r="E25648">
        <v>0</v>
      </c>
      <c r="F25648">
        <v>418</v>
      </c>
    </row>
    <row r="25649" spans="1:6" ht="12.75">
      <c r="A25649" s="2">
        <v>43875.734444444446</v>
      </c>
      <c r="B25649" t="str">
        <f>HYPERLINK("https://twitter.com/minhyunsc","@minhyunsc")</f>
        <v>@minhyunsc</v>
      </c>
      <c r="C25649" t="s">
        <v>11523</v>
      </c>
      <c r="D25649">
        <v>0</v>
      </c>
      <c r="E25649">
        <v>0</v>
      </c>
      <c r="F25649">
        <v>7544</v>
      </c>
    </row>
    <row r="25650" spans="1:6" ht="12.75">
      <c r="A25650" s="2">
        <v>43875.734421296293</v>
      </c>
      <c r="B25650" t="str">
        <f>HYPERLINK("https://twitter.com/GetukDangdeur","@GetukDangdeur")</f>
        <v>@GetukDangdeur</v>
      </c>
      <c r="C25650" t="s">
        <v>10207</v>
      </c>
      <c r="D25650">
        <v>41</v>
      </c>
      <c r="E25650">
        <v>0</v>
      </c>
      <c r="F25650">
        <v>2490</v>
      </c>
    </row>
    <row r="25651" spans="1:6" ht="12.75">
      <c r="A25651" s="2">
        <v>43875.734398148154</v>
      </c>
      <c r="B25651" t="str">
        <f>HYPERLINK("https://twitter.com/farid10indra","@farid10indra")</f>
        <v>@farid10indra</v>
      </c>
      <c r="C25651" t="s">
        <v>2444</v>
      </c>
      <c r="D25651">
        <v>1858</v>
      </c>
      <c r="E25651">
        <v>0</v>
      </c>
      <c r="F25651">
        <v>695</v>
      </c>
    </row>
    <row r="25652" spans="1:6" ht="12.75">
      <c r="A25652" s="2">
        <v>43875.73438657407</v>
      </c>
      <c r="B25652" t="str">
        <f>HYPERLINK("https://twitter.com/bryandnp","@bryandnp")</f>
        <v>@bryandnp</v>
      </c>
      <c r="C25652" t="s">
        <v>2444</v>
      </c>
      <c r="D25652">
        <v>1858</v>
      </c>
      <c r="E25652">
        <v>0</v>
      </c>
      <c r="F25652">
        <v>65</v>
      </c>
    </row>
    <row r="25653" spans="1:6" ht="12.75">
      <c r="A25653" s="2">
        <v>43875.73438657407</v>
      </c>
      <c r="B25653" t="str">
        <f>HYPERLINK("https://twitter.com/indrianaa121","@indrianaa121")</f>
        <v>@indrianaa121</v>
      </c>
      <c r="C25653" t="s">
        <v>11573</v>
      </c>
      <c r="D25653">
        <v>1</v>
      </c>
      <c r="E25653">
        <v>0</v>
      </c>
      <c r="F25653">
        <v>256</v>
      </c>
    </row>
    <row r="25654" spans="1:6" ht="12.75">
      <c r="A25654" s="2">
        <v>43875.734317129631</v>
      </c>
      <c r="B25654" t="str">
        <f>HYPERLINK("https://twitter.com/adieet_78","@adieet_78")</f>
        <v>@adieet_78</v>
      </c>
      <c r="C25654" t="s">
        <v>2963</v>
      </c>
      <c r="D25654">
        <v>994</v>
      </c>
      <c r="E25654">
        <v>0</v>
      </c>
      <c r="F25654">
        <v>140</v>
      </c>
    </row>
    <row r="25655" spans="1:6" ht="12.75">
      <c r="A25655" s="2">
        <v>43875.734317129631</v>
      </c>
      <c r="B25655" t="str">
        <f>HYPERLINK("https://twitter.com/bageru","@bageru")</f>
        <v>@bageru</v>
      </c>
      <c r="C25655" t="s">
        <v>10300</v>
      </c>
      <c r="D25655">
        <v>43</v>
      </c>
      <c r="E25655">
        <v>0</v>
      </c>
      <c r="F25655">
        <v>2031</v>
      </c>
    </row>
    <row r="25656" spans="1:6" ht="12.75">
      <c r="A25656" s="2">
        <v>43875.734293981484</v>
      </c>
      <c r="B25656" t="str">
        <f>HYPERLINK("https://twitter.com/wolhwasumok","@wolhwasumok")</f>
        <v>@wolhwasumok</v>
      </c>
      <c r="C25656" t="s">
        <v>2444</v>
      </c>
      <c r="D25656">
        <v>1858</v>
      </c>
      <c r="E25656">
        <v>0</v>
      </c>
      <c r="F25656">
        <v>25</v>
      </c>
    </row>
    <row r="25657" spans="1:6" ht="12.75">
      <c r="A25657" s="2">
        <v>43875.734224537038</v>
      </c>
      <c r="B25657" t="str">
        <f>HYPERLINK("https://twitter.com/Rudiwaluyo11","@Rudiwaluyo11")</f>
        <v>@Rudiwaluyo11</v>
      </c>
      <c r="C25657" t="s">
        <v>11574</v>
      </c>
      <c r="D25657">
        <v>1</v>
      </c>
      <c r="E25657">
        <v>0</v>
      </c>
      <c r="F25657">
        <v>38</v>
      </c>
    </row>
    <row r="25658" spans="1:6" ht="12.75">
      <c r="A25658" s="2">
        <v>43875.734201388885</v>
      </c>
      <c r="B25658" t="str">
        <f>HYPERLINK("https://twitter.com/furryskyun","@furryskyun")</f>
        <v>@furryskyun</v>
      </c>
      <c r="C25658" t="s">
        <v>2444</v>
      </c>
      <c r="D25658">
        <v>1858</v>
      </c>
      <c r="E25658">
        <v>0</v>
      </c>
      <c r="F25658">
        <v>1149</v>
      </c>
    </row>
    <row r="25659" spans="1:6" ht="12.75">
      <c r="A25659" s="2">
        <v>43875.734189814815</v>
      </c>
      <c r="B25659" t="str">
        <f>HYPERLINK("https://twitter.com/dysnis","@dysnis")</f>
        <v>@dysnis</v>
      </c>
      <c r="C25659" t="s">
        <v>5168</v>
      </c>
      <c r="D25659">
        <v>843</v>
      </c>
      <c r="E25659">
        <v>0</v>
      </c>
      <c r="F25659">
        <v>418</v>
      </c>
    </row>
    <row r="25660" spans="1:6" ht="12.75">
      <c r="A25660" s="2">
        <v>43875.734143518523</v>
      </c>
      <c r="B25660" t="str">
        <f>HYPERLINK("https://twitter.com/mavidenize","@mavidenize")</f>
        <v>@mavidenize</v>
      </c>
      <c r="C25660" t="s">
        <v>9082</v>
      </c>
      <c r="D25660">
        <v>37</v>
      </c>
      <c r="E25660">
        <v>0</v>
      </c>
      <c r="F25660">
        <v>888</v>
      </c>
    </row>
    <row r="25661" spans="1:6" ht="12.75">
      <c r="A25661" s="2">
        <v>43875.734074074076</v>
      </c>
      <c r="B25661" t="str">
        <f>HYPERLINK("https://twitter.com/Adinnov","@Adinnov")</f>
        <v>@Adinnov</v>
      </c>
      <c r="C25661" t="s">
        <v>2444</v>
      </c>
      <c r="D25661">
        <v>1858</v>
      </c>
      <c r="E25661">
        <v>0</v>
      </c>
      <c r="F25661">
        <v>314</v>
      </c>
    </row>
    <row r="25662" spans="1:6" ht="12.75">
      <c r="A25662" s="2">
        <v>43875.734074074076</v>
      </c>
      <c r="B25662" t="str">
        <f>HYPERLINK("https://twitter.com/jawapos","@jawapos")</f>
        <v>@jawapos</v>
      </c>
      <c r="C25662" t="s">
        <v>10118</v>
      </c>
      <c r="D25662">
        <v>0</v>
      </c>
      <c r="E25662">
        <v>0</v>
      </c>
      <c r="F25662">
        <v>116506</v>
      </c>
    </row>
    <row r="25663" spans="1:6" ht="12.75">
      <c r="A25663" s="2">
        <v>43875.7340625</v>
      </c>
      <c r="B25663" t="str">
        <f>HYPERLINK("https://twitter.com/minhyunsc","@minhyunsc")</f>
        <v>@minhyunsc</v>
      </c>
      <c r="C25663" t="s">
        <v>11575</v>
      </c>
      <c r="D25663">
        <v>0</v>
      </c>
      <c r="E25663">
        <v>0</v>
      </c>
      <c r="F25663">
        <v>7544</v>
      </c>
    </row>
    <row r="25664" spans="1:6" ht="12.75">
      <c r="A25664" s="2">
        <v>43875.734039351853</v>
      </c>
      <c r="B25664" t="str">
        <f>HYPERLINK("https://twitter.com/JohnIrwan4","@JohnIrwan4")</f>
        <v>@JohnIrwan4</v>
      </c>
      <c r="C25664" t="s">
        <v>11557</v>
      </c>
      <c r="D25664">
        <v>4</v>
      </c>
      <c r="E25664">
        <v>0</v>
      </c>
      <c r="F25664">
        <v>2120</v>
      </c>
    </row>
    <row r="25665" spans="1:6" ht="12.75">
      <c r="A25665" s="2">
        <v>43875.734027777777</v>
      </c>
      <c r="B25665" t="str">
        <f>HYPERLINK("https://twitter.com/4_devout","@4_devout")</f>
        <v>@4_devout</v>
      </c>
      <c r="C25665" t="s">
        <v>11576</v>
      </c>
      <c r="D25665">
        <v>6</v>
      </c>
      <c r="E25665">
        <v>0</v>
      </c>
      <c r="F25665">
        <v>607</v>
      </c>
    </row>
    <row r="25666" spans="1:6" ht="12.75">
      <c r="A25666" s="2">
        <v>43875.733900462961</v>
      </c>
      <c r="B25666" t="str">
        <f>HYPERLINK("https://twitter.com/Ricky_Sat","@Ricky_Sat")</f>
        <v>@Ricky_Sat</v>
      </c>
      <c r="C25666" t="s">
        <v>2444</v>
      </c>
      <c r="D25666">
        <v>1858</v>
      </c>
      <c r="E25666">
        <v>0</v>
      </c>
      <c r="F25666">
        <v>1</v>
      </c>
    </row>
    <row r="25667" spans="1:6" ht="12.75">
      <c r="A25667" s="2">
        <v>43875.733877314815</v>
      </c>
      <c r="B25667" t="str">
        <f>HYPERLINK("https://twitter.com/gregdewanto","@gregdewanto")</f>
        <v>@gregdewanto</v>
      </c>
      <c r="C25667" t="s">
        <v>2097</v>
      </c>
      <c r="D25667">
        <v>390</v>
      </c>
      <c r="E25667">
        <v>0</v>
      </c>
      <c r="F25667">
        <v>292</v>
      </c>
    </row>
    <row r="25668" spans="1:6" ht="12.75">
      <c r="A25668" s="2">
        <v>43875.733865740738</v>
      </c>
      <c r="B25668" t="str">
        <f>HYPERLINK("https://twitter.com/robbyaja_","@robbyaja_")</f>
        <v>@robbyaja_</v>
      </c>
      <c r="C25668" t="s">
        <v>2444</v>
      </c>
      <c r="D25668">
        <v>1858</v>
      </c>
      <c r="E25668">
        <v>0</v>
      </c>
      <c r="F25668">
        <v>58</v>
      </c>
    </row>
    <row r="25669" spans="1:6" ht="12.75">
      <c r="A25669" s="2">
        <v>43875.733865740738</v>
      </c>
      <c r="B25669" t="str">
        <f>HYPERLINK("https://twitter.com/EMoorcy","@EMoorcy")</f>
        <v>@EMoorcy</v>
      </c>
      <c r="C25669" t="s">
        <v>7478</v>
      </c>
      <c r="D25669">
        <v>291</v>
      </c>
      <c r="E25669">
        <v>0</v>
      </c>
      <c r="F25669">
        <v>621</v>
      </c>
    </row>
    <row r="25670" spans="1:6" ht="12.75">
      <c r="A25670" s="2">
        <v>43875.733831018515</v>
      </c>
      <c r="B25670" t="str">
        <f>HYPERLINK("https://twitter.com/JohnyCarpenters","@JohnyCarpenters")</f>
        <v>@JohnyCarpenters</v>
      </c>
      <c r="C25670" t="s">
        <v>11577</v>
      </c>
      <c r="D25670">
        <v>1</v>
      </c>
      <c r="E25670">
        <v>0</v>
      </c>
      <c r="F25670">
        <v>2029</v>
      </c>
    </row>
    <row r="25671" spans="1:6" ht="12.75">
      <c r="A25671" s="2">
        <v>43875.733831018515</v>
      </c>
      <c r="B25671" t="str">
        <f>HYPERLINK("https://twitter.com/AnmadFauzy","@AnmadFauzy")</f>
        <v>@AnmadFauzy</v>
      </c>
      <c r="C25671" t="s">
        <v>2149</v>
      </c>
      <c r="D25671">
        <v>21</v>
      </c>
      <c r="E25671">
        <v>0</v>
      </c>
      <c r="F25671">
        <v>39</v>
      </c>
    </row>
    <row r="25672" spans="1:6" ht="12.75">
      <c r="A25672" s="2">
        <v>43875.733715277776</v>
      </c>
      <c r="B25672" t="str">
        <f>HYPERLINK("https://twitter.com/den_bgs","@den_bgs")</f>
        <v>@den_bgs</v>
      </c>
      <c r="C25672" t="s">
        <v>11176</v>
      </c>
      <c r="D25672">
        <v>6</v>
      </c>
      <c r="E25672">
        <v>0</v>
      </c>
      <c r="F25672">
        <v>255</v>
      </c>
    </row>
    <row r="25673" spans="1:6" ht="12.75">
      <c r="A25673" s="2">
        <v>43875.733680555553</v>
      </c>
      <c r="B25673" t="str">
        <f>HYPERLINK("https://twitter.com/2024GanjarRisma","@2024GanjarRisma")</f>
        <v>@2024GanjarRisma</v>
      </c>
      <c r="C25673" t="s">
        <v>11578</v>
      </c>
      <c r="D25673">
        <v>4</v>
      </c>
      <c r="E25673">
        <v>4</v>
      </c>
      <c r="F25673">
        <v>1635</v>
      </c>
    </row>
    <row r="25674" spans="1:6" ht="12.75">
      <c r="A25674" s="2">
        <v>43875.733622685184</v>
      </c>
      <c r="B25674" t="str">
        <f>HYPERLINK("https://twitter.com/Fannytjio1","@Fannytjio1")</f>
        <v>@Fannytjio1</v>
      </c>
      <c r="C25674" t="s">
        <v>11411</v>
      </c>
      <c r="D25674">
        <v>7</v>
      </c>
      <c r="E25674">
        <v>0</v>
      </c>
      <c r="F25674">
        <v>37</v>
      </c>
    </row>
    <row r="25675" spans="1:6" ht="12.75">
      <c r="A25675" s="2">
        <v>43875.733599537038</v>
      </c>
      <c r="B25675" t="str">
        <f>HYPERLINK("https://twitter.com/nilamerah1","@nilamerah1")</f>
        <v>@nilamerah1</v>
      </c>
      <c r="C25675" t="s">
        <v>9538</v>
      </c>
      <c r="D25675">
        <v>146</v>
      </c>
      <c r="E25675">
        <v>0</v>
      </c>
      <c r="F25675">
        <v>3835</v>
      </c>
    </row>
    <row r="25676" spans="1:6" ht="12.75">
      <c r="A25676" s="2">
        <v>43875.733599537038</v>
      </c>
      <c r="B25676" t="str">
        <f>HYPERLINK("https://twitter.com/lelakimusaja","@lelakimusaja")</f>
        <v>@lelakimusaja</v>
      </c>
      <c r="C25676" t="s">
        <v>11579</v>
      </c>
      <c r="D25676">
        <v>1</v>
      </c>
      <c r="E25676">
        <v>0</v>
      </c>
      <c r="F25676">
        <v>701</v>
      </c>
    </row>
    <row r="25677" spans="1:6" ht="12.75">
      <c r="A25677" s="2">
        <v>43875.733530092592</v>
      </c>
      <c r="B25677" t="str">
        <f>HYPERLINK("https://twitter.com/purnomo_jati1","@purnomo_jati1")</f>
        <v>@purnomo_jati1</v>
      </c>
      <c r="C25677" t="s">
        <v>2097</v>
      </c>
      <c r="D25677">
        <v>390</v>
      </c>
      <c r="E25677">
        <v>0</v>
      </c>
      <c r="F25677">
        <v>319</v>
      </c>
    </row>
    <row r="25678" spans="1:6" ht="12.75">
      <c r="A25678" s="2">
        <v>43875.733495370368</v>
      </c>
      <c r="B25678" t="str">
        <f>HYPERLINK("https://twitter.com/pabra_id","@pabra_id")</f>
        <v>@pabra_id</v>
      </c>
      <c r="C25678" t="s">
        <v>11580</v>
      </c>
      <c r="D25678">
        <v>33</v>
      </c>
      <c r="E25678">
        <v>0</v>
      </c>
      <c r="F25678">
        <v>47</v>
      </c>
    </row>
    <row r="25679" spans="1:6" ht="12.75">
      <c r="A25679" s="2">
        <v>43875.733460648145</v>
      </c>
      <c r="B25679" t="str">
        <f>HYPERLINK("https://twitter.com/peyaaank","@peyaaank")</f>
        <v>@peyaaank</v>
      </c>
      <c r="C25679" t="s">
        <v>11581</v>
      </c>
      <c r="D25679">
        <v>0</v>
      </c>
      <c r="E25679">
        <v>0</v>
      </c>
      <c r="F25679">
        <v>766</v>
      </c>
    </row>
    <row r="25680" spans="1:6" ht="12.75">
      <c r="A25680" s="2">
        <v>43875.733333333337</v>
      </c>
      <c r="B25680" t="str">
        <f>HYPERLINK("https://twitter.com/erdobani","@erdobani")</f>
        <v>@erdobani</v>
      </c>
      <c r="C25680" t="s">
        <v>11582</v>
      </c>
      <c r="D25680">
        <v>0</v>
      </c>
      <c r="E25680">
        <v>0</v>
      </c>
      <c r="F25680">
        <v>104</v>
      </c>
    </row>
    <row r="25681" spans="1:6" ht="12.75">
      <c r="A25681" s="2">
        <v>43875.733263888891</v>
      </c>
      <c r="B25681" t="str">
        <f>HYPERLINK("https://twitter.com/dearhyunjinie","@dearhyunjinie")</f>
        <v>@dearhyunjinie</v>
      </c>
      <c r="C25681" t="s">
        <v>2444</v>
      </c>
      <c r="D25681">
        <v>1858</v>
      </c>
      <c r="E25681">
        <v>0</v>
      </c>
      <c r="F25681">
        <v>2924</v>
      </c>
    </row>
    <row r="25682" spans="1:6" ht="12.75">
      <c r="A25682" s="2">
        <v>43875.733263888891</v>
      </c>
      <c r="B25682" t="str">
        <f>HYPERLINK("https://twitter.com/bibin_bey","@bibin_bey")</f>
        <v>@bibin_bey</v>
      </c>
      <c r="C25682" t="s">
        <v>7478</v>
      </c>
      <c r="D25682">
        <v>291</v>
      </c>
      <c r="E25682">
        <v>0</v>
      </c>
      <c r="F25682">
        <v>1605</v>
      </c>
    </row>
    <row r="25683" spans="1:6" ht="12.75">
      <c r="A25683" s="2">
        <v>43875.733113425929</v>
      </c>
      <c r="B25683" t="str">
        <f>HYPERLINK("https://twitter.com/88_nameless","@88_nameless")</f>
        <v>@88_nameless</v>
      </c>
      <c r="C25683" t="s">
        <v>5168</v>
      </c>
      <c r="D25683">
        <v>843</v>
      </c>
      <c r="E25683">
        <v>0</v>
      </c>
      <c r="F25683">
        <v>79</v>
      </c>
    </row>
    <row r="25684" spans="1:6" ht="12.75">
      <c r="A25684" s="2">
        <v>43875.73300925926</v>
      </c>
      <c r="B25684" t="str">
        <f>HYPERLINK("https://twitter.com/gaaasky","@gaaasky")</f>
        <v>@gaaasky</v>
      </c>
      <c r="C25684" t="s">
        <v>11583</v>
      </c>
      <c r="D25684">
        <v>0</v>
      </c>
      <c r="E25684">
        <v>0</v>
      </c>
      <c r="F25684">
        <v>698</v>
      </c>
    </row>
    <row r="25685" spans="1:6" ht="12.75">
      <c r="A25685" s="2">
        <v>43875.732928240745</v>
      </c>
      <c r="B25685" t="str">
        <f>HYPERLINK("https://twitter.com/ultsyerm","@ultsyerm")</f>
        <v>@ultsyerm</v>
      </c>
      <c r="C25685" t="s">
        <v>2137</v>
      </c>
      <c r="D25685">
        <v>155</v>
      </c>
      <c r="E25685">
        <v>0</v>
      </c>
      <c r="F25685">
        <v>755</v>
      </c>
    </row>
    <row r="25686" spans="1:6" ht="12.75">
      <c r="A25686" s="2">
        <v>43875.732858796298</v>
      </c>
      <c r="B25686" t="str">
        <f>HYPERLINK("https://twitter.com/_drunkittens","@_drunkittens")</f>
        <v>@_drunkittens</v>
      </c>
      <c r="C25686" t="s">
        <v>5168</v>
      </c>
      <c r="D25686">
        <v>843</v>
      </c>
      <c r="E25686">
        <v>0</v>
      </c>
      <c r="F25686">
        <v>151</v>
      </c>
    </row>
    <row r="25687" spans="1:6" ht="12.75">
      <c r="A25687" s="2">
        <v>43875.732847222222</v>
      </c>
      <c r="B25687" t="str">
        <f>HYPERLINK("https://twitter.com/erdobani","@erdobani")</f>
        <v>@erdobani</v>
      </c>
      <c r="C25687" t="s">
        <v>11584</v>
      </c>
      <c r="D25687">
        <v>0</v>
      </c>
      <c r="E25687">
        <v>0</v>
      </c>
      <c r="F25687">
        <v>104</v>
      </c>
    </row>
    <row r="25688" spans="1:6" ht="12.75">
      <c r="A25688" s="2">
        <v>43875.732835648145</v>
      </c>
      <c r="B25688" t="str">
        <f>HYPERLINK("https://twitter.com/dysnis","@dysnis")</f>
        <v>@dysnis</v>
      </c>
      <c r="C25688" t="s">
        <v>2444</v>
      </c>
      <c r="D25688">
        <v>1860</v>
      </c>
      <c r="E25688">
        <v>0</v>
      </c>
      <c r="F25688">
        <v>418</v>
      </c>
    </row>
    <row r="25689" spans="1:6" ht="12.75">
      <c r="A25689" s="2">
        <v>43875.732824074075</v>
      </c>
      <c r="B25689" t="str">
        <f>HYPERLINK("https://twitter.com/BayuputraPra","@BayuputraPra")</f>
        <v>@BayuputraPra</v>
      </c>
      <c r="C25689" t="s">
        <v>2444</v>
      </c>
      <c r="D25689">
        <v>1860</v>
      </c>
      <c r="E25689">
        <v>0</v>
      </c>
      <c r="F25689">
        <v>326</v>
      </c>
    </row>
    <row r="25690" spans="1:6" ht="12.75">
      <c r="A25690" s="2">
        <v>43875.732731481483</v>
      </c>
      <c r="B25690" t="str">
        <f>HYPERLINK("https://twitter.com/Setiadi","@Setiadi")</f>
        <v>@Setiadi</v>
      </c>
      <c r="C25690" t="s">
        <v>5168</v>
      </c>
      <c r="D25690">
        <v>844</v>
      </c>
      <c r="E25690">
        <v>0</v>
      </c>
      <c r="F25690">
        <v>702</v>
      </c>
    </row>
    <row r="25691" spans="1:6" ht="12.75">
      <c r="A25691" s="2">
        <v>43875.732708333337</v>
      </c>
      <c r="B25691" t="str">
        <f>HYPERLINK("https://twitter.com/rohanadh","@rohanadh")</f>
        <v>@rohanadh</v>
      </c>
      <c r="C25691" t="s">
        <v>2444</v>
      </c>
      <c r="D25691">
        <v>1860</v>
      </c>
      <c r="E25691">
        <v>0</v>
      </c>
      <c r="F25691">
        <v>1306</v>
      </c>
    </row>
    <row r="25692" spans="1:6" ht="12.75">
      <c r="A25692" s="2">
        <v>43875.732662037037</v>
      </c>
      <c r="B25692" t="str">
        <f>HYPERLINK("https://twitter.com/cakletchips","@cakletchips")</f>
        <v>@cakletchips</v>
      </c>
      <c r="C25692" t="s">
        <v>2444</v>
      </c>
      <c r="D25692">
        <v>1860</v>
      </c>
      <c r="E25692">
        <v>0</v>
      </c>
      <c r="F25692">
        <v>673</v>
      </c>
    </row>
    <row r="25693" spans="1:6" ht="12.75">
      <c r="A25693" s="2">
        <v>43875.73265046296</v>
      </c>
      <c r="B25693" t="str">
        <f>HYPERLINK("https://twitter.com/cokelalat","@cokelalat")</f>
        <v>@cokelalat</v>
      </c>
      <c r="C25693" t="s">
        <v>2444</v>
      </c>
      <c r="D25693">
        <v>1860</v>
      </c>
      <c r="E25693">
        <v>0</v>
      </c>
      <c r="F25693">
        <v>552</v>
      </c>
    </row>
    <row r="25694" spans="1:6" ht="12.75">
      <c r="A25694" s="2">
        <v>43875.73265046296</v>
      </c>
      <c r="B25694" t="str">
        <f>HYPERLINK("https://twitter.com/liputan6dotcom","@liputan6dotcom")</f>
        <v>@liputan6dotcom</v>
      </c>
      <c r="C25694" t="s">
        <v>11585</v>
      </c>
      <c r="D25694">
        <v>1</v>
      </c>
      <c r="E25694">
        <v>4</v>
      </c>
      <c r="F25694">
        <v>3624589</v>
      </c>
    </row>
    <row r="25695" spans="1:6" ht="12.75">
      <c r="A25695" s="2">
        <v>43875.732638888891</v>
      </c>
      <c r="B25695" t="str">
        <f>HYPERLINK("https://twitter.com/triomacan2000ba","@triomacan2000ba")</f>
        <v>@triomacan2000ba</v>
      </c>
      <c r="C25695" t="s">
        <v>11586</v>
      </c>
      <c r="D25695">
        <v>0</v>
      </c>
      <c r="E25695">
        <v>0</v>
      </c>
      <c r="F25695">
        <v>24086</v>
      </c>
    </row>
    <row r="25696" spans="1:6" ht="12.75">
      <c r="A25696" s="2">
        <v>43875.732615740737</v>
      </c>
      <c r="B25696" t="str">
        <f>HYPERLINK("https://twitter.com/smaliska2001","@smaliska2001")</f>
        <v>@smaliska2001</v>
      </c>
      <c r="C25696" t="s">
        <v>11586</v>
      </c>
      <c r="D25696">
        <v>0</v>
      </c>
      <c r="E25696">
        <v>0</v>
      </c>
      <c r="F25696">
        <v>453</v>
      </c>
    </row>
    <row r="25697" spans="1:6" ht="12.75">
      <c r="A25697" s="2">
        <v>43875.732592592598</v>
      </c>
      <c r="B25697" t="str">
        <f>HYPERLINK("https://twitter.com/revolusi_news","@revolusi_news")</f>
        <v>@revolusi_news</v>
      </c>
      <c r="C25697" t="s">
        <v>11586</v>
      </c>
      <c r="D25697">
        <v>0</v>
      </c>
      <c r="E25697">
        <v>0</v>
      </c>
      <c r="F25697">
        <v>1776</v>
      </c>
    </row>
    <row r="25698" spans="1:6" ht="12.75">
      <c r="A25698" s="2">
        <v>43875.732581018514</v>
      </c>
      <c r="B25698" t="str">
        <f>HYPERLINK("https://twitter.com/UjKomar","@UjKomar")</f>
        <v>@UjKomar</v>
      </c>
      <c r="C25698" t="s">
        <v>11484</v>
      </c>
      <c r="D25698">
        <v>261</v>
      </c>
      <c r="E25698">
        <v>0</v>
      </c>
      <c r="F25698">
        <v>1159</v>
      </c>
    </row>
    <row r="25699" spans="1:6" ht="12.75">
      <c r="A25699" s="2">
        <v>43875.732581018514</v>
      </c>
      <c r="B25699" t="str">
        <f>HYPERLINK("https://twitter.com/indowarta1","@indowarta1")</f>
        <v>@indowarta1</v>
      </c>
      <c r="C25699" t="s">
        <v>11586</v>
      </c>
      <c r="D25699">
        <v>0</v>
      </c>
      <c r="E25699">
        <v>0</v>
      </c>
      <c r="F25699">
        <v>4695</v>
      </c>
    </row>
    <row r="25700" spans="1:6" ht="12.75">
      <c r="A25700" s="2">
        <v>43875.732557870375</v>
      </c>
      <c r="B25700" t="str">
        <f>HYPERLINK("https://twitter.com/TribunRakyat","@TribunRakyat")</f>
        <v>@TribunRakyat</v>
      </c>
      <c r="C25700" t="s">
        <v>11586</v>
      </c>
      <c r="D25700">
        <v>0</v>
      </c>
      <c r="E25700">
        <v>0</v>
      </c>
      <c r="F25700">
        <v>56308</v>
      </c>
    </row>
    <row r="25701" spans="1:6" ht="12.75">
      <c r="A25701" s="2">
        <v>43875.732499999998</v>
      </c>
      <c r="B25701" t="str">
        <f>HYPERLINK("https://twitter.com/PickMeUp_____","@PickMeUp_____")</f>
        <v>@PickMeUp_____</v>
      </c>
      <c r="C25701" t="s">
        <v>7478</v>
      </c>
      <c r="D25701">
        <v>291</v>
      </c>
      <c r="E25701">
        <v>0</v>
      </c>
      <c r="F25701">
        <v>83</v>
      </c>
    </row>
    <row r="25702" spans="1:6" ht="12.75">
      <c r="A25702" s="2">
        <v>43875.732499999998</v>
      </c>
      <c r="B25702" t="str">
        <f>HYPERLINK("https://twitter.com/demokrasicoid","@demokrasicoid")</f>
        <v>@demokrasicoid</v>
      </c>
      <c r="C25702" t="s">
        <v>11587</v>
      </c>
      <c r="D25702">
        <v>0</v>
      </c>
      <c r="E25702">
        <v>0</v>
      </c>
      <c r="F25702">
        <v>22236</v>
      </c>
    </row>
    <row r="25703" spans="1:6" ht="12.75">
      <c r="A25703" s="2">
        <v>43875.73238425926</v>
      </c>
      <c r="B25703" t="str">
        <f>HYPERLINK("https://twitter.com/Official_OGI","@Official_OGI")</f>
        <v>@Official_OGI</v>
      </c>
      <c r="C25703" t="s">
        <v>6201</v>
      </c>
      <c r="D25703">
        <v>109</v>
      </c>
      <c r="E25703">
        <v>0</v>
      </c>
      <c r="F25703">
        <v>1106</v>
      </c>
    </row>
    <row r="25704" spans="1:6" ht="12.75">
      <c r="A25704" s="2">
        <v>43875.73237268519</v>
      </c>
      <c r="B25704" t="str">
        <f>HYPERLINK("https://twitter.com/sevie_kurnia","@sevie_kurnia")</f>
        <v>@sevie_kurnia</v>
      </c>
      <c r="C25704" t="s">
        <v>6201</v>
      </c>
      <c r="D25704">
        <v>109</v>
      </c>
      <c r="E25704">
        <v>0</v>
      </c>
      <c r="F25704">
        <v>93</v>
      </c>
    </row>
    <row r="25705" spans="1:6" ht="12.75">
      <c r="A25705" s="2">
        <v>43875.732349537036</v>
      </c>
      <c r="B25705" t="str">
        <f>HYPERLINK("https://twitter.com/mus_tanjung","@mus_tanjung")</f>
        <v>@mus_tanjung</v>
      </c>
      <c r="C25705" t="s">
        <v>6201</v>
      </c>
      <c r="D25705">
        <v>109</v>
      </c>
      <c r="E25705">
        <v>0</v>
      </c>
      <c r="F25705">
        <v>2568</v>
      </c>
    </row>
    <row r="25706" spans="1:6" ht="12.75">
      <c r="A25706" s="2">
        <v>43875.732337962967</v>
      </c>
      <c r="B25706" t="str">
        <f>HYPERLINK("https://twitter.com/zulham_z","@zulham_z")</f>
        <v>@zulham_z</v>
      </c>
      <c r="C25706" t="s">
        <v>2963</v>
      </c>
      <c r="D25706">
        <v>994</v>
      </c>
      <c r="E25706">
        <v>0</v>
      </c>
      <c r="F25706">
        <v>6</v>
      </c>
    </row>
    <row r="25707" spans="1:6" ht="12.75">
      <c r="A25707" s="2">
        <v>43875.732314814813</v>
      </c>
      <c r="B25707" t="str">
        <f>HYPERLINK("https://twitter.com/sayangwonpili","@sayangwonpili")</f>
        <v>@sayangwonpili</v>
      </c>
      <c r="C25707" t="s">
        <v>2137</v>
      </c>
      <c r="D25707">
        <v>155</v>
      </c>
      <c r="E25707">
        <v>0</v>
      </c>
      <c r="F25707">
        <v>150</v>
      </c>
    </row>
    <row r="25708" spans="1:6" ht="12.75">
      <c r="A25708" s="2">
        <v>43875.73228009259</v>
      </c>
      <c r="B25708" t="str">
        <f>HYPERLINK("https://twitter.com/wisanggeni_11","@wisanggeni_11")</f>
        <v>@wisanggeni_11</v>
      </c>
      <c r="C25708" t="s">
        <v>11588</v>
      </c>
      <c r="D25708">
        <v>0</v>
      </c>
      <c r="E25708">
        <v>0</v>
      </c>
      <c r="F25708">
        <v>1019</v>
      </c>
    </row>
    <row r="25709" spans="1:6" ht="12.75">
      <c r="A25709" s="2">
        <v>43875.732141203705</v>
      </c>
      <c r="B25709" t="str">
        <f>HYPERLINK("https://twitter.com/YugoJokoLelono6","@YugoJokoLelono6")</f>
        <v>@YugoJokoLelono6</v>
      </c>
      <c r="C25709" t="s">
        <v>11589</v>
      </c>
      <c r="D25709">
        <v>0</v>
      </c>
      <c r="E25709">
        <v>0</v>
      </c>
      <c r="F25709">
        <v>2</v>
      </c>
    </row>
    <row r="25710" spans="1:6" ht="12.75">
      <c r="A25710" s="2">
        <v>43875.732071759259</v>
      </c>
      <c r="B25710" t="str">
        <f>HYPERLINK("https://twitter.com/haliedadeliar","@haliedadeliar")</f>
        <v>@haliedadeliar</v>
      </c>
      <c r="C25710" t="s">
        <v>2444</v>
      </c>
      <c r="D25710">
        <v>1860</v>
      </c>
      <c r="E25710">
        <v>0</v>
      </c>
      <c r="F25710">
        <v>860</v>
      </c>
    </row>
    <row r="25711" spans="1:6" ht="12.75">
      <c r="A25711" s="2">
        <v>43875.73201388889</v>
      </c>
      <c r="B25711" t="str">
        <f>HYPERLINK("https://twitter.com/ahlulqaryah","@ahlulqaryah")</f>
        <v>@ahlulqaryah</v>
      </c>
      <c r="C25711" t="s">
        <v>10422</v>
      </c>
      <c r="D25711">
        <v>100</v>
      </c>
      <c r="E25711">
        <v>0</v>
      </c>
      <c r="F25711">
        <v>217</v>
      </c>
    </row>
    <row r="25712" spans="1:6" ht="12.75">
      <c r="A25712" s="2">
        <v>43875.731944444444</v>
      </c>
      <c r="B25712" t="str">
        <f>HYPERLINK("https://twitter.com/Belawesome11","@Belawesome11")</f>
        <v>@Belawesome11</v>
      </c>
      <c r="C25712" t="s">
        <v>2137</v>
      </c>
      <c r="D25712">
        <v>155</v>
      </c>
      <c r="E25712">
        <v>0</v>
      </c>
      <c r="F25712">
        <v>2019</v>
      </c>
    </row>
    <row r="25713" spans="1:6" ht="12.75">
      <c r="A25713" s="2">
        <v>43875.731921296298</v>
      </c>
      <c r="B25713" t="str">
        <f>HYPERLINK("https://twitter.com/wahyuutomos","@wahyuutomos")</f>
        <v>@wahyuutomos</v>
      </c>
      <c r="C25713" t="s">
        <v>2444</v>
      </c>
      <c r="D25713">
        <v>1860</v>
      </c>
      <c r="E25713">
        <v>0</v>
      </c>
      <c r="F25713">
        <v>127</v>
      </c>
    </row>
    <row r="25714" spans="1:6" ht="12.75">
      <c r="A25714" s="2">
        <v>43875.731909722221</v>
      </c>
      <c r="B25714" t="str">
        <f>HYPERLINK("https://twitter.com/burungk97792018","@burungk97792018")</f>
        <v>@burungk97792018</v>
      </c>
      <c r="C25714" t="s">
        <v>9746</v>
      </c>
      <c r="D25714">
        <v>280</v>
      </c>
      <c r="E25714">
        <v>0</v>
      </c>
      <c r="F25714">
        <v>143</v>
      </c>
    </row>
    <row r="25715" spans="1:6" ht="12.75">
      <c r="A25715" s="2">
        <v>43875.731828703705</v>
      </c>
      <c r="B25715" t="str">
        <f>HYPERLINK("https://twitter.com/SoundOfYogi","@SoundOfYogi")</f>
        <v>@SoundOfYogi</v>
      </c>
      <c r="C25715" t="s">
        <v>11590</v>
      </c>
      <c r="D25715">
        <v>0</v>
      </c>
      <c r="E25715">
        <v>0</v>
      </c>
      <c r="F25715">
        <v>37765</v>
      </c>
    </row>
    <row r="25716" spans="1:6" ht="12.75">
      <c r="A25716" s="2">
        <v>43875.731759259259</v>
      </c>
      <c r="B25716" t="str">
        <f>HYPERLINK("https://twitter.com/Rudiwaluyo11","@Rudiwaluyo11")</f>
        <v>@Rudiwaluyo11</v>
      </c>
      <c r="C25716" t="s">
        <v>11591</v>
      </c>
      <c r="D25716">
        <v>0</v>
      </c>
      <c r="E25716">
        <v>0</v>
      </c>
      <c r="F25716">
        <v>38</v>
      </c>
    </row>
    <row r="25717" spans="1:6" ht="12.75">
      <c r="A25717" s="2">
        <v>43875.731736111113</v>
      </c>
      <c r="B25717" t="str">
        <f>HYPERLINK("https://twitter.com/DelmaJaya","@DelmaJaya")</f>
        <v>@DelmaJaya</v>
      </c>
      <c r="C25717" t="s">
        <v>6201</v>
      </c>
      <c r="D25717">
        <v>109</v>
      </c>
      <c r="E25717">
        <v>0</v>
      </c>
      <c r="F25717">
        <v>553</v>
      </c>
    </row>
    <row r="25718" spans="1:6" ht="12.75">
      <c r="A25718" s="2">
        <v>43875.731689814813</v>
      </c>
      <c r="B25718" t="str">
        <f>HYPERLINK("https://twitter.com/ai_iap","@ai_iap")</f>
        <v>@ai_iap</v>
      </c>
      <c r="C25718" t="s">
        <v>2444</v>
      </c>
      <c r="D25718">
        <v>1860</v>
      </c>
      <c r="E25718">
        <v>0</v>
      </c>
      <c r="F25718">
        <v>225</v>
      </c>
    </row>
    <row r="25719" spans="1:6" ht="12.75">
      <c r="A25719" s="2">
        <v>43875.731574074074</v>
      </c>
      <c r="B25719" t="str">
        <f>HYPERLINK("https://twitter.com/JajangPakeJ","@JajangPakeJ")</f>
        <v>@JajangPakeJ</v>
      </c>
      <c r="C25719" t="s">
        <v>11592</v>
      </c>
      <c r="D25719">
        <v>1</v>
      </c>
      <c r="E25719">
        <v>0</v>
      </c>
      <c r="F25719">
        <v>46</v>
      </c>
    </row>
    <row r="25720" spans="1:6" ht="12.75">
      <c r="A25720" s="2">
        <v>43875.731562500005</v>
      </c>
      <c r="B25720" t="str">
        <f>HYPERLINK("https://twitter.com/erdobani","@erdobani")</f>
        <v>@erdobani</v>
      </c>
      <c r="C25720" t="s">
        <v>11593</v>
      </c>
      <c r="D25720">
        <v>0</v>
      </c>
      <c r="E25720">
        <v>0</v>
      </c>
      <c r="F25720">
        <v>104</v>
      </c>
    </row>
    <row r="25721" spans="1:6" ht="12.75">
      <c r="A25721" s="2">
        <v>43875.731516203705</v>
      </c>
      <c r="B25721" t="str">
        <f>HYPERLINK("https://twitter.com/dkfkskdl","@dkfkskdl")</f>
        <v>@dkfkskdl</v>
      </c>
      <c r="C25721" t="s">
        <v>10710</v>
      </c>
      <c r="D25721">
        <v>29</v>
      </c>
      <c r="E25721">
        <v>0</v>
      </c>
      <c r="F25721">
        <v>143</v>
      </c>
    </row>
    <row r="25722" spans="1:6" ht="12.75">
      <c r="A25722" s="2">
        <v>43875.731493055559</v>
      </c>
      <c r="B25722" t="str">
        <f>HYPERLINK("https://twitter.com/xoitscece","@xoitscece")</f>
        <v>@xoitscece</v>
      </c>
      <c r="C25722" t="s">
        <v>11484</v>
      </c>
      <c r="D25722">
        <v>261</v>
      </c>
      <c r="E25722">
        <v>0</v>
      </c>
      <c r="F25722">
        <v>518</v>
      </c>
    </row>
    <row r="25723" spans="1:6" ht="12.75">
      <c r="A25723" s="2">
        <v>43875.731481481482</v>
      </c>
      <c r="B25723" t="str">
        <f>HYPERLINK("https://twitter.com/JihanEndra","@JihanEndra")</f>
        <v>@JihanEndra</v>
      </c>
      <c r="C25723" t="s">
        <v>11594</v>
      </c>
      <c r="D25723">
        <v>1</v>
      </c>
      <c r="E25723">
        <v>0</v>
      </c>
      <c r="F25723">
        <v>25</v>
      </c>
    </row>
    <row r="25724" spans="1:6" ht="12.75">
      <c r="A25724" s="2">
        <v>43875.731446759259</v>
      </c>
      <c r="B25724" t="str">
        <f>HYPERLINK("https://twitter.com/Wachidazs","@Wachidazs")</f>
        <v>@Wachidazs</v>
      </c>
      <c r="C25724" t="s">
        <v>2444</v>
      </c>
      <c r="D25724">
        <v>1860</v>
      </c>
      <c r="E25724">
        <v>0</v>
      </c>
      <c r="F25724">
        <v>356</v>
      </c>
    </row>
    <row r="25725" spans="1:6" ht="12.75">
      <c r="A25725" s="2">
        <v>43875.731435185182</v>
      </c>
      <c r="B25725" t="str">
        <f>HYPERLINK("https://twitter.com/PertiwiSi","@PertiwiSi")</f>
        <v>@PertiwiSi</v>
      </c>
      <c r="C25725" t="s">
        <v>11425</v>
      </c>
      <c r="D25725">
        <v>224</v>
      </c>
      <c r="E25725">
        <v>0</v>
      </c>
      <c r="F25725">
        <v>9</v>
      </c>
    </row>
    <row r="25726" spans="1:6" ht="12.75">
      <c r="A25726" s="2">
        <v>43875.731435185182</v>
      </c>
      <c r="B25726" t="str">
        <f>HYPERLINK("https://twitter.com/Karmiilaa2","@Karmiilaa2")</f>
        <v>@Karmiilaa2</v>
      </c>
      <c r="C25726" t="s">
        <v>11595</v>
      </c>
      <c r="D25726">
        <v>1</v>
      </c>
      <c r="E25726">
        <v>0</v>
      </c>
      <c r="F25726">
        <v>25</v>
      </c>
    </row>
    <row r="25727" spans="1:6" ht="12.75">
      <c r="A25727" s="2">
        <v>43875.731400462959</v>
      </c>
      <c r="B25727" t="str">
        <f>HYPERLINK("https://twitter.com/Salaman94187354","@Salaman94187354")</f>
        <v>@Salaman94187354</v>
      </c>
      <c r="C25727" t="s">
        <v>11596</v>
      </c>
      <c r="D25727">
        <v>1</v>
      </c>
      <c r="E25727">
        <v>0</v>
      </c>
      <c r="F25727">
        <v>261</v>
      </c>
    </row>
    <row r="25728" spans="1:6" ht="12.75">
      <c r="A25728" s="2">
        <v>43875.731365740736</v>
      </c>
      <c r="B25728" t="str">
        <f>HYPERLINK("https://twitter.com/twaTyas","@twaTyas")</f>
        <v>@twaTyas</v>
      </c>
      <c r="C25728" t="s">
        <v>2444</v>
      </c>
      <c r="D25728">
        <v>1860</v>
      </c>
      <c r="E25728">
        <v>0</v>
      </c>
      <c r="F25728">
        <v>484</v>
      </c>
    </row>
    <row r="25729" spans="1:6" ht="12.75">
      <c r="A25729" s="2">
        <v>43875.731342592597</v>
      </c>
      <c r="B25729" t="str">
        <f>HYPERLINK("https://twitter.com/sofianrohman","@sofianrohman")</f>
        <v>@sofianrohman</v>
      </c>
      <c r="C25729" t="s">
        <v>11597</v>
      </c>
      <c r="D25729">
        <v>24</v>
      </c>
      <c r="E25729">
        <v>0</v>
      </c>
      <c r="F25729">
        <v>784</v>
      </c>
    </row>
    <row r="25730" spans="1:6" ht="12.75">
      <c r="A25730" s="2">
        <v>43875.731319444443</v>
      </c>
      <c r="B25730" t="str">
        <f>HYPERLINK("https://twitter.com/veronicaaandari","@veronicaaandari")</f>
        <v>@veronicaaandari</v>
      </c>
      <c r="C25730" t="s">
        <v>5168</v>
      </c>
      <c r="D25730">
        <v>844</v>
      </c>
      <c r="E25730">
        <v>0</v>
      </c>
      <c r="F25730">
        <v>414</v>
      </c>
    </row>
    <row r="25731" spans="1:6" ht="12.75">
      <c r="A25731" s="2">
        <v>43875.731307870374</v>
      </c>
      <c r="B25731" t="str">
        <f>HYPERLINK("https://twitter.com/awantropis","@awantropis")</f>
        <v>@awantropis</v>
      </c>
      <c r="C25731" t="s">
        <v>11598</v>
      </c>
      <c r="D25731">
        <v>0</v>
      </c>
      <c r="E25731">
        <v>0</v>
      </c>
      <c r="F25731">
        <v>60</v>
      </c>
    </row>
    <row r="25732" spans="1:6" ht="12.75">
      <c r="A25732" s="2">
        <v>43875.731307870374</v>
      </c>
      <c r="B25732" t="str">
        <f>HYPERLINK("https://twitter.com/eko_alaya","@eko_alaya")</f>
        <v>@eko_alaya</v>
      </c>
      <c r="C25732" t="s">
        <v>10165</v>
      </c>
      <c r="D25732">
        <v>10</v>
      </c>
      <c r="E25732">
        <v>0</v>
      </c>
      <c r="F25732">
        <v>756</v>
      </c>
    </row>
    <row r="25733" spans="1:6" ht="12.75">
      <c r="A25733" s="2">
        <v>43875.73128472222</v>
      </c>
      <c r="B25733" t="str">
        <f>HYPERLINK("https://twitter.com/berirese","@berirese")</f>
        <v>@berirese</v>
      </c>
      <c r="C25733" t="s">
        <v>11599</v>
      </c>
      <c r="D25733">
        <v>2</v>
      </c>
      <c r="E25733">
        <v>0</v>
      </c>
      <c r="F25733">
        <v>24</v>
      </c>
    </row>
    <row r="25734" spans="1:6" ht="12.75">
      <c r="A25734" s="2">
        <v>43875.731215277774</v>
      </c>
      <c r="B25734" t="str">
        <f>HYPERLINK("https://twitter.com/boba_brownsugar","@boba_brownsugar")</f>
        <v>@boba_brownsugar</v>
      </c>
      <c r="C25734" t="s">
        <v>11600</v>
      </c>
      <c r="D25734">
        <v>0</v>
      </c>
      <c r="E25734">
        <v>0</v>
      </c>
      <c r="F25734">
        <v>231</v>
      </c>
    </row>
    <row r="25735" spans="1:6" ht="12.75">
      <c r="A25735" s="2">
        <v>43875.731203703705</v>
      </c>
      <c r="B25735" t="str">
        <f>HYPERLINK("https://twitter.com/rheneebabe","@rheneebabe")</f>
        <v>@rheneebabe</v>
      </c>
      <c r="C25735" t="s">
        <v>2963</v>
      </c>
      <c r="D25735">
        <v>994</v>
      </c>
      <c r="E25735">
        <v>0</v>
      </c>
      <c r="F25735">
        <v>19</v>
      </c>
    </row>
    <row r="25736" spans="1:6" ht="12.75">
      <c r="A25736" s="2">
        <v>43875.731145833328</v>
      </c>
      <c r="B25736" t="str">
        <f>HYPERLINK("https://twitter.com/rapunchelsss","@rapunchelsss")</f>
        <v>@rapunchelsss</v>
      </c>
      <c r="C25736" t="s">
        <v>2444</v>
      </c>
      <c r="D25736">
        <v>1860</v>
      </c>
      <c r="E25736">
        <v>0</v>
      </c>
      <c r="F25736">
        <v>18</v>
      </c>
    </row>
    <row r="25737" spans="1:6" ht="12.75">
      <c r="A25737" s="2">
        <v>43875.731145833328</v>
      </c>
      <c r="B25737" t="str">
        <f>HYPERLINK("https://twitter.com/IAkurat","@IAkurat")</f>
        <v>@IAkurat</v>
      </c>
      <c r="C25737" t="s">
        <v>11323</v>
      </c>
      <c r="D25737">
        <v>0</v>
      </c>
      <c r="E25737">
        <v>0</v>
      </c>
      <c r="F25737">
        <v>242</v>
      </c>
    </row>
    <row r="25738" spans="1:6" ht="12.75">
      <c r="A25738" s="2">
        <v>43875.731134259258</v>
      </c>
      <c r="B25738" t="str">
        <f>HYPERLINK("https://twitter.com/kimstawn","@kimstawn")</f>
        <v>@kimstawn</v>
      </c>
      <c r="C25738" t="s">
        <v>2444</v>
      </c>
      <c r="D25738">
        <v>1860</v>
      </c>
      <c r="E25738">
        <v>0</v>
      </c>
      <c r="F25738">
        <v>866</v>
      </c>
    </row>
    <row r="25739" spans="1:6" ht="12.75">
      <c r="A25739" s="2">
        <v>43875.731087962966</v>
      </c>
      <c r="B25739" t="str">
        <f>HYPERLINK("https://twitter.com/kafiradikal","@kafiradikal")</f>
        <v>@kafiradikal</v>
      </c>
      <c r="C25739" t="s">
        <v>11601</v>
      </c>
      <c r="D25739">
        <v>0</v>
      </c>
      <c r="E25739">
        <v>0</v>
      </c>
      <c r="F25739">
        <v>18883</v>
      </c>
    </row>
    <row r="25740" spans="1:6" ht="12.75">
      <c r="A25740" s="2">
        <v>43875.731064814812</v>
      </c>
      <c r="B25740" t="str">
        <f>HYPERLINK("https://twitter.com/arisnaaa_","@arisnaaa_")</f>
        <v>@arisnaaa_</v>
      </c>
      <c r="C25740" t="s">
        <v>2444</v>
      </c>
      <c r="D25740">
        <v>1860</v>
      </c>
      <c r="E25740">
        <v>0</v>
      </c>
      <c r="F25740">
        <v>700</v>
      </c>
    </row>
    <row r="25741" spans="1:6" ht="12.75">
      <c r="A25741" s="2">
        <v>43875.731064814812</v>
      </c>
      <c r="B25741" t="str">
        <f>HYPERLINK("https://twitter.com/ArekNdeso15","@ArekNdeso15")</f>
        <v>@ArekNdeso15</v>
      </c>
      <c r="C25741" t="s">
        <v>6201</v>
      </c>
      <c r="D25741">
        <v>109</v>
      </c>
      <c r="E25741">
        <v>0</v>
      </c>
      <c r="F25741">
        <v>494</v>
      </c>
    </row>
    <row r="25742" spans="1:6" ht="12.75">
      <c r="A25742" s="2">
        <v>43875.731030092589</v>
      </c>
      <c r="B25742" t="str">
        <f>HYPERLINK("https://twitter.com/don_timbang","@don_timbang")</f>
        <v>@don_timbang</v>
      </c>
      <c r="C25742" t="s">
        <v>2963</v>
      </c>
      <c r="D25742">
        <v>994</v>
      </c>
      <c r="E25742">
        <v>0</v>
      </c>
      <c r="F25742">
        <v>5370</v>
      </c>
    </row>
    <row r="25743" spans="1:6" ht="12.75">
      <c r="A25743" s="2">
        <v>43875.73101851852</v>
      </c>
      <c r="B25743" t="str">
        <f>HYPERLINK("https://twitter.com/daniairwansyah","@daniairwansyah")</f>
        <v>@daniairwansyah</v>
      </c>
      <c r="C25743" t="s">
        <v>11602</v>
      </c>
      <c r="D25743">
        <v>0</v>
      </c>
      <c r="E25743">
        <v>0</v>
      </c>
      <c r="F25743">
        <v>501</v>
      </c>
    </row>
    <row r="25744" spans="1:6" ht="12.75">
      <c r="A25744" s="2">
        <v>43875.731006944443</v>
      </c>
      <c r="B25744" t="str">
        <f>HYPERLINK("https://twitter.com/endang_ano","@endang_ano")</f>
        <v>@endang_ano</v>
      </c>
      <c r="C25744" t="s">
        <v>11603</v>
      </c>
      <c r="D25744">
        <v>1</v>
      </c>
      <c r="E25744">
        <v>0</v>
      </c>
      <c r="F25744">
        <v>71</v>
      </c>
    </row>
    <row r="25745" spans="1:6" ht="12.75">
      <c r="A25745" s="2">
        <v>43875.730925925927</v>
      </c>
      <c r="B25745" t="str">
        <f>HYPERLINK("https://twitter.com/Leobebbe","@Leobebbe")</f>
        <v>@Leobebbe</v>
      </c>
      <c r="C25745" t="s">
        <v>8233</v>
      </c>
      <c r="D25745">
        <v>486</v>
      </c>
      <c r="E25745">
        <v>0</v>
      </c>
      <c r="F25745">
        <v>364</v>
      </c>
    </row>
    <row r="25746" spans="1:6" ht="12.75">
      <c r="A25746" s="2">
        <v>43875.730925925927</v>
      </c>
      <c r="B25746" t="str">
        <f>HYPERLINK("https://twitter.com/andre_erpan","@andre_erpan")</f>
        <v>@andre_erpan</v>
      </c>
      <c r="C25746" t="s">
        <v>2110</v>
      </c>
      <c r="D25746">
        <v>50</v>
      </c>
      <c r="E25746">
        <v>0</v>
      </c>
      <c r="F25746">
        <v>112</v>
      </c>
    </row>
    <row r="25747" spans="1:6" ht="12.75">
      <c r="A25747" s="2">
        <v>43875.730914351851</v>
      </c>
      <c r="B25747" t="str">
        <f>HYPERLINK("https://twitter.com/hettacon","@hettacon")</f>
        <v>@hettacon</v>
      </c>
      <c r="C25747" t="s">
        <v>2444</v>
      </c>
      <c r="D25747">
        <v>1860</v>
      </c>
      <c r="E25747">
        <v>0</v>
      </c>
      <c r="F25747">
        <v>6</v>
      </c>
    </row>
    <row r="25748" spans="1:6" ht="12.75">
      <c r="A25748" s="2">
        <v>43875.730810185181</v>
      </c>
      <c r="B25748" t="str">
        <f>HYPERLINK("https://twitter.com/septadewa","@septadewa")</f>
        <v>@septadewa</v>
      </c>
      <c r="C25748" t="s">
        <v>7478</v>
      </c>
      <c r="D25748">
        <v>291</v>
      </c>
      <c r="E25748">
        <v>0</v>
      </c>
      <c r="F25748">
        <v>186</v>
      </c>
    </row>
    <row r="25749" spans="1:6" ht="12.75">
      <c r="A25749" s="2">
        <v>43875.730775462958</v>
      </c>
      <c r="B25749" t="str">
        <f>HYPERLINK("https://twitter.com/DediSK5","@DediSK5")</f>
        <v>@DediSK5</v>
      </c>
      <c r="C25749" t="s">
        <v>11604</v>
      </c>
      <c r="D25749">
        <v>0</v>
      </c>
      <c r="E25749">
        <v>0</v>
      </c>
      <c r="F25749">
        <v>2334</v>
      </c>
    </row>
    <row r="25750" spans="1:6" ht="12.75">
      <c r="A25750" s="2">
        <v>43875.730775462958</v>
      </c>
      <c r="B25750" t="str">
        <f>HYPERLINK("https://twitter.com/minhyunsc","@minhyunsc")</f>
        <v>@minhyunsc</v>
      </c>
      <c r="C25750" t="s">
        <v>11572</v>
      </c>
      <c r="D25750">
        <v>0</v>
      </c>
      <c r="E25750">
        <v>0</v>
      </c>
      <c r="F25750">
        <v>7544</v>
      </c>
    </row>
    <row r="25751" spans="1:6" ht="12.75">
      <c r="A25751" s="2">
        <v>43875.730706018519</v>
      </c>
      <c r="B25751" t="str">
        <f>HYPERLINK("https://twitter.com/elsasassaa","@elsasassaa")</f>
        <v>@elsasassaa</v>
      </c>
      <c r="C25751" t="s">
        <v>2444</v>
      </c>
      <c r="D25751">
        <v>1860</v>
      </c>
      <c r="E25751">
        <v>0</v>
      </c>
      <c r="F25751">
        <v>159</v>
      </c>
    </row>
    <row r="25752" spans="1:6" ht="12.75">
      <c r="A25752" s="2">
        <v>43875.73064814815</v>
      </c>
      <c r="B25752" t="str">
        <f>HYPERLINK("https://twitter.com/saidmuhidin16","@saidmuhidin16")</f>
        <v>@saidmuhidin16</v>
      </c>
      <c r="C25752" t="s">
        <v>11605</v>
      </c>
      <c r="D25752">
        <v>6</v>
      </c>
      <c r="E25752">
        <v>0</v>
      </c>
      <c r="F25752">
        <v>4</v>
      </c>
    </row>
    <row r="25753" spans="1:6" ht="12.75">
      <c r="A25753" s="2">
        <v>43875.730636574073</v>
      </c>
      <c r="B25753" t="str">
        <f>HYPERLINK("https://twitter.com/Nana_Rosaa_","@Nana_Rosaa_")</f>
        <v>@Nana_Rosaa_</v>
      </c>
      <c r="C25753" t="s">
        <v>11484</v>
      </c>
      <c r="D25753">
        <v>261</v>
      </c>
      <c r="E25753">
        <v>0</v>
      </c>
      <c r="F25753">
        <v>9022</v>
      </c>
    </row>
    <row r="25754" spans="1:6" ht="12.75">
      <c r="A25754" s="2">
        <v>43875.730636574073</v>
      </c>
      <c r="B25754" t="str">
        <f>HYPERLINK("https://twitter.com/andreprawiro_","@andreprawiro_")</f>
        <v>@andreprawiro_</v>
      </c>
      <c r="C25754" t="s">
        <v>11606</v>
      </c>
      <c r="D25754">
        <v>1</v>
      </c>
      <c r="E25754">
        <v>0</v>
      </c>
      <c r="F25754">
        <v>27</v>
      </c>
    </row>
    <row r="25755" spans="1:6" ht="12.75">
      <c r="A25755" s="2">
        <v>43875.730532407411</v>
      </c>
      <c r="B25755" t="str">
        <f>HYPERLINK("https://twitter.com/mediaindonesia","@mediaindonesia")</f>
        <v>@mediaindonesia</v>
      </c>
      <c r="C25755" t="s">
        <v>6893</v>
      </c>
      <c r="D25755">
        <v>0</v>
      </c>
      <c r="E25755">
        <v>1</v>
      </c>
      <c r="F25755">
        <v>1415792</v>
      </c>
    </row>
    <row r="25756" spans="1:6" ht="12.75">
      <c r="A25756" s="2">
        <v>43875.730520833335</v>
      </c>
      <c r="B25756" t="str">
        <f>HYPERLINK("https://twitter.com/JoePhiyo","@JoePhiyo")</f>
        <v>@JoePhiyo</v>
      </c>
      <c r="C25756" t="s">
        <v>6201</v>
      </c>
      <c r="D25756">
        <v>109</v>
      </c>
      <c r="E25756">
        <v>0</v>
      </c>
      <c r="F25756">
        <v>2291</v>
      </c>
    </row>
    <row r="25757" spans="1:6" ht="12.75">
      <c r="A25757" s="2">
        <v>43875.730486111112</v>
      </c>
      <c r="B25757" t="str">
        <f>HYPERLINK("https://twitter.com/WiratamaJody","@WiratamaJody")</f>
        <v>@WiratamaJody</v>
      </c>
      <c r="C25757" t="s">
        <v>2444</v>
      </c>
      <c r="D25757">
        <v>1860</v>
      </c>
      <c r="E25757">
        <v>0</v>
      </c>
      <c r="F25757">
        <v>699</v>
      </c>
    </row>
    <row r="25758" spans="1:6" ht="12.75">
      <c r="A25758" s="2">
        <v>43875.730462962965</v>
      </c>
      <c r="B25758" t="str">
        <f>HYPERLINK("https://twitter.com/anitamarlian2","@anitamarlian2")</f>
        <v>@anitamarlian2</v>
      </c>
      <c r="C25758" t="s">
        <v>10052</v>
      </c>
      <c r="D25758">
        <v>37</v>
      </c>
      <c r="E25758">
        <v>0</v>
      </c>
      <c r="F25758">
        <v>113</v>
      </c>
    </row>
    <row r="25759" spans="1:6" ht="12.75">
      <c r="A25759" s="2">
        <v>43875.730451388888</v>
      </c>
      <c r="B25759" t="str">
        <f>HYPERLINK("https://twitter.com/MasTom_13","@MasTom_13")</f>
        <v>@MasTom_13</v>
      </c>
      <c r="C25759" t="s">
        <v>2444</v>
      </c>
      <c r="D25759">
        <v>1860</v>
      </c>
      <c r="E25759">
        <v>0</v>
      </c>
      <c r="F25759">
        <v>306</v>
      </c>
    </row>
    <row r="25760" spans="1:6" ht="12.75">
      <c r="A25760" s="2">
        <v>43875.730451388888</v>
      </c>
      <c r="B25760" t="str">
        <f>HYPERLINK("https://twitter.com/IAkurat","@IAkurat")</f>
        <v>@IAkurat</v>
      </c>
      <c r="C25760" t="s">
        <v>11413</v>
      </c>
      <c r="D25760">
        <v>0</v>
      </c>
      <c r="E25760">
        <v>0</v>
      </c>
      <c r="F25760">
        <v>242</v>
      </c>
    </row>
    <row r="25761" spans="1:6" ht="12.75">
      <c r="A25761" s="2">
        <v>43875.73033564815</v>
      </c>
      <c r="B25761" t="str">
        <f>HYPERLINK("https://twitter.com/beatrice_health","@beatrice_health")</f>
        <v>@beatrice_health</v>
      </c>
      <c r="C25761" t="s">
        <v>11599</v>
      </c>
      <c r="D25761">
        <v>2</v>
      </c>
      <c r="E25761">
        <v>0</v>
      </c>
      <c r="F25761">
        <v>68</v>
      </c>
    </row>
    <row r="25762" spans="1:6" ht="12.75">
      <c r="A25762" s="2">
        <v>43875.73028935185</v>
      </c>
      <c r="B25762" t="str">
        <f>HYPERLINK("https://twitter.com/antobalboa1","@antobalboa1")</f>
        <v>@antobalboa1</v>
      </c>
      <c r="C25762" t="s">
        <v>11572</v>
      </c>
      <c r="D25762">
        <v>2</v>
      </c>
      <c r="E25762">
        <v>0</v>
      </c>
      <c r="F25762">
        <v>7</v>
      </c>
    </row>
    <row r="25763" spans="1:6" ht="12.75">
      <c r="A25763" s="2">
        <v>43875.730266203704</v>
      </c>
      <c r="B25763" t="str">
        <f>HYPERLINK("https://twitter.com/Afzon_Dakka","@Afzon_Dakka")</f>
        <v>@Afzon_Dakka</v>
      </c>
      <c r="C25763" t="s">
        <v>11607</v>
      </c>
      <c r="D25763">
        <v>0</v>
      </c>
      <c r="E25763">
        <v>0</v>
      </c>
      <c r="F25763">
        <v>1401</v>
      </c>
    </row>
    <row r="25764" spans="1:6" ht="12.75">
      <c r="A25764" s="2">
        <v>43875.730127314819</v>
      </c>
      <c r="B25764" t="str">
        <f>HYPERLINK("https://twitter.com/fajarDputra","@fajarDputra")</f>
        <v>@fajarDputra</v>
      </c>
      <c r="C25764" t="s">
        <v>11608</v>
      </c>
      <c r="D25764">
        <v>0</v>
      </c>
      <c r="E25764">
        <v>0</v>
      </c>
      <c r="F25764">
        <v>199</v>
      </c>
    </row>
    <row r="25765" spans="1:6" ht="12.75">
      <c r="A25765" s="2">
        <v>43875.730115740742</v>
      </c>
      <c r="B25765" t="str">
        <f>HYPERLINK("https://twitter.com/GreenOTO","@GreenOTO")</f>
        <v>@GreenOTO</v>
      </c>
      <c r="C25765" t="s">
        <v>9186</v>
      </c>
      <c r="D25765">
        <v>100</v>
      </c>
      <c r="E25765">
        <v>0</v>
      </c>
      <c r="F25765">
        <v>4570</v>
      </c>
    </row>
    <row r="25766" spans="1:6" ht="12.75">
      <c r="A25766" s="2">
        <v>43875.730081018519</v>
      </c>
      <c r="B25766" t="str">
        <f>HYPERLINK("https://twitter.com/ricardoLzv","@ricardoLzv")</f>
        <v>@ricardoLzv</v>
      </c>
      <c r="C25766" t="s">
        <v>2444</v>
      </c>
      <c r="D25766">
        <v>1860</v>
      </c>
      <c r="E25766">
        <v>0</v>
      </c>
      <c r="F25766">
        <v>370</v>
      </c>
    </row>
    <row r="25767" spans="1:6" ht="12.75">
      <c r="A25767" s="2">
        <v>43875.730034722219</v>
      </c>
      <c r="B25767" t="str">
        <f>HYPERLINK("https://twitter.com/kiansavero","@kiansavero")</f>
        <v>@kiansavero</v>
      </c>
      <c r="C25767" t="s">
        <v>11609</v>
      </c>
      <c r="D25767">
        <v>0</v>
      </c>
      <c r="E25767">
        <v>1</v>
      </c>
      <c r="F25767">
        <v>437</v>
      </c>
    </row>
    <row r="25768" spans="1:6" ht="12.75">
      <c r="A25768" s="2">
        <v>43875.729930555557</v>
      </c>
      <c r="B25768" t="str">
        <f>HYPERLINK("https://twitter.com/rangermera","@rangermera")</f>
        <v>@rangermera</v>
      </c>
      <c r="C25768" t="s">
        <v>11610</v>
      </c>
      <c r="D25768">
        <v>1</v>
      </c>
      <c r="E25768">
        <v>0</v>
      </c>
      <c r="F25768">
        <v>82</v>
      </c>
    </row>
    <row r="25769" spans="1:6" ht="12.75">
      <c r="A25769" s="2">
        <v>43875.729930555557</v>
      </c>
      <c r="B25769" t="str">
        <f>HYPERLINK("https://twitter.com/BeritaMillenial","@BeritaMillenial")</f>
        <v>@BeritaMillenial</v>
      </c>
      <c r="C25769" t="s">
        <v>11611</v>
      </c>
      <c r="D25769">
        <v>0</v>
      </c>
      <c r="E25769">
        <v>0</v>
      </c>
      <c r="F25769">
        <v>31</v>
      </c>
    </row>
    <row r="25770" spans="1:6" ht="12.75">
      <c r="A25770" s="2">
        <v>43875.729814814811</v>
      </c>
      <c r="B25770" t="str">
        <f>HYPERLINK("https://twitter.com/kodokpangeran5","@kodokpangeran5")</f>
        <v>@kodokpangeran5</v>
      </c>
      <c r="C25770" t="s">
        <v>11612</v>
      </c>
      <c r="D25770">
        <v>1</v>
      </c>
      <c r="E25770">
        <v>0</v>
      </c>
      <c r="F25770">
        <v>99</v>
      </c>
    </row>
    <row r="25771" spans="1:6" ht="12.75">
      <c r="A25771" s="2">
        <v>43875.729733796295</v>
      </c>
      <c r="B25771" t="str">
        <f>HYPERLINK("https://twitter.com/boba_brownsugar","@boba_brownsugar")</f>
        <v>@boba_brownsugar</v>
      </c>
      <c r="C25771" t="s">
        <v>11613</v>
      </c>
      <c r="D25771">
        <v>0</v>
      </c>
      <c r="E25771">
        <v>1</v>
      </c>
      <c r="F25771">
        <v>231</v>
      </c>
    </row>
    <row r="25772" spans="1:6" ht="12.75">
      <c r="A25772" s="2">
        <v>43875.729710648149</v>
      </c>
      <c r="B25772" t="str">
        <f>HYPERLINK("https://twitter.com/staerbuxz","@staerbuxz")</f>
        <v>@staerbuxz</v>
      </c>
      <c r="C25772" t="s">
        <v>2137</v>
      </c>
      <c r="D25772">
        <v>155</v>
      </c>
      <c r="E25772">
        <v>0</v>
      </c>
      <c r="F25772">
        <v>888</v>
      </c>
    </row>
    <row r="25773" spans="1:6" ht="12.75">
      <c r="A25773" s="2">
        <v>43875.729687500003</v>
      </c>
      <c r="B25773" t="str">
        <f>HYPERLINK("https://twitter.com/kyriakidis_d","@kyriakidis_d")</f>
        <v>@kyriakidis_d</v>
      </c>
      <c r="C25773" t="s">
        <v>9082</v>
      </c>
      <c r="D25773">
        <v>37</v>
      </c>
      <c r="E25773">
        <v>0</v>
      </c>
      <c r="F25773">
        <v>86</v>
      </c>
    </row>
    <row r="25774" spans="1:6" ht="12.75">
      <c r="A25774" s="2">
        <v>43875.729583333334</v>
      </c>
      <c r="B25774" t="str">
        <f>HYPERLINK("https://twitter.com/kafiradikal","@kafiradikal")</f>
        <v>@kafiradikal</v>
      </c>
      <c r="C25774" t="s">
        <v>11614</v>
      </c>
      <c r="D25774">
        <v>0</v>
      </c>
      <c r="E25774">
        <v>0</v>
      </c>
      <c r="F25774">
        <v>18883</v>
      </c>
    </row>
    <row r="25775" spans="1:6" ht="12.75">
      <c r="A25775" s="2">
        <v>43875.729537037041</v>
      </c>
      <c r="B25775" t="str">
        <f>HYPERLINK("https://twitter.com/catophia","@catophia")</f>
        <v>@catophia</v>
      </c>
      <c r="C25775" t="s">
        <v>2444</v>
      </c>
      <c r="D25775">
        <v>1860</v>
      </c>
      <c r="E25775">
        <v>0</v>
      </c>
      <c r="F25775">
        <v>285</v>
      </c>
    </row>
    <row r="25776" spans="1:6" ht="12.75">
      <c r="A25776" s="2">
        <v>43875.729525462964</v>
      </c>
      <c r="B25776" t="str">
        <f>HYPERLINK("https://twitter.com/Qnnie203","@Qnnie203")</f>
        <v>@Qnnie203</v>
      </c>
      <c r="C25776" t="s">
        <v>2444</v>
      </c>
      <c r="D25776">
        <v>1860</v>
      </c>
      <c r="E25776">
        <v>0</v>
      </c>
      <c r="F25776">
        <v>431</v>
      </c>
    </row>
    <row r="25777" spans="1:6" ht="12.75">
      <c r="A25777" s="2">
        <v>43875.729432870372</v>
      </c>
      <c r="B25777" t="str">
        <f>HYPERLINK("https://twitter.com/oktmaulinda","@oktmaulinda")</f>
        <v>@oktmaulinda</v>
      </c>
      <c r="C25777" t="s">
        <v>2444</v>
      </c>
      <c r="D25777">
        <v>1860</v>
      </c>
      <c r="E25777">
        <v>0</v>
      </c>
      <c r="F25777">
        <v>395</v>
      </c>
    </row>
    <row r="25778" spans="1:6" ht="12.75">
      <c r="A25778" s="2">
        <v>43875.729363425926</v>
      </c>
      <c r="B25778" t="str">
        <f>HYPERLINK("https://twitter.com/rahminova2","@rahminova2")</f>
        <v>@rahminova2</v>
      </c>
      <c r="C25778" t="s">
        <v>10096</v>
      </c>
      <c r="D25778">
        <v>150</v>
      </c>
      <c r="E25778">
        <v>0</v>
      </c>
      <c r="F25778">
        <v>1298</v>
      </c>
    </row>
    <row r="25779" spans="1:6" ht="12.75">
      <c r="A25779" s="2">
        <v>43875.72929398148</v>
      </c>
      <c r="B25779" t="str">
        <f>HYPERLINK("https://twitter.com/Ajie_Mrndy17","@Ajie_Mrndy17")</f>
        <v>@Ajie_Mrndy17</v>
      </c>
      <c r="C25779" t="s">
        <v>2444</v>
      </c>
      <c r="D25779">
        <v>1860</v>
      </c>
      <c r="E25779">
        <v>0</v>
      </c>
      <c r="F25779">
        <v>1638</v>
      </c>
    </row>
    <row r="25780" spans="1:6" ht="12.75">
      <c r="A25780" s="2">
        <v>43875.72929398148</v>
      </c>
      <c r="B25780" t="str">
        <f>HYPERLINK("https://twitter.com/stanthemaknae","@stanthemaknae")</f>
        <v>@stanthemaknae</v>
      </c>
      <c r="C25780" t="s">
        <v>9123</v>
      </c>
      <c r="D25780">
        <v>240</v>
      </c>
      <c r="E25780">
        <v>0</v>
      </c>
      <c r="F25780">
        <v>398</v>
      </c>
    </row>
    <row r="25781" spans="1:6" ht="12.75">
      <c r="A25781" s="2">
        <v>43875.72929398148</v>
      </c>
      <c r="B25781" t="str">
        <f>HYPERLINK("https://twitter.com/gregdewanto","@gregdewanto")</f>
        <v>@gregdewanto</v>
      </c>
      <c r="C25781" t="s">
        <v>2963</v>
      </c>
      <c r="D25781">
        <v>994</v>
      </c>
      <c r="E25781">
        <v>0</v>
      </c>
      <c r="F25781">
        <v>292</v>
      </c>
    </row>
    <row r="25782" spans="1:6" ht="12.75">
      <c r="A25782" s="2">
        <v>43875.729212962964</v>
      </c>
      <c r="B25782" t="str">
        <f>HYPERLINK("https://twitter.com/Agamput47282263","@Agamput47282263")</f>
        <v>@Agamput47282263</v>
      </c>
      <c r="C25782" t="s">
        <v>2963</v>
      </c>
      <c r="D25782">
        <v>994</v>
      </c>
      <c r="E25782">
        <v>0</v>
      </c>
      <c r="F25782">
        <v>66</v>
      </c>
    </row>
    <row r="25783" spans="1:6" ht="12.75">
      <c r="A25783" s="2">
        <v>43875.729178240741</v>
      </c>
      <c r="B25783" t="str">
        <f>HYPERLINK("https://twitter.com/stanthemaknae","@stanthemaknae")</f>
        <v>@stanthemaknae</v>
      </c>
      <c r="C25783" t="s">
        <v>2444</v>
      </c>
      <c r="D25783">
        <v>1860</v>
      </c>
      <c r="E25783">
        <v>0</v>
      </c>
      <c r="F25783">
        <v>398</v>
      </c>
    </row>
    <row r="25784" spans="1:6" ht="12.75">
      <c r="A25784" s="2">
        <v>43875.729178240741</v>
      </c>
      <c r="B25784" t="str">
        <f>HYPERLINK("https://twitter.com/lucifferkicci","@lucifferkicci")</f>
        <v>@lucifferkicci</v>
      </c>
      <c r="C25784" t="s">
        <v>11484</v>
      </c>
      <c r="D25784">
        <v>261</v>
      </c>
      <c r="E25784">
        <v>0</v>
      </c>
      <c r="F25784">
        <v>2775</v>
      </c>
    </row>
    <row r="25785" spans="1:6" ht="12.75">
      <c r="A25785" s="2">
        <v>43875.729166666672</v>
      </c>
      <c r="B25785" t="str">
        <f>HYPERLINK("https://twitter.com/daniairwansyah","@daniairwansyah")</f>
        <v>@daniairwansyah</v>
      </c>
      <c r="C25785" t="s">
        <v>11615</v>
      </c>
      <c r="D25785">
        <v>0</v>
      </c>
      <c r="E25785">
        <v>0</v>
      </c>
      <c r="F25785">
        <v>501</v>
      </c>
    </row>
    <row r="25786" spans="1:6" ht="12.75">
      <c r="A25786" s="2">
        <v>43875.729131944448</v>
      </c>
      <c r="B25786" t="str">
        <f>HYPERLINK("https://twitter.com/NurIngeDL","@NurIngeDL")</f>
        <v>@NurIngeDL</v>
      </c>
      <c r="C25786" t="s">
        <v>2444</v>
      </c>
      <c r="D25786">
        <v>1860</v>
      </c>
      <c r="E25786">
        <v>0</v>
      </c>
      <c r="F25786">
        <v>225</v>
      </c>
    </row>
    <row r="25787" spans="1:6" ht="12.75">
      <c r="A25787" s="2">
        <v>43875.729016203702</v>
      </c>
      <c r="B25787" t="str">
        <f>HYPERLINK("https://twitter.com/3d4c26b763cc88f","@3d4c26b763cc88f")</f>
        <v>@3d4c26b763cc88f</v>
      </c>
      <c r="C25787" t="s">
        <v>2444</v>
      </c>
      <c r="D25787">
        <v>1860</v>
      </c>
      <c r="E25787">
        <v>0</v>
      </c>
      <c r="F25787">
        <v>162</v>
      </c>
    </row>
    <row r="25788" spans="1:6" ht="12.75">
      <c r="A25788" s="2">
        <v>43875.728796296295</v>
      </c>
      <c r="B25788" t="str">
        <f>HYPERLINK("https://twitter.com/santuuykupi","@santuuykupi")</f>
        <v>@santuuykupi</v>
      </c>
      <c r="C25788" t="s">
        <v>11484</v>
      </c>
      <c r="D25788">
        <v>261</v>
      </c>
      <c r="E25788">
        <v>0</v>
      </c>
      <c r="F25788">
        <v>1647</v>
      </c>
    </row>
    <row r="25789" spans="1:6" ht="12.75">
      <c r="A25789" s="2">
        <v>43875.72865740741</v>
      </c>
      <c r="B25789" t="str">
        <f>HYPERLINK("https://twitter.com/recehmasdjoe","@recehmasdjoe")</f>
        <v>@recehmasdjoe</v>
      </c>
      <c r="C25789" t="s">
        <v>11616</v>
      </c>
      <c r="D25789">
        <v>0</v>
      </c>
      <c r="E25789">
        <v>0</v>
      </c>
      <c r="F25789">
        <v>79</v>
      </c>
    </row>
    <row r="25790" spans="1:6" ht="12.75">
      <c r="A25790" s="2">
        <v>43875.72856481481</v>
      </c>
      <c r="B25790" t="str">
        <f>HYPERLINK("https://twitter.com/inkuwie","@inkuwie")</f>
        <v>@inkuwie</v>
      </c>
      <c r="C25790" t="s">
        <v>5168</v>
      </c>
      <c r="D25790">
        <v>844</v>
      </c>
      <c r="E25790">
        <v>0</v>
      </c>
      <c r="F25790">
        <v>689</v>
      </c>
    </row>
    <row r="25791" spans="1:6" ht="12.75">
      <c r="A25791" s="2">
        <v>43875.728518518517</v>
      </c>
      <c r="B25791" t="str">
        <f>HYPERLINK("https://twitter.com/taqjil","@taqjil")</f>
        <v>@taqjil</v>
      </c>
      <c r="C25791" t="s">
        <v>2444</v>
      </c>
      <c r="D25791">
        <v>1860</v>
      </c>
      <c r="E25791">
        <v>0</v>
      </c>
      <c r="F25791">
        <v>424</v>
      </c>
    </row>
    <row r="25792" spans="1:6" ht="12.75">
      <c r="A25792" s="2">
        <v>43875.728391203702</v>
      </c>
      <c r="B25792" t="str">
        <f t="shared" ref="B25792:B25793" si="344">HYPERLINK("https://twitter.com/yourcutebaby_","@yourcutebaby_")</f>
        <v>@yourcutebaby_</v>
      </c>
      <c r="C25792" t="s">
        <v>9123</v>
      </c>
      <c r="D25792">
        <v>240</v>
      </c>
      <c r="E25792">
        <v>0</v>
      </c>
      <c r="F25792">
        <v>5</v>
      </c>
    </row>
    <row r="25793" spans="1:6" ht="12.75">
      <c r="A25793" s="2">
        <v>43875.728368055556</v>
      </c>
      <c r="B25793" t="str">
        <f t="shared" si="344"/>
        <v>@yourcutebaby_</v>
      </c>
      <c r="C25793" t="s">
        <v>2444</v>
      </c>
      <c r="D25793">
        <v>1860</v>
      </c>
      <c r="E25793">
        <v>0</v>
      </c>
      <c r="F25793">
        <v>5</v>
      </c>
    </row>
    <row r="25794" spans="1:6" ht="12.75">
      <c r="A25794" s="2">
        <v>43875.728321759263</v>
      </c>
      <c r="B25794" t="str">
        <f>HYPERLINK("https://twitter.com/limyonathan17","@limyonathan17")</f>
        <v>@limyonathan17</v>
      </c>
      <c r="C25794" t="s">
        <v>2444</v>
      </c>
      <c r="D25794">
        <v>1860</v>
      </c>
      <c r="E25794">
        <v>0</v>
      </c>
      <c r="F25794">
        <v>283</v>
      </c>
    </row>
    <row r="25795" spans="1:6" ht="12.75">
      <c r="A25795" s="2">
        <v>43875.728263888886</v>
      </c>
      <c r="B25795" t="str">
        <f>HYPERLINK("https://twitter.com/jawapos","@jawapos")</f>
        <v>@jawapos</v>
      </c>
      <c r="C25795" t="s">
        <v>11617</v>
      </c>
      <c r="D25795">
        <v>0</v>
      </c>
      <c r="E25795">
        <v>0</v>
      </c>
      <c r="F25795">
        <v>116506</v>
      </c>
    </row>
    <row r="25796" spans="1:6" ht="12.75">
      <c r="A25796" s="2">
        <v>43875.728252314817</v>
      </c>
      <c r="B25796" t="str">
        <f>HYPERLINK("https://twitter.com/deldeluu","@deldeluu")</f>
        <v>@deldeluu</v>
      </c>
      <c r="C25796" t="s">
        <v>2444</v>
      </c>
      <c r="D25796">
        <v>1860</v>
      </c>
      <c r="E25796">
        <v>0</v>
      </c>
      <c r="F25796">
        <v>163</v>
      </c>
    </row>
    <row r="25797" spans="1:6" ht="12.75">
      <c r="A25797" s="2">
        <v>43875.72824074074</v>
      </c>
      <c r="B25797" t="str">
        <f>HYPERLINK("https://twitter.com/haririarci9790","@haririarci9790")</f>
        <v>@haririarci9790</v>
      </c>
      <c r="C25797" t="s">
        <v>7478</v>
      </c>
      <c r="D25797">
        <v>291</v>
      </c>
      <c r="E25797">
        <v>0</v>
      </c>
      <c r="F25797">
        <v>1358</v>
      </c>
    </row>
    <row r="25798" spans="1:6" ht="12.75">
      <c r="A25798" s="2">
        <v>43875.728159722217</v>
      </c>
      <c r="B25798" t="str">
        <f>HYPERLINK("https://twitter.com/Dwiyana_DKM","@Dwiyana_DKM")</f>
        <v>@Dwiyana_DKM</v>
      </c>
      <c r="C25798" t="s">
        <v>10165</v>
      </c>
      <c r="D25798">
        <v>10</v>
      </c>
      <c r="E25798">
        <v>0</v>
      </c>
      <c r="F25798">
        <v>22244</v>
      </c>
    </row>
    <row r="25799" spans="1:6" ht="12.75">
      <c r="A25799" s="2">
        <v>43875.728125000001</v>
      </c>
      <c r="B25799" t="str">
        <f>HYPERLINK("https://twitter.com/Lovelya31","@Lovelya31")</f>
        <v>@Lovelya31</v>
      </c>
      <c r="C25799" t="s">
        <v>9123</v>
      </c>
      <c r="D25799">
        <v>240</v>
      </c>
      <c r="E25799">
        <v>0</v>
      </c>
      <c r="F25799">
        <v>312</v>
      </c>
    </row>
    <row r="25800" spans="1:6" ht="12.75">
      <c r="A25800" s="2">
        <v>43875.728113425925</v>
      </c>
      <c r="B25800" t="str">
        <f>HYPERLINK("https://twitter.com/Riddo_plur","@Riddo_plur")</f>
        <v>@Riddo_plur</v>
      </c>
      <c r="C25800" t="s">
        <v>11411</v>
      </c>
      <c r="D25800">
        <v>7</v>
      </c>
      <c r="E25800">
        <v>0</v>
      </c>
      <c r="F25800">
        <v>204</v>
      </c>
    </row>
    <row r="25801" spans="1:6" ht="12.75">
      <c r="A25801" s="2">
        <v>43875.728067129632</v>
      </c>
      <c r="B25801" t="str">
        <f>HYPERLINK("https://twitter.com/ngurahsaka","@ngurahsaka")</f>
        <v>@ngurahsaka</v>
      </c>
      <c r="C25801" t="s">
        <v>11618</v>
      </c>
      <c r="D25801">
        <v>0</v>
      </c>
      <c r="E25801">
        <v>0</v>
      </c>
      <c r="F25801">
        <v>1801</v>
      </c>
    </row>
    <row r="25802" spans="1:6" ht="12.75">
      <c r="A25802" s="2">
        <v>43875.728032407409</v>
      </c>
      <c r="B25802" t="str">
        <f>HYPERLINK("https://twitter.com/Dwiyana_DKM","@Dwiyana_DKM")</f>
        <v>@Dwiyana_DKM</v>
      </c>
      <c r="C25802" t="s">
        <v>10083</v>
      </c>
      <c r="D25802">
        <v>11</v>
      </c>
      <c r="E25802">
        <v>0</v>
      </c>
      <c r="F25802">
        <v>22244</v>
      </c>
    </row>
    <row r="25803" spans="1:6" ht="12.75">
      <c r="A25803" s="2">
        <v>43875.728009259255</v>
      </c>
      <c r="B25803" t="str">
        <f>HYPERLINK("https://twitter.com/Tjakraningrat1","@Tjakraningrat1")</f>
        <v>@Tjakraningrat1</v>
      </c>
      <c r="C25803" t="s">
        <v>6201</v>
      </c>
      <c r="D25803">
        <v>109</v>
      </c>
      <c r="E25803">
        <v>0</v>
      </c>
      <c r="F25803">
        <v>11</v>
      </c>
    </row>
    <row r="25804" spans="1:6" ht="12.75">
      <c r="A25804" s="2">
        <v>43875.727986111116</v>
      </c>
      <c r="B25804" t="str">
        <f>HYPERLINK("https://twitter.com/UnitedAsk","@UnitedAsk")</f>
        <v>@UnitedAsk</v>
      </c>
      <c r="C25804" t="s">
        <v>2444</v>
      </c>
      <c r="D25804">
        <v>1860</v>
      </c>
      <c r="E25804">
        <v>0</v>
      </c>
      <c r="F25804">
        <v>21484</v>
      </c>
    </row>
    <row r="25805" spans="1:6" ht="12.75">
      <c r="A25805" s="2">
        <v>43875.727986111116</v>
      </c>
      <c r="B25805" t="str">
        <f>HYPERLINK("https://twitter.com/rahminova2","@rahminova2")</f>
        <v>@rahminova2</v>
      </c>
      <c r="C25805" t="s">
        <v>7478</v>
      </c>
      <c r="D25805">
        <v>291</v>
      </c>
      <c r="E25805">
        <v>0</v>
      </c>
      <c r="F25805">
        <v>1298</v>
      </c>
    </row>
    <row r="25806" spans="1:6" ht="12.75">
      <c r="A25806" s="2">
        <v>43875.72791666667</v>
      </c>
      <c r="B25806" t="str">
        <f>HYPERLINK("https://twitter.com/Muhamad09147404","@Muhamad09147404")</f>
        <v>@Muhamad09147404</v>
      </c>
      <c r="C25806" t="s">
        <v>5761</v>
      </c>
      <c r="D25806">
        <v>70</v>
      </c>
      <c r="E25806">
        <v>0</v>
      </c>
      <c r="F25806">
        <v>611</v>
      </c>
    </row>
    <row r="25807" spans="1:6" ht="12.75">
      <c r="A25807" s="2">
        <v>43875.727858796294</v>
      </c>
      <c r="B25807" t="str">
        <f>HYPERLINK("https://twitter.com/titi_alfath","@titi_alfath")</f>
        <v>@titi_alfath</v>
      </c>
      <c r="C25807" t="s">
        <v>2444</v>
      </c>
      <c r="D25807">
        <v>1860</v>
      </c>
      <c r="E25807">
        <v>0</v>
      </c>
      <c r="F25807">
        <v>207</v>
      </c>
    </row>
    <row r="25808" spans="1:6" ht="12.75">
      <c r="A25808" s="2">
        <v>43875.727824074071</v>
      </c>
      <c r="B25808" t="str">
        <f>HYPERLINK("https://twitter.com/Indonesianews15","@Indonesianews15")</f>
        <v>@Indonesianews15</v>
      </c>
      <c r="C25808" t="s">
        <v>11619</v>
      </c>
      <c r="D25808">
        <v>0</v>
      </c>
      <c r="E25808">
        <v>0</v>
      </c>
      <c r="F25808">
        <v>12300</v>
      </c>
    </row>
    <row r="25809" spans="1:6" ht="12.75">
      <c r="A25809" s="2">
        <v>43875.727789351848</v>
      </c>
      <c r="B25809" t="str">
        <f>HYPERLINK("https://twitter.com/WinarsihParis","@WinarsihParis")</f>
        <v>@WinarsihParis</v>
      </c>
      <c r="C25809" t="s">
        <v>11620</v>
      </c>
      <c r="D25809">
        <v>1</v>
      </c>
      <c r="E25809">
        <v>0</v>
      </c>
      <c r="F25809">
        <v>83</v>
      </c>
    </row>
    <row r="25810" spans="1:6" ht="12.75">
      <c r="A25810" s="2">
        <v>43875.727777777778</v>
      </c>
      <c r="B25810" t="str">
        <f>HYPERLINK("https://twitter.com/CacatanMasBoy","@CacatanMasBoy")</f>
        <v>@CacatanMasBoy</v>
      </c>
      <c r="C25810" t="s">
        <v>5168</v>
      </c>
      <c r="D25810">
        <v>844</v>
      </c>
      <c r="E25810">
        <v>0</v>
      </c>
      <c r="F25810">
        <v>453</v>
      </c>
    </row>
    <row r="25811" spans="1:6" ht="12.75">
      <c r="A25811" s="2">
        <v>43875.727777777778</v>
      </c>
      <c r="B25811" t="str">
        <f>HYPERLINK("https://twitter.com/hanicitra","@hanicitra")</f>
        <v>@hanicitra</v>
      </c>
      <c r="C25811" t="s">
        <v>2444</v>
      </c>
      <c r="D25811">
        <v>1860</v>
      </c>
      <c r="E25811">
        <v>0</v>
      </c>
      <c r="F25811">
        <v>1110</v>
      </c>
    </row>
    <row r="25812" spans="1:6" ht="12.75">
      <c r="A25812" s="2">
        <v>43875.727743055555</v>
      </c>
      <c r="B25812" t="str">
        <f>HYPERLINK("https://twitter.com/Yadi__Asli","@Yadi__Asli")</f>
        <v>@Yadi__Asli</v>
      </c>
      <c r="C25812" t="s">
        <v>11484</v>
      </c>
      <c r="D25812">
        <v>261</v>
      </c>
      <c r="E25812">
        <v>0</v>
      </c>
      <c r="F25812">
        <v>5398</v>
      </c>
    </row>
    <row r="25813" spans="1:6" ht="12.75">
      <c r="A25813" s="2">
        <v>43875.727696759262</v>
      </c>
      <c r="B25813" t="str">
        <f>HYPERLINK("https://twitter.com/akuikibutoijo","@akuikibutoijo")</f>
        <v>@akuikibutoijo</v>
      </c>
      <c r="C25813" t="s">
        <v>11621</v>
      </c>
      <c r="D25813">
        <v>0</v>
      </c>
      <c r="E25813">
        <v>3</v>
      </c>
      <c r="F25813">
        <v>106</v>
      </c>
    </row>
    <row r="25814" spans="1:6" ht="12.75">
      <c r="A25814" s="2">
        <v>43875.727650462963</v>
      </c>
      <c r="B25814" t="str">
        <f>HYPERLINK("https://twitter.com/Official_OGI","@Official_OGI")</f>
        <v>@Official_OGI</v>
      </c>
      <c r="C25814" t="s">
        <v>10052</v>
      </c>
      <c r="D25814">
        <v>37</v>
      </c>
      <c r="E25814">
        <v>0</v>
      </c>
      <c r="F25814">
        <v>1106</v>
      </c>
    </row>
    <row r="25815" spans="1:6" ht="12.75">
      <c r="A25815" s="2">
        <v>43875.727650462963</v>
      </c>
      <c r="B25815" t="str">
        <f>HYPERLINK("https://twitter.com/professordeka","@professordeka")</f>
        <v>@professordeka</v>
      </c>
      <c r="C25815" t="s">
        <v>11622</v>
      </c>
      <c r="D25815">
        <v>0</v>
      </c>
      <c r="E25815">
        <v>1</v>
      </c>
      <c r="F25815">
        <v>386</v>
      </c>
    </row>
    <row r="25816" spans="1:6" ht="12.75">
      <c r="A25816" s="2">
        <v>43875.727627314816</v>
      </c>
      <c r="B25816" t="str">
        <f>HYPERLINK("https://twitter.com/Lovelya31","@Lovelya31")</f>
        <v>@Lovelya31</v>
      </c>
      <c r="C25816" t="s">
        <v>2444</v>
      </c>
      <c r="D25816">
        <v>1860</v>
      </c>
      <c r="E25816">
        <v>0</v>
      </c>
      <c r="F25816">
        <v>312</v>
      </c>
    </row>
    <row r="25817" spans="1:6" ht="12.75">
      <c r="A25817" s="2">
        <v>43875.727592592593</v>
      </c>
      <c r="B25817" t="str">
        <f>HYPERLINK("https://twitter.com/cumabucinbts","@cumabucinbts")</f>
        <v>@cumabucinbts</v>
      </c>
      <c r="C25817" t="s">
        <v>7923</v>
      </c>
      <c r="D25817">
        <v>5</v>
      </c>
      <c r="E25817">
        <v>0</v>
      </c>
      <c r="F25817">
        <v>101</v>
      </c>
    </row>
    <row r="25818" spans="1:6" ht="12.75">
      <c r="A25818" s="2">
        <v>43875.72756944444</v>
      </c>
      <c r="B25818" t="str">
        <f>HYPERLINK("https://twitter.com/3_devout","@3_devout")</f>
        <v>@3_devout</v>
      </c>
      <c r="C25818" t="s">
        <v>11576</v>
      </c>
      <c r="D25818">
        <v>6</v>
      </c>
      <c r="E25818">
        <v>0</v>
      </c>
      <c r="F25818">
        <v>1033</v>
      </c>
    </row>
    <row r="25819" spans="1:6" ht="12.75">
      <c r="A25819" s="2">
        <v>43875.727546296301</v>
      </c>
      <c r="B25819" t="str">
        <f>HYPERLINK("https://twitter.com/eddycaksby","@eddycaksby")</f>
        <v>@eddycaksby</v>
      </c>
      <c r="C25819" t="s">
        <v>6201</v>
      </c>
      <c r="D25819">
        <v>109</v>
      </c>
      <c r="E25819">
        <v>0</v>
      </c>
      <c r="F25819">
        <v>658</v>
      </c>
    </row>
    <row r="25820" spans="1:6" ht="12.75">
      <c r="A25820" s="2">
        <v>43875.727523148147</v>
      </c>
      <c r="B25820" t="str">
        <f>HYPERLINK("https://twitter.com/chobreeze","@chobreeze")</f>
        <v>@chobreeze</v>
      </c>
      <c r="C25820" t="s">
        <v>2137</v>
      </c>
      <c r="D25820">
        <v>155</v>
      </c>
      <c r="E25820">
        <v>0</v>
      </c>
      <c r="F25820">
        <v>26</v>
      </c>
    </row>
    <row r="25821" spans="1:6" ht="12.75">
      <c r="A25821" s="2">
        <v>43875.727523148147</v>
      </c>
      <c r="B25821" t="str">
        <f>HYPERLINK("https://twitter.com/me_hilmy","@me_hilmy")</f>
        <v>@me_hilmy</v>
      </c>
      <c r="C25821" t="s">
        <v>5168</v>
      </c>
      <c r="D25821">
        <v>844</v>
      </c>
      <c r="E25821">
        <v>0</v>
      </c>
      <c r="F25821">
        <v>280</v>
      </c>
    </row>
    <row r="25822" spans="1:6" ht="12.75">
      <c r="A25822" s="2">
        <v>43875.727511574078</v>
      </c>
      <c r="B25822" t="str">
        <f>HYPERLINK("https://twitter.com/burungpipit74","@burungpipit74")</f>
        <v>@burungpipit74</v>
      </c>
      <c r="C25822" t="s">
        <v>2963</v>
      </c>
      <c r="D25822">
        <v>994</v>
      </c>
      <c r="E25822">
        <v>0</v>
      </c>
      <c r="F25822">
        <v>3231</v>
      </c>
    </row>
    <row r="25823" spans="1:6" ht="12.75">
      <c r="A25823" s="2">
        <v>43875.727500000001</v>
      </c>
      <c r="B25823" t="str">
        <f>HYPERLINK("https://twitter.com/CacatanMasBoy","@CacatanMasBoy")</f>
        <v>@CacatanMasBoy</v>
      </c>
      <c r="C25823" t="s">
        <v>2444</v>
      </c>
      <c r="D25823">
        <v>1860</v>
      </c>
      <c r="E25823">
        <v>0</v>
      </c>
      <c r="F25823">
        <v>453</v>
      </c>
    </row>
    <row r="25824" spans="1:6" ht="12.75">
      <c r="A25824" s="2">
        <v>43875.727418981478</v>
      </c>
      <c r="B25824" t="str">
        <f>HYPERLINK("https://twitter.com/nafshx","@nafshx")</f>
        <v>@nafshx</v>
      </c>
      <c r="C25824" t="s">
        <v>2444</v>
      </c>
      <c r="D25824">
        <v>1860</v>
      </c>
      <c r="E25824">
        <v>0</v>
      </c>
      <c r="F25824">
        <v>1259</v>
      </c>
    </row>
    <row r="25825" spans="1:6" ht="12.75">
      <c r="A25825" s="2">
        <v>43875.727395833332</v>
      </c>
      <c r="B25825" t="str">
        <f>HYPERLINK("https://twitter.com/BawsluDIY","@BawsluDIY")</f>
        <v>@BawsluDIY</v>
      </c>
      <c r="C25825" t="s">
        <v>11623</v>
      </c>
      <c r="D25825">
        <v>1</v>
      </c>
      <c r="E25825">
        <v>0</v>
      </c>
      <c r="F25825">
        <v>231</v>
      </c>
    </row>
    <row r="25826" spans="1:6" ht="12.75">
      <c r="A25826" s="2">
        <v>43875.727372685185</v>
      </c>
      <c r="B25826" t="str">
        <f>HYPERLINK("https://twitter.com/LahAkuKenapa","@LahAkuKenapa")</f>
        <v>@LahAkuKenapa</v>
      </c>
      <c r="C25826" t="s">
        <v>10083</v>
      </c>
      <c r="D25826">
        <v>11</v>
      </c>
      <c r="E25826">
        <v>0</v>
      </c>
      <c r="F25826">
        <v>3676</v>
      </c>
    </row>
    <row r="25827" spans="1:6" ht="12.75">
      <c r="A25827" s="2">
        <v>43875.727337962962</v>
      </c>
      <c r="B25827" t="str">
        <f>HYPERLINK("https://twitter.com/Erwin27032989","@Erwin27032989")</f>
        <v>@Erwin27032989</v>
      </c>
      <c r="C25827" t="s">
        <v>6201</v>
      </c>
      <c r="D25827">
        <v>109</v>
      </c>
      <c r="E25827">
        <v>0</v>
      </c>
      <c r="F25827">
        <v>766</v>
      </c>
    </row>
    <row r="25828" spans="1:6" ht="12.75">
      <c r="A25828" s="2">
        <v>43875.727175925931</v>
      </c>
      <c r="B25828" t="str">
        <f>HYPERLINK("https://twitter.com/Syahryananwari","@Syahryananwari")</f>
        <v>@Syahryananwari</v>
      </c>
      <c r="C25828" t="s">
        <v>11624</v>
      </c>
      <c r="D25828">
        <v>0</v>
      </c>
      <c r="E25828">
        <v>0</v>
      </c>
      <c r="F25828">
        <v>816</v>
      </c>
    </row>
    <row r="25829" spans="1:6" ht="12.75">
      <c r="A25829" s="2">
        <v>43875.727083333331</v>
      </c>
      <c r="B25829" t="str">
        <f>HYPERLINK("https://twitter.com/bags_blinkers","@bags_blinkers")</f>
        <v>@bags_blinkers</v>
      </c>
      <c r="C25829" t="s">
        <v>11625</v>
      </c>
      <c r="D25829">
        <v>4</v>
      </c>
      <c r="E25829">
        <v>0</v>
      </c>
      <c r="F25829">
        <v>298</v>
      </c>
    </row>
    <row r="25830" spans="1:6" ht="12.75">
      <c r="A25830" s="2">
        <v>43875.727071759262</v>
      </c>
      <c r="B25830" t="str">
        <f>HYPERLINK("https://twitter.com/inkuwie","@inkuwie")</f>
        <v>@inkuwie</v>
      </c>
      <c r="C25830" t="s">
        <v>2444</v>
      </c>
      <c r="D25830">
        <v>1860</v>
      </c>
      <c r="E25830">
        <v>0</v>
      </c>
      <c r="F25830">
        <v>689</v>
      </c>
    </row>
    <row r="25831" spans="1:6" ht="12.75">
      <c r="A25831" s="2">
        <v>43875.727037037039</v>
      </c>
      <c r="B25831" t="str">
        <f>HYPERLINK("https://twitter.com/Fahad_Marzuki","@Fahad_Marzuki")</f>
        <v>@Fahad_Marzuki</v>
      </c>
      <c r="C25831" t="s">
        <v>11499</v>
      </c>
      <c r="D25831">
        <v>0</v>
      </c>
      <c r="E25831">
        <v>5</v>
      </c>
      <c r="F25831">
        <v>103</v>
      </c>
    </row>
    <row r="25832" spans="1:6" ht="12.75">
      <c r="A25832" s="2">
        <v>43875.727013888885</v>
      </c>
      <c r="B25832" t="str">
        <f>HYPERLINK("https://twitter.com/DediMudrika","@DediMudrika")</f>
        <v>@DediMudrika</v>
      </c>
      <c r="C25832" t="s">
        <v>6201</v>
      </c>
      <c r="D25832">
        <v>109</v>
      </c>
      <c r="E25832">
        <v>0</v>
      </c>
      <c r="F25832">
        <v>290</v>
      </c>
    </row>
    <row r="25833" spans="1:6" ht="12.75">
      <c r="A25833" s="2">
        <v>43875.726944444439</v>
      </c>
      <c r="B25833" t="str">
        <f>HYPERLINK("https://twitter.com/farid1432","@farid1432")</f>
        <v>@farid1432</v>
      </c>
      <c r="C25833" t="s">
        <v>10422</v>
      </c>
      <c r="D25833">
        <v>100</v>
      </c>
      <c r="E25833">
        <v>0</v>
      </c>
      <c r="F25833">
        <v>373</v>
      </c>
    </row>
    <row r="25834" spans="1:6" ht="12.75">
      <c r="A25834" s="2">
        <v>43875.72693287037</v>
      </c>
      <c r="B25834" t="str">
        <f>HYPERLINK("https://twitter.com/cumabucinbts","@cumabucinbts")</f>
        <v>@cumabucinbts</v>
      </c>
      <c r="C25834" t="s">
        <v>11626</v>
      </c>
      <c r="D25834">
        <v>1</v>
      </c>
      <c r="E25834">
        <v>0</v>
      </c>
      <c r="F25834">
        <v>101</v>
      </c>
    </row>
    <row r="25835" spans="1:6" ht="12.75">
      <c r="A25835" s="2">
        <v>43875.72693287037</v>
      </c>
      <c r="B25835" t="str">
        <f>HYPERLINK("https://twitter.com/Wilson_P535","@Wilson_P535")</f>
        <v>@Wilson_P535</v>
      </c>
      <c r="C25835" t="s">
        <v>11627</v>
      </c>
      <c r="D25835">
        <v>0</v>
      </c>
      <c r="E25835">
        <v>0</v>
      </c>
      <c r="F25835">
        <v>28</v>
      </c>
    </row>
    <row r="25836" spans="1:6" ht="12.75">
      <c r="A25836" s="2">
        <v>43875.726886574077</v>
      </c>
      <c r="B25836" t="str">
        <f>HYPERLINK("https://twitter.com/nomero02","@nomero02")</f>
        <v>@nomero02</v>
      </c>
      <c r="C25836" t="s">
        <v>6201</v>
      </c>
      <c r="D25836">
        <v>109</v>
      </c>
      <c r="E25836">
        <v>0</v>
      </c>
      <c r="F25836">
        <v>340</v>
      </c>
    </row>
    <row r="25837" spans="1:6" ht="12.75">
      <c r="A25837" s="2">
        <v>43875.726851851854</v>
      </c>
      <c r="B25837" t="str">
        <f>HYPERLINK("https://twitter.com/seftirahayuuu","@seftirahayuuu")</f>
        <v>@seftirahayuuu</v>
      </c>
      <c r="C25837" t="s">
        <v>11582</v>
      </c>
      <c r="D25837">
        <v>1</v>
      </c>
      <c r="E25837">
        <v>0</v>
      </c>
      <c r="F25837">
        <v>30</v>
      </c>
    </row>
    <row r="25838" spans="1:6" ht="12.75">
      <c r="A25838" s="2">
        <v>43875.726655092592</v>
      </c>
      <c r="B25838" t="str">
        <f>HYPERLINK("https://twitter.com/riskykurniap","@riskykurniap")</f>
        <v>@riskykurniap</v>
      </c>
      <c r="C25838" t="s">
        <v>2444</v>
      </c>
      <c r="D25838">
        <v>1860</v>
      </c>
      <c r="E25838">
        <v>0</v>
      </c>
      <c r="F25838">
        <v>2281</v>
      </c>
    </row>
    <row r="25839" spans="1:6" ht="12.75">
      <c r="A25839" s="2">
        <v>43875.726655092592</v>
      </c>
      <c r="B25839" t="str">
        <f>HYPERLINK("https://twitter.com/GreatSpiderman7","@GreatSpiderman7")</f>
        <v>@GreatSpiderman7</v>
      </c>
      <c r="C25839" t="s">
        <v>9746</v>
      </c>
      <c r="D25839">
        <v>280</v>
      </c>
      <c r="E25839">
        <v>0</v>
      </c>
      <c r="F25839">
        <v>187</v>
      </c>
    </row>
    <row r="25840" spans="1:6" ht="12.75">
      <c r="A25840" s="2">
        <v>43875.726643518516</v>
      </c>
      <c r="B25840" t="str">
        <f>HYPERLINK("https://twitter.com/koncigold","@koncigold")</f>
        <v>@koncigold</v>
      </c>
      <c r="C25840" t="s">
        <v>2444</v>
      </c>
      <c r="D25840">
        <v>1860</v>
      </c>
      <c r="E25840">
        <v>0</v>
      </c>
      <c r="F25840">
        <v>124</v>
      </c>
    </row>
    <row r="25841" spans="1:6" ht="12.75">
      <c r="A25841" s="2">
        <v>43875.726620370369</v>
      </c>
      <c r="B25841" t="str">
        <f>HYPERLINK("https://twitter.com/salahsambungya","@salahsambungya")</f>
        <v>@salahsambungya</v>
      </c>
      <c r="C25841" t="s">
        <v>11628</v>
      </c>
      <c r="D25841">
        <v>1</v>
      </c>
      <c r="E25841">
        <v>0</v>
      </c>
      <c r="F25841">
        <v>5189</v>
      </c>
    </row>
    <row r="25842" spans="1:6" ht="12.75">
      <c r="A25842" s="2">
        <v>43875.726608796293</v>
      </c>
      <c r="B25842" t="str">
        <f>HYPERLINK("https://twitter.com/inonk61460581","@inonk61460581")</f>
        <v>@inonk61460581</v>
      </c>
      <c r="C25842" t="s">
        <v>2097</v>
      </c>
      <c r="D25842">
        <v>390</v>
      </c>
      <c r="E25842">
        <v>0</v>
      </c>
      <c r="F25842">
        <v>22</v>
      </c>
    </row>
    <row r="25843" spans="1:6" ht="12.75">
      <c r="A25843" s="2">
        <v>43875.726585648154</v>
      </c>
      <c r="B25843" t="str">
        <f>HYPERLINK("https://twitter.com/shahrunnizamm","@shahrunnizamm")</f>
        <v>@shahrunnizamm</v>
      </c>
      <c r="C25843" t="s">
        <v>2149</v>
      </c>
      <c r="D25843">
        <v>21</v>
      </c>
      <c r="E25843">
        <v>0</v>
      </c>
      <c r="F25843">
        <v>248</v>
      </c>
    </row>
    <row r="25844" spans="1:6" ht="12.75">
      <c r="A25844" s="2">
        <v>43875.72657407407</v>
      </c>
      <c r="B25844" t="str">
        <f>HYPERLINK("https://twitter.com/seftirahayuuu","@seftirahayuuu")</f>
        <v>@seftirahayuuu</v>
      </c>
      <c r="C25844" t="s">
        <v>11629</v>
      </c>
      <c r="D25844">
        <v>0</v>
      </c>
      <c r="E25844">
        <v>0</v>
      </c>
      <c r="F25844">
        <v>30</v>
      </c>
    </row>
    <row r="25845" spans="1:6" ht="12.75">
      <c r="A25845" s="2">
        <v>43875.7265625</v>
      </c>
      <c r="B25845" t="str">
        <f>HYPERLINK("https://twitter.com/Serabie","@Serabie")</f>
        <v>@Serabie</v>
      </c>
      <c r="C25845" t="s">
        <v>6201</v>
      </c>
      <c r="D25845">
        <v>109</v>
      </c>
      <c r="E25845">
        <v>0</v>
      </c>
      <c r="F25845">
        <v>1703</v>
      </c>
    </row>
    <row r="25846" spans="1:6" ht="12.75">
      <c r="A25846" s="2">
        <v>43875.726539351846</v>
      </c>
      <c r="B25846" t="str">
        <f>HYPERLINK("https://twitter.com/FarisHermawan_","@FarisHermawan_")</f>
        <v>@FarisHermawan_</v>
      </c>
      <c r="C25846" t="s">
        <v>2444</v>
      </c>
      <c r="D25846">
        <v>1860</v>
      </c>
      <c r="E25846">
        <v>0</v>
      </c>
      <c r="F25846">
        <v>448</v>
      </c>
    </row>
    <row r="25847" spans="1:6" ht="12.75">
      <c r="A25847" s="2">
        <v>43875.726504629631</v>
      </c>
      <c r="B25847" t="str">
        <f>HYPERLINK("https://twitter.com/Erwin27032989","@Erwin27032989")</f>
        <v>@Erwin27032989</v>
      </c>
      <c r="C25847" t="s">
        <v>7478</v>
      </c>
      <c r="D25847">
        <v>291</v>
      </c>
      <c r="E25847">
        <v>0</v>
      </c>
      <c r="F25847">
        <v>766</v>
      </c>
    </row>
    <row r="25848" spans="1:6" ht="12.75">
      <c r="A25848" s="2">
        <v>43875.726469907408</v>
      </c>
      <c r="B25848" t="str">
        <f t="shared" ref="B25848:B25851" si="345">HYPERLINK("https://twitter.com/ophilia93","@ophilia93")</f>
        <v>@ophilia93</v>
      </c>
      <c r="C25848" t="s">
        <v>11630</v>
      </c>
      <c r="D25848">
        <v>0</v>
      </c>
      <c r="E25848">
        <v>0</v>
      </c>
      <c r="F25848">
        <v>35</v>
      </c>
    </row>
    <row r="25849" spans="1:6" ht="12.75">
      <c r="A25849" s="2">
        <v>43875.726469907408</v>
      </c>
      <c r="B25849" t="str">
        <f t="shared" si="345"/>
        <v>@ophilia93</v>
      </c>
      <c r="C25849" t="s">
        <v>11631</v>
      </c>
      <c r="D25849">
        <v>0</v>
      </c>
      <c r="E25849">
        <v>0</v>
      </c>
      <c r="F25849">
        <v>35</v>
      </c>
    </row>
    <row r="25850" spans="1:6" ht="12.75">
      <c r="A25850" s="2">
        <v>43875.726458333331</v>
      </c>
      <c r="B25850" t="str">
        <f t="shared" si="345"/>
        <v>@ophilia93</v>
      </c>
      <c r="C25850" t="s">
        <v>11632</v>
      </c>
      <c r="D25850">
        <v>0</v>
      </c>
      <c r="E25850">
        <v>0</v>
      </c>
      <c r="F25850">
        <v>35</v>
      </c>
    </row>
    <row r="25851" spans="1:6" ht="12.75">
      <c r="A25851" s="2">
        <v>43875.726458333331</v>
      </c>
      <c r="B25851" t="str">
        <f t="shared" si="345"/>
        <v>@ophilia93</v>
      </c>
      <c r="C25851" t="s">
        <v>11633</v>
      </c>
      <c r="D25851">
        <v>0</v>
      </c>
      <c r="E25851">
        <v>0</v>
      </c>
      <c r="F25851">
        <v>35</v>
      </c>
    </row>
    <row r="25852" spans="1:6" ht="12.75">
      <c r="A25852" s="2">
        <v>43875.726435185185</v>
      </c>
      <c r="B25852" t="str">
        <f>HYPERLINK("https://twitter.com/FWilatama","@FWilatama")</f>
        <v>@FWilatama</v>
      </c>
      <c r="C25852" t="s">
        <v>7068</v>
      </c>
      <c r="D25852">
        <v>20</v>
      </c>
      <c r="E25852">
        <v>0</v>
      </c>
      <c r="F25852">
        <v>19</v>
      </c>
    </row>
    <row r="25853" spans="1:6" ht="12.75">
      <c r="A25853" s="2">
        <v>43875.726365740746</v>
      </c>
      <c r="B25853" t="str">
        <f>HYPERLINK("https://twitter.com/yellowsunisu","@yellowsunisu")</f>
        <v>@yellowsunisu</v>
      </c>
      <c r="C25853" t="s">
        <v>5168</v>
      </c>
      <c r="D25853">
        <v>844</v>
      </c>
      <c r="E25853">
        <v>0</v>
      </c>
      <c r="F25853">
        <v>1280</v>
      </c>
    </row>
    <row r="25854" spans="1:6" ht="12.75">
      <c r="A25854" s="2">
        <v>43875.726365740746</v>
      </c>
      <c r="B25854" t="str">
        <f>HYPERLINK("https://twitter.com/egiaazmi","@egiaazmi")</f>
        <v>@egiaazmi</v>
      </c>
      <c r="C25854" t="s">
        <v>2444</v>
      </c>
      <c r="D25854">
        <v>1860</v>
      </c>
      <c r="E25854">
        <v>0</v>
      </c>
      <c r="F25854">
        <v>205</v>
      </c>
    </row>
    <row r="25855" spans="1:6" ht="12.75">
      <c r="A25855" s="2">
        <v>43875.726273148146</v>
      </c>
      <c r="B25855" t="str">
        <f>HYPERLINK("https://twitter.com/lia_dolls","@lia_dolls")</f>
        <v>@lia_dolls</v>
      </c>
      <c r="C25855" t="s">
        <v>2963</v>
      </c>
      <c r="D25855">
        <v>994</v>
      </c>
      <c r="E25855">
        <v>0</v>
      </c>
      <c r="F25855">
        <v>52</v>
      </c>
    </row>
    <row r="25856" spans="1:6" ht="12.75">
      <c r="A25856" s="2">
        <v>43875.726215277777</v>
      </c>
      <c r="B25856" t="str">
        <f>HYPERLINK("https://twitter.com/diezitoe","@diezitoe")</f>
        <v>@diezitoe</v>
      </c>
      <c r="C25856" t="s">
        <v>9835</v>
      </c>
      <c r="D25856">
        <v>42</v>
      </c>
      <c r="E25856">
        <v>0</v>
      </c>
      <c r="F25856">
        <v>336</v>
      </c>
    </row>
    <row r="25857" spans="1:6" ht="12.75">
      <c r="A25857" s="2">
        <v>43875.7262037037</v>
      </c>
      <c r="B25857" t="str">
        <f>HYPERLINK("https://twitter.com/JaySoetija","@JaySoetija")</f>
        <v>@JaySoetija</v>
      </c>
      <c r="C25857" t="s">
        <v>6201</v>
      </c>
      <c r="D25857">
        <v>109</v>
      </c>
      <c r="E25857">
        <v>0</v>
      </c>
      <c r="F25857">
        <v>1200</v>
      </c>
    </row>
    <row r="25858" spans="1:6" ht="12.75">
      <c r="A25858" s="2">
        <v>43875.726180555561</v>
      </c>
      <c r="B25858" t="str">
        <f>HYPERLINK("https://twitter.com/bangnour","@bangnour")</f>
        <v>@bangnour</v>
      </c>
      <c r="C25858" t="s">
        <v>9147</v>
      </c>
      <c r="D25858">
        <v>22</v>
      </c>
      <c r="E25858">
        <v>0</v>
      </c>
      <c r="F25858">
        <v>20</v>
      </c>
    </row>
    <row r="25859" spans="1:6" ht="12.75">
      <c r="A25859" s="2">
        <v>43875.726157407407</v>
      </c>
      <c r="B25859" t="str">
        <f>HYPERLINK("https://twitter.com/flonoviadinda","@flonoviadinda")</f>
        <v>@flonoviadinda</v>
      </c>
      <c r="C25859" t="s">
        <v>2444</v>
      </c>
      <c r="D25859">
        <v>1860</v>
      </c>
      <c r="E25859">
        <v>0</v>
      </c>
      <c r="F25859">
        <v>1332</v>
      </c>
    </row>
    <row r="25860" spans="1:6" ht="12.75">
      <c r="A25860" s="2">
        <v>43875.726134259261</v>
      </c>
      <c r="B25860" t="str">
        <f>HYPERLINK("https://twitter.com/hazelnutnutx","@hazelnutnutx")</f>
        <v>@hazelnutnutx</v>
      </c>
      <c r="C25860" t="s">
        <v>2444</v>
      </c>
      <c r="D25860">
        <v>1860</v>
      </c>
      <c r="E25860">
        <v>0</v>
      </c>
      <c r="F25860">
        <v>1118</v>
      </c>
    </row>
    <row r="25861" spans="1:6" ht="12.75">
      <c r="A25861" s="2">
        <v>43875.726076388892</v>
      </c>
      <c r="B25861" t="str">
        <f>HYPERLINK("https://twitter.com/2103_R4CHM4","@2103_R4CHM4")</f>
        <v>@2103_R4CHM4</v>
      </c>
      <c r="C25861" t="s">
        <v>11044</v>
      </c>
      <c r="D25861">
        <v>6</v>
      </c>
      <c r="E25861">
        <v>0</v>
      </c>
      <c r="F25861">
        <v>2318</v>
      </c>
    </row>
    <row r="25862" spans="1:6" ht="12.75">
      <c r="A25862" s="2">
        <v>43875.725972222222</v>
      </c>
      <c r="B25862" t="str">
        <f>HYPERLINK("https://twitter.com/trianakenyas","@trianakenyas")</f>
        <v>@trianakenyas</v>
      </c>
      <c r="C25862" t="s">
        <v>3140</v>
      </c>
      <c r="D25862">
        <v>12</v>
      </c>
      <c r="E25862">
        <v>0</v>
      </c>
      <c r="F25862">
        <v>3</v>
      </c>
    </row>
    <row r="25863" spans="1:6" ht="12.75">
      <c r="A25863" s="2">
        <v>43875.725972222222</v>
      </c>
      <c r="B25863" t="str">
        <f>HYPERLINK("https://twitter.com/Candraasmara85","@Candraasmara85")</f>
        <v>@Candraasmara85</v>
      </c>
      <c r="C25863" t="s">
        <v>10083</v>
      </c>
      <c r="D25863">
        <v>11</v>
      </c>
      <c r="E25863">
        <v>0</v>
      </c>
      <c r="F25863">
        <v>10504</v>
      </c>
    </row>
    <row r="25864" spans="1:6" ht="12.75">
      <c r="A25864" s="2">
        <v>43875.725972222222</v>
      </c>
      <c r="B25864" t="str">
        <f>HYPERLINK("https://twitter.com/ouwsem","@ouwsem")</f>
        <v>@ouwsem</v>
      </c>
      <c r="C25864" t="s">
        <v>2137</v>
      </c>
      <c r="D25864">
        <v>155</v>
      </c>
      <c r="E25864">
        <v>0</v>
      </c>
      <c r="F25864">
        <v>432</v>
      </c>
    </row>
    <row r="25865" spans="1:6" ht="12.75">
      <c r="A25865" s="2">
        <v>43875.725960648153</v>
      </c>
      <c r="B25865" t="str">
        <f>HYPERLINK("https://twitter.com/melatikusdew","@melatikusdew")</f>
        <v>@melatikusdew</v>
      </c>
      <c r="C25865" t="s">
        <v>2444</v>
      </c>
      <c r="D25865">
        <v>1860</v>
      </c>
      <c r="E25865">
        <v>0</v>
      </c>
      <c r="F25865">
        <v>1450</v>
      </c>
    </row>
    <row r="25866" spans="1:6" ht="12.75">
      <c r="A25866" s="2">
        <v>43875.725891203707</v>
      </c>
      <c r="B25866" t="str">
        <f>HYPERLINK("https://twitter.com/Candraasmara85","@Candraasmara85")</f>
        <v>@Candraasmara85</v>
      </c>
      <c r="C25866" t="s">
        <v>10165</v>
      </c>
      <c r="D25866">
        <v>10</v>
      </c>
      <c r="E25866">
        <v>0</v>
      </c>
      <c r="F25866">
        <v>10504</v>
      </c>
    </row>
    <row r="25867" spans="1:6" ht="12.75">
      <c r="A25867" s="2">
        <v>43875.725891203707</v>
      </c>
      <c r="B25867" t="str">
        <f>HYPERLINK("https://twitter.com/ferryirawanac","@ferryirawanac")</f>
        <v>@ferryirawanac</v>
      </c>
      <c r="C25867" t="s">
        <v>6201</v>
      </c>
      <c r="D25867">
        <v>109</v>
      </c>
      <c r="E25867">
        <v>0</v>
      </c>
      <c r="F25867">
        <v>169</v>
      </c>
    </row>
    <row r="25868" spans="1:6" ht="12.75">
      <c r="A25868" s="2">
        <v>43875.725868055553</v>
      </c>
      <c r="B25868" t="str">
        <f>HYPERLINK("https://twitter.com/ujianovita_","@ujianovita_")</f>
        <v>@ujianovita_</v>
      </c>
      <c r="C25868" t="s">
        <v>11634</v>
      </c>
      <c r="D25868">
        <v>0</v>
      </c>
      <c r="E25868">
        <v>0</v>
      </c>
      <c r="F25868">
        <v>205</v>
      </c>
    </row>
    <row r="25869" spans="1:6" ht="12.75">
      <c r="A25869" s="2">
        <v>43875.725798611107</v>
      </c>
      <c r="B25869" t="str">
        <f>HYPERLINK("https://twitter.com/galcaopanuntun","@galcaopanuntun")</f>
        <v>@galcaopanuntun</v>
      </c>
      <c r="C25869" t="s">
        <v>2444</v>
      </c>
      <c r="D25869">
        <v>1860</v>
      </c>
      <c r="E25869">
        <v>0</v>
      </c>
      <c r="F25869">
        <v>1334</v>
      </c>
    </row>
    <row r="25870" spans="1:6" ht="12.75">
      <c r="A25870" s="2">
        <v>43875.725763888884</v>
      </c>
      <c r="B25870" t="str">
        <f>HYPERLINK("https://twitter.com/minhyunsc","@minhyunsc")</f>
        <v>@minhyunsc</v>
      </c>
      <c r="C25870" t="s">
        <v>11635</v>
      </c>
      <c r="D25870">
        <v>1</v>
      </c>
      <c r="E25870">
        <v>0</v>
      </c>
      <c r="F25870">
        <v>7544</v>
      </c>
    </row>
    <row r="25871" spans="1:6" ht="12.75">
      <c r="A25871" s="2">
        <v>43875.725740740745</v>
      </c>
      <c r="B25871" t="str">
        <f>HYPERLINK("https://twitter.com/jhon_saheb","@jhon_saheb")</f>
        <v>@jhon_saheb</v>
      </c>
      <c r="C25871" t="s">
        <v>11636</v>
      </c>
      <c r="D25871">
        <v>0</v>
      </c>
      <c r="E25871">
        <v>0</v>
      </c>
      <c r="F25871">
        <v>1</v>
      </c>
    </row>
    <row r="25872" spans="1:6" ht="12.75">
      <c r="A25872" s="2">
        <v>43875.725729166668</v>
      </c>
      <c r="B25872" t="str">
        <f>HYPERLINK("https://twitter.com/SevenSeas87","@SevenSeas87")</f>
        <v>@SevenSeas87</v>
      </c>
      <c r="C25872" t="s">
        <v>11637</v>
      </c>
      <c r="D25872">
        <v>2</v>
      </c>
      <c r="E25872">
        <v>0</v>
      </c>
      <c r="F25872">
        <v>1337</v>
      </c>
    </row>
    <row r="25873" spans="1:6" ht="12.75">
      <c r="A25873" s="2">
        <v>43875.725578703699</v>
      </c>
      <c r="B25873" t="str">
        <f>HYPERLINK("https://twitter.com/Rudiwaluyo11","@Rudiwaluyo11")</f>
        <v>@Rudiwaluyo11</v>
      </c>
      <c r="C25873" t="s">
        <v>11638</v>
      </c>
      <c r="D25873">
        <v>0</v>
      </c>
      <c r="E25873">
        <v>0</v>
      </c>
      <c r="F25873">
        <v>38</v>
      </c>
    </row>
    <row r="25874" spans="1:6" ht="12.75">
      <c r="A25874" s="2">
        <v>43875.72555555556</v>
      </c>
      <c r="B25874" t="str">
        <f>HYPERLINK("https://twitter.com/notalentgeek","@notalentgeek")</f>
        <v>@notalentgeek</v>
      </c>
      <c r="C25874" t="s">
        <v>2444</v>
      </c>
      <c r="D25874">
        <v>1860</v>
      </c>
      <c r="E25874">
        <v>0</v>
      </c>
      <c r="F25874">
        <v>345</v>
      </c>
    </row>
    <row r="25875" spans="1:6" ht="12.75">
      <c r="A25875" s="2">
        <v>43875.725451388891</v>
      </c>
      <c r="B25875" t="str">
        <f>HYPERLINK("https://twitter.com/ditobatman","@ditobatman")</f>
        <v>@ditobatman</v>
      </c>
      <c r="C25875" t="s">
        <v>11639</v>
      </c>
      <c r="D25875">
        <v>0</v>
      </c>
      <c r="E25875">
        <v>0</v>
      </c>
      <c r="F25875">
        <v>2</v>
      </c>
    </row>
    <row r="25876" spans="1:6" ht="12.75">
      <c r="A25876" s="2">
        <v>43875.725405092591</v>
      </c>
      <c r="B25876" t="str">
        <f>HYPERLINK("https://twitter.com/fathomong","@fathomong")</f>
        <v>@fathomong</v>
      </c>
      <c r="C25876" t="s">
        <v>2444</v>
      </c>
      <c r="D25876">
        <v>1860</v>
      </c>
      <c r="E25876">
        <v>0</v>
      </c>
      <c r="F25876">
        <v>1373</v>
      </c>
    </row>
    <row r="25877" spans="1:6" ht="12.75">
      <c r="A25877" s="2">
        <v>43875.725347222222</v>
      </c>
      <c r="B25877" t="str">
        <f>HYPERLINK("https://twitter.com/gantilagi04","@gantilagi04")</f>
        <v>@gantilagi04</v>
      </c>
      <c r="C25877" t="s">
        <v>7478</v>
      </c>
      <c r="D25877">
        <v>291</v>
      </c>
      <c r="E25877">
        <v>0</v>
      </c>
      <c r="F25877">
        <v>282</v>
      </c>
    </row>
    <row r="25878" spans="1:6" ht="12.75">
      <c r="A25878" s="2">
        <v>43875.725335648152</v>
      </c>
      <c r="B25878" t="str">
        <f>HYPERLINK("https://twitter.com/pabra_id","@pabra_id")</f>
        <v>@pabra_id</v>
      </c>
      <c r="C25878" t="s">
        <v>7373</v>
      </c>
      <c r="D25878">
        <v>73</v>
      </c>
      <c r="E25878">
        <v>0</v>
      </c>
      <c r="F25878">
        <v>47</v>
      </c>
    </row>
    <row r="25879" spans="1:6" ht="12.75">
      <c r="A25879" s="2">
        <v>43875.725312499999</v>
      </c>
      <c r="B25879" t="str">
        <f>HYPERLINK("https://twitter.com/Sakr24216690","@Sakr24216690")</f>
        <v>@Sakr24216690</v>
      </c>
      <c r="C25879" t="s">
        <v>3140</v>
      </c>
      <c r="D25879">
        <v>12</v>
      </c>
      <c r="E25879">
        <v>0</v>
      </c>
      <c r="F25879">
        <v>32</v>
      </c>
    </row>
    <row r="25880" spans="1:6" ht="12.75">
      <c r="A25880" s="2">
        <v>43875.725185185191</v>
      </c>
      <c r="B25880" t="str">
        <f>HYPERLINK("https://twitter.com/boyaboya_tani","@boyaboya_tani")</f>
        <v>@boyaboya_tani</v>
      </c>
      <c r="C25880" t="s">
        <v>9123</v>
      </c>
      <c r="D25880">
        <v>240</v>
      </c>
      <c r="E25880">
        <v>0</v>
      </c>
      <c r="F25880">
        <v>191</v>
      </c>
    </row>
    <row r="25881" spans="1:6" ht="12.75">
      <c r="A25881" s="2">
        <v>43875.725173611107</v>
      </c>
      <c r="B25881" t="str">
        <f>HYPERLINK("https://twitter.com/endhog_ungu","@endhog_ungu")</f>
        <v>@endhog_ungu</v>
      </c>
      <c r="C25881" t="s">
        <v>2444</v>
      </c>
      <c r="D25881">
        <v>1860</v>
      </c>
      <c r="E25881">
        <v>0</v>
      </c>
      <c r="F25881">
        <v>331</v>
      </c>
    </row>
    <row r="25882" spans="1:6" ht="12.75">
      <c r="A25882" s="2">
        <v>43875.725127314814</v>
      </c>
      <c r="B25882" t="str">
        <f>HYPERLINK("https://twitter.com/pfftttcot","@pfftttcot")</f>
        <v>@pfftttcot</v>
      </c>
      <c r="C25882" t="s">
        <v>9557</v>
      </c>
      <c r="D25882">
        <v>3</v>
      </c>
      <c r="E25882">
        <v>0</v>
      </c>
      <c r="F25882">
        <v>86</v>
      </c>
    </row>
    <row r="25883" spans="1:6" ht="12.75">
      <c r="A25883" s="2">
        <v>43875.725115740745</v>
      </c>
      <c r="B25883" t="str">
        <f>HYPERLINK("https://twitter.com/lukeamoanuh","@lukeamoanuh")</f>
        <v>@lukeamoanuh</v>
      </c>
      <c r="C25883" t="s">
        <v>2137</v>
      </c>
      <c r="D25883">
        <v>155</v>
      </c>
      <c r="E25883">
        <v>0</v>
      </c>
      <c r="F25883">
        <v>2598</v>
      </c>
    </row>
    <row r="25884" spans="1:6" ht="12.75">
      <c r="A25884" s="2">
        <v>43875.725081018521</v>
      </c>
      <c r="B25884" t="str">
        <f>HYPERLINK("https://twitter.com/Fazribageur","@Fazribageur")</f>
        <v>@Fazribageur</v>
      </c>
      <c r="C25884" t="s">
        <v>9746</v>
      </c>
      <c r="D25884">
        <v>280</v>
      </c>
      <c r="E25884">
        <v>0</v>
      </c>
      <c r="F25884">
        <v>1048</v>
      </c>
    </row>
    <row r="25885" spans="1:6" ht="12.75">
      <c r="A25885" s="2">
        <v>43875.725023148145</v>
      </c>
      <c r="B25885" t="str">
        <f>HYPERLINK("https://twitter.com/Ngambissyok","@Ngambissyok")</f>
        <v>@Ngambissyok</v>
      </c>
      <c r="C25885" t="s">
        <v>2444</v>
      </c>
      <c r="D25885">
        <v>1860</v>
      </c>
      <c r="E25885">
        <v>0</v>
      </c>
      <c r="F25885">
        <v>327</v>
      </c>
    </row>
    <row r="25886" spans="1:6" ht="12.75">
      <c r="A25886" s="2">
        <v>43875.724999999999</v>
      </c>
      <c r="B25886" t="str">
        <f>HYPERLINK("https://twitter.com/madetirtasari","@madetirtasari")</f>
        <v>@madetirtasari</v>
      </c>
      <c r="C25886" t="s">
        <v>10295</v>
      </c>
      <c r="D25886">
        <v>90</v>
      </c>
      <c r="E25886">
        <v>0</v>
      </c>
      <c r="F25886">
        <v>4464</v>
      </c>
    </row>
    <row r="25887" spans="1:6" ht="12.75">
      <c r="A25887" s="2">
        <v>43875.72493055556</v>
      </c>
      <c r="B25887" t="str">
        <f>HYPERLINK("https://twitter.com/Dikairwan2","@Dikairwan2")</f>
        <v>@Dikairwan2</v>
      </c>
      <c r="C25887" t="s">
        <v>11640</v>
      </c>
      <c r="D25887">
        <v>1</v>
      </c>
      <c r="E25887">
        <v>0</v>
      </c>
      <c r="F25887">
        <v>1</v>
      </c>
    </row>
    <row r="25888" spans="1:6" ht="12.75">
      <c r="A25888" s="2">
        <v>43875.724918981483</v>
      </c>
      <c r="B25888" t="str">
        <f>HYPERLINK("https://twitter.com/Barna_byo","@Barna_byo")</f>
        <v>@Barna_byo</v>
      </c>
      <c r="C25888" t="s">
        <v>11411</v>
      </c>
      <c r="D25888">
        <v>7</v>
      </c>
      <c r="E25888">
        <v>0</v>
      </c>
      <c r="F25888">
        <v>7832</v>
      </c>
    </row>
    <row r="25889" spans="1:6" ht="12.75">
      <c r="A25889" s="2">
        <v>43875.72483796296</v>
      </c>
      <c r="B25889" t="str">
        <f>HYPERLINK("https://twitter.com/airin_fidya","@airin_fidya")</f>
        <v>@airin_fidya</v>
      </c>
      <c r="C25889" t="s">
        <v>11641</v>
      </c>
      <c r="D25889">
        <v>0</v>
      </c>
      <c r="E25889">
        <v>0</v>
      </c>
      <c r="F25889">
        <v>225</v>
      </c>
    </row>
    <row r="25890" spans="1:6" ht="12.75">
      <c r="A25890" s="2">
        <v>43875.724814814814</v>
      </c>
      <c r="B25890" t="str">
        <f>HYPERLINK("https://twitter.com/GroupWgwc","@GroupWgwc")</f>
        <v>@GroupWgwc</v>
      </c>
      <c r="C25890" t="s">
        <v>11642</v>
      </c>
      <c r="D25890">
        <v>0</v>
      </c>
      <c r="E25890">
        <v>0</v>
      </c>
      <c r="F25890">
        <v>8</v>
      </c>
    </row>
    <row r="25891" spans="1:6" ht="12.75">
      <c r="A25891" s="2">
        <v>43875.724814814814</v>
      </c>
      <c r="B25891" t="str">
        <f>HYPERLINK("https://twitter.com/Nusantara_TV","@Nusantara_TV")</f>
        <v>@Nusantara_TV</v>
      </c>
      <c r="C25891" t="s">
        <v>11643</v>
      </c>
      <c r="D25891">
        <v>0</v>
      </c>
      <c r="E25891">
        <v>0</v>
      </c>
      <c r="F25891">
        <v>489</v>
      </c>
    </row>
    <row r="25892" spans="1:6" ht="12.75">
      <c r="A25892" s="2">
        <v>43875.724803240737</v>
      </c>
      <c r="B25892" t="str">
        <f>HYPERLINK("https://twitter.com/ARuleMelancholy","@ARuleMelancholy")</f>
        <v>@ARuleMelancholy</v>
      </c>
      <c r="C25892" t="s">
        <v>7478</v>
      </c>
      <c r="D25892">
        <v>291</v>
      </c>
      <c r="E25892">
        <v>0</v>
      </c>
      <c r="F25892">
        <v>204</v>
      </c>
    </row>
    <row r="25893" spans="1:6" ht="12.75">
      <c r="A25893" s="2">
        <v>43875.724745370375</v>
      </c>
      <c r="B25893" t="str">
        <f>HYPERLINK("https://twitter.com/Lucky_HS","@Lucky_HS")</f>
        <v>@Lucky_HS</v>
      </c>
      <c r="C25893" t="s">
        <v>5168</v>
      </c>
      <c r="D25893">
        <v>844</v>
      </c>
      <c r="E25893">
        <v>0</v>
      </c>
      <c r="F25893">
        <v>7104</v>
      </c>
    </row>
    <row r="25894" spans="1:6" ht="12.75">
      <c r="A25894" s="2">
        <v>43875.724745370375</v>
      </c>
      <c r="B25894" t="str">
        <f>HYPERLINK("https://twitter.com/_Rossy022","@_Rossy022")</f>
        <v>@_Rossy022</v>
      </c>
      <c r="C25894" t="s">
        <v>11644</v>
      </c>
      <c r="D25894">
        <v>0</v>
      </c>
      <c r="E25894">
        <v>0</v>
      </c>
      <c r="F25894">
        <v>288</v>
      </c>
    </row>
    <row r="25895" spans="1:6" ht="12.75">
      <c r="A25895" s="2">
        <v>43875.724652777775</v>
      </c>
      <c r="B25895" t="str">
        <f>HYPERLINK("https://twitter.com/Primanggarsari","@Primanggarsari")</f>
        <v>@Primanggarsari</v>
      </c>
      <c r="C25895" t="s">
        <v>2444</v>
      </c>
      <c r="D25895">
        <v>1860</v>
      </c>
      <c r="E25895">
        <v>0</v>
      </c>
      <c r="F25895">
        <v>493</v>
      </c>
    </row>
    <row r="25896" spans="1:6" ht="12.75">
      <c r="A25896" s="2">
        <v>43875.724606481483</v>
      </c>
      <c r="B25896" t="str">
        <f>HYPERLINK("https://twitter.com/nancy_mw","@nancy_mw")</f>
        <v>@nancy_mw</v>
      </c>
      <c r="C25896" t="s">
        <v>2963</v>
      </c>
      <c r="D25896">
        <v>994</v>
      </c>
      <c r="E25896">
        <v>0</v>
      </c>
      <c r="F25896">
        <v>420</v>
      </c>
    </row>
    <row r="25897" spans="1:6" ht="12.75">
      <c r="A25897" s="2">
        <v>43875.724594907406</v>
      </c>
      <c r="B25897" t="str">
        <f>HYPERLINK("https://twitter.com/RidwanRoti","@RidwanRoti")</f>
        <v>@RidwanRoti</v>
      </c>
      <c r="C25897" t="s">
        <v>11522</v>
      </c>
      <c r="D25897">
        <v>0</v>
      </c>
      <c r="E25897">
        <v>0</v>
      </c>
      <c r="F25897">
        <v>126</v>
      </c>
    </row>
    <row r="25898" spans="1:6" ht="12.75">
      <c r="A25898" s="2">
        <v>43875.724537037036</v>
      </c>
      <c r="B25898" t="str">
        <f>HYPERLINK("https://twitter.com/ISIS_Balik_NO","@ISIS_Balik_NO")</f>
        <v>@ISIS_Balik_NO</v>
      </c>
      <c r="C25898" t="s">
        <v>11645</v>
      </c>
      <c r="D25898">
        <v>3</v>
      </c>
      <c r="E25898">
        <v>0</v>
      </c>
      <c r="F25898">
        <v>5901</v>
      </c>
    </row>
    <row r="25899" spans="1:6" ht="12.75">
      <c r="A25899" s="2">
        <v>43875.72451388889</v>
      </c>
      <c r="B25899" t="str">
        <f>HYPERLINK("https://twitter.com/ucokseparoh","@ucokseparoh")</f>
        <v>@ucokseparoh</v>
      </c>
      <c r="C25899" t="s">
        <v>7619</v>
      </c>
      <c r="D25899">
        <v>9</v>
      </c>
      <c r="E25899">
        <v>0</v>
      </c>
      <c r="F25899">
        <v>504</v>
      </c>
    </row>
    <row r="25900" spans="1:6" ht="12.75">
      <c r="A25900" s="2">
        <v>43875.724502314813</v>
      </c>
      <c r="B25900" t="str">
        <f>HYPERLINK("https://twitter.com/SevenSeas87","@SevenSeas87")</f>
        <v>@SevenSeas87</v>
      </c>
      <c r="C25900" t="s">
        <v>9539</v>
      </c>
      <c r="D25900">
        <v>10</v>
      </c>
      <c r="E25900">
        <v>0</v>
      </c>
      <c r="F25900">
        <v>1337</v>
      </c>
    </row>
    <row r="25901" spans="1:6" ht="12.75">
      <c r="A25901" s="2">
        <v>43875.724479166667</v>
      </c>
      <c r="B25901" t="str">
        <f>HYPERLINK("https://twitter.com/piedfisch","@piedfisch")</f>
        <v>@piedfisch</v>
      </c>
      <c r="C25901" t="s">
        <v>11646</v>
      </c>
      <c r="D25901">
        <v>1</v>
      </c>
      <c r="E25901">
        <v>0</v>
      </c>
      <c r="F25901">
        <v>975</v>
      </c>
    </row>
    <row r="25902" spans="1:6" ht="12.75">
      <c r="A25902" s="2">
        <v>43875.72446759259</v>
      </c>
      <c r="B25902" t="str">
        <f>HYPERLINK("https://twitter.com/anto_afb","@anto_afb")</f>
        <v>@anto_afb</v>
      </c>
      <c r="C25902" t="s">
        <v>10121</v>
      </c>
      <c r="D25902">
        <v>180</v>
      </c>
      <c r="E25902">
        <v>0</v>
      </c>
      <c r="F25902">
        <v>39</v>
      </c>
    </row>
    <row r="25903" spans="1:6" ht="12.75">
      <c r="A25903" s="2">
        <v>43875.724456018521</v>
      </c>
      <c r="B25903" t="str">
        <f>HYPERLINK("https://twitter.com/mikisihyi","@mikisihyi")</f>
        <v>@mikisihyi</v>
      </c>
      <c r="C25903" t="s">
        <v>11536</v>
      </c>
      <c r="D25903">
        <v>0</v>
      </c>
      <c r="E25903">
        <v>0</v>
      </c>
      <c r="F25903">
        <v>115</v>
      </c>
    </row>
    <row r="25904" spans="1:6" ht="12.75">
      <c r="A25904" s="2">
        <v>43875.724293981482</v>
      </c>
      <c r="B25904" t="str">
        <f>HYPERLINK("https://twitter.com/ISIS_Balik_NO","@ISIS_Balik_NO")</f>
        <v>@ISIS_Balik_NO</v>
      </c>
      <c r="C25904" t="s">
        <v>11647</v>
      </c>
      <c r="D25904">
        <v>0</v>
      </c>
      <c r="E25904">
        <v>1</v>
      </c>
      <c r="F25904">
        <v>5901</v>
      </c>
    </row>
    <row r="25905" spans="1:6" ht="12.75">
      <c r="A25905" s="2">
        <v>43875.724224537036</v>
      </c>
      <c r="B25905" t="str">
        <f>HYPERLINK("https://twitter.com/ibnudona","@ibnudona")</f>
        <v>@ibnudona</v>
      </c>
      <c r="C25905" t="s">
        <v>6201</v>
      </c>
      <c r="D25905">
        <v>109</v>
      </c>
      <c r="E25905">
        <v>0</v>
      </c>
      <c r="F25905">
        <v>613</v>
      </c>
    </row>
    <row r="25906" spans="1:6" ht="12.75">
      <c r="A25906" s="2">
        <v>43875.72420138889</v>
      </c>
      <c r="B25906" t="str">
        <f>HYPERLINK("https://twitter.com/sasnitaswg","@sasnitaswg")</f>
        <v>@sasnitaswg</v>
      </c>
      <c r="C25906" t="s">
        <v>5168</v>
      </c>
      <c r="D25906">
        <v>844</v>
      </c>
      <c r="E25906">
        <v>0</v>
      </c>
      <c r="F25906">
        <v>459</v>
      </c>
    </row>
    <row r="25907" spans="1:6" ht="12.75">
      <c r="A25907" s="2">
        <v>43875.72420138889</v>
      </c>
      <c r="B25907" t="str">
        <f>HYPERLINK("https://twitter.com/gottar2529post","@gottar2529post")</f>
        <v>@gottar2529post</v>
      </c>
      <c r="C25907" t="s">
        <v>3140</v>
      </c>
      <c r="D25907">
        <v>12</v>
      </c>
      <c r="E25907">
        <v>0</v>
      </c>
      <c r="F25907">
        <v>58</v>
      </c>
    </row>
    <row r="25908" spans="1:6" ht="12.75">
      <c r="A25908" s="2">
        <v>43875.724039351851</v>
      </c>
      <c r="B25908" t="str">
        <f>HYPERLINK("https://twitter.com/SevenSeas87","@SevenSeas87")</f>
        <v>@SevenSeas87</v>
      </c>
      <c r="C25908" t="s">
        <v>11648</v>
      </c>
      <c r="D25908">
        <v>0</v>
      </c>
      <c r="E25908">
        <v>2</v>
      </c>
      <c r="F25908">
        <v>1337</v>
      </c>
    </row>
    <row r="25909" spans="1:6" ht="12.75">
      <c r="A25909" s="2">
        <v>43875.724027777775</v>
      </c>
      <c r="B25909" t="str">
        <f>HYPERLINK("https://twitter.com/penjelajahhh","@penjelajahhh")</f>
        <v>@penjelajahhh</v>
      </c>
      <c r="C25909" t="s">
        <v>11649</v>
      </c>
      <c r="D25909">
        <v>0</v>
      </c>
      <c r="E25909">
        <v>1</v>
      </c>
      <c r="F25909">
        <v>268</v>
      </c>
    </row>
    <row r="25910" spans="1:6" ht="12.75">
      <c r="A25910" s="2">
        <v>43875.723854166667</v>
      </c>
      <c r="B25910" t="str">
        <f>HYPERLINK("https://twitter.com/yogapraditow","@yogapraditow")</f>
        <v>@yogapraditow</v>
      </c>
      <c r="C25910" t="s">
        <v>11650</v>
      </c>
      <c r="D25910">
        <v>48</v>
      </c>
      <c r="E25910">
        <v>0</v>
      </c>
      <c r="F25910">
        <v>404</v>
      </c>
    </row>
    <row r="25911" spans="1:6" ht="12.75">
      <c r="A25911" s="2">
        <v>43875.723854166667</v>
      </c>
      <c r="B25911" t="str">
        <f>HYPERLINK("https://twitter.com/Eko0wijayanto","@Eko0wijayanto")</f>
        <v>@Eko0wijayanto</v>
      </c>
      <c r="C25911" t="s">
        <v>9998</v>
      </c>
      <c r="D25911">
        <v>101</v>
      </c>
      <c r="E25911">
        <v>0</v>
      </c>
      <c r="F25911">
        <v>1535</v>
      </c>
    </row>
    <row r="25912" spans="1:6" ht="12.75">
      <c r="A25912" s="2">
        <v>43875.723854166667</v>
      </c>
      <c r="B25912" t="str">
        <f>HYPERLINK("https://twitter.com/lesintouchabels","@lesintouchabels")</f>
        <v>@lesintouchabels</v>
      </c>
      <c r="C25912" t="s">
        <v>2444</v>
      </c>
      <c r="D25912">
        <v>1860</v>
      </c>
      <c r="E25912">
        <v>0</v>
      </c>
      <c r="F25912">
        <v>282</v>
      </c>
    </row>
    <row r="25913" spans="1:6" ht="12.75">
      <c r="A25913" s="2">
        <v>43875.723819444444</v>
      </c>
      <c r="B25913" t="str">
        <f>HYPERLINK("https://twitter.com/peachopie","@peachopie")</f>
        <v>@peachopie</v>
      </c>
      <c r="C25913" t="s">
        <v>7068</v>
      </c>
      <c r="D25913">
        <v>20</v>
      </c>
      <c r="E25913">
        <v>0</v>
      </c>
      <c r="F25913">
        <v>281</v>
      </c>
    </row>
    <row r="25914" spans="1:6" ht="12.75">
      <c r="A25914" s="2">
        <v>43875.723796296297</v>
      </c>
      <c r="B25914" t="str">
        <f>HYPERLINK("https://twitter.com/yogapraditow","@yogapraditow")</f>
        <v>@yogapraditow</v>
      </c>
      <c r="C25914" t="s">
        <v>8208</v>
      </c>
      <c r="D25914">
        <v>899</v>
      </c>
      <c r="E25914">
        <v>0</v>
      </c>
      <c r="F25914">
        <v>404</v>
      </c>
    </row>
    <row r="25915" spans="1:6" ht="12.75">
      <c r="A25915" s="2">
        <v>43875.723715277782</v>
      </c>
      <c r="B25915" t="str">
        <f>HYPERLINK("https://twitter.com/SammiSoh","@SammiSoh")</f>
        <v>@SammiSoh</v>
      </c>
      <c r="C25915" t="s">
        <v>11651</v>
      </c>
      <c r="D25915">
        <v>7</v>
      </c>
      <c r="E25915">
        <v>16</v>
      </c>
      <c r="F25915">
        <v>21547</v>
      </c>
    </row>
    <row r="25916" spans="1:6" ht="12.75">
      <c r="A25916" s="2">
        <v>43875.723657407405</v>
      </c>
      <c r="B25916" t="str">
        <f>HYPERLINK("https://twitter.com/Nusantara_TV","@Nusantara_TV")</f>
        <v>@Nusantara_TV</v>
      </c>
      <c r="C25916" t="s">
        <v>11652</v>
      </c>
      <c r="D25916">
        <v>0</v>
      </c>
      <c r="E25916">
        <v>0</v>
      </c>
      <c r="F25916">
        <v>489</v>
      </c>
    </row>
    <row r="25917" spans="1:6" ht="12.75">
      <c r="A25917" s="2">
        <v>43875.723645833335</v>
      </c>
      <c r="B25917" t="str">
        <f>HYPERLINK("https://twitter.com/AliexSmart","@AliexSmart")</f>
        <v>@AliexSmart</v>
      </c>
      <c r="C25917" t="s">
        <v>9746</v>
      </c>
      <c r="D25917">
        <v>280</v>
      </c>
      <c r="E25917">
        <v>0</v>
      </c>
      <c r="F25917">
        <v>1422</v>
      </c>
    </row>
    <row r="25918" spans="1:6" ht="12.75">
      <c r="A25918" s="2">
        <v>43875.723599537036</v>
      </c>
      <c r="B25918" t="str">
        <f>HYPERLINK("https://twitter.com/ArifRFauzi","@ArifRFauzi")</f>
        <v>@ArifRFauzi</v>
      </c>
      <c r="C25918" t="s">
        <v>6201</v>
      </c>
      <c r="D25918">
        <v>109</v>
      </c>
      <c r="E25918">
        <v>0</v>
      </c>
      <c r="F25918">
        <v>815</v>
      </c>
    </row>
    <row r="25919" spans="1:6" ht="12.75">
      <c r="A25919" s="2">
        <v>43875.723460648151</v>
      </c>
      <c r="B25919" t="str">
        <f>HYPERLINK("https://twitter.com/Dhaninu49764861","@Dhaninu49764861")</f>
        <v>@Dhaninu49764861</v>
      </c>
      <c r="C25919" t="s">
        <v>11653</v>
      </c>
      <c r="D25919">
        <v>0</v>
      </c>
      <c r="E25919">
        <v>1</v>
      </c>
      <c r="F25919">
        <v>43</v>
      </c>
    </row>
    <row r="25920" spans="1:6" ht="12.75">
      <c r="A25920" s="2">
        <v>43875.723356481481</v>
      </c>
      <c r="B25920" t="str">
        <f>HYPERLINK("https://twitter.com/beraniadilhebat","@beraniadilhebat")</f>
        <v>@beraniadilhebat</v>
      </c>
      <c r="C25920" t="s">
        <v>10096</v>
      </c>
      <c r="D25920">
        <v>150</v>
      </c>
      <c r="E25920">
        <v>0</v>
      </c>
      <c r="F25920">
        <v>1307</v>
      </c>
    </row>
    <row r="25921" spans="1:6" ht="12.75">
      <c r="A25921" s="2">
        <v>43875.723344907412</v>
      </c>
      <c r="B25921" t="str">
        <f>HYPERLINK("https://twitter.com/alvisyahr_","@alvisyahr_")</f>
        <v>@alvisyahr_</v>
      </c>
      <c r="C25921" t="s">
        <v>9746</v>
      </c>
      <c r="D25921">
        <v>280</v>
      </c>
      <c r="E25921">
        <v>0</v>
      </c>
      <c r="F25921">
        <v>227</v>
      </c>
    </row>
    <row r="25922" spans="1:6" ht="12.75">
      <c r="A25922" s="2">
        <v>43875.723321759258</v>
      </c>
      <c r="B25922" t="str">
        <f>HYPERLINK("https://twitter.com/AghataFrisilia","@AghataFrisilia")</f>
        <v>@AghataFrisilia</v>
      </c>
      <c r="C25922" t="s">
        <v>11654</v>
      </c>
      <c r="D25922">
        <v>2</v>
      </c>
      <c r="E25922">
        <v>0</v>
      </c>
      <c r="F25922">
        <v>66</v>
      </c>
    </row>
    <row r="25923" spans="1:6" ht="12.75">
      <c r="A25923" s="2">
        <v>43875.723263888889</v>
      </c>
      <c r="B25923" t="str">
        <f>HYPERLINK("https://twitter.com/dwirama89009610","@dwirama89009610")</f>
        <v>@dwirama89009610</v>
      </c>
      <c r="C25923" t="s">
        <v>11655</v>
      </c>
      <c r="D25923">
        <v>2</v>
      </c>
      <c r="E25923">
        <v>0</v>
      </c>
      <c r="F25923">
        <v>187</v>
      </c>
    </row>
    <row r="25924" spans="1:6" ht="12.75">
      <c r="A25924" s="2">
        <v>43875.723252314812</v>
      </c>
      <c r="B25924" t="str">
        <f>HYPERLINK("https://twitter.com/Alexand93109466","@Alexand93109466")</f>
        <v>@Alexand93109466</v>
      </c>
      <c r="C25924" t="s">
        <v>6201</v>
      </c>
      <c r="D25924">
        <v>109</v>
      </c>
      <c r="E25924">
        <v>0</v>
      </c>
      <c r="F25924">
        <v>247</v>
      </c>
    </row>
    <row r="25925" spans="1:6" ht="12.75">
      <c r="A25925" s="2">
        <v>43875.723240740743</v>
      </c>
      <c r="B25925" t="str">
        <f>HYPERLINK("https://twitter.com/hanakodibeli","@hanakodibeli")</f>
        <v>@hanakodibeli</v>
      </c>
      <c r="C25925" t="s">
        <v>2444</v>
      </c>
      <c r="D25925">
        <v>1860</v>
      </c>
      <c r="E25925">
        <v>0</v>
      </c>
      <c r="F25925">
        <v>318</v>
      </c>
    </row>
    <row r="25926" spans="1:6" ht="12.75">
      <c r="A25926" s="2">
        <v>43875.723229166666</v>
      </c>
      <c r="B25926" t="str">
        <f>HYPERLINK("https://twitter.com/yogapraditow","@yogapraditow")</f>
        <v>@yogapraditow</v>
      </c>
      <c r="C25926" t="s">
        <v>11656</v>
      </c>
      <c r="D25926">
        <v>26</v>
      </c>
      <c r="E25926">
        <v>0</v>
      </c>
      <c r="F25926">
        <v>404</v>
      </c>
    </row>
    <row r="25927" spans="1:6" ht="12.75">
      <c r="A25927" s="2">
        <v>43875.723217592589</v>
      </c>
      <c r="B25927" t="str">
        <f>HYPERLINK("https://twitter.com/eddycaksby","@eddycaksby")</f>
        <v>@eddycaksby</v>
      </c>
      <c r="C25927" t="s">
        <v>9746</v>
      </c>
      <c r="D25927">
        <v>280</v>
      </c>
      <c r="E25927">
        <v>0</v>
      </c>
      <c r="F25927">
        <v>658</v>
      </c>
    </row>
    <row r="25928" spans="1:6" ht="12.75">
      <c r="A25928" s="2">
        <v>43875.723217592589</v>
      </c>
      <c r="B25928" t="str">
        <f>HYPERLINK("https://twitter.com/JanReza_RD","@JanReza_RD")</f>
        <v>@JanReza_RD</v>
      </c>
      <c r="C25928" t="s">
        <v>6201</v>
      </c>
      <c r="D25928">
        <v>109</v>
      </c>
      <c r="E25928">
        <v>0</v>
      </c>
      <c r="F25928">
        <v>297</v>
      </c>
    </row>
    <row r="25929" spans="1:6" ht="12.75">
      <c r="A25929" s="2">
        <v>43875.723113425927</v>
      </c>
      <c r="B25929" t="str">
        <f>HYPERLINK("https://twitter.com/id_aksi","@id_aksi")</f>
        <v>@id_aksi</v>
      </c>
      <c r="C25929" t="s">
        <v>11657</v>
      </c>
      <c r="D25929">
        <v>0</v>
      </c>
      <c r="E25929">
        <v>0</v>
      </c>
      <c r="F25929">
        <v>78</v>
      </c>
    </row>
    <row r="25930" spans="1:6" ht="12.75">
      <c r="A25930" s="2">
        <v>43875.723101851851</v>
      </c>
      <c r="B25930" t="str">
        <f>HYPERLINK("https://twitter.com/LadesSagitario","@LadesSagitario")</f>
        <v>@LadesSagitario</v>
      </c>
      <c r="C25930" t="s">
        <v>7478</v>
      </c>
      <c r="D25930">
        <v>291</v>
      </c>
      <c r="E25930">
        <v>0</v>
      </c>
      <c r="F25930">
        <v>237</v>
      </c>
    </row>
    <row r="25931" spans="1:6" ht="12.75">
      <c r="A25931" s="2">
        <v>43875.722997685181</v>
      </c>
      <c r="B25931" t="str">
        <f>HYPERLINK("https://twitter.com/faturariab","@faturariab")</f>
        <v>@faturariab</v>
      </c>
      <c r="C25931" t="s">
        <v>2444</v>
      </c>
      <c r="D25931">
        <v>1860</v>
      </c>
      <c r="E25931">
        <v>0</v>
      </c>
      <c r="F25931">
        <v>217</v>
      </c>
    </row>
    <row r="25932" spans="1:6" ht="12.75">
      <c r="A25932" s="2">
        <v>43875.722986111112</v>
      </c>
      <c r="B25932" t="str">
        <f>HYPERLINK("https://twitter.com/Andikasalim4","@Andikasalim4")</f>
        <v>@Andikasalim4</v>
      </c>
      <c r="C25932" t="s">
        <v>175</v>
      </c>
      <c r="D25932">
        <v>5291</v>
      </c>
      <c r="E25932">
        <v>0</v>
      </c>
      <c r="F25932">
        <v>11</v>
      </c>
    </row>
    <row r="25933" spans="1:6" ht="12.75">
      <c r="A25933" s="2">
        <v>43875.722928240742</v>
      </c>
      <c r="B25933" t="str">
        <f>HYPERLINK("https://twitter.com/dehap3","@dehap3")</f>
        <v>@dehap3</v>
      </c>
      <c r="C25933" t="s">
        <v>2097</v>
      </c>
      <c r="D25933">
        <v>390</v>
      </c>
      <c r="E25933">
        <v>0</v>
      </c>
      <c r="F25933">
        <v>318</v>
      </c>
    </row>
    <row r="25934" spans="1:6" ht="12.75">
      <c r="A25934" s="2">
        <v>43875.722916666666</v>
      </c>
      <c r="B25934" t="str">
        <f>HYPERLINK("https://twitter.com/tentarakeraton","@tentarakeraton")</f>
        <v>@tentarakeraton</v>
      </c>
      <c r="C25934" t="s">
        <v>2122</v>
      </c>
      <c r="D25934">
        <v>215</v>
      </c>
      <c r="E25934">
        <v>0</v>
      </c>
      <c r="F25934">
        <v>256</v>
      </c>
    </row>
    <row r="25935" spans="1:6" ht="12.75">
      <c r="A25935" s="2">
        <v>43875.722870370373</v>
      </c>
      <c r="B25935" t="str">
        <f>HYPERLINK("https://twitter.com/FatihAlAzzam2","@FatihAlAzzam2")</f>
        <v>@FatihAlAzzam2</v>
      </c>
      <c r="C25935" t="s">
        <v>5761</v>
      </c>
      <c r="D25935">
        <v>70</v>
      </c>
      <c r="E25935">
        <v>0</v>
      </c>
      <c r="F25935">
        <v>374</v>
      </c>
    </row>
    <row r="25936" spans="1:6" ht="12.75">
      <c r="A25936" s="2">
        <v>43875.722870370373</v>
      </c>
      <c r="B25936" t="str">
        <f>HYPERLINK("https://twitter.com/anjahanaufal","@anjahanaufal")</f>
        <v>@anjahanaufal</v>
      </c>
      <c r="C25936" t="s">
        <v>11658</v>
      </c>
      <c r="D25936">
        <v>0</v>
      </c>
      <c r="E25936">
        <v>0</v>
      </c>
      <c r="F25936">
        <v>345</v>
      </c>
    </row>
    <row r="25937" spans="1:6" ht="12.75">
      <c r="A25937" s="2">
        <v>43875.722858796296</v>
      </c>
      <c r="B25937" t="str">
        <f>HYPERLINK("https://twitter.com/haecyan","@haecyan")</f>
        <v>@haecyan</v>
      </c>
      <c r="C25937" t="s">
        <v>2444</v>
      </c>
      <c r="D25937">
        <v>1860</v>
      </c>
      <c r="E25937">
        <v>0</v>
      </c>
      <c r="F25937">
        <v>133</v>
      </c>
    </row>
    <row r="25938" spans="1:6" ht="12.75">
      <c r="A25938" s="2">
        <v>43875.722858796296</v>
      </c>
      <c r="B25938" t="str">
        <f>HYPERLINK("https://twitter.com/Asabiqulhimam","@Asabiqulhimam")</f>
        <v>@Asabiqulhimam</v>
      </c>
      <c r="C25938" t="s">
        <v>2149</v>
      </c>
      <c r="D25938">
        <v>21</v>
      </c>
      <c r="E25938">
        <v>0</v>
      </c>
      <c r="F25938">
        <v>473</v>
      </c>
    </row>
    <row r="25939" spans="1:6" ht="12.75">
      <c r="A25939" s="2">
        <v>43875.72283564815</v>
      </c>
      <c r="B25939" t="str">
        <f>HYPERLINK("https://twitter.com/anto_afb","@anto_afb")</f>
        <v>@anto_afb</v>
      </c>
      <c r="C25939" t="s">
        <v>11659</v>
      </c>
      <c r="D25939">
        <v>69</v>
      </c>
      <c r="E25939">
        <v>0</v>
      </c>
      <c r="F25939">
        <v>39</v>
      </c>
    </row>
    <row r="25940" spans="1:6" ht="12.75">
      <c r="A25940" s="2">
        <v>43875.72278935185</v>
      </c>
      <c r="B25940" t="str">
        <f>HYPERLINK("https://twitter.com/beraniadilhebat","@beraniadilhebat")</f>
        <v>@beraniadilhebat</v>
      </c>
      <c r="C25940" t="s">
        <v>6201</v>
      </c>
      <c r="D25940">
        <v>109</v>
      </c>
      <c r="E25940">
        <v>0</v>
      </c>
      <c r="F25940">
        <v>1307</v>
      </c>
    </row>
    <row r="25941" spans="1:6" ht="12.75">
      <c r="A25941" s="2">
        <v>43875.72278935185</v>
      </c>
      <c r="B25941" t="str">
        <f>HYPERLINK("https://twitter.com/SevenSeas87","@SevenSeas87")</f>
        <v>@SevenSeas87</v>
      </c>
      <c r="C25941" t="s">
        <v>5761</v>
      </c>
      <c r="D25941">
        <v>70</v>
      </c>
      <c r="E25941">
        <v>0</v>
      </c>
      <c r="F25941">
        <v>1337</v>
      </c>
    </row>
    <row r="25942" spans="1:6" ht="12.75">
      <c r="A25942" s="2">
        <v>43875.72278935185</v>
      </c>
      <c r="B25942" t="str">
        <f>HYPERLINK("https://twitter.com/dancingurlll","@dancingurlll")</f>
        <v>@dancingurlll</v>
      </c>
      <c r="C25942" t="s">
        <v>5168</v>
      </c>
      <c r="D25942">
        <v>844</v>
      </c>
      <c r="E25942">
        <v>0</v>
      </c>
      <c r="F25942">
        <v>15</v>
      </c>
    </row>
    <row r="25943" spans="1:6" ht="12.75">
      <c r="A25943" s="2">
        <v>43875.722754629634</v>
      </c>
      <c r="B25943" t="str">
        <f>HYPERLINK("https://twitter.com/dedeimran","@dedeimran")</f>
        <v>@dedeimran</v>
      </c>
      <c r="C25943" t="s">
        <v>11660</v>
      </c>
      <c r="D25943">
        <v>0</v>
      </c>
      <c r="E25943">
        <v>0</v>
      </c>
      <c r="F25943">
        <v>476</v>
      </c>
    </row>
    <row r="25944" spans="1:6" ht="12.75">
      <c r="A25944" s="2">
        <v>43875.722731481481</v>
      </c>
      <c r="B25944" t="str">
        <f>HYPERLINK("https://twitter.com/ises2208","@ises2208")</f>
        <v>@ises2208</v>
      </c>
      <c r="C25944" t="s">
        <v>6201</v>
      </c>
      <c r="D25944">
        <v>109</v>
      </c>
      <c r="E25944">
        <v>0</v>
      </c>
      <c r="F25944">
        <v>61</v>
      </c>
    </row>
    <row r="25945" spans="1:6" ht="12.75">
      <c r="A25945" s="2">
        <v>43875.722708333335</v>
      </c>
      <c r="B25945" t="str">
        <f>HYPERLINK("https://twitter.com/myy548","@myy548")</f>
        <v>@myy548</v>
      </c>
      <c r="C25945" t="s">
        <v>11661</v>
      </c>
      <c r="D25945">
        <v>0</v>
      </c>
      <c r="E25945">
        <v>0</v>
      </c>
      <c r="F25945">
        <v>23</v>
      </c>
    </row>
    <row r="25946" spans="1:6" ht="12.75">
      <c r="A25946" s="2">
        <v>43875.722650462965</v>
      </c>
      <c r="B25946" t="str">
        <f>HYPERLINK("https://twitter.com/GreatSpiderman7","@GreatSpiderman7")</f>
        <v>@GreatSpiderman7</v>
      </c>
      <c r="C25946" t="s">
        <v>6201</v>
      </c>
      <c r="D25946">
        <v>109</v>
      </c>
      <c r="E25946">
        <v>0</v>
      </c>
      <c r="F25946">
        <v>187</v>
      </c>
    </row>
    <row r="25947" spans="1:6" ht="12.75">
      <c r="A25947" s="2">
        <v>43875.722638888888</v>
      </c>
      <c r="B25947" t="str">
        <f>HYPERLINK("https://twitter.com/nurulhasanah_","@nurulhasanah_")</f>
        <v>@nurulhasanah_</v>
      </c>
      <c r="C25947" t="s">
        <v>9852</v>
      </c>
      <c r="D25947">
        <v>2</v>
      </c>
      <c r="E25947">
        <v>0</v>
      </c>
      <c r="F25947">
        <v>666</v>
      </c>
    </row>
    <row r="25948" spans="1:6" ht="12.75">
      <c r="A25948" s="2">
        <v>43875.722581018519</v>
      </c>
      <c r="B25948" t="str">
        <f>HYPERLINK("https://twitter.com/_nyoritamaa_","@_nyoritamaa_")</f>
        <v>@_nyoritamaa_</v>
      </c>
      <c r="C25948" t="s">
        <v>2444</v>
      </c>
      <c r="D25948">
        <v>1860</v>
      </c>
      <c r="E25948">
        <v>0</v>
      </c>
      <c r="F25948">
        <v>498</v>
      </c>
    </row>
    <row r="25949" spans="1:6" ht="12.75">
      <c r="A25949" s="2">
        <v>43875.722557870366</v>
      </c>
      <c r="B25949" t="str">
        <f>HYPERLINK("https://twitter.com/ZheeOmega","@ZheeOmega")</f>
        <v>@ZheeOmega</v>
      </c>
      <c r="C25949" t="s">
        <v>8394</v>
      </c>
      <c r="D25949">
        <v>36</v>
      </c>
      <c r="E25949">
        <v>0</v>
      </c>
      <c r="F25949">
        <v>17782</v>
      </c>
    </row>
    <row r="25950" spans="1:6" ht="12.75">
      <c r="A25950" s="2">
        <v>43875.72252314815</v>
      </c>
      <c r="B25950" t="str">
        <f>HYPERLINK("https://twitter.com/rizkiabadi","@rizkiabadi")</f>
        <v>@rizkiabadi</v>
      </c>
      <c r="C25950" t="s">
        <v>2149</v>
      </c>
      <c r="D25950">
        <v>21</v>
      </c>
      <c r="E25950">
        <v>0</v>
      </c>
      <c r="F25950">
        <v>174</v>
      </c>
    </row>
    <row r="25951" spans="1:6" ht="12.75">
      <c r="A25951" s="2">
        <v>43875.722500000003</v>
      </c>
      <c r="B25951" t="str">
        <f>HYPERLINK("https://twitter.com/roberthowb","@roberthowb")</f>
        <v>@roberthowb</v>
      </c>
      <c r="C25951" t="s">
        <v>11662</v>
      </c>
      <c r="D25951">
        <v>0</v>
      </c>
      <c r="E25951">
        <v>0</v>
      </c>
      <c r="F25951">
        <v>69</v>
      </c>
    </row>
    <row r="25952" spans="1:6" ht="12.75">
      <c r="A25952" s="2">
        <v>43875.722488425927</v>
      </c>
      <c r="B25952" t="str">
        <f>HYPERLINK("https://twitter.com/Tasriansyah1","@Tasriansyah1")</f>
        <v>@Tasriansyah1</v>
      </c>
      <c r="C25952" t="s">
        <v>2122</v>
      </c>
      <c r="D25952">
        <v>215</v>
      </c>
      <c r="E25952">
        <v>0</v>
      </c>
      <c r="F25952">
        <v>145</v>
      </c>
    </row>
    <row r="25953" spans="1:6" ht="12.75">
      <c r="A25953" s="2">
        <v>43875.722453703704</v>
      </c>
      <c r="B25953" t="str">
        <f>HYPERLINK("https://twitter.com/zuriswanfajri","@zuriswanfajri")</f>
        <v>@zuriswanfajri</v>
      </c>
      <c r="C25953" t="s">
        <v>7478</v>
      </c>
      <c r="D25953">
        <v>291</v>
      </c>
      <c r="E25953">
        <v>0</v>
      </c>
      <c r="F25953">
        <v>4382</v>
      </c>
    </row>
    <row r="25954" spans="1:6" ht="12.75">
      <c r="A25954" s="2">
        <v>43875.722361111111</v>
      </c>
      <c r="B25954" t="str">
        <f>HYPERLINK("https://twitter.com/DonFlamingo_","@DonFlamingo_")</f>
        <v>@DonFlamingo_</v>
      </c>
      <c r="C25954" t="s">
        <v>7478</v>
      </c>
      <c r="D25954">
        <v>291</v>
      </c>
      <c r="E25954">
        <v>0</v>
      </c>
      <c r="F25954">
        <v>143</v>
      </c>
    </row>
    <row r="25955" spans="1:6" ht="12.75">
      <c r="A25955" s="2">
        <v>43875.722349537042</v>
      </c>
      <c r="B25955" t="str">
        <f>HYPERLINK("https://twitter.com/TatanegaraUI","@TatanegaraUI")</f>
        <v>@TatanegaraUI</v>
      </c>
      <c r="C25955" t="s">
        <v>11663</v>
      </c>
      <c r="D25955">
        <v>0</v>
      </c>
      <c r="E25955">
        <v>0</v>
      </c>
      <c r="F25955">
        <v>1267</v>
      </c>
    </row>
    <row r="25956" spans="1:6" ht="12.75">
      <c r="A25956" s="2">
        <v>43875.722337962958</v>
      </c>
      <c r="B25956" t="str">
        <f>HYPERLINK("https://twitter.com/forddyce92","@forddyce92")</f>
        <v>@forddyce92</v>
      </c>
      <c r="C25956" t="s">
        <v>11664</v>
      </c>
      <c r="D25956">
        <v>0</v>
      </c>
      <c r="E25956">
        <v>0</v>
      </c>
      <c r="F25956">
        <v>24</v>
      </c>
    </row>
    <row r="25957" spans="1:6" ht="12.75">
      <c r="A25957" s="2">
        <v>43875.722291666665</v>
      </c>
      <c r="B25957" t="str">
        <f>HYPERLINK("https://twitter.com/ceasardwnvian","@ceasardwnvian")</f>
        <v>@ceasardwnvian</v>
      </c>
      <c r="C25957" t="s">
        <v>11665</v>
      </c>
      <c r="D25957">
        <v>0</v>
      </c>
      <c r="E25957">
        <v>0</v>
      </c>
      <c r="F25957">
        <v>63</v>
      </c>
    </row>
    <row r="25958" spans="1:6" ht="12.75">
      <c r="A25958" s="2">
        <v>43875.722291666665</v>
      </c>
      <c r="B25958" t="str">
        <f>HYPERLINK("https://twitter.com/windinugroho1","@windinugroho1")</f>
        <v>@windinugroho1</v>
      </c>
      <c r="C25958" t="s">
        <v>10291</v>
      </c>
      <c r="D25958">
        <v>16</v>
      </c>
      <c r="E25958">
        <v>0</v>
      </c>
      <c r="F25958">
        <v>741</v>
      </c>
    </row>
    <row r="25959" spans="1:6" ht="12.75">
      <c r="A25959" s="2">
        <v>43875.722233796296</v>
      </c>
      <c r="B25959" t="str">
        <f>HYPERLINK("https://twitter.com/2103_R4CHM4","@2103_R4CHM4")</f>
        <v>@2103_R4CHM4</v>
      </c>
      <c r="C25959" t="s">
        <v>11666</v>
      </c>
      <c r="D25959">
        <v>10</v>
      </c>
      <c r="E25959">
        <v>0</v>
      </c>
      <c r="F25959">
        <v>2318</v>
      </c>
    </row>
    <row r="25960" spans="1:6" ht="12.75">
      <c r="A25960" s="2">
        <v>43875.722210648149</v>
      </c>
      <c r="B25960" t="str">
        <f>HYPERLINK("https://twitter.com/SirSanndy","@SirSanndy")</f>
        <v>@SirSanndy</v>
      </c>
      <c r="C25960" t="s">
        <v>7619</v>
      </c>
      <c r="D25960">
        <v>9</v>
      </c>
      <c r="E25960">
        <v>0</v>
      </c>
      <c r="F25960">
        <v>603</v>
      </c>
    </row>
    <row r="25961" spans="1:6" ht="12.75">
      <c r="A25961" s="2">
        <v>43875.722164351857</v>
      </c>
      <c r="B25961" t="str">
        <f>HYPERLINK("https://twitter.com/drunkhys","@drunkhys")</f>
        <v>@drunkhys</v>
      </c>
      <c r="C25961" t="s">
        <v>2444</v>
      </c>
      <c r="D25961">
        <v>1860</v>
      </c>
      <c r="E25961">
        <v>0</v>
      </c>
      <c r="F25961">
        <v>1013</v>
      </c>
    </row>
    <row r="25962" spans="1:6" ht="12.75">
      <c r="A25962" s="2">
        <v>43875.722164351857</v>
      </c>
      <c r="B25962" t="str">
        <f>HYPERLINK("https://twitter.com/SirSanndy","@SirSanndy")</f>
        <v>@SirSanndy</v>
      </c>
      <c r="C25962" t="s">
        <v>9858</v>
      </c>
      <c r="D25962">
        <v>5</v>
      </c>
      <c r="E25962">
        <v>0</v>
      </c>
      <c r="F25962">
        <v>603</v>
      </c>
    </row>
    <row r="25963" spans="1:6" ht="12.75">
      <c r="A25963" s="2">
        <v>43875.722152777773</v>
      </c>
      <c r="B25963" t="str">
        <f>HYPERLINK("https://twitter.com/Juracix_bex","@Juracix_bex")</f>
        <v>@Juracix_bex</v>
      </c>
      <c r="C25963" t="s">
        <v>2444</v>
      </c>
      <c r="D25963">
        <v>1860</v>
      </c>
      <c r="E25963">
        <v>0</v>
      </c>
      <c r="F25963">
        <v>166</v>
      </c>
    </row>
    <row r="25964" spans="1:6" ht="12.75">
      <c r="A25964" s="2">
        <v>43875.722129629634</v>
      </c>
      <c r="B25964" t="str">
        <f>HYPERLINK("https://twitter.com/eddy_sakti","@eddy_sakti")</f>
        <v>@eddy_sakti</v>
      </c>
      <c r="C25964" t="s">
        <v>11667</v>
      </c>
      <c r="D25964">
        <v>2</v>
      </c>
      <c r="E25964">
        <v>0</v>
      </c>
      <c r="F25964">
        <v>144</v>
      </c>
    </row>
    <row r="25965" spans="1:6" ht="12.75">
      <c r="A25965" s="2">
        <v>43875.722094907411</v>
      </c>
      <c r="B25965" t="str">
        <f>HYPERLINK("https://twitter.com/SirSanndy","@SirSanndy")</f>
        <v>@SirSanndy</v>
      </c>
      <c r="C25965" t="s">
        <v>11467</v>
      </c>
      <c r="D25965">
        <v>3</v>
      </c>
      <c r="E25965">
        <v>0</v>
      </c>
      <c r="F25965">
        <v>603</v>
      </c>
    </row>
    <row r="25966" spans="1:6" ht="12.75">
      <c r="A25966" s="2">
        <v>43875.722060185188</v>
      </c>
      <c r="B25966" t="str">
        <f>HYPERLINK("https://twitter.com/sampalle","@sampalle")</f>
        <v>@sampalle</v>
      </c>
      <c r="C25966" t="s">
        <v>7478</v>
      </c>
      <c r="D25966">
        <v>291</v>
      </c>
      <c r="E25966">
        <v>0</v>
      </c>
      <c r="F25966">
        <v>1181</v>
      </c>
    </row>
    <row r="25967" spans="1:6" ht="12.75">
      <c r="A25967" s="2">
        <v>43875.722060185188</v>
      </c>
      <c r="B25967" t="str">
        <f>HYPERLINK("https://twitter.com/farhnfa","@farhnfa")</f>
        <v>@farhnfa</v>
      </c>
      <c r="C25967" t="s">
        <v>2963</v>
      </c>
      <c r="D25967">
        <v>994</v>
      </c>
      <c r="E25967">
        <v>0</v>
      </c>
      <c r="F25967">
        <v>402</v>
      </c>
    </row>
    <row r="25968" spans="1:6" ht="12.75">
      <c r="A25968" s="2">
        <v>43875.722048611111</v>
      </c>
      <c r="B25968" t="str">
        <f>HYPERLINK("https://twitter.com/satriyontkromo","@satriyontkromo")</f>
        <v>@satriyontkromo</v>
      </c>
      <c r="C25968" t="s">
        <v>11668</v>
      </c>
      <c r="D25968">
        <v>0</v>
      </c>
      <c r="E25968">
        <v>0</v>
      </c>
      <c r="F25968">
        <v>164</v>
      </c>
    </row>
    <row r="25969" spans="1:6" ht="12.75">
      <c r="A25969" s="2">
        <v>43875.722048611111</v>
      </c>
      <c r="B25969" t="str">
        <f>HYPERLINK("https://twitter.com/senjabeyonce","@senjabeyonce")</f>
        <v>@senjabeyonce</v>
      </c>
      <c r="C25969" t="s">
        <v>2137</v>
      </c>
      <c r="D25969">
        <v>155</v>
      </c>
      <c r="E25969">
        <v>0</v>
      </c>
      <c r="F25969">
        <v>548</v>
      </c>
    </row>
    <row r="25970" spans="1:6" ht="12.75">
      <c r="A25970" s="2">
        <v>43875.722002314811</v>
      </c>
      <c r="B25970" t="str">
        <f>HYPERLINK("https://twitter.com/marvinsyah","@marvinsyah")</f>
        <v>@marvinsyah</v>
      </c>
      <c r="C25970" t="s">
        <v>11669</v>
      </c>
      <c r="D25970">
        <v>0</v>
      </c>
      <c r="E25970">
        <v>0</v>
      </c>
      <c r="F25970">
        <v>939</v>
      </c>
    </row>
    <row r="25971" spans="1:6" ht="12.75">
      <c r="A25971" s="2">
        <v>43875.721863425926</v>
      </c>
      <c r="B25971" t="str">
        <f>HYPERLINK("https://twitter.com/K_Muslim_UNRAM","@K_Muslim_UNRAM")</f>
        <v>@K_Muslim_UNRAM</v>
      </c>
      <c r="C25971" t="s">
        <v>11670</v>
      </c>
      <c r="D25971">
        <v>1</v>
      </c>
      <c r="E25971">
        <v>0</v>
      </c>
      <c r="F25971">
        <v>1446</v>
      </c>
    </row>
    <row r="25972" spans="1:6" ht="12.75">
      <c r="A25972" s="2">
        <v>43875.72179398148</v>
      </c>
      <c r="B25972" t="str">
        <f>HYPERLINK("https://twitter.com/_nyoritamaa_","@_nyoritamaa_")</f>
        <v>@_nyoritamaa_</v>
      </c>
      <c r="C25972" t="s">
        <v>5168</v>
      </c>
      <c r="D25972">
        <v>844</v>
      </c>
      <c r="E25972">
        <v>0</v>
      </c>
      <c r="F25972">
        <v>498</v>
      </c>
    </row>
    <row r="25973" spans="1:6" ht="12.75">
      <c r="A25973" s="2">
        <v>43875.721759259264</v>
      </c>
      <c r="B25973" t="str">
        <f>HYPERLINK("https://twitter.com/NatashaNst_","@NatashaNst_")</f>
        <v>@NatashaNst_</v>
      </c>
      <c r="C25973" t="s">
        <v>9123</v>
      </c>
      <c r="D25973">
        <v>240</v>
      </c>
      <c r="E25973">
        <v>0</v>
      </c>
      <c r="F25973">
        <v>438</v>
      </c>
    </row>
    <row r="25974" spans="1:6" ht="12.75">
      <c r="A25974" s="2">
        <v>43875.721759259264</v>
      </c>
      <c r="B25974" t="str">
        <f>HYPERLINK("https://twitter.com/Ht_gurgur16","@Ht_gurgur16")</f>
        <v>@Ht_gurgur16</v>
      </c>
      <c r="C25974" t="s">
        <v>11671</v>
      </c>
      <c r="D25974">
        <v>40</v>
      </c>
      <c r="E25974">
        <v>0</v>
      </c>
      <c r="F25974">
        <v>2604</v>
      </c>
    </row>
    <row r="25975" spans="1:6" ht="12.75">
      <c r="A25975" s="2">
        <v>43875.72174768518</v>
      </c>
      <c r="B25975" t="str">
        <f>HYPERLINK("https://twitter.com/APLpangeran00","@APLpangeran00")</f>
        <v>@APLpangeran00</v>
      </c>
      <c r="C25975" t="s">
        <v>11672</v>
      </c>
      <c r="D25975">
        <v>55</v>
      </c>
      <c r="E25975">
        <v>0</v>
      </c>
      <c r="F25975">
        <v>114740</v>
      </c>
    </row>
    <row r="25976" spans="1:6" ht="12.75">
      <c r="A25976" s="2">
        <v>43875.72174768518</v>
      </c>
      <c r="B25976" t="str">
        <f>HYPERLINK("https://twitter.com/Hilmustahal","@Hilmustahal")</f>
        <v>@Hilmustahal</v>
      </c>
      <c r="C25976" t="s">
        <v>11673</v>
      </c>
      <c r="D25976">
        <v>0</v>
      </c>
      <c r="E25976">
        <v>0</v>
      </c>
      <c r="F25976">
        <v>178</v>
      </c>
    </row>
    <row r="25977" spans="1:6" ht="12.75">
      <c r="A25977" s="2">
        <v>43875.721701388888</v>
      </c>
      <c r="B25977" t="str">
        <f>HYPERLINK("https://twitter.com/kodokpangeran5","@kodokpangeran5")</f>
        <v>@kodokpangeran5</v>
      </c>
      <c r="C25977" t="s">
        <v>11674</v>
      </c>
      <c r="D25977">
        <v>1</v>
      </c>
      <c r="E25977">
        <v>0</v>
      </c>
      <c r="F25977">
        <v>99</v>
      </c>
    </row>
    <row r="25978" spans="1:6" ht="12.75">
      <c r="A25978" s="2">
        <v>43875.721620370372</v>
      </c>
      <c r="B25978" t="str">
        <f>HYPERLINK("https://twitter.com/cicelynovina","@cicelynovina")</f>
        <v>@cicelynovina</v>
      </c>
      <c r="C25978" t="s">
        <v>5168</v>
      </c>
      <c r="D25978">
        <v>844</v>
      </c>
      <c r="E25978">
        <v>0</v>
      </c>
      <c r="F25978">
        <v>439</v>
      </c>
    </row>
    <row r="25979" spans="1:6" ht="12.75">
      <c r="A25979" s="2">
        <v>43875.721620370372</v>
      </c>
      <c r="B25979" t="str">
        <f>HYPERLINK("https://twitter.com/lilfreaksss","@lilfreaksss")</f>
        <v>@lilfreaksss</v>
      </c>
      <c r="C25979" t="s">
        <v>2444</v>
      </c>
      <c r="D25979">
        <v>1860</v>
      </c>
      <c r="E25979">
        <v>0</v>
      </c>
      <c r="F25979">
        <v>2647</v>
      </c>
    </row>
    <row r="25980" spans="1:6" ht="12.75">
      <c r="A25980" s="2">
        <v>43875.721597222218</v>
      </c>
      <c r="B25980" t="str">
        <f>HYPERLINK("https://twitter.com/SirSanndy","@SirSanndy")</f>
        <v>@SirSanndy</v>
      </c>
      <c r="C25980" t="s">
        <v>10052</v>
      </c>
      <c r="D25980">
        <v>37</v>
      </c>
      <c r="E25980">
        <v>0</v>
      </c>
      <c r="F25980">
        <v>603</v>
      </c>
    </row>
    <row r="25981" spans="1:6" ht="12.75">
      <c r="A25981" s="2">
        <v>43875.721585648149</v>
      </c>
      <c r="B25981" t="str">
        <f>HYPERLINK("https://twitter.com/karunianoina_","@karunianoina_")</f>
        <v>@karunianoina_</v>
      </c>
      <c r="C25981" t="s">
        <v>2444</v>
      </c>
      <c r="D25981">
        <v>1860</v>
      </c>
      <c r="E25981">
        <v>0</v>
      </c>
      <c r="F25981">
        <v>683</v>
      </c>
    </row>
    <row r="25982" spans="1:6" ht="12.75">
      <c r="A25982" s="2">
        <v>43875.72152777778</v>
      </c>
      <c r="B25982" t="str">
        <f>HYPERLINK("https://twitter.com/nengit80","@nengit80")</f>
        <v>@nengit80</v>
      </c>
      <c r="C25982" t="s">
        <v>6201</v>
      </c>
      <c r="D25982">
        <v>109</v>
      </c>
      <c r="E25982">
        <v>0</v>
      </c>
      <c r="F25982">
        <v>558</v>
      </c>
    </row>
    <row r="25983" spans="1:6" ht="12.75">
      <c r="A25983" s="2">
        <v>43875.721516203703</v>
      </c>
      <c r="B25983" t="str">
        <f>HYPERLINK("https://twitter.com/xylans","@xylans")</f>
        <v>@xylans</v>
      </c>
      <c r="C25983" t="s">
        <v>10710</v>
      </c>
      <c r="D25983">
        <v>29</v>
      </c>
      <c r="E25983">
        <v>0</v>
      </c>
      <c r="F25983">
        <v>565</v>
      </c>
    </row>
    <row r="25984" spans="1:6" ht="12.75">
      <c r="A25984" s="2">
        <v>43875.72148148148</v>
      </c>
      <c r="B25984" t="str">
        <f>HYPERLINK("https://twitter.com/kekeayul","@kekeayul")</f>
        <v>@kekeayul</v>
      </c>
      <c r="C25984" t="s">
        <v>2444</v>
      </c>
      <c r="D25984">
        <v>1860</v>
      </c>
      <c r="E25984">
        <v>0</v>
      </c>
      <c r="F25984">
        <v>308</v>
      </c>
    </row>
    <row r="25985" spans="1:6" ht="12.75">
      <c r="A25985" s="2">
        <v>43875.72148148148</v>
      </c>
      <c r="B25985" t="str">
        <f>HYPERLINK("https://twitter.com/Jurnal79662474","@Jurnal79662474")</f>
        <v>@Jurnal79662474</v>
      </c>
      <c r="C25985" t="s">
        <v>6201</v>
      </c>
      <c r="D25985">
        <v>109</v>
      </c>
      <c r="E25985">
        <v>0</v>
      </c>
      <c r="F25985">
        <v>27</v>
      </c>
    </row>
    <row r="25986" spans="1:6" ht="12.75">
      <c r="A25986" s="2">
        <v>43875.72148148148</v>
      </c>
      <c r="B25986" t="str">
        <f>HYPERLINK("https://twitter.com/JoePhiyo","@JoePhiyo")</f>
        <v>@JoePhiyo</v>
      </c>
      <c r="C25986" t="s">
        <v>7478</v>
      </c>
      <c r="D25986">
        <v>292</v>
      </c>
      <c r="E25986">
        <v>0</v>
      </c>
      <c r="F25986">
        <v>2291</v>
      </c>
    </row>
    <row r="25987" spans="1:6" ht="12.75">
      <c r="A25987" s="2">
        <v>43875.721435185187</v>
      </c>
      <c r="B25987" t="str">
        <f>HYPERLINK("https://twitter.com/Randybgsp","@Randybgsp")</f>
        <v>@Randybgsp</v>
      </c>
      <c r="C25987" t="s">
        <v>2963</v>
      </c>
      <c r="D25987">
        <v>994</v>
      </c>
      <c r="E25987">
        <v>0</v>
      </c>
      <c r="F25987">
        <v>626</v>
      </c>
    </row>
    <row r="25988" spans="1:6" ht="12.75">
      <c r="A25988" s="2">
        <v>43875.721250000002</v>
      </c>
      <c r="B25988" t="str">
        <f>HYPERLINK("https://twitter.com/beraniadilhebat","@beraniadilhebat")</f>
        <v>@beraniadilhebat</v>
      </c>
      <c r="C25988" t="s">
        <v>7478</v>
      </c>
      <c r="D25988">
        <v>292</v>
      </c>
      <c r="E25988">
        <v>0</v>
      </c>
      <c r="F25988">
        <v>1307</v>
      </c>
    </row>
    <row r="25989" spans="1:6" ht="12.75">
      <c r="A25989" s="2">
        <v>43875.721226851849</v>
      </c>
      <c r="B25989" t="str">
        <f>HYPERLINK("https://twitter.com/maulidioasmr","@maulidioasmr")</f>
        <v>@maulidioasmr</v>
      </c>
      <c r="C25989" t="s">
        <v>7619</v>
      </c>
      <c r="D25989">
        <v>9</v>
      </c>
      <c r="E25989">
        <v>0</v>
      </c>
      <c r="F25989">
        <v>1315</v>
      </c>
    </row>
    <row r="25990" spans="1:6" ht="12.75">
      <c r="A25990" s="2">
        <v>43875.721203703702</v>
      </c>
      <c r="B25990" t="str">
        <f>HYPERLINK("https://twitter.com/econich4","@econich4")</f>
        <v>@econich4</v>
      </c>
      <c r="C25990" t="s">
        <v>7478</v>
      </c>
      <c r="D25990">
        <v>292</v>
      </c>
      <c r="E25990">
        <v>0</v>
      </c>
      <c r="F25990">
        <v>398</v>
      </c>
    </row>
    <row r="25991" spans="1:6" ht="12.75">
      <c r="A25991" s="2">
        <v>43875.721203703702</v>
      </c>
      <c r="B25991" t="str">
        <f>HYPERLINK("https://twitter.com/MNC_NurCholis","@MNC_NurCholis")</f>
        <v>@MNC_NurCholis</v>
      </c>
      <c r="C25991" t="s">
        <v>2149</v>
      </c>
      <c r="D25991">
        <v>21</v>
      </c>
      <c r="E25991">
        <v>0</v>
      </c>
      <c r="F25991">
        <v>63</v>
      </c>
    </row>
    <row r="25992" spans="1:6" ht="12.75">
      <c r="A25992" s="2">
        <v>43875.721064814818</v>
      </c>
      <c r="B25992" t="str">
        <f>HYPERLINK("https://twitter.com/bebekisduck","@bebekisduck")</f>
        <v>@bebekisduck</v>
      </c>
      <c r="C25992" t="s">
        <v>10491</v>
      </c>
      <c r="D25992">
        <v>1</v>
      </c>
      <c r="E25992">
        <v>0</v>
      </c>
      <c r="F25992">
        <v>581</v>
      </c>
    </row>
    <row r="25993" spans="1:6" ht="12.75">
      <c r="A25993" s="2">
        <v>43875.721064814818</v>
      </c>
      <c r="B25993" t="str">
        <f>HYPERLINK("https://twitter.com/kentangggggggg","@kentangggggggg")</f>
        <v>@kentangggggggg</v>
      </c>
      <c r="C25993" t="s">
        <v>5168</v>
      </c>
      <c r="D25993">
        <v>845</v>
      </c>
      <c r="E25993">
        <v>0</v>
      </c>
      <c r="F25993">
        <v>44</v>
      </c>
    </row>
    <row r="25994" spans="1:6" ht="12.75">
      <c r="A25994" s="2">
        <v>43875.721006944441</v>
      </c>
      <c r="B25994" t="str">
        <f>HYPERLINK("https://twitter.com/APLpangeran00","@APLpangeran00")</f>
        <v>@APLpangeran00</v>
      </c>
      <c r="C25994" t="s">
        <v>11675</v>
      </c>
      <c r="D25994">
        <v>17</v>
      </c>
      <c r="E25994">
        <v>0</v>
      </c>
      <c r="F25994">
        <v>114740</v>
      </c>
    </row>
    <row r="25995" spans="1:6" ht="12.75">
      <c r="A25995" s="2">
        <v>43875.720972222218</v>
      </c>
      <c r="B25995" t="str">
        <f>HYPERLINK("https://twitter.com/koekoeh","@koekoeh")</f>
        <v>@koekoeh</v>
      </c>
      <c r="C25995" t="s">
        <v>11676</v>
      </c>
      <c r="D25995">
        <v>0</v>
      </c>
      <c r="E25995">
        <v>0</v>
      </c>
      <c r="F25995">
        <v>3234</v>
      </c>
    </row>
    <row r="25996" spans="1:6" ht="12.75">
      <c r="A25996" s="2">
        <v>43875.720949074079</v>
      </c>
      <c r="B25996" t="str">
        <f>HYPERLINK("https://twitter.com/beraniadilhebat","@beraniadilhebat")</f>
        <v>@beraniadilhebat</v>
      </c>
      <c r="C25996" t="s">
        <v>10052</v>
      </c>
      <c r="D25996">
        <v>37</v>
      </c>
      <c r="E25996">
        <v>0</v>
      </c>
      <c r="F25996">
        <v>1307</v>
      </c>
    </row>
    <row r="25997" spans="1:6" ht="12.75">
      <c r="A25997" s="2">
        <v>43875.720879629633</v>
      </c>
      <c r="B25997" t="str">
        <f>HYPERLINK("https://twitter.com/pikiran_rakyat","@pikiran_rakyat")</f>
        <v>@pikiran_rakyat</v>
      </c>
      <c r="C25997" t="s">
        <v>11677</v>
      </c>
      <c r="D25997">
        <v>1</v>
      </c>
      <c r="E25997">
        <v>3</v>
      </c>
      <c r="F25997">
        <v>412464</v>
      </c>
    </row>
    <row r="25998" spans="1:6" ht="12.75">
      <c r="A25998" s="2">
        <v>43875.720868055556</v>
      </c>
      <c r="B25998" t="str">
        <f>HYPERLINK("https://twitter.com/News24Xx","@News24Xx")</f>
        <v>@News24Xx</v>
      </c>
      <c r="C25998" t="s">
        <v>11678</v>
      </c>
      <c r="D25998">
        <v>0</v>
      </c>
      <c r="E25998">
        <v>0</v>
      </c>
      <c r="F25998">
        <v>140</v>
      </c>
    </row>
    <row r="25999" spans="1:6" ht="12.75">
      <c r="A25999" s="2">
        <v>43875.720729166671</v>
      </c>
      <c r="B25999" t="str">
        <f>HYPERLINK("https://twitter.com/briland1_","@briland1_")</f>
        <v>@briland1_</v>
      </c>
      <c r="C25999" t="s">
        <v>2444</v>
      </c>
      <c r="D25999">
        <v>1860</v>
      </c>
      <c r="E25999">
        <v>0</v>
      </c>
      <c r="F25999">
        <v>41</v>
      </c>
    </row>
    <row r="26000" spans="1:6" ht="12.75">
      <c r="A26000" s="2">
        <v>43875.720682870371</v>
      </c>
      <c r="B26000" t="str">
        <f>HYPERLINK("https://twitter.com/seftirahayuuu","@seftirahayuuu")</f>
        <v>@seftirahayuuu</v>
      </c>
      <c r="C26000" t="s">
        <v>11679</v>
      </c>
      <c r="D26000">
        <v>0</v>
      </c>
      <c r="E26000">
        <v>0</v>
      </c>
      <c r="F26000">
        <v>30</v>
      </c>
    </row>
    <row r="26001" spans="1:6" ht="12.75">
      <c r="A26001" s="2">
        <v>43875.720648148148</v>
      </c>
      <c r="B26001" t="str">
        <f>HYPERLINK("https://twitter.com/nawacitamedia","@nawacitamedia")</f>
        <v>@nawacitamedia</v>
      </c>
      <c r="C26001" t="s">
        <v>10862</v>
      </c>
      <c r="D26001">
        <v>0</v>
      </c>
      <c r="E26001">
        <v>0</v>
      </c>
      <c r="F26001">
        <v>3698</v>
      </c>
    </row>
    <row r="26002" spans="1:6" ht="12.75">
      <c r="A26002" s="2">
        <v>43875.720636574071</v>
      </c>
      <c r="B26002" t="str">
        <f>HYPERLINK("https://twitter.com/NAWACIT4","@NAWACIT4")</f>
        <v>@NAWACIT4</v>
      </c>
      <c r="C26002" t="s">
        <v>10862</v>
      </c>
      <c r="D26002">
        <v>0</v>
      </c>
      <c r="E26002">
        <v>0</v>
      </c>
      <c r="F26002">
        <v>201</v>
      </c>
    </row>
    <row r="26003" spans="1:6" ht="12.75">
      <c r="A26003" s="2">
        <v>43875.720636574071</v>
      </c>
      <c r="B26003" t="str">
        <f>HYPERLINK("https://twitter.com/Mpok_Hanum","@Mpok_Hanum")</f>
        <v>@Mpok_Hanum</v>
      </c>
      <c r="C26003" t="s">
        <v>11680</v>
      </c>
      <c r="D26003">
        <v>0</v>
      </c>
      <c r="E26003">
        <v>1</v>
      </c>
      <c r="F26003">
        <v>539</v>
      </c>
    </row>
    <row r="26004" spans="1:6" ht="12.75">
      <c r="A26004" s="2">
        <v>43875.720289351855</v>
      </c>
      <c r="B26004" t="str">
        <f>HYPERLINK("https://twitter.com/black13side","@black13side")</f>
        <v>@black13side</v>
      </c>
      <c r="C26004" t="s">
        <v>5761</v>
      </c>
      <c r="D26004">
        <v>70</v>
      </c>
      <c r="E26004">
        <v>0</v>
      </c>
      <c r="F26004">
        <v>618</v>
      </c>
    </row>
    <row r="26005" spans="1:6" ht="12.75">
      <c r="A26005" s="2">
        <v>43875.720243055555</v>
      </c>
      <c r="B26005" t="str">
        <f>HYPERLINK("https://twitter.com/DiahUtm","@DiahUtm")</f>
        <v>@DiahUtm</v>
      </c>
      <c r="C26005" t="s">
        <v>2444</v>
      </c>
      <c r="D26005">
        <v>1860</v>
      </c>
      <c r="E26005">
        <v>0</v>
      </c>
      <c r="F26005">
        <v>329</v>
      </c>
    </row>
    <row r="26006" spans="1:6" ht="12.75">
      <c r="A26006" s="2">
        <v>43875.720219907409</v>
      </c>
      <c r="B26006" t="str">
        <f>HYPERLINK("https://twitter.com/youtopia17","@youtopia17")</f>
        <v>@youtopia17</v>
      </c>
      <c r="C26006" t="s">
        <v>2444</v>
      </c>
      <c r="D26006">
        <v>1860</v>
      </c>
      <c r="E26006">
        <v>0</v>
      </c>
      <c r="F26006">
        <v>448</v>
      </c>
    </row>
    <row r="26007" spans="1:6" ht="12.75">
      <c r="A26007" s="2">
        <v>43875.720092592594</v>
      </c>
      <c r="B26007" t="str">
        <f>HYPERLINK("https://twitter.com/ikanplastik","@ikanplastik")</f>
        <v>@ikanplastik</v>
      </c>
      <c r="C26007" t="s">
        <v>11681</v>
      </c>
      <c r="D26007">
        <v>0</v>
      </c>
      <c r="E26007">
        <v>0</v>
      </c>
      <c r="F26007">
        <v>1191</v>
      </c>
    </row>
    <row r="26008" spans="1:6" ht="12.75">
      <c r="A26008" s="2">
        <v>43875.720069444447</v>
      </c>
      <c r="B26008" t="str">
        <f>HYPERLINK("https://twitter.com/MEISTRIA","@MEISTRIA")</f>
        <v>@MEISTRIA</v>
      </c>
      <c r="C26008" t="s">
        <v>2444</v>
      </c>
      <c r="D26008">
        <v>1860</v>
      </c>
      <c r="E26008">
        <v>0</v>
      </c>
      <c r="F26008">
        <v>296</v>
      </c>
    </row>
    <row r="26009" spans="1:6" ht="12.75">
      <c r="A26009" s="2">
        <v>43875.720057870371</v>
      </c>
      <c r="B26009" t="str">
        <f>HYPERLINK("https://twitter.com/nachobab","@nachobab")</f>
        <v>@nachobab</v>
      </c>
      <c r="C26009" t="s">
        <v>2444</v>
      </c>
      <c r="D26009">
        <v>1860</v>
      </c>
      <c r="E26009">
        <v>0</v>
      </c>
      <c r="F26009">
        <v>345</v>
      </c>
    </row>
    <row r="26010" spans="1:6" ht="12.75">
      <c r="A26010" s="2">
        <v>43875.719930555555</v>
      </c>
      <c r="B26010" t="str">
        <f>HYPERLINK("https://twitter.com/dhinakhw","@dhinakhw")</f>
        <v>@dhinakhw</v>
      </c>
      <c r="C26010" t="s">
        <v>2963</v>
      </c>
      <c r="D26010">
        <v>994</v>
      </c>
      <c r="E26010">
        <v>0</v>
      </c>
      <c r="F26010">
        <v>320</v>
      </c>
    </row>
    <row r="26011" spans="1:6" ht="12.75">
      <c r="A26011" s="2">
        <v>43875.719895833332</v>
      </c>
      <c r="B26011" t="str">
        <f>HYPERLINK("https://twitter.com/kompascom","@kompascom")</f>
        <v>@kompascom</v>
      </c>
      <c r="C26011" t="s">
        <v>11682</v>
      </c>
      <c r="D26011">
        <v>2</v>
      </c>
      <c r="E26011">
        <v>4</v>
      </c>
      <c r="F26011">
        <v>7497497</v>
      </c>
    </row>
    <row r="26012" spans="1:6" ht="12.75">
      <c r="A26012" s="2">
        <v>43875.719837962963</v>
      </c>
      <c r="B26012" t="str">
        <f>HYPERLINK("https://twitter.com/bgskrAW","@bgskrAW")</f>
        <v>@bgskrAW</v>
      </c>
      <c r="C26012" t="s">
        <v>10300</v>
      </c>
      <c r="D26012">
        <v>43</v>
      </c>
      <c r="E26012">
        <v>0</v>
      </c>
      <c r="F26012">
        <v>480</v>
      </c>
    </row>
    <row r="26013" spans="1:6" ht="12.75">
      <c r="A26013" s="2">
        <v>43875.719826388886</v>
      </c>
      <c r="B26013" t="str">
        <f>HYPERLINK("https://twitter.com/kangcoding6","@kangcoding6")</f>
        <v>@kangcoding6</v>
      </c>
      <c r="C26013" t="s">
        <v>2444</v>
      </c>
      <c r="D26013">
        <v>1860</v>
      </c>
      <c r="E26013">
        <v>0</v>
      </c>
      <c r="F26013">
        <v>532</v>
      </c>
    </row>
    <row r="26014" spans="1:6" ht="12.75">
      <c r="A26014" s="2">
        <v>43875.719814814816</v>
      </c>
      <c r="B26014" t="str">
        <f>HYPERLINK("https://twitter.com/Asep19721","@Asep19721")</f>
        <v>@Asep19721</v>
      </c>
      <c r="C26014" t="s">
        <v>7619</v>
      </c>
      <c r="D26014">
        <v>9</v>
      </c>
      <c r="E26014">
        <v>0</v>
      </c>
      <c r="F26014">
        <v>157</v>
      </c>
    </row>
    <row r="26015" spans="1:6" ht="12.75">
      <c r="A26015" s="2">
        <v>43875.71980324074</v>
      </c>
      <c r="B26015" t="str">
        <f>HYPERLINK("https://twitter.com/kenhwany","@kenhwany")</f>
        <v>@kenhwany</v>
      </c>
      <c r="C26015" t="s">
        <v>2444</v>
      </c>
      <c r="D26015">
        <v>1860</v>
      </c>
      <c r="E26015">
        <v>0</v>
      </c>
      <c r="F26015">
        <v>175</v>
      </c>
    </row>
    <row r="26016" spans="1:6" ht="12.75">
      <c r="A26016" s="2">
        <v>43875.71975694444</v>
      </c>
      <c r="B26016" t="str">
        <f>HYPERLINK("https://twitter.com/Dony_Ong","@Dony_Ong")</f>
        <v>@Dony_Ong</v>
      </c>
      <c r="C26016" t="s">
        <v>2149</v>
      </c>
      <c r="D26016">
        <v>21</v>
      </c>
      <c r="E26016">
        <v>0</v>
      </c>
      <c r="F26016">
        <v>526</v>
      </c>
    </row>
    <row r="26017" spans="1:6" ht="12.75">
      <c r="A26017" s="2">
        <v>43875.719733796301</v>
      </c>
      <c r="B26017" t="str">
        <f>HYPERLINK("https://twitter.com/sirajapadoha","@sirajapadoha")</f>
        <v>@sirajapadoha</v>
      </c>
      <c r="C26017" t="s">
        <v>11683</v>
      </c>
      <c r="D26017">
        <v>0</v>
      </c>
      <c r="E26017">
        <v>0</v>
      </c>
      <c r="F26017">
        <v>2400</v>
      </c>
    </row>
    <row r="26018" spans="1:6" ht="12.75">
      <c r="A26018" s="2">
        <v>43875.719537037032</v>
      </c>
      <c r="B26018" t="str">
        <f>HYPERLINK("https://twitter.com/rabielaaa","@rabielaaa")</f>
        <v>@rabielaaa</v>
      </c>
      <c r="C26018" t="s">
        <v>2444</v>
      </c>
      <c r="D26018">
        <v>1860</v>
      </c>
      <c r="E26018">
        <v>0</v>
      </c>
      <c r="F26018">
        <v>430</v>
      </c>
    </row>
    <row r="26019" spans="1:6" ht="12.75">
      <c r="A26019" s="2">
        <v>43875.71943287037</v>
      </c>
      <c r="B26019" t="str">
        <f>HYPERLINK("https://twitter.com/beIovedkohai","@beIovedkohai")</f>
        <v>@beIovedkohai</v>
      </c>
      <c r="C26019" t="s">
        <v>5168</v>
      </c>
      <c r="D26019">
        <v>845</v>
      </c>
      <c r="E26019">
        <v>0</v>
      </c>
      <c r="F26019">
        <v>111</v>
      </c>
    </row>
    <row r="26020" spans="1:6" ht="12.75">
      <c r="A26020" s="2">
        <v>43875.719409722224</v>
      </c>
      <c r="B26020" t="str">
        <f>HYPERLINK("https://twitter.com/afchako","@afchako")</f>
        <v>@afchako</v>
      </c>
      <c r="C26020" t="s">
        <v>6201</v>
      </c>
      <c r="D26020">
        <v>109</v>
      </c>
      <c r="E26020">
        <v>0</v>
      </c>
      <c r="F26020">
        <v>150</v>
      </c>
    </row>
    <row r="26021" spans="1:6" ht="12.75">
      <c r="A26021" s="2">
        <v>43875.719363425931</v>
      </c>
      <c r="B26021" t="str">
        <f>HYPERLINK("https://twitter.com/PahaAyam4","@PahaAyam4")</f>
        <v>@PahaAyam4</v>
      </c>
      <c r="C26021" t="s">
        <v>9119</v>
      </c>
      <c r="D26021">
        <v>50</v>
      </c>
      <c r="E26021">
        <v>0</v>
      </c>
      <c r="F26021">
        <v>294</v>
      </c>
    </row>
    <row r="26022" spans="1:6" ht="12.75">
      <c r="A26022" s="2">
        <v>43875.719305555554</v>
      </c>
      <c r="B26022" t="str">
        <f>HYPERLINK("https://twitter.com/viinilattae","@viinilattae")</f>
        <v>@viinilattae</v>
      </c>
      <c r="C26022" t="s">
        <v>5168</v>
      </c>
      <c r="D26022">
        <v>845</v>
      </c>
      <c r="E26022">
        <v>0</v>
      </c>
      <c r="F26022">
        <v>359</v>
      </c>
    </row>
    <row r="26023" spans="1:6" ht="12.75">
      <c r="A26023" s="2">
        <v>43875.719201388885</v>
      </c>
      <c r="B26023" t="str">
        <f>HYPERLINK("https://twitter.com/Nasution_eD","@Nasution_eD")</f>
        <v>@Nasution_eD</v>
      </c>
      <c r="C26023" t="s">
        <v>7478</v>
      </c>
      <c r="D26023">
        <v>292</v>
      </c>
      <c r="E26023">
        <v>0</v>
      </c>
      <c r="F26023">
        <v>4434</v>
      </c>
    </row>
    <row r="26024" spans="1:6" ht="12.75">
      <c r="A26024" s="2">
        <v>43875.719085648147</v>
      </c>
      <c r="B26024" t="str">
        <f>HYPERLINK("https://twitter.com/JawulMas","@JawulMas")</f>
        <v>@JawulMas</v>
      </c>
      <c r="C26024" t="s">
        <v>2963</v>
      </c>
      <c r="D26024">
        <v>994</v>
      </c>
      <c r="E26024">
        <v>0</v>
      </c>
      <c r="F26024">
        <v>203</v>
      </c>
    </row>
    <row r="26025" spans="1:6" ht="12.75">
      <c r="A26025" s="2">
        <v>43875.719039351854</v>
      </c>
      <c r="B26025" t="str">
        <f>HYPERLINK("https://twitter.com/egaskalit","@egaskalit")</f>
        <v>@egaskalit</v>
      </c>
      <c r="C26025" t="s">
        <v>11684</v>
      </c>
      <c r="D26025">
        <v>4</v>
      </c>
      <c r="E26025">
        <v>0</v>
      </c>
      <c r="F26025">
        <v>79</v>
      </c>
    </row>
    <row r="26026" spans="1:6" ht="12.75">
      <c r="A26026" s="2">
        <v>43875.719027777777</v>
      </c>
      <c r="B26026" t="str">
        <f>HYPERLINK("https://twitter.com/yoaka_","@yoaka_")</f>
        <v>@yoaka_</v>
      </c>
      <c r="C26026" t="s">
        <v>2444</v>
      </c>
      <c r="D26026">
        <v>1860</v>
      </c>
      <c r="E26026">
        <v>0</v>
      </c>
      <c r="F26026">
        <v>238</v>
      </c>
    </row>
    <row r="26027" spans="1:6" ht="12.75">
      <c r="A26027" s="2">
        <v>43875.718993055554</v>
      </c>
      <c r="B26027" t="str">
        <f>HYPERLINK("https://twitter.com/KaichiKid","@KaichiKid")</f>
        <v>@KaichiKid</v>
      </c>
      <c r="C26027" t="s">
        <v>2444</v>
      </c>
      <c r="D26027">
        <v>1860</v>
      </c>
      <c r="E26027">
        <v>0</v>
      </c>
      <c r="F26027">
        <v>131</v>
      </c>
    </row>
    <row r="26028" spans="1:6" ht="12.75">
      <c r="A26028" s="2">
        <v>43875.718923611115</v>
      </c>
      <c r="B26028" t="str">
        <f>HYPERLINK("https://twitter.com/Jusuf_Ah","@Jusuf_Ah")</f>
        <v>@Jusuf_Ah</v>
      </c>
      <c r="C26028" t="s">
        <v>11685</v>
      </c>
      <c r="D26028">
        <v>8</v>
      </c>
      <c r="E26028">
        <v>0</v>
      </c>
      <c r="F26028">
        <v>747</v>
      </c>
    </row>
    <row r="26029" spans="1:6" ht="12.75">
      <c r="A26029" s="2">
        <v>43875.718819444446</v>
      </c>
      <c r="B26029" t="str">
        <f>HYPERLINK("https://twitter.com/BloklimaAnwar","@BloklimaAnwar")</f>
        <v>@BloklimaAnwar</v>
      </c>
      <c r="C26029" t="s">
        <v>6201</v>
      </c>
      <c r="D26029">
        <v>109</v>
      </c>
      <c r="E26029">
        <v>0</v>
      </c>
      <c r="F26029">
        <v>425</v>
      </c>
    </row>
    <row r="26030" spans="1:6" ht="12.75">
      <c r="A26030" s="2">
        <v>43875.718807870369</v>
      </c>
      <c r="B26030" t="str">
        <f>HYPERLINK("https://twitter.com/BucekHerman","@BucekHerman")</f>
        <v>@BucekHerman</v>
      </c>
      <c r="C26030" t="s">
        <v>10165</v>
      </c>
      <c r="D26030">
        <v>10</v>
      </c>
      <c r="E26030">
        <v>0</v>
      </c>
      <c r="F26030">
        <v>1487</v>
      </c>
    </row>
    <row r="26031" spans="1:6" ht="12.75">
      <c r="A26031" s="2">
        <v>43875.718726851846</v>
      </c>
      <c r="B26031" t="str">
        <f>HYPERLINK("https://twitter.com/aannurrohmatull","@aannurrohmatull")</f>
        <v>@aannurrohmatull</v>
      </c>
      <c r="C26031" t="s">
        <v>11686</v>
      </c>
      <c r="D26031">
        <v>0</v>
      </c>
      <c r="E26031">
        <v>0</v>
      </c>
      <c r="F26031">
        <v>654</v>
      </c>
    </row>
    <row r="26032" spans="1:6" ht="12.75">
      <c r="A26032" s="2">
        <v>43875.718726851846</v>
      </c>
      <c r="B26032" t="str">
        <f>HYPERLINK("https://twitter.com/tvOneNews","@tvOneNews")</f>
        <v>@tvOneNews</v>
      </c>
      <c r="C26032" t="s">
        <v>11687</v>
      </c>
      <c r="D26032">
        <v>0</v>
      </c>
      <c r="E26032">
        <v>6</v>
      </c>
      <c r="F26032">
        <v>8714598</v>
      </c>
    </row>
    <row r="26033" spans="1:6" ht="12.75">
      <c r="A26033" s="2">
        <v>43875.718518518523</v>
      </c>
      <c r="B26033" t="str">
        <f>HYPERLINK("https://twitter.com/firmanadhi3","@firmanadhi3")</f>
        <v>@firmanadhi3</v>
      </c>
      <c r="C26033" t="s">
        <v>11688</v>
      </c>
      <c r="D26033">
        <v>3</v>
      </c>
      <c r="E26033">
        <v>0</v>
      </c>
      <c r="F26033">
        <v>309</v>
      </c>
    </row>
    <row r="26034" spans="1:6" ht="12.75">
      <c r="A26034" s="2">
        <v>43875.718495370369</v>
      </c>
      <c r="B26034" t="str">
        <f>HYPERLINK("https://twitter.com/jithassi","@jithassi")</f>
        <v>@jithassi</v>
      </c>
      <c r="C26034" t="s">
        <v>2444</v>
      </c>
      <c r="D26034">
        <v>1860</v>
      </c>
      <c r="E26034">
        <v>0</v>
      </c>
      <c r="F26034">
        <v>440</v>
      </c>
    </row>
    <row r="26035" spans="1:6" ht="12.75">
      <c r="A26035" s="2">
        <v>43875.718472222223</v>
      </c>
      <c r="B26035" t="str">
        <f>HYPERLINK("https://twitter.com/dinasaf11","@dinasaf11")</f>
        <v>@dinasaf11</v>
      </c>
      <c r="C26035" t="s">
        <v>2137</v>
      </c>
      <c r="D26035">
        <v>155</v>
      </c>
      <c r="E26035">
        <v>0</v>
      </c>
      <c r="F26035">
        <v>56</v>
      </c>
    </row>
    <row r="26036" spans="1:6" ht="12.75">
      <c r="A26036" s="2">
        <v>43875.718356481477</v>
      </c>
      <c r="B26036" t="str">
        <f>HYPERLINK("https://twitter.com/Asep19721","@Asep19721")</f>
        <v>@Asep19721</v>
      </c>
      <c r="C26036" t="s">
        <v>10593</v>
      </c>
      <c r="D26036">
        <v>43</v>
      </c>
      <c r="E26036">
        <v>0</v>
      </c>
      <c r="F26036">
        <v>157</v>
      </c>
    </row>
    <row r="26037" spans="1:6" ht="12.75">
      <c r="A26037" s="2">
        <v>43875.718287037038</v>
      </c>
      <c r="B26037" t="str">
        <f>HYPERLINK("https://twitter.com/akunlainn","@akunlainn")</f>
        <v>@akunlainn</v>
      </c>
      <c r="C26037" t="s">
        <v>5168</v>
      </c>
      <c r="D26037">
        <v>845</v>
      </c>
      <c r="E26037">
        <v>0</v>
      </c>
      <c r="F26037">
        <v>10</v>
      </c>
    </row>
    <row r="26038" spans="1:6" ht="12.75">
      <c r="A26038" s="2">
        <v>43875.718206018515</v>
      </c>
      <c r="B26038" t="str">
        <f>HYPERLINK("https://twitter.com/semangkamelon2","@semangkamelon2")</f>
        <v>@semangkamelon2</v>
      </c>
      <c r="C26038" t="s">
        <v>11689</v>
      </c>
      <c r="D26038">
        <v>0</v>
      </c>
      <c r="E26038">
        <v>0</v>
      </c>
      <c r="F26038">
        <v>3</v>
      </c>
    </row>
    <row r="26039" spans="1:6" ht="12.75">
      <c r="A26039" s="2">
        <v>43875.718171296292</v>
      </c>
      <c r="B26039" t="str">
        <f>HYPERLINK("https://twitter.com/salsamusafak","@salsamusafak")</f>
        <v>@salsamusafak</v>
      </c>
      <c r="C26039" t="s">
        <v>2444</v>
      </c>
      <c r="D26039">
        <v>1860</v>
      </c>
      <c r="E26039">
        <v>0</v>
      </c>
      <c r="F26039">
        <v>84</v>
      </c>
    </row>
    <row r="26040" spans="1:6" ht="12.75">
      <c r="A26040" s="2">
        <v>43875.718159722222</v>
      </c>
      <c r="B26040" t="str">
        <f>HYPERLINK("https://twitter.com/sirajapadoha","@sirajapadoha")</f>
        <v>@sirajapadoha</v>
      </c>
      <c r="C26040" t="s">
        <v>11690</v>
      </c>
      <c r="D26040">
        <v>0</v>
      </c>
      <c r="E26040">
        <v>0</v>
      </c>
      <c r="F26040">
        <v>2400</v>
      </c>
    </row>
    <row r="26041" spans="1:6" ht="12.75">
      <c r="A26041" s="2">
        <v>43875.718124999999</v>
      </c>
      <c r="B26041" t="str">
        <f>HYPERLINK("https://twitter.com/XF2R1","@XF2R1")</f>
        <v>@XF2R1</v>
      </c>
      <c r="C26041" t="s">
        <v>10593</v>
      </c>
      <c r="D26041">
        <v>43</v>
      </c>
      <c r="E26041">
        <v>0</v>
      </c>
      <c r="F26041">
        <v>4567</v>
      </c>
    </row>
    <row r="26042" spans="1:6" ht="12.75">
      <c r="A26042" s="2">
        <v>43875.71811342593</v>
      </c>
      <c r="B26042" t="str">
        <f>HYPERLINK("https://twitter.com/Asep19721","@Asep19721")</f>
        <v>@Asep19721</v>
      </c>
      <c r="C26042" t="s">
        <v>10052</v>
      </c>
      <c r="D26042">
        <v>37</v>
      </c>
      <c r="E26042">
        <v>0</v>
      </c>
      <c r="F26042">
        <v>157</v>
      </c>
    </row>
    <row r="26043" spans="1:6" ht="12.75">
      <c r="A26043" s="2">
        <v>43875.718009259261</v>
      </c>
      <c r="B26043" t="str">
        <f>HYPERLINK("https://twitter.com/EngIngEng1469","@EngIngEng1469")</f>
        <v>@EngIngEng1469</v>
      </c>
      <c r="C26043" t="s">
        <v>6201</v>
      </c>
      <c r="D26043">
        <v>109</v>
      </c>
      <c r="E26043">
        <v>0</v>
      </c>
      <c r="F26043">
        <v>414</v>
      </c>
    </row>
    <row r="26044" spans="1:6" ht="12.75">
      <c r="A26044" s="2">
        <v>43875.717997685184</v>
      </c>
      <c r="B26044" t="str">
        <f>HYPERLINK("https://twitter.com/dikalamin","@dikalamin")</f>
        <v>@dikalamin</v>
      </c>
      <c r="C26044" t="s">
        <v>5168</v>
      </c>
      <c r="D26044">
        <v>845</v>
      </c>
      <c r="E26044">
        <v>0</v>
      </c>
      <c r="F26044">
        <v>594</v>
      </c>
    </row>
    <row r="26045" spans="1:6" ht="12.75">
      <c r="A26045" s="2">
        <v>43875.717974537038</v>
      </c>
      <c r="B26045" t="str">
        <f>HYPERLINK("https://twitter.com/anitataraa","@anitataraa")</f>
        <v>@anitataraa</v>
      </c>
      <c r="C26045" t="s">
        <v>2444</v>
      </c>
      <c r="D26045">
        <v>1860</v>
      </c>
      <c r="E26045">
        <v>0</v>
      </c>
      <c r="F26045">
        <v>322</v>
      </c>
    </row>
    <row r="26046" spans="1:6" ht="12.75">
      <c r="A26046" s="2">
        <v>43875.717893518522</v>
      </c>
      <c r="B26046" t="str">
        <f>HYPERLINK("https://twitter.com/Muhamad09147404","@Muhamad09147404")</f>
        <v>@Muhamad09147404</v>
      </c>
      <c r="C26046" t="s">
        <v>11691</v>
      </c>
      <c r="D26046">
        <v>2</v>
      </c>
      <c r="E26046">
        <v>0</v>
      </c>
      <c r="F26046">
        <v>611</v>
      </c>
    </row>
    <row r="26047" spans="1:6" ht="12.75">
      <c r="A26047" s="2">
        <v>43875.717881944445</v>
      </c>
      <c r="B26047" t="str">
        <f>HYPERLINK("https://twitter.com/kochenglokal","@kochenglokal")</f>
        <v>@kochenglokal</v>
      </c>
      <c r="C26047" t="s">
        <v>11460</v>
      </c>
      <c r="D26047">
        <v>23</v>
      </c>
      <c r="E26047">
        <v>0</v>
      </c>
      <c r="F26047">
        <v>385</v>
      </c>
    </row>
    <row r="26048" spans="1:6" ht="12.75">
      <c r="A26048" s="2">
        <v>43875.717662037037</v>
      </c>
      <c r="B26048" t="str">
        <f>HYPERLINK("https://twitter.com/BaleBengong","@BaleBengong")</f>
        <v>@BaleBengong</v>
      </c>
      <c r="C26048" t="s">
        <v>11692</v>
      </c>
      <c r="D26048">
        <v>1</v>
      </c>
      <c r="E26048">
        <v>0</v>
      </c>
      <c r="F26048">
        <v>101965</v>
      </c>
    </row>
    <row r="26049" spans="1:6" ht="12.75">
      <c r="A26049" s="2">
        <v>43875.717638888891</v>
      </c>
      <c r="B26049" t="str">
        <f>HYPERLINK("https://twitter.com/leonrd28_","@leonrd28_")</f>
        <v>@leonrd28_</v>
      </c>
      <c r="C26049" t="s">
        <v>8470</v>
      </c>
      <c r="D26049">
        <v>136</v>
      </c>
      <c r="E26049">
        <v>0</v>
      </c>
      <c r="F26049">
        <v>100</v>
      </c>
    </row>
    <row r="26050" spans="1:6" ht="12.75">
      <c r="A26050" s="2">
        <v>43875.717638888891</v>
      </c>
      <c r="B26050" t="str">
        <f>HYPERLINK("https://twitter.com/oohsekimkaii","@oohsekimkaii")</f>
        <v>@oohsekimkaii</v>
      </c>
      <c r="C26050" t="s">
        <v>2137</v>
      </c>
      <c r="D26050">
        <v>155</v>
      </c>
      <c r="E26050">
        <v>0</v>
      </c>
      <c r="F26050">
        <v>587</v>
      </c>
    </row>
    <row r="26051" spans="1:6" ht="12.75">
      <c r="A26051" s="2">
        <v>43875.717615740738</v>
      </c>
      <c r="B26051" t="str">
        <f>HYPERLINK("https://twitter.com/Sales_Toyota_","@Sales_Toyota_")</f>
        <v>@Sales_Toyota_</v>
      </c>
      <c r="C26051" t="s">
        <v>6201</v>
      </c>
      <c r="D26051">
        <v>109</v>
      </c>
      <c r="E26051">
        <v>0</v>
      </c>
      <c r="F26051">
        <v>1564</v>
      </c>
    </row>
    <row r="26052" spans="1:6" ht="12.75">
      <c r="A26052" s="2">
        <v>43875.717569444445</v>
      </c>
      <c r="B26052" t="str">
        <f>HYPERLINK("https://twitter.com/chattimegf","@chattimegf")</f>
        <v>@chattimegf</v>
      </c>
      <c r="C26052" t="s">
        <v>2444</v>
      </c>
      <c r="D26052">
        <v>1860</v>
      </c>
      <c r="E26052">
        <v>0</v>
      </c>
      <c r="F26052">
        <v>44</v>
      </c>
    </row>
    <row r="26053" spans="1:6" ht="12.75">
      <c r="A26053" s="2">
        <v>43875.717546296291</v>
      </c>
      <c r="B26053" t="str">
        <f>HYPERLINK("https://twitter.com/al_fakru","@al_fakru")</f>
        <v>@al_fakru</v>
      </c>
      <c r="C26053" t="s">
        <v>10165</v>
      </c>
      <c r="D26053">
        <v>10</v>
      </c>
      <c r="E26053">
        <v>0</v>
      </c>
      <c r="F26053">
        <v>2976</v>
      </c>
    </row>
    <row r="26054" spans="1:6" ht="12.75">
      <c r="A26054" s="2">
        <v>43875.717442129629</v>
      </c>
      <c r="B26054" t="str">
        <f>HYPERLINK("https://twitter.com/aannurrohmatull","@aannurrohmatull")</f>
        <v>@aannurrohmatull</v>
      </c>
      <c r="C26054" t="s">
        <v>11693</v>
      </c>
      <c r="D26054">
        <v>1</v>
      </c>
      <c r="E26054">
        <v>0</v>
      </c>
      <c r="F26054">
        <v>654</v>
      </c>
    </row>
    <row r="26055" spans="1:6" ht="12.75">
      <c r="A26055" s="2">
        <v>43875.717418981483</v>
      </c>
      <c r="B26055" t="str">
        <f>HYPERLINK("https://twitter.com/antobalboa1","@antobalboa1")</f>
        <v>@antobalboa1</v>
      </c>
      <c r="C26055" t="s">
        <v>11694</v>
      </c>
      <c r="D26055">
        <v>0</v>
      </c>
      <c r="E26055">
        <v>0</v>
      </c>
      <c r="F26055">
        <v>7</v>
      </c>
    </row>
    <row r="26056" spans="1:6" ht="12.75">
      <c r="A26056" s="2">
        <v>43875.71738425926</v>
      </c>
      <c r="B26056" t="str">
        <f>HYPERLINK("https://twitter.com/e100ss","@e100ss")</f>
        <v>@e100ss</v>
      </c>
      <c r="C26056" t="s">
        <v>11695</v>
      </c>
      <c r="D26056">
        <v>1</v>
      </c>
      <c r="E26056">
        <v>6</v>
      </c>
      <c r="F26056">
        <v>779242</v>
      </c>
    </row>
    <row r="26057" spans="1:6" ht="12.75">
      <c r="A26057" s="2">
        <v>43875.717349537037</v>
      </c>
      <c r="B26057" t="str">
        <f>HYPERLINK("https://twitter.com/TolakBigotRI","@TolakBigotRI")</f>
        <v>@TolakBigotRI</v>
      </c>
      <c r="C26057" t="s">
        <v>10083</v>
      </c>
      <c r="D26057">
        <v>11</v>
      </c>
      <c r="E26057">
        <v>0</v>
      </c>
      <c r="F26057">
        <v>25644</v>
      </c>
    </row>
    <row r="26058" spans="1:6" ht="12.75">
      <c r="A26058" s="2">
        <v>43875.717256944445</v>
      </c>
      <c r="B26058" t="str">
        <f>HYPERLINK("https://twitter.com/wasalilgurl","@wasalilgurl")</f>
        <v>@wasalilgurl</v>
      </c>
      <c r="C26058" t="s">
        <v>2444</v>
      </c>
      <c r="D26058">
        <v>1860</v>
      </c>
      <c r="E26058">
        <v>0</v>
      </c>
      <c r="F26058">
        <v>2868</v>
      </c>
    </row>
    <row r="26059" spans="1:6" ht="12.75">
      <c r="A26059" s="2">
        <v>43875.717129629629</v>
      </c>
      <c r="B26059" t="str">
        <f>HYPERLINK("https://twitter.com/dellasafirab","@dellasafirab")</f>
        <v>@dellasafirab</v>
      </c>
      <c r="C26059" t="s">
        <v>2444</v>
      </c>
      <c r="D26059">
        <v>1860</v>
      </c>
      <c r="E26059">
        <v>0</v>
      </c>
      <c r="F26059">
        <v>433</v>
      </c>
    </row>
    <row r="26060" spans="1:6" ht="12.75">
      <c r="A26060" s="2">
        <v>43875.71711805556</v>
      </c>
      <c r="B26060" t="str">
        <f>HYPERLINK("https://twitter.com/nurel_effah","@nurel_effah")</f>
        <v>@nurel_effah</v>
      </c>
      <c r="C26060" t="s">
        <v>11328</v>
      </c>
      <c r="D26060">
        <v>2</v>
      </c>
      <c r="E26060">
        <v>0</v>
      </c>
      <c r="F26060">
        <v>3569</v>
      </c>
    </row>
    <row r="26061" spans="1:6" ht="12.75">
      <c r="A26061" s="2">
        <v>43875.717037037037</v>
      </c>
      <c r="B26061" t="str">
        <f>HYPERLINK("https://twitter.com/Albertilalang3","@Albertilalang3")</f>
        <v>@Albertilalang3</v>
      </c>
      <c r="C26061" t="s">
        <v>2963</v>
      </c>
      <c r="D26061">
        <v>994</v>
      </c>
      <c r="E26061">
        <v>0</v>
      </c>
      <c r="F26061">
        <v>31</v>
      </c>
    </row>
    <row r="26062" spans="1:6" ht="12.75">
      <c r="A26062" s="2">
        <v>43875.71702546296</v>
      </c>
      <c r="B26062" t="str">
        <f>HYPERLINK("https://twitter.com/taafterain","@taafterain")</f>
        <v>@taafterain</v>
      </c>
      <c r="C26062" t="s">
        <v>2444</v>
      </c>
      <c r="D26062">
        <v>1860</v>
      </c>
      <c r="E26062">
        <v>0</v>
      </c>
      <c r="F26062">
        <v>1808</v>
      </c>
    </row>
    <row r="26063" spans="1:6" ht="12.75">
      <c r="A26063" s="2">
        <v>43875.716874999998</v>
      </c>
      <c r="B26063" t="str">
        <f>HYPERLINK("https://twitter.com/Pnss26","@Pnss26")</f>
        <v>@Pnss26</v>
      </c>
      <c r="C26063" t="s">
        <v>2149</v>
      </c>
      <c r="D26063">
        <v>21</v>
      </c>
      <c r="E26063">
        <v>0</v>
      </c>
      <c r="F26063">
        <v>75</v>
      </c>
    </row>
    <row r="26064" spans="1:6" ht="12.75">
      <c r="A26064" s="2">
        <v>43875.716874999998</v>
      </c>
      <c r="B26064" t="str">
        <f>HYPERLINK("https://twitter.com/maulidioasmr","@maulidioasmr")</f>
        <v>@maulidioasmr</v>
      </c>
      <c r="C26064" t="s">
        <v>10052</v>
      </c>
      <c r="D26064">
        <v>37</v>
      </c>
      <c r="E26064">
        <v>0</v>
      </c>
      <c r="F26064">
        <v>1315</v>
      </c>
    </row>
    <row r="26065" spans="1:6" ht="12.75">
      <c r="A26065" s="2">
        <v>43875.716840277775</v>
      </c>
      <c r="B26065" t="str">
        <f>HYPERLINK("https://twitter.com/TMustcho","@TMustcho")</f>
        <v>@TMustcho</v>
      </c>
      <c r="C26065" t="s">
        <v>11696</v>
      </c>
      <c r="D26065">
        <v>0</v>
      </c>
      <c r="E26065">
        <v>0</v>
      </c>
      <c r="F26065">
        <v>535</v>
      </c>
    </row>
    <row r="26066" spans="1:6" ht="12.75">
      <c r="A26066" s="2">
        <v>43875.716793981483</v>
      </c>
      <c r="B26066" t="str">
        <f>HYPERLINK("https://twitter.com/swtchedyuno","@swtchedyuno")</f>
        <v>@swtchedyuno</v>
      </c>
      <c r="C26066" t="s">
        <v>2444</v>
      </c>
      <c r="D26066">
        <v>1860</v>
      </c>
      <c r="E26066">
        <v>0</v>
      </c>
      <c r="F26066">
        <v>1110</v>
      </c>
    </row>
    <row r="26067" spans="1:6" ht="12.75">
      <c r="A26067" s="2">
        <v>43875.716770833329</v>
      </c>
      <c r="B26067" t="str">
        <f>HYPERLINK("https://twitter.com/republikaonline","@republikaonline")</f>
        <v>@republikaonline</v>
      </c>
      <c r="C26067" t="s">
        <v>11697</v>
      </c>
      <c r="D26067">
        <v>2</v>
      </c>
      <c r="E26067">
        <v>5</v>
      </c>
      <c r="F26067">
        <v>1210317</v>
      </c>
    </row>
    <row r="26068" spans="1:6" ht="12.75">
      <c r="A26068" s="2">
        <v>43875.71674768519</v>
      </c>
      <c r="B26068" t="str">
        <f>HYPERLINK("https://twitter.com/jadiawalnyagini","@jadiawalnyagini")</f>
        <v>@jadiawalnyagini</v>
      </c>
      <c r="C26068" t="s">
        <v>2444</v>
      </c>
      <c r="D26068">
        <v>1860</v>
      </c>
      <c r="E26068">
        <v>0</v>
      </c>
      <c r="F26068">
        <v>192</v>
      </c>
    </row>
    <row r="26069" spans="1:6" ht="12.75">
      <c r="A26069" s="2">
        <v>43875.71665509259</v>
      </c>
      <c r="B26069" t="str">
        <f>HYPERLINK("https://twitter.com/jungo0kie","@jungo0kie")</f>
        <v>@jungo0kie</v>
      </c>
      <c r="C26069" t="s">
        <v>9557</v>
      </c>
      <c r="D26069">
        <v>3</v>
      </c>
      <c r="E26069">
        <v>0</v>
      </c>
      <c r="F26069">
        <v>13</v>
      </c>
    </row>
    <row r="26070" spans="1:6" ht="12.75">
      <c r="A26070" s="2">
        <v>43875.716643518521</v>
      </c>
      <c r="B26070" t="str">
        <f>HYPERLINK("https://twitter.com/cautiousimpalla","@cautiousimpalla")</f>
        <v>@cautiousimpalla</v>
      </c>
      <c r="C26070" t="s">
        <v>2444</v>
      </c>
      <c r="D26070">
        <v>1860</v>
      </c>
      <c r="E26070">
        <v>0</v>
      </c>
      <c r="F26070">
        <v>44</v>
      </c>
    </row>
    <row r="26071" spans="1:6" ht="12.75">
      <c r="A26071" s="2">
        <v>43875.716504629629</v>
      </c>
      <c r="B26071" t="str">
        <f>HYPERLINK("https://twitter.com/bindunada","@bindunada")</f>
        <v>@bindunada</v>
      </c>
      <c r="C26071" t="s">
        <v>11698</v>
      </c>
      <c r="D26071">
        <v>2</v>
      </c>
      <c r="E26071">
        <v>0</v>
      </c>
      <c r="F26071">
        <v>1060</v>
      </c>
    </row>
    <row r="26072" spans="1:6" ht="12.75">
      <c r="A26072" s="2">
        <v>43875.716493055559</v>
      </c>
      <c r="B26072" t="str">
        <f>HYPERLINK("https://twitter.com/djadasjah","@djadasjah")</f>
        <v>@djadasjah</v>
      </c>
      <c r="C26072" t="s">
        <v>6201</v>
      </c>
      <c r="D26072">
        <v>109</v>
      </c>
      <c r="E26072">
        <v>0</v>
      </c>
      <c r="F26072">
        <v>512</v>
      </c>
    </row>
    <row r="26073" spans="1:6" ht="12.75">
      <c r="A26073" s="2">
        <v>43875.716469907406</v>
      </c>
      <c r="B26073" t="str">
        <f>HYPERLINK("https://twitter.com/Cristoforaw","@Cristoforaw")</f>
        <v>@Cristoforaw</v>
      </c>
      <c r="C26073" t="s">
        <v>8233</v>
      </c>
      <c r="D26073">
        <v>486</v>
      </c>
      <c r="E26073">
        <v>0</v>
      </c>
      <c r="F26073">
        <v>184</v>
      </c>
    </row>
    <row r="26074" spans="1:6" ht="12.75">
      <c r="A26074" s="2">
        <v>43875.716412037036</v>
      </c>
      <c r="B26074" t="str">
        <f>HYPERLINK("https://twitter.com/aannurrohmatull","@aannurrohmatull")</f>
        <v>@aannurrohmatull</v>
      </c>
      <c r="C26074" t="s">
        <v>10795</v>
      </c>
      <c r="D26074">
        <v>4</v>
      </c>
      <c r="E26074">
        <v>0</v>
      </c>
      <c r="F26074">
        <v>654</v>
      </c>
    </row>
    <row r="26075" spans="1:6" ht="12.75">
      <c r="A26075" s="2">
        <v>43875.716249999998</v>
      </c>
      <c r="B26075" t="str">
        <f>HYPERLINK("https://twitter.com/bgDG_Stream","@bgDG_Stream")</f>
        <v>@bgDG_Stream</v>
      </c>
      <c r="C26075" t="s">
        <v>9746</v>
      </c>
      <c r="D26075">
        <v>280</v>
      </c>
      <c r="E26075">
        <v>0</v>
      </c>
      <c r="F26075">
        <v>240</v>
      </c>
    </row>
    <row r="26076" spans="1:6" ht="12.75">
      <c r="A26076" s="2">
        <v>43875.716203703705</v>
      </c>
      <c r="B26076" t="str">
        <f>HYPERLINK("https://twitter.com/Chandra_F3rd14n","@Chandra_F3rd14n")</f>
        <v>@Chandra_F3rd14n</v>
      </c>
      <c r="C26076" t="s">
        <v>11699</v>
      </c>
      <c r="D26076">
        <v>0</v>
      </c>
      <c r="E26076">
        <v>1</v>
      </c>
      <c r="F26076">
        <v>134</v>
      </c>
    </row>
    <row r="26077" spans="1:6" ht="12.75">
      <c r="A26077" s="2">
        <v>43875.716168981482</v>
      </c>
      <c r="B26077" t="str">
        <f>HYPERLINK("https://twitter.com/regigarnida","@regigarnida")</f>
        <v>@regigarnida</v>
      </c>
      <c r="C26077" t="s">
        <v>2444</v>
      </c>
      <c r="D26077">
        <v>1860</v>
      </c>
      <c r="E26077">
        <v>0</v>
      </c>
      <c r="F26077">
        <v>438</v>
      </c>
    </row>
    <row r="26078" spans="1:6" ht="12.75">
      <c r="A26078" s="2">
        <v>43875.716145833328</v>
      </c>
      <c r="B26078" t="str">
        <f>HYPERLINK("https://twitter.com/RidwanRoti","@RidwanRoti")</f>
        <v>@RidwanRoti</v>
      </c>
      <c r="C26078" t="s">
        <v>11700</v>
      </c>
      <c r="D26078">
        <v>0</v>
      </c>
      <c r="E26078">
        <v>0</v>
      </c>
      <c r="F26078">
        <v>126</v>
      </c>
    </row>
    <row r="26079" spans="1:6" ht="12.75">
      <c r="A26079" s="2">
        <v>43875.716145833328</v>
      </c>
      <c r="B26079" t="str">
        <f>HYPERLINK("https://twitter.com/NelsenKwee","@NelsenKwee")</f>
        <v>@NelsenKwee</v>
      </c>
      <c r="C26079" t="s">
        <v>2149</v>
      </c>
      <c r="D26079">
        <v>21</v>
      </c>
      <c r="E26079">
        <v>0</v>
      </c>
      <c r="F26079">
        <v>2</v>
      </c>
    </row>
    <row r="26080" spans="1:6" ht="12.75">
      <c r="A26080" s="2">
        <v>43875.716087962966</v>
      </c>
      <c r="B26080" t="str">
        <f>HYPERLINK("https://twitter.com/HUMAN_RES3","@HUMAN_RES3")</f>
        <v>@HUMAN_RES3</v>
      </c>
      <c r="C26080" t="s">
        <v>10237</v>
      </c>
      <c r="D26080">
        <v>48</v>
      </c>
      <c r="E26080">
        <v>0</v>
      </c>
      <c r="F26080">
        <v>66</v>
      </c>
    </row>
    <row r="26081" spans="1:6" ht="12.75">
      <c r="A26081" s="2">
        <v>43875.716087962966</v>
      </c>
      <c r="B26081" t="str">
        <f>HYPERLINK("https://twitter.com/J1lb00b5Kampu5","@J1lb00b5Kampu5")</f>
        <v>@J1lb00b5Kampu5</v>
      </c>
      <c r="C26081" t="s">
        <v>3140</v>
      </c>
      <c r="D26081">
        <v>12</v>
      </c>
      <c r="E26081">
        <v>0</v>
      </c>
      <c r="F26081">
        <v>223039</v>
      </c>
    </row>
    <row r="26082" spans="1:6" ht="12.75">
      <c r="A26082" s="2">
        <v>43875.716064814813</v>
      </c>
      <c r="B26082" t="str">
        <f>HYPERLINK("https://twitter.com/aannurrohmatull","@aannurrohmatull")</f>
        <v>@aannurrohmatull</v>
      </c>
      <c r="C26082" t="s">
        <v>5761</v>
      </c>
      <c r="D26082">
        <v>70</v>
      </c>
      <c r="E26082">
        <v>0</v>
      </c>
      <c r="F26082">
        <v>654</v>
      </c>
    </row>
    <row r="26083" spans="1:6" ht="12.75">
      <c r="A26083" s="2">
        <v>43875.71603009259</v>
      </c>
      <c r="B26083" t="str">
        <f>HYPERLINK("https://twitter.com/ini_nano","@ini_nano")</f>
        <v>@ini_nano</v>
      </c>
      <c r="C26083" t="s">
        <v>6201</v>
      </c>
      <c r="D26083">
        <v>109</v>
      </c>
      <c r="E26083">
        <v>0</v>
      </c>
      <c r="F26083">
        <v>1103</v>
      </c>
    </row>
    <row r="26084" spans="1:6" ht="12.75">
      <c r="A26084" s="2">
        <v>43875.71601851852</v>
      </c>
      <c r="B26084" t="str">
        <f>HYPERLINK("https://twitter.com/aannurrohmatull","@aannurrohmatull")</f>
        <v>@aannurrohmatull</v>
      </c>
      <c r="C26084" t="s">
        <v>9539</v>
      </c>
      <c r="D26084">
        <v>10</v>
      </c>
      <c r="E26084">
        <v>0</v>
      </c>
      <c r="F26084">
        <v>654</v>
      </c>
    </row>
    <row r="26085" spans="1:6" ht="12.75">
      <c r="A26085" s="2">
        <v>43875.716006944444</v>
      </c>
      <c r="B26085" t="str">
        <f>HYPERLINK("https://twitter.com/Tasriansyah1","@Tasriansyah1")</f>
        <v>@Tasriansyah1</v>
      </c>
      <c r="C26085" t="s">
        <v>11701</v>
      </c>
      <c r="D26085">
        <v>0</v>
      </c>
      <c r="E26085">
        <v>0</v>
      </c>
      <c r="F26085">
        <v>145</v>
      </c>
    </row>
    <row r="26086" spans="1:6" ht="12.75">
      <c r="A26086" s="2">
        <v>43875.715925925921</v>
      </c>
      <c r="B26086" t="str">
        <f>HYPERLINK("https://twitter.com/pilotignews","@pilotignews")</f>
        <v>@pilotignews</v>
      </c>
      <c r="C26086" t="s">
        <v>11702</v>
      </c>
      <c r="D26086">
        <v>0</v>
      </c>
      <c r="E26086">
        <v>0</v>
      </c>
      <c r="F26086">
        <v>22</v>
      </c>
    </row>
    <row r="26087" spans="1:6" ht="12.75">
      <c r="A26087" s="2">
        <v>43875.715879629628</v>
      </c>
      <c r="B26087" t="str">
        <f>HYPERLINK("https://twitter.com/koom_kokom","@koom_kokom")</f>
        <v>@koom_kokom</v>
      </c>
      <c r="C26087" t="s">
        <v>2444</v>
      </c>
      <c r="D26087">
        <v>1860</v>
      </c>
      <c r="E26087">
        <v>0</v>
      </c>
      <c r="F26087">
        <v>523</v>
      </c>
    </row>
    <row r="26088" spans="1:6" ht="12.75">
      <c r="A26088" s="2">
        <v>43875.715856481482</v>
      </c>
      <c r="B26088" t="str">
        <f>HYPERLINK("https://twitter.com/aannurrohmatull","@aannurrohmatull")</f>
        <v>@aannurrohmatull</v>
      </c>
      <c r="C26088" t="s">
        <v>11703</v>
      </c>
      <c r="D26088">
        <v>0</v>
      </c>
      <c r="E26088">
        <v>0</v>
      </c>
      <c r="F26088">
        <v>654</v>
      </c>
    </row>
    <row r="26089" spans="1:6" ht="12.75">
      <c r="A26089" s="2">
        <v>43875.715717592597</v>
      </c>
      <c r="B26089" t="str">
        <f>HYPERLINK("https://twitter.com/ChangeInLibya","@ChangeInLibya")</f>
        <v>@ChangeInLibya</v>
      </c>
      <c r="C26089" t="s">
        <v>9082</v>
      </c>
      <c r="D26089">
        <v>37</v>
      </c>
      <c r="E26089">
        <v>0</v>
      </c>
      <c r="F26089">
        <v>32579</v>
      </c>
    </row>
    <row r="26090" spans="1:6" ht="12.75">
      <c r="A26090" s="2">
        <v>43875.715682870374</v>
      </c>
      <c r="B26090" t="str">
        <f>HYPERLINK("https://twitter.com/KangMutiyono","@KangMutiyono")</f>
        <v>@KangMutiyono</v>
      </c>
      <c r="C26090" t="s">
        <v>11685</v>
      </c>
      <c r="D26090">
        <v>8</v>
      </c>
      <c r="E26090">
        <v>0</v>
      </c>
      <c r="F26090">
        <v>320</v>
      </c>
    </row>
    <row r="26091" spans="1:6" ht="12.75">
      <c r="A26091" s="2">
        <v>43875.715671296297</v>
      </c>
      <c r="B26091" t="str">
        <f>HYPERLINK("https://twitter.com/MedialokalCo","@MedialokalCo")</f>
        <v>@MedialokalCo</v>
      </c>
      <c r="C26091" t="s">
        <v>11704</v>
      </c>
      <c r="D26091">
        <v>0</v>
      </c>
      <c r="E26091">
        <v>0</v>
      </c>
      <c r="F26091">
        <v>43</v>
      </c>
    </row>
    <row r="26092" spans="1:6" ht="12.75">
      <c r="A26092" s="2">
        <v>43875.715439814812</v>
      </c>
      <c r="B26092" t="str">
        <f>HYPERLINK("https://twitter.com/Oh_Myfish","@Oh_Myfish")</f>
        <v>@Oh_Myfish</v>
      </c>
      <c r="C26092" t="s">
        <v>2444</v>
      </c>
      <c r="D26092">
        <v>1860</v>
      </c>
      <c r="E26092">
        <v>0</v>
      </c>
      <c r="F26092">
        <v>4376</v>
      </c>
    </row>
    <row r="26093" spans="1:6" ht="12.75">
      <c r="A26093" s="2">
        <v>43875.71539351852</v>
      </c>
      <c r="B26093" t="str">
        <f>HYPERLINK("https://twitter.com/MrMasnur","@MrMasnur")</f>
        <v>@MrMasnur</v>
      </c>
      <c r="C26093" t="s">
        <v>6201</v>
      </c>
      <c r="D26093">
        <v>109</v>
      </c>
      <c r="E26093">
        <v>0</v>
      </c>
      <c r="F26093">
        <v>589</v>
      </c>
    </row>
    <row r="26094" spans="1:6" ht="12.75">
      <c r="A26094" s="2">
        <v>43875.715381944443</v>
      </c>
      <c r="B26094" t="str">
        <f>HYPERLINK("https://twitter.com/Yhalim88Yhalim","@Yhalim88Yhalim")</f>
        <v>@Yhalim88Yhalim</v>
      </c>
      <c r="C26094" t="s">
        <v>10526</v>
      </c>
      <c r="D26094">
        <v>137</v>
      </c>
      <c r="E26094">
        <v>0</v>
      </c>
      <c r="F26094">
        <v>77</v>
      </c>
    </row>
    <row r="26095" spans="1:6" ht="12.75">
      <c r="A26095" s="2">
        <v>43875.715347222227</v>
      </c>
      <c r="B26095" t="str">
        <f>HYPERLINK("https://twitter.com/tooniJKT48","@tooniJKT48")</f>
        <v>@tooniJKT48</v>
      </c>
      <c r="C26095" t="s">
        <v>2444</v>
      </c>
      <c r="D26095">
        <v>1860</v>
      </c>
      <c r="E26095">
        <v>0</v>
      </c>
      <c r="F26095">
        <v>286</v>
      </c>
    </row>
    <row r="26096" spans="1:6" ht="12.75">
      <c r="A26096" s="2">
        <v>43875.715335648143</v>
      </c>
      <c r="B26096" t="str">
        <f>HYPERLINK("https://twitter.com/corrections71","@corrections71")</f>
        <v>@corrections71</v>
      </c>
      <c r="C26096" t="s">
        <v>2963</v>
      </c>
      <c r="D26096">
        <v>994</v>
      </c>
      <c r="E26096">
        <v>0</v>
      </c>
      <c r="F26096">
        <v>317</v>
      </c>
    </row>
    <row r="26097" spans="1:6" ht="12.75">
      <c r="A26097" s="2">
        <v>43875.715289351851</v>
      </c>
      <c r="B26097" t="str">
        <f>HYPERLINK("https://twitter.com/DreamersRadioID","@DreamersRadioID")</f>
        <v>@DreamersRadioID</v>
      </c>
      <c r="C26097" t="s">
        <v>708</v>
      </c>
      <c r="D26097">
        <v>0</v>
      </c>
      <c r="E26097">
        <v>1</v>
      </c>
      <c r="F26097">
        <v>75584</v>
      </c>
    </row>
    <row r="26098" spans="1:6" ht="12.75">
      <c r="A26098" s="2">
        <v>43875.715266203704</v>
      </c>
      <c r="B26098" t="str">
        <f>HYPERLINK("https://twitter.com/elHurryKoRn","@elHurryKoRn")</f>
        <v>@elHurryKoRn</v>
      </c>
      <c r="C26098" t="s">
        <v>11705</v>
      </c>
      <c r="D26098">
        <v>10</v>
      </c>
      <c r="E26098">
        <v>15</v>
      </c>
      <c r="F26098">
        <v>19197</v>
      </c>
    </row>
    <row r="26099" spans="1:6" ht="12.75">
      <c r="A26099" s="2">
        <v>43875.715208333335</v>
      </c>
      <c r="B26099" t="str">
        <f>HYPERLINK("https://twitter.com/keruwetan","@keruwetan")</f>
        <v>@keruwetan</v>
      </c>
      <c r="C26099" t="s">
        <v>2444</v>
      </c>
      <c r="D26099">
        <v>1860</v>
      </c>
      <c r="E26099">
        <v>0</v>
      </c>
      <c r="F26099">
        <v>1412</v>
      </c>
    </row>
    <row r="26100" spans="1:6" ht="12.75">
      <c r="A26100" s="2">
        <v>43875.715104166666</v>
      </c>
      <c r="B26100" t="str">
        <f>HYPERLINK("https://twitter.com/Yhalim88Yhalim","@Yhalim88Yhalim")</f>
        <v>@Yhalim88Yhalim</v>
      </c>
      <c r="C26100" t="s">
        <v>10266</v>
      </c>
      <c r="D26100">
        <v>268</v>
      </c>
      <c r="E26100">
        <v>0</v>
      </c>
      <c r="F26100">
        <v>77</v>
      </c>
    </row>
    <row r="26101" spans="1:6" ht="12.75">
      <c r="A26101" s="2">
        <v>43875.715069444443</v>
      </c>
      <c r="B26101" t="str">
        <f>HYPERLINK("https://twitter.com/agungissmile","@agungissmile")</f>
        <v>@agungissmile</v>
      </c>
      <c r="C26101" t="s">
        <v>5168</v>
      </c>
      <c r="D26101">
        <v>845</v>
      </c>
      <c r="E26101">
        <v>0</v>
      </c>
      <c r="F26101">
        <v>572</v>
      </c>
    </row>
    <row r="26102" spans="1:6" ht="12.75">
      <c r="A26102" s="2">
        <v>43875.715046296296</v>
      </c>
      <c r="B26102" t="str">
        <f>HYPERLINK("https://twitter.com/andinandina","@andinandina")</f>
        <v>@andinandina</v>
      </c>
      <c r="C26102" t="s">
        <v>8233</v>
      </c>
      <c r="D26102">
        <v>486</v>
      </c>
      <c r="E26102">
        <v>0</v>
      </c>
      <c r="F26102">
        <v>537</v>
      </c>
    </row>
    <row r="26103" spans="1:6" ht="12.75">
      <c r="A26103" s="2">
        <v>43875.714999999997</v>
      </c>
      <c r="B26103" t="str">
        <f>HYPERLINK("https://twitter.com/imooel","@imooel")</f>
        <v>@imooel</v>
      </c>
      <c r="C26103" t="s">
        <v>6201</v>
      </c>
      <c r="D26103">
        <v>109</v>
      </c>
      <c r="E26103">
        <v>0</v>
      </c>
      <c r="F26103">
        <v>684</v>
      </c>
    </row>
    <row r="26104" spans="1:6" ht="12.75">
      <c r="A26104" s="2">
        <v>43875.714988425927</v>
      </c>
      <c r="B26104" t="str">
        <f>HYPERLINK("https://twitter.com/help_selamat","@help_selamat")</f>
        <v>@help_selamat</v>
      </c>
      <c r="C26104" t="s">
        <v>11706</v>
      </c>
      <c r="D26104">
        <v>0</v>
      </c>
      <c r="E26104">
        <v>1</v>
      </c>
      <c r="F26104">
        <v>10</v>
      </c>
    </row>
    <row r="26105" spans="1:6" ht="12.75">
      <c r="A26105" s="2">
        <v>43875.71493055555</v>
      </c>
      <c r="B26105" t="str">
        <f>HYPERLINK("https://twitter.com/baramaniac","@baramaniac")</f>
        <v>@baramaniac</v>
      </c>
      <c r="C26105" t="s">
        <v>11707</v>
      </c>
      <c r="D26105">
        <v>0</v>
      </c>
      <c r="E26105">
        <v>0</v>
      </c>
      <c r="F26105">
        <v>13380</v>
      </c>
    </row>
    <row r="26106" spans="1:6" ht="12.75">
      <c r="A26106" s="2">
        <v>43875.714907407411</v>
      </c>
      <c r="B26106" t="str">
        <f>HYPERLINK("https://twitter.com/ubaidillahThal1","@ubaidillahThal1")</f>
        <v>@ubaidillahThal1</v>
      </c>
      <c r="C26106" t="s">
        <v>11708</v>
      </c>
      <c r="D26106">
        <v>0</v>
      </c>
      <c r="E26106">
        <v>1</v>
      </c>
      <c r="F26106">
        <v>1850</v>
      </c>
    </row>
    <row r="26107" spans="1:6" ht="12.75">
      <c r="A26107" s="2">
        <v>43875.714861111112</v>
      </c>
      <c r="B26107" t="str">
        <f>HYPERLINK("https://twitter.com/Lik_Rantau","@Lik_Rantau")</f>
        <v>@Lik_Rantau</v>
      </c>
      <c r="C26107" t="s">
        <v>11709</v>
      </c>
      <c r="D26107">
        <v>0</v>
      </c>
      <c r="E26107">
        <v>1</v>
      </c>
      <c r="F26107">
        <v>304</v>
      </c>
    </row>
    <row r="26108" spans="1:6" ht="12.75">
      <c r="A26108" s="2">
        <v>43875.714814814812</v>
      </c>
      <c r="B26108" t="str">
        <f>HYPERLINK("https://twitter.com/AntonPr12594871","@AntonPr12594871")</f>
        <v>@AntonPr12594871</v>
      </c>
      <c r="C26108" t="s">
        <v>175</v>
      </c>
      <c r="D26108">
        <v>5291</v>
      </c>
      <c r="E26108">
        <v>0</v>
      </c>
      <c r="F26108">
        <v>1970</v>
      </c>
    </row>
    <row r="26109" spans="1:6" ht="12.75">
      <c r="A26109" s="2">
        <v>43875.714791666665</v>
      </c>
      <c r="B26109" t="str">
        <f>HYPERLINK("https://twitter.com/umam_chaerul","@umam_chaerul")</f>
        <v>@umam_chaerul</v>
      </c>
      <c r="C26109" t="s">
        <v>6201</v>
      </c>
      <c r="D26109">
        <v>109</v>
      </c>
      <c r="E26109">
        <v>0</v>
      </c>
      <c r="F26109">
        <v>2881</v>
      </c>
    </row>
    <row r="26110" spans="1:6" ht="12.75">
      <c r="A26110" s="2">
        <v>43875.714791666665</v>
      </c>
      <c r="B26110" t="str">
        <f>HYPERLINK("https://twitter.com/GusAngg03557357","@GusAngg03557357")</f>
        <v>@GusAngg03557357</v>
      </c>
      <c r="C26110" t="s">
        <v>2963</v>
      </c>
      <c r="D26110">
        <v>994</v>
      </c>
      <c r="E26110">
        <v>0</v>
      </c>
      <c r="F26110">
        <v>2</v>
      </c>
    </row>
    <row r="26111" spans="1:6" ht="12.75">
      <c r="A26111" s="2">
        <v>43875.714571759258</v>
      </c>
      <c r="B26111" t="str">
        <f>HYPERLINK("https://twitter.com/dianprabantoro","@dianprabantoro")</f>
        <v>@dianprabantoro</v>
      </c>
      <c r="C26111" t="s">
        <v>2444</v>
      </c>
      <c r="D26111">
        <v>1860</v>
      </c>
      <c r="E26111">
        <v>0</v>
      </c>
      <c r="F26111">
        <v>466</v>
      </c>
    </row>
    <row r="26112" spans="1:6" ht="12.75">
      <c r="A26112" s="2">
        <v>43875.714467592596</v>
      </c>
      <c r="B26112" t="str">
        <f>HYPERLINK("https://twitter.com/aannurrohmatull","@aannurrohmatull")</f>
        <v>@aannurrohmatull</v>
      </c>
      <c r="C26112" t="s">
        <v>10096</v>
      </c>
      <c r="D26112">
        <v>150</v>
      </c>
      <c r="E26112">
        <v>0</v>
      </c>
      <c r="F26112">
        <v>654</v>
      </c>
    </row>
    <row r="26113" spans="1:6" ht="12.75">
      <c r="A26113" s="2">
        <v>43875.714444444442</v>
      </c>
      <c r="B26113" t="str">
        <f>HYPERLINK("https://twitter.com/demimortalgirl","@demimortalgirl")</f>
        <v>@demimortalgirl</v>
      </c>
      <c r="C26113" t="s">
        <v>2444</v>
      </c>
      <c r="D26113">
        <v>1860</v>
      </c>
      <c r="E26113">
        <v>0</v>
      </c>
      <c r="F26113">
        <v>243</v>
      </c>
    </row>
    <row r="26114" spans="1:6" ht="12.75">
      <c r="A26114" s="2">
        <v>43875.714421296296</v>
      </c>
      <c r="B26114" t="str">
        <f>HYPERLINK("https://twitter.com/kalitra_arman","@kalitra_arman")</f>
        <v>@kalitra_arman</v>
      </c>
      <c r="C26114" t="s">
        <v>7478</v>
      </c>
      <c r="D26114">
        <v>292</v>
      </c>
      <c r="E26114">
        <v>0</v>
      </c>
      <c r="F26114">
        <v>150</v>
      </c>
    </row>
    <row r="26115" spans="1:6" ht="12.75">
      <c r="A26115" s="2">
        <v>43875.714328703703</v>
      </c>
      <c r="B26115" t="str">
        <f>HYPERLINK("https://twitter.com/swandywidjaja06","@swandywidjaja06")</f>
        <v>@swandywidjaja06</v>
      </c>
      <c r="C26115" t="s">
        <v>2963</v>
      </c>
      <c r="D26115">
        <v>994</v>
      </c>
      <c r="E26115">
        <v>0</v>
      </c>
      <c r="F26115">
        <v>241</v>
      </c>
    </row>
    <row r="26116" spans="1:6" ht="12.75">
      <c r="A26116" s="2">
        <v>43875.714212962965</v>
      </c>
      <c r="B26116" t="str">
        <f>HYPERLINK("https://twitter.com/NinoGitar","@NinoGitar")</f>
        <v>@NinoGitar</v>
      </c>
      <c r="C26116" t="s">
        <v>9746</v>
      </c>
      <c r="D26116">
        <v>280</v>
      </c>
      <c r="E26116">
        <v>0</v>
      </c>
      <c r="F26116">
        <v>98</v>
      </c>
    </row>
    <row r="26117" spans="1:6" ht="12.75">
      <c r="A26117" s="2">
        <v>43875.714201388888</v>
      </c>
      <c r="B26117" t="str">
        <f>HYPERLINK("https://twitter.com/fatihhasan781","@fatihhasan781")</f>
        <v>@fatihhasan781</v>
      </c>
      <c r="C26117" t="s">
        <v>9746</v>
      </c>
      <c r="D26117">
        <v>280</v>
      </c>
      <c r="E26117">
        <v>0</v>
      </c>
      <c r="F26117">
        <v>623</v>
      </c>
    </row>
    <row r="26118" spans="1:6" ht="12.75">
      <c r="A26118" s="2">
        <v>43875.714108796295</v>
      </c>
      <c r="B26118" t="str">
        <f>HYPERLINK("https://twitter.com/valentinoroti4","@valentinoroti4")</f>
        <v>@valentinoroti4</v>
      </c>
      <c r="C26118" t="s">
        <v>11710</v>
      </c>
      <c r="D26118">
        <v>0</v>
      </c>
      <c r="E26118">
        <v>0</v>
      </c>
      <c r="F26118">
        <v>7</v>
      </c>
    </row>
    <row r="26119" spans="1:6" ht="12.75">
      <c r="A26119" s="2">
        <v>43875.71393518518</v>
      </c>
      <c r="B26119" t="str">
        <f>HYPERLINK("https://twitter.com/AbuMahana","@AbuMahana")</f>
        <v>@AbuMahana</v>
      </c>
      <c r="C26119" t="s">
        <v>5761</v>
      </c>
      <c r="D26119">
        <v>70</v>
      </c>
      <c r="E26119">
        <v>0</v>
      </c>
      <c r="F26119">
        <v>182</v>
      </c>
    </row>
    <row r="26120" spans="1:6" ht="12.75">
      <c r="A26120" s="2">
        <v>43875.713842592595</v>
      </c>
      <c r="B26120" t="str">
        <f>HYPERLINK("https://twitter.com/SSwangga","@SSwangga")</f>
        <v>@SSwangga</v>
      </c>
      <c r="C26120" t="s">
        <v>11711</v>
      </c>
      <c r="D26120">
        <v>0</v>
      </c>
      <c r="E26120">
        <v>0</v>
      </c>
      <c r="F26120">
        <v>8</v>
      </c>
    </row>
    <row r="26121" spans="1:6" ht="12.75">
      <c r="A26121" s="2">
        <v>43875.713807870372</v>
      </c>
      <c r="B26121" t="str">
        <f>HYPERLINK("https://twitter.com/alambaskoroke4","@alambaskoroke4")</f>
        <v>@alambaskoroke4</v>
      </c>
      <c r="C26121" t="s">
        <v>2963</v>
      </c>
      <c r="D26121">
        <v>994</v>
      </c>
      <c r="E26121">
        <v>0</v>
      </c>
      <c r="F26121">
        <v>262</v>
      </c>
    </row>
    <row r="26122" spans="1:6" ht="12.75">
      <c r="A26122" s="2">
        <v>43875.713749999995</v>
      </c>
      <c r="B26122" t="str">
        <f>HYPERLINK("https://twitter.com/DedikPriyanto","@DedikPriyanto")</f>
        <v>@DedikPriyanto</v>
      </c>
      <c r="C26122" t="s">
        <v>2149</v>
      </c>
      <c r="D26122">
        <v>21</v>
      </c>
      <c r="E26122">
        <v>0</v>
      </c>
      <c r="F26122">
        <v>2236</v>
      </c>
    </row>
    <row r="26123" spans="1:6" ht="12.75">
      <c r="A26123" s="2">
        <v>43875.713692129633</v>
      </c>
      <c r="B26123" t="str">
        <f>HYPERLINK("https://twitter.com/MJtuhMasJoko","@MJtuhMasJoko")</f>
        <v>@MJtuhMasJoko</v>
      </c>
      <c r="C26123" t="s">
        <v>7478</v>
      </c>
      <c r="D26123">
        <v>292</v>
      </c>
      <c r="E26123">
        <v>0</v>
      </c>
      <c r="F26123">
        <v>1033</v>
      </c>
    </row>
    <row r="26124" spans="1:6" ht="12.75">
      <c r="A26124" s="2">
        <v>43875.713391203702</v>
      </c>
      <c r="B26124" t="str">
        <f>HYPERLINK("https://twitter.com/RieVandallize","@RieVandallize")</f>
        <v>@RieVandallize</v>
      </c>
      <c r="C26124" t="s">
        <v>9746</v>
      </c>
      <c r="D26124">
        <v>280</v>
      </c>
      <c r="E26124">
        <v>0</v>
      </c>
      <c r="F26124">
        <v>373</v>
      </c>
    </row>
    <row r="26125" spans="1:6" ht="12.75">
      <c r="A26125" s="2">
        <v>43875.713321759264</v>
      </c>
      <c r="B26125" t="str">
        <f>HYPERLINK("https://twitter.com/Nawangwln_","@Nawangwln_")</f>
        <v>@Nawangwln_</v>
      </c>
      <c r="C26125" t="s">
        <v>2137</v>
      </c>
      <c r="D26125">
        <v>155</v>
      </c>
      <c r="E26125">
        <v>0</v>
      </c>
      <c r="F26125">
        <v>1209</v>
      </c>
    </row>
    <row r="26126" spans="1:6" ht="12.75">
      <c r="A26126" s="2">
        <v>43875.713263888887</v>
      </c>
      <c r="B26126" t="str">
        <f>HYPERLINK("https://twitter.com/Awtnr_","@Awtnr_")</f>
        <v>@Awtnr_</v>
      </c>
      <c r="C26126" t="s">
        <v>2444</v>
      </c>
      <c r="D26126">
        <v>1860</v>
      </c>
      <c r="E26126">
        <v>0</v>
      </c>
      <c r="F26126">
        <v>2095</v>
      </c>
    </row>
    <row r="26127" spans="1:6" ht="12.75">
      <c r="A26127" s="2">
        <v>43875.713263888887</v>
      </c>
      <c r="B26127" t="str">
        <f>HYPERLINK("https://twitter.com/hanamcho","@hanamcho")</f>
        <v>@hanamcho</v>
      </c>
      <c r="C26127" t="s">
        <v>5168</v>
      </c>
      <c r="D26127">
        <v>845</v>
      </c>
      <c r="E26127">
        <v>0</v>
      </c>
      <c r="F26127">
        <v>145</v>
      </c>
    </row>
    <row r="26128" spans="1:6" ht="12.75">
      <c r="A26128" s="2">
        <v>43875.713159722218</v>
      </c>
      <c r="B26128" t="str">
        <f>HYPERLINK("https://twitter.com/yaelahmbak","@yaelahmbak")</f>
        <v>@yaelahmbak</v>
      </c>
      <c r="C26128" t="s">
        <v>9123</v>
      </c>
      <c r="D26128">
        <v>240</v>
      </c>
      <c r="E26128">
        <v>0</v>
      </c>
      <c r="F26128">
        <v>659</v>
      </c>
    </row>
    <row r="26129" spans="1:6" ht="12.75">
      <c r="A26129" s="2">
        <v>43875.712997685187</v>
      </c>
      <c r="B26129" t="str">
        <f>HYPERLINK("https://twitter.com/s_bayue10","@s_bayue10")</f>
        <v>@s_bayue10</v>
      </c>
      <c r="C26129" t="s">
        <v>10300</v>
      </c>
      <c r="D26129">
        <v>43</v>
      </c>
      <c r="E26129">
        <v>0</v>
      </c>
      <c r="F26129">
        <v>169</v>
      </c>
    </row>
    <row r="26130" spans="1:6" ht="12.75">
      <c r="A26130" s="2">
        <v>43875.712824074071</v>
      </c>
      <c r="B26130" t="str">
        <f>HYPERLINK("https://twitter.com/mfrblog","@mfrblog")</f>
        <v>@mfrblog</v>
      </c>
      <c r="C26130" t="s">
        <v>2444</v>
      </c>
      <c r="D26130">
        <v>1860</v>
      </c>
      <c r="E26130">
        <v>0</v>
      </c>
      <c r="F26130">
        <v>475</v>
      </c>
    </row>
    <row r="26131" spans="1:6" ht="12.75">
      <c r="A26131" s="2">
        <v>43875.712743055556</v>
      </c>
      <c r="B26131" t="str">
        <f>HYPERLINK("https://twitter.com/alambaskoroke4","@alambaskoroke4")</f>
        <v>@alambaskoroke4</v>
      </c>
      <c r="C26131" t="s">
        <v>11712</v>
      </c>
      <c r="D26131">
        <v>2</v>
      </c>
      <c r="E26131">
        <v>0</v>
      </c>
      <c r="F26131">
        <v>262</v>
      </c>
    </row>
    <row r="26132" spans="1:6" ht="12.75">
      <c r="A26132" s="2">
        <v>43875.712685185186</v>
      </c>
      <c r="B26132" t="str">
        <f>HYPERLINK("https://twitter.com/Halim52155508","@Halim52155508")</f>
        <v>@Halim52155508</v>
      </c>
      <c r="C26132" t="s">
        <v>2149</v>
      </c>
      <c r="D26132">
        <v>21</v>
      </c>
      <c r="E26132">
        <v>0</v>
      </c>
      <c r="F26132">
        <v>19</v>
      </c>
    </row>
    <row r="26133" spans="1:6" ht="12.75">
      <c r="A26133" s="2">
        <v>43875.712546296301</v>
      </c>
      <c r="B26133" t="str">
        <f>HYPERLINK("https://twitter.com/milvayeni","@milvayeni")</f>
        <v>@milvayeni</v>
      </c>
      <c r="C26133" t="s">
        <v>11713</v>
      </c>
      <c r="D26133">
        <v>1</v>
      </c>
      <c r="E26133">
        <v>0</v>
      </c>
      <c r="F26133">
        <v>298</v>
      </c>
    </row>
    <row r="26134" spans="1:6" ht="12.75">
      <c r="A26134" s="2">
        <v>43875.712546296301</v>
      </c>
      <c r="B26134" t="str">
        <f>HYPERLINK("https://twitter.com/Denis73048995","@Denis73048995")</f>
        <v>@Denis73048995</v>
      </c>
      <c r="C26134" t="s">
        <v>11714</v>
      </c>
      <c r="D26134">
        <v>0</v>
      </c>
      <c r="E26134">
        <v>0</v>
      </c>
      <c r="F26134">
        <v>93</v>
      </c>
    </row>
    <row r="26135" spans="1:6" ht="12.75">
      <c r="A26135" s="2">
        <v>43875.712476851855</v>
      </c>
      <c r="B26135" t="str">
        <f>HYPERLINK("https://twitter.com/atdrin","@atdrin")</f>
        <v>@atdrin</v>
      </c>
      <c r="C26135" t="s">
        <v>2444</v>
      </c>
      <c r="D26135">
        <v>1860</v>
      </c>
      <c r="E26135">
        <v>0</v>
      </c>
      <c r="F26135">
        <v>273</v>
      </c>
    </row>
    <row r="26136" spans="1:6" ht="12.75">
      <c r="A26136" s="2">
        <v>43875.712418981479</v>
      </c>
      <c r="B26136" t="str">
        <f>HYPERLINK("https://twitter.com/Alexand39364677","@Alexand39364677")</f>
        <v>@Alexand39364677</v>
      </c>
      <c r="C26136" t="s">
        <v>11449</v>
      </c>
      <c r="D26136">
        <v>21</v>
      </c>
      <c r="E26136">
        <v>0</v>
      </c>
      <c r="F26136">
        <v>4</v>
      </c>
    </row>
    <row r="26137" spans="1:6" ht="12.75">
      <c r="A26137" s="2">
        <v>43875.712349537032</v>
      </c>
      <c r="B26137" t="str">
        <f>HYPERLINK("https://twitter.com/baniadygennody","@baniadygennody")</f>
        <v>@baniadygennody</v>
      </c>
      <c r="C26137" t="s">
        <v>175</v>
      </c>
      <c r="D26137">
        <v>5291</v>
      </c>
      <c r="E26137">
        <v>0</v>
      </c>
      <c r="F26137">
        <v>341</v>
      </c>
    </row>
    <row r="26138" spans="1:6" ht="12.75">
      <c r="A26138" s="2">
        <v>43875.712337962963</v>
      </c>
      <c r="B26138" t="str">
        <f>HYPERLINK("https://twitter.com/mudha_satriya","@mudha_satriya")</f>
        <v>@mudha_satriya</v>
      </c>
      <c r="C26138" t="s">
        <v>11715</v>
      </c>
      <c r="D26138">
        <v>1</v>
      </c>
      <c r="E26138">
        <v>0</v>
      </c>
      <c r="F26138">
        <v>1877</v>
      </c>
    </row>
    <row r="26139" spans="1:6" ht="12.75">
      <c r="A26139" s="2">
        <v>43875.712326388893</v>
      </c>
      <c r="B26139" t="str">
        <f>HYPERLINK("https://twitter.com/evndari","@evndari")</f>
        <v>@evndari</v>
      </c>
      <c r="C26139" t="s">
        <v>2963</v>
      </c>
      <c r="D26139">
        <v>994</v>
      </c>
      <c r="E26139">
        <v>0</v>
      </c>
      <c r="F26139">
        <v>97739</v>
      </c>
    </row>
    <row r="26140" spans="1:6" ht="12.75">
      <c r="A26140" s="2">
        <v>43875.712187500001</v>
      </c>
      <c r="B26140" t="str">
        <f>HYPERLINK("https://twitter.com/taufikaboe","@taufikaboe")</f>
        <v>@taufikaboe</v>
      </c>
      <c r="C26140" t="s">
        <v>9746</v>
      </c>
      <c r="D26140">
        <v>280</v>
      </c>
      <c r="E26140">
        <v>0</v>
      </c>
      <c r="F26140">
        <v>50</v>
      </c>
    </row>
    <row r="26141" spans="1:6" ht="12.75">
      <c r="A26141" s="2">
        <v>43875.712175925924</v>
      </c>
      <c r="B26141" t="str">
        <f>HYPERLINK("https://twitter.com/deaaapr_","@deaaapr_")</f>
        <v>@deaaapr_</v>
      </c>
      <c r="C26141" t="s">
        <v>2444</v>
      </c>
      <c r="D26141">
        <v>1860</v>
      </c>
      <c r="E26141">
        <v>0</v>
      </c>
      <c r="F26141">
        <v>9</v>
      </c>
    </row>
    <row r="26142" spans="1:6" ht="12.75">
      <c r="A26142" s="2">
        <v>43875.712141203709</v>
      </c>
      <c r="B26142" t="str">
        <f>HYPERLINK("https://twitter.com/republikalam","@republikalam")</f>
        <v>@republikalam</v>
      </c>
      <c r="C26142" t="s">
        <v>5168</v>
      </c>
      <c r="D26142">
        <v>845</v>
      </c>
      <c r="E26142">
        <v>0</v>
      </c>
      <c r="F26142">
        <v>33</v>
      </c>
    </row>
    <row r="26143" spans="1:6" ht="12.75">
      <c r="A26143" s="2">
        <v>43875.71193287037</v>
      </c>
      <c r="B26143" t="str">
        <f>HYPERLINK("https://twitter.com/SumaHan65560614","@SumaHan65560614")</f>
        <v>@SumaHan65560614</v>
      </c>
      <c r="C26143" t="s">
        <v>10109</v>
      </c>
      <c r="D26143">
        <v>30</v>
      </c>
      <c r="E26143">
        <v>0</v>
      </c>
      <c r="F26143">
        <v>49</v>
      </c>
    </row>
    <row r="26144" spans="1:6" ht="12.75">
      <c r="A26144" s="2">
        <v>43875.711840277778</v>
      </c>
      <c r="B26144" t="str">
        <f>HYPERLINK("https://twitter.com/forddyce92","@forddyce92")</f>
        <v>@forddyce92</v>
      </c>
      <c r="C26144" t="s">
        <v>11716</v>
      </c>
      <c r="D26144">
        <v>0</v>
      </c>
      <c r="E26144">
        <v>0</v>
      </c>
      <c r="F26144">
        <v>24</v>
      </c>
    </row>
    <row r="26145" spans="1:6" ht="12.75">
      <c r="A26145" s="2">
        <v>43875.711736111116</v>
      </c>
      <c r="B26145" t="str">
        <f>HYPERLINK("https://twitter.com/fuergnani","@fuergnani")</f>
        <v>@fuergnani</v>
      </c>
      <c r="C26145" t="s">
        <v>2444</v>
      </c>
      <c r="D26145">
        <v>1860</v>
      </c>
      <c r="E26145">
        <v>0</v>
      </c>
      <c r="F26145">
        <v>195</v>
      </c>
    </row>
    <row r="26146" spans="1:6" ht="12.75">
      <c r="A26146" s="2">
        <v>43875.711689814816</v>
      </c>
      <c r="B26146" t="str">
        <f>HYPERLINK("https://twitter.com/catreonot","@catreonot")</f>
        <v>@catreonot</v>
      </c>
      <c r="C26146" t="s">
        <v>7068</v>
      </c>
      <c r="D26146">
        <v>20</v>
      </c>
      <c r="E26146">
        <v>0</v>
      </c>
      <c r="F26146">
        <v>198</v>
      </c>
    </row>
    <row r="26147" spans="1:6" ht="12.75">
      <c r="A26147" s="2">
        <v>43875.71166666667</v>
      </c>
      <c r="B26147" t="str">
        <f>HYPERLINK("https://twitter.com/CecyliaCrystal","@CecyliaCrystal")</f>
        <v>@CecyliaCrystal</v>
      </c>
      <c r="C26147" t="s">
        <v>11717</v>
      </c>
      <c r="D26147">
        <v>0</v>
      </c>
      <c r="E26147">
        <v>1</v>
      </c>
      <c r="F26147">
        <v>69</v>
      </c>
    </row>
    <row r="26148" spans="1:6" ht="12.75">
      <c r="A26148" s="2">
        <v>43875.711539351847</v>
      </c>
      <c r="B26148" t="str">
        <f>HYPERLINK("https://twitter.com/JKadrun","@JKadrun")</f>
        <v>@JKadrun</v>
      </c>
      <c r="C26148" t="s">
        <v>11718</v>
      </c>
      <c r="D26148">
        <v>0</v>
      </c>
      <c r="E26148">
        <v>0</v>
      </c>
      <c r="F26148">
        <v>222</v>
      </c>
    </row>
    <row r="26149" spans="1:6" ht="12.75">
      <c r="A26149" s="2">
        <v>43875.711388888885</v>
      </c>
      <c r="B26149" t="str">
        <f>HYPERLINK("https://twitter.com/yovithaas","@yovithaas")</f>
        <v>@yovithaas</v>
      </c>
      <c r="C26149" t="s">
        <v>2444</v>
      </c>
      <c r="D26149">
        <v>1860</v>
      </c>
      <c r="E26149">
        <v>0</v>
      </c>
      <c r="F26149">
        <v>55</v>
      </c>
    </row>
    <row r="26150" spans="1:6" ht="12.75">
      <c r="A26150" s="2">
        <v>43875.711354166662</v>
      </c>
      <c r="B26150" t="str">
        <f>HYPERLINK("https://twitter.com/luzitski","@luzitski")</f>
        <v>@luzitski</v>
      </c>
      <c r="C26150" t="s">
        <v>2444</v>
      </c>
      <c r="D26150">
        <v>1860</v>
      </c>
      <c r="E26150">
        <v>0</v>
      </c>
      <c r="F26150">
        <v>381</v>
      </c>
    </row>
    <row r="26151" spans="1:6" ht="12.75">
      <c r="A26151" s="2">
        <v>43875.711331018523</v>
      </c>
      <c r="B26151" t="str">
        <f>HYPERLINK("https://twitter.com/oktikurniaa","@oktikurniaa")</f>
        <v>@oktikurniaa</v>
      </c>
      <c r="C26151" t="s">
        <v>2444</v>
      </c>
      <c r="D26151">
        <v>1860</v>
      </c>
      <c r="E26151">
        <v>0</v>
      </c>
      <c r="F26151">
        <v>425</v>
      </c>
    </row>
    <row r="26152" spans="1:6" ht="12.75">
      <c r="A26152" s="2">
        <v>43875.711226851854</v>
      </c>
      <c r="B26152" t="str">
        <f>HYPERLINK("https://twitter.com/sirajapadoha","@sirajapadoha")</f>
        <v>@sirajapadoha</v>
      </c>
      <c r="C26152" t="s">
        <v>11719</v>
      </c>
      <c r="D26152">
        <v>1</v>
      </c>
      <c r="E26152">
        <v>0</v>
      </c>
      <c r="F26152">
        <v>2400</v>
      </c>
    </row>
    <row r="26153" spans="1:6" ht="12.75">
      <c r="A26153" s="2">
        <v>43875.711226851854</v>
      </c>
      <c r="B26153" t="str">
        <f>HYPERLINK("https://twitter.com/idpenamini","@idpenamini")</f>
        <v>@idpenamini</v>
      </c>
      <c r="C26153" t="s">
        <v>11720</v>
      </c>
      <c r="D26153">
        <v>0</v>
      </c>
      <c r="E26153">
        <v>0</v>
      </c>
      <c r="F26153">
        <v>168</v>
      </c>
    </row>
    <row r="26154" spans="1:6" ht="12.75">
      <c r="A26154" s="2">
        <v>43875.711215277777</v>
      </c>
      <c r="B26154" t="str">
        <f>HYPERLINK("https://twitter.com/anosiakoh","@anosiakoh")</f>
        <v>@anosiakoh</v>
      </c>
      <c r="C26154" t="s">
        <v>10052</v>
      </c>
      <c r="D26154">
        <v>37</v>
      </c>
      <c r="E26154">
        <v>0</v>
      </c>
      <c r="F26154">
        <v>68</v>
      </c>
    </row>
    <row r="26155" spans="1:6" ht="12.75">
      <c r="A26155" s="2">
        <v>43875.7112037037</v>
      </c>
      <c r="B26155" t="str">
        <f>HYPERLINK("https://twitter.com/goheed","@goheed")</f>
        <v>@goheed</v>
      </c>
      <c r="C26155" t="s">
        <v>11721</v>
      </c>
      <c r="D26155">
        <v>0</v>
      </c>
      <c r="E26155">
        <v>0</v>
      </c>
      <c r="F26155">
        <v>2</v>
      </c>
    </row>
    <row r="26156" spans="1:6" ht="12.75">
      <c r="A26156" s="2">
        <v>43875.711145833338</v>
      </c>
      <c r="B26156" t="str">
        <f>HYPERLINK("https://twitter.com/YutaWatanabee","@YutaWatanabee")</f>
        <v>@YutaWatanabee</v>
      </c>
      <c r="C26156" t="s">
        <v>2444</v>
      </c>
      <c r="D26156">
        <v>1860</v>
      </c>
      <c r="E26156">
        <v>0</v>
      </c>
      <c r="F26156">
        <v>566</v>
      </c>
    </row>
    <row r="26157" spans="1:6" ht="12.75">
      <c r="A26157" s="2">
        <v>43875.711099537039</v>
      </c>
      <c r="B26157" t="str">
        <f>HYPERLINK("https://twitter.com/alharits02","@alharits02")</f>
        <v>@alharits02</v>
      </c>
      <c r="C26157" t="s">
        <v>11722</v>
      </c>
      <c r="D26157">
        <v>0</v>
      </c>
      <c r="E26157">
        <v>0</v>
      </c>
      <c r="F26157">
        <v>148</v>
      </c>
    </row>
    <row r="26158" spans="1:6" ht="12.75">
      <c r="A26158" s="2">
        <v>43875.711076388892</v>
      </c>
      <c r="B26158" t="str">
        <f>HYPERLINK("https://twitter.com/RDNADN","@RDNADN")</f>
        <v>@RDNADN</v>
      </c>
      <c r="C26158" t="s">
        <v>2444</v>
      </c>
      <c r="D26158">
        <v>1860</v>
      </c>
      <c r="E26158">
        <v>0</v>
      </c>
      <c r="F26158">
        <v>6558</v>
      </c>
    </row>
    <row r="26159" spans="1:6" ht="12.75">
      <c r="A26159" s="2">
        <v>43875.711041666669</v>
      </c>
      <c r="B26159" t="str">
        <f>HYPERLINK("https://twitter.com/mysuega","@mysuega")</f>
        <v>@mysuega</v>
      </c>
      <c r="C26159" t="s">
        <v>2444</v>
      </c>
      <c r="D26159">
        <v>1860</v>
      </c>
      <c r="E26159">
        <v>0</v>
      </c>
      <c r="F26159">
        <v>700</v>
      </c>
    </row>
    <row r="26160" spans="1:6" ht="12.75">
      <c r="A26160" s="2">
        <v>43875.711018518516</v>
      </c>
      <c r="B26160" t="str">
        <f>HYPERLINK("https://twitter.com/Daniipratamaa","@Daniipratamaa")</f>
        <v>@Daniipratamaa</v>
      </c>
      <c r="C26160" t="s">
        <v>2963</v>
      </c>
      <c r="D26160">
        <v>994</v>
      </c>
      <c r="E26160">
        <v>0</v>
      </c>
      <c r="F26160">
        <v>26</v>
      </c>
    </row>
    <row r="26161" spans="1:6" ht="12.75">
      <c r="A26161" s="2">
        <v>43875.711006944446</v>
      </c>
      <c r="B26161" t="str">
        <f>HYPERLINK("https://twitter.com/RidwanRoti","@RidwanRoti")</f>
        <v>@RidwanRoti</v>
      </c>
      <c r="C26161" t="s">
        <v>11723</v>
      </c>
      <c r="D26161">
        <v>0</v>
      </c>
      <c r="E26161">
        <v>0</v>
      </c>
      <c r="F26161">
        <v>126</v>
      </c>
    </row>
    <row r="26162" spans="1:6" ht="12.75">
      <c r="A26162" s="2">
        <v>43875.710995370369</v>
      </c>
      <c r="B26162" t="str">
        <f>HYPERLINK("https://twitter.com/azpalkthea","@azpalkthea")</f>
        <v>@azpalkthea</v>
      </c>
      <c r="C26162" t="s">
        <v>2963</v>
      </c>
      <c r="D26162">
        <v>994</v>
      </c>
      <c r="E26162">
        <v>0</v>
      </c>
      <c r="F26162">
        <v>2126</v>
      </c>
    </row>
    <row r="26163" spans="1:6" ht="12.75">
      <c r="A26163" s="2">
        <v>43875.710983796293</v>
      </c>
      <c r="B26163" t="str">
        <f>HYPERLINK("https://twitter.com/rendiwahyuf","@rendiwahyuf")</f>
        <v>@rendiwahyuf</v>
      </c>
      <c r="C26163" t="s">
        <v>8720</v>
      </c>
      <c r="D26163">
        <v>44</v>
      </c>
      <c r="E26163">
        <v>0</v>
      </c>
      <c r="F26163">
        <v>3</v>
      </c>
    </row>
    <row r="26164" spans="1:6" ht="12.75">
      <c r="A26164" s="2">
        <v>43875.710972222223</v>
      </c>
      <c r="B26164" t="str">
        <f>HYPERLINK("https://twitter.com/idntimes","@idntimes")</f>
        <v>@idntimes</v>
      </c>
      <c r="C26164" t="s">
        <v>11724</v>
      </c>
      <c r="D26164">
        <v>0</v>
      </c>
      <c r="E26164">
        <v>0</v>
      </c>
      <c r="F26164">
        <v>392660</v>
      </c>
    </row>
    <row r="26165" spans="1:6" ht="12.75">
      <c r="A26165" s="2">
        <v>43875.710972222223</v>
      </c>
      <c r="B26165" t="str">
        <f>HYPERLINK("https://twitter.com/idpenamini","@idpenamini")</f>
        <v>@idpenamini</v>
      </c>
      <c r="C26165" t="s">
        <v>11725</v>
      </c>
      <c r="D26165">
        <v>0</v>
      </c>
      <c r="E26165">
        <v>0</v>
      </c>
      <c r="F26165">
        <v>168</v>
      </c>
    </row>
    <row r="26166" spans="1:6" ht="12.75">
      <c r="A26166" s="2">
        <v>43875.710902777777</v>
      </c>
      <c r="B26166" t="str">
        <f>HYPERLINK("https://twitter.com/Eni55108034","@Eni55108034")</f>
        <v>@Eni55108034</v>
      </c>
      <c r="C26166" t="s">
        <v>11726</v>
      </c>
      <c r="D26166">
        <v>0</v>
      </c>
      <c r="E26166">
        <v>0</v>
      </c>
      <c r="F26166">
        <v>2</v>
      </c>
    </row>
    <row r="26167" spans="1:6" ht="12.75">
      <c r="A26167" s="2">
        <v>43875.710879629631</v>
      </c>
      <c r="B26167" t="str">
        <f>HYPERLINK("https://twitter.com/Fannytjio1","@Fannytjio1")</f>
        <v>@Fannytjio1</v>
      </c>
      <c r="C26167" t="s">
        <v>11727</v>
      </c>
      <c r="D26167">
        <v>2</v>
      </c>
      <c r="E26167">
        <v>0</v>
      </c>
      <c r="F26167">
        <v>37</v>
      </c>
    </row>
    <row r="26168" spans="1:6" ht="12.75">
      <c r="A26168" s="2">
        <v>43875.710833333331</v>
      </c>
      <c r="B26168" t="str">
        <f>HYPERLINK("https://twitter.com/bffb300aff02425","@bffb300aff02425")</f>
        <v>@bffb300aff02425</v>
      </c>
      <c r="C26168" t="s">
        <v>11728</v>
      </c>
      <c r="D26168">
        <v>60</v>
      </c>
      <c r="E26168">
        <v>0</v>
      </c>
      <c r="F26168">
        <v>512</v>
      </c>
    </row>
    <row r="26169" spans="1:6" ht="12.75">
      <c r="A26169" s="2">
        <v>43875.710740740746</v>
      </c>
      <c r="B26169" t="str">
        <f>HYPERLINK("https://twitter.com/sukaubimanis","@sukaubimanis")</f>
        <v>@sukaubimanis</v>
      </c>
      <c r="C26169" t="s">
        <v>11729</v>
      </c>
      <c r="D26169">
        <v>0</v>
      </c>
      <c r="E26169">
        <v>0</v>
      </c>
      <c r="F26169">
        <v>4</v>
      </c>
    </row>
    <row r="26170" spans="1:6" ht="12.75">
      <c r="A26170" s="2">
        <v>43875.710706018523</v>
      </c>
      <c r="B26170" t="str">
        <f>HYPERLINK("https://twitter.com/Lukman_HARP","@Lukman_HARP")</f>
        <v>@Lukman_HARP</v>
      </c>
      <c r="C26170" t="s">
        <v>11730</v>
      </c>
      <c r="D26170">
        <v>4</v>
      </c>
      <c r="E26170">
        <v>0</v>
      </c>
      <c r="F26170">
        <v>1059</v>
      </c>
    </row>
    <row r="26171" spans="1:6" ht="12.75">
      <c r="A26171" s="2">
        <v>43875.710659722223</v>
      </c>
      <c r="B26171" t="str">
        <f>HYPERLINK("https://twitter.com/kaguya_re","@kaguya_re")</f>
        <v>@kaguya_re</v>
      </c>
      <c r="C26171" t="s">
        <v>2137</v>
      </c>
      <c r="D26171">
        <v>155</v>
      </c>
      <c r="E26171">
        <v>0</v>
      </c>
      <c r="F26171">
        <v>185</v>
      </c>
    </row>
    <row r="26172" spans="1:6" ht="12.75">
      <c r="A26172" s="2">
        <v>43875.710659722223</v>
      </c>
      <c r="B26172" t="str">
        <f>HYPERLINK("https://twitter.com/DjokaPratama21","@DjokaPratama21")</f>
        <v>@DjokaPratama21</v>
      </c>
      <c r="C26172" t="s">
        <v>9021</v>
      </c>
      <c r="D26172">
        <v>197</v>
      </c>
      <c r="E26172">
        <v>0</v>
      </c>
      <c r="F26172">
        <v>206</v>
      </c>
    </row>
    <row r="26173" spans="1:6" ht="12.75">
      <c r="A26173" s="2">
        <v>43875.710625</v>
      </c>
      <c r="B26173" t="str">
        <f>HYPERLINK("https://twitter.com/EvanShanty","@EvanShanty")</f>
        <v>@EvanShanty</v>
      </c>
      <c r="C26173" t="s">
        <v>11731</v>
      </c>
      <c r="D26173">
        <v>0</v>
      </c>
      <c r="E26173">
        <v>0</v>
      </c>
      <c r="F26173">
        <v>72</v>
      </c>
    </row>
    <row r="26174" spans="1:6" ht="12.75">
      <c r="A26174" s="2">
        <v>43875.710601851853</v>
      </c>
      <c r="B26174" t="str">
        <f>HYPERLINK("https://twitter.com/Satir76","@Satir76")</f>
        <v>@Satir76</v>
      </c>
      <c r="C26174" t="s">
        <v>9746</v>
      </c>
      <c r="D26174">
        <v>280</v>
      </c>
      <c r="E26174">
        <v>0</v>
      </c>
      <c r="F26174">
        <v>578</v>
      </c>
    </row>
    <row r="26175" spans="1:6" ht="12.75">
      <c r="A26175" s="2">
        <v>43875.71056712963</v>
      </c>
      <c r="B26175" t="str">
        <f>HYPERLINK("https://twitter.com/GateJannah","@GateJannah")</f>
        <v>@GateJannah</v>
      </c>
      <c r="C26175" t="s">
        <v>7478</v>
      </c>
      <c r="D26175">
        <v>292</v>
      </c>
      <c r="E26175">
        <v>0</v>
      </c>
      <c r="F26175">
        <v>785</v>
      </c>
    </row>
    <row r="26176" spans="1:6" ht="12.75">
      <c r="A26176" s="2">
        <v>43875.710497685184</v>
      </c>
      <c r="B26176" t="str">
        <f>HYPERLINK("https://twitter.com/rang_simabua","@rang_simabua")</f>
        <v>@rang_simabua</v>
      </c>
      <c r="C26176" t="s">
        <v>7478</v>
      </c>
      <c r="D26176">
        <v>292</v>
      </c>
      <c r="E26176">
        <v>0</v>
      </c>
      <c r="F26176">
        <v>7480</v>
      </c>
    </row>
    <row r="26177" spans="1:6" ht="12.75">
      <c r="A26177" s="2">
        <v>43875.710474537038</v>
      </c>
      <c r="B26177" t="str">
        <f>HYPERLINK("https://twitter.com/herlambang_tan","@herlambang_tan")</f>
        <v>@herlambang_tan</v>
      </c>
      <c r="C26177" t="s">
        <v>11732</v>
      </c>
      <c r="D26177">
        <v>0</v>
      </c>
      <c r="E26177">
        <v>0</v>
      </c>
      <c r="F26177">
        <v>2342</v>
      </c>
    </row>
    <row r="26178" spans="1:6" ht="12.75">
      <c r="A26178" s="2">
        <v>43875.710428240738</v>
      </c>
      <c r="B26178" t="str">
        <f>HYPERLINK("https://twitter.com/Yusufwi1","@Yusufwi1")</f>
        <v>@Yusufwi1</v>
      </c>
      <c r="C26178" t="s">
        <v>11733</v>
      </c>
      <c r="D26178">
        <v>65</v>
      </c>
      <c r="E26178">
        <v>0</v>
      </c>
      <c r="F26178">
        <v>8</v>
      </c>
    </row>
    <row r="26179" spans="1:6" ht="12.75">
      <c r="A26179" s="2">
        <v>43875.710393518515</v>
      </c>
      <c r="B26179" t="str">
        <f>HYPERLINK("https://twitter.com/Adhit_Android","@Adhit_Android")</f>
        <v>@Adhit_Android</v>
      </c>
      <c r="C26179" t="s">
        <v>11460</v>
      </c>
      <c r="D26179">
        <v>23</v>
      </c>
      <c r="E26179">
        <v>0</v>
      </c>
      <c r="F26179">
        <v>1848</v>
      </c>
    </row>
    <row r="26180" spans="1:6" ht="12.75">
      <c r="A26180" s="2">
        <v>43875.710335648153</v>
      </c>
      <c r="B26180" t="str">
        <f>HYPERLINK("https://twitter.com/Radheshyam00007","@Radheshyam00007")</f>
        <v>@Radheshyam00007</v>
      </c>
      <c r="C26180" t="s">
        <v>10000</v>
      </c>
      <c r="D26180">
        <v>600</v>
      </c>
      <c r="E26180">
        <v>0</v>
      </c>
      <c r="F26180">
        <v>281</v>
      </c>
    </row>
    <row r="26181" spans="1:6" ht="12.75">
      <c r="A26181" s="2">
        <v>43875.710324074069</v>
      </c>
      <c r="B26181" t="str">
        <f>HYPERLINK("https://twitter.com/rubyrdn","@rubyrdn")</f>
        <v>@rubyrdn</v>
      </c>
      <c r="C26181" t="s">
        <v>2444</v>
      </c>
      <c r="D26181">
        <v>1860</v>
      </c>
      <c r="E26181">
        <v>0</v>
      </c>
      <c r="F26181">
        <v>1253</v>
      </c>
    </row>
    <row r="26182" spans="1:6" ht="12.75">
      <c r="A26182" s="2">
        <v>43875.710312499999</v>
      </c>
      <c r="B26182" t="str">
        <f>HYPERLINK("https://twitter.com/solotrustcom","@solotrustcom")</f>
        <v>@solotrustcom</v>
      </c>
      <c r="C26182" t="s">
        <v>11734</v>
      </c>
      <c r="D26182">
        <v>0</v>
      </c>
      <c r="E26182">
        <v>0</v>
      </c>
      <c r="F26182">
        <v>129</v>
      </c>
    </row>
    <row r="26183" spans="1:6" ht="12.75">
      <c r="A26183" s="2">
        <v>43875.710277777776</v>
      </c>
      <c r="B26183" t="str">
        <f>HYPERLINK("https://twitter.com/Barna_byo","@Barna_byo")</f>
        <v>@Barna_byo</v>
      </c>
      <c r="C26183" t="s">
        <v>11390</v>
      </c>
      <c r="D26183">
        <v>78</v>
      </c>
      <c r="E26183">
        <v>0</v>
      </c>
      <c r="F26183">
        <v>7832</v>
      </c>
    </row>
    <row r="26184" spans="1:6" ht="12.75">
      <c r="A26184" s="2">
        <v>43875.710219907407</v>
      </c>
      <c r="B26184" t="str">
        <f>HYPERLINK("https://twitter.com/darkquexn","@darkquexn")</f>
        <v>@darkquexn</v>
      </c>
      <c r="C26184" t="s">
        <v>10697</v>
      </c>
      <c r="D26184">
        <v>27</v>
      </c>
      <c r="E26184">
        <v>0</v>
      </c>
      <c r="F26184">
        <v>129</v>
      </c>
    </row>
    <row r="26185" spans="1:6" ht="12.75">
      <c r="A26185" s="2">
        <v>43875.71020833333</v>
      </c>
      <c r="B26185" t="str">
        <f>HYPERLINK("https://twitter.com/bhaja27","@bhaja27")</f>
        <v>@bhaja27</v>
      </c>
      <c r="C26185" t="s">
        <v>6201</v>
      </c>
      <c r="D26185">
        <v>109</v>
      </c>
      <c r="E26185">
        <v>0</v>
      </c>
      <c r="F26185">
        <v>747</v>
      </c>
    </row>
    <row r="26186" spans="1:6" ht="12.75">
      <c r="A26186" s="2">
        <v>43875.710173611107</v>
      </c>
      <c r="B26186" t="str">
        <f>HYPERLINK("https://twitter.com/muhammadshafix","@muhammadshafix")</f>
        <v>@muhammadshafix</v>
      </c>
      <c r="C26186" t="s">
        <v>10140</v>
      </c>
      <c r="D26186">
        <v>1</v>
      </c>
      <c r="E26186">
        <v>0</v>
      </c>
      <c r="F26186">
        <v>156</v>
      </c>
    </row>
    <row r="26187" spans="1:6" ht="12.75">
      <c r="A26187" s="2">
        <v>43875.710046296299</v>
      </c>
      <c r="B26187" t="str">
        <f>HYPERLINK("https://twitter.com/Eni55108034","@Eni55108034")</f>
        <v>@Eni55108034</v>
      </c>
      <c r="C26187" t="s">
        <v>11735</v>
      </c>
      <c r="D26187">
        <v>0</v>
      </c>
      <c r="E26187">
        <v>0</v>
      </c>
      <c r="F26187">
        <v>2</v>
      </c>
    </row>
    <row r="26188" spans="1:6" ht="12.75">
      <c r="A26188" s="2">
        <v>43875.710011574076</v>
      </c>
      <c r="B26188" t="str">
        <f>HYPERLINK("https://twitter.com/masadamsahid","@masadamsahid")</f>
        <v>@masadamsahid</v>
      </c>
      <c r="C26188" t="s">
        <v>11736</v>
      </c>
      <c r="D26188">
        <v>0</v>
      </c>
      <c r="E26188">
        <v>0</v>
      </c>
      <c r="F26188">
        <v>7</v>
      </c>
    </row>
    <row r="26189" spans="1:6" ht="12.75">
      <c r="A26189" s="2">
        <v>43875.709988425922</v>
      </c>
      <c r="B26189" t="str">
        <f>HYPERLINK("https://twitter.com/wonderrallen","@wonderrallen")</f>
        <v>@wonderrallen</v>
      </c>
      <c r="C26189" t="s">
        <v>5168</v>
      </c>
      <c r="D26189">
        <v>845</v>
      </c>
      <c r="E26189">
        <v>0</v>
      </c>
      <c r="F26189">
        <v>3584</v>
      </c>
    </row>
    <row r="26190" spans="1:6" ht="12.75">
      <c r="A26190" s="2">
        <v>43875.709953703699</v>
      </c>
      <c r="B26190" t="str">
        <f>HYPERLINK("https://twitter.com/ferdinsyhx","@ferdinsyhx")</f>
        <v>@ferdinsyhx</v>
      </c>
      <c r="C26190" t="s">
        <v>11737</v>
      </c>
      <c r="D26190">
        <v>0</v>
      </c>
      <c r="E26190">
        <v>0</v>
      </c>
      <c r="F26190">
        <v>24</v>
      </c>
    </row>
    <row r="26191" spans="1:6" ht="12.75">
      <c r="A26191" s="2">
        <v>43875.709895833337</v>
      </c>
      <c r="B26191" t="str">
        <f>HYPERLINK("https://twitter.com/Pan_Ca","@Pan_Ca")</f>
        <v>@Pan_Ca</v>
      </c>
      <c r="C26191" t="s">
        <v>2963</v>
      </c>
      <c r="D26191">
        <v>958</v>
      </c>
      <c r="E26191">
        <v>0</v>
      </c>
      <c r="F26191">
        <v>184</v>
      </c>
    </row>
    <row r="26192" spans="1:6" ht="12.75">
      <c r="A26192" s="2">
        <v>43875.709849537037</v>
      </c>
      <c r="B26192" t="str">
        <f>HYPERLINK("https://twitter.com/Adtykrnwn","@Adtykrnwn")</f>
        <v>@Adtykrnwn</v>
      </c>
      <c r="C26192" t="s">
        <v>11449</v>
      </c>
      <c r="D26192">
        <v>20</v>
      </c>
      <c r="E26192">
        <v>0</v>
      </c>
      <c r="F26192">
        <v>586</v>
      </c>
    </row>
    <row r="26193" spans="1:6" ht="12.75">
      <c r="A26193" s="2">
        <v>43875.709826388891</v>
      </c>
      <c r="B26193" t="str">
        <f>HYPERLINK("https://twitter.com/sourbittercake","@sourbittercake")</f>
        <v>@sourbittercake</v>
      </c>
      <c r="C26193" t="s">
        <v>5168</v>
      </c>
      <c r="D26193">
        <v>789</v>
      </c>
      <c r="E26193">
        <v>0</v>
      </c>
      <c r="F26193">
        <v>151</v>
      </c>
    </row>
    <row r="26194" spans="1:6" ht="12.75">
      <c r="A26194" s="2">
        <v>43875.709756944445</v>
      </c>
      <c r="B26194" t="str">
        <f>HYPERLINK("https://twitter.com/wirowiro2013","@wirowiro2013")</f>
        <v>@wirowiro2013</v>
      </c>
      <c r="C26194" t="s">
        <v>11738</v>
      </c>
      <c r="D26194">
        <v>0</v>
      </c>
      <c r="E26194">
        <v>0</v>
      </c>
      <c r="F26194">
        <v>1964</v>
      </c>
    </row>
    <row r="26195" spans="1:6" ht="12.75">
      <c r="A26195" s="2">
        <v>43875.709710648152</v>
      </c>
      <c r="B26195" t="str">
        <f>HYPERLINK("https://twitter.com/mio_racing","@mio_racing")</f>
        <v>@mio_racing</v>
      </c>
      <c r="C26195" t="s">
        <v>9746</v>
      </c>
      <c r="D26195">
        <v>249</v>
      </c>
      <c r="E26195">
        <v>0</v>
      </c>
      <c r="F26195">
        <v>297</v>
      </c>
    </row>
    <row r="26196" spans="1:6" ht="12.75">
      <c r="A26196" s="2">
        <v>43875.709710648152</v>
      </c>
      <c r="B26196" t="str">
        <f>HYPERLINK("https://twitter.com/BangPitung_AJW","@BangPitung_AJW")</f>
        <v>@BangPitung_AJW</v>
      </c>
      <c r="C26196" t="s">
        <v>11739</v>
      </c>
      <c r="D26196">
        <v>0</v>
      </c>
      <c r="E26196">
        <v>0</v>
      </c>
      <c r="F26196">
        <v>6414</v>
      </c>
    </row>
    <row r="26197" spans="1:6" ht="12.75">
      <c r="A26197" s="2">
        <v>43875.709675925929</v>
      </c>
      <c r="B26197" t="str">
        <f>HYPERLINK("https://twitter.com/ryeryee_","@ryeryee_")</f>
        <v>@ryeryee_</v>
      </c>
      <c r="C26197" t="s">
        <v>5168</v>
      </c>
      <c r="D26197">
        <v>789</v>
      </c>
      <c r="E26197">
        <v>0</v>
      </c>
      <c r="F26197">
        <v>7</v>
      </c>
    </row>
    <row r="26198" spans="1:6" ht="12.75">
      <c r="A26198" s="2">
        <v>43875.709629629629</v>
      </c>
      <c r="B26198" t="str">
        <f>HYPERLINK("https://twitter.com/AuliaRochmah13","@AuliaRochmah13")</f>
        <v>@AuliaRochmah13</v>
      </c>
      <c r="C26198" t="s">
        <v>11740</v>
      </c>
      <c r="D26198">
        <v>2</v>
      </c>
      <c r="E26198">
        <v>0</v>
      </c>
      <c r="F26198">
        <v>32</v>
      </c>
    </row>
    <row r="26199" spans="1:6" ht="12.75">
      <c r="A26199" s="2">
        <v>43875.709409722222</v>
      </c>
      <c r="B26199" t="str">
        <f>HYPERLINK("https://twitter.com/PenyairRadikal","@PenyairRadikal")</f>
        <v>@PenyairRadikal</v>
      </c>
      <c r="C26199" t="s">
        <v>9776</v>
      </c>
      <c r="D26199">
        <v>2</v>
      </c>
      <c r="E26199">
        <v>0</v>
      </c>
      <c r="F26199">
        <v>97</v>
      </c>
    </row>
    <row r="26200" spans="1:6" ht="12.75">
      <c r="A26200" s="2">
        <v>43875.709363425922</v>
      </c>
      <c r="B26200" t="str">
        <f>HYPERLINK("https://twitter.com/rafsa_08","@rafsa_08")</f>
        <v>@rafsa_08</v>
      </c>
      <c r="C26200" t="s">
        <v>9746</v>
      </c>
      <c r="D26200">
        <v>249</v>
      </c>
      <c r="E26200">
        <v>0</v>
      </c>
      <c r="F26200">
        <v>413</v>
      </c>
    </row>
    <row r="26201" spans="1:6" ht="12.75">
      <c r="A26201" s="2">
        <v>43875.709340277783</v>
      </c>
      <c r="B26201" t="str">
        <f>HYPERLINK("https://twitter.com/Satir76","@Satir76")</f>
        <v>@Satir76</v>
      </c>
      <c r="C26201" t="s">
        <v>7478</v>
      </c>
      <c r="D26201">
        <v>240</v>
      </c>
      <c r="E26201">
        <v>0</v>
      </c>
      <c r="F26201">
        <v>577</v>
      </c>
    </row>
    <row r="26202" spans="1:6" ht="12.75">
      <c r="A26202" s="2">
        <v>43875.709328703699</v>
      </c>
      <c r="B26202" t="str">
        <f>HYPERLINK("https://twitter.com/alfin0805","@alfin0805")</f>
        <v>@alfin0805</v>
      </c>
      <c r="C26202" t="s">
        <v>6201</v>
      </c>
      <c r="D26202">
        <v>49</v>
      </c>
      <c r="E26202">
        <v>0</v>
      </c>
      <c r="F26202">
        <v>1251</v>
      </c>
    </row>
    <row r="26203" spans="1:6" ht="12.75">
      <c r="A26203" s="2">
        <v>43875.709282407406</v>
      </c>
      <c r="B26203" t="str">
        <f>HYPERLINK("https://twitter.com/rotiikopyor","@rotiikopyor")</f>
        <v>@rotiikopyor</v>
      </c>
      <c r="C26203" t="s">
        <v>2137</v>
      </c>
      <c r="D26203">
        <v>138</v>
      </c>
      <c r="E26203">
        <v>0</v>
      </c>
      <c r="F26203">
        <v>57</v>
      </c>
    </row>
    <row r="26204" spans="1:6" ht="12.75">
      <c r="A26204" s="2">
        <v>43875.709270833337</v>
      </c>
      <c r="B26204" t="str">
        <f>HYPERLINK("https://twitter.com/1chaGhazali","@1chaGhazali")</f>
        <v>@1chaGhazali</v>
      </c>
      <c r="C26204" t="s">
        <v>2444</v>
      </c>
      <c r="D26204">
        <v>1638</v>
      </c>
      <c r="E26204">
        <v>0</v>
      </c>
      <c r="F26204">
        <v>700</v>
      </c>
    </row>
    <row r="26205" spans="1:6" ht="12.75">
      <c r="A26205" s="2">
        <v>43875.709224537037</v>
      </c>
      <c r="B26205" t="str">
        <f>HYPERLINK("https://twitter.com/chuppypie","@chuppypie")</f>
        <v>@chuppypie</v>
      </c>
      <c r="C26205" t="s">
        <v>2444</v>
      </c>
      <c r="D26205">
        <v>1638</v>
      </c>
      <c r="E26205">
        <v>0</v>
      </c>
      <c r="F26205">
        <v>1815</v>
      </c>
    </row>
    <row r="26206" spans="1:6" ht="12.75">
      <c r="A26206" s="2">
        <v>43875.70921296296</v>
      </c>
      <c r="B26206" t="str">
        <f>HYPERLINK("https://twitter.com/kkvrindhavan","@kkvrindhavan")</f>
        <v>@kkvrindhavan</v>
      </c>
      <c r="C26206" t="s">
        <v>9119</v>
      </c>
      <c r="D26206">
        <v>48</v>
      </c>
      <c r="E26206">
        <v>0</v>
      </c>
      <c r="F26206">
        <v>1723</v>
      </c>
    </row>
    <row r="26207" spans="1:6" ht="12.75">
      <c r="A26207" s="2">
        <v>43875.709201388891</v>
      </c>
      <c r="B26207" t="str">
        <f>HYPERLINK("https://twitter.com/Katolik_GK","@Katolik_GK")</f>
        <v>@Katolik_GK</v>
      </c>
      <c r="C26207" t="s">
        <v>11741</v>
      </c>
      <c r="D26207">
        <v>0</v>
      </c>
      <c r="E26207">
        <v>0</v>
      </c>
      <c r="F26207">
        <v>1939</v>
      </c>
    </row>
    <row r="26208" spans="1:6" ht="12.75">
      <c r="A26208" s="2">
        <v>43875.709201388891</v>
      </c>
      <c r="B26208" t="str">
        <f>HYPERLINK("https://twitter.com/Mukaertopo","@Mukaertopo")</f>
        <v>@Mukaertopo</v>
      </c>
      <c r="C26208" t="s">
        <v>6201</v>
      </c>
      <c r="D26208">
        <v>49</v>
      </c>
      <c r="E26208">
        <v>0</v>
      </c>
      <c r="F26208">
        <v>576</v>
      </c>
    </row>
    <row r="26209" spans="1:6" ht="12.75">
      <c r="A26209" s="2">
        <v>43875.709189814814</v>
      </c>
      <c r="B26209" t="str">
        <f>HYPERLINK("https://twitter.com/marpaung913","@marpaung913")</f>
        <v>@marpaung913</v>
      </c>
      <c r="C26209" t="s">
        <v>11742</v>
      </c>
      <c r="D26209">
        <v>0</v>
      </c>
      <c r="E26209">
        <v>0</v>
      </c>
      <c r="F26209">
        <v>525</v>
      </c>
    </row>
    <row r="26210" spans="1:6" ht="12.75">
      <c r="A26210" s="2">
        <v>43875.709189814814</v>
      </c>
      <c r="B26210" t="str">
        <f>HYPERLINK("https://twitter.com/eben_heizer","@eben_heizer")</f>
        <v>@eben_heizer</v>
      </c>
      <c r="C26210" t="s">
        <v>2963</v>
      </c>
      <c r="D26210">
        <v>958</v>
      </c>
      <c r="E26210">
        <v>0</v>
      </c>
      <c r="F26210">
        <v>1615</v>
      </c>
    </row>
    <row r="26211" spans="1:6" ht="12.75">
      <c r="A26211" s="2">
        <v>43875.709050925929</v>
      </c>
      <c r="B26211" t="str">
        <f>HYPERLINK("https://twitter.com/cakoleg","@cakoleg")</f>
        <v>@cakoleg</v>
      </c>
      <c r="C26211" t="s">
        <v>9147</v>
      </c>
      <c r="D26211">
        <v>20</v>
      </c>
      <c r="E26211">
        <v>0</v>
      </c>
      <c r="F26211">
        <v>878</v>
      </c>
    </row>
    <row r="26212" spans="1:6" ht="12.75">
      <c r="A26212" s="2">
        <v>43875.709039351852</v>
      </c>
      <c r="B26212" t="str">
        <f>HYPERLINK("https://twitter.com/athereneal","@athereneal")</f>
        <v>@athereneal</v>
      </c>
      <c r="C26212" t="s">
        <v>2137</v>
      </c>
      <c r="D26212">
        <v>138</v>
      </c>
      <c r="E26212">
        <v>0</v>
      </c>
      <c r="F26212">
        <v>109</v>
      </c>
    </row>
    <row r="26213" spans="1:6" ht="12.75">
      <c r="A26213" s="2">
        <v>43875.708923611106</v>
      </c>
      <c r="B26213" t="str">
        <f>HYPERLINK("https://twitter.com/mudha_satriya","@mudha_satriya")</f>
        <v>@mudha_satriya</v>
      </c>
      <c r="C26213" t="s">
        <v>11743</v>
      </c>
      <c r="D26213">
        <v>1</v>
      </c>
      <c r="E26213">
        <v>0</v>
      </c>
      <c r="F26213">
        <v>1877</v>
      </c>
    </row>
    <row r="26214" spans="1:6" ht="12.75">
      <c r="A26214" s="2">
        <v>43875.70888888889</v>
      </c>
      <c r="B26214" t="str">
        <f>HYPERLINK("https://twitter.com/tikusruk","@tikusruk")</f>
        <v>@tikusruk</v>
      </c>
      <c r="C26214" t="s">
        <v>5168</v>
      </c>
      <c r="D26214">
        <v>789</v>
      </c>
      <c r="E26214">
        <v>0</v>
      </c>
      <c r="F26214">
        <v>445</v>
      </c>
    </row>
    <row r="26215" spans="1:6" ht="12.75">
      <c r="A26215" s="2">
        <v>43875.708854166667</v>
      </c>
      <c r="B26215" t="str">
        <f>HYPERLINK("https://twitter.com/DenmasBedj0","@DenmasBedj0")</f>
        <v>@DenmasBedj0</v>
      </c>
      <c r="C26215" t="s">
        <v>11071</v>
      </c>
      <c r="D26215">
        <v>62</v>
      </c>
      <c r="E26215">
        <v>0</v>
      </c>
      <c r="F26215">
        <v>1867</v>
      </c>
    </row>
    <row r="26216" spans="1:6" ht="12.75">
      <c r="A26216" s="2">
        <v>43875.70884259259</v>
      </c>
      <c r="B26216" t="str">
        <f>HYPERLINK("https://twitter.com/ririnsafithri","@ririnsafithri")</f>
        <v>@ririnsafithri</v>
      </c>
      <c r="C26216" t="s">
        <v>5168</v>
      </c>
      <c r="D26216">
        <v>789</v>
      </c>
      <c r="E26216">
        <v>0</v>
      </c>
      <c r="F26216">
        <v>273</v>
      </c>
    </row>
    <row r="26217" spans="1:6" ht="12.75">
      <c r="A26217" s="2">
        <v>43875.708807870367</v>
      </c>
      <c r="B26217" t="str">
        <f>HYPERLINK("https://twitter.com/mudha_satriya","@mudha_satriya")</f>
        <v>@mudha_satriya</v>
      </c>
      <c r="C26217" t="s">
        <v>11744</v>
      </c>
      <c r="D26217">
        <v>4</v>
      </c>
      <c r="E26217">
        <v>0</v>
      </c>
      <c r="F26217">
        <v>1877</v>
      </c>
    </row>
    <row r="26218" spans="1:6" ht="12.75">
      <c r="A26218" s="2">
        <v>43875.708761574075</v>
      </c>
      <c r="B26218" t="str">
        <f>HYPERLINK("https://twitter.com/lahir11juli","@lahir11juli")</f>
        <v>@lahir11juli</v>
      </c>
      <c r="C26218" t="s">
        <v>10422</v>
      </c>
      <c r="D26218">
        <v>96</v>
      </c>
      <c r="E26218">
        <v>0</v>
      </c>
      <c r="F26218">
        <v>546</v>
      </c>
    </row>
    <row r="26219" spans="1:6" ht="12.75">
      <c r="A26219" s="2">
        <v>43875.708738425921</v>
      </c>
      <c r="B26219" t="str">
        <f>HYPERLINK("https://twitter.com/ymivina","@ymivina")</f>
        <v>@ymivina</v>
      </c>
      <c r="C26219" t="s">
        <v>2444</v>
      </c>
      <c r="D26219">
        <v>1638</v>
      </c>
      <c r="E26219">
        <v>0</v>
      </c>
      <c r="F26219">
        <v>493</v>
      </c>
    </row>
    <row r="26220" spans="1:6" ht="12.75">
      <c r="A26220" s="2">
        <v>43875.708715277782</v>
      </c>
      <c r="B26220" t="str">
        <f>HYPERLINK("https://twitter.com/bhaja27","@bhaja27")</f>
        <v>@bhaja27</v>
      </c>
      <c r="C26220" t="s">
        <v>11666</v>
      </c>
      <c r="D26220">
        <v>9</v>
      </c>
      <c r="E26220">
        <v>0</v>
      </c>
      <c r="F26220">
        <v>748</v>
      </c>
    </row>
    <row r="26221" spans="1:6" ht="12.75">
      <c r="A26221" s="2">
        <v>43875.708692129629</v>
      </c>
      <c r="B26221" t="str">
        <f>HYPERLINK("https://twitter.com/nafshx","@nafshx")</f>
        <v>@nafshx</v>
      </c>
      <c r="C26221" t="s">
        <v>3342</v>
      </c>
      <c r="D26221">
        <v>2472</v>
      </c>
      <c r="E26221">
        <v>0</v>
      </c>
      <c r="F26221">
        <v>1259</v>
      </c>
    </row>
    <row r="26222" spans="1:6" ht="12.75">
      <c r="A26222" s="2">
        <v>43875.708437499998</v>
      </c>
      <c r="B26222" t="str">
        <f>HYPERLINK("https://twitter.com/fghar135","@fghar135")</f>
        <v>@fghar135</v>
      </c>
      <c r="C26222" t="s">
        <v>9096</v>
      </c>
      <c r="D26222">
        <v>196</v>
      </c>
      <c r="E26222">
        <v>0</v>
      </c>
      <c r="F26222">
        <v>169</v>
      </c>
    </row>
    <row r="26223" spans="1:6" ht="12.75">
      <c r="A26223" s="2">
        <v>43875.708414351851</v>
      </c>
      <c r="B26223" t="str">
        <f>HYPERLINK("https://twitter.com/Rickyajipambudi","@Rickyajipambudi")</f>
        <v>@Rickyajipambudi</v>
      </c>
      <c r="C26223" t="s">
        <v>2144</v>
      </c>
      <c r="D26223">
        <v>81</v>
      </c>
      <c r="E26223">
        <v>0</v>
      </c>
      <c r="F26223">
        <v>394</v>
      </c>
    </row>
    <row r="26224" spans="1:6" ht="12.75">
      <c r="A26224" s="2">
        <v>43875.708391203705</v>
      </c>
      <c r="B26224" t="str">
        <f>HYPERLINK("https://twitter.com/NayYanick","@NayYanick")</f>
        <v>@NayYanick</v>
      </c>
      <c r="C26224" t="s">
        <v>2963</v>
      </c>
      <c r="D26224">
        <v>958</v>
      </c>
      <c r="E26224">
        <v>0</v>
      </c>
      <c r="F26224">
        <v>158</v>
      </c>
    </row>
    <row r="26225" spans="1:6" ht="12.75">
      <c r="A26225" s="2">
        <v>43875.708344907413</v>
      </c>
      <c r="B26225" t="str">
        <f>HYPERLINK("https://twitter.com/MeTubeID","@MeTubeID")</f>
        <v>@MeTubeID</v>
      </c>
      <c r="C26225" t="s">
        <v>6309</v>
      </c>
      <c r="D26225">
        <v>0</v>
      </c>
      <c r="E26225">
        <v>0</v>
      </c>
      <c r="F26225">
        <v>6295</v>
      </c>
    </row>
    <row r="26226" spans="1:6" ht="12.75">
      <c r="A26226" s="2">
        <v>43875.708321759259</v>
      </c>
      <c r="B26226" t="str">
        <f>HYPERLINK("https://twitter.com/asyakura99","@asyakura99")</f>
        <v>@asyakura99</v>
      </c>
      <c r="C26226" t="s">
        <v>2444</v>
      </c>
      <c r="D26226">
        <v>1638</v>
      </c>
      <c r="E26226">
        <v>0</v>
      </c>
      <c r="F26226">
        <v>26</v>
      </c>
    </row>
    <row r="26227" spans="1:6" ht="12.75">
      <c r="A26227" s="2">
        <v>43875.708298611113</v>
      </c>
      <c r="B26227" t="str">
        <f>HYPERLINK("https://twitter.com/AYusuf_K","@AYusuf_K")</f>
        <v>@AYusuf_K</v>
      </c>
      <c r="C26227" t="s">
        <v>2963</v>
      </c>
      <c r="D26227">
        <v>958</v>
      </c>
      <c r="E26227">
        <v>0</v>
      </c>
      <c r="F26227">
        <v>485</v>
      </c>
    </row>
    <row r="26228" spans="1:6" ht="12.75">
      <c r="A26228" s="2">
        <v>43875.708287037036</v>
      </c>
      <c r="B26228" t="str">
        <f>HYPERLINK("https://twitter.com/DonnyHamzahHrp","@DonnyHamzahHrp")</f>
        <v>@DonnyHamzahHrp</v>
      </c>
      <c r="C26228" t="s">
        <v>7478</v>
      </c>
      <c r="D26228">
        <v>240</v>
      </c>
      <c r="E26228">
        <v>0</v>
      </c>
      <c r="F26228">
        <v>907</v>
      </c>
    </row>
    <row r="26229" spans="1:6" ht="12.75">
      <c r="A26229" s="2">
        <v>43875.708275462966</v>
      </c>
      <c r="B26229" t="str">
        <f>HYPERLINK("https://twitter.com/guebodong","@guebodong")</f>
        <v>@guebodong</v>
      </c>
      <c r="C26229" t="s">
        <v>11745</v>
      </c>
      <c r="D26229">
        <v>0</v>
      </c>
      <c r="E26229">
        <v>0</v>
      </c>
      <c r="F26229">
        <v>0</v>
      </c>
    </row>
    <row r="26230" spans="1:6" ht="12.75">
      <c r="A26230" s="2">
        <v>43875.708194444444</v>
      </c>
      <c r="B26230" t="str">
        <f>HYPERLINK("https://twitter.com/tyo_alle31","@tyo_alle31")</f>
        <v>@tyo_alle31</v>
      </c>
      <c r="C26230" t="s">
        <v>6201</v>
      </c>
      <c r="D26230">
        <v>49</v>
      </c>
      <c r="E26230">
        <v>0</v>
      </c>
      <c r="F26230">
        <v>168</v>
      </c>
    </row>
    <row r="26231" spans="1:6" ht="12.75">
      <c r="A26231" s="2">
        <v>43875.708090277782</v>
      </c>
      <c r="B26231" t="str">
        <f>HYPERLINK("https://twitter.com/trinugroho162","@trinugroho162")</f>
        <v>@trinugroho162</v>
      </c>
      <c r="C26231" t="s">
        <v>10109</v>
      </c>
      <c r="D26231">
        <v>28</v>
      </c>
      <c r="E26231">
        <v>0</v>
      </c>
      <c r="F26231">
        <v>1659</v>
      </c>
    </row>
    <row r="26232" spans="1:6" ht="12.75">
      <c r="A26232" s="2">
        <v>43875.708067129628</v>
      </c>
      <c r="B26232" t="str">
        <f>HYPERLINK("https://twitter.com/AndreanJerrico","@AndreanJerrico")</f>
        <v>@AndreanJerrico</v>
      </c>
      <c r="C26232" t="s">
        <v>11746</v>
      </c>
      <c r="D26232">
        <v>0</v>
      </c>
      <c r="E26232">
        <v>0</v>
      </c>
      <c r="F26232">
        <v>175</v>
      </c>
    </row>
    <row r="26233" spans="1:6" ht="12.75">
      <c r="A26233" s="2">
        <v>43875.707974537036</v>
      </c>
      <c r="B26233" t="str">
        <f>HYPERLINK("https://twitter.com/ryeryee_","@ryeryee_")</f>
        <v>@ryeryee_</v>
      </c>
      <c r="C26233" t="s">
        <v>2444</v>
      </c>
      <c r="D26233">
        <v>1638</v>
      </c>
      <c r="E26233">
        <v>0</v>
      </c>
      <c r="F26233">
        <v>7</v>
      </c>
    </row>
    <row r="26234" spans="1:6" ht="12.75">
      <c r="A26234" s="2">
        <v>43875.707928240736</v>
      </c>
      <c r="B26234" t="str">
        <f>HYPERLINK("https://twitter.com/ronyarfansyah","@ronyarfansyah")</f>
        <v>@ronyarfansyah</v>
      </c>
      <c r="C26234" t="s">
        <v>10300</v>
      </c>
      <c r="D26234">
        <v>40</v>
      </c>
      <c r="E26234">
        <v>0</v>
      </c>
      <c r="F26234">
        <v>275</v>
      </c>
    </row>
    <row r="26235" spans="1:6" ht="12.75">
      <c r="A26235" s="2">
        <v>43875.707928240736</v>
      </c>
      <c r="B26235" t="str">
        <f>HYPERLINK("https://twitter.com/hirairyu","@hirairyu")</f>
        <v>@hirairyu</v>
      </c>
      <c r="C26235" t="s">
        <v>2137</v>
      </c>
      <c r="D26235">
        <v>138</v>
      </c>
      <c r="E26235">
        <v>0</v>
      </c>
      <c r="F26235">
        <v>265</v>
      </c>
    </row>
    <row r="26236" spans="1:6" ht="12.75">
      <c r="A26236" s="2">
        <v>43875.707916666666</v>
      </c>
      <c r="B26236" t="str">
        <f>HYPERLINK("https://twitter.com/younsaintlauren","@younsaintlauren")</f>
        <v>@younsaintlauren</v>
      </c>
      <c r="C26236" t="s">
        <v>9067</v>
      </c>
      <c r="D26236">
        <v>9</v>
      </c>
      <c r="E26236">
        <v>0</v>
      </c>
      <c r="F26236">
        <v>32</v>
      </c>
    </row>
    <row r="26237" spans="1:6" ht="12.75">
      <c r="A26237" s="2">
        <v>43875.707870370374</v>
      </c>
      <c r="B26237" t="str">
        <f>HYPERLINK("https://twitter.com/ditarevita","@ditarevita")</f>
        <v>@ditarevita</v>
      </c>
      <c r="C26237" t="s">
        <v>10173</v>
      </c>
      <c r="D26237">
        <v>4</v>
      </c>
      <c r="E26237">
        <v>0</v>
      </c>
      <c r="F26237">
        <v>432</v>
      </c>
    </row>
    <row r="26238" spans="1:6" ht="12.75">
      <c r="A26238" s="2">
        <v>43875.707835648151</v>
      </c>
      <c r="B26238" t="str">
        <f>HYPERLINK("https://twitter.com/hanastyr","@hanastyr")</f>
        <v>@hanastyr</v>
      </c>
      <c r="C26238" t="s">
        <v>2444</v>
      </c>
      <c r="D26238">
        <v>1638</v>
      </c>
      <c r="E26238">
        <v>0</v>
      </c>
      <c r="F26238">
        <v>660</v>
      </c>
    </row>
    <row r="26239" spans="1:6" ht="12.75">
      <c r="A26239" s="2">
        <v>43875.707789351851</v>
      </c>
      <c r="B26239" t="str">
        <f>HYPERLINK("https://twitter.com/PanjiAb7","@PanjiAb7")</f>
        <v>@PanjiAb7</v>
      </c>
      <c r="C26239" t="s">
        <v>11747</v>
      </c>
      <c r="D26239">
        <v>1</v>
      </c>
      <c r="E26239">
        <v>0</v>
      </c>
      <c r="F26239">
        <v>1286</v>
      </c>
    </row>
    <row r="26240" spans="1:6" ht="12.75">
      <c r="A26240" s="2">
        <v>43875.707789351851</v>
      </c>
      <c r="B26240" t="str">
        <f>HYPERLINK("https://twitter.com/imansalahin_put","@imansalahin_put")</f>
        <v>@imansalahin_put</v>
      </c>
      <c r="C26240" t="s">
        <v>10052</v>
      </c>
      <c r="D26240">
        <v>24</v>
      </c>
      <c r="E26240">
        <v>0</v>
      </c>
      <c r="F26240">
        <v>869</v>
      </c>
    </row>
    <row r="26241" spans="1:6" ht="12.75">
      <c r="A26241" s="2">
        <v>43875.707743055551</v>
      </c>
      <c r="B26241" t="str">
        <f>HYPERLINK("https://twitter.com/hadiahMertua","@hadiahMertua")</f>
        <v>@hadiahMertua</v>
      </c>
      <c r="C26241" t="s">
        <v>11748</v>
      </c>
      <c r="D26241">
        <v>0</v>
      </c>
      <c r="E26241">
        <v>0</v>
      </c>
      <c r="F26241">
        <v>41</v>
      </c>
    </row>
    <row r="26242" spans="1:6" ht="12.75">
      <c r="A26242" s="2">
        <v>43875.707731481481</v>
      </c>
      <c r="B26242" t="str">
        <f>HYPERLINK("https://twitter.com/AndikaRaditt","@AndikaRaditt")</f>
        <v>@AndikaRaditt</v>
      </c>
      <c r="C26242" t="s">
        <v>2963</v>
      </c>
      <c r="D26242">
        <v>958</v>
      </c>
      <c r="E26242">
        <v>0</v>
      </c>
      <c r="F26242">
        <v>179</v>
      </c>
    </row>
    <row r="26243" spans="1:6" ht="12.75">
      <c r="A26243" s="2">
        <v>43875.707673611112</v>
      </c>
      <c r="B26243" t="str">
        <f>HYPERLINK("https://twitter.com/masadamsahid","@masadamsahid")</f>
        <v>@masadamsahid</v>
      </c>
      <c r="C26243" t="s">
        <v>11749</v>
      </c>
      <c r="D26243">
        <v>0</v>
      </c>
      <c r="E26243">
        <v>0</v>
      </c>
      <c r="F26243">
        <v>7</v>
      </c>
    </row>
    <row r="26244" spans="1:6" ht="12.75">
      <c r="A26244" s="2">
        <v>43875.707650462966</v>
      </c>
      <c r="B26244" t="str">
        <f>HYPERLINK("https://twitter.com/wahyuuwibowoo","@wahyuuwibowoo")</f>
        <v>@wahyuuwibowoo</v>
      </c>
      <c r="C26244" t="s">
        <v>5168</v>
      </c>
      <c r="D26244">
        <v>789</v>
      </c>
      <c r="E26244">
        <v>0</v>
      </c>
      <c r="F26244">
        <v>270</v>
      </c>
    </row>
    <row r="26245" spans="1:6" ht="12.75">
      <c r="A26245" s="2">
        <v>43875.707638888889</v>
      </c>
      <c r="B26245" t="str">
        <f>HYPERLINK("https://twitter.com/kompascom","@kompascom")</f>
        <v>@kompascom</v>
      </c>
      <c r="C26245" t="s">
        <v>11750</v>
      </c>
      <c r="D26245">
        <v>1</v>
      </c>
      <c r="E26245">
        <v>1</v>
      </c>
      <c r="F26245">
        <v>7497456</v>
      </c>
    </row>
    <row r="26246" spans="1:6" ht="12.75">
      <c r="A26246" s="2">
        <v>43875.707534722227</v>
      </c>
      <c r="B26246" t="str">
        <f>HYPERLINK("https://twitter.com/diemasm_","@diemasm_")</f>
        <v>@diemasm_</v>
      </c>
      <c r="C26246" t="s">
        <v>2137</v>
      </c>
      <c r="D26246">
        <v>138</v>
      </c>
      <c r="E26246">
        <v>0</v>
      </c>
      <c r="F26246">
        <v>148</v>
      </c>
    </row>
    <row r="26247" spans="1:6" ht="12.75">
      <c r="A26247" s="2">
        <v>43875.707511574074</v>
      </c>
      <c r="B26247" t="str">
        <f>HYPERLINK("https://twitter.com/bubunisu","@bubunisu")</f>
        <v>@bubunisu</v>
      </c>
      <c r="C26247" t="s">
        <v>2444</v>
      </c>
      <c r="D26247">
        <v>1638</v>
      </c>
      <c r="E26247">
        <v>0</v>
      </c>
      <c r="F26247">
        <v>154</v>
      </c>
    </row>
    <row r="26248" spans="1:6" ht="12.75">
      <c r="A26248" s="2">
        <v>43875.707511574074</v>
      </c>
      <c r="B26248" t="str">
        <f>HYPERLINK("https://twitter.com/Sangperapal","@Sangperapal")</f>
        <v>@Sangperapal</v>
      </c>
      <c r="C26248" t="s">
        <v>10074</v>
      </c>
      <c r="D26248">
        <v>56</v>
      </c>
      <c r="E26248">
        <v>0</v>
      </c>
      <c r="F26248">
        <v>204</v>
      </c>
    </row>
    <row r="26249" spans="1:6" ht="12.75">
      <c r="A26249" s="2">
        <v>43875.707500000004</v>
      </c>
      <c r="B26249" t="str">
        <f>HYPERLINK("https://twitter.com/gea_ramadani","@gea_ramadani")</f>
        <v>@gea_ramadani</v>
      </c>
      <c r="C26249" t="s">
        <v>11654</v>
      </c>
      <c r="D26249">
        <v>1</v>
      </c>
      <c r="E26249">
        <v>0</v>
      </c>
      <c r="F26249">
        <v>42</v>
      </c>
    </row>
    <row r="26250" spans="1:6" ht="12.75">
      <c r="A26250" s="2">
        <v>43875.707476851851</v>
      </c>
      <c r="B26250" t="str">
        <f>HYPERLINK("https://twitter.com/rifaafaw","@rifaafaw")</f>
        <v>@rifaafaw</v>
      </c>
      <c r="C26250" t="s">
        <v>2444</v>
      </c>
      <c r="D26250">
        <v>1638</v>
      </c>
      <c r="E26250">
        <v>0</v>
      </c>
      <c r="F26250">
        <v>601</v>
      </c>
    </row>
    <row r="26251" spans="1:6" ht="12.75">
      <c r="A26251" s="2">
        <v>43875.707372685181</v>
      </c>
      <c r="B26251" t="str">
        <f>HYPERLINK("https://twitter.com/masadamsahid","@masadamsahid")</f>
        <v>@masadamsahid</v>
      </c>
      <c r="C26251" t="s">
        <v>11751</v>
      </c>
      <c r="D26251">
        <v>0</v>
      </c>
      <c r="E26251">
        <v>0</v>
      </c>
      <c r="F26251">
        <v>7</v>
      </c>
    </row>
    <row r="26252" spans="1:6" ht="12.75">
      <c r="A26252" s="2">
        <v>43875.707349537042</v>
      </c>
      <c r="B26252" t="str">
        <f>HYPERLINK("https://twitter.com/HadiantoBroer","@HadiantoBroer")</f>
        <v>@HadiantoBroer</v>
      </c>
      <c r="C26252" t="s">
        <v>9746</v>
      </c>
      <c r="D26252">
        <v>249</v>
      </c>
      <c r="E26252">
        <v>0</v>
      </c>
      <c r="F26252">
        <v>399</v>
      </c>
    </row>
    <row r="26253" spans="1:6" ht="12.75">
      <c r="A26253" s="2">
        <v>43875.707314814819</v>
      </c>
      <c r="B26253" t="str">
        <f>HYPERLINK("https://twitter.com/Haluan_","@Haluan_")</f>
        <v>@Haluan_</v>
      </c>
      <c r="C26253" t="s">
        <v>11752</v>
      </c>
      <c r="D26253">
        <v>0</v>
      </c>
      <c r="E26253">
        <v>0</v>
      </c>
      <c r="F26253">
        <v>1442</v>
      </c>
    </row>
    <row r="26254" spans="1:6" ht="12.75">
      <c r="A26254" s="2">
        <v>43875.70716435185</v>
      </c>
      <c r="B26254" t="str">
        <f>HYPERLINK("https://twitter.com/voaislam","@voaislam")</f>
        <v>@voaislam</v>
      </c>
      <c r="C26254" t="s">
        <v>11753</v>
      </c>
      <c r="D26254">
        <v>0</v>
      </c>
      <c r="E26254">
        <v>0</v>
      </c>
      <c r="F26254">
        <v>87880</v>
      </c>
    </row>
    <row r="26255" spans="1:6" ht="12.75">
      <c r="A26255" s="2">
        <v>43875.707152777773</v>
      </c>
      <c r="B26255" t="str">
        <f>HYPERLINK("https://twitter.com/JunizarT","@JunizarT")</f>
        <v>@JunizarT</v>
      </c>
      <c r="C26255" t="s">
        <v>2963</v>
      </c>
      <c r="D26255">
        <v>958</v>
      </c>
      <c r="E26255">
        <v>0</v>
      </c>
      <c r="F26255">
        <v>628</v>
      </c>
    </row>
    <row r="26256" spans="1:6" ht="12.75">
      <c r="A26256" s="2">
        <v>43875.70711805555</v>
      </c>
      <c r="B26256" t="str">
        <f>HYPERLINK("https://twitter.com/purnomo_jati1","@purnomo_jati1")</f>
        <v>@purnomo_jati1</v>
      </c>
      <c r="C26256" t="s">
        <v>9858</v>
      </c>
      <c r="D26256">
        <v>4</v>
      </c>
      <c r="E26256">
        <v>0</v>
      </c>
      <c r="F26256">
        <v>319</v>
      </c>
    </row>
    <row r="26257" spans="1:6" ht="12.75">
      <c r="A26257" s="2">
        <v>43875.70711805555</v>
      </c>
      <c r="B26257" t="str">
        <f>HYPERLINK("https://twitter.com/owengerrad88","@owengerrad88")</f>
        <v>@owengerrad88</v>
      </c>
      <c r="C26257" t="s">
        <v>2963</v>
      </c>
      <c r="D26257">
        <v>958</v>
      </c>
      <c r="E26257">
        <v>0</v>
      </c>
      <c r="F26257">
        <v>314</v>
      </c>
    </row>
    <row r="26258" spans="1:6" ht="12.75">
      <c r="A26258" s="2">
        <v>43875.707037037035</v>
      </c>
      <c r="B26258" t="str">
        <f>HYPERLINK("https://twitter.com/iyonbaebae","@iyonbaebae")</f>
        <v>@iyonbaebae</v>
      </c>
      <c r="C26258" t="s">
        <v>2444</v>
      </c>
      <c r="D26258">
        <v>1638</v>
      </c>
      <c r="E26258">
        <v>0</v>
      </c>
      <c r="F26258">
        <v>190</v>
      </c>
    </row>
    <row r="26259" spans="1:6" ht="12.75">
      <c r="A26259" s="2">
        <v>43875.706921296296</v>
      </c>
      <c r="B26259" t="str">
        <f>HYPERLINK("https://twitter.com/gowestid","@gowestid")</f>
        <v>@gowestid</v>
      </c>
      <c r="C26259" t="s">
        <v>11754</v>
      </c>
      <c r="D26259">
        <v>0</v>
      </c>
      <c r="E26259">
        <v>0</v>
      </c>
      <c r="F26259">
        <v>4594</v>
      </c>
    </row>
    <row r="26260" spans="1:6" ht="12.75">
      <c r="A26260" s="2">
        <v>43875.706759259258</v>
      </c>
      <c r="B26260" t="str">
        <f>HYPERLINK("https://twitter.com/soniqodri","@soniqodri")</f>
        <v>@soniqodri</v>
      </c>
      <c r="C26260" t="s">
        <v>5168</v>
      </c>
      <c r="D26260">
        <v>789</v>
      </c>
      <c r="E26260">
        <v>0</v>
      </c>
      <c r="F26260">
        <v>2</v>
      </c>
    </row>
    <row r="26261" spans="1:6" ht="12.75">
      <c r="A26261" s="2">
        <v>43875.706747685181</v>
      </c>
      <c r="B26261" t="str">
        <f>HYPERLINK("https://twitter.com/CalmiraCabello","@CalmiraCabello")</f>
        <v>@CalmiraCabello</v>
      </c>
      <c r="C26261" t="s">
        <v>5624</v>
      </c>
      <c r="D26261">
        <v>119</v>
      </c>
      <c r="E26261">
        <v>0</v>
      </c>
      <c r="F26261">
        <v>125</v>
      </c>
    </row>
    <row r="26262" spans="1:6" ht="12.75">
      <c r="A26262" s="2">
        <v>43875.706712962958</v>
      </c>
      <c r="B26262" t="str">
        <f>HYPERLINK("https://twitter.com/humaira979","@humaira979")</f>
        <v>@humaira979</v>
      </c>
      <c r="C26262" t="s">
        <v>11755</v>
      </c>
      <c r="D26262">
        <v>0</v>
      </c>
      <c r="E26262">
        <v>0</v>
      </c>
      <c r="F26262">
        <v>10995</v>
      </c>
    </row>
    <row r="26263" spans="1:6" ht="12.75">
      <c r="A26263" s="2">
        <v>43875.706597222219</v>
      </c>
      <c r="B26263" t="str">
        <f>HYPERLINK("https://twitter.com/AnandaMerindu","@AnandaMerindu")</f>
        <v>@AnandaMerindu</v>
      </c>
      <c r="C26263" t="s">
        <v>7478</v>
      </c>
      <c r="D26263">
        <v>240</v>
      </c>
      <c r="E26263">
        <v>0</v>
      </c>
      <c r="F26263">
        <v>106</v>
      </c>
    </row>
    <row r="26264" spans="1:6" ht="12.75">
      <c r="A26264" s="2">
        <v>43875.706539351857</v>
      </c>
      <c r="B26264" t="str">
        <f>HYPERLINK("https://twitter.com/masadamsahid","@masadamsahid")</f>
        <v>@masadamsahid</v>
      </c>
      <c r="C26264" t="s">
        <v>11756</v>
      </c>
      <c r="D26264">
        <v>0</v>
      </c>
      <c r="E26264">
        <v>0</v>
      </c>
      <c r="F26264">
        <v>7</v>
      </c>
    </row>
    <row r="26265" spans="1:6" ht="12.75">
      <c r="A26265" s="2">
        <v>43875.706527777773</v>
      </c>
      <c r="B26265" t="str">
        <f>HYPERLINK("https://twitter.com/mncmonicmnc","@mncmonicmnc")</f>
        <v>@mncmonicmnc</v>
      </c>
      <c r="C26265" t="s">
        <v>9123</v>
      </c>
      <c r="D26265">
        <v>228</v>
      </c>
      <c r="E26265">
        <v>0</v>
      </c>
      <c r="F26265">
        <v>4684</v>
      </c>
    </row>
    <row r="26266" spans="1:6" ht="12.75">
      <c r="A26266" s="2">
        <v>43875.706493055557</v>
      </c>
      <c r="B26266" t="str">
        <f>HYPERLINK("https://twitter.com/singgihaghastya","@singgihaghastya")</f>
        <v>@singgihaghastya</v>
      </c>
      <c r="C26266" t="s">
        <v>5168</v>
      </c>
      <c r="D26266">
        <v>789</v>
      </c>
      <c r="E26266">
        <v>0</v>
      </c>
      <c r="F26266">
        <v>240</v>
      </c>
    </row>
    <row r="26267" spans="1:6" ht="12.75">
      <c r="A26267" s="2">
        <v>43875.706458333334</v>
      </c>
      <c r="B26267" t="str">
        <f>HYPERLINK("https://twitter.com/balqisfzrap","@balqisfzrap")</f>
        <v>@balqisfzrap</v>
      </c>
      <c r="C26267" t="s">
        <v>2444</v>
      </c>
      <c r="D26267">
        <v>1638</v>
      </c>
      <c r="E26267">
        <v>0</v>
      </c>
      <c r="F26267">
        <v>418</v>
      </c>
    </row>
    <row r="26268" spans="1:6" ht="12.75">
      <c r="A26268" s="2">
        <v>43875.706423611111</v>
      </c>
      <c r="B26268" t="str">
        <f>HYPERLINK("https://twitter.com/nyawang_mbulan","@nyawang_mbulan")</f>
        <v>@nyawang_mbulan</v>
      </c>
      <c r="C26268" t="s">
        <v>2963</v>
      </c>
      <c r="D26268">
        <v>958</v>
      </c>
      <c r="E26268">
        <v>0</v>
      </c>
      <c r="F26268">
        <v>176</v>
      </c>
    </row>
    <row r="26269" spans="1:6" ht="12.75">
      <c r="A26269" s="2">
        <v>43875.706412037034</v>
      </c>
      <c r="B26269" t="str">
        <f>HYPERLINK("https://twitter.com/165NLM","@165NLM")</f>
        <v>@165NLM</v>
      </c>
      <c r="C26269" t="s">
        <v>6201</v>
      </c>
      <c r="D26269">
        <v>49</v>
      </c>
      <c r="E26269">
        <v>0</v>
      </c>
      <c r="F26269">
        <v>1419</v>
      </c>
    </row>
    <row r="26270" spans="1:6" ht="12.75">
      <c r="A26270" s="2">
        <v>43875.706412037034</v>
      </c>
      <c r="B26270" t="str">
        <f>HYPERLINK("https://twitter.com/amienun24","@amienun24")</f>
        <v>@amienun24</v>
      </c>
      <c r="C26270" t="s">
        <v>2444</v>
      </c>
      <c r="D26270">
        <v>1638</v>
      </c>
      <c r="E26270">
        <v>0</v>
      </c>
      <c r="F26270">
        <v>6</v>
      </c>
    </row>
    <row r="26271" spans="1:6" ht="12.75">
      <c r="A26271" s="2">
        <v>43875.706226851849</v>
      </c>
      <c r="B26271" t="str">
        <f>HYPERLINK("https://twitter.com/mncmonicmnc","@mncmonicmnc")</f>
        <v>@mncmonicmnc</v>
      </c>
      <c r="C26271" t="s">
        <v>2444</v>
      </c>
      <c r="D26271">
        <v>1638</v>
      </c>
      <c r="E26271">
        <v>0</v>
      </c>
      <c r="F26271">
        <v>4684</v>
      </c>
    </row>
    <row r="26272" spans="1:6" ht="12.75">
      <c r="A26272" s="2">
        <v>43875.706203703703</v>
      </c>
      <c r="B26272" t="str">
        <f>HYPERLINK("https://twitter.com/egaskalit","@egaskalit")</f>
        <v>@egaskalit</v>
      </c>
      <c r="C26272" t="s">
        <v>9858</v>
      </c>
      <c r="D26272">
        <v>4</v>
      </c>
      <c r="E26272">
        <v>0</v>
      </c>
      <c r="F26272">
        <v>79</v>
      </c>
    </row>
    <row r="26273" spans="1:6" ht="12.75">
      <c r="A26273" s="2">
        <v>43875.70616898148</v>
      </c>
      <c r="B26273" t="str">
        <f>HYPERLINK("https://twitter.com/changbizza","@changbizza")</f>
        <v>@changbizza</v>
      </c>
      <c r="C26273" t="s">
        <v>9123</v>
      </c>
      <c r="D26273">
        <v>228</v>
      </c>
      <c r="E26273">
        <v>0</v>
      </c>
      <c r="F26273">
        <v>190</v>
      </c>
    </row>
    <row r="26274" spans="1:6" ht="12.75">
      <c r="A26274" s="2">
        <v>43875.706076388888</v>
      </c>
      <c r="B26274" t="str">
        <f>HYPERLINK("https://twitter.com/HipHop74934648","@HipHop74934648")</f>
        <v>@HipHop74934648</v>
      </c>
      <c r="C26274" t="s">
        <v>11757</v>
      </c>
      <c r="D26274">
        <v>0</v>
      </c>
      <c r="E26274">
        <v>1</v>
      </c>
      <c r="F26274">
        <v>6358</v>
      </c>
    </row>
    <row r="26275" spans="1:6" ht="12.75">
      <c r="A26275" s="2">
        <v>43875.705972222218</v>
      </c>
      <c r="B26275" t="str">
        <f>HYPERLINK("https://twitter.com/bleget","@bleget")</f>
        <v>@bleget</v>
      </c>
      <c r="C26275" t="s">
        <v>9835</v>
      </c>
      <c r="D26275">
        <v>39</v>
      </c>
      <c r="E26275">
        <v>0</v>
      </c>
      <c r="F26275">
        <v>123</v>
      </c>
    </row>
    <row r="26276" spans="1:6" ht="12.75">
      <c r="A26276" s="2">
        <v>43875.705949074079</v>
      </c>
      <c r="B26276" t="str">
        <f>HYPERLINK("https://twitter.com/abah_hampru","@abah_hampru")</f>
        <v>@abah_hampru</v>
      </c>
      <c r="C26276" t="s">
        <v>6201</v>
      </c>
      <c r="D26276">
        <v>49</v>
      </c>
      <c r="E26276">
        <v>0</v>
      </c>
      <c r="F26276">
        <v>206</v>
      </c>
    </row>
    <row r="26277" spans="1:6" ht="12.75">
      <c r="A26277" s="2">
        <v>43875.705937499995</v>
      </c>
      <c r="B26277" t="str">
        <f>HYPERLINK("https://twitter.com/bl4cksapphire","@bl4cksapphire")</f>
        <v>@bl4cksapphire</v>
      </c>
      <c r="C26277" t="s">
        <v>11758</v>
      </c>
      <c r="D26277">
        <v>0</v>
      </c>
      <c r="E26277">
        <v>0</v>
      </c>
      <c r="F26277">
        <v>162</v>
      </c>
    </row>
    <row r="26278" spans="1:6" ht="12.75">
      <c r="A26278" s="2">
        <v>43875.70584490741</v>
      </c>
      <c r="B26278" t="str">
        <f>HYPERLINK("https://twitter.com/changbizza","@changbizza")</f>
        <v>@changbizza</v>
      </c>
      <c r="C26278" t="s">
        <v>2444</v>
      </c>
      <c r="D26278">
        <v>1638</v>
      </c>
      <c r="E26278">
        <v>0</v>
      </c>
      <c r="F26278">
        <v>190</v>
      </c>
    </row>
    <row r="26279" spans="1:6" ht="12.75">
      <c r="A26279" s="2">
        <v>43875.705810185187</v>
      </c>
      <c r="B26279" t="str">
        <f>HYPERLINK("https://twitter.com/imooel","@imooel")</f>
        <v>@imooel</v>
      </c>
      <c r="C26279" t="s">
        <v>7478</v>
      </c>
      <c r="D26279">
        <v>240</v>
      </c>
      <c r="E26279">
        <v>0</v>
      </c>
      <c r="F26279">
        <v>684</v>
      </c>
    </row>
    <row r="26280" spans="1:6" ht="12.75">
      <c r="A26280" s="2">
        <v>43875.70579861111</v>
      </c>
      <c r="B26280" t="str">
        <f>HYPERLINK("https://twitter.com/okezonenews","@okezonenews")</f>
        <v>@okezonenews</v>
      </c>
      <c r="C26280" t="s">
        <v>11759</v>
      </c>
      <c r="D26280">
        <v>0</v>
      </c>
      <c r="E26280">
        <v>1</v>
      </c>
      <c r="F26280">
        <v>1743752</v>
      </c>
    </row>
    <row r="26281" spans="1:6" ht="12.75">
      <c r="A26281" s="2">
        <v>43875.705775462964</v>
      </c>
      <c r="B26281" t="str">
        <f>HYPERLINK("https://twitter.com/marsudi_syuhud","@marsudi_syuhud")</f>
        <v>@marsudi_syuhud</v>
      </c>
      <c r="C26281" t="s">
        <v>11760</v>
      </c>
      <c r="D26281">
        <v>0</v>
      </c>
      <c r="E26281">
        <v>0</v>
      </c>
      <c r="F26281">
        <v>88</v>
      </c>
    </row>
    <row r="26282" spans="1:6" ht="12.75">
      <c r="A26282" s="2">
        <v>43875.705763888887</v>
      </c>
      <c r="B26282" t="str">
        <f>HYPERLINK("https://twitter.com/heri_ranintaqi","@heri_ranintaqi")</f>
        <v>@heri_ranintaqi</v>
      </c>
      <c r="C26282" t="s">
        <v>7619</v>
      </c>
      <c r="D26282">
        <v>3</v>
      </c>
      <c r="E26282">
        <v>0</v>
      </c>
      <c r="F26282">
        <v>276</v>
      </c>
    </row>
    <row r="26283" spans="1:6" ht="12.75">
      <c r="A26283" s="2">
        <v>43875.705740740741</v>
      </c>
      <c r="B26283" t="str">
        <f>HYPERLINK("https://twitter.com/sofiankawar1","@sofiankawar1")</f>
        <v>@sofiankawar1</v>
      </c>
      <c r="C26283" t="s">
        <v>11761</v>
      </c>
      <c r="D26283">
        <v>0</v>
      </c>
      <c r="E26283">
        <v>0</v>
      </c>
      <c r="F26283">
        <v>54</v>
      </c>
    </row>
    <row r="26284" spans="1:6" ht="12.75">
      <c r="A26284" s="2">
        <v>43875.705706018518</v>
      </c>
      <c r="B26284" t="str">
        <f>HYPERLINK("https://twitter.com/idayu_wien","@idayu_wien")</f>
        <v>@idayu_wien</v>
      </c>
      <c r="C26284" t="s">
        <v>11762</v>
      </c>
      <c r="D26284">
        <v>1</v>
      </c>
      <c r="E26284">
        <v>0</v>
      </c>
      <c r="F26284">
        <v>1349</v>
      </c>
    </row>
    <row r="26285" spans="1:6" ht="12.75">
      <c r="A26285" s="2">
        <v>43875.705648148149</v>
      </c>
      <c r="B26285" t="str">
        <f>HYPERLINK("https://twitter.com/ansyharipoem","@ansyharipoem")</f>
        <v>@ansyharipoem</v>
      </c>
      <c r="C26285" t="s">
        <v>5168</v>
      </c>
      <c r="D26285">
        <v>789</v>
      </c>
      <c r="E26285">
        <v>0</v>
      </c>
      <c r="F26285">
        <v>1197</v>
      </c>
    </row>
    <row r="26286" spans="1:6" ht="12.75">
      <c r="A26286" s="2">
        <v>43875.705613425926</v>
      </c>
      <c r="B26286" t="str">
        <f>HYPERLINK("https://twitter.com/masupri","@masupri")</f>
        <v>@masupri</v>
      </c>
      <c r="C26286" t="s">
        <v>11763</v>
      </c>
      <c r="D26286">
        <v>0</v>
      </c>
      <c r="E26286">
        <v>0</v>
      </c>
      <c r="F26286">
        <v>156</v>
      </c>
    </row>
    <row r="26287" spans="1:6" ht="12.75">
      <c r="A26287" s="2">
        <v>43875.705509259264</v>
      </c>
      <c r="B26287" t="str">
        <f>HYPERLINK("https://twitter.com/GateJannah","@GateJannah")</f>
        <v>@GateJannah</v>
      </c>
      <c r="C26287" t="s">
        <v>11764</v>
      </c>
      <c r="D26287">
        <v>29</v>
      </c>
      <c r="E26287">
        <v>0</v>
      </c>
      <c r="F26287">
        <v>785</v>
      </c>
    </row>
    <row r="26288" spans="1:6" ht="12.75">
      <c r="A26288" s="2">
        <v>43875.70548611111</v>
      </c>
      <c r="B26288" t="str">
        <f>HYPERLINK("https://twitter.com/hendri92189000","@hendri92189000")</f>
        <v>@hendri92189000</v>
      </c>
      <c r="C26288" t="s">
        <v>11765</v>
      </c>
      <c r="D26288">
        <v>0</v>
      </c>
      <c r="E26288">
        <v>0</v>
      </c>
      <c r="F26288">
        <v>3383</v>
      </c>
    </row>
    <row r="26289" spans="1:6" ht="12.75">
      <c r="A26289" s="2">
        <v>43875.70548611111</v>
      </c>
      <c r="B26289" t="str">
        <f>HYPERLINK("https://twitter.com/notyourdir","@notyourdir")</f>
        <v>@notyourdir</v>
      </c>
      <c r="C26289" t="s">
        <v>2444</v>
      </c>
      <c r="D26289">
        <v>1638</v>
      </c>
      <c r="E26289">
        <v>0</v>
      </c>
      <c r="F26289">
        <v>589</v>
      </c>
    </row>
    <row r="26290" spans="1:6" ht="12.75">
      <c r="A26290" s="2">
        <v>43875.705462962964</v>
      </c>
      <c r="B26290" t="str">
        <f>HYPERLINK("https://twitter.com/Metro_TV","@Metro_TV")</f>
        <v>@Metro_TV</v>
      </c>
      <c r="C26290" t="s">
        <v>11766</v>
      </c>
      <c r="D26290">
        <v>0</v>
      </c>
      <c r="E26290">
        <v>0</v>
      </c>
      <c r="F26290">
        <v>10508990</v>
      </c>
    </row>
    <row r="26291" spans="1:6" ht="12.75">
      <c r="A26291" s="2">
        <v>43875.705439814818</v>
      </c>
      <c r="B26291" t="str">
        <f>HYPERLINK("https://twitter.com/isna_mahya","@isna_mahya")</f>
        <v>@isna_mahya</v>
      </c>
      <c r="C26291" t="s">
        <v>175</v>
      </c>
      <c r="D26291">
        <v>5287</v>
      </c>
      <c r="E26291">
        <v>0</v>
      </c>
      <c r="F26291">
        <v>1</v>
      </c>
    </row>
    <row r="26292" spans="1:6" ht="12.75">
      <c r="A26292" s="2">
        <v>43875.705312499995</v>
      </c>
      <c r="B26292" t="str">
        <f>HYPERLINK("https://twitter.com/jyupitou","@jyupitou")</f>
        <v>@jyupitou</v>
      </c>
      <c r="C26292" t="s">
        <v>2444</v>
      </c>
      <c r="D26292">
        <v>1638</v>
      </c>
      <c r="E26292">
        <v>0</v>
      </c>
      <c r="F26292">
        <v>7133</v>
      </c>
    </row>
    <row r="26293" spans="1:6" ht="12.75">
      <c r="A26293" s="2">
        <v>43875.705162037033</v>
      </c>
      <c r="B26293" t="str">
        <f>HYPERLINK("https://twitter.com/hellowflo","@hellowflo")</f>
        <v>@hellowflo</v>
      </c>
      <c r="C26293" t="s">
        <v>2137</v>
      </c>
      <c r="D26293">
        <v>138</v>
      </c>
      <c r="E26293">
        <v>0</v>
      </c>
      <c r="F26293">
        <v>1639</v>
      </c>
    </row>
    <row r="26294" spans="1:6" ht="12.75">
      <c r="A26294" s="2">
        <v>43875.70512731481</v>
      </c>
      <c r="B26294" t="str">
        <f>HYPERLINK("https://twitter.com/septianarhm","@septianarhm")</f>
        <v>@septianarhm</v>
      </c>
      <c r="C26294" t="s">
        <v>2444</v>
      </c>
      <c r="D26294">
        <v>1638</v>
      </c>
      <c r="E26294">
        <v>0</v>
      </c>
      <c r="F26294">
        <v>437</v>
      </c>
    </row>
    <row r="26295" spans="1:6" ht="12.75">
      <c r="A26295" s="2">
        <v>43875.705046296294</v>
      </c>
      <c r="B26295" t="str">
        <f>HYPERLINK("https://twitter.com/loveniey","@loveniey")</f>
        <v>@loveniey</v>
      </c>
      <c r="C26295" t="s">
        <v>7373</v>
      </c>
      <c r="D26295">
        <v>72</v>
      </c>
      <c r="E26295">
        <v>0</v>
      </c>
      <c r="F26295">
        <v>1452</v>
      </c>
    </row>
    <row r="26296" spans="1:6" ht="12.75">
      <c r="A26296" s="2">
        <v>43875.704988425925</v>
      </c>
      <c r="B26296" t="str">
        <f>HYPERLINK("https://twitter.com/Prramudhiita","@Prramudhiita")</f>
        <v>@Prramudhiita</v>
      </c>
      <c r="C26296" t="s">
        <v>2444</v>
      </c>
      <c r="D26296">
        <v>1638</v>
      </c>
      <c r="E26296">
        <v>0</v>
      </c>
      <c r="F26296">
        <v>424</v>
      </c>
    </row>
    <row r="26297" spans="1:6" ht="12.75">
      <c r="A26297" s="2">
        <v>43875.704965277779</v>
      </c>
      <c r="B26297" t="str">
        <f>HYPERLINK("https://twitter.com/KennySetiaBudhi","@KennySetiaBudhi")</f>
        <v>@KennySetiaBudhi</v>
      </c>
      <c r="C26297" t="s">
        <v>9113</v>
      </c>
      <c r="D26297">
        <v>303</v>
      </c>
      <c r="E26297">
        <v>0</v>
      </c>
      <c r="F26297">
        <v>260</v>
      </c>
    </row>
    <row r="26298" spans="1:6" ht="12.75">
      <c r="A26298" s="2">
        <v>43875.704918981486</v>
      </c>
      <c r="B26298" t="str">
        <f>HYPERLINK("https://twitter.com/Helmi67711233","@Helmi67711233")</f>
        <v>@Helmi67711233</v>
      </c>
      <c r="C26298" t="s">
        <v>7478</v>
      </c>
      <c r="D26298">
        <v>240</v>
      </c>
      <c r="E26298">
        <v>0</v>
      </c>
      <c r="F26298">
        <v>273</v>
      </c>
    </row>
    <row r="26299" spans="1:6" ht="12.75">
      <c r="A26299" s="2">
        <v>43875.704872685186</v>
      </c>
      <c r="B26299" t="str">
        <f>HYPERLINK("https://twitter.com/falisaaabri","@falisaaabri")</f>
        <v>@falisaaabri</v>
      </c>
      <c r="C26299" t="s">
        <v>2444</v>
      </c>
      <c r="D26299">
        <v>1638</v>
      </c>
      <c r="E26299">
        <v>0</v>
      </c>
      <c r="F26299">
        <v>289</v>
      </c>
    </row>
    <row r="26300" spans="1:6" ht="12.75">
      <c r="A26300" s="2">
        <v>43875.704837962963</v>
      </c>
      <c r="B26300" t="str">
        <f>HYPERLINK("https://twitter.com/gynaecia","@gynaecia")</f>
        <v>@gynaecia</v>
      </c>
      <c r="C26300" t="s">
        <v>11405</v>
      </c>
      <c r="D26300">
        <v>2</v>
      </c>
      <c r="E26300">
        <v>0</v>
      </c>
      <c r="F26300">
        <v>1582</v>
      </c>
    </row>
    <row r="26301" spans="1:6" ht="12.75">
      <c r="A26301" s="2">
        <v>43875.704780092594</v>
      </c>
      <c r="B26301" t="str">
        <f>HYPERLINK("https://twitter.com/dioyudha2","@dioyudha2")</f>
        <v>@dioyudha2</v>
      </c>
      <c r="C26301" t="s">
        <v>11767</v>
      </c>
      <c r="D26301">
        <v>0</v>
      </c>
      <c r="E26301">
        <v>0</v>
      </c>
      <c r="F26301">
        <v>1</v>
      </c>
    </row>
    <row r="26302" spans="1:6" ht="12.75">
      <c r="A26302" s="2">
        <v>43875.704768518517</v>
      </c>
      <c r="B26302" t="str">
        <f>HYPERLINK("https://twitter.com/mawmarah","@mawmarah")</f>
        <v>@mawmarah</v>
      </c>
      <c r="C26302" t="s">
        <v>11768</v>
      </c>
      <c r="D26302">
        <v>0</v>
      </c>
      <c r="E26302">
        <v>10</v>
      </c>
      <c r="F26302">
        <v>82</v>
      </c>
    </row>
    <row r="26303" spans="1:6" ht="12.75">
      <c r="A26303" s="2">
        <v>43875.70475694444</v>
      </c>
      <c r="B26303" t="str">
        <f>HYPERLINK("https://twitter.com/willbengers","@willbengers")</f>
        <v>@willbengers</v>
      </c>
      <c r="C26303" t="s">
        <v>2444</v>
      </c>
      <c r="D26303">
        <v>1638</v>
      </c>
      <c r="E26303">
        <v>0</v>
      </c>
      <c r="F26303">
        <v>81</v>
      </c>
    </row>
    <row r="26304" spans="1:6" ht="12.75">
      <c r="A26304" s="2">
        <v>43875.704710648148</v>
      </c>
      <c r="B26304" t="str">
        <f>HYPERLINK("https://twitter.com/mimyoharn","@mimyoharn")</f>
        <v>@mimyoharn</v>
      </c>
      <c r="C26304" t="s">
        <v>5168</v>
      </c>
      <c r="D26304">
        <v>789</v>
      </c>
      <c r="E26304">
        <v>0</v>
      </c>
      <c r="F26304">
        <v>203</v>
      </c>
    </row>
    <row r="26305" spans="1:6" ht="12.75">
      <c r="A26305" s="2">
        <v>43875.704710648148</v>
      </c>
      <c r="B26305" t="str">
        <f>HYPERLINK("https://twitter.com/Afrilyaayyi_","@Afrilyaayyi_")</f>
        <v>@Afrilyaayyi_</v>
      </c>
      <c r="C26305" t="s">
        <v>2444</v>
      </c>
      <c r="D26305">
        <v>1638</v>
      </c>
      <c r="E26305">
        <v>0</v>
      </c>
      <c r="F26305">
        <v>185</v>
      </c>
    </row>
    <row r="26306" spans="1:6" ht="12.75">
      <c r="A26306" s="2">
        <v>43875.704687500001</v>
      </c>
      <c r="B26306" t="str">
        <f>HYPERLINK("https://twitter.com/Rang_Hoki","@Rang_Hoki")</f>
        <v>@Rang_Hoki</v>
      </c>
      <c r="C26306" t="s">
        <v>11769</v>
      </c>
      <c r="D26306">
        <v>1</v>
      </c>
      <c r="E26306">
        <v>0</v>
      </c>
      <c r="F26306">
        <v>199</v>
      </c>
    </row>
    <row r="26307" spans="1:6" ht="12.75">
      <c r="A26307" s="2">
        <v>43875.704675925925</v>
      </c>
      <c r="B26307" t="str">
        <f>HYPERLINK("https://twitter.com/arsennavois","@arsennavois")</f>
        <v>@arsennavois</v>
      </c>
      <c r="C26307" t="s">
        <v>2444</v>
      </c>
      <c r="D26307">
        <v>1638</v>
      </c>
      <c r="E26307">
        <v>0</v>
      </c>
      <c r="F26307">
        <v>421</v>
      </c>
    </row>
    <row r="26308" spans="1:6" ht="12.75">
      <c r="A26308" s="2">
        <v>43875.704641203702</v>
      </c>
      <c r="B26308" t="str">
        <f>HYPERLINK("https://twitter.com/Lukman_HARP","@Lukman_HARP")</f>
        <v>@Lukman_HARP</v>
      </c>
      <c r="C26308" t="s">
        <v>9858</v>
      </c>
      <c r="D26308">
        <v>4</v>
      </c>
      <c r="E26308">
        <v>0</v>
      </c>
      <c r="F26308">
        <v>1059</v>
      </c>
    </row>
    <row r="26309" spans="1:6" ht="12.75">
      <c r="A26309" s="2">
        <v>43875.704629629632</v>
      </c>
      <c r="B26309" t="str">
        <f t="shared" ref="B26309:B26310" si="346">HYPERLINK("https://twitter.com/intansavhyraa","@intansavhyraa")</f>
        <v>@intansavhyraa</v>
      </c>
      <c r="C26309" t="s">
        <v>9746</v>
      </c>
      <c r="D26309">
        <v>249</v>
      </c>
      <c r="E26309">
        <v>0</v>
      </c>
      <c r="F26309">
        <v>869</v>
      </c>
    </row>
    <row r="26310" spans="1:6" ht="12.75">
      <c r="A26310" s="2">
        <v>43875.704594907409</v>
      </c>
      <c r="B26310" t="str">
        <f t="shared" si="346"/>
        <v>@intansavhyraa</v>
      </c>
      <c r="C26310" t="s">
        <v>11770</v>
      </c>
      <c r="D26310">
        <v>2</v>
      </c>
      <c r="E26310">
        <v>0</v>
      </c>
      <c r="F26310">
        <v>869</v>
      </c>
    </row>
    <row r="26311" spans="1:6" ht="12.75">
      <c r="A26311" s="2">
        <v>43875.704583333332</v>
      </c>
      <c r="B26311" t="str">
        <f>HYPERLINK("https://twitter.com/dahndapapa","@dahndapapa")</f>
        <v>@dahndapapa</v>
      </c>
      <c r="C26311" t="s">
        <v>2444</v>
      </c>
      <c r="D26311">
        <v>1638</v>
      </c>
      <c r="E26311">
        <v>0</v>
      </c>
      <c r="F26311">
        <v>412</v>
      </c>
    </row>
    <row r="26312" spans="1:6" ht="12.75">
      <c r="A26312" s="2">
        <v>43875.704560185186</v>
      </c>
      <c r="B26312" t="str">
        <f>HYPERLINK("https://twitter.com/rezamuzakir","@rezamuzakir")</f>
        <v>@rezamuzakir</v>
      </c>
      <c r="C26312" t="s">
        <v>678</v>
      </c>
      <c r="D26312">
        <v>0</v>
      </c>
      <c r="E26312">
        <v>0</v>
      </c>
      <c r="F26312">
        <v>891</v>
      </c>
    </row>
    <row r="26313" spans="1:6" ht="12.75">
      <c r="A26313" s="2">
        <v>43875.704456018517</v>
      </c>
      <c r="B26313" t="str">
        <f>HYPERLINK("https://twitter.com/ggogobebe","@ggogobebe")</f>
        <v>@ggogobebe</v>
      </c>
      <c r="C26313" t="s">
        <v>5168</v>
      </c>
      <c r="D26313">
        <v>789</v>
      </c>
      <c r="E26313">
        <v>0</v>
      </c>
      <c r="F26313">
        <v>834</v>
      </c>
    </row>
    <row r="26314" spans="1:6" ht="12.75">
      <c r="A26314" s="2">
        <v>43875.704444444447</v>
      </c>
      <c r="B26314" t="str">
        <f>HYPERLINK("https://twitter.com/wasti_127","@wasti_127")</f>
        <v>@wasti_127</v>
      </c>
      <c r="C26314" t="s">
        <v>2444</v>
      </c>
      <c r="D26314">
        <v>1638</v>
      </c>
      <c r="E26314">
        <v>0</v>
      </c>
      <c r="F26314">
        <v>170</v>
      </c>
    </row>
    <row r="26315" spans="1:6" ht="12.75">
      <c r="A26315" s="2">
        <v>43875.704375000001</v>
      </c>
      <c r="B26315" t="str">
        <f>HYPERLINK("https://twitter.com/euchyaa","@euchyaa")</f>
        <v>@euchyaa</v>
      </c>
      <c r="C26315" t="s">
        <v>5168</v>
      </c>
      <c r="D26315">
        <v>789</v>
      </c>
      <c r="E26315">
        <v>0</v>
      </c>
      <c r="F26315">
        <v>113</v>
      </c>
    </row>
    <row r="26316" spans="1:6" ht="12.75">
      <c r="A26316" s="2">
        <v>43875.704270833332</v>
      </c>
      <c r="B26316" t="str">
        <f>HYPERLINK("https://twitter.com/zuhalfirdaus","@zuhalfirdaus")</f>
        <v>@zuhalfirdaus</v>
      </c>
      <c r="C26316" t="s">
        <v>2963</v>
      </c>
      <c r="D26316">
        <v>958</v>
      </c>
      <c r="E26316">
        <v>0</v>
      </c>
      <c r="F26316">
        <v>27</v>
      </c>
    </row>
    <row r="26317" spans="1:6" ht="12.75">
      <c r="A26317" s="2">
        <v>43875.704259259262</v>
      </c>
      <c r="B26317" t="str">
        <f>HYPERLINK("https://twitter.com/mr_adityason","@mr_adityason")</f>
        <v>@mr_adityason</v>
      </c>
      <c r="C26317" t="s">
        <v>10593</v>
      </c>
      <c r="D26317">
        <v>40</v>
      </c>
      <c r="E26317">
        <v>0</v>
      </c>
      <c r="F26317">
        <v>381</v>
      </c>
    </row>
    <row r="26318" spans="1:6" ht="12.75">
      <c r="A26318" s="2">
        <v>43875.70417824074</v>
      </c>
      <c r="B26318" t="str">
        <f>HYPERLINK("https://twitter.com/leejeonchoi","@leejeonchoi")</f>
        <v>@leejeonchoi</v>
      </c>
      <c r="C26318" t="s">
        <v>9964</v>
      </c>
      <c r="D26318">
        <v>599</v>
      </c>
      <c r="E26318">
        <v>0</v>
      </c>
      <c r="F26318">
        <v>429</v>
      </c>
    </row>
    <row r="26319" spans="1:6" ht="12.75">
      <c r="A26319" s="2">
        <v>43875.70412037037</v>
      </c>
      <c r="B26319" t="str">
        <f>HYPERLINK("https://twitter.com/yosienedhelf","@yosienedhelf")</f>
        <v>@yosienedhelf</v>
      </c>
      <c r="C26319" t="s">
        <v>10074</v>
      </c>
      <c r="D26319">
        <v>56</v>
      </c>
      <c r="E26319">
        <v>0</v>
      </c>
      <c r="F26319">
        <v>284</v>
      </c>
    </row>
    <row r="26320" spans="1:6" ht="12.75">
      <c r="A26320" s="2">
        <v>43875.704108796301</v>
      </c>
      <c r="B26320" t="str">
        <f>HYPERLINK("https://twitter.com/ddaengilsan","@ddaengilsan")</f>
        <v>@ddaengilsan</v>
      </c>
      <c r="C26320" t="s">
        <v>11771</v>
      </c>
      <c r="D26320">
        <v>0</v>
      </c>
      <c r="E26320">
        <v>0</v>
      </c>
      <c r="F26320">
        <v>7664</v>
      </c>
    </row>
    <row r="26321" spans="1:6" ht="12.75">
      <c r="A26321" s="2">
        <v>43875.703958333332</v>
      </c>
      <c r="B26321" t="str">
        <f>HYPERLINK("https://twitter.com/Mfaatih00","@Mfaatih00")</f>
        <v>@Mfaatih00</v>
      </c>
      <c r="C26321" t="s">
        <v>10074</v>
      </c>
      <c r="D26321">
        <v>56</v>
      </c>
      <c r="E26321">
        <v>0</v>
      </c>
      <c r="F26321">
        <v>0</v>
      </c>
    </row>
    <row r="26322" spans="1:6" ht="12.75">
      <c r="A26322" s="2">
        <v>43875.703900462962</v>
      </c>
      <c r="B26322" t="str">
        <f>HYPERLINK("https://twitter.com/lafliledhiver","@lafliledhiver")</f>
        <v>@lafliledhiver</v>
      </c>
      <c r="C26322" t="s">
        <v>2444</v>
      </c>
      <c r="D26322">
        <v>1638</v>
      </c>
      <c r="E26322">
        <v>0</v>
      </c>
      <c r="F26322">
        <v>377</v>
      </c>
    </row>
    <row r="26323" spans="1:6" ht="12.75">
      <c r="A26323" s="2">
        <v>43875.70380787037</v>
      </c>
      <c r="B26323" t="str">
        <f>HYPERLINK("https://twitter.com/kenkomizuhara","@kenkomizuhara")</f>
        <v>@kenkomizuhara</v>
      </c>
      <c r="C26323" t="s">
        <v>11772</v>
      </c>
      <c r="D26323">
        <v>79</v>
      </c>
      <c r="E26323">
        <v>0</v>
      </c>
      <c r="F26323">
        <v>28</v>
      </c>
    </row>
    <row r="26324" spans="1:6" ht="12.75">
      <c r="A26324" s="2">
        <v>43875.703726851847</v>
      </c>
      <c r="B26324" t="str">
        <f>HYPERLINK("https://twitter.com/AtikahZahidah_","@AtikahZahidah_")</f>
        <v>@AtikahZahidah_</v>
      </c>
      <c r="C26324" t="s">
        <v>11773</v>
      </c>
      <c r="D26324">
        <v>9</v>
      </c>
      <c r="E26324">
        <v>0</v>
      </c>
      <c r="F26324">
        <v>3159</v>
      </c>
    </row>
    <row r="26325" spans="1:6" ht="12.75">
      <c r="A26325" s="2">
        <v>43875.703634259262</v>
      </c>
      <c r="B26325" t="str">
        <f>HYPERLINK("https://twitter.com/wildagaluh_","@wildagaluh_")</f>
        <v>@wildagaluh_</v>
      </c>
      <c r="C26325" t="s">
        <v>10074</v>
      </c>
      <c r="D26325">
        <v>56</v>
      </c>
      <c r="E26325">
        <v>0</v>
      </c>
      <c r="F26325">
        <v>1</v>
      </c>
    </row>
    <row r="26326" spans="1:6" ht="12.75">
      <c r="A26326" s="2">
        <v>43875.703553240739</v>
      </c>
      <c r="B26326" t="str">
        <f>HYPERLINK("https://twitter.com/sbarkah1","@sbarkah1")</f>
        <v>@sbarkah1</v>
      </c>
      <c r="C26326" t="s">
        <v>7619</v>
      </c>
      <c r="D26326">
        <v>3</v>
      </c>
      <c r="E26326">
        <v>0</v>
      </c>
      <c r="F26326">
        <v>79</v>
      </c>
    </row>
    <row r="26327" spans="1:6" ht="12.75">
      <c r="A26327" s="2">
        <v>43875.703449074077</v>
      </c>
      <c r="B26327" t="str">
        <f>HYPERLINK("https://twitter.com/ker_asa","@ker_asa")</f>
        <v>@ker_asa</v>
      </c>
      <c r="C26327" t="s">
        <v>6201</v>
      </c>
      <c r="D26327">
        <v>49</v>
      </c>
      <c r="E26327">
        <v>0</v>
      </c>
      <c r="F26327">
        <v>214</v>
      </c>
    </row>
    <row r="26328" spans="1:6" ht="12.75">
      <c r="A26328" s="2">
        <v>43875.703425925924</v>
      </c>
      <c r="B26328" t="str">
        <f>HYPERLINK("https://twitter.com/phanzhoel","@phanzhoel")</f>
        <v>@phanzhoel</v>
      </c>
      <c r="C26328" t="s">
        <v>9776</v>
      </c>
      <c r="D26328">
        <v>2</v>
      </c>
      <c r="E26328">
        <v>0</v>
      </c>
      <c r="F26328">
        <v>208</v>
      </c>
    </row>
    <row r="26329" spans="1:6" ht="12.75">
      <c r="A26329" s="2">
        <v>43875.703368055554</v>
      </c>
      <c r="B26329" t="str">
        <f>HYPERLINK("https://twitter.com/Mjlah_Marketing","@Mjlah_Marketing")</f>
        <v>@Mjlah_Marketing</v>
      </c>
      <c r="C26329" t="s">
        <v>11774</v>
      </c>
      <c r="D26329">
        <v>0</v>
      </c>
      <c r="E26329">
        <v>0</v>
      </c>
      <c r="F26329">
        <v>28093</v>
      </c>
    </row>
    <row r="26330" spans="1:6" ht="12.75">
      <c r="A26330" s="2">
        <v>43875.703333333338</v>
      </c>
      <c r="B26330" t="str">
        <f>HYPERLINK("https://twitter.com/JKadrun","@JKadrun")</f>
        <v>@JKadrun</v>
      </c>
      <c r="C26330" t="s">
        <v>7478</v>
      </c>
      <c r="D26330">
        <v>240</v>
      </c>
      <c r="E26330">
        <v>0</v>
      </c>
      <c r="F26330">
        <v>222</v>
      </c>
    </row>
    <row r="26331" spans="1:6" ht="12.75">
      <c r="A26331" s="2">
        <v>43875.703333333338</v>
      </c>
      <c r="B26331" t="str">
        <f>HYPERLINK("https://twitter.com/AuliaRisqi2","@AuliaRisqi2")</f>
        <v>@AuliaRisqi2</v>
      </c>
      <c r="C26331" t="s">
        <v>10074</v>
      </c>
      <c r="D26331">
        <v>56</v>
      </c>
      <c r="E26331">
        <v>0</v>
      </c>
      <c r="F26331">
        <v>4</v>
      </c>
    </row>
    <row r="26332" spans="1:6" ht="12.75">
      <c r="A26332" s="2">
        <v>43875.703321759254</v>
      </c>
      <c r="B26332" t="str">
        <f>HYPERLINK("https://twitter.com/addinish","@addinish")</f>
        <v>@addinish</v>
      </c>
      <c r="C26332" t="s">
        <v>8233</v>
      </c>
      <c r="D26332">
        <v>477</v>
      </c>
      <c r="E26332">
        <v>0</v>
      </c>
      <c r="F26332">
        <v>1008</v>
      </c>
    </row>
    <row r="26333" spans="1:6" ht="12.75">
      <c r="A26333" s="2">
        <v>43875.703252314815</v>
      </c>
      <c r="B26333" t="str">
        <f>HYPERLINK("https://twitter.com/desiper44191510","@desiper44191510")</f>
        <v>@desiper44191510</v>
      </c>
      <c r="C26333" t="s">
        <v>10074</v>
      </c>
      <c r="D26333">
        <v>56</v>
      </c>
      <c r="E26333">
        <v>0</v>
      </c>
      <c r="F26333">
        <v>1</v>
      </c>
    </row>
    <row r="26334" spans="1:6" ht="12.75">
      <c r="A26334" s="2">
        <v>43875.703194444446</v>
      </c>
      <c r="B26334" t="str">
        <f>HYPERLINK("https://twitter.com/belaNKRI","@belaNKRI")</f>
        <v>@belaNKRI</v>
      </c>
      <c r="C26334" t="s">
        <v>2134</v>
      </c>
      <c r="D26334">
        <v>983</v>
      </c>
      <c r="E26334">
        <v>0</v>
      </c>
      <c r="F26334">
        <v>2141</v>
      </c>
    </row>
    <row r="26335" spans="1:6" ht="12.75">
      <c r="A26335" s="2">
        <v>43875.703194444446</v>
      </c>
      <c r="B26335" t="str">
        <f>HYPERLINK("https://twitter.com/nedyavibria1","@nedyavibria1")</f>
        <v>@nedyavibria1</v>
      </c>
      <c r="C26335" t="s">
        <v>10074</v>
      </c>
      <c r="D26335">
        <v>56</v>
      </c>
      <c r="E26335">
        <v>0</v>
      </c>
      <c r="F26335">
        <v>0</v>
      </c>
    </row>
    <row r="26336" spans="1:6" ht="12.75">
      <c r="A26336" s="2">
        <v>43875.703159722223</v>
      </c>
      <c r="B26336" t="str">
        <f>HYPERLINK("https://twitter.com/andinadwifatma","@andinadwifatma")</f>
        <v>@andinadwifatma</v>
      </c>
      <c r="C26336" t="s">
        <v>2149</v>
      </c>
      <c r="D26336">
        <v>5</v>
      </c>
      <c r="E26336">
        <v>0</v>
      </c>
      <c r="F26336">
        <v>4205</v>
      </c>
    </row>
    <row r="26337" spans="1:6" ht="12.75">
      <c r="A26337" s="2">
        <v>43875.703159722223</v>
      </c>
      <c r="B26337" t="str">
        <f>HYPERLINK("https://twitter.com/iwaniswan","@iwaniswan")</f>
        <v>@iwaniswan</v>
      </c>
      <c r="C26337" t="s">
        <v>11775</v>
      </c>
      <c r="D26337">
        <v>1</v>
      </c>
      <c r="E26337">
        <v>0</v>
      </c>
      <c r="F26337">
        <v>1252</v>
      </c>
    </row>
    <row r="26338" spans="1:6" ht="12.75">
      <c r="A26338" s="2">
        <v>43875.703125</v>
      </c>
      <c r="B26338" t="str">
        <f>HYPERLINK("https://twitter.com/AkuPamuji","@AkuPamuji")</f>
        <v>@AkuPamuji</v>
      </c>
      <c r="C26338" t="s">
        <v>11776</v>
      </c>
      <c r="D26338">
        <v>0</v>
      </c>
      <c r="E26338">
        <v>0</v>
      </c>
      <c r="F26338">
        <v>182</v>
      </c>
    </row>
    <row r="26339" spans="1:6" ht="12.75">
      <c r="A26339" s="2">
        <v>43875.703090277777</v>
      </c>
      <c r="B26339" t="str">
        <f>HYPERLINK("https://twitter.com/YulieNew","@YulieNew")</f>
        <v>@YulieNew</v>
      </c>
      <c r="C26339" t="s">
        <v>7478</v>
      </c>
      <c r="D26339">
        <v>240</v>
      </c>
      <c r="E26339">
        <v>0</v>
      </c>
      <c r="F26339">
        <v>2266</v>
      </c>
    </row>
    <row r="26340" spans="1:6" ht="12.75">
      <c r="A26340" s="2">
        <v>43875.703090277777</v>
      </c>
      <c r="B26340" t="str">
        <f>HYPERLINK("https://twitter.com/cehhao","@cehhao")</f>
        <v>@cehhao</v>
      </c>
      <c r="C26340" t="s">
        <v>5168</v>
      </c>
      <c r="D26340">
        <v>789</v>
      </c>
      <c r="E26340">
        <v>0</v>
      </c>
      <c r="F26340">
        <v>989</v>
      </c>
    </row>
    <row r="26341" spans="1:6" ht="12.75">
      <c r="A26341" s="2">
        <v>43875.702986111108</v>
      </c>
      <c r="B26341" t="str">
        <f>HYPERLINK("https://twitter.com/sangbima","@sangbima")</f>
        <v>@sangbima</v>
      </c>
      <c r="C26341" t="s">
        <v>11208</v>
      </c>
      <c r="D26341">
        <v>5</v>
      </c>
      <c r="E26341">
        <v>0</v>
      </c>
      <c r="F26341">
        <v>310</v>
      </c>
    </row>
    <row r="26342" spans="1:6" ht="12.75">
      <c r="A26342" s="2">
        <v>43875.702928240746</v>
      </c>
      <c r="B26342" t="str">
        <f>HYPERLINK("https://twitter.com/kafiradikal","@kafiradikal")</f>
        <v>@kafiradikal</v>
      </c>
      <c r="C26342" t="s">
        <v>11777</v>
      </c>
      <c r="D26342">
        <v>2</v>
      </c>
      <c r="E26342">
        <v>4</v>
      </c>
      <c r="F26342">
        <v>18881</v>
      </c>
    </row>
    <row r="26343" spans="1:6" ht="12.75">
      <c r="A26343" s="2">
        <v>43875.702905092592</v>
      </c>
      <c r="B26343" t="str">
        <f>HYPERLINK("https://twitter.com/belaNKRI","@belaNKRI")</f>
        <v>@belaNKRI</v>
      </c>
      <c r="C26343" t="s">
        <v>11778</v>
      </c>
      <c r="D26343">
        <v>15</v>
      </c>
      <c r="E26343">
        <v>0</v>
      </c>
      <c r="F26343">
        <v>2141</v>
      </c>
    </row>
    <row r="26344" spans="1:6" ht="12.75">
      <c r="A26344" s="2">
        <v>43875.702881944446</v>
      </c>
      <c r="B26344" t="str">
        <f>HYPERLINK("https://twitter.com/wwcutieboy","@wwcutieboy")</f>
        <v>@wwcutieboy</v>
      </c>
      <c r="C26344" t="s">
        <v>2444</v>
      </c>
      <c r="D26344">
        <v>1638</v>
      </c>
      <c r="E26344">
        <v>0</v>
      </c>
      <c r="F26344">
        <v>671</v>
      </c>
    </row>
    <row r="26345" spans="1:6" ht="12.75">
      <c r="A26345" s="2">
        <v>43875.702835648146</v>
      </c>
      <c r="B26345" t="str">
        <f>HYPERLINK("https://twitter.com/annisahafs","@annisahafs")</f>
        <v>@annisahafs</v>
      </c>
      <c r="C26345" t="s">
        <v>10074</v>
      </c>
      <c r="D26345">
        <v>56</v>
      </c>
      <c r="E26345">
        <v>0</v>
      </c>
      <c r="F26345">
        <v>0</v>
      </c>
    </row>
    <row r="26346" spans="1:6" ht="12.75">
      <c r="A26346" s="2">
        <v>43875.702800925923</v>
      </c>
      <c r="B26346" t="str">
        <f>HYPERLINK("https://twitter.com/bitcdh","@bitcdh")</f>
        <v>@bitcdh</v>
      </c>
      <c r="C26346" t="s">
        <v>2444</v>
      </c>
      <c r="D26346">
        <v>1638</v>
      </c>
      <c r="E26346">
        <v>0</v>
      </c>
      <c r="F26346">
        <v>819</v>
      </c>
    </row>
    <row r="26347" spans="1:6" ht="12.75">
      <c r="A26347" s="2">
        <v>43875.702800925923</v>
      </c>
      <c r="B26347" t="str">
        <f>HYPERLINK("https://twitter.com/purnomo_jati1","@purnomo_jati1")</f>
        <v>@purnomo_jati1</v>
      </c>
      <c r="C26347" t="s">
        <v>2110</v>
      </c>
      <c r="D26347">
        <v>45</v>
      </c>
      <c r="E26347">
        <v>0</v>
      </c>
      <c r="F26347">
        <v>319</v>
      </c>
    </row>
    <row r="26348" spans="1:6" ht="12.75">
      <c r="A26348" s="2">
        <v>43875.702650462961</v>
      </c>
      <c r="B26348" t="str">
        <f>HYPERLINK("https://twitter.com/AdeliaVina2","@AdeliaVina2")</f>
        <v>@AdeliaVina2</v>
      </c>
      <c r="C26348" t="s">
        <v>10074</v>
      </c>
      <c r="D26348">
        <v>56</v>
      </c>
      <c r="E26348">
        <v>0</v>
      </c>
      <c r="F26348">
        <v>0</v>
      </c>
    </row>
    <row r="26349" spans="1:6" ht="12.75">
      <c r="A26349" s="2">
        <v>43875.702627314815</v>
      </c>
      <c r="B26349" t="str">
        <f>HYPERLINK("https://twitter.com/Ato04139675","@Ato04139675")</f>
        <v>@Ato04139675</v>
      </c>
      <c r="C26349" t="s">
        <v>7478</v>
      </c>
      <c r="D26349">
        <v>240</v>
      </c>
      <c r="E26349">
        <v>0</v>
      </c>
      <c r="F26349">
        <v>622</v>
      </c>
    </row>
    <row r="26350" spans="1:6" ht="12.75">
      <c r="A26350" s="2">
        <v>43875.702604166669</v>
      </c>
      <c r="B26350" t="str">
        <f>HYPERLINK("https://twitter.com/GnpfBullshit212","@GnpfBullshit212")</f>
        <v>@GnpfBullshit212</v>
      </c>
      <c r="C26350" t="s">
        <v>10083</v>
      </c>
      <c r="D26350">
        <v>2</v>
      </c>
      <c r="E26350">
        <v>0</v>
      </c>
      <c r="F26350">
        <v>975</v>
      </c>
    </row>
    <row r="26351" spans="1:6" ht="12.75">
      <c r="A26351" s="2">
        <v>43875.702569444446</v>
      </c>
      <c r="B26351" t="str">
        <f>HYPERLINK("https://twitter.com/SelvyRizka","@SelvyRizka")</f>
        <v>@SelvyRizka</v>
      </c>
      <c r="C26351" t="s">
        <v>10074</v>
      </c>
      <c r="D26351">
        <v>56</v>
      </c>
      <c r="E26351">
        <v>0</v>
      </c>
      <c r="F26351">
        <v>0</v>
      </c>
    </row>
    <row r="26352" spans="1:6" ht="12.75">
      <c r="A26352" s="2">
        <v>43875.702569444446</v>
      </c>
      <c r="B26352" t="str">
        <f>HYPERLINK("https://twitter.com/donkisot007","@donkisot007")</f>
        <v>@donkisot007</v>
      </c>
      <c r="C26352" t="s">
        <v>11779</v>
      </c>
      <c r="D26352">
        <v>0</v>
      </c>
      <c r="E26352">
        <v>0</v>
      </c>
      <c r="F26352">
        <v>107</v>
      </c>
    </row>
    <row r="26353" spans="1:6" ht="12.75">
      <c r="A26353" s="2">
        <v>43875.702511574069</v>
      </c>
      <c r="B26353" t="str">
        <f>HYPERLINK("https://twitter.com/cqntik_","@cqntik_")</f>
        <v>@cqntik_</v>
      </c>
      <c r="C26353" t="s">
        <v>2137</v>
      </c>
      <c r="D26353">
        <v>138</v>
      </c>
      <c r="E26353">
        <v>0</v>
      </c>
      <c r="F26353">
        <v>702</v>
      </c>
    </row>
    <row r="26354" spans="1:6" ht="12.75">
      <c r="A26354" s="2">
        <v>43875.702499999999</v>
      </c>
      <c r="B26354" t="str">
        <f>HYPERLINK("https://twitter.com/WeniRL","@WeniRL")</f>
        <v>@WeniRL</v>
      </c>
      <c r="C26354" t="s">
        <v>5168</v>
      </c>
      <c r="D26354">
        <v>789</v>
      </c>
      <c r="E26354">
        <v>0</v>
      </c>
      <c r="F26354">
        <v>327</v>
      </c>
    </row>
    <row r="26355" spans="1:6" ht="12.75">
      <c r="A26355" s="2">
        <v>43875.70244212963</v>
      </c>
      <c r="B26355" t="str">
        <f>HYPERLINK("https://twitter.com/rezaharli","@rezaharli")</f>
        <v>@rezaharli</v>
      </c>
      <c r="C26355" t="s">
        <v>2444</v>
      </c>
      <c r="D26355">
        <v>1638</v>
      </c>
      <c r="E26355">
        <v>0</v>
      </c>
      <c r="F26355">
        <v>415</v>
      </c>
    </row>
    <row r="26356" spans="1:6" ht="12.75">
      <c r="A26356" s="2">
        <v>43875.702407407407</v>
      </c>
      <c r="B26356" t="str">
        <f>HYPERLINK("https://twitter.com/Aniskyp","@Aniskyp")</f>
        <v>@Aniskyp</v>
      </c>
      <c r="C26356" t="s">
        <v>10074</v>
      </c>
      <c r="D26356">
        <v>56</v>
      </c>
      <c r="E26356">
        <v>0</v>
      </c>
      <c r="F26356">
        <v>3</v>
      </c>
    </row>
    <row r="26357" spans="1:6" ht="12.75">
      <c r="A26357" s="2">
        <v>43875.702268518522</v>
      </c>
      <c r="B26357" t="str">
        <f>HYPERLINK("https://twitter.com/VivieckJalu","@VivieckJalu")</f>
        <v>@VivieckJalu</v>
      </c>
      <c r="C26357" t="s">
        <v>2963</v>
      </c>
      <c r="D26357">
        <v>958</v>
      </c>
      <c r="E26357">
        <v>0</v>
      </c>
      <c r="F26357">
        <v>253</v>
      </c>
    </row>
    <row r="26358" spans="1:6" ht="12.75">
      <c r="A26358" s="2">
        <v>43875.702233796299</v>
      </c>
      <c r="B26358" t="str">
        <f>HYPERLINK("https://twitter.com/tjamat","@tjamat")</f>
        <v>@tjamat</v>
      </c>
      <c r="C26358" t="s">
        <v>11780</v>
      </c>
      <c r="D26358">
        <v>0</v>
      </c>
      <c r="E26358">
        <v>0</v>
      </c>
      <c r="F26358">
        <v>410</v>
      </c>
    </row>
    <row r="26359" spans="1:6" ht="12.75">
      <c r="A26359" s="2">
        <v>43875.702210648145</v>
      </c>
      <c r="B26359" t="str">
        <f>HYPERLINK("https://twitter.com/januardi_R","@januardi_R")</f>
        <v>@januardi_R</v>
      </c>
      <c r="C26359" t="s">
        <v>10074</v>
      </c>
      <c r="D26359">
        <v>56</v>
      </c>
      <c r="E26359">
        <v>0</v>
      </c>
      <c r="F26359">
        <v>127</v>
      </c>
    </row>
    <row r="26360" spans="1:6" ht="12.75">
      <c r="A26360" s="2">
        <v>43875.702199074076</v>
      </c>
      <c r="B26360" t="str">
        <f>HYPERLINK("https://twitter.com/tank_abraham","@tank_abraham")</f>
        <v>@tank_abraham</v>
      </c>
      <c r="C26360" t="s">
        <v>11781</v>
      </c>
      <c r="D26360">
        <v>0</v>
      </c>
      <c r="E26360">
        <v>0</v>
      </c>
      <c r="F26360">
        <v>0</v>
      </c>
    </row>
    <row r="26361" spans="1:6" ht="12.75">
      <c r="A26361" s="2">
        <v>43875.702187499999</v>
      </c>
      <c r="B26361" t="str">
        <f>HYPERLINK("https://twitter.com/moodaayy","@moodaayy")</f>
        <v>@moodaayy</v>
      </c>
      <c r="C26361" t="s">
        <v>11782</v>
      </c>
      <c r="D26361">
        <v>0</v>
      </c>
      <c r="E26361">
        <v>0</v>
      </c>
      <c r="F26361">
        <v>30</v>
      </c>
    </row>
    <row r="26362" spans="1:6" ht="12.75">
      <c r="A26362" s="2">
        <v>43875.702175925922</v>
      </c>
      <c r="B26362" t="str">
        <f>HYPERLINK("https://twitter.com/puuutttiii","@puuutttiii")</f>
        <v>@puuutttiii</v>
      </c>
      <c r="C26362" t="s">
        <v>11783</v>
      </c>
      <c r="D26362">
        <v>1</v>
      </c>
      <c r="E26362">
        <v>0</v>
      </c>
      <c r="F26362">
        <v>29</v>
      </c>
    </row>
    <row r="26363" spans="1:6" ht="12.75">
      <c r="A26363" s="2">
        <v>43875.702152777776</v>
      </c>
      <c r="B26363" t="str">
        <f>HYPERLINK("https://twitter.com/dindaartr","@dindaartr")</f>
        <v>@dindaartr</v>
      </c>
      <c r="C26363" t="s">
        <v>10074</v>
      </c>
      <c r="D26363">
        <v>56</v>
      </c>
      <c r="E26363">
        <v>0</v>
      </c>
      <c r="F26363">
        <v>48</v>
      </c>
    </row>
    <row r="26364" spans="1:6" ht="12.75">
      <c r="A26364" s="2">
        <v>43875.702141203699</v>
      </c>
      <c r="B26364" t="str">
        <f>HYPERLINK("https://twitter.com/candra_ilham_20","@candra_ilham_20")</f>
        <v>@candra_ilham_20</v>
      </c>
      <c r="C26364" t="s">
        <v>10074</v>
      </c>
      <c r="D26364">
        <v>56</v>
      </c>
      <c r="E26364">
        <v>0</v>
      </c>
      <c r="F26364">
        <v>1</v>
      </c>
    </row>
    <row r="26365" spans="1:6" ht="12.75">
      <c r="A26365" s="2">
        <v>43875.70211805556</v>
      </c>
      <c r="B26365" t="str">
        <f>HYPERLINK("https://twitter.com/VisionGlobal18","@VisionGlobal18")</f>
        <v>@VisionGlobal18</v>
      </c>
      <c r="C26365" t="s">
        <v>9377</v>
      </c>
      <c r="D26365">
        <v>16</v>
      </c>
      <c r="E26365">
        <v>0</v>
      </c>
      <c r="F26365">
        <v>1054</v>
      </c>
    </row>
    <row r="26366" spans="1:6" ht="12.75">
      <c r="A26366" s="2">
        <v>43875.702083333337</v>
      </c>
      <c r="B26366" t="str">
        <f>HYPERLINK("https://twitter.com/bangyos59","@bangyos59")</f>
        <v>@bangyos59</v>
      </c>
      <c r="C26366" t="s">
        <v>9746</v>
      </c>
      <c r="D26366">
        <v>249</v>
      </c>
      <c r="E26366">
        <v>0</v>
      </c>
      <c r="F26366">
        <v>641</v>
      </c>
    </row>
    <row r="26367" spans="1:6" ht="12.75">
      <c r="A26367" s="2">
        <v>43875.702013888891</v>
      </c>
      <c r="B26367" t="str">
        <f>HYPERLINK("https://twitter.com/PamanDobl4ng","@PamanDobl4ng")</f>
        <v>@PamanDobl4ng</v>
      </c>
      <c r="C26367" t="s">
        <v>10422</v>
      </c>
      <c r="D26367">
        <v>96</v>
      </c>
      <c r="E26367">
        <v>0</v>
      </c>
      <c r="F26367">
        <v>87</v>
      </c>
    </row>
    <row r="26368" spans="1:6" ht="12.75">
      <c r="A26368" s="2">
        <v>43875.701979166668</v>
      </c>
      <c r="B26368" t="str">
        <f>HYPERLINK("https://twitter.com/shiva_nataraja3","@shiva_nataraja3")</f>
        <v>@shiva_nataraja3</v>
      </c>
      <c r="C26368" t="s">
        <v>11784</v>
      </c>
      <c r="D26368">
        <v>0</v>
      </c>
      <c r="E26368">
        <v>0</v>
      </c>
      <c r="F26368">
        <v>170</v>
      </c>
    </row>
    <row r="26369" spans="1:6" ht="12.75">
      <c r="A26369" s="2">
        <v>43875.701967592591</v>
      </c>
      <c r="B26369" t="str">
        <f>HYPERLINK("https://twitter.com/SuburBur","@SuburBur")</f>
        <v>@SuburBur</v>
      </c>
      <c r="C26369" t="s">
        <v>2110</v>
      </c>
      <c r="D26369">
        <v>45</v>
      </c>
      <c r="E26369">
        <v>0</v>
      </c>
      <c r="F26369">
        <v>5961</v>
      </c>
    </row>
    <row r="26370" spans="1:6" ht="12.75">
      <c r="A26370" s="2">
        <v>43875.701944444445</v>
      </c>
      <c r="B26370" t="str">
        <f>HYPERLINK("https://twitter.com/BagusEka3","@BagusEka3")</f>
        <v>@BagusEka3</v>
      </c>
      <c r="C26370" t="s">
        <v>11785</v>
      </c>
      <c r="D26370">
        <v>47</v>
      </c>
      <c r="E26370">
        <v>0</v>
      </c>
      <c r="F26370">
        <v>246</v>
      </c>
    </row>
    <row r="26371" spans="1:6" ht="12.75">
      <c r="A26371" s="2">
        <v>43875.701932870375</v>
      </c>
      <c r="B26371" t="str">
        <f>HYPERLINK("https://twitter.com/Peringkat3UN","@Peringkat3UN")</f>
        <v>@Peringkat3UN</v>
      </c>
      <c r="C26371" t="s">
        <v>11786</v>
      </c>
      <c r="D26371">
        <v>0</v>
      </c>
      <c r="E26371">
        <v>0</v>
      </c>
      <c r="F26371">
        <v>38</v>
      </c>
    </row>
    <row r="26372" spans="1:6" ht="12.75">
      <c r="A26372" s="2">
        <v>43875.701874999999</v>
      </c>
      <c r="B26372" t="str">
        <f>HYPERLINK("https://twitter.com/bhre_wengker84","@bhre_wengker84")</f>
        <v>@bhre_wengker84</v>
      </c>
      <c r="C26372" t="s">
        <v>11787</v>
      </c>
      <c r="D26372">
        <v>0</v>
      </c>
      <c r="E26372">
        <v>0</v>
      </c>
      <c r="F26372">
        <v>5063</v>
      </c>
    </row>
    <row r="26373" spans="1:6" ht="12.75">
      <c r="A26373" s="2">
        <v>43875.701863425929</v>
      </c>
      <c r="B26373" t="str">
        <f>HYPERLINK("https://twitter.com/Anyer_Fury","@Anyer_Fury")</f>
        <v>@Anyer_Fury</v>
      </c>
      <c r="C26373" t="s">
        <v>10052</v>
      </c>
      <c r="D26373">
        <v>24</v>
      </c>
      <c r="E26373">
        <v>0</v>
      </c>
      <c r="F26373">
        <v>1249</v>
      </c>
    </row>
    <row r="26374" spans="1:6" ht="12.75">
      <c r="A26374" s="2">
        <v>43875.701828703706</v>
      </c>
      <c r="B26374" t="str">
        <f>HYPERLINK("https://twitter.com/__Ndaru__","@__Ndaru__")</f>
        <v>@__Ndaru__</v>
      </c>
      <c r="C26374" t="s">
        <v>11788</v>
      </c>
      <c r="D26374">
        <v>1</v>
      </c>
      <c r="E26374">
        <v>0</v>
      </c>
      <c r="F26374">
        <v>317</v>
      </c>
    </row>
    <row r="26375" spans="1:6" ht="12.75">
      <c r="A26375" s="2">
        <v>43875.701817129629</v>
      </c>
      <c r="B26375" t="str">
        <f>HYPERLINK("https://twitter.com/Salsabi98588490","@Salsabi98588490")</f>
        <v>@Salsabi98588490</v>
      </c>
      <c r="C26375" t="s">
        <v>10074</v>
      </c>
      <c r="D26375">
        <v>56</v>
      </c>
      <c r="E26375">
        <v>0</v>
      </c>
      <c r="F26375">
        <v>3</v>
      </c>
    </row>
    <row r="26376" spans="1:6" ht="12.75">
      <c r="A26376" s="2">
        <v>43875.701736111107</v>
      </c>
      <c r="B26376" t="str">
        <f>HYPERLINK("https://twitter.com/FridaSolehati9","@FridaSolehati9")</f>
        <v>@FridaSolehati9</v>
      </c>
      <c r="C26376" t="s">
        <v>11789</v>
      </c>
      <c r="D26376">
        <v>0</v>
      </c>
      <c r="E26376">
        <v>0</v>
      </c>
      <c r="F26376">
        <v>633</v>
      </c>
    </row>
    <row r="26377" spans="1:6" ht="12.75">
      <c r="A26377" s="2">
        <v>43875.701620370368</v>
      </c>
      <c r="B26377" t="str">
        <f>HYPERLINK("https://twitter.com/medcom_id","@medcom_id")</f>
        <v>@medcom_id</v>
      </c>
      <c r="C26377" t="s">
        <v>11790</v>
      </c>
      <c r="D26377">
        <v>0</v>
      </c>
      <c r="E26377">
        <v>0</v>
      </c>
      <c r="F26377">
        <v>18098</v>
      </c>
    </row>
    <row r="26378" spans="1:6" ht="12.75">
      <c r="A26378" s="2">
        <v>43875.701597222222</v>
      </c>
      <c r="B26378" t="str">
        <f>HYPERLINK("https://twitter.com/catreonot","@catreonot")</f>
        <v>@catreonot</v>
      </c>
      <c r="C26378" t="s">
        <v>11727</v>
      </c>
      <c r="D26378">
        <v>1</v>
      </c>
      <c r="E26378">
        <v>0</v>
      </c>
      <c r="F26378">
        <v>198</v>
      </c>
    </row>
    <row r="26379" spans="1:6" ht="12.75">
      <c r="A26379" s="2">
        <v>43875.701574074075</v>
      </c>
      <c r="B26379" t="str">
        <f>HYPERLINK("https://twitter.com/halcyoont","@halcyoont")</f>
        <v>@halcyoont</v>
      </c>
      <c r="C26379" t="s">
        <v>2137</v>
      </c>
      <c r="D26379">
        <v>138</v>
      </c>
      <c r="E26379">
        <v>0</v>
      </c>
      <c r="F26379">
        <v>409</v>
      </c>
    </row>
    <row r="26380" spans="1:6" ht="12.75">
      <c r="A26380" s="2">
        <v>43875.701539351852</v>
      </c>
      <c r="B26380" t="str">
        <f>HYPERLINK("https://twitter.com/leonisecret","@leonisecret")</f>
        <v>@leonisecret</v>
      </c>
      <c r="C26380" t="s">
        <v>2444</v>
      </c>
      <c r="D26380">
        <v>1638</v>
      </c>
      <c r="E26380">
        <v>0</v>
      </c>
      <c r="F26380">
        <v>34574</v>
      </c>
    </row>
    <row r="26381" spans="1:6" ht="12.75">
      <c r="A26381" s="2">
        <v>43875.701435185183</v>
      </c>
      <c r="B26381" t="str">
        <f>HYPERLINK("https://twitter.com/4mm4r00","@4mm4r00")</f>
        <v>@4mm4r00</v>
      </c>
      <c r="C26381" t="s">
        <v>11791</v>
      </c>
      <c r="D26381">
        <v>0</v>
      </c>
      <c r="E26381">
        <v>0</v>
      </c>
      <c r="F26381">
        <v>5</v>
      </c>
    </row>
    <row r="26382" spans="1:6" ht="12.75">
      <c r="A26382" s="2">
        <v>43875.701342592598</v>
      </c>
      <c r="B26382" t="str">
        <f>HYPERLINK("https://twitter.com/OnangBlondho","@OnangBlondho")</f>
        <v>@OnangBlondho</v>
      </c>
      <c r="C26382" t="s">
        <v>2444</v>
      </c>
      <c r="D26382">
        <v>1638</v>
      </c>
      <c r="E26382">
        <v>0</v>
      </c>
      <c r="F26382">
        <v>253</v>
      </c>
    </row>
    <row r="26383" spans="1:6" ht="12.75">
      <c r="A26383" s="2">
        <v>43875.701331018514</v>
      </c>
      <c r="B26383" t="str">
        <f>HYPERLINK("https://twitter.com/VisionGlobal18","@VisionGlobal18")</f>
        <v>@VisionGlobal18</v>
      </c>
      <c r="C26383" t="s">
        <v>10512</v>
      </c>
      <c r="D26383">
        <v>6</v>
      </c>
      <c r="E26383">
        <v>0</v>
      </c>
      <c r="F26383">
        <v>1054</v>
      </c>
    </row>
    <row r="26384" spans="1:6" ht="12.75">
      <c r="A26384" s="2">
        <v>43875.701331018514</v>
      </c>
      <c r="B26384" t="str">
        <f>HYPERLINK("https://twitter.com/tryrezeky08","@tryrezeky08")</f>
        <v>@tryrezeky08</v>
      </c>
      <c r="C26384" t="s">
        <v>5168</v>
      </c>
      <c r="D26384">
        <v>789</v>
      </c>
      <c r="E26384">
        <v>0</v>
      </c>
      <c r="F26384">
        <v>32</v>
      </c>
    </row>
    <row r="26385" spans="1:6" ht="12.75">
      <c r="A26385" s="2">
        <v>43875.701238425929</v>
      </c>
      <c r="B26385" t="str">
        <f>HYPERLINK("https://twitter.com/babangmu","@babangmu")</f>
        <v>@babangmu</v>
      </c>
      <c r="C26385" t="s">
        <v>11792</v>
      </c>
      <c r="D26385">
        <v>0</v>
      </c>
      <c r="E26385">
        <v>0</v>
      </c>
      <c r="F26385">
        <v>61</v>
      </c>
    </row>
    <row r="26386" spans="1:6" ht="12.75">
      <c r="A26386" s="2">
        <v>43875.701226851852</v>
      </c>
      <c r="B26386" t="str">
        <f>HYPERLINK("https://twitter.com/RD1951","@RD1951")</f>
        <v>@RD1951</v>
      </c>
      <c r="C26386" t="s">
        <v>10121</v>
      </c>
      <c r="D26386">
        <v>178</v>
      </c>
      <c r="E26386">
        <v>0</v>
      </c>
      <c r="F26386">
        <v>45</v>
      </c>
    </row>
    <row r="26387" spans="1:6" ht="12.75">
      <c r="A26387" s="2">
        <v>43875.70112268519</v>
      </c>
      <c r="B26387" t="str">
        <f>HYPERLINK("https://twitter.com/alsinkqy","@alsinkqy")</f>
        <v>@alsinkqy</v>
      </c>
      <c r="C26387" t="s">
        <v>11793</v>
      </c>
      <c r="D26387">
        <v>0</v>
      </c>
      <c r="E26387">
        <v>0</v>
      </c>
      <c r="F26387">
        <v>58</v>
      </c>
    </row>
    <row r="26388" spans="1:6" ht="12.75">
      <c r="A26388" s="2">
        <v>43875.70107638889</v>
      </c>
      <c r="B26388" t="str">
        <f>HYPERLINK("https://twitter.com/Agus10618284","@Agus10618284")</f>
        <v>@Agus10618284</v>
      </c>
      <c r="C26388" t="s">
        <v>6201</v>
      </c>
      <c r="D26388">
        <v>49</v>
      </c>
      <c r="E26388">
        <v>0</v>
      </c>
      <c r="F26388">
        <v>1136</v>
      </c>
    </row>
    <row r="26389" spans="1:6" ht="12.75">
      <c r="A26389" s="2">
        <v>43875.700856481482</v>
      </c>
      <c r="B26389" t="str">
        <f>HYPERLINK("https://twitter.com/dushenkaverasha","@dushenkaverasha")</f>
        <v>@dushenkaverasha</v>
      </c>
      <c r="C26389" t="s">
        <v>2444</v>
      </c>
      <c r="D26389">
        <v>1638</v>
      </c>
      <c r="E26389">
        <v>0</v>
      </c>
      <c r="F26389">
        <v>355</v>
      </c>
    </row>
    <row r="26390" spans="1:6" ht="12.75">
      <c r="A26390" s="2">
        <v>43875.700844907406</v>
      </c>
      <c r="B26390" t="str">
        <f>HYPERLINK("https://twitter.com/AjahUswatun","@AjahUswatun")</f>
        <v>@AjahUswatun</v>
      </c>
      <c r="C26390" t="s">
        <v>10074</v>
      </c>
      <c r="D26390">
        <v>56</v>
      </c>
      <c r="E26390">
        <v>0</v>
      </c>
      <c r="F26390">
        <v>2</v>
      </c>
    </row>
    <row r="26391" spans="1:6" ht="12.75">
      <c r="A26391" s="2">
        <v>43875.700810185182</v>
      </c>
      <c r="B26391" t="str">
        <f>HYPERLINK("https://twitter.com/wow_keren","@wow_keren")</f>
        <v>@wow_keren</v>
      </c>
      <c r="C26391" t="s">
        <v>11794</v>
      </c>
      <c r="D26391">
        <v>0</v>
      </c>
      <c r="E26391">
        <v>0</v>
      </c>
      <c r="F26391">
        <v>32002</v>
      </c>
    </row>
    <row r="26392" spans="1:6" ht="12.75">
      <c r="A26392" s="2">
        <v>43875.700775462959</v>
      </c>
      <c r="B26392" t="str">
        <f>HYPERLINK("https://twitter.com/Rizmalingga1","@Rizmalingga1")</f>
        <v>@Rizmalingga1</v>
      </c>
      <c r="C26392" t="s">
        <v>10074</v>
      </c>
      <c r="D26392">
        <v>56</v>
      </c>
      <c r="E26392">
        <v>0</v>
      </c>
      <c r="F26392">
        <v>2</v>
      </c>
    </row>
    <row r="26393" spans="1:6" ht="12.75">
      <c r="A26393" s="2">
        <v>43875.700752314813</v>
      </c>
      <c r="B26393" t="str">
        <f>HYPERLINK("https://twitter.com/linluvjk","@linluvjk")</f>
        <v>@linluvjk</v>
      </c>
      <c r="C26393" t="s">
        <v>2444</v>
      </c>
      <c r="D26393">
        <v>1638</v>
      </c>
      <c r="E26393">
        <v>0</v>
      </c>
      <c r="F26393">
        <v>1488</v>
      </c>
    </row>
    <row r="26394" spans="1:6" ht="12.75">
      <c r="A26394" s="2">
        <v>43875.700740740736</v>
      </c>
      <c r="B26394" t="str">
        <f>HYPERLINK("https://twitter.com/mudha_satriya","@mudha_satriya")</f>
        <v>@mudha_satriya</v>
      </c>
      <c r="C26394" t="s">
        <v>11605</v>
      </c>
      <c r="D26394">
        <v>5</v>
      </c>
      <c r="E26394">
        <v>0</v>
      </c>
      <c r="F26394">
        <v>1877</v>
      </c>
    </row>
    <row r="26395" spans="1:6" ht="12.75">
      <c r="A26395" s="2">
        <v>43875.700694444444</v>
      </c>
      <c r="B26395" t="str">
        <f>HYPERLINK("https://twitter.com/donkisot007","@donkisot007")</f>
        <v>@donkisot007</v>
      </c>
      <c r="C26395" t="s">
        <v>11795</v>
      </c>
      <c r="D26395">
        <v>0</v>
      </c>
      <c r="E26395">
        <v>0</v>
      </c>
      <c r="F26395">
        <v>107</v>
      </c>
    </row>
    <row r="26396" spans="1:6" ht="12.75">
      <c r="A26396" s="2">
        <v>43875.700694444444</v>
      </c>
      <c r="B26396" t="str">
        <f>HYPERLINK("https://twitter.com/KaboelIskandar","@KaboelIskandar")</f>
        <v>@KaboelIskandar</v>
      </c>
      <c r="C26396" t="s">
        <v>11796</v>
      </c>
      <c r="D26396">
        <v>0</v>
      </c>
      <c r="E26396">
        <v>0</v>
      </c>
      <c r="F26396">
        <v>0</v>
      </c>
    </row>
    <row r="26397" spans="1:6" ht="12.75">
      <c r="A26397" s="2">
        <v>43875.700648148151</v>
      </c>
      <c r="B26397" t="str">
        <f>HYPERLINK("https://twitter.com/HendarwatiH","@HendarwatiH")</f>
        <v>@HendarwatiH</v>
      </c>
      <c r="C26397" t="s">
        <v>11797</v>
      </c>
      <c r="D26397">
        <v>9</v>
      </c>
      <c r="E26397">
        <v>0</v>
      </c>
      <c r="F26397">
        <v>2116</v>
      </c>
    </row>
    <row r="26398" spans="1:6" ht="12.75">
      <c r="A26398" s="2">
        <v>43875.700613425928</v>
      </c>
      <c r="B26398" t="str">
        <f>HYPERLINK("https://twitter.com/SyPram_Khan","@SyPram_Khan")</f>
        <v>@SyPram_Khan</v>
      </c>
      <c r="C26398" t="s">
        <v>11071</v>
      </c>
      <c r="D26398">
        <v>62</v>
      </c>
      <c r="E26398">
        <v>0</v>
      </c>
      <c r="F26398">
        <v>241</v>
      </c>
    </row>
    <row r="26399" spans="1:6" ht="12.75">
      <c r="A26399" s="2">
        <v>43875.700555555552</v>
      </c>
      <c r="B26399" t="str">
        <f>HYPERLINK("https://twitter.com/iNewsID","@iNewsID")</f>
        <v>@iNewsID</v>
      </c>
      <c r="C26399" t="s">
        <v>11798</v>
      </c>
      <c r="D26399">
        <v>0</v>
      </c>
      <c r="E26399">
        <v>0</v>
      </c>
      <c r="F26399">
        <v>1255</v>
      </c>
    </row>
    <row r="26400" spans="1:6" ht="12.75">
      <c r="A26400" s="2">
        <v>43875.700520833328</v>
      </c>
      <c r="B26400" t="str">
        <f>HYPERLINK("https://twitter.com/stop_dusta","@stop_dusta")</f>
        <v>@stop_dusta</v>
      </c>
      <c r="C26400" t="s">
        <v>7478</v>
      </c>
      <c r="D26400">
        <v>240</v>
      </c>
      <c r="E26400">
        <v>0</v>
      </c>
      <c r="F26400">
        <v>674</v>
      </c>
    </row>
    <row r="26401" spans="1:6" ht="12.75">
      <c r="A26401" s="2">
        <v>43875.700509259259</v>
      </c>
      <c r="B26401" t="str">
        <f>HYPERLINK("https://twitter.com/MeisySantoso","@MeisySantoso")</f>
        <v>@MeisySantoso</v>
      </c>
      <c r="C26401" t="s">
        <v>10074</v>
      </c>
      <c r="D26401">
        <v>56</v>
      </c>
      <c r="E26401">
        <v>0</v>
      </c>
      <c r="F26401">
        <v>1</v>
      </c>
    </row>
    <row r="26402" spans="1:6" ht="12.75">
      <c r="A26402" s="2">
        <v>43875.700497685189</v>
      </c>
      <c r="B26402" t="str">
        <f>HYPERLINK("https://twitter.com/kebachut","@kebachut")</f>
        <v>@kebachut</v>
      </c>
      <c r="C26402" t="s">
        <v>10074</v>
      </c>
      <c r="D26402">
        <v>56</v>
      </c>
      <c r="E26402">
        <v>0</v>
      </c>
      <c r="F26402">
        <v>9</v>
      </c>
    </row>
    <row r="26403" spans="1:6" ht="12.75">
      <c r="A26403" s="2">
        <v>43875.700486111113</v>
      </c>
      <c r="B26403" t="str">
        <f>HYPERLINK("https://twitter.com/heri_ranintaqi","@heri_ranintaqi")</f>
        <v>@heri_ranintaqi</v>
      </c>
      <c r="C26403" t="s">
        <v>10052</v>
      </c>
      <c r="D26403">
        <v>24</v>
      </c>
      <c r="E26403">
        <v>0</v>
      </c>
      <c r="F26403">
        <v>276</v>
      </c>
    </row>
    <row r="26404" spans="1:6" ht="12.75">
      <c r="A26404" s="2">
        <v>43875.700428240743</v>
      </c>
      <c r="B26404" t="str">
        <f>HYPERLINK("https://twitter.com/KartelEgo","@KartelEgo")</f>
        <v>@KartelEgo</v>
      </c>
      <c r="C26404" t="s">
        <v>11799</v>
      </c>
      <c r="D26404">
        <v>0</v>
      </c>
      <c r="E26404">
        <v>0</v>
      </c>
      <c r="F26404">
        <v>1399</v>
      </c>
    </row>
    <row r="26405" spans="1:6" ht="12.75">
      <c r="A26405" s="2">
        <v>43875.700416666667</v>
      </c>
      <c r="B26405" t="str">
        <f>HYPERLINK("https://twitter.com/surodilagan","@surodilagan")</f>
        <v>@surodilagan</v>
      </c>
      <c r="C26405" t="s">
        <v>11800</v>
      </c>
      <c r="D26405">
        <v>2</v>
      </c>
      <c r="E26405">
        <v>0</v>
      </c>
      <c r="F26405">
        <v>1433</v>
      </c>
    </row>
    <row r="26406" spans="1:6" ht="12.75">
      <c r="A26406" s="2">
        <v>43875.70039351852</v>
      </c>
      <c r="B26406" t="str">
        <f>HYPERLINK("https://twitter.com/RachmaPerdani","@RachmaPerdani")</f>
        <v>@RachmaPerdani</v>
      </c>
      <c r="C26406" t="s">
        <v>10074</v>
      </c>
      <c r="D26406">
        <v>56</v>
      </c>
      <c r="E26406">
        <v>0</v>
      </c>
      <c r="F26406">
        <v>4</v>
      </c>
    </row>
    <row r="26407" spans="1:6" ht="12.75">
      <c r="A26407" s="2">
        <v>43875.700300925921</v>
      </c>
      <c r="B26407" t="str">
        <f>HYPERLINK("https://twitter.com/susidiansafitri","@susidiansafitri")</f>
        <v>@susidiansafitri</v>
      </c>
      <c r="C26407" t="s">
        <v>7619</v>
      </c>
      <c r="D26407">
        <v>3</v>
      </c>
      <c r="E26407">
        <v>0</v>
      </c>
      <c r="F26407">
        <v>1787</v>
      </c>
    </row>
    <row r="26408" spans="1:6" ht="12.75">
      <c r="A26408" s="2">
        <v>43875.700289351851</v>
      </c>
      <c r="B26408" t="str">
        <f>HYPERLINK("https://twitter.com/gusadhie1","@gusadhie1")</f>
        <v>@gusadhie1</v>
      </c>
      <c r="C26408" t="s">
        <v>7478</v>
      </c>
      <c r="D26408">
        <v>240</v>
      </c>
      <c r="E26408">
        <v>0</v>
      </c>
      <c r="F26408">
        <v>78</v>
      </c>
    </row>
    <row r="26409" spans="1:6" ht="12.75">
      <c r="A26409" s="2">
        <v>43875.700266203705</v>
      </c>
      <c r="B26409" t="str">
        <f>HYPERLINK("https://twitter.com/RamelanRahardi","@RamelanRahardi")</f>
        <v>@RamelanRahardi</v>
      </c>
      <c r="C26409" t="s">
        <v>11801</v>
      </c>
      <c r="D26409">
        <v>0</v>
      </c>
      <c r="E26409">
        <v>0</v>
      </c>
      <c r="F26409">
        <v>67</v>
      </c>
    </row>
    <row r="26410" spans="1:6" ht="12.75">
      <c r="A26410" s="2">
        <v>43875.700115740736</v>
      </c>
      <c r="B26410" t="str">
        <f>HYPERLINK("https://twitter.com/syntheiz","@syntheiz")</f>
        <v>@syntheiz</v>
      </c>
      <c r="C26410" t="s">
        <v>5168</v>
      </c>
      <c r="D26410">
        <v>789</v>
      </c>
      <c r="E26410">
        <v>0</v>
      </c>
      <c r="F26410">
        <v>289</v>
      </c>
    </row>
    <row r="26411" spans="1:6" ht="12.75">
      <c r="A26411" s="2">
        <v>43875.700104166666</v>
      </c>
      <c r="B26411" t="str">
        <f>HYPERLINK("https://twitter.com/mrahadhi","@mrahadhi")</f>
        <v>@mrahadhi</v>
      </c>
      <c r="C26411" t="s">
        <v>7478</v>
      </c>
      <c r="D26411">
        <v>240</v>
      </c>
      <c r="E26411">
        <v>0</v>
      </c>
      <c r="F26411">
        <v>258</v>
      </c>
    </row>
    <row r="26412" spans="1:6" ht="12.75">
      <c r="A26412" s="2">
        <v>43875.700011574074</v>
      </c>
      <c r="B26412" t="str">
        <f>HYPERLINK("https://twitter.com/thenameisdaw","@thenameisdaw")</f>
        <v>@thenameisdaw</v>
      </c>
      <c r="C26412" t="s">
        <v>5168</v>
      </c>
      <c r="D26412">
        <v>789</v>
      </c>
      <c r="E26412">
        <v>0</v>
      </c>
      <c r="F26412">
        <v>150</v>
      </c>
    </row>
    <row r="26413" spans="1:6" ht="12.75">
      <c r="A26413" s="2">
        <v>43875.7</v>
      </c>
      <c r="B26413" t="str">
        <f>HYPERLINK("https://twitter.com/RivaldiZakie","@RivaldiZakie")</f>
        <v>@RivaldiZakie</v>
      </c>
      <c r="C26413" t="s">
        <v>10564</v>
      </c>
      <c r="D26413">
        <v>3</v>
      </c>
      <c r="E26413">
        <v>0</v>
      </c>
      <c r="F26413">
        <v>15</v>
      </c>
    </row>
    <row r="26414" spans="1:6" ht="12.75">
      <c r="A26414" s="2">
        <v>43875.699918981481</v>
      </c>
      <c r="B26414" t="str">
        <f>HYPERLINK("https://twitter.com/SoundOfYogi","@SoundOfYogi")</f>
        <v>@SoundOfYogi</v>
      </c>
      <c r="C26414" t="s">
        <v>11802</v>
      </c>
      <c r="D26414">
        <v>1</v>
      </c>
      <c r="E26414">
        <v>0</v>
      </c>
      <c r="F26414">
        <v>37764</v>
      </c>
    </row>
    <row r="26415" spans="1:6" ht="12.75">
      <c r="A26415" s="2">
        <v>43875.699884259258</v>
      </c>
      <c r="B26415" t="str">
        <f>HYPERLINK("https://twitter.com/xpussymagnetx","@xpussymagnetx")</f>
        <v>@xpussymagnetx</v>
      </c>
      <c r="C26415" t="s">
        <v>11803</v>
      </c>
      <c r="D26415">
        <v>0</v>
      </c>
      <c r="E26415">
        <v>0</v>
      </c>
      <c r="F26415">
        <v>652</v>
      </c>
    </row>
    <row r="26416" spans="1:6" ht="12.75">
      <c r="A26416" s="2">
        <v>43875.699849537035</v>
      </c>
      <c r="B26416" t="str">
        <f>HYPERLINK("https://twitter.com/SekarLP","@SekarLP")</f>
        <v>@SekarLP</v>
      </c>
      <c r="C26416" t="s">
        <v>2444</v>
      </c>
      <c r="D26416">
        <v>1638</v>
      </c>
      <c r="E26416">
        <v>0</v>
      </c>
      <c r="F26416">
        <v>808</v>
      </c>
    </row>
    <row r="26417" spans="1:6" ht="12.75">
      <c r="A26417" s="2">
        <v>43875.699791666666</v>
      </c>
      <c r="B26417" t="str">
        <f>HYPERLINK("https://twitter.com/SoundOfYogi","@SoundOfYogi")</f>
        <v>@SoundOfYogi</v>
      </c>
      <c r="C26417" t="s">
        <v>11804</v>
      </c>
      <c r="D26417">
        <v>1</v>
      </c>
      <c r="E26417">
        <v>1</v>
      </c>
      <c r="F26417">
        <v>37764</v>
      </c>
    </row>
    <row r="26418" spans="1:6" ht="12.75">
      <c r="A26418" s="2">
        <v>43875.699780092589</v>
      </c>
      <c r="B26418" t="str">
        <f>HYPERLINK("https://twitter.com/nadhivaaa","@nadhivaaa")</f>
        <v>@nadhivaaa</v>
      </c>
      <c r="C26418" t="s">
        <v>10074</v>
      </c>
      <c r="D26418">
        <v>56</v>
      </c>
      <c r="E26418">
        <v>0</v>
      </c>
      <c r="F26418">
        <v>154</v>
      </c>
    </row>
    <row r="26419" spans="1:6" ht="12.75">
      <c r="A26419" s="2">
        <v>43875.69976851852</v>
      </c>
      <c r="B26419" t="str">
        <f>HYPERLINK("https://twitter.com/whotfur","@whotfur")</f>
        <v>@whotfur</v>
      </c>
      <c r="C26419" t="s">
        <v>2444</v>
      </c>
      <c r="D26419">
        <v>1638</v>
      </c>
      <c r="E26419">
        <v>0</v>
      </c>
      <c r="F26419">
        <v>16</v>
      </c>
    </row>
    <row r="26420" spans="1:6" ht="12.75">
      <c r="A26420" s="2">
        <v>43875.699745370366</v>
      </c>
      <c r="B26420" t="str">
        <f>HYPERLINK("https://twitter.com/iNewsID","@iNewsID")</f>
        <v>@iNewsID</v>
      </c>
      <c r="C26420" t="s">
        <v>11805</v>
      </c>
      <c r="D26420">
        <v>0</v>
      </c>
      <c r="E26420">
        <v>0</v>
      </c>
      <c r="F26420">
        <v>1255</v>
      </c>
    </row>
    <row r="26421" spans="1:6" ht="12.75">
      <c r="A26421" s="2">
        <v>43875.699722222227</v>
      </c>
      <c r="B26421" t="str">
        <f>HYPERLINK("https://twitter.com/mudha_satriya","@mudha_satriya")</f>
        <v>@mudha_satriya</v>
      </c>
      <c r="C26421" t="s">
        <v>11806</v>
      </c>
      <c r="D26421">
        <v>5</v>
      </c>
      <c r="E26421">
        <v>0</v>
      </c>
      <c r="F26421">
        <v>1877</v>
      </c>
    </row>
    <row r="26422" spans="1:6" ht="12.75">
      <c r="A26422" s="2">
        <v>43875.699664351851</v>
      </c>
      <c r="B26422" t="str">
        <f>HYPERLINK("https://twitter.com/ultramilkyey","@ultramilkyey")</f>
        <v>@ultramilkyey</v>
      </c>
      <c r="C26422" t="s">
        <v>10074</v>
      </c>
      <c r="D26422">
        <v>56</v>
      </c>
      <c r="E26422">
        <v>0</v>
      </c>
      <c r="F26422">
        <v>3</v>
      </c>
    </row>
    <row r="26423" spans="1:6" ht="12.75">
      <c r="A26423" s="2">
        <v>43875.699664351851</v>
      </c>
      <c r="B26423" t="str">
        <f>HYPERLINK("https://twitter.com/ayusentris2","@ayusentris2")</f>
        <v>@ayusentris2</v>
      </c>
      <c r="C26423" t="s">
        <v>11405</v>
      </c>
      <c r="D26423">
        <v>2</v>
      </c>
      <c r="E26423">
        <v>0</v>
      </c>
      <c r="F26423">
        <v>265</v>
      </c>
    </row>
    <row r="26424" spans="1:6" ht="12.75">
      <c r="A26424" s="2">
        <v>43875.699652777781</v>
      </c>
      <c r="B26424" t="str">
        <f>HYPERLINK("https://twitter.com/RD1951","@RD1951")</f>
        <v>@RD1951</v>
      </c>
      <c r="C26424" t="s">
        <v>9147</v>
      </c>
      <c r="D26424">
        <v>20</v>
      </c>
      <c r="E26424">
        <v>0</v>
      </c>
      <c r="F26424">
        <v>45</v>
      </c>
    </row>
    <row r="26425" spans="1:6" ht="12.75">
      <c r="A26425" s="2">
        <v>43875.699606481481</v>
      </c>
      <c r="B26425" t="str">
        <f>HYPERLINK("https://twitter.com/shennieshenn","@shennieshenn")</f>
        <v>@shennieshenn</v>
      </c>
      <c r="C26425" t="s">
        <v>7478</v>
      </c>
      <c r="D26425">
        <v>240</v>
      </c>
      <c r="E26425">
        <v>0</v>
      </c>
      <c r="F26425">
        <v>256</v>
      </c>
    </row>
    <row r="26426" spans="1:6" ht="12.75">
      <c r="A26426" s="2">
        <v>43875.699560185181</v>
      </c>
      <c r="B26426" t="str">
        <f>HYPERLINK("https://twitter.com/Raihanbagus13","@Raihanbagus13")</f>
        <v>@Raihanbagus13</v>
      </c>
      <c r="C26426" t="s">
        <v>10074</v>
      </c>
      <c r="D26426">
        <v>56</v>
      </c>
      <c r="E26426">
        <v>0</v>
      </c>
      <c r="F26426">
        <v>2</v>
      </c>
    </row>
    <row r="26427" spans="1:6" ht="12.75">
      <c r="A26427" s="2">
        <v>43875.699502314819</v>
      </c>
      <c r="B26427" t="str">
        <f>HYPERLINK("https://twitter.com/ArmawaNaufal","@ArmawaNaufal")</f>
        <v>@ArmawaNaufal</v>
      </c>
      <c r="C26427" t="s">
        <v>10074</v>
      </c>
      <c r="D26427">
        <v>56</v>
      </c>
      <c r="E26427">
        <v>0</v>
      </c>
      <c r="F26427">
        <v>1</v>
      </c>
    </row>
    <row r="26428" spans="1:6" ht="12.75">
      <c r="A26428" s="2">
        <v>43875.699467592596</v>
      </c>
      <c r="B26428" t="str">
        <f>HYPERLINK("https://twitter.com/ErinaSofia2","@ErinaSofia2")</f>
        <v>@ErinaSofia2</v>
      </c>
      <c r="C26428" t="s">
        <v>10074</v>
      </c>
      <c r="D26428">
        <v>56</v>
      </c>
      <c r="E26428">
        <v>0</v>
      </c>
      <c r="F26428">
        <v>2</v>
      </c>
    </row>
    <row r="26429" spans="1:6" ht="12.75">
      <c r="A26429" s="2">
        <v>43875.699467592596</v>
      </c>
      <c r="B26429" t="str">
        <f>HYPERLINK("https://twitter.com/shabrina_dilla","@shabrina_dilla")</f>
        <v>@shabrina_dilla</v>
      </c>
      <c r="C26429" t="s">
        <v>10074</v>
      </c>
      <c r="D26429">
        <v>56</v>
      </c>
      <c r="E26429">
        <v>0</v>
      </c>
      <c r="F26429">
        <v>244</v>
      </c>
    </row>
    <row r="26430" spans="1:6" ht="12.75">
      <c r="A26430" s="2">
        <v>43875.699374999997</v>
      </c>
      <c r="B26430" t="str">
        <f>HYPERLINK("https://twitter.com/HafidEnglish","@HafidEnglish")</f>
        <v>@HafidEnglish</v>
      </c>
      <c r="C26430" t="s">
        <v>9165</v>
      </c>
      <c r="D26430">
        <v>0</v>
      </c>
      <c r="E26430">
        <v>0</v>
      </c>
      <c r="F26430">
        <v>46</v>
      </c>
    </row>
    <row r="26431" spans="1:6" ht="12.75">
      <c r="A26431" s="2">
        <v>43875.699363425927</v>
      </c>
      <c r="B26431" t="str">
        <f>HYPERLINK("https://twitter.com/pacarnyachiba","@pacarnyachiba")</f>
        <v>@pacarnyachiba</v>
      </c>
      <c r="C26431" t="s">
        <v>10074</v>
      </c>
      <c r="D26431">
        <v>56</v>
      </c>
      <c r="E26431">
        <v>0</v>
      </c>
      <c r="F26431">
        <v>27</v>
      </c>
    </row>
    <row r="26432" spans="1:6" ht="12.75">
      <c r="A26432" s="2">
        <v>43875.699340277773</v>
      </c>
      <c r="B26432" t="str">
        <f>HYPERLINK("https://twitter.com/RivaldiZakie","@RivaldiZakie")</f>
        <v>@RivaldiZakie</v>
      </c>
      <c r="C26432" t="s">
        <v>11605</v>
      </c>
      <c r="D26432">
        <v>5</v>
      </c>
      <c r="E26432">
        <v>0</v>
      </c>
      <c r="F26432">
        <v>15</v>
      </c>
    </row>
    <row r="26433" spans="1:6" ht="12.75">
      <c r="A26433" s="2">
        <v>43875.699317129634</v>
      </c>
      <c r="B26433" t="str">
        <f>HYPERLINK("https://twitter.com/sulis142","@sulis142")</f>
        <v>@sulis142</v>
      </c>
      <c r="C26433" t="s">
        <v>11807</v>
      </c>
      <c r="D26433">
        <v>0</v>
      </c>
      <c r="E26433">
        <v>0</v>
      </c>
      <c r="F26433">
        <v>0</v>
      </c>
    </row>
    <row r="26434" spans="1:6" ht="12.75">
      <c r="A26434" s="2">
        <v>43875.699317129634</v>
      </c>
      <c r="B26434" t="str">
        <f>HYPERLINK("https://twitter.com/dehumanisasi","@dehumanisasi")</f>
        <v>@dehumanisasi</v>
      </c>
      <c r="C26434" t="s">
        <v>11808</v>
      </c>
      <c r="D26434">
        <v>0</v>
      </c>
      <c r="E26434">
        <v>0</v>
      </c>
      <c r="F26434">
        <v>44</v>
      </c>
    </row>
    <row r="26435" spans="1:6" ht="12.75">
      <c r="A26435" s="2">
        <v>43875.69930555555</v>
      </c>
      <c r="B26435" t="str">
        <f>HYPERLINK("https://twitter.com/thenameisdaw","@thenameisdaw")</f>
        <v>@thenameisdaw</v>
      </c>
      <c r="C26435" t="s">
        <v>2444</v>
      </c>
      <c r="D26435">
        <v>1638</v>
      </c>
      <c r="E26435">
        <v>0</v>
      </c>
      <c r="F26435">
        <v>150</v>
      </c>
    </row>
    <row r="26436" spans="1:6" ht="12.75">
      <c r="A26436" s="2">
        <v>43875.699259259258</v>
      </c>
      <c r="B26436" t="str">
        <f>HYPERLINK("https://twitter.com/alsinkqy","@alsinkqy")</f>
        <v>@alsinkqy</v>
      </c>
      <c r="C26436" t="s">
        <v>11809</v>
      </c>
      <c r="D26436">
        <v>0</v>
      </c>
      <c r="E26436">
        <v>0</v>
      </c>
      <c r="F26436">
        <v>58</v>
      </c>
    </row>
    <row r="26437" spans="1:6" ht="12.75">
      <c r="A26437" s="2">
        <v>43875.699259259258</v>
      </c>
      <c r="B26437" t="str">
        <f>HYPERLINK("https://twitter.com/ToniSugiri","@ToniSugiri")</f>
        <v>@ToniSugiri</v>
      </c>
      <c r="C26437" t="s">
        <v>11810</v>
      </c>
      <c r="D26437">
        <v>1</v>
      </c>
      <c r="E26437">
        <v>0</v>
      </c>
      <c r="F26437">
        <v>1525</v>
      </c>
    </row>
    <row r="26438" spans="1:6" ht="12.75">
      <c r="A26438" s="2">
        <v>43875.699259259258</v>
      </c>
      <c r="B26438" t="str">
        <f>HYPERLINK("https://twitter.com/alhakimi_rizqi","@alhakimi_rizqi")</f>
        <v>@alhakimi_rizqi</v>
      </c>
      <c r="C26438" t="s">
        <v>10074</v>
      </c>
      <c r="D26438">
        <v>56</v>
      </c>
      <c r="E26438">
        <v>0</v>
      </c>
      <c r="F26438">
        <v>2</v>
      </c>
    </row>
    <row r="26439" spans="1:6" ht="12.75">
      <c r="A26439" s="2">
        <v>43875.699224537035</v>
      </c>
      <c r="B26439" t="str">
        <f>HYPERLINK("https://twitter.com/hafsahth","@hafsahth")</f>
        <v>@hafsahth</v>
      </c>
      <c r="C26439" t="s">
        <v>10074</v>
      </c>
      <c r="D26439">
        <v>56</v>
      </c>
      <c r="E26439">
        <v>0</v>
      </c>
      <c r="F26439">
        <v>8</v>
      </c>
    </row>
    <row r="26440" spans="1:6" ht="12.75">
      <c r="A26440" s="2">
        <v>43875.699212962965</v>
      </c>
      <c r="B26440" t="str">
        <f>HYPERLINK("https://twitter.com/nalakookie","@nalakookie")</f>
        <v>@nalakookie</v>
      </c>
      <c r="C26440" t="s">
        <v>2444</v>
      </c>
      <c r="D26440">
        <v>1638</v>
      </c>
      <c r="E26440">
        <v>0</v>
      </c>
      <c r="F26440">
        <v>54</v>
      </c>
    </row>
    <row r="26441" spans="1:6" ht="12.75">
      <c r="A26441" s="2">
        <v>43875.699189814812</v>
      </c>
      <c r="B26441" t="str">
        <f>HYPERLINK("https://twitter.com/SemaneiD","@SemaneiD")</f>
        <v>@SemaneiD</v>
      </c>
      <c r="C26441" t="s">
        <v>9746</v>
      </c>
      <c r="D26441">
        <v>249</v>
      </c>
      <c r="E26441">
        <v>0</v>
      </c>
      <c r="F26441">
        <v>68</v>
      </c>
    </row>
    <row r="26442" spans="1:6" ht="12.75">
      <c r="A26442" s="2">
        <v>43875.699166666665</v>
      </c>
      <c r="B26442" t="str">
        <f>HYPERLINK("https://twitter.com/myusician","@myusician")</f>
        <v>@myusician</v>
      </c>
      <c r="C26442" t="s">
        <v>2444</v>
      </c>
      <c r="D26442">
        <v>1638</v>
      </c>
      <c r="E26442">
        <v>0</v>
      </c>
      <c r="F26442">
        <v>302</v>
      </c>
    </row>
    <row r="26443" spans="1:6" ht="12.75">
      <c r="A26443" s="2">
        <v>43875.699108796296</v>
      </c>
      <c r="B26443" t="str">
        <f>HYPERLINK("https://twitter.com/DevieMillenia","@DevieMillenia")</f>
        <v>@DevieMillenia</v>
      </c>
      <c r="C26443" t="s">
        <v>10074</v>
      </c>
      <c r="D26443">
        <v>56</v>
      </c>
      <c r="E26443">
        <v>0</v>
      </c>
      <c r="F26443">
        <v>3</v>
      </c>
    </row>
    <row r="26444" spans="1:6" ht="12.75">
      <c r="A26444" s="2">
        <v>43875.69903935185</v>
      </c>
      <c r="B26444" t="str">
        <f>HYPERLINK("https://twitter.com/AnakLolina","@AnakLolina")</f>
        <v>@AnakLolina</v>
      </c>
      <c r="C26444" t="s">
        <v>2122</v>
      </c>
      <c r="D26444">
        <v>211</v>
      </c>
      <c r="E26444">
        <v>0</v>
      </c>
      <c r="F26444">
        <v>14511</v>
      </c>
    </row>
    <row r="26445" spans="1:6" ht="12.75">
      <c r="A26445" s="2">
        <v>43875.69903935185</v>
      </c>
      <c r="B26445" t="str">
        <f>HYPERLINK("https://twitter.com/hanadeul_3","@hanadeul_3")</f>
        <v>@hanadeul_3</v>
      </c>
      <c r="C26445" t="s">
        <v>5168</v>
      </c>
      <c r="D26445">
        <v>789</v>
      </c>
      <c r="E26445">
        <v>0</v>
      </c>
      <c r="F26445">
        <v>27</v>
      </c>
    </row>
    <row r="26446" spans="1:6" ht="12.75">
      <c r="A26446" s="2">
        <v>43875.698981481481</v>
      </c>
      <c r="B26446" t="str">
        <f>HYPERLINK("https://twitter.com/fadlanous","@fadlanous")</f>
        <v>@fadlanous</v>
      </c>
      <c r="C26446" t="s">
        <v>11811</v>
      </c>
      <c r="D26446">
        <v>2</v>
      </c>
      <c r="E26446">
        <v>0</v>
      </c>
      <c r="F26446">
        <v>1420</v>
      </c>
    </row>
    <row r="26447" spans="1:6" ht="12.75">
      <c r="A26447" s="2">
        <v>43875.698981481481</v>
      </c>
      <c r="B26447" t="str">
        <f>HYPERLINK("https://twitter.com/nice_ezer","@nice_ezer")</f>
        <v>@nice_ezer</v>
      </c>
      <c r="C26447" t="s">
        <v>10266</v>
      </c>
      <c r="D26447">
        <v>265</v>
      </c>
      <c r="E26447">
        <v>0</v>
      </c>
      <c r="F26447">
        <v>86</v>
      </c>
    </row>
    <row r="26448" spans="1:6" ht="12.75">
      <c r="A26448" s="2">
        <v>43875.698969907404</v>
      </c>
      <c r="B26448" t="str">
        <f>HYPERLINK("https://twitter.com/daffa_ausar","@daffa_ausar")</f>
        <v>@daffa_ausar</v>
      </c>
      <c r="C26448" t="s">
        <v>10074</v>
      </c>
      <c r="D26448">
        <v>56</v>
      </c>
      <c r="E26448">
        <v>0</v>
      </c>
      <c r="F26448">
        <v>2</v>
      </c>
    </row>
    <row r="26449" spans="1:6" ht="12.75">
      <c r="A26449" s="2">
        <v>43875.698958333334</v>
      </c>
      <c r="B26449" t="str">
        <f>HYPERLINK("https://twitter.com/ayudevi_wiharjo","@ayudevi_wiharjo")</f>
        <v>@ayudevi_wiharjo</v>
      </c>
      <c r="C26449" t="s">
        <v>11812</v>
      </c>
      <c r="D26449">
        <v>0</v>
      </c>
      <c r="E26449">
        <v>0</v>
      </c>
      <c r="F26449">
        <v>182</v>
      </c>
    </row>
    <row r="26450" spans="1:6" ht="12.75">
      <c r="A26450" s="2">
        <v>43875.698958333334</v>
      </c>
      <c r="B26450" t="str">
        <f>HYPERLINK("https://twitter.com/ChanQomar","@ChanQomar")</f>
        <v>@ChanQomar</v>
      </c>
      <c r="C26450" t="s">
        <v>11813</v>
      </c>
      <c r="D26450">
        <v>0</v>
      </c>
      <c r="E26450">
        <v>1</v>
      </c>
      <c r="F26450">
        <v>1633</v>
      </c>
    </row>
    <row r="26451" spans="1:6" ht="12.75">
      <c r="A26451" s="2">
        <v>43875.698888888888</v>
      </c>
      <c r="B26451" t="str">
        <f>HYPERLINK("https://twitter.com/ainnurrahmii","@ainnurrahmii")</f>
        <v>@ainnurrahmii</v>
      </c>
      <c r="C26451" t="s">
        <v>10074</v>
      </c>
      <c r="D26451">
        <v>56</v>
      </c>
      <c r="E26451">
        <v>0</v>
      </c>
      <c r="F26451">
        <v>31</v>
      </c>
    </row>
    <row r="26452" spans="1:6" ht="12.75">
      <c r="A26452" s="2">
        <v>43875.698865740742</v>
      </c>
      <c r="B26452" t="str">
        <f>HYPERLINK("https://twitter.com/Adell1ne","@Adell1ne")</f>
        <v>@Adell1ne</v>
      </c>
      <c r="C26452" t="s">
        <v>7478</v>
      </c>
      <c r="D26452">
        <v>240</v>
      </c>
      <c r="E26452">
        <v>0</v>
      </c>
      <c r="F26452">
        <v>3292</v>
      </c>
    </row>
    <row r="26453" spans="1:6" ht="12.75">
      <c r="A26453" s="2">
        <v>43875.698831018519</v>
      </c>
      <c r="B26453" t="str">
        <f>HYPERLINK("https://twitter.com/yurikefransis","@yurikefransis")</f>
        <v>@yurikefransis</v>
      </c>
      <c r="C26453" t="s">
        <v>2444</v>
      </c>
      <c r="D26453">
        <v>1638</v>
      </c>
      <c r="E26453">
        <v>0</v>
      </c>
      <c r="F26453">
        <v>496</v>
      </c>
    </row>
    <row r="26454" spans="1:6" ht="12.75">
      <c r="A26454" s="2">
        <v>43875.698796296296</v>
      </c>
      <c r="B26454" t="str">
        <f>HYPERLINK("https://twitter.com/bonjavennue","@bonjavennue")</f>
        <v>@bonjavennue</v>
      </c>
      <c r="C26454" t="s">
        <v>10074</v>
      </c>
      <c r="D26454">
        <v>56</v>
      </c>
      <c r="E26454">
        <v>0</v>
      </c>
      <c r="F26454">
        <v>1</v>
      </c>
    </row>
    <row r="26455" spans="1:6" ht="12.75">
      <c r="A26455" s="2">
        <v>43875.698749999996</v>
      </c>
      <c r="B26455" t="str">
        <f>HYPERLINK("https://twitter.com/YaminLG","@YaminLG")</f>
        <v>@YaminLG</v>
      </c>
      <c r="C26455" t="s">
        <v>10052</v>
      </c>
      <c r="D26455">
        <v>24</v>
      </c>
      <c r="E26455">
        <v>0</v>
      </c>
      <c r="F26455">
        <v>358</v>
      </c>
    </row>
    <row r="26456" spans="1:6" ht="12.75">
      <c r="A26456" s="2">
        <v>43875.698726851857</v>
      </c>
      <c r="B26456" t="str">
        <f>HYPERLINK("https://twitter.com/FFerdiana","@FFerdiana")</f>
        <v>@FFerdiana</v>
      </c>
      <c r="C26456" t="s">
        <v>11814</v>
      </c>
      <c r="D26456">
        <v>0</v>
      </c>
      <c r="E26456">
        <v>0</v>
      </c>
      <c r="F26456">
        <v>163</v>
      </c>
    </row>
    <row r="26457" spans="1:6" ht="12.75">
      <c r="A26457" s="2">
        <v>43875.698726851857</v>
      </c>
      <c r="B26457" t="str">
        <f>HYPERLINK("https://twitter.com/dwirama89009610","@dwirama89009610")</f>
        <v>@dwirama89009610</v>
      </c>
      <c r="C26457" t="s">
        <v>11815</v>
      </c>
      <c r="D26457">
        <v>2</v>
      </c>
      <c r="E26457">
        <v>0</v>
      </c>
      <c r="F26457">
        <v>183</v>
      </c>
    </row>
    <row r="26458" spans="1:6" ht="12.75">
      <c r="A26458" s="2">
        <v>43875.698703703703</v>
      </c>
      <c r="B26458" t="str">
        <f>HYPERLINK("https://twitter.com/koransulindo","@koransulindo")</f>
        <v>@koransulindo</v>
      </c>
      <c r="C26458" t="s">
        <v>11816</v>
      </c>
      <c r="D26458">
        <v>0</v>
      </c>
      <c r="E26458">
        <v>0</v>
      </c>
      <c r="F26458">
        <v>78</v>
      </c>
    </row>
    <row r="26459" spans="1:6" ht="12.75">
      <c r="A26459" s="2">
        <v>43875.698703703703</v>
      </c>
      <c r="B26459" t="str">
        <f>HYPERLINK("https://twitter.com/Metro_TV","@Metro_TV")</f>
        <v>@Metro_TV</v>
      </c>
      <c r="C26459" t="s">
        <v>11817</v>
      </c>
      <c r="D26459">
        <v>0</v>
      </c>
      <c r="E26459">
        <v>4</v>
      </c>
      <c r="F26459">
        <v>10508990</v>
      </c>
    </row>
    <row r="26460" spans="1:6" ht="12.75">
      <c r="A26460" s="2">
        <v>43875.698622685188</v>
      </c>
      <c r="B26460" t="str">
        <f>HYPERLINK("https://twitter.com/InaMajoe","@InaMajoe")</f>
        <v>@InaMajoe</v>
      </c>
      <c r="C26460" t="s">
        <v>6201</v>
      </c>
      <c r="D26460">
        <v>49</v>
      </c>
      <c r="E26460">
        <v>0</v>
      </c>
      <c r="F26460">
        <v>231</v>
      </c>
    </row>
    <row r="26461" spans="1:6" ht="12.75">
      <c r="A26461" s="2">
        <v>43875.698611111111</v>
      </c>
      <c r="B26461" t="str">
        <f>HYPERLINK("https://twitter.com/rasachococinno","@rasachococinno")</f>
        <v>@rasachococinno</v>
      </c>
      <c r="C26461" t="s">
        <v>2444</v>
      </c>
      <c r="D26461">
        <v>1638</v>
      </c>
      <c r="E26461">
        <v>0</v>
      </c>
      <c r="F26461">
        <v>266</v>
      </c>
    </row>
    <row r="26462" spans="1:6" ht="12.75">
      <c r="A26462" s="2">
        <v>43875.698611111111</v>
      </c>
      <c r="B26462" t="str">
        <f t="shared" ref="B26462:B26467" si="347">HYPERLINK("https://twitter.com/GUSDURians","@GUSDURians")</f>
        <v>@GUSDURians</v>
      </c>
      <c r="C26462" t="s">
        <v>11818</v>
      </c>
      <c r="D26462">
        <v>1</v>
      </c>
      <c r="E26462">
        <v>1</v>
      </c>
      <c r="F26462">
        <v>189483</v>
      </c>
    </row>
    <row r="26463" spans="1:6" ht="12.75">
      <c r="A26463" s="2">
        <v>43875.698599537034</v>
      </c>
      <c r="B26463" t="str">
        <f t="shared" si="347"/>
        <v>@GUSDURians</v>
      </c>
      <c r="C26463" t="s">
        <v>11819</v>
      </c>
      <c r="D26463">
        <v>0</v>
      </c>
      <c r="E26463">
        <v>0</v>
      </c>
      <c r="F26463">
        <v>189483</v>
      </c>
    </row>
    <row r="26464" spans="1:6" ht="12.75">
      <c r="A26464" s="2">
        <v>43875.698599537034</v>
      </c>
      <c r="B26464" t="str">
        <f t="shared" si="347"/>
        <v>@GUSDURians</v>
      </c>
      <c r="C26464" t="s">
        <v>11820</v>
      </c>
      <c r="D26464">
        <v>0</v>
      </c>
      <c r="E26464">
        <v>0</v>
      </c>
      <c r="F26464">
        <v>189483</v>
      </c>
    </row>
    <row r="26465" spans="1:6" ht="12.75">
      <c r="A26465" s="2">
        <v>43875.698599537034</v>
      </c>
      <c r="B26465" t="str">
        <f t="shared" si="347"/>
        <v>@GUSDURians</v>
      </c>
      <c r="C26465" t="s">
        <v>11821</v>
      </c>
      <c r="D26465">
        <v>0</v>
      </c>
      <c r="E26465">
        <v>0</v>
      </c>
      <c r="F26465">
        <v>189483</v>
      </c>
    </row>
    <row r="26466" spans="1:6" ht="12.75">
      <c r="A26466" s="2">
        <v>43875.698576388888</v>
      </c>
      <c r="B26466" t="str">
        <f t="shared" si="347"/>
        <v>@GUSDURians</v>
      </c>
      <c r="C26466" t="s">
        <v>11822</v>
      </c>
      <c r="D26466">
        <v>1</v>
      </c>
      <c r="E26466">
        <v>0</v>
      </c>
      <c r="F26466">
        <v>189483</v>
      </c>
    </row>
    <row r="26467" spans="1:6" ht="12.75">
      <c r="A26467" s="2">
        <v>43875.698576388888</v>
      </c>
      <c r="B26467" t="str">
        <f t="shared" si="347"/>
        <v>@GUSDURians</v>
      </c>
      <c r="C26467" t="s">
        <v>11823</v>
      </c>
      <c r="D26467">
        <v>0</v>
      </c>
      <c r="E26467">
        <v>0</v>
      </c>
      <c r="F26467">
        <v>189483</v>
      </c>
    </row>
    <row r="26468" spans="1:6" ht="12.75">
      <c r="A26468" s="2">
        <v>43875.698506944449</v>
      </c>
      <c r="B26468" t="str">
        <f>HYPERLINK("https://twitter.com/loveniey","@loveniey")</f>
        <v>@loveniey</v>
      </c>
      <c r="C26468" t="s">
        <v>11824</v>
      </c>
      <c r="D26468">
        <v>0</v>
      </c>
      <c r="E26468">
        <v>0</v>
      </c>
      <c r="F26468">
        <v>1452</v>
      </c>
    </row>
    <row r="26469" spans="1:6" ht="12.75">
      <c r="A26469" s="2">
        <v>43875.698483796295</v>
      </c>
      <c r="B26469" t="str">
        <f>HYPERLINK("https://twitter.com/antareshine","@antareshine")</f>
        <v>@antareshine</v>
      </c>
      <c r="C26469" t="s">
        <v>2444</v>
      </c>
      <c r="D26469">
        <v>1638</v>
      </c>
      <c r="E26469">
        <v>0</v>
      </c>
      <c r="F26469">
        <v>1003</v>
      </c>
    </row>
    <row r="26470" spans="1:6" ht="12.75">
      <c r="A26470" s="2">
        <v>43875.698437500003</v>
      </c>
      <c r="B26470" t="str">
        <f>HYPERLINK("https://twitter.com/BatamPos","@BatamPos")</f>
        <v>@BatamPos</v>
      </c>
      <c r="C26470" t="s">
        <v>11825</v>
      </c>
      <c r="D26470">
        <v>0</v>
      </c>
      <c r="E26470">
        <v>0</v>
      </c>
      <c r="F26470">
        <v>67353</v>
      </c>
    </row>
    <row r="26471" spans="1:6" ht="12.75">
      <c r="A26471" s="2">
        <v>43875.698414351849</v>
      </c>
      <c r="B26471" t="str">
        <f>HYPERLINK("https://twitter.com/dignaaalv","@dignaaalv")</f>
        <v>@dignaaalv</v>
      </c>
      <c r="C26471" t="s">
        <v>10074</v>
      </c>
      <c r="D26471">
        <v>56</v>
      </c>
      <c r="E26471">
        <v>0</v>
      </c>
      <c r="F26471">
        <v>2</v>
      </c>
    </row>
    <row r="26472" spans="1:6" ht="12.75">
      <c r="A26472" s="2">
        <v>43875.69835648148</v>
      </c>
      <c r="B26472" t="str">
        <f>HYPERLINK("https://twitter.com/wiIdcn","@wiIdcn")</f>
        <v>@wiIdcn</v>
      </c>
      <c r="C26472" t="s">
        <v>2444</v>
      </c>
      <c r="D26472">
        <v>1638</v>
      </c>
      <c r="E26472">
        <v>0</v>
      </c>
      <c r="F26472">
        <v>298</v>
      </c>
    </row>
    <row r="26473" spans="1:6" ht="12.75">
      <c r="A26473" s="2">
        <v>43875.69835648148</v>
      </c>
      <c r="B26473" t="str">
        <f>HYPERLINK("https://twitter.com/ameliamel1701","@ameliamel1701")</f>
        <v>@ameliamel1701</v>
      </c>
      <c r="C26473" t="s">
        <v>2122</v>
      </c>
      <c r="D26473">
        <v>211</v>
      </c>
      <c r="E26473">
        <v>0</v>
      </c>
      <c r="F26473">
        <v>6708</v>
      </c>
    </row>
    <row r="26474" spans="1:6" ht="12.75">
      <c r="A26474" s="2">
        <v>43875.698333333334</v>
      </c>
      <c r="B26474" t="str">
        <f>HYPERLINK("https://twitter.com/baenga_","@baenga_")</f>
        <v>@baenga_</v>
      </c>
      <c r="C26474" t="s">
        <v>10074</v>
      </c>
      <c r="D26474">
        <v>56</v>
      </c>
      <c r="E26474">
        <v>0</v>
      </c>
      <c r="F26474">
        <v>216</v>
      </c>
    </row>
    <row r="26475" spans="1:6" ht="12.75">
      <c r="A26475" s="2">
        <v>43875.698321759264</v>
      </c>
      <c r="B26475" t="str">
        <f>HYPERLINK("https://twitter.com/foggen_","@foggen_")</f>
        <v>@foggen_</v>
      </c>
      <c r="C26475" t="s">
        <v>11826</v>
      </c>
      <c r="D26475">
        <v>0</v>
      </c>
      <c r="E26475">
        <v>0</v>
      </c>
      <c r="F26475">
        <v>489</v>
      </c>
    </row>
    <row r="26476" spans="1:6" ht="12.75">
      <c r="A26476" s="2">
        <v>43875.698287037041</v>
      </c>
      <c r="B26476" t="str">
        <f>HYPERLINK("https://twitter.com/wanabu740","@wanabu740")</f>
        <v>@wanabu740</v>
      </c>
      <c r="C26476" t="s">
        <v>2963</v>
      </c>
      <c r="D26476">
        <v>958</v>
      </c>
      <c r="E26476">
        <v>0</v>
      </c>
      <c r="F26476">
        <v>1869</v>
      </c>
    </row>
    <row r="26477" spans="1:6" ht="12.75">
      <c r="A26477" s="2">
        <v>43875.698229166665</v>
      </c>
      <c r="B26477" t="str">
        <f>HYPERLINK("https://twitter.com/SoundOfYogi","@SoundOfYogi")</f>
        <v>@SoundOfYogi</v>
      </c>
      <c r="C26477" t="s">
        <v>11827</v>
      </c>
      <c r="D26477">
        <v>1</v>
      </c>
      <c r="E26477">
        <v>0</v>
      </c>
      <c r="F26477">
        <v>37764</v>
      </c>
    </row>
    <row r="26478" spans="1:6" ht="12.75">
      <c r="A26478" s="2">
        <v>43875.698229166665</v>
      </c>
      <c r="B26478" t="str">
        <f>HYPERLINK("https://twitter.com/tryrezeky08","@tryrezeky08")</f>
        <v>@tryrezeky08</v>
      </c>
      <c r="C26478" t="s">
        <v>2444</v>
      </c>
      <c r="D26478">
        <v>1638</v>
      </c>
      <c r="E26478">
        <v>0</v>
      </c>
      <c r="F26478">
        <v>32</v>
      </c>
    </row>
    <row r="26479" spans="1:6" ht="12.75">
      <c r="A26479" s="2">
        <v>43875.698229166665</v>
      </c>
      <c r="B26479" t="str">
        <f>HYPERLINK("https://twitter.com/saskiachrns","@saskiachrns")</f>
        <v>@saskiachrns</v>
      </c>
      <c r="C26479" t="s">
        <v>10074</v>
      </c>
      <c r="D26479">
        <v>56</v>
      </c>
      <c r="E26479">
        <v>0</v>
      </c>
      <c r="F26479">
        <v>1</v>
      </c>
    </row>
    <row r="26480" spans="1:6" ht="12.75">
      <c r="A26480" s="2">
        <v>43875.698229166665</v>
      </c>
      <c r="B26480" t="str">
        <f>HYPERLINK("https://twitter.com/kafiradikal","@kafiradikal")</f>
        <v>@kafiradikal</v>
      </c>
      <c r="C26480" t="s">
        <v>11828</v>
      </c>
      <c r="D26480">
        <v>3</v>
      </c>
      <c r="E26480">
        <v>7</v>
      </c>
      <c r="F26480">
        <v>18881</v>
      </c>
    </row>
    <row r="26481" spans="1:6" ht="12.75">
      <c r="A26481" s="2">
        <v>43875.698229166665</v>
      </c>
      <c r="B26481" t="str">
        <f>HYPERLINK("https://twitter.com/Pang22Saudi","@Pang22Saudi")</f>
        <v>@Pang22Saudi</v>
      </c>
      <c r="C26481" t="s">
        <v>11829</v>
      </c>
      <c r="D26481">
        <v>0</v>
      </c>
      <c r="E26481">
        <v>0</v>
      </c>
      <c r="F26481">
        <v>608</v>
      </c>
    </row>
    <row r="26482" spans="1:6" ht="12.75">
      <c r="A26482" s="2">
        <v>43875.698206018518</v>
      </c>
      <c r="B26482" t="str">
        <f>HYPERLINK("https://twitter.com/SantikaVeliz","@SantikaVeliz")</f>
        <v>@SantikaVeliz</v>
      </c>
      <c r="C26482" t="s">
        <v>11413</v>
      </c>
      <c r="D26482">
        <v>0</v>
      </c>
      <c r="E26482">
        <v>0</v>
      </c>
      <c r="F26482">
        <v>34</v>
      </c>
    </row>
    <row r="26483" spans="1:6" ht="12.75">
      <c r="A26483" s="2">
        <v>43875.698194444441</v>
      </c>
      <c r="B26483" t="str">
        <f>HYPERLINK("https://twitter.com/Pride_N_Dignity","@Pride_N_Dignity")</f>
        <v>@Pride_N_Dignity</v>
      </c>
      <c r="C26483" t="s">
        <v>5761</v>
      </c>
      <c r="D26483">
        <v>61</v>
      </c>
      <c r="E26483">
        <v>0</v>
      </c>
      <c r="F26483">
        <v>460</v>
      </c>
    </row>
    <row r="26484" spans="1:6" ht="12.75">
      <c r="A26484" s="2">
        <v>43875.698148148149</v>
      </c>
      <c r="B26484" t="str">
        <f>HYPERLINK("https://twitter.com/Arya29449000","@Arya29449000")</f>
        <v>@Arya29449000</v>
      </c>
      <c r="C26484" t="s">
        <v>11576</v>
      </c>
      <c r="D26484">
        <v>4</v>
      </c>
      <c r="E26484">
        <v>0</v>
      </c>
      <c r="F26484">
        <v>1415</v>
      </c>
    </row>
    <row r="26485" spans="1:6" ht="12.75">
      <c r="A26485" s="2">
        <v>43875.698124999995</v>
      </c>
      <c r="B26485" t="str">
        <f>HYPERLINK("https://twitter.com/lookngfrkraken","@lookngfrkraken")</f>
        <v>@lookngfrkraken</v>
      </c>
      <c r="C26485" t="s">
        <v>2444</v>
      </c>
      <c r="D26485">
        <v>1638</v>
      </c>
      <c r="E26485">
        <v>0</v>
      </c>
      <c r="F26485">
        <v>25</v>
      </c>
    </row>
    <row r="26486" spans="1:6" ht="12.75">
      <c r="A26486" s="2">
        <v>43875.69809027778</v>
      </c>
      <c r="B26486" t="str">
        <f>HYPERLINK("https://twitter.com/IbrahimGarcia19","@IbrahimGarcia19")</f>
        <v>@IbrahimGarcia19</v>
      </c>
      <c r="C26486" t="s">
        <v>7478</v>
      </c>
      <c r="D26486">
        <v>240</v>
      </c>
      <c r="E26486">
        <v>0</v>
      </c>
      <c r="F26486">
        <v>1440</v>
      </c>
    </row>
    <row r="26487" spans="1:6" ht="12.75">
      <c r="A26487" s="2">
        <v>43875.698067129633</v>
      </c>
      <c r="B26487" t="str">
        <f>HYPERLINK("https://twitter.com/ansyharipoem","@ansyharipoem")</f>
        <v>@ansyharipoem</v>
      </c>
      <c r="C26487" t="s">
        <v>9123</v>
      </c>
      <c r="D26487">
        <v>228</v>
      </c>
      <c r="E26487">
        <v>0</v>
      </c>
      <c r="F26487">
        <v>1197</v>
      </c>
    </row>
    <row r="26488" spans="1:6" ht="12.75">
      <c r="A26488" s="2">
        <v>43875.69803240741</v>
      </c>
      <c r="B26488" t="str">
        <f>HYPERLINK("https://twitter.com/ngurahsaka","@ngurahsaka")</f>
        <v>@ngurahsaka</v>
      </c>
      <c r="C26488" t="s">
        <v>11830</v>
      </c>
      <c r="D26488">
        <v>0</v>
      </c>
      <c r="E26488">
        <v>0</v>
      </c>
      <c r="F26488">
        <v>1800</v>
      </c>
    </row>
    <row r="26489" spans="1:6" ht="12.75">
      <c r="A26489" s="2">
        <v>43875.697974537034</v>
      </c>
      <c r="B26489" t="str">
        <f>HYPERLINK("https://twitter.com/Fifian35183131","@Fifian35183131")</f>
        <v>@Fifian35183131</v>
      </c>
      <c r="C26489" t="s">
        <v>8394</v>
      </c>
      <c r="D26489">
        <v>35</v>
      </c>
      <c r="E26489">
        <v>0</v>
      </c>
      <c r="F26489">
        <v>182</v>
      </c>
    </row>
    <row r="26490" spans="1:6" ht="12.75">
      <c r="A26490" s="2">
        <v>43875.697962962964</v>
      </c>
      <c r="B26490" t="str">
        <f>HYPERLINK("https://twitter.com/ansyharipoem","@ansyharipoem")</f>
        <v>@ansyharipoem</v>
      </c>
      <c r="C26490" t="s">
        <v>2444</v>
      </c>
      <c r="D26490">
        <v>1638</v>
      </c>
      <c r="E26490">
        <v>0</v>
      </c>
      <c r="F26490">
        <v>1197</v>
      </c>
    </row>
    <row r="26491" spans="1:6" ht="12.75">
      <c r="A26491" s="2">
        <v>43875.697939814811</v>
      </c>
      <c r="B26491" t="str">
        <f>HYPERLINK("https://twitter.com/V4nn","@V4nn")</f>
        <v>@V4nn</v>
      </c>
      <c r="C26491" t="s">
        <v>11831</v>
      </c>
      <c r="D26491">
        <v>0</v>
      </c>
      <c r="E26491">
        <v>0</v>
      </c>
      <c r="F26491">
        <v>22</v>
      </c>
    </row>
    <row r="26492" spans="1:6" ht="12.75">
      <c r="A26492" s="2">
        <v>43875.697916666672</v>
      </c>
      <c r="B26492" t="str">
        <f>HYPERLINK("https://twitter.com/korantempo","@korantempo")</f>
        <v>@korantempo</v>
      </c>
      <c r="C26492" t="s">
        <v>11832</v>
      </c>
      <c r="D26492">
        <v>2</v>
      </c>
      <c r="E26492">
        <v>0</v>
      </c>
      <c r="F26492">
        <v>1745374</v>
      </c>
    </row>
    <row r="26493" spans="1:6" ht="12.75">
      <c r="A26493" s="2">
        <v>43875.697893518518</v>
      </c>
      <c r="B26493" t="str">
        <f>HYPERLINK("https://twitter.com/AKBAR08640751","@AKBAR08640751")</f>
        <v>@AKBAR08640751</v>
      </c>
      <c r="C26493" t="s">
        <v>10074</v>
      </c>
      <c r="D26493">
        <v>56</v>
      </c>
      <c r="E26493">
        <v>0</v>
      </c>
      <c r="F26493">
        <v>1</v>
      </c>
    </row>
    <row r="26494" spans="1:6" ht="12.75">
      <c r="A26494" s="2">
        <v>43875.697858796295</v>
      </c>
      <c r="B26494" t="str">
        <f>HYPERLINK("https://twitter.com/rosyid_gondrong","@rosyid_gondrong")</f>
        <v>@rosyid_gondrong</v>
      </c>
      <c r="C26494" t="s">
        <v>10052</v>
      </c>
      <c r="D26494">
        <v>24</v>
      </c>
      <c r="E26494">
        <v>0</v>
      </c>
      <c r="F26494">
        <v>194</v>
      </c>
    </row>
    <row r="26495" spans="1:6" ht="12.75">
      <c r="A26495" s="2">
        <v>43875.697824074072</v>
      </c>
      <c r="B26495" t="str">
        <f>HYPERLINK("https://twitter.com/SantikaVeliz","@SantikaVeliz")</f>
        <v>@SantikaVeliz</v>
      </c>
      <c r="C26495" t="s">
        <v>11323</v>
      </c>
      <c r="D26495">
        <v>0</v>
      </c>
      <c r="E26495">
        <v>0</v>
      </c>
      <c r="F26495">
        <v>34</v>
      </c>
    </row>
    <row r="26496" spans="1:6" ht="12.75">
      <c r="A26496" s="2">
        <v>43875.697766203702</v>
      </c>
      <c r="B26496" t="str">
        <f>HYPERLINK("https://twitter.com/nanassshhhh","@nanassshhhh")</f>
        <v>@nanassshhhh</v>
      </c>
      <c r="C26496" t="s">
        <v>11833</v>
      </c>
      <c r="D26496">
        <v>1</v>
      </c>
      <c r="E26496">
        <v>0</v>
      </c>
      <c r="F26496">
        <v>288</v>
      </c>
    </row>
    <row r="26497" spans="1:6" ht="12.75">
      <c r="A26497" s="2">
        <v>43875.697743055556</v>
      </c>
      <c r="B26497" t="str">
        <f>HYPERLINK("https://twitter.com/heipencuri","@heipencuri")</f>
        <v>@heipencuri</v>
      </c>
      <c r="C26497" t="s">
        <v>10074</v>
      </c>
      <c r="D26497">
        <v>56</v>
      </c>
      <c r="E26497">
        <v>0</v>
      </c>
      <c r="F26497">
        <v>15</v>
      </c>
    </row>
    <row r="26498" spans="1:6" ht="12.75">
      <c r="A26498" s="2">
        <v>43875.697731481487</v>
      </c>
      <c r="B26498" t="str">
        <f>HYPERLINK("https://twitter.com/Mudjirahayu5","@Mudjirahayu5")</f>
        <v>@Mudjirahayu5</v>
      </c>
      <c r="C26498" t="s">
        <v>11834</v>
      </c>
      <c r="D26498">
        <v>0</v>
      </c>
      <c r="E26498">
        <v>0</v>
      </c>
      <c r="F26498">
        <v>4</v>
      </c>
    </row>
    <row r="26499" spans="1:6" ht="12.75">
      <c r="A26499" s="2">
        <v>43875.697719907403</v>
      </c>
      <c r="B26499" t="str">
        <f>HYPERLINK("https://twitter.com/dianprabantoro","@dianprabantoro")</f>
        <v>@dianprabantoro</v>
      </c>
      <c r="C26499" t="s">
        <v>5168</v>
      </c>
      <c r="D26499">
        <v>789</v>
      </c>
      <c r="E26499">
        <v>0</v>
      </c>
      <c r="F26499">
        <v>465</v>
      </c>
    </row>
    <row r="26500" spans="1:6" ht="12.75">
      <c r="A26500" s="2">
        <v>43875.697719907403</v>
      </c>
      <c r="B26500" t="str">
        <f>HYPERLINK("https://twitter.com/mudha_satriya","@mudha_satriya")</f>
        <v>@mudha_satriya</v>
      </c>
      <c r="C26500" t="s">
        <v>10564</v>
      </c>
      <c r="D26500">
        <v>3</v>
      </c>
      <c r="E26500">
        <v>0</v>
      </c>
      <c r="F26500">
        <v>1877</v>
      </c>
    </row>
    <row r="26501" spans="1:6" ht="12.75">
      <c r="A26501" s="2">
        <v>43875.697696759264</v>
      </c>
      <c r="B26501" t="str">
        <f>HYPERLINK("https://twitter.com/Andyjoy38377815","@Andyjoy38377815")</f>
        <v>@Andyjoy38377815</v>
      </c>
      <c r="C26501" t="s">
        <v>6201</v>
      </c>
      <c r="D26501">
        <v>49</v>
      </c>
      <c r="E26501">
        <v>0</v>
      </c>
      <c r="F26501">
        <v>118</v>
      </c>
    </row>
    <row r="26502" spans="1:6" ht="12.75">
      <c r="A26502" s="2">
        <v>43875.69767361111</v>
      </c>
      <c r="B26502" t="str">
        <f>HYPERLINK("https://twitter.com/dwirama89009610","@dwirama89009610")</f>
        <v>@dwirama89009610</v>
      </c>
      <c r="C26502" t="s">
        <v>11835</v>
      </c>
      <c r="D26502">
        <v>3</v>
      </c>
      <c r="E26502">
        <v>0</v>
      </c>
      <c r="F26502">
        <v>183</v>
      </c>
    </row>
    <row r="26503" spans="1:6" ht="12.75">
      <c r="A26503" s="2">
        <v>43875.697638888887</v>
      </c>
      <c r="B26503" t="str">
        <f>HYPERLINK("https://twitter.com/dndalifia","@dndalifia")</f>
        <v>@dndalifia</v>
      </c>
      <c r="C26503" t="s">
        <v>10074</v>
      </c>
      <c r="D26503">
        <v>56</v>
      </c>
      <c r="E26503">
        <v>0</v>
      </c>
      <c r="F26503">
        <v>5</v>
      </c>
    </row>
    <row r="26504" spans="1:6" ht="12.75">
      <c r="A26504" s="2">
        <v>43875.697604166664</v>
      </c>
      <c r="B26504" t="str">
        <f>HYPERLINK("https://twitter.com/moamerasumitro","@moamerasumitro")</f>
        <v>@moamerasumitro</v>
      </c>
      <c r="C26504" t="s">
        <v>11836</v>
      </c>
      <c r="D26504">
        <v>0</v>
      </c>
      <c r="E26504">
        <v>0</v>
      </c>
      <c r="F26504">
        <v>39</v>
      </c>
    </row>
    <row r="26505" spans="1:6" ht="12.75">
      <c r="A26505" s="2">
        <v>43875.697604166664</v>
      </c>
      <c r="B26505" t="str">
        <f>HYPERLINK("https://twitter.com/seblakyuk","@seblakyuk")</f>
        <v>@seblakyuk</v>
      </c>
      <c r="C26505" t="s">
        <v>11837</v>
      </c>
      <c r="D26505">
        <v>0</v>
      </c>
      <c r="E26505">
        <v>0</v>
      </c>
      <c r="F26505">
        <v>104</v>
      </c>
    </row>
    <row r="26506" spans="1:6" ht="12.75">
      <c r="A26506" s="2">
        <v>43875.697546296295</v>
      </c>
      <c r="B26506" t="str">
        <f>HYPERLINK("https://twitter.com/mudha_satriya","@mudha_satriya")</f>
        <v>@mudha_satriya</v>
      </c>
      <c r="C26506" t="s">
        <v>11838</v>
      </c>
      <c r="D26506">
        <v>1</v>
      </c>
      <c r="E26506">
        <v>0</v>
      </c>
      <c r="F26506">
        <v>1877</v>
      </c>
    </row>
    <row r="26507" spans="1:6" ht="12.75">
      <c r="A26507" s="2">
        <v>43875.697546296295</v>
      </c>
      <c r="B26507" t="str">
        <f>HYPERLINK("https://twitter.com/alda_raihan","@alda_raihan")</f>
        <v>@alda_raihan</v>
      </c>
      <c r="C26507" t="s">
        <v>10074</v>
      </c>
      <c r="D26507">
        <v>56</v>
      </c>
      <c r="E26507">
        <v>0</v>
      </c>
      <c r="F26507">
        <v>9</v>
      </c>
    </row>
    <row r="26508" spans="1:6" ht="12.75">
      <c r="A26508" s="2">
        <v>43875.697534722218</v>
      </c>
      <c r="B26508" t="str">
        <f>HYPERLINK("https://twitter.com/dionduren","@dionduren")</f>
        <v>@dionduren</v>
      </c>
      <c r="C26508" t="s">
        <v>2963</v>
      </c>
      <c r="D26508">
        <v>958</v>
      </c>
      <c r="E26508">
        <v>0</v>
      </c>
      <c r="F26508">
        <v>854</v>
      </c>
    </row>
    <row r="26509" spans="1:6" ht="12.75">
      <c r="A26509" s="2">
        <v>43875.697442129633</v>
      </c>
      <c r="B26509" t="str">
        <f>HYPERLINK("https://twitter.com/rohmi_012","@rohmi_012")</f>
        <v>@rohmi_012</v>
      </c>
      <c r="C26509" t="s">
        <v>2444</v>
      </c>
      <c r="D26509">
        <v>1638</v>
      </c>
      <c r="E26509">
        <v>0</v>
      </c>
      <c r="F26509">
        <v>385</v>
      </c>
    </row>
    <row r="26510" spans="1:6" ht="12.75">
      <c r="A26510" s="2">
        <v>43875.697430555556</v>
      </c>
      <c r="B26510" t="str">
        <f>HYPERLINK("https://twitter.com/dpyyyy","@dpyyyy")</f>
        <v>@dpyyyy</v>
      </c>
      <c r="C26510" t="s">
        <v>2444</v>
      </c>
      <c r="D26510">
        <v>1638</v>
      </c>
      <c r="E26510">
        <v>0</v>
      </c>
      <c r="F26510">
        <v>416</v>
      </c>
    </row>
    <row r="26511" spans="1:6" ht="12.75">
      <c r="A26511" s="2">
        <v>43875.697418981479</v>
      </c>
      <c r="B26511" t="str">
        <f>HYPERLINK("https://twitter.com/sitialfiah02","@sitialfiah02")</f>
        <v>@sitialfiah02</v>
      </c>
      <c r="C26511" t="s">
        <v>10074</v>
      </c>
      <c r="D26511">
        <v>56</v>
      </c>
      <c r="E26511">
        <v>0</v>
      </c>
      <c r="F26511">
        <v>369</v>
      </c>
    </row>
    <row r="26512" spans="1:6" ht="12.75">
      <c r="A26512" s="2">
        <v>43875.697372685187</v>
      </c>
      <c r="B26512" t="str">
        <f>HYPERLINK("https://twitter.com/AlvaroDeBazan2","@AlvaroDeBazan2")</f>
        <v>@AlvaroDeBazan2</v>
      </c>
      <c r="C26512" t="s">
        <v>11684</v>
      </c>
      <c r="D26512">
        <v>2</v>
      </c>
      <c r="E26512">
        <v>0</v>
      </c>
      <c r="F26512">
        <v>249</v>
      </c>
    </row>
    <row r="26513" spans="1:6" ht="12.75">
      <c r="A26513" s="2">
        <v>43875.69731481481</v>
      </c>
      <c r="B26513" t="str">
        <f>HYPERLINK("https://twitter.com/cubscutcuter","@cubscutcuter")</f>
        <v>@cubscutcuter</v>
      </c>
      <c r="C26513" t="s">
        <v>2444</v>
      </c>
      <c r="D26513">
        <v>1638</v>
      </c>
      <c r="E26513">
        <v>0</v>
      </c>
      <c r="F26513">
        <v>186</v>
      </c>
    </row>
    <row r="26514" spans="1:6" ht="12.75">
      <c r="A26514" s="2">
        <v>43875.69731481481</v>
      </c>
      <c r="B26514" t="str">
        <f>HYPERLINK("https://twitter.com/LVelasquest","@LVelasquest")</f>
        <v>@LVelasquest</v>
      </c>
      <c r="C26514" t="s">
        <v>2963</v>
      </c>
      <c r="D26514">
        <v>958</v>
      </c>
      <c r="E26514">
        <v>0</v>
      </c>
      <c r="F26514">
        <v>30</v>
      </c>
    </row>
    <row r="26515" spans="1:6" ht="12.75">
      <c r="A26515" s="2">
        <v>43875.69730324074</v>
      </c>
      <c r="B26515" t="str">
        <f>HYPERLINK("https://twitter.com/Arifahurfa_","@Arifahurfa_")</f>
        <v>@Arifahurfa_</v>
      </c>
      <c r="C26515" t="s">
        <v>10074</v>
      </c>
      <c r="D26515">
        <v>56</v>
      </c>
      <c r="E26515">
        <v>0</v>
      </c>
      <c r="F26515">
        <v>5</v>
      </c>
    </row>
    <row r="26516" spans="1:6" ht="12.75">
      <c r="A26516" s="2">
        <v>43875.697280092594</v>
      </c>
      <c r="B26516" t="str">
        <f>HYPERLINK("https://twitter.com/AlvaroDeBazan2","@AlvaroDeBazan2")</f>
        <v>@AlvaroDeBazan2</v>
      </c>
      <c r="C26516" t="s">
        <v>11839</v>
      </c>
      <c r="D26516">
        <v>1</v>
      </c>
      <c r="E26516">
        <v>0</v>
      </c>
      <c r="F26516">
        <v>249</v>
      </c>
    </row>
    <row r="26517" spans="1:6" ht="12.75">
      <c r="A26517" s="2">
        <v>43875.697280092594</v>
      </c>
      <c r="B26517" t="str">
        <f>HYPERLINK("https://twitter.com/mfnid","@mfnid")</f>
        <v>@mfnid</v>
      </c>
      <c r="C26517" t="s">
        <v>10564</v>
      </c>
      <c r="D26517">
        <v>3</v>
      </c>
      <c r="E26517">
        <v>0</v>
      </c>
      <c r="F26517">
        <v>935</v>
      </c>
    </row>
    <row r="26518" spans="1:6" ht="12.75">
      <c r="A26518" s="2">
        <v>43875.697256944448</v>
      </c>
      <c r="B26518" t="str">
        <f>HYPERLINK("https://twitter.com/donkisot007","@donkisot007")</f>
        <v>@donkisot007</v>
      </c>
      <c r="C26518" t="s">
        <v>11840</v>
      </c>
      <c r="D26518">
        <v>0</v>
      </c>
      <c r="E26518">
        <v>0</v>
      </c>
      <c r="F26518">
        <v>107</v>
      </c>
    </row>
    <row r="26519" spans="1:6" ht="12.75">
      <c r="A26519" s="2">
        <v>43875.697222222225</v>
      </c>
      <c r="B26519" t="str">
        <f>HYPERLINK("https://twitter.com/revi16067104","@revi16067104")</f>
        <v>@revi16067104</v>
      </c>
      <c r="C26519" t="s">
        <v>10074</v>
      </c>
      <c r="D26519">
        <v>56</v>
      </c>
      <c r="E26519">
        <v>0</v>
      </c>
      <c r="F26519">
        <v>1</v>
      </c>
    </row>
    <row r="26520" spans="1:6" ht="12.75">
      <c r="A26520" s="2">
        <v>43875.697210648148</v>
      </c>
      <c r="B26520" t="str">
        <f>HYPERLINK("https://twitter.com/Mutiaranr7","@Mutiaranr7")</f>
        <v>@Mutiaranr7</v>
      </c>
      <c r="C26520" t="s">
        <v>10074</v>
      </c>
      <c r="D26520">
        <v>56</v>
      </c>
      <c r="E26520">
        <v>0</v>
      </c>
      <c r="F26520">
        <v>2</v>
      </c>
    </row>
    <row r="26521" spans="1:6" ht="12.75">
      <c r="A26521" s="2">
        <v>43875.697199074071</v>
      </c>
      <c r="B26521" t="str">
        <f>HYPERLINK("https://twitter.com/kartikasariyad","@kartikasariyad")</f>
        <v>@kartikasariyad</v>
      </c>
      <c r="C26521" t="s">
        <v>10074</v>
      </c>
      <c r="D26521">
        <v>56</v>
      </c>
      <c r="E26521">
        <v>0</v>
      </c>
      <c r="F26521">
        <v>9</v>
      </c>
    </row>
    <row r="26522" spans="1:6" ht="12.75">
      <c r="A26522" s="2">
        <v>43875.697175925925</v>
      </c>
      <c r="B26522" t="str">
        <f>HYPERLINK("https://twitter.com/Wjjanggg","@Wjjanggg")</f>
        <v>@Wjjanggg</v>
      </c>
      <c r="C26522" t="s">
        <v>2444</v>
      </c>
      <c r="D26522">
        <v>1638</v>
      </c>
      <c r="E26522">
        <v>0</v>
      </c>
      <c r="F26522">
        <v>146</v>
      </c>
    </row>
    <row r="26523" spans="1:6" ht="12.75">
      <c r="A26523" s="2">
        <v>43875.697164351848</v>
      </c>
      <c r="B26523" t="str">
        <f>HYPERLINK("https://twitter.com/dwirama89009610","@dwirama89009610")</f>
        <v>@dwirama89009610</v>
      </c>
      <c r="C26523" t="s">
        <v>11841</v>
      </c>
      <c r="D26523">
        <v>3</v>
      </c>
      <c r="E26523">
        <v>0</v>
      </c>
      <c r="F26523">
        <v>183</v>
      </c>
    </row>
    <row r="26524" spans="1:6" ht="12.75">
      <c r="A26524" s="2">
        <v>43875.697152777779</v>
      </c>
      <c r="B26524" t="str">
        <f>HYPERLINK("https://twitter.com/SalsabillaRona","@SalsabillaRona")</f>
        <v>@SalsabillaRona</v>
      </c>
      <c r="C26524" t="s">
        <v>10074</v>
      </c>
      <c r="D26524">
        <v>56</v>
      </c>
      <c r="E26524">
        <v>0</v>
      </c>
      <c r="F26524">
        <v>2</v>
      </c>
    </row>
    <row r="26525" spans="1:6" ht="12.75">
      <c r="A26525" s="2">
        <v>43875.697152777779</v>
      </c>
      <c r="B26525" t="str">
        <f>HYPERLINK("https://twitter.com/lailaelf","@lailaelf")</f>
        <v>@lailaelf</v>
      </c>
      <c r="C26525" t="s">
        <v>2444</v>
      </c>
      <c r="D26525">
        <v>1638</v>
      </c>
      <c r="E26525">
        <v>0</v>
      </c>
      <c r="F26525">
        <v>129</v>
      </c>
    </row>
    <row r="26526" spans="1:6" ht="12.75">
      <c r="A26526" s="2">
        <v>43875.697141203702</v>
      </c>
      <c r="B26526" t="str">
        <f>HYPERLINK("https://twitter.com/BangPitung_AJW","@BangPitung_AJW")</f>
        <v>@BangPitung_AJW</v>
      </c>
      <c r="C26526" t="s">
        <v>6201</v>
      </c>
      <c r="D26526">
        <v>49</v>
      </c>
      <c r="E26526">
        <v>0</v>
      </c>
      <c r="F26526">
        <v>6414</v>
      </c>
    </row>
    <row r="26527" spans="1:6" ht="12.75">
      <c r="A26527" s="2">
        <v>43875.697060185186</v>
      </c>
      <c r="B26527" t="str">
        <f>HYPERLINK("https://twitter.com/VisionGlobal18","@VisionGlobal18")</f>
        <v>@VisionGlobal18</v>
      </c>
      <c r="C26527" t="s">
        <v>9746</v>
      </c>
      <c r="D26527">
        <v>249</v>
      </c>
      <c r="E26527">
        <v>0</v>
      </c>
      <c r="F26527">
        <v>1054</v>
      </c>
    </row>
    <row r="26528" spans="1:6" ht="12.75">
      <c r="A26528" s="2">
        <v>43875.697048611109</v>
      </c>
      <c r="B26528" t="str">
        <f>HYPERLINK("https://twitter.com/vanianpb","@vanianpb")</f>
        <v>@vanianpb</v>
      </c>
      <c r="C26528" t="s">
        <v>10074</v>
      </c>
      <c r="D26528">
        <v>56</v>
      </c>
      <c r="E26528">
        <v>0</v>
      </c>
      <c r="F26528">
        <v>148</v>
      </c>
    </row>
    <row r="26529" spans="1:6" ht="12.75">
      <c r="A26529" s="2">
        <v>43875.697013888886</v>
      </c>
      <c r="B26529" t="str">
        <f>HYPERLINK("https://twitter.com/kokocrnchs","@kokocrnchs")</f>
        <v>@kokocrnchs</v>
      </c>
      <c r="C26529" t="s">
        <v>5168</v>
      </c>
      <c r="D26529">
        <v>789</v>
      </c>
      <c r="E26529">
        <v>0</v>
      </c>
      <c r="F26529">
        <v>771</v>
      </c>
    </row>
    <row r="26530" spans="1:6" ht="12.75">
      <c r="A26530" s="2">
        <v>43875.697013888886</v>
      </c>
      <c r="B26530" t="str">
        <f>HYPERLINK("https://twitter.com/SnolinkW","@SnolinkW")</f>
        <v>@SnolinkW</v>
      </c>
      <c r="C26530" t="s">
        <v>10297</v>
      </c>
      <c r="D26530">
        <v>6</v>
      </c>
      <c r="E26530">
        <v>0</v>
      </c>
      <c r="F26530">
        <v>174</v>
      </c>
    </row>
    <row r="26531" spans="1:6" ht="12.75">
      <c r="A26531" s="2">
        <v>43875.69699074074</v>
      </c>
      <c r="B26531" t="str">
        <f>HYPERLINK("https://twitter.com/mudha_satriya","@mudha_satriya")</f>
        <v>@mudha_satriya</v>
      </c>
      <c r="C26531" t="s">
        <v>11842</v>
      </c>
      <c r="D26531">
        <v>1</v>
      </c>
      <c r="E26531">
        <v>0</v>
      </c>
      <c r="F26531">
        <v>1877</v>
      </c>
    </row>
    <row r="26532" spans="1:6" ht="12.75">
      <c r="A26532" s="2">
        <v>43875.696956018517</v>
      </c>
      <c r="B26532" t="str">
        <f>HYPERLINK("https://twitter.com/thisisaga","@thisisaga")</f>
        <v>@thisisaga</v>
      </c>
      <c r="C26532" t="s">
        <v>11843</v>
      </c>
      <c r="D26532">
        <v>0</v>
      </c>
      <c r="E26532">
        <v>0</v>
      </c>
      <c r="F26532">
        <v>13</v>
      </c>
    </row>
    <row r="26533" spans="1:6" ht="12.75">
      <c r="A26533" s="2">
        <v>43875.69694444444</v>
      </c>
      <c r="B26533" t="str">
        <f>HYPERLINK("https://twitter.com/GUSDURians","@GUSDURians")</f>
        <v>@GUSDURians</v>
      </c>
      <c r="C26533" t="s">
        <v>11844</v>
      </c>
      <c r="D26533">
        <v>1</v>
      </c>
      <c r="E26533">
        <v>5</v>
      </c>
      <c r="F26533">
        <v>189483</v>
      </c>
    </row>
    <row r="26534" spans="1:6" ht="12.75">
      <c r="A26534" s="2">
        <v>43875.69694444444</v>
      </c>
      <c r="B26534" t="str">
        <f>HYPERLINK("https://twitter.com/aviaskadhyy","@aviaskadhyy")</f>
        <v>@aviaskadhyy</v>
      </c>
      <c r="C26534" t="s">
        <v>10074</v>
      </c>
      <c r="D26534">
        <v>56</v>
      </c>
      <c r="E26534">
        <v>0</v>
      </c>
      <c r="F26534">
        <v>3</v>
      </c>
    </row>
    <row r="26535" spans="1:6" ht="12.75">
      <c r="A26535" s="2">
        <v>43875.696932870371</v>
      </c>
      <c r="B26535" t="str">
        <f>HYPERLINK("https://twitter.com/GUSDURians","@GUSDURians")</f>
        <v>@GUSDURians</v>
      </c>
      <c r="C26535" t="s">
        <v>11845</v>
      </c>
      <c r="D26535">
        <v>0</v>
      </c>
      <c r="E26535">
        <v>0</v>
      </c>
      <c r="F26535">
        <v>189483</v>
      </c>
    </row>
    <row r="26536" spans="1:6" ht="12.75">
      <c r="A26536" s="2">
        <v>43875.696932870371</v>
      </c>
      <c r="B26536" t="str">
        <f>HYPERLINK("https://twitter.com/AcenkMank","@AcenkMank")</f>
        <v>@AcenkMank</v>
      </c>
      <c r="C26536" t="s">
        <v>11846</v>
      </c>
      <c r="D26536">
        <v>0</v>
      </c>
      <c r="E26536">
        <v>2</v>
      </c>
      <c r="F26536">
        <v>2993</v>
      </c>
    </row>
    <row r="26537" spans="1:6" ht="12.75">
      <c r="A26537" s="2">
        <v>43875.696932870371</v>
      </c>
      <c r="B26537" t="str">
        <f t="shared" ref="B26537:B26540" si="348">HYPERLINK("https://twitter.com/GUSDURians","@GUSDURians")</f>
        <v>@GUSDURians</v>
      </c>
      <c r="C26537" t="s">
        <v>11847</v>
      </c>
      <c r="D26537">
        <v>0</v>
      </c>
      <c r="E26537">
        <v>1</v>
      </c>
      <c r="F26537">
        <v>189483</v>
      </c>
    </row>
    <row r="26538" spans="1:6" ht="12.75">
      <c r="A26538" s="2">
        <v>43875.696921296301</v>
      </c>
      <c r="B26538" t="str">
        <f t="shared" si="348"/>
        <v>@GUSDURians</v>
      </c>
      <c r="C26538" t="s">
        <v>11848</v>
      </c>
      <c r="D26538">
        <v>0</v>
      </c>
      <c r="E26538">
        <v>0</v>
      </c>
      <c r="F26538">
        <v>189483</v>
      </c>
    </row>
    <row r="26539" spans="1:6" ht="12.75">
      <c r="A26539" s="2">
        <v>43875.696921296301</v>
      </c>
      <c r="B26539" t="str">
        <f t="shared" si="348"/>
        <v>@GUSDURians</v>
      </c>
      <c r="C26539" t="s">
        <v>11849</v>
      </c>
      <c r="D26539">
        <v>0</v>
      </c>
      <c r="E26539">
        <v>0</v>
      </c>
      <c r="F26539">
        <v>189483</v>
      </c>
    </row>
    <row r="26540" spans="1:6" ht="12.75">
      <c r="A26540" s="2">
        <v>43875.696909722217</v>
      </c>
      <c r="B26540" t="str">
        <f t="shared" si="348"/>
        <v>@GUSDURians</v>
      </c>
      <c r="C26540" t="s">
        <v>11850</v>
      </c>
      <c r="D26540">
        <v>0</v>
      </c>
      <c r="E26540">
        <v>0</v>
      </c>
      <c r="F26540">
        <v>189483</v>
      </c>
    </row>
    <row r="26541" spans="1:6" ht="12.75">
      <c r="A26541" s="2">
        <v>43875.696909722217</v>
      </c>
      <c r="B26541" t="str">
        <f>HYPERLINK("https://twitter.com/raihanfthk","@raihanfthk")</f>
        <v>@raihanfthk</v>
      </c>
      <c r="C26541" t="s">
        <v>10074</v>
      </c>
      <c r="D26541">
        <v>56</v>
      </c>
      <c r="E26541">
        <v>0</v>
      </c>
      <c r="F26541">
        <v>6</v>
      </c>
    </row>
    <row r="26542" spans="1:6" ht="12.75">
      <c r="A26542" s="2">
        <v>43875.696898148148</v>
      </c>
      <c r="B26542" t="str">
        <f t="shared" ref="B26542:B26544" si="349">HYPERLINK("https://twitter.com/GUSDURians","@GUSDURians")</f>
        <v>@GUSDURians</v>
      </c>
      <c r="C26542" t="s">
        <v>11851</v>
      </c>
      <c r="D26542">
        <v>0</v>
      </c>
      <c r="E26542">
        <v>0</v>
      </c>
      <c r="F26542">
        <v>189483</v>
      </c>
    </row>
    <row r="26543" spans="1:6" ht="12.75">
      <c r="A26543" s="2">
        <v>43875.696898148148</v>
      </c>
      <c r="B26543" t="str">
        <f t="shared" si="349"/>
        <v>@GUSDURians</v>
      </c>
      <c r="C26543" t="s">
        <v>11852</v>
      </c>
      <c r="D26543">
        <v>0</v>
      </c>
      <c r="E26543">
        <v>1</v>
      </c>
      <c r="F26543">
        <v>189483</v>
      </c>
    </row>
    <row r="26544" spans="1:6" ht="12.75">
      <c r="A26544" s="2">
        <v>43875.696886574078</v>
      </c>
      <c r="B26544" t="str">
        <f t="shared" si="349"/>
        <v>@GUSDURians</v>
      </c>
      <c r="C26544" t="s">
        <v>11853</v>
      </c>
      <c r="D26544">
        <v>0</v>
      </c>
      <c r="E26544">
        <v>0</v>
      </c>
      <c r="F26544">
        <v>189483</v>
      </c>
    </row>
    <row r="26545" spans="1:6" ht="12.75">
      <c r="A26545" s="2">
        <v>43875.696886574078</v>
      </c>
      <c r="B26545" t="str">
        <f>HYPERLINK("https://twitter.com/SoundOfYogi","@SoundOfYogi")</f>
        <v>@SoundOfYogi</v>
      </c>
      <c r="C26545" t="s">
        <v>11854</v>
      </c>
      <c r="D26545">
        <v>2</v>
      </c>
      <c r="E26545">
        <v>2</v>
      </c>
      <c r="F26545">
        <v>37764</v>
      </c>
    </row>
    <row r="26546" spans="1:6" ht="12.75">
      <c r="A26546" s="2">
        <v>43875.696875000001</v>
      </c>
      <c r="B26546" t="str">
        <f t="shared" ref="B26546:B26548" si="350">HYPERLINK("https://twitter.com/GUSDURians","@GUSDURians")</f>
        <v>@GUSDURians</v>
      </c>
      <c r="C26546" t="s">
        <v>11855</v>
      </c>
      <c r="D26546">
        <v>0</v>
      </c>
      <c r="E26546">
        <v>0</v>
      </c>
      <c r="F26546">
        <v>189483</v>
      </c>
    </row>
    <row r="26547" spans="1:6" ht="12.75">
      <c r="A26547" s="2">
        <v>43875.696875000001</v>
      </c>
      <c r="B26547" t="str">
        <f t="shared" si="350"/>
        <v>@GUSDURians</v>
      </c>
      <c r="C26547" t="s">
        <v>11856</v>
      </c>
      <c r="D26547">
        <v>0</v>
      </c>
      <c r="E26547">
        <v>0</v>
      </c>
      <c r="F26547">
        <v>189483</v>
      </c>
    </row>
    <row r="26548" spans="1:6" ht="12.75">
      <c r="A26548" s="2">
        <v>43875.696863425925</v>
      </c>
      <c r="B26548" t="str">
        <f t="shared" si="350"/>
        <v>@GUSDURians</v>
      </c>
      <c r="C26548" t="s">
        <v>11857</v>
      </c>
      <c r="D26548">
        <v>0</v>
      </c>
      <c r="E26548">
        <v>0</v>
      </c>
      <c r="F26548">
        <v>189483</v>
      </c>
    </row>
    <row r="26549" spans="1:6" ht="12.75">
      <c r="A26549" s="2">
        <v>43875.696863425925</v>
      </c>
      <c r="B26549" t="str">
        <f>HYPERLINK("https://twitter.com/emirsukma","@emirsukma")</f>
        <v>@emirsukma</v>
      </c>
      <c r="C26549" t="s">
        <v>2444</v>
      </c>
      <c r="D26549">
        <v>1638</v>
      </c>
      <c r="E26549">
        <v>0</v>
      </c>
      <c r="F26549">
        <v>193</v>
      </c>
    </row>
    <row r="26550" spans="1:6" ht="12.75">
      <c r="A26550" s="2">
        <v>43875.696851851855</v>
      </c>
      <c r="B26550" t="str">
        <f>HYPERLINK("https://twitter.com/Ongliette","@Ongliette")</f>
        <v>@Ongliette</v>
      </c>
      <c r="C26550" t="s">
        <v>11858</v>
      </c>
      <c r="D26550">
        <v>0</v>
      </c>
      <c r="E26550">
        <v>0</v>
      </c>
      <c r="F26550">
        <v>0</v>
      </c>
    </row>
    <row r="26551" spans="1:6" ht="12.75">
      <c r="A26551" s="2">
        <v>43875.696782407409</v>
      </c>
      <c r="B26551" t="str">
        <f t="shared" ref="B26551:B26553" si="351">HYPERLINK("https://twitter.com/GUSDURians","@GUSDURians")</f>
        <v>@GUSDURians</v>
      </c>
      <c r="C26551" t="s">
        <v>11859</v>
      </c>
      <c r="D26551">
        <v>0</v>
      </c>
      <c r="E26551">
        <v>0</v>
      </c>
      <c r="F26551">
        <v>189483</v>
      </c>
    </row>
    <row r="26552" spans="1:6" ht="12.75">
      <c r="A26552" s="2">
        <v>43875.696770833332</v>
      </c>
      <c r="B26552" t="str">
        <f t="shared" si="351"/>
        <v>@GUSDURians</v>
      </c>
      <c r="C26552" t="s">
        <v>11860</v>
      </c>
      <c r="D26552">
        <v>0</v>
      </c>
      <c r="E26552">
        <v>0</v>
      </c>
      <c r="F26552">
        <v>189483</v>
      </c>
    </row>
    <row r="26553" spans="1:6" ht="12.75">
      <c r="A26553" s="2">
        <v>43875.696770833332</v>
      </c>
      <c r="B26553" t="str">
        <f t="shared" si="351"/>
        <v>@GUSDURians</v>
      </c>
      <c r="C26553" t="s">
        <v>11861</v>
      </c>
      <c r="D26553">
        <v>0</v>
      </c>
      <c r="E26553">
        <v>0</v>
      </c>
      <c r="F26553">
        <v>189483</v>
      </c>
    </row>
    <row r="26554" spans="1:6" ht="12.75">
      <c r="A26554" s="2">
        <v>43875.696747685186</v>
      </c>
      <c r="B26554" t="str">
        <f>HYPERLINK("https://twitter.com/febrisujatmiko","@febrisujatmiko")</f>
        <v>@febrisujatmiko</v>
      </c>
      <c r="C26554" t="s">
        <v>2149</v>
      </c>
      <c r="D26554">
        <v>5</v>
      </c>
      <c r="E26554">
        <v>0</v>
      </c>
      <c r="F26554">
        <v>334</v>
      </c>
    </row>
    <row r="26555" spans="1:6" ht="12.75">
      <c r="A26555" s="2">
        <v>43875.696747685186</v>
      </c>
      <c r="B26555" t="str">
        <f>HYPERLINK("https://twitter.com/joahamnida_day6","@joahamnida_day6")</f>
        <v>@joahamnida_day6</v>
      </c>
      <c r="C26555" t="s">
        <v>5168</v>
      </c>
      <c r="D26555">
        <v>789</v>
      </c>
      <c r="E26555">
        <v>0</v>
      </c>
      <c r="F26555">
        <v>945</v>
      </c>
    </row>
    <row r="26556" spans="1:6" ht="12.75">
      <c r="A26556" s="2">
        <v>43875.69667824074</v>
      </c>
      <c r="B26556" t="str">
        <f>HYPERLINK("https://twitter.com/RaihanP61504031","@RaihanP61504031")</f>
        <v>@RaihanP61504031</v>
      </c>
      <c r="C26556" t="s">
        <v>10074</v>
      </c>
      <c r="D26556">
        <v>56</v>
      </c>
      <c r="E26556">
        <v>0</v>
      </c>
      <c r="F26556">
        <v>3</v>
      </c>
    </row>
    <row r="26557" spans="1:6" ht="12.75">
      <c r="A26557" s="2">
        <v>43875.69666666667</v>
      </c>
      <c r="B26557" t="str">
        <f>HYPERLINK("https://twitter.com/antareshine","@antareshine")</f>
        <v>@antareshine</v>
      </c>
      <c r="C26557" t="s">
        <v>5168</v>
      </c>
      <c r="D26557">
        <v>789</v>
      </c>
      <c r="E26557">
        <v>0</v>
      </c>
      <c r="F26557">
        <v>1003</v>
      </c>
    </row>
    <row r="26558" spans="1:6" ht="12.75">
      <c r="A26558" s="2">
        <v>43875.696620370371</v>
      </c>
      <c r="B26558" t="str">
        <f>HYPERLINK("https://twitter.com/Kangsyam78","@Kangsyam78")</f>
        <v>@Kangsyam78</v>
      </c>
      <c r="C26558" t="s">
        <v>6201</v>
      </c>
      <c r="D26558">
        <v>49</v>
      </c>
      <c r="E26558">
        <v>0</v>
      </c>
      <c r="F26558">
        <v>9884</v>
      </c>
    </row>
    <row r="26559" spans="1:6" ht="12.75">
      <c r="A26559" s="2">
        <v>43875.696597222224</v>
      </c>
      <c r="B26559" t="str">
        <f>HYPERLINK("https://twitter.com/Achmad_Cyber","@Achmad_Cyber")</f>
        <v>@Achmad_Cyber</v>
      </c>
      <c r="C26559" t="s">
        <v>10074</v>
      </c>
      <c r="D26559">
        <v>56</v>
      </c>
      <c r="E26559">
        <v>0</v>
      </c>
      <c r="F26559">
        <v>306</v>
      </c>
    </row>
    <row r="26560" spans="1:6" ht="12.75">
      <c r="A26560" s="2">
        <v>43875.696412037039</v>
      </c>
      <c r="B26560" t="str">
        <f>HYPERLINK("https://twitter.com/azzams_m","@azzams_m")</f>
        <v>@azzams_m</v>
      </c>
      <c r="C26560" t="s">
        <v>10074</v>
      </c>
      <c r="D26560">
        <v>56</v>
      </c>
      <c r="E26560">
        <v>0</v>
      </c>
      <c r="F26560">
        <v>2</v>
      </c>
    </row>
    <row r="26561" spans="1:6" ht="12.75">
      <c r="A26561" s="2">
        <v>43875.696354166663</v>
      </c>
      <c r="B26561" t="str">
        <f>HYPERLINK("https://twitter.com/sayangyohan","@sayangyohan")</f>
        <v>@sayangyohan</v>
      </c>
      <c r="C26561" t="s">
        <v>9964</v>
      </c>
      <c r="D26561">
        <v>599</v>
      </c>
      <c r="E26561">
        <v>0</v>
      </c>
      <c r="F26561">
        <v>1066</v>
      </c>
    </row>
    <row r="26562" spans="1:6" ht="12.75">
      <c r="A26562" s="2">
        <v>43875.69630787037</v>
      </c>
      <c r="B26562" t="str">
        <f>HYPERLINK("https://twitter.com/llcc7","@llcc7")</f>
        <v>@llcc7</v>
      </c>
      <c r="C26562" t="s">
        <v>2444</v>
      </c>
      <c r="D26562">
        <v>1638</v>
      </c>
      <c r="E26562">
        <v>0</v>
      </c>
      <c r="F26562">
        <v>328</v>
      </c>
    </row>
    <row r="26563" spans="1:6" ht="12.75">
      <c r="A26563" s="2">
        <v>43875.696296296301</v>
      </c>
      <c r="B26563" t="str">
        <f>HYPERLINK("https://twitter.com/machbeach","@machbeach")</f>
        <v>@machbeach</v>
      </c>
      <c r="C26563" t="s">
        <v>11862</v>
      </c>
      <c r="D26563">
        <v>0</v>
      </c>
      <c r="E26563">
        <v>0</v>
      </c>
      <c r="F26563">
        <v>927</v>
      </c>
    </row>
    <row r="26564" spans="1:6" ht="12.75">
      <c r="A26564" s="2">
        <v>43875.696284722224</v>
      </c>
      <c r="B26564" t="str">
        <f>HYPERLINK("https://twitter.com/SoundOfYogi","@SoundOfYogi")</f>
        <v>@SoundOfYogi</v>
      </c>
      <c r="C26564" t="s">
        <v>11863</v>
      </c>
      <c r="D26564">
        <v>4</v>
      </c>
      <c r="E26564">
        <v>1</v>
      </c>
      <c r="F26564">
        <v>37764</v>
      </c>
    </row>
    <row r="26565" spans="1:6" ht="12.75">
      <c r="A26565" s="2">
        <v>43875.696273148147</v>
      </c>
      <c r="B26565" t="str">
        <f>HYPERLINK("https://twitter.com/BaleBengong","@BaleBengong")</f>
        <v>@BaleBengong</v>
      </c>
      <c r="C26565" t="s">
        <v>11864</v>
      </c>
      <c r="D26565">
        <v>1</v>
      </c>
      <c r="E26565">
        <v>0</v>
      </c>
      <c r="F26565">
        <v>101964</v>
      </c>
    </row>
    <row r="26566" spans="1:6" ht="12.75">
      <c r="A26566" s="2">
        <v>43875.696215277778</v>
      </c>
      <c r="B26566" t="str">
        <f>HYPERLINK("https://twitter.com/hericz","@hericz")</f>
        <v>@hericz</v>
      </c>
      <c r="C26566" t="s">
        <v>2444</v>
      </c>
      <c r="D26566">
        <v>1638</v>
      </c>
      <c r="E26566">
        <v>0</v>
      </c>
      <c r="F26566">
        <v>1293</v>
      </c>
    </row>
    <row r="26567" spans="1:6" ht="12.75">
      <c r="A26567" s="2">
        <v>43875.696203703701</v>
      </c>
      <c r="B26567" t="str">
        <f>HYPERLINK("https://twitter.com/irrandara","@irrandara")</f>
        <v>@irrandara</v>
      </c>
      <c r="C26567" t="s">
        <v>5168</v>
      </c>
      <c r="D26567">
        <v>789</v>
      </c>
      <c r="E26567">
        <v>0</v>
      </c>
      <c r="F26567">
        <v>821</v>
      </c>
    </row>
    <row r="26568" spans="1:6" ht="12.75">
      <c r="A26568" s="2">
        <v>43875.696180555555</v>
      </c>
      <c r="B26568" t="str">
        <f>HYPERLINK("https://twitter.com/Suroyya_sahra","@Suroyya_sahra")</f>
        <v>@Suroyya_sahra</v>
      </c>
      <c r="C26568" t="s">
        <v>10074</v>
      </c>
      <c r="D26568">
        <v>56</v>
      </c>
      <c r="E26568">
        <v>0</v>
      </c>
      <c r="F26568">
        <v>101</v>
      </c>
    </row>
    <row r="26569" spans="1:6" ht="12.75">
      <c r="A26569" s="2">
        <v>43875.696168981478</v>
      </c>
      <c r="B26569" t="str">
        <f>HYPERLINK("https://twitter.com/dwirama89009610","@dwirama89009610")</f>
        <v>@dwirama89009610</v>
      </c>
      <c r="C26569" t="s">
        <v>11865</v>
      </c>
      <c r="D26569">
        <v>6</v>
      </c>
      <c r="E26569">
        <v>0</v>
      </c>
      <c r="F26569">
        <v>183</v>
      </c>
    </row>
    <row r="26570" spans="1:6" ht="12.75">
      <c r="A26570" s="2">
        <v>43875.696168981478</v>
      </c>
      <c r="B26570" t="str">
        <f>HYPERLINK("https://twitter.com/ayudevi_wiharjo","@ayudevi_wiharjo")</f>
        <v>@ayudevi_wiharjo</v>
      </c>
      <c r="C26570" t="s">
        <v>11866</v>
      </c>
      <c r="D26570">
        <v>0</v>
      </c>
      <c r="E26570">
        <v>1</v>
      </c>
      <c r="F26570">
        <v>182</v>
      </c>
    </row>
    <row r="26571" spans="1:6" ht="12.75">
      <c r="A26571" s="2">
        <v>43875.696134259255</v>
      </c>
      <c r="B26571" t="str">
        <f>HYPERLINK("https://twitter.com/audinamei","@audinamei")</f>
        <v>@audinamei</v>
      </c>
      <c r="C26571" t="s">
        <v>11867</v>
      </c>
      <c r="D26571">
        <v>0</v>
      </c>
      <c r="E26571">
        <v>0</v>
      </c>
      <c r="F26571">
        <v>535</v>
      </c>
    </row>
    <row r="26572" spans="1:6" ht="12.75">
      <c r="A26572" s="2">
        <v>43875.695960648147</v>
      </c>
      <c r="B26572" t="str">
        <f>HYPERLINK("https://twitter.com/LanaayahFayFio","@LanaayahFayFio")</f>
        <v>@LanaayahFayFio</v>
      </c>
      <c r="C26572" t="s">
        <v>11868</v>
      </c>
      <c r="D26572">
        <v>0</v>
      </c>
      <c r="E26572">
        <v>0</v>
      </c>
      <c r="F26572">
        <v>118</v>
      </c>
    </row>
    <row r="26573" spans="1:6" ht="12.75">
      <c r="A26573" s="2">
        <v>43875.695960648147</v>
      </c>
      <c r="B26573" t="str">
        <f>HYPERLINK("https://twitter.com/AndryWaseso","@AndryWaseso")</f>
        <v>@AndryWaseso</v>
      </c>
      <c r="C26573" t="s">
        <v>11869</v>
      </c>
      <c r="D26573">
        <v>0</v>
      </c>
      <c r="E26573">
        <v>0</v>
      </c>
      <c r="F26573">
        <v>1430</v>
      </c>
    </row>
    <row r="26574" spans="1:6" ht="12.75">
      <c r="A26574" s="2">
        <v>43875.69594907407</v>
      </c>
      <c r="B26574" t="str">
        <f>HYPERLINK("https://twitter.com/aguslio17g","@aguslio17g")</f>
        <v>@aguslio17g</v>
      </c>
      <c r="C26574" t="s">
        <v>2444</v>
      </c>
      <c r="D26574">
        <v>1638</v>
      </c>
      <c r="E26574">
        <v>0</v>
      </c>
      <c r="F26574">
        <v>221</v>
      </c>
    </row>
    <row r="26575" spans="1:6" ht="12.75">
      <c r="A26575" s="2">
        <v>43875.695937500001</v>
      </c>
      <c r="B26575" t="str">
        <f>HYPERLINK("https://twitter.com/tentarakeraton","@tentarakeraton")</f>
        <v>@tentarakeraton</v>
      </c>
      <c r="C26575" t="s">
        <v>11870</v>
      </c>
      <c r="D26575">
        <v>0</v>
      </c>
      <c r="E26575">
        <v>1</v>
      </c>
      <c r="F26575">
        <v>256</v>
      </c>
    </row>
    <row r="26576" spans="1:6" ht="12.75">
      <c r="A26576" s="2">
        <v>43875.695902777778</v>
      </c>
      <c r="B26576" t="str">
        <f>HYPERLINK("https://twitter.com/AlvaroDeBazan2","@AlvaroDeBazan2")</f>
        <v>@AlvaroDeBazan2</v>
      </c>
      <c r="C26576" t="s">
        <v>11871</v>
      </c>
      <c r="D26576">
        <v>1</v>
      </c>
      <c r="E26576">
        <v>0</v>
      </c>
      <c r="F26576">
        <v>249</v>
      </c>
    </row>
    <row r="26577" spans="1:6" ht="12.75">
      <c r="A26577" s="2">
        <v>43875.695856481485</v>
      </c>
      <c r="B26577" t="str">
        <f>HYPERLINK("https://twitter.com/wsbli","@wsbli")</f>
        <v>@wsbli</v>
      </c>
      <c r="C26577" t="s">
        <v>6201</v>
      </c>
      <c r="D26577">
        <v>49</v>
      </c>
      <c r="E26577">
        <v>0</v>
      </c>
      <c r="F26577">
        <v>103</v>
      </c>
    </row>
    <row r="26578" spans="1:6" ht="12.75">
      <c r="A26578" s="2">
        <v>43875.695729166662</v>
      </c>
      <c r="B26578" t="str">
        <f>HYPERLINK("https://twitter.com/dukundonat","@dukundonat")</f>
        <v>@dukundonat</v>
      </c>
      <c r="C26578" t="s">
        <v>2444</v>
      </c>
      <c r="D26578">
        <v>1638</v>
      </c>
      <c r="E26578">
        <v>0</v>
      </c>
      <c r="F26578">
        <v>522</v>
      </c>
    </row>
    <row r="26579" spans="1:6" ht="12.75">
      <c r="A26579" s="2">
        <v>43875.695717592593</v>
      </c>
      <c r="B26579" t="str">
        <f>HYPERLINK("https://twitter.com/hikmatkali","@hikmatkali")</f>
        <v>@hikmatkali</v>
      </c>
      <c r="C26579" t="s">
        <v>10593</v>
      </c>
      <c r="D26579">
        <v>40</v>
      </c>
      <c r="E26579">
        <v>0</v>
      </c>
      <c r="F26579">
        <v>262</v>
      </c>
    </row>
    <row r="26580" spans="1:6" ht="12.75">
      <c r="A26580" s="2">
        <v>43875.695706018523</v>
      </c>
      <c r="B26580" t="str">
        <f>HYPERLINK("https://twitter.com/daniairwansyah","@daniairwansyah")</f>
        <v>@daniairwansyah</v>
      </c>
      <c r="C26580" t="s">
        <v>11872</v>
      </c>
      <c r="D26580">
        <v>0</v>
      </c>
      <c r="E26580">
        <v>0</v>
      </c>
      <c r="F26580">
        <v>501</v>
      </c>
    </row>
    <row r="26581" spans="1:6" ht="12.75">
      <c r="A26581" s="2">
        <v>43875.695648148147</v>
      </c>
      <c r="B26581" t="str">
        <f>HYPERLINK("https://twitter.com/sudjatmiko_seto","@sudjatmiko_seto")</f>
        <v>@sudjatmiko_seto</v>
      </c>
      <c r="C26581" t="s">
        <v>10573</v>
      </c>
      <c r="D26581">
        <v>4</v>
      </c>
      <c r="E26581">
        <v>0</v>
      </c>
      <c r="F26581">
        <v>764</v>
      </c>
    </row>
    <row r="26582" spans="1:6" ht="12.75">
      <c r="A26582" s="2">
        <v>43875.695613425924</v>
      </c>
      <c r="B26582" t="str">
        <f>HYPERLINK("https://twitter.com/habibsalehhh","@habibsalehhh")</f>
        <v>@habibsalehhh</v>
      </c>
      <c r="C26582" t="s">
        <v>10074</v>
      </c>
      <c r="D26582">
        <v>56</v>
      </c>
      <c r="E26582">
        <v>0</v>
      </c>
      <c r="F26582">
        <v>2</v>
      </c>
    </row>
    <row r="26583" spans="1:6" ht="12.75">
      <c r="A26583" s="2">
        <v>43875.6955787037</v>
      </c>
      <c r="B26583" t="str">
        <f>HYPERLINK("https://twitter.com/vivalavidahein","@vivalavidahein")</f>
        <v>@vivalavidahein</v>
      </c>
      <c r="C26583" t="s">
        <v>11873</v>
      </c>
      <c r="D26583">
        <v>0</v>
      </c>
      <c r="E26583">
        <v>0</v>
      </c>
      <c r="F26583">
        <v>257</v>
      </c>
    </row>
    <row r="26584" spans="1:6" ht="12.75">
      <c r="A26584" s="2">
        <v>43875.695567129631</v>
      </c>
      <c r="B26584" t="str">
        <f>HYPERLINK("https://twitter.com/Aliffitrindewor","@Aliffitrindewor")</f>
        <v>@Aliffitrindewor</v>
      </c>
      <c r="C26584" t="s">
        <v>11874</v>
      </c>
      <c r="D26584">
        <v>0</v>
      </c>
      <c r="E26584">
        <v>0</v>
      </c>
      <c r="F26584">
        <v>552</v>
      </c>
    </row>
    <row r="26585" spans="1:6" ht="12.75">
      <c r="A26585" s="2">
        <v>43875.695543981477</v>
      </c>
      <c r="B26585" t="str">
        <f>HYPERLINK("https://twitter.com/PahaAyam4","@PahaAyam4")</f>
        <v>@PahaAyam4</v>
      </c>
      <c r="C26585" t="s">
        <v>7478</v>
      </c>
      <c r="D26585">
        <v>240</v>
      </c>
      <c r="E26585">
        <v>0</v>
      </c>
      <c r="F26585">
        <v>294</v>
      </c>
    </row>
    <row r="26586" spans="1:6" ht="12.75">
      <c r="A26586" s="2">
        <v>43875.695532407408</v>
      </c>
      <c r="B26586" t="str">
        <f>HYPERLINK("https://twitter.com/adc1408","@adc1408")</f>
        <v>@adc1408</v>
      </c>
      <c r="C26586" t="s">
        <v>11875</v>
      </c>
      <c r="D26586">
        <v>2</v>
      </c>
      <c r="E26586">
        <v>0</v>
      </c>
      <c r="F26586">
        <v>90</v>
      </c>
    </row>
    <row r="26587" spans="1:6" ht="12.75">
      <c r="A26587" s="2">
        <v>43875.695520833338</v>
      </c>
      <c r="B26587" t="str">
        <f>HYPERLINK("https://twitter.com/nadhira1410","@nadhira1410")</f>
        <v>@nadhira1410</v>
      </c>
      <c r="C26587" t="s">
        <v>10074</v>
      </c>
      <c r="D26587">
        <v>56</v>
      </c>
      <c r="E26587">
        <v>0</v>
      </c>
      <c r="F26587">
        <v>5</v>
      </c>
    </row>
    <row r="26588" spans="1:6" ht="12.75">
      <c r="A26588" s="2">
        <v>43875.695509259254</v>
      </c>
      <c r="B26588" t="str">
        <f>HYPERLINK("https://twitter.com/arahim_les","@arahim_les")</f>
        <v>@arahim_les</v>
      </c>
      <c r="C26588" t="s">
        <v>9746</v>
      </c>
      <c r="D26588">
        <v>249</v>
      </c>
      <c r="E26588">
        <v>0</v>
      </c>
      <c r="F26588">
        <v>237</v>
      </c>
    </row>
    <row r="26589" spans="1:6" ht="12.75">
      <c r="A26589" s="2">
        <v>43875.695416666669</v>
      </c>
      <c r="B26589" t="str">
        <f>HYPERLINK("https://twitter.com/syawwrz","@syawwrz")</f>
        <v>@syawwrz</v>
      </c>
      <c r="C26589" t="s">
        <v>2444</v>
      </c>
      <c r="D26589">
        <v>1638</v>
      </c>
      <c r="E26589">
        <v>0</v>
      </c>
      <c r="F26589">
        <v>269</v>
      </c>
    </row>
    <row r="26590" spans="1:6" ht="12.75">
      <c r="A26590" s="2">
        <v>43875.695381944446</v>
      </c>
      <c r="B26590" t="str">
        <f>HYPERLINK("https://twitter.com/PahaAyam4","@PahaAyam4")</f>
        <v>@PahaAyam4</v>
      </c>
      <c r="C26590" t="s">
        <v>9538</v>
      </c>
      <c r="D26590">
        <v>144</v>
      </c>
      <c r="E26590">
        <v>0</v>
      </c>
      <c r="F26590">
        <v>294</v>
      </c>
    </row>
    <row r="26591" spans="1:6" ht="12.75">
      <c r="A26591" s="2">
        <v>43875.695370370369</v>
      </c>
      <c r="B26591" t="str">
        <f>HYPERLINK("https://twitter.com/mukhlisirfan","@mukhlisirfan")</f>
        <v>@mukhlisirfan</v>
      </c>
      <c r="C26591" t="s">
        <v>5168</v>
      </c>
      <c r="D26591">
        <v>789</v>
      </c>
      <c r="E26591">
        <v>0</v>
      </c>
      <c r="F26591">
        <v>285</v>
      </c>
    </row>
    <row r="26592" spans="1:6" ht="12.75">
      <c r="A26592" s="2">
        <v>43875.695358796293</v>
      </c>
      <c r="B26592" t="str">
        <f>HYPERLINK("https://twitter.com/w_o_o_o_y_a","@w_o_o_o_y_a")</f>
        <v>@w_o_o_o_y_a</v>
      </c>
      <c r="C26592" t="s">
        <v>2444</v>
      </c>
      <c r="D26592">
        <v>1638</v>
      </c>
      <c r="E26592">
        <v>0</v>
      </c>
      <c r="F26592">
        <v>72</v>
      </c>
    </row>
    <row r="26593" spans="1:6" ht="12.75">
      <c r="A26593" s="2">
        <v>43875.695208333331</v>
      </c>
      <c r="B26593" t="str">
        <f>HYPERLINK("https://twitter.com/firman20417511","@firman20417511")</f>
        <v>@firman20417511</v>
      </c>
      <c r="C26593" t="s">
        <v>5761</v>
      </c>
      <c r="D26593">
        <v>61</v>
      </c>
      <c r="E26593">
        <v>0</v>
      </c>
      <c r="F26593">
        <v>368</v>
      </c>
    </row>
    <row r="26594" spans="1:6" ht="12.75">
      <c r="A26594" s="2">
        <v>43875.695081018523</v>
      </c>
      <c r="B26594" t="str">
        <f>HYPERLINK("https://twitter.com/AisyahIhromi","@AisyahIhromi")</f>
        <v>@AisyahIhromi</v>
      </c>
      <c r="C26594" t="s">
        <v>2444</v>
      </c>
      <c r="D26594">
        <v>1638</v>
      </c>
      <c r="E26594">
        <v>0</v>
      </c>
      <c r="F26594">
        <v>452</v>
      </c>
    </row>
    <row r="26595" spans="1:6" ht="12.75">
      <c r="A26595" s="2">
        <v>43875.694907407407</v>
      </c>
      <c r="B26595" t="str">
        <f>HYPERLINK("https://twitter.com/zzeachels","@zzeachels")</f>
        <v>@zzeachels</v>
      </c>
      <c r="C26595" t="s">
        <v>11876</v>
      </c>
      <c r="D26595">
        <v>0</v>
      </c>
      <c r="E26595">
        <v>0</v>
      </c>
      <c r="F26595">
        <v>41</v>
      </c>
    </row>
    <row r="26596" spans="1:6" ht="12.75">
      <c r="A26596" s="2">
        <v>43875.694895833338</v>
      </c>
      <c r="B26596" t="str">
        <f>HYPERLINK("https://twitter.com/ai_cmonk","@ai_cmonk")</f>
        <v>@ai_cmonk</v>
      </c>
      <c r="C26596" t="s">
        <v>2144</v>
      </c>
      <c r="D26596">
        <v>81</v>
      </c>
      <c r="E26596">
        <v>0</v>
      </c>
      <c r="F26596">
        <v>396</v>
      </c>
    </row>
    <row r="26597" spans="1:6" ht="12.75">
      <c r="A26597" s="2">
        <v>43875.694826388892</v>
      </c>
      <c r="B26597" t="str">
        <f>HYPERLINK("https://twitter.com/plotwst","@plotwst")</f>
        <v>@plotwst</v>
      </c>
      <c r="C26597" t="s">
        <v>2444</v>
      </c>
      <c r="D26597">
        <v>1638</v>
      </c>
      <c r="E26597">
        <v>0</v>
      </c>
      <c r="F26597">
        <v>6049</v>
      </c>
    </row>
    <row r="26598" spans="1:6" ht="12.75">
      <c r="A26598" s="2">
        <v>43875.694756944446</v>
      </c>
      <c r="B26598" t="str">
        <f>HYPERLINK("https://twitter.com/Morningtyas","@Morningtyas")</f>
        <v>@Morningtyas</v>
      </c>
      <c r="C26598" t="s">
        <v>11877</v>
      </c>
      <c r="D26598">
        <v>0</v>
      </c>
      <c r="E26598">
        <v>0</v>
      </c>
      <c r="F26598">
        <v>30626</v>
      </c>
    </row>
    <row r="26599" spans="1:6" ht="12.75">
      <c r="A26599" s="2">
        <v>43875.694641203707</v>
      </c>
      <c r="B26599" t="str">
        <f>HYPERLINK("https://twitter.com/sarapan1_3malam","@sarapan1_3malam")</f>
        <v>@sarapan1_3malam</v>
      </c>
      <c r="C26599" t="s">
        <v>11878</v>
      </c>
      <c r="D26599">
        <v>56</v>
      </c>
      <c r="E26599">
        <v>0</v>
      </c>
      <c r="F26599">
        <v>29</v>
      </c>
    </row>
    <row r="26600" spans="1:6" ht="12.75">
      <c r="A26600" s="2">
        <v>43875.694641203707</v>
      </c>
      <c r="B26600" t="str">
        <f>HYPERLINK("https://twitter.com/examorhca","@examorhca")</f>
        <v>@examorhca</v>
      </c>
      <c r="C26600" t="s">
        <v>5168</v>
      </c>
      <c r="D26600">
        <v>789</v>
      </c>
      <c r="E26600">
        <v>0</v>
      </c>
      <c r="F26600">
        <v>226</v>
      </c>
    </row>
    <row r="26601" spans="1:6" ht="12.75">
      <c r="A26601" s="2">
        <v>43875.694618055553</v>
      </c>
      <c r="B26601" t="str">
        <f>HYPERLINK("https://twitter.com/mfnid","@mfnid")</f>
        <v>@mfnid</v>
      </c>
      <c r="C26601" t="s">
        <v>11605</v>
      </c>
      <c r="D26601">
        <v>5</v>
      </c>
      <c r="E26601">
        <v>0</v>
      </c>
      <c r="F26601">
        <v>935</v>
      </c>
    </row>
    <row r="26602" spans="1:6" ht="12.75">
      <c r="A26602" s="2">
        <v>43875.694618055553</v>
      </c>
      <c r="B26602" t="str">
        <f>HYPERLINK("https://twitter.com/Arya29449000","@Arya29449000")</f>
        <v>@Arya29449000</v>
      </c>
      <c r="C26602" t="s">
        <v>11879</v>
      </c>
      <c r="D26602">
        <v>1</v>
      </c>
      <c r="E26602">
        <v>0</v>
      </c>
      <c r="F26602">
        <v>1415</v>
      </c>
    </row>
    <row r="26603" spans="1:6" ht="12.75">
      <c r="A26603" s="2">
        <v>43875.69458333333</v>
      </c>
      <c r="B26603" t="str">
        <f>HYPERLINK("https://twitter.com/Afazu23","@Afazu23")</f>
        <v>@Afazu23</v>
      </c>
      <c r="C26603" t="s">
        <v>2444</v>
      </c>
      <c r="D26603">
        <v>1638</v>
      </c>
      <c r="E26603">
        <v>0</v>
      </c>
      <c r="F26603">
        <v>333</v>
      </c>
    </row>
    <row r="26604" spans="1:6" ht="12.75">
      <c r="A26604" s="2">
        <v>43875.694548611107</v>
      </c>
      <c r="B26604" t="str">
        <f>HYPERLINK("https://twitter.com/dsndyyyy","@dsndyyyy")</f>
        <v>@dsndyyyy</v>
      </c>
      <c r="C26604" t="s">
        <v>2444</v>
      </c>
      <c r="D26604">
        <v>1638</v>
      </c>
      <c r="E26604">
        <v>0</v>
      </c>
      <c r="F26604">
        <v>316</v>
      </c>
    </row>
    <row r="26605" spans="1:6" ht="12.75">
      <c r="A26605" s="2">
        <v>43875.694386574076</v>
      </c>
      <c r="B26605" t="str">
        <f>HYPERLINK("https://twitter.com/affandi_oding","@affandi_oding")</f>
        <v>@affandi_oding</v>
      </c>
      <c r="C26605" t="s">
        <v>6201</v>
      </c>
      <c r="D26605">
        <v>49</v>
      </c>
      <c r="E26605">
        <v>0</v>
      </c>
      <c r="F26605">
        <v>444</v>
      </c>
    </row>
    <row r="26606" spans="1:6" ht="12.75">
      <c r="A26606" s="2">
        <v>43875.694363425922</v>
      </c>
      <c r="B26606" t="str">
        <f>HYPERLINK("https://twitter.com/faridhreza","@faridhreza")</f>
        <v>@faridhreza</v>
      </c>
      <c r="C26606" t="s">
        <v>2963</v>
      </c>
      <c r="D26606">
        <v>958</v>
      </c>
      <c r="E26606">
        <v>0</v>
      </c>
      <c r="F26606">
        <v>460</v>
      </c>
    </row>
    <row r="26607" spans="1:6" ht="12.75">
      <c r="A26607" s="2">
        <v>43875.69431712963</v>
      </c>
      <c r="B26607" t="str">
        <f>HYPERLINK("https://twitter.com/aiharoo","@aiharoo")</f>
        <v>@aiharoo</v>
      </c>
      <c r="C26607" t="s">
        <v>5168</v>
      </c>
      <c r="D26607">
        <v>789</v>
      </c>
      <c r="E26607">
        <v>0</v>
      </c>
      <c r="F26607">
        <v>115</v>
      </c>
    </row>
    <row r="26608" spans="1:6" ht="12.75">
      <c r="A26608" s="2">
        <v>43875.694236111114</v>
      </c>
      <c r="B26608" t="str">
        <f>HYPERLINK("https://twitter.com/Metro_TV","@Metro_TV")</f>
        <v>@Metro_TV</v>
      </c>
      <c r="C26608" t="s">
        <v>11880</v>
      </c>
      <c r="D26608">
        <v>1</v>
      </c>
      <c r="E26608">
        <v>2</v>
      </c>
      <c r="F26608">
        <v>10508990</v>
      </c>
    </row>
    <row r="26609" spans="1:6" ht="12.75">
      <c r="A26609" s="2">
        <v>43875.694085648152</v>
      </c>
      <c r="B26609" t="str">
        <f>HYPERLINK("https://twitter.com/jhajaeyaa","@jhajaeyaa")</f>
        <v>@jhajaeyaa</v>
      </c>
      <c r="C26609" t="s">
        <v>2444</v>
      </c>
      <c r="D26609">
        <v>1638</v>
      </c>
      <c r="E26609">
        <v>0</v>
      </c>
      <c r="F26609">
        <v>64</v>
      </c>
    </row>
    <row r="26610" spans="1:6" ht="12.75">
      <c r="A26610" s="2">
        <v>43875.694062499999</v>
      </c>
      <c r="B26610" t="str">
        <f>HYPERLINK("https://twitter.com/ndukRia9","@ndukRia9")</f>
        <v>@ndukRia9</v>
      </c>
      <c r="C26610" t="s">
        <v>6201</v>
      </c>
      <c r="D26610">
        <v>49</v>
      </c>
      <c r="E26610">
        <v>0</v>
      </c>
      <c r="F26610">
        <v>1057</v>
      </c>
    </row>
    <row r="26611" spans="1:6" ht="12.75">
      <c r="A26611" s="2">
        <v>43875.694016203706</v>
      </c>
      <c r="B26611" t="str">
        <f>HYPERLINK("https://twitter.com/Negaprions","@Negaprions")</f>
        <v>@Negaprions</v>
      </c>
      <c r="C26611" t="s">
        <v>7478</v>
      </c>
      <c r="D26611">
        <v>240</v>
      </c>
      <c r="E26611">
        <v>0</v>
      </c>
      <c r="F26611">
        <v>1110</v>
      </c>
    </row>
    <row r="26612" spans="1:6" ht="12.75">
      <c r="A26612" s="2">
        <v>43875.693969907406</v>
      </c>
      <c r="B26612" t="str">
        <f>HYPERLINK("https://twitter.com/windaayu08_","@windaayu08_")</f>
        <v>@windaayu08_</v>
      </c>
      <c r="C26612" t="s">
        <v>2444</v>
      </c>
      <c r="D26612">
        <v>1638</v>
      </c>
      <c r="E26612">
        <v>0</v>
      </c>
      <c r="F26612">
        <v>415</v>
      </c>
    </row>
    <row r="26613" spans="1:6" ht="12.75">
      <c r="A26613" s="2">
        <v>43875.693923611107</v>
      </c>
      <c r="B26613" t="str">
        <f>HYPERLINK("https://twitter.com/phanzhoel","@phanzhoel")</f>
        <v>@phanzhoel</v>
      </c>
      <c r="C26613" t="s">
        <v>7478</v>
      </c>
      <c r="D26613">
        <v>240</v>
      </c>
      <c r="E26613">
        <v>0</v>
      </c>
      <c r="F26613">
        <v>208</v>
      </c>
    </row>
    <row r="26614" spans="1:6" ht="12.75">
      <c r="A26614" s="2">
        <v>43875.693888888884</v>
      </c>
      <c r="B26614" t="str">
        <f>HYPERLINK("https://twitter.com/garnishpastel","@garnishpastel")</f>
        <v>@garnishpastel</v>
      </c>
      <c r="C26614" t="s">
        <v>2137</v>
      </c>
      <c r="D26614">
        <v>138</v>
      </c>
      <c r="E26614">
        <v>0</v>
      </c>
      <c r="F26614">
        <v>18</v>
      </c>
    </row>
    <row r="26615" spans="1:6" ht="12.75">
      <c r="A26615" s="2">
        <v>43875.693877314814</v>
      </c>
      <c r="B26615" t="str">
        <f>HYPERLINK("https://twitter.com/DadBorneo","@DadBorneo")</f>
        <v>@DadBorneo</v>
      </c>
      <c r="C26615" t="s">
        <v>10297</v>
      </c>
      <c r="D26615">
        <v>6</v>
      </c>
      <c r="E26615">
        <v>0</v>
      </c>
      <c r="F26615">
        <v>762</v>
      </c>
    </row>
    <row r="26616" spans="1:6" ht="12.75">
      <c r="A26616" s="2">
        <v>43875.693807870368</v>
      </c>
      <c r="B26616" t="str">
        <f>HYPERLINK("https://twitter.com/SofyanRizal8","@SofyanRizal8")</f>
        <v>@SofyanRizal8</v>
      </c>
      <c r="C26616" t="s">
        <v>11881</v>
      </c>
      <c r="D26616">
        <v>0</v>
      </c>
      <c r="E26616">
        <v>0</v>
      </c>
      <c r="F26616">
        <v>2</v>
      </c>
    </row>
    <row r="26617" spans="1:6" ht="12.75">
      <c r="A26617" s="2">
        <v>43875.693807870368</v>
      </c>
      <c r="B26617" t="str">
        <f>HYPERLINK("https://twitter.com/republikaonline","@republikaonline")</f>
        <v>@republikaonline</v>
      </c>
      <c r="C26617" t="s">
        <v>11882</v>
      </c>
      <c r="D26617">
        <v>1</v>
      </c>
      <c r="E26617">
        <v>2</v>
      </c>
      <c r="F26617">
        <v>1210309</v>
      </c>
    </row>
    <row r="26618" spans="1:6" ht="12.75">
      <c r="A26618" s="2">
        <v>43875.693784722222</v>
      </c>
      <c r="B26618" t="str">
        <f>HYPERLINK("https://twitter.com/sgttjd39","@sgttjd39")</f>
        <v>@sgttjd39</v>
      </c>
      <c r="C26618" t="s">
        <v>11883</v>
      </c>
      <c r="D26618">
        <v>0</v>
      </c>
      <c r="E26618">
        <v>0</v>
      </c>
      <c r="F26618">
        <v>6</v>
      </c>
    </row>
    <row r="26619" spans="1:6" ht="12.75">
      <c r="A26619" s="2">
        <v>43875.693773148145</v>
      </c>
      <c r="B26619" t="str">
        <f>HYPERLINK("https://twitter.com/bosenigan","@bosenigan")</f>
        <v>@bosenigan</v>
      </c>
      <c r="C26619" t="s">
        <v>2137</v>
      </c>
      <c r="D26619">
        <v>138</v>
      </c>
      <c r="E26619">
        <v>0</v>
      </c>
      <c r="F26619">
        <v>668</v>
      </c>
    </row>
    <row r="26620" spans="1:6" ht="12.75">
      <c r="A26620" s="2">
        <v>43875.693668981483</v>
      </c>
      <c r="B26620" t="str">
        <f>HYPERLINK("https://twitter.com/BADKID47","@BADKID47")</f>
        <v>@BADKID47</v>
      </c>
      <c r="C26620" t="s">
        <v>2444</v>
      </c>
      <c r="D26620">
        <v>1638</v>
      </c>
      <c r="E26620">
        <v>0</v>
      </c>
      <c r="F26620">
        <v>809</v>
      </c>
    </row>
    <row r="26621" spans="1:6" ht="12.75">
      <c r="A26621" s="2">
        <v>43875.693553240737</v>
      </c>
      <c r="B26621" t="str">
        <f>HYPERLINK("https://twitter.com/bl4cksapphire","@bl4cksapphire")</f>
        <v>@bl4cksapphire</v>
      </c>
      <c r="C26621" t="s">
        <v>11884</v>
      </c>
      <c r="D26621">
        <v>0</v>
      </c>
      <c r="E26621">
        <v>0</v>
      </c>
      <c r="F26621">
        <v>162</v>
      </c>
    </row>
    <row r="26622" spans="1:6" ht="12.75">
      <c r="A26622" s="2">
        <v>43875.693287037036</v>
      </c>
      <c r="B26622" t="str">
        <f>HYPERLINK("https://twitter.com/IlfanIlyas","@IlfanIlyas")</f>
        <v>@IlfanIlyas</v>
      </c>
      <c r="C26622" t="s">
        <v>11885</v>
      </c>
      <c r="D26622">
        <v>40</v>
      </c>
      <c r="E26622">
        <v>0</v>
      </c>
      <c r="F26622">
        <v>153</v>
      </c>
    </row>
    <row r="26623" spans="1:6" ht="12.75">
      <c r="A26623" s="2">
        <v>43875.693194444444</v>
      </c>
      <c r="B26623" t="str">
        <f>HYPERLINK("https://twitter.com/tribunnews","@tribunnews")</f>
        <v>@tribunnews</v>
      </c>
      <c r="C26623" t="s">
        <v>11886</v>
      </c>
      <c r="D26623">
        <v>0</v>
      </c>
      <c r="E26623">
        <v>1</v>
      </c>
      <c r="F26623">
        <v>873337</v>
      </c>
    </row>
    <row r="26624" spans="1:6" ht="12.75">
      <c r="A26624" s="2">
        <v>43875.693113425921</v>
      </c>
      <c r="B26624" t="str">
        <f>HYPERLINK("https://twitter.com/FRANSPAKDE","@FRANSPAKDE")</f>
        <v>@FRANSPAKDE</v>
      </c>
      <c r="C26624" t="s">
        <v>8233</v>
      </c>
      <c r="D26624">
        <v>477</v>
      </c>
      <c r="E26624">
        <v>0</v>
      </c>
      <c r="F26624">
        <v>66</v>
      </c>
    </row>
    <row r="26625" spans="1:6" ht="12.75">
      <c r="A26625" s="2">
        <v>43875.692986111113</v>
      </c>
      <c r="B26625" t="str">
        <f>HYPERLINK("https://twitter.com/esidentias","@esidentias")</f>
        <v>@esidentias</v>
      </c>
      <c r="C26625" t="s">
        <v>2444</v>
      </c>
      <c r="D26625">
        <v>1638</v>
      </c>
      <c r="E26625">
        <v>0</v>
      </c>
      <c r="F26625">
        <v>103</v>
      </c>
    </row>
    <row r="26626" spans="1:6" ht="12.75">
      <c r="A26626" s="2">
        <v>43875.692986111113</v>
      </c>
      <c r="B26626" t="str">
        <f>HYPERLINK("https://twitter.com/aw3126","@aw3126")</f>
        <v>@aw3126</v>
      </c>
      <c r="C26626" t="s">
        <v>11887</v>
      </c>
      <c r="D26626">
        <v>0</v>
      </c>
      <c r="E26626">
        <v>0</v>
      </c>
      <c r="F26626">
        <v>686</v>
      </c>
    </row>
    <row r="26627" spans="1:6" ht="12.75">
      <c r="A26627" s="2">
        <v>43875.692939814813</v>
      </c>
      <c r="B26627" t="str">
        <f>HYPERLINK("https://twitter.com/surodilagan","@surodilagan")</f>
        <v>@surodilagan</v>
      </c>
      <c r="C26627" t="s">
        <v>10512</v>
      </c>
      <c r="D26627">
        <v>6</v>
      </c>
      <c r="E26627">
        <v>0</v>
      </c>
      <c r="F26627">
        <v>1433</v>
      </c>
    </row>
    <row r="26628" spans="1:6" ht="12.75">
      <c r="A26628" s="2">
        <v>43875.692928240736</v>
      </c>
      <c r="B26628" t="str">
        <f>HYPERLINK("https://twitter.com/Jalangk09302402","@Jalangk09302402")</f>
        <v>@Jalangk09302402</v>
      </c>
      <c r="C26628" t="s">
        <v>11323</v>
      </c>
      <c r="D26628">
        <v>0</v>
      </c>
      <c r="E26628">
        <v>0</v>
      </c>
      <c r="F26628">
        <v>4</v>
      </c>
    </row>
    <row r="26629" spans="1:6" ht="12.75">
      <c r="A26629" s="2">
        <v>43875.692870370374</v>
      </c>
      <c r="B26629" t="str">
        <f>HYPERLINK("https://twitter.com/ni2ekninot","@ni2ekninot")</f>
        <v>@ni2ekninot</v>
      </c>
      <c r="C26629" t="s">
        <v>2963</v>
      </c>
      <c r="D26629">
        <v>958</v>
      </c>
      <c r="E26629">
        <v>0</v>
      </c>
      <c r="F26629">
        <v>37</v>
      </c>
    </row>
    <row r="26630" spans="1:6" ht="12.75">
      <c r="A26630" s="2">
        <v>43875.692835648151</v>
      </c>
      <c r="B26630" t="str">
        <f>HYPERLINK("https://twitter.com/colourpetals","@colourpetals")</f>
        <v>@colourpetals</v>
      </c>
      <c r="C26630" t="s">
        <v>2444</v>
      </c>
      <c r="D26630">
        <v>1638</v>
      </c>
      <c r="E26630">
        <v>0</v>
      </c>
      <c r="F26630">
        <v>90</v>
      </c>
    </row>
    <row r="26631" spans="1:6" ht="12.75">
      <c r="A26631" s="2">
        <v>43875.692812499998</v>
      </c>
      <c r="B26631" t="str">
        <f>HYPERLINK("https://twitter.com/heninurdini","@heninurdini")</f>
        <v>@heninurdini</v>
      </c>
      <c r="C26631" t="s">
        <v>2444</v>
      </c>
      <c r="D26631">
        <v>1638</v>
      </c>
      <c r="E26631">
        <v>0</v>
      </c>
      <c r="F26631">
        <v>13</v>
      </c>
    </row>
    <row r="26632" spans="1:6" ht="12.75">
      <c r="A26632" s="2">
        <v>43875.692777777775</v>
      </c>
      <c r="B26632" t="str">
        <f>HYPERLINK("https://twitter.com/Guardia55403430","@Guardia55403430")</f>
        <v>@Guardia55403430</v>
      </c>
      <c r="C26632" t="s">
        <v>2963</v>
      </c>
      <c r="D26632">
        <v>958</v>
      </c>
      <c r="E26632">
        <v>0</v>
      </c>
      <c r="F26632">
        <v>474</v>
      </c>
    </row>
    <row r="26633" spans="1:6" ht="12.75">
      <c r="A26633" s="2">
        <v>43875.692754629628</v>
      </c>
      <c r="B26633" t="str">
        <f>HYPERLINK("https://twitter.com/Fatmazhang","@Fatmazhang")</f>
        <v>@Fatmazhang</v>
      </c>
      <c r="C26633" t="s">
        <v>11888</v>
      </c>
      <c r="D26633">
        <v>0</v>
      </c>
      <c r="E26633">
        <v>0</v>
      </c>
      <c r="F26633">
        <v>117</v>
      </c>
    </row>
    <row r="26634" spans="1:6" ht="12.75">
      <c r="A26634" s="2">
        <v>43875.692743055552</v>
      </c>
      <c r="B26634" t="str">
        <f>HYPERLINK("https://twitter.com/sleepybby_","@sleepybby_")</f>
        <v>@sleepybby_</v>
      </c>
      <c r="C26634" t="s">
        <v>11889</v>
      </c>
      <c r="D26634">
        <v>0</v>
      </c>
      <c r="E26634">
        <v>0</v>
      </c>
      <c r="F26634">
        <v>4253</v>
      </c>
    </row>
    <row r="26635" spans="1:6" ht="12.75">
      <c r="A26635" s="2">
        <v>43875.692685185189</v>
      </c>
      <c r="B26635" t="str">
        <f>HYPERLINK("https://twitter.com/Aliffitrindewor","@Aliffitrindewor")</f>
        <v>@Aliffitrindewor</v>
      </c>
      <c r="C26635" t="s">
        <v>11890</v>
      </c>
      <c r="D26635">
        <v>0</v>
      </c>
      <c r="E26635">
        <v>0</v>
      </c>
      <c r="F26635">
        <v>552</v>
      </c>
    </row>
    <row r="26636" spans="1:6" ht="12.75">
      <c r="A26636" s="2">
        <v>43875.692673611113</v>
      </c>
      <c r="B26636" t="str">
        <f>HYPERLINK("https://twitter.com/coffeepastea","@coffeepastea")</f>
        <v>@coffeepastea</v>
      </c>
      <c r="C26636" t="s">
        <v>5168</v>
      </c>
      <c r="D26636">
        <v>789</v>
      </c>
      <c r="E26636">
        <v>0</v>
      </c>
      <c r="F26636">
        <v>316</v>
      </c>
    </row>
    <row r="26637" spans="1:6" ht="12.75">
      <c r="A26637" s="2">
        <v>43875.692662037036</v>
      </c>
      <c r="B26637" t="str">
        <f>HYPERLINK("https://twitter.com/sumadi1122","@sumadi1122")</f>
        <v>@sumadi1122</v>
      </c>
      <c r="C26637" t="s">
        <v>11891</v>
      </c>
      <c r="D26637">
        <v>0</v>
      </c>
      <c r="E26637">
        <v>0</v>
      </c>
      <c r="F26637">
        <v>11</v>
      </c>
    </row>
    <row r="26638" spans="1:6" ht="12.75">
      <c r="A26638" s="2">
        <v>43875.692650462966</v>
      </c>
      <c r="B26638" t="str">
        <f>HYPERLINK("https://twitter.com/suryadarma471","@suryadarma471")</f>
        <v>@suryadarma471</v>
      </c>
      <c r="C26638" t="s">
        <v>6201</v>
      </c>
      <c r="D26638">
        <v>49</v>
      </c>
      <c r="E26638">
        <v>0</v>
      </c>
      <c r="F26638">
        <v>706</v>
      </c>
    </row>
    <row r="26639" spans="1:6" ht="12.75">
      <c r="A26639" s="2">
        <v>43875.692650462966</v>
      </c>
      <c r="B26639" t="str">
        <f>HYPERLINK("https://twitter.com/snowangja","@snowangja")</f>
        <v>@snowangja</v>
      </c>
      <c r="C26639" t="s">
        <v>9123</v>
      </c>
      <c r="D26639">
        <v>228</v>
      </c>
      <c r="E26639">
        <v>0</v>
      </c>
      <c r="F26639">
        <v>3182</v>
      </c>
    </row>
    <row r="26640" spans="1:6" ht="12.75">
      <c r="A26640" s="2">
        <v>43875.692615740743</v>
      </c>
      <c r="B26640" t="str">
        <f>HYPERLINK("https://twitter.com/Yanuarinho06","@Yanuarinho06")</f>
        <v>@Yanuarinho06</v>
      </c>
      <c r="C26640" t="s">
        <v>2149</v>
      </c>
      <c r="D26640">
        <v>5</v>
      </c>
      <c r="E26640">
        <v>0</v>
      </c>
      <c r="F26640">
        <v>296</v>
      </c>
    </row>
    <row r="26641" spans="1:6" ht="12.75">
      <c r="A26641" s="2">
        <v>43875.692569444444</v>
      </c>
      <c r="B26641" t="str">
        <f>HYPERLINK("https://twitter.com/snowangja","@snowangja")</f>
        <v>@snowangja</v>
      </c>
      <c r="C26641" t="s">
        <v>2444</v>
      </c>
      <c r="D26641">
        <v>1638</v>
      </c>
      <c r="E26641">
        <v>0</v>
      </c>
      <c r="F26641">
        <v>3182</v>
      </c>
    </row>
    <row r="26642" spans="1:6" ht="12.75">
      <c r="A26642" s="2">
        <v>43875.692557870367</v>
      </c>
      <c r="B26642" t="str">
        <f>HYPERLINK("https://twitter.com/muchlisamin5","@muchlisamin5")</f>
        <v>@muchlisamin5</v>
      </c>
      <c r="C26642" t="s">
        <v>11892</v>
      </c>
      <c r="D26642">
        <v>0</v>
      </c>
      <c r="E26642">
        <v>0</v>
      </c>
      <c r="F26642">
        <v>213</v>
      </c>
    </row>
    <row r="26643" spans="1:6" ht="12.75">
      <c r="A26643" s="2">
        <v>43875.692488425921</v>
      </c>
      <c r="B26643" t="str">
        <f>HYPERLINK("https://twitter.com/okezonenews","@okezonenews")</f>
        <v>@okezonenews</v>
      </c>
      <c r="C26643" t="s">
        <v>11893</v>
      </c>
      <c r="D26643">
        <v>2</v>
      </c>
      <c r="E26643">
        <v>3</v>
      </c>
      <c r="F26643">
        <v>1743752</v>
      </c>
    </row>
    <row r="26644" spans="1:6" ht="12.75">
      <c r="A26644" s="2">
        <v>43875.692488425921</v>
      </c>
      <c r="B26644" t="str">
        <f>HYPERLINK("https://twitter.com/Trihasto_bowo","@Trihasto_bowo")</f>
        <v>@Trihasto_bowo</v>
      </c>
      <c r="C26644" t="s">
        <v>8233</v>
      </c>
      <c r="D26644">
        <v>477</v>
      </c>
      <c r="E26644">
        <v>0</v>
      </c>
      <c r="F26644">
        <v>364</v>
      </c>
    </row>
    <row r="26645" spans="1:6" ht="12.75">
      <c r="A26645" s="2">
        <v>43875.692395833335</v>
      </c>
      <c r="B26645" t="str">
        <f>HYPERLINK("https://twitter.com/dhanial08","@dhanial08")</f>
        <v>@dhanial08</v>
      </c>
      <c r="C26645" t="s">
        <v>7478</v>
      </c>
      <c r="D26645">
        <v>240</v>
      </c>
      <c r="E26645">
        <v>0</v>
      </c>
      <c r="F26645">
        <v>408</v>
      </c>
    </row>
    <row r="26646" spans="1:6" ht="12.75">
      <c r="A26646" s="2">
        <v>43875.692372685182</v>
      </c>
      <c r="B26646" t="str">
        <f>HYPERLINK("https://twitter.com/DamaiituindahN","@DamaiituindahN")</f>
        <v>@DamaiituindahN</v>
      </c>
      <c r="C26646" t="s">
        <v>9377</v>
      </c>
      <c r="D26646">
        <v>16</v>
      </c>
      <c r="E26646">
        <v>0</v>
      </c>
      <c r="F26646">
        <v>146</v>
      </c>
    </row>
    <row r="26647" spans="1:6" ht="12.75">
      <c r="A26647" s="2">
        <v>43875.692303240736</v>
      </c>
      <c r="B26647" t="str">
        <f>HYPERLINK("https://twitter.com/Mayonkforall1","@Mayonkforall1")</f>
        <v>@Mayonkforall1</v>
      </c>
      <c r="C26647" t="s">
        <v>7478</v>
      </c>
      <c r="D26647">
        <v>240</v>
      </c>
      <c r="E26647">
        <v>0</v>
      </c>
      <c r="F26647">
        <v>112</v>
      </c>
    </row>
    <row r="26648" spans="1:6" ht="12.75">
      <c r="A26648" s="2">
        <v>43875.692303240736</v>
      </c>
      <c r="B26648" t="str">
        <f>HYPERLINK("https://twitter.com/PakDe_nyaFella","@PakDe_nyaFella")</f>
        <v>@PakDe_nyaFella</v>
      </c>
      <c r="C26648" t="s">
        <v>11894</v>
      </c>
      <c r="D26648">
        <v>0</v>
      </c>
      <c r="E26648">
        <v>0</v>
      </c>
      <c r="F26648">
        <v>326</v>
      </c>
    </row>
    <row r="26649" spans="1:6" ht="12.75">
      <c r="A26649" s="2">
        <v>43875.69226851852</v>
      </c>
      <c r="B26649" t="str">
        <f>HYPERLINK("https://twitter.com/Gun4w4nAhokers","@Gun4w4nAhokers")</f>
        <v>@Gun4w4nAhokers</v>
      </c>
      <c r="C26649" t="s">
        <v>11895</v>
      </c>
      <c r="D26649">
        <v>0</v>
      </c>
      <c r="E26649">
        <v>0</v>
      </c>
      <c r="F26649">
        <v>4166</v>
      </c>
    </row>
    <row r="26650" spans="1:6" ht="12.75">
      <c r="A26650" s="2">
        <v>43875.692187499997</v>
      </c>
      <c r="B26650" t="str">
        <f>HYPERLINK("https://twitter.com/Joker39331614","@Joker39331614")</f>
        <v>@Joker39331614</v>
      </c>
      <c r="C26650" t="s">
        <v>11413</v>
      </c>
      <c r="D26650">
        <v>0</v>
      </c>
      <c r="E26650">
        <v>0</v>
      </c>
      <c r="F26650">
        <v>5</v>
      </c>
    </row>
    <row r="26651" spans="1:6" ht="12.75">
      <c r="A26651" s="2">
        <v>43875.692175925928</v>
      </c>
      <c r="B26651" t="str">
        <f>HYPERLINK("https://twitter.com/adjihawaR","@adjihawaR")</f>
        <v>@adjihawaR</v>
      </c>
      <c r="C26651" t="s">
        <v>11896</v>
      </c>
      <c r="D26651">
        <v>0</v>
      </c>
      <c r="E26651">
        <v>0</v>
      </c>
      <c r="F26651">
        <v>610</v>
      </c>
    </row>
    <row r="26652" spans="1:6" ht="12.75">
      <c r="A26652" s="2">
        <v>43875.692060185189</v>
      </c>
      <c r="B26652" t="str">
        <f>HYPERLINK("https://twitter.com/bintangt0rett0","@bintangt0rett0")</f>
        <v>@bintangt0rett0</v>
      </c>
      <c r="C26652" t="s">
        <v>11897</v>
      </c>
      <c r="D26652">
        <v>0</v>
      </c>
      <c r="E26652">
        <v>0</v>
      </c>
      <c r="F26652">
        <v>190</v>
      </c>
    </row>
    <row r="26653" spans="1:6" ht="12.75">
      <c r="A26653" s="2">
        <v>43875.691990740743</v>
      </c>
      <c r="B26653" t="str">
        <f>HYPERLINK("https://twitter.com/AkmalulInsan17","@AkmalulInsan17")</f>
        <v>@AkmalulInsan17</v>
      </c>
      <c r="C26653" t="s">
        <v>6201</v>
      </c>
      <c r="D26653">
        <v>49</v>
      </c>
      <c r="E26653">
        <v>0</v>
      </c>
      <c r="F26653">
        <v>298</v>
      </c>
    </row>
    <row r="26654" spans="1:6" ht="12.75">
      <c r="A26654" s="2">
        <v>43875.691979166666</v>
      </c>
      <c r="B26654" t="str">
        <f>HYPERLINK("https://twitter.com/wni_jmsri","@wni_jmsri")</f>
        <v>@wni_jmsri</v>
      </c>
      <c r="C26654" t="s">
        <v>11898</v>
      </c>
      <c r="D26654">
        <v>4479</v>
      </c>
      <c r="E26654">
        <v>0</v>
      </c>
      <c r="F26654">
        <v>195</v>
      </c>
    </row>
    <row r="26655" spans="1:6" ht="12.75">
      <c r="A26655" s="2">
        <v>43875.691921296297</v>
      </c>
      <c r="B26655" t="str">
        <f>HYPERLINK("https://twitter.com/argaadii","@argaadii")</f>
        <v>@argaadii</v>
      </c>
      <c r="C26655" t="s">
        <v>2444</v>
      </c>
      <c r="D26655">
        <v>1638</v>
      </c>
      <c r="E26655">
        <v>0</v>
      </c>
      <c r="F26655">
        <v>178</v>
      </c>
    </row>
    <row r="26656" spans="1:6" ht="12.75">
      <c r="A26656" s="2">
        <v>43875.691898148143</v>
      </c>
      <c r="B26656" t="str">
        <f>HYPERLINK("https://twitter.com/10takako25","@10takako25")</f>
        <v>@10takako25</v>
      </c>
      <c r="C26656" t="s">
        <v>2444</v>
      </c>
      <c r="D26656">
        <v>1638</v>
      </c>
      <c r="E26656">
        <v>0</v>
      </c>
      <c r="F26656">
        <v>2</v>
      </c>
    </row>
    <row r="26657" spans="1:6" ht="12.75">
      <c r="A26657" s="2">
        <v>43875.691863425927</v>
      </c>
      <c r="B26657" t="str">
        <f>HYPERLINK("https://twitter.com/candramrvl","@candramrvl")</f>
        <v>@candramrvl</v>
      </c>
      <c r="C26657" t="s">
        <v>11899</v>
      </c>
      <c r="D26657">
        <v>0</v>
      </c>
      <c r="E26657">
        <v>0</v>
      </c>
      <c r="F26657">
        <v>1009</v>
      </c>
    </row>
    <row r="26658" spans="1:6" ht="12.75">
      <c r="A26658" s="2">
        <v>43875.691851851851</v>
      </c>
      <c r="B26658" t="str">
        <f>HYPERLINK("https://twitter.com/ahmedhabsyi","@ahmedhabsyi")</f>
        <v>@ahmedhabsyi</v>
      </c>
      <c r="C26658" t="s">
        <v>6201</v>
      </c>
      <c r="D26658">
        <v>49</v>
      </c>
      <c r="E26658">
        <v>0</v>
      </c>
      <c r="F26658">
        <v>670</v>
      </c>
    </row>
    <row r="26659" spans="1:6" ht="12.75">
      <c r="A26659" s="2">
        <v>43875.691851851851</v>
      </c>
      <c r="B26659" t="str">
        <f>HYPERLINK("https://twitter.com/yusapcok","@yusapcok")</f>
        <v>@yusapcok</v>
      </c>
      <c r="C26659" t="s">
        <v>2149</v>
      </c>
      <c r="D26659">
        <v>5</v>
      </c>
      <c r="E26659">
        <v>0</v>
      </c>
      <c r="F26659">
        <v>433</v>
      </c>
    </row>
    <row r="26660" spans="1:6" ht="12.75">
      <c r="A26660" s="2">
        <v>43875.691793981481</v>
      </c>
      <c r="B26660" t="str">
        <f>HYPERLINK("https://twitter.com/costas_lainis","@costas_lainis")</f>
        <v>@costas_lainis</v>
      </c>
      <c r="C26660" t="s">
        <v>9082</v>
      </c>
      <c r="D26660">
        <v>32</v>
      </c>
      <c r="E26660">
        <v>0</v>
      </c>
      <c r="F26660">
        <v>1864</v>
      </c>
    </row>
    <row r="26661" spans="1:6" ht="12.75">
      <c r="A26661" s="2">
        <v>43875.691770833335</v>
      </c>
      <c r="B26661" t="str">
        <f>HYPERLINK("https://twitter.com/markipret","@markipret")</f>
        <v>@markipret</v>
      </c>
      <c r="C26661" t="s">
        <v>11900</v>
      </c>
      <c r="D26661">
        <v>10</v>
      </c>
      <c r="E26661">
        <v>0</v>
      </c>
      <c r="F26661">
        <v>512</v>
      </c>
    </row>
    <row r="26662" spans="1:6" ht="12.75">
      <c r="A26662" s="2">
        <v>43875.691759259258</v>
      </c>
      <c r="B26662" t="str">
        <f>HYPERLINK("https://twitter.com/vyviepearlaqua","@vyviepearlaqua")</f>
        <v>@vyviepearlaqua</v>
      </c>
      <c r="C26662" t="s">
        <v>2444</v>
      </c>
      <c r="D26662">
        <v>1638</v>
      </c>
      <c r="E26662">
        <v>0</v>
      </c>
      <c r="F26662">
        <v>394</v>
      </c>
    </row>
    <row r="26663" spans="1:6" ht="12.75">
      <c r="A26663" s="2">
        <v>43875.691747685181</v>
      </c>
      <c r="B26663" t="str">
        <f>HYPERLINK("https://twitter.com/AskataSiska","@AskataSiska")</f>
        <v>@AskataSiska</v>
      </c>
      <c r="C26663" t="s">
        <v>175</v>
      </c>
      <c r="D26663">
        <v>5287</v>
      </c>
      <c r="E26663">
        <v>0</v>
      </c>
      <c r="F26663">
        <v>17</v>
      </c>
    </row>
    <row r="26664" spans="1:6" ht="12.75">
      <c r="A26664" s="2">
        <v>43875.691747685181</v>
      </c>
      <c r="B26664" t="str">
        <f>HYPERLINK("https://twitter.com/baekipao","@baekipao")</f>
        <v>@baekipao</v>
      </c>
      <c r="C26664" t="s">
        <v>5168</v>
      </c>
      <c r="D26664">
        <v>789</v>
      </c>
      <c r="E26664">
        <v>0</v>
      </c>
      <c r="F26664">
        <v>1006</v>
      </c>
    </row>
    <row r="26665" spans="1:6" ht="12.75">
      <c r="A26665" s="2">
        <v>43875.691666666666</v>
      </c>
      <c r="B26665" t="str">
        <f>HYPERLINK("https://twitter.com/Shda_Agatha","@Shda_Agatha")</f>
        <v>@Shda_Agatha</v>
      </c>
      <c r="C26665" t="s">
        <v>11901</v>
      </c>
      <c r="D26665">
        <v>2</v>
      </c>
      <c r="E26665">
        <v>0</v>
      </c>
      <c r="F26665">
        <v>17070</v>
      </c>
    </row>
    <row r="26666" spans="1:6" ht="12.75">
      <c r="A26666" s="2">
        <v>43875.691666666666</v>
      </c>
      <c r="B26666" t="str">
        <f>HYPERLINK("https://twitter.com/meldanova4","@meldanova4")</f>
        <v>@meldanova4</v>
      </c>
      <c r="C26666" t="s">
        <v>11095</v>
      </c>
      <c r="D26666">
        <v>108</v>
      </c>
      <c r="E26666">
        <v>0</v>
      </c>
      <c r="F26666">
        <v>37</v>
      </c>
    </row>
    <row r="26667" spans="1:6" ht="12.75">
      <c r="A26667" s="2">
        <v>43875.691666666666</v>
      </c>
      <c r="B26667" t="str">
        <f>HYPERLINK("https://twitter.com/PahaAyam4","@PahaAyam4")</f>
        <v>@PahaAyam4</v>
      </c>
      <c r="C26667" t="s">
        <v>10096</v>
      </c>
      <c r="D26667">
        <v>143</v>
      </c>
      <c r="E26667">
        <v>0</v>
      </c>
      <c r="F26667">
        <v>294</v>
      </c>
    </row>
    <row r="26668" spans="1:6" ht="12.75">
      <c r="A26668" s="2">
        <v>43875.691643518519</v>
      </c>
      <c r="B26668" t="str">
        <f>HYPERLINK("https://twitter.com/mdkoir","@mdkoir")</f>
        <v>@mdkoir</v>
      </c>
      <c r="C26668" t="s">
        <v>9746</v>
      </c>
      <c r="D26668">
        <v>249</v>
      </c>
      <c r="E26668">
        <v>0</v>
      </c>
      <c r="F26668">
        <v>523</v>
      </c>
    </row>
    <row r="26669" spans="1:6" ht="12.75">
      <c r="A26669" s="2">
        <v>43875.691608796296</v>
      </c>
      <c r="B26669" t="str">
        <f>HYPERLINK("https://twitter.com/ChanQomar","@ChanQomar")</f>
        <v>@ChanQomar</v>
      </c>
      <c r="C26669" t="s">
        <v>11902</v>
      </c>
      <c r="D26669">
        <v>0</v>
      </c>
      <c r="E26669">
        <v>0</v>
      </c>
      <c r="F26669">
        <v>1633</v>
      </c>
    </row>
    <row r="26670" spans="1:6" ht="12.75">
      <c r="A26670" s="2">
        <v>43875.691504629634</v>
      </c>
      <c r="B26670" t="str">
        <f>HYPERLINK("https://twitter.com/talentachuee","@talentachuee")</f>
        <v>@talentachuee</v>
      </c>
      <c r="C26670" t="s">
        <v>11903</v>
      </c>
      <c r="D26670">
        <v>1</v>
      </c>
      <c r="E26670">
        <v>0</v>
      </c>
      <c r="F26670">
        <v>747</v>
      </c>
    </row>
    <row r="26671" spans="1:6" ht="12.75">
      <c r="A26671" s="2">
        <v>43875.691481481481</v>
      </c>
      <c r="B26671" t="str">
        <f>HYPERLINK("https://twitter.com/dearosa11","@dearosa11")</f>
        <v>@dearosa11</v>
      </c>
      <c r="C26671" t="s">
        <v>11095</v>
      </c>
      <c r="D26671">
        <v>108</v>
      </c>
      <c r="E26671">
        <v>0</v>
      </c>
      <c r="F26671">
        <v>32</v>
      </c>
    </row>
    <row r="26672" spans="1:6" ht="12.75">
      <c r="A26672" s="2">
        <v>43875.691446759258</v>
      </c>
      <c r="B26672" t="str">
        <f>HYPERLINK("https://twitter.com/catreonot","@catreonot")</f>
        <v>@catreonot</v>
      </c>
      <c r="C26672" t="s">
        <v>2444</v>
      </c>
      <c r="D26672">
        <v>1638</v>
      </c>
      <c r="E26672">
        <v>0</v>
      </c>
      <c r="F26672">
        <v>198</v>
      </c>
    </row>
    <row r="26673" spans="1:6" ht="12.75">
      <c r="A26673" s="2">
        <v>43875.691400462965</v>
      </c>
      <c r="B26673" t="str">
        <f>HYPERLINK("https://twitter.com/yunisyanisya","@yunisyanisya")</f>
        <v>@yunisyanisya</v>
      </c>
      <c r="C26673" t="s">
        <v>11095</v>
      </c>
      <c r="D26673">
        <v>108</v>
      </c>
      <c r="E26673">
        <v>0</v>
      </c>
      <c r="F26673">
        <v>34</v>
      </c>
    </row>
    <row r="26674" spans="1:6" ht="12.75">
      <c r="A26674" s="2">
        <v>43875.691354166665</v>
      </c>
      <c r="B26674" t="str">
        <f>HYPERLINK("https://twitter.com/pikiran_rakyat","@pikiran_rakyat")</f>
        <v>@pikiran_rakyat</v>
      </c>
      <c r="C26674" t="s">
        <v>11904</v>
      </c>
      <c r="D26674">
        <v>0</v>
      </c>
      <c r="E26674">
        <v>0</v>
      </c>
      <c r="F26674">
        <v>412463</v>
      </c>
    </row>
    <row r="26675" spans="1:6" ht="12.75">
      <c r="A26675" s="2">
        <v>43875.691296296296</v>
      </c>
      <c r="B26675" t="str">
        <f>HYPERLINK("https://twitter.com/anshellaayunin","@anshellaayunin")</f>
        <v>@anshellaayunin</v>
      </c>
      <c r="C26675" t="s">
        <v>11095</v>
      </c>
      <c r="D26675">
        <v>108</v>
      </c>
      <c r="E26675">
        <v>0</v>
      </c>
      <c r="F26675">
        <v>37</v>
      </c>
    </row>
    <row r="26676" spans="1:6" ht="12.75">
      <c r="A26676" s="2">
        <v>43875.691284722227</v>
      </c>
      <c r="B26676" t="str">
        <f>HYPERLINK("https://twitter.com/YohannaBP","@YohannaBP")</f>
        <v>@YohannaBP</v>
      </c>
      <c r="C26676" t="s">
        <v>11605</v>
      </c>
      <c r="D26676">
        <v>5</v>
      </c>
      <c r="E26676">
        <v>0</v>
      </c>
      <c r="F26676">
        <v>1238</v>
      </c>
    </row>
    <row r="26677" spans="1:6" ht="12.75">
      <c r="A26677" s="2">
        <v>43875.691238425927</v>
      </c>
      <c r="B26677" t="str">
        <f>HYPERLINK("https://twitter.com/TjieDon","@TjieDon")</f>
        <v>@TjieDon</v>
      </c>
      <c r="C26677" t="s">
        <v>11905</v>
      </c>
      <c r="D26677">
        <v>0</v>
      </c>
      <c r="E26677">
        <v>0</v>
      </c>
      <c r="F26677">
        <v>25</v>
      </c>
    </row>
    <row r="26678" spans="1:6" ht="12.75">
      <c r="A26678" s="2">
        <v>43875.69121527778</v>
      </c>
      <c r="B26678" t="str">
        <f>HYPERLINK("https://twitter.com/niatyaprilia","@niatyaprilia")</f>
        <v>@niatyaprilia</v>
      </c>
      <c r="C26678" t="s">
        <v>11095</v>
      </c>
      <c r="D26678">
        <v>108</v>
      </c>
      <c r="E26678">
        <v>0</v>
      </c>
      <c r="F26678">
        <v>36</v>
      </c>
    </row>
    <row r="26679" spans="1:6" ht="12.75">
      <c r="A26679" s="2">
        <v>43875.691157407404</v>
      </c>
      <c r="B26679" t="str">
        <f>HYPERLINK("https://twitter.com/Pardekke","@Pardekke")</f>
        <v>@Pardekke</v>
      </c>
      <c r="C26679" t="s">
        <v>9021</v>
      </c>
      <c r="D26679">
        <v>196</v>
      </c>
      <c r="E26679">
        <v>0</v>
      </c>
      <c r="F26679">
        <v>552</v>
      </c>
    </row>
    <row r="26680" spans="1:6" ht="12.75">
      <c r="A26680" s="2">
        <v>43875.691145833334</v>
      </c>
      <c r="B26680" t="str">
        <f>HYPERLINK("https://twitter.com/AlvaroDeBazan2","@AlvaroDeBazan2")</f>
        <v>@AlvaroDeBazan2</v>
      </c>
      <c r="C26680" t="s">
        <v>11906</v>
      </c>
      <c r="D26680">
        <v>1</v>
      </c>
      <c r="E26680">
        <v>0</v>
      </c>
      <c r="F26680">
        <v>249</v>
      </c>
    </row>
    <row r="26681" spans="1:6" ht="12.75">
      <c r="A26681" s="2">
        <v>43875.691134259258</v>
      </c>
      <c r="B26681" t="str">
        <f>HYPERLINK("https://twitter.com/V4nn","@V4nn")</f>
        <v>@V4nn</v>
      </c>
      <c r="C26681" t="s">
        <v>11907</v>
      </c>
      <c r="D26681">
        <v>0</v>
      </c>
      <c r="E26681">
        <v>0</v>
      </c>
      <c r="F26681">
        <v>22</v>
      </c>
    </row>
    <row r="26682" spans="1:6" ht="12.75">
      <c r="A26682" s="2">
        <v>43875.691134259258</v>
      </c>
      <c r="B26682" t="str">
        <f>HYPERLINK("https://twitter.com/vaniasuhendra1","@vaniasuhendra1")</f>
        <v>@vaniasuhendra1</v>
      </c>
      <c r="C26682" t="s">
        <v>11095</v>
      </c>
      <c r="D26682">
        <v>108</v>
      </c>
      <c r="E26682">
        <v>0</v>
      </c>
      <c r="F26682">
        <v>40</v>
      </c>
    </row>
    <row r="26683" spans="1:6" ht="12.75">
      <c r="A26683" s="2">
        <v>43875.691053240742</v>
      </c>
      <c r="B26683" t="str">
        <f>HYPERLINK("https://twitter.com/Pride_N_Dignity","@Pride_N_Dignity")</f>
        <v>@Pride_N_Dignity</v>
      </c>
      <c r="C26683" t="s">
        <v>6201</v>
      </c>
      <c r="D26683">
        <v>49</v>
      </c>
      <c r="E26683">
        <v>0</v>
      </c>
      <c r="F26683">
        <v>460</v>
      </c>
    </row>
    <row r="26684" spans="1:6" ht="12.75">
      <c r="A26684" s="2">
        <v>43875.691053240742</v>
      </c>
      <c r="B26684" t="str">
        <f>HYPERLINK("https://twitter.com/cynthiagunawa","@cynthiagunawa")</f>
        <v>@cynthiagunawa</v>
      </c>
      <c r="C26684" t="s">
        <v>11095</v>
      </c>
      <c r="D26684">
        <v>108</v>
      </c>
      <c r="E26684">
        <v>0</v>
      </c>
      <c r="F26684">
        <v>36</v>
      </c>
    </row>
    <row r="26685" spans="1:6" ht="12.75">
      <c r="A26685" s="2">
        <v>43875.691041666665</v>
      </c>
      <c r="B26685" t="str">
        <f>HYPERLINK("https://twitter.com/lmaobebby","@lmaobebby")</f>
        <v>@lmaobebby</v>
      </c>
      <c r="C26685" t="s">
        <v>2444</v>
      </c>
      <c r="D26685">
        <v>1638</v>
      </c>
      <c r="E26685">
        <v>0</v>
      </c>
      <c r="F26685">
        <v>323</v>
      </c>
    </row>
    <row r="26686" spans="1:6" ht="12.75">
      <c r="A26686" s="2">
        <v>43875.690925925926</v>
      </c>
      <c r="B26686" t="str">
        <f>HYPERLINK("https://twitter.com/Metro_TV","@Metro_TV")</f>
        <v>@Metro_TV</v>
      </c>
      <c r="C26686" t="s">
        <v>11908</v>
      </c>
      <c r="D26686">
        <v>1</v>
      </c>
      <c r="E26686">
        <v>4</v>
      </c>
      <c r="F26686">
        <v>10508990</v>
      </c>
    </row>
    <row r="26687" spans="1:6" ht="12.75">
      <c r="A26687" s="2">
        <v>43875.69085648148</v>
      </c>
      <c r="B26687" t="str">
        <f>HYPERLINK("https://twitter.com/JYiShengYiShi","@JYiShengYiShi")</f>
        <v>@JYiShengYiShi</v>
      </c>
      <c r="C26687" t="s">
        <v>2444</v>
      </c>
      <c r="D26687">
        <v>1638</v>
      </c>
      <c r="E26687">
        <v>0</v>
      </c>
      <c r="F26687">
        <v>1190</v>
      </c>
    </row>
    <row r="26688" spans="1:6" ht="12.75">
      <c r="A26688" s="2">
        <v>43875.690833333334</v>
      </c>
      <c r="B26688" t="str">
        <f>HYPERLINK("https://twitter.com/KBurger79","@KBurger79")</f>
        <v>@KBurger79</v>
      </c>
      <c r="C26688" t="s">
        <v>9746</v>
      </c>
      <c r="D26688">
        <v>249</v>
      </c>
      <c r="E26688">
        <v>0</v>
      </c>
      <c r="F26688">
        <v>707</v>
      </c>
    </row>
    <row r="26689" spans="1:6" ht="12.75">
      <c r="A26689" s="2">
        <v>43875.690798611111</v>
      </c>
      <c r="B26689" t="str">
        <f>HYPERLINK("https://twitter.com/Tion72317290","@Tion72317290")</f>
        <v>@Tion72317290</v>
      </c>
      <c r="C26689" t="s">
        <v>2963</v>
      </c>
      <c r="D26689">
        <v>958</v>
      </c>
      <c r="E26689">
        <v>0</v>
      </c>
      <c r="F26689">
        <v>28</v>
      </c>
    </row>
    <row r="26690" spans="1:6" ht="12.75">
      <c r="A26690" s="2">
        <v>43875.690717592588</v>
      </c>
      <c r="B26690" t="str">
        <f t="shared" ref="B26690:B26694" si="352">HYPERLINK("https://twitter.com/GUSDURians","@GUSDURians")</f>
        <v>@GUSDURians</v>
      </c>
      <c r="C26690" t="s">
        <v>11909</v>
      </c>
      <c r="D26690">
        <v>1</v>
      </c>
      <c r="E26690">
        <v>3</v>
      </c>
      <c r="F26690">
        <v>189483</v>
      </c>
    </row>
    <row r="26691" spans="1:6" ht="12.75">
      <c r="A26691" s="2">
        <v>43875.690706018519</v>
      </c>
      <c r="B26691" t="str">
        <f t="shared" si="352"/>
        <v>@GUSDURians</v>
      </c>
      <c r="C26691" t="s">
        <v>11910</v>
      </c>
      <c r="D26691">
        <v>0</v>
      </c>
      <c r="E26691">
        <v>1</v>
      </c>
      <c r="F26691">
        <v>189483</v>
      </c>
    </row>
    <row r="26692" spans="1:6" ht="12.75">
      <c r="A26692" s="2">
        <v>43875.690706018519</v>
      </c>
      <c r="B26692" t="str">
        <f t="shared" si="352"/>
        <v>@GUSDURians</v>
      </c>
      <c r="C26692" t="s">
        <v>11911</v>
      </c>
      <c r="D26692">
        <v>0</v>
      </c>
      <c r="E26692">
        <v>1</v>
      </c>
      <c r="F26692">
        <v>189483</v>
      </c>
    </row>
    <row r="26693" spans="1:6" ht="12.75">
      <c r="A26693" s="2">
        <v>43875.690694444449</v>
      </c>
      <c r="B26693" t="str">
        <f t="shared" si="352"/>
        <v>@GUSDURians</v>
      </c>
      <c r="C26693" t="s">
        <v>11912</v>
      </c>
      <c r="D26693">
        <v>0</v>
      </c>
      <c r="E26693">
        <v>1</v>
      </c>
      <c r="F26693">
        <v>189483</v>
      </c>
    </row>
    <row r="26694" spans="1:6" ht="12.75">
      <c r="A26694" s="2">
        <v>43875.690694444449</v>
      </c>
      <c r="B26694" t="str">
        <f t="shared" si="352"/>
        <v>@GUSDURians</v>
      </c>
      <c r="C26694" t="s">
        <v>11913</v>
      </c>
      <c r="D26694">
        <v>0</v>
      </c>
      <c r="E26694">
        <v>0</v>
      </c>
      <c r="F26694">
        <v>189483</v>
      </c>
    </row>
    <row r="26695" spans="1:6" ht="12.75">
      <c r="A26695" s="2">
        <v>43875.690682870365</v>
      </c>
      <c r="B26695" t="str">
        <f>HYPERLINK("https://twitter.com/Adhy12187630","@Adhy12187630")</f>
        <v>@Adhy12187630</v>
      </c>
      <c r="C26695" t="s">
        <v>11914</v>
      </c>
      <c r="D26695">
        <v>11</v>
      </c>
      <c r="E26695">
        <v>0</v>
      </c>
      <c r="F26695">
        <v>1</v>
      </c>
    </row>
    <row r="26696" spans="1:6" ht="12.75">
      <c r="A26696" s="2">
        <v>43875.690682870365</v>
      </c>
      <c r="B26696" t="str">
        <f t="shared" ref="B26696:B26701" si="353">HYPERLINK("https://twitter.com/GUSDURians","@GUSDURians")</f>
        <v>@GUSDURians</v>
      </c>
      <c r="C26696" t="s">
        <v>11915</v>
      </c>
      <c r="D26696">
        <v>0</v>
      </c>
      <c r="E26696">
        <v>0</v>
      </c>
      <c r="F26696">
        <v>189483</v>
      </c>
    </row>
    <row r="26697" spans="1:6" ht="12.75">
      <c r="A26697" s="2">
        <v>43875.690682870365</v>
      </c>
      <c r="B26697" t="str">
        <f t="shared" si="353"/>
        <v>@GUSDURians</v>
      </c>
      <c r="C26697" t="s">
        <v>11916</v>
      </c>
      <c r="D26697">
        <v>0</v>
      </c>
      <c r="E26697">
        <v>0</v>
      </c>
      <c r="F26697">
        <v>189483</v>
      </c>
    </row>
    <row r="26698" spans="1:6" ht="12.75">
      <c r="A26698" s="2">
        <v>43875.690682870365</v>
      </c>
      <c r="B26698" t="str">
        <f t="shared" si="353"/>
        <v>@GUSDURians</v>
      </c>
      <c r="C26698" t="s">
        <v>11917</v>
      </c>
      <c r="D26698">
        <v>0</v>
      </c>
      <c r="E26698">
        <v>0</v>
      </c>
      <c r="F26698">
        <v>189483</v>
      </c>
    </row>
    <row r="26699" spans="1:6" ht="12.75">
      <c r="A26699" s="2">
        <v>43875.690659722226</v>
      </c>
      <c r="B26699" t="str">
        <f t="shared" si="353"/>
        <v>@GUSDURians</v>
      </c>
      <c r="C26699" t="s">
        <v>11918</v>
      </c>
      <c r="D26699">
        <v>0</v>
      </c>
      <c r="E26699">
        <v>0</v>
      </c>
      <c r="F26699">
        <v>189483</v>
      </c>
    </row>
    <row r="26700" spans="1:6" ht="12.75">
      <c r="A26700" s="2">
        <v>43875.690648148149</v>
      </c>
      <c r="B26700" t="str">
        <f t="shared" si="353"/>
        <v>@GUSDURians</v>
      </c>
      <c r="C26700" t="s">
        <v>11919</v>
      </c>
      <c r="D26700">
        <v>0</v>
      </c>
      <c r="E26700">
        <v>0</v>
      </c>
      <c r="F26700">
        <v>189483</v>
      </c>
    </row>
    <row r="26701" spans="1:6" ht="12.75">
      <c r="A26701" s="2">
        <v>43875.690636574072</v>
      </c>
      <c r="B26701" t="str">
        <f t="shared" si="353"/>
        <v>@GUSDURians</v>
      </c>
      <c r="C26701" t="s">
        <v>11920</v>
      </c>
      <c r="D26701">
        <v>0</v>
      </c>
      <c r="E26701">
        <v>1</v>
      </c>
      <c r="F26701">
        <v>189483</v>
      </c>
    </row>
    <row r="26702" spans="1:6" ht="12.75">
      <c r="A26702" s="2">
        <v>43875.690625000003</v>
      </c>
      <c r="B26702" t="str">
        <f>HYPERLINK("https://twitter.com/donkisot007","@donkisot007")</f>
        <v>@donkisot007</v>
      </c>
      <c r="C26702" t="s">
        <v>11921</v>
      </c>
      <c r="D26702">
        <v>0</v>
      </c>
      <c r="E26702">
        <v>0</v>
      </c>
      <c r="F26702">
        <v>107</v>
      </c>
    </row>
    <row r="26703" spans="1:6" ht="12.75">
      <c r="A26703" s="2">
        <v>43875.690601851849</v>
      </c>
      <c r="B26703" t="str">
        <f t="shared" ref="B26703:B26706" si="354">HYPERLINK("https://twitter.com/GUSDURians","@GUSDURians")</f>
        <v>@GUSDURians</v>
      </c>
      <c r="C26703" t="s">
        <v>11922</v>
      </c>
      <c r="D26703">
        <v>0</v>
      </c>
      <c r="E26703">
        <v>0</v>
      </c>
      <c r="F26703">
        <v>189483</v>
      </c>
    </row>
    <row r="26704" spans="1:6" ht="12.75">
      <c r="A26704" s="2">
        <v>43875.69059027778</v>
      </c>
      <c r="B26704" t="str">
        <f t="shared" si="354"/>
        <v>@GUSDURians</v>
      </c>
      <c r="C26704" t="s">
        <v>11923</v>
      </c>
      <c r="D26704">
        <v>0</v>
      </c>
      <c r="E26704">
        <v>0</v>
      </c>
      <c r="F26704">
        <v>189483</v>
      </c>
    </row>
    <row r="26705" spans="1:6" ht="12.75">
      <c r="A26705" s="2">
        <v>43875.69059027778</v>
      </c>
      <c r="B26705" t="str">
        <f t="shared" si="354"/>
        <v>@GUSDURians</v>
      </c>
      <c r="C26705" t="s">
        <v>11924</v>
      </c>
      <c r="D26705">
        <v>0</v>
      </c>
      <c r="E26705">
        <v>0</v>
      </c>
      <c r="F26705">
        <v>189483</v>
      </c>
    </row>
    <row r="26706" spans="1:6" ht="12.75">
      <c r="A26706" s="2">
        <v>43875.690567129626</v>
      </c>
      <c r="B26706" t="str">
        <f t="shared" si="354"/>
        <v>@GUSDURians</v>
      </c>
      <c r="C26706" t="s">
        <v>11925</v>
      </c>
      <c r="D26706">
        <v>5</v>
      </c>
      <c r="E26706">
        <v>17</v>
      </c>
      <c r="F26706">
        <v>189483</v>
      </c>
    </row>
    <row r="26707" spans="1:6" ht="12.75">
      <c r="A26707" s="2">
        <v>43875.690509259264</v>
      </c>
      <c r="B26707" t="str">
        <f>HYPERLINK("https://twitter.com/CinthyaDQ","@CinthyaDQ")</f>
        <v>@CinthyaDQ</v>
      </c>
      <c r="C26707" t="s">
        <v>2444</v>
      </c>
      <c r="D26707">
        <v>1638</v>
      </c>
      <c r="E26707">
        <v>0</v>
      </c>
      <c r="F26707">
        <v>265</v>
      </c>
    </row>
    <row r="26708" spans="1:6" ht="12.75">
      <c r="A26708" s="2">
        <v>43875.690486111111</v>
      </c>
      <c r="B26708" t="str">
        <f>HYPERLINK("https://twitter.com/winsits","@winsits")</f>
        <v>@winsits</v>
      </c>
      <c r="C26708" t="s">
        <v>2444</v>
      </c>
      <c r="D26708">
        <v>1638</v>
      </c>
      <c r="E26708">
        <v>0</v>
      </c>
      <c r="F26708">
        <v>740</v>
      </c>
    </row>
    <row r="26709" spans="1:6" ht="12.75">
      <c r="A26709" s="2">
        <v>43875.690439814818</v>
      </c>
      <c r="B26709" t="str">
        <f>HYPERLINK("https://twitter.com/ervinaasri","@ervinaasri")</f>
        <v>@ervinaasri</v>
      </c>
      <c r="C26709" t="s">
        <v>11926</v>
      </c>
      <c r="D26709">
        <v>0</v>
      </c>
      <c r="E26709">
        <v>0</v>
      </c>
      <c r="F26709">
        <v>545</v>
      </c>
    </row>
    <row r="26710" spans="1:6" ht="12.75">
      <c r="A26710" s="2">
        <v>43875.690335648149</v>
      </c>
      <c r="B26710" t="str">
        <f>HYPERLINK("https://twitter.com/P4k_dhe","@P4k_dhe")</f>
        <v>@P4k_dhe</v>
      </c>
      <c r="C26710" t="s">
        <v>11927</v>
      </c>
      <c r="D26710">
        <v>0</v>
      </c>
      <c r="E26710">
        <v>0</v>
      </c>
      <c r="F26710">
        <v>1639</v>
      </c>
    </row>
    <row r="26711" spans="1:6" ht="12.75">
      <c r="A26711" s="2">
        <v>43875.690289351856</v>
      </c>
      <c r="B26711" t="str">
        <f>HYPERLINK("https://twitter.com/elHurryKoRn","@elHurryKoRn")</f>
        <v>@elHurryKoRn</v>
      </c>
      <c r="C26711" t="s">
        <v>11928</v>
      </c>
      <c r="D26711">
        <v>2</v>
      </c>
      <c r="E26711">
        <v>10</v>
      </c>
      <c r="F26711">
        <v>19194</v>
      </c>
    </row>
    <row r="26712" spans="1:6" ht="12.75">
      <c r="A26712" s="2">
        <v>43875.690289351856</v>
      </c>
      <c r="B26712" t="str">
        <f>HYPERLINK("https://twitter.com/cisukek","@cisukek")</f>
        <v>@cisukek</v>
      </c>
      <c r="C26712" t="s">
        <v>2444</v>
      </c>
      <c r="D26712">
        <v>1638</v>
      </c>
      <c r="E26712">
        <v>0</v>
      </c>
      <c r="F26712">
        <v>9</v>
      </c>
    </row>
    <row r="26713" spans="1:6" ht="12.75">
      <c r="A26713" s="2">
        <v>43875.690289351856</v>
      </c>
      <c r="B26713" t="str">
        <f>HYPERLINK("https://twitter.com/FirmanZulfikar","@FirmanZulfikar")</f>
        <v>@FirmanZulfikar</v>
      </c>
      <c r="C26713" t="s">
        <v>9113</v>
      </c>
      <c r="D26713">
        <v>303</v>
      </c>
      <c r="E26713">
        <v>0</v>
      </c>
      <c r="F26713">
        <v>1823</v>
      </c>
    </row>
    <row r="26714" spans="1:6" ht="12.75">
      <c r="A26714" s="2">
        <v>43875.690243055556</v>
      </c>
      <c r="B26714" t="str">
        <f>HYPERLINK("https://twitter.com/demokrasicoid","@demokrasicoid")</f>
        <v>@demokrasicoid</v>
      </c>
      <c r="C26714" t="s">
        <v>11929</v>
      </c>
      <c r="D26714">
        <v>0</v>
      </c>
      <c r="E26714">
        <v>0</v>
      </c>
      <c r="F26714">
        <v>22236</v>
      </c>
    </row>
    <row r="26715" spans="1:6" ht="12.75">
      <c r="A26715" s="2">
        <v>43875.690196759257</v>
      </c>
      <c r="B26715" t="str">
        <f>HYPERLINK("https://twitter.com/Libraaawk","@Libraaawk")</f>
        <v>@Libraaawk</v>
      </c>
      <c r="C26715" t="s">
        <v>2444</v>
      </c>
      <c r="D26715">
        <v>1638</v>
      </c>
      <c r="E26715">
        <v>0</v>
      </c>
      <c r="F26715">
        <v>622</v>
      </c>
    </row>
    <row r="26716" spans="1:6" ht="12.75">
      <c r="A26716" s="2">
        <v>43875.690034722225</v>
      </c>
      <c r="B26716" t="str">
        <f>HYPERLINK("https://twitter.com/LamanKita_","@LamanKita_")</f>
        <v>@LamanKita_</v>
      </c>
      <c r="C26716" t="s">
        <v>11930</v>
      </c>
      <c r="D26716">
        <v>0</v>
      </c>
      <c r="E26716">
        <v>1</v>
      </c>
      <c r="F26716">
        <v>139615</v>
      </c>
    </row>
    <row r="26717" spans="1:6" ht="12.75">
      <c r="A26717" s="2">
        <v>43875.690023148149</v>
      </c>
      <c r="B26717" t="str">
        <f>HYPERLINK("https://twitter.com/arbaiasa","@arbaiasa")</f>
        <v>@arbaiasa</v>
      </c>
      <c r="C26717" t="s">
        <v>10052</v>
      </c>
      <c r="D26717">
        <v>24</v>
      </c>
      <c r="E26717">
        <v>0</v>
      </c>
      <c r="F26717">
        <v>75</v>
      </c>
    </row>
    <row r="26718" spans="1:6" ht="12.75">
      <c r="A26718" s="2">
        <v>43875.689930555556</v>
      </c>
      <c r="B26718" t="str">
        <f>HYPERLINK("https://twitter.com/Muhamad09147404","@Muhamad09147404")</f>
        <v>@Muhamad09147404</v>
      </c>
      <c r="C26718" t="s">
        <v>6201</v>
      </c>
      <c r="D26718">
        <v>49</v>
      </c>
      <c r="E26718">
        <v>0</v>
      </c>
      <c r="F26718">
        <v>611</v>
      </c>
    </row>
    <row r="26719" spans="1:6" ht="12.75">
      <c r="A26719" s="2">
        <v>43875.689687499995</v>
      </c>
      <c r="B26719" t="str">
        <f>HYPERLINK("https://twitter.com/mediaindonesia","@mediaindonesia")</f>
        <v>@mediaindonesia</v>
      </c>
      <c r="C26719" t="s">
        <v>11931</v>
      </c>
      <c r="D26719">
        <v>0</v>
      </c>
      <c r="E26719">
        <v>2</v>
      </c>
      <c r="F26719">
        <v>1415772</v>
      </c>
    </row>
    <row r="26720" spans="1:6" ht="12.75">
      <c r="A26720" s="2">
        <v>43875.689618055556</v>
      </c>
      <c r="B26720" t="str">
        <f>HYPERLINK("https://twitter.com/paapiyo1","@paapiyo1")</f>
        <v>@paapiyo1</v>
      </c>
      <c r="C26720" t="s">
        <v>7478</v>
      </c>
      <c r="D26720">
        <v>240</v>
      </c>
      <c r="E26720">
        <v>0</v>
      </c>
      <c r="F26720">
        <v>137</v>
      </c>
    </row>
    <row r="26721" spans="1:6" ht="12.75">
      <c r="A26721" s="2">
        <v>43875.68959490741</v>
      </c>
      <c r="B26721" t="str">
        <f>HYPERLINK("https://twitter.com/IsnanZulfida","@IsnanZulfida")</f>
        <v>@IsnanZulfida</v>
      </c>
      <c r="C26721" t="s">
        <v>10816</v>
      </c>
      <c r="D26721">
        <v>3</v>
      </c>
      <c r="E26721">
        <v>0</v>
      </c>
      <c r="F26721">
        <v>73</v>
      </c>
    </row>
    <row r="26722" spans="1:6" ht="12.75">
      <c r="A26722" s="2">
        <v>43875.689571759256</v>
      </c>
      <c r="B26722" t="str">
        <f>HYPERLINK("https://twitter.com/ophilia93","@ophilia93")</f>
        <v>@ophilia93</v>
      </c>
      <c r="C26722" t="s">
        <v>11095</v>
      </c>
      <c r="D26722">
        <v>108</v>
      </c>
      <c r="E26722">
        <v>0</v>
      </c>
      <c r="F26722">
        <v>35</v>
      </c>
    </row>
    <row r="26723" spans="1:6" ht="12.75">
      <c r="A26723" s="2">
        <v>43875.689479166671</v>
      </c>
      <c r="B26723" t="str">
        <f>HYPERLINK("https://twitter.com/agathakia1","@agathakia1")</f>
        <v>@agathakia1</v>
      </c>
      <c r="C26723" t="s">
        <v>11095</v>
      </c>
      <c r="D26723">
        <v>108</v>
      </c>
      <c r="E26723">
        <v>0</v>
      </c>
      <c r="F26723">
        <v>34</v>
      </c>
    </row>
    <row r="26724" spans="1:6" ht="12.75">
      <c r="A26724" s="2">
        <v>43875.689456018517</v>
      </c>
      <c r="B26724" t="str">
        <f>HYPERLINK("https://twitter.com/Widyarenee","@Widyarenee")</f>
        <v>@Widyarenee</v>
      </c>
      <c r="C26724" t="s">
        <v>11932</v>
      </c>
      <c r="D26724">
        <v>0</v>
      </c>
      <c r="E26724">
        <v>1</v>
      </c>
      <c r="F26724">
        <v>8152</v>
      </c>
    </row>
    <row r="26725" spans="1:6" ht="12.75">
      <c r="A26725" s="2">
        <v>43875.689421296294</v>
      </c>
      <c r="B26725" t="str">
        <f>HYPERLINK("https://twitter.com/godareskyu","@godareskyu")</f>
        <v>@godareskyu</v>
      </c>
      <c r="C26725" t="s">
        <v>2444</v>
      </c>
      <c r="D26725">
        <v>1638</v>
      </c>
      <c r="E26725">
        <v>0</v>
      </c>
      <c r="F26725">
        <v>250</v>
      </c>
    </row>
    <row r="26726" spans="1:6" ht="12.75">
      <c r="A26726" s="2">
        <v>43875.689421296294</v>
      </c>
      <c r="B26726" t="str">
        <f>HYPERLINK("https://twitter.com/sarahclaudiaa99","@sarahclaudiaa99")</f>
        <v>@sarahclaudiaa99</v>
      </c>
      <c r="C26726" t="s">
        <v>11095</v>
      </c>
      <c r="D26726">
        <v>108</v>
      </c>
      <c r="E26726">
        <v>0</v>
      </c>
      <c r="F26726">
        <v>34</v>
      </c>
    </row>
    <row r="26727" spans="1:6" ht="12.75">
      <c r="A26727" s="2">
        <v>43875.689340277779</v>
      </c>
      <c r="B26727" t="str">
        <f>HYPERLINK("https://twitter.com/rioschaan","@rioschaan")</f>
        <v>@rioschaan</v>
      </c>
      <c r="C26727" t="s">
        <v>2963</v>
      </c>
      <c r="D26727">
        <v>958</v>
      </c>
      <c r="E26727">
        <v>0</v>
      </c>
      <c r="F26727">
        <v>36</v>
      </c>
    </row>
    <row r="26728" spans="1:6" ht="12.75">
      <c r="A26728" s="2">
        <v>43875.689282407402</v>
      </c>
      <c r="B26728" t="str">
        <f>HYPERLINK("https://twitter.com/Qiu912","@Qiu912")</f>
        <v>@Qiu912</v>
      </c>
      <c r="C26728" t="s">
        <v>10422</v>
      </c>
      <c r="D26728">
        <v>96</v>
      </c>
      <c r="E26728">
        <v>0</v>
      </c>
      <c r="F26728">
        <v>115</v>
      </c>
    </row>
    <row r="26729" spans="1:6" ht="12.75">
      <c r="A26729" s="2">
        <v>43875.689259259263</v>
      </c>
      <c r="B26729" t="str">
        <f>HYPERLINK("https://twitter.com/CNNIDdaily","@CNNIDdaily")</f>
        <v>@CNNIDdaily</v>
      </c>
      <c r="C26729" t="s">
        <v>11152</v>
      </c>
      <c r="D26729">
        <v>1</v>
      </c>
      <c r="E26729">
        <v>1</v>
      </c>
      <c r="F26729">
        <v>115892</v>
      </c>
    </row>
    <row r="26730" spans="1:6" ht="12.75">
      <c r="A26730" s="2">
        <v>43875.689201388886</v>
      </c>
      <c r="B26730" t="str">
        <f>HYPERLINK("https://twitter.com/ade_lya92","@ade_lya92")</f>
        <v>@ade_lya92</v>
      </c>
      <c r="C26730" t="s">
        <v>11933</v>
      </c>
      <c r="D26730">
        <v>0</v>
      </c>
      <c r="E26730">
        <v>0</v>
      </c>
      <c r="F26730">
        <v>26</v>
      </c>
    </row>
    <row r="26731" spans="1:6" ht="12.75">
      <c r="A26731" s="2">
        <v>43875.689166666663</v>
      </c>
      <c r="B26731" t="str">
        <f>HYPERLINK("https://twitter.com/LinaMilasari","@LinaMilasari")</f>
        <v>@LinaMilasari</v>
      </c>
      <c r="C26731" t="s">
        <v>175</v>
      </c>
      <c r="D26731">
        <v>5287</v>
      </c>
      <c r="E26731">
        <v>0</v>
      </c>
      <c r="F26731">
        <v>36</v>
      </c>
    </row>
    <row r="26732" spans="1:6" ht="12.75">
      <c r="A26732" s="2">
        <v>43875.689108796301</v>
      </c>
      <c r="B26732" t="str">
        <f>HYPERLINK("https://twitter.com/arisaningrum","@arisaningrum")</f>
        <v>@arisaningrum</v>
      </c>
      <c r="C26732" t="s">
        <v>11095</v>
      </c>
      <c r="D26732">
        <v>108</v>
      </c>
      <c r="E26732">
        <v>0</v>
      </c>
      <c r="F26732">
        <v>52</v>
      </c>
    </row>
    <row r="26733" spans="1:6" ht="12.75">
      <c r="A26733" s="2">
        <v>43875.689108796301</v>
      </c>
      <c r="B26733" t="str">
        <f>HYPERLINK("https://twitter.com/setkabgoid","@setkabgoid")</f>
        <v>@setkabgoid</v>
      </c>
      <c r="C26733" t="s">
        <v>11934</v>
      </c>
      <c r="D26733">
        <v>3</v>
      </c>
      <c r="E26733">
        <v>10</v>
      </c>
      <c r="F26733">
        <v>1025213</v>
      </c>
    </row>
    <row r="26734" spans="1:6" ht="12.75">
      <c r="A26734" s="2">
        <v>43875.689108796301</v>
      </c>
      <c r="B26734" t="str">
        <f>HYPERLINK("https://twitter.com/bluteale","@bluteale")</f>
        <v>@bluteale</v>
      </c>
      <c r="C26734" t="s">
        <v>2444</v>
      </c>
      <c r="D26734">
        <v>1638</v>
      </c>
      <c r="E26734">
        <v>0</v>
      </c>
      <c r="F26734">
        <v>26</v>
      </c>
    </row>
    <row r="26735" spans="1:6" ht="12.75">
      <c r="A26735" s="2">
        <v>43875.689027777778</v>
      </c>
      <c r="B26735" t="str">
        <f>HYPERLINK("https://twitter.com/nuruldaniyanti1","@nuruldaniyanti1")</f>
        <v>@nuruldaniyanti1</v>
      </c>
      <c r="C26735" t="s">
        <v>11095</v>
      </c>
      <c r="D26735">
        <v>108</v>
      </c>
      <c r="E26735">
        <v>0</v>
      </c>
      <c r="F26735">
        <v>43</v>
      </c>
    </row>
    <row r="26736" spans="1:6" ht="12.75">
      <c r="A26736" s="2">
        <v>43875.689004629632</v>
      </c>
      <c r="B26736" t="str">
        <f>HYPERLINK("https://twitter.com/SemaneiD","@SemaneiD")</f>
        <v>@SemaneiD</v>
      </c>
      <c r="C26736" t="s">
        <v>6201</v>
      </c>
      <c r="D26736">
        <v>49</v>
      </c>
      <c r="E26736">
        <v>0</v>
      </c>
      <c r="F26736">
        <v>68</v>
      </c>
    </row>
    <row r="26737" spans="1:6" ht="12.75">
      <c r="A26737" s="2">
        <v>43875.688993055555</v>
      </c>
      <c r="B26737" t="str">
        <f>HYPERLINK("https://twitter.com/inbox_lee","@inbox_lee")</f>
        <v>@inbox_lee</v>
      </c>
      <c r="C26737" t="s">
        <v>11935</v>
      </c>
      <c r="D26737">
        <v>0</v>
      </c>
      <c r="E26737">
        <v>0</v>
      </c>
      <c r="F26737">
        <v>66</v>
      </c>
    </row>
    <row r="26738" spans="1:6" ht="12.75">
      <c r="A26738" s="2">
        <v>43875.688981481479</v>
      </c>
      <c r="B26738" t="str">
        <f>HYPERLINK("https://twitter.com/BadjaNuswantara","@BadjaNuswantara")</f>
        <v>@BadjaNuswantara</v>
      </c>
      <c r="C26738" t="s">
        <v>10297</v>
      </c>
      <c r="D26738">
        <v>6</v>
      </c>
      <c r="E26738">
        <v>0</v>
      </c>
      <c r="F26738">
        <v>42315</v>
      </c>
    </row>
    <row r="26739" spans="1:6" ht="12.75">
      <c r="A26739" s="2">
        <v>43875.688969907409</v>
      </c>
      <c r="B26739" t="str">
        <f>HYPERLINK("https://twitter.com/Mattayaisme","@Mattayaisme")</f>
        <v>@Mattayaisme</v>
      </c>
      <c r="C26739" t="s">
        <v>11936</v>
      </c>
      <c r="D26739">
        <v>0</v>
      </c>
      <c r="E26739">
        <v>0</v>
      </c>
      <c r="F26739">
        <v>21</v>
      </c>
    </row>
    <row r="26740" spans="1:6" ht="12.75">
      <c r="A26740" s="2">
        <v>43875.688946759255</v>
      </c>
      <c r="B26740" t="str">
        <f>HYPERLINK("https://twitter.com/waribowo_","@waribowo_")</f>
        <v>@waribowo_</v>
      </c>
      <c r="C26740" t="s">
        <v>2444</v>
      </c>
      <c r="D26740">
        <v>1638</v>
      </c>
      <c r="E26740">
        <v>0</v>
      </c>
      <c r="F26740">
        <v>2084</v>
      </c>
    </row>
    <row r="26741" spans="1:6" ht="12.75">
      <c r="A26741" s="2">
        <v>43875.688935185186</v>
      </c>
      <c r="B26741" t="str">
        <f>HYPERLINK("https://twitter.com/LamanKita_","@LamanKita_")</f>
        <v>@LamanKita_</v>
      </c>
      <c r="C26741" t="s">
        <v>11937</v>
      </c>
      <c r="D26741">
        <v>0</v>
      </c>
      <c r="E26741">
        <v>1</v>
      </c>
      <c r="F26741">
        <v>139615</v>
      </c>
    </row>
    <row r="26742" spans="1:6" ht="12.75">
      <c r="A26742" s="2">
        <v>43875.688819444447</v>
      </c>
      <c r="B26742" t="str">
        <f>HYPERLINK("https://twitter.com/devinamuliawati","@devinamuliawati")</f>
        <v>@devinamuliawati</v>
      </c>
      <c r="C26742" t="s">
        <v>11095</v>
      </c>
      <c r="D26742">
        <v>108</v>
      </c>
      <c r="E26742">
        <v>0</v>
      </c>
      <c r="F26742">
        <v>35</v>
      </c>
    </row>
    <row r="26743" spans="1:6" ht="12.75">
      <c r="A26743" s="2">
        <v>43875.688807870371</v>
      </c>
      <c r="B26743" t="str">
        <f>HYPERLINK("https://twitter.com/Khamilasg","@Khamilasg")</f>
        <v>@Khamilasg</v>
      </c>
      <c r="C26743" t="s">
        <v>2444</v>
      </c>
      <c r="D26743">
        <v>1638</v>
      </c>
      <c r="E26743">
        <v>0</v>
      </c>
      <c r="F26743">
        <v>286</v>
      </c>
    </row>
    <row r="26744" spans="1:6" ht="12.75">
      <c r="A26744" s="2">
        <v>43875.688761574071</v>
      </c>
      <c r="B26744" t="str">
        <f>HYPERLINK("https://twitter.com/syarifchogzx","@syarifchogzx")</f>
        <v>@syarifchogzx</v>
      </c>
      <c r="C26744" t="s">
        <v>9096</v>
      </c>
      <c r="D26744">
        <v>196</v>
      </c>
      <c r="E26744">
        <v>0</v>
      </c>
      <c r="F26744">
        <v>371</v>
      </c>
    </row>
    <row r="26745" spans="1:6" ht="12.75">
      <c r="A26745" s="2">
        <v>43875.688750000001</v>
      </c>
      <c r="B26745" t="str">
        <f>HYPERLINK("https://twitter.com/alessiaalle991","@alessiaalle991")</f>
        <v>@alessiaalle991</v>
      </c>
      <c r="C26745" t="s">
        <v>11095</v>
      </c>
      <c r="D26745">
        <v>108</v>
      </c>
      <c r="E26745">
        <v>0</v>
      </c>
      <c r="F26745">
        <v>40</v>
      </c>
    </row>
    <row r="26746" spans="1:6" ht="12.75">
      <c r="A26746" s="2">
        <v>43875.688750000001</v>
      </c>
      <c r="B26746" t="str">
        <f>HYPERLINK("https://twitter.com/bekchoy","@bekchoy")</f>
        <v>@bekchoy</v>
      </c>
      <c r="C26746" t="s">
        <v>2963</v>
      </c>
      <c r="D26746">
        <v>958</v>
      </c>
      <c r="E26746">
        <v>0</v>
      </c>
      <c r="F26746">
        <v>144</v>
      </c>
    </row>
    <row r="26747" spans="1:6" ht="12.75">
      <c r="A26747" s="2">
        <v>43875.688668981486</v>
      </c>
      <c r="B26747" t="str">
        <f>HYPERLINK("https://twitter.com/karinasandy992","@karinasandy992")</f>
        <v>@karinasandy992</v>
      </c>
      <c r="C26747" t="s">
        <v>11095</v>
      </c>
      <c r="D26747">
        <v>108</v>
      </c>
      <c r="E26747">
        <v>0</v>
      </c>
      <c r="F26747">
        <v>41</v>
      </c>
    </row>
    <row r="26748" spans="1:6" ht="12.75">
      <c r="A26748" s="2">
        <v>43875.688483796301</v>
      </c>
      <c r="B26748" t="str">
        <f>HYPERLINK("https://twitter.com/tetebantet","@tetebantet")</f>
        <v>@tetebantet</v>
      </c>
      <c r="C26748" t="s">
        <v>10300</v>
      </c>
      <c r="D26748">
        <v>40</v>
      </c>
      <c r="E26748">
        <v>0</v>
      </c>
      <c r="F26748">
        <v>450</v>
      </c>
    </row>
    <row r="26749" spans="1:6" ht="12.75">
      <c r="A26749" s="2">
        <v>43875.688483796301</v>
      </c>
      <c r="B26749" t="str">
        <f>HYPERLINK("https://twitter.com/aby_idror","@aby_idror")</f>
        <v>@aby_idror</v>
      </c>
      <c r="C26749" t="s">
        <v>5761</v>
      </c>
      <c r="D26749">
        <v>61</v>
      </c>
      <c r="E26749">
        <v>0</v>
      </c>
      <c r="F26749">
        <v>719</v>
      </c>
    </row>
    <row r="26750" spans="1:6" ht="12.75">
      <c r="A26750" s="2">
        <v>43875.688483796301</v>
      </c>
      <c r="B26750" t="str">
        <f>HYPERLINK("https://twitter.com/hafidnurghani_","@hafidnurghani_")</f>
        <v>@hafidnurghani_</v>
      </c>
      <c r="C26750" t="s">
        <v>2444</v>
      </c>
      <c r="D26750">
        <v>1638</v>
      </c>
      <c r="E26750">
        <v>0</v>
      </c>
      <c r="F26750">
        <v>139</v>
      </c>
    </row>
    <row r="26751" spans="1:6" ht="12.75">
      <c r="A26751" s="2">
        <v>43875.688472222224</v>
      </c>
      <c r="B26751" t="str">
        <f>HYPERLINK("https://twitter.com/bbersedihh","@bbersedihh")</f>
        <v>@bbersedihh</v>
      </c>
      <c r="C26751" t="s">
        <v>2444</v>
      </c>
      <c r="D26751">
        <v>1638</v>
      </c>
      <c r="E26751">
        <v>0</v>
      </c>
      <c r="F26751">
        <v>380</v>
      </c>
    </row>
    <row r="26752" spans="1:6" ht="12.75">
      <c r="A26752" s="2">
        <v>43875.688449074078</v>
      </c>
      <c r="B26752" t="str">
        <f>HYPERLINK("https://twitter.com/citapraasada","@citapraasada")</f>
        <v>@citapraasada</v>
      </c>
      <c r="C26752" t="s">
        <v>2444</v>
      </c>
      <c r="D26752">
        <v>1638</v>
      </c>
      <c r="E26752">
        <v>0</v>
      </c>
      <c r="F26752">
        <v>1062</v>
      </c>
    </row>
    <row r="26753" spans="1:6" ht="12.75">
      <c r="A26753" s="2">
        <v>43875.688449074078</v>
      </c>
      <c r="B26753" t="str">
        <f>HYPERLINK("https://twitter.com/tinaagustin99","@tinaagustin99")</f>
        <v>@tinaagustin99</v>
      </c>
      <c r="C26753" t="s">
        <v>11095</v>
      </c>
      <c r="D26753">
        <v>108</v>
      </c>
      <c r="E26753">
        <v>0</v>
      </c>
      <c r="F26753">
        <v>60</v>
      </c>
    </row>
    <row r="26754" spans="1:6" ht="12.75">
      <c r="A26754" s="2">
        <v>43875.688425925924</v>
      </c>
      <c r="B26754" t="str">
        <f>HYPERLINK("https://twitter.com/HipHop74934648","@HipHop74934648")</f>
        <v>@HipHop74934648</v>
      </c>
      <c r="C26754" t="s">
        <v>11938</v>
      </c>
      <c r="D26754">
        <v>0</v>
      </c>
      <c r="E26754">
        <v>1</v>
      </c>
      <c r="F26754">
        <v>6358</v>
      </c>
    </row>
    <row r="26755" spans="1:6" ht="12.75">
      <c r="A26755" s="2">
        <v>43875.688414351855</v>
      </c>
      <c r="B26755" t="str">
        <f>HYPERLINK("https://twitter.com/Muhamad09147404","@Muhamad09147404")</f>
        <v>@Muhamad09147404</v>
      </c>
      <c r="C26755" t="s">
        <v>7478</v>
      </c>
      <c r="D26755">
        <v>240</v>
      </c>
      <c r="E26755">
        <v>0</v>
      </c>
      <c r="F26755">
        <v>611</v>
      </c>
    </row>
    <row r="26756" spans="1:6" ht="12.75">
      <c r="A26756" s="2">
        <v>43875.688310185185</v>
      </c>
      <c r="B26756" t="str">
        <f>HYPERLINK("https://twitter.com/IsnanZulfida","@IsnanZulfida")</f>
        <v>@IsnanZulfida</v>
      </c>
      <c r="C26756" t="s">
        <v>6201</v>
      </c>
      <c r="D26756">
        <v>49</v>
      </c>
      <c r="E26756">
        <v>0</v>
      </c>
      <c r="F26756">
        <v>73</v>
      </c>
    </row>
    <row r="26757" spans="1:6" ht="12.75">
      <c r="A26757" s="2">
        <v>43875.688310185185</v>
      </c>
      <c r="B26757" t="str">
        <f>HYPERLINK("https://twitter.com/ave_tweet","@ave_tweet")</f>
        <v>@ave_tweet</v>
      </c>
      <c r="C26757" t="s">
        <v>11939</v>
      </c>
      <c r="D26757">
        <v>0</v>
      </c>
      <c r="E26757">
        <v>0</v>
      </c>
      <c r="F26757">
        <v>421</v>
      </c>
    </row>
    <row r="26758" spans="1:6" ht="12.75">
      <c r="A26758" s="2">
        <v>43875.688310185185</v>
      </c>
      <c r="B26758" t="str">
        <f>HYPERLINK("https://twitter.com/sibhiyaa","@sibhiyaa")</f>
        <v>@sibhiyaa</v>
      </c>
      <c r="C26758" t="s">
        <v>2444</v>
      </c>
      <c r="D26758">
        <v>1638</v>
      </c>
      <c r="E26758">
        <v>0</v>
      </c>
      <c r="F26758">
        <v>249</v>
      </c>
    </row>
    <row r="26759" spans="1:6" ht="12.75">
      <c r="A26759" s="2">
        <v>43875.688287037032</v>
      </c>
      <c r="B26759" t="str">
        <f>HYPERLINK("https://twitter.com/anggafebryanto9","@anggafebryanto9")</f>
        <v>@anggafebryanto9</v>
      </c>
      <c r="C26759" t="s">
        <v>11940</v>
      </c>
      <c r="D26759">
        <v>0</v>
      </c>
      <c r="E26759">
        <v>0</v>
      </c>
      <c r="F26759">
        <v>485</v>
      </c>
    </row>
    <row r="26760" spans="1:6" ht="12.75">
      <c r="A26760" s="2">
        <v>43875.688275462962</v>
      </c>
      <c r="B26760" t="str">
        <f t="shared" ref="B26760:B26761" si="355">HYPERLINK("https://twitter.com/kompascom","@kompascom")</f>
        <v>@kompascom</v>
      </c>
      <c r="C26760" t="s">
        <v>11941</v>
      </c>
      <c r="D26760">
        <v>1</v>
      </c>
      <c r="E26760">
        <v>1</v>
      </c>
      <c r="F26760">
        <v>7497456</v>
      </c>
    </row>
    <row r="26761" spans="1:6" ht="12.75">
      <c r="A26761" s="2">
        <v>43875.688275462962</v>
      </c>
      <c r="B26761" t="str">
        <f t="shared" si="355"/>
        <v>@kompascom</v>
      </c>
      <c r="C26761" t="s">
        <v>11942</v>
      </c>
      <c r="D26761">
        <v>0</v>
      </c>
      <c r="E26761">
        <v>1</v>
      </c>
      <c r="F26761">
        <v>7497456</v>
      </c>
    </row>
    <row r="26762" spans="1:6" ht="12.75">
      <c r="A26762" s="2">
        <v>43875.68822916667</v>
      </c>
      <c r="B26762" t="str">
        <f>HYPERLINK("https://twitter.com/kochenglokal","@kochenglokal")</f>
        <v>@kochenglokal</v>
      </c>
      <c r="C26762" t="s">
        <v>2137</v>
      </c>
      <c r="D26762">
        <v>138</v>
      </c>
      <c r="E26762">
        <v>0</v>
      </c>
      <c r="F26762">
        <v>385</v>
      </c>
    </row>
    <row r="26763" spans="1:6" ht="12.75">
      <c r="A26763" s="2">
        <v>43875.688171296293</v>
      </c>
      <c r="B26763" t="str">
        <f>HYPERLINK("https://twitter.com/Karisma_Jakarta","@Karisma_Jakarta")</f>
        <v>@Karisma_Jakarta</v>
      </c>
      <c r="C26763" t="s">
        <v>9746</v>
      </c>
      <c r="D26763">
        <v>249</v>
      </c>
      <c r="E26763">
        <v>0</v>
      </c>
      <c r="F26763">
        <v>534</v>
      </c>
    </row>
    <row r="26764" spans="1:6" ht="12.75">
      <c r="A26764" s="2">
        <v>43875.688101851847</v>
      </c>
      <c r="B26764" t="str">
        <f>HYPERLINK("https://twitter.com/en_setiawan","@en_setiawan")</f>
        <v>@en_setiawan</v>
      </c>
      <c r="C26764" t="s">
        <v>6201</v>
      </c>
      <c r="D26764">
        <v>49</v>
      </c>
      <c r="E26764">
        <v>0</v>
      </c>
      <c r="F26764">
        <v>920</v>
      </c>
    </row>
    <row r="26765" spans="1:6" ht="12.75">
      <c r="A26765" s="2">
        <v>43875.688090277778</v>
      </c>
      <c r="B26765" t="str">
        <f>HYPERLINK("https://twitter.com/sadwilslee","@sadwilslee")</f>
        <v>@sadwilslee</v>
      </c>
      <c r="C26765" t="s">
        <v>5168</v>
      </c>
      <c r="D26765">
        <v>789</v>
      </c>
      <c r="E26765">
        <v>0</v>
      </c>
      <c r="F26765">
        <v>213</v>
      </c>
    </row>
    <row r="26766" spans="1:6" ht="12.75">
      <c r="A26766" s="2">
        <v>43875.688055555554</v>
      </c>
      <c r="B26766" t="str">
        <f>HYPERLINK("https://twitter.com/anosiakoh","@anosiakoh")</f>
        <v>@anosiakoh</v>
      </c>
      <c r="C26766" t="s">
        <v>9746</v>
      </c>
      <c r="D26766">
        <v>249</v>
      </c>
      <c r="E26766">
        <v>0</v>
      </c>
      <c r="F26766">
        <v>68</v>
      </c>
    </row>
    <row r="26767" spans="1:6" ht="12.75">
      <c r="A26767" s="2">
        <v>43875.688032407408</v>
      </c>
      <c r="B26767" t="str">
        <f>HYPERLINK("https://twitter.com/MODUSACEH","@MODUSACEH")</f>
        <v>@MODUSACEH</v>
      </c>
      <c r="C26767" t="s">
        <v>11943</v>
      </c>
      <c r="D26767">
        <v>0</v>
      </c>
      <c r="E26767">
        <v>0</v>
      </c>
      <c r="F26767">
        <v>1432</v>
      </c>
    </row>
    <row r="26768" spans="1:6" ht="12.75">
      <c r="A26768" s="2">
        <v>43875.687997685185</v>
      </c>
      <c r="B26768" t="str">
        <f>HYPERLINK("https://twitter.com/xopch","@xopch")</f>
        <v>@xopch</v>
      </c>
      <c r="C26768" t="s">
        <v>11944</v>
      </c>
      <c r="D26768">
        <v>0</v>
      </c>
      <c r="E26768">
        <v>0</v>
      </c>
      <c r="F26768">
        <v>801</v>
      </c>
    </row>
    <row r="26769" spans="1:6" ht="12.75">
      <c r="A26769" s="2">
        <v>43875.687986111108</v>
      </c>
      <c r="B26769" t="str">
        <f>HYPERLINK("https://twitter.com/tvri_bali","@tvri_bali")</f>
        <v>@tvri_bali</v>
      </c>
      <c r="C26769" t="s">
        <v>11945</v>
      </c>
      <c r="D26769">
        <v>1</v>
      </c>
      <c r="E26769">
        <v>0</v>
      </c>
      <c r="F26769">
        <v>1928</v>
      </c>
    </row>
    <row r="26770" spans="1:6" ht="12.75">
      <c r="A26770" s="2">
        <v>43875.687905092593</v>
      </c>
      <c r="B26770" t="str">
        <f>HYPERLINK("https://twitter.com/bayuball","@bayuball")</f>
        <v>@bayuball</v>
      </c>
      <c r="C26770" t="s">
        <v>2444</v>
      </c>
      <c r="D26770">
        <v>1638</v>
      </c>
      <c r="E26770">
        <v>0</v>
      </c>
      <c r="F26770">
        <v>2147</v>
      </c>
    </row>
    <row r="26771" spans="1:6" ht="12.75">
      <c r="A26771" s="2">
        <v>43875.687893518523</v>
      </c>
      <c r="B26771" t="str">
        <f>HYPERLINK("https://twitter.com/kellyrudi","@kellyrudi")</f>
        <v>@kellyrudi</v>
      </c>
      <c r="C26771" t="s">
        <v>9835</v>
      </c>
      <c r="D26771">
        <v>39</v>
      </c>
      <c r="E26771">
        <v>0</v>
      </c>
      <c r="F26771">
        <v>1247</v>
      </c>
    </row>
    <row r="26772" spans="1:6" ht="12.75">
      <c r="A26772" s="2">
        <v>43875.6878587963</v>
      </c>
      <c r="B26772" t="str">
        <f>HYPERLINK("https://twitter.com/bisafreeong","@bisafreeong")</f>
        <v>@bisafreeong</v>
      </c>
      <c r="C26772" t="s">
        <v>9123</v>
      </c>
      <c r="D26772">
        <v>228</v>
      </c>
      <c r="E26772">
        <v>0</v>
      </c>
      <c r="F26772">
        <v>541</v>
      </c>
    </row>
    <row r="26773" spans="1:6" ht="12.75">
      <c r="A26773" s="2">
        <v>43875.687824074077</v>
      </c>
      <c r="B26773" t="str">
        <f>HYPERLINK("https://twitter.com/sunvanishes","@sunvanishes")</f>
        <v>@sunvanishes</v>
      </c>
      <c r="C26773" t="s">
        <v>2444</v>
      </c>
      <c r="D26773">
        <v>1638</v>
      </c>
      <c r="E26773">
        <v>0</v>
      </c>
      <c r="F26773">
        <v>432</v>
      </c>
    </row>
    <row r="26774" spans="1:6" ht="12.75">
      <c r="A26774" s="2">
        <v>43875.687777777777</v>
      </c>
      <c r="B26774" t="str">
        <f>HYPERLINK("https://twitter.com/irdiaru","@irdiaru")</f>
        <v>@irdiaru</v>
      </c>
      <c r="C26774" t="s">
        <v>2444</v>
      </c>
      <c r="D26774">
        <v>1638</v>
      </c>
      <c r="E26774">
        <v>0</v>
      </c>
      <c r="F26774">
        <v>706</v>
      </c>
    </row>
    <row r="26775" spans="1:6" ht="12.75">
      <c r="A26775" s="2">
        <v>43875.687719907408</v>
      </c>
      <c r="B26775" t="str">
        <f>HYPERLINK("https://twitter.com/sorotnews","@sorotnews")</f>
        <v>@sorotnews</v>
      </c>
      <c r="C26775" t="s">
        <v>11929</v>
      </c>
      <c r="D26775">
        <v>0</v>
      </c>
      <c r="E26775">
        <v>1</v>
      </c>
      <c r="F26775">
        <v>3412</v>
      </c>
    </row>
    <row r="26776" spans="1:6" ht="12.75">
      <c r="A26776" s="2">
        <v>43875.687708333338</v>
      </c>
      <c r="B26776" t="str">
        <f>HYPERLINK("https://twitter.com/nirmalakasih1","@nirmalakasih1")</f>
        <v>@nirmalakasih1</v>
      </c>
      <c r="C26776" t="s">
        <v>11095</v>
      </c>
      <c r="D26776">
        <v>108</v>
      </c>
      <c r="E26776">
        <v>0</v>
      </c>
      <c r="F26776">
        <v>54</v>
      </c>
    </row>
    <row r="26777" spans="1:6" ht="12.75">
      <c r="A26777" s="2">
        <v>43875.687650462962</v>
      </c>
      <c r="B26777" t="str">
        <f>HYPERLINK("https://twitter.com/Gun4w4nAhokers","@Gun4w4nAhokers")</f>
        <v>@Gun4w4nAhokers</v>
      </c>
      <c r="C26777" t="s">
        <v>11946</v>
      </c>
      <c r="D26777">
        <v>0</v>
      </c>
      <c r="E26777">
        <v>0</v>
      </c>
      <c r="F26777">
        <v>4166</v>
      </c>
    </row>
    <row r="26778" spans="1:6" ht="12.75">
      <c r="A26778" s="2">
        <v>43875.687592592592</v>
      </c>
      <c r="B26778" t="str">
        <f>HYPERLINK("https://twitter.com/nadiacandra99","@nadiacandra99")</f>
        <v>@nadiacandra99</v>
      </c>
      <c r="C26778" t="s">
        <v>11095</v>
      </c>
      <c r="D26778">
        <v>108</v>
      </c>
      <c r="E26778">
        <v>0</v>
      </c>
      <c r="F26778">
        <v>108</v>
      </c>
    </row>
    <row r="26779" spans="1:6" ht="12.75">
      <c r="A26779" s="2">
        <v>43875.68751157407</v>
      </c>
      <c r="B26779" t="str">
        <f>HYPERLINK("https://twitter.com/bisafreeong","@bisafreeong")</f>
        <v>@bisafreeong</v>
      </c>
      <c r="C26779" t="s">
        <v>2444</v>
      </c>
      <c r="D26779">
        <v>1638</v>
      </c>
      <c r="E26779">
        <v>0</v>
      </c>
      <c r="F26779">
        <v>541</v>
      </c>
    </row>
    <row r="26780" spans="1:6" ht="12.75">
      <c r="A26780" s="2">
        <v>43875.687476851846</v>
      </c>
      <c r="B26780" t="str">
        <f>HYPERLINK("https://twitter.com/mougumou","@mougumou")</f>
        <v>@mougumou</v>
      </c>
      <c r="C26780" t="s">
        <v>5168</v>
      </c>
      <c r="D26780">
        <v>789</v>
      </c>
      <c r="E26780">
        <v>0</v>
      </c>
      <c r="F26780">
        <v>21</v>
      </c>
    </row>
    <row r="26781" spans="1:6" ht="12.75">
      <c r="A26781" s="2">
        <v>43875.687453703707</v>
      </c>
      <c r="B26781" t="str">
        <f>HYPERLINK("https://twitter.com/osolemio0228","@osolemio0228")</f>
        <v>@osolemio0228</v>
      </c>
      <c r="C26781" t="s">
        <v>2444</v>
      </c>
      <c r="D26781">
        <v>1638</v>
      </c>
      <c r="E26781">
        <v>0</v>
      </c>
      <c r="F26781">
        <v>116</v>
      </c>
    </row>
    <row r="26782" spans="1:6" ht="12.75">
      <c r="A26782" s="2">
        <v>43875.687280092592</v>
      </c>
      <c r="B26782" t="str">
        <f>HYPERLINK("https://twitter.com/sophianewtonjon","@sophianewtonjon")</f>
        <v>@sophianewtonjon</v>
      </c>
      <c r="C26782" t="s">
        <v>11095</v>
      </c>
      <c r="D26782">
        <v>108</v>
      </c>
      <c r="E26782">
        <v>0</v>
      </c>
      <c r="F26782">
        <v>90</v>
      </c>
    </row>
    <row r="26783" spans="1:6" ht="12.75">
      <c r="A26783" s="2">
        <v>43875.6872337963</v>
      </c>
      <c r="B26783" t="str">
        <f>HYPERLINK("https://twitter.com/firman20417511","@firman20417511")</f>
        <v>@firman20417511</v>
      </c>
      <c r="C26783" t="s">
        <v>10052</v>
      </c>
      <c r="D26783">
        <v>24</v>
      </c>
      <c r="E26783">
        <v>0</v>
      </c>
      <c r="F26783">
        <v>368</v>
      </c>
    </row>
    <row r="26784" spans="1:6" ht="12.75">
      <c r="A26784" s="2">
        <v>43875.687222222223</v>
      </c>
      <c r="B26784" t="str">
        <f>HYPERLINK("https://twitter.com/Auraudit","@Auraudit")</f>
        <v>@Auraudit</v>
      </c>
      <c r="C26784" t="s">
        <v>11947</v>
      </c>
      <c r="D26784">
        <v>0</v>
      </c>
      <c r="E26784">
        <v>0</v>
      </c>
      <c r="F26784">
        <v>906</v>
      </c>
    </row>
    <row r="26785" spans="1:6" ht="12.75">
      <c r="A26785" s="2">
        <v>43875.687199074076</v>
      </c>
      <c r="B26785" t="str">
        <f>HYPERLINK("https://twitter.com/paapiyo1","@paapiyo1")</f>
        <v>@paapiyo1</v>
      </c>
      <c r="C26785" t="s">
        <v>9835</v>
      </c>
      <c r="D26785">
        <v>39</v>
      </c>
      <c r="E26785">
        <v>0</v>
      </c>
      <c r="F26785">
        <v>137</v>
      </c>
    </row>
    <row r="26786" spans="1:6" ht="12.75">
      <c r="A26786" s="2">
        <v>43875.6871412037</v>
      </c>
      <c r="B26786" t="str">
        <f>HYPERLINK("https://twitter.com/AhmadSamuvie","@AhmadSamuvie")</f>
        <v>@AhmadSamuvie</v>
      </c>
      <c r="C26786" t="s">
        <v>2444</v>
      </c>
      <c r="D26786">
        <v>1638</v>
      </c>
      <c r="E26786">
        <v>0</v>
      </c>
      <c r="F26786">
        <v>1052</v>
      </c>
    </row>
    <row r="26787" spans="1:6" ht="12.75">
      <c r="A26787" s="2">
        <v>43875.687106481477</v>
      </c>
      <c r="B26787" t="str">
        <f>HYPERLINK("https://twitter.com/BlongBanu","@BlongBanu")</f>
        <v>@BlongBanu</v>
      </c>
      <c r="C26787" t="s">
        <v>11948</v>
      </c>
      <c r="D26787">
        <v>0</v>
      </c>
      <c r="E26787">
        <v>0</v>
      </c>
      <c r="F26787">
        <v>15</v>
      </c>
    </row>
    <row r="26788" spans="1:6" ht="12.75">
      <c r="A26788" s="2">
        <v>43875.687013888892</v>
      </c>
      <c r="B26788" t="str">
        <f>HYPERLINK("https://twitter.com/ersaaechaa","@ersaaechaa")</f>
        <v>@ersaaechaa</v>
      </c>
      <c r="C26788" t="s">
        <v>2444</v>
      </c>
      <c r="D26788">
        <v>1638</v>
      </c>
      <c r="E26788">
        <v>0</v>
      </c>
      <c r="F26788">
        <v>508</v>
      </c>
    </row>
    <row r="26789" spans="1:6" ht="12.75">
      <c r="A26789" s="2">
        <v>43875.686990740738</v>
      </c>
      <c r="B26789" t="str">
        <f>HYPERLINK("https://twitter.com/abrilian_dilla","@abrilian_dilla")</f>
        <v>@abrilian_dilla</v>
      </c>
      <c r="C26789" t="s">
        <v>2444</v>
      </c>
      <c r="D26789">
        <v>1638</v>
      </c>
      <c r="E26789">
        <v>0</v>
      </c>
      <c r="F26789">
        <v>152</v>
      </c>
    </row>
    <row r="26790" spans="1:6" ht="12.75">
      <c r="A26790" s="2">
        <v>43875.686979166669</v>
      </c>
      <c r="B26790" t="str">
        <f>HYPERLINK("https://twitter.com/anandadara99","@anandadara99")</f>
        <v>@anandadara99</v>
      </c>
      <c r="C26790" t="s">
        <v>11095</v>
      </c>
      <c r="D26790">
        <v>108</v>
      </c>
      <c r="E26790">
        <v>0</v>
      </c>
      <c r="F26790">
        <v>259</v>
      </c>
    </row>
    <row r="26791" spans="1:6" ht="12.75">
      <c r="A26791" s="2">
        <v>43875.686944444446</v>
      </c>
      <c r="B26791" t="str">
        <f>HYPERLINK("https://twitter.com/Aliffitrindewor","@Aliffitrindewor")</f>
        <v>@Aliffitrindewor</v>
      </c>
      <c r="C26791" t="s">
        <v>10052</v>
      </c>
      <c r="D26791">
        <v>24</v>
      </c>
      <c r="E26791">
        <v>0</v>
      </c>
      <c r="F26791">
        <v>552</v>
      </c>
    </row>
    <row r="26792" spans="1:6" ht="12.75">
      <c r="A26792" s="2">
        <v>43875.686932870369</v>
      </c>
      <c r="B26792" t="str">
        <f>HYPERLINK("https://twitter.com/quddussatria_s","@quddussatria_s")</f>
        <v>@quddussatria_s</v>
      </c>
      <c r="C26792" t="s">
        <v>513</v>
      </c>
      <c r="D26792">
        <v>23206</v>
      </c>
      <c r="E26792">
        <v>0</v>
      </c>
      <c r="F26792">
        <v>13</v>
      </c>
    </row>
    <row r="26793" spans="1:6" ht="12.75">
      <c r="A26793" s="2">
        <v>43875.686921296292</v>
      </c>
      <c r="B26793" t="str">
        <f>HYPERLINK("https://twitter.com/iamwidiw","@iamwidiw")</f>
        <v>@iamwidiw</v>
      </c>
      <c r="C26793" t="s">
        <v>2444</v>
      </c>
      <c r="D26793">
        <v>1638</v>
      </c>
      <c r="E26793">
        <v>0</v>
      </c>
      <c r="F26793">
        <v>93</v>
      </c>
    </row>
    <row r="26794" spans="1:6" ht="12.75">
      <c r="A26794" s="2">
        <v>43875.686805555553</v>
      </c>
      <c r="B26794" t="str">
        <f>HYPERLINK("https://twitter.com/rang_simabua","@rang_simabua")</f>
        <v>@rang_simabua</v>
      </c>
      <c r="C26794" t="s">
        <v>6201</v>
      </c>
      <c r="D26794">
        <v>49</v>
      </c>
      <c r="E26794">
        <v>0</v>
      </c>
      <c r="F26794">
        <v>7472</v>
      </c>
    </row>
    <row r="26795" spans="1:6" ht="12.75">
      <c r="A26795" s="2">
        <v>43875.686793981484</v>
      </c>
      <c r="B26795" t="str">
        <f>HYPERLINK("https://twitter.com/abcd2878","@abcd2878")</f>
        <v>@abcd2878</v>
      </c>
      <c r="C26795" t="s">
        <v>6201</v>
      </c>
      <c r="D26795">
        <v>49</v>
      </c>
      <c r="E26795">
        <v>0</v>
      </c>
      <c r="F26795">
        <v>131</v>
      </c>
    </row>
    <row r="26796" spans="1:6" ht="12.75">
      <c r="A26796" s="2">
        <v>43875.686701388884</v>
      </c>
      <c r="B26796" t="str">
        <f>HYPERLINK("https://twitter.com/guebodong","@guebodong")</f>
        <v>@guebodong</v>
      </c>
      <c r="C26796" t="s">
        <v>11949</v>
      </c>
      <c r="D26796">
        <v>0</v>
      </c>
      <c r="E26796">
        <v>0</v>
      </c>
      <c r="F26796">
        <v>0</v>
      </c>
    </row>
    <row r="26797" spans="1:6" ht="12.75">
      <c r="A26797" s="2">
        <v>43875.686608796299</v>
      </c>
      <c r="B26797" t="str">
        <f>HYPERLINK("https://twitter.com/Abta","@Abta")</f>
        <v>@Abta</v>
      </c>
      <c r="C26797" t="s">
        <v>6201</v>
      </c>
      <c r="D26797">
        <v>49</v>
      </c>
      <c r="E26797">
        <v>0</v>
      </c>
      <c r="F26797">
        <v>1379</v>
      </c>
    </row>
    <row r="26798" spans="1:6" ht="12.75">
      <c r="A26798" s="2">
        <v>43875.686481481476</v>
      </c>
      <c r="B26798" t="str">
        <f>HYPERLINK("https://twitter.com/davidavikahh","@davidavikahh")</f>
        <v>@davidavikahh</v>
      </c>
      <c r="C26798" t="s">
        <v>2444</v>
      </c>
      <c r="D26798">
        <v>1638</v>
      </c>
      <c r="E26798">
        <v>0</v>
      </c>
      <c r="F26798">
        <v>41</v>
      </c>
    </row>
    <row r="26799" spans="1:6" ht="12.75">
      <c r="A26799" s="2">
        <v>43875.686481481476</v>
      </c>
      <c r="B26799" t="str">
        <f>HYPERLINK("https://twitter.com/pikiran_rakyat","@pikiran_rakyat")</f>
        <v>@pikiran_rakyat</v>
      </c>
      <c r="C26799" t="s">
        <v>11950</v>
      </c>
      <c r="D26799">
        <v>0</v>
      </c>
      <c r="E26799">
        <v>0</v>
      </c>
      <c r="F26799">
        <v>412463</v>
      </c>
    </row>
    <row r="26800" spans="1:6" ht="12.75">
      <c r="A26800" s="2">
        <v>43875.686469907407</v>
      </c>
      <c r="B26800" t="str">
        <f>HYPERLINK("https://twitter.com/andromeda_ants","@andromeda_ants")</f>
        <v>@andromeda_ants</v>
      </c>
      <c r="C26800" t="s">
        <v>5168</v>
      </c>
      <c r="D26800">
        <v>789</v>
      </c>
      <c r="E26800">
        <v>0</v>
      </c>
      <c r="F26800">
        <v>3</v>
      </c>
    </row>
    <row r="26801" spans="1:6" ht="12.75">
      <c r="A26801" s="2">
        <v>43875.68644675926</v>
      </c>
      <c r="B26801" t="str">
        <f>HYPERLINK("https://twitter.com/ddarpen","@ddarpen")</f>
        <v>@ddarpen</v>
      </c>
      <c r="C26801" t="s">
        <v>7478</v>
      </c>
      <c r="D26801">
        <v>240</v>
      </c>
      <c r="E26801">
        <v>0</v>
      </c>
      <c r="F26801">
        <v>298</v>
      </c>
    </row>
    <row r="26802" spans="1:6" ht="12.75">
      <c r="A26802" s="2">
        <v>43875.68644675926</v>
      </c>
      <c r="B26802" t="str">
        <f>HYPERLINK("https://twitter.com/Topscap1","@Topscap1")</f>
        <v>@Topscap1</v>
      </c>
      <c r="C26802" t="s">
        <v>11951</v>
      </c>
      <c r="D26802">
        <v>0</v>
      </c>
      <c r="E26802">
        <v>0</v>
      </c>
      <c r="F26802">
        <v>22</v>
      </c>
    </row>
    <row r="26803" spans="1:6" ht="12.75">
      <c r="A26803" s="2">
        <v>43875.686423611114</v>
      </c>
      <c r="B26803" t="str">
        <f>HYPERLINK("https://twitter.com/Wahyonoeltech","@Wahyonoeltech")</f>
        <v>@Wahyonoeltech</v>
      </c>
      <c r="C26803" t="s">
        <v>9746</v>
      </c>
      <c r="D26803">
        <v>249</v>
      </c>
      <c r="E26803">
        <v>0</v>
      </c>
      <c r="F26803">
        <v>196</v>
      </c>
    </row>
    <row r="26804" spans="1:6" ht="12.75">
      <c r="A26804" s="2">
        <v>43875.686377314814</v>
      </c>
      <c r="B26804" t="str">
        <f>HYPERLINK("https://twitter.com/BrendyNababan","@BrendyNababan")</f>
        <v>@BrendyNababan</v>
      </c>
      <c r="C26804" t="s">
        <v>2963</v>
      </c>
      <c r="D26804">
        <v>958</v>
      </c>
      <c r="E26804">
        <v>0</v>
      </c>
      <c r="F26804">
        <v>145</v>
      </c>
    </row>
    <row r="26805" spans="1:6" ht="12.75">
      <c r="A26805" s="2">
        <v>43875.686377314814</v>
      </c>
      <c r="B26805" t="str">
        <f>HYPERLINK("https://twitter.com/EdBenHan","@EdBenHan")</f>
        <v>@EdBenHan</v>
      </c>
      <c r="C26805" t="s">
        <v>10593</v>
      </c>
      <c r="D26805">
        <v>40</v>
      </c>
      <c r="E26805">
        <v>0</v>
      </c>
      <c r="F26805">
        <v>404</v>
      </c>
    </row>
    <row r="26806" spans="1:6" ht="12.75">
      <c r="A26806" s="2">
        <v>43875.686331018514</v>
      </c>
      <c r="B26806" t="str">
        <f>HYPERLINK("https://twitter.com/anandaameliaxx","@anandaameliaxx")</f>
        <v>@anandaameliaxx</v>
      </c>
      <c r="C26806" t="s">
        <v>2444</v>
      </c>
      <c r="D26806">
        <v>1638</v>
      </c>
      <c r="E26806">
        <v>0</v>
      </c>
      <c r="F26806">
        <v>425</v>
      </c>
    </row>
    <row r="26807" spans="1:6" ht="12.75">
      <c r="A26807" s="2">
        <v>43875.686296296291</v>
      </c>
      <c r="B26807" t="str">
        <f>HYPERLINK("https://twitter.com/Dyandra00987504","@Dyandra00987504")</f>
        <v>@Dyandra00987504</v>
      </c>
      <c r="C26807" t="s">
        <v>11952</v>
      </c>
      <c r="D26807">
        <v>0</v>
      </c>
      <c r="E26807">
        <v>0</v>
      </c>
      <c r="F26807">
        <v>345</v>
      </c>
    </row>
    <row r="26808" spans="1:6" ht="12.75">
      <c r="A26808" s="2">
        <v>43875.686261574076</v>
      </c>
      <c r="B26808" t="str">
        <f>HYPERLINK("https://twitter.com/antioffline_","@antioffline_")</f>
        <v>@antioffline_</v>
      </c>
      <c r="C26808" t="s">
        <v>11953</v>
      </c>
      <c r="D26808">
        <v>0</v>
      </c>
      <c r="E26808">
        <v>0</v>
      </c>
      <c r="F26808">
        <v>332</v>
      </c>
    </row>
    <row r="26809" spans="1:6" ht="12.75">
      <c r="A26809" s="2">
        <v>43875.686226851853</v>
      </c>
      <c r="B26809" t="str">
        <f>HYPERLINK("https://twitter.com/Lawanhoax_id","@Lawanhoax_id")</f>
        <v>@Lawanhoax_id</v>
      </c>
      <c r="C26809" t="s">
        <v>11954</v>
      </c>
      <c r="D26809">
        <v>48</v>
      </c>
      <c r="E26809">
        <v>0</v>
      </c>
      <c r="F26809">
        <v>80</v>
      </c>
    </row>
    <row r="26810" spans="1:6" ht="12.75">
      <c r="A26810" s="2">
        <v>43875.686215277776</v>
      </c>
      <c r="B26810" t="str">
        <f>HYPERLINK("https://twitter.com/MembangunD","@MembangunD")</f>
        <v>@MembangunD</v>
      </c>
      <c r="C26810" t="s">
        <v>11605</v>
      </c>
      <c r="D26810">
        <v>5</v>
      </c>
      <c r="E26810">
        <v>0</v>
      </c>
      <c r="F26810">
        <v>306</v>
      </c>
    </row>
    <row r="26811" spans="1:6" ht="12.75">
      <c r="A26811" s="2">
        <v>43875.686122685191</v>
      </c>
      <c r="B26811" t="str">
        <f>HYPERLINK("https://twitter.com/tia_realname","@tia_realname")</f>
        <v>@tia_realname</v>
      </c>
      <c r="C26811" t="s">
        <v>6201</v>
      </c>
      <c r="D26811">
        <v>49</v>
      </c>
      <c r="E26811">
        <v>0</v>
      </c>
      <c r="F26811">
        <v>4901</v>
      </c>
    </row>
    <row r="26812" spans="1:6" ht="12.75">
      <c r="A26812" s="2">
        <v>43875.686111111107</v>
      </c>
      <c r="B26812" t="str">
        <f>HYPERLINK("https://twitter.com/corrections71","@corrections71")</f>
        <v>@corrections71</v>
      </c>
      <c r="C26812" t="s">
        <v>11955</v>
      </c>
      <c r="D26812">
        <v>32</v>
      </c>
      <c r="E26812">
        <v>0</v>
      </c>
      <c r="F26812">
        <v>316</v>
      </c>
    </row>
    <row r="26813" spans="1:6" ht="12.75">
      <c r="A26813" s="2">
        <v>43875.686064814814</v>
      </c>
      <c r="B26813" t="str">
        <f>HYPERLINK("https://twitter.com/idntimes","@idntimes")</f>
        <v>@idntimes</v>
      </c>
      <c r="C26813" t="s">
        <v>11956</v>
      </c>
      <c r="D26813">
        <v>0</v>
      </c>
      <c r="E26813">
        <v>1</v>
      </c>
      <c r="F26813">
        <v>392657</v>
      </c>
    </row>
    <row r="26814" spans="1:6" ht="12.75">
      <c r="A26814" s="2">
        <v>43875.686053240745</v>
      </c>
      <c r="B26814" t="str">
        <f>HYPERLINK("https://twitter.com/SahlanAmin4","@SahlanAmin4")</f>
        <v>@SahlanAmin4</v>
      </c>
      <c r="C26814" t="s">
        <v>11691</v>
      </c>
      <c r="D26814">
        <v>1</v>
      </c>
      <c r="E26814">
        <v>0</v>
      </c>
      <c r="F26814">
        <v>616</v>
      </c>
    </row>
    <row r="26815" spans="1:6" ht="12.75">
      <c r="A26815" s="2">
        <v>43875.686030092591</v>
      </c>
      <c r="B26815" t="str">
        <f>HYPERLINK("https://twitter.com/Among79","@Among79")</f>
        <v>@Among79</v>
      </c>
      <c r="C26815" t="s">
        <v>2963</v>
      </c>
      <c r="D26815">
        <v>958</v>
      </c>
      <c r="E26815">
        <v>0</v>
      </c>
      <c r="F26815">
        <v>389</v>
      </c>
    </row>
    <row r="26816" spans="1:6" ht="12.75">
      <c r="A26816" s="2">
        <v>43875.685995370368</v>
      </c>
      <c r="B26816" t="str">
        <f>HYPERLINK("https://twitter.com/sibhiyaa","@sibhiyaa")</f>
        <v>@sibhiyaa</v>
      </c>
      <c r="C26816" t="s">
        <v>9123</v>
      </c>
      <c r="D26816">
        <v>228</v>
      </c>
      <c r="E26816">
        <v>0</v>
      </c>
      <c r="F26816">
        <v>249</v>
      </c>
    </row>
    <row r="26817" spans="1:6" ht="12.75">
      <c r="A26817" s="2">
        <v>43875.685972222222</v>
      </c>
      <c r="B26817" t="str">
        <f>HYPERLINK("https://twitter.com/24O6s","@24O6s")</f>
        <v>@24O6s</v>
      </c>
      <c r="C26817" t="s">
        <v>2444</v>
      </c>
      <c r="D26817">
        <v>1638</v>
      </c>
      <c r="E26817">
        <v>0</v>
      </c>
      <c r="F26817">
        <v>309</v>
      </c>
    </row>
    <row r="26818" spans="1:6" ht="12.75">
      <c r="A26818" s="2">
        <v>43875.685891203699</v>
      </c>
      <c r="B26818" t="str">
        <f>HYPERLINK("https://twitter.com/JustFeddy","@JustFeddy")</f>
        <v>@JustFeddy</v>
      </c>
      <c r="C26818" t="s">
        <v>11306</v>
      </c>
      <c r="D26818">
        <v>1</v>
      </c>
      <c r="E26818">
        <v>0</v>
      </c>
      <c r="F26818">
        <v>539</v>
      </c>
    </row>
    <row r="26819" spans="1:6" ht="12.75">
      <c r="A26819" s="2">
        <v>43875.685879629629</v>
      </c>
      <c r="B26819" t="str">
        <f>HYPERLINK("https://twitter.com/Among79","@Among79")</f>
        <v>@Among79</v>
      </c>
      <c r="C26819" t="s">
        <v>2144</v>
      </c>
      <c r="D26819">
        <v>81</v>
      </c>
      <c r="E26819">
        <v>0</v>
      </c>
      <c r="F26819">
        <v>389</v>
      </c>
    </row>
    <row r="26820" spans="1:6" ht="12.75">
      <c r="A26820" s="2">
        <v>43875.685879629629</v>
      </c>
      <c r="B26820" t="str">
        <f>HYPERLINK("https://twitter.com/LamanKita_","@LamanKita_")</f>
        <v>@LamanKita_</v>
      </c>
      <c r="C26820" t="s">
        <v>11957</v>
      </c>
      <c r="D26820">
        <v>0</v>
      </c>
      <c r="E26820">
        <v>1</v>
      </c>
      <c r="F26820">
        <v>139615</v>
      </c>
    </row>
    <row r="26821" spans="1:6" ht="12.75">
      <c r="A26821" s="2">
        <v>43875.685787037037</v>
      </c>
      <c r="B26821" t="str">
        <f>HYPERLINK("https://twitter.com/zwirasakti","@zwirasakti")</f>
        <v>@zwirasakti</v>
      </c>
      <c r="C26821" t="s">
        <v>10573</v>
      </c>
      <c r="D26821">
        <v>4</v>
      </c>
      <c r="E26821">
        <v>0</v>
      </c>
      <c r="F26821">
        <v>3005</v>
      </c>
    </row>
    <row r="26822" spans="1:6" ht="12.75">
      <c r="A26822" s="2">
        <v>43875.685717592598</v>
      </c>
      <c r="B26822" t="str">
        <f>HYPERLINK("https://twitter.com/the_geotimes","@the_geotimes")</f>
        <v>@the_geotimes</v>
      </c>
      <c r="C26822" t="s">
        <v>11958</v>
      </c>
      <c r="D26822">
        <v>0</v>
      </c>
      <c r="E26822">
        <v>0</v>
      </c>
      <c r="F26822">
        <v>49286</v>
      </c>
    </row>
    <row r="26823" spans="1:6" ht="12.75">
      <c r="A26823" s="2">
        <v>43875.685717592598</v>
      </c>
      <c r="B26823" t="str">
        <f>HYPERLINK("https://twitter.com/Wongnde62842615","@Wongnde62842615")</f>
        <v>@Wongnde62842615</v>
      </c>
      <c r="C26823" t="s">
        <v>10512</v>
      </c>
      <c r="D26823">
        <v>6</v>
      </c>
      <c r="E26823">
        <v>0</v>
      </c>
      <c r="F26823">
        <v>87</v>
      </c>
    </row>
    <row r="26824" spans="1:6" ht="12.75">
      <c r="A26824" s="2">
        <v>43875.685694444444</v>
      </c>
      <c r="B26824" t="str">
        <f>HYPERLINK("https://twitter.com/ikutsiapa","@ikutsiapa")</f>
        <v>@ikutsiapa</v>
      </c>
      <c r="C26824" t="s">
        <v>11959</v>
      </c>
      <c r="D26824">
        <v>0</v>
      </c>
      <c r="E26824">
        <v>0</v>
      </c>
      <c r="F26824">
        <v>236</v>
      </c>
    </row>
    <row r="26825" spans="1:6" ht="12.75">
      <c r="A26825" s="2">
        <v>43875.685671296298</v>
      </c>
      <c r="B26825" t="str">
        <f>HYPERLINK("https://twitter.com/winsprins","@winsprins")</f>
        <v>@winsprins</v>
      </c>
      <c r="C26825" t="s">
        <v>11960</v>
      </c>
      <c r="D26825">
        <v>6</v>
      </c>
      <c r="E26825">
        <v>0</v>
      </c>
      <c r="F26825">
        <v>16</v>
      </c>
    </row>
    <row r="26826" spans="1:6" ht="12.75">
      <c r="A26826" s="2">
        <v>43875.685659722221</v>
      </c>
      <c r="B26826" t="str">
        <f>HYPERLINK("https://twitter.com/dynchndr","@dynchndr")</f>
        <v>@dynchndr</v>
      </c>
      <c r="C26826" t="s">
        <v>11961</v>
      </c>
      <c r="D26826">
        <v>0</v>
      </c>
      <c r="E26826">
        <v>0</v>
      </c>
      <c r="F26826">
        <v>335</v>
      </c>
    </row>
    <row r="26827" spans="1:6" ht="12.75">
      <c r="A26827" s="2">
        <v>43875.685659722221</v>
      </c>
      <c r="B26827" t="str">
        <f>HYPERLINK("https://twitter.com/Ari3Pras","@Ari3Pras")</f>
        <v>@Ari3Pras</v>
      </c>
      <c r="C26827" t="s">
        <v>11962</v>
      </c>
      <c r="D26827">
        <v>0</v>
      </c>
      <c r="E26827">
        <v>0</v>
      </c>
      <c r="F26827">
        <v>7296</v>
      </c>
    </row>
    <row r="26828" spans="1:6" ht="12.75">
      <c r="A26828" s="2">
        <v>43875.685543981483</v>
      </c>
      <c r="B26828" t="str">
        <f>HYPERLINK("https://twitter.com/Anti__Terror","@Anti__Terror")</f>
        <v>@Anti__Terror</v>
      </c>
      <c r="C26828" t="s">
        <v>11095</v>
      </c>
      <c r="D26828">
        <v>108</v>
      </c>
      <c r="E26828">
        <v>0</v>
      </c>
      <c r="F26828">
        <v>39</v>
      </c>
    </row>
    <row r="26829" spans="1:6" ht="12.75">
      <c r="A26829" s="2">
        <v>43875.68550925926</v>
      </c>
      <c r="B26829" t="str">
        <f>HYPERLINK("https://twitter.com/arbaiasa","@arbaiasa")</f>
        <v>@arbaiasa</v>
      </c>
      <c r="C26829" t="s">
        <v>4880</v>
      </c>
      <c r="D26829">
        <v>56</v>
      </c>
      <c r="E26829">
        <v>0</v>
      </c>
      <c r="F26829">
        <v>75</v>
      </c>
    </row>
    <row r="26830" spans="1:6" ht="12.75">
      <c r="A26830" s="2">
        <v>43875.685486111106</v>
      </c>
      <c r="B26830" t="str">
        <f>HYPERLINK("https://twitter.com/lenggooo","@lenggooo")</f>
        <v>@lenggooo</v>
      </c>
      <c r="C26830" t="s">
        <v>10300</v>
      </c>
      <c r="D26830">
        <v>40</v>
      </c>
      <c r="E26830">
        <v>0</v>
      </c>
      <c r="F26830">
        <v>214</v>
      </c>
    </row>
    <row r="26831" spans="1:6" ht="12.75">
      <c r="A26831" s="2">
        <v>43875.685474537036</v>
      </c>
      <c r="B26831" t="str">
        <f>HYPERLINK("https://twitter.com/Aliffitrindewor","@Aliffitrindewor")</f>
        <v>@Aliffitrindewor</v>
      </c>
      <c r="C26831" t="s">
        <v>10096</v>
      </c>
      <c r="D26831">
        <v>143</v>
      </c>
      <c r="E26831">
        <v>0</v>
      </c>
      <c r="F26831">
        <v>552</v>
      </c>
    </row>
    <row r="26832" spans="1:6" ht="12.75">
      <c r="A26832" s="2">
        <v>43875.685416666667</v>
      </c>
      <c r="B26832" t="str">
        <f>HYPERLINK("https://twitter.com/nddarisa","@nddarisa")</f>
        <v>@nddarisa</v>
      </c>
      <c r="C26832" t="s">
        <v>2444</v>
      </c>
      <c r="D26832">
        <v>1638</v>
      </c>
      <c r="E26832">
        <v>0</v>
      </c>
      <c r="F26832">
        <v>445</v>
      </c>
    </row>
    <row r="26833" spans="1:6" ht="12.75">
      <c r="A26833" s="2">
        <v>43875.685416666667</v>
      </c>
      <c r="B26833" t="str">
        <f>HYPERLINK("https://twitter.com/puteeera","@puteeera")</f>
        <v>@puteeera</v>
      </c>
      <c r="C26833" t="s">
        <v>8233</v>
      </c>
      <c r="D26833">
        <v>477</v>
      </c>
      <c r="E26833">
        <v>0</v>
      </c>
      <c r="F26833">
        <v>512</v>
      </c>
    </row>
    <row r="26834" spans="1:6" ht="12.75">
      <c r="A26834" s="2">
        <v>43875.685347222221</v>
      </c>
      <c r="B26834" t="str">
        <f>HYPERLINK("https://twitter.com/ted_kho","@ted_kho")</f>
        <v>@ted_kho</v>
      </c>
      <c r="C26834" t="s">
        <v>2444</v>
      </c>
      <c r="D26834">
        <v>1638</v>
      </c>
      <c r="E26834">
        <v>0</v>
      </c>
      <c r="F26834">
        <v>13419</v>
      </c>
    </row>
    <row r="26835" spans="1:6" ht="12.75">
      <c r="A26835" s="2">
        <v>43875.685324074075</v>
      </c>
      <c r="B26835" t="str">
        <f>HYPERLINK("https://twitter.com/mamaian9353","@mamaian9353")</f>
        <v>@mamaian9353</v>
      </c>
      <c r="C26835" t="s">
        <v>2444</v>
      </c>
      <c r="D26835">
        <v>1638</v>
      </c>
      <c r="E26835">
        <v>0</v>
      </c>
      <c r="F26835">
        <v>127</v>
      </c>
    </row>
    <row r="26836" spans="1:6" ht="12.75">
      <c r="A26836" s="2">
        <v>43875.685300925921</v>
      </c>
      <c r="B26836" t="str">
        <f>HYPERLINK("https://twitter.com/LemonPahit","@LemonPahit")</f>
        <v>@LemonPahit</v>
      </c>
      <c r="C26836" t="s">
        <v>10422</v>
      </c>
      <c r="D26836">
        <v>96</v>
      </c>
      <c r="E26836">
        <v>0</v>
      </c>
      <c r="F26836">
        <v>635</v>
      </c>
    </row>
    <row r="26837" spans="1:6" ht="12.75">
      <c r="A26837" s="2">
        <v>43875.685266203705</v>
      </c>
      <c r="B26837" t="str">
        <f>HYPERLINK("https://twitter.com/HanifFahmizall","@HanifFahmizall")</f>
        <v>@HanifFahmizall</v>
      </c>
      <c r="C26837" t="s">
        <v>2444</v>
      </c>
      <c r="D26837">
        <v>1638</v>
      </c>
      <c r="E26837">
        <v>0</v>
      </c>
      <c r="F26837">
        <v>21</v>
      </c>
    </row>
    <row r="26838" spans="1:6" ht="12.75">
      <c r="A26838" s="2">
        <v>43875.685173611113</v>
      </c>
      <c r="B26838" t="str">
        <f>HYPERLINK("https://twitter.com/Bimasenna","@Bimasenna")</f>
        <v>@Bimasenna</v>
      </c>
      <c r="C26838" t="s">
        <v>11963</v>
      </c>
      <c r="D26838">
        <v>1</v>
      </c>
      <c r="E26838">
        <v>0</v>
      </c>
      <c r="F26838">
        <v>136</v>
      </c>
    </row>
    <row r="26839" spans="1:6" ht="12.75">
      <c r="A26839" s="2">
        <v>43875.685150462959</v>
      </c>
      <c r="B26839" t="str">
        <f>HYPERLINK("https://twitter.com/agnestasy","@agnestasy")</f>
        <v>@agnestasy</v>
      </c>
      <c r="C26839" t="s">
        <v>2444</v>
      </c>
      <c r="D26839">
        <v>1638</v>
      </c>
      <c r="E26839">
        <v>0</v>
      </c>
      <c r="F26839">
        <v>454</v>
      </c>
    </row>
    <row r="26840" spans="1:6" ht="12.75">
      <c r="A26840" s="2">
        <v>43875.685069444444</v>
      </c>
      <c r="B26840" t="str">
        <f>HYPERLINK("https://twitter.com/xrimaromx","@xrimaromx")</f>
        <v>@xrimaromx</v>
      </c>
      <c r="C26840" t="s">
        <v>11964</v>
      </c>
      <c r="D26840">
        <v>0</v>
      </c>
      <c r="E26840">
        <v>0</v>
      </c>
      <c r="F26840">
        <v>558</v>
      </c>
    </row>
    <row r="26841" spans="1:6" ht="12.75">
      <c r="A26841" s="2">
        <v>43875.685023148151</v>
      </c>
      <c r="B26841" t="str">
        <f>HYPERLINK("https://twitter.com/ainutshabrina","@ainutshabrina")</f>
        <v>@ainutshabrina</v>
      </c>
      <c r="C26841" t="s">
        <v>2444</v>
      </c>
      <c r="D26841">
        <v>1638</v>
      </c>
      <c r="E26841">
        <v>0</v>
      </c>
      <c r="F26841">
        <v>391</v>
      </c>
    </row>
    <row r="26842" spans="1:6" ht="12.75">
      <c r="A26842" s="2">
        <v>43875.684965277775</v>
      </c>
      <c r="B26842" t="str">
        <f>HYPERLINK("https://twitter.com/CNNIDdaily","@CNNIDdaily")</f>
        <v>@CNNIDdaily</v>
      </c>
      <c r="C26842" t="s">
        <v>11965</v>
      </c>
      <c r="D26842">
        <v>1</v>
      </c>
      <c r="E26842">
        <v>9</v>
      </c>
      <c r="F26842">
        <v>115892</v>
      </c>
    </row>
    <row r="26843" spans="1:6" ht="12.75">
      <c r="A26843" s="2">
        <v>43875.684803240743</v>
      </c>
      <c r="B26843" t="str">
        <f>HYPERLINK("https://twitter.com/Zinpeerzone","@Zinpeerzone")</f>
        <v>@Zinpeerzone</v>
      </c>
      <c r="C26843" t="s">
        <v>6201</v>
      </c>
      <c r="D26843">
        <v>49</v>
      </c>
      <c r="E26843">
        <v>0</v>
      </c>
      <c r="F26843">
        <v>529</v>
      </c>
    </row>
    <row r="26844" spans="1:6" ht="12.75">
      <c r="A26844" s="2">
        <v>43875.684803240743</v>
      </c>
      <c r="B26844" t="str">
        <f>HYPERLINK("https://twitter.com/Lothar_Imanuel4","@Lothar_Imanuel4")</f>
        <v>@Lothar_Imanuel4</v>
      </c>
      <c r="C26844" t="s">
        <v>11806</v>
      </c>
      <c r="D26844">
        <v>5</v>
      </c>
      <c r="E26844">
        <v>0</v>
      </c>
      <c r="F26844">
        <v>568</v>
      </c>
    </row>
    <row r="26845" spans="1:6" ht="12.75">
      <c r="A26845" s="2">
        <v>43875.684756944444</v>
      </c>
      <c r="B26845" t="str">
        <f>HYPERLINK("https://twitter.com/aksioma02","@aksioma02")</f>
        <v>@aksioma02</v>
      </c>
      <c r="C26845" t="s">
        <v>6201</v>
      </c>
      <c r="D26845">
        <v>49</v>
      </c>
      <c r="E26845">
        <v>0</v>
      </c>
      <c r="F26845">
        <v>10521</v>
      </c>
    </row>
    <row r="26846" spans="1:6" ht="12.75">
      <c r="A26846" s="2">
        <v>43875.684756944444</v>
      </c>
      <c r="B26846" t="str">
        <f>HYPERLINK("https://twitter.com/werr_gawer","@werr_gawer")</f>
        <v>@werr_gawer</v>
      </c>
      <c r="C26846" t="s">
        <v>11966</v>
      </c>
      <c r="D26846">
        <v>0</v>
      </c>
      <c r="E26846">
        <v>0</v>
      </c>
      <c r="F26846">
        <v>74</v>
      </c>
    </row>
    <row r="26847" spans="1:6" ht="12.75">
      <c r="A26847" s="2">
        <v>43875.684756944444</v>
      </c>
      <c r="B26847" t="str">
        <f>HYPERLINK("https://twitter.com/NamungAbdiGusti","@NamungAbdiGusti")</f>
        <v>@NamungAbdiGusti</v>
      </c>
      <c r="C26847" t="s">
        <v>11967</v>
      </c>
      <c r="D26847">
        <v>0</v>
      </c>
      <c r="E26847">
        <v>0</v>
      </c>
      <c r="F26847">
        <v>478</v>
      </c>
    </row>
    <row r="26848" spans="1:6" ht="12.75">
      <c r="A26848" s="2">
        <v>43875.684733796297</v>
      </c>
      <c r="B26848" t="str">
        <f>HYPERLINK("https://twitter.com/mujibakm","@mujibakm")</f>
        <v>@mujibakm</v>
      </c>
      <c r="C26848" t="s">
        <v>11968</v>
      </c>
      <c r="D26848">
        <v>0</v>
      </c>
      <c r="E26848">
        <v>0</v>
      </c>
      <c r="F26848">
        <v>470</v>
      </c>
    </row>
    <row r="26849" spans="1:6" ht="12.75">
      <c r="A26849" s="2">
        <v>43875.684710648144</v>
      </c>
      <c r="B26849" t="str">
        <f>HYPERLINK("https://twitter.com/myidviri","@myidviri")</f>
        <v>@myidviri</v>
      </c>
      <c r="C26849" t="s">
        <v>6201</v>
      </c>
      <c r="D26849">
        <v>49</v>
      </c>
      <c r="E26849">
        <v>0</v>
      </c>
      <c r="F26849">
        <v>580</v>
      </c>
    </row>
    <row r="26850" spans="1:6" ht="12.75">
      <c r="A26850" s="2">
        <v>43875.684699074074</v>
      </c>
      <c r="B26850" t="str">
        <f>HYPERLINK("https://twitter.com/SusilawatiSisi2","@SusilawatiSisi2")</f>
        <v>@SusilawatiSisi2</v>
      </c>
      <c r="C26850" t="s">
        <v>11969</v>
      </c>
      <c r="D26850">
        <v>0</v>
      </c>
      <c r="E26850">
        <v>1</v>
      </c>
      <c r="F26850">
        <v>3382</v>
      </c>
    </row>
    <row r="26851" spans="1:6" ht="12.75">
      <c r="A26851" s="2">
        <v>43875.684699074074</v>
      </c>
      <c r="B26851" t="str">
        <f>HYPERLINK("https://twitter.com/diahkusumo_","@diahkusumo_")</f>
        <v>@diahkusumo_</v>
      </c>
      <c r="C26851" t="s">
        <v>2137</v>
      </c>
      <c r="D26851">
        <v>138</v>
      </c>
      <c r="E26851">
        <v>0</v>
      </c>
      <c r="F26851">
        <v>1245</v>
      </c>
    </row>
    <row r="26852" spans="1:6" ht="12.75">
      <c r="A26852" s="2">
        <v>43875.684664351851</v>
      </c>
      <c r="B26852" t="str">
        <f>HYPERLINK("https://twitter.com/TrioMacari2000","@TrioMacari2000")</f>
        <v>@TrioMacari2000</v>
      </c>
      <c r="C26852" t="s">
        <v>6201</v>
      </c>
      <c r="D26852">
        <v>49</v>
      </c>
      <c r="E26852">
        <v>0</v>
      </c>
      <c r="F26852">
        <v>6503</v>
      </c>
    </row>
    <row r="26853" spans="1:6" ht="12.75">
      <c r="A26853" s="2">
        <v>43875.684594907405</v>
      </c>
      <c r="B26853" t="str">
        <f>HYPERLINK("https://twitter.com/Jossie_w15","@Jossie_w15")</f>
        <v>@Jossie_w15</v>
      </c>
      <c r="C26853" t="s">
        <v>11970</v>
      </c>
      <c r="D26853">
        <v>0</v>
      </c>
      <c r="E26853">
        <v>0</v>
      </c>
      <c r="F26853">
        <v>2</v>
      </c>
    </row>
    <row r="26854" spans="1:6" ht="12.75">
      <c r="A26854" s="2">
        <v>43875.684594907405</v>
      </c>
      <c r="B26854" t="str">
        <f>HYPERLINK("https://twitter.com/canorysav","@canorysav")</f>
        <v>@canorysav</v>
      </c>
      <c r="C26854" t="s">
        <v>11971</v>
      </c>
      <c r="D26854">
        <v>0</v>
      </c>
      <c r="E26854">
        <v>0</v>
      </c>
      <c r="F26854">
        <v>721</v>
      </c>
    </row>
    <row r="26855" spans="1:6" ht="12.75">
      <c r="A26855" s="2">
        <v>43875.684571759259</v>
      </c>
      <c r="B26855" t="str">
        <f>HYPERLINK("https://twitter.com/VisionGlobal18","@VisionGlobal18")</f>
        <v>@VisionGlobal18</v>
      </c>
      <c r="C26855" t="s">
        <v>9538</v>
      </c>
      <c r="D26855">
        <v>144</v>
      </c>
      <c r="E26855">
        <v>0</v>
      </c>
      <c r="F26855">
        <v>1054</v>
      </c>
    </row>
    <row r="26856" spans="1:6" ht="12.75">
      <c r="A26856" s="2">
        <v>43875.684537037036</v>
      </c>
      <c r="B26856" t="str">
        <f>HYPERLINK("https://twitter.com/phewsizzle","@phewsizzle")</f>
        <v>@phewsizzle</v>
      </c>
      <c r="C26856" t="s">
        <v>2444</v>
      </c>
      <c r="D26856">
        <v>1638</v>
      </c>
      <c r="E26856">
        <v>0</v>
      </c>
      <c r="F26856">
        <v>3881</v>
      </c>
    </row>
    <row r="26857" spans="1:6" ht="12.75">
      <c r="A26857" s="2">
        <v>43875.684398148151</v>
      </c>
      <c r="B26857" t="str">
        <f>HYPERLINK("https://twitter.com/jjsengui","@jjsengui")</f>
        <v>@jjsengui</v>
      </c>
      <c r="C26857" t="s">
        <v>11806</v>
      </c>
      <c r="D26857">
        <v>5</v>
      </c>
      <c r="E26857">
        <v>0</v>
      </c>
      <c r="F26857">
        <v>828</v>
      </c>
    </row>
    <row r="26858" spans="1:6" ht="12.75">
      <c r="A26858" s="2">
        <v>43875.684363425928</v>
      </c>
      <c r="B26858" t="str">
        <f>HYPERLINK("https://twitter.com/Mata__Dewa_","@Mata__Dewa_")</f>
        <v>@Mata__Dewa_</v>
      </c>
      <c r="C26858" t="s">
        <v>11095</v>
      </c>
      <c r="D26858">
        <v>108</v>
      </c>
      <c r="E26858">
        <v>0</v>
      </c>
      <c r="F26858">
        <v>29</v>
      </c>
    </row>
    <row r="26859" spans="1:6" ht="12.75">
      <c r="A26859" s="2">
        <v>43875.684340277774</v>
      </c>
      <c r="B26859" t="str">
        <f>HYPERLINK("https://twitter.com/Bimasenna","@Bimasenna")</f>
        <v>@Bimasenna</v>
      </c>
      <c r="C26859" t="s">
        <v>11972</v>
      </c>
      <c r="D26859">
        <v>1</v>
      </c>
      <c r="E26859">
        <v>0</v>
      </c>
      <c r="F26859">
        <v>136</v>
      </c>
    </row>
    <row r="26860" spans="1:6" ht="12.75">
      <c r="A26860" s="2">
        <v>43875.684293981481</v>
      </c>
      <c r="B26860" t="str">
        <f>HYPERLINK("https://twitter.com/gitarlistrik","@gitarlistrik")</f>
        <v>@gitarlistrik</v>
      </c>
      <c r="C26860" t="s">
        <v>2137</v>
      </c>
      <c r="D26860">
        <v>138</v>
      </c>
      <c r="E26860">
        <v>0</v>
      </c>
      <c r="F26860">
        <v>525</v>
      </c>
    </row>
    <row r="26861" spans="1:6" ht="12.75">
      <c r="A26861" s="2">
        <v>43875.684282407412</v>
      </c>
      <c r="B26861" t="str">
        <f>HYPERLINK("https://twitter.com/SasiKirono","@SasiKirono")</f>
        <v>@SasiKirono</v>
      </c>
      <c r="C26861" t="s">
        <v>11806</v>
      </c>
      <c r="D26861">
        <v>5</v>
      </c>
      <c r="E26861">
        <v>0</v>
      </c>
      <c r="F26861">
        <v>309</v>
      </c>
    </row>
    <row r="26862" spans="1:6" ht="12.75">
      <c r="A26862" s="2">
        <v>43875.684282407412</v>
      </c>
      <c r="B26862" t="str">
        <f>HYPERLINK("https://twitter.com/medcom_id","@medcom_id")</f>
        <v>@medcom_id</v>
      </c>
      <c r="C26862" t="s">
        <v>11973</v>
      </c>
      <c r="D26862">
        <v>0</v>
      </c>
      <c r="E26862">
        <v>0</v>
      </c>
      <c r="F26862">
        <v>18099</v>
      </c>
    </row>
    <row r="26863" spans="1:6" ht="12.75">
      <c r="A26863" s="2">
        <v>43875.684247685189</v>
      </c>
      <c r="B26863" t="str">
        <f>HYPERLINK("https://twitter.com/taeasdark","@taeasdark")</f>
        <v>@taeasdark</v>
      </c>
      <c r="C26863" t="s">
        <v>2444</v>
      </c>
      <c r="D26863">
        <v>1638</v>
      </c>
      <c r="E26863">
        <v>0</v>
      </c>
      <c r="F26863">
        <v>3803</v>
      </c>
    </row>
    <row r="26864" spans="1:6" ht="12.75">
      <c r="A26864" s="2">
        <v>43875.684247685189</v>
      </c>
      <c r="B26864" t="str">
        <f>HYPERLINK("https://twitter.com/katuralisme","@katuralisme")</f>
        <v>@katuralisme</v>
      </c>
      <c r="C26864" t="s">
        <v>11974</v>
      </c>
      <c r="D26864">
        <v>3</v>
      </c>
      <c r="E26864">
        <v>0</v>
      </c>
      <c r="F26864">
        <v>3005</v>
      </c>
    </row>
    <row r="26865" spans="1:6" ht="12.75">
      <c r="A26865" s="2">
        <v>43875.683888888889</v>
      </c>
      <c r="B26865" t="str">
        <f>HYPERLINK("https://twitter.com/Hamjawi1","@Hamjawi1")</f>
        <v>@Hamjawi1</v>
      </c>
      <c r="C26865" t="s">
        <v>7478</v>
      </c>
      <c r="D26865">
        <v>240</v>
      </c>
      <c r="E26865">
        <v>0</v>
      </c>
      <c r="F26865">
        <v>1483</v>
      </c>
    </row>
    <row r="26866" spans="1:6" ht="12.75">
      <c r="A26866" s="2">
        <v>43875.683854166666</v>
      </c>
      <c r="B26866" t="str">
        <f>HYPERLINK("https://twitter.com/IndonesiaRAW","@IndonesiaRAW")</f>
        <v>@IndonesiaRAW</v>
      </c>
      <c r="C26866" t="s">
        <v>11975</v>
      </c>
      <c r="D26866">
        <v>0</v>
      </c>
      <c r="E26866">
        <v>1</v>
      </c>
      <c r="F26866">
        <v>201861</v>
      </c>
    </row>
    <row r="26867" spans="1:6" ht="12.75">
      <c r="A26867" s="2">
        <v>43875.683842592596</v>
      </c>
      <c r="B26867" t="str">
        <f>HYPERLINK("https://twitter.com/nrizzaatiamir","@nrizzaatiamir")</f>
        <v>@nrizzaatiamir</v>
      </c>
      <c r="C26867" t="s">
        <v>9021</v>
      </c>
      <c r="D26867">
        <v>196</v>
      </c>
      <c r="E26867">
        <v>0</v>
      </c>
      <c r="F26867">
        <v>527</v>
      </c>
    </row>
    <row r="26868" spans="1:6" ht="12.75">
      <c r="A26868" s="2">
        <v>43875.683842592596</v>
      </c>
      <c r="B26868" t="str">
        <f>HYPERLINK("https://twitter.com/Garuda_Malam","@Garuda_Malam")</f>
        <v>@Garuda_Malam</v>
      </c>
      <c r="C26868" t="s">
        <v>11976</v>
      </c>
      <c r="D26868">
        <v>0</v>
      </c>
      <c r="E26868">
        <v>0</v>
      </c>
      <c r="F26868">
        <v>99</v>
      </c>
    </row>
    <row r="26869" spans="1:6" ht="12.75">
      <c r="A26869" s="2">
        <v>43875.68378472222</v>
      </c>
      <c r="B26869" t="str">
        <f>HYPERLINK("https://twitter.com/RadioElshinta","@RadioElshinta")</f>
        <v>@RadioElshinta</v>
      </c>
      <c r="C26869" t="s">
        <v>11977</v>
      </c>
      <c r="D26869">
        <v>1</v>
      </c>
      <c r="E26869">
        <v>4</v>
      </c>
      <c r="F26869">
        <v>3633203</v>
      </c>
    </row>
    <row r="26870" spans="1:6" ht="12.75">
      <c r="A26870" s="2">
        <v>43875.68377314815</v>
      </c>
      <c r="B26870" t="str">
        <f>HYPERLINK("https://twitter.com/AmandaKirana16","@AmandaKirana16")</f>
        <v>@AmandaKirana16</v>
      </c>
      <c r="C26870" t="s">
        <v>11095</v>
      </c>
      <c r="D26870">
        <v>108</v>
      </c>
      <c r="E26870">
        <v>0</v>
      </c>
      <c r="F26870">
        <v>97</v>
      </c>
    </row>
    <row r="26871" spans="1:6" ht="12.75">
      <c r="A26871" s="2">
        <v>43875.68372685185</v>
      </c>
      <c r="B26871" t="str">
        <f>HYPERLINK("https://twitter.com/raidgel","@raidgel")</f>
        <v>@raidgel</v>
      </c>
      <c r="C26871" t="s">
        <v>11978</v>
      </c>
      <c r="D26871">
        <v>2</v>
      </c>
      <c r="E26871">
        <v>0</v>
      </c>
      <c r="F26871">
        <v>308</v>
      </c>
    </row>
    <row r="26872" spans="1:6" ht="12.75">
      <c r="A26872" s="2">
        <v>43875.683692129634</v>
      </c>
      <c r="B26872" t="str">
        <f>HYPERLINK("https://twitter.com/hasi_faisal","@hasi_faisal")</f>
        <v>@hasi_faisal</v>
      </c>
      <c r="C26872" t="s">
        <v>2963</v>
      </c>
      <c r="D26872">
        <v>958</v>
      </c>
      <c r="E26872">
        <v>0</v>
      </c>
      <c r="F26872">
        <v>0</v>
      </c>
    </row>
    <row r="26873" spans="1:6" ht="12.75">
      <c r="A26873" s="2">
        <v>43875.68368055555</v>
      </c>
      <c r="B26873" t="str">
        <f>HYPERLINK("https://twitter.com/putihandrew","@putihandrew")</f>
        <v>@putihandrew</v>
      </c>
      <c r="C26873" t="s">
        <v>11979</v>
      </c>
      <c r="D26873">
        <v>0</v>
      </c>
      <c r="E26873">
        <v>0</v>
      </c>
      <c r="F26873">
        <v>531</v>
      </c>
    </row>
    <row r="26874" spans="1:6" ht="12.75">
      <c r="A26874" s="2">
        <v>43875.683634259258</v>
      </c>
      <c r="B26874" t="str">
        <f>HYPERLINK("https://twitter.com/fajrinhazmi","@fajrinhazmi")</f>
        <v>@fajrinhazmi</v>
      </c>
      <c r="C26874" t="s">
        <v>10593</v>
      </c>
      <c r="D26874">
        <v>40</v>
      </c>
      <c r="E26874">
        <v>0</v>
      </c>
      <c r="F26874">
        <v>253</v>
      </c>
    </row>
    <row r="26875" spans="1:6" ht="12.75">
      <c r="A26875" s="2">
        <v>43875.683634259258</v>
      </c>
      <c r="B26875" t="str">
        <f>HYPERLINK("https://twitter.com/hobiuaryee","@hobiuaryee")</f>
        <v>@hobiuaryee</v>
      </c>
      <c r="C26875" t="s">
        <v>2444</v>
      </c>
      <c r="D26875">
        <v>1638</v>
      </c>
      <c r="E26875">
        <v>0</v>
      </c>
      <c r="F26875">
        <v>1166</v>
      </c>
    </row>
    <row r="26876" spans="1:6" ht="12.75">
      <c r="A26876" s="2">
        <v>43875.683599537035</v>
      </c>
      <c r="B26876" t="str">
        <f>HYPERLINK("https://twitter.com/adizdizza","@adizdizza")</f>
        <v>@adizdizza</v>
      </c>
      <c r="C26876" t="s">
        <v>11980</v>
      </c>
      <c r="D26876">
        <v>0</v>
      </c>
      <c r="E26876">
        <v>0</v>
      </c>
      <c r="F26876">
        <v>472</v>
      </c>
    </row>
    <row r="26877" spans="1:6" ht="12.75">
      <c r="A26877" s="2">
        <v>43875.683576388888</v>
      </c>
      <c r="B26877" t="str">
        <f>HYPERLINK("https://twitter.com/gendro_kesesi","@gendro_kesesi")</f>
        <v>@gendro_kesesi</v>
      </c>
      <c r="C26877" t="s">
        <v>7478</v>
      </c>
      <c r="D26877">
        <v>240</v>
      </c>
      <c r="E26877">
        <v>0</v>
      </c>
      <c r="F26877">
        <v>947</v>
      </c>
    </row>
    <row r="26878" spans="1:6" ht="12.75">
      <c r="A26878" s="2">
        <v>43875.683541666665</v>
      </c>
      <c r="B26878" t="str">
        <f>HYPERLINK("https://twitter.com/AhmadSamuvie","@AhmadSamuvie")</f>
        <v>@AhmadSamuvie</v>
      </c>
      <c r="C26878" t="s">
        <v>5168</v>
      </c>
      <c r="D26878">
        <v>789</v>
      </c>
      <c r="E26878">
        <v>0</v>
      </c>
      <c r="F26878">
        <v>1052</v>
      </c>
    </row>
    <row r="26879" spans="1:6" ht="12.75">
      <c r="A26879" s="2">
        <v>43875.683472222227</v>
      </c>
      <c r="B26879" t="str">
        <f>HYPERLINK("https://twitter.com/GudangUyah13","@GudangUyah13")</f>
        <v>@GudangUyah13</v>
      </c>
      <c r="C26879" t="s">
        <v>11095</v>
      </c>
      <c r="D26879">
        <v>108</v>
      </c>
      <c r="E26879">
        <v>0</v>
      </c>
      <c r="F26879">
        <v>111</v>
      </c>
    </row>
    <row r="26880" spans="1:6" ht="12.75">
      <c r="A26880" s="2">
        <v>43875.683437500003</v>
      </c>
      <c r="B26880" t="str">
        <f>HYPERLINK("https://twitter.com/becak125cc","@becak125cc")</f>
        <v>@becak125cc</v>
      </c>
      <c r="C26880" t="s">
        <v>10422</v>
      </c>
      <c r="D26880">
        <v>96</v>
      </c>
      <c r="E26880">
        <v>0</v>
      </c>
      <c r="F26880">
        <v>498</v>
      </c>
    </row>
    <row r="26881" spans="1:6" ht="12.75">
      <c r="A26881" s="2">
        <v>43875.68340277778</v>
      </c>
      <c r="B26881" t="str">
        <f>HYPERLINK("https://twitter.com/fajrinhazmi","@fajrinhazmi")</f>
        <v>@fajrinhazmi</v>
      </c>
      <c r="C26881" t="s">
        <v>10052</v>
      </c>
      <c r="D26881">
        <v>24</v>
      </c>
      <c r="E26881">
        <v>0</v>
      </c>
      <c r="F26881">
        <v>253</v>
      </c>
    </row>
    <row r="26882" spans="1:6" ht="12.75">
      <c r="A26882" s="2">
        <v>43875.68340277778</v>
      </c>
      <c r="B26882" t="str">
        <f>HYPERLINK("https://twitter.com/mujibakm","@mujibakm")</f>
        <v>@mujibakm</v>
      </c>
      <c r="C26882" t="s">
        <v>11981</v>
      </c>
      <c r="D26882">
        <v>0</v>
      </c>
      <c r="E26882">
        <v>0</v>
      </c>
      <c r="F26882">
        <v>470</v>
      </c>
    </row>
    <row r="26883" spans="1:6" ht="12.75">
      <c r="A26883" s="2">
        <v>43875.683333333334</v>
      </c>
      <c r="B26883" t="str">
        <f>HYPERLINK("https://twitter.com/IndonesiaRAW","@IndonesiaRAW")</f>
        <v>@IndonesiaRAW</v>
      </c>
      <c r="C26883" t="s">
        <v>11982</v>
      </c>
      <c r="D26883">
        <v>0</v>
      </c>
      <c r="E26883">
        <v>1</v>
      </c>
      <c r="F26883">
        <v>201861</v>
      </c>
    </row>
    <row r="26884" spans="1:6" ht="12.75">
      <c r="A26884" s="2">
        <v>43875.683310185181</v>
      </c>
      <c r="B26884" t="str">
        <f>HYPERLINK("https://twitter.com/DeviaGayatri","@DeviaGayatri")</f>
        <v>@DeviaGayatri</v>
      </c>
      <c r="C26884" t="s">
        <v>11095</v>
      </c>
      <c r="D26884">
        <v>108</v>
      </c>
      <c r="E26884">
        <v>0</v>
      </c>
      <c r="F26884">
        <v>112</v>
      </c>
    </row>
    <row r="26885" spans="1:6" ht="12.75">
      <c r="A26885" s="2">
        <v>43875.683287037042</v>
      </c>
      <c r="B26885" t="str">
        <f>HYPERLINK("https://twitter.com/SoesantoPrayogi","@SoesantoPrayogi")</f>
        <v>@SoesantoPrayogi</v>
      </c>
      <c r="C26885" t="s">
        <v>9746</v>
      </c>
      <c r="D26885">
        <v>249</v>
      </c>
      <c r="E26885">
        <v>0</v>
      </c>
      <c r="F26885">
        <v>1273</v>
      </c>
    </row>
    <row r="26886" spans="1:6" ht="12.75">
      <c r="A26886" s="2">
        <v>43875.683229166665</v>
      </c>
      <c r="B26886" t="str">
        <f>HYPERLINK("https://twitter.com/Tricaesar4","@Tricaesar4")</f>
        <v>@Tricaesar4</v>
      </c>
      <c r="C26886" t="s">
        <v>9113</v>
      </c>
      <c r="D26886">
        <v>303</v>
      </c>
      <c r="E26886">
        <v>0</v>
      </c>
      <c r="F26886">
        <v>2</v>
      </c>
    </row>
    <row r="26887" spans="1:6" ht="12.75">
      <c r="A26887" s="2">
        <v>43875.683206018519</v>
      </c>
      <c r="B26887" t="str">
        <f>HYPERLINK("https://twitter.com/AlmaDelita","@AlmaDelita")</f>
        <v>@AlmaDelita</v>
      </c>
      <c r="C26887" t="s">
        <v>11095</v>
      </c>
      <c r="D26887">
        <v>108</v>
      </c>
      <c r="E26887">
        <v>0</v>
      </c>
      <c r="F26887">
        <v>106</v>
      </c>
    </row>
    <row r="26888" spans="1:6" ht="12.75">
      <c r="A26888" s="2">
        <v>43875.683182870373</v>
      </c>
      <c r="B26888" t="str">
        <f>HYPERLINK("https://twitter.com/isis_meurer","@isis_meurer")</f>
        <v>@isis_meurer</v>
      </c>
      <c r="C26888" t="s">
        <v>11983</v>
      </c>
      <c r="D26888">
        <v>0</v>
      </c>
      <c r="E26888">
        <v>0</v>
      </c>
      <c r="F26888">
        <v>701</v>
      </c>
    </row>
    <row r="26889" spans="1:6" ht="12.75">
      <c r="A26889" s="2">
        <v>43875.683159722219</v>
      </c>
      <c r="B26889" t="str">
        <f>HYPERLINK("https://twitter.com/salamakalsehat","@salamakalsehat")</f>
        <v>@salamakalsehat</v>
      </c>
      <c r="C26889" t="s">
        <v>6201</v>
      </c>
      <c r="D26889">
        <v>50</v>
      </c>
      <c r="E26889">
        <v>0</v>
      </c>
      <c r="F26889">
        <v>1124</v>
      </c>
    </row>
    <row r="26890" spans="1:6" ht="12.75">
      <c r="A26890" s="2">
        <v>43875.683124999996</v>
      </c>
      <c r="B26890" t="str">
        <f>HYPERLINK("https://twitter.com/GetukDangdeur","@GetukDangdeur")</f>
        <v>@GetukDangdeur</v>
      </c>
      <c r="C26890" t="s">
        <v>6201</v>
      </c>
      <c r="D26890">
        <v>50</v>
      </c>
      <c r="E26890">
        <v>0</v>
      </c>
      <c r="F26890">
        <v>2489</v>
      </c>
    </row>
    <row r="26891" spans="1:6" ht="12.75">
      <c r="A26891" s="2">
        <v>43875.683124999996</v>
      </c>
      <c r="B26891" t="str">
        <f>HYPERLINK("https://twitter.com/Cobalagibuatsa1","@Cobalagibuatsa1")</f>
        <v>@Cobalagibuatsa1</v>
      </c>
      <c r="C26891" t="s">
        <v>5168</v>
      </c>
      <c r="D26891">
        <v>789</v>
      </c>
      <c r="E26891">
        <v>0</v>
      </c>
      <c r="F26891">
        <v>16</v>
      </c>
    </row>
    <row r="26892" spans="1:6" ht="12.75">
      <c r="A26892" s="2">
        <v>43875.683055555557</v>
      </c>
      <c r="B26892" t="str">
        <f>HYPERLINK("https://twitter.com/attimesbonny","@attimesbonny")</f>
        <v>@attimesbonny</v>
      </c>
      <c r="C26892" t="s">
        <v>5168</v>
      </c>
      <c r="D26892">
        <v>789</v>
      </c>
      <c r="E26892">
        <v>0</v>
      </c>
      <c r="F26892">
        <v>1048</v>
      </c>
    </row>
    <row r="26893" spans="1:6" ht="12.75">
      <c r="A26893" s="2">
        <v>43875.683032407411</v>
      </c>
      <c r="B26893" t="str">
        <f>HYPERLINK("https://twitter.com/akulankoe","@akulankoe")</f>
        <v>@akulankoe</v>
      </c>
      <c r="C26893" t="s">
        <v>11095</v>
      </c>
      <c r="D26893">
        <v>108</v>
      </c>
      <c r="E26893">
        <v>0</v>
      </c>
      <c r="F26893">
        <v>41</v>
      </c>
    </row>
    <row r="26894" spans="1:6" ht="12.75">
      <c r="A26894" s="2">
        <v>43875.683009259257</v>
      </c>
      <c r="B26894" t="str">
        <f>HYPERLINK("https://twitter.com/aguos_kothak","@aguos_kothak")</f>
        <v>@aguos_kothak</v>
      </c>
      <c r="C26894" t="s">
        <v>11095</v>
      </c>
      <c r="D26894">
        <v>108</v>
      </c>
      <c r="E26894">
        <v>0</v>
      </c>
      <c r="F26894">
        <v>103</v>
      </c>
    </row>
    <row r="26895" spans="1:6" ht="12.75">
      <c r="A26895" s="2">
        <v>43875.682997685188</v>
      </c>
      <c r="B26895" t="str">
        <f>HYPERLINK("https://twitter.com/arddy_an","@arddy_an")</f>
        <v>@arddy_an</v>
      </c>
      <c r="C26895" t="s">
        <v>9746</v>
      </c>
      <c r="D26895">
        <v>249</v>
      </c>
      <c r="E26895">
        <v>0</v>
      </c>
      <c r="F26895">
        <v>867</v>
      </c>
    </row>
    <row r="26896" spans="1:6" ht="12.75">
      <c r="A26896" s="2">
        <v>43875.682951388888</v>
      </c>
      <c r="B26896" t="str">
        <f>HYPERLINK("https://twitter.com/tempodotco","@tempodotco")</f>
        <v>@tempodotco</v>
      </c>
      <c r="C26896" t="s">
        <v>11984</v>
      </c>
      <c r="D26896">
        <v>2</v>
      </c>
      <c r="E26896">
        <v>12</v>
      </c>
      <c r="F26896">
        <v>1702389</v>
      </c>
    </row>
    <row r="26897" spans="1:6" ht="12.75">
      <c r="A26897" s="2">
        <v>43875.682939814811</v>
      </c>
      <c r="B26897" t="str">
        <f>HYPERLINK("https://twitter.com/anak_ahensi","@anak_ahensi")</f>
        <v>@anak_ahensi</v>
      </c>
      <c r="C26897" t="s">
        <v>2444</v>
      </c>
      <c r="D26897">
        <v>1638</v>
      </c>
      <c r="E26897">
        <v>0</v>
      </c>
      <c r="F26897">
        <v>483</v>
      </c>
    </row>
    <row r="26898" spans="1:6" ht="12.75">
      <c r="A26898" s="2">
        <v>43875.682916666672</v>
      </c>
      <c r="B26898" t="str">
        <f>HYPERLINK("https://twitter.com/TahuGimbal5","@TahuGimbal5")</f>
        <v>@TahuGimbal5</v>
      </c>
      <c r="C26898" t="s">
        <v>11095</v>
      </c>
      <c r="D26898">
        <v>108</v>
      </c>
      <c r="E26898">
        <v>0</v>
      </c>
      <c r="F26898">
        <v>106</v>
      </c>
    </row>
    <row r="26899" spans="1:6" ht="12.75">
      <c r="A26899" s="2">
        <v>43875.682881944449</v>
      </c>
      <c r="B26899" t="str">
        <f>HYPERLINK("https://twitter.com/pion_praponco","@pion_praponco")</f>
        <v>@pion_praponco</v>
      </c>
      <c r="C26899" t="s">
        <v>6201</v>
      </c>
      <c r="D26899">
        <v>50</v>
      </c>
      <c r="E26899">
        <v>0</v>
      </c>
      <c r="F26899">
        <v>788</v>
      </c>
    </row>
    <row r="26900" spans="1:6" ht="12.75">
      <c r="A26900" s="2">
        <v>43875.682824074072</v>
      </c>
      <c r="B26900" t="str">
        <f>HYPERLINK("https://twitter.com/agunggunawan_a","@agunggunawan_a")</f>
        <v>@agunggunawan_a</v>
      </c>
      <c r="C26900" t="s">
        <v>2444</v>
      </c>
      <c r="D26900">
        <v>1638</v>
      </c>
      <c r="E26900">
        <v>0</v>
      </c>
      <c r="F26900">
        <v>140</v>
      </c>
    </row>
    <row r="26901" spans="1:6" ht="12.75">
      <c r="A26901" s="2">
        <v>43875.682812500003</v>
      </c>
      <c r="B26901" t="str">
        <f>HYPERLINK("https://twitter.com/DadakanDigoreng","@DadakanDigoreng")</f>
        <v>@DadakanDigoreng</v>
      </c>
      <c r="C26901" t="s">
        <v>11095</v>
      </c>
      <c r="D26901">
        <v>108</v>
      </c>
      <c r="E26901">
        <v>0</v>
      </c>
      <c r="F26901">
        <v>105</v>
      </c>
    </row>
    <row r="26902" spans="1:6" ht="12.75">
      <c r="A26902" s="2">
        <v>43875.682743055557</v>
      </c>
      <c r="B26902" t="str">
        <f>HYPERLINK("https://twitter.com/Anti_Hoak","@Anti_Hoak")</f>
        <v>@Anti_Hoak</v>
      </c>
      <c r="C26902" t="s">
        <v>6201</v>
      </c>
      <c r="D26902">
        <v>50</v>
      </c>
      <c r="E26902">
        <v>0</v>
      </c>
      <c r="F26902">
        <v>885</v>
      </c>
    </row>
    <row r="26903" spans="1:6" ht="12.75">
      <c r="A26903" s="2">
        <v>43875.682719907403</v>
      </c>
      <c r="B26903" t="str">
        <f>HYPERLINK("https://twitter.com/majisyafii","@majisyafii")</f>
        <v>@majisyafii</v>
      </c>
      <c r="C26903" t="s">
        <v>11806</v>
      </c>
      <c r="D26903">
        <v>5</v>
      </c>
      <c r="E26903">
        <v>0</v>
      </c>
      <c r="F26903">
        <v>1760</v>
      </c>
    </row>
    <row r="26904" spans="1:6" ht="12.75">
      <c r="A26904" s="2">
        <v>43875.682673611111</v>
      </c>
      <c r="B26904" t="str">
        <f>HYPERLINK("https://twitter.com/SambasSamsu61","@SambasSamsu61")</f>
        <v>@SambasSamsu61</v>
      </c>
      <c r="C26904" t="s">
        <v>10431</v>
      </c>
      <c r="D26904">
        <v>6</v>
      </c>
      <c r="E26904">
        <v>0</v>
      </c>
      <c r="F26904">
        <v>90</v>
      </c>
    </row>
    <row r="26905" spans="1:6" ht="12.75">
      <c r="A26905" s="2">
        <v>43875.682662037041</v>
      </c>
      <c r="B26905" t="str">
        <f>HYPERLINK("https://twitter.com/arddy_an","@arddy_an")</f>
        <v>@arddy_an</v>
      </c>
      <c r="C26905" t="s">
        <v>10096</v>
      </c>
      <c r="D26905">
        <v>143</v>
      </c>
      <c r="E26905">
        <v>0</v>
      </c>
      <c r="F26905">
        <v>867</v>
      </c>
    </row>
    <row r="26906" spans="1:6" ht="12.75">
      <c r="A26906" s="2">
        <v>43875.682627314818</v>
      </c>
      <c r="B26906" t="str">
        <f>HYPERLINK("https://twitter.com/megaa_amelia","@megaa_amelia")</f>
        <v>@megaa_amelia</v>
      </c>
      <c r="C26906" t="s">
        <v>11095</v>
      </c>
      <c r="D26906">
        <v>108</v>
      </c>
      <c r="E26906">
        <v>0</v>
      </c>
      <c r="F26906">
        <v>89</v>
      </c>
    </row>
    <row r="26907" spans="1:6" ht="12.75">
      <c r="A26907" s="2">
        <v>43875.682627314818</v>
      </c>
      <c r="B26907" t="str">
        <f>HYPERLINK("https://twitter.com/KJRI_Guangzhou","@KJRI_Guangzhou")</f>
        <v>@KJRI_Guangzhou</v>
      </c>
      <c r="C26907" t="s">
        <v>11985</v>
      </c>
      <c r="D26907">
        <v>0</v>
      </c>
      <c r="E26907">
        <v>0</v>
      </c>
      <c r="F26907">
        <v>633</v>
      </c>
    </row>
    <row r="26908" spans="1:6" ht="12.75">
      <c r="A26908" s="2">
        <v>43875.682615740741</v>
      </c>
      <c r="B26908" t="str">
        <f>HYPERLINK("https://twitter.com/Nana_Rosaa_","@Nana_Rosaa_")</f>
        <v>@Nana_Rosaa_</v>
      </c>
      <c r="C26908" t="s">
        <v>11986</v>
      </c>
      <c r="D26908">
        <v>1</v>
      </c>
      <c r="E26908">
        <v>0</v>
      </c>
      <c r="F26908">
        <v>9020</v>
      </c>
    </row>
    <row r="26909" spans="1:6" ht="12.75">
      <c r="A26909" s="2">
        <v>43875.682604166665</v>
      </c>
      <c r="B26909" t="str">
        <f>HYPERLINK("https://twitter.com/pzbrian","@pzbrian")</f>
        <v>@pzbrian</v>
      </c>
      <c r="C26909" t="s">
        <v>2444</v>
      </c>
      <c r="D26909">
        <v>1638</v>
      </c>
      <c r="E26909">
        <v>0</v>
      </c>
      <c r="F26909">
        <v>385</v>
      </c>
    </row>
    <row r="26910" spans="1:6" ht="12.75">
      <c r="A26910" s="2">
        <v>43875.682592592595</v>
      </c>
      <c r="B26910" t="str">
        <f>HYPERLINK("https://twitter.com/RA_drtjiptaning","@RA_drtjiptaning")</f>
        <v>@RA_drtjiptaning</v>
      </c>
      <c r="C26910" t="s">
        <v>11987</v>
      </c>
      <c r="D26910">
        <v>0</v>
      </c>
      <c r="E26910">
        <v>0</v>
      </c>
      <c r="F26910">
        <v>331</v>
      </c>
    </row>
    <row r="26911" spans="1:6" ht="12.75">
      <c r="A26911" s="2">
        <v>43875.682557870372</v>
      </c>
      <c r="B26911" t="str">
        <f>HYPERLINK("https://twitter.com/IndonesiaRAW","@IndonesiaRAW")</f>
        <v>@IndonesiaRAW</v>
      </c>
      <c r="C26911" t="s">
        <v>11988</v>
      </c>
      <c r="D26911">
        <v>0</v>
      </c>
      <c r="E26911">
        <v>1</v>
      </c>
      <c r="F26911">
        <v>201861</v>
      </c>
    </row>
    <row r="26912" spans="1:6" ht="12.75">
      <c r="A26912" s="2">
        <v>43875.682511574079</v>
      </c>
      <c r="B26912" t="str">
        <f>HYPERLINK("https://twitter.com/onghwang9508","@onghwang9508")</f>
        <v>@onghwang9508</v>
      </c>
      <c r="C26912" t="s">
        <v>11989</v>
      </c>
      <c r="D26912">
        <v>0</v>
      </c>
      <c r="E26912">
        <v>0</v>
      </c>
      <c r="F26912">
        <v>341</v>
      </c>
    </row>
    <row r="26913" spans="1:6" ht="12.75">
      <c r="A26913" s="2">
        <v>43875.682511574079</v>
      </c>
      <c r="B26913" t="str">
        <f>HYPERLINK("https://twitter.com/weploudly","@weploudly")</f>
        <v>@weploudly</v>
      </c>
      <c r="C26913" t="s">
        <v>8233</v>
      </c>
      <c r="D26913">
        <v>477</v>
      </c>
      <c r="E26913">
        <v>0</v>
      </c>
      <c r="F26913">
        <v>276</v>
      </c>
    </row>
    <row r="26914" spans="1:6" ht="12.75">
      <c r="A26914" s="2">
        <v>43875.682476851856</v>
      </c>
      <c r="B26914" t="str">
        <f>HYPERLINK("https://twitter.com/AlviaYeni","@AlviaYeni")</f>
        <v>@AlviaYeni</v>
      </c>
      <c r="C26914" t="s">
        <v>11095</v>
      </c>
      <c r="D26914">
        <v>108</v>
      </c>
      <c r="E26914">
        <v>0</v>
      </c>
      <c r="F26914">
        <v>91</v>
      </c>
    </row>
    <row r="26915" spans="1:6" ht="12.75">
      <c r="A26915" s="2">
        <v>43875.68246527778</v>
      </c>
      <c r="B26915" t="str">
        <f>HYPERLINK("https://twitter.com/widyous","@widyous")</f>
        <v>@widyous</v>
      </c>
      <c r="C26915" t="s">
        <v>9123</v>
      </c>
      <c r="D26915">
        <v>228</v>
      </c>
      <c r="E26915">
        <v>0</v>
      </c>
      <c r="F26915">
        <v>1519</v>
      </c>
    </row>
    <row r="26916" spans="1:6" ht="12.75">
      <c r="A26916" s="2">
        <v>43875.68240740741</v>
      </c>
      <c r="B26916" t="str">
        <f>HYPERLINK("https://twitter.com/Nilli_21","@Nilli_21")</f>
        <v>@Nilli_21</v>
      </c>
      <c r="C26916" t="s">
        <v>11095</v>
      </c>
      <c r="D26916">
        <v>108</v>
      </c>
      <c r="E26916">
        <v>0</v>
      </c>
      <c r="F26916">
        <v>229</v>
      </c>
    </row>
    <row r="26917" spans="1:6" ht="12.75">
      <c r="A26917" s="2">
        <v>43875.682372685187</v>
      </c>
      <c r="B26917" t="str">
        <f>HYPERLINK("https://twitter.com/widyous","@widyous")</f>
        <v>@widyous</v>
      </c>
      <c r="C26917" t="s">
        <v>2444</v>
      </c>
      <c r="D26917">
        <v>1638</v>
      </c>
      <c r="E26917">
        <v>0</v>
      </c>
      <c r="F26917">
        <v>1519</v>
      </c>
    </row>
    <row r="26918" spans="1:6" ht="12.75">
      <c r="A26918" s="2">
        <v>43875.68236111111</v>
      </c>
      <c r="B26918" t="str">
        <f>HYPERLINK("https://twitter.com/reinarivenska","@reinarivenska")</f>
        <v>@reinarivenska</v>
      </c>
      <c r="C26918" t="s">
        <v>2144</v>
      </c>
      <c r="D26918">
        <v>81</v>
      </c>
      <c r="E26918">
        <v>0</v>
      </c>
      <c r="F26918">
        <v>623</v>
      </c>
    </row>
    <row r="26919" spans="1:6" ht="12.75">
      <c r="A26919" s="2">
        <v>43875.682337962964</v>
      </c>
      <c r="B26919" t="str">
        <f>HYPERLINK("https://twitter.com/Rooster78B","@Rooster78B")</f>
        <v>@Rooster78B</v>
      </c>
      <c r="C26919" t="s">
        <v>6201</v>
      </c>
      <c r="D26919">
        <v>50</v>
      </c>
      <c r="E26919">
        <v>0</v>
      </c>
      <c r="F26919">
        <v>1595</v>
      </c>
    </row>
    <row r="26920" spans="1:6" ht="12.75">
      <c r="A26920" s="2">
        <v>43875.682303240741</v>
      </c>
      <c r="B26920" t="str">
        <f>HYPERLINK("https://twitter.com/makibao_indo","@makibao_indo")</f>
        <v>@makibao_indo</v>
      </c>
      <c r="C26920" t="s">
        <v>11095</v>
      </c>
      <c r="D26920">
        <v>108</v>
      </c>
      <c r="E26920">
        <v>0</v>
      </c>
      <c r="F26920">
        <v>645</v>
      </c>
    </row>
    <row r="26921" spans="1:6" ht="12.75">
      <c r="A26921" s="2">
        <v>43875.682291666672</v>
      </c>
      <c r="B26921" t="str">
        <f>HYPERLINK("https://twitter.com/fahrobby","@fahrobby")</f>
        <v>@fahrobby</v>
      </c>
      <c r="C26921" t="s">
        <v>9113</v>
      </c>
      <c r="D26921">
        <v>303</v>
      </c>
      <c r="E26921">
        <v>0</v>
      </c>
      <c r="F26921">
        <v>109</v>
      </c>
    </row>
    <row r="26922" spans="1:6" ht="12.75">
      <c r="A26922" s="2">
        <v>43875.682268518518</v>
      </c>
      <c r="B26922" t="str">
        <f>HYPERLINK("https://twitter.com/RositaAndrian12","@RositaAndrian12")</f>
        <v>@RositaAndrian12</v>
      </c>
      <c r="C26922" t="s">
        <v>11095</v>
      </c>
      <c r="D26922">
        <v>108</v>
      </c>
      <c r="E26922">
        <v>0</v>
      </c>
      <c r="F26922">
        <v>101</v>
      </c>
    </row>
    <row r="26923" spans="1:6" ht="12.75">
      <c r="A26923" s="2">
        <v>43875.682268518518</v>
      </c>
      <c r="B26923" t="str">
        <f>HYPERLINK("https://twitter.com/wolwol","@wolwol")</f>
        <v>@wolwol</v>
      </c>
      <c r="C26923" t="s">
        <v>11990</v>
      </c>
      <c r="D26923">
        <v>0</v>
      </c>
      <c r="E26923">
        <v>0</v>
      </c>
      <c r="F26923">
        <v>2402</v>
      </c>
    </row>
    <row r="26924" spans="1:6" ht="12.75">
      <c r="A26924" s="2">
        <v>43875.682222222225</v>
      </c>
      <c r="B26924" t="str">
        <f>HYPERLINK("https://twitter.com/HipHop74934648","@HipHop74934648")</f>
        <v>@HipHop74934648</v>
      </c>
      <c r="C26924" t="s">
        <v>11576</v>
      </c>
      <c r="D26924">
        <v>4</v>
      </c>
      <c r="E26924">
        <v>0</v>
      </c>
      <c r="F26924">
        <v>6358</v>
      </c>
    </row>
    <row r="26925" spans="1:6" ht="12.75">
      <c r="A26925" s="2">
        <v>43875.682210648149</v>
      </c>
      <c r="B26925" t="str">
        <f>HYPERLINK("https://twitter.com/EndjahH","@EndjahH")</f>
        <v>@EndjahH</v>
      </c>
      <c r="C26925" t="s">
        <v>11991</v>
      </c>
      <c r="D26925">
        <v>1</v>
      </c>
      <c r="E26925">
        <v>1</v>
      </c>
      <c r="F26925">
        <v>11533</v>
      </c>
    </row>
    <row r="26926" spans="1:6" ht="12.75">
      <c r="A26926" s="2">
        <v>43875.682152777779</v>
      </c>
      <c r="B26926" t="str">
        <f>HYPERLINK("https://twitter.com/HipHop74934648","@HipHop74934648")</f>
        <v>@HipHop74934648</v>
      </c>
      <c r="C26926" t="s">
        <v>11992</v>
      </c>
      <c r="D26926">
        <v>0</v>
      </c>
      <c r="E26926">
        <v>0</v>
      </c>
      <c r="F26926">
        <v>6358</v>
      </c>
    </row>
    <row r="26927" spans="1:6" ht="12.75">
      <c r="A26927" s="2">
        <v>43875.682094907403</v>
      </c>
      <c r="B26927" t="str">
        <f>HYPERLINK("https://twitter.com/erwinzulfikar","@erwinzulfikar")</f>
        <v>@erwinzulfikar</v>
      </c>
      <c r="C26927" t="s">
        <v>9746</v>
      </c>
      <c r="D26927">
        <v>249</v>
      </c>
      <c r="E26927">
        <v>0</v>
      </c>
      <c r="F26927">
        <v>431</v>
      </c>
    </row>
    <row r="26928" spans="1:6" ht="12.75">
      <c r="A26928" s="2">
        <v>43875.682037037041</v>
      </c>
      <c r="B26928" t="str">
        <f>HYPERLINK("https://twitter.com/geli_aaah","@geli_aaah")</f>
        <v>@geli_aaah</v>
      </c>
      <c r="C26928" t="s">
        <v>11095</v>
      </c>
      <c r="D26928">
        <v>108</v>
      </c>
      <c r="E26928">
        <v>0</v>
      </c>
      <c r="F26928">
        <v>99</v>
      </c>
    </row>
    <row r="26929" spans="1:6" ht="12.75">
      <c r="A26929" s="2">
        <v>43875.682025462964</v>
      </c>
      <c r="B26929" t="str">
        <f>HYPERLINK("https://twitter.com/andanaluthfi","@andanaluthfi")</f>
        <v>@andanaluthfi</v>
      </c>
      <c r="C26929" t="s">
        <v>2110</v>
      </c>
      <c r="D26929">
        <v>45</v>
      </c>
      <c r="E26929">
        <v>0</v>
      </c>
      <c r="F26929">
        <v>55</v>
      </c>
    </row>
    <row r="26930" spans="1:6" ht="12.75">
      <c r="A26930" s="2">
        <v>43875.682002314818</v>
      </c>
      <c r="B26930" t="str">
        <f>HYPERLINK("https://twitter.com/Nana_Rosaa_","@Nana_Rosaa_")</f>
        <v>@Nana_Rosaa_</v>
      </c>
      <c r="C26930" t="s">
        <v>11993</v>
      </c>
      <c r="D26930">
        <v>1</v>
      </c>
      <c r="E26930">
        <v>0</v>
      </c>
      <c r="F26930">
        <v>9020</v>
      </c>
    </row>
    <row r="26931" spans="1:6" ht="12.75">
      <c r="A26931" s="2">
        <v>43875.681956018518</v>
      </c>
      <c r="B26931" t="str">
        <f>HYPERLINK("https://twitter.com/pradnyathamitha","@pradnyathamitha")</f>
        <v>@pradnyathamitha</v>
      </c>
      <c r="C26931" t="s">
        <v>2444</v>
      </c>
      <c r="D26931">
        <v>1638</v>
      </c>
      <c r="E26931">
        <v>0</v>
      </c>
      <c r="F26931">
        <v>573</v>
      </c>
    </row>
    <row r="26932" spans="1:6" ht="12.75">
      <c r="A26932" s="2">
        <v>43875.681909722218</v>
      </c>
      <c r="B26932" t="str">
        <f>HYPERLINK("https://twitter.com/NadyaSifa1","@NadyaSifa1")</f>
        <v>@NadyaSifa1</v>
      </c>
      <c r="C26932" t="s">
        <v>11095</v>
      </c>
      <c r="D26932">
        <v>108</v>
      </c>
      <c r="E26932">
        <v>0</v>
      </c>
      <c r="F26932">
        <v>120</v>
      </c>
    </row>
    <row r="26933" spans="1:6" ht="12.75">
      <c r="A26933" s="2">
        <v>43875.681874999995</v>
      </c>
      <c r="B26933" t="str">
        <f>HYPERLINK("https://twitter.com/PDI_Perjuangan","@PDI_Perjuangan")</f>
        <v>@PDI_Perjuangan</v>
      </c>
      <c r="C26933" t="s">
        <v>11994</v>
      </c>
      <c r="D26933">
        <v>5</v>
      </c>
      <c r="E26933">
        <v>5</v>
      </c>
      <c r="F26933">
        <v>218857</v>
      </c>
    </row>
    <row r="26934" spans="1:6" ht="12.75">
      <c r="A26934" s="2">
        <v>43875.681851851856</v>
      </c>
      <c r="B26934" t="str">
        <f>HYPERLINK("https://twitter.com/galaxysilver_","@galaxysilver_")</f>
        <v>@galaxysilver_</v>
      </c>
      <c r="C26934" t="s">
        <v>2444</v>
      </c>
      <c r="D26934">
        <v>1638</v>
      </c>
      <c r="E26934">
        <v>0</v>
      </c>
      <c r="F26934">
        <v>231</v>
      </c>
    </row>
    <row r="26935" spans="1:6" ht="12.75">
      <c r="A26935" s="2">
        <v>43875.68178240741</v>
      </c>
      <c r="B26935" t="str">
        <f>HYPERLINK("https://twitter.com/PolitrikN","@PolitrikN")</f>
        <v>@PolitrikN</v>
      </c>
      <c r="C26935" t="s">
        <v>11095</v>
      </c>
      <c r="D26935">
        <v>108</v>
      </c>
      <c r="E26935">
        <v>0</v>
      </c>
      <c r="F26935">
        <v>134</v>
      </c>
    </row>
    <row r="26936" spans="1:6" ht="12.75">
      <c r="A26936" s="2">
        <v>43875.681747685187</v>
      </c>
      <c r="B26936" t="str">
        <f>HYPERLINK("https://twitter.com/ephraym8","@ephraym8")</f>
        <v>@ephraym8</v>
      </c>
      <c r="C26936" t="s">
        <v>11576</v>
      </c>
      <c r="D26936">
        <v>4</v>
      </c>
      <c r="E26936">
        <v>0</v>
      </c>
      <c r="F26936">
        <v>1114</v>
      </c>
    </row>
    <row r="26937" spans="1:6" ht="12.75">
      <c r="A26937" s="2">
        <v>43875.681701388894</v>
      </c>
      <c r="B26937" t="str">
        <f>HYPERLINK("https://twitter.com/PRFMnews","@PRFMnews")</f>
        <v>@PRFMnews</v>
      </c>
      <c r="C26937" t="s">
        <v>11995</v>
      </c>
      <c r="D26937">
        <v>1</v>
      </c>
      <c r="E26937">
        <v>2</v>
      </c>
      <c r="F26937">
        <v>242742</v>
      </c>
    </row>
    <row r="26938" spans="1:6" ht="12.75">
      <c r="A26938" s="2">
        <v>43875.68167824074</v>
      </c>
      <c r="B26938" t="str">
        <f>HYPERLINK("https://twitter.com/IndonesiaRAW","@IndonesiaRAW")</f>
        <v>@IndonesiaRAW</v>
      </c>
      <c r="C26938" t="s">
        <v>11996</v>
      </c>
      <c r="D26938">
        <v>0</v>
      </c>
      <c r="E26938">
        <v>1</v>
      </c>
      <c r="F26938">
        <v>201861</v>
      </c>
    </row>
    <row r="26939" spans="1:6" ht="12.75">
      <c r="A26939" s="2">
        <v>43875.681666666671</v>
      </c>
      <c r="B26939" t="str">
        <f>HYPERLINK("https://twitter.com/agungelsastra","@agungelsastra")</f>
        <v>@agungelsastra</v>
      </c>
      <c r="C26939" t="s">
        <v>10109</v>
      </c>
      <c r="D26939">
        <v>28</v>
      </c>
      <c r="E26939">
        <v>0</v>
      </c>
      <c r="F26939">
        <v>768</v>
      </c>
    </row>
    <row r="26940" spans="1:6" ht="12.75">
      <c r="A26940" s="2">
        <v>43875.681655092594</v>
      </c>
      <c r="B26940" t="str">
        <f>HYPERLINK("https://twitter.com/puntode_wa","@puntode_wa")</f>
        <v>@puntode_wa</v>
      </c>
      <c r="C26940" t="s">
        <v>11095</v>
      </c>
      <c r="D26940">
        <v>108</v>
      </c>
      <c r="E26940">
        <v>0</v>
      </c>
      <c r="F26940">
        <v>22</v>
      </c>
    </row>
    <row r="26941" spans="1:6" ht="12.75">
      <c r="A26941" s="2">
        <v>43875.681631944448</v>
      </c>
      <c r="B26941" t="str">
        <f>HYPERLINK("https://twitter.com/coraline_s","@coraline_s")</f>
        <v>@coraline_s</v>
      </c>
      <c r="C26941" t="s">
        <v>2444</v>
      </c>
      <c r="D26941">
        <v>1638</v>
      </c>
      <c r="E26941">
        <v>0</v>
      </c>
      <c r="F26941">
        <v>171</v>
      </c>
    </row>
    <row r="26942" spans="1:6" ht="12.75">
      <c r="A26942" s="2">
        <v>43875.681493055556</v>
      </c>
      <c r="B26942" t="str">
        <f>HYPERLINK("https://twitter.com/arfibambani","@arfibambani")</f>
        <v>@arfibambani</v>
      </c>
      <c r="C26942" t="s">
        <v>11974</v>
      </c>
      <c r="D26942">
        <v>3</v>
      </c>
      <c r="E26942">
        <v>0</v>
      </c>
      <c r="F26942">
        <v>8004</v>
      </c>
    </row>
    <row r="26943" spans="1:6" ht="12.75">
      <c r="A26943" s="2">
        <v>43875.681481481486</v>
      </c>
      <c r="B26943" t="str">
        <f>HYPERLINK("https://twitter.com/matamerah01","@matamerah01")</f>
        <v>@matamerah01</v>
      </c>
      <c r="C26943" t="s">
        <v>11095</v>
      </c>
      <c r="D26943">
        <v>108</v>
      </c>
      <c r="E26943">
        <v>0</v>
      </c>
      <c r="F26943">
        <v>307</v>
      </c>
    </row>
    <row r="26944" spans="1:6" ht="12.75">
      <c r="A26944" s="2">
        <v>43875.681469907402</v>
      </c>
      <c r="B26944" t="str">
        <f>HYPERLINK("https://twitter.com/nakula_la","@nakula_la")</f>
        <v>@nakula_la</v>
      </c>
      <c r="C26944" t="s">
        <v>11095</v>
      </c>
      <c r="D26944">
        <v>108</v>
      </c>
      <c r="E26944">
        <v>0</v>
      </c>
      <c r="F26944">
        <v>42</v>
      </c>
    </row>
    <row r="26945" spans="1:6" ht="12.75">
      <c r="A26945" s="2">
        <v>43875.681435185186</v>
      </c>
      <c r="B26945" t="str">
        <f>HYPERLINK("https://twitter.com/Arya29449000","@Arya29449000")</f>
        <v>@Arya29449000</v>
      </c>
      <c r="C26945" t="s">
        <v>11773</v>
      </c>
      <c r="D26945">
        <v>9</v>
      </c>
      <c r="E26945">
        <v>0</v>
      </c>
      <c r="F26945">
        <v>1415</v>
      </c>
    </row>
    <row r="26946" spans="1:6" ht="12.75">
      <c r="A26946" s="2">
        <v>43875.681423611109</v>
      </c>
      <c r="B26946" t="str">
        <f>HYPERLINK("https://twitter.com/Pradepta_","@Pradepta_")</f>
        <v>@Pradepta_</v>
      </c>
      <c r="C26946" t="s">
        <v>10593</v>
      </c>
      <c r="D26946">
        <v>40</v>
      </c>
      <c r="E26946">
        <v>0</v>
      </c>
      <c r="F26946">
        <v>1377</v>
      </c>
    </row>
    <row r="26947" spans="1:6" ht="12.75">
      <c r="A26947" s="2">
        <v>43875.681388888886</v>
      </c>
      <c r="B26947" t="str">
        <f>HYPERLINK("https://twitter.com/Balinese_Kitty","@Balinese_Kitty")</f>
        <v>@Balinese_Kitty</v>
      </c>
      <c r="C26947" t="s">
        <v>11095</v>
      </c>
      <c r="D26947">
        <v>108</v>
      </c>
      <c r="E26947">
        <v>0</v>
      </c>
      <c r="F26947">
        <v>28</v>
      </c>
    </row>
    <row r="26948" spans="1:6" ht="12.75">
      <c r="A26948" s="2">
        <v>43875.68136574074</v>
      </c>
      <c r="B26948" t="str">
        <f>HYPERLINK("https://twitter.com/hiorny","@hiorny")</f>
        <v>@hiorny</v>
      </c>
      <c r="C26948" t="s">
        <v>2137</v>
      </c>
      <c r="D26948">
        <v>138</v>
      </c>
      <c r="E26948">
        <v>0</v>
      </c>
      <c r="F26948">
        <v>641</v>
      </c>
    </row>
    <row r="26949" spans="1:6" ht="12.75">
      <c r="A26949" s="2">
        <v>43875.681331018517</v>
      </c>
      <c r="B26949" t="str">
        <f>HYPERLINK("https://twitter.com/cryybbiezz","@cryybbiezz")</f>
        <v>@cryybbiezz</v>
      </c>
      <c r="C26949" t="s">
        <v>9123</v>
      </c>
      <c r="D26949">
        <v>228</v>
      </c>
      <c r="E26949">
        <v>0</v>
      </c>
      <c r="F26949">
        <v>114</v>
      </c>
    </row>
    <row r="26950" spans="1:6" ht="12.75">
      <c r="A26950" s="2">
        <v>43875.681307870371</v>
      </c>
      <c r="B26950" t="str">
        <f>HYPERLINK("https://twitter.com/Sadewo22793981","@Sadewo22793981")</f>
        <v>@Sadewo22793981</v>
      </c>
      <c r="C26950" t="s">
        <v>2963</v>
      </c>
      <c r="D26950">
        <v>958</v>
      </c>
      <c r="E26950">
        <v>0</v>
      </c>
      <c r="F26950">
        <v>3</v>
      </c>
    </row>
    <row r="26951" spans="1:6" ht="12.75">
      <c r="A26951" s="2">
        <v>43875.681307870371</v>
      </c>
      <c r="B26951" t="str">
        <f>HYPERLINK("https://twitter.com/suaradotcom","@suaradotcom")</f>
        <v>@suaradotcom</v>
      </c>
      <c r="C26951" t="s">
        <v>11997</v>
      </c>
      <c r="D26951">
        <v>0</v>
      </c>
      <c r="E26951">
        <v>0</v>
      </c>
      <c r="F26951">
        <v>24156</v>
      </c>
    </row>
    <row r="26952" spans="1:6" ht="12.75">
      <c r="A26952" s="2">
        <v>43875.681296296301</v>
      </c>
      <c r="B26952" t="str">
        <f>HYPERLINK("https://twitter.com/91lines","@91lines")</f>
        <v>@91lines</v>
      </c>
      <c r="C26952" t="s">
        <v>11998</v>
      </c>
      <c r="D26952">
        <v>0</v>
      </c>
      <c r="E26952">
        <v>0</v>
      </c>
      <c r="F26952">
        <v>3389</v>
      </c>
    </row>
    <row r="26953" spans="1:6" ht="12.75">
      <c r="A26953" s="2">
        <v>43875.681296296301</v>
      </c>
      <c r="B26953" t="str">
        <f>HYPERLINK("https://twitter.com/LondoUstadz","@LondoUstadz")</f>
        <v>@LondoUstadz</v>
      </c>
      <c r="C26953" t="s">
        <v>11095</v>
      </c>
      <c r="D26953">
        <v>108</v>
      </c>
      <c r="E26953">
        <v>0</v>
      </c>
      <c r="F26953">
        <v>28</v>
      </c>
    </row>
    <row r="26954" spans="1:6" ht="12.75">
      <c r="A26954" s="2">
        <v>43875.681273148148</v>
      </c>
      <c r="B26954" t="str">
        <f>HYPERLINK("https://twitter.com/suaradotcom","@suaradotcom")</f>
        <v>@suaradotcom</v>
      </c>
      <c r="C26954" t="s">
        <v>11999</v>
      </c>
      <c r="D26954">
        <v>0</v>
      </c>
      <c r="E26954">
        <v>0</v>
      </c>
      <c r="F26954">
        <v>24156</v>
      </c>
    </row>
    <row r="26955" spans="1:6" ht="12.75">
      <c r="A26955" s="2">
        <v>43875.681157407409</v>
      </c>
      <c r="B26955" t="str">
        <f>HYPERLINK("https://twitter.com/Darmaningtyas","@Darmaningtyas")</f>
        <v>@Darmaningtyas</v>
      </c>
      <c r="C26955" t="s">
        <v>12000</v>
      </c>
      <c r="D26955">
        <v>0</v>
      </c>
      <c r="E26955">
        <v>0</v>
      </c>
      <c r="F26955">
        <v>35469</v>
      </c>
    </row>
    <row r="26956" spans="1:6" ht="12.75">
      <c r="A26956" s="2">
        <v>43875.681122685186</v>
      </c>
      <c r="B26956" t="str">
        <f>HYPERLINK("https://twitter.com/NganuUstadz","@NganuUstadz")</f>
        <v>@NganuUstadz</v>
      </c>
      <c r="C26956" t="s">
        <v>11095</v>
      </c>
      <c r="D26956">
        <v>108</v>
      </c>
      <c r="E26956">
        <v>0</v>
      </c>
      <c r="F26956">
        <v>23</v>
      </c>
    </row>
    <row r="26957" spans="1:6" ht="12.75">
      <c r="A26957" s="2">
        <v>43875.681099537032</v>
      </c>
      <c r="B26957" t="str">
        <f>HYPERLINK("https://twitter.com/PejuangPaspor","@PejuangPaspor")</f>
        <v>@PejuangPaspor</v>
      </c>
      <c r="C26957" t="s">
        <v>12001</v>
      </c>
      <c r="D26957">
        <v>0</v>
      </c>
      <c r="E26957">
        <v>0</v>
      </c>
      <c r="F26957">
        <v>2154</v>
      </c>
    </row>
    <row r="26958" spans="1:6" ht="12.75">
      <c r="A26958" s="2">
        <v>43875.681006944447</v>
      </c>
      <c r="B26958" t="str">
        <f>HYPERLINK("https://twitter.com/muliawanramzy","@muliawanramzy")</f>
        <v>@muliawanramzy</v>
      </c>
      <c r="C26958" t="s">
        <v>12002</v>
      </c>
      <c r="D26958">
        <v>3</v>
      </c>
      <c r="E26958">
        <v>0</v>
      </c>
      <c r="F26958">
        <v>579</v>
      </c>
    </row>
    <row r="26959" spans="1:6" ht="12.75">
      <c r="A26959" s="2">
        <v>43875.680960648147</v>
      </c>
      <c r="B26959" t="str">
        <f>HYPERLINK("https://twitter.com/KangZulham","@KangZulham")</f>
        <v>@KangZulham</v>
      </c>
      <c r="C26959" t="s">
        <v>11095</v>
      </c>
      <c r="D26959">
        <v>108</v>
      </c>
      <c r="E26959">
        <v>0</v>
      </c>
      <c r="F26959">
        <v>44</v>
      </c>
    </row>
    <row r="26960" spans="1:6" ht="12.75">
      <c r="A26960" s="2">
        <v>43875.680937500001</v>
      </c>
      <c r="B26960" t="str">
        <f>HYPERLINK("https://twitter.com/IndonesiaRAW","@IndonesiaRAW")</f>
        <v>@IndonesiaRAW</v>
      </c>
      <c r="C26960" t="s">
        <v>12003</v>
      </c>
      <c r="D26960">
        <v>0</v>
      </c>
      <c r="E26960">
        <v>1</v>
      </c>
      <c r="F26960">
        <v>201861</v>
      </c>
    </row>
    <row r="26961" spans="1:6" ht="12.75">
      <c r="A26961" s="2">
        <v>43875.680914351848</v>
      </c>
      <c r="B26961" t="str">
        <f>HYPERLINK("https://twitter.com/belajarpolitrik","@belajarpolitrik")</f>
        <v>@belajarpolitrik</v>
      </c>
      <c r="C26961" t="s">
        <v>11095</v>
      </c>
      <c r="D26961">
        <v>108</v>
      </c>
      <c r="E26961">
        <v>0</v>
      </c>
      <c r="F26961">
        <v>848</v>
      </c>
    </row>
    <row r="26962" spans="1:6" ht="12.75">
      <c r="A26962" s="2">
        <v>43875.680891203709</v>
      </c>
      <c r="B26962" t="str">
        <f>HYPERLINK("https://twitter.com/doyantipsen","@doyantipsen")</f>
        <v>@doyantipsen</v>
      </c>
      <c r="C26962" t="s">
        <v>9123</v>
      </c>
      <c r="D26962">
        <v>228</v>
      </c>
      <c r="E26962">
        <v>0</v>
      </c>
      <c r="F26962">
        <v>1183</v>
      </c>
    </row>
    <row r="26963" spans="1:6" ht="12.75">
      <c r="A26963" s="2">
        <v>43875.680844907409</v>
      </c>
      <c r="B26963" t="str">
        <f>HYPERLINK("https://twitter.com/Penunggang_KRL","@Penunggang_KRL")</f>
        <v>@Penunggang_KRL</v>
      </c>
      <c r="C26963" t="s">
        <v>10422</v>
      </c>
      <c r="D26963">
        <v>96</v>
      </c>
      <c r="E26963">
        <v>0</v>
      </c>
      <c r="F26963">
        <v>344</v>
      </c>
    </row>
    <row r="26964" spans="1:6" ht="12.75">
      <c r="A26964" s="2">
        <v>43875.680787037039</v>
      </c>
      <c r="B26964" t="str">
        <f>HYPERLINK("https://twitter.com/Gun4w4nAhokers","@Gun4w4nAhokers")</f>
        <v>@Gun4w4nAhokers</v>
      </c>
      <c r="C26964" t="s">
        <v>12004</v>
      </c>
      <c r="D26964">
        <v>0</v>
      </c>
      <c r="E26964">
        <v>0</v>
      </c>
      <c r="F26964">
        <v>4166</v>
      </c>
    </row>
    <row r="26965" spans="1:6" ht="12.75">
      <c r="A26965" s="2">
        <v>43875.680659722224</v>
      </c>
      <c r="B26965" t="str">
        <f>HYPERLINK("https://twitter.com/__beritaterkini","@__beritaterkini")</f>
        <v>@__beritaterkini</v>
      </c>
      <c r="C26965" t="s">
        <v>12005</v>
      </c>
      <c r="D26965">
        <v>0</v>
      </c>
      <c r="E26965">
        <v>1</v>
      </c>
      <c r="F26965">
        <v>417</v>
      </c>
    </row>
    <row r="26966" spans="1:6" ht="12.75">
      <c r="A26966" s="2">
        <v>43875.680659722224</v>
      </c>
      <c r="B26966" t="str">
        <f>HYPERLINK("https://twitter.com/nafeul_md","@nafeul_md")</f>
        <v>@nafeul_md</v>
      </c>
      <c r="C26966" t="s">
        <v>9082</v>
      </c>
      <c r="D26966">
        <v>32</v>
      </c>
      <c r="E26966">
        <v>0</v>
      </c>
      <c r="F26966">
        <v>168</v>
      </c>
    </row>
    <row r="26967" spans="1:6" ht="12.75">
      <c r="A26967" s="2">
        <v>43875.680625000001</v>
      </c>
      <c r="B26967" t="str">
        <f>HYPERLINK("https://twitter.com/DaviraW","@DaviraW")</f>
        <v>@DaviraW</v>
      </c>
      <c r="C26967" t="s">
        <v>11095</v>
      </c>
      <c r="D26967">
        <v>108</v>
      </c>
      <c r="E26967">
        <v>0</v>
      </c>
      <c r="F26967">
        <v>254</v>
      </c>
    </row>
    <row r="26968" spans="1:6" ht="12.75">
      <c r="A26968" s="2">
        <v>43875.680578703701</v>
      </c>
      <c r="B26968" t="str">
        <f>HYPERLINK("https://twitter.com/munaroohh","@munaroohh")</f>
        <v>@munaroohh</v>
      </c>
      <c r="C26968" t="s">
        <v>11095</v>
      </c>
      <c r="D26968">
        <v>108</v>
      </c>
      <c r="E26968">
        <v>0</v>
      </c>
      <c r="F26968">
        <v>122</v>
      </c>
    </row>
    <row r="26969" spans="1:6" ht="12.75">
      <c r="A26969" s="2">
        <v>43875.680543981478</v>
      </c>
      <c r="B26969" t="str">
        <f>HYPERLINK("https://twitter.com/markonah51","@markonah51")</f>
        <v>@markonah51</v>
      </c>
      <c r="C26969" t="s">
        <v>11095</v>
      </c>
      <c r="D26969">
        <v>108</v>
      </c>
      <c r="E26969">
        <v>0</v>
      </c>
      <c r="F26969">
        <v>247</v>
      </c>
    </row>
    <row r="26970" spans="1:6" ht="12.75">
      <c r="A26970" s="2">
        <v>43875.680520833332</v>
      </c>
      <c r="B26970" t="str">
        <f>HYPERLINK("https://twitter.com/zarazettirazr","@zarazettirazr")</f>
        <v>@zarazettirazr</v>
      </c>
      <c r="C26970" t="s">
        <v>12006</v>
      </c>
      <c r="D26970">
        <v>4</v>
      </c>
      <c r="E26970">
        <v>10</v>
      </c>
      <c r="F26970">
        <v>250122</v>
      </c>
    </row>
    <row r="26971" spans="1:6" ht="12.75">
      <c r="A26971" s="2">
        <v>43875.680439814816</v>
      </c>
      <c r="B26971" t="str">
        <f>HYPERLINK("https://twitter.com/IndonesiaRAW","@IndonesiaRAW")</f>
        <v>@IndonesiaRAW</v>
      </c>
      <c r="C26971" t="s">
        <v>12007</v>
      </c>
      <c r="D26971">
        <v>0</v>
      </c>
      <c r="E26971">
        <v>1</v>
      </c>
      <c r="F26971">
        <v>201861</v>
      </c>
    </row>
    <row r="26972" spans="1:6" ht="12.75">
      <c r="A26972" s="2">
        <v>43875.680393518516</v>
      </c>
      <c r="B26972" t="str">
        <f>HYPERLINK("https://twitter.com/teguhprihandoko","@teguhprihandoko")</f>
        <v>@teguhprihandoko</v>
      </c>
      <c r="C26972" t="s">
        <v>175</v>
      </c>
      <c r="D26972">
        <v>5287</v>
      </c>
      <c r="E26972">
        <v>0</v>
      </c>
      <c r="F26972">
        <v>61</v>
      </c>
    </row>
    <row r="26973" spans="1:6" ht="12.75">
      <c r="A26973" s="2">
        <v>43875.680347222224</v>
      </c>
      <c r="B26973" t="str">
        <f>HYPERLINK("https://twitter.com/ahsanfurqanib10","@ahsanfurqanib10")</f>
        <v>@ahsanfurqanib10</v>
      </c>
      <c r="C26973" t="s">
        <v>9746</v>
      </c>
      <c r="D26973">
        <v>249</v>
      </c>
      <c r="E26973">
        <v>0</v>
      </c>
      <c r="F26973">
        <v>172</v>
      </c>
    </row>
    <row r="26974" spans="1:6" ht="12.75">
      <c r="A26974" s="2">
        <v>43875.680300925931</v>
      </c>
      <c r="B26974" t="str">
        <f>HYPERLINK("https://twitter.com/mougumou","@mougumou")</f>
        <v>@mougumou</v>
      </c>
      <c r="C26974" t="s">
        <v>2444</v>
      </c>
      <c r="D26974">
        <v>1638</v>
      </c>
      <c r="E26974">
        <v>0</v>
      </c>
      <c r="F26974">
        <v>21</v>
      </c>
    </row>
    <row r="26975" spans="1:6" ht="12.75">
      <c r="A26975" s="2">
        <v>43875.680208333331</v>
      </c>
      <c r="B26975" t="str">
        <f>HYPERLINK("https://twitter.com/lydadunna","@lydadunna")</f>
        <v>@lydadunna</v>
      </c>
      <c r="C26975" t="s">
        <v>2444</v>
      </c>
      <c r="D26975">
        <v>1638</v>
      </c>
      <c r="E26975">
        <v>0</v>
      </c>
      <c r="F26975">
        <v>408</v>
      </c>
    </row>
    <row r="26976" spans="1:6" ht="12.75">
      <c r="A26976" s="2">
        <v>43875.680196759262</v>
      </c>
      <c r="B26976" t="str">
        <f>HYPERLINK("https://twitter.com/Julia_Zeed","@Julia_Zeed")</f>
        <v>@Julia_Zeed</v>
      </c>
      <c r="C26976" t="s">
        <v>12008</v>
      </c>
      <c r="D26976">
        <v>0</v>
      </c>
      <c r="E26976">
        <v>0</v>
      </c>
      <c r="F26976">
        <v>2593</v>
      </c>
    </row>
    <row r="26977" spans="1:6" ht="12.75">
      <c r="A26977" s="2">
        <v>43875.680150462962</v>
      </c>
      <c r="B26977" t="str">
        <f>HYPERLINK("https://twitter.com/sang_alang","@sang_alang")</f>
        <v>@sang_alang</v>
      </c>
      <c r="C26977" t="s">
        <v>6201</v>
      </c>
      <c r="D26977">
        <v>50</v>
      </c>
      <c r="E26977">
        <v>0</v>
      </c>
      <c r="F26977">
        <v>3998</v>
      </c>
    </row>
    <row r="26978" spans="1:6" ht="12.75">
      <c r="A26978" s="2">
        <v>43875.679884259254</v>
      </c>
      <c r="B26978" t="str">
        <f>HYPERLINK("https://twitter.com/kompascom","@kompascom")</f>
        <v>@kompascom</v>
      </c>
      <c r="C26978" t="s">
        <v>12009</v>
      </c>
      <c r="D26978">
        <v>2</v>
      </c>
      <c r="E26978">
        <v>0</v>
      </c>
      <c r="F26978">
        <v>7497456</v>
      </c>
    </row>
    <row r="26979" spans="1:6" ht="12.75">
      <c r="A26979" s="2">
        <v>43875.679861111115</v>
      </c>
      <c r="B26979" t="str">
        <f>HYPERLINK("https://twitter.com/Djojodiningrat1","@Djojodiningrat1")</f>
        <v>@Djojodiningrat1</v>
      </c>
      <c r="C26979" t="s">
        <v>12010</v>
      </c>
      <c r="D26979">
        <v>0</v>
      </c>
      <c r="E26979">
        <v>0</v>
      </c>
      <c r="F26979">
        <v>41</v>
      </c>
    </row>
    <row r="26980" spans="1:6" ht="12.75">
      <c r="A26980" s="2">
        <v>43875.679745370369</v>
      </c>
      <c r="B26980" t="str">
        <f>HYPERLINK("https://twitter.com/itsoverbbyxx","@itsoverbbyxx")</f>
        <v>@itsoverbbyxx</v>
      </c>
      <c r="C26980" t="s">
        <v>2444</v>
      </c>
      <c r="D26980">
        <v>1638</v>
      </c>
      <c r="E26980">
        <v>0</v>
      </c>
      <c r="F26980">
        <v>415</v>
      </c>
    </row>
    <row r="26981" spans="1:6" ht="12.75">
      <c r="A26981" s="2">
        <v>43875.679733796293</v>
      </c>
      <c r="B26981" t="str">
        <f>HYPERLINK("https://twitter.com/republikaonline","@republikaonline")</f>
        <v>@republikaonline</v>
      </c>
      <c r="C26981" t="s">
        <v>12011</v>
      </c>
      <c r="D26981">
        <v>1</v>
      </c>
      <c r="E26981">
        <v>0</v>
      </c>
      <c r="F26981">
        <v>1210309</v>
      </c>
    </row>
    <row r="26982" spans="1:6" ht="12.75">
      <c r="A26982" s="2">
        <v>43875.679641203707</v>
      </c>
      <c r="B26982" t="str">
        <f>HYPERLINK("https://twitter.com/lialialee44","@lialialee44")</f>
        <v>@lialialee44</v>
      </c>
      <c r="C26982" t="s">
        <v>12012</v>
      </c>
      <c r="D26982">
        <v>0</v>
      </c>
      <c r="E26982">
        <v>1</v>
      </c>
      <c r="F26982">
        <v>132</v>
      </c>
    </row>
    <row r="26983" spans="1:6" ht="12.75">
      <c r="A26983" s="2">
        <v>43875.679629629631</v>
      </c>
      <c r="B26983" t="str">
        <f>HYPERLINK("https://twitter.com/coffeecream","@coffeecream")</f>
        <v>@coffeecream</v>
      </c>
      <c r="C26983" t="s">
        <v>10816</v>
      </c>
      <c r="D26983">
        <v>3</v>
      </c>
      <c r="E26983">
        <v>0</v>
      </c>
      <c r="F26983">
        <v>2434</v>
      </c>
    </row>
    <row r="26984" spans="1:6" ht="12.75">
      <c r="A26984" s="2">
        <v>43875.679571759261</v>
      </c>
      <c r="B26984" t="str">
        <f>HYPERLINK("https://twitter.com/Anti_Hoak","@Anti_Hoak")</f>
        <v>@Anti_Hoak</v>
      </c>
      <c r="C26984" t="s">
        <v>9746</v>
      </c>
      <c r="D26984">
        <v>249</v>
      </c>
      <c r="E26984">
        <v>0</v>
      </c>
      <c r="F26984">
        <v>885</v>
      </c>
    </row>
    <row r="26985" spans="1:6" ht="12.75">
      <c r="A26985" s="2">
        <v>43875.679560185185</v>
      </c>
      <c r="B26985" t="str">
        <f>HYPERLINK("https://twitter.com/SimbokYatun","@SimbokYatun")</f>
        <v>@SimbokYatun</v>
      </c>
      <c r="C26985" t="s">
        <v>11095</v>
      </c>
      <c r="D26985">
        <v>108</v>
      </c>
      <c r="E26985">
        <v>0</v>
      </c>
      <c r="F26985">
        <v>290</v>
      </c>
    </row>
    <row r="26986" spans="1:6" ht="12.75">
      <c r="A26986" s="2">
        <v>43875.679560185185</v>
      </c>
      <c r="B26986" t="str">
        <f>HYPERLINK("https://twitter.com/FaktaNew5","@FaktaNew5")</f>
        <v>@FaktaNew5</v>
      </c>
      <c r="C26986" t="s">
        <v>10357</v>
      </c>
      <c r="D26986">
        <v>0</v>
      </c>
      <c r="E26986">
        <v>0</v>
      </c>
      <c r="F26986">
        <v>173</v>
      </c>
    </row>
    <row r="26987" spans="1:6" ht="12.75">
      <c r="A26987" s="2">
        <v>43875.679537037038</v>
      </c>
      <c r="B26987" t="str">
        <f>HYPERLINK("https://twitter.com/kompasiana","@kompasiana")</f>
        <v>@kompasiana</v>
      </c>
      <c r="C26987" t="s">
        <v>12013</v>
      </c>
      <c r="D26987">
        <v>2</v>
      </c>
      <c r="E26987">
        <v>7</v>
      </c>
      <c r="F26987">
        <v>927874</v>
      </c>
    </row>
    <row r="26988" spans="1:6" ht="12.75">
      <c r="A26988" s="2">
        <v>43875.679537037038</v>
      </c>
      <c r="B26988" t="str">
        <f>HYPERLINK("https://twitter.com/mbok_minahh","@mbok_minahh")</f>
        <v>@mbok_minahh</v>
      </c>
      <c r="C26988" t="s">
        <v>11095</v>
      </c>
      <c r="D26988">
        <v>108</v>
      </c>
      <c r="E26988">
        <v>0</v>
      </c>
      <c r="F26988">
        <v>253</v>
      </c>
    </row>
    <row r="26989" spans="1:6" ht="12.75">
      <c r="A26989" s="2">
        <v>43875.679513888885</v>
      </c>
      <c r="B26989" t="str">
        <f>HYPERLINK("https://twitter.com/widia_nara","@widia_nara")</f>
        <v>@widia_nara</v>
      </c>
      <c r="C26989" t="s">
        <v>11095</v>
      </c>
      <c r="D26989">
        <v>108</v>
      </c>
      <c r="E26989">
        <v>0</v>
      </c>
      <c r="F26989">
        <v>254</v>
      </c>
    </row>
    <row r="26990" spans="1:6" ht="12.75">
      <c r="A26990" s="2">
        <v>43875.679490740746</v>
      </c>
      <c r="B26990" t="str">
        <f>HYPERLINK("https://twitter.com/tribunpontianak","@tribunpontianak")</f>
        <v>@tribunpontianak</v>
      </c>
      <c r="C26990" t="s">
        <v>12014</v>
      </c>
      <c r="D26990">
        <v>0</v>
      </c>
      <c r="E26990">
        <v>0</v>
      </c>
      <c r="F26990">
        <v>83946</v>
      </c>
    </row>
    <row r="26991" spans="1:6" ht="12.75">
      <c r="A26991" s="2">
        <v>43875.6794212963</v>
      </c>
      <c r="B26991" t="str">
        <f>HYPERLINK("https://twitter.com/deapradnyaaa","@deapradnyaaa")</f>
        <v>@deapradnyaaa</v>
      </c>
      <c r="C26991" t="s">
        <v>2444</v>
      </c>
      <c r="D26991">
        <v>1638</v>
      </c>
      <c r="E26991">
        <v>0</v>
      </c>
      <c r="F26991">
        <v>726</v>
      </c>
    </row>
    <row r="26992" spans="1:6" ht="12.75">
      <c r="A26992" s="2">
        <v>43875.679398148146</v>
      </c>
      <c r="B26992" t="str">
        <f>HYPERLINK("https://twitter.com/IndonesiaRAW","@IndonesiaRAW")</f>
        <v>@IndonesiaRAW</v>
      </c>
      <c r="C26992" t="s">
        <v>12015</v>
      </c>
      <c r="D26992">
        <v>0</v>
      </c>
      <c r="E26992">
        <v>1</v>
      </c>
      <c r="F26992">
        <v>201861</v>
      </c>
    </row>
    <row r="26993" spans="1:6" ht="12.75">
      <c r="A26993" s="2">
        <v>43875.679340277777</v>
      </c>
      <c r="B26993" t="str">
        <f>HYPERLINK("https://twitter.com/Terserahhhhh_","@Terserahhhhh_")</f>
        <v>@Terserahhhhh_</v>
      </c>
      <c r="C26993" t="s">
        <v>11095</v>
      </c>
      <c r="D26993">
        <v>108</v>
      </c>
      <c r="E26993">
        <v>0</v>
      </c>
      <c r="F26993">
        <v>24</v>
      </c>
    </row>
    <row r="26994" spans="1:6" ht="12.75">
      <c r="A26994" s="2">
        <v>43875.6793287037</v>
      </c>
      <c r="B26994" t="str">
        <f>HYPERLINK("https://twitter.com/maimuna30148967","@maimuna30148967")</f>
        <v>@maimuna30148967</v>
      </c>
      <c r="C26994" t="s">
        <v>12016</v>
      </c>
      <c r="D26994">
        <v>0</v>
      </c>
      <c r="E26994">
        <v>0</v>
      </c>
      <c r="F26994">
        <v>16</v>
      </c>
    </row>
    <row r="26995" spans="1:6" ht="12.75">
      <c r="A26995" s="2">
        <v>43875.67931712963</v>
      </c>
      <c r="B26995" t="str">
        <f>HYPERLINK("https://twitter.com/sm4rtduck","@sm4rtduck")</f>
        <v>@sm4rtduck</v>
      </c>
      <c r="C26995" t="s">
        <v>10096</v>
      </c>
      <c r="D26995">
        <v>143</v>
      </c>
      <c r="E26995">
        <v>0</v>
      </c>
      <c r="F26995">
        <v>376</v>
      </c>
    </row>
    <row r="26996" spans="1:6" ht="12.75">
      <c r="A26996" s="2">
        <v>43875.679178240738</v>
      </c>
      <c r="B26996" t="str">
        <f>HYPERLINK("https://twitter.com/nisarya_","@nisarya_")</f>
        <v>@nisarya_</v>
      </c>
      <c r="C26996" t="s">
        <v>6201</v>
      </c>
      <c r="D26996">
        <v>50</v>
      </c>
      <c r="E26996">
        <v>0</v>
      </c>
      <c r="F26996">
        <v>1617</v>
      </c>
    </row>
    <row r="26997" spans="1:6" ht="12.75">
      <c r="A26997" s="2">
        <v>43875.679143518515</v>
      </c>
      <c r="B26997" t="str">
        <f>HYPERLINK("https://twitter.com/aicapani","@aicapani")</f>
        <v>@aicapani</v>
      </c>
      <c r="C26997" t="s">
        <v>2444</v>
      </c>
      <c r="D26997">
        <v>1638</v>
      </c>
      <c r="E26997">
        <v>0</v>
      </c>
      <c r="F26997">
        <v>2050</v>
      </c>
    </row>
    <row r="26998" spans="1:6" ht="12.75">
      <c r="A26998" s="2">
        <v>43875.679143518515</v>
      </c>
      <c r="B26998" t="str">
        <f>HYPERLINK("https://twitter.com/auliorara","@auliorara")</f>
        <v>@auliorara</v>
      </c>
      <c r="C26998" t="s">
        <v>2444</v>
      </c>
      <c r="D26998">
        <v>1638</v>
      </c>
      <c r="E26998">
        <v>0</v>
      </c>
      <c r="F26998">
        <v>746</v>
      </c>
    </row>
    <row r="26999" spans="1:6" ht="12.75">
      <c r="A26999" s="2">
        <v>43875.679062499999</v>
      </c>
      <c r="B26999" t="str">
        <f>HYPERLINK("https://twitter.com/Aghamirzaukail3","@Aghamirzaukail3")</f>
        <v>@Aghamirzaukail3</v>
      </c>
      <c r="C26999" t="s">
        <v>7478</v>
      </c>
      <c r="D26999">
        <v>240</v>
      </c>
      <c r="E26999">
        <v>0</v>
      </c>
      <c r="F26999">
        <v>2347</v>
      </c>
    </row>
    <row r="27000" spans="1:6" ht="12.75">
      <c r="A27000" s="2">
        <v>43875.67905092593</v>
      </c>
      <c r="B27000" t="str">
        <f>HYPERLINK("https://twitter.com/setkabgoid","@setkabgoid")</f>
        <v>@setkabgoid</v>
      </c>
      <c r="C27000" t="s">
        <v>12017</v>
      </c>
      <c r="D27000">
        <v>5</v>
      </c>
      <c r="E27000">
        <v>14</v>
      </c>
      <c r="F27000">
        <v>1025213</v>
      </c>
    </row>
    <row r="27001" spans="1:6" ht="12.75">
      <c r="A27001" s="2">
        <v>43875.67900462963</v>
      </c>
      <c r="B27001" t="str">
        <f>HYPERLINK("https://twitter.com/guna1243","@guna1243")</f>
        <v>@guna1243</v>
      </c>
      <c r="C27001" t="s">
        <v>7478</v>
      </c>
      <c r="D27001">
        <v>240</v>
      </c>
      <c r="E27001">
        <v>0</v>
      </c>
      <c r="F27001">
        <v>179</v>
      </c>
    </row>
    <row r="27002" spans="1:6" ht="12.75">
      <c r="A27002" s="2">
        <v>43875.678842592592</v>
      </c>
      <c r="B27002" t="str">
        <f>HYPERLINK("https://twitter.com/Sehunnie_kyut","@Sehunnie_kyut")</f>
        <v>@Sehunnie_kyut</v>
      </c>
      <c r="C27002" t="s">
        <v>2444</v>
      </c>
      <c r="D27002">
        <v>1638</v>
      </c>
      <c r="E27002">
        <v>0</v>
      </c>
      <c r="F27002">
        <v>568</v>
      </c>
    </row>
    <row r="27003" spans="1:6" ht="12.75">
      <c r="A27003" s="2">
        <v>43875.678819444445</v>
      </c>
      <c r="B27003" t="str">
        <f>HYPERLINK("https://twitter.com/arfibambani","@arfibambani")</f>
        <v>@arfibambani</v>
      </c>
      <c r="C27003" t="s">
        <v>12018</v>
      </c>
      <c r="D27003">
        <v>1</v>
      </c>
      <c r="E27003">
        <v>0</v>
      </c>
      <c r="F27003">
        <v>8004</v>
      </c>
    </row>
    <row r="27004" spans="1:6" ht="12.75">
      <c r="A27004" s="2">
        <v>43875.678761574076</v>
      </c>
      <c r="B27004" t="str">
        <f>HYPERLINK("https://twitter.com/ToufikImtikhan2","@ToufikImtikhan2")</f>
        <v>@ToufikImtikhan2</v>
      </c>
      <c r="C27004" t="s">
        <v>12019</v>
      </c>
      <c r="D27004">
        <v>0</v>
      </c>
      <c r="E27004">
        <v>0</v>
      </c>
      <c r="F27004">
        <v>117</v>
      </c>
    </row>
    <row r="27005" spans="1:6" ht="12.75">
      <c r="A27005" s="2">
        <v>43875.678703703699</v>
      </c>
      <c r="B27005" t="str">
        <f>HYPERLINK("https://twitter.com/arfibambani","@arfibambani")</f>
        <v>@arfibambani</v>
      </c>
      <c r="C27005" t="s">
        <v>12020</v>
      </c>
      <c r="D27005">
        <v>1</v>
      </c>
      <c r="E27005">
        <v>0</v>
      </c>
      <c r="F27005">
        <v>8004</v>
      </c>
    </row>
    <row r="27006" spans="1:6" ht="12.75">
      <c r="A27006" s="2">
        <v>43875.67868055556</v>
      </c>
      <c r="B27006" t="str">
        <f>HYPERLINK("https://twitter.com/WenePapua1","@WenePapua1")</f>
        <v>@WenePapua1</v>
      </c>
      <c r="C27006" t="s">
        <v>10052</v>
      </c>
      <c r="D27006">
        <v>24</v>
      </c>
      <c r="E27006">
        <v>0</v>
      </c>
      <c r="F27006">
        <v>972</v>
      </c>
    </row>
    <row r="27007" spans="1:6" ht="12.75">
      <c r="A27007" s="2">
        <v>43875.678657407407</v>
      </c>
      <c r="B27007" t="str">
        <f>HYPERLINK("https://twitter.com/miaCantikku","@miaCantikku")</f>
        <v>@miaCantikku</v>
      </c>
      <c r="C27007" t="s">
        <v>175</v>
      </c>
      <c r="D27007">
        <v>5287</v>
      </c>
      <c r="E27007">
        <v>0</v>
      </c>
      <c r="F27007">
        <v>1795</v>
      </c>
    </row>
    <row r="27008" spans="1:6" ht="12.75">
      <c r="A27008" s="2">
        <v>43875.678564814814</v>
      </c>
      <c r="B27008" t="str">
        <f>HYPERLINK("https://twitter.com/masnurganteng","@masnurganteng")</f>
        <v>@masnurganteng</v>
      </c>
      <c r="C27008" t="s">
        <v>9746</v>
      </c>
      <c r="D27008">
        <v>249</v>
      </c>
      <c r="E27008">
        <v>0</v>
      </c>
      <c r="F27008">
        <v>115</v>
      </c>
    </row>
    <row r="27009" spans="1:6" ht="12.75">
      <c r="A27009" s="2">
        <v>43875.678449074076</v>
      </c>
      <c r="B27009" t="str">
        <f>HYPERLINK("https://twitter.com/DJSoemaskaro2","@DJSoemaskaro2")</f>
        <v>@DJSoemaskaro2</v>
      </c>
      <c r="C27009" t="s">
        <v>11659</v>
      </c>
      <c r="D27009">
        <v>68</v>
      </c>
      <c r="E27009">
        <v>0</v>
      </c>
      <c r="F27009">
        <v>153</v>
      </c>
    </row>
    <row r="27010" spans="1:6" ht="12.75">
      <c r="A27010" s="2">
        <v>43875.678391203706</v>
      </c>
      <c r="B27010" t="str">
        <f>HYPERLINK("https://twitter.com/abanglurus","@abanglurus")</f>
        <v>@abanglurus</v>
      </c>
      <c r="C27010" t="s">
        <v>10816</v>
      </c>
      <c r="D27010">
        <v>3</v>
      </c>
      <c r="E27010">
        <v>0</v>
      </c>
      <c r="F27010">
        <v>157</v>
      </c>
    </row>
    <row r="27011" spans="1:6" ht="12.75">
      <c r="A27011" s="2">
        <v>43875.678368055553</v>
      </c>
      <c r="B27011" t="str">
        <f>HYPERLINK("https://twitter.com/vulnerheary","@vulnerheary")</f>
        <v>@vulnerheary</v>
      </c>
      <c r="C27011" t="s">
        <v>2444</v>
      </c>
      <c r="D27011">
        <v>1638</v>
      </c>
      <c r="E27011">
        <v>0</v>
      </c>
      <c r="F27011">
        <v>1734</v>
      </c>
    </row>
    <row r="27012" spans="1:6" ht="12.75">
      <c r="A27012" s="2">
        <v>43875.678275462968</v>
      </c>
      <c r="B27012" t="str">
        <f>HYPERLINK("https://twitter.com/febbbbbyyyyy","@febbbbbyyyyy")</f>
        <v>@febbbbbyyyyy</v>
      </c>
      <c r="C27012" t="s">
        <v>2444</v>
      </c>
      <c r="D27012">
        <v>1638</v>
      </c>
      <c r="E27012">
        <v>0</v>
      </c>
      <c r="F27012">
        <v>1460</v>
      </c>
    </row>
    <row r="27013" spans="1:6" ht="12.75">
      <c r="A27013" s="2">
        <v>43875.678229166668</v>
      </c>
      <c r="B27013" t="str">
        <f>HYPERLINK("https://twitter.com/uglypeopless","@uglypeopless")</f>
        <v>@uglypeopless</v>
      </c>
      <c r="C27013" t="s">
        <v>2963</v>
      </c>
      <c r="D27013">
        <v>958</v>
      </c>
      <c r="E27013">
        <v>0</v>
      </c>
      <c r="F27013">
        <v>5</v>
      </c>
    </row>
    <row r="27014" spans="1:6" ht="12.75">
      <c r="A27014" s="2">
        <v>43875.678229166668</v>
      </c>
      <c r="B27014" t="str">
        <f>HYPERLINK("https://twitter.com/SoebektiSoehar5","@SoebektiSoehar5")</f>
        <v>@SoebektiSoehar5</v>
      </c>
      <c r="C27014" t="s">
        <v>12021</v>
      </c>
      <c r="D27014">
        <v>0</v>
      </c>
      <c r="E27014">
        <v>0</v>
      </c>
      <c r="F27014">
        <v>6</v>
      </c>
    </row>
    <row r="27015" spans="1:6" ht="12.75">
      <c r="A27015" s="2">
        <v>43875.678229166668</v>
      </c>
      <c r="B27015" t="str">
        <f>HYPERLINK("https://twitter.com/arukakrn","@arukakrn")</f>
        <v>@arukakrn</v>
      </c>
      <c r="C27015" t="s">
        <v>2444</v>
      </c>
      <c r="D27015">
        <v>1638</v>
      </c>
      <c r="E27015">
        <v>0</v>
      </c>
      <c r="F27015">
        <v>586</v>
      </c>
    </row>
    <row r="27016" spans="1:6" ht="12.75">
      <c r="A27016" s="2">
        <v>43875.678171296298</v>
      </c>
      <c r="B27016" t="str">
        <f>HYPERLINK("https://twitter.com/NanaAdelia5","@NanaAdelia5")</f>
        <v>@NanaAdelia5</v>
      </c>
      <c r="C27016" t="s">
        <v>11095</v>
      </c>
      <c r="D27016">
        <v>108</v>
      </c>
      <c r="E27016">
        <v>0</v>
      </c>
      <c r="F27016">
        <v>339</v>
      </c>
    </row>
    <row r="27017" spans="1:6" ht="12.75">
      <c r="A27017" s="2">
        <v>43875.678148148145</v>
      </c>
      <c r="B27017" t="str">
        <f>HYPERLINK("https://twitter.com/AjengTata5","@AjengTata5")</f>
        <v>@AjengTata5</v>
      </c>
      <c r="C27017" t="s">
        <v>11095</v>
      </c>
      <c r="D27017">
        <v>108</v>
      </c>
      <c r="E27017">
        <v>0</v>
      </c>
      <c r="F27017">
        <v>308</v>
      </c>
    </row>
    <row r="27018" spans="1:6" ht="12.75">
      <c r="A27018" s="2">
        <v>43875.678113425922</v>
      </c>
      <c r="B27018" t="str">
        <f>HYPERLINK("https://twitter.com/DiniartiVivi","@DiniartiVivi")</f>
        <v>@DiniartiVivi</v>
      </c>
      <c r="C27018" t="s">
        <v>11095</v>
      </c>
      <c r="D27018">
        <v>108</v>
      </c>
      <c r="E27018">
        <v>0</v>
      </c>
      <c r="F27018">
        <v>338</v>
      </c>
    </row>
    <row r="27019" spans="1:6" ht="12.75">
      <c r="A27019" s="2">
        <v>43875.678067129629</v>
      </c>
      <c r="B27019" t="str">
        <f>HYPERLINK("https://twitter.com/IndonesiaRAW","@IndonesiaRAW")</f>
        <v>@IndonesiaRAW</v>
      </c>
      <c r="C27019" t="s">
        <v>12022</v>
      </c>
      <c r="D27019">
        <v>0</v>
      </c>
      <c r="E27019">
        <v>1</v>
      </c>
      <c r="F27019">
        <v>201861</v>
      </c>
    </row>
    <row r="27020" spans="1:6" ht="12.75">
      <c r="A27020" s="2">
        <v>43875.678043981483</v>
      </c>
      <c r="B27020" t="str">
        <f>HYPERLINK("https://twitter.com/dzakyhidayat95","@dzakyhidayat95")</f>
        <v>@dzakyhidayat95</v>
      </c>
      <c r="C27020" t="s">
        <v>11740</v>
      </c>
      <c r="D27020">
        <v>2</v>
      </c>
      <c r="E27020">
        <v>0</v>
      </c>
      <c r="F27020">
        <v>644</v>
      </c>
    </row>
    <row r="27021" spans="1:6" ht="12.75">
      <c r="A27021" s="2">
        <v>43875.678032407406</v>
      </c>
      <c r="B27021" t="str">
        <f>HYPERLINK("https://twitter.com/adyka__","@adyka__")</f>
        <v>@adyka__</v>
      </c>
      <c r="C27021" t="s">
        <v>12023</v>
      </c>
      <c r="D27021">
        <v>0</v>
      </c>
      <c r="E27021">
        <v>0</v>
      </c>
      <c r="F27021">
        <v>15</v>
      </c>
    </row>
    <row r="27022" spans="1:6" ht="12.75">
      <c r="A27022" s="2">
        <v>43875.677881944444</v>
      </c>
      <c r="B27022" t="str">
        <f>HYPERLINK("https://twitter.com/IndonesiaR4Y4","@IndonesiaR4Y4")</f>
        <v>@IndonesiaR4Y4</v>
      </c>
      <c r="C27022" t="s">
        <v>12024</v>
      </c>
      <c r="D27022">
        <v>0</v>
      </c>
      <c r="E27022">
        <v>2</v>
      </c>
      <c r="F27022">
        <v>1921</v>
      </c>
    </row>
    <row r="27023" spans="1:6" ht="12.75">
      <c r="A27023" s="2">
        <v>43875.677835648152</v>
      </c>
      <c r="B27023" t="str">
        <f>HYPERLINK("https://twitter.com/Milesonesia","@Milesonesia")</f>
        <v>@Milesonesia</v>
      </c>
      <c r="C27023" t="s">
        <v>10096</v>
      </c>
      <c r="D27023">
        <v>143</v>
      </c>
      <c r="E27023">
        <v>0</v>
      </c>
      <c r="F27023">
        <v>333</v>
      </c>
    </row>
    <row r="27024" spans="1:6" ht="12.75">
      <c r="A27024" s="2">
        <v>43875.677800925929</v>
      </c>
      <c r="B27024" t="str">
        <f>HYPERLINK("https://twitter.com/TolakMiskin_","@TolakMiskin_")</f>
        <v>@TolakMiskin_</v>
      </c>
      <c r="C27024" t="s">
        <v>11095</v>
      </c>
      <c r="D27024">
        <v>108</v>
      </c>
      <c r="E27024">
        <v>0</v>
      </c>
      <c r="F27024">
        <v>35</v>
      </c>
    </row>
    <row r="27025" spans="1:6" ht="12.75">
      <c r="A27025" s="2">
        <v>43875.677777777775</v>
      </c>
      <c r="B27025" t="str">
        <f>HYPERLINK("https://twitter.com/IbnuSholh","@IbnuSholh")</f>
        <v>@IbnuSholh</v>
      </c>
      <c r="C27025" t="s">
        <v>6201</v>
      </c>
      <c r="D27025">
        <v>50</v>
      </c>
      <c r="E27025">
        <v>0</v>
      </c>
      <c r="F27025">
        <v>2564</v>
      </c>
    </row>
    <row r="27026" spans="1:6" ht="12.75">
      <c r="A27026" s="2">
        <v>43875.677719907406</v>
      </c>
      <c r="B27026" t="str">
        <f>HYPERLINK("https://twitter.com/khaika13","@khaika13")</f>
        <v>@khaika13</v>
      </c>
      <c r="C27026" t="s">
        <v>5168</v>
      </c>
      <c r="D27026">
        <v>789</v>
      </c>
      <c r="E27026">
        <v>0</v>
      </c>
      <c r="F27026">
        <v>9</v>
      </c>
    </row>
    <row r="27027" spans="1:6" ht="12.75">
      <c r="A27027" s="2">
        <v>43875.67759259259</v>
      </c>
      <c r="B27027" t="str">
        <f>HYPERLINK("https://twitter.com/terlanjurnyaman","@terlanjurnyaman")</f>
        <v>@terlanjurnyaman</v>
      </c>
      <c r="C27027" t="s">
        <v>2444</v>
      </c>
      <c r="D27027">
        <v>1638</v>
      </c>
      <c r="E27027">
        <v>0</v>
      </c>
      <c r="F27027">
        <v>1610</v>
      </c>
    </row>
    <row r="27028" spans="1:6" ht="12.75">
      <c r="A27028" s="2">
        <v>43875.677500000005</v>
      </c>
      <c r="B27028" t="str">
        <f>HYPERLINK("https://twitter.com/agoessdluffy","@agoessdluffy")</f>
        <v>@agoessdluffy</v>
      </c>
      <c r="C27028" t="s">
        <v>2963</v>
      </c>
      <c r="D27028">
        <v>958</v>
      </c>
      <c r="E27028">
        <v>0</v>
      </c>
      <c r="F27028">
        <v>103</v>
      </c>
    </row>
    <row r="27029" spans="1:6" ht="12.75">
      <c r="A27029" s="2">
        <v>43875.677476851852</v>
      </c>
      <c r="B27029" t="str">
        <f>HYPERLINK("https://twitter.com/ELfernindaLiong","@ELfernindaLiong")</f>
        <v>@ELfernindaLiong</v>
      </c>
      <c r="C27029" t="s">
        <v>2444</v>
      </c>
      <c r="D27029">
        <v>1638</v>
      </c>
      <c r="E27029">
        <v>0</v>
      </c>
      <c r="F27029">
        <v>18</v>
      </c>
    </row>
    <row r="27030" spans="1:6" ht="12.75">
      <c r="A27030" s="2">
        <v>43875.677314814813</v>
      </c>
      <c r="B27030" t="str">
        <f>HYPERLINK("https://twitter.com/vivi_mey","@vivi_mey")</f>
        <v>@vivi_mey</v>
      </c>
      <c r="C27030" t="s">
        <v>2963</v>
      </c>
      <c r="D27030">
        <v>958</v>
      </c>
      <c r="E27030">
        <v>0</v>
      </c>
      <c r="F27030">
        <v>438</v>
      </c>
    </row>
    <row r="27031" spans="1:6" ht="12.75">
      <c r="A27031" s="2">
        <v>43875.677303240736</v>
      </c>
      <c r="B27031" t="str">
        <f>HYPERLINK("https://twitter.com/Azmi43232871","@Azmi43232871")</f>
        <v>@Azmi43232871</v>
      </c>
      <c r="C27031" t="s">
        <v>12025</v>
      </c>
      <c r="D27031">
        <v>0</v>
      </c>
      <c r="E27031">
        <v>0</v>
      </c>
      <c r="F27031">
        <v>583</v>
      </c>
    </row>
    <row r="27032" spans="1:6" ht="12.75">
      <c r="A27032" s="2">
        <v>43875.677222222221</v>
      </c>
      <c r="B27032" t="str">
        <f>HYPERLINK("https://twitter.com/MJtuhMasJoko","@MJtuhMasJoko")</f>
        <v>@MJtuhMasJoko</v>
      </c>
      <c r="C27032" t="s">
        <v>10052</v>
      </c>
      <c r="D27032">
        <v>24</v>
      </c>
      <c r="E27032">
        <v>0</v>
      </c>
      <c r="F27032">
        <v>1033</v>
      </c>
    </row>
    <row r="27033" spans="1:6" ht="12.75">
      <c r="A27033" s="2">
        <v>43875.677175925928</v>
      </c>
      <c r="B27033" t="str">
        <f>HYPERLINK("https://twitter.com/albina_cer","@albina_cer")</f>
        <v>@albina_cer</v>
      </c>
      <c r="C27033" t="s">
        <v>6201</v>
      </c>
      <c r="D27033">
        <v>50</v>
      </c>
      <c r="E27033">
        <v>0</v>
      </c>
      <c r="F27033">
        <v>14</v>
      </c>
    </row>
    <row r="27034" spans="1:6" ht="12.75">
      <c r="A27034" s="2">
        <v>43875.677141203705</v>
      </c>
      <c r="B27034" t="str">
        <f>HYPERLINK("https://twitter.com/MetroTVToday","@MetroTVToday")</f>
        <v>@MetroTVToday</v>
      </c>
      <c r="C27034" t="s">
        <v>9666</v>
      </c>
      <c r="D27034">
        <v>10</v>
      </c>
      <c r="E27034">
        <v>0</v>
      </c>
      <c r="F27034">
        <v>97612</v>
      </c>
    </row>
    <row r="27035" spans="1:6" ht="12.75">
      <c r="A27035" s="2">
        <v>43875.677106481482</v>
      </c>
      <c r="B27035" t="str">
        <f>HYPERLINK("https://twitter.com/HendraGnw2","@HendraGnw2")</f>
        <v>@HendraGnw2</v>
      </c>
      <c r="C27035" t="s">
        <v>2963</v>
      </c>
      <c r="D27035">
        <v>958</v>
      </c>
      <c r="E27035">
        <v>0</v>
      </c>
      <c r="F27035">
        <v>40</v>
      </c>
    </row>
    <row r="27036" spans="1:6" ht="12.75">
      <c r="A27036" s="2">
        <v>43875.677002314813</v>
      </c>
      <c r="B27036" t="str">
        <f>HYPERLINK("https://twitter.com/Tandaseru_id","@Tandaseru_id")</f>
        <v>@Tandaseru_id</v>
      </c>
      <c r="C27036" t="s">
        <v>12026</v>
      </c>
      <c r="D27036">
        <v>0</v>
      </c>
      <c r="E27036">
        <v>0</v>
      </c>
      <c r="F27036">
        <v>935</v>
      </c>
    </row>
    <row r="27037" spans="1:6" ht="12.75">
      <c r="A27037" s="2">
        <v>43875.676979166667</v>
      </c>
      <c r="B27037" t="str">
        <f>HYPERLINK("https://twitter.com/myidviri","@myidviri")</f>
        <v>@myidviri</v>
      </c>
      <c r="C27037" t="s">
        <v>10109</v>
      </c>
      <c r="D27037">
        <v>28</v>
      </c>
      <c r="E27037">
        <v>0</v>
      </c>
      <c r="F27037">
        <v>580</v>
      </c>
    </row>
    <row r="27038" spans="1:6" ht="12.75">
      <c r="A27038" s="2">
        <v>43875.676840277782</v>
      </c>
      <c r="B27038" t="str">
        <f>HYPERLINK("https://twitter.com/bintangshp","@bintangshp")</f>
        <v>@bintangshp</v>
      </c>
      <c r="C27038" t="s">
        <v>9964</v>
      </c>
      <c r="D27038">
        <v>599</v>
      </c>
      <c r="E27038">
        <v>0</v>
      </c>
      <c r="F27038">
        <v>606</v>
      </c>
    </row>
    <row r="27039" spans="1:6" ht="12.75">
      <c r="A27039" s="2">
        <v>43875.676817129628</v>
      </c>
      <c r="B27039" t="str">
        <f>HYPERLINK("https://twitter.com/SeeHandy","@SeeHandy")</f>
        <v>@SeeHandy</v>
      </c>
      <c r="C27039" t="s">
        <v>12027</v>
      </c>
      <c r="D27039">
        <v>0</v>
      </c>
      <c r="E27039">
        <v>0</v>
      </c>
      <c r="F27039">
        <v>798</v>
      </c>
    </row>
    <row r="27040" spans="1:6" ht="12.75">
      <c r="A27040" s="2">
        <v>43875.676817129628</v>
      </c>
      <c r="B27040" t="str">
        <f>HYPERLINK("https://twitter.com/tikamdaridepan","@tikamdaridepan")</f>
        <v>@tikamdaridepan</v>
      </c>
      <c r="C27040" t="s">
        <v>2963</v>
      </c>
      <c r="D27040">
        <v>958</v>
      </c>
      <c r="E27040">
        <v>0</v>
      </c>
      <c r="F27040">
        <v>37</v>
      </c>
    </row>
    <row r="27041" spans="1:6" ht="12.75">
      <c r="A27041" s="2">
        <v>43875.676782407405</v>
      </c>
      <c r="B27041" t="str">
        <f>HYPERLINK("https://twitter.com/_nandafam","@_nandafam")</f>
        <v>@_nandafam</v>
      </c>
      <c r="C27041" t="s">
        <v>2444</v>
      </c>
      <c r="D27041">
        <v>1638</v>
      </c>
      <c r="E27041">
        <v>0</v>
      </c>
      <c r="F27041">
        <v>2297</v>
      </c>
    </row>
    <row r="27042" spans="1:6" ht="12.75">
      <c r="A27042" s="2">
        <v>43875.676724537036</v>
      </c>
      <c r="B27042" t="str">
        <f>HYPERLINK("https://twitter.com/the_geotimes","@the_geotimes")</f>
        <v>@the_geotimes</v>
      </c>
      <c r="C27042" t="s">
        <v>12028</v>
      </c>
      <c r="D27042">
        <v>0</v>
      </c>
      <c r="E27042">
        <v>1</v>
      </c>
      <c r="F27042">
        <v>49286</v>
      </c>
    </row>
    <row r="27043" spans="1:6" ht="12.75">
      <c r="A27043" s="2">
        <v>43875.67668981482</v>
      </c>
      <c r="B27043" t="str">
        <f>HYPERLINK("https://twitter.com/AcepWaluyo","@AcepWaluyo")</f>
        <v>@AcepWaluyo</v>
      </c>
      <c r="C27043" t="s">
        <v>9538</v>
      </c>
      <c r="D27043">
        <v>144</v>
      </c>
      <c r="E27043">
        <v>0</v>
      </c>
      <c r="F27043">
        <v>170</v>
      </c>
    </row>
    <row r="27044" spans="1:6" ht="12.75">
      <c r="A27044" s="2">
        <v>43875.676620370374</v>
      </c>
      <c r="B27044" t="str">
        <f>HYPERLINK("https://twitter.com/BeritaCenter","@BeritaCenter")</f>
        <v>@BeritaCenter</v>
      </c>
      <c r="C27044" t="s">
        <v>12029</v>
      </c>
      <c r="D27044">
        <v>0</v>
      </c>
      <c r="E27044">
        <v>0</v>
      </c>
      <c r="F27044">
        <v>9430</v>
      </c>
    </row>
    <row r="27045" spans="1:6" ht="12.75">
      <c r="A27045" s="2">
        <v>43875.676574074074</v>
      </c>
      <c r="B27045" t="str">
        <f>HYPERLINK("https://twitter.com/SukhendroPragul","@SukhendroPragul")</f>
        <v>@SukhendroPragul</v>
      </c>
      <c r="C27045" t="s">
        <v>9147</v>
      </c>
      <c r="D27045">
        <v>20</v>
      </c>
      <c r="E27045">
        <v>0</v>
      </c>
      <c r="F27045">
        <v>1999</v>
      </c>
    </row>
    <row r="27046" spans="1:6" ht="12.75">
      <c r="A27046" s="2">
        <v>43875.676516203705</v>
      </c>
      <c r="B27046" t="str">
        <f>HYPERLINK("https://twitter.com/NKRI_NTBSasambo","@NKRI_NTBSasambo")</f>
        <v>@NKRI_NTBSasambo</v>
      </c>
      <c r="C27046" t="s">
        <v>7478</v>
      </c>
      <c r="D27046">
        <v>240</v>
      </c>
      <c r="E27046">
        <v>0</v>
      </c>
      <c r="F27046">
        <v>4243</v>
      </c>
    </row>
    <row r="27047" spans="1:6" ht="12.75">
      <c r="A27047" s="2">
        <v>43875.676377314812</v>
      </c>
      <c r="B27047" t="str">
        <f>HYPERLINK("https://twitter.com/faridrizal21","@faridrizal21")</f>
        <v>@faridrizal21</v>
      </c>
      <c r="C27047" t="s">
        <v>9538</v>
      </c>
      <c r="D27047">
        <v>144</v>
      </c>
      <c r="E27047">
        <v>0</v>
      </c>
      <c r="F27047">
        <v>304</v>
      </c>
    </row>
    <row r="27048" spans="1:6" ht="12.75">
      <c r="A27048" s="2">
        <v>43875.676365740743</v>
      </c>
      <c r="B27048" t="str">
        <f>HYPERLINK("https://twitter.com/DevanoAssegaff_","@DevanoAssegaff_")</f>
        <v>@DevanoAssegaff_</v>
      </c>
      <c r="C27048" t="s">
        <v>9123</v>
      </c>
      <c r="D27048">
        <v>228</v>
      </c>
      <c r="E27048">
        <v>0</v>
      </c>
      <c r="F27048">
        <v>322</v>
      </c>
    </row>
    <row r="27049" spans="1:6" ht="12.75">
      <c r="A27049" s="2">
        <v>43875.676342592589</v>
      </c>
      <c r="B27049" t="str">
        <f>HYPERLINK("https://twitter.com/Sutomosup","@Sutomosup")</f>
        <v>@Sutomosup</v>
      </c>
      <c r="C27049" t="s">
        <v>513</v>
      </c>
      <c r="D27049">
        <v>23206</v>
      </c>
      <c r="E27049">
        <v>0</v>
      </c>
      <c r="F27049">
        <v>14</v>
      </c>
    </row>
    <row r="27050" spans="1:6" ht="12.75">
      <c r="A27050" s="2">
        <v>43875.67633101852</v>
      </c>
      <c r="B27050" t="str">
        <f>HYPERLINK("https://twitter.com/InaMajoe","@InaMajoe")</f>
        <v>@InaMajoe</v>
      </c>
      <c r="C27050" t="s">
        <v>7478</v>
      </c>
      <c r="D27050">
        <v>240</v>
      </c>
      <c r="E27050">
        <v>0</v>
      </c>
      <c r="F27050">
        <v>231</v>
      </c>
    </row>
    <row r="27051" spans="1:6" ht="12.75">
      <c r="A27051" s="2">
        <v>43875.676319444443</v>
      </c>
      <c r="B27051" t="str">
        <f>HYPERLINK("https://twitter.com/lokal_papua","@lokal_papua")</f>
        <v>@lokal_papua</v>
      </c>
      <c r="C27051" t="s">
        <v>11095</v>
      </c>
      <c r="D27051">
        <v>108</v>
      </c>
      <c r="E27051">
        <v>0</v>
      </c>
      <c r="F27051">
        <v>49</v>
      </c>
    </row>
    <row r="27052" spans="1:6" ht="12.75">
      <c r="A27052" s="2">
        <v>43875.676307870366</v>
      </c>
      <c r="B27052" t="str">
        <f>HYPERLINK("https://twitter.com/Destaardiann","@Destaardiann")</f>
        <v>@Destaardiann</v>
      </c>
      <c r="C27052" t="s">
        <v>10697</v>
      </c>
      <c r="D27052">
        <v>27</v>
      </c>
      <c r="E27052">
        <v>0</v>
      </c>
      <c r="F27052">
        <v>149</v>
      </c>
    </row>
    <row r="27053" spans="1:6" ht="12.75">
      <c r="A27053" s="2">
        <v>43875.676215277781</v>
      </c>
      <c r="B27053" t="str">
        <f>HYPERLINK("https://twitter.com/blue_facez","@blue_facez")</f>
        <v>@blue_facez</v>
      </c>
      <c r="C27053" t="s">
        <v>10052</v>
      </c>
      <c r="D27053">
        <v>24</v>
      </c>
      <c r="E27053">
        <v>0</v>
      </c>
      <c r="F27053">
        <v>1202</v>
      </c>
    </row>
    <row r="27054" spans="1:6" ht="12.75">
      <c r="A27054" s="2">
        <v>43875.676076388889</v>
      </c>
      <c r="B27054" t="str">
        <f>HYPERLINK("https://twitter.com/desmondsinarta","@desmondsinarta")</f>
        <v>@desmondsinarta</v>
      </c>
      <c r="C27054" t="s">
        <v>12030</v>
      </c>
      <c r="D27054">
        <v>0</v>
      </c>
      <c r="E27054">
        <v>0</v>
      </c>
      <c r="F27054">
        <v>1</v>
      </c>
    </row>
    <row r="27055" spans="1:6" ht="12.75">
      <c r="A27055" s="2">
        <v>43875.67597222222</v>
      </c>
      <c r="B27055" t="str">
        <f>HYPERLINK("https://twitter.com/dessyDMP","@dessyDMP")</f>
        <v>@dessyDMP</v>
      </c>
      <c r="C27055" t="s">
        <v>2444</v>
      </c>
      <c r="D27055">
        <v>1638</v>
      </c>
      <c r="E27055">
        <v>0</v>
      </c>
      <c r="F27055">
        <v>348</v>
      </c>
    </row>
    <row r="27056" spans="1:6" ht="12.75">
      <c r="A27056" s="2">
        <v>43875.67597222222</v>
      </c>
      <c r="B27056" t="str">
        <f>HYPERLINK("https://twitter.com/CepoexR","@CepoexR")</f>
        <v>@CepoexR</v>
      </c>
      <c r="C27056" t="s">
        <v>7478</v>
      </c>
      <c r="D27056">
        <v>240</v>
      </c>
      <c r="E27056">
        <v>0</v>
      </c>
      <c r="F27056">
        <v>1490</v>
      </c>
    </row>
    <row r="27057" spans="1:6" ht="12.75">
      <c r="A27057" s="2">
        <v>43875.675879629634</v>
      </c>
      <c r="B27057" t="str">
        <f>HYPERLINK("https://twitter.com/PositifKonten","@PositifKonten")</f>
        <v>@PositifKonten</v>
      </c>
      <c r="C27057" t="s">
        <v>11095</v>
      </c>
      <c r="D27057">
        <v>108</v>
      </c>
      <c r="E27057">
        <v>0</v>
      </c>
      <c r="F27057">
        <v>26</v>
      </c>
    </row>
    <row r="27058" spans="1:6" ht="12.75">
      <c r="A27058" s="2">
        <v>43875.675763888888</v>
      </c>
      <c r="B27058" t="str">
        <f>HYPERLINK("https://twitter.com/Fredy_Santana01","@Fredy_Santana01")</f>
        <v>@Fredy_Santana01</v>
      </c>
      <c r="C27058" t="s">
        <v>9746</v>
      </c>
      <c r="D27058">
        <v>249</v>
      </c>
      <c r="E27058">
        <v>0</v>
      </c>
      <c r="F27058">
        <v>1686</v>
      </c>
    </row>
    <row r="27059" spans="1:6" ht="12.75">
      <c r="A27059" s="2">
        <v>43875.675659722227</v>
      </c>
      <c r="B27059" t="str">
        <f>HYPERLINK("https://twitter.com/ansorwedung","@ansorwedung")</f>
        <v>@ansorwedung</v>
      </c>
      <c r="C27059" t="s">
        <v>11797</v>
      </c>
      <c r="D27059">
        <v>9</v>
      </c>
      <c r="E27059">
        <v>0</v>
      </c>
      <c r="F27059">
        <v>719</v>
      </c>
    </row>
    <row r="27060" spans="1:6" ht="12.75">
      <c r="A27060" s="2">
        <v>43875.67560185185</v>
      </c>
      <c r="B27060" t="str">
        <f>HYPERLINK("https://twitter.com/wonuwuuu","@wonuwuuu")</f>
        <v>@wonuwuuu</v>
      </c>
      <c r="C27060" t="s">
        <v>9021</v>
      </c>
      <c r="D27060">
        <v>196</v>
      </c>
      <c r="E27060">
        <v>0</v>
      </c>
      <c r="F27060">
        <v>302</v>
      </c>
    </row>
    <row r="27061" spans="1:6" ht="12.75">
      <c r="A27061" s="2">
        <v>43875.675567129627</v>
      </c>
      <c r="B27061" t="str">
        <f>HYPERLINK("https://twitter.com/satsuyurami","@satsuyurami")</f>
        <v>@satsuyurami</v>
      </c>
      <c r="C27061" t="s">
        <v>2137</v>
      </c>
      <c r="D27061">
        <v>138</v>
      </c>
      <c r="E27061">
        <v>0</v>
      </c>
      <c r="F27061">
        <v>473</v>
      </c>
    </row>
    <row r="27062" spans="1:6" ht="12.75">
      <c r="A27062" s="2">
        <v>43875.675532407404</v>
      </c>
      <c r="B27062" t="str">
        <f>HYPERLINK("https://twitter.com/ismarriedcouple","@ismarriedcouple")</f>
        <v>@ismarriedcouple</v>
      </c>
      <c r="C27062" t="s">
        <v>12031</v>
      </c>
      <c r="D27062">
        <v>0</v>
      </c>
      <c r="E27062">
        <v>0</v>
      </c>
      <c r="F27062">
        <v>282</v>
      </c>
    </row>
    <row r="27063" spans="1:6" ht="12.75">
      <c r="A27063" s="2">
        <v>43875.675416666665</v>
      </c>
      <c r="B27063" t="str">
        <f>HYPERLINK("https://twitter.com/rockyrocker181","@rockyrocker181")</f>
        <v>@rockyrocker181</v>
      </c>
      <c r="C27063" t="s">
        <v>9835</v>
      </c>
      <c r="D27063">
        <v>39</v>
      </c>
      <c r="E27063">
        <v>0</v>
      </c>
      <c r="F27063">
        <v>691</v>
      </c>
    </row>
    <row r="27064" spans="1:6" ht="12.75">
      <c r="A27064" s="2">
        <v>43875.675405092596</v>
      </c>
      <c r="B27064" t="str">
        <f>HYPERLINK("https://twitter.com/AnakKolong___","@AnakKolong___")</f>
        <v>@AnakKolong___</v>
      </c>
      <c r="C27064" t="s">
        <v>11503</v>
      </c>
      <c r="D27064">
        <v>1</v>
      </c>
      <c r="E27064">
        <v>0</v>
      </c>
      <c r="F27064">
        <v>5294</v>
      </c>
    </row>
    <row r="27065" spans="1:6" ht="12.75">
      <c r="A27065" s="2">
        <v>43875.675393518519</v>
      </c>
      <c r="B27065" t="str">
        <f>HYPERLINK("https://twitter.com/ygadishakti","@ygadishakti")</f>
        <v>@ygadishakti</v>
      </c>
      <c r="C27065" t="s">
        <v>2444</v>
      </c>
      <c r="D27065">
        <v>1638</v>
      </c>
      <c r="E27065">
        <v>0</v>
      </c>
      <c r="F27065">
        <v>200</v>
      </c>
    </row>
    <row r="27066" spans="1:6" ht="12.75">
      <c r="A27066" s="2">
        <v>43875.675358796296</v>
      </c>
      <c r="B27066" t="str">
        <f>HYPERLINK("https://twitter.com/911comand","@911comand")</f>
        <v>@911comand</v>
      </c>
      <c r="C27066" t="s">
        <v>2144</v>
      </c>
      <c r="D27066">
        <v>81</v>
      </c>
      <c r="E27066">
        <v>0</v>
      </c>
      <c r="F27066">
        <v>609</v>
      </c>
    </row>
    <row r="27067" spans="1:6" ht="12.75">
      <c r="A27067" s="2">
        <v>43875.675347222219</v>
      </c>
      <c r="B27067" t="str">
        <f>HYPERLINK("https://twitter.com/ariefcf_","@ariefcf_")</f>
        <v>@ariefcf_</v>
      </c>
      <c r="C27067" t="s">
        <v>12032</v>
      </c>
      <c r="D27067">
        <v>0</v>
      </c>
      <c r="E27067">
        <v>0</v>
      </c>
      <c r="F27067">
        <v>521</v>
      </c>
    </row>
    <row r="27068" spans="1:6" ht="12.75">
      <c r="A27068" s="2">
        <v>43875.675335648149</v>
      </c>
      <c r="B27068" t="str">
        <f>HYPERLINK("https://twitter.com/AnggitaMaula","@AnggitaMaula")</f>
        <v>@AnggitaMaula</v>
      </c>
      <c r="C27068" t="s">
        <v>11095</v>
      </c>
      <c r="D27068">
        <v>108</v>
      </c>
      <c r="E27068">
        <v>0</v>
      </c>
      <c r="F27068">
        <v>52</v>
      </c>
    </row>
    <row r="27069" spans="1:6" ht="12.75">
      <c r="A27069" s="2">
        <v>43875.675300925926</v>
      </c>
      <c r="B27069" t="str">
        <f>HYPERLINK("https://twitter.com/ekologi_fasis","@ekologi_fasis")</f>
        <v>@ekologi_fasis</v>
      </c>
      <c r="C27069" t="s">
        <v>11095</v>
      </c>
      <c r="D27069">
        <v>108</v>
      </c>
      <c r="E27069">
        <v>0</v>
      </c>
      <c r="F27069">
        <v>56</v>
      </c>
    </row>
    <row r="27070" spans="1:6" ht="12.75">
      <c r="A27070" s="2">
        <v>43875.675196759257</v>
      </c>
      <c r="B27070" t="str">
        <f>HYPERLINK("https://twitter.com/ariefcf_","@ariefcf_")</f>
        <v>@ariefcf_</v>
      </c>
      <c r="C27070" t="s">
        <v>12033</v>
      </c>
      <c r="D27070">
        <v>0</v>
      </c>
      <c r="E27070">
        <v>0</v>
      </c>
      <c r="F27070">
        <v>521</v>
      </c>
    </row>
    <row r="27071" spans="1:6" ht="12.75">
      <c r="A27071" s="2">
        <v>43875.675150462965</v>
      </c>
      <c r="B27071" t="str">
        <f>HYPERLINK("https://twitter.com/gryffis","@gryffis")</f>
        <v>@gryffis</v>
      </c>
      <c r="C27071" t="s">
        <v>2444</v>
      </c>
      <c r="D27071">
        <v>1638</v>
      </c>
      <c r="E27071">
        <v>0</v>
      </c>
      <c r="F27071">
        <v>255</v>
      </c>
    </row>
    <row r="27072" spans="1:6" ht="12.75">
      <c r="A27072" s="2">
        <v>43875.675023148149</v>
      </c>
      <c r="B27072" t="str">
        <f>HYPERLINK("https://twitter.com/ciphoet","@ciphoet")</f>
        <v>@ciphoet</v>
      </c>
      <c r="C27072" t="s">
        <v>12034</v>
      </c>
      <c r="D27072">
        <v>0</v>
      </c>
      <c r="E27072">
        <v>0</v>
      </c>
      <c r="F27072">
        <v>107</v>
      </c>
    </row>
    <row r="27073" spans="1:6" ht="12.75">
      <c r="A27073" s="2">
        <v>43875.675023148149</v>
      </c>
      <c r="B27073" t="str">
        <f>HYPERLINK("https://twitter.com/Fatkhul_Huda75","@Fatkhul_Huda75")</f>
        <v>@Fatkhul_Huda75</v>
      </c>
      <c r="C27073" t="s">
        <v>12035</v>
      </c>
      <c r="D27073">
        <v>0</v>
      </c>
      <c r="E27073">
        <v>0</v>
      </c>
      <c r="F27073">
        <v>594</v>
      </c>
    </row>
    <row r="27074" spans="1:6" ht="12.75">
      <c r="A27074" s="2">
        <v>43875.675011574072</v>
      </c>
      <c r="B27074" t="str">
        <f>HYPERLINK("https://twitter.com/Rido_Lizze","@Rido_Lizze")</f>
        <v>@Rido_Lizze</v>
      </c>
      <c r="C27074" t="s">
        <v>12036</v>
      </c>
      <c r="D27074">
        <v>0</v>
      </c>
      <c r="E27074">
        <v>0</v>
      </c>
      <c r="F27074">
        <v>1303</v>
      </c>
    </row>
    <row r="27075" spans="1:6" ht="12.75">
      <c r="A27075" s="2">
        <v>43875.674930555557</v>
      </c>
      <c r="B27075" t="str">
        <f>HYPERLINK("https://twitter.com/VredeAarde","@VredeAarde")</f>
        <v>@VredeAarde</v>
      </c>
      <c r="C27075" t="s">
        <v>12037</v>
      </c>
      <c r="D27075">
        <v>0</v>
      </c>
      <c r="E27075">
        <v>0</v>
      </c>
      <c r="F27075">
        <v>2200</v>
      </c>
    </row>
    <row r="27076" spans="1:6" ht="12.75">
      <c r="A27076" s="2">
        <v>43875.674895833334</v>
      </c>
      <c r="B27076" t="str">
        <f>HYPERLINK("https://twitter.com/nusantara_dipo","@nusantara_dipo")</f>
        <v>@nusantara_dipo</v>
      </c>
      <c r="C27076" t="s">
        <v>6201</v>
      </c>
      <c r="D27076">
        <v>50</v>
      </c>
      <c r="E27076">
        <v>0</v>
      </c>
      <c r="F27076">
        <v>2820</v>
      </c>
    </row>
    <row r="27077" spans="1:6" ht="12.75">
      <c r="A27077" s="2">
        <v>43875.674895833334</v>
      </c>
      <c r="B27077" t="str">
        <f>HYPERLINK("https://twitter.com/Taftazani21","@Taftazani21")</f>
        <v>@Taftazani21</v>
      </c>
      <c r="C27077" t="s">
        <v>10300</v>
      </c>
      <c r="D27077">
        <v>40</v>
      </c>
      <c r="E27077">
        <v>0</v>
      </c>
      <c r="F27077">
        <v>171</v>
      </c>
    </row>
    <row r="27078" spans="1:6" ht="12.75">
      <c r="A27078" s="2">
        <v>43875.674861111111</v>
      </c>
      <c r="B27078" t="str">
        <f>HYPERLINK("https://twitter.com/Eddy211281","@Eddy211281")</f>
        <v>@Eddy211281</v>
      </c>
      <c r="C27078" t="s">
        <v>2963</v>
      </c>
      <c r="D27078">
        <v>958</v>
      </c>
      <c r="E27078">
        <v>0</v>
      </c>
      <c r="F27078">
        <v>141</v>
      </c>
    </row>
    <row r="27079" spans="1:6" ht="12.75">
      <c r="A27079" s="2">
        <v>43875.674791666665</v>
      </c>
      <c r="B27079" t="str">
        <f>HYPERLINK("https://twitter.com/psychosaligia","@psychosaligia")</f>
        <v>@psychosaligia</v>
      </c>
      <c r="C27079" t="s">
        <v>12038</v>
      </c>
      <c r="D27079">
        <v>35</v>
      </c>
      <c r="E27079">
        <v>0</v>
      </c>
      <c r="F27079">
        <v>71</v>
      </c>
    </row>
    <row r="27080" spans="1:6" ht="12.75">
      <c r="A27080" s="2">
        <v>43875.674756944441</v>
      </c>
      <c r="B27080" t="str">
        <f>HYPERLINK("https://twitter.com/jvngkvvkie","@jvngkvvkie")</f>
        <v>@jvngkvvkie</v>
      </c>
      <c r="C27080" t="s">
        <v>2444</v>
      </c>
      <c r="D27080">
        <v>1638</v>
      </c>
      <c r="E27080">
        <v>0</v>
      </c>
      <c r="F27080">
        <v>420</v>
      </c>
    </row>
    <row r="27081" spans="1:6" ht="12.75">
      <c r="A27081" s="2">
        <v>43875.674675925926</v>
      </c>
      <c r="B27081" t="str">
        <f>HYPERLINK("https://twitter.com/alviapakev","@alviapakev")</f>
        <v>@alviapakev</v>
      </c>
      <c r="C27081" t="s">
        <v>2444</v>
      </c>
      <c r="D27081">
        <v>1638</v>
      </c>
      <c r="E27081">
        <v>0</v>
      </c>
      <c r="F27081">
        <v>413</v>
      </c>
    </row>
    <row r="27082" spans="1:6" ht="12.75">
      <c r="A27082" s="2">
        <v>43875.674641203703</v>
      </c>
      <c r="B27082" t="str">
        <f>HYPERLINK("https://twitter.com/Milisi_110","@Milisi_110")</f>
        <v>@Milisi_110</v>
      </c>
      <c r="C27082" t="s">
        <v>11095</v>
      </c>
      <c r="D27082">
        <v>108</v>
      </c>
      <c r="E27082">
        <v>0</v>
      </c>
      <c r="F27082">
        <v>29</v>
      </c>
    </row>
    <row r="27083" spans="1:6" ht="12.75">
      <c r="A27083" s="2">
        <v>43875.674618055556</v>
      </c>
      <c r="B27083" t="str">
        <f>HYPERLINK("https://twitter.com/SitiManjaroh","@SitiManjaroh")</f>
        <v>@SitiManjaroh</v>
      </c>
      <c r="C27083" t="s">
        <v>11095</v>
      </c>
      <c r="D27083">
        <v>108</v>
      </c>
      <c r="E27083">
        <v>0</v>
      </c>
      <c r="F27083">
        <v>124</v>
      </c>
    </row>
    <row r="27084" spans="1:6" ht="12.75">
      <c r="A27084" s="2">
        <v>43875.67459490741</v>
      </c>
      <c r="B27084" t="str">
        <f>HYPERLINK("https://twitter.com/ImeldaPuspita19","@ImeldaPuspita19")</f>
        <v>@ImeldaPuspita19</v>
      </c>
      <c r="C27084" t="s">
        <v>11095</v>
      </c>
      <c r="D27084">
        <v>108</v>
      </c>
      <c r="E27084">
        <v>0</v>
      </c>
      <c r="F27084">
        <v>96</v>
      </c>
    </row>
    <row r="27085" spans="1:6" ht="12.75">
      <c r="A27085" s="2">
        <v>43875.674583333333</v>
      </c>
      <c r="B27085" t="str">
        <f>HYPERLINK("https://twitter.com/adyka__","@adyka__")</f>
        <v>@adyka__</v>
      </c>
      <c r="C27085" t="s">
        <v>12039</v>
      </c>
      <c r="D27085">
        <v>0</v>
      </c>
      <c r="E27085">
        <v>0</v>
      </c>
      <c r="F27085">
        <v>15</v>
      </c>
    </row>
    <row r="27086" spans="1:6" ht="12.75">
      <c r="A27086" s="2">
        <v>43875.674560185187</v>
      </c>
      <c r="B27086" t="str">
        <f>HYPERLINK("https://twitter.com/BefitaMurda","@BefitaMurda")</f>
        <v>@BefitaMurda</v>
      </c>
      <c r="C27086" t="s">
        <v>11095</v>
      </c>
      <c r="D27086">
        <v>108</v>
      </c>
      <c r="E27086">
        <v>0</v>
      </c>
      <c r="F27086">
        <v>84</v>
      </c>
    </row>
    <row r="27087" spans="1:6" ht="12.75">
      <c r="A27087" s="2">
        <v>43875.674432870372</v>
      </c>
      <c r="B27087" t="str">
        <f>HYPERLINK("https://twitter.com/hidayatunacom","@hidayatunacom")</f>
        <v>@hidayatunacom</v>
      </c>
      <c r="C27087" t="s">
        <v>12040</v>
      </c>
      <c r="D27087">
        <v>0</v>
      </c>
      <c r="E27087">
        <v>1</v>
      </c>
      <c r="F27087">
        <v>464</v>
      </c>
    </row>
    <row r="27088" spans="1:6" ht="12.75">
      <c r="A27088" s="2">
        <v>43875.674409722225</v>
      </c>
      <c r="B27088" t="str">
        <f>HYPERLINK("https://twitter.com/harisdmazhar77","@harisdmazhar77")</f>
        <v>@harisdmazhar77</v>
      </c>
      <c r="C27088" t="s">
        <v>7478</v>
      </c>
      <c r="D27088">
        <v>240</v>
      </c>
      <c r="E27088">
        <v>0</v>
      </c>
      <c r="F27088">
        <v>328</v>
      </c>
    </row>
    <row r="27089" spans="1:6" ht="12.75">
      <c r="A27089" s="2">
        <v>43875.674386574072</v>
      </c>
      <c r="B27089" t="str">
        <f>HYPERLINK("https://twitter.com/hasyim_mutu","@hasyim_mutu")</f>
        <v>@hasyim_mutu</v>
      </c>
      <c r="C27089" t="s">
        <v>9962</v>
      </c>
      <c r="D27089">
        <v>33</v>
      </c>
      <c r="E27089">
        <v>0</v>
      </c>
      <c r="F27089">
        <v>20</v>
      </c>
    </row>
    <row r="27090" spans="1:6" ht="12.75">
      <c r="A27090" s="2">
        <v>43875.674386574072</v>
      </c>
      <c r="B27090" t="str">
        <f>HYPERLINK("https://twitter.com/SyairaziAl","@SyairaziAl")</f>
        <v>@SyairaziAl</v>
      </c>
      <c r="C27090" t="s">
        <v>6201</v>
      </c>
      <c r="D27090">
        <v>50</v>
      </c>
      <c r="E27090">
        <v>0</v>
      </c>
      <c r="F27090">
        <v>37</v>
      </c>
    </row>
    <row r="27091" spans="1:6" ht="12.75">
      <c r="A27091" s="2">
        <v>43875.674386574072</v>
      </c>
      <c r="B27091" t="str">
        <f>HYPERLINK("https://twitter.com/Fredy_Santana01","@Fredy_Santana01")</f>
        <v>@Fredy_Santana01</v>
      </c>
      <c r="C27091" t="s">
        <v>6201</v>
      </c>
      <c r="D27091">
        <v>50</v>
      </c>
      <c r="E27091">
        <v>0</v>
      </c>
      <c r="F27091">
        <v>1686</v>
      </c>
    </row>
    <row r="27092" spans="1:6" ht="12.75">
      <c r="A27092" s="2">
        <v>43875.674363425926</v>
      </c>
      <c r="B27092" t="str">
        <f>HYPERLINK("https://twitter.com/fitapuspita","@fitapuspita")</f>
        <v>@fitapuspita</v>
      </c>
      <c r="C27092" t="s">
        <v>12041</v>
      </c>
      <c r="D27092">
        <v>0</v>
      </c>
      <c r="E27092">
        <v>0</v>
      </c>
      <c r="F27092">
        <v>375</v>
      </c>
    </row>
    <row r="27093" spans="1:6" ht="12.75">
      <c r="A27093" s="2">
        <v>43875.674328703702</v>
      </c>
      <c r="B27093" t="str">
        <f>HYPERLINK("https://twitter.com/abanglurus","@abanglurus")</f>
        <v>@abanglurus</v>
      </c>
      <c r="C27093" t="s">
        <v>7478</v>
      </c>
      <c r="D27093">
        <v>240</v>
      </c>
      <c r="E27093">
        <v>0</v>
      </c>
      <c r="F27093">
        <v>157</v>
      </c>
    </row>
    <row r="27094" spans="1:6" ht="12.75">
      <c r="A27094" s="2">
        <v>43875.674317129626</v>
      </c>
      <c r="B27094" t="str">
        <f>HYPERLINK("https://twitter.com/nyeokwooiz","@nyeokwooiz")</f>
        <v>@nyeokwooiz</v>
      </c>
      <c r="C27094" t="s">
        <v>12042</v>
      </c>
      <c r="D27094">
        <v>4109</v>
      </c>
      <c r="E27094">
        <v>0</v>
      </c>
      <c r="F27094">
        <v>1</v>
      </c>
    </row>
    <row r="27095" spans="1:6" ht="12.75">
      <c r="A27095" s="2">
        <v>43875.674212962964</v>
      </c>
      <c r="B27095" t="str">
        <f>HYPERLINK("https://twitter.com/KarenaFollow","@KarenaFollow")</f>
        <v>@KarenaFollow</v>
      </c>
      <c r="C27095" t="s">
        <v>12043</v>
      </c>
      <c r="D27095">
        <v>1</v>
      </c>
      <c r="E27095">
        <v>1</v>
      </c>
      <c r="F27095">
        <v>845</v>
      </c>
    </row>
    <row r="27096" spans="1:6" ht="12.75">
      <c r="A27096" s="2">
        <v>43875.673935185187</v>
      </c>
      <c r="B27096" t="str">
        <f>HYPERLINK("https://twitter.com/FikaPuteraFika","@FikaPuteraFika")</f>
        <v>@FikaPuteraFika</v>
      </c>
      <c r="C27096" t="s">
        <v>11625</v>
      </c>
      <c r="D27096">
        <v>3</v>
      </c>
      <c r="E27096">
        <v>0</v>
      </c>
      <c r="F27096">
        <v>258</v>
      </c>
    </row>
    <row r="27097" spans="1:6" ht="12.75">
      <c r="A27097" s="2">
        <v>43875.673900462964</v>
      </c>
      <c r="B27097" t="str">
        <f>HYPERLINK("https://twitter.com/atikahlestari26","@atikahlestari26")</f>
        <v>@atikahlestari26</v>
      </c>
      <c r="C27097" t="s">
        <v>12044</v>
      </c>
      <c r="D27097">
        <v>56</v>
      </c>
      <c r="E27097">
        <v>0</v>
      </c>
      <c r="F27097">
        <v>414</v>
      </c>
    </row>
    <row r="27098" spans="1:6" ht="12.75">
      <c r="A27098" s="2">
        <v>43875.673657407402</v>
      </c>
      <c r="B27098" t="str">
        <f>HYPERLINK("https://twitter.com/mugiwarashankz","@mugiwarashankz")</f>
        <v>@mugiwarashankz</v>
      </c>
      <c r="C27098" t="s">
        <v>9123</v>
      </c>
      <c r="D27098">
        <v>228</v>
      </c>
      <c r="E27098">
        <v>0</v>
      </c>
      <c r="F27098">
        <v>1</v>
      </c>
    </row>
    <row r="27099" spans="1:6" ht="12.75">
      <c r="A27099" s="2">
        <v>43875.673622685186</v>
      </c>
      <c r="B27099" t="str">
        <f>HYPERLINK("https://twitter.com/dearakp","@dearakp")</f>
        <v>@dearakp</v>
      </c>
      <c r="C27099" t="s">
        <v>2444</v>
      </c>
      <c r="D27099">
        <v>1638</v>
      </c>
      <c r="E27099">
        <v>0</v>
      </c>
      <c r="F27099">
        <v>39</v>
      </c>
    </row>
    <row r="27100" spans="1:6" ht="12.75">
      <c r="A27100" s="2">
        <v>43875.673611111109</v>
      </c>
      <c r="B27100" t="str">
        <f>HYPERLINK("https://twitter.com/indonesiana","@indonesiana")</f>
        <v>@indonesiana</v>
      </c>
      <c r="C27100" t="s">
        <v>12045</v>
      </c>
      <c r="D27100">
        <v>0</v>
      </c>
      <c r="E27100">
        <v>0</v>
      </c>
      <c r="F27100">
        <v>49507</v>
      </c>
    </row>
    <row r="27101" spans="1:6" ht="12.75">
      <c r="A27101" s="2">
        <v>43875.673564814817</v>
      </c>
      <c r="B27101" t="str">
        <f>HYPERLINK("https://twitter.com/Soedijono5","@Soedijono5")</f>
        <v>@Soedijono5</v>
      </c>
      <c r="C27101" t="s">
        <v>12046</v>
      </c>
      <c r="D27101">
        <v>0</v>
      </c>
      <c r="E27101">
        <v>1</v>
      </c>
      <c r="F27101">
        <v>58</v>
      </c>
    </row>
    <row r="27102" spans="1:6" ht="12.75">
      <c r="A27102" s="2">
        <v>43875.673564814817</v>
      </c>
      <c r="B27102" t="str">
        <f>HYPERLINK("https://twitter.com/_doshigatai__","@_doshigatai__")</f>
        <v>@_doshigatai__</v>
      </c>
      <c r="C27102" t="s">
        <v>2444</v>
      </c>
      <c r="D27102">
        <v>1638</v>
      </c>
      <c r="E27102">
        <v>0</v>
      </c>
      <c r="F27102">
        <v>405</v>
      </c>
    </row>
    <row r="27103" spans="1:6" ht="12.75">
      <c r="A27103" s="2">
        <v>43875.67355324074</v>
      </c>
      <c r="B27103" t="str">
        <f>HYPERLINK("https://twitter.com/KurniaChen","@KurniaChen")</f>
        <v>@KurniaChen</v>
      </c>
      <c r="C27103" t="s">
        <v>10096</v>
      </c>
      <c r="D27103">
        <v>143</v>
      </c>
      <c r="E27103">
        <v>0</v>
      </c>
      <c r="F27103">
        <v>692</v>
      </c>
    </row>
    <row r="27104" spans="1:6" ht="12.75">
      <c r="A27104" s="2">
        <v>43875.673518518517</v>
      </c>
      <c r="B27104" t="str">
        <f>HYPERLINK("https://twitter.com/flouerpetal","@flouerpetal")</f>
        <v>@flouerpetal</v>
      </c>
      <c r="C27104" t="s">
        <v>12042</v>
      </c>
      <c r="D27104">
        <v>4109</v>
      </c>
      <c r="E27104">
        <v>0</v>
      </c>
      <c r="F27104">
        <v>123</v>
      </c>
    </row>
    <row r="27105" spans="1:6" ht="12.75">
      <c r="A27105" s="2">
        <v>43875.673495370371</v>
      </c>
      <c r="B27105" t="str">
        <f>HYPERLINK("https://twitter.com/_doshigatai__","@_doshigatai__")</f>
        <v>@_doshigatai__</v>
      </c>
      <c r="C27105" t="s">
        <v>5168</v>
      </c>
      <c r="D27105">
        <v>789</v>
      </c>
      <c r="E27105">
        <v>0</v>
      </c>
      <c r="F27105">
        <v>405</v>
      </c>
    </row>
    <row r="27106" spans="1:6" ht="12.75">
      <c r="A27106" s="2">
        <v>43875.673402777778</v>
      </c>
      <c r="B27106" t="str">
        <f>HYPERLINK("https://twitter.com/bunk_tomysh","@bunk_tomysh")</f>
        <v>@bunk_tomysh</v>
      </c>
      <c r="C27106" t="s">
        <v>6201</v>
      </c>
      <c r="D27106">
        <v>50</v>
      </c>
      <c r="E27106">
        <v>0</v>
      </c>
      <c r="F27106">
        <v>597</v>
      </c>
    </row>
    <row r="27107" spans="1:6" ht="12.75">
      <c r="A27107" s="2">
        <v>43875.673402777778</v>
      </c>
      <c r="B27107" t="str">
        <f>HYPERLINK("https://twitter.com/sabinaaa_1","@sabinaaa_1")</f>
        <v>@sabinaaa_1</v>
      </c>
      <c r="C27107" t="s">
        <v>2963</v>
      </c>
      <c r="D27107">
        <v>958</v>
      </c>
      <c r="E27107">
        <v>0</v>
      </c>
      <c r="F27107">
        <v>86</v>
      </c>
    </row>
    <row r="27108" spans="1:6" ht="12.75">
      <c r="A27108" s="2">
        <v>43875.673379629632</v>
      </c>
      <c r="B27108" t="str">
        <f>HYPERLINK("https://twitter.com/JanjiManismu_","@JanjiManismu_")</f>
        <v>@JanjiManismu_</v>
      </c>
      <c r="C27108" t="s">
        <v>12047</v>
      </c>
      <c r="D27108">
        <v>6</v>
      </c>
      <c r="E27108">
        <v>0</v>
      </c>
      <c r="F27108">
        <v>28</v>
      </c>
    </row>
    <row r="27109" spans="1:6" ht="12.75">
      <c r="A27109" s="2">
        <v>43875.673368055555</v>
      </c>
      <c r="B27109" t="str">
        <f>HYPERLINK("https://twitter.com/maiman651","@maiman651")</f>
        <v>@maiman651</v>
      </c>
      <c r="C27109" t="s">
        <v>12048</v>
      </c>
      <c r="D27109">
        <v>1</v>
      </c>
      <c r="E27109">
        <v>0</v>
      </c>
      <c r="F27109">
        <v>252</v>
      </c>
    </row>
    <row r="27110" spans="1:6" ht="12.75">
      <c r="A27110" s="2">
        <v>43875.673368055555</v>
      </c>
      <c r="B27110" t="str">
        <f>HYPERLINK("https://twitter.com/Hillwan","@Hillwan")</f>
        <v>@Hillwan</v>
      </c>
      <c r="C27110" t="s">
        <v>10710</v>
      </c>
      <c r="D27110">
        <v>26</v>
      </c>
      <c r="E27110">
        <v>0</v>
      </c>
      <c r="F27110">
        <v>177</v>
      </c>
    </row>
    <row r="27111" spans="1:6" ht="12.75">
      <c r="A27111" s="2">
        <v>43875.673356481479</v>
      </c>
      <c r="B27111" t="str">
        <f>HYPERLINK("https://twitter.com/Erik_Alfredo5","@Erik_Alfredo5")</f>
        <v>@Erik_Alfredo5</v>
      </c>
      <c r="C27111" t="s">
        <v>9835</v>
      </c>
      <c r="D27111">
        <v>39</v>
      </c>
      <c r="E27111">
        <v>0</v>
      </c>
      <c r="F27111">
        <v>790</v>
      </c>
    </row>
    <row r="27112" spans="1:6" ht="12.75">
      <c r="A27112" s="2">
        <v>43875.673333333332</v>
      </c>
      <c r="B27112" t="str">
        <f>HYPERLINK("https://twitter.com/overthegyu","@overthegyu")</f>
        <v>@overthegyu</v>
      </c>
      <c r="C27112" t="s">
        <v>2444</v>
      </c>
      <c r="D27112">
        <v>1638</v>
      </c>
      <c r="E27112">
        <v>0</v>
      </c>
      <c r="F27112">
        <v>2383</v>
      </c>
    </row>
    <row r="27113" spans="1:6" ht="12.75">
      <c r="A27113" s="2">
        <v>43875.673298611116</v>
      </c>
      <c r="B27113" t="str">
        <f>HYPERLINK("https://twitter.com/maybeRisu","@maybeRisu")</f>
        <v>@maybeRisu</v>
      </c>
      <c r="C27113" t="s">
        <v>2444</v>
      </c>
      <c r="D27113">
        <v>1638</v>
      </c>
      <c r="E27113">
        <v>0</v>
      </c>
      <c r="F27113">
        <v>166</v>
      </c>
    </row>
    <row r="27114" spans="1:6" ht="12.75">
      <c r="A27114" s="2">
        <v>43875.673275462963</v>
      </c>
      <c r="B27114" t="str">
        <f>HYPERLINK("https://twitter.com/JanjiManismu_","@JanjiManismu_")</f>
        <v>@JanjiManismu_</v>
      </c>
      <c r="C27114" t="s">
        <v>12049</v>
      </c>
      <c r="D27114">
        <v>6</v>
      </c>
      <c r="E27114">
        <v>0</v>
      </c>
      <c r="F27114">
        <v>28</v>
      </c>
    </row>
    <row r="27115" spans="1:6" ht="12.75">
      <c r="A27115" s="2">
        <v>43875.673263888893</v>
      </c>
      <c r="B27115" t="str">
        <f>HYPERLINK("https://twitter.com/mca_62","@mca_62")</f>
        <v>@mca_62</v>
      </c>
      <c r="C27115" t="s">
        <v>6201</v>
      </c>
      <c r="D27115">
        <v>50</v>
      </c>
      <c r="E27115">
        <v>0</v>
      </c>
      <c r="F27115">
        <v>2501</v>
      </c>
    </row>
    <row r="27116" spans="1:6" ht="12.75">
      <c r="A27116" s="2">
        <v>43875.673252314809</v>
      </c>
      <c r="B27116" t="str">
        <f>HYPERLINK("https://twitter.com/JanjiManismu_","@JanjiManismu_")</f>
        <v>@JanjiManismu_</v>
      </c>
      <c r="C27116" t="s">
        <v>11095</v>
      </c>
      <c r="D27116">
        <v>108</v>
      </c>
      <c r="E27116">
        <v>0</v>
      </c>
      <c r="F27116">
        <v>28</v>
      </c>
    </row>
    <row r="27117" spans="1:6" ht="12.75">
      <c r="A27117" s="2">
        <v>43875.67324074074</v>
      </c>
      <c r="B27117" t="str">
        <f>HYPERLINK("https://twitter.com/tribunbatamku","@tribunbatamku")</f>
        <v>@tribunbatamku</v>
      </c>
      <c r="C27117" t="s">
        <v>12050</v>
      </c>
      <c r="D27117">
        <v>0</v>
      </c>
      <c r="E27117">
        <v>0</v>
      </c>
      <c r="F27117">
        <v>5268</v>
      </c>
    </row>
    <row r="27118" spans="1:6" ht="12.75">
      <c r="A27118" s="2">
        <v>43875.673194444447</v>
      </c>
      <c r="B27118" t="str">
        <f>HYPERLINK("https://twitter.com/jiminomuya","@jiminomuya")</f>
        <v>@jiminomuya</v>
      </c>
      <c r="C27118" t="s">
        <v>2444</v>
      </c>
      <c r="D27118">
        <v>1638</v>
      </c>
      <c r="E27118">
        <v>0</v>
      </c>
      <c r="F27118">
        <v>135</v>
      </c>
    </row>
    <row r="27119" spans="1:6" ht="12.75">
      <c r="A27119" s="2">
        <v>43875.673182870371</v>
      </c>
      <c r="B27119" t="str">
        <f>HYPERLINK("https://twitter.com/ManikAlberto","@ManikAlberto")</f>
        <v>@ManikAlberto</v>
      </c>
      <c r="C27119" t="s">
        <v>2963</v>
      </c>
      <c r="D27119">
        <v>958</v>
      </c>
      <c r="E27119">
        <v>0</v>
      </c>
      <c r="F27119">
        <v>55</v>
      </c>
    </row>
    <row r="27120" spans="1:6" ht="12.75">
      <c r="A27120" s="2">
        <v>43875.673136574071</v>
      </c>
      <c r="B27120" t="str">
        <f>HYPERLINK("https://twitter.com/FajarRizqy8","@FajarRizqy8")</f>
        <v>@FajarRizqy8</v>
      </c>
      <c r="C27120" t="s">
        <v>12042</v>
      </c>
      <c r="D27120">
        <v>4109</v>
      </c>
      <c r="E27120">
        <v>0</v>
      </c>
      <c r="F27120">
        <v>27</v>
      </c>
    </row>
    <row r="27121" spans="1:6" ht="12.75">
      <c r="A27121" s="2">
        <v>43875.673032407409</v>
      </c>
      <c r="B27121" t="str">
        <f>HYPERLINK("https://twitter.com/6666Devi","@6666Devi")</f>
        <v>@6666Devi</v>
      </c>
      <c r="C27121" t="s">
        <v>7020</v>
      </c>
      <c r="D27121">
        <v>34</v>
      </c>
      <c r="E27121">
        <v>0</v>
      </c>
      <c r="F27121">
        <v>59</v>
      </c>
    </row>
    <row r="27122" spans="1:6" ht="12.75">
      <c r="A27122" s="2">
        <v>43875.673009259262</v>
      </c>
      <c r="B27122" t="str">
        <f>HYPERLINK("https://twitter.com/Erik_Alfredo5","@Erik_Alfredo5")</f>
        <v>@Erik_Alfredo5</v>
      </c>
      <c r="C27122" t="s">
        <v>9746</v>
      </c>
      <c r="D27122">
        <v>249</v>
      </c>
      <c r="E27122">
        <v>0</v>
      </c>
      <c r="F27122">
        <v>790</v>
      </c>
    </row>
    <row r="27123" spans="1:6" ht="12.75">
      <c r="A27123" s="2">
        <v>43875.672997685186</v>
      </c>
      <c r="B27123" t="str">
        <f>HYPERLINK("https://twitter.com/dira226","@dira226")</f>
        <v>@dira226</v>
      </c>
      <c r="C27123" t="s">
        <v>11224</v>
      </c>
      <c r="D27123">
        <v>1</v>
      </c>
      <c r="E27123">
        <v>0</v>
      </c>
      <c r="F27123">
        <v>919</v>
      </c>
    </row>
    <row r="27124" spans="1:6" ht="12.75">
      <c r="A27124" s="2">
        <v>43875.672986111109</v>
      </c>
      <c r="B27124" t="str">
        <f>HYPERLINK("https://twitter.com/IrmaHKds","@IrmaHKds")</f>
        <v>@IrmaHKds</v>
      </c>
      <c r="C27124" t="s">
        <v>12051</v>
      </c>
      <c r="D27124">
        <v>0</v>
      </c>
      <c r="E27124">
        <v>2</v>
      </c>
      <c r="F27124">
        <v>3619</v>
      </c>
    </row>
    <row r="27125" spans="1:6" ht="12.75">
      <c r="A27125" s="2">
        <v>43875.672673611116</v>
      </c>
      <c r="B27125" t="str">
        <f>HYPERLINK("https://twitter.com/agungelsastra","@agungelsastra")</f>
        <v>@agungelsastra</v>
      </c>
      <c r="C27125" t="s">
        <v>5761</v>
      </c>
      <c r="D27125">
        <v>61</v>
      </c>
      <c r="E27125">
        <v>0</v>
      </c>
      <c r="F27125">
        <v>768</v>
      </c>
    </row>
    <row r="27126" spans="1:6" ht="12.75">
      <c r="A27126" s="2">
        <v>43875.672650462962</v>
      </c>
      <c r="B27126" t="str">
        <f>HYPERLINK("https://twitter.com/hokutoes_","@hokutoes_")</f>
        <v>@hokutoes_</v>
      </c>
      <c r="C27126" t="s">
        <v>2444</v>
      </c>
      <c r="D27126">
        <v>1638</v>
      </c>
      <c r="E27126">
        <v>0</v>
      </c>
      <c r="F27126">
        <v>134</v>
      </c>
    </row>
    <row r="27127" spans="1:6" ht="12.75">
      <c r="A27127" s="2">
        <v>43875.67260416667</v>
      </c>
      <c r="B27127" t="str">
        <f>HYPERLINK("https://twitter.com/tukasbuntang","@tukasbuntang")</f>
        <v>@tukasbuntang</v>
      </c>
      <c r="C27127" t="s">
        <v>12052</v>
      </c>
      <c r="D27127">
        <v>32</v>
      </c>
      <c r="E27127">
        <v>0</v>
      </c>
      <c r="F27127">
        <v>385</v>
      </c>
    </row>
    <row r="27128" spans="1:6" ht="12.75">
      <c r="A27128" s="2">
        <v>43875.672534722224</v>
      </c>
      <c r="B27128" t="str">
        <f>HYPERLINK("https://twitter.com/zarazettirazr","@zarazettirazr")</f>
        <v>@zarazettirazr</v>
      </c>
      <c r="C27128" t="s">
        <v>12053</v>
      </c>
      <c r="D27128">
        <v>3</v>
      </c>
      <c r="E27128">
        <v>15</v>
      </c>
      <c r="F27128">
        <v>250122</v>
      </c>
    </row>
    <row r="27129" spans="1:6" ht="12.75">
      <c r="A27129" s="2">
        <v>43875.672430555554</v>
      </c>
      <c r="B27129" t="str">
        <f>HYPERLINK("https://twitter.com/samwan_like_u","@samwan_like_u")</f>
        <v>@samwan_like_u</v>
      </c>
      <c r="C27129" t="s">
        <v>9746</v>
      </c>
      <c r="D27129">
        <v>249</v>
      </c>
      <c r="E27129">
        <v>0</v>
      </c>
      <c r="F27129">
        <v>96</v>
      </c>
    </row>
    <row r="27130" spans="1:6" ht="12.75">
      <c r="A27130" s="2">
        <v>43875.672407407408</v>
      </c>
      <c r="B27130" t="str">
        <f>HYPERLINK("https://twitter.com/mbakadele","@mbakadele")</f>
        <v>@mbakadele</v>
      </c>
      <c r="C27130" t="s">
        <v>2444</v>
      </c>
      <c r="D27130">
        <v>1638</v>
      </c>
      <c r="E27130">
        <v>0</v>
      </c>
      <c r="F27130">
        <v>3</v>
      </c>
    </row>
    <row r="27131" spans="1:6" ht="12.75">
      <c r="A27131" s="2">
        <v>43875.672349537039</v>
      </c>
      <c r="B27131" t="str">
        <f>HYPERLINK("https://twitter.com/jisungricegrain","@jisungricegrain")</f>
        <v>@jisungricegrain</v>
      </c>
      <c r="C27131" t="s">
        <v>9964</v>
      </c>
      <c r="D27131">
        <v>599</v>
      </c>
      <c r="E27131">
        <v>0</v>
      </c>
      <c r="F27131">
        <v>729</v>
      </c>
    </row>
    <row r="27132" spans="1:6" ht="12.75">
      <c r="A27132" s="2">
        <v>43875.672326388885</v>
      </c>
      <c r="B27132" t="str">
        <f>HYPERLINK("https://twitter.com/tenthofjun","@tenthofjun")</f>
        <v>@tenthofjun</v>
      </c>
      <c r="C27132" t="s">
        <v>12054</v>
      </c>
      <c r="D27132">
        <v>0</v>
      </c>
      <c r="E27132">
        <v>0</v>
      </c>
      <c r="F27132">
        <v>632</v>
      </c>
    </row>
    <row r="27133" spans="1:6" ht="12.75">
      <c r="A27133" s="2">
        <v>43875.672326388885</v>
      </c>
      <c r="B27133" t="str">
        <f>HYPERLINK("https://twitter.com/Annichut","@Annichut")</f>
        <v>@Annichut</v>
      </c>
      <c r="C27133" t="s">
        <v>2137</v>
      </c>
      <c r="D27133">
        <v>138</v>
      </c>
      <c r="E27133">
        <v>0</v>
      </c>
      <c r="F27133">
        <v>1774</v>
      </c>
    </row>
    <row r="27134" spans="1:6" ht="12.75">
      <c r="A27134" s="2">
        <v>43875.672303240739</v>
      </c>
      <c r="B27134" t="str">
        <f>HYPERLINK("https://twitter.com/darayuvita","@darayuvita")</f>
        <v>@darayuvita</v>
      </c>
      <c r="C27134" t="s">
        <v>8233</v>
      </c>
      <c r="D27134">
        <v>477</v>
      </c>
      <c r="E27134">
        <v>0</v>
      </c>
      <c r="F27134">
        <v>245</v>
      </c>
    </row>
    <row r="27135" spans="1:6" ht="12.75">
      <c r="A27135" s="2">
        <v>43875.672129629631</v>
      </c>
      <c r="B27135" t="str">
        <f>HYPERLINK("https://twitter.com/LeoDeBara","@LeoDeBara")</f>
        <v>@LeoDeBara</v>
      </c>
      <c r="C27135" t="s">
        <v>2963</v>
      </c>
      <c r="D27135">
        <v>958</v>
      </c>
      <c r="E27135">
        <v>0</v>
      </c>
      <c r="F27135">
        <v>127</v>
      </c>
    </row>
    <row r="27136" spans="1:6" ht="12.75">
      <c r="A27136" s="2">
        <v>43875.672060185185</v>
      </c>
      <c r="B27136" t="str">
        <f>HYPERLINK("https://twitter.com/DinaIstiani3","@DinaIstiani3")</f>
        <v>@DinaIstiani3</v>
      </c>
      <c r="C27136" t="s">
        <v>11095</v>
      </c>
      <c r="D27136">
        <v>108</v>
      </c>
      <c r="E27136">
        <v>0</v>
      </c>
      <c r="F27136">
        <v>193</v>
      </c>
    </row>
    <row r="27137" spans="1:6" ht="12.75">
      <c r="A27137" s="2">
        <v>43875.672048611115</v>
      </c>
      <c r="B27137" t="str">
        <f>HYPERLINK("https://twitter.com/ily30k","@ily30k")</f>
        <v>@ily30k</v>
      </c>
      <c r="C27137" t="s">
        <v>2444</v>
      </c>
      <c r="D27137">
        <v>1638</v>
      </c>
      <c r="E27137">
        <v>0</v>
      </c>
      <c r="F27137">
        <v>2202</v>
      </c>
    </row>
    <row r="27138" spans="1:6" ht="12.75">
      <c r="A27138" s="2">
        <v>43875.672013888892</v>
      </c>
      <c r="B27138" t="str">
        <f>HYPERLINK("https://twitter.com/ocktanrmptr","@ocktanrmptr")</f>
        <v>@ocktanrmptr</v>
      </c>
      <c r="C27138" t="s">
        <v>2444</v>
      </c>
      <c r="D27138">
        <v>1638</v>
      </c>
      <c r="E27138">
        <v>0</v>
      </c>
      <c r="F27138">
        <v>727</v>
      </c>
    </row>
    <row r="27139" spans="1:6" ht="12.75">
      <c r="A27139" s="2">
        <v>43875.671932870369</v>
      </c>
      <c r="B27139" t="str">
        <f>HYPERLINK("https://twitter.com/Artisjej","@Artisjej")</f>
        <v>@Artisjej</v>
      </c>
      <c r="C27139" t="s">
        <v>2137</v>
      </c>
      <c r="D27139">
        <v>138</v>
      </c>
      <c r="E27139">
        <v>0</v>
      </c>
      <c r="F27139">
        <v>278</v>
      </c>
    </row>
    <row r="27140" spans="1:6" ht="12.75">
      <c r="A27140" s="2">
        <v>43875.671921296293</v>
      </c>
      <c r="B27140" t="str">
        <f>HYPERLINK("https://twitter.com/ichiewahyudi","@ichiewahyudi")</f>
        <v>@ichiewahyudi</v>
      </c>
      <c r="C27140" t="s">
        <v>10052</v>
      </c>
      <c r="D27140">
        <v>24</v>
      </c>
      <c r="E27140">
        <v>0</v>
      </c>
      <c r="F27140">
        <v>826</v>
      </c>
    </row>
    <row r="27141" spans="1:6" ht="12.75">
      <c r="A27141" s="2">
        <v>43875.671898148154</v>
      </c>
      <c r="B27141" t="str">
        <f>HYPERLINK("https://twitter.com/pputtransian","@pputtransian")</f>
        <v>@pputtransian</v>
      </c>
      <c r="C27141" t="s">
        <v>8233</v>
      </c>
      <c r="D27141">
        <v>477</v>
      </c>
      <c r="E27141">
        <v>0</v>
      </c>
      <c r="F27141">
        <v>809</v>
      </c>
    </row>
    <row r="27142" spans="1:6" ht="12.75">
      <c r="A27142" s="2">
        <v>43875.671793981484</v>
      </c>
      <c r="B27142" t="str">
        <f>HYPERLINK("https://twitter.com/Cobeh09","@Cobeh09")</f>
        <v>@Cobeh09</v>
      </c>
      <c r="C27142" t="s">
        <v>15650</v>
      </c>
      <c r="D27142">
        <v>50</v>
      </c>
      <c r="E27142">
        <v>76</v>
      </c>
      <c r="F27142">
        <v>24616</v>
      </c>
    </row>
    <row r="27143" spans="1:6" ht="12.75">
      <c r="A27143" s="2">
        <v>43875.671759259261</v>
      </c>
      <c r="B27143" t="str">
        <f>HYPERLINK("https://twitter.com/voldestrong","@voldestrong")</f>
        <v>@voldestrong</v>
      </c>
      <c r="C27143" t="s">
        <v>5168</v>
      </c>
      <c r="D27143">
        <v>789</v>
      </c>
      <c r="E27143">
        <v>0</v>
      </c>
      <c r="F27143">
        <v>2380</v>
      </c>
    </row>
    <row r="27144" spans="1:6" ht="12.75">
      <c r="A27144" s="2">
        <v>43875.671724537038</v>
      </c>
      <c r="B27144" t="str">
        <f>HYPERLINK("https://twitter.com/ahilkhan11","@ahilkhan11")</f>
        <v>@ahilkhan11</v>
      </c>
      <c r="C27144" t="s">
        <v>12055</v>
      </c>
      <c r="D27144">
        <v>0</v>
      </c>
      <c r="E27144">
        <v>0</v>
      </c>
      <c r="F27144">
        <v>10</v>
      </c>
    </row>
    <row r="27145" spans="1:6" ht="12.75">
      <c r="A27145" s="2">
        <v>43875.6715625</v>
      </c>
      <c r="B27145" t="str">
        <f>HYPERLINK("https://twitter.com/adityapradanan","@adityapradanan")</f>
        <v>@adityapradanan</v>
      </c>
      <c r="C27145" t="s">
        <v>2444</v>
      </c>
      <c r="D27145">
        <v>1638</v>
      </c>
      <c r="E27145">
        <v>0</v>
      </c>
      <c r="F27145">
        <v>272</v>
      </c>
    </row>
    <row r="27146" spans="1:6" ht="12.75">
      <c r="A27146" s="2">
        <v>43875.671458333338</v>
      </c>
      <c r="B27146" t="str">
        <f>HYPERLINK("https://twitter.com/VisionGlobal18","@VisionGlobal18")</f>
        <v>@VisionGlobal18</v>
      </c>
      <c r="C27146" t="s">
        <v>12056</v>
      </c>
      <c r="D27146">
        <v>1</v>
      </c>
      <c r="E27146">
        <v>0</v>
      </c>
      <c r="F27146">
        <v>1054</v>
      </c>
    </row>
    <row r="27147" spans="1:6" ht="12.75">
      <c r="A27147" s="2">
        <v>43875.67119212963</v>
      </c>
      <c r="B27147" t="str">
        <f>HYPERLINK("https://twitter.com/baekmuang","@baekmuang")</f>
        <v>@baekmuang</v>
      </c>
      <c r="C27147" t="s">
        <v>2444</v>
      </c>
      <c r="D27147">
        <v>1638</v>
      </c>
      <c r="E27147">
        <v>0</v>
      </c>
      <c r="F27147">
        <v>360</v>
      </c>
    </row>
    <row r="27148" spans="1:6" ht="12.75">
      <c r="A27148" s="2">
        <v>43875.671180555553</v>
      </c>
      <c r="B27148" t="str">
        <f>HYPERLINK("https://twitter.com/gregoriusbay","@gregoriusbay")</f>
        <v>@gregoriusbay</v>
      </c>
      <c r="C27148" t="s">
        <v>2444</v>
      </c>
      <c r="D27148">
        <v>1638</v>
      </c>
      <c r="E27148">
        <v>0</v>
      </c>
      <c r="F27148">
        <v>622</v>
      </c>
    </row>
    <row r="27149" spans="1:6" ht="12.75">
      <c r="A27149" s="2">
        <v>43875.671157407407</v>
      </c>
      <c r="B27149" t="str">
        <f>HYPERLINK("https://twitter.com/Jhon_Cen4","@Jhon_Cen4")</f>
        <v>@Jhon_Cen4</v>
      </c>
      <c r="C27149" t="s">
        <v>12047</v>
      </c>
      <c r="D27149">
        <v>6</v>
      </c>
      <c r="E27149">
        <v>0</v>
      </c>
      <c r="F27149">
        <v>31</v>
      </c>
    </row>
    <row r="27150" spans="1:6" ht="12.75">
      <c r="A27150" s="2">
        <v>43875.671157407407</v>
      </c>
      <c r="B27150" t="str">
        <f>HYPERLINK("https://twitter.com/rapib","@rapib")</f>
        <v>@rapib</v>
      </c>
      <c r="C27150" t="s">
        <v>8233</v>
      </c>
      <c r="D27150">
        <v>477</v>
      </c>
      <c r="E27150">
        <v>0</v>
      </c>
      <c r="F27150">
        <v>62</v>
      </c>
    </row>
    <row r="27151" spans="1:6" ht="12.75">
      <c r="A27151" s="2">
        <v>43875.671134259261</v>
      </c>
      <c r="B27151" t="str">
        <f>HYPERLINK("https://twitter.com/RumahSurga3","@RumahSurga3")</f>
        <v>@RumahSurga3</v>
      </c>
      <c r="C27151" t="s">
        <v>513</v>
      </c>
      <c r="D27151">
        <v>23206</v>
      </c>
      <c r="E27151">
        <v>0</v>
      </c>
      <c r="F27151">
        <v>23</v>
      </c>
    </row>
    <row r="27152" spans="1:6" ht="12.75">
      <c r="A27152" s="2">
        <v>43875.671006944445</v>
      </c>
      <c r="B27152" t="str">
        <f t="shared" ref="B27152:B27153" si="356">HYPERLINK("https://twitter.com/Jhon_Cen4","@Jhon_Cen4")</f>
        <v>@Jhon_Cen4</v>
      </c>
      <c r="C27152" t="s">
        <v>12049</v>
      </c>
      <c r="D27152">
        <v>6</v>
      </c>
      <c r="E27152">
        <v>0</v>
      </c>
      <c r="F27152">
        <v>31</v>
      </c>
    </row>
    <row r="27153" spans="1:6" ht="12.75">
      <c r="A27153" s="2">
        <v>43875.670983796299</v>
      </c>
      <c r="B27153" t="str">
        <f t="shared" si="356"/>
        <v>@Jhon_Cen4</v>
      </c>
      <c r="C27153" t="s">
        <v>11095</v>
      </c>
      <c r="D27153">
        <v>108</v>
      </c>
      <c r="E27153">
        <v>0</v>
      </c>
      <c r="F27153">
        <v>31</v>
      </c>
    </row>
    <row r="27154" spans="1:6" ht="12.75">
      <c r="A27154" s="2">
        <v>43875.670949074076</v>
      </c>
      <c r="B27154" t="str">
        <f>HYPERLINK("https://twitter.com/PhuspaPhuspita","@PhuspaPhuspita")</f>
        <v>@PhuspaPhuspita</v>
      </c>
      <c r="C27154" t="s">
        <v>5168</v>
      </c>
      <c r="D27154">
        <v>789</v>
      </c>
      <c r="E27154">
        <v>0</v>
      </c>
      <c r="F27154">
        <v>889</v>
      </c>
    </row>
    <row r="27155" spans="1:6" ht="12.75">
      <c r="A27155" s="2">
        <v>43875.670856481476</v>
      </c>
      <c r="B27155" t="str">
        <f>HYPERLINK("https://twitter.com/BenryS","@BenryS")</f>
        <v>@BenryS</v>
      </c>
      <c r="C27155" t="s">
        <v>12057</v>
      </c>
      <c r="D27155">
        <v>0</v>
      </c>
      <c r="E27155">
        <v>1</v>
      </c>
      <c r="F27155">
        <v>17</v>
      </c>
    </row>
    <row r="27156" spans="1:6" ht="12.75">
      <c r="A27156" s="2">
        <v>43875.670833333337</v>
      </c>
      <c r="B27156" t="str">
        <f>HYPERLINK("https://twitter.com/VisionGlobal18","@VisionGlobal18")</f>
        <v>@VisionGlobal18</v>
      </c>
      <c r="C27156" t="s">
        <v>9539</v>
      </c>
      <c r="D27156">
        <v>8</v>
      </c>
      <c r="E27156">
        <v>0</v>
      </c>
      <c r="F27156">
        <v>1054</v>
      </c>
    </row>
    <row r="27157" spans="1:6" ht="12.75">
      <c r="A27157" s="2">
        <v>43875.67082175926</v>
      </c>
      <c r="B27157" t="str">
        <f>HYPERLINK("https://twitter.com/VredeAarde","@VredeAarde")</f>
        <v>@VredeAarde</v>
      </c>
      <c r="C27157" t="s">
        <v>12058</v>
      </c>
      <c r="D27157">
        <v>0</v>
      </c>
      <c r="E27157">
        <v>0</v>
      </c>
      <c r="F27157">
        <v>2200</v>
      </c>
    </row>
    <row r="27158" spans="1:6" ht="12.75">
      <c r="A27158" s="2">
        <v>43875.670810185184</v>
      </c>
      <c r="B27158" t="str">
        <f>HYPERLINK("https://twitter.com/fadillah_acmd","@fadillah_acmd")</f>
        <v>@fadillah_acmd</v>
      </c>
      <c r="C27158" t="s">
        <v>12059</v>
      </c>
      <c r="D27158">
        <v>0</v>
      </c>
      <c r="E27158">
        <v>0</v>
      </c>
      <c r="F27158">
        <v>689</v>
      </c>
    </row>
    <row r="27159" spans="1:6" ht="12.75">
      <c r="A27159" s="2">
        <v>43875.670717592591</v>
      </c>
      <c r="B27159" t="str">
        <f>HYPERLINK("https://twitter.com/_eccedentes","@_eccedentes")</f>
        <v>@_eccedentes</v>
      </c>
      <c r="C27159" t="s">
        <v>2444</v>
      </c>
      <c r="D27159">
        <v>1638</v>
      </c>
      <c r="E27159">
        <v>0</v>
      </c>
      <c r="F27159">
        <v>657</v>
      </c>
    </row>
    <row r="27160" spans="1:6" ht="12.75">
      <c r="A27160" s="2">
        <v>43875.670717592591</v>
      </c>
      <c r="B27160" t="str">
        <f>HYPERLINK("https://twitter.com/leoandalusialeo","@leoandalusialeo")</f>
        <v>@leoandalusialeo</v>
      </c>
      <c r="C27160" t="s">
        <v>12060</v>
      </c>
      <c r="D27160">
        <v>0</v>
      </c>
      <c r="E27160">
        <v>0</v>
      </c>
      <c r="F27160">
        <v>478</v>
      </c>
    </row>
    <row r="27161" spans="1:6" ht="12.75">
      <c r="A27161" s="2">
        <v>43875.670694444445</v>
      </c>
      <c r="B27161" t="str">
        <f>HYPERLINK("https://twitter.com/teojuve","@teojuve")</f>
        <v>@teojuve</v>
      </c>
      <c r="C27161" t="s">
        <v>2963</v>
      </c>
      <c r="D27161">
        <v>958</v>
      </c>
      <c r="E27161">
        <v>0</v>
      </c>
      <c r="F27161">
        <v>871</v>
      </c>
    </row>
    <row r="27162" spans="1:6" ht="12.75">
      <c r="A27162" s="2">
        <v>43875.670578703706</v>
      </c>
      <c r="B27162" t="str">
        <f>HYPERLINK("https://twitter.com/6666Devi","@6666Devi")</f>
        <v>@6666Devi</v>
      </c>
      <c r="C27162" t="s">
        <v>9835</v>
      </c>
      <c r="D27162">
        <v>39</v>
      </c>
      <c r="E27162">
        <v>0</v>
      </c>
      <c r="F27162">
        <v>59</v>
      </c>
    </row>
    <row r="27163" spans="1:6" ht="12.75">
      <c r="A27163" s="2">
        <v>43875.670543981483</v>
      </c>
      <c r="B27163" t="str">
        <f>HYPERLINK("https://twitter.com/MRidwanNst11","@MRidwanNst11")</f>
        <v>@MRidwanNst11</v>
      </c>
      <c r="C27163" t="s">
        <v>10052</v>
      </c>
      <c r="D27163">
        <v>24</v>
      </c>
      <c r="E27163">
        <v>0</v>
      </c>
      <c r="F27163">
        <v>22</v>
      </c>
    </row>
    <row r="27164" spans="1:6" ht="12.75">
      <c r="A27164" s="2">
        <v>43875.67052083333</v>
      </c>
      <c r="B27164" t="str">
        <f>HYPERLINK("https://twitter.com/okezonenews","@okezonenews")</f>
        <v>@okezonenews</v>
      </c>
      <c r="C27164" t="s">
        <v>12061</v>
      </c>
      <c r="D27164">
        <v>0</v>
      </c>
      <c r="E27164">
        <v>1</v>
      </c>
      <c r="F27164">
        <v>1743752</v>
      </c>
    </row>
    <row r="27165" spans="1:6" ht="12.75">
      <c r="A27165" s="2">
        <v>43875.670497685191</v>
      </c>
      <c r="B27165" t="str">
        <f>HYPERLINK("https://twitter.com/Julia_Zeed","@Julia_Zeed")</f>
        <v>@Julia_Zeed</v>
      </c>
      <c r="C27165" t="s">
        <v>12062</v>
      </c>
      <c r="D27165">
        <v>0</v>
      </c>
      <c r="E27165">
        <v>0</v>
      </c>
      <c r="F27165">
        <v>2593</v>
      </c>
    </row>
    <row r="27166" spans="1:6" ht="12.75">
      <c r="A27166" s="2">
        <v>43875.670486111107</v>
      </c>
      <c r="B27166" t="str">
        <f>HYPERLINK("https://twitter.com/krisnapraditya2","@krisnapraditya2")</f>
        <v>@krisnapraditya2</v>
      </c>
      <c r="C27166" t="s">
        <v>2444</v>
      </c>
      <c r="D27166">
        <v>1638</v>
      </c>
      <c r="E27166">
        <v>0</v>
      </c>
      <c r="F27166">
        <v>35</v>
      </c>
    </row>
    <row r="27167" spans="1:6" ht="12.75">
      <c r="A27167" s="2">
        <v>43875.670381944445</v>
      </c>
      <c r="B27167" t="str">
        <f>HYPERLINK("https://twitter.com/rotkarju","@rotkarju")</f>
        <v>@rotkarju</v>
      </c>
      <c r="C27167" t="s">
        <v>2444</v>
      </c>
      <c r="D27167">
        <v>1638</v>
      </c>
      <c r="E27167">
        <v>0</v>
      </c>
      <c r="F27167">
        <v>275</v>
      </c>
    </row>
    <row r="27168" spans="1:6" ht="12.75">
      <c r="A27168" s="2">
        <v>43875.670312499999</v>
      </c>
      <c r="B27168" t="str">
        <f>HYPERLINK("https://twitter.com/harakatuna","@harakatuna")</f>
        <v>@harakatuna</v>
      </c>
      <c r="C27168" t="s">
        <v>12063</v>
      </c>
      <c r="D27168">
        <v>0</v>
      </c>
      <c r="E27168">
        <v>0</v>
      </c>
      <c r="F27168">
        <v>409</v>
      </c>
    </row>
    <row r="27169" spans="1:6" ht="12.75">
      <c r="A27169" s="2">
        <v>43875.670266203699</v>
      </c>
      <c r="B27169" t="str">
        <f>HYPERLINK("https://twitter.com/Theworo1","@Theworo1")</f>
        <v>@Theworo1</v>
      </c>
      <c r="C27169" t="s">
        <v>10052</v>
      </c>
      <c r="D27169">
        <v>24</v>
      </c>
      <c r="E27169">
        <v>0</v>
      </c>
      <c r="F27169">
        <v>703</v>
      </c>
    </row>
    <row r="27170" spans="1:6" ht="12.75">
      <c r="A27170" s="2">
        <v>43875.670266203699</v>
      </c>
      <c r="B27170" t="str">
        <f>HYPERLINK("https://twitter.com/farlina_vera","@farlina_vera")</f>
        <v>@farlina_vera</v>
      </c>
      <c r="C27170" t="s">
        <v>11095</v>
      </c>
      <c r="D27170">
        <v>108</v>
      </c>
      <c r="E27170">
        <v>0</v>
      </c>
      <c r="F27170">
        <v>993</v>
      </c>
    </row>
    <row r="27171" spans="1:6" ht="12.75">
      <c r="A27171" s="2">
        <v>43875.67024305556</v>
      </c>
      <c r="B27171" t="str">
        <f>HYPERLINK("https://twitter.com/pertiwi_bunda","@pertiwi_bunda")</f>
        <v>@pertiwi_bunda</v>
      </c>
      <c r="C27171" t="s">
        <v>7478</v>
      </c>
      <c r="D27171">
        <v>240</v>
      </c>
      <c r="E27171">
        <v>0</v>
      </c>
      <c r="F27171">
        <v>871</v>
      </c>
    </row>
    <row r="27172" spans="1:6" ht="12.75">
      <c r="A27172" s="2">
        <v>43875.670104166667</v>
      </c>
      <c r="B27172" t="str">
        <f>HYPERLINK("https://twitter.com/VisionGlobal18","@VisionGlobal18")</f>
        <v>@VisionGlobal18</v>
      </c>
      <c r="C27172" t="s">
        <v>5761</v>
      </c>
      <c r="D27172">
        <v>61</v>
      </c>
      <c r="E27172">
        <v>0</v>
      </c>
      <c r="F27172">
        <v>1054</v>
      </c>
    </row>
    <row r="27173" spans="1:6" ht="12.75">
      <c r="A27173" s="2">
        <v>43875.670069444444</v>
      </c>
      <c r="B27173" t="str">
        <f>HYPERLINK("https://twitter.com/firabaik","@firabaik")</f>
        <v>@firabaik</v>
      </c>
      <c r="C27173" t="s">
        <v>4880</v>
      </c>
      <c r="D27173">
        <v>56</v>
      </c>
      <c r="E27173">
        <v>0</v>
      </c>
      <c r="F27173">
        <v>128</v>
      </c>
    </row>
    <row r="27174" spans="1:6" ht="12.75">
      <c r="A27174" s="2">
        <v>43875.670034722221</v>
      </c>
      <c r="B27174" t="str">
        <f>HYPERLINK("https://twitter.com/VisionGlobal18","@VisionGlobal18")</f>
        <v>@VisionGlobal18</v>
      </c>
      <c r="C27174" t="s">
        <v>10096</v>
      </c>
      <c r="D27174">
        <v>143</v>
      </c>
      <c r="E27174">
        <v>0</v>
      </c>
      <c r="F27174">
        <v>1054</v>
      </c>
    </row>
    <row r="27175" spans="1:6" ht="12.75">
      <c r="A27175" s="2">
        <v>43875.67</v>
      </c>
      <c r="B27175" t="str">
        <f>HYPERLINK("https://twitter.com/southborders","@southborders")</f>
        <v>@southborders</v>
      </c>
      <c r="C27175" t="s">
        <v>2444</v>
      </c>
      <c r="D27175">
        <v>1638</v>
      </c>
      <c r="E27175">
        <v>0</v>
      </c>
      <c r="F27175">
        <v>118</v>
      </c>
    </row>
    <row r="27176" spans="1:6" ht="12.75">
      <c r="A27176" s="2">
        <v>43875.669988425929</v>
      </c>
      <c r="B27176" t="str">
        <f>HYPERLINK("https://twitter.com/TrioMacari2000","@TrioMacari2000")</f>
        <v>@TrioMacari2000</v>
      </c>
      <c r="C27176" t="s">
        <v>12064</v>
      </c>
      <c r="D27176">
        <v>2</v>
      </c>
      <c r="E27176">
        <v>0</v>
      </c>
      <c r="F27176">
        <v>6503</v>
      </c>
    </row>
    <row r="27177" spans="1:6" ht="12.75">
      <c r="A27177" s="2">
        <v>43875.669930555552</v>
      </c>
      <c r="B27177" t="str">
        <f>HYPERLINK("https://twitter.com/tribunnews","@tribunnews")</f>
        <v>@tribunnews</v>
      </c>
      <c r="C27177" t="s">
        <v>10824</v>
      </c>
      <c r="D27177">
        <v>0</v>
      </c>
      <c r="E27177">
        <v>1</v>
      </c>
      <c r="F27177">
        <v>873337</v>
      </c>
    </row>
    <row r="27178" spans="1:6" ht="12.75">
      <c r="A27178" s="2">
        <v>43875.669907407406</v>
      </c>
      <c r="B27178" t="str">
        <f>HYPERLINK("https://twitter.com/EPras92","@EPras92")</f>
        <v>@EPras92</v>
      </c>
      <c r="C27178" t="s">
        <v>9962</v>
      </c>
      <c r="D27178">
        <v>33</v>
      </c>
      <c r="E27178">
        <v>0</v>
      </c>
      <c r="F27178">
        <v>588</v>
      </c>
    </row>
    <row r="27179" spans="1:6" ht="12.75">
      <c r="A27179" s="2">
        <v>43875.66987268519</v>
      </c>
      <c r="B27179" t="str">
        <f>HYPERLINK("https://twitter.com/leonrd28_","@leonrd28_")</f>
        <v>@leonrd28_</v>
      </c>
      <c r="C27179" t="s">
        <v>9113</v>
      </c>
      <c r="D27179">
        <v>303</v>
      </c>
      <c r="E27179">
        <v>0</v>
      </c>
      <c r="F27179">
        <v>100</v>
      </c>
    </row>
    <row r="27180" spans="1:6" ht="12.75">
      <c r="A27180" s="2">
        <v>43875.669791666667</v>
      </c>
      <c r="B27180" t="str">
        <f>HYPERLINK("https://twitter.com/FridaSolehati9","@FridaSolehati9")</f>
        <v>@FridaSolehati9</v>
      </c>
      <c r="C27180" t="s">
        <v>11095</v>
      </c>
      <c r="D27180">
        <v>108</v>
      </c>
      <c r="E27180">
        <v>0</v>
      </c>
      <c r="F27180">
        <v>633</v>
      </c>
    </row>
    <row r="27181" spans="1:6" ht="12.75">
      <c r="A27181" s="2">
        <v>43875.66978009259</v>
      </c>
      <c r="B27181" t="str">
        <f>HYPERLINK("https://twitter.com/tribunnews","@tribunnews")</f>
        <v>@tribunnews</v>
      </c>
      <c r="C27181" t="s">
        <v>12065</v>
      </c>
      <c r="D27181">
        <v>0</v>
      </c>
      <c r="E27181">
        <v>3</v>
      </c>
      <c r="F27181">
        <v>873337</v>
      </c>
    </row>
    <row r="27182" spans="1:6" ht="12.75">
      <c r="A27182" s="2">
        <v>43875.669768518521</v>
      </c>
      <c r="B27182" t="str">
        <f>HYPERLINK("https://twitter.com/farid_azizi","@farid_azizi")</f>
        <v>@farid_azizi</v>
      </c>
      <c r="C27182" t="s">
        <v>2444</v>
      </c>
      <c r="D27182">
        <v>1638</v>
      </c>
      <c r="E27182">
        <v>0</v>
      </c>
      <c r="F27182">
        <v>699</v>
      </c>
    </row>
    <row r="27183" spans="1:6" ht="12.75">
      <c r="A27183" s="2">
        <v>43875.669768518521</v>
      </c>
      <c r="B27183" t="str">
        <f>HYPERLINK("https://twitter.com/YudhAIkkyuU","@YudhAIkkyuU")</f>
        <v>@YudhAIkkyuU</v>
      </c>
      <c r="C27183" t="s">
        <v>11435</v>
      </c>
      <c r="D27183">
        <v>4</v>
      </c>
      <c r="E27183">
        <v>0</v>
      </c>
      <c r="F27183">
        <v>900</v>
      </c>
    </row>
    <row r="27184" spans="1:6" ht="12.75">
      <c r="A27184" s="2">
        <v>43875.669756944444</v>
      </c>
      <c r="B27184" t="str">
        <f>HYPERLINK("https://twitter.com/bakasenchou","@bakasenchou")</f>
        <v>@bakasenchou</v>
      </c>
      <c r="C27184" t="s">
        <v>2444</v>
      </c>
      <c r="D27184">
        <v>1638</v>
      </c>
      <c r="E27184">
        <v>0</v>
      </c>
      <c r="F27184">
        <v>565</v>
      </c>
    </row>
    <row r="27185" spans="1:6" ht="12.75">
      <c r="A27185" s="2">
        <v>43875.669710648144</v>
      </c>
      <c r="B27185" t="str">
        <f>HYPERLINK("https://twitter.com/Nkrikuindonesi8","@Nkrikuindonesi8")</f>
        <v>@Nkrikuindonesi8</v>
      </c>
      <c r="C27185" t="s">
        <v>12066</v>
      </c>
      <c r="D27185">
        <v>0</v>
      </c>
      <c r="E27185">
        <v>0</v>
      </c>
      <c r="F27185">
        <v>131</v>
      </c>
    </row>
    <row r="27186" spans="1:6" ht="12.75">
      <c r="A27186" s="2">
        <v>43875.669641203705</v>
      </c>
      <c r="B27186" t="str">
        <f>HYPERLINK("https://twitter.com/shapriyono","@shapriyono")</f>
        <v>@shapriyono</v>
      </c>
      <c r="C27186" t="s">
        <v>7478</v>
      </c>
      <c r="D27186">
        <v>240</v>
      </c>
      <c r="E27186">
        <v>0</v>
      </c>
      <c r="F27186">
        <v>2231</v>
      </c>
    </row>
    <row r="27187" spans="1:6" ht="12.75">
      <c r="A27187" s="2">
        <v>43875.669351851851</v>
      </c>
      <c r="B27187" t="str">
        <f>HYPERLINK("https://twitter.com/Deni__Prakoso","@Deni__Prakoso")</f>
        <v>@Deni__Prakoso</v>
      </c>
      <c r="C27187" t="s">
        <v>12047</v>
      </c>
      <c r="D27187">
        <v>6</v>
      </c>
      <c r="E27187">
        <v>0</v>
      </c>
      <c r="F27187">
        <v>30</v>
      </c>
    </row>
    <row r="27188" spans="1:6" ht="12.75">
      <c r="A27188" s="2">
        <v>43875.669340277775</v>
      </c>
      <c r="B27188" t="str">
        <f>HYPERLINK("https://twitter.com/jee_creepers","@jee_creepers")</f>
        <v>@jee_creepers</v>
      </c>
      <c r="C27188" t="s">
        <v>12067</v>
      </c>
      <c r="D27188">
        <v>0</v>
      </c>
      <c r="E27188">
        <v>0</v>
      </c>
      <c r="F27188">
        <v>698</v>
      </c>
    </row>
    <row r="27189" spans="1:6" ht="12.75">
      <c r="A27189" s="2">
        <v>43875.669293981482</v>
      </c>
      <c r="B27189" t="str">
        <f>HYPERLINK("https://twitter.com/karismaoktha","@karismaoktha")</f>
        <v>@karismaoktha</v>
      </c>
      <c r="C27189" t="s">
        <v>2444</v>
      </c>
      <c r="D27189">
        <v>1638</v>
      </c>
      <c r="E27189">
        <v>0</v>
      </c>
      <c r="F27189">
        <v>488</v>
      </c>
    </row>
    <row r="27190" spans="1:6" ht="12.75">
      <c r="A27190" s="2">
        <v>43875.669236111113</v>
      </c>
      <c r="B27190" t="str">
        <f t="shared" ref="B27190:B27191" si="357">HYPERLINK("https://twitter.com/Deni__Prakoso","@Deni__Prakoso")</f>
        <v>@Deni__Prakoso</v>
      </c>
      <c r="C27190" t="s">
        <v>12049</v>
      </c>
      <c r="D27190">
        <v>6</v>
      </c>
      <c r="E27190">
        <v>0</v>
      </c>
      <c r="F27190">
        <v>30</v>
      </c>
    </row>
    <row r="27191" spans="1:6" ht="12.75">
      <c r="A27191" s="2">
        <v>43875.669224537036</v>
      </c>
      <c r="B27191" t="str">
        <f t="shared" si="357"/>
        <v>@Deni__Prakoso</v>
      </c>
      <c r="C27191" t="s">
        <v>11095</v>
      </c>
      <c r="D27191">
        <v>108</v>
      </c>
      <c r="E27191">
        <v>0</v>
      </c>
      <c r="F27191">
        <v>30</v>
      </c>
    </row>
    <row r="27192" spans="1:6" ht="12.75">
      <c r="A27192" s="2">
        <v>43875.66914351852</v>
      </c>
      <c r="B27192" t="str">
        <f>HYPERLINK("https://twitter.com/RomoDonnyR","@RomoDonnyR")</f>
        <v>@RomoDonnyR</v>
      </c>
      <c r="C27192" t="s">
        <v>9147</v>
      </c>
      <c r="D27192">
        <v>20</v>
      </c>
      <c r="E27192">
        <v>0</v>
      </c>
      <c r="F27192">
        <v>1402</v>
      </c>
    </row>
    <row r="27193" spans="1:6" ht="12.75">
      <c r="A27193" s="2">
        <v>43875.66909722222</v>
      </c>
      <c r="B27193" t="str">
        <f>HYPERLINK("https://twitter.com/red1n1earth","@red1n1earth")</f>
        <v>@red1n1earth</v>
      </c>
      <c r="C27193" t="s">
        <v>2963</v>
      </c>
      <c r="D27193">
        <v>958</v>
      </c>
      <c r="E27193">
        <v>0</v>
      </c>
      <c r="F27193">
        <v>1712</v>
      </c>
    </row>
    <row r="27194" spans="1:6" ht="12.75">
      <c r="A27194" s="2">
        <v>43875.668993055559</v>
      </c>
      <c r="B27194" t="str">
        <f>HYPERLINK("https://twitter.com/BETAWI_KOTA","@BETAWI_KOTA")</f>
        <v>@BETAWI_KOTA</v>
      </c>
      <c r="C27194" t="s">
        <v>9538</v>
      </c>
      <c r="D27194">
        <v>144</v>
      </c>
      <c r="E27194">
        <v>0</v>
      </c>
      <c r="F27194">
        <v>780</v>
      </c>
    </row>
    <row r="27195" spans="1:6" ht="12.75">
      <c r="A27195" s="2">
        <v>43875.66887731482</v>
      </c>
      <c r="B27195" t="str">
        <f>HYPERLINK("https://twitter.com/loeygnirps","@loeygnirps")</f>
        <v>@loeygnirps</v>
      </c>
      <c r="C27195" t="s">
        <v>2444</v>
      </c>
      <c r="D27195">
        <v>1638</v>
      </c>
      <c r="E27195">
        <v>0</v>
      </c>
      <c r="F27195">
        <v>1534</v>
      </c>
    </row>
    <row r="27196" spans="1:6" ht="12.75">
      <c r="A27196" s="2">
        <v>43875.668738425928</v>
      </c>
      <c r="B27196" t="str">
        <f>HYPERLINK("https://twitter.com/jee_creepers","@jee_creepers")</f>
        <v>@jee_creepers</v>
      </c>
      <c r="C27196" t="s">
        <v>11087</v>
      </c>
      <c r="D27196">
        <v>11</v>
      </c>
      <c r="E27196">
        <v>0</v>
      </c>
      <c r="F27196">
        <v>698</v>
      </c>
    </row>
    <row r="27197" spans="1:6" ht="12.75">
      <c r="A27197" s="2">
        <v>43875.668715277774</v>
      </c>
      <c r="B27197" t="str">
        <f>HYPERLINK("https://twitter.com/hannaaaaaaya","@hannaaaaaaya")</f>
        <v>@hannaaaaaaya</v>
      </c>
      <c r="C27197" t="s">
        <v>2444</v>
      </c>
      <c r="D27197">
        <v>1638</v>
      </c>
      <c r="E27197">
        <v>0</v>
      </c>
      <c r="F27197">
        <v>47</v>
      </c>
    </row>
    <row r="27198" spans="1:6" ht="12.75">
      <c r="A27198" s="2">
        <v>43875.668692129635</v>
      </c>
      <c r="B27198" t="str">
        <f>HYPERLINK("https://twitter.com/KavindraOemar","@KavindraOemar")</f>
        <v>@KavindraOemar</v>
      </c>
      <c r="C27198" t="s">
        <v>10052</v>
      </c>
      <c r="D27198">
        <v>24</v>
      </c>
      <c r="E27198">
        <v>0</v>
      </c>
      <c r="F27198">
        <v>3670</v>
      </c>
    </row>
    <row r="27199" spans="1:6" ht="12.75">
      <c r="A27199" s="2">
        <v>43875.668506944443</v>
      </c>
      <c r="B27199" t="str">
        <f>HYPERLINK("https://twitter.com/farid_wjd","@farid_wjd")</f>
        <v>@farid_wjd</v>
      </c>
      <c r="C27199" t="s">
        <v>12068</v>
      </c>
      <c r="D27199">
        <v>0</v>
      </c>
      <c r="E27199">
        <v>0</v>
      </c>
      <c r="F27199">
        <v>53</v>
      </c>
    </row>
    <row r="27200" spans="1:6" ht="12.75">
      <c r="A27200" s="2">
        <v>43875.668472222227</v>
      </c>
      <c r="B27200" t="str">
        <f>HYPERLINK("https://twitter.com/NoegrohoEddie","@NoegrohoEddie")</f>
        <v>@NoegrohoEddie</v>
      </c>
      <c r="C27200" t="s">
        <v>9119</v>
      </c>
      <c r="D27200">
        <v>48</v>
      </c>
      <c r="E27200">
        <v>0</v>
      </c>
      <c r="F27200">
        <v>557</v>
      </c>
    </row>
    <row r="27201" spans="1:6" ht="12.75">
      <c r="A27201" s="2">
        <v>43875.668460648143</v>
      </c>
      <c r="B27201" t="str">
        <f>HYPERLINK("https://twitter.com/leoandalusialeo","@leoandalusialeo")</f>
        <v>@leoandalusialeo</v>
      </c>
      <c r="C27201" t="s">
        <v>2963</v>
      </c>
      <c r="D27201">
        <v>958</v>
      </c>
      <c r="E27201">
        <v>0</v>
      </c>
      <c r="F27201">
        <v>478</v>
      </c>
    </row>
    <row r="27202" spans="1:6" ht="12.75">
      <c r="A27202" s="2">
        <v>43875.668368055558</v>
      </c>
      <c r="B27202" t="str">
        <f>HYPERLINK("https://twitter.com/sabilla_shaffa","@sabilla_shaffa")</f>
        <v>@sabilla_shaffa</v>
      </c>
      <c r="C27202" t="s">
        <v>9309</v>
      </c>
      <c r="D27202">
        <v>446</v>
      </c>
      <c r="E27202">
        <v>0</v>
      </c>
      <c r="F27202">
        <v>1642</v>
      </c>
    </row>
    <row r="27203" spans="1:6" ht="12.75">
      <c r="A27203" s="2">
        <v>43875.668298611112</v>
      </c>
      <c r="B27203" t="str">
        <f>HYPERLINK("https://twitter.com/NoegrohoEddie","@NoegrohoEddie")</f>
        <v>@NoegrohoEddie</v>
      </c>
      <c r="C27203" t="s">
        <v>9538</v>
      </c>
      <c r="D27203">
        <v>144</v>
      </c>
      <c r="E27203">
        <v>0</v>
      </c>
      <c r="F27203">
        <v>557</v>
      </c>
    </row>
    <row r="27204" spans="1:6" ht="12.75">
      <c r="A27204" s="2">
        <v>43875.668229166666</v>
      </c>
      <c r="B27204" t="str">
        <f>HYPERLINK("https://twitter.com/jee_creepers","@jee_creepers")</f>
        <v>@jee_creepers</v>
      </c>
      <c r="C27204" t="s">
        <v>8233</v>
      </c>
      <c r="D27204">
        <v>469</v>
      </c>
      <c r="E27204">
        <v>0</v>
      </c>
      <c r="F27204">
        <v>698</v>
      </c>
    </row>
    <row r="27205" spans="1:6" ht="12.75">
      <c r="A27205" s="2">
        <v>43875.668229166666</v>
      </c>
      <c r="B27205" t="str">
        <f>HYPERLINK("https://twitter.com/CetakTukang","@CetakTukang")</f>
        <v>@CetakTukang</v>
      </c>
      <c r="C27205" t="s">
        <v>8233</v>
      </c>
      <c r="D27205">
        <v>469</v>
      </c>
      <c r="E27205">
        <v>0</v>
      </c>
      <c r="F27205">
        <v>571</v>
      </c>
    </row>
    <row r="27206" spans="1:6" ht="12.75">
      <c r="A27206" s="2">
        <v>43875.668078703704</v>
      </c>
      <c r="B27206" t="str">
        <f>HYPERLINK("https://twitter.com/kusnulYakin10","@kusnulYakin10")</f>
        <v>@kusnulYakin10</v>
      </c>
      <c r="C27206" t="s">
        <v>12069</v>
      </c>
      <c r="D27206">
        <v>117</v>
      </c>
      <c r="E27206">
        <v>0</v>
      </c>
      <c r="F27206">
        <v>88</v>
      </c>
    </row>
    <row r="27207" spans="1:6" ht="12.75">
      <c r="A27207" s="2">
        <v>43875.668067129634</v>
      </c>
      <c r="B27207" t="str">
        <f>HYPERLINK("https://twitter.com/tempodotco","@tempodotco")</f>
        <v>@tempodotco</v>
      </c>
      <c r="C27207" t="s">
        <v>12070</v>
      </c>
      <c r="D27207">
        <v>0</v>
      </c>
      <c r="E27207">
        <v>0</v>
      </c>
      <c r="F27207">
        <v>1702354</v>
      </c>
    </row>
    <row r="27208" spans="1:6" ht="12.75">
      <c r="A27208" s="2">
        <v>43875.667997685188</v>
      </c>
      <c r="B27208" t="str">
        <f>HYPERLINK("https://twitter.com/iskandarAKA27","@iskandarAKA27")</f>
        <v>@iskandarAKA27</v>
      </c>
      <c r="C27208" t="s">
        <v>12071</v>
      </c>
      <c r="D27208">
        <v>0</v>
      </c>
      <c r="E27208">
        <v>0</v>
      </c>
      <c r="F27208">
        <v>1465</v>
      </c>
    </row>
    <row r="27209" spans="1:6" ht="12.75">
      <c r="A27209" s="2">
        <v>43875.667962962965</v>
      </c>
      <c r="B27209" t="str">
        <f>HYPERLINK("https://twitter.com/surya_brn","@surya_brn")</f>
        <v>@surya_brn</v>
      </c>
      <c r="C27209" t="s">
        <v>5168</v>
      </c>
      <c r="D27209">
        <v>739</v>
      </c>
      <c r="E27209">
        <v>0</v>
      </c>
      <c r="F27209">
        <v>8</v>
      </c>
    </row>
    <row r="27210" spans="1:6" ht="12.75">
      <c r="A27210" s="2">
        <v>43875.667939814812</v>
      </c>
      <c r="B27210" t="str">
        <f>HYPERLINK("https://twitter.com/ewin8923","@ewin8923")</f>
        <v>@ewin8923</v>
      </c>
      <c r="C27210" t="s">
        <v>11659</v>
      </c>
      <c r="D27210">
        <v>67</v>
      </c>
      <c r="E27210">
        <v>0</v>
      </c>
      <c r="F27210">
        <v>1006</v>
      </c>
    </row>
    <row r="27211" spans="1:6" ht="12.75">
      <c r="A27211" s="2">
        <v>43875.667893518519</v>
      </c>
      <c r="B27211" t="str">
        <f>HYPERLINK("https://twitter.com/okezonenews","@okezonenews")</f>
        <v>@okezonenews</v>
      </c>
      <c r="C27211" t="s">
        <v>12072</v>
      </c>
      <c r="D27211">
        <v>0</v>
      </c>
      <c r="E27211">
        <v>0</v>
      </c>
      <c r="F27211">
        <v>1743749</v>
      </c>
    </row>
    <row r="27212" spans="1:6" ht="12.75">
      <c r="A27212" s="2">
        <v>43875.667812500003</v>
      </c>
      <c r="B27212" t="str">
        <f>HYPERLINK("https://twitter.com/braienkang","@braienkang")</f>
        <v>@braienkang</v>
      </c>
      <c r="C27212" t="s">
        <v>2444</v>
      </c>
      <c r="D27212">
        <v>1457</v>
      </c>
      <c r="E27212">
        <v>0</v>
      </c>
      <c r="F27212">
        <v>154</v>
      </c>
    </row>
    <row r="27213" spans="1:6" ht="12.75">
      <c r="A27213" s="2">
        <v>43875.66777777778</v>
      </c>
      <c r="B27213" t="str">
        <f>HYPERLINK("https://twitter.com/roseanne513_","@roseanne513_")</f>
        <v>@roseanne513_</v>
      </c>
      <c r="C27213" t="s">
        <v>5168</v>
      </c>
      <c r="D27213">
        <v>739</v>
      </c>
      <c r="E27213">
        <v>0</v>
      </c>
      <c r="F27213">
        <v>28</v>
      </c>
    </row>
    <row r="27214" spans="1:6" ht="12.75">
      <c r="A27214" s="2">
        <v>43875.667731481481</v>
      </c>
      <c r="B27214" t="str">
        <f>HYPERLINK("https://twitter.com/carissafebrini","@carissafebrini")</f>
        <v>@carissafebrini</v>
      </c>
      <c r="C27214" t="s">
        <v>2444</v>
      </c>
      <c r="D27214">
        <v>1457</v>
      </c>
      <c r="E27214">
        <v>0</v>
      </c>
      <c r="F27214">
        <v>44</v>
      </c>
    </row>
    <row r="27215" spans="1:6" ht="12.75">
      <c r="A27215" s="2">
        <v>43875.667696759258</v>
      </c>
      <c r="B27215" t="str">
        <f>HYPERLINK("https://twitter.com/MattPambudhi","@MattPambudhi")</f>
        <v>@MattPambudhi</v>
      </c>
      <c r="C27215" t="s">
        <v>12073</v>
      </c>
      <c r="D27215">
        <v>0</v>
      </c>
      <c r="E27215">
        <v>0</v>
      </c>
      <c r="F27215">
        <v>168</v>
      </c>
    </row>
    <row r="27216" spans="1:6" ht="12.75">
      <c r="A27216" s="2">
        <v>43875.667638888888</v>
      </c>
      <c r="B27216" t="str">
        <f>HYPERLINK("https://twitter.com/Defree","@Defree")</f>
        <v>@Defree</v>
      </c>
      <c r="C27216" t="s">
        <v>12074</v>
      </c>
      <c r="D27216">
        <v>0</v>
      </c>
      <c r="E27216">
        <v>0</v>
      </c>
      <c r="F27216">
        <v>204</v>
      </c>
    </row>
    <row r="27217" spans="1:6" ht="12.75">
      <c r="A27217" s="2">
        <v>43875.667627314819</v>
      </c>
      <c r="B27217" t="str">
        <f>HYPERLINK("https://twitter.com/hys179","@hys179")</f>
        <v>@hys179</v>
      </c>
      <c r="C27217" t="s">
        <v>12075</v>
      </c>
      <c r="D27217">
        <v>0</v>
      </c>
      <c r="E27217">
        <v>0</v>
      </c>
      <c r="F27217">
        <v>686</v>
      </c>
    </row>
    <row r="27218" spans="1:6" ht="12.75">
      <c r="A27218" s="2">
        <v>43875.667546296296</v>
      </c>
      <c r="B27218" t="str">
        <f>HYPERLINK("https://twitter.com/setiyadiarif","@setiyadiarif")</f>
        <v>@setiyadiarif</v>
      </c>
      <c r="C27218" t="s">
        <v>10052</v>
      </c>
      <c r="D27218">
        <v>3</v>
      </c>
      <c r="E27218">
        <v>0</v>
      </c>
      <c r="F27218">
        <v>324</v>
      </c>
    </row>
    <row r="27219" spans="1:6" ht="12.75">
      <c r="A27219" s="2">
        <v>43875.667511574073</v>
      </c>
      <c r="B27219" t="str">
        <f>HYPERLINK("https://twitter.com/AAnddini","@AAnddini")</f>
        <v>@AAnddini</v>
      </c>
      <c r="C27219" t="s">
        <v>2444</v>
      </c>
      <c r="D27219">
        <v>1457</v>
      </c>
      <c r="E27219">
        <v>0</v>
      </c>
      <c r="F27219">
        <v>46</v>
      </c>
    </row>
    <row r="27220" spans="1:6" ht="12.75">
      <c r="A27220" s="2">
        <v>43875.667499999996</v>
      </c>
      <c r="B27220" t="str">
        <f>HYPERLINK("https://twitter.com/and_rouhani","@and_rouhani")</f>
        <v>@and_rouhani</v>
      </c>
      <c r="C27220" t="s">
        <v>12076</v>
      </c>
      <c r="D27220">
        <v>0</v>
      </c>
      <c r="E27220">
        <v>0</v>
      </c>
      <c r="F27220">
        <v>159</v>
      </c>
    </row>
    <row r="27221" spans="1:6" ht="12.75">
      <c r="A27221" s="2">
        <v>43875.667488425926</v>
      </c>
      <c r="B27221" t="str">
        <f>HYPERLINK("https://twitter.com/Julia_Zeed","@Julia_Zeed")</f>
        <v>@Julia_Zeed</v>
      </c>
      <c r="C27221" t="s">
        <v>12077</v>
      </c>
      <c r="D27221">
        <v>0</v>
      </c>
      <c r="E27221">
        <v>0</v>
      </c>
      <c r="F27221">
        <v>2591</v>
      </c>
    </row>
    <row r="27222" spans="1:6" ht="12.75">
      <c r="A27222" s="2">
        <v>43875.667314814811</v>
      </c>
      <c r="B27222" t="str">
        <f t="shared" ref="B27222:B27223" si="358">HYPERLINK("https://twitter.com/LAlessandro3","@LAlessandro3")</f>
        <v>@LAlessandro3</v>
      </c>
      <c r="C27222" t="s">
        <v>9852</v>
      </c>
      <c r="D27222">
        <v>1</v>
      </c>
      <c r="E27222">
        <v>0</v>
      </c>
      <c r="F27222">
        <v>356</v>
      </c>
    </row>
    <row r="27223" spans="1:6" ht="12.75">
      <c r="A27223" s="2">
        <v>43875.667233796295</v>
      </c>
      <c r="B27223" t="str">
        <f t="shared" si="358"/>
        <v>@LAlessandro3</v>
      </c>
      <c r="C27223" t="s">
        <v>2444</v>
      </c>
      <c r="D27223">
        <v>1457</v>
      </c>
      <c r="E27223">
        <v>0</v>
      </c>
      <c r="F27223">
        <v>356</v>
      </c>
    </row>
    <row r="27224" spans="1:6" ht="12.75">
      <c r="A27224" s="2">
        <v>43875.666944444441</v>
      </c>
      <c r="B27224" t="str">
        <f>HYPERLINK("https://twitter.com/fadillah_acmd","@fadillah_acmd")</f>
        <v>@fadillah_acmd</v>
      </c>
      <c r="C27224" t="s">
        <v>12078</v>
      </c>
      <c r="D27224">
        <v>0</v>
      </c>
      <c r="E27224">
        <v>0</v>
      </c>
      <c r="F27224">
        <v>689</v>
      </c>
    </row>
    <row r="27225" spans="1:6" ht="12.75">
      <c r="A27225" s="2">
        <v>43875.666886574079</v>
      </c>
      <c r="B27225" t="str">
        <f>HYPERLINK("https://twitter.com/bluen13","@bluen13")</f>
        <v>@bluen13</v>
      </c>
      <c r="C27225" t="s">
        <v>2444</v>
      </c>
      <c r="D27225">
        <v>1457</v>
      </c>
      <c r="E27225">
        <v>0</v>
      </c>
      <c r="F27225">
        <v>35</v>
      </c>
    </row>
    <row r="27226" spans="1:6" ht="12.75">
      <c r="A27226" s="2">
        <v>43875.666874999995</v>
      </c>
      <c r="B27226" t="str">
        <f>HYPERLINK("https://twitter.com/bepituLaz","@bepituLaz")</f>
        <v>@bepituLaz</v>
      </c>
      <c r="C27226" t="s">
        <v>12079</v>
      </c>
      <c r="D27226">
        <v>0</v>
      </c>
      <c r="E27226">
        <v>0</v>
      </c>
      <c r="F27226">
        <v>3553</v>
      </c>
    </row>
    <row r="27227" spans="1:6" ht="12.75">
      <c r="A27227" s="2">
        <v>43875.666851851856</v>
      </c>
      <c r="B27227" t="str">
        <f>HYPERLINK("https://twitter.com/hwangminheest","@hwangminheest")</f>
        <v>@hwangminheest</v>
      </c>
      <c r="C27227" t="s">
        <v>12042</v>
      </c>
      <c r="D27227">
        <v>3366</v>
      </c>
      <c r="E27227">
        <v>0</v>
      </c>
      <c r="F27227">
        <v>652</v>
      </c>
    </row>
    <row r="27228" spans="1:6" ht="12.75">
      <c r="A27228" s="2">
        <v>43875.66673611111</v>
      </c>
      <c r="B27228" t="str">
        <f>HYPERLINK("https://twitter.com/Kangciloksz","@Kangciloksz")</f>
        <v>@Kangciloksz</v>
      </c>
      <c r="C27228" t="s">
        <v>5168</v>
      </c>
      <c r="D27228">
        <v>739</v>
      </c>
      <c r="E27228">
        <v>0</v>
      </c>
      <c r="F27228">
        <v>19</v>
      </c>
    </row>
    <row r="27229" spans="1:6" ht="12.75">
      <c r="A27229" s="2">
        <v>43875.666724537034</v>
      </c>
      <c r="B27229" t="str">
        <f>HYPERLINK("https://twitter.com/thedankris","@thedankris")</f>
        <v>@thedankris</v>
      </c>
      <c r="C27229" t="s">
        <v>2963</v>
      </c>
      <c r="D27229">
        <v>922</v>
      </c>
      <c r="E27229">
        <v>0</v>
      </c>
      <c r="F27229">
        <v>61</v>
      </c>
    </row>
    <row r="27230" spans="1:6" ht="12.75">
      <c r="A27230" s="2">
        <v>43875.666689814811</v>
      </c>
      <c r="B27230" t="str">
        <f>HYPERLINK("https://twitter.com/KSogemaking","@KSogemaking")</f>
        <v>@KSogemaking</v>
      </c>
      <c r="C27230" t="s">
        <v>10422</v>
      </c>
      <c r="D27230">
        <v>90</v>
      </c>
      <c r="E27230">
        <v>0</v>
      </c>
      <c r="F27230">
        <v>903</v>
      </c>
    </row>
    <row r="27231" spans="1:6" ht="12.75">
      <c r="A27231" s="2">
        <v>43875.666666666672</v>
      </c>
      <c r="B27231" t="str">
        <f>HYPERLINK("https://twitter.com/MeTubeID","@MeTubeID")</f>
        <v>@MeTubeID</v>
      </c>
      <c r="C27231" t="s">
        <v>6340</v>
      </c>
      <c r="D27231">
        <v>0</v>
      </c>
      <c r="E27231">
        <v>0</v>
      </c>
      <c r="F27231">
        <v>6295</v>
      </c>
    </row>
    <row r="27232" spans="1:6" ht="12.75">
      <c r="A27232" s="2">
        <v>43875.666620370372</v>
      </c>
      <c r="B27232" t="str">
        <f>HYPERLINK("https://twitter.com/allamaf","@allamaf")</f>
        <v>@allamaf</v>
      </c>
      <c r="C27232" t="s">
        <v>5168</v>
      </c>
      <c r="D27232">
        <v>739</v>
      </c>
      <c r="E27232">
        <v>0</v>
      </c>
      <c r="F27232">
        <v>1238</v>
      </c>
    </row>
    <row r="27233" spans="1:6" ht="12.75">
      <c r="A27233" s="2">
        <v>43875.666574074072</v>
      </c>
      <c r="B27233" t="str">
        <f>HYPERLINK("https://twitter.com/PradiptaArya4","@PradiptaArya4")</f>
        <v>@PradiptaArya4</v>
      </c>
      <c r="C27233" t="s">
        <v>2963</v>
      </c>
      <c r="D27233">
        <v>922</v>
      </c>
      <c r="E27233">
        <v>0</v>
      </c>
      <c r="F27233">
        <v>2519</v>
      </c>
    </row>
    <row r="27234" spans="1:6" ht="12.75">
      <c r="A27234" s="2">
        <v>43875.666550925926</v>
      </c>
      <c r="B27234" t="str">
        <f>HYPERLINK("https://twitter.com/AghisFathul","@AghisFathul")</f>
        <v>@AghisFathul</v>
      </c>
      <c r="C27234" t="s">
        <v>2963</v>
      </c>
      <c r="D27234">
        <v>922</v>
      </c>
      <c r="E27234">
        <v>0</v>
      </c>
      <c r="F27234">
        <v>77</v>
      </c>
    </row>
    <row r="27235" spans="1:6" ht="12.75">
      <c r="A27235" s="2">
        <v>43875.666446759264</v>
      </c>
      <c r="B27235" t="str">
        <f>HYPERLINK("https://twitter.com/aargynt_","@aargynt_")</f>
        <v>@aargynt_</v>
      </c>
      <c r="C27235" t="s">
        <v>12042</v>
      </c>
      <c r="D27235">
        <v>3366</v>
      </c>
      <c r="E27235">
        <v>0</v>
      </c>
      <c r="F27235">
        <v>404</v>
      </c>
    </row>
    <row r="27236" spans="1:6" ht="12.75">
      <c r="A27236" s="2">
        <v>43875.666435185187</v>
      </c>
      <c r="B27236" t="str">
        <f>HYPERLINK("https://twitter.com/silviesticated","@silviesticated")</f>
        <v>@silviesticated</v>
      </c>
      <c r="C27236" t="s">
        <v>2444</v>
      </c>
      <c r="D27236">
        <v>1457</v>
      </c>
      <c r="E27236">
        <v>0</v>
      </c>
      <c r="F27236">
        <v>36</v>
      </c>
    </row>
    <row r="27237" spans="1:6" ht="12.75">
      <c r="A27237" s="2">
        <v>43875.66642361111</v>
      </c>
      <c r="B27237" t="str">
        <f>HYPERLINK("https://twitter.com/zpaijoe","@zpaijoe")</f>
        <v>@zpaijoe</v>
      </c>
      <c r="C27237" t="s">
        <v>12080</v>
      </c>
      <c r="D27237">
        <v>23</v>
      </c>
      <c r="E27237">
        <v>0</v>
      </c>
      <c r="F27237">
        <v>436</v>
      </c>
    </row>
    <row r="27238" spans="1:6" ht="12.75">
      <c r="A27238" s="2">
        <v>43875.666122685187</v>
      </c>
      <c r="B27238" t="str">
        <f>HYPERLINK("https://twitter.com/Super_Saiyan180","@Super_Saiyan180")</f>
        <v>@Super_Saiyan180</v>
      </c>
      <c r="C27238" t="s">
        <v>11095</v>
      </c>
      <c r="D27238">
        <v>39</v>
      </c>
      <c r="E27238">
        <v>0</v>
      </c>
      <c r="F27238">
        <v>29</v>
      </c>
    </row>
    <row r="27239" spans="1:6" ht="12.75">
      <c r="A27239" s="2">
        <v>43875.666099537033</v>
      </c>
      <c r="B27239" t="str">
        <f>HYPERLINK("https://twitter.com/iyan_suryadi","@iyan_suryadi")</f>
        <v>@iyan_suryadi</v>
      </c>
      <c r="C27239" t="s">
        <v>2963</v>
      </c>
      <c r="D27239">
        <v>922</v>
      </c>
      <c r="E27239">
        <v>0</v>
      </c>
      <c r="F27239">
        <v>47</v>
      </c>
    </row>
    <row r="27240" spans="1:6" ht="12.75">
      <c r="A27240" s="2">
        <v>43875.666087962964</v>
      </c>
      <c r="B27240" t="str">
        <f>HYPERLINK("https://twitter.com/ratuode","@ratuode")</f>
        <v>@ratuode</v>
      </c>
      <c r="C27240" t="s">
        <v>2444</v>
      </c>
      <c r="D27240">
        <v>1457</v>
      </c>
      <c r="E27240">
        <v>0</v>
      </c>
      <c r="F27240">
        <v>673</v>
      </c>
    </row>
    <row r="27241" spans="1:6" ht="12.75">
      <c r="A27241" s="2">
        <v>43875.666076388894</v>
      </c>
      <c r="B27241" t="str">
        <f>HYPERLINK("https://twitter.com/haffidfan","@haffidfan")</f>
        <v>@haffidfan</v>
      </c>
      <c r="C27241" t="s">
        <v>2444</v>
      </c>
      <c r="D27241">
        <v>1457</v>
      </c>
      <c r="E27241">
        <v>0</v>
      </c>
      <c r="F27241">
        <v>1663</v>
      </c>
    </row>
    <row r="27242" spans="1:6" ht="12.75">
      <c r="A27242" s="2">
        <v>43875.665960648148</v>
      </c>
      <c r="B27242" t="str">
        <f>HYPERLINK("https://twitter.com/WawanPr4setyo","@WawanPr4setyo")</f>
        <v>@WawanPr4setyo</v>
      </c>
      <c r="C27242" t="s">
        <v>3140</v>
      </c>
      <c r="D27242">
        <v>5</v>
      </c>
      <c r="E27242">
        <v>0</v>
      </c>
      <c r="F27242">
        <v>115</v>
      </c>
    </row>
    <row r="27243" spans="1:6" ht="12.75">
      <c r="A27243" s="2">
        <v>43875.665891203702</v>
      </c>
      <c r="B27243" t="str">
        <f>HYPERLINK("https://twitter.com/josareo","@josareo")</f>
        <v>@josareo</v>
      </c>
      <c r="C27243" t="s">
        <v>2444</v>
      </c>
      <c r="D27243">
        <v>1457</v>
      </c>
      <c r="E27243">
        <v>0</v>
      </c>
      <c r="F27243">
        <v>267</v>
      </c>
    </row>
    <row r="27244" spans="1:6" ht="12.75">
      <c r="A27244" s="2">
        <v>43875.665833333333</v>
      </c>
      <c r="B27244" t="str">
        <f>HYPERLINK("https://twitter.com/Mela_669","@Mela_669")</f>
        <v>@Mela_669</v>
      </c>
      <c r="C27244" t="s">
        <v>12081</v>
      </c>
      <c r="D27244">
        <v>0</v>
      </c>
      <c r="E27244">
        <v>0</v>
      </c>
      <c r="F27244">
        <v>803</v>
      </c>
    </row>
    <row r="27245" spans="1:6" ht="12.75">
      <c r="A27245" s="2">
        <v>43875.665798611109</v>
      </c>
      <c r="B27245" t="str">
        <f>HYPERLINK("https://twitter.com/jalakbali20","@jalakbali20")</f>
        <v>@jalakbali20</v>
      </c>
      <c r="C27245" t="s">
        <v>12082</v>
      </c>
      <c r="D27245">
        <v>1</v>
      </c>
      <c r="E27245">
        <v>0</v>
      </c>
      <c r="F27245">
        <v>316</v>
      </c>
    </row>
    <row r="27246" spans="1:6" ht="12.75">
      <c r="A27246" s="2">
        <v>43875.665763888886</v>
      </c>
      <c r="B27246" t="str">
        <f>HYPERLINK("https://twitter.com/ad_arlisa","@ad_arlisa")</f>
        <v>@ad_arlisa</v>
      </c>
      <c r="C27246" t="s">
        <v>7923</v>
      </c>
      <c r="D27246">
        <v>4</v>
      </c>
      <c r="E27246">
        <v>0</v>
      </c>
      <c r="F27246">
        <v>130</v>
      </c>
    </row>
    <row r="27247" spans="1:6" ht="12.75">
      <c r="A27247" s="2">
        <v>43875.665752314817</v>
      </c>
      <c r="B27247" t="str">
        <f>HYPERLINK("https://twitter.com/odeyallic","@odeyallic")</f>
        <v>@odeyallic</v>
      </c>
      <c r="C27247" t="s">
        <v>7068</v>
      </c>
      <c r="D27247">
        <v>11</v>
      </c>
      <c r="E27247">
        <v>0</v>
      </c>
      <c r="F27247">
        <v>4430</v>
      </c>
    </row>
    <row r="27248" spans="1:6" ht="12.75">
      <c r="A27248" s="2">
        <v>43875.665717592594</v>
      </c>
      <c r="B27248" t="str">
        <f>HYPERLINK("https://twitter.com/ad_arlisa","@ad_arlisa")</f>
        <v>@ad_arlisa</v>
      </c>
      <c r="C27248" t="s">
        <v>12083</v>
      </c>
      <c r="D27248">
        <v>11</v>
      </c>
      <c r="E27248">
        <v>0</v>
      </c>
      <c r="F27248">
        <v>130</v>
      </c>
    </row>
    <row r="27249" spans="1:6" ht="12.75">
      <c r="A27249" s="2">
        <v>43875.665590277778</v>
      </c>
      <c r="B27249" t="str">
        <f>HYPERLINK("https://twitter.com/Stadela_twett","@Stadela_twett")</f>
        <v>@Stadela_twett</v>
      </c>
      <c r="C27249" t="s">
        <v>2963</v>
      </c>
      <c r="D27249">
        <v>922</v>
      </c>
      <c r="E27249">
        <v>0</v>
      </c>
      <c r="F27249">
        <v>2546</v>
      </c>
    </row>
    <row r="27250" spans="1:6" ht="12.75">
      <c r="A27250" s="2">
        <v>43875.665590277778</v>
      </c>
      <c r="B27250" t="str">
        <f>HYPERLINK("https://twitter.com/upikq22","@upikq22")</f>
        <v>@upikq22</v>
      </c>
      <c r="C27250" t="s">
        <v>12084</v>
      </c>
      <c r="D27250">
        <v>1</v>
      </c>
      <c r="E27250">
        <v>1</v>
      </c>
      <c r="F27250">
        <v>873</v>
      </c>
    </row>
    <row r="27251" spans="1:6" ht="12.75">
      <c r="A27251" s="2">
        <v>43875.665520833332</v>
      </c>
      <c r="B27251" t="str">
        <f>HYPERLINK("https://twitter.com/IndonesiaRAW","@IndonesiaRAW")</f>
        <v>@IndonesiaRAW</v>
      </c>
      <c r="C27251" t="s">
        <v>12085</v>
      </c>
      <c r="D27251">
        <v>0</v>
      </c>
      <c r="E27251">
        <v>1</v>
      </c>
      <c r="F27251">
        <v>201862</v>
      </c>
    </row>
    <row r="27252" spans="1:6" ht="12.75">
      <c r="A27252" s="2">
        <v>43875.665497685186</v>
      </c>
      <c r="B27252" t="str">
        <f>HYPERLINK("https://twitter.com/veronicasrp","@veronicasrp")</f>
        <v>@veronicasrp</v>
      </c>
      <c r="C27252" t="s">
        <v>10697</v>
      </c>
      <c r="D27252">
        <v>24</v>
      </c>
      <c r="E27252">
        <v>0</v>
      </c>
      <c r="F27252">
        <v>257</v>
      </c>
    </row>
    <row r="27253" spans="1:6" ht="12.75">
      <c r="A27253" s="2">
        <v>43875.665439814809</v>
      </c>
      <c r="B27253" t="str">
        <f>HYPERLINK("https://twitter.com/maximustriatno","@maximustriatno")</f>
        <v>@maximustriatno</v>
      </c>
      <c r="C27253" t="s">
        <v>10330</v>
      </c>
      <c r="D27253">
        <v>210</v>
      </c>
      <c r="E27253">
        <v>0</v>
      </c>
      <c r="F27253">
        <v>2</v>
      </c>
    </row>
    <row r="27254" spans="1:6" ht="12.75">
      <c r="A27254" s="2">
        <v>43875.665277777778</v>
      </c>
      <c r="B27254" t="str">
        <f>HYPERLINK("https://twitter.com/20jatenra","@20jatenra")</f>
        <v>@20jatenra</v>
      </c>
      <c r="C27254" t="s">
        <v>8394</v>
      </c>
      <c r="D27254">
        <v>34</v>
      </c>
      <c r="E27254">
        <v>0</v>
      </c>
      <c r="F27254">
        <v>1281</v>
      </c>
    </row>
    <row r="27255" spans="1:6" ht="12.75">
      <c r="A27255" s="2">
        <v>43875.665277777778</v>
      </c>
      <c r="B27255" t="str">
        <f>HYPERLINK("https://twitter.com/Syambari","@Syambari")</f>
        <v>@Syambari</v>
      </c>
      <c r="C27255" t="s">
        <v>7478</v>
      </c>
      <c r="D27255">
        <v>191</v>
      </c>
      <c r="E27255">
        <v>0</v>
      </c>
      <c r="F27255">
        <v>1818</v>
      </c>
    </row>
    <row r="27256" spans="1:6" ht="12.75">
      <c r="A27256" s="2">
        <v>43875.665266203709</v>
      </c>
      <c r="B27256" t="str">
        <f>HYPERLINK("https://twitter.com/demokrasicoid","@demokrasicoid")</f>
        <v>@demokrasicoid</v>
      </c>
      <c r="C27256" t="s">
        <v>12086</v>
      </c>
      <c r="D27256">
        <v>0</v>
      </c>
      <c r="E27256">
        <v>0</v>
      </c>
      <c r="F27256">
        <v>22233</v>
      </c>
    </row>
    <row r="27257" spans="1:6" ht="12.75">
      <c r="A27257" s="2">
        <v>43875.665196759262</v>
      </c>
      <c r="B27257" t="str">
        <f>HYPERLINK("https://twitter.com/idntimes","@idntimes")</f>
        <v>@idntimes</v>
      </c>
      <c r="C27257" t="s">
        <v>12087</v>
      </c>
      <c r="D27257">
        <v>0</v>
      </c>
      <c r="E27257">
        <v>1</v>
      </c>
      <c r="F27257">
        <v>392656</v>
      </c>
    </row>
    <row r="27258" spans="1:6" ht="12.75">
      <c r="A27258" s="2">
        <v>43875.665196759262</v>
      </c>
      <c r="B27258" t="str">
        <f>HYPERLINK("https://twitter.com/Candraasmara85","@Candraasmara85")</f>
        <v>@Candraasmara85</v>
      </c>
      <c r="C27258" t="s">
        <v>2963</v>
      </c>
      <c r="D27258">
        <v>922</v>
      </c>
      <c r="E27258">
        <v>0</v>
      </c>
      <c r="F27258">
        <v>10504</v>
      </c>
    </row>
    <row r="27259" spans="1:6" ht="12.75">
      <c r="A27259" s="2">
        <v>43875.665185185186</v>
      </c>
      <c r="B27259" t="str">
        <f>HYPERLINK("https://twitter.com/mbak_luluk","@mbak_luluk")</f>
        <v>@mbak_luluk</v>
      </c>
      <c r="C27259" t="s">
        <v>11095</v>
      </c>
      <c r="D27259">
        <v>39</v>
      </c>
      <c r="E27259">
        <v>0</v>
      </c>
      <c r="F27259">
        <v>256</v>
      </c>
    </row>
    <row r="27260" spans="1:6" ht="12.75">
      <c r="A27260" s="2">
        <v>43875.665173611109</v>
      </c>
      <c r="B27260" t="str">
        <f>HYPERLINK("https://twitter.com/antridulu","@antridulu")</f>
        <v>@antridulu</v>
      </c>
      <c r="C27260" t="s">
        <v>2137</v>
      </c>
      <c r="D27260">
        <v>119</v>
      </c>
      <c r="E27260">
        <v>0</v>
      </c>
      <c r="F27260">
        <v>381</v>
      </c>
    </row>
    <row r="27261" spans="1:6" ht="12.75">
      <c r="A27261" s="2">
        <v>43875.665138888886</v>
      </c>
      <c r="B27261" t="str">
        <f>HYPERLINK("https://twitter.com/baca_tanda","@baca_tanda")</f>
        <v>@baca_tanda</v>
      </c>
      <c r="C27261" t="s">
        <v>10052</v>
      </c>
      <c r="D27261">
        <v>3</v>
      </c>
      <c r="E27261">
        <v>0</v>
      </c>
      <c r="F27261">
        <v>978</v>
      </c>
    </row>
    <row r="27262" spans="1:6" ht="12.75">
      <c r="A27262" s="2">
        <v>43875.665127314816</v>
      </c>
      <c r="B27262" t="str">
        <f>HYPERLINK("https://twitter.com/ad_arlisa","@ad_arlisa")</f>
        <v>@ad_arlisa</v>
      </c>
      <c r="C27262" t="s">
        <v>12088</v>
      </c>
      <c r="D27262">
        <v>8</v>
      </c>
      <c r="E27262">
        <v>0</v>
      </c>
      <c r="F27262">
        <v>130</v>
      </c>
    </row>
    <row r="27263" spans="1:6" ht="12.75">
      <c r="A27263" s="2">
        <v>43875.665046296301</v>
      </c>
      <c r="B27263" t="str">
        <f>HYPERLINK("https://twitter.com/Joungsanang","@Joungsanang")</f>
        <v>@Joungsanang</v>
      </c>
      <c r="C27263" t="s">
        <v>12089</v>
      </c>
      <c r="D27263">
        <v>0</v>
      </c>
      <c r="E27263">
        <v>0</v>
      </c>
      <c r="F27263">
        <v>213</v>
      </c>
    </row>
    <row r="27264" spans="1:6" ht="12.75">
      <c r="A27264" s="2">
        <v>43875.665011574078</v>
      </c>
      <c r="B27264" t="str">
        <f>HYPERLINK("https://twitter.com/Tentara__Allah","@Tentara__Allah")</f>
        <v>@Tentara__Allah</v>
      </c>
      <c r="C27264" t="s">
        <v>12047</v>
      </c>
      <c r="D27264">
        <v>3</v>
      </c>
      <c r="E27264">
        <v>0</v>
      </c>
      <c r="F27264">
        <v>31</v>
      </c>
    </row>
    <row r="27265" spans="1:6" ht="12.75">
      <c r="A27265" s="2">
        <v>43875.664976851855</v>
      </c>
      <c r="B27265" t="str">
        <f>HYPERLINK("https://twitter.com/cantikaTiiikaaa","@cantikaTiiikaaa")</f>
        <v>@cantikaTiiikaaa</v>
      </c>
      <c r="C27265" t="s">
        <v>11095</v>
      </c>
      <c r="D27265">
        <v>39</v>
      </c>
      <c r="E27265">
        <v>0</v>
      </c>
      <c r="F27265">
        <v>99</v>
      </c>
    </row>
    <row r="27266" spans="1:6" ht="12.75">
      <c r="A27266" s="2">
        <v>43875.664930555555</v>
      </c>
      <c r="B27266" t="str">
        <f>HYPERLINK("https://twitter.com/MasCEPUKLagi","@MasCEPUKLagi")</f>
        <v>@MasCEPUKLagi</v>
      </c>
      <c r="C27266" t="s">
        <v>2963</v>
      </c>
      <c r="D27266">
        <v>922</v>
      </c>
      <c r="E27266">
        <v>0</v>
      </c>
      <c r="F27266">
        <v>338</v>
      </c>
    </row>
    <row r="27267" spans="1:6" ht="12.75">
      <c r="A27267" s="2">
        <v>43875.664872685185</v>
      </c>
      <c r="B27267" t="str">
        <f>HYPERLINK("https://twitter.com/Tentara__Allah","@Tentara__Allah")</f>
        <v>@Tentara__Allah</v>
      </c>
      <c r="C27267" t="s">
        <v>12049</v>
      </c>
      <c r="D27267">
        <v>3</v>
      </c>
      <c r="E27267">
        <v>0</v>
      </c>
      <c r="F27267">
        <v>31</v>
      </c>
    </row>
    <row r="27268" spans="1:6" ht="12.75">
      <c r="A27268" s="2">
        <v>43875.664861111116</v>
      </c>
      <c r="B27268" t="str">
        <f>HYPERLINK("https://twitter.com/haiiarum","@haiiarum")</f>
        <v>@haiiarum</v>
      </c>
      <c r="C27268" t="s">
        <v>2137</v>
      </c>
      <c r="D27268">
        <v>119</v>
      </c>
      <c r="E27268">
        <v>0</v>
      </c>
      <c r="F27268">
        <v>50</v>
      </c>
    </row>
    <row r="27269" spans="1:6" ht="12.75">
      <c r="A27269" s="2">
        <v>43875.664849537032</v>
      </c>
      <c r="B27269" t="str">
        <f>HYPERLINK("https://twitter.com/IndonesiaRAW","@IndonesiaRAW")</f>
        <v>@IndonesiaRAW</v>
      </c>
      <c r="C27269" t="s">
        <v>12090</v>
      </c>
      <c r="D27269">
        <v>0</v>
      </c>
      <c r="E27269">
        <v>1</v>
      </c>
      <c r="F27269">
        <v>201862</v>
      </c>
    </row>
    <row r="27270" spans="1:6" ht="12.75">
      <c r="A27270" s="2">
        <v>43875.664849537032</v>
      </c>
      <c r="B27270" t="str">
        <f>HYPERLINK("https://twitter.com/Tentara__Allah","@Tentara__Allah")</f>
        <v>@Tentara__Allah</v>
      </c>
      <c r="C27270" t="s">
        <v>11095</v>
      </c>
      <c r="D27270">
        <v>39</v>
      </c>
      <c r="E27270">
        <v>0</v>
      </c>
      <c r="F27270">
        <v>31</v>
      </c>
    </row>
    <row r="27271" spans="1:6" ht="12.75">
      <c r="A27271" s="2">
        <v>43875.664837962962</v>
      </c>
      <c r="B27271" t="str">
        <f>HYPERLINK("https://twitter.com/YPangestiawan","@YPangestiawan")</f>
        <v>@YPangestiawan</v>
      </c>
      <c r="C27271" t="s">
        <v>11095</v>
      </c>
      <c r="D27271">
        <v>39</v>
      </c>
      <c r="E27271">
        <v>0</v>
      </c>
      <c r="F27271">
        <v>52</v>
      </c>
    </row>
    <row r="27272" spans="1:6" ht="12.75">
      <c r="A27272" s="2">
        <v>43875.664814814816</v>
      </c>
      <c r="B27272" t="str">
        <f>HYPERLINK("https://twitter.com/chilokumaaaa","@chilokumaaaa")</f>
        <v>@chilokumaaaa</v>
      </c>
      <c r="C27272" t="s">
        <v>2444</v>
      </c>
      <c r="D27272">
        <v>1457</v>
      </c>
      <c r="E27272">
        <v>0</v>
      </c>
      <c r="F27272">
        <v>255</v>
      </c>
    </row>
    <row r="27273" spans="1:6" ht="12.75">
      <c r="A27273" s="2">
        <v>43875.664756944447</v>
      </c>
      <c r="B27273" t="str">
        <f>HYPERLINK("https://twitter.com/salsaadriy","@salsaadriy")</f>
        <v>@salsaadriy</v>
      </c>
      <c r="C27273" t="s">
        <v>2444</v>
      </c>
      <c r="D27273">
        <v>1457</v>
      </c>
      <c r="E27273">
        <v>0</v>
      </c>
      <c r="F27273">
        <v>659</v>
      </c>
    </row>
    <row r="27274" spans="1:6" ht="12.75">
      <c r="A27274" s="2">
        <v>43875.664722222224</v>
      </c>
      <c r="B27274" t="str">
        <f>HYPERLINK("https://twitter.com/masaryaduta","@masaryaduta")</f>
        <v>@masaryaduta</v>
      </c>
      <c r="C27274" t="s">
        <v>12091</v>
      </c>
      <c r="D27274">
        <v>0</v>
      </c>
      <c r="E27274">
        <v>1</v>
      </c>
      <c r="F27274">
        <v>2693</v>
      </c>
    </row>
    <row r="27275" spans="1:6" ht="12.75">
      <c r="A27275" s="2">
        <v>43875.664675925931</v>
      </c>
      <c r="B27275" t="str">
        <f>HYPERLINK("https://twitter.com/Mhmdfbryn","@Mhmdfbryn")</f>
        <v>@Mhmdfbryn</v>
      </c>
      <c r="C27275" t="s">
        <v>2444</v>
      </c>
      <c r="D27275">
        <v>1457</v>
      </c>
      <c r="E27275">
        <v>0</v>
      </c>
      <c r="F27275">
        <v>368</v>
      </c>
    </row>
    <row r="27276" spans="1:6" ht="12.75">
      <c r="A27276" s="2">
        <v>43875.664664351847</v>
      </c>
      <c r="B27276" t="str">
        <f>HYPERLINK("https://twitter.com/widiasututi","@widiasututi")</f>
        <v>@widiasututi</v>
      </c>
      <c r="C27276" t="s">
        <v>11095</v>
      </c>
      <c r="D27276">
        <v>39</v>
      </c>
      <c r="E27276">
        <v>0</v>
      </c>
      <c r="F27276">
        <v>59</v>
      </c>
    </row>
    <row r="27277" spans="1:6" ht="12.75">
      <c r="A27277" s="2">
        <v>43875.664652777778</v>
      </c>
      <c r="B27277" t="str">
        <f>HYPERLINK("https://twitter.com/AchmadA23292527","@AchmadA23292527")</f>
        <v>@AchmadA23292527</v>
      </c>
      <c r="C27277" t="s">
        <v>12092</v>
      </c>
      <c r="D27277">
        <v>0</v>
      </c>
      <c r="E27277">
        <v>0</v>
      </c>
      <c r="F27277">
        <v>1</v>
      </c>
    </row>
    <row r="27278" spans="1:6" ht="12.75">
      <c r="A27278" s="2">
        <v>43875.664629629631</v>
      </c>
      <c r="B27278" t="str">
        <f>HYPERLINK("https://twitter.com/AndhikaRidhovni","@AndhikaRidhovni")</f>
        <v>@AndhikaRidhovni</v>
      </c>
      <c r="C27278" t="s">
        <v>2444</v>
      </c>
      <c r="D27278">
        <v>1457</v>
      </c>
      <c r="E27278">
        <v>0</v>
      </c>
      <c r="F27278">
        <v>241</v>
      </c>
    </row>
    <row r="27279" spans="1:6" ht="12.75">
      <c r="A27279" s="2">
        <v>43875.664629629631</v>
      </c>
      <c r="B27279" t="str">
        <f>HYPERLINK("https://twitter.com/Haluan_","@Haluan_")</f>
        <v>@Haluan_</v>
      </c>
      <c r="C27279" t="s">
        <v>12093</v>
      </c>
      <c r="D27279">
        <v>0</v>
      </c>
      <c r="E27279">
        <v>0</v>
      </c>
      <c r="F27279">
        <v>1441</v>
      </c>
    </row>
    <row r="27280" spans="1:6" ht="12.75">
      <c r="A27280" s="2">
        <v>43875.664629629631</v>
      </c>
      <c r="B27280" t="str">
        <f t="shared" ref="B27280:B27281" si="359">HYPERLINK("https://twitter.com/kompascom","@kompascom")</f>
        <v>@kompascom</v>
      </c>
      <c r="C27280" t="s">
        <v>12094</v>
      </c>
      <c r="D27280">
        <v>0</v>
      </c>
      <c r="E27280">
        <v>1</v>
      </c>
      <c r="F27280">
        <v>7497429</v>
      </c>
    </row>
    <row r="27281" spans="1:6" ht="12.75">
      <c r="A27281" s="2">
        <v>43875.664618055554</v>
      </c>
      <c r="B27281" t="str">
        <f t="shared" si="359"/>
        <v>@kompascom</v>
      </c>
      <c r="C27281" t="s">
        <v>12095</v>
      </c>
      <c r="D27281">
        <v>0</v>
      </c>
      <c r="E27281">
        <v>2</v>
      </c>
      <c r="F27281">
        <v>7497429</v>
      </c>
    </row>
    <row r="27282" spans="1:6" ht="12.75">
      <c r="A27282" s="2">
        <v>43875.664606481485</v>
      </c>
      <c r="B27282" t="str">
        <f>HYPERLINK("https://twitter.com/maspras02","@maspras02")</f>
        <v>@maspras02</v>
      </c>
      <c r="C27282" t="s">
        <v>7478</v>
      </c>
      <c r="D27282">
        <v>191</v>
      </c>
      <c r="E27282">
        <v>0</v>
      </c>
      <c r="F27282">
        <v>148</v>
      </c>
    </row>
    <row r="27283" spans="1:6" ht="12.75">
      <c r="A27283" s="2">
        <v>43875.664571759262</v>
      </c>
      <c r="B27283" t="str">
        <f>HYPERLINK("https://twitter.com/AtmanagaraZ","@AtmanagaraZ")</f>
        <v>@AtmanagaraZ</v>
      </c>
      <c r="C27283" t="s">
        <v>8252</v>
      </c>
      <c r="D27283">
        <v>496</v>
      </c>
      <c r="E27283">
        <v>0</v>
      </c>
      <c r="F27283">
        <v>214</v>
      </c>
    </row>
    <row r="27284" spans="1:6" ht="12.75">
      <c r="A27284" s="2">
        <v>43875.664560185185</v>
      </c>
      <c r="B27284" t="str">
        <f>HYPERLINK("https://twitter.com/palsanglama_","@palsanglama_")</f>
        <v>@palsanglama_</v>
      </c>
      <c r="C27284" t="s">
        <v>12047</v>
      </c>
      <c r="D27284">
        <v>3</v>
      </c>
      <c r="E27284">
        <v>0</v>
      </c>
      <c r="F27284">
        <v>50</v>
      </c>
    </row>
    <row r="27285" spans="1:6" ht="12.75">
      <c r="A27285" s="2">
        <v>43875.664502314816</v>
      </c>
      <c r="B27285" t="str">
        <f>HYPERLINK("https://twitter.com/AhmadSetiawanM","@AhmadSetiawanM")</f>
        <v>@AhmadSetiawanM</v>
      </c>
      <c r="C27285" t="s">
        <v>11095</v>
      </c>
      <c r="D27285">
        <v>39</v>
      </c>
      <c r="E27285">
        <v>0</v>
      </c>
      <c r="F27285">
        <v>71</v>
      </c>
    </row>
    <row r="27286" spans="1:6" ht="12.75">
      <c r="A27286" s="2">
        <v>43875.664502314816</v>
      </c>
      <c r="B27286" t="str">
        <f>HYPERLINK("https://twitter.com/bakasenchou","@bakasenchou")</f>
        <v>@bakasenchou</v>
      </c>
      <c r="C27286" t="s">
        <v>5168</v>
      </c>
      <c r="D27286">
        <v>739</v>
      </c>
      <c r="E27286">
        <v>0</v>
      </c>
      <c r="F27286">
        <v>565</v>
      </c>
    </row>
    <row r="27287" spans="1:6" ht="12.75">
      <c r="A27287" s="2">
        <v>43875.664502314816</v>
      </c>
      <c r="B27287" t="str">
        <f>HYPERLINK("https://twitter.com/niizzzaaaarrrrr","@niizzzaaaarrrrr")</f>
        <v>@niizzzaaaarrrrr</v>
      </c>
      <c r="C27287" t="s">
        <v>11071</v>
      </c>
      <c r="D27287">
        <v>61</v>
      </c>
      <c r="E27287">
        <v>0</v>
      </c>
      <c r="F27287">
        <v>426</v>
      </c>
    </row>
    <row r="27288" spans="1:6" ht="12.75">
      <c r="A27288" s="2">
        <v>43875.664467592593</v>
      </c>
      <c r="B27288" t="str">
        <f>HYPERLINK("https://twitter.com/KeringObat","@KeringObat")</f>
        <v>@KeringObat</v>
      </c>
      <c r="C27288" t="s">
        <v>11095</v>
      </c>
      <c r="D27288">
        <v>39</v>
      </c>
      <c r="E27288">
        <v>0</v>
      </c>
      <c r="F27288">
        <v>56</v>
      </c>
    </row>
    <row r="27289" spans="1:6" ht="12.75">
      <c r="A27289" s="2">
        <v>43875.664467592593</v>
      </c>
      <c r="B27289" t="str">
        <f>HYPERLINK("https://twitter.com/Mbanteng2","@Mbanteng2")</f>
        <v>@Mbanteng2</v>
      </c>
      <c r="C27289" t="s">
        <v>11095</v>
      </c>
      <c r="D27289">
        <v>39</v>
      </c>
      <c r="E27289">
        <v>0</v>
      </c>
      <c r="F27289">
        <v>81</v>
      </c>
    </row>
    <row r="27290" spans="1:6" ht="12.75">
      <c r="A27290" s="2">
        <v>43875.664456018523</v>
      </c>
      <c r="B27290" t="str">
        <f>HYPERLINK("https://twitter.com/r_martomo","@r_martomo")</f>
        <v>@r_martomo</v>
      </c>
      <c r="C27290" t="s">
        <v>9746</v>
      </c>
      <c r="D27290">
        <v>214</v>
      </c>
      <c r="E27290">
        <v>0</v>
      </c>
      <c r="F27290">
        <v>2034</v>
      </c>
    </row>
    <row r="27291" spans="1:6" ht="12.75">
      <c r="A27291" s="2">
        <v>43875.664444444439</v>
      </c>
      <c r="B27291" t="str">
        <f>HYPERLINK("https://twitter.com/silviesticated","@silviesticated")</f>
        <v>@silviesticated</v>
      </c>
      <c r="C27291" t="s">
        <v>5168</v>
      </c>
      <c r="D27291">
        <v>739</v>
      </c>
      <c r="E27291">
        <v>0</v>
      </c>
      <c r="F27291">
        <v>36</v>
      </c>
    </row>
    <row r="27292" spans="1:6" ht="12.75">
      <c r="A27292" s="2">
        <v>43875.664409722223</v>
      </c>
      <c r="B27292" t="str">
        <f>HYPERLINK("https://twitter.com/iaz_Raswandhi","@iaz_Raswandhi")</f>
        <v>@iaz_Raswandhi</v>
      </c>
      <c r="C27292" t="s">
        <v>2444</v>
      </c>
      <c r="D27292">
        <v>1457</v>
      </c>
      <c r="E27292">
        <v>0</v>
      </c>
      <c r="F27292">
        <v>314</v>
      </c>
    </row>
    <row r="27293" spans="1:6" ht="12.75">
      <c r="A27293" s="2">
        <v>43875.664375</v>
      </c>
      <c r="B27293" t="str">
        <f>HYPERLINK("https://twitter.com/PriamenSuplemen","@PriamenSuplemen")</f>
        <v>@PriamenSuplemen</v>
      </c>
      <c r="C27293" t="s">
        <v>11095</v>
      </c>
      <c r="D27293">
        <v>39</v>
      </c>
      <c r="E27293">
        <v>0</v>
      </c>
      <c r="F27293">
        <v>57</v>
      </c>
    </row>
    <row r="27294" spans="1:6" ht="12.75">
      <c r="A27294" s="2">
        <v>43875.664340277777</v>
      </c>
      <c r="B27294" t="str">
        <f>HYPERLINK("https://twitter.com/jisungricegrain","@jisungricegrain")</f>
        <v>@jisungricegrain</v>
      </c>
      <c r="C27294" t="s">
        <v>2444</v>
      </c>
      <c r="D27294">
        <v>1457</v>
      </c>
      <c r="E27294">
        <v>0</v>
      </c>
      <c r="F27294">
        <v>729</v>
      </c>
    </row>
    <row r="27295" spans="1:6" ht="12.75">
      <c r="A27295" s="2">
        <v>43875.664259259254</v>
      </c>
      <c r="B27295" t="str">
        <f>HYPERLINK("https://twitter.com/BillyBoen","@BillyBoen")</f>
        <v>@BillyBoen</v>
      </c>
      <c r="C27295" t="s">
        <v>2144</v>
      </c>
      <c r="D27295">
        <v>76</v>
      </c>
      <c r="E27295">
        <v>0</v>
      </c>
      <c r="F27295">
        <v>106131</v>
      </c>
    </row>
    <row r="27296" spans="1:6" ht="12.75">
      <c r="A27296" s="2">
        <v>43875.664247685185</v>
      </c>
      <c r="B27296" t="str">
        <f>HYPERLINK("https://twitter.com/Mahdi_Musthaffa","@Mahdi_Musthaffa")</f>
        <v>@Mahdi_Musthaffa</v>
      </c>
      <c r="C27296" t="s">
        <v>2444</v>
      </c>
      <c r="D27296">
        <v>1457</v>
      </c>
      <c r="E27296">
        <v>0</v>
      </c>
      <c r="F27296">
        <v>396</v>
      </c>
    </row>
    <row r="27297" spans="1:6" ht="12.75">
      <c r="A27297" s="2">
        <v>43875.664201388892</v>
      </c>
      <c r="B27297" t="str">
        <f>HYPERLINK("https://twitter.com/LaJoef","@LaJoef")</f>
        <v>@LaJoef</v>
      </c>
      <c r="C27297" t="s">
        <v>10407</v>
      </c>
      <c r="D27297">
        <v>50</v>
      </c>
      <c r="E27297">
        <v>0</v>
      </c>
      <c r="F27297">
        <v>583</v>
      </c>
    </row>
    <row r="27298" spans="1:6" ht="12.75">
      <c r="A27298" s="2">
        <v>43875.664178240739</v>
      </c>
      <c r="B27298" t="str">
        <f>HYPERLINK("https://twitter.com/ad_arlisa","@ad_arlisa")</f>
        <v>@ad_arlisa</v>
      </c>
      <c r="C27298" t="s">
        <v>9021</v>
      </c>
      <c r="D27298">
        <v>193</v>
      </c>
      <c r="E27298">
        <v>0</v>
      </c>
      <c r="F27298">
        <v>130</v>
      </c>
    </row>
    <row r="27299" spans="1:6" ht="12.75">
      <c r="A27299" s="2">
        <v>43875.664166666669</v>
      </c>
      <c r="B27299" t="str">
        <f>HYPERLINK("https://twitter.com/sendalOffice","@sendalOffice")</f>
        <v>@sendalOffice</v>
      </c>
      <c r="C27299" t="s">
        <v>11095</v>
      </c>
      <c r="D27299">
        <v>39</v>
      </c>
      <c r="E27299">
        <v>0</v>
      </c>
      <c r="F27299">
        <v>93</v>
      </c>
    </row>
    <row r="27300" spans="1:6" ht="12.75">
      <c r="A27300" s="2">
        <v>43875.664143518516</v>
      </c>
      <c r="B27300" t="str">
        <f>HYPERLINK("https://twitter.com/mhmmd_jati","@mhmmd_jati")</f>
        <v>@mhmmd_jati</v>
      </c>
      <c r="C27300" t="s">
        <v>2444</v>
      </c>
      <c r="D27300">
        <v>1457</v>
      </c>
      <c r="E27300">
        <v>0</v>
      </c>
      <c r="F27300">
        <v>666</v>
      </c>
    </row>
    <row r="27301" spans="1:6" ht="12.75">
      <c r="A27301" s="2">
        <v>43875.664131944446</v>
      </c>
      <c r="B27301" t="str">
        <f>HYPERLINK("https://twitter.com/joycfulee","@joycfulee")</f>
        <v>@joycfulee</v>
      </c>
      <c r="C27301" t="s">
        <v>2444</v>
      </c>
      <c r="D27301">
        <v>1457</v>
      </c>
      <c r="E27301">
        <v>0</v>
      </c>
      <c r="F27301">
        <v>49</v>
      </c>
    </row>
    <row r="27302" spans="1:6" ht="12.75">
      <c r="A27302" s="2">
        <v>43875.664085648154</v>
      </c>
      <c r="B27302" t="str">
        <f>HYPERLINK("https://twitter.com/KoHaryoko","@KoHaryoko")</f>
        <v>@KoHaryoko</v>
      </c>
      <c r="C27302" t="s">
        <v>11095</v>
      </c>
      <c r="D27302">
        <v>39</v>
      </c>
      <c r="E27302">
        <v>0</v>
      </c>
      <c r="F27302">
        <v>56</v>
      </c>
    </row>
    <row r="27303" spans="1:6" ht="12.75">
      <c r="A27303" s="2">
        <v>43875.664085648154</v>
      </c>
      <c r="B27303" t="str">
        <f>HYPERLINK("https://twitter.com/palsanglama_","@palsanglama_")</f>
        <v>@palsanglama_</v>
      </c>
      <c r="C27303" t="s">
        <v>12049</v>
      </c>
      <c r="D27303">
        <v>3</v>
      </c>
      <c r="E27303">
        <v>0</v>
      </c>
      <c r="F27303">
        <v>50</v>
      </c>
    </row>
    <row r="27304" spans="1:6" ht="12.75">
      <c r="A27304" s="2">
        <v>43875.6640625</v>
      </c>
      <c r="B27304" t="str">
        <f>HYPERLINK("https://twitter.com/MulyaniVonny","@MulyaniVonny")</f>
        <v>@MulyaniVonny</v>
      </c>
      <c r="C27304" t="s">
        <v>2444</v>
      </c>
      <c r="D27304">
        <v>1457</v>
      </c>
      <c r="E27304">
        <v>0</v>
      </c>
      <c r="F27304">
        <v>185</v>
      </c>
    </row>
    <row r="27305" spans="1:6" ht="12.75">
      <c r="A27305" s="2">
        <v>43875.6640625</v>
      </c>
      <c r="B27305" t="str">
        <f>HYPERLINK("https://twitter.com/palsanglama_","@palsanglama_")</f>
        <v>@palsanglama_</v>
      </c>
      <c r="C27305" t="s">
        <v>11095</v>
      </c>
      <c r="D27305">
        <v>39</v>
      </c>
      <c r="E27305">
        <v>0</v>
      </c>
      <c r="F27305">
        <v>50</v>
      </c>
    </row>
    <row r="27306" spans="1:6" ht="12.75">
      <c r="A27306" s="2">
        <v>43875.664016203707</v>
      </c>
      <c r="B27306" t="str">
        <f>HYPERLINK("https://twitter.com/ryanie31","@ryanie31")</f>
        <v>@ryanie31</v>
      </c>
      <c r="C27306" t="s">
        <v>2444</v>
      </c>
      <c r="D27306">
        <v>1457</v>
      </c>
      <c r="E27306">
        <v>0</v>
      </c>
      <c r="F27306">
        <v>275</v>
      </c>
    </row>
    <row r="27307" spans="1:6" ht="12.75">
      <c r="A27307" s="2">
        <v>43875.663981481484</v>
      </c>
      <c r="B27307" t="str">
        <f>HYPERLINK("https://twitter.com/sunankaliblanak","@sunankaliblanak")</f>
        <v>@sunankaliblanak</v>
      </c>
      <c r="C27307" t="s">
        <v>12096</v>
      </c>
      <c r="D27307">
        <v>0</v>
      </c>
      <c r="E27307">
        <v>0</v>
      </c>
      <c r="F27307">
        <v>388</v>
      </c>
    </row>
    <row r="27308" spans="1:6" ht="12.75">
      <c r="A27308" s="2">
        <v>43875.663958333331</v>
      </c>
      <c r="B27308" t="str">
        <f>HYPERLINK("https://twitter.com/ice212_mr","@ice212_mr")</f>
        <v>@ice212_mr</v>
      </c>
      <c r="C27308" t="s">
        <v>12097</v>
      </c>
      <c r="D27308">
        <v>0</v>
      </c>
      <c r="E27308">
        <v>0</v>
      </c>
      <c r="F27308">
        <v>83</v>
      </c>
    </row>
    <row r="27309" spans="1:6" ht="12.75">
      <c r="A27309" s="2">
        <v>43875.663912037038</v>
      </c>
      <c r="B27309" t="str">
        <f>HYPERLINK("https://twitter.com/komangbajing","@komangbajing")</f>
        <v>@komangbajing</v>
      </c>
      <c r="C27309" t="s">
        <v>12098</v>
      </c>
      <c r="D27309">
        <v>0</v>
      </c>
      <c r="E27309">
        <v>0</v>
      </c>
      <c r="F27309">
        <v>460</v>
      </c>
    </row>
    <row r="27310" spans="1:6" ht="12.75">
      <c r="A27310" s="2">
        <v>43875.663912037038</v>
      </c>
      <c r="B27310" t="str">
        <f>HYPERLINK("https://twitter.com/dalbichu","@dalbichu")</f>
        <v>@dalbichu</v>
      </c>
      <c r="C27310" t="s">
        <v>2444</v>
      </c>
      <c r="D27310">
        <v>1457</v>
      </c>
      <c r="E27310">
        <v>0</v>
      </c>
      <c r="F27310">
        <v>445</v>
      </c>
    </row>
    <row r="27311" spans="1:6" ht="12.75">
      <c r="A27311" s="2">
        <v>43875.663888888885</v>
      </c>
      <c r="B27311" t="str">
        <f>HYPERLINK("https://twitter.com/wahadasigit","@wahadasigit")</f>
        <v>@wahadasigit</v>
      </c>
      <c r="C27311" t="s">
        <v>11095</v>
      </c>
      <c r="D27311">
        <v>39</v>
      </c>
      <c r="E27311">
        <v>0</v>
      </c>
      <c r="F27311">
        <v>55</v>
      </c>
    </row>
    <row r="27312" spans="1:6" ht="12.75">
      <c r="A27312" s="2">
        <v>43875.6637962963</v>
      </c>
      <c r="B27312" t="str">
        <f>HYPERLINK("https://twitter.com/viviandeella","@viviandeella")</f>
        <v>@viviandeella</v>
      </c>
      <c r="C27312" t="s">
        <v>12099</v>
      </c>
      <c r="D27312">
        <v>0</v>
      </c>
      <c r="E27312">
        <v>1</v>
      </c>
      <c r="F27312">
        <v>9353</v>
      </c>
    </row>
    <row r="27313" spans="1:6" ht="12.75">
      <c r="A27313" s="2">
        <v>43875.66375</v>
      </c>
      <c r="B27313" t="str">
        <f>HYPERLINK("https://twitter.com/EvySaraswati","@EvySaraswati")</f>
        <v>@EvySaraswati</v>
      </c>
      <c r="C27313" t="s">
        <v>11095</v>
      </c>
      <c r="D27313">
        <v>39</v>
      </c>
      <c r="E27313">
        <v>0</v>
      </c>
      <c r="F27313">
        <v>145</v>
      </c>
    </row>
    <row r="27314" spans="1:6" ht="12.75">
      <c r="A27314" s="2">
        <v>43875.66369212963</v>
      </c>
      <c r="B27314" t="str">
        <f>HYPERLINK("https://twitter.com/Rasan2Politik","@Rasan2Politik")</f>
        <v>@Rasan2Politik</v>
      </c>
      <c r="C27314" t="s">
        <v>12100</v>
      </c>
      <c r="D27314">
        <v>3</v>
      </c>
      <c r="E27314">
        <v>0</v>
      </c>
      <c r="F27314">
        <v>891</v>
      </c>
    </row>
    <row r="27315" spans="1:6" ht="12.75">
      <c r="A27315" s="2">
        <v>43875.66369212963</v>
      </c>
      <c r="B27315" t="str">
        <f>HYPERLINK("https://twitter.com/dukeofmalang","@dukeofmalang")</f>
        <v>@dukeofmalang</v>
      </c>
      <c r="C27315" t="s">
        <v>2444</v>
      </c>
      <c r="D27315">
        <v>1457</v>
      </c>
      <c r="E27315">
        <v>0</v>
      </c>
      <c r="F27315">
        <v>10967</v>
      </c>
    </row>
    <row r="27316" spans="1:6" ht="12.75">
      <c r="A27316" s="2">
        <v>43875.663680555561</v>
      </c>
      <c r="B27316" t="str">
        <f>HYPERLINK("https://twitter.com/dianunung","@dianunung")</f>
        <v>@dianunung</v>
      </c>
      <c r="C27316" t="s">
        <v>11095</v>
      </c>
      <c r="D27316">
        <v>39</v>
      </c>
      <c r="E27316">
        <v>0</v>
      </c>
      <c r="F27316">
        <v>57</v>
      </c>
    </row>
    <row r="27317" spans="1:6" ht="12.75">
      <c r="A27317" s="2">
        <v>43875.663668981477</v>
      </c>
      <c r="B27317" t="str">
        <f>HYPERLINK("https://twitter.com/Rasan2Politik","@Rasan2Politik")</f>
        <v>@Rasan2Politik</v>
      </c>
      <c r="C27317" t="s">
        <v>12047</v>
      </c>
      <c r="D27317">
        <v>3</v>
      </c>
      <c r="E27317">
        <v>0</v>
      </c>
      <c r="F27317">
        <v>891</v>
      </c>
    </row>
    <row r="27318" spans="1:6" ht="12.75">
      <c r="A27318" s="2">
        <v>43875.663645833338</v>
      </c>
      <c r="B27318" t="str">
        <f>HYPERLINK("https://twitter.com/kafara666","@kafara666")</f>
        <v>@kafara666</v>
      </c>
      <c r="C27318" t="s">
        <v>12101</v>
      </c>
      <c r="D27318">
        <v>2</v>
      </c>
      <c r="E27318">
        <v>0</v>
      </c>
      <c r="F27318">
        <v>66</v>
      </c>
    </row>
    <row r="27319" spans="1:6" ht="12.75">
      <c r="A27319" s="2">
        <v>43875.663622685184</v>
      </c>
      <c r="B27319" t="str">
        <f>HYPERLINK("https://twitter.com/Rasan2Politik","@Rasan2Politik")</f>
        <v>@Rasan2Politik</v>
      </c>
      <c r="C27319" t="s">
        <v>12102</v>
      </c>
      <c r="D27319">
        <v>3</v>
      </c>
      <c r="E27319">
        <v>0</v>
      </c>
      <c r="F27319">
        <v>891</v>
      </c>
    </row>
    <row r="27320" spans="1:6" ht="12.75">
      <c r="A27320" s="2">
        <v>43875.663622685184</v>
      </c>
      <c r="B27320" t="str">
        <f>HYPERLINK("https://twitter.com/462ykr","@462ykr")</f>
        <v>@462ykr</v>
      </c>
      <c r="C27320" t="s">
        <v>2444</v>
      </c>
      <c r="D27320">
        <v>1457</v>
      </c>
      <c r="E27320">
        <v>0</v>
      </c>
      <c r="F27320">
        <v>295</v>
      </c>
    </row>
    <row r="27321" spans="1:6" ht="12.75">
      <c r="A27321" s="2">
        <v>43875.663611111115</v>
      </c>
      <c r="B27321" t="str">
        <f>HYPERLINK("https://twitter.com/about2sleep","@about2sleep")</f>
        <v>@about2sleep</v>
      </c>
      <c r="C27321" t="s">
        <v>10052</v>
      </c>
      <c r="D27321">
        <v>3</v>
      </c>
      <c r="E27321">
        <v>0</v>
      </c>
      <c r="F27321">
        <v>270</v>
      </c>
    </row>
    <row r="27322" spans="1:6" ht="12.75">
      <c r="A27322" s="2">
        <v>43875.663564814815</v>
      </c>
      <c r="B27322" t="str">
        <f>HYPERLINK("https://twitter.com/Rasan2Politik","@Rasan2Politik")</f>
        <v>@Rasan2Politik</v>
      </c>
      <c r="C27322" t="s">
        <v>12103</v>
      </c>
      <c r="D27322">
        <v>3</v>
      </c>
      <c r="E27322">
        <v>0</v>
      </c>
      <c r="F27322">
        <v>891</v>
      </c>
    </row>
    <row r="27323" spans="1:6" ht="12.75">
      <c r="A27323" s="2">
        <v>43875.663553240738</v>
      </c>
      <c r="B27323" t="str">
        <f>HYPERLINK("https://twitter.com/sandyYeah","@sandyYeah")</f>
        <v>@sandyYeah</v>
      </c>
      <c r="C27323" t="s">
        <v>12104</v>
      </c>
      <c r="D27323">
        <v>0</v>
      </c>
      <c r="E27323">
        <v>0</v>
      </c>
      <c r="F27323">
        <v>749</v>
      </c>
    </row>
    <row r="27324" spans="1:6" ht="12.75">
      <c r="A27324" s="2">
        <v>43875.663541666669</v>
      </c>
      <c r="B27324" t="str">
        <f>HYPERLINK("https://twitter.com/Rasan2Politik","@Rasan2Politik")</f>
        <v>@Rasan2Politik</v>
      </c>
      <c r="C27324" t="s">
        <v>12049</v>
      </c>
      <c r="D27324">
        <v>3</v>
      </c>
      <c r="E27324">
        <v>0</v>
      </c>
      <c r="F27324">
        <v>891</v>
      </c>
    </row>
    <row r="27325" spans="1:6" ht="12.75">
      <c r="A27325" s="2">
        <v>43875.663541666669</v>
      </c>
      <c r="B27325" t="str">
        <f>HYPERLINK("https://twitter.com/dio_nga","@dio_nga")</f>
        <v>@dio_nga</v>
      </c>
      <c r="C27325" t="s">
        <v>12105</v>
      </c>
      <c r="D27325">
        <v>0</v>
      </c>
      <c r="E27325">
        <v>0</v>
      </c>
      <c r="F27325">
        <v>99</v>
      </c>
    </row>
    <row r="27326" spans="1:6" ht="12.75">
      <c r="A27326" s="2">
        <v>43875.663541666669</v>
      </c>
      <c r="B27326" t="str">
        <f>HYPERLINK("https://twitter.com/pecintampus","@pecintampus")</f>
        <v>@pecintampus</v>
      </c>
      <c r="C27326" t="s">
        <v>11095</v>
      </c>
      <c r="D27326">
        <v>39</v>
      </c>
      <c r="E27326">
        <v>0</v>
      </c>
      <c r="F27326">
        <v>69</v>
      </c>
    </row>
    <row r="27327" spans="1:6" ht="12.75">
      <c r="A27327" s="2">
        <v>43875.663530092592</v>
      </c>
      <c r="B27327" t="str">
        <f>HYPERLINK("https://twitter.com/slayyyolay","@slayyyolay")</f>
        <v>@slayyyolay</v>
      </c>
      <c r="C27327" t="s">
        <v>2444</v>
      </c>
      <c r="D27327">
        <v>1457</v>
      </c>
      <c r="E27327">
        <v>0</v>
      </c>
      <c r="F27327">
        <v>1832</v>
      </c>
    </row>
    <row r="27328" spans="1:6" ht="12.75">
      <c r="A27328" s="2">
        <v>43875.663518518515</v>
      </c>
      <c r="B27328" t="str">
        <f>HYPERLINK("https://twitter.com/Rasan2Politik","@Rasan2Politik")</f>
        <v>@Rasan2Politik</v>
      </c>
      <c r="C27328" t="s">
        <v>11095</v>
      </c>
      <c r="D27328">
        <v>39</v>
      </c>
      <c r="E27328">
        <v>0</v>
      </c>
      <c r="F27328">
        <v>891</v>
      </c>
    </row>
    <row r="27329" spans="1:6" ht="12.75">
      <c r="A27329" s="2">
        <v>43875.663414351853</v>
      </c>
      <c r="B27329" t="str">
        <f>HYPERLINK("https://twitter.com/solikin_kudus","@solikin_kudus")</f>
        <v>@solikin_kudus</v>
      </c>
      <c r="C27329" t="s">
        <v>12106</v>
      </c>
      <c r="D27329">
        <v>0</v>
      </c>
      <c r="E27329">
        <v>0</v>
      </c>
      <c r="F27329">
        <v>118</v>
      </c>
    </row>
    <row r="27330" spans="1:6" ht="12.75">
      <c r="A27330" s="2">
        <v>43875.663356481484</v>
      </c>
      <c r="B27330" t="str">
        <f>HYPERLINK("https://twitter.com/lucassilaba","@lucassilaba")</f>
        <v>@lucassilaba</v>
      </c>
      <c r="C27330" t="s">
        <v>11095</v>
      </c>
      <c r="D27330">
        <v>39</v>
      </c>
      <c r="E27330">
        <v>0</v>
      </c>
      <c r="F27330">
        <v>69</v>
      </c>
    </row>
    <row r="27331" spans="1:6" ht="12.75">
      <c r="A27331" s="2">
        <v>43875.66333333333</v>
      </c>
      <c r="B27331" t="str">
        <f>HYPERLINK("https://twitter.com/Yudha28080836","@Yudha28080836")</f>
        <v>@Yudha28080836</v>
      </c>
      <c r="C27331" t="s">
        <v>12107</v>
      </c>
      <c r="D27331">
        <v>0</v>
      </c>
      <c r="E27331">
        <v>0</v>
      </c>
      <c r="F27331">
        <v>176</v>
      </c>
    </row>
    <row r="27332" spans="1:6" ht="12.75">
      <c r="A27332" s="2">
        <v>43875.663321759261</v>
      </c>
      <c r="B27332" t="str">
        <f>HYPERLINK("https://twitter.com/erizal_isa","@erizal_isa")</f>
        <v>@erizal_isa</v>
      </c>
      <c r="C27332" t="s">
        <v>7478</v>
      </c>
      <c r="D27332">
        <v>191</v>
      </c>
      <c r="E27332">
        <v>0</v>
      </c>
      <c r="F27332">
        <v>1513</v>
      </c>
    </row>
    <row r="27333" spans="1:6" ht="12.75">
      <c r="A27333" s="2">
        <v>43875.663298611107</v>
      </c>
      <c r="B27333" t="str">
        <f>HYPERLINK("https://twitter.com/JazuliUstadz","@JazuliUstadz")</f>
        <v>@JazuliUstadz</v>
      </c>
      <c r="C27333" t="s">
        <v>11095</v>
      </c>
      <c r="D27333">
        <v>39</v>
      </c>
      <c r="E27333">
        <v>0</v>
      </c>
      <c r="F27333">
        <v>27</v>
      </c>
    </row>
    <row r="27334" spans="1:6" ht="12.75">
      <c r="A27334" s="2">
        <v>43875.663275462968</v>
      </c>
      <c r="B27334" t="str">
        <f>HYPERLINK("https://twitter.com/Samsudi30913076","@Samsudi30913076")</f>
        <v>@Samsudi30913076</v>
      </c>
      <c r="C27334" t="s">
        <v>2963</v>
      </c>
      <c r="D27334">
        <v>922</v>
      </c>
      <c r="E27334">
        <v>0</v>
      </c>
      <c r="F27334">
        <v>1</v>
      </c>
    </row>
    <row r="27335" spans="1:6" ht="12.75">
      <c r="A27335" s="2">
        <v>43875.663263888884</v>
      </c>
      <c r="B27335" t="str">
        <f>HYPERLINK("https://twitter.com/fathruqsa","@fathruqsa")</f>
        <v>@fathruqsa</v>
      </c>
      <c r="C27335" t="s">
        <v>12108</v>
      </c>
      <c r="D27335">
        <v>0</v>
      </c>
      <c r="E27335">
        <v>0</v>
      </c>
      <c r="F27335">
        <v>703</v>
      </c>
    </row>
    <row r="27336" spans="1:6" ht="12.75">
      <c r="A27336" s="2">
        <v>43875.663217592592</v>
      </c>
      <c r="B27336" t="str">
        <f>HYPERLINK("https://twitter.com/BagusJimmi","@BagusJimmi")</f>
        <v>@BagusJimmi</v>
      </c>
      <c r="C27336" t="s">
        <v>7478</v>
      </c>
      <c r="D27336">
        <v>191</v>
      </c>
      <c r="E27336">
        <v>0</v>
      </c>
      <c r="F27336">
        <v>162</v>
      </c>
    </row>
    <row r="27337" spans="1:6" ht="12.75">
      <c r="A27337" s="2">
        <v>43875.663217592592</v>
      </c>
      <c r="B27337" t="str">
        <f>HYPERLINK("https://twitter.com/bucinfana","@bucinfana")</f>
        <v>@bucinfana</v>
      </c>
      <c r="C27337" t="s">
        <v>2137</v>
      </c>
      <c r="D27337">
        <v>119</v>
      </c>
      <c r="E27337">
        <v>0</v>
      </c>
      <c r="F27337">
        <v>262</v>
      </c>
    </row>
    <row r="27338" spans="1:6" ht="12.75">
      <c r="A27338" s="2">
        <v>43875.663159722222</v>
      </c>
      <c r="B27338" t="str">
        <f>HYPERLINK("https://twitter.com/beritalimacom","@beritalimacom")</f>
        <v>@beritalimacom</v>
      </c>
      <c r="C27338" t="s">
        <v>10785</v>
      </c>
      <c r="D27338">
        <v>0</v>
      </c>
      <c r="E27338">
        <v>0</v>
      </c>
      <c r="F27338">
        <v>1445</v>
      </c>
    </row>
    <row r="27339" spans="1:6" ht="12.75">
      <c r="A27339" s="2">
        <v>43875.663113425922</v>
      </c>
      <c r="B27339" t="str">
        <f>HYPERLINK("https://twitter.com/IrmaHKds","@IrmaHKds")</f>
        <v>@IrmaHKds</v>
      </c>
      <c r="C27339" t="s">
        <v>12109</v>
      </c>
      <c r="D27339">
        <v>0</v>
      </c>
      <c r="E27339">
        <v>2</v>
      </c>
      <c r="F27339">
        <v>3616</v>
      </c>
    </row>
    <row r="27340" spans="1:6" ht="12.75">
      <c r="A27340" s="2">
        <v>43875.663032407407</v>
      </c>
      <c r="B27340" t="str">
        <f>HYPERLINK("https://twitter.com/yanisuparno","@yanisuparno")</f>
        <v>@yanisuparno</v>
      </c>
      <c r="C27340" t="s">
        <v>7478</v>
      </c>
      <c r="D27340">
        <v>191</v>
      </c>
      <c r="E27340">
        <v>0</v>
      </c>
      <c r="F27340">
        <v>459</v>
      </c>
    </row>
    <row r="27341" spans="1:6" ht="12.75">
      <c r="A27341" s="2">
        <v>43875.663020833337</v>
      </c>
      <c r="B27341" t="str">
        <f>HYPERLINK("https://twitter.com/manusiabiasa_16","@manusiabiasa_16")</f>
        <v>@manusiabiasa_16</v>
      </c>
      <c r="C27341" t="s">
        <v>617</v>
      </c>
      <c r="D27341">
        <v>2621</v>
      </c>
      <c r="E27341">
        <v>0</v>
      </c>
      <c r="F27341">
        <v>30</v>
      </c>
    </row>
    <row r="27342" spans="1:6" ht="12.75">
      <c r="A27342" s="2">
        <v>43875.662951388891</v>
      </c>
      <c r="B27342" t="str">
        <f>HYPERLINK("https://twitter.com/Rido_Lizze","@Rido_Lizze")</f>
        <v>@Rido_Lizze</v>
      </c>
      <c r="C27342" t="s">
        <v>12110</v>
      </c>
      <c r="D27342">
        <v>0</v>
      </c>
      <c r="E27342">
        <v>0</v>
      </c>
      <c r="F27342">
        <v>1303</v>
      </c>
    </row>
    <row r="27343" spans="1:6" ht="12.75">
      <c r="A27343" s="2">
        <v>43875.662905092591</v>
      </c>
      <c r="B27343" t="str">
        <f>HYPERLINK("https://twitter.com/rifkaoktaviani7","@rifkaoktaviani7")</f>
        <v>@rifkaoktaviani7</v>
      </c>
      <c r="C27343" t="s">
        <v>11095</v>
      </c>
      <c r="D27343">
        <v>39</v>
      </c>
      <c r="E27343">
        <v>0</v>
      </c>
      <c r="F27343">
        <v>170</v>
      </c>
    </row>
    <row r="27344" spans="1:6" ht="12.75">
      <c r="A27344" s="2">
        <v>43875.662777777776</v>
      </c>
      <c r="B27344" t="str">
        <f>HYPERLINK("https://twitter.com/fourdriver","@fourdriver")</f>
        <v>@fourdriver</v>
      </c>
      <c r="C27344" t="s">
        <v>11435</v>
      </c>
      <c r="D27344">
        <v>4</v>
      </c>
      <c r="E27344">
        <v>0</v>
      </c>
      <c r="F27344">
        <v>77</v>
      </c>
    </row>
    <row r="27345" spans="1:6" ht="12.75">
      <c r="A27345" s="2">
        <v>43875.662731481483</v>
      </c>
      <c r="B27345" t="str">
        <f>HYPERLINK("https://twitter.com/AnakKolong___","@AnakKolong___")</f>
        <v>@AnakKolong___</v>
      </c>
      <c r="C27345" t="s">
        <v>12111</v>
      </c>
      <c r="D27345">
        <v>1</v>
      </c>
      <c r="E27345">
        <v>0</v>
      </c>
      <c r="F27345">
        <v>5296</v>
      </c>
    </row>
    <row r="27346" spans="1:6" ht="12.75">
      <c r="A27346" s="2">
        <v>43875.662719907406</v>
      </c>
      <c r="B27346" t="str">
        <f>HYPERLINK("https://twitter.com/tahufong","@tahufong")</f>
        <v>@tahufong</v>
      </c>
      <c r="C27346" t="s">
        <v>8233</v>
      </c>
      <c r="D27346">
        <v>469</v>
      </c>
      <c r="E27346">
        <v>0</v>
      </c>
      <c r="F27346">
        <v>26</v>
      </c>
    </row>
    <row r="27347" spans="1:6" ht="12.75">
      <c r="A27347" s="2">
        <v>43875.662673611107</v>
      </c>
      <c r="B27347" t="str">
        <f>HYPERLINK("https://twitter.com/bhintungka","@bhintungka")</f>
        <v>@bhintungka</v>
      </c>
      <c r="C27347" t="s">
        <v>12112</v>
      </c>
      <c r="D27347">
        <v>0</v>
      </c>
      <c r="E27347">
        <v>0</v>
      </c>
      <c r="F27347">
        <v>13</v>
      </c>
    </row>
    <row r="27348" spans="1:6" ht="12.75">
      <c r="A27348" s="2">
        <v>43875.662662037037</v>
      </c>
      <c r="B27348" t="str">
        <f>HYPERLINK("https://twitter.com/YoyokSubandriy3","@YoyokSubandriy3")</f>
        <v>@YoyokSubandriy3</v>
      </c>
      <c r="C27348" t="s">
        <v>12113</v>
      </c>
      <c r="D27348">
        <v>2</v>
      </c>
      <c r="E27348">
        <v>0</v>
      </c>
      <c r="F27348">
        <v>1354</v>
      </c>
    </row>
    <row r="27349" spans="1:6" ht="12.75">
      <c r="A27349" s="2">
        <v>43875.662627314814</v>
      </c>
      <c r="B27349" t="str">
        <f>HYPERLINK("https://twitter.com/noDUB3","@noDUB3")</f>
        <v>@noDUB3</v>
      </c>
      <c r="C27349" t="s">
        <v>10096</v>
      </c>
      <c r="D27349">
        <v>135</v>
      </c>
      <c r="E27349">
        <v>0</v>
      </c>
      <c r="F27349">
        <v>116</v>
      </c>
    </row>
    <row r="27350" spans="1:6" ht="12.75">
      <c r="A27350" s="2">
        <v>43875.662604166668</v>
      </c>
      <c r="B27350" t="str">
        <f>HYPERLINK("https://twitter.com/one_zhaq2","@one_zhaq2")</f>
        <v>@one_zhaq2</v>
      </c>
      <c r="C27350" t="s">
        <v>9746</v>
      </c>
      <c r="D27350">
        <v>214</v>
      </c>
      <c r="E27350">
        <v>0</v>
      </c>
      <c r="F27350">
        <v>177</v>
      </c>
    </row>
    <row r="27351" spans="1:6" ht="12.75">
      <c r="A27351" s="2">
        <v>43875.662592592591</v>
      </c>
      <c r="B27351" t="str">
        <f>HYPERLINK("https://twitter.com/marlleenaaa","@marlleenaaa")</f>
        <v>@marlleenaaa</v>
      </c>
      <c r="C27351" t="s">
        <v>2444</v>
      </c>
      <c r="D27351">
        <v>1457</v>
      </c>
      <c r="E27351">
        <v>0</v>
      </c>
      <c r="F27351">
        <v>1</v>
      </c>
    </row>
    <row r="27352" spans="1:6" ht="12.75">
      <c r="A27352" s="2">
        <v>43875.662476851852</v>
      </c>
      <c r="B27352" t="str">
        <f>HYPERLINK("https://twitter.com/fantasae","@fantasae")</f>
        <v>@fantasae</v>
      </c>
      <c r="C27352" t="s">
        <v>2137</v>
      </c>
      <c r="D27352">
        <v>119</v>
      </c>
      <c r="E27352">
        <v>0</v>
      </c>
      <c r="F27352">
        <v>526</v>
      </c>
    </row>
    <row r="27353" spans="1:6" ht="12.75">
      <c r="A27353" s="2">
        <v>43875.662453703699</v>
      </c>
      <c r="B27353" t="str">
        <f>HYPERLINK("https://twitter.com/anniisamhrn","@anniisamhrn")</f>
        <v>@anniisamhrn</v>
      </c>
      <c r="C27353" t="s">
        <v>12042</v>
      </c>
      <c r="D27353">
        <v>3366</v>
      </c>
      <c r="E27353">
        <v>0</v>
      </c>
      <c r="F27353">
        <v>273</v>
      </c>
    </row>
    <row r="27354" spans="1:6" ht="12.75">
      <c r="A27354" s="2">
        <v>43875.66243055556</v>
      </c>
      <c r="B27354" t="str">
        <f>HYPERLINK("https://twitter.com/tebsko","@tebsko")</f>
        <v>@tebsko</v>
      </c>
      <c r="C27354" t="s">
        <v>12114</v>
      </c>
      <c r="D27354">
        <v>0</v>
      </c>
      <c r="E27354">
        <v>0</v>
      </c>
      <c r="F27354">
        <v>85</v>
      </c>
    </row>
    <row r="27355" spans="1:6" ht="12.75">
      <c r="A27355" s="2">
        <v>43875.662407407406</v>
      </c>
      <c r="B27355" t="str">
        <f>HYPERLINK("https://twitter.com/fitch_grafis","@fitch_grafis")</f>
        <v>@fitch_grafis</v>
      </c>
      <c r="C27355" t="s">
        <v>9538</v>
      </c>
      <c r="D27355">
        <v>139</v>
      </c>
      <c r="E27355">
        <v>0</v>
      </c>
      <c r="F27355">
        <v>302</v>
      </c>
    </row>
    <row r="27356" spans="1:6" ht="12.75">
      <c r="A27356" s="2">
        <v>43875.66233796296</v>
      </c>
      <c r="B27356" t="str">
        <f>HYPERLINK("https://twitter.com/antaranews","@antaranews")</f>
        <v>@antaranews</v>
      </c>
      <c r="C27356" t="s">
        <v>12115</v>
      </c>
      <c r="D27356">
        <v>1</v>
      </c>
      <c r="E27356">
        <v>1</v>
      </c>
      <c r="F27356">
        <v>1103211</v>
      </c>
    </row>
    <row r="27357" spans="1:6" ht="12.75">
      <c r="A27357" s="2">
        <v>43875.662291666667</v>
      </c>
      <c r="B27357" t="str">
        <f>HYPERLINK("https://twitter.com/kafiradikal","@kafiradikal")</f>
        <v>@kafiradikal</v>
      </c>
      <c r="C27357" t="s">
        <v>12116</v>
      </c>
      <c r="D27357">
        <v>3</v>
      </c>
      <c r="E27357">
        <v>9</v>
      </c>
      <c r="F27357">
        <v>18880</v>
      </c>
    </row>
    <row r="27358" spans="1:6" ht="12.75">
      <c r="A27358" s="2">
        <v>43875.662268518514</v>
      </c>
      <c r="B27358" t="str">
        <f>HYPERLINK("https://twitter.com/Adit_Montazeri","@Adit_Montazeri")</f>
        <v>@Adit_Montazeri</v>
      </c>
      <c r="C27358" t="s">
        <v>2963</v>
      </c>
      <c r="D27358">
        <v>922</v>
      </c>
      <c r="E27358">
        <v>0</v>
      </c>
      <c r="F27358">
        <v>139</v>
      </c>
    </row>
    <row r="27359" spans="1:6" ht="12.75">
      <c r="A27359" s="2">
        <v>43875.662233796298</v>
      </c>
      <c r="B27359" t="str">
        <f>HYPERLINK("https://twitter.com/robbyday","@robbyday")</f>
        <v>@robbyday</v>
      </c>
      <c r="C27359" t="s">
        <v>5168</v>
      </c>
      <c r="D27359">
        <v>739</v>
      </c>
      <c r="E27359">
        <v>0</v>
      </c>
      <c r="F27359">
        <v>32</v>
      </c>
    </row>
    <row r="27360" spans="1:6" ht="12.75">
      <c r="A27360" s="2">
        <v>43875.662094907406</v>
      </c>
      <c r="B27360" t="str">
        <f>HYPERLINK("https://twitter.com/SOMAJENAR","@SOMAJENAR")</f>
        <v>@SOMAJENAR</v>
      </c>
      <c r="C27360" t="s">
        <v>2963</v>
      </c>
      <c r="D27360">
        <v>922</v>
      </c>
      <c r="E27360">
        <v>0</v>
      </c>
      <c r="F27360">
        <v>1154</v>
      </c>
    </row>
    <row r="27361" spans="1:6" ht="12.75">
      <c r="A27361" s="2">
        <v>43875.662094907406</v>
      </c>
      <c r="B27361" t="str">
        <f>HYPERLINK("https://twitter.com/CumaTukang","@CumaTukang")</f>
        <v>@CumaTukang</v>
      </c>
      <c r="C27361" t="s">
        <v>11095</v>
      </c>
      <c r="D27361">
        <v>39</v>
      </c>
      <c r="E27361">
        <v>0</v>
      </c>
      <c r="F27361">
        <v>116</v>
      </c>
    </row>
    <row r="27362" spans="1:6" ht="12.75">
      <c r="A27362" s="2">
        <v>43875.662048611106</v>
      </c>
      <c r="B27362" t="str">
        <f>HYPERLINK("https://twitter.com/garisterdepan","@garisterdepan")</f>
        <v>@garisterdepan</v>
      </c>
      <c r="C27362" t="s">
        <v>2444</v>
      </c>
      <c r="D27362">
        <v>1457</v>
      </c>
      <c r="E27362">
        <v>0</v>
      </c>
      <c r="F27362">
        <v>799</v>
      </c>
    </row>
    <row r="27363" spans="1:6" ht="12.75">
      <c r="A27363" s="2">
        <v>43875.662002314813</v>
      </c>
      <c r="B27363" t="str">
        <f>HYPERLINK("https://twitter.com/SambatPolitik","@SambatPolitik")</f>
        <v>@SambatPolitik</v>
      </c>
      <c r="C27363" t="s">
        <v>11095</v>
      </c>
      <c r="D27363">
        <v>39</v>
      </c>
      <c r="E27363">
        <v>0</v>
      </c>
      <c r="F27363">
        <v>172</v>
      </c>
    </row>
    <row r="27364" spans="1:6" ht="12.75">
      <c r="A27364" s="2">
        <v>43875.66196759259</v>
      </c>
      <c r="B27364" t="str">
        <f>HYPERLINK("https://twitter.com/TheG_accountant","@TheG_accountant")</f>
        <v>@TheG_accountant</v>
      </c>
      <c r="C27364" t="s">
        <v>12117</v>
      </c>
      <c r="D27364">
        <v>0</v>
      </c>
      <c r="E27364">
        <v>0</v>
      </c>
      <c r="F27364">
        <v>22</v>
      </c>
    </row>
    <row r="27365" spans="1:6" ht="12.75">
      <c r="A27365" s="2">
        <v>43875.66196759259</v>
      </c>
      <c r="B27365" t="str">
        <f>HYPERLINK("https://twitter.com/MarhaenisK","@MarhaenisK")</f>
        <v>@MarhaenisK</v>
      </c>
      <c r="C27365" t="s">
        <v>11095</v>
      </c>
      <c r="D27365">
        <v>39</v>
      </c>
      <c r="E27365">
        <v>0</v>
      </c>
      <c r="F27365">
        <v>152</v>
      </c>
    </row>
    <row r="27366" spans="1:6" ht="12.75">
      <c r="A27366" s="2">
        <v>43875.661863425921</v>
      </c>
      <c r="B27366" t="str">
        <f>HYPERLINK("https://twitter.com/JanEthes_GL","@JanEthes_GL")</f>
        <v>@JanEthes_GL</v>
      </c>
      <c r="C27366" t="s">
        <v>11095</v>
      </c>
      <c r="D27366">
        <v>39</v>
      </c>
      <c r="E27366">
        <v>0</v>
      </c>
      <c r="F27366">
        <v>244</v>
      </c>
    </row>
    <row r="27367" spans="1:6" ht="12.75">
      <c r="A27367" s="2">
        <v>43875.661793981482</v>
      </c>
      <c r="B27367" t="str">
        <f>HYPERLINK("https://twitter.com/alluredoh","@alluredoh")</f>
        <v>@alluredoh</v>
      </c>
      <c r="C27367" t="s">
        <v>2444</v>
      </c>
      <c r="D27367">
        <v>1457</v>
      </c>
      <c r="E27367">
        <v>0</v>
      </c>
      <c r="F27367">
        <v>193</v>
      </c>
    </row>
    <row r="27368" spans="1:6" ht="12.75">
      <c r="A27368" s="2">
        <v>43875.661747685182</v>
      </c>
      <c r="B27368" t="str">
        <f>HYPERLINK("https://twitter.com/Orang2Pintar","@Orang2Pintar")</f>
        <v>@Orang2Pintar</v>
      </c>
      <c r="C27368" t="s">
        <v>11095</v>
      </c>
      <c r="D27368">
        <v>39</v>
      </c>
      <c r="E27368">
        <v>0</v>
      </c>
      <c r="F27368">
        <v>89</v>
      </c>
    </row>
    <row r="27369" spans="1:6" ht="12.75">
      <c r="A27369" s="2">
        <v>43875.661724537036</v>
      </c>
      <c r="B27369" t="str">
        <f>HYPERLINK("https://twitter.com/hys179","@hys179")</f>
        <v>@hys179</v>
      </c>
      <c r="C27369" t="s">
        <v>12118</v>
      </c>
      <c r="D27369">
        <v>0</v>
      </c>
      <c r="E27369">
        <v>2</v>
      </c>
      <c r="F27369">
        <v>686</v>
      </c>
    </row>
    <row r="27370" spans="1:6" ht="12.75">
      <c r="A27370" s="2">
        <v>43875.661666666667</v>
      </c>
      <c r="B27370" t="str">
        <f>HYPERLINK("https://twitter.com/vladinord","@vladinord")</f>
        <v>@vladinord</v>
      </c>
      <c r="C27370" t="s">
        <v>12119</v>
      </c>
      <c r="D27370">
        <v>0</v>
      </c>
      <c r="E27370">
        <v>0</v>
      </c>
      <c r="F27370">
        <v>56</v>
      </c>
    </row>
    <row r="27371" spans="1:6" ht="12.75">
      <c r="A27371" s="2">
        <v>43875.661655092597</v>
      </c>
      <c r="B27371" t="str">
        <f>HYPERLINK("https://twitter.com/heyAaarnoooold","@heyAaarnoooold")</f>
        <v>@heyAaarnoooold</v>
      </c>
      <c r="C27371" t="s">
        <v>11095</v>
      </c>
      <c r="D27371">
        <v>39</v>
      </c>
      <c r="E27371">
        <v>0</v>
      </c>
      <c r="F27371">
        <v>84</v>
      </c>
    </row>
    <row r="27372" spans="1:6" ht="12.75">
      <c r="A27372" s="2">
        <v>43875.661597222221</v>
      </c>
      <c r="B27372" t="str">
        <f>HYPERLINK("https://twitter.com/heychiiaa","@heychiiaa")</f>
        <v>@heychiiaa</v>
      </c>
      <c r="C27372" t="s">
        <v>2137</v>
      </c>
      <c r="D27372">
        <v>119</v>
      </c>
      <c r="E27372">
        <v>0</v>
      </c>
      <c r="F27372">
        <v>1415</v>
      </c>
    </row>
    <row r="27373" spans="1:6" ht="12.75">
      <c r="A27373" s="2">
        <v>43875.661516203705</v>
      </c>
      <c r="B27373" t="str">
        <f>HYPERLINK("https://twitter.com/haisoleil","@haisoleil")</f>
        <v>@haisoleil</v>
      </c>
      <c r="C27373" t="s">
        <v>12113</v>
      </c>
      <c r="D27373">
        <v>2</v>
      </c>
      <c r="E27373">
        <v>0</v>
      </c>
      <c r="F27373">
        <v>5164</v>
      </c>
    </row>
    <row r="27374" spans="1:6" ht="12.75">
      <c r="A27374" s="2">
        <v>43875.661365740743</v>
      </c>
      <c r="B27374" t="str">
        <f>HYPERLINK("https://twitter.com/Yanto78537100","@Yanto78537100")</f>
        <v>@Yanto78537100</v>
      </c>
      <c r="C27374" t="s">
        <v>12120</v>
      </c>
      <c r="D27374">
        <v>1</v>
      </c>
      <c r="E27374">
        <v>2</v>
      </c>
      <c r="F27374">
        <v>3392</v>
      </c>
    </row>
    <row r="27375" spans="1:6" ht="12.75">
      <c r="A27375" s="2">
        <v>43875.661365740743</v>
      </c>
      <c r="B27375" t="str">
        <f>HYPERLINK("https://twitter.com/Lupiyaaaaa","@Lupiyaaaaa")</f>
        <v>@Lupiyaaaaa</v>
      </c>
      <c r="C27375" t="s">
        <v>2444</v>
      </c>
      <c r="D27375">
        <v>1457</v>
      </c>
      <c r="E27375">
        <v>0</v>
      </c>
      <c r="F27375">
        <v>322</v>
      </c>
    </row>
    <row r="27376" spans="1:6" ht="12.75">
      <c r="A27376" s="2">
        <v>43875.66134259259</v>
      </c>
      <c r="B27376" t="str">
        <f>HYPERLINK("https://twitter.com/lotuye3","@lotuye3")</f>
        <v>@lotuye3</v>
      </c>
      <c r="C27376" t="s">
        <v>9746</v>
      </c>
      <c r="D27376">
        <v>214</v>
      </c>
      <c r="E27376">
        <v>0</v>
      </c>
      <c r="F27376">
        <v>891</v>
      </c>
    </row>
    <row r="27377" spans="1:6" ht="12.75">
      <c r="A27377" s="2">
        <v>43875.661319444444</v>
      </c>
      <c r="B27377" t="str">
        <f>HYPERLINK("https://twitter.com/MakaraLatif","@MakaraLatif")</f>
        <v>@MakaraLatif</v>
      </c>
      <c r="C27377" t="s">
        <v>11095</v>
      </c>
      <c r="D27377">
        <v>39</v>
      </c>
      <c r="E27377">
        <v>0</v>
      </c>
      <c r="F27377">
        <v>119</v>
      </c>
    </row>
    <row r="27378" spans="1:6" ht="12.75">
      <c r="A27378" s="2">
        <v>43875.66128472222</v>
      </c>
      <c r="B27378" t="str">
        <f>HYPERLINK("https://twitter.com/roseanne513_","@roseanne513_")</f>
        <v>@roseanne513_</v>
      </c>
      <c r="C27378" t="s">
        <v>2444</v>
      </c>
      <c r="D27378">
        <v>1457</v>
      </c>
      <c r="E27378">
        <v>0</v>
      </c>
      <c r="F27378">
        <v>28</v>
      </c>
    </row>
    <row r="27379" spans="1:6" ht="12.75">
      <c r="A27379" s="2">
        <v>43875.66128472222</v>
      </c>
      <c r="B27379" t="str">
        <f>HYPERLINK("https://twitter.com/wegahkelangann","@wegahkelangann")</f>
        <v>@wegahkelangann</v>
      </c>
      <c r="C27379" t="s">
        <v>2444</v>
      </c>
      <c r="D27379">
        <v>1457</v>
      </c>
      <c r="E27379">
        <v>0</v>
      </c>
      <c r="F27379">
        <v>873</v>
      </c>
    </row>
    <row r="27380" spans="1:6" ht="12.75">
      <c r="A27380" s="2">
        <v>43875.661203703705</v>
      </c>
      <c r="B27380" t="str">
        <f>HYPERLINK("https://twitter.com/IrmaHKds","@IrmaHKds")</f>
        <v>@IrmaHKds</v>
      </c>
      <c r="C27380" t="s">
        <v>12121</v>
      </c>
      <c r="D27380">
        <v>0</v>
      </c>
      <c r="E27380">
        <v>2</v>
      </c>
      <c r="F27380">
        <v>3616</v>
      </c>
    </row>
    <row r="27381" spans="1:6" ht="12.75">
      <c r="A27381" s="2">
        <v>43875.661192129628</v>
      </c>
      <c r="B27381" t="str">
        <f>HYPERLINK("https://twitter.com/AriePutraWijay1","@AriePutraWijay1")</f>
        <v>@AriePutraWijay1</v>
      </c>
      <c r="C27381" t="s">
        <v>12122</v>
      </c>
      <c r="D27381">
        <v>12</v>
      </c>
      <c r="E27381">
        <v>0</v>
      </c>
      <c r="F27381">
        <v>124</v>
      </c>
    </row>
    <row r="27382" spans="1:6" ht="12.75">
      <c r="A27382" s="2">
        <v>43875.661145833335</v>
      </c>
      <c r="B27382" t="str">
        <f>HYPERLINK("https://twitter.com/SeptianiLisma_","@SeptianiLisma_")</f>
        <v>@SeptianiLisma_</v>
      </c>
      <c r="C27382" t="s">
        <v>11095</v>
      </c>
      <c r="D27382">
        <v>39</v>
      </c>
      <c r="E27382">
        <v>0</v>
      </c>
      <c r="F27382">
        <v>848</v>
      </c>
    </row>
    <row r="27383" spans="1:6" ht="12.75">
      <c r="A27383" s="2">
        <v>43875.661099537036</v>
      </c>
      <c r="B27383" t="str">
        <f>HYPERLINK("https://twitter.com/_shofyan_","@_shofyan_")</f>
        <v>@_shofyan_</v>
      </c>
      <c r="C27383" t="s">
        <v>12123</v>
      </c>
      <c r="D27383">
        <v>0</v>
      </c>
      <c r="E27383">
        <v>0</v>
      </c>
      <c r="F27383">
        <v>124</v>
      </c>
    </row>
    <row r="27384" spans="1:6" ht="12.75">
      <c r="A27384" s="2">
        <v>43875.661087962959</v>
      </c>
      <c r="B27384" t="str">
        <f>HYPERLINK("https://twitter.com/biru_segitiga","@biru_segitiga")</f>
        <v>@biru_segitiga</v>
      </c>
      <c r="C27384" t="s">
        <v>11095</v>
      </c>
      <c r="D27384">
        <v>39</v>
      </c>
      <c r="E27384">
        <v>0</v>
      </c>
      <c r="F27384">
        <v>119</v>
      </c>
    </row>
    <row r="27385" spans="1:6" ht="12.75">
      <c r="A27385" s="2">
        <v>43875.66106481482</v>
      </c>
      <c r="B27385" t="str">
        <f>HYPERLINK("https://twitter.com/melprmtsr","@melprmtsr")</f>
        <v>@melprmtsr</v>
      </c>
      <c r="C27385" t="s">
        <v>8233</v>
      </c>
      <c r="D27385">
        <v>469</v>
      </c>
      <c r="E27385">
        <v>0</v>
      </c>
      <c r="F27385">
        <v>47</v>
      </c>
    </row>
    <row r="27386" spans="1:6" ht="12.75">
      <c r="A27386" s="2">
        <v>43875.66106481482</v>
      </c>
      <c r="B27386" t="str">
        <f>HYPERLINK("https://twitter.com/RiskhaAmalia_","@RiskhaAmalia_")</f>
        <v>@RiskhaAmalia_</v>
      </c>
      <c r="C27386" t="s">
        <v>11095</v>
      </c>
      <c r="D27386">
        <v>39</v>
      </c>
      <c r="E27386">
        <v>0</v>
      </c>
      <c r="F27386">
        <v>1513</v>
      </c>
    </row>
    <row r="27387" spans="1:6" ht="12.75">
      <c r="A27387" s="2">
        <v>43875.661041666666</v>
      </c>
      <c r="B27387" t="str">
        <f>HYPERLINK("https://twitter.com/black__valley1","@black__valley1")</f>
        <v>@black__valley1</v>
      </c>
      <c r="C27387" t="s">
        <v>6901</v>
      </c>
      <c r="D27387">
        <v>1</v>
      </c>
      <c r="E27387">
        <v>0</v>
      </c>
      <c r="F27387">
        <v>7598</v>
      </c>
    </row>
    <row r="27388" spans="1:6" ht="12.75">
      <c r="A27388" s="2">
        <v>43875.661030092597</v>
      </c>
      <c r="B27388" t="str">
        <f>HYPERLINK("https://twitter.com/Awkoakwoakwok","@Awkoakwoakwok")</f>
        <v>@Awkoakwoakwok</v>
      </c>
      <c r="C27388" t="s">
        <v>9021</v>
      </c>
      <c r="D27388">
        <v>193</v>
      </c>
      <c r="E27388">
        <v>0</v>
      </c>
      <c r="F27388">
        <v>199</v>
      </c>
    </row>
    <row r="27389" spans="1:6" ht="12.75">
      <c r="A27389" s="2">
        <v>43875.661030092597</v>
      </c>
      <c r="B27389" t="str">
        <f>HYPERLINK("https://twitter.com/boy_185","@boy_185")</f>
        <v>@boy_185</v>
      </c>
      <c r="C27389" t="s">
        <v>12124</v>
      </c>
      <c r="D27389">
        <v>0</v>
      </c>
      <c r="E27389">
        <v>0</v>
      </c>
      <c r="F27389">
        <v>31</v>
      </c>
    </row>
    <row r="27390" spans="1:6" ht="12.75">
      <c r="A27390" s="2">
        <v>43875.660960648151</v>
      </c>
      <c r="B27390" t="str">
        <f>HYPERLINK("https://twitter.com/jagoayam9","@jagoayam9")</f>
        <v>@jagoayam9</v>
      </c>
      <c r="C27390" t="s">
        <v>11095</v>
      </c>
      <c r="D27390">
        <v>39</v>
      </c>
      <c r="E27390">
        <v>0</v>
      </c>
      <c r="F27390">
        <v>76</v>
      </c>
    </row>
    <row r="27391" spans="1:6" ht="12.75">
      <c r="A27391" s="2">
        <v>43875.660949074074</v>
      </c>
      <c r="B27391" t="str">
        <f>HYPERLINK("https://twitter.com/CintiaDewi_","@CintiaDewi_")</f>
        <v>@CintiaDewi_</v>
      </c>
      <c r="C27391" t="s">
        <v>2444</v>
      </c>
      <c r="D27391">
        <v>1457</v>
      </c>
      <c r="E27391">
        <v>0</v>
      </c>
      <c r="F27391">
        <v>335</v>
      </c>
    </row>
    <row r="27392" spans="1:6" ht="12.75">
      <c r="A27392" s="2">
        <v>43875.660879629635</v>
      </c>
      <c r="B27392" t="str">
        <f>HYPERLINK("https://twitter.com/brigademaling","@brigademaling")</f>
        <v>@brigademaling</v>
      </c>
      <c r="C27392" t="s">
        <v>11625</v>
      </c>
      <c r="D27392">
        <v>2</v>
      </c>
      <c r="E27392">
        <v>0</v>
      </c>
      <c r="F27392">
        <v>816</v>
      </c>
    </row>
    <row r="27393" spans="1:6" ht="12.75">
      <c r="A27393" s="2">
        <v>43875.660879629635</v>
      </c>
      <c r="B27393" t="str">
        <f>HYPERLINK("https://twitter.com/AlberaD5","@AlberaD5")</f>
        <v>@AlberaD5</v>
      </c>
      <c r="C27393" t="s">
        <v>12125</v>
      </c>
      <c r="D27393">
        <v>1</v>
      </c>
      <c r="E27393">
        <v>1</v>
      </c>
      <c r="F27393">
        <v>1634</v>
      </c>
    </row>
    <row r="27394" spans="1:6" ht="12.75">
      <c r="A27394" s="2">
        <v>43875.660833333328</v>
      </c>
      <c r="B27394" t="str">
        <f>HYPERLINK("https://twitter.com/cwylinxx","@cwylinxx")</f>
        <v>@cwylinxx</v>
      </c>
      <c r="C27394" t="s">
        <v>2444</v>
      </c>
      <c r="D27394">
        <v>1457</v>
      </c>
      <c r="E27394">
        <v>0</v>
      </c>
      <c r="F27394">
        <v>435</v>
      </c>
    </row>
    <row r="27395" spans="1:6" ht="12.75">
      <c r="A27395" s="2">
        <v>43875.660821759258</v>
      </c>
      <c r="B27395" t="str">
        <f>HYPERLINK("https://twitter.com/purwoto_sugeng","@purwoto_sugeng")</f>
        <v>@purwoto_sugeng</v>
      </c>
      <c r="C27395" t="s">
        <v>7478</v>
      </c>
      <c r="D27395">
        <v>191</v>
      </c>
      <c r="E27395">
        <v>0</v>
      </c>
      <c r="F27395">
        <v>144</v>
      </c>
    </row>
    <row r="27396" spans="1:6" ht="12.75">
      <c r="A27396" s="2">
        <v>43875.660798611112</v>
      </c>
      <c r="B27396" t="str">
        <f>HYPERLINK("https://twitter.com/SulthanaSayyidi","@SulthanaSayyidi")</f>
        <v>@SulthanaSayyidi</v>
      </c>
      <c r="C27396" t="s">
        <v>5168</v>
      </c>
      <c r="D27396">
        <v>739</v>
      </c>
      <c r="E27396">
        <v>0</v>
      </c>
      <c r="F27396">
        <v>597</v>
      </c>
    </row>
    <row r="27397" spans="1:6" ht="12.75">
      <c r="A27397" s="2">
        <v>43875.660763888889</v>
      </c>
      <c r="B27397" t="str">
        <f>HYPERLINK("https://twitter.com/AripinIpiiin","@AripinIpiiin")</f>
        <v>@AripinIpiiin</v>
      </c>
      <c r="C27397" t="s">
        <v>11095</v>
      </c>
      <c r="D27397">
        <v>39</v>
      </c>
      <c r="E27397">
        <v>0</v>
      </c>
      <c r="F27397">
        <v>60</v>
      </c>
    </row>
    <row r="27398" spans="1:6" ht="12.75">
      <c r="A27398" s="2">
        <v>43875.660671296297</v>
      </c>
      <c r="B27398" t="str">
        <f>HYPERLINK("https://twitter.com/OzilAmro","@OzilAmro")</f>
        <v>@OzilAmro</v>
      </c>
      <c r="C27398" t="s">
        <v>7478</v>
      </c>
      <c r="D27398">
        <v>191</v>
      </c>
      <c r="E27398">
        <v>0</v>
      </c>
      <c r="F27398">
        <v>53</v>
      </c>
    </row>
    <row r="27399" spans="1:6" ht="12.75">
      <c r="A27399" s="2">
        <v>43875.660590277781</v>
      </c>
      <c r="B27399" t="str">
        <f>HYPERLINK("https://twitter.com/mannschaft89","@mannschaft89")</f>
        <v>@mannschaft89</v>
      </c>
      <c r="C27399" t="s">
        <v>12126</v>
      </c>
      <c r="D27399">
        <v>0</v>
      </c>
      <c r="E27399">
        <v>0</v>
      </c>
      <c r="F27399">
        <v>126</v>
      </c>
    </row>
    <row r="27400" spans="1:6" ht="12.75">
      <c r="A27400" s="2">
        <v>43875.660555555558</v>
      </c>
      <c r="B27400" t="str">
        <f>HYPERLINK("https://twitter.com/lucyluciaaa","@lucyluciaaa")</f>
        <v>@lucyluciaaa</v>
      </c>
      <c r="C27400" t="s">
        <v>11095</v>
      </c>
      <c r="D27400">
        <v>39</v>
      </c>
      <c r="E27400">
        <v>0</v>
      </c>
      <c r="F27400">
        <v>92</v>
      </c>
    </row>
    <row r="27401" spans="1:6" ht="12.75">
      <c r="A27401" s="2">
        <v>43875.660543981481</v>
      </c>
      <c r="B27401" t="str">
        <f>HYPERLINK("https://twitter.com/Iyo63579667","@Iyo63579667")</f>
        <v>@Iyo63579667</v>
      </c>
      <c r="C27401" t="s">
        <v>12127</v>
      </c>
      <c r="D27401">
        <v>0</v>
      </c>
      <c r="E27401">
        <v>0</v>
      </c>
      <c r="F27401">
        <v>87</v>
      </c>
    </row>
    <row r="27402" spans="1:6" ht="12.75">
      <c r="A27402" s="2">
        <v>43875.660543981481</v>
      </c>
      <c r="B27402" t="str">
        <f>HYPERLINK("https://twitter.com/cewecanci","@cewecanci")</f>
        <v>@cewecanci</v>
      </c>
      <c r="C27402" t="s">
        <v>2444</v>
      </c>
      <c r="D27402">
        <v>1457</v>
      </c>
      <c r="E27402">
        <v>0</v>
      </c>
      <c r="F27402">
        <v>178</v>
      </c>
    </row>
    <row r="27403" spans="1:6" ht="12.75">
      <c r="A27403" s="2">
        <v>43875.660520833335</v>
      </c>
      <c r="B27403" t="str">
        <f>HYPERLINK("https://twitter.com/lalawon1617","@lalawon1617")</f>
        <v>@lalawon1617</v>
      </c>
      <c r="C27403" t="s">
        <v>2444</v>
      </c>
      <c r="D27403">
        <v>1457</v>
      </c>
      <c r="E27403">
        <v>0</v>
      </c>
      <c r="F27403">
        <v>61</v>
      </c>
    </row>
    <row r="27404" spans="1:6" ht="12.75">
      <c r="A27404" s="2">
        <v>43875.660520833335</v>
      </c>
      <c r="B27404" t="str">
        <f>HYPERLINK("https://twitter.com/walkingput","@walkingput")</f>
        <v>@walkingput</v>
      </c>
      <c r="C27404" t="s">
        <v>7478</v>
      </c>
      <c r="D27404">
        <v>191</v>
      </c>
      <c r="E27404">
        <v>0</v>
      </c>
      <c r="F27404">
        <v>42</v>
      </c>
    </row>
    <row r="27405" spans="1:6" ht="12.75">
      <c r="A27405" s="2">
        <v>43875.660393518519</v>
      </c>
      <c r="B27405" t="str">
        <f>HYPERLINK("https://twitter.com/Siipelupa1","@Siipelupa1")</f>
        <v>@Siipelupa1</v>
      </c>
      <c r="C27405" t="s">
        <v>2444</v>
      </c>
      <c r="D27405">
        <v>1457</v>
      </c>
      <c r="E27405">
        <v>0</v>
      </c>
      <c r="F27405">
        <v>255</v>
      </c>
    </row>
    <row r="27406" spans="1:6" ht="12.75">
      <c r="A27406" s="2">
        <v>43875.660324074073</v>
      </c>
      <c r="B27406" t="str">
        <f>HYPERLINK("https://twitter.com/DedehKu95290849","@DedehKu95290849")</f>
        <v>@DedehKu95290849</v>
      </c>
      <c r="C27406" t="s">
        <v>10109</v>
      </c>
      <c r="D27406">
        <v>25</v>
      </c>
      <c r="E27406">
        <v>0</v>
      </c>
      <c r="F27406">
        <v>415</v>
      </c>
    </row>
    <row r="27407" spans="1:6" ht="12.75">
      <c r="A27407" s="2">
        <v>43875.660324074073</v>
      </c>
      <c r="B27407" t="str">
        <f>HYPERLINK("https://twitter.com/syahidm_id","@syahidm_id")</f>
        <v>@syahidm_id</v>
      </c>
      <c r="C27407" t="s">
        <v>12128</v>
      </c>
      <c r="D27407">
        <v>0</v>
      </c>
      <c r="E27407">
        <v>0</v>
      </c>
      <c r="F27407">
        <v>632</v>
      </c>
    </row>
    <row r="27408" spans="1:6" ht="12.75">
      <c r="A27408" s="2">
        <v>43875.660312499997</v>
      </c>
      <c r="B27408" t="str">
        <f>HYPERLINK("https://twitter.com/SKawanen","@SKawanen")</f>
        <v>@SKawanen</v>
      </c>
      <c r="C27408" t="s">
        <v>11095</v>
      </c>
      <c r="D27408">
        <v>39</v>
      </c>
      <c r="E27408">
        <v>0</v>
      </c>
      <c r="F27408">
        <v>69</v>
      </c>
    </row>
    <row r="27409" spans="1:6" ht="12.75">
      <c r="A27409" s="2">
        <v>43875.660300925927</v>
      </c>
      <c r="B27409" t="str">
        <f>HYPERLINK("https://twitter.com/LamanKita_","@LamanKita_")</f>
        <v>@LamanKita_</v>
      </c>
      <c r="C27409" t="s">
        <v>12129</v>
      </c>
      <c r="D27409">
        <v>0</v>
      </c>
      <c r="E27409">
        <v>1</v>
      </c>
      <c r="F27409">
        <v>139615</v>
      </c>
    </row>
    <row r="27410" spans="1:6" ht="12.75">
      <c r="A27410" s="2">
        <v>43875.660300925927</v>
      </c>
      <c r="B27410" t="str">
        <f>HYPERLINK("https://twitter.com/KiyaiNdeso","@KiyaiNdeso")</f>
        <v>@KiyaiNdeso</v>
      </c>
      <c r="C27410" t="s">
        <v>11095</v>
      </c>
      <c r="D27410">
        <v>39</v>
      </c>
      <c r="E27410">
        <v>0</v>
      </c>
      <c r="F27410">
        <v>34</v>
      </c>
    </row>
    <row r="27411" spans="1:6" ht="12.75">
      <c r="A27411" s="2">
        <v>43875.660300925927</v>
      </c>
      <c r="B27411" t="str">
        <f t="shared" ref="B27411:B27414" si="360">HYPERLINK("https://twitter.com/LamanKita_","@LamanKita_")</f>
        <v>@LamanKita_</v>
      </c>
      <c r="C27411" t="s">
        <v>12130</v>
      </c>
      <c r="D27411">
        <v>0</v>
      </c>
      <c r="E27411">
        <v>0</v>
      </c>
      <c r="F27411">
        <v>139615</v>
      </c>
    </row>
    <row r="27412" spans="1:6" ht="12.75">
      <c r="A27412" s="2">
        <v>43875.66028935185</v>
      </c>
      <c r="B27412" t="str">
        <f t="shared" si="360"/>
        <v>@LamanKita_</v>
      </c>
      <c r="C27412" t="s">
        <v>12131</v>
      </c>
      <c r="D27412">
        <v>0</v>
      </c>
      <c r="E27412">
        <v>0</v>
      </c>
      <c r="F27412">
        <v>139615</v>
      </c>
    </row>
    <row r="27413" spans="1:6" ht="12.75">
      <c r="A27413" s="2">
        <v>43875.66028935185</v>
      </c>
      <c r="B27413" t="str">
        <f t="shared" si="360"/>
        <v>@LamanKita_</v>
      </c>
      <c r="C27413" t="s">
        <v>12132</v>
      </c>
      <c r="D27413">
        <v>0</v>
      </c>
      <c r="E27413">
        <v>0</v>
      </c>
      <c r="F27413">
        <v>139615</v>
      </c>
    </row>
    <row r="27414" spans="1:6" ht="12.75">
      <c r="A27414" s="2">
        <v>43875.660277777773</v>
      </c>
      <c r="B27414" t="str">
        <f t="shared" si="360"/>
        <v>@LamanKita_</v>
      </c>
      <c r="C27414" t="s">
        <v>12133</v>
      </c>
      <c r="D27414">
        <v>0</v>
      </c>
      <c r="E27414">
        <v>0</v>
      </c>
      <c r="F27414">
        <v>139615</v>
      </c>
    </row>
    <row r="27415" spans="1:6" ht="12.75">
      <c r="A27415" s="2">
        <v>43875.660127314812</v>
      </c>
      <c r="B27415" t="str">
        <f>HYPERLINK("https://twitter.com/Joungsanang","@Joungsanang")</f>
        <v>@Joungsanang</v>
      </c>
      <c r="C27415" t="s">
        <v>9096</v>
      </c>
      <c r="D27415">
        <v>193</v>
      </c>
      <c r="E27415">
        <v>0</v>
      </c>
      <c r="F27415">
        <v>213</v>
      </c>
    </row>
    <row r="27416" spans="1:6" ht="12.75">
      <c r="A27416" s="2">
        <v>43875.660092592589</v>
      </c>
      <c r="B27416" t="str">
        <f>HYPERLINK("https://twitter.com/MbakyatiYati","@MbakyatiYati")</f>
        <v>@MbakyatiYati</v>
      </c>
      <c r="C27416" t="s">
        <v>11095</v>
      </c>
      <c r="D27416">
        <v>39</v>
      </c>
      <c r="E27416">
        <v>0</v>
      </c>
      <c r="F27416">
        <v>89</v>
      </c>
    </row>
    <row r="27417" spans="1:6" ht="12.75">
      <c r="A27417" s="2">
        <v>43875.65997685185</v>
      </c>
      <c r="B27417" t="str">
        <f>HYPERLINK("https://twitter.com/RIKIInteristi12","@RIKIInteristi12")</f>
        <v>@RIKIInteristi12</v>
      </c>
      <c r="C27417" t="s">
        <v>7478</v>
      </c>
      <c r="D27417">
        <v>191</v>
      </c>
      <c r="E27417">
        <v>0</v>
      </c>
      <c r="F27417">
        <v>320</v>
      </c>
    </row>
    <row r="27418" spans="1:6" ht="12.75">
      <c r="A27418" s="2">
        <v>43875.659837962958</v>
      </c>
      <c r="B27418" t="str">
        <f>HYPERLINK("https://twitter.com/v3isvthree","@v3isvthree")</f>
        <v>@v3isvthree</v>
      </c>
      <c r="C27418" t="s">
        <v>9746</v>
      </c>
      <c r="D27418">
        <v>214</v>
      </c>
      <c r="E27418">
        <v>0</v>
      </c>
      <c r="F27418">
        <v>822</v>
      </c>
    </row>
    <row r="27419" spans="1:6" ht="12.75">
      <c r="A27419" s="2">
        <v>43875.659837962958</v>
      </c>
      <c r="B27419" t="str">
        <f>HYPERLINK("https://twitter.com/TonySta39144743","@TonySta39144743")</f>
        <v>@TonySta39144743</v>
      </c>
      <c r="C27419" t="s">
        <v>9082</v>
      </c>
      <c r="D27419">
        <v>29</v>
      </c>
      <c r="E27419">
        <v>0</v>
      </c>
      <c r="F27419">
        <v>24</v>
      </c>
    </row>
    <row r="27420" spans="1:6" ht="12.75">
      <c r="A27420" s="2">
        <v>43875.659791666665</v>
      </c>
      <c r="B27420" t="str">
        <f>HYPERLINK("https://twitter.com/PengamatAmat123","@PengamatAmat123")</f>
        <v>@PengamatAmat123</v>
      </c>
      <c r="C27420" t="s">
        <v>11095</v>
      </c>
      <c r="D27420">
        <v>39</v>
      </c>
      <c r="E27420">
        <v>0</v>
      </c>
      <c r="F27420">
        <v>92</v>
      </c>
    </row>
    <row r="27421" spans="1:6" ht="12.75">
      <c r="A27421" s="2">
        <v>43875.659780092596</v>
      </c>
      <c r="B27421" t="str">
        <f>HYPERLINK("https://twitter.com/suaradotcom","@suaradotcom")</f>
        <v>@suaradotcom</v>
      </c>
      <c r="C27421" t="s">
        <v>12134</v>
      </c>
      <c r="D27421">
        <v>0</v>
      </c>
      <c r="E27421">
        <v>0</v>
      </c>
      <c r="F27421">
        <v>24154</v>
      </c>
    </row>
    <row r="27422" spans="1:6" ht="12.75">
      <c r="A27422" s="2">
        <v>43875.659733796296</v>
      </c>
      <c r="B27422" t="str">
        <f>HYPERLINK("https://twitter.com/dunungsetiya","@dunungsetiya")</f>
        <v>@dunungsetiya</v>
      </c>
      <c r="C27422" t="s">
        <v>10422</v>
      </c>
      <c r="D27422">
        <v>90</v>
      </c>
      <c r="E27422">
        <v>0</v>
      </c>
      <c r="F27422">
        <v>186</v>
      </c>
    </row>
    <row r="27423" spans="1:6" ht="12.75">
      <c r="A27423" s="2">
        <v>43875.659699074073</v>
      </c>
      <c r="B27423" t="str">
        <f>HYPERLINK("https://twitter.com/AliAljabar1","@AliAljabar1")</f>
        <v>@AliAljabar1</v>
      </c>
      <c r="C27423" t="s">
        <v>7478</v>
      </c>
      <c r="D27423">
        <v>191</v>
      </c>
      <c r="E27423">
        <v>0</v>
      </c>
      <c r="F27423">
        <v>344</v>
      </c>
    </row>
    <row r="27424" spans="1:6" ht="12.75">
      <c r="A27424" s="2">
        <v>43875.659363425926</v>
      </c>
      <c r="B27424" t="str">
        <f>HYPERLINK("https://twitter.com/viviandeella","@viviandeella")</f>
        <v>@viviandeella</v>
      </c>
      <c r="C27424" t="s">
        <v>12135</v>
      </c>
      <c r="D27424">
        <v>0</v>
      </c>
      <c r="E27424">
        <v>2</v>
      </c>
      <c r="F27424">
        <v>9353</v>
      </c>
    </row>
    <row r="27425" spans="1:6" ht="12.75">
      <c r="A27425" s="2">
        <v>43875.659305555557</v>
      </c>
      <c r="B27425" t="str">
        <f>HYPERLINK("https://twitter.com/mokhamadtoha2","@mokhamadtoha2")</f>
        <v>@mokhamadtoha2</v>
      </c>
      <c r="C27425" t="s">
        <v>2963</v>
      </c>
      <c r="D27425">
        <v>922</v>
      </c>
      <c r="E27425">
        <v>0</v>
      </c>
      <c r="F27425">
        <v>1384</v>
      </c>
    </row>
    <row r="27426" spans="1:6" ht="12.75">
      <c r="A27426" s="2">
        <v>43875.659236111111</v>
      </c>
      <c r="B27426" t="str">
        <f>HYPERLINK("https://twitter.com/benzgabriel","@benzgabriel")</f>
        <v>@benzgabriel</v>
      </c>
      <c r="C27426" t="s">
        <v>12136</v>
      </c>
      <c r="D27426">
        <v>0</v>
      </c>
      <c r="E27426">
        <v>0</v>
      </c>
      <c r="F27426">
        <v>702</v>
      </c>
    </row>
    <row r="27427" spans="1:6" ht="12.75">
      <c r="A27427" s="2">
        <v>43875.659201388888</v>
      </c>
      <c r="B27427" t="str">
        <f>HYPERLINK("https://twitter.com/ameliaTH10","@ameliaTH10")</f>
        <v>@ameliaTH10</v>
      </c>
      <c r="C27427" t="s">
        <v>11095</v>
      </c>
      <c r="D27427">
        <v>39</v>
      </c>
      <c r="E27427">
        <v>0</v>
      </c>
      <c r="F27427">
        <v>53</v>
      </c>
    </row>
    <row r="27428" spans="1:6" ht="12.75">
      <c r="A27428" s="2">
        <v>43875.659178240741</v>
      </c>
      <c r="B27428" t="str">
        <f>HYPERLINK("https://twitter.com/AdhiNdhut","@AdhiNdhut")</f>
        <v>@AdhiNdhut</v>
      </c>
      <c r="C27428" t="s">
        <v>2444</v>
      </c>
      <c r="D27428">
        <v>1457</v>
      </c>
      <c r="E27428">
        <v>0</v>
      </c>
      <c r="F27428">
        <v>193</v>
      </c>
    </row>
    <row r="27429" spans="1:6" ht="12.75">
      <c r="A27429" s="2">
        <v>43875.65898148148</v>
      </c>
      <c r="B27429" t="str">
        <f>HYPERLINK("https://twitter.com/gavinnb666","@gavinnb666")</f>
        <v>@gavinnb666</v>
      </c>
      <c r="C27429" t="s">
        <v>12137</v>
      </c>
      <c r="D27429">
        <v>0</v>
      </c>
      <c r="E27429">
        <v>1</v>
      </c>
      <c r="F27429">
        <v>92</v>
      </c>
    </row>
    <row r="27430" spans="1:6" ht="12.75">
      <c r="A27430" s="2">
        <v>43875.658958333333</v>
      </c>
      <c r="B27430" t="str">
        <f>HYPERLINK("https://twitter.com/dyah_sulistya","@dyah_sulistya")</f>
        <v>@dyah_sulistya</v>
      </c>
      <c r="C27430" t="s">
        <v>2444</v>
      </c>
      <c r="D27430">
        <v>1457</v>
      </c>
      <c r="E27430">
        <v>0</v>
      </c>
      <c r="F27430">
        <v>115</v>
      </c>
    </row>
    <row r="27431" spans="1:6" ht="12.75">
      <c r="A27431" s="2">
        <v>43875.658634259264</v>
      </c>
      <c r="B27431" t="str">
        <f>HYPERLINK("https://twitter.com/JosephClen","@JosephClen")</f>
        <v>@JosephClen</v>
      </c>
      <c r="C27431" t="s">
        <v>2444</v>
      </c>
      <c r="D27431">
        <v>1457</v>
      </c>
      <c r="E27431">
        <v>0</v>
      </c>
      <c r="F27431">
        <v>300</v>
      </c>
    </row>
    <row r="27432" spans="1:6" ht="12.75">
      <c r="A27432" s="2">
        <v>43875.658576388887</v>
      </c>
      <c r="B27432" t="str">
        <f>HYPERLINK("https://twitter.com/NanaSuryacandra","@NanaSuryacandra")</f>
        <v>@NanaSuryacandra</v>
      </c>
      <c r="C27432" t="s">
        <v>7478</v>
      </c>
      <c r="D27432">
        <v>191</v>
      </c>
      <c r="E27432">
        <v>0</v>
      </c>
      <c r="F27432">
        <v>701</v>
      </c>
    </row>
    <row r="27433" spans="1:6" ht="12.75">
      <c r="A27433" s="2">
        <v>43875.658564814818</v>
      </c>
      <c r="B27433" t="str">
        <f>HYPERLINK("https://twitter.com/qhusaeni72","@qhusaeni72")</f>
        <v>@qhusaeni72</v>
      </c>
      <c r="C27433" t="s">
        <v>12138</v>
      </c>
      <c r="D27433">
        <v>1</v>
      </c>
      <c r="E27433">
        <v>0</v>
      </c>
      <c r="F27433">
        <v>804</v>
      </c>
    </row>
    <row r="27434" spans="1:6" ht="12.75">
      <c r="A27434" s="2">
        <v>43875.658506944441</v>
      </c>
      <c r="B27434" t="str">
        <f>HYPERLINK("https://twitter.com/e100ss","@e100ss")</f>
        <v>@e100ss</v>
      </c>
      <c r="C27434" t="s">
        <v>10785</v>
      </c>
      <c r="D27434">
        <v>2</v>
      </c>
      <c r="E27434">
        <v>5</v>
      </c>
      <c r="F27434">
        <v>779217</v>
      </c>
    </row>
    <row r="27435" spans="1:6" ht="12.75">
      <c r="A27435" s="2">
        <v>43875.658460648148</v>
      </c>
      <c r="B27435" t="str">
        <f t="shared" ref="B27435:B27438" si="361">HYPERLINK("https://twitter.com/LamanKita_","@LamanKita_")</f>
        <v>@LamanKita_</v>
      </c>
      <c r="C27435" t="s">
        <v>12139</v>
      </c>
      <c r="D27435">
        <v>0</v>
      </c>
      <c r="E27435">
        <v>1</v>
      </c>
      <c r="F27435">
        <v>139615</v>
      </c>
    </row>
    <row r="27436" spans="1:6" ht="12.75">
      <c r="A27436" s="2">
        <v>43875.658449074079</v>
      </c>
      <c r="B27436" t="str">
        <f t="shared" si="361"/>
        <v>@LamanKita_</v>
      </c>
      <c r="C27436" t="s">
        <v>12140</v>
      </c>
      <c r="D27436">
        <v>0</v>
      </c>
      <c r="E27436">
        <v>0</v>
      </c>
      <c r="F27436">
        <v>139615</v>
      </c>
    </row>
    <row r="27437" spans="1:6" ht="12.75">
      <c r="A27437" s="2">
        <v>43875.658437499995</v>
      </c>
      <c r="B27437" t="str">
        <f t="shared" si="361"/>
        <v>@LamanKita_</v>
      </c>
      <c r="C27437" t="s">
        <v>12141</v>
      </c>
      <c r="D27437">
        <v>0</v>
      </c>
      <c r="E27437">
        <v>0</v>
      </c>
      <c r="F27437">
        <v>139615</v>
      </c>
    </row>
    <row r="27438" spans="1:6" ht="12.75">
      <c r="A27438" s="2">
        <v>43875.658425925925</v>
      </c>
      <c r="B27438" t="str">
        <f t="shared" si="361"/>
        <v>@LamanKita_</v>
      </c>
      <c r="C27438" t="s">
        <v>12142</v>
      </c>
      <c r="D27438">
        <v>0</v>
      </c>
      <c r="E27438">
        <v>0</v>
      </c>
      <c r="F27438">
        <v>139615</v>
      </c>
    </row>
    <row r="27439" spans="1:6" ht="12.75">
      <c r="A27439" s="2">
        <v>43875.658402777779</v>
      </c>
      <c r="B27439" t="str">
        <f>HYPERLINK("https://twitter.com/dianleica","@dianleica")</f>
        <v>@dianleica</v>
      </c>
      <c r="C27439" t="s">
        <v>5168</v>
      </c>
      <c r="D27439">
        <v>739</v>
      </c>
      <c r="E27439">
        <v>0</v>
      </c>
      <c r="F27439">
        <v>217</v>
      </c>
    </row>
    <row r="27440" spans="1:6" ht="12.75">
      <c r="A27440" s="2">
        <v>43875.658333333333</v>
      </c>
      <c r="B27440" t="str">
        <f>HYPERLINK("https://twitter.com/seliyos","@seliyos")</f>
        <v>@seliyos</v>
      </c>
      <c r="C27440" t="s">
        <v>2444</v>
      </c>
      <c r="D27440">
        <v>1457</v>
      </c>
      <c r="E27440">
        <v>0</v>
      </c>
      <c r="F27440">
        <v>820</v>
      </c>
    </row>
    <row r="27441" spans="1:6" ht="12.75">
      <c r="A27441" s="2">
        <v>43875.658310185187</v>
      </c>
      <c r="B27441" t="str">
        <f>HYPERLINK("https://twitter.com/henymenik1","@henymenik1")</f>
        <v>@henymenik1</v>
      </c>
      <c r="C27441" t="s">
        <v>12143</v>
      </c>
      <c r="D27441">
        <v>6</v>
      </c>
      <c r="E27441">
        <v>0</v>
      </c>
      <c r="F27441">
        <v>352</v>
      </c>
    </row>
    <row r="27442" spans="1:6" ht="12.75">
      <c r="A27442" s="2">
        <v>43875.658263888894</v>
      </c>
      <c r="B27442" t="str">
        <f>HYPERLINK("https://twitter.com/sanggyuniew","@sanggyuniew")</f>
        <v>@sanggyuniew</v>
      </c>
      <c r="C27442" t="s">
        <v>2137</v>
      </c>
      <c r="D27442">
        <v>119</v>
      </c>
      <c r="E27442">
        <v>0</v>
      </c>
      <c r="F27442">
        <v>118</v>
      </c>
    </row>
    <row r="27443" spans="1:6" ht="12.75">
      <c r="A27443" s="2">
        <v>43875.65824074074</v>
      </c>
      <c r="B27443" t="str">
        <f>HYPERLINK("https://twitter.com/OzilAmro","@OzilAmro")</f>
        <v>@OzilAmro</v>
      </c>
      <c r="C27443" t="s">
        <v>12144</v>
      </c>
      <c r="D27443">
        <v>9</v>
      </c>
      <c r="E27443">
        <v>0</v>
      </c>
      <c r="F27443">
        <v>53</v>
      </c>
    </row>
    <row r="27444" spans="1:6" ht="12.75">
      <c r="A27444" s="2">
        <v>43875.658101851848</v>
      </c>
      <c r="B27444" t="str">
        <f>HYPERLINK("https://twitter.com/CS_Ramdhani","@CS_Ramdhani")</f>
        <v>@CS_Ramdhani</v>
      </c>
      <c r="C27444" t="s">
        <v>8881</v>
      </c>
      <c r="D27444">
        <v>276</v>
      </c>
      <c r="E27444">
        <v>0</v>
      </c>
      <c r="F27444">
        <v>366</v>
      </c>
    </row>
    <row r="27445" spans="1:6" ht="12.75">
      <c r="A27445" s="2">
        <v>43875.658078703702</v>
      </c>
      <c r="B27445" t="str">
        <f>HYPERLINK("https://twitter.com/soehartoGL","@soehartoGL")</f>
        <v>@soehartoGL</v>
      </c>
      <c r="C27445" t="s">
        <v>12145</v>
      </c>
      <c r="D27445">
        <v>0</v>
      </c>
      <c r="E27445">
        <v>0</v>
      </c>
      <c r="F27445">
        <v>15771</v>
      </c>
    </row>
    <row r="27446" spans="1:6" ht="12.75">
      <c r="A27446" s="2">
        <v>43875.658032407402</v>
      </c>
      <c r="B27446" t="str">
        <f>HYPERLINK("https://twitter.com/LukmanHariant11","@LukmanHariant11")</f>
        <v>@LukmanHariant11</v>
      </c>
      <c r="C27446" t="s">
        <v>2963</v>
      </c>
      <c r="D27446">
        <v>922</v>
      </c>
      <c r="E27446">
        <v>0</v>
      </c>
      <c r="F27446">
        <v>267</v>
      </c>
    </row>
    <row r="27447" spans="1:6" ht="12.75">
      <c r="A27447" s="2">
        <v>43875.658032407402</v>
      </c>
      <c r="B27447" t="str">
        <f>HYPERLINK("https://twitter.com/addin_cf","@addin_cf")</f>
        <v>@addin_cf</v>
      </c>
      <c r="C27447" t="s">
        <v>2444</v>
      </c>
      <c r="D27447">
        <v>1457</v>
      </c>
      <c r="E27447">
        <v>0</v>
      </c>
      <c r="F27447">
        <v>81</v>
      </c>
    </row>
    <row r="27448" spans="1:6" ht="12.75">
      <c r="A27448" s="2">
        <v>43875.657835648148</v>
      </c>
      <c r="B27448" t="str">
        <f>HYPERLINK("https://twitter.com/hys179","@hys179")</f>
        <v>@hys179</v>
      </c>
      <c r="C27448" t="s">
        <v>12146</v>
      </c>
      <c r="D27448">
        <v>0</v>
      </c>
      <c r="E27448">
        <v>4</v>
      </c>
      <c r="F27448">
        <v>686</v>
      </c>
    </row>
    <row r="27449" spans="1:6" ht="12.75">
      <c r="A27449" s="2">
        <v>43875.657766203702</v>
      </c>
      <c r="B27449" t="str">
        <f>HYPERLINK("https://twitter.com/AbyAlan_","@AbyAlan_")</f>
        <v>@AbyAlan_</v>
      </c>
      <c r="C27449" t="s">
        <v>12147</v>
      </c>
      <c r="D27449">
        <v>0</v>
      </c>
      <c r="E27449">
        <v>0</v>
      </c>
      <c r="F27449">
        <v>429</v>
      </c>
    </row>
    <row r="27450" spans="1:6" ht="12.75">
      <c r="A27450" s="2">
        <v>43875.657731481479</v>
      </c>
      <c r="B27450" t="str">
        <f>HYPERLINK("https://twitter.com/soursallyyey","@soursallyyey")</f>
        <v>@soursallyyey</v>
      </c>
      <c r="C27450" t="s">
        <v>2444</v>
      </c>
      <c r="D27450">
        <v>1457</v>
      </c>
      <c r="E27450">
        <v>0</v>
      </c>
      <c r="F27450">
        <v>192</v>
      </c>
    </row>
    <row r="27451" spans="1:6" ht="12.75">
      <c r="A27451" s="2">
        <v>43875.657685185186</v>
      </c>
      <c r="B27451" t="str">
        <f>HYPERLINK("https://twitter.com/iyaakubucin97","@iyaakubucin97")</f>
        <v>@iyaakubucin97</v>
      </c>
      <c r="C27451" t="s">
        <v>2444</v>
      </c>
      <c r="D27451">
        <v>1457</v>
      </c>
      <c r="E27451">
        <v>0</v>
      </c>
      <c r="F27451">
        <v>372</v>
      </c>
    </row>
    <row r="27452" spans="1:6" ht="12.75">
      <c r="A27452" s="2">
        <v>43875.657662037032</v>
      </c>
      <c r="B27452" t="str">
        <f>HYPERLINK("https://twitter.com/_MandoW_","@_MandoW_")</f>
        <v>@_MandoW_</v>
      </c>
      <c r="C27452" t="s">
        <v>9746</v>
      </c>
      <c r="D27452">
        <v>214</v>
      </c>
      <c r="E27452">
        <v>0</v>
      </c>
      <c r="F27452">
        <v>52</v>
      </c>
    </row>
    <row r="27453" spans="1:6" ht="12.75">
      <c r="A27453" s="2">
        <v>43875.657638888893</v>
      </c>
      <c r="B27453" t="str">
        <f>HYPERLINK("https://twitter.com/AchmadAswin","@AchmadAswin")</f>
        <v>@AchmadAswin</v>
      </c>
      <c r="C27453" t="s">
        <v>12148</v>
      </c>
      <c r="D27453">
        <v>2</v>
      </c>
      <c r="E27453">
        <v>0</v>
      </c>
      <c r="F27453">
        <v>172</v>
      </c>
    </row>
    <row r="27454" spans="1:6" ht="12.75">
      <c r="A27454" s="2">
        <v>43875.657453703709</v>
      </c>
      <c r="B27454" t="str">
        <f>HYPERLINK("https://twitter.com/JengIjo","@JengIjo")</f>
        <v>@JengIjo</v>
      </c>
      <c r="C27454" t="s">
        <v>2963</v>
      </c>
      <c r="D27454">
        <v>922</v>
      </c>
      <c r="E27454">
        <v>0</v>
      </c>
      <c r="F27454">
        <v>144</v>
      </c>
    </row>
    <row r="27455" spans="1:6" ht="12.75">
      <c r="A27455" s="2">
        <v>43875.657418981486</v>
      </c>
      <c r="B27455" t="str">
        <f>HYPERLINK("https://twitter.com/LatifManaf","@LatifManaf")</f>
        <v>@LatifManaf</v>
      </c>
      <c r="C27455" t="s">
        <v>175</v>
      </c>
      <c r="D27455">
        <v>5280</v>
      </c>
      <c r="E27455">
        <v>0</v>
      </c>
      <c r="F27455">
        <v>128</v>
      </c>
    </row>
    <row r="27456" spans="1:6" ht="12.75">
      <c r="A27456" s="2">
        <v>43875.657395833332</v>
      </c>
      <c r="B27456" t="str">
        <f>HYPERLINK("https://twitter.com/pipin_puri","@pipin_puri")</f>
        <v>@pipin_puri</v>
      </c>
      <c r="C27456" t="s">
        <v>12149</v>
      </c>
      <c r="D27456">
        <v>1</v>
      </c>
      <c r="E27456">
        <v>0</v>
      </c>
      <c r="F27456">
        <v>587</v>
      </c>
    </row>
    <row r="27457" spans="1:6" ht="12.75">
      <c r="A27457" s="2">
        <v>43875.657384259262</v>
      </c>
      <c r="B27457" t="str">
        <f>HYPERLINK("https://twitter.com/prakosha","@prakosha")</f>
        <v>@prakosha</v>
      </c>
      <c r="C27457" t="s">
        <v>12150</v>
      </c>
      <c r="D27457">
        <v>0</v>
      </c>
      <c r="E27457">
        <v>0</v>
      </c>
      <c r="F27457">
        <v>30</v>
      </c>
    </row>
    <row r="27458" spans="1:6" ht="12.75">
      <c r="A27458" s="2">
        <v>43875.657268518524</v>
      </c>
      <c r="B27458" t="str">
        <f>HYPERLINK("https://twitter.com/arismunan","@arismunan")</f>
        <v>@arismunan</v>
      </c>
      <c r="C27458" t="s">
        <v>2444</v>
      </c>
      <c r="D27458">
        <v>1457</v>
      </c>
      <c r="E27458">
        <v>0</v>
      </c>
      <c r="F27458">
        <v>712</v>
      </c>
    </row>
    <row r="27459" spans="1:6" ht="12.75">
      <c r="A27459" s="2">
        <v>43875.65724537037</v>
      </c>
      <c r="B27459" t="str">
        <f>HYPERLINK("https://twitter.com/sabekfhn","@sabekfhn")</f>
        <v>@sabekfhn</v>
      </c>
      <c r="C27459" t="s">
        <v>5168</v>
      </c>
      <c r="D27459">
        <v>739</v>
      </c>
      <c r="E27459">
        <v>0</v>
      </c>
      <c r="F27459">
        <v>60</v>
      </c>
    </row>
    <row r="27460" spans="1:6" ht="12.75">
      <c r="A27460" s="2">
        <v>43875.657199074078</v>
      </c>
      <c r="B27460" t="str">
        <f>HYPERLINK("https://twitter.com/LaingenLisa","@LaingenLisa")</f>
        <v>@LaingenLisa</v>
      </c>
      <c r="C27460" t="s">
        <v>2144</v>
      </c>
      <c r="D27460">
        <v>76</v>
      </c>
      <c r="E27460">
        <v>0</v>
      </c>
      <c r="F27460">
        <v>2824</v>
      </c>
    </row>
    <row r="27461" spans="1:6" ht="12.75">
      <c r="A27461" s="2">
        <v>43875.657106481478</v>
      </c>
      <c r="B27461" t="str">
        <f t="shared" ref="B27461:B27462" si="362">HYPERLINK("https://twitter.com/covesiacom","@covesiacom")</f>
        <v>@covesiacom</v>
      </c>
      <c r="C27461" t="s">
        <v>12151</v>
      </c>
      <c r="D27461">
        <v>0</v>
      </c>
      <c r="E27461">
        <v>0</v>
      </c>
      <c r="F27461">
        <v>6183</v>
      </c>
    </row>
    <row r="27462" spans="1:6" ht="12.75">
      <c r="A27462" s="2">
        <v>43875.657094907408</v>
      </c>
      <c r="B27462" t="str">
        <f t="shared" si="362"/>
        <v>@covesiacom</v>
      </c>
      <c r="C27462" t="s">
        <v>12152</v>
      </c>
      <c r="D27462">
        <v>0</v>
      </c>
      <c r="E27462">
        <v>0</v>
      </c>
      <c r="F27462">
        <v>6183</v>
      </c>
    </row>
    <row r="27463" spans="1:6" ht="12.75">
      <c r="A27463" s="2">
        <v>43875.657060185185</v>
      </c>
      <c r="B27463" t="str">
        <f>HYPERLINK("https://twitter.com/maulidioasmr","@maulidioasmr")</f>
        <v>@maulidioasmr</v>
      </c>
      <c r="C27463" t="s">
        <v>7478</v>
      </c>
      <c r="D27463">
        <v>191</v>
      </c>
      <c r="E27463">
        <v>0</v>
      </c>
      <c r="F27463">
        <v>1316</v>
      </c>
    </row>
    <row r="27464" spans="1:6" ht="12.75">
      <c r="A27464" s="2">
        <v>43875.657048611116</v>
      </c>
      <c r="B27464" t="str">
        <f>HYPERLINK("https://twitter.com/covesiacom","@covesiacom")</f>
        <v>@covesiacom</v>
      </c>
      <c r="C27464" t="s">
        <v>12153</v>
      </c>
      <c r="D27464">
        <v>0</v>
      </c>
      <c r="E27464">
        <v>0</v>
      </c>
      <c r="F27464">
        <v>6183</v>
      </c>
    </row>
    <row r="27465" spans="1:6" ht="12.75">
      <c r="A27465" s="2">
        <v>43875.656990740739</v>
      </c>
      <c r="B27465" t="str">
        <f>HYPERLINK("https://twitter.com/Jackelkotjo","@Jackelkotjo")</f>
        <v>@Jackelkotjo</v>
      </c>
      <c r="C27465" t="s">
        <v>10237</v>
      </c>
      <c r="D27465">
        <v>48</v>
      </c>
      <c r="E27465">
        <v>0</v>
      </c>
      <c r="F27465">
        <v>607</v>
      </c>
    </row>
    <row r="27466" spans="1:6" ht="12.75">
      <c r="A27466" s="2">
        <v>43875.656967592593</v>
      </c>
      <c r="B27466" t="str">
        <f>HYPERLINK("https://twitter.com/tikodwiantoro","@tikodwiantoro")</f>
        <v>@tikodwiantoro</v>
      </c>
      <c r="C27466" t="s">
        <v>11435</v>
      </c>
      <c r="D27466">
        <v>4</v>
      </c>
      <c r="E27466">
        <v>0</v>
      </c>
      <c r="F27466">
        <v>610</v>
      </c>
    </row>
    <row r="27467" spans="1:6" ht="12.75">
      <c r="A27467" s="2">
        <v>43875.656956018516</v>
      </c>
      <c r="B27467" t="str">
        <f>HYPERLINK("https://twitter.com/Abughazy_2007","@Abughazy_2007")</f>
        <v>@Abughazy_2007</v>
      </c>
      <c r="C27467" t="s">
        <v>9746</v>
      </c>
      <c r="D27467">
        <v>214</v>
      </c>
      <c r="E27467">
        <v>0</v>
      </c>
      <c r="F27467">
        <v>521</v>
      </c>
    </row>
    <row r="27468" spans="1:6" ht="12.75">
      <c r="A27468" s="2">
        <v>43875.65693287037</v>
      </c>
      <c r="B27468" t="str">
        <f>HYPERLINK("https://twitter.com/Skinyrn1873","@Skinyrn1873")</f>
        <v>@Skinyrn1873</v>
      </c>
      <c r="C27468" t="s">
        <v>2137</v>
      </c>
      <c r="D27468">
        <v>119</v>
      </c>
      <c r="E27468">
        <v>0</v>
      </c>
      <c r="F27468">
        <v>1027</v>
      </c>
    </row>
    <row r="27469" spans="1:6" ht="12.75">
      <c r="A27469" s="2">
        <v>43875.656875000001</v>
      </c>
      <c r="B27469" t="str">
        <f>HYPERLINK("https://twitter.com/imunicious","@imunicious")</f>
        <v>@imunicious</v>
      </c>
      <c r="C27469" t="s">
        <v>2444</v>
      </c>
      <c r="D27469">
        <v>1457</v>
      </c>
      <c r="E27469">
        <v>0</v>
      </c>
      <c r="F27469">
        <v>313</v>
      </c>
    </row>
    <row r="27470" spans="1:6" ht="12.75">
      <c r="A27470" s="2">
        <v>43875.656863425931</v>
      </c>
      <c r="B27470" t="str">
        <f>HYPERLINK("https://twitter.com/IrmaHKds","@IrmaHKds")</f>
        <v>@IrmaHKds</v>
      </c>
      <c r="C27470" t="s">
        <v>12154</v>
      </c>
      <c r="D27470">
        <v>0</v>
      </c>
      <c r="E27470">
        <v>3</v>
      </c>
      <c r="F27470">
        <v>3616</v>
      </c>
    </row>
    <row r="27471" spans="1:6" ht="12.75">
      <c r="A27471" s="2">
        <v>43875.656817129631</v>
      </c>
      <c r="B27471" t="str">
        <f>HYPERLINK("https://twitter.com/KiranaMelya","@KiranaMelya")</f>
        <v>@KiranaMelya</v>
      </c>
      <c r="C27471" t="s">
        <v>12155</v>
      </c>
      <c r="D27471">
        <v>0</v>
      </c>
      <c r="E27471">
        <v>0</v>
      </c>
      <c r="F27471">
        <v>3</v>
      </c>
    </row>
    <row r="27472" spans="1:6" ht="12.75">
      <c r="A27472" s="2">
        <v>43875.656574074077</v>
      </c>
      <c r="B27472" t="str">
        <f>HYPERLINK("https://twitter.com/Rido_Lizze","@Rido_Lizze")</f>
        <v>@Rido_Lizze</v>
      </c>
      <c r="C27472" t="s">
        <v>12156</v>
      </c>
      <c r="D27472">
        <v>0</v>
      </c>
      <c r="E27472">
        <v>0</v>
      </c>
      <c r="F27472">
        <v>1303</v>
      </c>
    </row>
    <row r="27473" spans="1:6" ht="12.75">
      <c r="A27473" s="2">
        <v>43875.656550925924</v>
      </c>
      <c r="B27473" t="str">
        <f t="shared" ref="B27473:B27475" si="363">HYPERLINK("https://twitter.com/modenmilenial","@modenmilenial")</f>
        <v>@modenmilenial</v>
      </c>
      <c r="C27473" t="s">
        <v>12157</v>
      </c>
      <c r="D27473">
        <v>3</v>
      </c>
      <c r="E27473">
        <v>3</v>
      </c>
      <c r="F27473">
        <v>188</v>
      </c>
    </row>
    <row r="27474" spans="1:6" ht="12.75">
      <c r="A27474" s="2">
        <v>43875.656539351854</v>
      </c>
      <c r="B27474" t="str">
        <f t="shared" si="363"/>
        <v>@modenmilenial</v>
      </c>
      <c r="C27474" t="s">
        <v>12158</v>
      </c>
      <c r="D27474">
        <v>3</v>
      </c>
      <c r="E27474">
        <v>3</v>
      </c>
      <c r="F27474">
        <v>188</v>
      </c>
    </row>
    <row r="27475" spans="1:6" ht="12.75">
      <c r="A27475" s="2">
        <v>43875.656539351854</v>
      </c>
      <c r="B27475" t="str">
        <f t="shared" si="363"/>
        <v>@modenmilenial</v>
      </c>
      <c r="C27475" t="s">
        <v>12159</v>
      </c>
      <c r="D27475">
        <v>3</v>
      </c>
      <c r="E27475">
        <v>3</v>
      </c>
      <c r="F27475">
        <v>188</v>
      </c>
    </row>
    <row r="27476" spans="1:6" ht="12.75">
      <c r="A27476" s="2">
        <v>43875.6565162037</v>
      </c>
      <c r="B27476" t="str">
        <f>HYPERLINK("https://twitter.com/IstiadiAgung","@IstiadiAgung")</f>
        <v>@IstiadiAgung</v>
      </c>
      <c r="C27476" t="s">
        <v>10422</v>
      </c>
      <c r="D27476">
        <v>90</v>
      </c>
      <c r="E27476">
        <v>0</v>
      </c>
      <c r="F27476">
        <v>6033</v>
      </c>
    </row>
    <row r="27477" spans="1:6" ht="12.75">
      <c r="A27477" s="2">
        <v>43875.6565162037</v>
      </c>
      <c r="B27477" t="str">
        <f t="shared" ref="B27477:B27478" si="364">HYPERLINK("https://twitter.com/modenmilenial","@modenmilenial")</f>
        <v>@modenmilenial</v>
      </c>
      <c r="C27477" t="s">
        <v>12160</v>
      </c>
      <c r="D27477">
        <v>3</v>
      </c>
      <c r="E27477">
        <v>3</v>
      </c>
      <c r="F27477">
        <v>188</v>
      </c>
    </row>
    <row r="27478" spans="1:6" ht="12.75">
      <c r="A27478" s="2">
        <v>43875.656504629631</v>
      </c>
      <c r="B27478" t="str">
        <f t="shared" si="364"/>
        <v>@modenmilenial</v>
      </c>
      <c r="C27478" t="s">
        <v>12161</v>
      </c>
      <c r="D27478">
        <v>3</v>
      </c>
      <c r="E27478">
        <v>3</v>
      </c>
      <c r="F27478">
        <v>188</v>
      </c>
    </row>
    <row r="27479" spans="1:6" ht="12.75">
      <c r="A27479" s="2">
        <v>43875.656504629631</v>
      </c>
      <c r="B27479" t="str">
        <f>HYPERLINK("https://twitter.com/wahidgumlnarto","@wahidgumlnarto")</f>
        <v>@wahidgumlnarto</v>
      </c>
      <c r="C27479" t="s">
        <v>11287</v>
      </c>
      <c r="D27479">
        <v>3</v>
      </c>
      <c r="E27479">
        <v>0</v>
      </c>
      <c r="F27479">
        <v>34</v>
      </c>
    </row>
    <row r="27480" spans="1:6" ht="12.75">
      <c r="A27480" s="2">
        <v>43875.656504629631</v>
      </c>
      <c r="B27480" t="str">
        <f>HYPERLINK("https://twitter.com/modenmilenial","@modenmilenial")</f>
        <v>@modenmilenial</v>
      </c>
      <c r="C27480" t="s">
        <v>12162</v>
      </c>
      <c r="D27480">
        <v>39</v>
      </c>
      <c r="E27480">
        <v>39</v>
      </c>
      <c r="F27480">
        <v>188</v>
      </c>
    </row>
    <row r="27481" spans="1:6" ht="12.75">
      <c r="A27481" s="2">
        <v>43875.656469907408</v>
      </c>
      <c r="B27481" t="str">
        <f>HYPERLINK("https://twitter.com/sayurkoool","@sayurkoool")</f>
        <v>@sayurkoool</v>
      </c>
      <c r="C27481" t="s">
        <v>5168</v>
      </c>
      <c r="D27481">
        <v>739</v>
      </c>
      <c r="E27481">
        <v>0</v>
      </c>
      <c r="F27481">
        <v>887</v>
      </c>
    </row>
    <row r="27482" spans="1:6" ht="12.75">
      <c r="A27482" s="2">
        <v>43875.656423611115</v>
      </c>
      <c r="B27482" t="str">
        <f>HYPERLINK("https://twitter.com/celotehthp","@celotehthp")</f>
        <v>@celotehthp</v>
      </c>
      <c r="C27482" t="s">
        <v>12163</v>
      </c>
      <c r="D27482">
        <v>0</v>
      </c>
      <c r="E27482">
        <v>0</v>
      </c>
      <c r="F27482">
        <v>5700</v>
      </c>
    </row>
    <row r="27483" spans="1:6" ht="12.75">
      <c r="A27483" s="2">
        <v>43875.656354166669</v>
      </c>
      <c r="B27483" t="str">
        <f>HYPERLINK("https://twitter.com/_sevenbillions","@_sevenbillions")</f>
        <v>@_sevenbillions</v>
      </c>
      <c r="C27483" t="s">
        <v>5168</v>
      </c>
      <c r="D27483">
        <v>739</v>
      </c>
      <c r="E27483">
        <v>0</v>
      </c>
      <c r="F27483">
        <v>975</v>
      </c>
    </row>
    <row r="27484" spans="1:6" ht="12.75">
      <c r="A27484" s="2">
        <v>43875.656354166669</v>
      </c>
      <c r="B27484" t="str">
        <f>HYPERLINK("https://twitter.com/Mustaqim_kcor","@Mustaqim_kcor")</f>
        <v>@Mustaqim_kcor</v>
      </c>
      <c r="C27484" t="s">
        <v>2444</v>
      </c>
      <c r="D27484">
        <v>1457</v>
      </c>
      <c r="E27484">
        <v>0</v>
      </c>
      <c r="F27484">
        <v>1</v>
      </c>
    </row>
    <row r="27485" spans="1:6" ht="12.75">
      <c r="A27485" s="2">
        <v>43875.656215277777</v>
      </c>
      <c r="B27485" t="str">
        <f>HYPERLINK("https://twitter.com/AgusbudiSs79","@AgusbudiSs79")</f>
        <v>@AgusbudiSs79</v>
      </c>
      <c r="C27485" t="s">
        <v>7478</v>
      </c>
      <c r="D27485">
        <v>191</v>
      </c>
      <c r="E27485">
        <v>0</v>
      </c>
      <c r="F27485">
        <v>310</v>
      </c>
    </row>
    <row r="27486" spans="1:6" ht="12.75">
      <c r="A27486" s="2">
        <v>43875.656192129631</v>
      </c>
      <c r="B27486" t="str">
        <f>HYPERLINK("https://twitter.com/WSuparmo","@WSuparmo")</f>
        <v>@WSuparmo</v>
      </c>
      <c r="C27486" t="s">
        <v>12164</v>
      </c>
      <c r="D27486">
        <v>0</v>
      </c>
      <c r="E27486">
        <v>0</v>
      </c>
      <c r="F27486">
        <v>48</v>
      </c>
    </row>
    <row r="27487" spans="1:6" ht="12.75">
      <c r="A27487" s="2">
        <v>43875.656145833331</v>
      </c>
      <c r="B27487" t="str">
        <f>HYPERLINK("https://twitter.com/yaenalarfin","@yaenalarfin")</f>
        <v>@yaenalarfin</v>
      </c>
      <c r="C27487" t="s">
        <v>10462</v>
      </c>
      <c r="D27487">
        <v>235</v>
      </c>
      <c r="E27487">
        <v>0</v>
      </c>
      <c r="F27487">
        <v>378</v>
      </c>
    </row>
    <row r="27488" spans="1:6" ht="12.75">
      <c r="A27488" s="2">
        <v>43875.656076388885</v>
      </c>
      <c r="B27488" t="str">
        <f>HYPERLINK("https://twitter.com/Rani_SRYN","@Rani_SRYN")</f>
        <v>@Rani_SRYN</v>
      </c>
      <c r="C27488" t="s">
        <v>2444</v>
      </c>
      <c r="D27488">
        <v>1457</v>
      </c>
      <c r="E27488">
        <v>0</v>
      </c>
      <c r="F27488">
        <v>1090</v>
      </c>
    </row>
    <row r="27489" spans="1:6" ht="12.75">
      <c r="A27489" s="2">
        <v>43875.655787037038</v>
      </c>
      <c r="B27489" t="str">
        <f>HYPERLINK("https://twitter.com/dkfvldksl_","@dkfvldksl_")</f>
        <v>@dkfvldksl_</v>
      </c>
      <c r="C27489" t="s">
        <v>2444</v>
      </c>
      <c r="D27489">
        <v>1457</v>
      </c>
      <c r="E27489">
        <v>0</v>
      </c>
      <c r="F27489">
        <v>615</v>
      </c>
    </row>
    <row r="27490" spans="1:6" ht="12.75">
      <c r="A27490" s="2">
        <v>43875.655752314815</v>
      </c>
      <c r="B27490" t="str">
        <f>HYPERLINK("https://twitter.com/yogaaach","@yogaaach")</f>
        <v>@yogaaach</v>
      </c>
      <c r="C27490" t="s">
        <v>2444</v>
      </c>
      <c r="D27490">
        <v>1457</v>
      </c>
      <c r="E27490">
        <v>0</v>
      </c>
      <c r="F27490">
        <v>160</v>
      </c>
    </row>
    <row r="27491" spans="1:6" ht="12.75">
      <c r="A27491" s="2">
        <v>43875.655706018515</v>
      </c>
      <c r="B27491" t="str">
        <f>HYPERLINK("https://twitter.com/annisasurya30","@annisasurya30")</f>
        <v>@annisasurya30</v>
      </c>
      <c r="C27491" t="s">
        <v>2444</v>
      </c>
      <c r="D27491">
        <v>1457</v>
      </c>
      <c r="E27491">
        <v>0</v>
      </c>
      <c r="F27491">
        <v>497</v>
      </c>
    </row>
    <row r="27492" spans="1:6" ht="12.75">
      <c r="A27492" s="2">
        <v>43875.655590277776</v>
      </c>
      <c r="B27492" t="str">
        <f>HYPERLINK("https://twitter.com/aintyournoir","@aintyournoir")</f>
        <v>@aintyournoir</v>
      </c>
      <c r="C27492" t="s">
        <v>10300</v>
      </c>
      <c r="D27492">
        <v>33</v>
      </c>
      <c r="E27492">
        <v>0</v>
      </c>
      <c r="F27492">
        <v>75</v>
      </c>
    </row>
    <row r="27493" spans="1:6" ht="12.75">
      <c r="A27493" s="2">
        <v>43875.65552083333</v>
      </c>
      <c r="B27493" t="str">
        <f>HYPERLINK("https://twitter.com/liaaakyu","@liaaakyu")</f>
        <v>@liaaakyu</v>
      </c>
      <c r="C27493" t="s">
        <v>2444</v>
      </c>
      <c r="D27493">
        <v>1457</v>
      </c>
      <c r="E27493">
        <v>0</v>
      </c>
      <c r="F27493">
        <v>1518</v>
      </c>
    </row>
    <row r="27494" spans="1:6" ht="12.75">
      <c r="A27494" s="2">
        <v>43875.655509259261</v>
      </c>
      <c r="B27494" t="str">
        <f>HYPERLINK("https://twitter.com/Abughazy_2007","@Abughazy_2007")</f>
        <v>@Abughazy_2007</v>
      </c>
      <c r="C27494" t="s">
        <v>10096</v>
      </c>
      <c r="D27494">
        <v>135</v>
      </c>
      <c r="E27494">
        <v>0</v>
      </c>
      <c r="F27494">
        <v>521</v>
      </c>
    </row>
    <row r="27495" spans="1:6" ht="12.75">
      <c r="A27495" s="2">
        <v>43875.655509259261</v>
      </c>
      <c r="B27495" t="str">
        <f>HYPERLINK("https://twitter.com/juraganmakarony","@juraganmakarony")</f>
        <v>@juraganmakarony</v>
      </c>
      <c r="C27495" t="s">
        <v>2444</v>
      </c>
      <c r="D27495">
        <v>1457</v>
      </c>
      <c r="E27495">
        <v>0</v>
      </c>
      <c r="F27495">
        <v>757</v>
      </c>
    </row>
    <row r="27496" spans="1:6" ht="12.75">
      <c r="A27496" s="2">
        <v>43875.655231481476</v>
      </c>
      <c r="B27496" t="str">
        <f>HYPERLINK("https://twitter.com/gulfbae","@gulfbae")</f>
        <v>@gulfbae</v>
      </c>
      <c r="C27496" t="s">
        <v>2444</v>
      </c>
      <c r="D27496">
        <v>1457</v>
      </c>
      <c r="E27496">
        <v>0</v>
      </c>
      <c r="F27496">
        <v>848</v>
      </c>
    </row>
    <row r="27497" spans="1:6" ht="12.75">
      <c r="A27497" s="2">
        <v>43875.655231481476</v>
      </c>
      <c r="B27497" t="str">
        <f>HYPERLINK("https://twitter.com/otephhh","@otephhh")</f>
        <v>@otephhh</v>
      </c>
      <c r="C27497" t="s">
        <v>2444</v>
      </c>
      <c r="D27497">
        <v>1457</v>
      </c>
      <c r="E27497">
        <v>0</v>
      </c>
      <c r="F27497">
        <v>364</v>
      </c>
    </row>
    <row r="27498" spans="1:6" ht="12.75">
      <c r="A27498" s="2">
        <v>43875.655150462961</v>
      </c>
      <c r="B27498" t="str">
        <f>HYPERLINK("https://twitter.com/Sketsa_","@Sketsa_")</f>
        <v>@Sketsa_</v>
      </c>
      <c r="C27498" t="s">
        <v>10096</v>
      </c>
      <c r="D27498">
        <v>135</v>
      </c>
      <c r="E27498">
        <v>0</v>
      </c>
      <c r="F27498">
        <v>424</v>
      </c>
    </row>
    <row r="27499" spans="1:6" ht="12.75">
      <c r="A27499" s="2">
        <v>43875.655150462961</v>
      </c>
      <c r="B27499" t="str">
        <f>HYPERLINK("https://twitter.com/nico_rizardo","@nico_rizardo")</f>
        <v>@nico_rizardo</v>
      </c>
      <c r="C27499" t="s">
        <v>9962</v>
      </c>
      <c r="D27499">
        <v>31</v>
      </c>
      <c r="E27499">
        <v>0</v>
      </c>
      <c r="F27499">
        <v>519</v>
      </c>
    </row>
    <row r="27500" spans="1:6" ht="12.75">
      <c r="A27500" s="2">
        <v>43875.655092592591</v>
      </c>
      <c r="B27500" t="str">
        <f>HYPERLINK("https://twitter.com/FitriyaahRA","@FitriyaahRA")</f>
        <v>@FitriyaahRA</v>
      </c>
      <c r="C27500" t="s">
        <v>2444</v>
      </c>
      <c r="D27500">
        <v>1457</v>
      </c>
      <c r="E27500">
        <v>0</v>
      </c>
      <c r="F27500">
        <v>815</v>
      </c>
    </row>
    <row r="27501" spans="1:6" ht="12.75">
      <c r="A27501" s="2">
        <v>43875.655046296291</v>
      </c>
      <c r="B27501" t="str">
        <f>HYPERLINK("https://twitter.com/fajarabdrhmn","@fajarabdrhmn")</f>
        <v>@fajarabdrhmn</v>
      </c>
      <c r="C27501" t="s">
        <v>12165</v>
      </c>
      <c r="D27501">
        <v>0</v>
      </c>
      <c r="E27501">
        <v>0</v>
      </c>
      <c r="F27501">
        <v>163</v>
      </c>
    </row>
    <row r="27502" spans="1:6" ht="12.75">
      <c r="A27502" s="2">
        <v>43875.655023148152</v>
      </c>
      <c r="B27502" t="str">
        <f>HYPERLINK("https://twitter.com/haisoleil","@haisoleil")</f>
        <v>@haisoleil</v>
      </c>
      <c r="C27502" t="s">
        <v>2444</v>
      </c>
      <c r="D27502">
        <v>1457</v>
      </c>
      <c r="E27502">
        <v>0</v>
      </c>
      <c r="F27502">
        <v>5164</v>
      </c>
    </row>
    <row r="27503" spans="1:6" ht="12.75">
      <c r="A27503" s="2">
        <v>43875.654942129629</v>
      </c>
      <c r="B27503" t="str">
        <f>HYPERLINK("https://twitter.com/artemissss99","@artemissss99")</f>
        <v>@artemissss99</v>
      </c>
      <c r="C27503" t="s">
        <v>2110</v>
      </c>
      <c r="D27503">
        <v>41</v>
      </c>
      <c r="E27503">
        <v>0</v>
      </c>
      <c r="F27503">
        <v>342</v>
      </c>
    </row>
    <row r="27504" spans="1:6" ht="12.75">
      <c r="A27504" s="2">
        <v>43875.654837962968</v>
      </c>
      <c r="B27504" t="str">
        <f>HYPERLINK("https://twitter.com/HannigramCrime","@HannigramCrime")</f>
        <v>@HannigramCrime</v>
      </c>
      <c r="C27504" t="s">
        <v>9123</v>
      </c>
      <c r="D27504">
        <v>213</v>
      </c>
      <c r="E27504">
        <v>0</v>
      </c>
      <c r="F27504">
        <v>1107</v>
      </c>
    </row>
    <row r="27505" spans="1:6" ht="12.75">
      <c r="A27505" s="2">
        <v>43875.654826388884</v>
      </c>
      <c r="B27505" t="str">
        <f>HYPERLINK("https://twitter.com/haro_arnold","@haro_arnold")</f>
        <v>@haro_arnold</v>
      </c>
      <c r="C27505" t="s">
        <v>11744</v>
      </c>
      <c r="D27505">
        <v>2</v>
      </c>
      <c r="E27505">
        <v>0</v>
      </c>
      <c r="F27505">
        <v>4488</v>
      </c>
    </row>
    <row r="27506" spans="1:6" ht="12.75">
      <c r="A27506" s="2">
        <v>43875.654791666668</v>
      </c>
      <c r="B27506" t="str">
        <f>HYPERLINK("https://twitter.com/afrianata","@afrianata")</f>
        <v>@afrianata</v>
      </c>
      <c r="C27506" t="s">
        <v>12166</v>
      </c>
      <c r="D27506">
        <v>0</v>
      </c>
      <c r="E27506">
        <v>0</v>
      </c>
      <c r="F27506">
        <v>274</v>
      </c>
    </row>
    <row r="27507" spans="1:6" ht="12.75">
      <c r="A27507" s="2">
        <v>43875.654780092591</v>
      </c>
      <c r="B27507" t="str">
        <f>HYPERLINK("https://twitter.com/Denis73048995","@Denis73048995")</f>
        <v>@Denis73048995</v>
      </c>
      <c r="C27507" t="s">
        <v>12167</v>
      </c>
      <c r="D27507">
        <v>0</v>
      </c>
      <c r="E27507">
        <v>0</v>
      </c>
      <c r="F27507">
        <v>93</v>
      </c>
    </row>
    <row r="27508" spans="1:6" ht="12.75">
      <c r="A27508" s="2">
        <v>43875.654756944445</v>
      </c>
      <c r="B27508" t="str">
        <f>HYPERLINK("https://twitter.com/Sulaiman474","@Sulaiman474")</f>
        <v>@Sulaiman474</v>
      </c>
      <c r="C27508" t="s">
        <v>9746</v>
      </c>
      <c r="D27508">
        <v>214</v>
      </c>
      <c r="E27508">
        <v>0</v>
      </c>
      <c r="F27508">
        <v>713</v>
      </c>
    </row>
    <row r="27509" spans="1:6" ht="12.75">
      <c r="A27509" s="2">
        <v>43875.654756944445</v>
      </c>
      <c r="B27509" t="str">
        <f>HYPERLINK("https://twitter.com/Rido_Lizze","@Rido_Lizze")</f>
        <v>@Rido_Lizze</v>
      </c>
      <c r="C27509" t="s">
        <v>12168</v>
      </c>
      <c r="D27509">
        <v>0</v>
      </c>
      <c r="E27509">
        <v>0</v>
      </c>
      <c r="F27509">
        <v>1303</v>
      </c>
    </row>
    <row r="27510" spans="1:6" ht="12.75">
      <c r="A27510" s="2">
        <v>43875.654710648145</v>
      </c>
      <c r="B27510" t="str">
        <f>HYPERLINK("https://twitter.com/khotimahk87","@khotimahk87")</f>
        <v>@khotimahk87</v>
      </c>
      <c r="C27510" t="s">
        <v>2444</v>
      </c>
      <c r="D27510">
        <v>1457</v>
      </c>
      <c r="E27510">
        <v>0</v>
      </c>
      <c r="F27510">
        <v>359</v>
      </c>
    </row>
    <row r="27511" spans="1:6" ht="12.75">
      <c r="A27511" s="2">
        <v>43875.654664351852</v>
      </c>
      <c r="B27511" t="str">
        <f>HYPERLINK("https://twitter.com/FajarSekian","@FajarSekian")</f>
        <v>@FajarSekian</v>
      </c>
      <c r="C27511" t="s">
        <v>12169</v>
      </c>
      <c r="D27511">
        <v>0</v>
      </c>
      <c r="E27511">
        <v>0</v>
      </c>
      <c r="F27511">
        <v>245</v>
      </c>
    </row>
    <row r="27512" spans="1:6" ht="12.75">
      <c r="A27512" s="2">
        <v>43875.654548611114</v>
      </c>
      <c r="B27512" t="str">
        <f>HYPERLINK("https://twitter.com/hennysuhaeni21","@hennysuhaeni21")</f>
        <v>@hennysuhaeni21</v>
      </c>
      <c r="C27512" t="s">
        <v>7478</v>
      </c>
      <c r="D27512">
        <v>191</v>
      </c>
      <c r="E27512">
        <v>0</v>
      </c>
      <c r="F27512">
        <v>570</v>
      </c>
    </row>
    <row r="27513" spans="1:6" ht="12.75">
      <c r="A27513" s="2">
        <v>43875.654456018514</v>
      </c>
      <c r="B27513" t="str">
        <f>HYPERLINK("https://twitter.com/LUTFIETEA","@LUTFIETEA")</f>
        <v>@LUTFIETEA</v>
      </c>
      <c r="C27513" t="s">
        <v>7478</v>
      </c>
      <c r="D27513">
        <v>191</v>
      </c>
      <c r="E27513">
        <v>0</v>
      </c>
      <c r="F27513">
        <v>463</v>
      </c>
    </row>
    <row r="27514" spans="1:6" ht="12.75">
      <c r="A27514" s="2">
        <v>43875.654386574075</v>
      </c>
      <c r="B27514" t="str">
        <f>HYPERLINK("https://twitter.com/Uhaikan","@Uhaikan")</f>
        <v>@Uhaikan</v>
      </c>
      <c r="C27514" t="s">
        <v>9746</v>
      </c>
      <c r="D27514">
        <v>214</v>
      </c>
      <c r="E27514">
        <v>0</v>
      </c>
      <c r="F27514">
        <v>245</v>
      </c>
    </row>
    <row r="27515" spans="1:6" ht="12.75">
      <c r="A27515" s="2">
        <v>43875.654340277775</v>
      </c>
      <c r="B27515" t="str">
        <f>HYPERLINK("https://twitter.com/olobersykoreo","@olobersykoreo")</f>
        <v>@olobersykoreo</v>
      </c>
      <c r="C27515" t="s">
        <v>5168</v>
      </c>
      <c r="D27515">
        <v>739</v>
      </c>
      <c r="E27515">
        <v>0</v>
      </c>
      <c r="F27515">
        <v>241</v>
      </c>
    </row>
    <row r="27516" spans="1:6" ht="12.75">
      <c r="A27516" s="2">
        <v>43875.654282407406</v>
      </c>
      <c r="B27516" t="str">
        <f>HYPERLINK("https://twitter.com/HannigramCrime","@HannigramCrime")</f>
        <v>@HannigramCrime</v>
      </c>
      <c r="C27516" t="s">
        <v>2444</v>
      </c>
      <c r="D27516">
        <v>1457</v>
      </c>
      <c r="E27516">
        <v>0</v>
      </c>
      <c r="F27516">
        <v>1107</v>
      </c>
    </row>
    <row r="27517" spans="1:6" ht="12.75">
      <c r="A27517" s="2">
        <v>43875.654270833329</v>
      </c>
      <c r="B27517" t="str">
        <f>HYPERLINK("https://twitter.com/LUTFIETEA","@LUTFIETEA")</f>
        <v>@LUTFIETEA</v>
      </c>
      <c r="C27517" t="s">
        <v>9746</v>
      </c>
      <c r="D27517">
        <v>214</v>
      </c>
      <c r="E27517">
        <v>0</v>
      </c>
      <c r="F27517">
        <v>463</v>
      </c>
    </row>
    <row r="27518" spans="1:6" ht="12.75">
      <c r="A27518" s="2">
        <v>43875.654131944444</v>
      </c>
      <c r="B27518" t="str">
        <f>HYPERLINK("https://twitter.com/ANDRE_OCTA_","@ANDRE_OCTA_")</f>
        <v>@ANDRE_OCTA_</v>
      </c>
      <c r="C27518" t="s">
        <v>12170</v>
      </c>
      <c r="D27518">
        <v>0</v>
      </c>
      <c r="E27518">
        <v>0</v>
      </c>
      <c r="F27518">
        <v>16015</v>
      </c>
    </row>
    <row r="27519" spans="1:6" ht="12.75">
      <c r="A27519" s="2">
        <v>43875.654050925921</v>
      </c>
      <c r="B27519" t="str">
        <f>HYPERLINK("https://twitter.com/waluyoiskandar","@waluyoiskandar")</f>
        <v>@waluyoiskandar</v>
      </c>
      <c r="C27519" t="s">
        <v>12171</v>
      </c>
      <c r="D27519">
        <v>0</v>
      </c>
      <c r="E27519">
        <v>0</v>
      </c>
      <c r="F27519">
        <v>7</v>
      </c>
    </row>
    <row r="27520" spans="1:6" ht="12.75">
      <c r="A27520" s="2">
        <v>43875.653993055559</v>
      </c>
      <c r="B27520" t="str">
        <f>HYPERLINK("https://twitter.com/syahidm_id","@syahidm_id")</f>
        <v>@syahidm_id</v>
      </c>
      <c r="C27520" t="s">
        <v>12172</v>
      </c>
      <c r="D27520">
        <v>0</v>
      </c>
      <c r="E27520">
        <v>0</v>
      </c>
      <c r="F27520">
        <v>632</v>
      </c>
    </row>
    <row r="27521" spans="1:6" ht="12.75">
      <c r="A27521" s="2">
        <v>43875.653657407413</v>
      </c>
      <c r="B27521" t="str">
        <f>HYPERLINK("https://twitter.com/anandadhetya","@anandadhetya")</f>
        <v>@anandadhetya</v>
      </c>
      <c r="C27521" t="s">
        <v>8233</v>
      </c>
      <c r="D27521">
        <v>469</v>
      </c>
      <c r="E27521">
        <v>0</v>
      </c>
      <c r="F27521">
        <v>651</v>
      </c>
    </row>
    <row r="27522" spans="1:6" ht="12.75">
      <c r="A27522" s="2">
        <v>43875.653657407413</v>
      </c>
      <c r="B27522" t="str">
        <f>HYPERLINK("https://twitter.com/messott","@messott")</f>
        <v>@messott</v>
      </c>
      <c r="C27522" t="s">
        <v>12173</v>
      </c>
      <c r="D27522">
        <v>0</v>
      </c>
      <c r="E27522">
        <v>0</v>
      </c>
      <c r="F27522">
        <v>442</v>
      </c>
    </row>
    <row r="27523" spans="1:6" ht="12.75">
      <c r="A27523" s="2">
        <v>43875.65353009259</v>
      </c>
      <c r="B27523" t="str">
        <f>HYPERLINK("https://twitter.com/oppajigong","@oppajigong")</f>
        <v>@oppajigong</v>
      </c>
      <c r="C27523" t="s">
        <v>2444</v>
      </c>
      <c r="D27523">
        <v>1457</v>
      </c>
      <c r="E27523">
        <v>0</v>
      </c>
      <c r="F27523">
        <v>72</v>
      </c>
    </row>
    <row r="27524" spans="1:6" ht="12.75">
      <c r="A27524" s="2">
        <v>43875.653194444443</v>
      </c>
      <c r="B27524" t="str">
        <f>HYPERLINK("https://twitter.com/mintyjeans","@mintyjeans")</f>
        <v>@mintyjeans</v>
      </c>
      <c r="C27524" t="s">
        <v>9123</v>
      </c>
      <c r="D27524">
        <v>213</v>
      </c>
      <c r="E27524">
        <v>0</v>
      </c>
      <c r="F27524">
        <v>115</v>
      </c>
    </row>
    <row r="27525" spans="1:6" ht="12.75">
      <c r="A27525" s="2">
        <v>43875.65315972222</v>
      </c>
      <c r="B27525" t="str">
        <f>HYPERLINK("https://twitter.com/satriosoegianto","@satriosoegianto")</f>
        <v>@satriosoegianto</v>
      </c>
      <c r="C27525" t="s">
        <v>7478</v>
      </c>
      <c r="D27525">
        <v>191</v>
      </c>
      <c r="E27525">
        <v>0</v>
      </c>
      <c r="F27525">
        <v>69</v>
      </c>
    </row>
    <row r="27526" spans="1:6" ht="12.75">
      <c r="A27526" s="2">
        <v>43875.653113425928</v>
      </c>
      <c r="B27526" t="str">
        <f>HYPERLINK("https://twitter.com/rickymlyn","@rickymlyn")</f>
        <v>@rickymlyn</v>
      </c>
      <c r="C27526" t="s">
        <v>10300</v>
      </c>
      <c r="D27526">
        <v>33</v>
      </c>
      <c r="E27526">
        <v>0</v>
      </c>
      <c r="F27526">
        <v>354</v>
      </c>
    </row>
    <row r="27527" spans="1:6" ht="12.75">
      <c r="A27527" s="2">
        <v>43875.653009259258</v>
      </c>
      <c r="B27527" t="str">
        <f>HYPERLINK("https://twitter.com/vvillma","@vvillma")</f>
        <v>@vvillma</v>
      </c>
      <c r="C27527" t="s">
        <v>9021</v>
      </c>
      <c r="D27527">
        <v>193</v>
      </c>
      <c r="E27527">
        <v>0</v>
      </c>
      <c r="F27527">
        <v>373</v>
      </c>
    </row>
    <row r="27528" spans="1:6" ht="12.75">
      <c r="A27528" s="2">
        <v>43875.652916666666</v>
      </c>
      <c r="B27528" t="str">
        <f>HYPERLINK("https://twitter.com/mintyjeans","@mintyjeans")</f>
        <v>@mintyjeans</v>
      </c>
      <c r="C27528" t="s">
        <v>2444</v>
      </c>
      <c r="D27528">
        <v>1457</v>
      </c>
      <c r="E27528">
        <v>0</v>
      </c>
      <c r="F27528">
        <v>115</v>
      </c>
    </row>
    <row r="27529" spans="1:6" ht="12.75">
      <c r="A27529" s="2">
        <v>43875.652708333335</v>
      </c>
      <c r="B27529" t="str">
        <f>HYPERLINK("https://twitter.com/kusnulYakin10","@kusnulYakin10")</f>
        <v>@kusnulYakin10</v>
      </c>
      <c r="C27529" t="s">
        <v>2963</v>
      </c>
      <c r="D27529">
        <v>922</v>
      </c>
      <c r="E27529">
        <v>0</v>
      </c>
      <c r="F27529">
        <v>88</v>
      </c>
    </row>
    <row r="27530" spans="1:6" ht="12.75">
      <c r="A27530" s="2">
        <v>43875.652685185181</v>
      </c>
      <c r="B27530" t="str">
        <f>HYPERLINK("https://twitter.com/kafara666","@kafara666")</f>
        <v>@kafara666</v>
      </c>
      <c r="C27530" t="s">
        <v>12174</v>
      </c>
      <c r="D27530">
        <v>1</v>
      </c>
      <c r="E27530">
        <v>0</v>
      </c>
      <c r="F27530">
        <v>66</v>
      </c>
    </row>
    <row r="27531" spans="1:6" ht="12.75">
      <c r="A27531" s="2">
        <v>43875.652511574073</v>
      </c>
      <c r="B27531" t="str">
        <f>HYPERLINK("https://twitter.com/golkar_empat","@golkar_empat")</f>
        <v>@golkar_empat</v>
      </c>
      <c r="C27531" t="s">
        <v>12175</v>
      </c>
      <c r="D27531">
        <v>0</v>
      </c>
      <c r="E27531">
        <v>0</v>
      </c>
      <c r="F27531">
        <v>19</v>
      </c>
    </row>
    <row r="27532" spans="1:6" ht="12.75">
      <c r="A27532" s="2">
        <v>43875.652499999997</v>
      </c>
      <c r="B27532" t="str">
        <f t="shared" ref="B27532:B27535" si="365">HYPERLINK("https://twitter.com/LamanKita_","@LamanKita_")</f>
        <v>@LamanKita_</v>
      </c>
      <c r="C27532" t="s">
        <v>12176</v>
      </c>
      <c r="D27532">
        <v>0</v>
      </c>
      <c r="E27532">
        <v>1</v>
      </c>
      <c r="F27532">
        <v>139615</v>
      </c>
    </row>
    <row r="27533" spans="1:6" ht="12.75">
      <c r="A27533" s="2">
        <v>43875.652488425927</v>
      </c>
      <c r="B27533" t="str">
        <f t="shared" si="365"/>
        <v>@LamanKita_</v>
      </c>
      <c r="C27533" t="s">
        <v>12177</v>
      </c>
      <c r="D27533">
        <v>0</v>
      </c>
      <c r="E27533">
        <v>0</v>
      </c>
      <c r="F27533">
        <v>139615</v>
      </c>
    </row>
    <row r="27534" spans="1:6" ht="12.75">
      <c r="A27534" s="2">
        <v>43875.652488425927</v>
      </c>
      <c r="B27534" t="str">
        <f t="shared" si="365"/>
        <v>@LamanKita_</v>
      </c>
      <c r="C27534" t="s">
        <v>12178</v>
      </c>
      <c r="D27534">
        <v>0</v>
      </c>
      <c r="E27534">
        <v>0</v>
      </c>
      <c r="F27534">
        <v>139615</v>
      </c>
    </row>
    <row r="27535" spans="1:6" ht="12.75">
      <c r="A27535" s="2">
        <v>43875.65247685185</v>
      </c>
      <c r="B27535" t="str">
        <f t="shared" si="365"/>
        <v>@LamanKita_</v>
      </c>
      <c r="C27535" t="s">
        <v>12179</v>
      </c>
      <c r="D27535">
        <v>0</v>
      </c>
      <c r="E27535">
        <v>0</v>
      </c>
      <c r="F27535">
        <v>139615</v>
      </c>
    </row>
    <row r="27536" spans="1:6" ht="12.75">
      <c r="A27536" s="2">
        <v>43875.652418981481</v>
      </c>
      <c r="B27536" t="str">
        <f>HYPERLINK("https://twitter.com/ray_peuuma","@ray_peuuma")</f>
        <v>@ray_peuuma</v>
      </c>
      <c r="C27536" t="s">
        <v>2963</v>
      </c>
      <c r="D27536">
        <v>922</v>
      </c>
      <c r="E27536">
        <v>0</v>
      </c>
      <c r="F27536">
        <v>1749</v>
      </c>
    </row>
    <row r="27537" spans="1:6" ht="12.75">
      <c r="A27537" s="2">
        <v>43875.652418981481</v>
      </c>
      <c r="B27537" t="str">
        <f>HYPERLINK("https://twitter.com/sulselinformasi","@sulselinformasi")</f>
        <v>@sulselinformasi</v>
      </c>
      <c r="C27537" t="s">
        <v>12180</v>
      </c>
      <c r="D27537">
        <v>28</v>
      </c>
      <c r="E27537">
        <v>0</v>
      </c>
      <c r="F27537">
        <v>1</v>
      </c>
    </row>
    <row r="27538" spans="1:6" ht="12.75">
      <c r="A27538" s="2">
        <v>43875.652314814812</v>
      </c>
      <c r="B27538" t="str">
        <f>HYPERLINK("https://twitter.com/adsafha","@adsafha")</f>
        <v>@adsafha</v>
      </c>
      <c r="C27538" t="s">
        <v>12181</v>
      </c>
      <c r="D27538">
        <v>0</v>
      </c>
      <c r="E27538">
        <v>0</v>
      </c>
      <c r="F27538">
        <v>14951</v>
      </c>
    </row>
    <row r="27539" spans="1:6" ht="12.75">
      <c r="A27539" s="2">
        <v>43875.652303240742</v>
      </c>
      <c r="B27539" t="str">
        <f>HYPERLINK("https://twitter.com/dooysbey","@dooysbey")</f>
        <v>@dooysbey</v>
      </c>
      <c r="C27539" t="s">
        <v>2444</v>
      </c>
      <c r="D27539">
        <v>1457</v>
      </c>
      <c r="E27539">
        <v>0</v>
      </c>
      <c r="F27539">
        <v>5766</v>
      </c>
    </row>
    <row r="27540" spans="1:6" ht="12.75">
      <c r="A27540" s="2">
        <v>43875.652222222227</v>
      </c>
      <c r="B27540" t="str">
        <f>HYPERLINK("https://twitter.com/prdsfxou","@prdsfxou")</f>
        <v>@prdsfxou</v>
      </c>
      <c r="C27540" t="s">
        <v>2444</v>
      </c>
      <c r="D27540">
        <v>1457</v>
      </c>
      <c r="E27540">
        <v>0</v>
      </c>
      <c r="F27540">
        <v>346</v>
      </c>
    </row>
    <row r="27541" spans="1:6" ht="12.75">
      <c r="A27541" s="2">
        <v>43875.652199074073</v>
      </c>
      <c r="B27541" t="str">
        <f>HYPERLINK("https://twitter.com/DignaKurnia","@DignaKurnia")</f>
        <v>@DignaKurnia</v>
      </c>
      <c r="C27541" t="s">
        <v>9113</v>
      </c>
      <c r="D27541">
        <v>296</v>
      </c>
      <c r="E27541">
        <v>0</v>
      </c>
      <c r="F27541">
        <v>124</v>
      </c>
    </row>
    <row r="27542" spans="1:6" ht="12.75">
      <c r="A27542" s="2">
        <v>43875.652083333334</v>
      </c>
      <c r="B27542" t="str">
        <f>HYPERLINK("https://twitter.com/christiantamba","@christiantamba")</f>
        <v>@christiantamba</v>
      </c>
      <c r="C27542" t="s">
        <v>2444</v>
      </c>
      <c r="D27542">
        <v>1457</v>
      </c>
      <c r="E27542">
        <v>0</v>
      </c>
      <c r="F27542">
        <v>426</v>
      </c>
    </row>
    <row r="27543" spans="1:6" ht="12.75">
      <c r="A27543" s="2">
        <v>43875.652013888888</v>
      </c>
      <c r="B27543" t="str">
        <f>HYPERLINK("https://twitter.com/areumdayoun","@areumdayoun")</f>
        <v>@areumdayoun</v>
      </c>
      <c r="C27543" t="s">
        <v>9021</v>
      </c>
      <c r="D27543">
        <v>193</v>
      </c>
      <c r="E27543">
        <v>0</v>
      </c>
      <c r="F27543">
        <v>1261</v>
      </c>
    </row>
    <row r="27544" spans="1:6" ht="12.75">
      <c r="A27544" s="2">
        <v>43875.651990740742</v>
      </c>
      <c r="B27544" t="str">
        <f>HYPERLINK("https://twitter.com/fadjroeL","@fadjroeL")</f>
        <v>@fadjroeL</v>
      </c>
      <c r="C27544" t="s">
        <v>11744</v>
      </c>
      <c r="D27544">
        <v>2</v>
      </c>
      <c r="E27544">
        <v>0</v>
      </c>
      <c r="F27544">
        <v>994778</v>
      </c>
    </row>
    <row r="27545" spans="1:6" ht="12.75">
      <c r="A27545" s="2">
        <v>43875.651979166665</v>
      </c>
      <c r="B27545" t="str">
        <f>HYPERLINK("https://twitter.com/BradPitek","@BradPitek")</f>
        <v>@BradPitek</v>
      </c>
      <c r="C27545" t="s">
        <v>11955</v>
      </c>
      <c r="D27545">
        <v>31</v>
      </c>
      <c r="E27545">
        <v>0</v>
      </c>
      <c r="F27545">
        <v>73</v>
      </c>
    </row>
    <row r="27546" spans="1:6" ht="12.75">
      <c r="A27546" s="2">
        <v>43875.651979166665</v>
      </c>
      <c r="B27546" t="str">
        <f>HYPERLINK("https://twitter.com/ndi____","@ndi____")</f>
        <v>@ndi____</v>
      </c>
      <c r="C27546" t="s">
        <v>12182</v>
      </c>
      <c r="D27546">
        <v>0</v>
      </c>
      <c r="E27546">
        <v>1</v>
      </c>
      <c r="F27546">
        <v>20079</v>
      </c>
    </row>
    <row r="27547" spans="1:6" ht="12.75">
      <c r="A27547" s="2">
        <v>43875.651898148149</v>
      </c>
      <c r="B27547" t="str">
        <f>HYPERLINK("https://twitter.com/Alexmel94259414","@Alexmel94259414")</f>
        <v>@Alexmel94259414</v>
      </c>
      <c r="C27547" t="s">
        <v>10121</v>
      </c>
      <c r="D27547">
        <v>177</v>
      </c>
      <c r="E27547">
        <v>0</v>
      </c>
      <c r="F27547">
        <v>11</v>
      </c>
    </row>
    <row r="27548" spans="1:6" ht="12.75">
      <c r="A27548" s="2">
        <v>43875.651898148149</v>
      </c>
      <c r="B27548" t="str">
        <f>HYPERLINK("https://twitter.com/mochibaexo","@mochibaexo")</f>
        <v>@mochibaexo</v>
      </c>
      <c r="C27548" t="s">
        <v>2137</v>
      </c>
      <c r="D27548">
        <v>119</v>
      </c>
      <c r="E27548">
        <v>0</v>
      </c>
      <c r="F27548">
        <v>2084</v>
      </c>
    </row>
    <row r="27549" spans="1:6" ht="12.75">
      <c r="A27549" s="2">
        <v>43875.651886574073</v>
      </c>
      <c r="B27549" t="str">
        <f>HYPERLINK("https://twitter.com/_justawan","@_justawan")</f>
        <v>@_justawan</v>
      </c>
      <c r="C27549" t="s">
        <v>12183</v>
      </c>
      <c r="D27549">
        <v>0</v>
      </c>
      <c r="E27549">
        <v>1</v>
      </c>
      <c r="F27549">
        <v>181</v>
      </c>
    </row>
    <row r="27550" spans="1:6" ht="12.75">
      <c r="A27550" s="2">
        <v>43875.651886574073</v>
      </c>
      <c r="B27550" t="str">
        <f>HYPERLINK("https://twitter.com/AhmadRi24953035","@AhmadRi24953035")</f>
        <v>@AhmadRi24953035</v>
      </c>
      <c r="C27550" t="s">
        <v>12184</v>
      </c>
      <c r="D27550">
        <v>0</v>
      </c>
      <c r="E27550">
        <v>0</v>
      </c>
      <c r="F27550">
        <v>373</v>
      </c>
    </row>
    <row r="27551" spans="1:6" ht="12.75">
      <c r="A27551" s="2">
        <v>43875.651655092588</v>
      </c>
      <c r="B27551" t="str">
        <f>HYPERLINK("https://twitter.com/PDI_Perjuangan","@PDI_Perjuangan")</f>
        <v>@PDI_Perjuangan</v>
      </c>
      <c r="C27551" t="s">
        <v>12185</v>
      </c>
      <c r="D27551">
        <v>0</v>
      </c>
      <c r="E27551">
        <v>0</v>
      </c>
      <c r="F27551">
        <v>218858</v>
      </c>
    </row>
    <row r="27552" spans="1:6" ht="12.75">
      <c r="A27552" s="2">
        <v>43875.651562500003</v>
      </c>
      <c r="B27552" t="str">
        <f>HYPERLINK("https://twitter.com/yaniavriii","@yaniavriii")</f>
        <v>@yaniavriii</v>
      </c>
      <c r="C27552" t="s">
        <v>2444</v>
      </c>
      <c r="D27552">
        <v>1457</v>
      </c>
      <c r="E27552">
        <v>0</v>
      </c>
      <c r="F27552">
        <v>642</v>
      </c>
    </row>
    <row r="27553" spans="1:6" ht="12.75">
      <c r="A27553" s="2">
        <v>43875.651550925926</v>
      </c>
      <c r="B27553" t="str">
        <f>HYPERLINK("https://twitter.com/archivfar","@archivfar")</f>
        <v>@archivfar</v>
      </c>
      <c r="C27553" t="s">
        <v>2444</v>
      </c>
      <c r="D27553">
        <v>1457</v>
      </c>
      <c r="E27553">
        <v>0</v>
      </c>
      <c r="F27553">
        <v>76</v>
      </c>
    </row>
    <row r="27554" spans="1:6" ht="12.75">
      <c r="A27554" s="2">
        <v>43875.651539351849</v>
      </c>
      <c r="B27554" t="str">
        <f>HYPERLINK("https://twitter.com/diittth","@diittth")</f>
        <v>@diittth</v>
      </c>
      <c r="C27554" t="s">
        <v>2444</v>
      </c>
      <c r="D27554">
        <v>1457</v>
      </c>
      <c r="E27554">
        <v>0</v>
      </c>
      <c r="F27554">
        <v>367</v>
      </c>
    </row>
    <row r="27555" spans="1:6" ht="12.75">
      <c r="A27555" s="2">
        <v>43875.651458333334</v>
      </c>
      <c r="B27555" t="str">
        <f>HYPERLINK("https://twitter.com/kicepkicep","@kicepkicep")</f>
        <v>@kicepkicep</v>
      </c>
      <c r="C27555" t="s">
        <v>7478</v>
      </c>
      <c r="D27555">
        <v>191</v>
      </c>
      <c r="E27555">
        <v>0</v>
      </c>
      <c r="F27555">
        <v>1221</v>
      </c>
    </row>
    <row r="27556" spans="1:6" ht="12.75">
      <c r="A27556" s="2">
        <v>43875.651365740741</v>
      </c>
      <c r="B27556" t="str">
        <f>HYPERLINK("https://twitter.com/RiderEvil06","@RiderEvil06")</f>
        <v>@RiderEvil06</v>
      </c>
      <c r="C27556" t="s">
        <v>12186</v>
      </c>
      <c r="D27556">
        <v>0</v>
      </c>
      <c r="E27556">
        <v>0</v>
      </c>
      <c r="F27556">
        <v>11</v>
      </c>
    </row>
    <row r="27557" spans="1:6" ht="12.75">
      <c r="A27557" s="2">
        <v>43875.651261574079</v>
      </c>
      <c r="B27557" t="str">
        <f>HYPERLINK("https://twitter.com/Riswan6945299","@Riswan6945299")</f>
        <v>@Riswan6945299</v>
      </c>
      <c r="C27557" t="s">
        <v>3038</v>
      </c>
      <c r="D27557">
        <v>113</v>
      </c>
      <c r="E27557">
        <v>0</v>
      </c>
      <c r="F27557">
        <v>148</v>
      </c>
    </row>
    <row r="27558" spans="1:6" ht="12.75">
      <c r="A27558" s="2">
        <v>43875.651203703703</v>
      </c>
      <c r="B27558" t="str">
        <f>HYPERLINK("https://twitter.com/antarasumbar","@antarasumbar")</f>
        <v>@antarasumbar</v>
      </c>
      <c r="C27558" t="s">
        <v>12187</v>
      </c>
      <c r="D27558">
        <v>0</v>
      </c>
      <c r="E27558">
        <v>1</v>
      </c>
      <c r="F27558">
        <v>9021</v>
      </c>
    </row>
    <row r="27559" spans="1:6" ht="12.75">
      <c r="A27559" s="2">
        <v>43875.651030092587</v>
      </c>
      <c r="B27559" t="str">
        <f>HYPERLINK("https://twitter.com/ismuntarii","@ismuntarii")</f>
        <v>@ismuntarii</v>
      </c>
      <c r="C27559" t="s">
        <v>2137</v>
      </c>
      <c r="D27559">
        <v>119</v>
      </c>
      <c r="E27559">
        <v>0</v>
      </c>
      <c r="F27559">
        <v>105</v>
      </c>
    </row>
    <row r="27560" spans="1:6" ht="12.75">
      <c r="A27560" s="2">
        <v>43875.650937500002</v>
      </c>
      <c r="B27560" t="str">
        <f>HYPERLINK("https://twitter.com/SautSinaga19","@SautSinaga19")</f>
        <v>@SautSinaga19</v>
      </c>
      <c r="C27560" t="s">
        <v>10266</v>
      </c>
      <c r="D27560">
        <v>265</v>
      </c>
      <c r="E27560">
        <v>0</v>
      </c>
      <c r="F27560">
        <v>39</v>
      </c>
    </row>
    <row r="27561" spans="1:6" ht="12.75">
      <c r="A27561" s="2">
        <v>43875.650925925926</v>
      </c>
      <c r="B27561" t="str">
        <f>HYPERLINK("https://twitter.com/harihoree1","@harihoree1")</f>
        <v>@harihoree1</v>
      </c>
      <c r="C27561" t="s">
        <v>7478</v>
      </c>
      <c r="D27561">
        <v>191</v>
      </c>
      <c r="E27561">
        <v>0</v>
      </c>
      <c r="F27561">
        <v>1263</v>
      </c>
    </row>
    <row r="27562" spans="1:6" ht="12.75">
      <c r="A27562" s="2">
        <v>43875.650902777779</v>
      </c>
      <c r="B27562" t="str">
        <f>HYPERLINK("https://twitter.com/HIPradana","@HIPradana")</f>
        <v>@HIPradana</v>
      </c>
      <c r="C27562" t="s">
        <v>12188</v>
      </c>
      <c r="D27562">
        <v>0</v>
      </c>
      <c r="E27562">
        <v>0</v>
      </c>
      <c r="F27562">
        <v>1246</v>
      </c>
    </row>
    <row r="27563" spans="1:6" ht="12.75">
      <c r="A27563" s="2">
        <v>43875.650891203702</v>
      </c>
      <c r="B27563" t="str">
        <f>HYPERLINK("https://twitter.com/jogjacoret","@jogjacoret")</f>
        <v>@jogjacoret</v>
      </c>
      <c r="C27563" t="s">
        <v>12189</v>
      </c>
      <c r="D27563">
        <v>0</v>
      </c>
      <c r="E27563">
        <v>0</v>
      </c>
      <c r="F27563">
        <v>1292</v>
      </c>
    </row>
    <row r="27564" spans="1:6" ht="12.75">
      <c r="A27564" s="2">
        <v>43875.650729166664</v>
      </c>
      <c r="B27564" t="str">
        <f>HYPERLINK("https://twitter.com/bangRoyTob","@bangRoyTob")</f>
        <v>@bangRoyTob</v>
      </c>
      <c r="C27564" t="s">
        <v>2963</v>
      </c>
      <c r="D27564">
        <v>922</v>
      </c>
      <c r="E27564">
        <v>0</v>
      </c>
      <c r="F27564">
        <v>403</v>
      </c>
    </row>
    <row r="27565" spans="1:6" ht="12.75">
      <c r="A27565" s="2">
        <v>43875.650682870371</v>
      </c>
      <c r="B27565" t="str">
        <f>HYPERLINK("https://twitter.com/whyoedee","@whyoedee")</f>
        <v>@whyoedee</v>
      </c>
      <c r="C27565" t="s">
        <v>2963</v>
      </c>
      <c r="D27565">
        <v>922</v>
      </c>
      <c r="E27565">
        <v>0</v>
      </c>
      <c r="F27565">
        <v>5334</v>
      </c>
    </row>
    <row r="27566" spans="1:6" ht="12.75">
      <c r="A27566" s="2">
        <v>43875.650671296295</v>
      </c>
      <c r="B27566" t="str">
        <f>HYPERLINK("https://twitter.com/niluamhar","@niluamhar")</f>
        <v>@niluamhar</v>
      </c>
      <c r="C27566" t="s">
        <v>2444</v>
      </c>
      <c r="D27566">
        <v>1457</v>
      </c>
      <c r="E27566">
        <v>0</v>
      </c>
      <c r="F27566">
        <v>230</v>
      </c>
    </row>
    <row r="27567" spans="1:6" ht="12.75">
      <c r="A27567" s="2">
        <v>43875.650659722218</v>
      </c>
      <c r="B27567" t="str">
        <f>HYPERLINK("https://twitter.com/KurniaChen","@KurniaChen")</f>
        <v>@KurniaChen</v>
      </c>
      <c r="C27567" t="s">
        <v>7478</v>
      </c>
      <c r="D27567">
        <v>191</v>
      </c>
      <c r="E27567">
        <v>0</v>
      </c>
      <c r="F27567">
        <v>692</v>
      </c>
    </row>
    <row r="27568" spans="1:6" ht="12.75">
      <c r="A27568" s="2">
        <v>43875.650613425925</v>
      </c>
      <c r="B27568" t="str">
        <f>HYPERLINK("https://twitter.com/Alexmel94259414","@Alexmel94259414")</f>
        <v>@Alexmel94259414</v>
      </c>
      <c r="C27568" t="s">
        <v>2122</v>
      </c>
      <c r="D27568">
        <v>209</v>
      </c>
      <c r="E27568">
        <v>0</v>
      </c>
      <c r="F27568">
        <v>11</v>
      </c>
    </row>
    <row r="27569" spans="1:6" ht="12.75">
      <c r="A27569" s="2">
        <v>43875.650613425925</v>
      </c>
      <c r="B27569" t="str">
        <f>HYPERLINK("https://twitter.com/w_refaldo","@w_refaldo")</f>
        <v>@w_refaldo</v>
      </c>
      <c r="C27569" t="s">
        <v>11625</v>
      </c>
      <c r="D27569">
        <v>2</v>
      </c>
      <c r="E27569">
        <v>0</v>
      </c>
      <c r="F27569">
        <v>407</v>
      </c>
    </row>
    <row r="27570" spans="1:6" ht="12.75">
      <c r="A27570" s="2">
        <v>43875.650601851856</v>
      </c>
      <c r="B27570" t="str">
        <f>HYPERLINK("https://twitter.com/irwan230380","@irwan230380")</f>
        <v>@irwan230380</v>
      </c>
      <c r="C27570" t="s">
        <v>2963</v>
      </c>
      <c r="D27570">
        <v>922</v>
      </c>
      <c r="E27570">
        <v>0</v>
      </c>
      <c r="F27570">
        <v>200</v>
      </c>
    </row>
    <row r="27571" spans="1:6" ht="12.75">
      <c r="A27571" s="2">
        <v>43875.65053240741</v>
      </c>
      <c r="B27571" t="str">
        <f>HYPERLINK("https://twitter.com/gendutid","@gendutid")</f>
        <v>@gendutid</v>
      </c>
      <c r="C27571" t="s">
        <v>2444</v>
      </c>
      <c r="D27571">
        <v>1457</v>
      </c>
      <c r="E27571">
        <v>0</v>
      </c>
      <c r="F27571">
        <v>228</v>
      </c>
    </row>
    <row r="27572" spans="1:6" ht="12.75">
      <c r="A27572" s="2">
        <v>43875.650497685187</v>
      </c>
      <c r="B27572" t="str">
        <f>HYPERLINK("https://twitter.com/ESjofjan","@ESjofjan")</f>
        <v>@ESjofjan</v>
      </c>
      <c r="C27572" t="s">
        <v>12190</v>
      </c>
      <c r="D27572">
        <v>0</v>
      </c>
      <c r="E27572">
        <v>0</v>
      </c>
      <c r="F27572">
        <v>18</v>
      </c>
    </row>
    <row r="27573" spans="1:6" ht="12.75">
      <c r="A27573" s="2">
        <v>43875.650312500002</v>
      </c>
      <c r="B27573" t="str">
        <f>HYPERLINK("https://twitter.com/damnship","@damnship")</f>
        <v>@damnship</v>
      </c>
      <c r="C27573" t="s">
        <v>2444</v>
      </c>
      <c r="D27573">
        <v>1457</v>
      </c>
      <c r="E27573">
        <v>0</v>
      </c>
      <c r="F27573">
        <v>263</v>
      </c>
    </row>
    <row r="27574" spans="1:6" ht="12.75">
      <c r="A27574" s="2">
        <v>43875.650138888886</v>
      </c>
      <c r="B27574" t="str">
        <f>HYPERLINK("https://twitter.com/pialoey","@pialoey")</f>
        <v>@pialoey</v>
      </c>
      <c r="C27574" t="s">
        <v>12191</v>
      </c>
      <c r="D27574">
        <v>0</v>
      </c>
      <c r="E27574">
        <v>0</v>
      </c>
      <c r="F27574">
        <v>4</v>
      </c>
    </row>
    <row r="27575" spans="1:6" ht="12.75">
      <c r="A27575" s="2">
        <v>43875.650034722217</v>
      </c>
      <c r="B27575" t="str">
        <f>HYPERLINK("https://twitter.com/updatedotid","@updatedotid")</f>
        <v>@updatedotid</v>
      </c>
      <c r="C27575" t="s">
        <v>12192</v>
      </c>
      <c r="D27575">
        <v>2</v>
      </c>
      <c r="E27575">
        <v>0</v>
      </c>
      <c r="F27575">
        <v>1617</v>
      </c>
    </row>
    <row r="27576" spans="1:6" ht="12.75">
      <c r="A27576" s="2">
        <v>43875.650023148148</v>
      </c>
      <c r="B27576" t="str">
        <f>HYPERLINK("https://twitter.com/sabhatansabiz","@sabhatansabiz")</f>
        <v>@sabhatansabiz</v>
      </c>
      <c r="C27576" t="s">
        <v>12192</v>
      </c>
      <c r="D27576">
        <v>2</v>
      </c>
      <c r="E27576">
        <v>0</v>
      </c>
      <c r="F27576">
        <v>1583</v>
      </c>
    </row>
    <row r="27577" spans="1:6" ht="12.75">
      <c r="A27577" s="2">
        <v>43875.649930555555</v>
      </c>
      <c r="B27577" t="str">
        <f>HYPERLINK("https://twitter.com/tif_sipahutar","@tif_sipahutar")</f>
        <v>@tif_sipahutar</v>
      </c>
      <c r="C27577" t="s">
        <v>12193</v>
      </c>
      <c r="D27577">
        <v>1</v>
      </c>
      <c r="E27577">
        <v>0</v>
      </c>
      <c r="F27577">
        <v>158</v>
      </c>
    </row>
    <row r="27578" spans="1:6" ht="12.75">
      <c r="A27578" s="2">
        <v>43875.649872685186</v>
      </c>
      <c r="B27578" t="str">
        <f>HYPERLINK("https://twitter.com/diasprdk","@diasprdk")</f>
        <v>@diasprdk</v>
      </c>
      <c r="C27578" t="s">
        <v>2444</v>
      </c>
      <c r="D27578">
        <v>1457</v>
      </c>
      <c r="E27578">
        <v>0</v>
      </c>
      <c r="F27578">
        <v>656</v>
      </c>
    </row>
    <row r="27579" spans="1:6" ht="12.75">
      <c r="A27579" s="2">
        <v>43875.649814814809</v>
      </c>
      <c r="B27579" t="str">
        <f>HYPERLINK("https://twitter.com/bpbd_ntb","@bpbd_ntb")</f>
        <v>@bpbd_ntb</v>
      </c>
      <c r="C27579" t="s">
        <v>9962</v>
      </c>
      <c r="D27579">
        <v>31</v>
      </c>
      <c r="E27579">
        <v>0</v>
      </c>
      <c r="F27579">
        <v>841</v>
      </c>
    </row>
    <row r="27580" spans="1:6" ht="12.75">
      <c r="A27580" s="2">
        <v>43875.64979166667</v>
      </c>
      <c r="B27580" t="str">
        <f>HYPERLINK("https://twitter.com/samudragr","@samudragr")</f>
        <v>@samudragr</v>
      </c>
      <c r="C27580" t="s">
        <v>2963</v>
      </c>
      <c r="D27580">
        <v>922</v>
      </c>
      <c r="E27580">
        <v>0</v>
      </c>
      <c r="F27580">
        <v>2</v>
      </c>
    </row>
    <row r="27581" spans="1:6" ht="12.75">
      <c r="A27581" s="2">
        <v>43875.649710648147</v>
      </c>
      <c r="B27581" t="str">
        <f>HYPERLINK("https://twitter.com/radar_malang","@radar_malang")</f>
        <v>@radar_malang</v>
      </c>
      <c r="C27581" t="s">
        <v>12194</v>
      </c>
      <c r="D27581">
        <v>2</v>
      </c>
      <c r="E27581">
        <v>0</v>
      </c>
      <c r="F27581">
        <v>108477</v>
      </c>
    </row>
    <row r="27582" spans="1:6" ht="12.75">
      <c r="A27582" s="2">
        <v>43875.649687500001</v>
      </c>
      <c r="B27582" t="str">
        <f>HYPERLINK("https://twitter.com/Aluna_Safitri","@Aluna_Safitri")</f>
        <v>@Aluna_Safitri</v>
      </c>
      <c r="C27582" t="s">
        <v>11394</v>
      </c>
      <c r="D27582">
        <v>24</v>
      </c>
      <c r="E27582">
        <v>0</v>
      </c>
      <c r="F27582">
        <v>238</v>
      </c>
    </row>
    <row r="27583" spans="1:6" ht="12.75">
      <c r="A27583" s="2">
        <v>43875.649594907409</v>
      </c>
      <c r="B27583" t="str">
        <f>HYPERLINK("https://twitter.com/kbharianaceh","@kbharianaceh")</f>
        <v>@kbharianaceh</v>
      </c>
      <c r="C27583" t="s">
        <v>12195</v>
      </c>
      <c r="D27583">
        <v>0</v>
      </c>
      <c r="E27583">
        <v>0</v>
      </c>
      <c r="F27583">
        <v>1186</v>
      </c>
    </row>
    <row r="27584" spans="1:6" ht="12.75">
      <c r="A27584" s="2">
        <v>43875.649583333332</v>
      </c>
      <c r="B27584" t="str">
        <f>HYPERLINK("https://twitter.com/shellaangelina9","@shellaangelina9")</f>
        <v>@shellaangelina9</v>
      </c>
      <c r="C27584" t="s">
        <v>12196</v>
      </c>
      <c r="D27584">
        <v>0</v>
      </c>
      <c r="E27584">
        <v>0</v>
      </c>
      <c r="F27584">
        <v>42</v>
      </c>
    </row>
    <row r="27585" spans="1:6" ht="12.75">
      <c r="A27585" s="2">
        <v>43875.649571759262</v>
      </c>
      <c r="B27585" t="str">
        <f>HYPERLINK("https://twitter.com/kbharianaceh","@kbharianaceh")</f>
        <v>@kbharianaceh</v>
      </c>
      <c r="C27585" t="s">
        <v>12197</v>
      </c>
      <c r="D27585">
        <v>0</v>
      </c>
      <c r="E27585">
        <v>0</v>
      </c>
      <c r="F27585">
        <v>1186</v>
      </c>
    </row>
    <row r="27586" spans="1:6" ht="12.75">
      <c r="A27586" s="2">
        <v>43875.649502314816</v>
      </c>
      <c r="B27586" t="str">
        <f>HYPERLINK("https://twitter.com/amoysilitonga","@amoysilitonga")</f>
        <v>@amoysilitonga</v>
      </c>
      <c r="C27586" t="s">
        <v>9113</v>
      </c>
      <c r="D27586">
        <v>296</v>
      </c>
      <c r="E27586">
        <v>0</v>
      </c>
      <c r="F27586">
        <v>204</v>
      </c>
    </row>
    <row r="27587" spans="1:6" ht="12.75">
      <c r="A27587" s="2">
        <v>43875.64949074074</v>
      </c>
      <c r="B27587" t="str">
        <f>HYPERLINK("https://twitter.com/serdadutaskmadu","@serdadutaskmadu")</f>
        <v>@serdadutaskmadu</v>
      </c>
      <c r="C27587" t="s">
        <v>10697</v>
      </c>
      <c r="D27587">
        <v>24</v>
      </c>
      <c r="E27587">
        <v>0</v>
      </c>
      <c r="F27587">
        <v>230</v>
      </c>
    </row>
    <row r="27588" spans="1:6" ht="12.75">
      <c r="A27588" s="2">
        <v>43875.64944444444</v>
      </c>
      <c r="B27588" t="str">
        <f>HYPERLINK("https://twitter.com/UnyuBack","@UnyuBack")</f>
        <v>@UnyuBack</v>
      </c>
      <c r="C27588" t="s">
        <v>2963</v>
      </c>
      <c r="D27588">
        <v>922</v>
      </c>
      <c r="E27588">
        <v>0</v>
      </c>
      <c r="F27588">
        <v>940</v>
      </c>
    </row>
    <row r="27589" spans="1:6" ht="12.75">
      <c r="A27589" s="2">
        <v>43875.649247685185</v>
      </c>
      <c r="B27589" t="str">
        <f>HYPERLINK("https://twitter.com/skeIettons","@skeIettons")</f>
        <v>@skeIettons</v>
      </c>
      <c r="C27589" t="s">
        <v>9123</v>
      </c>
      <c r="D27589">
        <v>213</v>
      </c>
      <c r="E27589">
        <v>0</v>
      </c>
      <c r="F27589">
        <v>73</v>
      </c>
    </row>
    <row r="27590" spans="1:6" ht="12.75">
      <c r="A27590" s="2">
        <v>43875.649236111116</v>
      </c>
      <c r="B27590" t="str">
        <f>HYPERLINK("https://twitter.com/vvillma","@vvillma")</f>
        <v>@vvillma</v>
      </c>
      <c r="C27590" t="s">
        <v>5168</v>
      </c>
      <c r="D27590">
        <v>739</v>
      </c>
      <c r="E27590">
        <v>0</v>
      </c>
      <c r="F27590">
        <v>373</v>
      </c>
    </row>
    <row r="27591" spans="1:6" ht="12.75">
      <c r="A27591" s="2">
        <v>43875.649224537032</v>
      </c>
      <c r="B27591" t="str">
        <f>HYPERLINK("https://twitter.com/ardfadhil","@ardfadhil")</f>
        <v>@ardfadhil</v>
      </c>
      <c r="C27591" t="s">
        <v>2444</v>
      </c>
      <c r="D27591">
        <v>1457</v>
      </c>
      <c r="E27591">
        <v>0</v>
      </c>
      <c r="F27591">
        <v>1282</v>
      </c>
    </row>
    <row r="27592" spans="1:6" ht="12.75">
      <c r="A27592" s="2">
        <v>43875.649201388893</v>
      </c>
      <c r="B27592" t="str">
        <f>HYPERLINK("https://twitter.com/noigse","@noigse")</f>
        <v>@noigse</v>
      </c>
      <c r="C27592" t="s">
        <v>2444</v>
      </c>
      <c r="D27592">
        <v>1457</v>
      </c>
      <c r="E27592">
        <v>0</v>
      </c>
      <c r="F27592">
        <v>83</v>
      </c>
    </row>
    <row r="27593" spans="1:6" ht="12.75">
      <c r="A27593" s="2">
        <v>43875.649201388893</v>
      </c>
      <c r="B27593" t="str">
        <f>HYPERLINK("https://twitter.com/PanglimaElang20","@PanglimaElang20")</f>
        <v>@PanglimaElang20</v>
      </c>
      <c r="C27593" t="s">
        <v>12144</v>
      </c>
      <c r="D27593">
        <v>9</v>
      </c>
      <c r="E27593">
        <v>0</v>
      </c>
      <c r="F27593">
        <v>50</v>
      </c>
    </row>
    <row r="27594" spans="1:6" ht="12.75">
      <c r="A27594" s="2">
        <v>43875.64916666667</v>
      </c>
      <c r="B27594" t="str">
        <f>HYPERLINK("https://twitter.com/republikaonline","@republikaonline")</f>
        <v>@republikaonline</v>
      </c>
      <c r="C27594" t="s">
        <v>12198</v>
      </c>
      <c r="D27594">
        <v>0</v>
      </c>
      <c r="E27594">
        <v>1</v>
      </c>
      <c r="F27594">
        <v>1210298</v>
      </c>
    </row>
    <row r="27595" spans="1:6" ht="12.75">
      <c r="A27595" s="2">
        <v>43875.649108796293</v>
      </c>
      <c r="B27595" t="str">
        <f>HYPERLINK("https://twitter.com/Alexmel94259414","@Alexmel94259414")</f>
        <v>@Alexmel94259414</v>
      </c>
      <c r="C27595" t="s">
        <v>9947</v>
      </c>
      <c r="D27595">
        <v>337</v>
      </c>
      <c r="E27595">
        <v>0</v>
      </c>
      <c r="F27595">
        <v>11</v>
      </c>
    </row>
    <row r="27596" spans="1:6" ht="12.75">
      <c r="A27596" s="2">
        <v>43875.649062500001</v>
      </c>
      <c r="B27596" t="str">
        <f>HYPERLINK("https://twitter.com/BHD_8","@BHD_8")</f>
        <v>@BHD_8</v>
      </c>
      <c r="C27596" t="s">
        <v>12199</v>
      </c>
      <c r="D27596">
        <v>0</v>
      </c>
      <c r="E27596">
        <v>0</v>
      </c>
      <c r="F27596">
        <v>12138</v>
      </c>
    </row>
    <row r="27597" spans="1:6" ht="12.75">
      <c r="A27597" s="2">
        <v>43875.648981481485</v>
      </c>
      <c r="B27597" t="str">
        <f>HYPERLINK("https://twitter.com/oppie30560071","@oppie30560071")</f>
        <v>@oppie30560071</v>
      </c>
      <c r="C27597" t="s">
        <v>2963</v>
      </c>
      <c r="D27597">
        <v>922</v>
      </c>
      <c r="E27597">
        <v>0</v>
      </c>
      <c r="F27597">
        <v>343</v>
      </c>
    </row>
    <row r="27598" spans="1:6" ht="12.75">
      <c r="A27598" s="2">
        <v>43875.648981481485</v>
      </c>
      <c r="B27598" t="str">
        <f>HYPERLINK("https://twitter.com/inadwksmngrm","@inadwksmngrm")</f>
        <v>@inadwksmngrm</v>
      </c>
      <c r="C27598" t="s">
        <v>2444</v>
      </c>
      <c r="D27598">
        <v>1457</v>
      </c>
      <c r="E27598">
        <v>0</v>
      </c>
      <c r="F27598">
        <v>65</v>
      </c>
    </row>
    <row r="27599" spans="1:6" ht="12.75">
      <c r="A27599" s="2">
        <v>43875.648900462962</v>
      </c>
      <c r="B27599" t="str">
        <f>HYPERLINK("https://twitter.com/justxmfhuda","@justxmfhuda")</f>
        <v>@justxmfhuda</v>
      </c>
      <c r="C27599" t="s">
        <v>2137</v>
      </c>
      <c r="D27599">
        <v>119</v>
      </c>
      <c r="E27599">
        <v>0</v>
      </c>
      <c r="F27599">
        <v>963</v>
      </c>
    </row>
    <row r="27600" spans="1:6" ht="12.75">
      <c r="A27600" s="2">
        <v>43875.648877314816</v>
      </c>
      <c r="B27600" t="str">
        <f>HYPERLINK("https://twitter.com/lucunyaku","@lucunyaku")</f>
        <v>@lucunyaku</v>
      </c>
      <c r="C27600" t="s">
        <v>11536</v>
      </c>
      <c r="D27600">
        <v>0</v>
      </c>
      <c r="E27600">
        <v>0</v>
      </c>
      <c r="F27600">
        <v>41</v>
      </c>
    </row>
    <row r="27601" spans="1:6" ht="12.75">
      <c r="A27601" s="2">
        <v>43875.648726851854</v>
      </c>
      <c r="B27601" t="str">
        <f>HYPERLINK("https://twitter.com/MCRiau","@MCRiau")</f>
        <v>@MCRiau</v>
      </c>
      <c r="C27601" t="s">
        <v>12200</v>
      </c>
      <c r="D27601">
        <v>0</v>
      </c>
      <c r="E27601">
        <v>0</v>
      </c>
      <c r="F27601">
        <v>2250</v>
      </c>
    </row>
    <row r="27602" spans="1:6" ht="12.75">
      <c r="A27602" s="2">
        <v>43875.648692129631</v>
      </c>
      <c r="B27602" t="str">
        <f>HYPERLINK("https://twitter.com/mroy053","@mroy053")</f>
        <v>@mroy053</v>
      </c>
      <c r="C27602" t="s">
        <v>9538</v>
      </c>
      <c r="D27602">
        <v>139</v>
      </c>
      <c r="E27602">
        <v>0</v>
      </c>
      <c r="F27602">
        <v>95</v>
      </c>
    </row>
    <row r="27603" spans="1:6" ht="12.75">
      <c r="A27603" s="2">
        <v>43875.648553240739</v>
      </c>
      <c r="B27603" t="str">
        <f>HYPERLINK("https://twitter.com/snynrl","@snynrl")</f>
        <v>@snynrl</v>
      </c>
      <c r="C27603" t="s">
        <v>2444</v>
      </c>
      <c r="D27603">
        <v>1457</v>
      </c>
      <c r="E27603">
        <v>0</v>
      </c>
      <c r="F27603">
        <v>192</v>
      </c>
    </row>
    <row r="27604" spans="1:6" ht="12.75">
      <c r="A27604" s="2">
        <v>43875.648530092592</v>
      </c>
      <c r="B27604" t="str">
        <f>HYPERLINK("https://twitter.com/YPraty","@YPraty")</f>
        <v>@YPraty</v>
      </c>
      <c r="C27604" t="s">
        <v>3140</v>
      </c>
      <c r="D27604">
        <v>5</v>
      </c>
      <c r="E27604">
        <v>0</v>
      </c>
      <c r="F27604">
        <v>139</v>
      </c>
    </row>
    <row r="27605" spans="1:6" ht="12.75">
      <c r="A27605" s="2">
        <v>43875.648506944446</v>
      </c>
      <c r="B27605" t="str">
        <f>HYPERLINK("https://twitter.com/MarieskaV","@MarieskaV")</f>
        <v>@MarieskaV</v>
      </c>
      <c r="C27605" t="s">
        <v>12194</v>
      </c>
      <c r="D27605">
        <v>0</v>
      </c>
      <c r="E27605">
        <v>0</v>
      </c>
      <c r="F27605">
        <v>304</v>
      </c>
    </row>
    <row r="27606" spans="1:6" ht="12.75">
      <c r="A27606" s="2">
        <v>43875.648495370369</v>
      </c>
      <c r="B27606" t="str">
        <f>HYPERLINK("https://twitter.com/Benysap73692697","@Benysap73692697")</f>
        <v>@Benysap73692697</v>
      </c>
      <c r="C27606" t="s">
        <v>7478</v>
      </c>
      <c r="D27606">
        <v>191</v>
      </c>
      <c r="E27606">
        <v>0</v>
      </c>
      <c r="F27606">
        <v>207</v>
      </c>
    </row>
    <row r="27607" spans="1:6" ht="12.75">
      <c r="A27607" s="2">
        <v>43875.648460648154</v>
      </c>
      <c r="B27607" t="str">
        <f>HYPERLINK("https://twitter.com/akhmadriyadi03","@akhmadriyadi03")</f>
        <v>@akhmadriyadi03</v>
      </c>
      <c r="C27607" t="s">
        <v>7478</v>
      </c>
      <c r="D27607">
        <v>191</v>
      </c>
      <c r="E27607">
        <v>0</v>
      </c>
      <c r="F27607">
        <v>104</v>
      </c>
    </row>
    <row r="27608" spans="1:6" ht="12.75">
      <c r="A27608" s="2">
        <v>43875.648194444446</v>
      </c>
      <c r="B27608" t="str">
        <f>HYPERLINK("https://twitter.com/Kopi_laut","@Kopi_laut")</f>
        <v>@Kopi_laut</v>
      </c>
      <c r="C27608" t="s">
        <v>7478</v>
      </c>
      <c r="D27608">
        <v>191</v>
      </c>
      <c r="E27608">
        <v>0</v>
      </c>
      <c r="F27608">
        <v>1794</v>
      </c>
    </row>
    <row r="27609" spans="1:6" ht="12.75">
      <c r="A27609" s="2">
        <v>43875.648182870369</v>
      </c>
      <c r="B27609" t="str">
        <f>HYPERLINK("https://twitter.com/bbkbinal","@bbkbinal")</f>
        <v>@bbkbinal</v>
      </c>
      <c r="C27609" t="s">
        <v>7068</v>
      </c>
      <c r="D27609">
        <v>11</v>
      </c>
      <c r="E27609">
        <v>0</v>
      </c>
      <c r="F27609">
        <v>404</v>
      </c>
    </row>
    <row r="27610" spans="1:6" ht="12.75">
      <c r="A27610" s="2">
        <v>43875.6481712963</v>
      </c>
      <c r="B27610" t="str">
        <f>HYPERLINK("https://twitter.com/tannovitasari","@tannovitasari")</f>
        <v>@tannovitasari</v>
      </c>
      <c r="C27610" t="s">
        <v>2444</v>
      </c>
      <c r="D27610">
        <v>1457</v>
      </c>
      <c r="E27610">
        <v>0</v>
      </c>
      <c r="F27610">
        <v>310</v>
      </c>
    </row>
    <row r="27611" spans="1:6" ht="12.75">
      <c r="A27611" s="2">
        <v>43875.647997685184</v>
      </c>
      <c r="B27611" t="str">
        <f>HYPERLINK("https://twitter.com/amoysilitonga","@amoysilitonga")</f>
        <v>@amoysilitonga</v>
      </c>
      <c r="C27611" t="s">
        <v>2963</v>
      </c>
      <c r="D27611">
        <v>922</v>
      </c>
      <c r="E27611">
        <v>0</v>
      </c>
      <c r="F27611">
        <v>204</v>
      </c>
    </row>
    <row r="27612" spans="1:6" ht="12.75">
      <c r="A27612" s="2">
        <v>43875.647939814815</v>
      </c>
      <c r="B27612" t="str">
        <f>HYPERLINK("https://twitter.com/zanudin86","@zanudin86")</f>
        <v>@zanudin86</v>
      </c>
      <c r="C27612" t="s">
        <v>2963</v>
      </c>
      <c r="D27612">
        <v>922</v>
      </c>
      <c r="E27612">
        <v>0</v>
      </c>
      <c r="F27612">
        <v>329</v>
      </c>
    </row>
    <row r="27613" spans="1:6" ht="12.75">
      <c r="A27613" s="2">
        <v>43875.647893518515</v>
      </c>
      <c r="B27613" t="str">
        <f>HYPERLINK("https://twitter.com/pialoey","@pialoey")</f>
        <v>@pialoey</v>
      </c>
      <c r="C27613" t="s">
        <v>175</v>
      </c>
      <c r="D27613">
        <v>5280</v>
      </c>
      <c r="E27613">
        <v>0</v>
      </c>
      <c r="F27613">
        <v>4</v>
      </c>
    </row>
    <row r="27614" spans="1:6" ht="12.75">
      <c r="A27614" s="2">
        <v>43875.647685185184</v>
      </c>
      <c r="B27614" t="str">
        <f>HYPERLINK("https://twitter.com/tempodotco","@tempodotco")</f>
        <v>@tempodotco</v>
      </c>
      <c r="C27614" t="s">
        <v>12201</v>
      </c>
      <c r="D27614">
        <v>0</v>
      </c>
      <c r="E27614">
        <v>2</v>
      </c>
      <c r="F27614">
        <v>1702354</v>
      </c>
    </row>
    <row r="27615" spans="1:6" ht="12.75">
      <c r="A27615" s="2">
        <v>43875.647673611107</v>
      </c>
      <c r="B27615" t="str">
        <f>HYPERLINK("https://twitter.com/gasaniigg","@gasaniigg")</f>
        <v>@gasaniigg</v>
      </c>
      <c r="C27615" t="s">
        <v>4880</v>
      </c>
      <c r="D27615">
        <v>54</v>
      </c>
      <c r="E27615">
        <v>0</v>
      </c>
      <c r="F27615">
        <v>907</v>
      </c>
    </row>
    <row r="27616" spans="1:6" ht="12.75">
      <c r="A27616" s="2">
        <v>43875.647615740745</v>
      </c>
      <c r="B27616" t="str">
        <f>HYPERLINK("https://twitter.com/JokoHerry1","@JokoHerry1")</f>
        <v>@JokoHerry1</v>
      </c>
      <c r="C27616" t="s">
        <v>2963</v>
      </c>
      <c r="D27616">
        <v>922</v>
      </c>
      <c r="E27616">
        <v>0</v>
      </c>
      <c r="F27616">
        <v>64</v>
      </c>
    </row>
    <row r="27617" spans="1:6" ht="12.75">
      <c r="A27617" s="2">
        <v>43875.647581018522</v>
      </c>
      <c r="B27617" t="str">
        <f>HYPERLINK("https://twitter.com/graaeriva0111","@graaeriva0111")</f>
        <v>@graaeriva0111</v>
      </c>
      <c r="C27617" t="s">
        <v>12202</v>
      </c>
      <c r="D27617">
        <v>0</v>
      </c>
      <c r="E27617">
        <v>1</v>
      </c>
      <c r="F27617">
        <v>2</v>
      </c>
    </row>
    <row r="27618" spans="1:6" ht="12.75">
      <c r="A27618" s="2">
        <v>43875.647453703699</v>
      </c>
      <c r="B27618" t="str">
        <f>HYPERLINK("https://twitter.com/fivelight171","@fivelight171")</f>
        <v>@fivelight171</v>
      </c>
      <c r="C27618" t="s">
        <v>2444</v>
      </c>
      <c r="D27618">
        <v>1457</v>
      </c>
      <c r="E27618">
        <v>0</v>
      </c>
      <c r="F27618">
        <v>378</v>
      </c>
    </row>
    <row r="27619" spans="1:6" ht="12.75">
      <c r="A27619" s="2">
        <v>43875.64744212963</v>
      </c>
      <c r="B27619" t="str">
        <f>HYPERLINK("https://twitter.com/regar_marwan","@regar_marwan")</f>
        <v>@regar_marwan</v>
      </c>
      <c r="C27619" t="s">
        <v>7478</v>
      </c>
      <c r="D27619">
        <v>191</v>
      </c>
      <c r="E27619">
        <v>0</v>
      </c>
      <c r="F27619">
        <v>542</v>
      </c>
    </row>
    <row r="27620" spans="1:6" ht="12.75">
      <c r="A27620" s="2">
        <v>43875.64738425926</v>
      </c>
      <c r="B27620" t="str">
        <f>HYPERLINK("https://twitter.com/zoel_dmk","@zoel_dmk")</f>
        <v>@zoel_dmk</v>
      </c>
      <c r="C27620" t="s">
        <v>9746</v>
      </c>
      <c r="D27620">
        <v>214</v>
      </c>
      <c r="E27620">
        <v>0</v>
      </c>
      <c r="F27620">
        <v>2757</v>
      </c>
    </row>
    <row r="27621" spans="1:6" ht="12.75">
      <c r="A27621" s="2">
        <v>43875.647326388891</v>
      </c>
      <c r="B27621" t="str">
        <f>HYPERLINK("https://twitter.com/Hendry_much","@Hendry_much")</f>
        <v>@Hendry_much</v>
      </c>
      <c r="C27621" t="s">
        <v>10096</v>
      </c>
      <c r="D27621">
        <v>135</v>
      </c>
      <c r="E27621">
        <v>0</v>
      </c>
      <c r="F27621">
        <v>194</v>
      </c>
    </row>
    <row r="27622" spans="1:6" ht="12.75">
      <c r="A27622" s="2">
        <v>43875.647326388891</v>
      </c>
      <c r="B27622" t="str">
        <f>HYPERLINK("https://twitter.com/setyosby","@setyosby")</f>
        <v>@setyosby</v>
      </c>
      <c r="C27622" t="s">
        <v>10096</v>
      </c>
      <c r="D27622">
        <v>135</v>
      </c>
      <c r="E27622">
        <v>0</v>
      </c>
      <c r="F27622">
        <v>1925</v>
      </c>
    </row>
    <row r="27623" spans="1:6" ht="12.75">
      <c r="A27623" s="2">
        <v>43875.647268518514</v>
      </c>
      <c r="B27623" t="str">
        <f>HYPERLINK("https://twitter.com/mazdeng","@mazdeng")</f>
        <v>@mazdeng</v>
      </c>
      <c r="C27623" t="s">
        <v>12203</v>
      </c>
      <c r="D27623">
        <v>2</v>
      </c>
      <c r="E27623">
        <v>0</v>
      </c>
      <c r="F27623">
        <v>767</v>
      </c>
    </row>
    <row r="27624" spans="1:6" ht="12.75">
      <c r="A27624" s="2">
        <v>43875.647256944445</v>
      </c>
      <c r="B27624" t="str">
        <f>HYPERLINK("https://twitter.com/kurnianopek","@kurnianopek")</f>
        <v>@kurnianopek</v>
      </c>
      <c r="C27624" t="s">
        <v>9964</v>
      </c>
      <c r="D27624">
        <v>592</v>
      </c>
      <c r="E27624">
        <v>0</v>
      </c>
      <c r="F27624">
        <v>512</v>
      </c>
    </row>
    <row r="27625" spans="1:6" ht="12.75">
      <c r="A27625" s="2">
        <v>43875.647222222222</v>
      </c>
      <c r="B27625" t="str">
        <f>HYPERLINK("https://twitter.com/chaniago_96","@chaniago_96")</f>
        <v>@chaniago_96</v>
      </c>
      <c r="C27625" t="s">
        <v>12204</v>
      </c>
      <c r="D27625">
        <v>0</v>
      </c>
      <c r="E27625">
        <v>2</v>
      </c>
      <c r="F27625">
        <v>1462</v>
      </c>
    </row>
    <row r="27626" spans="1:6" ht="12.75">
      <c r="A27626" s="2">
        <v>43875.647210648152</v>
      </c>
      <c r="B27626" t="str">
        <f>HYPERLINK("https://twitter.com/Imamasysyafi","@Imamasysyafi")</f>
        <v>@Imamasysyafi</v>
      </c>
      <c r="C27626" t="s">
        <v>12205</v>
      </c>
      <c r="D27626">
        <v>0</v>
      </c>
      <c r="E27626">
        <v>3</v>
      </c>
      <c r="F27626">
        <v>881</v>
      </c>
    </row>
    <row r="27627" spans="1:6" ht="12.75">
      <c r="A27627" s="2">
        <v>43875.647199074076</v>
      </c>
      <c r="B27627" t="str">
        <f>HYPERLINK("https://twitter.com/tribunbatamku","@tribunbatamku")</f>
        <v>@tribunbatamku</v>
      </c>
      <c r="C27627" t="s">
        <v>12206</v>
      </c>
      <c r="D27627">
        <v>0</v>
      </c>
      <c r="E27627">
        <v>0</v>
      </c>
      <c r="F27627">
        <v>5268</v>
      </c>
    </row>
    <row r="27628" spans="1:6" ht="12.75">
      <c r="A27628" s="2">
        <v>43875.647164351853</v>
      </c>
      <c r="B27628" t="str">
        <f>HYPERLINK("https://twitter.com/setiawanh46","@setiawanh46")</f>
        <v>@setiawanh46</v>
      </c>
      <c r="C27628" t="s">
        <v>12207</v>
      </c>
      <c r="D27628">
        <v>32</v>
      </c>
      <c r="E27628">
        <v>0</v>
      </c>
      <c r="F27628">
        <v>1778</v>
      </c>
    </row>
    <row r="27629" spans="1:6" ht="12.75">
      <c r="A27629" s="2">
        <v>43875.647106481483</v>
      </c>
      <c r="B27629" t="str">
        <f>HYPERLINK("https://twitter.com/erick072","@erick072")</f>
        <v>@erick072</v>
      </c>
      <c r="C27629" t="s">
        <v>7478</v>
      </c>
      <c r="D27629">
        <v>191</v>
      </c>
      <c r="E27629">
        <v>0</v>
      </c>
      <c r="F27629">
        <v>315</v>
      </c>
    </row>
    <row r="27630" spans="1:6" ht="12.75">
      <c r="A27630" s="2">
        <v>43875.647094907406</v>
      </c>
      <c r="B27630" t="str">
        <f>HYPERLINK("https://twitter.com/dejuands","@dejuands")</f>
        <v>@dejuands</v>
      </c>
      <c r="C27630" t="s">
        <v>12208</v>
      </c>
      <c r="D27630">
        <v>0</v>
      </c>
      <c r="E27630">
        <v>0</v>
      </c>
      <c r="F27630">
        <v>70</v>
      </c>
    </row>
    <row r="27631" spans="1:6" ht="12.75">
      <c r="A27631" s="2">
        <v>43875.64708333333</v>
      </c>
      <c r="B27631" t="str">
        <f>HYPERLINK("https://twitter.com/raishacitra","@raishacitra")</f>
        <v>@raishacitra</v>
      </c>
      <c r="C27631" t="s">
        <v>5168</v>
      </c>
      <c r="D27631">
        <v>739</v>
      </c>
      <c r="E27631">
        <v>0</v>
      </c>
      <c r="F27631">
        <v>400</v>
      </c>
    </row>
    <row r="27632" spans="1:6" ht="12.75">
      <c r="A27632" s="2">
        <v>43875.647048611107</v>
      </c>
      <c r="B27632" t="str">
        <f>HYPERLINK("https://twitter.com/yukikohanifa","@yukikohanifa")</f>
        <v>@yukikohanifa</v>
      </c>
      <c r="C27632" t="s">
        <v>2444</v>
      </c>
      <c r="D27632">
        <v>1457</v>
      </c>
      <c r="E27632">
        <v>0</v>
      </c>
      <c r="F27632">
        <v>911</v>
      </c>
    </row>
    <row r="27633" spans="1:6" ht="12.75">
      <c r="A27633" s="2">
        <v>43875.646990740745</v>
      </c>
      <c r="B27633" t="str">
        <f>HYPERLINK("https://twitter.com/goosbeen","@goosbeen")</f>
        <v>@goosbeen</v>
      </c>
      <c r="C27633" t="s">
        <v>5168</v>
      </c>
      <c r="D27633">
        <v>739</v>
      </c>
      <c r="E27633">
        <v>0</v>
      </c>
      <c r="F27633">
        <v>736</v>
      </c>
    </row>
    <row r="27634" spans="1:6" ht="12.75">
      <c r="A27634" s="2">
        <v>43875.646956018521</v>
      </c>
      <c r="B27634" t="str">
        <f>HYPERLINK("https://twitter.com/syafdennys","@syafdennys")</f>
        <v>@syafdennys</v>
      </c>
      <c r="C27634" t="s">
        <v>2444</v>
      </c>
      <c r="D27634">
        <v>1457</v>
      </c>
      <c r="E27634">
        <v>0</v>
      </c>
      <c r="F27634">
        <v>75</v>
      </c>
    </row>
    <row r="27635" spans="1:6" ht="12.75">
      <c r="A27635" s="2">
        <v>43875.646898148145</v>
      </c>
      <c r="B27635" t="str">
        <f>HYPERLINK("https://twitter.com/friskaanr","@friskaanr")</f>
        <v>@friskaanr</v>
      </c>
      <c r="C27635" t="s">
        <v>2444</v>
      </c>
      <c r="D27635">
        <v>1457</v>
      </c>
      <c r="E27635">
        <v>0</v>
      </c>
      <c r="F27635">
        <v>1009</v>
      </c>
    </row>
    <row r="27636" spans="1:6" ht="12.75">
      <c r="A27636" s="2">
        <v>43875.646793981483</v>
      </c>
      <c r="B27636" t="str">
        <f>HYPERLINK("https://twitter.com/novitasalma","@novitasalma")</f>
        <v>@novitasalma</v>
      </c>
      <c r="C27636" t="s">
        <v>8233</v>
      </c>
      <c r="D27636">
        <v>469</v>
      </c>
      <c r="E27636">
        <v>0</v>
      </c>
      <c r="F27636">
        <v>334</v>
      </c>
    </row>
    <row r="27637" spans="1:6" ht="12.75">
      <c r="A27637" s="2">
        <v>43875.64675925926</v>
      </c>
      <c r="B27637" t="str">
        <f>HYPERLINK("https://twitter.com/LuckyRockMdo","@LuckyRockMdo")</f>
        <v>@LuckyRockMdo</v>
      </c>
      <c r="C27637" t="s">
        <v>2963</v>
      </c>
      <c r="D27637">
        <v>922</v>
      </c>
      <c r="E27637">
        <v>0</v>
      </c>
      <c r="F27637">
        <v>739</v>
      </c>
    </row>
    <row r="27638" spans="1:6" ht="12.75">
      <c r="A27638" s="2">
        <v>43875.646736111114</v>
      </c>
      <c r="B27638" t="str">
        <f>HYPERLINK("https://twitter.com/darumasual","@darumasual")</f>
        <v>@darumasual</v>
      </c>
      <c r="C27638" t="s">
        <v>2444</v>
      </c>
      <c r="D27638">
        <v>1457</v>
      </c>
      <c r="E27638">
        <v>0</v>
      </c>
      <c r="F27638">
        <v>924</v>
      </c>
    </row>
    <row r="27639" spans="1:6" ht="12.75">
      <c r="A27639" s="2">
        <v>43875.646643518514</v>
      </c>
      <c r="B27639" t="str">
        <f>HYPERLINK("https://twitter.com/satesatu","@satesatu")</f>
        <v>@satesatu</v>
      </c>
      <c r="C27639" t="s">
        <v>2444</v>
      </c>
      <c r="D27639">
        <v>1457</v>
      </c>
      <c r="E27639">
        <v>0</v>
      </c>
      <c r="F27639">
        <v>30</v>
      </c>
    </row>
    <row r="27640" spans="1:6" ht="12.75">
      <c r="A27640" s="2">
        <v>43875.646631944444</v>
      </c>
      <c r="B27640" t="str">
        <f>HYPERLINK("https://twitter.com/nadia_praditya","@nadia_praditya")</f>
        <v>@nadia_praditya</v>
      </c>
      <c r="C27640" t="s">
        <v>2444</v>
      </c>
      <c r="D27640">
        <v>1457</v>
      </c>
      <c r="E27640">
        <v>0</v>
      </c>
      <c r="F27640">
        <v>459</v>
      </c>
    </row>
    <row r="27641" spans="1:6" ht="12.75">
      <c r="A27641" s="2">
        <v>43875.646585648152</v>
      </c>
      <c r="B27641" t="str">
        <f>HYPERLINK("https://twitter.com/p4in_Akatsuki","@p4in_Akatsuki")</f>
        <v>@p4in_Akatsuki</v>
      </c>
      <c r="C27641" t="s">
        <v>2963</v>
      </c>
      <c r="D27641">
        <v>922</v>
      </c>
      <c r="E27641">
        <v>0</v>
      </c>
      <c r="F27641">
        <v>28</v>
      </c>
    </row>
    <row r="27642" spans="1:6" ht="12.75">
      <c r="A27642" s="2">
        <v>43875.646550925929</v>
      </c>
      <c r="B27642" t="str">
        <f>HYPERLINK("https://twitter.com/aprilialee","@aprilialee")</f>
        <v>@aprilialee</v>
      </c>
      <c r="C27642" t="s">
        <v>2963</v>
      </c>
      <c r="D27642">
        <v>922</v>
      </c>
      <c r="E27642">
        <v>0</v>
      </c>
      <c r="F27642">
        <v>103</v>
      </c>
    </row>
    <row r="27643" spans="1:6" ht="12.75">
      <c r="A27643" s="2">
        <v>43875.646481481483</v>
      </c>
      <c r="B27643" t="str">
        <f>HYPERLINK("https://twitter.com/nrevinaaaa","@nrevinaaaa")</f>
        <v>@nrevinaaaa</v>
      </c>
      <c r="C27643" t="s">
        <v>12209</v>
      </c>
      <c r="D27643">
        <v>1</v>
      </c>
      <c r="E27643">
        <v>0</v>
      </c>
      <c r="F27643">
        <v>115</v>
      </c>
    </row>
    <row r="27644" spans="1:6" ht="12.75">
      <c r="A27644" s="2">
        <v>43875.646481481483</v>
      </c>
      <c r="B27644" t="str">
        <f>HYPERLINK("https://twitter.com/republikaonline","@republikaonline")</f>
        <v>@republikaonline</v>
      </c>
      <c r="C27644" t="s">
        <v>12210</v>
      </c>
      <c r="D27644">
        <v>0</v>
      </c>
      <c r="E27644">
        <v>0</v>
      </c>
      <c r="F27644">
        <v>1210298</v>
      </c>
    </row>
    <row r="27645" spans="1:6" ht="12.75">
      <c r="A27645" s="2">
        <v>43875.646377314813</v>
      </c>
      <c r="B27645" t="str">
        <f>HYPERLINK("https://twitter.com/kopassos","@kopassos")</f>
        <v>@kopassos</v>
      </c>
      <c r="C27645" t="s">
        <v>7478</v>
      </c>
      <c r="D27645">
        <v>191</v>
      </c>
      <c r="E27645">
        <v>0</v>
      </c>
      <c r="F27645">
        <v>1640</v>
      </c>
    </row>
    <row r="27646" spans="1:6" ht="12.75">
      <c r="A27646" s="2">
        <v>43875.646354166667</v>
      </c>
      <c r="B27646" t="str">
        <f>HYPERLINK("https://twitter.com/MijnheerDoli","@MijnheerDoli")</f>
        <v>@MijnheerDoli</v>
      </c>
      <c r="C27646" t="s">
        <v>10526</v>
      </c>
      <c r="D27646">
        <v>135</v>
      </c>
      <c r="E27646">
        <v>0</v>
      </c>
      <c r="F27646">
        <v>1037</v>
      </c>
    </row>
    <row r="27647" spans="1:6" ht="12.75">
      <c r="A27647" s="2">
        <v>43875.646354166667</v>
      </c>
      <c r="B27647" t="str">
        <f>HYPERLINK("https://twitter.com/AdibahNuraeni","@AdibahNuraeni")</f>
        <v>@AdibahNuraeni</v>
      </c>
      <c r="C27647" t="s">
        <v>11536</v>
      </c>
      <c r="D27647">
        <v>0</v>
      </c>
      <c r="E27647">
        <v>1</v>
      </c>
      <c r="F27647">
        <v>2</v>
      </c>
    </row>
    <row r="27648" spans="1:6" ht="12.75">
      <c r="A27648" s="2">
        <v>43875.646296296298</v>
      </c>
      <c r="B27648" t="str">
        <f>HYPERLINK("https://twitter.com/tuansari_","@tuansari_")</f>
        <v>@tuansari_</v>
      </c>
      <c r="C27648" t="s">
        <v>2444</v>
      </c>
      <c r="D27648">
        <v>1457</v>
      </c>
      <c r="E27648">
        <v>0</v>
      </c>
      <c r="F27648">
        <v>711</v>
      </c>
    </row>
    <row r="27649" spans="1:6" ht="12.75">
      <c r="A27649" s="2">
        <v>43875.646250000005</v>
      </c>
      <c r="B27649" t="str">
        <f>HYPERLINK("https://twitter.com/MijnheerDoli","@MijnheerDoli")</f>
        <v>@MijnheerDoli</v>
      </c>
      <c r="C27649" t="s">
        <v>2122</v>
      </c>
      <c r="D27649">
        <v>209</v>
      </c>
      <c r="E27649">
        <v>0</v>
      </c>
      <c r="F27649">
        <v>1037</v>
      </c>
    </row>
    <row r="27650" spans="1:6" ht="12.75">
      <c r="A27650" s="2">
        <v>43875.646099537036</v>
      </c>
      <c r="B27650" t="str">
        <f>HYPERLINK("https://twitter.com/Lukman88755658","@Lukman88755658")</f>
        <v>@Lukman88755658</v>
      </c>
      <c r="C27650" t="s">
        <v>6982</v>
      </c>
      <c r="D27650">
        <v>87</v>
      </c>
      <c r="E27650">
        <v>0</v>
      </c>
      <c r="F27650">
        <v>316</v>
      </c>
    </row>
    <row r="27651" spans="1:6" ht="12.75">
      <c r="A27651" s="2">
        <v>43875.645995370374</v>
      </c>
      <c r="B27651" t="str">
        <f>HYPERLINK("https://twitter.com/TsTsp71","@TsTsp71")</f>
        <v>@TsTsp71</v>
      </c>
      <c r="C27651" t="s">
        <v>9539</v>
      </c>
      <c r="D27651">
        <v>7</v>
      </c>
      <c r="E27651">
        <v>0</v>
      </c>
      <c r="F27651">
        <v>555</v>
      </c>
    </row>
    <row r="27652" spans="1:6" ht="12.75">
      <c r="A27652" s="2">
        <v>43875.645983796298</v>
      </c>
      <c r="B27652" t="str">
        <f>HYPERLINK("https://twitter.com/fadzilahhusna_","@fadzilahhusna_")</f>
        <v>@fadzilahhusna_</v>
      </c>
      <c r="C27652" t="s">
        <v>5168</v>
      </c>
      <c r="D27652">
        <v>739</v>
      </c>
      <c r="E27652">
        <v>0</v>
      </c>
      <c r="F27652">
        <v>266</v>
      </c>
    </row>
    <row r="27653" spans="1:6" ht="12.75">
      <c r="A27653" s="2">
        <v>43875.645972222221</v>
      </c>
      <c r="B27653" t="str">
        <f>HYPERLINK("https://twitter.com/csyhj____","@csyhj____")</f>
        <v>@csyhj____</v>
      </c>
      <c r="C27653" t="s">
        <v>2444</v>
      </c>
      <c r="D27653">
        <v>1457</v>
      </c>
      <c r="E27653">
        <v>0</v>
      </c>
      <c r="F27653">
        <v>80</v>
      </c>
    </row>
    <row r="27654" spans="1:6" ht="12.75">
      <c r="A27654" s="2">
        <v>43875.645972222221</v>
      </c>
      <c r="B27654" t="str">
        <f>HYPERLINK("https://twitter.com/himawannk","@himawannk")</f>
        <v>@himawannk</v>
      </c>
      <c r="C27654" t="s">
        <v>12211</v>
      </c>
      <c r="D27654">
        <v>0</v>
      </c>
      <c r="E27654">
        <v>0</v>
      </c>
      <c r="F27654">
        <v>12305</v>
      </c>
    </row>
    <row r="27655" spans="1:6" ht="12.75">
      <c r="A27655" s="2">
        <v>43875.645914351851</v>
      </c>
      <c r="B27655" t="str">
        <f>HYPERLINK("https://twitter.com/wabisabishii","@wabisabishii")</f>
        <v>@wabisabishii</v>
      </c>
      <c r="C27655" t="s">
        <v>5168</v>
      </c>
      <c r="D27655">
        <v>739</v>
      </c>
      <c r="E27655">
        <v>0</v>
      </c>
      <c r="F27655">
        <v>3</v>
      </c>
    </row>
    <row r="27656" spans="1:6" ht="12.75">
      <c r="A27656" s="2">
        <v>43875.645775462966</v>
      </c>
      <c r="B27656" t="str">
        <f>HYPERLINK("https://twitter.com/TsTsp71","@TsTsp71")</f>
        <v>@TsTsp71</v>
      </c>
      <c r="C27656" t="s">
        <v>5761</v>
      </c>
      <c r="D27656">
        <v>56</v>
      </c>
      <c r="E27656">
        <v>0</v>
      </c>
      <c r="F27656">
        <v>555</v>
      </c>
    </row>
    <row r="27657" spans="1:6" ht="12.75">
      <c r="A27657" s="2">
        <v>43875.645694444444</v>
      </c>
      <c r="B27657" t="str">
        <f>HYPERLINK("https://twitter.com/Tan2Id","@Tan2Id")</f>
        <v>@Tan2Id</v>
      </c>
      <c r="C27657" t="s">
        <v>7478</v>
      </c>
      <c r="D27657">
        <v>191</v>
      </c>
      <c r="E27657">
        <v>0</v>
      </c>
      <c r="F27657">
        <v>1173</v>
      </c>
    </row>
    <row r="27658" spans="1:6" ht="12.75">
      <c r="A27658" s="2">
        <v>43875.645694444444</v>
      </c>
      <c r="B27658" t="str">
        <f>HYPERLINK("https://twitter.com/P2selalu","@P2selalu")</f>
        <v>@P2selalu</v>
      </c>
      <c r="C27658" t="s">
        <v>12212</v>
      </c>
      <c r="D27658">
        <v>11</v>
      </c>
      <c r="E27658">
        <v>0</v>
      </c>
      <c r="F27658">
        <v>3197</v>
      </c>
    </row>
    <row r="27659" spans="1:6" ht="12.75">
      <c r="A27659" s="2">
        <v>43875.645682870367</v>
      </c>
      <c r="B27659" t="str">
        <f>HYPERLINK("https://twitter.com/hildaudila","@hildaudila")</f>
        <v>@hildaudila</v>
      </c>
      <c r="C27659" t="s">
        <v>2444</v>
      </c>
      <c r="D27659">
        <v>1457</v>
      </c>
      <c r="E27659">
        <v>0</v>
      </c>
      <c r="F27659">
        <v>1271</v>
      </c>
    </row>
    <row r="27660" spans="1:6" ht="12.75">
      <c r="A27660" s="2">
        <v>43875.645578703705</v>
      </c>
      <c r="B27660" t="str">
        <f>HYPERLINK("https://twitter.com/adorfvckable","@adorfvckable")</f>
        <v>@adorfvckable</v>
      </c>
      <c r="C27660" t="s">
        <v>2444</v>
      </c>
      <c r="D27660">
        <v>1457</v>
      </c>
      <c r="E27660">
        <v>0</v>
      </c>
      <c r="F27660">
        <v>207</v>
      </c>
    </row>
    <row r="27661" spans="1:6" ht="12.75">
      <c r="A27661" s="2">
        <v>43875.645567129628</v>
      </c>
      <c r="B27661" t="str">
        <f>HYPERLINK("https://twitter.com/McSofyan","@McSofyan")</f>
        <v>@McSofyan</v>
      </c>
      <c r="C27661" t="s">
        <v>7478</v>
      </c>
      <c r="D27661">
        <v>191</v>
      </c>
      <c r="E27661">
        <v>0</v>
      </c>
      <c r="F27661">
        <v>431</v>
      </c>
    </row>
    <row r="27662" spans="1:6" ht="12.75">
      <c r="A27662" s="2">
        <v>43875.645462962959</v>
      </c>
      <c r="B27662" t="str">
        <f>HYPERLINK("https://twitter.com/nasfayaretno","@nasfayaretno")</f>
        <v>@nasfayaretno</v>
      </c>
      <c r="C27662" t="s">
        <v>7068</v>
      </c>
      <c r="D27662">
        <v>11</v>
      </c>
      <c r="E27662">
        <v>0</v>
      </c>
      <c r="F27662">
        <v>276</v>
      </c>
    </row>
    <row r="27663" spans="1:6" ht="12.75">
      <c r="A27663" s="2">
        <v>43875.645381944443</v>
      </c>
      <c r="B27663" t="str">
        <f>HYPERLINK("https://twitter.com/khairanianggune","@khairanianggune")</f>
        <v>@khairanianggune</v>
      </c>
      <c r="C27663" t="s">
        <v>2444</v>
      </c>
      <c r="D27663">
        <v>1457</v>
      </c>
      <c r="E27663">
        <v>0</v>
      </c>
      <c r="F27663">
        <v>70</v>
      </c>
    </row>
    <row r="27664" spans="1:6" ht="12.75">
      <c r="A27664" s="2">
        <v>43875.645312499997</v>
      </c>
      <c r="B27664" t="str">
        <f>HYPERLINK("https://twitter.com/XDWIKX","@XDWIKX")</f>
        <v>@XDWIKX</v>
      </c>
      <c r="C27664" t="s">
        <v>2444</v>
      </c>
      <c r="D27664">
        <v>1457</v>
      </c>
      <c r="E27664">
        <v>0</v>
      </c>
      <c r="F27664">
        <v>429</v>
      </c>
    </row>
    <row r="27665" spans="1:6" ht="12.75">
      <c r="A27665" s="2">
        <v>43875.645312499997</v>
      </c>
      <c r="B27665" t="str">
        <f>HYPERLINK("https://twitter.com/ucupkadapat","@ucupkadapat")</f>
        <v>@ucupkadapat</v>
      </c>
      <c r="C27665" t="s">
        <v>2444</v>
      </c>
      <c r="D27665">
        <v>1457</v>
      </c>
      <c r="E27665">
        <v>0</v>
      </c>
      <c r="F27665">
        <v>156</v>
      </c>
    </row>
    <row r="27666" spans="1:6" ht="12.75">
      <c r="A27666" s="2">
        <v>43875.645254629635</v>
      </c>
      <c r="B27666" t="str">
        <f>HYPERLINK("https://twitter.com/r0seland","@r0seland")</f>
        <v>@r0seland</v>
      </c>
      <c r="C27666" t="s">
        <v>5168</v>
      </c>
      <c r="D27666">
        <v>739</v>
      </c>
      <c r="E27666">
        <v>0</v>
      </c>
      <c r="F27666">
        <v>10</v>
      </c>
    </row>
    <row r="27667" spans="1:6" ht="12.75">
      <c r="A27667" s="2">
        <v>43875.645243055551</v>
      </c>
      <c r="B27667" t="str">
        <f>HYPERLINK("https://twitter.com/Denis73048995","@Denis73048995")</f>
        <v>@Denis73048995</v>
      </c>
      <c r="C27667" t="s">
        <v>12213</v>
      </c>
      <c r="D27667">
        <v>0</v>
      </c>
      <c r="E27667">
        <v>0</v>
      </c>
      <c r="F27667">
        <v>93</v>
      </c>
    </row>
    <row r="27668" spans="1:6" ht="12.75">
      <c r="A27668" s="2">
        <v>43875.645219907412</v>
      </c>
      <c r="B27668" t="str">
        <f>HYPERLINK("https://twitter.com/Anie_TT99","@Anie_TT99")</f>
        <v>@Anie_TT99</v>
      </c>
      <c r="C27668" t="s">
        <v>12212</v>
      </c>
      <c r="D27668">
        <v>11</v>
      </c>
      <c r="E27668">
        <v>0</v>
      </c>
      <c r="F27668">
        <v>1482</v>
      </c>
    </row>
    <row r="27669" spans="1:6" ht="12.75">
      <c r="A27669" s="2">
        <v>43875.645208333328</v>
      </c>
      <c r="B27669" t="str">
        <f>HYPERLINK("https://twitter.com/FeryalDoni","@FeryalDoni")</f>
        <v>@FeryalDoni</v>
      </c>
      <c r="C27669" t="s">
        <v>2444</v>
      </c>
      <c r="D27669">
        <v>1457</v>
      </c>
      <c r="E27669">
        <v>0</v>
      </c>
      <c r="F27669">
        <v>811</v>
      </c>
    </row>
    <row r="27670" spans="1:6" ht="12.75">
      <c r="A27670" s="2">
        <v>43875.645208333328</v>
      </c>
      <c r="B27670" t="str">
        <f>HYPERLINK("https://twitter.com/indiagila","@indiagila")</f>
        <v>@indiagila</v>
      </c>
      <c r="C27670" t="s">
        <v>12214</v>
      </c>
      <c r="D27670">
        <v>0</v>
      </c>
      <c r="E27670">
        <v>0</v>
      </c>
      <c r="F27670">
        <v>1192</v>
      </c>
    </row>
    <row r="27671" spans="1:6" ht="12.75">
      <c r="A27671" s="2">
        <v>43875.645185185189</v>
      </c>
      <c r="B27671" t="str">
        <f>HYPERLINK("https://twitter.com/fadzilahhusna_","@fadzilahhusna_")</f>
        <v>@fadzilahhusna_</v>
      </c>
      <c r="C27671" t="s">
        <v>2444</v>
      </c>
      <c r="D27671">
        <v>1457</v>
      </c>
      <c r="E27671">
        <v>0</v>
      </c>
      <c r="F27671">
        <v>266</v>
      </c>
    </row>
    <row r="27672" spans="1:6" ht="12.75">
      <c r="A27672" s="2">
        <v>43875.645115740743</v>
      </c>
      <c r="B27672" t="str">
        <f>HYPERLINK("https://twitter.com/lagihamill","@lagihamill")</f>
        <v>@lagihamill</v>
      </c>
      <c r="C27672" t="s">
        <v>9123</v>
      </c>
      <c r="D27672">
        <v>213</v>
      </c>
      <c r="E27672">
        <v>0</v>
      </c>
      <c r="F27672">
        <v>296</v>
      </c>
    </row>
    <row r="27673" spans="1:6" ht="12.75">
      <c r="A27673" s="2">
        <v>43875.644976851851</v>
      </c>
      <c r="B27673" t="str">
        <f>HYPERLINK("https://twitter.com/IbnuAirlangga","@IbnuAirlangga")</f>
        <v>@IbnuAirlangga</v>
      </c>
      <c r="C27673" t="s">
        <v>10706</v>
      </c>
      <c r="D27673">
        <v>211</v>
      </c>
      <c r="E27673">
        <v>0</v>
      </c>
      <c r="F27673">
        <v>77</v>
      </c>
    </row>
    <row r="27674" spans="1:6" ht="12.75">
      <c r="A27674" s="2">
        <v>43875.644965277781</v>
      </c>
      <c r="B27674" t="str">
        <f>HYPERLINK("https://twitter.com/ekose85","@ekose85")</f>
        <v>@ekose85</v>
      </c>
      <c r="C27674" t="s">
        <v>7478</v>
      </c>
      <c r="D27674">
        <v>191</v>
      </c>
      <c r="E27674">
        <v>0</v>
      </c>
      <c r="F27674">
        <v>396</v>
      </c>
    </row>
    <row r="27675" spans="1:6" ht="12.75">
      <c r="A27675" s="2">
        <v>43875.644965277781</v>
      </c>
      <c r="B27675" t="str">
        <f>HYPERLINK("https://twitter.com/Mordechai1972","@Mordechai1972")</f>
        <v>@Mordechai1972</v>
      </c>
      <c r="C27675" t="s">
        <v>2963</v>
      </c>
      <c r="D27675">
        <v>922</v>
      </c>
      <c r="E27675">
        <v>0</v>
      </c>
      <c r="F27675">
        <v>57</v>
      </c>
    </row>
    <row r="27676" spans="1:6" ht="12.75">
      <c r="A27676" s="2">
        <v>43875.644849537042</v>
      </c>
      <c r="B27676" t="str">
        <f>HYPERLINK("https://twitter.com/robertohamzah","@robertohamzah")</f>
        <v>@robertohamzah</v>
      </c>
      <c r="C27676" t="s">
        <v>5168</v>
      </c>
      <c r="D27676">
        <v>739</v>
      </c>
      <c r="E27676">
        <v>0</v>
      </c>
      <c r="F27676">
        <v>234</v>
      </c>
    </row>
    <row r="27677" spans="1:6" ht="12.75">
      <c r="A27677" s="2">
        <v>43875.644814814819</v>
      </c>
      <c r="B27677" t="str">
        <f>HYPERLINK("https://twitter.com/MonitorCOID","@MonitorCOID")</f>
        <v>@MonitorCOID</v>
      </c>
      <c r="C27677" t="s">
        <v>12215</v>
      </c>
      <c r="D27677">
        <v>0</v>
      </c>
      <c r="E27677">
        <v>0</v>
      </c>
      <c r="F27677">
        <v>2630</v>
      </c>
    </row>
    <row r="27678" spans="1:6" ht="12.75">
      <c r="A27678" s="2">
        <v>43875.644803240742</v>
      </c>
      <c r="B27678" t="str">
        <f>HYPERLINK("https://twitter.com/kkuryseul","@kkuryseul")</f>
        <v>@kkuryseul</v>
      </c>
      <c r="C27678" t="s">
        <v>5168</v>
      </c>
      <c r="D27678">
        <v>739</v>
      </c>
      <c r="E27678">
        <v>0</v>
      </c>
      <c r="F27678">
        <v>195</v>
      </c>
    </row>
    <row r="27679" spans="1:6" ht="12.75">
      <c r="A27679" s="2">
        <v>43875.644791666666</v>
      </c>
      <c r="B27679" t="str">
        <f t="shared" ref="B27679:B27680" si="366">HYPERLINK("https://twitter.com/MonitorCOID","@MonitorCOID")</f>
        <v>@MonitorCOID</v>
      </c>
      <c r="C27679" t="s">
        <v>12216</v>
      </c>
      <c r="D27679">
        <v>0</v>
      </c>
      <c r="E27679">
        <v>0</v>
      </c>
      <c r="F27679">
        <v>2630</v>
      </c>
    </row>
    <row r="27680" spans="1:6" ht="12.75">
      <c r="A27680" s="2">
        <v>43875.644780092596</v>
      </c>
      <c r="B27680" t="str">
        <f t="shared" si="366"/>
        <v>@MonitorCOID</v>
      </c>
      <c r="C27680" t="s">
        <v>12217</v>
      </c>
      <c r="D27680">
        <v>0</v>
      </c>
      <c r="E27680">
        <v>0</v>
      </c>
      <c r="F27680">
        <v>2630</v>
      </c>
    </row>
    <row r="27681" spans="1:6" ht="12.75">
      <c r="A27681" s="2">
        <v>43875.644756944443</v>
      </c>
      <c r="B27681" t="str">
        <f>HYPERLINK("https://twitter.com/EAGLE_0775","@EAGLE_0775")</f>
        <v>@EAGLE_0775</v>
      </c>
      <c r="C27681" t="s">
        <v>12218</v>
      </c>
      <c r="D27681">
        <v>0</v>
      </c>
      <c r="E27681">
        <v>0</v>
      </c>
      <c r="F27681">
        <v>1204</v>
      </c>
    </row>
    <row r="27682" spans="1:6" ht="12.75">
      <c r="A27682" s="2">
        <v>43875.64461805555</v>
      </c>
      <c r="B27682" t="str">
        <f>HYPERLINK("https://twitter.com/haowevermint","@haowevermint")</f>
        <v>@haowevermint</v>
      </c>
      <c r="C27682" t="s">
        <v>2444</v>
      </c>
      <c r="D27682">
        <v>1457</v>
      </c>
      <c r="E27682">
        <v>0</v>
      </c>
      <c r="F27682">
        <v>652</v>
      </c>
    </row>
    <row r="27683" spans="1:6" ht="12.75">
      <c r="A27683" s="2">
        <v>43875.644583333335</v>
      </c>
      <c r="B27683" t="str">
        <f>HYPERLINK("https://twitter.com/ichachaf_","@ichachaf_")</f>
        <v>@ichachaf_</v>
      </c>
      <c r="C27683" t="s">
        <v>9123</v>
      </c>
      <c r="D27683">
        <v>213</v>
      </c>
      <c r="E27683">
        <v>0</v>
      </c>
      <c r="F27683">
        <v>225</v>
      </c>
    </row>
    <row r="27684" spans="1:6" ht="12.75">
      <c r="A27684" s="2">
        <v>43875.644583333335</v>
      </c>
      <c r="B27684" t="str">
        <f>HYPERLINK("https://twitter.com/teenHwi","@teenHwi")</f>
        <v>@teenHwi</v>
      </c>
      <c r="C27684" t="s">
        <v>2444</v>
      </c>
      <c r="D27684">
        <v>1457</v>
      </c>
      <c r="E27684">
        <v>0</v>
      </c>
      <c r="F27684">
        <v>475</v>
      </c>
    </row>
    <row r="27685" spans="1:6" ht="12.75">
      <c r="A27685" s="2">
        <v>43875.644560185188</v>
      </c>
      <c r="B27685" t="str">
        <f>HYPERLINK("https://twitter.com/Rido_Lizze","@Rido_Lizze")</f>
        <v>@Rido_Lizze</v>
      </c>
      <c r="C27685" t="s">
        <v>12219</v>
      </c>
      <c r="D27685">
        <v>0</v>
      </c>
      <c r="E27685">
        <v>0</v>
      </c>
      <c r="F27685">
        <v>1303</v>
      </c>
    </row>
    <row r="27686" spans="1:6" ht="12.75">
      <c r="A27686" s="2">
        <v>43875.644525462965</v>
      </c>
      <c r="B27686" t="str">
        <f>HYPERLINK("https://twitter.com/lagihamill","@lagihamill")</f>
        <v>@lagihamill</v>
      </c>
      <c r="C27686" t="s">
        <v>2444</v>
      </c>
      <c r="D27686">
        <v>1457</v>
      </c>
      <c r="E27686">
        <v>0</v>
      </c>
      <c r="F27686">
        <v>296</v>
      </c>
    </row>
    <row r="27687" spans="1:6" ht="12.75">
      <c r="A27687" s="2">
        <v>43875.644490740742</v>
      </c>
      <c r="B27687" t="str">
        <f>HYPERLINK("https://twitter.com/mesipul","@mesipul")</f>
        <v>@mesipul</v>
      </c>
      <c r="C27687" t="s">
        <v>2444</v>
      </c>
      <c r="D27687">
        <v>1457</v>
      </c>
      <c r="E27687">
        <v>0</v>
      </c>
      <c r="F27687">
        <v>516</v>
      </c>
    </row>
    <row r="27688" spans="1:6" ht="12.75">
      <c r="A27688" s="2">
        <v>43875.644467592589</v>
      </c>
      <c r="B27688" t="str">
        <f>HYPERLINK("https://twitter.com/IbnuAirlangga","@IbnuAirlangga")</f>
        <v>@IbnuAirlangga</v>
      </c>
      <c r="C27688" t="s">
        <v>10190</v>
      </c>
      <c r="D27688">
        <v>20</v>
      </c>
      <c r="E27688">
        <v>0</v>
      </c>
      <c r="F27688">
        <v>77</v>
      </c>
    </row>
    <row r="27689" spans="1:6" ht="12.75">
      <c r="A27689" s="2">
        <v>43875.644456018519</v>
      </c>
      <c r="B27689" t="str">
        <f>HYPERLINK("https://twitter.com/kicepkicep","@kicepkicep")</f>
        <v>@kicepkicep</v>
      </c>
      <c r="C27689" t="s">
        <v>9746</v>
      </c>
      <c r="D27689">
        <v>214</v>
      </c>
      <c r="E27689">
        <v>0</v>
      </c>
      <c r="F27689">
        <v>1221</v>
      </c>
    </row>
    <row r="27690" spans="1:6" ht="12.75">
      <c r="A27690" s="2">
        <v>43875.64444444445</v>
      </c>
      <c r="B27690" t="str">
        <f>HYPERLINK("https://twitter.com/Wilson_P535","@Wilson_P535")</f>
        <v>@Wilson_P535</v>
      </c>
      <c r="C27690" t="s">
        <v>12220</v>
      </c>
      <c r="D27690">
        <v>0</v>
      </c>
      <c r="E27690">
        <v>0</v>
      </c>
      <c r="F27690">
        <v>28</v>
      </c>
    </row>
    <row r="27691" spans="1:6" ht="12.75">
      <c r="A27691" s="2">
        <v>43875.644421296296</v>
      </c>
      <c r="B27691" t="str">
        <f>HYPERLINK("https://twitter.com/sihol72","@sihol72")</f>
        <v>@sihol72</v>
      </c>
      <c r="C27691" t="s">
        <v>12221</v>
      </c>
      <c r="D27691">
        <v>0</v>
      </c>
      <c r="E27691">
        <v>0</v>
      </c>
      <c r="F27691">
        <v>145</v>
      </c>
    </row>
    <row r="27692" spans="1:6" ht="12.75">
      <c r="A27692" s="2">
        <v>43875.644259259258</v>
      </c>
      <c r="B27692" t="str">
        <f>HYPERLINK("https://twitter.com/ichachaf_","@ichachaf_")</f>
        <v>@ichachaf_</v>
      </c>
      <c r="C27692" t="s">
        <v>2444</v>
      </c>
      <c r="D27692">
        <v>1457</v>
      </c>
      <c r="E27692">
        <v>0</v>
      </c>
      <c r="F27692">
        <v>225</v>
      </c>
    </row>
    <row r="27693" spans="1:6" ht="12.75">
      <c r="A27693" s="2">
        <v>43875.644131944442</v>
      </c>
      <c r="B27693" t="str">
        <f>HYPERLINK("https://twitter.com/ohmydayari_","@ohmydayari_")</f>
        <v>@ohmydayari_</v>
      </c>
      <c r="C27693" t="s">
        <v>2444</v>
      </c>
      <c r="D27693">
        <v>1457</v>
      </c>
      <c r="E27693">
        <v>0</v>
      </c>
      <c r="F27693">
        <v>1118</v>
      </c>
    </row>
    <row r="27694" spans="1:6" ht="12.75">
      <c r="A27694" s="2">
        <v>43875.644131944442</v>
      </c>
      <c r="B27694" t="str">
        <f>HYPERLINK("https://twitter.com/metro_kepri","@metro_kepri")</f>
        <v>@metro_kepri</v>
      </c>
      <c r="C27694" t="s">
        <v>12222</v>
      </c>
      <c r="D27694">
        <v>0</v>
      </c>
      <c r="E27694">
        <v>0</v>
      </c>
      <c r="F27694">
        <v>100</v>
      </c>
    </row>
    <row r="27695" spans="1:6" ht="12.75">
      <c r="A27695" s="2">
        <v>43875.644085648149</v>
      </c>
      <c r="B27695" t="str">
        <f>HYPERLINK("https://twitter.com/antaranews","@antaranews")</f>
        <v>@antaranews</v>
      </c>
      <c r="C27695" t="s">
        <v>12223</v>
      </c>
      <c r="D27695">
        <v>0</v>
      </c>
      <c r="E27695">
        <v>0</v>
      </c>
      <c r="F27695">
        <v>1103212</v>
      </c>
    </row>
    <row r="27696" spans="1:6" ht="12.75">
      <c r="A27696" s="2">
        <v>43875.644062499996</v>
      </c>
      <c r="B27696" t="str">
        <f>HYPERLINK("https://twitter.com/rezaandikagd","@rezaandikagd")</f>
        <v>@rezaandikagd</v>
      </c>
      <c r="C27696" t="s">
        <v>8233</v>
      </c>
      <c r="D27696">
        <v>469</v>
      </c>
      <c r="E27696">
        <v>0</v>
      </c>
      <c r="F27696">
        <v>210</v>
      </c>
    </row>
    <row r="27697" spans="1:6" ht="12.75">
      <c r="A27697" s="2">
        <v>43875.644016203703</v>
      </c>
      <c r="B27697" t="str">
        <f>HYPERLINK("https://twitter.com/pasadenasl","@pasadenasl")</f>
        <v>@pasadenasl</v>
      </c>
      <c r="C27697" t="s">
        <v>9746</v>
      </c>
      <c r="D27697">
        <v>214</v>
      </c>
      <c r="E27697">
        <v>0</v>
      </c>
      <c r="F27697">
        <v>393</v>
      </c>
    </row>
    <row r="27698" spans="1:6" ht="12.75">
      <c r="A27698" s="2">
        <v>43875.643796296295</v>
      </c>
      <c r="B27698" t="str">
        <f>HYPERLINK("https://twitter.com/bulansridevi","@bulansridevi")</f>
        <v>@bulansridevi</v>
      </c>
      <c r="C27698" t="s">
        <v>12224</v>
      </c>
      <c r="D27698">
        <v>0</v>
      </c>
      <c r="E27698">
        <v>0</v>
      </c>
      <c r="F27698">
        <v>790</v>
      </c>
    </row>
    <row r="27699" spans="1:6" ht="12.75">
      <c r="A27699" s="2">
        <v>43875.643761574072</v>
      </c>
      <c r="B27699" t="str">
        <f>HYPERLINK("https://twitter.com/bakulmercon74","@bakulmercon74")</f>
        <v>@bakulmercon74</v>
      </c>
      <c r="C27699" t="s">
        <v>12225</v>
      </c>
      <c r="D27699">
        <v>0</v>
      </c>
      <c r="E27699">
        <v>0</v>
      </c>
      <c r="F27699">
        <v>31</v>
      </c>
    </row>
    <row r="27700" spans="1:6" ht="12.75">
      <c r="A27700" s="2">
        <v>43875.643761574072</v>
      </c>
      <c r="B27700" t="str">
        <f>HYPERLINK("https://twitter.com/williamimmanuel","@williamimmanuel")</f>
        <v>@williamimmanuel</v>
      </c>
      <c r="C27700" t="s">
        <v>2444</v>
      </c>
      <c r="D27700">
        <v>1457</v>
      </c>
      <c r="E27700">
        <v>0</v>
      </c>
      <c r="F27700">
        <v>285</v>
      </c>
    </row>
    <row r="27701" spans="1:6" ht="12.75">
      <c r="A27701" s="2">
        <v>43875.643645833334</v>
      </c>
      <c r="B27701" t="str">
        <f>HYPERLINK("https://twitter.com/ichachaf_","@ichachaf_")</f>
        <v>@ichachaf_</v>
      </c>
      <c r="C27701" t="s">
        <v>12226</v>
      </c>
      <c r="D27701">
        <v>0</v>
      </c>
      <c r="E27701">
        <v>0</v>
      </c>
      <c r="F27701">
        <v>225</v>
      </c>
    </row>
    <row r="27702" spans="1:6" ht="12.75">
      <c r="A27702" s="2">
        <v>43875.643541666665</v>
      </c>
      <c r="B27702" t="str">
        <f>HYPERLINK("https://twitter.com/yazid_fadhlan","@yazid_fadhlan")</f>
        <v>@yazid_fadhlan</v>
      </c>
      <c r="C27702" t="s">
        <v>10208</v>
      </c>
      <c r="D27702">
        <v>4</v>
      </c>
      <c r="E27702">
        <v>0</v>
      </c>
      <c r="F27702">
        <v>616</v>
      </c>
    </row>
    <row r="27703" spans="1:6" ht="12.75">
      <c r="A27703" s="2">
        <v>43875.643541666665</v>
      </c>
      <c r="B27703" t="str">
        <f>HYPERLINK("https://twitter.com/makacceye_","@makacceye_")</f>
        <v>@makacceye_</v>
      </c>
      <c r="C27703" t="s">
        <v>9123</v>
      </c>
      <c r="D27703">
        <v>213</v>
      </c>
      <c r="E27703">
        <v>0</v>
      </c>
      <c r="F27703">
        <v>429</v>
      </c>
    </row>
    <row r="27704" spans="1:6" ht="12.75">
      <c r="A27704" s="2">
        <v>43875.643391203703</v>
      </c>
      <c r="B27704" t="str">
        <f>HYPERLINK("https://twitter.com/Deswoko","@Deswoko")</f>
        <v>@Deswoko</v>
      </c>
      <c r="C27704" t="s">
        <v>12227</v>
      </c>
      <c r="D27704">
        <v>0</v>
      </c>
      <c r="E27704">
        <v>0</v>
      </c>
      <c r="F27704">
        <v>115</v>
      </c>
    </row>
    <row r="27705" spans="1:6" ht="12.75">
      <c r="A27705" s="2">
        <v>43875.643333333333</v>
      </c>
      <c r="B27705" t="str">
        <f>HYPERLINK("https://twitter.com/anggiedwidowati","@anggiedwidowati")</f>
        <v>@anggiedwidowati</v>
      </c>
      <c r="C27705" t="s">
        <v>2963</v>
      </c>
      <c r="D27705">
        <v>922</v>
      </c>
      <c r="E27705">
        <v>0</v>
      </c>
      <c r="F27705">
        <v>15115</v>
      </c>
    </row>
    <row r="27706" spans="1:6" ht="12.75">
      <c r="A27706" s="2">
        <v>43875.643252314811</v>
      </c>
      <c r="B27706" t="str">
        <f>HYPERLINK("https://twitter.com/wabisabishii","@wabisabishii")</f>
        <v>@wabisabishii</v>
      </c>
      <c r="C27706" t="s">
        <v>2444</v>
      </c>
      <c r="D27706">
        <v>1457</v>
      </c>
      <c r="E27706">
        <v>0</v>
      </c>
      <c r="F27706">
        <v>3</v>
      </c>
    </row>
    <row r="27707" spans="1:6" ht="12.75">
      <c r="A27707" s="2">
        <v>43875.643252314811</v>
      </c>
      <c r="B27707" t="str">
        <f>HYPERLINK("https://twitter.com/ilman__nafian","@ilman__nafian")</f>
        <v>@ilman__nafian</v>
      </c>
      <c r="C27707" t="s">
        <v>12228</v>
      </c>
      <c r="D27707">
        <v>0</v>
      </c>
      <c r="E27707">
        <v>0</v>
      </c>
      <c r="F27707">
        <v>1826</v>
      </c>
    </row>
    <row r="27708" spans="1:6" ht="12.75">
      <c r="A27708" s="2">
        <v>43875.643194444448</v>
      </c>
      <c r="B27708" t="str">
        <f>HYPERLINK("https://twitter.com/ryoandil","@ryoandil")</f>
        <v>@ryoandil</v>
      </c>
      <c r="C27708" t="s">
        <v>12229</v>
      </c>
      <c r="D27708">
        <v>0</v>
      </c>
      <c r="E27708">
        <v>0</v>
      </c>
      <c r="F27708">
        <v>169</v>
      </c>
    </row>
    <row r="27709" spans="1:6" ht="12.75">
      <c r="A27709" s="2">
        <v>43875.643113425926</v>
      </c>
      <c r="B27709" t="str">
        <f>HYPERLINK("https://twitter.com/ISIS_Balik_NO","@ISIS_Balik_NO")</f>
        <v>@ISIS_Balik_NO</v>
      </c>
      <c r="C27709" t="s">
        <v>12230</v>
      </c>
      <c r="D27709">
        <v>0</v>
      </c>
      <c r="E27709">
        <v>2</v>
      </c>
      <c r="F27709">
        <v>5899</v>
      </c>
    </row>
    <row r="27710" spans="1:6" ht="12.75">
      <c r="A27710" s="2">
        <v>43875.643113425926</v>
      </c>
      <c r="B27710" t="str">
        <f>HYPERLINK("https://twitter.com/brigtgas","@brigtgas")</f>
        <v>@brigtgas</v>
      </c>
      <c r="C27710" t="s">
        <v>2444</v>
      </c>
      <c r="D27710">
        <v>1457</v>
      </c>
      <c r="E27710">
        <v>0</v>
      </c>
      <c r="F27710">
        <v>421</v>
      </c>
    </row>
    <row r="27711" spans="1:6" ht="12.75">
      <c r="A27711" s="2">
        <v>43875.643101851849</v>
      </c>
      <c r="B27711" t="str">
        <f>HYPERLINK("https://twitter.com/eddy_AS_111","@eddy_AS_111")</f>
        <v>@eddy_AS_111</v>
      </c>
      <c r="C27711" t="s">
        <v>2963</v>
      </c>
      <c r="D27711">
        <v>922</v>
      </c>
      <c r="E27711">
        <v>0</v>
      </c>
      <c r="F27711">
        <v>202</v>
      </c>
    </row>
    <row r="27712" spans="1:6" ht="12.75">
      <c r="A27712" s="2">
        <v>43875.643090277779</v>
      </c>
      <c r="B27712" t="str">
        <f>HYPERLINK("https://twitter.com/pipitelek","@pipitelek")</f>
        <v>@pipitelek</v>
      </c>
      <c r="C27712" t="s">
        <v>2444</v>
      </c>
      <c r="D27712">
        <v>1457</v>
      </c>
      <c r="E27712">
        <v>0</v>
      </c>
      <c r="F27712">
        <v>87</v>
      </c>
    </row>
    <row r="27713" spans="1:6" ht="12.75">
      <c r="A27713" s="2">
        <v>43875.643078703702</v>
      </c>
      <c r="B27713" t="str">
        <f>HYPERLINK("https://twitter.com/BLac__4n6eL6","@BLac__4n6eL6")</f>
        <v>@BLac__4n6eL6</v>
      </c>
      <c r="C27713" t="s">
        <v>12212</v>
      </c>
      <c r="D27713">
        <v>11</v>
      </c>
      <c r="E27713">
        <v>0</v>
      </c>
      <c r="F27713">
        <v>1315</v>
      </c>
    </row>
    <row r="27714" spans="1:6" ht="12.75">
      <c r="A27714" s="2">
        <v>43875.643067129626</v>
      </c>
      <c r="B27714" t="str">
        <f>HYPERLINK("https://twitter.com/Ser_Seguro","@Ser_Seguro")</f>
        <v>@Ser_Seguro</v>
      </c>
      <c r="C27714" t="s">
        <v>2444</v>
      </c>
      <c r="D27714">
        <v>1457</v>
      </c>
      <c r="E27714">
        <v>0</v>
      </c>
      <c r="F27714">
        <v>669</v>
      </c>
    </row>
    <row r="27715" spans="1:6" ht="12.75">
      <c r="A27715" s="2">
        <v>43875.643055555556</v>
      </c>
      <c r="B27715" t="str">
        <f>HYPERLINK("https://twitter.com/pddg__head","@pddg__head")</f>
        <v>@pddg__head</v>
      </c>
      <c r="C27715" t="s">
        <v>2444</v>
      </c>
      <c r="D27715">
        <v>1457</v>
      </c>
      <c r="E27715">
        <v>0</v>
      </c>
      <c r="F27715">
        <v>228</v>
      </c>
    </row>
    <row r="27716" spans="1:6" ht="12.75">
      <c r="A27716" s="2">
        <v>43875.643020833333</v>
      </c>
      <c r="B27716" t="str">
        <f>HYPERLINK("https://twitter.com/baddocq","@baddocq")</f>
        <v>@baddocq</v>
      </c>
      <c r="C27716" t="s">
        <v>9746</v>
      </c>
      <c r="D27716">
        <v>214</v>
      </c>
      <c r="E27716">
        <v>0</v>
      </c>
      <c r="F27716">
        <v>110</v>
      </c>
    </row>
    <row r="27717" spans="1:6" ht="12.75">
      <c r="A27717" s="2">
        <v>43875.643020833333</v>
      </c>
      <c r="B27717" t="str">
        <f>HYPERLINK("https://twitter.com/Andhita06","@Andhita06")</f>
        <v>@Andhita06</v>
      </c>
      <c r="C27717" t="s">
        <v>2137</v>
      </c>
      <c r="D27717">
        <v>119</v>
      </c>
      <c r="E27717">
        <v>0</v>
      </c>
      <c r="F27717">
        <v>499</v>
      </c>
    </row>
    <row r="27718" spans="1:6" ht="12.75">
      <c r="A27718" s="2">
        <v>43875.642974537041</v>
      </c>
      <c r="B27718" t="str">
        <f>HYPERLINK("https://twitter.com/skijeufrenia","@skijeufrenia")</f>
        <v>@skijeufrenia</v>
      </c>
      <c r="C27718" t="s">
        <v>9123</v>
      </c>
      <c r="D27718">
        <v>213</v>
      </c>
      <c r="E27718">
        <v>0</v>
      </c>
      <c r="F27718">
        <v>1202</v>
      </c>
    </row>
    <row r="27719" spans="1:6" ht="12.75">
      <c r="A27719" s="2">
        <v>43875.642939814818</v>
      </c>
      <c r="B27719" t="str">
        <f>HYPERLINK("https://twitter.com/maayezz","@maayezz")</f>
        <v>@maayezz</v>
      </c>
      <c r="C27719" t="s">
        <v>2137</v>
      </c>
      <c r="D27719">
        <v>119</v>
      </c>
      <c r="E27719">
        <v>0</v>
      </c>
      <c r="F27719">
        <v>706</v>
      </c>
    </row>
    <row r="27720" spans="1:6" ht="12.75">
      <c r="A27720" s="2">
        <v>43875.642893518518</v>
      </c>
      <c r="B27720" t="str">
        <f>HYPERLINK("https://twitter.com/geloraco","@geloraco")</f>
        <v>@geloraco</v>
      </c>
      <c r="C27720" t="s">
        <v>12231</v>
      </c>
      <c r="D27720">
        <v>0</v>
      </c>
      <c r="E27720">
        <v>0</v>
      </c>
      <c r="F27720">
        <v>99725</v>
      </c>
    </row>
    <row r="27721" spans="1:6" ht="12.75">
      <c r="A27721" s="2">
        <v>43875.642881944441</v>
      </c>
      <c r="B27721" t="str">
        <f>HYPERLINK("https://twitter.com/donsnomanstream","@donsnomanstream")</f>
        <v>@donsnomanstream</v>
      </c>
      <c r="C27721" t="s">
        <v>7478</v>
      </c>
      <c r="D27721">
        <v>191</v>
      </c>
      <c r="E27721">
        <v>0</v>
      </c>
      <c r="F27721">
        <v>105</v>
      </c>
    </row>
    <row r="27722" spans="1:6" ht="12.75">
      <c r="A27722" s="2">
        <v>43875.642858796295</v>
      </c>
      <c r="B27722" t="str">
        <f>HYPERLINK("https://twitter.com/NanPaf","@NanPaf")</f>
        <v>@NanPaf</v>
      </c>
      <c r="C27722" t="s">
        <v>12232</v>
      </c>
      <c r="D27722">
        <v>3</v>
      </c>
      <c r="E27722">
        <v>0</v>
      </c>
      <c r="F27722">
        <v>548</v>
      </c>
    </row>
    <row r="27723" spans="1:6" ht="12.75">
      <c r="A27723" s="2">
        <v>43875.642835648148</v>
      </c>
      <c r="B27723" t="str">
        <f>HYPERLINK("https://twitter.com/cnbcindonesia","@cnbcindonesia")</f>
        <v>@cnbcindonesia</v>
      </c>
      <c r="C27723" t="s">
        <v>12233</v>
      </c>
      <c r="D27723">
        <v>1</v>
      </c>
      <c r="E27723">
        <v>0</v>
      </c>
      <c r="F27723">
        <v>29996</v>
      </c>
    </row>
    <row r="27724" spans="1:6" ht="12.75">
      <c r="A27724" s="2">
        <v>43875.642777777779</v>
      </c>
      <c r="B27724" t="str">
        <f>HYPERLINK("https://twitter.com/EmilyIsbl13","@EmilyIsbl13")</f>
        <v>@EmilyIsbl13</v>
      </c>
      <c r="C27724" t="s">
        <v>12234</v>
      </c>
      <c r="D27724">
        <v>0</v>
      </c>
      <c r="E27724">
        <v>0</v>
      </c>
      <c r="F27724">
        <v>6</v>
      </c>
    </row>
    <row r="27725" spans="1:6" ht="12.75">
      <c r="A27725" s="2">
        <v>43875.642766203702</v>
      </c>
      <c r="B27725" t="str">
        <f>HYPERLINK("https://twitter.com/srf099","@srf099")</f>
        <v>@srf099</v>
      </c>
      <c r="C27725" t="s">
        <v>12235</v>
      </c>
      <c r="D27725">
        <v>0</v>
      </c>
      <c r="E27725">
        <v>0</v>
      </c>
      <c r="F27725">
        <v>131</v>
      </c>
    </row>
    <row r="27726" spans="1:6" ht="12.75">
      <c r="A27726" s="2">
        <v>43875.642766203702</v>
      </c>
      <c r="B27726" t="str">
        <f>HYPERLINK("https://twitter.com/daverevano","@daverevano")</f>
        <v>@daverevano</v>
      </c>
      <c r="C27726" t="s">
        <v>12236</v>
      </c>
      <c r="D27726">
        <v>0</v>
      </c>
      <c r="E27726">
        <v>0</v>
      </c>
      <c r="F27726">
        <v>4561</v>
      </c>
    </row>
    <row r="27727" spans="1:6" ht="12.75">
      <c r="A27727" s="2">
        <v>43875.642581018517</v>
      </c>
      <c r="B27727" t="str">
        <f>HYPERLINK("https://twitter.com/Chaseriva","@Chaseriva")</f>
        <v>@Chaseriva</v>
      </c>
      <c r="C27727" t="s">
        <v>2444</v>
      </c>
      <c r="D27727">
        <v>1457</v>
      </c>
      <c r="E27727">
        <v>0</v>
      </c>
      <c r="F27727">
        <v>361</v>
      </c>
    </row>
    <row r="27728" spans="1:6" ht="12.75">
      <c r="A27728" s="2">
        <v>43875.642569444448</v>
      </c>
      <c r="B27728" t="str">
        <f>HYPERLINK("https://twitter.com/iberdesu","@iberdesu")</f>
        <v>@iberdesu</v>
      </c>
      <c r="C27728" t="s">
        <v>2444</v>
      </c>
      <c r="D27728">
        <v>1457</v>
      </c>
      <c r="E27728">
        <v>0</v>
      </c>
      <c r="F27728">
        <v>614</v>
      </c>
    </row>
    <row r="27729" spans="1:6" ht="12.75">
      <c r="A27729" s="2">
        <v>43875.642557870371</v>
      </c>
      <c r="B27729" t="str">
        <f>HYPERLINK("https://twitter.com/ichvermisseu","@ichvermisseu")</f>
        <v>@ichvermisseu</v>
      </c>
      <c r="C27729" t="s">
        <v>10697</v>
      </c>
      <c r="D27729">
        <v>24</v>
      </c>
      <c r="E27729">
        <v>0</v>
      </c>
      <c r="F27729">
        <v>1250</v>
      </c>
    </row>
    <row r="27730" spans="1:6" ht="12.75">
      <c r="A27730" s="2">
        <v>43875.642453703702</v>
      </c>
      <c r="B27730" t="str">
        <f>HYPERLINK("https://twitter.com/iberdesu","@iberdesu")</f>
        <v>@iberdesu</v>
      </c>
      <c r="C27730" t="s">
        <v>9123</v>
      </c>
      <c r="D27730">
        <v>213</v>
      </c>
      <c r="E27730">
        <v>0</v>
      </c>
      <c r="F27730">
        <v>614</v>
      </c>
    </row>
    <row r="27731" spans="1:6" ht="12.75">
      <c r="A27731" s="2">
        <v>43875.642442129625</v>
      </c>
      <c r="B27731" t="str">
        <f>HYPERLINK("https://twitter.com/ZheeOmega","@ZheeOmega")</f>
        <v>@ZheeOmega</v>
      </c>
      <c r="C27731" t="s">
        <v>12237</v>
      </c>
      <c r="D27731">
        <v>1</v>
      </c>
      <c r="E27731">
        <v>0</v>
      </c>
      <c r="F27731">
        <v>17782</v>
      </c>
    </row>
    <row r="27732" spans="1:6" ht="12.75">
      <c r="A27732" s="2">
        <v>43875.642418981486</v>
      </c>
      <c r="B27732" t="str">
        <f>HYPERLINK("https://twitter.com/Alie_Fahnoor","@Alie_Fahnoor")</f>
        <v>@Alie_Fahnoor</v>
      </c>
      <c r="C27732" t="s">
        <v>12064</v>
      </c>
      <c r="D27732">
        <v>1</v>
      </c>
      <c r="E27732">
        <v>0</v>
      </c>
      <c r="F27732">
        <v>438</v>
      </c>
    </row>
    <row r="27733" spans="1:6" ht="12.75">
      <c r="A27733" s="2">
        <v>43875.642361111109</v>
      </c>
      <c r="B27733" t="str">
        <f>HYPERLINK("https://twitter.com/kompascom","@kompascom")</f>
        <v>@kompascom</v>
      </c>
      <c r="C27733" t="s">
        <v>12238</v>
      </c>
      <c r="D27733">
        <v>1</v>
      </c>
      <c r="E27733">
        <v>8</v>
      </c>
      <c r="F27733">
        <v>7497430</v>
      </c>
    </row>
    <row r="27734" spans="1:6" ht="12.75">
      <c r="A27734" s="2">
        <v>43875.64234953704</v>
      </c>
      <c r="B27734" t="str">
        <f>HYPERLINK("https://twitter.com/KiranaMelya","@KiranaMelya")</f>
        <v>@KiranaMelya</v>
      </c>
      <c r="C27734" t="s">
        <v>12239</v>
      </c>
      <c r="D27734">
        <v>0</v>
      </c>
      <c r="E27734">
        <v>0</v>
      </c>
      <c r="F27734">
        <v>3</v>
      </c>
    </row>
    <row r="27735" spans="1:6" ht="12.75">
      <c r="A27735" s="2">
        <v>43875.64225694444</v>
      </c>
      <c r="B27735" t="str">
        <f>HYPERLINK("https://twitter.com/RepublikTweep","@RepublikTweep")</f>
        <v>@RepublikTweep</v>
      </c>
      <c r="C27735" t="s">
        <v>12240</v>
      </c>
      <c r="D27735">
        <v>0</v>
      </c>
      <c r="E27735">
        <v>0</v>
      </c>
      <c r="F27735">
        <v>26990</v>
      </c>
    </row>
    <row r="27736" spans="1:6" ht="12.75">
      <c r="A27736" s="2">
        <v>43875.642245370371</v>
      </c>
      <c r="B27736" t="str">
        <f>HYPERLINK("https://twitter.com/putera211","@putera211")</f>
        <v>@putera211</v>
      </c>
      <c r="C27736" t="s">
        <v>2444</v>
      </c>
      <c r="D27736">
        <v>1457</v>
      </c>
      <c r="E27736">
        <v>0</v>
      </c>
      <c r="F27736">
        <v>13</v>
      </c>
    </row>
    <row r="27737" spans="1:6" ht="12.75">
      <c r="A27737" s="2">
        <v>43875.642210648148</v>
      </c>
      <c r="B27737" t="str">
        <f>HYPERLINK("https://twitter.com/sukamotipuyo","@sukamotipuyo")</f>
        <v>@sukamotipuyo</v>
      </c>
      <c r="C27737" t="s">
        <v>2444</v>
      </c>
      <c r="D27737">
        <v>1457</v>
      </c>
      <c r="E27737">
        <v>0</v>
      </c>
      <c r="F27737">
        <v>321</v>
      </c>
    </row>
    <row r="27738" spans="1:6" ht="12.75">
      <c r="A27738" s="2">
        <v>43875.642164351855</v>
      </c>
      <c r="B27738" t="str">
        <f>HYPERLINK("https://twitter.com/EfelPrince","@EfelPrince")</f>
        <v>@EfelPrince</v>
      </c>
      <c r="C27738" t="s">
        <v>9746</v>
      </c>
      <c r="D27738">
        <v>214</v>
      </c>
      <c r="E27738">
        <v>0</v>
      </c>
      <c r="F27738">
        <v>64</v>
      </c>
    </row>
    <row r="27739" spans="1:6" ht="12.75">
      <c r="A27739" s="2">
        <v>43875.642129629632</v>
      </c>
      <c r="B27739" t="str">
        <f>HYPERLINK("https://twitter.com/BobbyIrfs","@BobbyIrfs")</f>
        <v>@BobbyIrfs</v>
      </c>
      <c r="C27739" t="s">
        <v>12241</v>
      </c>
      <c r="D27739">
        <v>0</v>
      </c>
      <c r="E27739">
        <v>0</v>
      </c>
      <c r="F27739">
        <v>1677</v>
      </c>
    </row>
    <row r="27740" spans="1:6" ht="12.75">
      <c r="A27740" s="2">
        <v>43875.642094907409</v>
      </c>
      <c r="B27740" t="str">
        <f>HYPERLINK("https://twitter.com/caaaa99","@caaaa99")</f>
        <v>@caaaa99</v>
      </c>
      <c r="C27740" t="s">
        <v>2444</v>
      </c>
      <c r="D27740">
        <v>1457</v>
      </c>
      <c r="E27740">
        <v>0</v>
      </c>
      <c r="F27740">
        <v>3</v>
      </c>
    </row>
    <row r="27741" spans="1:6" ht="12.75">
      <c r="A27741" s="2">
        <v>43875.642071759255</v>
      </c>
      <c r="B27741" t="str">
        <f>HYPERLINK("https://twitter.com/dfordk_","@dfordk_")</f>
        <v>@dfordk_</v>
      </c>
      <c r="C27741" t="s">
        <v>5168</v>
      </c>
      <c r="D27741">
        <v>739</v>
      </c>
      <c r="E27741">
        <v>0</v>
      </c>
      <c r="F27741">
        <v>322</v>
      </c>
    </row>
    <row r="27742" spans="1:6" ht="12.75">
      <c r="A27742" s="2">
        <v>43875.641944444447</v>
      </c>
      <c r="B27742" t="str">
        <f>HYPERLINK("https://twitter.com/guun01","@guun01")</f>
        <v>@guun01</v>
      </c>
      <c r="C27742" t="s">
        <v>2963</v>
      </c>
      <c r="D27742">
        <v>922</v>
      </c>
      <c r="E27742">
        <v>0</v>
      </c>
      <c r="F27742">
        <v>899</v>
      </c>
    </row>
    <row r="27743" spans="1:6" ht="12.75">
      <c r="A27743" s="2">
        <v>43875.641944444447</v>
      </c>
      <c r="B27743" t="str">
        <f>HYPERLINK("https://twitter.com/gatot30","@gatot30")</f>
        <v>@gatot30</v>
      </c>
      <c r="C27743" t="s">
        <v>9746</v>
      </c>
      <c r="D27743">
        <v>214</v>
      </c>
      <c r="E27743">
        <v>0</v>
      </c>
      <c r="F27743">
        <v>918</v>
      </c>
    </row>
    <row r="27744" spans="1:6" ht="12.75">
      <c r="A27744" s="2">
        <v>43875.641932870371</v>
      </c>
      <c r="B27744" t="str">
        <f>HYPERLINK("https://twitter.com/seprahaa","@seprahaa")</f>
        <v>@seprahaa</v>
      </c>
      <c r="C27744" t="s">
        <v>2444</v>
      </c>
      <c r="D27744">
        <v>1457</v>
      </c>
      <c r="E27744">
        <v>0</v>
      </c>
      <c r="F27744">
        <v>222</v>
      </c>
    </row>
    <row r="27745" spans="1:6" ht="12.75">
      <c r="A27745" s="2">
        <v>43875.641898148147</v>
      </c>
      <c r="B27745" t="str">
        <f>HYPERLINK("https://twitter.com/subchi20","@subchi20")</f>
        <v>@subchi20</v>
      </c>
      <c r="C27745" t="s">
        <v>7478</v>
      </c>
      <c r="D27745">
        <v>191</v>
      </c>
      <c r="E27745">
        <v>0</v>
      </c>
      <c r="F27745">
        <v>884</v>
      </c>
    </row>
    <row r="27746" spans="1:6" ht="12.75">
      <c r="A27746" s="2">
        <v>43875.641689814816</v>
      </c>
      <c r="B27746" t="str">
        <f>HYPERLINK("https://twitter.com/krismadyta","@krismadyta")</f>
        <v>@krismadyta</v>
      </c>
      <c r="C27746" t="s">
        <v>2444</v>
      </c>
      <c r="D27746">
        <v>1457</v>
      </c>
      <c r="E27746">
        <v>0</v>
      </c>
      <c r="F27746">
        <v>88</v>
      </c>
    </row>
    <row r="27747" spans="1:6" ht="12.75">
      <c r="A27747" s="2">
        <v>43875.641574074078</v>
      </c>
      <c r="B27747" t="str">
        <f>HYPERLINK("https://twitter.com/dfordk_","@dfordk_")</f>
        <v>@dfordk_</v>
      </c>
      <c r="C27747" t="s">
        <v>2444</v>
      </c>
      <c r="D27747">
        <v>1457</v>
      </c>
      <c r="E27747">
        <v>0</v>
      </c>
      <c r="F27747">
        <v>322</v>
      </c>
    </row>
    <row r="27748" spans="1:6" ht="12.75">
      <c r="A27748" s="2">
        <v>43875.641550925924</v>
      </c>
      <c r="B27748" t="str">
        <f>HYPERLINK("https://twitter.com/taeteati","@taeteati")</f>
        <v>@taeteati</v>
      </c>
      <c r="C27748" t="s">
        <v>2444</v>
      </c>
      <c r="D27748">
        <v>1457</v>
      </c>
      <c r="E27748">
        <v>0</v>
      </c>
      <c r="F27748">
        <v>1176</v>
      </c>
    </row>
    <row r="27749" spans="1:6" ht="12.75">
      <c r="A27749" s="2">
        <v>43875.641388888893</v>
      </c>
      <c r="B27749" t="str">
        <f>HYPERLINK("https://twitter.com/Araghutama","@Araghutama")</f>
        <v>@Araghutama</v>
      </c>
      <c r="C27749" t="s">
        <v>12242</v>
      </c>
      <c r="D27749">
        <v>0</v>
      </c>
      <c r="E27749">
        <v>0</v>
      </c>
      <c r="F27749">
        <v>225</v>
      </c>
    </row>
    <row r="27750" spans="1:6" ht="12.75">
      <c r="A27750" s="2">
        <v>43875.641273148147</v>
      </c>
      <c r="B27750" t="str">
        <f>HYPERLINK("https://twitter.com/afterdinner7pm","@afterdinner7pm")</f>
        <v>@afterdinner7pm</v>
      </c>
      <c r="C27750" t="s">
        <v>12243</v>
      </c>
      <c r="D27750">
        <v>0</v>
      </c>
      <c r="E27750">
        <v>0</v>
      </c>
      <c r="F27750">
        <v>673</v>
      </c>
    </row>
    <row r="27751" spans="1:6" ht="12.75">
      <c r="A27751" s="2">
        <v>43875.641238425931</v>
      </c>
      <c r="B27751" t="str">
        <f>HYPERLINK("https://twitter.com/haribudiman22","@haribudiman22")</f>
        <v>@haribudiman22</v>
      </c>
      <c r="C27751" t="s">
        <v>7478</v>
      </c>
      <c r="D27751">
        <v>191</v>
      </c>
      <c r="E27751">
        <v>0</v>
      </c>
      <c r="F27751">
        <v>555</v>
      </c>
    </row>
    <row r="27752" spans="1:6" ht="12.75">
      <c r="A27752" s="2">
        <v>43875.641215277778</v>
      </c>
      <c r="B27752" t="str">
        <f>HYPERLINK("https://twitter.com/ICorleano","@ICorleano")</f>
        <v>@ICorleano</v>
      </c>
      <c r="C27752" t="s">
        <v>10330</v>
      </c>
      <c r="D27752">
        <v>210</v>
      </c>
      <c r="E27752">
        <v>0</v>
      </c>
      <c r="F27752">
        <v>1775</v>
      </c>
    </row>
    <row r="27753" spans="1:6" ht="12.75">
      <c r="A27753" s="2">
        <v>43875.641203703708</v>
      </c>
      <c r="B27753" t="str">
        <f>HYPERLINK("https://twitter.com/bon_nugroho","@bon_nugroho")</f>
        <v>@bon_nugroho</v>
      </c>
      <c r="C27753" t="s">
        <v>10096</v>
      </c>
      <c r="D27753">
        <v>135</v>
      </c>
      <c r="E27753">
        <v>0</v>
      </c>
      <c r="F27753">
        <v>490</v>
      </c>
    </row>
    <row r="27754" spans="1:6" ht="12.75">
      <c r="A27754" s="2">
        <v>43875.641041666662</v>
      </c>
      <c r="B27754" t="str">
        <f>HYPERLINK("https://twitter.com/Diti44668265","@Diti44668265")</f>
        <v>@Diti44668265</v>
      </c>
      <c r="C27754" t="s">
        <v>8219</v>
      </c>
      <c r="D27754">
        <v>1</v>
      </c>
      <c r="E27754">
        <v>0</v>
      </c>
      <c r="F27754">
        <v>1369</v>
      </c>
    </row>
    <row r="27755" spans="1:6" ht="12.75">
      <c r="A27755" s="2">
        <v>43875.641041666662</v>
      </c>
      <c r="B27755" t="str">
        <f>HYPERLINK("https://twitter.com/FathanAfra","@FathanAfra")</f>
        <v>@FathanAfra</v>
      </c>
      <c r="C27755" t="s">
        <v>12244</v>
      </c>
      <c r="D27755">
        <v>2</v>
      </c>
      <c r="E27755">
        <v>0</v>
      </c>
      <c r="F27755">
        <v>1283</v>
      </c>
    </row>
    <row r="27756" spans="1:6" ht="12.75">
      <c r="A27756" s="2">
        <v>43875.641030092593</v>
      </c>
      <c r="B27756" t="str">
        <f>HYPERLINK("https://twitter.com/Sywa18","@Sywa18")</f>
        <v>@Sywa18</v>
      </c>
      <c r="C27756" t="s">
        <v>2963</v>
      </c>
      <c r="D27756">
        <v>922</v>
      </c>
      <c r="E27756">
        <v>0</v>
      </c>
      <c r="F27756">
        <v>785</v>
      </c>
    </row>
    <row r="27757" spans="1:6" ht="12.75">
      <c r="A27757" s="2">
        <v>43875.6409837963</v>
      </c>
      <c r="B27757" t="str">
        <f>HYPERLINK("https://twitter.com/HannigramCrime","@HannigramCrime")</f>
        <v>@HannigramCrime</v>
      </c>
      <c r="C27757" t="s">
        <v>2137</v>
      </c>
      <c r="D27757">
        <v>119</v>
      </c>
      <c r="E27757">
        <v>0</v>
      </c>
      <c r="F27757">
        <v>1107</v>
      </c>
    </row>
    <row r="27758" spans="1:6" ht="12.75">
      <c r="A27758" s="2">
        <v>43875.640949074077</v>
      </c>
      <c r="B27758" t="str">
        <f>HYPERLINK("https://twitter.com/agasandra","@agasandra")</f>
        <v>@agasandra</v>
      </c>
      <c r="C27758" t="s">
        <v>2444</v>
      </c>
      <c r="D27758">
        <v>1457</v>
      </c>
      <c r="E27758">
        <v>0</v>
      </c>
      <c r="F27758">
        <v>923</v>
      </c>
    </row>
    <row r="27759" spans="1:6" ht="12.75">
      <c r="A27759" s="2">
        <v>43875.640821759254</v>
      </c>
      <c r="B27759" t="str">
        <f>HYPERLINK("https://twitter.com/raraazuraa","@raraazuraa")</f>
        <v>@raraazuraa</v>
      </c>
      <c r="C27759" t="s">
        <v>2444</v>
      </c>
      <c r="D27759">
        <v>1457</v>
      </c>
      <c r="E27759">
        <v>0</v>
      </c>
      <c r="F27759">
        <v>87</v>
      </c>
    </row>
    <row r="27760" spans="1:6" ht="12.75">
      <c r="A27760" s="2">
        <v>43875.640810185185</v>
      </c>
      <c r="B27760" t="str">
        <f>HYPERLINK("https://twitter.com/TeguhBowo9","@TeguhBowo9")</f>
        <v>@TeguhBowo9</v>
      </c>
      <c r="C27760" t="s">
        <v>12245</v>
      </c>
      <c r="D27760">
        <v>0</v>
      </c>
      <c r="E27760">
        <v>0</v>
      </c>
      <c r="F27760">
        <v>4</v>
      </c>
    </row>
    <row r="27761" spans="1:6" ht="12.75">
      <c r="A27761" s="2">
        <v>43875.640740740739</v>
      </c>
      <c r="B27761" t="str">
        <f>HYPERLINK("https://twitter.com/Sengkuni_id","@Sengkuni_id")</f>
        <v>@Sengkuni_id</v>
      </c>
      <c r="C27761" t="s">
        <v>12246</v>
      </c>
      <c r="D27761">
        <v>0</v>
      </c>
      <c r="E27761">
        <v>0</v>
      </c>
      <c r="F27761">
        <v>1280</v>
      </c>
    </row>
    <row r="27762" spans="1:6" ht="12.75">
      <c r="A27762" s="2">
        <v>43875.640706018516</v>
      </c>
      <c r="B27762" t="str">
        <f>HYPERLINK("https://twitter.com/NyuwunSayangmu","@NyuwunSayangmu")</f>
        <v>@NyuwunSayangmu</v>
      </c>
      <c r="C27762" t="s">
        <v>9123</v>
      </c>
      <c r="D27762">
        <v>213</v>
      </c>
      <c r="E27762">
        <v>0</v>
      </c>
      <c r="F27762">
        <v>170</v>
      </c>
    </row>
    <row r="27763" spans="1:6" ht="12.75">
      <c r="A27763" s="2">
        <v>43875.640659722223</v>
      </c>
      <c r="B27763" t="str">
        <f>HYPERLINK("https://twitter.com/merdekadotcom","@merdekadotcom")</f>
        <v>@merdekadotcom</v>
      </c>
      <c r="C27763" t="s">
        <v>12247</v>
      </c>
      <c r="D27763">
        <v>0</v>
      </c>
      <c r="E27763">
        <v>0</v>
      </c>
      <c r="F27763">
        <v>230416</v>
      </c>
    </row>
    <row r="27764" spans="1:6" ht="12.75">
      <c r="A27764" s="2">
        <v>43875.640659722223</v>
      </c>
      <c r="B27764" t="str">
        <f>HYPERLINK("https://twitter.com/GoRiauCom","@GoRiauCom")</f>
        <v>@GoRiauCom</v>
      </c>
      <c r="C27764" t="s">
        <v>12248</v>
      </c>
      <c r="D27764">
        <v>0</v>
      </c>
      <c r="E27764">
        <v>0</v>
      </c>
      <c r="F27764">
        <v>84550</v>
      </c>
    </row>
    <row r="27765" spans="1:6" ht="12.75">
      <c r="A27765" s="2">
        <v>43875.640590277777</v>
      </c>
      <c r="B27765" t="str">
        <f>HYPERLINK("https://twitter.com/jalabriaanget","@jalabriaanget")</f>
        <v>@jalabriaanget</v>
      </c>
      <c r="C27765" t="s">
        <v>12249</v>
      </c>
      <c r="D27765">
        <v>0</v>
      </c>
      <c r="E27765">
        <v>1</v>
      </c>
      <c r="F27765">
        <v>2</v>
      </c>
    </row>
    <row r="27766" spans="1:6" ht="12.75">
      <c r="A27766" s="2">
        <v>43875.640532407408</v>
      </c>
      <c r="B27766" t="str">
        <f>HYPERLINK("https://twitter.com/Elefine_","@Elefine_")</f>
        <v>@Elefine_</v>
      </c>
      <c r="C27766" t="s">
        <v>2444</v>
      </c>
      <c r="D27766">
        <v>1457</v>
      </c>
      <c r="E27766">
        <v>0</v>
      </c>
      <c r="F27766">
        <v>32</v>
      </c>
    </row>
    <row r="27767" spans="1:6" ht="12.75">
      <c r="A27767" s="2">
        <v>43875.640532407408</v>
      </c>
      <c r="B27767" t="str">
        <f>HYPERLINK("https://twitter.com/navareaval","@navareaval")</f>
        <v>@navareaval</v>
      </c>
      <c r="C27767" t="s">
        <v>2444</v>
      </c>
      <c r="D27767">
        <v>1457</v>
      </c>
      <c r="E27767">
        <v>0</v>
      </c>
      <c r="F27767">
        <v>152</v>
      </c>
    </row>
    <row r="27768" spans="1:6" ht="12.75">
      <c r="A27768" s="2">
        <v>43875.640486111108</v>
      </c>
      <c r="B27768" t="str">
        <f>HYPERLINK("https://twitter.com/pipilapipo","@pipilapipo")</f>
        <v>@pipilapipo</v>
      </c>
      <c r="C27768" t="s">
        <v>8233</v>
      </c>
      <c r="D27768">
        <v>469</v>
      </c>
      <c r="E27768">
        <v>0</v>
      </c>
      <c r="F27768">
        <v>76</v>
      </c>
    </row>
    <row r="27769" spans="1:6" ht="12.75">
      <c r="A27769" s="2">
        <v>43875.640474537038</v>
      </c>
      <c r="B27769" t="str">
        <f>HYPERLINK("https://twitter.com/ssuryoseptono","@ssuryoseptono")</f>
        <v>@ssuryoseptono</v>
      </c>
      <c r="C27769" t="s">
        <v>10330</v>
      </c>
      <c r="D27769">
        <v>210</v>
      </c>
      <c r="E27769">
        <v>0</v>
      </c>
      <c r="F27769">
        <v>1380</v>
      </c>
    </row>
    <row r="27770" spans="1:6" ht="12.75">
      <c r="A27770" s="2">
        <v>43875.640405092592</v>
      </c>
      <c r="B27770" t="str">
        <f>HYPERLINK("https://twitter.com/Ita6620","@Ita6620")</f>
        <v>@Ita6620</v>
      </c>
      <c r="C27770" t="s">
        <v>2963</v>
      </c>
      <c r="D27770">
        <v>922</v>
      </c>
      <c r="E27770">
        <v>0</v>
      </c>
      <c r="F27770">
        <v>6793</v>
      </c>
    </row>
    <row r="27771" spans="1:6" ht="12.75">
      <c r="A27771" s="2">
        <v>43875.640347222223</v>
      </c>
      <c r="B27771" t="str">
        <f>HYPERLINK("https://twitter.com/makacceye_","@makacceye_")</f>
        <v>@makacceye_</v>
      </c>
      <c r="C27771" t="s">
        <v>11536</v>
      </c>
      <c r="D27771">
        <v>0</v>
      </c>
      <c r="E27771">
        <v>0</v>
      </c>
      <c r="F27771">
        <v>429</v>
      </c>
    </row>
    <row r="27772" spans="1:6" ht="12.75">
      <c r="A27772" s="2">
        <v>43875.640300925923</v>
      </c>
      <c r="B27772" t="str">
        <f>HYPERLINK("https://twitter.com/suciharto","@suciharto")</f>
        <v>@suciharto</v>
      </c>
      <c r="C27772" t="s">
        <v>12250</v>
      </c>
      <c r="D27772">
        <v>4</v>
      </c>
      <c r="E27772">
        <v>0</v>
      </c>
      <c r="F27772">
        <v>1289</v>
      </c>
    </row>
    <row r="27773" spans="1:6" ht="12.75">
      <c r="A27773" s="2">
        <v>43875.640289351853</v>
      </c>
      <c r="B27773" t="str">
        <f>HYPERLINK("https://twitter.com/buds_bunny","@buds_bunny")</f>
        <v>@buds_bunny</v>
      </c>
      <c r="C27773" t="s">
        <v>9538</v>
      </c>
      <c r="D27773">
        <v>139</v>
      </c>
      <c r="E27773">
        <v>0</v>
      </c>
      <c r="F27773">
        <v>165</v>
      </c>
    </row>
    <row r="27774" spans="1:6" ht="12.75">
      <c r="A27774" s="2">
        <v>43875.640231481477</v>
      </c>
      <c r="B27774" t="str">
        <f>HYPERLINK("https://twitter.com/VerenaUngu","@VerenaUngu")</f>
        <v>@VerenaUngu</v>
      </c>
      <c r="C27774" t="s">
        <v>2963</v>
      </c>
      <c r="D27774">
        <v>922</v>
      </c>
      <c r="E27774">
        <v>0</v>
      </c>
      <c r="F27774">
        <v>2007</v>
      </c>
    </row>
    <row r="27775" spans="1:6" ht="12.75">
      <c r="A27775" s="2">
        <v>43875.640127314815</v>
      </c>
      <c r="B27775" t="str">
        <f>HYPERLINK("https://twitter.com/marcharitahere","@marcharitahere")</f>
        <v>@marcharitahere</v>
      </c>
      <c r="C27775" t="s">
        <v>12251</v>
      </c>
      <c r="D27775">
        <v>0</v>
      </c>
      <c r="E27775">
        <v>3</v>
      </c>
      <c r="F27775">
        <v>3934</v>
      </c>
    </row>
    <row r="27776" spans="1:6" ht="12.75">
      <c r="A27776" s="2">
        <v>43875.640046296292</v>
      </c>
      <c r="B27776" t="str">
        <f>HYPERLINK("https://twitter.com/kafara666","@kafara666")</f>
        <v>@kafara666</v>
      </c>
      <c r="C27776" t="s">
        <v>2444</v>
      </c>
      <c r="D27776">
        <v>1457</v>
      </c>
      <c r="E27776">
        <v>0</v>
      </c>
      <c r="F27776">
        <v>66</v>
      </c>
    </row>
    <row r="27777" spans="1:6" ht="12.75">
      <c r="A27777" s="2">
        <v>43875.63998842593</v>
      </c>
      <c r="B27777" t="str">
        <f>HYPERLINK("https://twitter.com/ffernandoid_","@ffernandoid_")</f>
        <v>@ffernandoid_</v>
      </c>
      <c r="C27777" t="s">
        <v>2444</v>
      </c>
      <c r="D27777">
        <v>1457</v>
      </c>
      <c r="E27777">
        <v>0</v>
      </c>
      <c r="F27777">
        <v>629</v>
      </c>
    </row>
    <row r="27778" spans="1:6" ht="12.75">
      <c r="A27778" s="2">
        <v>43875.639953703707</v>
      </c>
      <c r="B27778" t="str">
        <f>HYPERLINK("https://twitter.com/camelliammi","@camelliammi")</f>
        <v>@camelliammi</v>
      </c>
      <c r="C27778" t="s">
        <v>2444</v>
      </c>
      <c r="D27778">
        <v>1457</v>
      </c>
      <c r="E27778">
        <v>0</v>
      </c>
      <c r="F27778">
        <v>2061</v>
      </c>
    </row>
    <row r="27779" spans="1:6" ht="12.75">
      <c r="A27779" s="2">
        <v>43875.639872685184</v>
      </c>
      <c r="B27779" t="str">
        <f>HYPERLINK("https://twitter.com/pipin_puri","@pipin_puri")</f>
        <v>@pipin_puri</v>
      </c>
      <c r="C27779" t="s">
        <v>12252</v>
      </c>
      <c r="D27779">
        <v>32</v>
      </c>
      <c r="E27779">
        <v>0</v>
      </c>
      <c r="F27779">
        <v>587</v>
      </c>
    </row>
    <row r="27780" spans="1:6" ht="12.75">
      <c r="A27780" s="2">
        <v>43875.639826388884</v>
      </c>
      <c r="B27780" t="str">
        <f>HYPERLINK("https://twitter.com/dianhandiana_","@dianhandiana_")</f>
        <v>@dianhandiana_</v>
      </c>
      <c r="C27780" t="s">
        <v>7478</v>
      </c>
      <c r="D27780">
        <v>191</v>
      </c>
      <c r="E27780">
        <v>0</v>
      </c>
      <c r="F27780">
        <v>424</v>
      </c>
    </row>
    <row r="27781" spans="1:6" ht="12.75">
      <c r="A27781" s="2">
        <v>43875.639733796299</v>
      </c>
      <c r="B27781" t="str">
        <f>HYPERLINK("https://twitter.com/tiaraanaree","@tiaraanaree")</f>
        <v>@tiaraanaree</v>
      </c>
      <c r="C27781" t="s">
        <v>5168</v>
      </c>
      <c r="D27781">
        <v>739</v>
      </c>
      <c r="E27781">
        <v>0</v>
      </c>
      <c r="F27781">
        <v>32</v>
      </c>
    </row>
    <row r="27782" spans="1:6" ht="12.75">
      <c r="A27782" s="2">
        <v>43875.639594907407</v>
      </c>
      <c r="B27782" t="str">
        <f>HYPERLINK("https://twitter.com/EAGLE_0775","@EAGLE_0775")</f>
        <v>@EAGLE_0775</v>
      </c>
      <c r="C27782" t="s">
        <v>12253</v>
      </c>
      <c r="D27782">
        <v>0</v>
      </c>
      <c r="E27782">
        <v>0</v>
      </c>
      <c r="F27782">
        <v>1204</v>
      </c>
    </row>
    <row r="27783" spans="1:6" ht="12.75">
      <c r="A27783" s="2">
        <v>43875.63957175926</v>
      </c>
      <c r="B27783" t="str">
        <f>HYPERLINK("https://twitter.com/sarah_alzahra_4","@sarah_alzahra_4")</f>
        <v>@sarah_alzahra_4</v>
      </c>
      <c r="C27783" t="s">
        <v>12212</v>
      </c>
      <c r="D27783">
        <v>11</v>
      </c>
      <c r="E27783">
        <v>0</v>
      </c>
      <c r="F27783">
        <v>779</v>
      </c>
    </row>
    <row r="27784" spans="1:6" ht="12.75">
      <c r="A27784" s="2">
        <v>43875.639502314814</v>
      </c>
      <c r="B27784" t="str">
        <f>HYPERLINK("https://twitter.com/brandal_baru","@brandal_baru")</f>
        <v>@brandal_baru</v>
      </c>
      <c r="C27784" t="s">
        <v>8233</v>
      </c>
      <c r="D27784">
        <v>469</v>
      </c>
      <c r="E27784">
        <v>0</v>
      </c>
      <c r="F27784">
        <v>40</v>
      </c>
    </row>
    <row r="27785" spans="1:6" ht="12.75">
      <c r="A27785" s="2">
        <v>43875.639479166668</v>
      </c>
      <c r="B27785" t="str">
        <f>HYPERLINK("https://twitter.com/ganti_username_","@ganti_username_")</f>
        <v>@ganti_username_</v>
      </c>
      <c r="C27785" t="s">
        <v>2444</v>
      </c>
      <c r="D27785">
        <v>1457</v>
      </c>
      <c r="E27785">
        <v>0</v>
      </c>
      <c r="F27785">
        <v>253</v>
      </c>
    </row>
    <row r="27786" spans="1:6" ht="12.75">
      <c r="A27786" s="2">
        <v>43875.639363425929</v>
      </c>
      <c r="B27786" t="str">
        <f>HYPERLINK("https://twitter.com/mugglfe","@mugglfe")</f>
        <v>@mugglfe</v>
      </c>
      <c r="C27786" t="s">
        <v>2444</v>
      </c>
      <c r="D27786">
        <v>1457</v>
      </c>
      <c r="E27786">
        <v>0</v>
      </c>
      <c r="F27786">
        <v>592</v>
      </c>
    </row>
    <row r="27787" spans="1:6" ht="12.75">
      <c r="A27787" s="2">
        <v>43875.639351851853</v>
      </c>
      <c r="B27787" t="str">
        <f>HYPERLINK("https://twitter.com/Celvin02160099","@Celvin02160099")</f>
        <v>@Celvin02160099</v>
      </c>
      <c r="C27787" t="s">
        <v>10795</v>
      </c>
      <c r="D27787">
        <v>3</v>
      </c>
      <c r="E27787">
        <v>0</v>
      </c>
      <c r="F27787">
        <v>134</v>
      </c>
    </row>
    <row r="27788" spans="1:6" ht="12.75">
      <c r="A27788" s="2">
        <v>43875.639328703706</v>
      </c>
      <c r="B27788" t="str">
        <f>HYPERLINK("https://twitter.com/JktTeenagers","@JktTeenagers")</f>
        <v>@JktTeenagers</v>
      </c>
      <c r="C27788" t="s">
        <v>3140</v>
      </c>
      <c r="D27788">
        <v>5</v>
      </c>
      <c r="E27788">
        <v>0</v>
      </c>
      <c r="F27788">
        <v>175</v>
      </c>
    </row>
    <row r="27789" spans="1:6" ht="12.75">
      <c r="A27789" s="2">
        <v>43875.639317129629</v>
      </c>
      <c r="B27789" t="str">
        <f>HYPERLINK("https://twitter.com/Genta57027194","@Genta57027194")</f>
        <v>@Genta57027194</v>
      </c>
      <c r="C27789" t="s">
        <v>2963</v>
      </c>
      <c r="D27789">
        <v>922</v>
      </c>
      <c r="E27789">
        <v>0</v>
      </c>
      <c r="F27789">
        <v>165</v>
      </c>
    </row>
    <row r="27790" spans="1:6" ht="12.75">
      <c r="A27790" s="2">
        <v>43875.639293981483</v>
      </c>
      <c r="B27790" t="str">
        <f>HYPERLINK("https://twitter.com/lupispasar","@lupispasar")</f>
        <v>@lupispasar</v>
      </c>
      <c r="C27790" t="s">
        <v>12254</v>
      </c>
      <c r="D27790">
        <v>0</v>
      </c>
      <c r="E27790">
        <v>0</v>
      </c>
      <c r="F27790">
        <v>73</v>
      </c>
    </row>
    <row r="27791" spans="1:6" ht="12.75">
      <c r="A27791" s="2">
        <v>43875.63925925926</v>
      </c>
      <c r="B27791" t="str">
        <f>HYPERLINK("https://twitter.com/viviandeella","@viviandeella")</f>
        <v>@viviandeella</v>
      </c>
      <c r="C27791" t="s">
        <v>12255</v>
      </c>
      <c r="D27791">
        <v>0</v>
      </c>
      <c r="E27791">
        <v>4</v>
      </c>
      <c r="F27791">
        <v>9353</v>
      </c>
    </row>
    <row r="27792" spans="1:6" ht="12.75">
      <c r="A27792" s="2">
        <v>43875.63925925926</v>
      </c>
      <c r="B27792" t="str">
        <f>HYPERLINK("https://twitter.com/tulusshartono","@tulusshartono")</f>
        <v>@tulusshartono</v>
      </c>
      <c r="C27792" t="s">
        <v>9746</v>
      </c>
      <c r="D27792">
        <v>214</v>
      </c>
      <c r="E27792">
        <v>0</v>
      </c>
      <c r="F27792">
        <v>479</v>
      </c>
    </row>
    <row r="27793" spans="1:6" ht="12.75">
      <c r="A27793" s="2">
        <v>43875.639236111107</v>
      </c>
      <c r="B27793" t="str">
        <f>HYPERLINK("https://twitter.com/HarianKalteng","@HarianKalteng")</f>
        <v>@HarianKalteng</v>
      </c>
      <c r="C27793" t="s">
        <v>12256</v>
      </c>
      <c r="D27793">
        <v>0</v>
      </c>
      <c r="E27793">
        <v>0</v>
      </c>
      <c r="F27793">
        <v>423</v>
      </c>
    </row>
    <row r="27794" spans="1:6" ht="12.75">
      <c r="A27794" s="2">
        <v>43875.639212962968</v>
      </c>
      <c r="B27794" t="str">
        <f>HYPERLINK("https://twitter.com/republikaonline","@republikaonline")</f>
        <v>@republikaonline</v>
      </c>
      <c r="C27794" t="s">
        <v>12257</v>
      </c>
      <c r="D27794">
        <v>0</v>
      </c>
      <c r="E27794">
        <v>3</v>
      </c>
      <c r="F27794">
        <v>1210298</v>
      </c>
    </row>
    <row r="27795" spans="1:6" ht="12.75">
      <c r="A27795" s="2">
        <v>43875.639085648145</v>
      </c>
      <c r="B27795" t="str">
        <f>HYPERLINK("https://twitter.com/idtodayco","@idtodayco")</f>
        <v>@idtodayco</v>
      </c>
      <c r="C27795" t="s">
        <v>10208</v>
      </c>
      <c r="D27795">
        <v>4</v>
      </c>
      <c r="E27795">
        <v>0</v>
      </c>
      <c r="F27795">
        <v>39557</v>
      </c>
    </row>
    <row r="27796" spans="1:6" ht="12.75">
      <c r="A27796" s="2">
        <v>43875.639004629629</v>
      </c>
      <c r="B27796" t="str">
        <f>HYPERLINK("https://twitter.com/jawapos","@jawapos")</f>
        <v>@jawapos</v>
      </c>
      <c r="C27796" t="s">
        <v>12194</v>
      </c>
      <c r="D27796">
        <v>4</v>
      </c>
      <c r="E27796">
        <v>7</v>
      </c>
      <c r="F27796">
        <v>116477</v>
      </c>
    </row>
    <row r="27797" spans="1:6" ht="12.75">
      <c r="A27797" s="2">
        <v>43875.638958333337</v>
      </c>
      <c r="B27797" t="str">
        <f>HYPERLINK("https://twitter.com/Fatimah_Syaff","@Fatimah_Syaff")</f>
        <v>@Fatimah_Syaff</v>
      </c>
      <c r="C27797" t="s">
        <v>12258</v>
      </c>
      <c r="D27797">
        <v>0</v>
      </c>
      <c r="E27797">
        <v>0</v>
      </c>
      <c r="F27797">
        <v>2484</v>
      </c>
    </row>
    <row r="27798" spans="1:6" ht="12.75">
      <c r="A27798" s="2">
        <v>43875.638935185183</v>
      </c>
      <c r="B27798" t="str">
        <f>HYPERLINK("https://twitter.com/alineadotid","@alineadotid")</f>
        <v>@alineadotid</v>
      </c>
      <c r="C27798" t="s">
        <v>12259</v>
      </c>
      <c r="D27798">
        <v>0</v>
      </c>
      <c r="E27798">
        <v>0</v>
      </c>
      <c r="F27798">
        <v>612018</v>
      </c>
    </row>
    <row r="27799" spans="1:6" ht="12.75">
      <c r="A27799" s="2">
        <v>43875.638877314814</v>
      </c>
      <c r="B27799" t="str">
        <f>HYPERLINK("https://twitter.com/LaJoef","@LaJoef")</f>
        <v>@LaJoef</v>
      </c>
      <c r="C27799" t="s">
        <v>9835</v>
      </c>
      <c r="D27799">
        <v>32</v>
      </c>
      <c r="E27799">
        <v>0</v>
      </c>
      <c r="F27799">
        <v>583</v>
      </c>
    </row>
    <row r="27800" spans="1:6" ht="12.75">
      <c r="A27800" s="2">
        <v>43875.638773148152</v>
      </c>
      <c r="B27800" t="str">
        <f>HYPERLINK("https://twitter.com/moonxpalca","@moonxpalca")</f>
        <v>@moonxpalca</v>
      </c>
      <c r="C27800" t="s">
        <v>2444</v>
      </c>
      <c r="D27800">
        <v>1457</v>
      </c>
      <c r="E27800">
        <v>0</v>
      </c>
      <c r="F27800">
        <v>567</v>
      </c>
    </row>
    <row r="27801" spans="1:6" ht="12.75">
      <c r="A27801" s="2">
        <v>43875.638703703706</v>
      </c>
      <c r="B27801" t="str">
        <f>HYPERLINK("https://twitter.com/fawzya_na","@fawzya_na")</f>
        <v>@fawzya_na</v>
      </c>
      <c r="C27801" t="s">
        <v>2444</v>
      </c>
      <c r="D27801">
        <v>1457</v>
      </c>
      <c r="E27801">
        <v>0</v>
      </c>
      <c r="F27801">
        <v>1456</v>
      </c>
    </row>
    <row r="27802" spans="1:6" ht="12.75">
      <c r="A27802" s="2">
        <v>43875.638692129629</v>
      </c>
      <c r="B27802" t="str">
        <f>HYPERLINK("https://twitter.com/TolakBigotRI","@TolakBigotRI")</f>
        <v>@TolakBigotRI</v>
      </c>
      <c r="C27802" t="s">
        <v>2963</v>
      </c>
      <c r="D27802">
        <v>923</v>
      </c>
      <c r="E27802">
        <v>0</v>
      </c>
      <c r="F27802">
        <v>25643</v>
      </c>
    </row>
    <row r="27803" spans="1:6" ht="12.75">
      <c r="A27803" s="2">
        <v>43875.63862268519</v>
      </c>
      <c r="B27803" t="str">
        <f>HYPERLINK("https://twitter.com/EAGLE_0775","@EAGLE_0775")</f>
        <v>@EAGLE_0775</v>
      </c>
      <c r="C27803" t="s">
        <v>12260</v>
      </c>
      <c r="D27803">
        <v>1</v>
      </c>
      <c r="E27803">
        <v>3</v>
      </c>
      <c r="F27803">
        <v>1204</v>
      </c>
    </row>
    <row r="27804" spans="1:6" ht="12.75">
      <c r="A27804" s="2">
        <v>43875.63862268519</v>
      </c>
      <c r="B27804" t="str">
        <f>HYPERLINK("https://twitter.com/IzMe1415","@IzMe1415")</f>
        <v>@IzMe1415</v>
      </c>
      <c r="C27804" t="s">
        <v>5168</v>
      </c>
      <c r="D27804">
        <v>739</v>
      </c>
      <c r="E27804">
        <v>0</v>
      </c>
      <c r="F27804">
        <v>700</v>
      </c>
    </row>
    <row r="27805" spans="1:6" ht="12.75">
      <c r="A27805" s="2">
        <v>43875.638611111106</v>
      </c>
      <c r="B27805" t="str">
        <f>HYPERLINK("https://twitter.com/TheOfficialSiya","@TheOfficialSiya")</f>
        <v>@TheOfficialSiya</v>
      </c>
      <c r="C27805" t="s">
        <v>12261</v>
      </c>
      <c r="D27805">
        <v>0</v>
      </c>
      <c r="E27805">
        <v>0</v>
      </c>
      <c r="F27805">
        <v>1585</v>
      </c>
    </row>
    <row r="27806" spans="1:6" ht="12.75">
      <c r="A27806" s="2">
        <v>43875.638611111106</v>
      </c>
      <c r="B27806" t="str">
        <f>HYPERLINK("https://twitter.com/comrokeju","@comrokeju")</f>
        <v>@comrokeju</v>
      </c>
      <c r="C27806" t="s">
        <v>2444</v>
      </c>
      <c r="D27806">
        <v>1457</v>
      </c>
      <c r="E27806">
        <v>0</v>
      </c>
      <c r="F27806">
        <v>662</v>
      </c>
    </row>
    <row r="27807" spans="1:6" ht="12.75">
      <c r="A27807" s="2">
        <v>43875.638564814813</v>
      </c>
      <c r="B27807" t="str">
        <f>HYPERLINK("https://twitter.com/fawzya_na","@fawzya_na")</f>
        <v>@fawzya_na</v>
      </c>
      <c r="C27807" t="s">
        <v>5168</v>
      </c>
      <c r="D27807">
        <v>739</v>
      </c>
      <c r="E27807">
        <v>0</v>
      </c>
      <c r="F27807">
        <v>1456</v>
      </c>
    </row>
    <row r="27808" spans="1:6" ht="12.75">
      <c r="A27808" s="2">
        <v>43875.638541666667</v>
      </c>
      <c r="B27808" t="str">
        <f>HYPERLINK("https://twitter.com/rudijibek","@rudijibek")</f>
        <v>@rudijibek</v>
      </c>
      <c r="C27808" t="s">
        <v>12262</v>
      </c>
      <c r="D27808">
        <v>0</v>
      </c>
      <c r="E27808">
        <v>0</v>
      </c>
      <c r="F27808">
        <v>486</v>
      </c>
    </row>
    <row r="27809" spans="1:6" ht="12.75">
      <c r="A27809" s="2">
        <v>43875.638495370367</v>
      </c>
      <c r="B27809" t="str">
        <f>HYPERLINK("https://twitter.com/Sonyrony2","@Sonyrony2")</f>
        <v>@Sonyrony2</v>
      </c>
      <c r="C27809" t="s">
        <v>7478</v>
      </c>
      <c r="D27809">
        <v>191</v>
      </c>
      <c r="E27809">
        <v>0</v>
      </c>
      <c r="F27809">
        <v>326</v>
      </c>
    </row>
    <row r="27810" spans="1:6" ht="12.75">
      <c r="A27810" s="2">
        <v>43875.638449074075</v>
      </c>
      <c r="B27810" t="str">
        <f>HYPERLINK("https://twitter.com/SunandarPS","@SunandarPS")</f>
        <v>@SunandarPS</v>
      </c>
      <c r="C27810" t="s">
        <v>12263</v>
      </c>
      <c r="D27810">
        <v>0</v>
      </c>
      <c r="E27810">
        <v>0</v>
      </c>
      <c r="F27810">
        <v>1090</v>
      </c>
    </row>
    <row r="27811" spans="1:6" ht="12.75">
      <c r="A27811" s="2">
        <v>43875.638449074075</v>
      </c>
      <c r="B27811" t="str">
        <f>HYPERLINK("https://twitter.com/PEDOMAN_id","@PEDOMAN_id")</f>
        <v>@PEDOMAN_id</v>
      </c>
      <c r="C27811" t="s">
        <v>12263</v>
      </c>
      <c r="D27811">
        <v>2</v>
      </c>
      <c r="E27811">
        <v>4</v>
      </c>
      <c r="F27811">
        <v>60398</v>
      </c>
    </row>
    <row r="27812" spans="1:6" ht="12.75">
      <c r="A27812" s="2">
        <v>43875.638449074075</v>
      </c>
      <c r="B27812" t="str">
        <f>HYPERLINK("https://twitter.com/abun_aidi","@abun_aidi")</f>
        <v>@abun_aidi</v>
      </c>
      <c r="C27812" t="s">
        <v>2444</v>
      </c>
      <c r="D27812">
        <v>1457</v>
      </c>
      <c r="E27812">
        <v>0</v>
      </c>
      <c r="F27812">
        <v>18</v>
      </c>
    </row>
    <row r="27813" spans="1:6" ht="12.75">
      <c r="A27813" s="2">
        <v>43875.638425925921</v>
      </c>
      <c r="B27813" t="str">
        <f>HYPERLINK("https://twitter.com/DjamanMuliadi","@DjamanMuliadi")</f>
        <v>@DjamanMuliadi</v>
      </c>
      <c r="C27813" t="s">
        <v>9746</v>
      </c>
      <c r="D27813">
        <v>214</v>
      </c>
      <c r="E27813">
        <v>0</v>
      </c>
      <c r="F27813">
        <v>320</v>
      </c>
    </row>
    <row r="27814" spans="1:6" ht="12.75">
      <c r="A27814" s="2">
        <v>43875.638287037036</v>
      </c>
      <c r="B27814" t="str">
        <f>HYPERLINK("https://twitter.com/waendhut","@waendhut")</f>
        <v>@waendhut</v>
      </c>
      <c r="C27814" t="s">
        <v>11865</v>
      </c>
      <c r="D27814">
        <v>3</v>
      </c>
      <c r="E27814">
        <v>0</v>
      </c>
      <c r="F27814">
        <v>2299</v>
      </c>
    </row>
    <row r="27815" spans="1:6" ht="12.75">
      <c r="A27815" s="2">
        <v>43875.638229166667</v>
      </c>
      <c r="B27815" t="str">
        <f>HYPERLINK("https://twitter.com/yallkeepwithme","@yallkeepwithme")</f>
        <v>@yallkeepwithme</v>
      </c>
      <c r="C27815" t="s">
        <v>2444</v>
      </c>
      <c r="D27815">
        <v>1457</v>
      </c>
      <c r="E27815">
        <v>0</v>
      </c>
      <c r="F27815">
        <v>1479</v>
      </c>
    </row>
    <row r="27816" spans="1:6" ht="12.75">
      <c r="A27816" s="2">
        <v>43875.638229166667</v>
      </c>
      <c r="B27816" t="str">
        <f>HYPERLINK("https://twitter.com/awwmlubngttt","@awwmlubngttt")</f>
        <v>@awwmlubngttt</v>
      </c>
      <c r="C27816" t="s">
        <v>2444</v>
      </c>
      <c r="D27816">
        <v>1457</v>
      </c>
      <c r="E27816">
        <v>0</v>
      </c>
      <c r="F27816">
        <v>1651</v>
      </c>
    </row>
    <row r="27817" spans="1:6" ht="12.75">
      <c r="A27817" s="2">
        <v>43875.638090277775</v>
      </c>
      <c r="B27817" t="str">
        <f>HYPERLINK("https://twitter.com/istifadah945","@istifadah945")</f>
        <v>@istifadah945</v>
      </c>
      <c r="C27817" t="s">
        <v>12264</v>
      </c>
      <c r="D27817">
        <v>0</v>
      </c>
      <c r="E27817">
        <v>0</v>
      </c>
      <c r="F27817">
        <v>33</v>
      </c>
    </row>
    <row r="27818" spans="1:6" ht="12.75">
      <c r="A27818" s="2">
        <v>43875.638067129628</v>
      </c>
      <c r="B27818" t="str">
        <f>HYPERLINK("https://twitter.com/Eki45948901","@Eki45948901")</f>
        <v>@Eki45948901</v>
      </c>
      <c r="C27818" t="s">
        <v>9746</v>
      </c>
      <c r="D27818">
        <v>214</v>
      </c>
      <c r="E27818">
        <v>0</v>
      </c>
      <c r="F27818">
        <v>16</v>
      </c>
    </row>
    <row r="27819" spans="1:6" ht="12.75">
      <c r="A27819" s="2">
        <v>43875.638020833328</v>
      </c>
      <c r="B27819" t="str">
        <f>HYPERLINK("https://twitter.com/_Kang_Aziz","@_Kang_Aziz")</f>
        <v>@_Kang_Aziz</v>
      </c>
      <c r="C27819" t="s">
        <v>2444</v>
      </c>
      <c r="D27819">
        <v>1457</v>
      </c>
      <c r="E27819">
        <v>0</v>
      </c>
      <c r="F27819">
        <v>706</v>
      </c>
    </row>
    <row r="27820" spans="1:6" ht="12.75">
      <c r="A27820" s="2">
        <v>43875.637986111113</v>
      </c>
      <c r="B27820" t="str">
        <f>HYPERLINK("https://twitter.com/bestawayy","@bestawayy")</f>
        <v>@bestawayy</v>
      </c>
      <c r="C27820" t="s">
        <v>2137</v>
      </c>
      <c r="D27820">
        <v>119</v>
      </c>
      <c r="E27820">
        <v>0</v>
      </c>
      <c r="F27820">
        <v>421</v>
      </c>
    </row>
    <row r="27821" spans="1:6" ht="12.75">
      <c r="A27821" s="2">
        <v>43875.637962962966</v>
      </c>
      <c r="B27821" t="str">
        <f>HYPERLINK("https://twitter.com/yayatjakarta","@yayatjakarta")</f>
        <v>@yayatjakarta</v>
      </c>
      <c r="C27821" t="s">
        <v>12265</v>
      </c>
      <c r="D27821">
        <v>1</v>
      </c>
      <c r="E27821">
        <v>4</v>
      </c>
      <c r="F27821">
        <v>6726</v>
      </c>
    </row>
    <row r="27822" spans="1:6" ht="12.75">
      <c r="A27822" s="2">
        <v>43875.63795138889</v>
      </c>
      <c r="B27822" t="str">
        <f>HYPERLINK("https://twitter.com/Ngalalakon","@Ngalalakon")</f>
        <v>@Ngalalakon</v>
      </c>
      <c r="C27822" t="s">
        <v>9746</v>
      </c>
      <c r="D27822">
        <v>214</v>
      </c>
      <c r="E27822">
        <v>0</v>
      </c>
      <c r="F27822">
        <v>413</v>
      </c>
    </row>
    <row r="27823" spans="1:6" ht="12.75">
      <c r="A27823" s="2">
        <v>43875.63790509259</v>
      </c>
      <c r="B27823" t="str">
        <f>HYPERLINK("https://twitter.com/BizlawIndonesia","@BizlawIndonesia")</f>
        <v>@BizlawIndonesia</v>
      </c>
      <c r="C27823" t="s">
        <v>12266</v>
      </c>
      <c r="D27823">
        <v>0</v>
      </c>
      <c r="E27823">
        <v>0</v>
      </c>
      <c r="F27823">
        <v>20</v>
      </c>
    </row>
    <row r="27824" spans="1:6" ht="12.75">
      <c r="A27824" s="2">
        <v>43875.637870370367</v>
      </c>
      <c r="B27824" t="str">
        <f>HYPERLINK("https://twitter.com/nasfayaretno","@nasfayaretno")</f>
        <v>@nasfayaretno</v>
      </c>
      <c r="C27824" t="s">
        <v>8233</v>
      </c>
      <c r="D27824">
        <v>469</v>
      </c>
      <c r="E27824">
        <v>0</v>
      </c>
      <c r="F27824">
        <v>276</v>
      </c>
    </row>
    <row r="27825" spans="1:6" ht="12.75">
      <c r="A27825" s="2">
        <v>43875.637858796297</v>
      </c>
      <c r="B27825" t="str">
        <f>HYPERLINK("https://twitter.com/BizlawIndonesia","@BizlawIndonesia")</f>
        <v>@BizlawIndonesia</v>
      </c>
      <c r="C27825" t="s">
        <v>12267</v>
      </c>
      <c r="D27825">
        <v>0</v>
      </c>
      <c r="E27825">
        <v>0</v>
      </c>
      <c r="F27825">
        <v>20</v>
      </c>
    </row>
    <row r="27826" spans="1:6" ht="12.75">
      <c r="A27826" s="2">
        <v>43875.637800925921</v>
      </c>
      <c r="B27826" t="str">
        <f>HYPERLINK("https://twitter.com/Andrew41239040","@Andrew41239040")</f>
        <v>@Andrew41239040</v>
      </c>
      <c r="C27826" t="s">
        <v>2444</v>
      </c>
      <c r="D27826">
        <v>1457</v>
      </c>
      <c r="E27826">
        <v>0</v>
      </c>
      <c r="F27826">
        <v>2</v>
      </c>
    </row>
    <row r="27827" spans="1:6" ht="12.75">
      <c r="A27827" s="2">
        <v>43875.637800925921</v>
      </c>
      <c r="B27827" t="str">
        <f>HYPERLINK("https://twitter.com/ahmat_murofik","@ahmat_murofik")</f>
        <v>@ahmat_murofik</v>
      </c>
      <c r="C27827" t="s">
        <v>12268</v>
      </c>
      <c r="D27827">
        <v>0</v>
      </c>
      <c r="E27827">
        <v>0</v>
      </c>
      <c r="F27827">
        <v>60</v>
      </c>
    </row>
    <row r="27828" spans="1:6" ht="12.75">
      <c r="A27828" s="2">
        <v>43875.637754629628</v>
      </c>
      <c r="B27828" t="str">
        <f>HYPERLINK("https://twitter.com/akuratco","@akuratco")</f>
        <v>@akuratco</v>
      </c>
      <c r="C27828" t="s">
        <v>12269</v>
      </c>
      <c r="D27828">
        <v>0</v>
      </c>
      <c r="E27828">
        <v>0</v>
      </c>
      <c r="F27828">
        <v>8456</v>
      </c>
    </row>
    <row r="27829" spans="1:6" ht="12.75">
      <c r="A27829" s="2">
        <v>43875.637743055559</v>
      </c>
      <c r="B27829" t="str">
        <f>HYPERLINK("https://twitter.com/romantama2","@romantama2")</f>
        <v>@romantama2</v>
      </c>
      <c r="C27829" t="s">
        <v>2444</v>
      </c>
      <c r="D27829">
        <v>1457</v>
      </c>
      <c r="E27829">
        <v>0</v>
      </c>
      <c r="F27829">
        <v>329</v>
      </c>
    </row>
    <row r="27830" spans="1:6" ht="12.75">
      <c r="A27830" s="2">
        <v>43875.637731481482</v>
      </c>
      <c r="B27830" t="str">
        <f>HYPERLINK("https://twitter.com/KevinMabuy","@KevinMabuy")</f>
        <v>@KevinMabuy</v>
      </c>
      <c r="C27830" t="s">
        <v>12270</v>
      </c>
      <c r="D27830">
        <v>0</v>
      </c>
      <c r="E27830">
        <v>0</v>
      </c>
      <c r="F27830">
        <v>122</v>
      </c>
    </row>
    <row r="27831" spans="1:6" ht="12.75">
      <c r="A27831" s="2">
        <v>43875.637650462959</v>
      </c>
      <c r="B27831" t="str">
        <f>HYPERLINK("https://twitter.com/yuwono_rudi","@yuwono_rudi")</f>
        <v>@yuwono_rudi</v>
      </c>
      <c r="C27831" t="s">
        <v>2963</v>
      </c>
      <c r="D27831">
        <v>923</v>
      </c>
      <c r="E27831">
        <v>0</v>
      </c>
      <c r="F27831">
        <v>28</v>
      </c>
    </row>
    <row r="27832" spans="1:6" ht="12.75">
      <c r="A27832" s="2">
        <v>43875.637650462959</v>
      </c>
      <c r="B27832" t="str">
        <f>HYPERLINK("https://twitter.com/samoelli","@samoelli")</f>
        <v>@samoelli</v>
      </c>
      <c r="C27832" t="s">
        <v>7478</v>
      </c>
      <c r="D27832">
        <v>191</v>
      </c>
      <c r="E27832">
        <v>0</v>
      </c>
      <c r="F27832">
        <v>524</v>
      </c>
    </row>
    <row r="27833" spans="1:6" ht="12.75">
      <c r="A27833" s="2">
        <v>43875.637592592597</v>
      </c>
      <c r="B27833" t="str">
        <f>HYPERLINK("https://twitter.com/abbakarmohamma2","@abbakarmohamma2")</f>
        <v>@abbakarmohamma2</v>
      </c>
      <c r="C27833" t="s">
        <v>9746</v>
      </c>
      <c r="D27833">
        <v>214</v>
      </c>
      <c r="E27833">
        <v>0</v>
      </c>
      <c r="F27833">
        <v>651</v>
      </c>
    </row>
    <row r="27834" spans="1:6" ht="12.75">
      <c r="A27834" s="2">
        <v>43875.63758101852</v>
      </c>
      <c r="B27834" t="str">
        <f>HYPERLINK("https://twitter.com/dump9x","@dump9x")</f>
        <v>@dump9x</v>
      </c>
      <c r="C27834" t="s">
        <v>2444</v>
      </c>
      <c r="D27834">
        <v>1457</v>
      </c>
      <c r="E27834">
        <v>0</v>
      </c>
      <c r="F27834">
        <v>312</v>
      </c>
    </row>
    <row r="27835" spans="1:6" ht="12.75">
      <c r="A27835" s="2">
        <v>43875.63758101852</v>
      </c>
      <c r="B27835" t="str">
        <f>HYPERLINK("https://twitter.com/bisnisindgroup","@bisnisindgroup")</f>
        <v>@bisnisindgroup</v>
      </c>
      <c r="C27835" t="s">
        <v>12271</v>
      </c>
      <c r="D27835">
        <v>0</v>
      </c>
      <c r="E27835">
        <v>0</v>
      </c>
      <c r="F27835">
        <v>7300</v>
      </c>
    </row>
    <row r="27836" spans="1:6" ht="12.75">
      <c r="A27836" s="2">
        <v>43875.63758101852</v>
      </c>
      <c r="B27836" t="str">
        <f>HYPERLINK("https://twitter.com/Bisniscom","@Bisniscom")</f>
        <v>@Bisniscom</v>
      </c>
      <c r="C27836" t="s">
        <v>12271</v>
      </c>
      <c r="D27836">
        <v>0</v>
      </c>
      <c r="E27836">
        <v>0</v>
      </c>
      <c r="F27836">
        <v>992547</v>
      </c>
    </row>
    <row r="27837" spans="1:6" ht="12.75">
      <c r="A27837" s="2">
        <v>43875.637569444443</v>
      </c>
      <c r="B27837" t="str">
        <f>HYPERLINK("https://twitter.com/norishito09","@norishito09")</f>
        <v>@norishito09</v>
      </c>
      <c r="C27837" t="s">
        <v>12272</v>
      </c>
      <c r="D27837">
        <v>0</v>
      </c>
      <c r="E27837">
        <v>0</v>
      </c>
      <c r="F27837">
        <v>62</v>
      </c>
    </row>
    <row r="27838" spans="1:6" ht="12.75">
      <c r="A27838" s="2">
        <v>43875.637557870374</v>
      </c>
      <c r="B27838" t="str">
        <f>HYPERLINK("https://twitter.com/WaskitoHan","@WaskitoHan")</f>
        <v>@WaskitoHan</v>
      </c>
      <c r="C27838" t="s">
        <v>2444</v>
      </c>
      <c r="D27838">
        <v>1457</v>
      </c>
      <c r="E27838">
        <v>0</v>
      </c>
      <c r="F27838">
        <v>113</v>
      </c>
    </row>
    <row r="27839" spans="1:6" ht="12.75">
      <c r="A27839" s="2">
        <v>43875.637511574074</v>
      </c>
      <c r="B27839" t="str">
        <f>HYPERLINK("https://twitter.com/MarthaAprilia5","@MarthaAprilia5")</f>
        <v>@MarthaAprilia5</v>
      </c>
      <c r="C27839" t="s">
        <v>12273</v>
      </c>
      <c r="D27839">
        <v>7</v>
      </c>
      <c r="E27839">
        <v>0</v>
      </c>
      <c r="F27839">
        <v>2106</v>
      </c>
    </row>
    <row r="27840" spans="1:6" ht="12.75">
      <c r="A27840" s="2">
        <v>43875.637488425928</v>
      </c>
      <c r="B27840" t="str">
        <f>HYPERLINK("https://twitter.com/mariadi63425147","@mariadi63425147")</f>
        <v>@mariadi63425147</v>
      </c>
      <c r="C27840" t="s">
        <v>9746</v>
      </c>
      <c r="D27840">
        <v>214</v>
      </c>
      <c r="E27840">
        <v>0</v>
      </c>
      <c r="F27840">
        <v>71</v>
      </c>
    </row>
    <row r="27841" spans="1:6" ht="12.75">
      <c r="A27841" s="2">
        <v>43875.637476851851</v>
      </c>
      <c r="B27841" t="str">
        <f>HYPERLINK("https://twitter.com/rsuci312_","@rsuci312_")</f>
        <v>@rsuci312_</v>
      </c>
      <c r="C27841" t="s">
        <v>2444</v>
      </c>
      <c r="D27841">
        <v>1457</v>
      </c>
      <c r="E27841">
        <v>0</v>
      </c>
      <c r="F27841">
        <v>188</v>
      </c>
    </row>
    <row r="27842" spans="1:6" ht="12.75">
      <c r="A27842" s="2">
        <v>43875.637465277774</v>
      </c>
      <c r="B27842" t="str">
        <f>HYPERLINK("https://twitter.com/sabrigo3","@sabrigo3")</f>
        <v>@sabrigo3</v>
      </c>
      <c r="C27842" t="s">
        <v>10096</v>
      </c>
      <c r="D27842">
        <v>135</v>
      </c>
      <c r="E27842">
        <v>0</v>
      </c>
      <c r="F27842">
        <v>411</v>
      </c>
    </row>
    <row r="27843" spans="1:6" ht="12.75">
      <c r="A27843" s="2">
        <v>43875.637418981481</v>
      </c>
      <c r="B27843" t="str">
        <f>HYPERLINK("https://twitter.com/ArisSet51879181","@ArisSet51879181")</f>
        <v>@ArisSet51879181</v>
      </c>
      <c r="C27843" t="s">
        <v>2963</v>
      </c>
      <c r="D27843">
        <v>923</v>
      </c>
      <c r="E27843">
        <v>0</v>
      </c>
      <c r="F27843">
        <v>26</v>
      </c>
    </row>
    <row r="27844" spans="1:6" ht="12.75">
      <c r="A27844" s="2">
        <v>43875.637407407412</v>
      </c>
      <c r="B27844" t="str">
        <f>HYPERLINK("https://twitter.com/fredyRichardo","@fredyRichardo")</f>
        <v>@fredyRichardo</v>
      </c>
      <c r="C27844" t="s">
        <v>12274</v>
      </c>
      <c r="D27844">
        <v>0</v>
      </c>
      <c r="E27844">
        <v>0</v>
      </c>
      <c r="F27844">
        <v>27</v>
      </c>
    </row>
    <row r="27845" spans="1:6" ht="12.75">
      <c r="A27845" s="2">
        <v>43875.637280092589</v>
      </c>
      <c r="B27845" t="str">
        <f>HYPERLINK("https://twitter.com/areksosmed","@areksosmed")</f>
        <v>@areksosmed</v>
      </c>
      <c r="C27845" t="s">
        <v>11309</v>
      </c>
      <c r="D27845">
        <v>1</v>
      </c>
      <c r="E27845">
        <v>0</v>
      </c>
      <c r="F27845">
        <v>1045</v>
      </c>
    </row>
    <row r="27846" spans="1:6" ht="12.75">
      <c r="A27846" s="2">
        <v>43875.63726851852</v>
      </c>
      <c r="B27846" t="str">
        <f>HYPERLINK("https://twitter.com/mynameismelti","@mynameismelti")</f>
        <v>@mynameismelti</v>
      </c>
      <c r="C27846" t="s">
        <v>2444</v>
      </c>
      <c r="D27846">
        <v>1457</v>
      </c>
      <c r="E27846">
        <v>0</v>
      </c>
      <c r="F27846">
        <v>309</v>
      </c>
    </row>
    <row r="27847" spans="1:6" ht="12.75">
      <c r="A27847" s="2">
        <v>43875.637256944443</v>
      </c>
      <c r="B27847" t="str">
        <f>HYPERLINK("https://twitter.com/RikaKHRN","@RikaKHRN")</f>
        <v>@RikaKHRN</v>
      </c>
      <c r="C27847" t="s">
        <v>2444</v>
      </c>
      <c r="D27847">
        <v>1457</v>
      </c>
      <c r="E27847">
        <v>0</v>
      </c>
      <c r="F27847">
        <v>742</v>
      </c>
    </row>
    <row r="27848" spans="1:6" ht="12.75">
      <c r="A27848" s="2">
        <v>43875.637233796297</v>
      </c>
      <c r="B27848" t="str">
        <f>HYPERLINK("https://twitter.com/Tataegguk","@Tataegguk")</f>
        <v>@Tataegguk</v>
      </c>
      <c r="C27848" t="s">
        <v>2444</v>
      </c>
      <c r="D27848">
        <v>1457</v>
      </c>
      <c r="E27848">
        <v>0</v>
      </c>
      <c r="F27848">
        <v>2825</v>
      </c>
    </row>
    <row r="27849" spans="1:6" ht="12.75">
      <c r="A27849" s="2">
        <v>43875.637233796297</v>
      </c>
      <c r="B27849" t="str">
        <f>HYPERLINK("https://twitter.com/jihyoislov","@jihyoislov")</f>
        <v>@jihyoislov</v>
      </c>
      <c r="C27849" t="s">
        <v>2444</v>
      </c>
      <c r="D27849">
        <v>1457</v>
      </c>
      <c r="E27849">
        <v>0</v>
      </c>
      <c r="F27849">
        <v>446</v>
      </c>
    </row>
    <row r="27850" spans="1:6" ht="12.75">
      <c r="A27850" s="2">
        <v>43875.637013888889</v>
      </c>
      <c r="B27850" t="str">
        <f>HYPERLINK("https://twitter.com/ZheeOmega","@ZheeOmega")</f>
        <v>@ZheeOmega</v>
      </c>
      <c r="C27850" t="s">
        <v>12275</v>
      </c>
      <c r="D27850">
        <v>1</v>
      </c>
      <c r="E27850">
        <v>0</v>
      </c>
      <c r="F27850">
        <v>17782</v>
      </c>
    </row>
    <row r="27851" spans="1:6" ht="12.75">
      <c r="A27851" s="2">
        <v>43875.636967592596</v>
      </c>
      <c r="B27851" t="str">
        <f>HYPERLINK("https://twitter.com/ShenRu013","@ShenRu013")</f>
        <v>@ShenRu013</v>
      </c>
      <c r="C27851" t="s">
        <v>2963</v>
      </c>
      <c r="D27851">
        <v>923</v>
      </c>
      <c r="E27851">
        <v>0</v>
      </c>
      <c r="F27851">
        <v>171</v>
      </c>
    </row>
    <row r="27852" spans="1:6" ht="12.75">
      <c r="A27852" s="2">
        <v>43875.636932870373</v>
      </c>
      <c r="B27852" t="str">
        <f>HYPERLINK("https://twitter.com/mynameismelti","@mynameismelti")</f>
        <v>@mynameismelti</v>
      </c>
      <c r="C27852" t="s">
        <v>5168</v>
      </c>
      <c r="D27852">
        <v>739</v>
      </c>
      <c r="E27852">
        <v>0</v>
      </c>
      <c r="F27852">
        <v>309</v>
      </c>
    </row>
    <row r="27853" spans="1:6" ht="12.75">
      <c r="A27853" s="2">
        <v>43875.63690972222</v>
      </c>
      <c r="B27853" t="str">
        <f>HYPERLINK("https://twitter.com/RamaAbd","@RamaAbd")</f>
        <v>@RamaAbd</v>
      </c>
      <c r="C27853" t="s">
        <v>8233</v>
      </c>
      <c r="D27853">
        <v>469</v>
      </c>
      <c r="E27853">
        <v>0</v>
      </c>
      <c r="F27853">
        <v>814</v>
      </c>
    </row>
    <row r="27854" spans="1:6" ht="12.75">
      <c r="A27854" s="2">
        <v>43875.636874999997</v>
      </c>
      <c r="B27854" t="str">
        <f>HYPERLINK("https://twitter.com/okezonenews","@okezonenews")</f>
        <v>@okezonenews</v>
      </c>
      <c r="C27854" t="s">
        <v>12276</v>
      </c>
      <c r="D27854">
        <v>0</v>
      </c>
      <c r="E27854">
        <v>1</v>
      </c>
      <c r="F27854">
        <v>1743749</v>
      </c>
    </row>
    <row r="27855" spans="1:6" ht="12.75">
      <c r="A27855" s="2">
        <v>43875.636863425927</v>
      </c>
      <c r="B27855" t="str">
        <f>HYPERLINK("https://twitter.com/jaehyunjin9200","@jaehyunjin9200")</f>
        <v>@jaehyunjin9200</v>
      </c>
      <c r="C27855" t="s">
        <v>5168</v>
      </c>
      <c r="D27855">
        <v>739</v>
      </c>
      <c r="E27855">
        <v>0</v>
      </c>
      <c r="F27855">
        <v>530</v>
      </c>
    </row>
    <row r="27856" spans="1:6" ht="12.75">
      <c r="A27856" s="2">
        <v>43875.63685185185</v>
      </c>
      <c r="B27856" t="str">
        <f>HYPERLINK("https://twitter.com/AndryWaseso","@AndryWaseso")</f>
        <v>@AndryWaseso</v>
      </c>
      <c r="C27856" t="s">
        <v>12277</v>
      </c>
      <c r="D27856">
        <v>0</v>
      </c>
      <c r="E27856">
        <v>0</v>
      </c>
      <c r="F27856">
        <v>1431</v>
      </c>
    </row>
    <row r="27857" spans="1:6" ht="12.75">
      <c r="A27857" s="2">
        <v>43875.636759259258</v>
      </c>
      <c r="B27857" t="str">
        <f>HYPERLINK("https://twitter.com/Nadeela_EG","@Nadeela_EG")</f>
        <v>@Nadeela_EG</v>
      </c>
      <c r="C27857" t="s">
        <v>2444</v>
      </c>
      <c r="D27857">
        <v>1457</v>
      </c>
      <c r="E27857">
        <v>0</v>
      </c>
      <c r="F27857">
        <v>610</v>
      </c>
    </row>
    <row r="27858" spans="1:6" ht="12.75">
      <c r="A27858" s="2">
        <v>43875.636747685188</v>
      </c>
      <c r="B27858" t="str">
        <f>HYPERLINK("https://twitter.com/d_zinbawe","@d_zinbawe")</f>
        <v>@d_zinbawe</v>
      </c>
      <c r="C27858" t="s">
        <v>12278</v>
      </c>
      <c r="D27858">
        <v>56</v>
      </c>
      <c r="E27858">
        <v>0</v>
      </c>
      <c r="F27858">
        <v>144</v>
      </c>
    </row>
    <row r="27859" spans="1:6" ht="12.75">
      <c r="A27859" s="2">
        <v>43875.636712962965</v>
      </c>
      <c r="B27859" t="str">
        <f>HYPERLINK("https://twitter.com/DilahUsro","@DilahUsro")</f>
        <v>@DilahUsro</v>
      </c>
      <c r="C27859" t="s">
        <v>2444</v>
      </c>
      <c r="D27859">
        <v>1457</v>
      </c>
      <c r="E27859">
        <v>0</v>
      </c>
      <c r="F27859">
        <v>136</v>
      </c>
    </row>
    <row r="27860" spans="1:6" ht="12.75">
      <c r="A27860" s="2">
        <v>43875.636701388888</v>
      </c>
      <c r="B27860" t="str">
        <f>HYPERLINK("https://twitter.com/Sfryd7","@Sfryd7")</f>
        <v>@Sfryd7</v>
      </c>
      <c r="C27860" t="s">
        <v>10810</v>
      </c>
      <c r="D27860">
        <v>3</v>
      </c>
      <c r="E27860">
        <v>0</v>
      </c>
      <c r="F27860">
        <v>1425</v>
      </c>
    </row>
    <row r="27861" spans="1:6" ht="12.75">
      <c r="A27861" s="2">
        <v>43875.636666666665</v>
      </c>
      <c r="B27861" t="str">
        <f>HYPERLINK("https://twitter.com/cafune0","@cafune0")</f>
        <v>@cafune0</v>
      </c>
      <c r="C27861" t="s">
        <v>9067</v>
      </c>
      <c r="D27861">
        <v>6</v>
      </c>
      <c r="E27861">
        <v>0</v>
      </c>
      <c r="F27861">
        <v>372</v>
      </c>
    </row>
    <row r="27862" spans="1:6" ht="12.75">
      <c r="A27862" s="2">
        <v>43875.636643518519</v>
      </c>
      <c r="B27862" t="str">
        <f>HYPERLINK("https://twitter.com/LvLinda_m","@LvLinda_m")</f>
        <v>@LvLinda_m</v>
      </c>
      <c r="C27862" t="s">
        <v>2444</v>
      </c>
      <c r="D27862">
        <v>1457</v>
      </c>
      <c r="E27862">
        <v>0</v>
      </c>
      <c r="F27862">
        <v>4262</v>
      </c>
    </row>
    <row r="27863" spans="1:6" ht="12.75">
      <c r="A27863" s="2">
        <v>43875.636620370366</v>
      </c>
      <c r="B27863" t="str">
        <f>HYPERLINK("https://twitter.com/ssuryoseptono","@ssuryoseptono")</f>
        <v>@ssuryoseptono</v>
      </c>
      <c r="C27863" t="s">
        <v>12279</v>
      </c>
      <c r="D27863">
        <v>57</v>
      </c>
      <c r="E27863">
        <v>0</v>
      </c>
      <c r="F27863">
        <v>1380</v>
      </c>
    </row>
    <row r="27864" spans="1:6" ht="12.75">
      <c r="A27864" s="2">
        <v>43875.63652777778</v>
      </c>
      <c r="B27864" t="str">
        <f>HYPERLINK("https://twitter.com/BawsluDIY","@BawsluDIY")</f>
        <v>@BawsluDIY</v>
      </c>
      <c r="C27864" t="s">
        <v>12280</v>
      </c>
      <c r="D27864">
        <v>0</v>
      </c>
      <c r="E27864">
        <v>0</v>
      </c>
      <c r="F27864">
        <v>231</v>
      </c>
    </row>
    <row r="27865" spans="1:6" ht="12.75">
      <c r="A27865" s="2">
        <v>43875.636504629627</v>
      </c>
      <c r="B27865" t="str">
        <f>HYPERLINK("https://twitter.com/EAGLE_0775","@EAGLE_0775")</f>
        <v>@EAGLE_0775</v>
      </c>
      <c r="C27865" t="s">
        <v>12281</v>
      </c>
      <c r="D27865">
        <v>0</v>
      </c>
      <c r="E27865">
        <v>0</v>
      </c>
      <c r="F27865">
        <v>1204</v>
      </c>
    </row>
    <row r="27866" spans="1:6" ht="12.75">
      <c r="A27866" s="2">
        <v>43875.636493055557</v>
      </c>
      <c r="B27866" t="str">
        <f>HYPERLINK("https://twitter.com/edoardbl","@edoardbl")</f>
        <v>@edoardbl</v>
      </c>
      <c r="C27866" t="s">
        <v>12282</v>
      </c>
      <c r="D27866">
        <v>1</v>
      </c>
      <c r="E27866">
        <v>0</v>
      </c>
      <c r="F27866">
        <v>280</v>
      </c>
    </row>
    <row r="27867" spans="1:6" ht="12.75">
      <c r="A27867" s="2">
        <v>43875.636435185181</v>
      </c>
      <c r="B27867" t="str">
        <f>HYPERLINK("https://twitter.com/iim666","@iim666")</f>
        <v>@iim666</v>
      </c>
      <c r="C27867" t="s">
        <v>7478</v>
      </c>
      <c r="D27867">
        <v>191</v>
      </c>
      <c r="E27867">
        <v>0</v>
      </c>
      <c r="F27867">
        <v>321</v>
      </c>
    </row>
    <row r="27868" spans="1:6" ht="12.75">
      <c r="A27868" s="2">
        <v>43875.636354166665</v>
      </c>
      <c r="B27868" t="str">
        <f>HYPERLINK("https://twitter.com/marcharitahere","@marcharitahere")</f>
        <v>@marcharitahere</v>
      </c>
      <c r="C27868" t="s">
        <v>12283</v>
      </c>
      <c r="D27868">
        <v>0</v>
      </c>
      <c r="E27868">
        <v>2</v>
      </c>
      <c r="F27868">
        <v>3934</v>
      </c>
    </row>
    <row r="27869" spans="1:6" ht="12.75">
      <c r="A27869" s="2">
        <v>43875.636284722219</v>
      </c>
      <c r="B27869" t="str">
        <f>HYPERLINK("https://twitter.com/ssuryoseptono","@ssuryoseptono")</f>
        <v>@ssuryoseptono</v>
      </c>
      <c r="C27869" t="s">
        <v>9096</v>
      </c>
      <c r="D27869">
        <v>193</v>
      </c>
      <c r="E27869">
        <v>0</v>
      </c>
      <c r="F27869">
        <v>1380</v>
      </c>
    </row>
    <row r="27870" spans="1:6" ht="12.75">
      <c r="A27870" s="2">
        <v>43875.636099537034</v>
      </c>
      <c r="B27870" t="str">
        <f>HYPERLINK("https://twitter.com/VanillaL_","@VanillaL_")</f>
        <v>@VanillaL_</v>
      </c>
      <c r="C27870" t="s">
        <v>2137</v>
      </c>
      <c r="D27870">
        <v>119</v>
      </c>
      <c r="E27870">
        <v>0</v>
      </c>
      <c r="F27870">
        <v>8</v>
      </c>
    </row>
    <row r="27871" spans="1:6" ht="12.75">
      <c r="A27871" s="2">
        <v>43875.636041666672</v>
      </c>
      <c r="B27871" t="str">
        <f>HYPERLINK("https://twitter.com/birgittacdp","@birgittacdp")</f>
        <v>@birgittacdp</v>
      </c>
      <c r="C27871" t="s">
        <v>11460</v>
      </c>
      <c r="D27871">
        <v>20</v>
      </c>
      <c r="E27871">
        <v>0</v>
      </c>
      <c r="F27871">
        <v>379</v>
      </c>
    </row>
    <row r="27872" spans="1:6" ht="12.75">
      <c r="A27872" s="2">
        <v>43875.635995370365</v>
      </c>
      <c r="B27872" t="str">
        <f>HYPERLINK("https://twitter.com/Santri_Gay3ng","@Santri_Gay3ng")</f>
        <v>@Santri_Gay3ng</v>
      </c>
      <c r="C27872" t="s">
        <v>12212</v>
      </c>
      <c r="D27872">
        <v>11</v>
      </c>
      <c r="E27872">
        <v>0</v>
      </c>
      <c r="F27872">
        <v>469</v>
      </c>
    </row>
    <row r="27873" spans="1:6" ht="12.75">
      <c r="A27873" s="2">
        <v>43875.635983796295</v>
      </c>
      <c r="B27873" t="str">
        <f>HYPERLINK("https://twitter.com/tresnareswari","@tresnareswari")</f>
        <v>@tresnareswari</v>
      </c>
      <c r="C27873" t="s">
        <v>12232</v>
      </c>
      <c r="D27873">
        <v>3</v>
      </c>
      <c r="E27873">
        <v>0</v>
      </c>
      <c r="F27873">
        <v>391</v>
      </c>
    </row>
    <row r="27874" spans="1:6" ht="12.75">
      <c r="A27874" s="2">
        <v>43875.635949074072</v>
      </c>
      <c r="B27874" t="str">
        <f>HYPERLINK("https://twitter.com/indonesiainist","@indonesiainist")</f>
        <v>@indonesiainist</v>
      </c>
      <c r="C27874" t="s">
        <v>12284</v>
      </c>
      <c r="D27874">
        <v>0</v>
      </c>
      <c r="E27874">
        <v>0</v>
      </c>
      <c r="F27874">
        <v>689</v>
      </c>
    </row>
    <row r="27875" spans="1:6" ht="12.75">
      <c r="A27875" s="2">
        <v>43875.635891203703</v>
      </c>
      <c r="B27875" t="str">
        <f>HYPERLINK("https://twitter.com/Nkrikuindonesi8","@Nkrikuindonesi8")</f>
        <v>@Nkrikuindonesi8</v>
      </c>
      <c r="C27875" t="s">
        <v>10422</v>
      </c>
      <c r="D27875">
        <v>90</v>
      </c>
      <c r="E27875">
        <v>0</v>
      </c>
      <c r="F27875">
        <v>131</v>
      </c>
    </row>
    <row r="27876" spans="1:6" ht="12.75">
      <c r="A27876" s="2">
        <v>43875.635844907403</v>
      </c>
      <c r="B27876" t="str">
        <f>HYPERLINK("https://twitter.com/Sonyrony2","@Sonyrony2")</f>
        <v>@Sonyrony2</v>
      </c>
      <c r="C27876" t="s">
        <v>10512</v>
      </c>
      <c r="D27876">
        <v>3</v>
      </c>
      <c r="E27876">
        <v>0</v>
      </c>
      <c r="F27876">
        <v>326</v>
      </c>
    </row>
    <row r="27877" spans="1:6" ht="12.75">
      <c r="A27877" s="2">
        <v>43875.635833333334</v>
      </c>
      <c r="B27877" t="str">
        <f>HYPERLINK("https://twitter.com/anekwoodpecker","@anekwoodpecker")</f>
        <v>@anekwoodpecker</v>
      </c>
      <c r="C27877" t="s">
        <v>12285</v>
      </c>
      <c r="D27877">
        <v>0</v>
      </c>
      <c r="E27877">
        <v>0</v>
      </c>
      <c r="F27877">
        <v>77</v>
      </c>
    </row>
    <row r="27878" spans="1:6" ht="12.75">
      <c r="A27878" s="2">
        <v>43875.635821759264</v>
      </c>
      <c r="B27878" t="str">
        <f>HYPERLINK("https://twitter.com/ghynursha","@ghynursha")</f>
        <v>@ghynursha</v>
      </c>
      <c r="C27878" t="s">
        <v>2444</v>
      </c>
      <c r="D27878">
        <v>1457</v>
      </c>
      <c r="E27878">
        <v>0</v>
      </c>
      <c r="F27878">
        <v>1321</v>
      </c>
    </row>
    <row r="27879" spans="1:6" ht="12.75">
      <c r="A27879" s="2">
        <v>43875.635775462964</v>
      </c>
      <c r="B27879" t="str">
        <f>HYPERLINK("https://twitter.com/kamto_adi","@kamto_adi")</f>
        <v>@kamto_adi</v>
      </c>
      <c r="C27879" t="s">
        <v>12286</v>
      </c>
      <c r="D27879">
        <v>3</v>
      </c>
      <c r="E27879">
        <v>2</v>
      </c>
      <c r="F27879">
        <v>14973</v>
      </c>
    </row>
    <row r="27880" spans="1:6" ht="12.75">
      <c r="A27880" s="2">
        <v>43875.635763888888</v>
      </c>
      <c r="B27880" t="str">
        <f>HYPERLINK("https://twitter.com/renimerdk","@renimerdk")</f>
        <v>@renimerdk</v>
      </c>
      <c r="C27880" t="s">
        <v>12287</v>
      </c>
      <c r="D27880">
        <v>36</v>
      </c>
      <c r="E27880">
        <v>0</v>
      </c>
      <c r="F27880">
        <v>489</v>
      </c>
    </row>
    <row r="27881" spans="1:6" ht="12.75">
      <c r="A27881" s="2">
        <v>43875.635682870372</v>
      </c>
      <c r="B27881" t="str">
        <f>HYPERLINK("https://twitter.com/nek_unak","@nek_unak")</f>
        <v>@nek_unak</v>
      </c>
      <c r="C27881" t="s">
        <v>5168</v>
      </c>
      <c r="D27881">
        <v>739</v>
      </c>
      <c r="E27881">
        <v>0</v>
      </c>
      <c r="F27881">
        <v>740</v>
      </c>
    </row>
    <row r="27882" spans="1:6" ht="12.75">
      <c r="A27882" s="2">
        <v>43875.635555555556</v>
      </c>
      <c r="B27882" t="str">
        <f>HYPERLINK("https://twitter.com/celonyta","@celonyta")</f>
        <v>@celonyta</v>
      </c>
      <c r="C27882" t="s">
        <v>10710</v>
      </c>
      <c r="D27882">
        <v>23</v>
      </c>
      <c r="E27882">
        <v>0</v>
      </c>
      <c r="F27882">
        <v>1264</v>
      </c>
    </row>
    <row r="27883" spans="1:6" ht="12.75">
      <c r="A27883" s="2">
        <v>43875.635555555556</v>
      </c>
      <c r="B27883" t="str">
        <f>HYPERLINK("https://twitter.com/EmmaOctv","@EmmaOctv")</f>
        <v>@EmmaOctv</v>
      </c>
      <c r="C27883" t="s">
        <v>2444</v>
      </c>
      <c r="D27883">
        <v>1457</v>
      </c>
      <c r="E27883">
        <v>0</v>
      </c>
      <c r="F27883">
        <v>2964</v>
      </c>
    </row>
    <row r="27884" spans="1:6" ht="12.75">
      <c r="A27884" s="2">
        <v>43875.635509259257</v>
      </c>
      <c r="B27884" t="str">
        <f>HYPERLINK("https://twitter.com/d_zinbawe","@d_zinbawe")</f>
        <v>@d_zinbawe</v>
      </c>
      <c r="C27884" t="s">
        <v>10526</v>
      </c>
      <c r="D27884">
        <v>135</v>
      </c>
      <c r="E27884">
        <v>0</v>
      </c>
      <c r="F27884">
        <v>144</v>
      </c>
    </row>
    <row r="27885" spans="1:6" ht="12.75">
      <c r="A27885" s="2">
        <v>43875.635497685187</v>
      </c>
      <c r="B27885" t="str">
        <f>HYPERLINK("https://twitter.com/mana_buktinya","@mana_buktinya")</f>
        <v>@mana_buktinya</v>
      </c>
      <c r="C27885" t="s">
        <v>12288</v>
      </c>
      <c r="D27885">
        <v>0</v>
      </c>
      <c r="E27885">
        <v>0</v>
      </c>
      <c r="F27885">
        <v>29</v>
      </c>
    </row>
    <row r="27886" spans="1:6" ht="12.75">
      <c r="A27886" s="2">
        <v>43875.63548611111</v>
      </c>
      <c r="B27886" t="str">
        <f>HYPERLINK("https://twitter.com/Wanwan24933722","@Wanwan24933722")</f>
        <v>@Wanwan24933722</v>
      </c>
      <c r="C27886" t="s">
        <v>12289</v>
      </c>
      <c r="D27886">
        <v>0</v>
      </c>
      <c r="E27886">
        <v>0</v>
      </c>
      <c r="F27886">
        <v>1</v>
      </c>
    </row>
    <row r="27887" spans="1:6" ht="12.75">
      <c r="A27887" s="2">
        <v>43875.635451388887</v>
      </c>
      <c r="B27887" t="str">
        <f>HYPERLINK("https://twitter.com/SusilawatiSisi2","@SusilawatiSisi2")</f>
        <v>@SusilawatiSisi2</v>
      </c>
      <c r="C27887" t="s">
        <v>12290</v>
      </c>
      <c r="D27887">
        <v>1</v>
      </c>
      <c r="E27887">
        <v>3</v>
      </c>
      <c r="F27887">
        <v>3381</v>
      </c>
    </row>
    <row r="27888" spans="1:6" ht="12.75">
      <c r="A27888" s="2">
        <v>43875.635405092587</v>
      </c>
      <c r="B27888" t="str">
        <f>HYPERLINK("https://twitter.com/Rido_Lizze","@Rido_Lizze")</f>
        <v>@Rido_Lizze</v>
      </c>
      <c r="C27888" t="s">
        <v>12291</v>
      </c>
      <c r="D27888">
        <v>0</v>
      </c>
      <c r="E27888">
        <v>0</v>
      </c>
      <c r="F27888">
        <v>1303</v>
      </c>
    </row>
    <row r="27889" spans="1:6" ht="12.75">
      <c r="A27889" s="2">
        <v>43875.635393518518</v>
      </c>
      <c r="B27889" t="str">
        <f>HYPERLINK("https://twitter.com/fcitra","@fcitra")</f>
        <v>@fcitra</v>
      </c>
      <c r="C27889" t="s">
        <v>12292</v>
      </c>
      <c r="D27889">
        <v>0</v>
      </c>
      <c r="E27889">
        <v>0</v>
      </c>
      <c r="F27889">
        <v>430</v>
      </c>
    </row>
    <row r="27890" spans="1:6" ht="12.75">
      <c r="A27890" s="2">
        <v>43875.635370370372</v>
      </c>
      <c r="B27890" t="str">
        <f>HYPERLINK("https://twitter.com/04moonphon","@04moonphon")</f>
        <v>@04moonphon</v>
      </c>
      <c r="C27890" t="s">
        <v>2444</v>
      </c>
      <c r="D27890">
        <v>1457</v>
      </c>
      <c r="E27890">
        <v>0</v>
      </c>
      <c r="F27890">
        <v>158</v>
      </c>
    </row>
    <row r="27891" spans="1:6" ht="12.75">
      <c r="A27891" s="2">
        <v>43875.635324074072</v>
      </c>
      <c r="B27891" t="str">
        <f>HYPERLINK("https://twitter.com/KELIKers","@KELIKers")</f>
        <v>@KELIKers</v>
      </c>
      <c r="C27891" t="s">
        <v>2444</v>
      </c>
      <c r="D27891">
        <v>1457</v>
      </c>
      <c r="E27891">
        <v>0</v>
      </c>
      <c r="F27891">
        <v>578</v>
      </c>
    </row>
    <row r="27892" spans="1:6" ht="12.75">
      <c r="A27892" s="2">
        <v>43875.635300925926</v>
      </c>
      <c r="B27892" t="str">
        <f>HYPERLINK("https://twitter.com/ssuryoseptono","@ssuryoseptono")</f>
        <v>@ssuryoseptono</v>
      </c>
      <c r="C27892" t="s">
        <v>12293</v>
      </c>
      <c r="D27892">
        <v>61</v>
      </c>
      <c r="E27892">
        <v>0</v>
      </c>
      <c r="F27892">
        <v>1380</v>
      </c>
    </row>
    <row r="27893" spans="1:6" ht="12.75">
      <c r="A27893" s="2">
        <v>43875.635289351849</v>
      </c>
      <c r="B27893" t="str">
        <f>HYPERLINK("https://twitter.com/leonrd28_","@leonrd28_")</f>
        <v>@leonrd28_</v>
      </c>
      <c r="C27893" t="s">
        <v>11086</v>
      </c>
      <c r="D27893">
        <v>87</v>
      </c>
      <c r="E27893">
        <v>0</v>
      </c>
      <c r="F27893">
        <v>99</v>
      </c>
    </row>
    <row r="27894" spans="1:6" ht="12.75">
      <c r="A27894" s="2">
        <v>43875.635231481487</v>
      </c>
      <c r="B27894" t="str">
        <f>HYPERLINK("https://twitter.com/RMtanpanama","@RMtanpanama")</f>
        <v>@RMtanpanama</v>
      </c>
      <c r="C27894" t="s">
        <v>12294</v>
      </c>
      <c r="D27894">
        <v>0</v>
      </c>
      <c r="E27894">
        <v>0</v>
      </c>
      <c r="F27894">
        <v>120</v>
      </c>
    </row>
    <row r="27895" spans="1:6" ht="12.75">
      <c r="A27895" s="2">
        <v>43875.635138888887</v>
      </c>
      <c r="B27895" t="str">
        <f>HYPERLINK("https://twitter.com/netizen27","@netizen27")</f>
        <v>@netizen27</v>
      </c>
      <c r="C27895" t="s">
        <v>12295</v>
      </c>
      <c r="D27895">
        <v>0</v>
      </c>
      <c r="E27895">
        <v>0</v>
      </c>
      <c r="F27895">
        <v>1</v>
      </c>
    </row>
    <row r="27896" spans="1:6" ht="12.75">
      <c r="A27896" s="2">
        <v>43875.635127314818</v>
      </c>
      <c r="B27896" t="str">
        <f>HYPERLINK("https://twitter.com/JoePhiyo","@JoePhiyo")</f>
        <v>@JoePhiyo</v>
      </c>
      <c r="C27896" t="s">
        <v>9746</v>
      </c>
      <c r="D27896">
        <v>214</v>
      </c>
      <c r="E27896">
        <v>0</v>
      </c>
      <c r="F27896">
        <v>2290</v>
      </c>
    </row>
    <row r="27897" spans="1:6" ht="12.75">
      <c r="A27897" s="2">
        <v>43875.635127314818</v>
      </c>
      <c r="B27897" t="str">
        <f>HYPERLINK("https://twitter.com/irwan_saputera","@irwan_saputera")</f>
        <v>@irwan_saputera</v>
      </c>
      <c r="C27897" t="s">
        <v>10300</v>
      </c>
      <c r="D27897">
        <v>33</v>
      </c>
      <c r="E27897">
        <v>0</v>
      </c>
      <c r="F27897">
        <v>1768</v>
      </c>
    </row>
    <row r="27898" spans="1:6" ht="12.75">
      <c r="A27898" s="2">
        <v>43875.635069444441</v>
      </c>
      <c r="B27898" t="str">
        <f>HYPERLINK("https://twitter.com/flyfluffy","@flyfluffy")</f>
        <v>@flyfluffy</v>
      </c>
      <c r="C27898" t="s">
        <v>2963</v>
      </c>
      <c r="D27898">
        <v>923</v>
      </c>
      <c r="E27898">
        <v>0</v>
      </c>
      <c r="F27898">
        <v>569</v>
      </c>
    </row>
    <row r="27899" spans="1:6" ht="12.75">
      <c r="A27899" s="2">
        <v>43875.634965277779</v>
      </c>
      <c r="B27899" t="str">
        <f>HYPERLINK("https://twitter.com/syrahmaa288","@syrahmaa288")</f>
        <v>@syrahmaa288</v>
      </c>
      <c r="C27899" t="s">
        <v>2444</v>
      </c>
      <c r="D27899">
        <v>1457</v>
      </c>
      <c r="E27899">
        <v>0</v>
      </c>
      <c r="F27899">
        <v>1418</v>
      </c>
    </row>
    <row r="27900" spans="1:6" ht="12.75">
      <c r="A27900" s="2">
        <v>43875.634918981479</v>
      </c>
      <c r="B27900" t="str">
        <f>HYPERLINK("https://twitter.com/Ulyak8","@Ulyak8")</f>
        <v>@Ulyak8</v>
      </c>
      <c r="C27900" t="s">
        <v>2444</v>
      </c>
      <c r="D27900">
        <v>1457</v>
      </c>
      <c r="E27900">
        <v>0</v>
      </c>
      <c r="F27900">
        <v>37</v>
      </c>
    </row>
    <row r="27901" spans="1:6" ht="12.75">
      <c r="A27901" s="2">
        <v>43875.634884259256</v>
      </c>
      <c r="B27901" t="str">
        <f>HYPERLINK("https://twitter.com/Amanda010206","@Amanda010206")</f>
        <v>@Amanda010206</v>
      </c>
      <c r="C27901" t="s">
        <v>2963</v>
      </c>
      <c r="D27901">
        <v>923</v>
      </c>
      <c r="E27901">
        <v>0</v>
      </c>
      <c r="F27901">
        <v>712</v>
      </c>
    </row>
    <row r="27902" spans="1:6" ht="12.75">
      <c r="A27902" s="2">
        <v>43875.634756944448</v>
      </c>
      <c r="B27902" t="str">
        <f>HYPERLINK("https://twitter.com/UtomoSetyok4ila","@UtomoSetyok4ila")</f>
        <v>@UtomoSetyok4ila</v>
      </c>
      <c r="C27902" t="s">
        <v>7478</v>
      </c>
      <c r="D27902">
        <v>191</v>
      </c>
      <c r="E27902">
        <v>0</v>
      </c>
      <c r="F27902">
        <v>394</v>
      </c>
    </row>
    <row r="27903" spans="1:6" ht="12.75">
      <c r="A27903" s="2">
        <v>43875.634652777779</v>
      </c>
      <c r="B27903" t="str">
        <f>HYPERLINK("https://twitter.com/mohamadalwikusm","@mohamadalwikusm")</f>
        <v>@mohamadalwikusm</v>
      </c>
      <c r="C27903" t="s">
        <v>12080</v>
      </c>
      <c r="D27903">
        <v>23</v>
      </c>
      <c r="E27903">
        <v>0</v>
      </c>
      <c r="F27903">
        <v>79</v>
      </c>
    </row>
    <row r="27904" spans="1:6" ht="12.75">
      <c r="A27904" s="2">
        <v>43875.634641203702</v>
      </c>
      <c r="B27904" t="str">
        <f>HYPERLINK("https://twitter.com/oyaaYaiya","@oyaaYaiya")</f>
        <v>@oyaaYaiya</v>
      </c>
      <c r="C27904" t="s">
        <v>2444</v>
      </c>
      <c r="D27904">
        <v>1457</v>
      </c>
      <c r="E27904">
        <v>0</v>
      </c>
      <c r="F27904">
        <v>852</v>
      </c>
    </row>
    <row r="27905" spans="1:6" ht="12.75">
      <c r="A27905" s="2">
        <v>43875.634629629625</v>
      </c>
      <c r="B27905" t="str">
        <f>HYPERLINK("https://twitter.com/tua_serdadu","@tua_serdadu")</f>
        <v>@tua_serdadu</v>
      </c>
      <c r="C27905" t="s">
        <v>11797</v>
      </c>
      <c r="D27905">
        <v>7</v>
      </c>
      <c r="E27905">
        <v>0</v>
      </c>
      <c r="F27905">
        <v>278</v>
      </c>
    </row>
    <row r="27906" spans="1:6" ht="12.75">
      <c r="A27906" s="2">
        <v>43875.634467592594</v>
      </c>
      <c r="B27906" t="str">
        <f>HYPERLINK("https://twitter.com/EAGLE_0775","@EAGLE_0775")</f>
        <v>@EAGLE_0775</v>
      </c>
      <c r="C27906" t="s">
        <v>12296</v>
      </c>
      <c r="D27906">
        <v>0</v>
      </c>
      <c r="E27906">
        <v>0</v>
      </c>
      <c r="F27906">
        <v>1204</v>
      </c>
    </row>
    <row r="27907" spans="1:6" ht="12.75">
      <c r="A27907" s="2">
        <v>43875.634351851855</v>
      </c>
      <c r="B27907" t="str">
        <f>HYPERLINK("https://twitter.com/Aloysius_73","@Aloysius_73")</f>
        <v>@Aloysius_73</v>
      </c>
      <c r="C27907" t="s">
        <v>12297</v>
      </c>
      <c r="D27907">
        <v>0</v>
      </c>
      <c r="E27907">
        <v>0</v>
      </c>
      <c r="F27907">
        <v>28</v>
      </c>
    </row>
    <row r="27908" spans="1:6" ht="12.75">
      <c r="A27908" s="2">
        <v>43875.634340277778</v>
      </c>
      <c r="B27908" t="str">
        <f>HYPERLINK("https://twitter.com/siistri","@siistri")</f>
        <v>@siistri</v>
      </c>
      <c r="C27908" t="s">
        <v>12298</v>
      </c>
      <c r="D27908">
        <v>0</v>
      </c>
      <c r="E27908">
        <v>0</v>
      </c>
      <c r="F27908">
        <v>516</v>
      </c>
    </row>
    <row r="27909" spans="1:6" ht="12.75">
      <c r="A27909" s="2">
        <v>43875.634282407409</v>
      </c>
      <c r="B27909" t="str">
        <f>HYPERLINK("https://twitter.com/Santos62658028","@Santos62658028")</f>
        <v>@Santos62658028</v>
      </c>
      <c r="C27909" t="s">
        <v>10810</v>
      </c>
      <c r="D27909">
        <v>3</v>
      </c>
      <c r="E27909">
        <v>0</v>
      </c>
      <c r="F27909">
        <v>1436</v>
      </c>
    </row>
    <row r="27910" spans="1:6" ht="12.75">
      <c r="A27910" s="2">
        <v>43875.634143518517</v>
      </c>
      <c r="B27910" t="str">
        <f>HYPERLINK("https://twitter.com/AnakKolong___","@AnakKolong___")</f>
        <v>@AnakKolong___</v>
      </c>
      <c r="C27910" t="s">
        <v>12299</v>
      </c>
      <c r="D27910">
        <v>1</v>
      </c>
      <c r="E27910">
        <v>0</v>
      </c>
      <c r="F27910">
        <v>5296</v>
      </c>
    </row>
    <row r="27911" spans="1:6" ht="12.75">
      <c r="A27911" s="2">
        <v>43875.634097222224</v>
      </c>
      <c r="B27911" t="str">
        <f>HYPERLINK("https://twitter.com/kondekturbus_","@kondekturbus_")</f>
        <v>@kondekturbus_</v>
      </c>
      <c r="C27911" t="s">
        <v>2444</v>
      </c>
      <c r="D27911">
        <v>1457</v>
      </c>
      <c r="E27911">
        <v>0</v>
      </c>
      <c r="F27911">
        <v>13898</v>
      </c>
    </row>
    <row r="27912" spans="1:6" ht="12.75">
      <c r="A27912" s="2">
        <v>43875.634085648147</v>
      </c>
      <c r="B27912" t="str">
        <f>HYPERLINK("https://twitter.com/andre_ashtaroth","@andre_ashtaroth")</f>
        <v>@andre_ashtaroth</v>
      </c>
      <c r="C27912" t="s">
        <v>11580</v>
      </c>
      <c r="D27912">
        <v>32</v>
      </c>
      <c r="E27912">
        <v>0</v>
      </c>
      <c r="F27912">
        <v>1155</v>
      </c>
    </row>
    <row r="27913" spans="1:6" ht="12.75">
      <c r="A27913" s="2">
        <v>43875.633854166663</v>
      </c>
      <c r="B27913" t="str">
        <f>HYPERLINK("https://twitter.com/indonesiakitaco","@indonesiakitaco")</f>
        <v>@indonesiakitaco</v>
      </c>
      <c r="C27913" t="s">
        <v>12300</v>
      </c>
      <c r="D27913">
        <v>0</v>
      </c>
      <c r="E27913">
        <v>0</v>
      </c>
      <c r="F27913">
        <v>1015</v>
      </c>
    </row>
    <row r="27914" spans="1:6" ht="12.75">
      <c r="A27914" s="2">
        <v>43875.633842592593</v>
      </c>
      <c r="B27914" t="str">
        <f>HYPERLINK("https://twitter.com/netizen27","@netizen27")</f>
        <v>@netizen27</v>
      </c>
      <c r="C27914" t="s">
        <v>12301</v>
      </c>
      <c r="D27914">
        <v>0</v>
      </c>
      <c r="E27914">
        <v>1</v>
      </c>
      <c r="F27914">
        <v>1</v>
      </c>
    </row>
    <row r="27915" spans="1:6" ht="12.75">
      <c r="A27915" s="2">
        <v>43875.63381944444</v>
      </c>
      <c r="B27915" t="str">
        <f>HYPERLINK("https://twitter.com/sybud","@sybud")</f>
        <v>@sybud</v>
      </c>
      <c r="C27915" t="s">
        <v>5168</v>
      </c>
      <c r="D27915">
        <v>739</v>
      </c>
      <c r="E27915">
        <v>0</v>
      </c>
      <c r="F27915">
        <v>160</v>
      </c>
    </row>
    <row r="27916" spans="1:6" ht="12.75">
      <c r="A27916" s="2">
        <v>43875.63380787037</v>
      </c>
      <c r="B27916" t="str">
        <f>HYPERLINK("https://twitter.com/DedehKu95290849","@DedehKu95290849")</f>
        <v>@DedehKu95290849</v>
      </c>
      <c r="C27916" t="s">
        <v>9746</v>
      </c>
      <c r="D27916">
        <v>214</v>
      </c>
      <c r="E27916">
        <v>0</v>
      </c>
      <c r="F27916">
        <v>415</v>
      </c>
    </row>
    <row r="27917" spans="1:6" ht="12.75">
      <c r="A27917" s="2">
        <v>43875.633784722224</v>
      </c>
      <c r="B27917" t="str">
        <f>HYPERLINK("https://twitter.com/wow_keren","@wow_keren")</f>
        <v>@wow_keren</v>
      </c>
      <c r="C27917" t="s">
        <v>12302</v>
      </c>
      <c r="D27917">
        <v>0</v>
      </c>
      <c r="E27917">
        <v>0</v>
      </c>
      <c r="F27917">
        <v>32001</v>
      </c>
    </row>
    <row r="27918" spans="1:6" ht="12.75">
      <c r="A27918" s="2">
        <v>43875.633773148147</v>
      </c>
      <c r="B27918" t="str">
        <f>HYPERLINK("https://twitter.com/SusilawatiSisi2","@SusilawatiSisi2")</f>
        <v>@SusilawatiSisi2</v>
      </c>
      <c r="C27918" t="s">
        <v>12303</v>
      </c>
      <c r="D27918">
        <v>0</v>
      </c>
      <c r="E27918">
        <v>3</v>
      </c>
      <c r="F27918">
        <v>3381</v>
      </c>
    </row>
    <row r="27919" spans="1:6" ht="12.75">
      <c r="A27919" s="2">
        <v>43875.633761574078</v>
      </c>
      <c r="B27919" t="str">
        <f>HYPERLINK("https://twitter.com/wow_keren","@wow_keren")</f>
        <v>@wow_keren</v>
      </c>
      <c r="C27919" t="s">
        <v>12304</v>
      </c>
      <c r="D27919">
        <v>0</v>
      </c>
      <c r="E27919">
        <v>0</v>
      </c>
      <c r="F27919">
        <v>32001</v>
      </c>
    </row>
    <row r="27920" spans="1:6" ht="12.75">
      <c r="A27920" s="2">
        <v>43875.633750000001</v>
      </c>
      <c r="B27920" t="str">
        <f>HYPERLINK("https://twitter.com/G_Michelangetlo","@G_Michelangetlo")</f>
        <v>@G_Michelangetlo</v>
      </c>
      <c r="C27920" t="s">
        <v>2444</v>
      </c>
      <c r="D27920">
        <v>1457</v>
      </c>
      <c r="E27920">
        <v>0</v>
      </c>
      <c r="F27920">
        <v>78</v>
      </c>
    </row>
    <row r="27921" spans="1:6" ht="12.75">
      <c r="A27921" s="2">
        <v>43875.633738425924</v>
      </c>
      <c r="B27921" t="str">
        <f>HYPERLINK("https://twitter.com/PRFMnews","@PRFMnews")</f>
        <v>@PRFMnews</v>
      </c>
      <c r="C27921" t="s">
        <v>12305</v>
      </c>
      <c r="D27921">
        <v>0</v>
      </c>
      <c r="E27921">
        <v>1</v>
      </c>
      <c r="F27921">
        <v>242733</v>
      </c>
    </row>
    <row r="27922" spans="1:6" ht="12.75">
      <c r="A27922" s="2">
        <v>43875.633738425924</v>
      </c>
      <c r="B27922" t="str">
        <f>HYPERLINK("https://twitter.com/syaheel","@syaheel")</f>
        <v>@syaheel</v>
      </c>
      <c r="C27922" t="s">
        <v>12306</v>
      </c>
      <c r="D27922">
        <v>2</v>
      </c>
      <c r="E27922">
        <v>0</v>
      </c>
      <c r="F27922">
        <v>16</v>
      </c>
    </row>
    <row r="27923" spans="1:6" ht="12.75">
      <c r="A27923" s="2">
        <v>43875.633726851855</v>
      </c>
      <c r="B27923" t="str">
        <f>HYPERLINK("https://twitter.com/abadikinidotcom","@abadikinidotcom")</f>
        <v>@abadikinidotcom</v>
      </c>
      <c r="C27923" t="s">
        <v>12307</v>
      </c>
      <c r="D27923">
        <v>0</v>
      </c>
      <c r="E27923">
        <v>0</v>
      </c>
      <c r="F27923">
        <v>1632</v>
      </c>
    </row>
    <row r="27924" spans="1:6" ht="12.75">
      <c r="A27924" s="2">
        <v>43875.633692129632</v>
      </c>
      <c r="B27924" t="str">
        <f>HYPERLINK("https://twitter.com/tenstankerad","@tenstankerad")</f>
        <v>@tenstankerad</v>
      </c>
      <c r="C27924" t="s">
        <v>2444</v>
      </c>
      <c r="D27924">
        <v>1457</v>
      </c>
      <c r="E27924">
        <v>0</v>
      </c>
      <c r="F27924">
        <v>17</v>
      </c>
    </row>
    <row r="27925" spans="1:6" ht="12.75">
      <c r="A27925" s="2">
        <v>43875.633576388893</v>
      </c>
      <c r="B27925" t="str">
        <f>HYPERLINK("https://twitter.com/ivanwick_","@ivanwick_")</f>
        <v>@ivanwick_</v>
      </c>
      <c r="C27925" t="s">
        <v>2444</v>
      </c>
      <c r="D27925">
        <v>1457</v>
      </c>
      <c r="E27925">
        <v>0</v>
      </c>
      <c r="F27925">
        <v>551</v>
      </c>
    </row>
    <row r="27926" spans="1:6" ht="12.75">
      <c r="A27926" s="2">
        <v>43875.63354166667</v>
      </c>
      <c r="B27926" t="str">
        <f>HYPERLINK("https://twitter.com/Edipurw61113168","@Edipurw61113168")</f>
        <v>@Edipurw61113168</v>
      </c>
      <c r="C27926" t="s">
        <v>7478</v>
      </c>
      <c r="D27926">
        <v>191</v>
      </c>
      <c r="E27926">
        <v>0</v>
      </c>
      <c r="F27926">
        <v>1194</v>
      </c>
    </row>
    <row r="27927" spans="1:6" ht="12.75">
      <c r="A27927" s="2">
        <v>43875.633379629631</v>
      </c>
      <c r="B27927" t="str">
        <f>HYPERLINK("https://twitter.com/kompascom","@kompascom")</f>
        <v>@kompascom</v>
      </c>
      <c r="C27927" t="s">
        <v>12308</v>
      </c>
      <c r="D27927">
        <v>0</v>
      </c>
      <c r="E27927">
        <v>3</v>
      </c>
      <c r="F27927">
        <v>7497431</v>
      </c>
    </row>
    <row r="27928" spans="1:6" ht="12.75">
      <c r="A27928" s="2">
        <v>43875.633379629631</v>
      </c>
      <c r="B27928" t="str">
        <f>HYPERLINK("https://twitter.com/Gus_Er","@Gus_Er")</f>
        <v>@Gus_Er</v>
      </c>
      <c r="C27928" t="s">
        <v>12309</v>
      </c>
      <c r="D27928">
        <v>0</v>
      </c>
      <c r="E27928">
        <v>0</v>
      </c>
      <c r="F27928">
        <v>235</v>
      </c>
    </row>
    <row r="27929" spans="1:6" ht="12.75">
      <c r="A27929" s="2">
        <v>43875.633368055554</v>
      </c>
      <c r="B27929" t="str">
        <f>HYPERLINK("https://twitter.com/WildanGolden","@WildanGolden")</f>
        <v>@WildanGolden</v>
      </c>
      <c r="C27929" t="s">
        <v>9147</v>
      </c>
      <c r="D27929">
        <v>16</v>
      </c>
      <c r="E27929">
        <v>0</v>
      </c>
      <c r="F27929">
        <v>249</v>
      </c>
    </row>
    <row r="27930" spans="1:6" ht="12.75">
      <c r="A27930" s="2">
        <v>43875.633113425924</v>
      </c>
      <c r="B27930" t="str">
        <f>HYPERLINK("https://twitter.com/MarthaAprilia5","@MarthaAprilia5")</f>
        <v>@MarthaAprilia5</v>
      </c>
      <c r="C27930" t="s">
        <v>11666</v>
      </c>
      <c r="D27930">
        <v>8</v>
      </c>
      <c r="E27930">
        <v>0</v>
      </c>
      <c r="F27930">
        <v>2106</v>
      </c>
    </row>
    <row r="27931" spans="1:6" ht="12.75">
      <c r="A27931" s="2">
        <v>43875.6330787037</v>
      </c>
      <c r="B27931" t="str">
        <f>HYPERLINK("https://twitter.com/redaksisore_t7","@redaksisore_t7")</f>
        <v>@redaksisore_t7</v>
      </c>
      <c r="C27931" t="s">
        <v>11555</v>
      </c>
      <c r="D27931">
        <v>0</v>
      </c>
      <c r="E27931">
        <v>0</v>
      </c>
      <c r="F27931">
        <v>12097</v>
      </c>
    </row>
    <row r="27932" spans="1:6" ht="12.75">
      <c r="A27932" s="2">
        <v>43875.633009259254</v>
      </c>
      <c r="B27932" t="str">
        <f>HYPERLINK("https://twitter.com/Poksai","@Poksai")</f>
        <v>@Poksai</v>
      </c>
      <c r="C27932" t="s">
        <v>10096</v>
      </c>
      <c r="D27932">
        <v>135</v>
      </c>
      <c r="E27932">
        <v>0</v>
      </c>
      <c r="F27932">
        <v>204</v>
      </c>
    </row>
    <row r="27933" spans="1:6" ht="12.75">
      <c r="A27933" s="2">
        <v>43875.632997685185</v>
      </c>
      <c r="B27933" t="str">
        <f>HYPERLINK("https://twitter.com/fitrinovianti3","@fitrinovianti3")</f>
        <v>@fitrinovianti3</v>
      </c>
      <c r="C27933" t="s">
        <v>10300</v>
      </c>
      <c r="D27933">
        <v>33</v>
      </c>
      <c r="E27933">
        <v>0</v>
      </c>
      <c r="F27933">
        <v>294</v>
      </c>
    </row>
    <row r="27934" spans="1:6" ht="12.75">
      <c r="A27934" s="2">
        <v>43875.632997685185</v>
      </c>
      <c r="B27934" t="str">
        <f>HYPERLINK("https://twitter.com/abebgs","@abebgs")</f>
        <v>@abebgs</v>
      </c>
      <c r="C27934" t="s">
        <v>2963</v>
      </c>
      <c r="D27934">
        <v>923</v>
      </c>
      <c r="E27934">
        <v>0</v>
      </c>
      <c r="F27934">
        <v>181</v>
      </c>
    </row>
    <row r="27935" spans="1:6" ht="12.75">
      <c r="A27935" s="2">
        <v>43875.632951388892</v>
      </c>
      <c r="B27935" t="str">
        <f>HYPERLINK("https://twitter.com/alifwicaksono79","@alifwicaksono79")</f>
        <v>@alifwicaksono79</v>
      </c>
      <c r="C27935" t="s">
        <v>9947</v>
      </c>
      <c r="D27935">
        <v>337</v>
      </c>
      <c r="E27935">
        <v>0</v>
      </c>
      <c r="F27935">
        <v>50</v>
      </c>
    </row>
    <row r="27936" spans="1:6" ht="12.75">
      <c r="A27936" s="2">
        <v>43875.632835648154</v>
      </c>
      <c r="B27936" t="str">
        <f>HYPERLINK("https://twitter.com/tribunjogja","@tribunjogja")</f>
        <v>@tribunjogja</v>
      </c>
      <c r="C27936" t="s">
        <v>12310</v>
      </c>
      <c r="D27936">
        <v>0</v>
      </c>
      <c r="E27936">
        <v>1</v>
      </c>
      <c r="F27936">
        <v>255970</v>
      </c>
    </row>
    <row r="27937" spans="1:6" ht="12.75">
      <c r="A27937" s="2">
        <v>43875.632835648154</v>
      </c>
      <c r="B27937" t="str">
        <f>HYPERLINK("https://twitter.com/adriankusaihir1","@adriankusaihir1")</f>
        <v>@adriankusaihir1</v>
      </c>
      <c r="C27937" t="s">
        <v>12311</v>
      </c>
      <c r="D27937">
        <v>0</v>
      </c>
      <c r="E27937">
        <v>0</v>
      </c>
      <c r="F27937">
        <v>37</v>
      </c>
    </row>
    <row r="27938" spans="1:6" ht="12.75">
      <c r="A27938" s="2">
        <v>43875.632731481484</v>
      </c>
      <c r="B27938" t="str">
        <f>HYPERLINK("https://twitter.com/mangtrisna64","@mangtrisna64")</f>
        <v>@mangtrisna64</v>
      </c>
      <c r="C27938" t="s">
        <v>8720</v>
      </c>
      <c r="D27938">
        <v>43</v>
      </c>
      <c r="E27938">
        <v>0</v>
      </c>
      <c r="F27938">
        <v>5</v>
      </c>
    </row>
    <row r="27939" spans="1:6" ht="12.75">
      <c r="A27939" s="2">
        <v>43875.632719907408</v>
      </c>
      <c r="B27939" t="str">
        <f>HYPERLINK("https://twitter.com/farafrase_","@farafrase_")</f>
        <v>@farafrase_</v>
      </c>
      <c r="C27939" t="s">
        <v>2444</v>
      </c>
      <c r="D27939">
        <v>1457</v>
      </c>
      <c r="E27939">
        <v>0</v>
      </c>
      <c r="F27939">
        <v>370</v>
      </c>
    </row>
    <row r="27940" spans="1:6" ht="12.75">
      <c r="A27940" s="2">
        <v>43875.632604166662</v>
      </c>
      <c r="B27940" t="str">
        <f>HYPERLINK("https://twitter.com/rudiromd","@rudiromd")</f>
        <v>@rudiromd</v>
      </c>
      <c r="C27940" t="s">
        <v>2963</v>
      </c>
      <c r="D27940">
        <v>923</v>
      </c>
      <c r="E27940">
        <v>0</v>
      </c>
      <c r="F27940">
        <v>1201</v>
      </c>
    </row>
    <row r="27941" spans="1:6" ht="12.75">
      <c r="A27941" s="2">
        <v>43875.632569444446</v>
      </c>
      <c r="B27941" t="str">
        <f>HYPERLINK("https://twitter.com/JaySoetija","@JaySoetija")</f>
        <v>@JaySoetija</v>
      </c>
      <c r="C27941" t="s">
        <v>12312</v>
      </c>
      <c r="D27941">
        <v>13</v>
      </c>
      <c r="E27941">
        <v>0</v>
      </c>
      <c r="F27941">
        <v>1200</v>
      </c>
    </row>
    <row r="27942" spans="1:6" ht="12.75">
      <c r="A27942" s="2">
        <v>43875.6325</v>
      </c>
      <c r="B27942" t="str">
        <f>HYPERLINK("https://twitter.com/Think2_Smart","@Think2_Smart")</f>
        <v>@Think2_Smart</v>
      </c>
      <c r="C27942" t="s">
        <v>12313</v>
      </c>
      <c r="D27942">
        <v>0</v>
      </c>
      <c r="E27942">
        <v>1</v>
      </c>
      <c r="F27942">
        <v>170</v>
      </c>
    </row>
    <row r="27943" spans="1:6" ht="12.75">
      <c r="A27943" s="2">
        <v>43875.6324537037</v>
      </c>
      <c r="B27943" t="str">
        <f>HYPERLINK("https://twitter.com/viviandeella","@viviandeella")</f>
        <v>@viviandeella</v>
      </c>
      <c r="C27943" t="s">
        <v>12314</v>
      </c>
      <c r="D27943">
        <v>0</v>
      </c>
      <c r="E27943">
        <v>5</v>
      </c>
      <c r="F27943">
        <v>9353</v>
      </c>
    </row>
    <row r="27944" spans="1:6" ht="12.75">
      <c r="A27944" s="2">
        <v>43875.632384259261</v>
      </c>
      <c r="B27944" t="str">
        <f>HYPERLINK("https://twitter.com/Galihzainur2","@Galihzainur2")</f>
        <v>@Galihzainur2</v>
      </c>
      <c r="C27944" t="s">
        <v>9096</v>
      </c>
      <c r="D27944">
        <v>193</v>
      </c>
      <c r="E27944">
        <v>0</v>
      </c>
      <c r="F27944">
        <v>25</v>
      </c>
    </row>
    <row r="27945" spans="1:6" ht="12.75">
      <c r="A27945" s="2">
        <v>43875.632280092592</v>
      </c>
      <c r="B27945" t="str">
        <f>HYPERLINK("https://twitter.com/joyfulbellana","@joyfulbellana")</f>
        <v>@joyfulbellana</v>
      </c>
      <c r="C27945" t="s">
        <v>2444</v>
      </c>
      <c r="D27945">
        <v>1457</v>
      </c>
      <c r="E27945">
        <v>0</v>
      </c>
      <c r="F27945">
        <v>337</v>
      </c>
    </row>
    <row r="27946" spans="1:6" ht="12.75">
      <c r="A27946" s="2">
        <v>43875.632245370369</v>
      </c>
      <c r="B27946" t="str">
        <f>HYPERLINK("https://twitter.com/loeyuuu","@loeyuuu")</f>
        <v>@loeyuuu</v>
      </c>
      <c r="C27946" t="s">
        <v>2444</v>
      </c>
      <c r="D27946">
        <v>1457</v>
      </c>
      <c r="E27946">
        <v>0</v>
      </c>
      <c r="F27946">
        <v>220</v>
      </c>
    </row>
    <row r="27947" spans="1:6" ht="12.75">
      <c r="A27947" s="2">
        <v>43875.632199074069</v>
      </c>
      <c r="B27947" t="str">
        <f>HYPERLINK("https://twitter.com/it0k","@it0k")</f>
        <v>@it0k</v>
      </c>
      <c r="C27947" t="s">
        <v>2110</v>
      </c>
      <c r="D27947">
        <v>41</v>
      </c>
      <c r="E27947">
        <v>0</v>
      </c>
      <c r="F27947">
        <v>1036</v>
      </c>
    </row>
    <row r="27948" spans="1:6" ht="12.75">
      <c r="A27948" s="2">
        <v>43875.632187499999</v>
      </c>
      <c r="B27948" t="str">
        <f>HYPERLINK("https://twitter.com/FloNadayang","@FloNadayang")</f>
        <v>@FloNadayang</v>
      </c>
      <c r="C27948" t="s">
        <v>9067</v>
      </c>
      <c r="D27948">
        <v>6</v>
      </c>
      <c r="E27948">
        <v>0</v>
      </c>
      <c r="F27948">
        <v>1346</v>
      </c>
    </row>
    <row r="27949" spans="1:6" ht="12.75">
      <c r="A27949" s="2">
        <v>43875.632152777776</v>
      </c>
      <c r="B27949" t="str">
        <f>HYPERLINK("https://twitter.com/SayaIndonesia07","@SayaIndonesia07")</f>
        <v>@SayaIndonesia07</v>
      </c>
      <c r="C27949" t="s">
        <v>12315</v>
      </c>
      <c r="D27949">
        <v>0</v>
      </c>
      <c r="E27949">
        <v>0</v>
      </c>
      <c r="F27949">
        <v>56</v>
      </c>
    </row>
    <row r="27950" spans="1:6" ht="12.75">
      <c r="A27950" s="2">
        <v>43875.632094907407</v>
      </c>
      <c r="B27950" t="str">
        <f>HYPERLINK("https://twitter.com/nrlhkmhhhh","@nrlhkmhhhh")</f>
        <v>@nrlhkmhhhh</v>
      </c>
      <c r="C27950" t="s">
        <v>9123</v>
      </c>
      <c r="D27950">
        <v>213</v>
      </c>
      <c r="E27950">
        <v>0</v>
      </c>
      <c r="F27950">
        <v>197</v>
      </c>
    </row>
    <row r="27951" spans="1:6" ht="12.75">
      <c r="A27951" s="2">
        <v>43875.631944444445</v>
      </c>
      <c r="B27951" t="str">
        <f>HYPERLINK("https://twitter.com/Araghutama","@Araghutama")</f>
        <v>@Araghutama</v>
      </c>
      <c r="C27951" t="s">
        <v>12316</v>
      </c>
      <c r="D27951">
        <v>0</v>
      </c>
      <c r="E27951">
        <v>0</v>
      </c>
      <c r="F27951">
        <v>225</v>
      </c>
    </row>
    <row r="27952" spans="1:6" ht="12.75">
      <c r="A27952" s="2">
        <v>43875.631909722222</v>
      </c>
      <c r="B27952" t="str">
        <f>HYPERLINK("https://twitter.com/jawapos","@jawapos")</f>
        <v>@jawapos</v>
      </c>
      <c r="C27952" t="s">
        <v>12317</v>
      </c>
      <c r="D27952">
        <v>0</v>
      </c>
      <c r="E27952">
        <v>1</v>
      </c>
      <c r="F27952">
        <v>116477</v>
      </c>
    </row>
    <row r="27953" spans="1:6" ht="12.75">
      <c r="A27953" s="2">
        <v>43875.631898148145</v>
      </c>
      <c r="B27953" t="str">
        <f>HYPERLINK("https://twitter.com/ASISC_","@ASISC_")</f>
        <v>@ASISC_</v>
      </c>
      <c r="C27953" t="s">
        <v>9082</v>
      </c>
      <c r="D27953">
        <v>29</v>
      </c>
      <c r="E27953">
        <v>0</v>
      </c>
      <c r="F27953">
        <v>647</v>
      </c>
    </row>
    <row r="27954" spans="1:6" ht="12.75">
      <c r="A27954" s="2">
        <v>43875.631724537037</v>
      </c>
      <c r="B27954" t="str">
        <f>HYPERLINK("https://twitter.com/Inzaany","@Inzaany")</f>
        <v>@Inzaany</v>
      </c>
      <c r="C27954" t="s">
        <v>2444</v>
      </c>
      <c r="D27954">
        <v>1457</v>
      </c>
      <c r="E27954">
        <v>0</v>
      </c>
      <c r="F27954">
        <v>15</v>
      </c>
    </row>
    <row r="27955" spans="1:6" ht="12.75">
      <c r="A27955" s="2">
        <v>43875.631724537037</v>
      </c>
      <c r="B27955" t="str">
        <f>HYPERLINK("https://twitter.com/riopLuR","@riopLuR")</f>
        <v>@riopLuR</v>
      </c>
      <c r="C27955" t="s">
        <v>12318</v>
      </c>
      <c r="D27955">
        <v>22</v>
      </c>
      <c r="E27955">
        <v>0</v>
      </c>
      <c r="F27955">
        <v>602</v>
      </c>
    </row>
    <row r="27956" spans="1:6" ht="12.75">
      <c r="A27956" s="2">
        <v>43875.631585648152</v>
      </c>
      <c r="B27956" t="str">
        <f>HYPERLINK("https://twitter.com/milogapakegula","@milogapakegula")</f>
        <v>@milogapakegula</v>
      </c>
      <c r="C27956" t="s">
        <v>2444</v>
      </c>
      <c r="D27956">
        <v>1457</v>
      </c>
      <c r="E27956">
        <v>0</v>
      </c>
      <c r="F27956">
        <v>733</v>
      </c>
    </row>
    <row r="27957" spans="1:6" ht="12.75">
      <c r="A27957" s="2">
        <v>43875.631493055553</v>
      </c>
      <c r="B27957" t="str">
        <f>HYPERLINK("https://twitter.com/petranspiros","@petranspiros")</f>
        <v>@petranspiros</v>
      </c>
      <c r="C27957" t="s">
        <v>9082</v>
      </c>
      <c r="D27957">
        <v>29</v>
      </c>
      <c r="E27957">
        <v>0</v>
      </c>
      <c r="F27957">
        <v>1374</v>
      </c>
    </row>
    <row r="27958" spans="1:6" ht="12.75">
      <c r="A27958" s="2">
        <v>43875.631493055553</v>
      </c>
      <c r="B27958" t="str">
        <f>HYPERLINK("https://twitter.com/udapilliang","@udapilliang")</f>
        <v>@udapilliang</v>
      </c>
      <c r="C27958" t="s">
        <v>11885</v>
      </c>
      <c r="D27958">
        <v>39</v>
      </c>
      <c r="E27958">
        <v>0</v>
      </c>
      <c r="F27958">
        <v>562</v>
      </c>
    </row>
    <row r="27959" spans="1:6" ht="12.75">
      <c r="A27959" s="2">
        <v>43875.631469907406</v>
      </c>
      <c r="B27959" t="str">
        <f>HYPERLINK("https://twitter.com/shiningars","@shiningars")</f>
        <v>@shiningars</v>
      </c>
      <c r="C27959" t="s">
        <v>2444</v>
      </c>
      <c r="D27959">
        <v>1457</v>
      </c>
      <c r="E27959">
        <v>0</v>
      </c>
      <c r="F27959">
        <v>255</v>
      </c>
    </row>
    <row r="27960" spans="1:6" ht="12.75">
      <c r="A27960" s="2">
        <v>43875.631435185191</v>
      </c>
      <c r="B27960" t="str">
        <f>HYPERLINK("https://twitter.com/ppteee","@ppteee")</f>
        <v>@ppteee</v>
      </c>
      <c r="C27960" t="s">
        <v>2444</v>
      </c>
      <c r="D27960">
        <v>1457</v>
      </c>
      <c r="E27960">
        <v>0</v>
      </c>
      <c r="F27960">
        <v>36</v>
      </c>
    </row>
    <row r="27961" spans="1:6" ht="12.75">
      <c r="A27961" s="2">
        <v>43875.631412037037</v>
      </c>
      <c r="B27961" t="str">
        <f>HYPERLINK("https://twitter.com/wisuda2020","@wisuda2020")</f>
        <v>@wisuda2020</v>
      </c>
      <c r="C27961" t="s">
        <v>2444</v>
      </c>
      <c r="D27961">
        <v>1457</v>
      </c>
      <c r="E27961">
        <v>0</v>
      </c>
      <c r="F27961">
        <v>299</v>
      </c>
    </row>
    <row r="27962" spans="1:6" ht="12.75">
      <c r="A27962" s="2">
        <v>43875.631284722222</v>
      </c>
      <c r="B27962" t="str">
        <f>HYPERLINK("https://twitter.com/nikensitompul","@nikensitompul")</f>
        <v>@nikensitompul</v>
      </c>
      <c r="C27962" t="s">
        <v>2444</v>
      </c>
      <c r="D27962">
        <v>1457</v>
      </c>
      <c r="E27962">
        <v>0</v>
      </c>
      <c r="F27962">
        <v>727</v>
      </c>
    </row>
    <row r="27963" spans="1:6" ht="12.75">
      <c r="A27963" s="2">
        <v>43875.631249999999</v>
      </c>
      <c r="B27963" t="str">
        <f>HYPERLINK("https://twitter.com/jatmikoWwidodo","@jatmikoWwidodo")</f>
        <v>@jatmikoWwidodo</v>
      </c>
      <c r="C27963" t="s">
        <v>2963</v>
      </c>
      <c r="D27963">
        <v>923</v>
      </c>
      <c r="E27963">
        <v>0</v>
      </c>
      <c r="F27963">
        <v>1073</v>
      </c>
    </row>
    <row r="27964" spans="1:6" ht="12.75">
      <c r="A27964" s="2">
        <v>43875.631157407406</v>
      </c>
      <c r="B27964" t="str">
        <f>HYPERLINK("https://twitter.com/berasaptebal","@berasaptebal")</f>
        <v>@berasaptebal</v>
      </c>
      <c r="C27964" t="s">
        <v>12319</v>
      </c>
      <c r="D27964">
        <v>0</v>
      </c>
      <c r="E27964">
        <v>0</v>
      </c>
      <c r="F27964">
        <v>104</v>
      </c>
    </row>
    <row r="27965" spans="1:6" ht="12.75">
      <c r="A27965" s="2">
        <v>43875.631145833337</v>
      </c>
      <c r="B27965" t="str">
        <f>HYPERLINK("https://twitter.com/novichristanti","@novichristanti")</f>
        <v>@novichristanti</v>
      </c>
      <c r="C27965" t="s">
        <v>2444</v>
      </c>
      <c r="D27965">
        <v>1457</v>
      </c>
      <c r="E27965">
        <v>0</v>
      </c>
      <c r="F27965">
        <v>842</v>
      </c>
    </row>
    <row r="27966" spans="1:6" ht="12.75">
      <c r="A27966" s="2">
        <v>43875.631111111114</v>
      </c>
      <c r="B27966" t="str">
        <f>HYPERLINK("https://twitter.com/Puteriswift_","@Puteriswift_")</f>
        <v>@Puteriswift_</v>
      </c>
      <c r="C27966" t="s">
        <v>12320</v>
      </c>
      <c r="D27966">
        <v>0</v>
      </c>
      <c r="E27966">
        <v>0</v>
      </c>
      <c r="F27966">
        <v>285</v>
      </c>
    </row>
    <row r="27967" spans="1:6" ht="12.75">
      <c r="A27967" s="2">
        <v>43875.631111111114</v>
      </c>
      <c r="B27967" t="str">
        <f>HYPERLINK("https://twitter.com/ahmat_murofik","@ahmat_murofik")</f>
        <v>@ahmat_murofik</v>
      </c>
      <c r="C27967" t="s">
        <v>12321</v>
      </c>
      <c r="D27967">
        <v>0</v>
      </c>
      <c r="E27967">
        <v>0</v>
      </c>
      <c r="F27967">
        <v>60</v>
      </c>
    </row>
    <row r="27968" spans="1:6" ht="12.75">
      <c r="A27968" s="2">
        <v>43875.631076388891</v>
      </c>
      <c r="B27968" t="str">
        <f>HYPERLINK("https://twitter.com/Denis73048995","@Denis73048995")</f>
        <v>@Denis73048995</v>
      </c>
      <c r="C27968" t="s">
        <v>12322</v>
      </c>
      <c r="D27968">
        <v>0</v>
      </c>
      <c r="E27968">
        <v>0</v>
      </c>
      <c r="F27968">
        <v>93</v>
      </c>
    </row>
    <row r="27969" spans="1:6" ht="12.75">
      <c r="A27969" s="2">
        <v>43875.631053240737</v>
      </c>
      <c r="B27969" t="str">
        <f>HYPERLINK("https://twitter.com/YoyokSubandriy3","@YoyokSubandriy3")</f>
        <v>@YoyokSubandriy3</v>
      </c>
      <c r="C27969" t="s">
        <v>2444</v>
      </c>
      <c r="D27969">
        <v>1457</v>
      </c>
      <c r="E27969">
        <v>0</v>
      </c>
      <c r="F27969">
        <v>1354</v>
      </c>
    </row>
    <row r="27970" spans="1:6" ht="12.75">
      <c r="A27970" s="2">
        <v>43875.631041666667</v>
      </c>
      <c r="B27970" t="str">
        <f>HYPERLINK("https://twitter.com/nrlhkmhhhh","@nrlhkmhhhh")</f>
        <v>@nrlhkmhhhh</v>
      </c>
      <c r="C27970" t="s">
        <v>11536</v>
      </c>
      <c r="D27970">
        <v>0</v>
      </c>
      <c r="E27970">
        <v>0</v>
      </c>
      <c r="F27970">
        <v>197</v>
      </c>
    </row>
    <row r="27971" spans="1:6" ht="12.75">
      <c r="A27971" s="2">
        <v>43875.631041666667</v>
      </c>
      <c r="B27971" t="str">
        <f>HYPERLINK("https://twitter.com/SayaIndonesia07","@SayaIndonesia07")</f>
        <v>@SayaIndonesia07</v>
      </c>
      <c r="C27971" t="s">
        <v>12323</v>
      </c>
      <c r="D27971">
        <v>0</v>
      </c>
      <c r="E27971">
        <v>0</v>
      </c>
      <c r="F27971">
        <v>56</v>
      </c>
    </row>
    <row r="27972" spans="1:6" ht="12.75">
      <c r="A27972" s="2">
        <v>43875.630914351852</v>
      </c>
      <c r="B27972" t="str">
        <f>HYPERLINK("https://twitter.com/oghink","@oghink")</f>
        <v>@oghink</v>
      </c>
      <c r="C27972" t="s">
        <v>12324</v>
      </c>
      <c r="D27972">
        <v>0</v>
      </c>
      <c r="E27972">
        <v>0</v>
      </c>
      <c r="F27972">
        <v>158</v>
      </c>
    </row>
    <row r="27973" spans="1:6" ht="12.75">
      <c r="A27973" s="2">
        <v>43875.630891203706</v>
      </c>
      <c r="B27973" t="str">
        <f>HYPERLINK("https://twitter.com/JeanClaudiaBK2","@JeanClaudiaBK2")</f>
        <v>@JeanClaudiaBK2</v>
      </c>
      <c r="C27973" t="s">
        <v>9123</v>
      </c>
      <c r="D27973">
        <v>213</v>
      </c>
      <c r="E27973">
        <v>0</v>
      </c>
      <c r="F27973">
        <v>1</v>
      </c>
    </row>
    <row r="27974" spans="1:6" ht="12.75">
      <c r="A27974" s="2">
        <v>43875.630844907406</v>
      </c>
      <c r="B27974" t="str">
        <f>HYPERLINK("https://twitter.com/fajarsetyani_","@fajarsetyani_")</f>
        <v>@fajarsetyani_</v>
      </c>
      <c r="C27974" t="s">
        <v>2444</v>
      </c>
      <c r="D27974">
        <v>1457</v>
      </c>
      <c r="E27974">
        <v>0</v>
      </c>
      <c r="F27974">
        <v>195</v>
      </c>
    </row>
    <row r="27975" spans="1:6" ht="12.75">
      <c r="A27975" s="2">
        <v>43875.630833333329</v>
      </c>
      <c r="B27975" t="str">
        <f>HYPERLINK("https://twitter.com/kabarpolitik","@kabarpolitik")</f>
        <v>@kabarpolitik</v>
      </c>
      <c r="C27975" t="s">
        <v>10785</v>
      </c>
      <c r="D27975">
        <v>0</v>
      </c>
      <c r="E27975">
        <v>0</v>
      </c>
      <c r="F27975">
        <v>16765</v>
      </c>
    </row>
    <row r="27976" spans="1:6" ht="12.75">
      <c r="A27976" s="2">
        <v>43875.630787037036</v>
      </c>
      <c r="B27976" t="str">
        <f>HYPERLINK("https://twitter.com/_wni_","@_wni_")</f>
        <v>@_wni_</v>
      </c>
      <c r="C27976" t="s">
        <v>12325</v>
      </c>
      <c r="D27976">
        <v>0</v>
      </c>
      <c r="E27976">
        <v>0</v>
      </c>
      <c r="F27976">
        <v>8</v>
      </c>
    </row>
    <row r="27977" spans="1:6" ht="12.75">
      <c r="A27977" s="2">
        <v>43875.63076388889</v>
      </c>
      <c r="B27977" t="str">
        <f>HYPERLINK("https://twitter.com/rejananaala","@rejananaala")</f>
        <v>@rejananaala</v>
      </c>
      <c r="C27977" t="s">
        <v>12326</v>
      </c>
      <c r="D27977">
        <v>1</v>
      </c>
      <c r="E27977">
        <v>0</v>
      </c>
      <c r="F27977">
        <v>474</v>
      </c>
    </row>
    <row r="27978" spans="1:6" ht="12.75">
      <c r="A27978" s="2">
        <v>43875.630474537036</v>
      </c>
      <c r="B27978" t="str">
        <f>HYPERLINK("https://twitter.com/1979_khairul","@1979_khairul")</f>
        <v>@1979_khairul</v>
      </c>
      <c r="C27978" t="s">
        <v>12327</v>
      </c>
      <c r="D27978">
        <v>0</v>
      </c>
      <c r="E27978">
        <v>0</v>
      </c>
      <c r="F27978">
        <v>3265</v>
      </c>
    </row>
    <row r="27979" spans="1:6" ht="12.75">
      <c r="A27979" s="2">
        <v>43875.630439814813</v>
      </c>
      <c r="B27979" t="str">
        <f>HYPERLINK("https://twitter.com/PutriFlynn","@PutriFlynn")</f>
        <v>@PutriFlynn</v>
      </c>
      <c r="C27979" t="s">
        <v>2444</v>
      </c>
      <c r="D27979">
        <v>1457</v>
      </c>
      <c r="E27979">
        <v>0</v>
      </c>
      <c r="F27979">
        <v>62</v>
      </c>
    </row>
    <row r="27980" spans="1:6" ht="12.75">
      <c r="A27980" s="2">
        <v>43875.630393518513</v>
      </c>
      <c r="B27980" t="str">
        <f>HYPERLINK("https://twitter.com/kabarpol","@kabarpol")</f>
        <v>@kabarpol</v>
      </c>
      <c r="C27980" t="s">
        <v>10785</v>
      </c>
      <c r="D27980">
        <v>0</v>
      </c>
      <c r="E27980">
        <v>0</v>
      </c>
      <c r="F27980">
        <v>51</v>
      </c>
    </row>
    <row r="27981" spans="1:6" ht="12.75">
      <c r="A27981" s="2">
        <v>43875.630358796298</v>
      </c>
      <c r="B27981" t="str">
        <f>HYPERLINK("https://twitter.com/marcharitahere","@marcharitahere")</f>
        <v>@marcharitahere</v>
      </c>
      <c r="C27981" t="s">
        <v>12328</v>
      </c>
      <c r="D27981">
        <v>0</v>
      </c>
      <c r="E27981">
        <v>4</v>
      </c>
      <c r="F27981">
        <v>3934</v>
      </c>
    </row>
    <row r="27982" spans="1:6" ht="12.75">
      <c r="A27982" s="2">
        <v>43875.630335648151</v>
      </c>
      <c r="B27982" t="str">
        <f>HYPERLINK("https://twitter.com/kabarpolitik","@kabarpolitik")</f>
        <v>@kabarpolitik</v>
      </c>
      <c r="C27982" t="s">
        <v>10785</v>
      </c>
      <c r="D27982">
        <v>0</v>
      </c>
      <c r="E27982">
        <v>0</v>
      </c>
      <c r="F27982">
        <v>16765</v>
      </c>
    </row>
    <row r="27983" spans="1:6" ht="12.75">
      <c r="A27983" s="2">
        <v>43875.63013888889</v>
      </c>
      <c r="B27983" t="str">
        <f>HYPERLINK("https://twitter.com/e100ss","@e100ss")</f>
        <v>@e100ss</v>
      </c>
      <c r="C27983" t="s">
        <v>12329</v>
      </c>
      <c r="D27983">
        <v>0</v>
      </c>
      <c r="E27983">
        <v>2</v>
      </c>
      <c r="F27983">
        <v>779217</v>
      </c>
    </row>
    <row r="27984" spans="1:6" ht="12.75">
      <c r="A27984" s="2">
        <v>43875.63009259259</v>
      </c>
      <c r="B27984" t="str">
        <f>HYPERLINK("https://twitter.com/kasetkusut__","@kasetkusut__")</f>
        <v>@kasetkusut__</v>
      </c>
      <c r="C27984" t="s">
        <v>2444</v>
      </c>
      <c r="D27984">
        <v>1457</v>
      </c>
      <c r="E27984">
        <v>0</v>
      </c>
      <c r="F27984">
        <v>656</v>
      </c>
    </row>
    <row r="27985" spans="1:6" ht="12.75">
      <c r="A27985" s="2">
        <v>43875.630057870367</v>
      </c>
      <c r="B27985" t="str">
        <f>HYPERLINK("https://twitter.com/AqalPadang","@AqalPadang")</f>
        <v>@AqalPadang</v>
      </c>
      <c r="C27985" t="s">
        <v>7478</v>
      </c>
      <c r="D27985">
        <v>191</v>
      </c>
      <c r="E27985">
        <v>0</v>
      </c>
      <c r="F27985">
        <v>592</v>
      </c>
    </row>
    <row r="27986" spans="1:6" ht="12.75">
      <c r="A27986" s="2">
        <v>43875.630000000005</v>
      </c>
      <c r="B27986" t="str">
        <f>HYPERLINK("https://twitter.com/Rido_Lizze","@Rido_Lizze")</f>
        <v>@Rido_Lizze</v>
      </c>
      <c r="C27986" t="s">
        <v>12330</v>
      </c>
      <c r="D27986">
        <v>0</v>
      </c>
      <c r="E27986">
        <v>0</v>
      </c>
      <c r="F27986">
        <v>1303</v>
      </c>
    </row>
    <row r="27987" spans="1:6" ht="12.75">
      <c r="A27987" s="2">
        <v>43875.629837962959</v>
      </c>
      <c r="B27987" t="str">
        <f>HYPERLINK("https://twitter.com/arulbahrudin","@arulbahrudin")</f>
        <v>@arulbahrudin</v>
      </c>
      <c r="C27987" t="s">
        <v>12080</v>
      </c>
      <c r="D27987">
        <v>23</v>
      </c>
      <c r="E27987">
        <v>0</v>
      </c>
      <c r="F27987">
        <v>626</v>
      </c>
    </row>
    <row r="27988" spans="1:6" ht="12.75">
      <c r="A27988" s="2">
        <v>43875.629837962959</v>
      </c>
      <c r="B27988" t="str">
        <f>HYPERLINK("https://twitter.com/mediaindonesia","@mediaindonesia")</f>
        <v>@mediaindonesia</v>
      </c>
      <c r="C27988" t="s">
        <v>12331</v>
      </c>
      <c r="D27988">
        <v>1</v>
      </c>
      <c r="E27988">
        <v>4</v>
      </c>
      <c r="F27988">
        <v>1415767</v>
      </c>
    </row>
    <row r="27989" spans="1:6" ht="12.75">
      <c r="A27989" s="2">
        <v>43875.629780092597</v>
      </c>
      <c r="B27989" t="str">
        <f>HYPERLINK("https://twitter.com/yeeunohyeeun","@yeeunohyeeun")</f>
        <v>@yeeunohyeeun</v>
      </c>
      <c r="C27989" t="s">
        <v>5168</v>
      </c>
      <c r="D27989">
        <v>739</v>
      </c>
      <c r="E27989">
        <v>0</v>
      </c>
      <c r="F27989">
        <v>630</v>
      </c>
    </row>
    <row r="27990" spans="1:6" ht="12.75">
      <c r="A27990" s="2">
        <v>43875.629745370374</v>
      </c>
      <c r="B27990" t="str">
        <f>HYPERLINK("https://twitter.com/GusbacheV","@GusbacheV")</f>
        <v>@GusbacheV</v>
      </c>
      <c r="C27990" t="s">
        <v>10810</v>
      </c>
      <c r="D27990">
        <v>3</v>
      </c>
      <c r="E27990">
        <v>0</v>
      </c>
      <c r="F27990">
        <v>4694</v>
      </c>
    </row>
    <row r="27991" spans="1:6" ht="12.75">
      <c r="A27991" s="2">
        <v>43875.629745370374</v>
      </c>
      <c r="B27991" t="str">
        <f>HYPERLINK("https://twitter.com/ssuryoseptono","@ssuryoseptono")</f>
        <v>@ssuryoseptono</v>
      </c>
      <c r="C27991" t="s">
        <v>12332</v>
      </c>
      <c r="D27991">
        <v>53</v>
      </c>
      <c r="E27991">
        <v>0</v>
      </c>
      <c r="F27991">
        <v>1380</v>
      </c>
    </row>
    <row r="27992" spans="1:6" ht="12.75">
      <c r="A27992" s="2">
        <v>43875.629652777774</v>
      </c>
      <c r="B27992" t="str">
        <f>HYPERLINK("https://twitter.com/Arifin_robbani","@Arifin_robbani")</f>
        <v>@Arifin_robbani</v>
      </c>
      <c r="C27992" t="s">
        <v>12333</v>
      </c>
      <c r="D27992">
        <v>0</v>
      </c>
      <c r="E27992">
        <v>0</v>
      </c>
      <c r="F27992">
        <v>11</v>
      </c>
    </row>
    <row r="27993" spans="1:6" ht="12.75">
      <c r="A27993" s="2">
        <v>43875.629548611112</v>
      </c>
      <c r="B27993" t="str">
        <f>HYPERLINK("https://twitter.com/pilkke","@pilkke")</f>
        <v>@pilkke</v>
      </c>
      <c r="C27993" t="s">
        <v>2444</v>
      </c>
      <c r="D27993">
        <v>1457</v>
      </c>
      <c r="E27993">
        <v>0</v>
      </c>
      <c r="F27993">
        <v>611</v>
      </c>
    </row>
    <row r="27994" spans="1:6" ht="12.75">
      <c r="A27994" s="2">
        <v>43875.629467592589</v>
      </c>
      <c r="B27994" t="str">
        <f>HYPERLINK("https://twitter.com/larasagnsy","@larasagnsy")</f>
        <v>@larasagnsy</v>
      </c>
      <c r="C27994" t="s">
        <v>2444</v>
      </c>
      <c r="D27994">
        <v>1457</v>
      </c>
      <c r="E27994">
        <v>0</v>
      </c>
      <c r="F27994">
        <v>22</v>
      </c>
    </row>
    <row r="27995" spans="1:6" ht="12.75">
      <c r="A27995" s="2">
        <v>43875.629409722227</v>
      </c>
      <c r="B27995" t="str">
        <f>HYPERLINK("https://twitter.com/IAMTEYTA","@IAMTEYTA")</f>
        <v>@IAMTEYTA</v>
      </c>
      <c r="C27995" t="s">
        <v>2444</v>
      </c>
      <c r="D27995">
        <v>1457</v>
      </c>
      <c r="E27995">
        <v>0</v>
      </c>
      <c r="F27995">
        <v>626</v>
      </c>
    </row>
    <row r="27996" spans="1:6" ht="12.75">
      <c r="A27996" s="2">
        <v>43875.629340277781</v>
      </c>
      <c r="B27996" t="str">
        <f>HYPERLINK("https://twitter.com/Heysaa17","@Heysaa17")</f>
        <v>@Heysaa17</v>
      </c>
      <c r="C27996" t="s">
        <v>11536</v>
      </c>
      <c r="D27996">
        <v>0</v>
      </c>
      <c r="E27996">
        <v>0</v>
      </c>
      <c r="F27996">
        <v>107</v>
      </c>
    </row>
    <row r="27997" spans="1:6" ht="12.75">
      <c r="A27997" s="2">
        <v>43875.629340277781</v>
      </c>
      <c r="B27997" t="str">
        <f>HYPERLINK("https://twitter.com/daleseobyulkaji","@daleseobyulkaji")</f>
        <v>@daleseobyulkaji</v>
      </c>
      <c r="C27997" t="s">
        <v>2444</v>
      </c>
      <c r="D27997">
        <v>1457</v>
      </c>
      <c r="E27997">
        <v>0</v>
      </c>
      <c r="F27997">
        <v>17</v>
      </c>
    </row>
    <row r="27998" spans="1:6" ht="12.75">
      <c r="A27998" s="2">
        <v>43875.629270833335</v>
      </c>
      <c r="B27998" t="str">
        <f>HYPERLINK("https://twitter.com/mudovefur","@mudovefur")</f>
        <v>@mudovefur</v>
      </c>
      <c r="C27998" t="s">
        <v>5168</v>
      </c>
      <c r="D27998">
        <v>739</v>
      </c>
      <c r="E27998">
        <v>0</v>
      </c>
      <c r="F27998">
        <v>82</v>
      </c>
    </row>
    <row r="27999" spans="1:6" ht="12.75">
      <c r="A27999" s="2">
        <v>43875.629247685181</v>
      </c>
      <c r="B27999" t="str">
        <f>HYPERLINK("https://twitter.com/eugeniatheodora","@eugeniatheodora")</f>
        <v>@eugeniatheodora</v>
      </c>
      <c r="C27999" t="s">
        <v>2444</v>
      </c>
      <c r="D27999">
        <v>1457</v>
      </c>
      <c r="E27999">
        <v>0</v>
      </c>
      <c r="F27999">
        <v>754</v>
      </c>
    </row>
    <row r="28000" spans="1:6" ht="12.75">
      <c r="A28000" s="2">
        <v>43875.629201388889</v>
      </c>
      <c r="B28000" t="str">
        <f>HYPERLINK("https://twitter.com/pilkke","@pilkke")</f>
        <v>@pilkke</v>
      </c>
      <c r="C28000" t="s">
        <v>5168</v>
      </c>
      <c r="D28000">
        <v>739</v>
      </c>
      <c r="E28000">
        <v>0</v>
      </c>
      <c r="F28000">
        <v>611</v>
      </c>
    </row>
    <row r="28001" spans="1:6" ht="12.75">
      <c r="A28001" s="2">
        <v>43875.629178240742</v>
      </c>
      <c r="B28001" t="str">
        <f>HYPERLINK("https://twitter.com/achzam_prabu","@achzam_prabu")</f>
        <v>@achzam_prabu</v>
      </c>
      <c r="C28001" t="s">
        <v>2963</v>
      </c>
      <c r="D28001">
        <v>923</v>
      </c>
      <c r="E28001">
        <v>0</v>
      </c>
      <c r="F28001">
        <v>4783</v>
      </c>
    </row>
    <row r="28002" spans="1:6" ht="12.75">
      <c r="A28002" s="2">
        <v>43875.629108796296</v>
      </c>
      <c r="B28002" t="str">
        <f>HYPERLINK("https://twitter.com/LindseySnell","@LindseySnell")</f>
        <v>@LindseySnell</v>
      </c>
      <c r="C28002" t="s">
        <v>9082</v>
      </c>
      <c r="D28002">
        <v>29</v>
      </c>
      <c r="E28002">
        <v>0</v>
      </c>
      <c r="F28002">
        <v>13418</v>
      </c>
    </row>
    <row r="28003" spans="1:6" ht="12.75">
      <c r="A28003" s="2">
        <v>43875.629074074073</v>
      </c>
      <c r="B28003" t="str">
        <f>HYPERLINK("https://twitter.com/tiwihidayahii","@tiwihidayahii")</f>
        <v>@tiwihidayahii</v>
      </c>
      <c r="C28003" t="s">
        <v>2137</v>
      </c>
      <c r="D28003">
        <v>119</v>
      </c>
      <c r="E28003">
        <v>0</v>
      </c>
      <c r="F28003">
        <v>32</v>
      </c>
    </row>
    <row r="28004" spans="1:6" ht="12.75">
      <c r="A28004" s="2">
        <v>43875.629050925927</v>
      </c>
      <c r="B28004" t="str">
        <f>HYPERLINK("https://twitter.com/Nuke_Fit","@Nuke_Fit")</f>
        <v>@Nuke_Fit</v>
      </c>
      <c r="C28004" t="s">
        <v>2122</v>
      </c>
      <c r="D28004">
        <v>209</v>
      </c>
      <c r="E28004">
        <v>0</v>
      </c>
      <c r="F28004">
        <v>407</v>
      </c>
    </row>
    <row r="28005" spans="1:6" ht="12.75">
      <c r="A28005" s="2">
        <v>43875.629027777773</v>
      </c>
      <c r="B28005" t="str">
        <f>HYPERLINK("https://twitter.com/IbnuAirlangga","@IbnuAirlangga")</f>
        <v>@IbnuAirlangga</v>
      </c>
      <c r="C28005" t="s">
        <v>9998</v>
      </c>
      <c r="D28005">
        <v>99</v>
      </c>
      <c r="E28005">
        <v>0</v>
      </c>
      <c r="F28005">
        <v>77</v>
      </c>
    </row>
    <row r="28006" spans="1:6" ht="12.75">
      <c r="A28006" s="2">
        <v>43875.629004629634</v>
      </c>
      <c r="B28006" t="str">
        <f>HYPERLINK("https://twitter.com/wisanggeni_084","@wisanggeni_084")</f>
        <v>@wisanggeni_084</v>
      </c>
      <c r="C28006" t="s">
        <v>12334</v>
      </c>
      <c r="D28006">
        <v>1</v>
      </c>
      <c r="E28006">
        <v>0</v>
      </c>
      <c r="F28006">
        <v>15845</v>
      </c>
    </row>
    <row r="28007" spans="1:6" ht="12.75">
      <c r="A28007" s="2">
        <v>43875.628958333335</v>
      </c>
      <c r="B28007" t="str">
        <f>HYPERLINK("https://twitter.com/Ludhi_N","@Ludhi_N")</f>
        <v>@Ludhi_N</v>
      </c>
      <c r="C28007" t="s">
        <v>9746</v>
      </c>
      <c r="D28007">
        <v>214</v>
      </c>
      <c r="E28007">
        <v>0</v>
      </c>
      <c r="F28007">
        <v>374</v>
      </c>
    </row>
    <row r="28008" spans="1:6" ht="12.75">
      <c r="A28008" s="2">
        <v>43875.628946759258</v>
      </c>
      <c r="B28008" t="str">
        <f>HYPERLINK("https://twitter.com/10969dion","@10969dion")</f>
        <v>@10969dion</v>
      </c>
      <c r="C28008" t="s">
        <v>2963</v>
      </c>
      <c r="D28008">
        <v>923</v>
      </c>
      <c r="E28008">
        <v>0</v>
      </c>
      <c r="F28008">
        <v>161</v>
      </c>
    </row>
    <row r="28009" spans="1:6" ht="12.75">
      <c r="A28009" s="2">
        <v>43875.628935185188</v>
      </c>
      <c r="B28009" t="str">
        <f>HYPERLINK("https://twitter.com/Soleh64268085","@Soleh64268085")</f>
        <v>@Soleh64268085</v>
      </c>
      <c r="C28009" t="s">
        <v>9746</v>
      </c>
      <c r="D28009">
        <v>214</v>
      </c>
      <c r="E28009">
        <v>0</v>
      </c>
      <c r="F28009">
        <v>702</v>
      </c>
    </row>
    <row r="28010" spans="1:6" ht="12.75">
      <c r="A28010" s="2">
        <v>43875.628923611112</v>
      </c>
      <c r="B28010" t="str">
        <f>HYPERLINK("https://twitter.com/oppiechai","@oppiechai")</f>
        <v>@oppiechai</v>
      </c>
      <c r="C28010" t="s">
        <v>12335</v>
      </c>
      <c r="D28010">
        <v>0</v>
      </c>
      <c r="E28010">
        <v>0</v>
      </c>
      <c r="F28010">
        <v>60</v>
      </c>
    </row>
    <row r="28011" spans="1:6" ht="12.75">
      <c r="A28011" s="2">
        <v>43875.628923611112</v>
      </c>
      <c r="B28011" t="str">
        <f>HYPERLINK("https://twitter.com/hendrafael","@hendrafael")</f>
        <v>@hendrafael</v>
      </c>
      <c r="C28011" t="s">
        <v>12336</v>
      </c>
      <c r="D28011">
        <v>0</v>
      </c>
      <c r="E28011">
        <v>0</v>
      </c>
      <c r="F28011">
        <v>240</v>
      </c>
    </row>
    <row r="28012" spans="1:6" ht="12.75">
      <c r="A28012" s="2">
        <v>43875.62881944445</v>
      </c>
      <c r="B28012" t="str">
        <f>HYPERLINK("https://twitter.com/jwhsibarani","@jwhsibarani")</f>
        <v>@jwhsibarani</v>
      </c>
      <c r="C28012" t="s">
        <v>10032</v>
      </c>
      <c r="D28012">
        <v>40</v>
      </c>
      <c r="E28012">
        <v>0</v>
      </c>
      <c r="F28012">
        <v>56</v>
      </c>
    </row>
    <row r="28013" spans="1:6" ht="12.75">
      <c r="A28013" s="2">
        <v>43875.62877314815</v>
      </c>
      <c r="B28013" t="str">
        <f>HYPERLINK("https://twitter.com/myflipflop_id","@myflipflop_id")</f>
        <v>@myflipflop_id</v>
      </c>
      <c r="C28013" t="s">
        <v>9123</v>
      </c>
      <c r="D28013">
        <v>213</v>
      </c>
      <c r="E28013">
        <v>0</v>
      </c>
      <c r="F28013">
        <v>75</v>
      </c>
    </row>
    <row r="28014" spans="1:6" ht="12.75">
      <c r="A28014" s="2">
        <v>43875.628703703704</v>
      </c>
      <c r="B28014" t="str">
        <f>HYPERLINK("https://twitter.com/AnakKolong___","@AnakKolong___")</f>
        <v>@AnakKolong___</v>
      </c>
      <c r="C28014" t="s">
        <v>12337</v>
      </c>
      <c r="D28014">
        <v>1</v>
      </c>
      <c r="E28014">
        <v>0</v>
      </c>
      <c r="F28014">
        <v>5296</v>
      </c>
    </row>
    <row r="28015" spans="1:6" ht="12.75">
      <c r="A28015" s="2">
        <v>43875.628645833334</v>
      </c>
      <c r="B28015" t="str">
        <f t="shared" ref="B28015:B28017" si="367">HYPERLINK("https://twitter.com/kbharianaceh","@kbharianaceh")</f>
        <v>@kbharianaceh</v>
      </c>
      <c r="C28015" t="s">
        <v>12338</v>
      </c>
      <c r="D28015">
        <v>0</v>
      </c>
      <c r="E28015">
        <v>0</v>
      </c>
      <c r="F28015">
        <v>1186</v>
      </c>
    </row>
    <row r="28016" spans="1:6" ht="12.75">
      <c r="A28016" s="2">
        <v>43875.628622685181</v>
      </c>
      <c r="B28016" t="str">
        <f t="shared" si="367"/>
        <v>@kbharianaceh</v>
      </c>
      <c r="C28016" t="s">
        <v>12339</v>
      </c>
      <c r="D28016">
        <v>0</v>
      </c>
      <c r="E28016">
        <v>0</v>
      </c>
      <c r="F28016">
        <v>1186</v>
      </c>
    </row>
    <row r="28017" spans="1:6" ht="12.75">
      <c r="A28017" s="2">
        <v>43875.628622685181</v>
      </c>
      <c r="B28017" t="str">
        <f t="shared" si="367"/>
        <v>@kbharianaceh</v>
      </c>
      <c r="C28017" t="s">
        <v>12340</v>
      </c>
      <c r="D28017">
        <v>0</v>
      </c>
      <c r="E28017">
        <v>0</v>
      </c>
      <c r="F28017">
        <v>1186</v>
      </c>
    </row>
    <row r="28018" spans="1:6" ht="12.75">
      <c r="A28018" s="2">
        <v>43875.628611111111</v>
      </c>
      <c r="B28018" t="str">
        <f>HYPERLINK("https://twitter.com/tapirara","@tapirara")</f>
        <v>@tapirara</v>
      </c>
      <c r="C28018" t="s">
        <v>12042</v>
      </c>
      <c r="D28018">
        <v>3369</v>
      </c>
      <c r="E28018">
        <v>0</v>
      </c>
      <c r="F28018">
        <v>129</v>
      </c>
    </row>
    <row r="28019" spans="1:6" ht="12.75">
      <c r="A28019" s="2">
        <v>43875.628599537042</v>
      </c>
      <c r="B28019" t="str">
        <f>HYPERLINK("https://twitter.com/nadhifaqueen","@nadhifaqueen")</f>
        <v>@nadhifaqueen</v>
      </c>
      <c r="C28019" t="s">
        <v>9123</v>
      </c>
      <c r="D28019">
        <v>213</v>
      </c>
      <c r="E28019">
        <v>0</v>
      </c>
      <c r="F28019">
        <v>158</v>
      </c>
    </row>
    <row r="28020" spans="1:6" ht="12.75">
      <c r="A28020" s="2">
        <v>43875.628564814819</v>
      </c>
      <c r="B28020" t="str">
        <f>HYPERLINK("https://twitter.com/aldipu","@aldipu")</f>
        <v>@aldipu</v>
      </c>
      <c r="C28020" t="s">
        <v>9746</v>
      </c>
      <c r="D28020">
        <v>214</v>
      </c>
      <c r="E28020">
        <v>0</v>
      </c>
      <c r="F28020">
        <v>536</v>
      </c>
    </row>
    <row r="28021" spans="1:6" ht="12.75">
      <c r="A28021" s="2">
        <v>43875.628553240742</v>
      </c>
      <c r="B28021" t="str">
        <f>HYPERLINK("https://twitter.com/inilahdotcom","@inilahdotcom")</f>
        <v>@inilahdotcom</v>
      </c>
      <c r="C28021" t="s">
        <v>12341</v>
      </c>
      <c r="D28021">
        <v>0</v>
      </c>
      <c r="E28021">
        <v>0</v>
      </c>
      <c r="F28021">
        <v>367308</v>
      </c>
    </row>
    <row r="28022" spans="1:6" ht="12.75">
      <c r="A28022" s="2">
        <v>43875.628518518519</v>
      </c>
      <c r="B28022" t="str">
        <f>HYPERLINK("https://twitter.com/KontanNews","@KontanNews")</f>
        <v>@KontanNews</v>
      </c>
      <c r="C28022" t="s">
        <v>12342</v>
      </c>
      <c r="D28022">
        <v>0</v>
      </c>
      <c r="E28022">
        <v>0</v>
      </c>
      <c r="F28022">
        <v>316288</v>
      </c>
    </row>
    <row r="28023" spans="1:6" ht="12.75">
      <c r="A28023" s="2">
        <v>43875.628368055557</v>
      </c>
      <c r="B28023" t="str">
        <f>HYPERLINK("https://twitter.com/MohHana09469935","@MohHana09469935")</f>
        <v>@MohHana09469935</v>
      </c>
      <c r="C28023" t="s">
        <v>2963</v>
      </c>
      <c r="D28023">
        <v>923</v>
      </c>
      <c r="E28023">
        <v>0</v>
      </c>
      <c r="F28023">
        <v>785</v>
      </c>
    </row>
    <row r="28024" spans="1:6" ht="12.75">
      <c r="A28024" s="2">
        <v>43875.628240740742</v>
      </c>
      <c r="B28024" t="str">
        <f>HYPERLINK("https://twitter.com/magiswarisman","@magiswarisman")</f>
        <v>@magiswarisman</v>
      </c>
      <c r="C28024" t="s">
        <v>10710</v>
      </c>
      <c r="D28024">
        <v>23</v>
      </c>
      <c r="E28024">
        <v>0</v>
      </c>
      <c r="F28024">
        <v>345</v>
      </c>
    </row>
    <row r="28025" spans="1:6" ht="12.75">
      <c r="A28025" s="2">
        <v>43875.628229166672</v>
      </c>
      <c r="B28025" t="str">
        <f>HYPERLINK("https://twitter.com/surisuriMAX","@surisuriMAX")</f>
        <v>@surisuriMAX</v>
      </c>
      <c r="C28025" t="s">
        <v>12343</v>
      </c>
      <c r="D28025">
        <v>1</v>
      </c>
      <c r="E28025">
        <v>4</v>
      </c>
      <c r="F28025">
        <v>402</v>
      </c>
    </row>
    <row r="28026" spans="1:6" ht="12.75">
      <c r="A28026" s="2">
        <v>43875.628206018519</v>
      </c>
      <c r="B28026" t="str">
        <f>HYPERLINK("https://twitter.com/llemonadeu","@llemonadeu")</f>
        <v>@llemonadeu</v>
      </c>
      <c r="C28026" t="s">
        <v>5168</v>
      </c>
      <c r="D28026">
        <v>739</v>
      </c>
      <c r="E28026">
        <v>0</v>
      </c>
      <c r="F28026">
        <v>1733</v>
      </c>
    </row>
    <row r="28027" spans="1:6" ht="12.75">
      <c r="A28027" s="2">
        <v>43875.628136574072</v>
      </c>
      <c r="B28027" t="str">
        <f>HYPERLINK("https://twitter.com/__beritaterkini","@__beritaterkini")</f>
        <v>@__beritaterkini</v>
      </c>
      <c r="C28027" t="s">
        <v>12344</v>
      </c>
      <c r="D28027">
        <v>0</v>
      </c>
      <c r="E28027">
        <v>0</v>
      </c>
      <c r="F28027">
        <v>416</v>
      </c>
    </row>
    <row r="28028" spans="1:6" ht="12.75">
      <c r="A28028" s="2">
        <v>43875.628125000003</v>
      </c>
      <c r="B28028" t="str">
        <f>HYPERLINK("https://twitter.com/DedeWah70824344","@DedeWah70824344")</f>
        <v>@DedeWah70824344</v>
      </c>
      <c r="C28028" t="s">
        <v>12345</v>
      </c>
      <c r="D28028">
        <v>0</v>
      </c>
      <c r="E28028">
        <v>0</v>
      </c>
      <c r="F28028">
        <v>4</v>
      </c>
    </row>
    <row r="28029" spans="1:6" ht="12.75">
      <c r="A28029" s="2">
        <v>43875.62809027778</v>
      </c>
      <c r="B28029" t="str">
        <f>HYPERLINK("https://twitter.com/GabutEmpire","@GabutEmpire")</f>
        <v>@GabutEmpire</v>
      </c>
      <c r="C28029" t="s">
        <v>5168</v>
      </c>
      <c r="D28029">
        <v>739</v>
      </c>
      <c r="E28029">
        <v>0</v>
      </c>
      <c r="F28029">
        <v>35</v>
      </c>
    </row>
    <row r="28030" spans="1:6" ht="12.75">
      <c r="A28030" s="2">
        <v>43875.62799768518</v>
      </c>
      <c r="B28030" t="str">
        <f>HYPERLINK("https://twitter.com/Junie0402","@Junie0402")</f>
        <v>@Junie0402</v>
      </c>
      <c r="C28030" t="s">
        <v>2444</v>
      </c>
      <c r="D28030">
        <v>1457</v>
      </c>
      <c r="E28030">
        <v>0</v>
      </c>
      <c r="F28030">
        <v>141</v>
      </c>
    </row>
    <row r="28031" spans="1:6" ht="12.75">
      <c r="A28031" s="2">
        <v>43875.627962962964</v>
      </c>
      <c r="B28031" t="str">
        <f>HYPERLINK("https://twitter.com/duta_kurniawan","@duta_kurniawan")</f>
        <v>@duta_kurniawan</v>
      </c>
      <c r="C28031" t="s">
        <v>7478</v>
      </c>
      <c r="D28031">
        <v>191</v>
      </c>
      <c r="E28031">
        <v>0</v>
      </c>
      <c r="F28031">
        <v>4964</v>
      </c>
    </row>
    <row r="28032" spans="1:6" ht="12.75">
      <c r="A28032" s="2">
        <v>43875.627939814818</v>
      </c>
      <c r="B28032" t="str">
        <f>HYPERLINK("https://twitter.com/gatimahendra","@gatimahendra")</f>
        <v>@gatimahendra</v>
      </c>
      <c r="C28032" t="s">
        <v>2444</v>
      </c>
      <c r="D28032">
        <v>1457</v>
      </c>
      <c r="E28032">
        <v>0</v>
      </c>
      <c r="F28032">
        <v>439</v>
      </c>
    </row>
    <row r="28033" spans="1:6" ht="12.75">
      <c r="A28033" s="2">
        <v>43875.627928240741</v>
      </c>
      <c r="B28033" t="str">
        <f>HYPERLINK("https://twitter.com/jatengtodaycom","@jatengtodaycom")</f>
        <v>@jatengtodaycom</v>
      </c>
      <c r="C28033" t="s">
        <v>12346</v>
      </c>
      <c r="D28033">
        <v>0</v>
      </c>
      <c r="E28033">
        <v>0</v>
      </c>
      <c r="F28033">
        <v>74</v>
      </c>
    </row>
    <row r="28034" spans="1:6" ht="12.75">
      <c r="A28034" s="2">
        <v>43875.627916666665</v>
      </c>
      <c r="B28034" t="str">
        <f>HYPERLINK("https://twitter.com/BryanHiskia","@BryanHiskia")</f>
        <v>@BryanHiskia</v>
      </c>
      <c r="C28034" t="s">
        <v>9666</v>
      </c>
      <c r="D28034">
        <v>9</v>
      </c>
      <c r="E28034">
        <v>0</v>
      </c>
      <c r="F28034">
        <v>17</v>
      </c>
    </row>
    <row r="28035" spans="1:6" ht="12.75">
      <c r="A28035" s="2">
        <v>43875.627870370372</v>
      </c>
      <c r="B28035" t="str">
        <f>HYPERLINK("https://twitter.com/yulvie","@yulvie")</f>
        <v>@yulvie</v>
      </c>
      <c r="C28035" t="s">
        <v>10710</v>
      </c>
      <c r="D28035">
        <v>23</v>
      </c>
      <c r="E28035">
        <v>0</v>
      </c>
      <c r="F28035">
        <v>577</v>
      </c>
    </row>
    <row r="28036" spans="1:6" ht="12.75">
      <c r="A28036" s="2">
        <v>43875.627812499995</v>
      </c>
      <c r="B28036" t="str">
        <f>HYPERLINK("https://twitter.com/nadhifaqueen","@nadhifaqueen")</f>
        <v>@nadhifaqueen</v>
      </c>
      <c r="C28036" t="s">
        <v>12347</v>
      </c>
      <c r="D28036">
        <v>0</v>
      </c>
      <c r="E28036">
        <v>0</v>
      </c>
      <c r="F28036">
        <v>158</v>
      </c>
    </row>
    <row r="28037" spans="1:6" ht="12.75">
      <c r="A28037" s="2">
        <v>43875.627743055556</v>
      </c>
      <c r="B28037" t="str">
        <f>HYPERLINK("https://twitter.com/miegemez99","@miegemez99")</f>
        <v>@miegemez99</v>
      </c>
      <c r="C28037" t="s">
        <v>5168</v>
      </c>
      <c r="D28037">
        <v>739</v>
      </c>
      <c r="E28037">
        <v>0</v>
      </c>
      <c r="F28037">
        <v>9</v>
      </c>
    </row>
    <row r="28038" spans="1:6" ht="12.75">
      <c r="A28038" s="2">
        <v>43875.62767361111</v>
      </c>
      <c r="B28038" t="str">
        <f>HYPERLINK("https://twitter.com/IrmaHKds","@IrmaHKds")</f>
        <v>@IrmaHKds</v>
      </c>
      <c r="C28038" t="s">
        <v>12348</v>
      </c>
      <c r="D28038">
        <v>0</v>
      </c>
      <c r="E28038">
        <v>2</v>
      </c>
      <c r="F28038">
        <v>3616</v>
      </c>
    </row>
    <row r="28039" spans="1:6" ht="12.75">
      <c r="A28039" s="2">
        <v>43875.627638888887</v>
      </c>
      <c r="B28039" t="str">
        <f>HYPERLINK("https://twitter.com/gyuldeangie","@gyuldeangie")</f>
        <v>@gyuldeangie</v>
      </c>
      <c r="C28039" t="s">
        <v>2444</v>
      </c>
      <c r="D28039">
        <v>1457</v>
      </c>
      <c r="E28039">
        <v>0</v>
      </c>
      <c r="F28039">
        <v>214</v>
      </c>
    </row>
    <row r="28040" spans="1:6" ht="12.75">
      <c r="A28040" s="2">
        <v>43875.627604166672</v>
      </c>
      <c r="B28040" t="str">
        <f>HYPERLINK("https://twitter.com/lennykesuma09","@lennykesuma09")</f>
        <v>@lennykesuma09</v>
      </c>
      <c r="C28040" t="s">
        <v>9123</v>
      </c>
      <c r="D28040">
        <v>213</v>
      </c>
      <c r="E28040">
        <v>0</v>
      </c>
      <c r="F28040">
        <v>43</v>
      </c>
    </row>
    <row r="28041" spans="1:6" ht="12.75">
      <c r="A28041" s="2">
        <v>43875.627592592587</v>
      </c>
      <c r="B28041" t="str">
        <f>HYPERLINK("https://twitter.com/penguasahati","@penguasahati")</f>
        <v>@penguasahati</v>
      </c>
      <c r="C28041" t="s">
        <v>11515</v>
      </c>
      <c r="D28041">
        <v>1</v>
      </c>
      <c r="E28041">
        <v>0</v>
      </c>
      <c r="F28041">
        <v>4677</v>
      </c>
    </row>
    <row r="28042" spans="1:6" ht="12.75">
      <c r="A28042" s="2">
        <v>43875.627569444448</v>
      </c>
      <c r="B28042" t="str">
        <f>HYPERLINK("https://twitter.com/aldyanfzl","@aldyanfzl")</f>
        <v>@aldyanfzl</v>
      </c>
      <c r="C28042" t="s">
        <v>12349</v>
      </c>
      <c r="D28042">
        <v>0</v>
      </c>
      <c r="E28042">
        <v>0</v>
      </c>
      <c r="F28042">
        <v>514</v>
      </c>
    </row>
    <row r="28043" spans="1:6" ht="12.75">
      <c r="A28043" s="2">
        <v>43875.627534722225</v>
      </c>
      <c r="B28043" t="str">
        <f>HYPERLINK("https://twitter.com/nadhifaqueen","@nadhifaqueen")</f>
        <v>@nadhifaqueen</v>
      </c>
      <c r="C28043" t="s">
        <v>11536</v>
      </c>
      <c r="D28043">
        <v>0</v>
      </c>
      <c r="E28043">
        <v>0</v>
      </c>
      <c r="F28043">
        <v>158</v>
      </c>
    </row>
    <row r="28044" spans="1:6" ht="12.75">
      <c r="A28044" s="2">
        <v>43875.627384259264</v>
      </c>
      <c r="B28044" t="str">
        <f>HYPERLINK("https://twitter.com/republikaonline","@republikaonline")</f>
        <v>@republikaonline</v>
      </c>
      <c r="C28044" t="s">
        <v>12350</v>
      </c>
      <c r="D28044">
        <v>0</v>
      </c>
      <c r="E28044">
        <v>3</v>
      </c>
      <c r="F28044">
        <v>1210298</v>
      </c>
    </row>
    <row r="28045" spans="1:6" ht="12.75">
      <c r="A28045" s="2">
        <v>43875.627349537041</v>
      </c>
      <c r="B28045" t="str">
        <f>HYPERLINK("https://twitter.com/Bentir16","@Bentir16")</f>
        <v>@Bentir16</v>
      </c>
      <c r="C28045" t="s">
        <v>12351</v>
      </c>
      <c r="D28045">
        <v>1</v>
      </c>
      <c r="E28045">
        <v>1</v>
      </c>
      <c r="F28045">
        <v>340</v>
      </c>
    </row>
    <row r="28046" spans="1:6" ht="12.75">
      <c r="A28046" s="2">
        <v>43875.627326388887</v>
      </c>
      <c r="B28046" t="str">
        <f>HYPERLINK("https://twitter.com/bffb300aff02425","@bffb300aff02425")</f>
        <v>@bffb300aff02425</v>
      </c>
      <c r="C28046" t="s">
        <v>11322</v>
      </c>
      <c r="D28046">
        <v>75</v>
      </c>
      <c r="E28046">
        <v>0</v>
      </c>
      <c r="F28046">
        <v>512</v>
      </c>
    </row>
    <row r="28047" spans="1:6" ht="12.75">
      <c r="A28047" s="2">
        <v>43875.627280092594</v>
      </c>
      <c r="B28047" t="str">
        <f>HYPERLINK("https://twitter.com/Rido_Lizze","@Rido_Lizze")</f>
        <v>@Rido_Lizze</v>
      </c>
      <c r="C28047" t="s">
        <v>12352</v>
      </c>
      <c r="D28047">
        <v>0</v>
      </c>
      <c r="E28047">
        <v>0</v>
      </c>
      <c r="F28047">
        <v>1303</v>
      </c>
    </row>
    <row r="28048" spans="1:6" ht="12.75">
      <c r="A28048" s="2">
        <v>43875.627256944441</v>
      </c>
      <c r="B28048" t="str">
        <f>HYPERLINK("https://twitter.com/maramikr","@maramikr")</f>
        <v>@maramikr</v>
      </c>
      <c r="C28048" t="s">
        <v>7068</v>
      </c>
      <c r="D28048">
        <v>11</v>
      </c>
      <c r="E28048">
        <v>0</v>
      </c>
      <c r="F28048">
        <v>283</v>
      </c>
    </row>
    <row r="28049" spans="1:6" ht="12.75">
      <c r="A28049" s="2">
        <v>43875.627222222218</v>
      </c>
      <c r="B28049" t="str">
        <f>HYPERLINK("https://twitter.com/hafilaahh","@hafilaahh")</f>
        <v>@hafilaahh</v>
      </c>
      <c r="C28049" t="s">
        <v>2444</v>
      </c>
      <c r="D28049">
        <v>1457</v>
      </c>
      <c r="E28049">
        <v>0</v>
      </c>
      <c r="F28049">
        <v>351</v>
      </c>
    </row>
    <row r="28050" spans="1:6" ht="12.75">
      <c r="A28050" s="2">
        <v>43875.627175925925</v>
      </c>
      <c r="B28050" t="str">
        <f>HYPERLINK("https://twitter.com/kaisarpart","@kaisarpart")</f>
        <v>@kaisarpart</v>
      </c>
      <c r="C28050" t="s">
        <v>2444</v>
      </c>
      <c r="D28050">
        <v>1457</v>
      </c>
      <c r="E28050">
        <v>0</v>
      </c>
      <c r="F28050">
        <v>544</v>
      </c>
    </row>
    <row r="28051" spans="1:6" ht="12.75">
      <c r="A28051" s="2">
        <v>43875.62709490741</v>
      </c>
      <c r="B28051" t="str">
        <f>HYPERLINK("https://twitter.com/farhannfn","@farhannfn")</f>
        <v>@farhannfn</v>
      </c>
      <c r="C28051" t="s">
        <v>8233</v>
      </c>
      <c r="D28051">
        <v>469</v>
      </c>
      <c r="E28051">
        <v>0</v>
      </c>
      <c r="F28051">
        <v>456</v>
      </c>
    </row>
    <row r="28052" spans="1:6" ht="12.75">
      <c r="A28052" s="2">
        <v>43875.62709490741</v>
      </c>
      <c r="B28052" t="str">
        <f>HYPERLINK("https://twitter.com/oooyyuk","@oooyyuk")</f>
        <v>@oooyyuk</v>
      </c>
      <c r="C28052" t="s">
        <v>12353</v>
      </c>
      <c r="D28052">
        <v>0</v>
      </c>
      <c r="E28052">
        <v>0</v>
      </c>
      <c r="F28052">
        <v>8</v>
      </c>
    </row>
    <row r="28053" spans="1:6" ht="12.75">
      <c r="A28053" s="2">
        <v>43875.627037037033</v>
      </c>
      <c r="B28053" t="str">
        <f>HYPERLINK("https://twitter.com/ISIS_Balik_NO","@ISIS_Balik_NO")</f>
        <v>@ISIS_Balik_NO</v>
      </c>
      <c r="C28053" t="s">
        <v>12354</v>
      </c>
      <c r="D28053">
        <v>0</v>
      </c>
      <c r="E28053">
        <v>3</v>
      </c>
      <c r="F28053">
        <v>5899</v>
      </c>
    </row>
    <row r="28054" spans="1:6" ht="12.75">
      <c r="A28054" s="2">
        <v>43875.627025462964</v>
      </c>
      <c r="B28054" t="str">
        <f>HYPERLINK("https://twitter.com/zurqaniAhmad","@zurqaniAhmad")</f>
        <v>@zurqaniAhmad</v>
      </c>
      <c r="C28054" t="s">
        <v>9538</v>
      </c>
      <c r="D28054">
        <v>139</v>
      </c>
      <c r="E28054">
        <v>0</v>
      </c>
      <c r="F28054">
        <v>223</v>
      </c>
    </row>
    <row r="28055" spans="1:6" ht="12.75">
      <c r="A28055" s="2">
        <v>43875.626932870371</v>
      </c>
      <c r="B28055" t="str">
        <f>HYPERLINK("https://twitter.com/kafara666","@kafara666")</f>
        <v>@kafara666</v>
      </c>
      <c r="C28055" t="s">
        <v>12355</v>
      </c>
      <c r="D28055">
        <v>0</v>
      </c>
      <c r="E28055">
        <v>1</v>
      </c>
      <c r="F28055">
        <v>66</v>
      </c>
    </row>
    <row r="28056" spans="1:6" ht="12.75">
      <c r="A28056" s="2">
        <v>43875.626886574071</v>
      </c>
      <c r="B28056" t="str">
        <f>HYPERLINK("https://twitter.com/mikicimik","@mikicimik")</f>
        <v>@mikicimik</v>
      </c>
      <c r="C28056" t="s">
        <v>7478</v>
      </c>
      <c r="D28056">
        <v>191</v>
      </c>
      <c r="E28056">
        <v>0</v>
      </c>
      <c r="F28056">
        <v>179</v>
      </c>
    </row>
    <row r="28057" spans="1:6" ht="12.75">
      <c r="A28057" s="2">
        <v>43875.626805555556</v>
      </c>
      <c r="B28057" t="str">
        <f>HYPERLINK("https://twitter.com/IdaAyuMadeOkaA1","@IdaAyuMadeOkaA1")</f>
        <v>@IdaAyuMadeOkaA1</v>
      </c>
      <c r="C28057" t="s">
        <v>9113</v>
      </c>
      <c r="D28057">
        <v>296</v>
      </c>
      <c r="E28057">
        <v>0</v>
      </c>
      <c r="F28057">
        <v>235</v>
      </c>
    </row>
    <row r="28058" spans="1:6" ht="12.75">
      <c r="A28058" s="2">
        <v>43875.626712962963</v>
      </c>
      <c r="B28058" t="str">
        <f>HYPERLINK("https://twitter.com/xgopzy","@xgopzy")</f>
        <v>@xgopzy</v>
      </c>
      <c r="C28058" t="s">
        <v>2444</v>
      </c>
      <c r="D28058">
        <v>1457</v>
      </c>
      <c r="E28058">
        <v>0</v>
      </c>
      <c r="F28058">
        <v>517</v>
      </c>
    </row>
    <row r="28059" spans="1:6" ht="12.75">
      <c r="A28059" s="2">
        <v>43875.62667824074</v>
      </c>
      <c r="B28059" t="str">
        <f>HYPERLINK("https://twitter.com/setiawanh46","@setiawanh46")</f>
        <v>@setiawanh46</v>
      </c>
      <c r="C28059" t="s">
        <v>11580</v>
      </c>
      <c r="D28059">
        <v>32</v>
      </c>
      <c r="E28059">
        <v>0</v>
      </c>
      <c r="F28059">
        <v>1778</v>
      </c>
    </row>
    <row r="28060" spans="1:6" ht="12.75">
      <c r="A28060" s="2">
        <v>43875.626562500001</v>
      </c>
      <c r="B28060" t="str">
        <f>HYPERLINK("https://twitter.com/wartaIDN","@wartaIDN")</f>
        <v>@wartaIDN</v>
      </c>
      <c r="C28060" t="s">
        <v>10785</v>
      </c>
      <c r="D28060">
        <v>0</v>
      </c>
      <c r="E28060">
        <v>0</v>
      </c>
      <c r="F28060">
        <v>7772</v>
      </c>
    </row>
    <row r="28061" spans="1:6" ht="12.75">
      <c r="A28061" s="2">
        <v>43875.626527777778</v>
      </c>
      <c r="B28061" t="str">
        <f>HYPERLINK("https://twitter.com/naradi96","@naradi96")</f>
        <v>@naradi96</v>
      </c>
      <c r="C28061" t="s">
        <v>9746</v>
      </c>
      <c r="D28061">
        <v>180</v>
      </c>
      <c r="E28061">
        <v>0</v>
      </c>
      <c r="F28061">
        <v>170</v>
      </c>
    </row>
    <row r="28062" spans="1:6" ht="12.75">
      <c r="A28062" s="2">
        <v>43875.626458333332</v>
      </c>
      <c r="B28062" t="str">
        <f>HYPERLINK("https://twitter.com/tpfql_","@tpfql_")</f>
        <v>@tpfql_</v>
      </c>
      <c r="C28062" t="s">
        <v>2444</v>
      </c>
      <c r="D28062">
        <v>1239</v>
      </c>
      <c r="E28062">
        <v>0</v>
      </c>
      <c r="F28062">
        <v>537</v>
      </c>
    </row>
    <row r="28063" spans="1:6" ht="12.75">
      <c r="A28063" s="2">
        <v>43875.626446759255</v>
      </c>
      <c r="B28063" t="str">
        <f>HYPERLINK("https://twitter.com/WartaKotaTribun","@WartaKotaTribun")</f>
        <v>@WartaKotaTribun</v>
      </c>
      <c r="C28063" t="s">
        <v>12356</v>
      </c>
      <c r="D28063">
        <v>0</v>
      </c>
      <c r="E28063">
        <v>0</v>
      </c>
      <c r="F28063">
        <v>783</v>
      </c>
    </row>
    <row r="28064" spans="1:6" ht="12.75">
      <c r="A28064" s="2">
        <v>43875.626377314809</v>
      </c>
      <c r="B28064" t="str">
        <f>HYPERLINK("https://twitter.com/SylviaHendrawa1","@SylviaHendrawa1")</f>
        <v>@SylviaHendrawa1</v>
      </c>
      <c r="C28064" t="s">
        <v>2963</v>
      </c>
      <c r="D28064">
        <v>871</v>
      </c>
      <c r="E28064">
        <v>0</v>
      </c>
      <c r="F28064">
        <v>0</v>
      </c>
    </row>
    <row r="28065" spans="1:6" ht="12.75">
      <c r="A28065" s="2">
        <v>43875.626342592594</v>
      </c>
      <c r="B28065" t="str">
        <f>HYPERLINK("https://twitter.com/Adnanda27698160","@Adnanda27698160")</f>
        <v>@Adnanda27698160</v>
      </c>
      <c r="C28065" t="s">
        <v>7478</v>
      </c>
      <c r="D28065">
        <v>137</v>
      </c>
      <c r="E28065">
        <v>0</v>
      </c>
      <c r="F28065">
        <v>133</v>
      </c>
    </row>
    <row r="28066" spans="1:6" ht="12.75">
      <c r="A28066" s="2">
        <v>43875.626273148147</v>
      </c>
      <c r="B28066" t="str">
        <f>HYPERLINK("https://twitter.com/hcahyono","@hcahyono")</f>
        <v>@hcahyono</v>
      </c>
      <c r="C28066" t="s">
        <v>11071</v>
      </c>
      <c r="D28066">
        <v>60</v>
      </c>
      <c r="E28066">
        <v>0</v>
      </c>
      <c r="F28066">
        <v>4663</v>
      </c>
    </row>
    <row r="28067" spans="1:6" ht="12.75">
      <c r="A28067" s="2">
        <v>43875.625983796301</v>
      </c>
      <c r="B28067" t="str">
        <f>HYPERLINK("https://twitter.com/n_hangestiyo","@n_hangestiyo")</f>
        <v>@n_hangestiyo</v>
      </c>
      <c r="C28067" t="s">
        <v>2110</v>
      </c>
      <c r="D28067">
        <v>39</v>
      </c>
      <c r="E28067">
        <v>0</v>
      </c>
      <c r="F28067">
        <v>135</v>
      </c>
    </row>
    <row r="28068" spans="1:6" ht="12.75">
      <c r="A28068" s="2">
        <v>43875.625972222224</v>
      </c>
      <c r="B28068" t="str">
        <f>HYPERLINK("https://twitter.com/Sketsa_","@Sketsa_")</f>
        <v>@Sketsa_</v>
      </c>
      <c r="C28068" t="s">
        <v>12357</v>
      </c>
      <c r="D28068">
        <v>0</v>
      </c>
      <c r="E28068">
        <v>0</v>
      </c>
      <c r="F28068">
        <v>424</v>
      </c>
    </row>
    <row r="28069" spans="1:6" ht="12.75">
      <c r="A28069" s="2">
        <v>43875.625833333332</v>
      </c>
      <c r="B28069" t="str">
        <f>HYPERLINK("https://twitter.com/lusi_ramadhani","@lusi_ramadhani")</f>
        <v>@lusi_ramadhani</v>
      </c>
      <c r="C28069" t="s">
        <v>12358</v>
      </c>
      <c r="D28069">
        <v>0</v>
      </c>
      <c r="E28069">
        <v>0</v>
      </c>
      <c r="F28069">
        <v>354</v>
      </c>
    </row>
    <row r="28070" spans="1:6" ht="12.75">
      <c r="A28070" s="2">
        <v>43875.625821759255</v>
      </c>
      <c r="B28070" t="str">
        <f>HYPERLINK("https://twitter.com/RichelleEdita","@RichelleEdita")</f>
        <v>@RichelleEdita</v>
      </c>
      <c r="C28070" t="s">
        <v>11773</v>
      </c>
      <c r="D28070">
        <v>7</v>
      </c>
      <c r="E28070">
        <v>0</v>
      </c>
      <c r="F28070">
        <v>785</v>
      </c>
    </row>
    <row r="28071" spans="1:6" ht="12.75">
      <c r="A28071" s="2">
        <v>43875.625787037032</v>
      </c>
      <c r="B28071" t="str">
        <f>HYPERLINK("https://twitter.com/LightMrvica","@LightMrvica")</f>
        <v>@LightMrvica</v>
      </c>
      <c r="C28071" t="s">
        <v>4880</v>
      </c>
      <c r="D28071">
        <v>53</v>
      </c>
      <c r="E28071">
        <v>0</v>
      </c>
      <c r="F28071">
        <v>155</v>
      </c>
    </row>
    <row r="28072" spans="1:6" ht="12.75">
      <c r="A28072" s="2">
        <v>43875.625717592593</v>
      </c>
      <c r="B28072" t="str">
        <f>HYPERLINK("https://twitter.com/warta_tangerang","@warta_tangerang")</f>
        <v>@warta_tangerang</v>
      </c>
      <c r="C28072" t="s">
        <v>10785</v>
      </c>
      <c r="D28072">
        <v>0</v>
      </c>
      <c r="E28072">
        <v>0</v>
      </c>
      <c r="F28072">
        <v>8556</v>
      </c>
    </row>
    <row r="28073" spans="1:6" ht="12.75">
      <c r="A28073" s="2">
        <v>43875.625706018516</v>
      </c>
      <c r="B28073" t="str">
        <f>HYPERLINK("https://twitter.com/lawjusticeco","@lawjusticeco")</f>
        <v>@lawjusticeco</v>
      </c>
      <c r="C28073" t="s">
        <v>7941</v>
      </c>
      <c r="D28073">
        <v>0</v>
      </c>
      <c r="E28073">
        <v>0</v>
      </c>
      <c r="F28073">
        <v>4910</v>
      </c>
    </row>
    <row r="28074" spans="1:6" ht="12.75">
      <c r="A28074" s="2">
        <v>43875.625659722224</v>
      </c>
      <c r="B28074" t="str">
        <f>HYPERLINK("https://twitter.com/masmugialba","@masmugialba")</f>
        <v>@masmugialba</v>
      </c>
      <c r="C28074" t="s">
        <v>2963</v>
      </c>
      <c r="D28074">
        <v>871</v>
      </c>
      <c r="E28074">
        <v>0</v>
      </c>
      <c r="F28074">
        <v>896</v>
      </c>
    </row>
    <row r="28075" spans="1:6" ht="12.75">
      <c r="A28075" s="2">
        <v>43875.625509259262</v>
      </c>
      <c r="B28075" t="str">
        <f>HYPERLINK("https://twitter.com/tribunnews","@tribunnews")</f>
        <v>@tribunnews</v>
      </c>
      <c r="C28075" t="s">
        <v>12359</v>
      </c>
      <c r="D28075">
        <v>0</v>
      </c>
      <c r="E28075">
        <v>0</v>
      </c>
      <c r="F28075">
        <v>873298</v>
      </c>
    </row>
    <row r="28076" spans="1:6" ht="12.75">
      <c r="A28076" s="2">
        <v>43875.625497685185</v>
      </c>
      <c r="B28076" t="str">
        <f>HYPERLINK("https://twitter.com/batagorOncom","@batagorOncom")</f>
        <v>@batagorOncom</v>
      </c>
      <c r="C28076" t="s">
        <v>2137</v>
      </c>
      <c r="D28076">
        <v>99</v>
      </c>
      <c r="E28076">
        <v>0</v>
      </c>
      <c r="F28076">
        <v>809</v>
      </c>
    </row>
    <row r="28077" spans="1:6" ht="12.75">
      <c r="A28077" s="2">
        <v>43875.625497685185</v>
      </c>
      <c r="B28077" t="str">
        <f>HYPERLINK("https://twitter.com/taiimencrettttt","@taiimencrettttt")</f>
        <v>@taiimencrettttt</v>
      </c>
      <c r="C28077" t="s">
        <v>9746</v>
      </c>
      <c r="D28077">
        <v>180</v>
      </c>
      <c r="E28077">
        <v>0</v>
      </c>
      <c r="F28077">
        <v>112</v>
      </c>
    </row>
    <row r="28078" spans="1:6" ht="12.75">
      <c r="A28078" s="2">
        <v>43875.625405092593</v>
      </c>
      <c r="B28078" t="str">
        <f>HYPERLINK("https://twitter.com/ttssaabbiittaa","@ttssaabbiittaa")</f>
        <v>@ttssaabbiittaa</v>
      </c>
      <c r="C28078" t="s">
        <v>7478</v>
      </c>
      <c r="D28078">
        <v>137</v>
      </c>
      <c r="E28078">
        <v>0</v>
      </c>
      <c r="F28078">
        <v>43</v>
      </c>
    </row>
    <row r="28079" spans="1:6" ht="12.75">
      <c r="A28079" s="2">
        <v>43875.625335648147</v>
      </c>
      <c r="B28079" t="str">
        <f>HYPERLINK("https://twitter.com/RantiYanti12","@RantiYanti12")</f>
        <v>@RantiYanti12</v>
      </c>
      <c r="C28079" t="s">
        <v>12360</v>
      </c>
      <c r="D28079">
        <v>0</v>
      </c>
      <c r="E28079">
        <v>0</v>
      </c>
      <c r="F28079">
        <v>118</v>
      </c>
    </row>
    <row r="28080" spans="1:6" ht="12.75">
      <c r="A28080" s="2">
        <v>43875.625324074077</v>
      </c>
      <c r="B28080" t="str">
        <f>HYPERLINK("https://twitter.com/Morningtyas","@Morningtyas")</f>
        <v>@Morningtyas</v>
      </c>
      <c r="C28080" t="s">
        <v>12361</v>
      </c>
      <c r="D28080">
        <v>0</v>
      </c>
      <c r="E28080">
        <v>0</v>
      </c>
      <c r="F28080">
        <v>30630</v>
      </c>
    </row>
    <row r="28081" spans="1:6" ht="12.75">
      <c r="A28081" s="2">
        <v>43875.625277777777</v>
      </c>
      <c r="B28081" t="str">
        <f>HYPERLINK("https://twitter.com/Zulkafli_BasraH","@Zulkafli_BasraH")</f>
        <v>@Zulkafli_BasraH</v>
      </c>
      <c r="C28081" t="s">
        <v>12362</v>
      </c>
      <c r="D28081">
        <v>0</v>
      </c>
      <c r="E28081">
        <v>0</v>
      </c>
      <c r="F28081">
        <v>2362</v>
      </c>
    </row>
    <row r="28082" spans="1:6" ht="12.75">
      <c r="A28082" s="2">
        <v>43875.625231481477</v>
      </c>
      <c r="B28082" t="str">
        <f>HYPERLINK("https://twitter.com/BadjaNuswantara","@BadjaNuswantara")</f>
        <v>@BadjaNuswantara</v>
      </c>
      <c r="C28082" t="s">
        <v>2444</v>
      </c>
      <c r="D28082">
        <v>1239</v>
      </c>
      <c r="E28082">
        <v>0</v>
      </c>
      <c r="F28082">
        <v>42305</v>
      </c>
    </row>
    <row r="28083" spans="1:6" ht="12.75">
      <c r="A28083" s="2">
        <v>43875.625069444446</v>
      </c>
      <c r="B28083" t="str">
        <f>HYPERLINK("https://twitter.com/harakatuna","@harakatuna")</f>
        <v>@harakatuna</v>
      </c>
      <c r="C28083" t="s">
        <v>12063</v>
      </c>
      <c r="D28083">
        <v>0</v>
      </c>
      <c r="E28083">
        <v>0</v>
      </c>
      <c r="F28083">
        <v>409</v>
      </c>
    </row>
    <row r="28084" spans="1:6" ht="12.75">
      <c r="A28084" s="2">
        <v>43875.625</v>
      </c>
      <c r="B28084" t="str">
        <f>HYPERLINK("https://twitter.com/HexsSetya","@HexsSetya")</f>
        <v>@HexsSetya</v>
      </c>
      <c r="C28084" t="s">
        <v>7478</v>
      </c>
      <c r="D28084">
        <v>137</v>
      </c>
      <c r="E28084">
        <v>0</v>
      </c>
      <c r="F28084">
        <v>870</v>
      </c>
    </row>
    <row r="28085" spans="1:6" ht="12.75">
      <c r="A28085" s="2">
        <v>43875.625</v>
      </c>
      <c r="B28085" t="str">
        <f>HYPERLINK("https://twitter.com/RantiYanti12","@RantiYanti12")</f>
        <v>@RantiYanti12</v>
      </c>
      <c r="C28085" t="s">
        <v>12363</v>
      </c>
      <c r="D28085">
        <v>0</v>
      </c>
      <c r="E28085">
        <v>0</v>
      </c>
      <c r="F28085">
        <v>118</v>
      </c>
    </row>
    <row r="28086" spans="1:6" ht="12.75">
      <c r="A28086" s="2">
        <v>43875.624965277777</v>
      </c>
      <c r="B28086" t="str">
        <f>HYPERLINK("https://twitter.com/sabilla_shaffa","@sabilla_shaffa")</f>
        <v>@sabilla_shaffa</v>
      </c>
      <c r="C28086" t="s">
        <v>11773</v>
      </c>
      <c r="D28086">
        <v>7</v>
      </c>
      <c r="E28086">
        <v>0</v>
      </c>
      <c r="F28086">
        <v>1635</v>
      </c>
    </row>
    <row r="28087" spans="1:6" ht="12.75">
      <c r="A28087" s="2">
        <v>43875.624872685185</v>
      </c>
      <c r="B28087" t="str">
        <f>HYPERLINK("https://twitter.com/kemlonih","@kemlonih")</f>
        <v>@kemlonih</v>
      </c>
      <c r="C28087" t="s">
        <v>10512</v>
      </c>
      <c r="D28087">
        <v>2</v>
      </c>
      <c r="E28087">
        <v>0</v>
      </c>
      <c r="F28087">
        <v>5315</v>
      </c>
    </row>
    <row r="28088" spans="1:6" ht="12.75">
      <c r="A28088" s="2">
        <v>43875.624814814815</v>
      </c>
      <c r="B28088" t="str">
        <f>HYPERLINK("https://twitter.com/IhsanRizki_48","@IhsanRizki_48")</f>
        <v>@IhsanRizki_48</v>
      </c>
      <c r="C28088" t="s">
        <v>2444</v>
      </c>
      <c r="D28088">
        <v>1239</v>
      </c>
      <c r="E28088">
        <v>0</v>
      </c>
      <c r="F28088">
        <v>608</v>
      </c>
    </row>
    <row r="28089" spans="1:6" ht="12.75">
      <c r="A28089" s="2">
        <v>43875.624814814815</v>
      </c>
      <c r="B28089" t="str">
        <f>HYPERLINK("https://twitter.com/yud1b4cht12r","@yud1b4cht12r")</f>
        <v>@yud1b4cht12r</v>
      </c>
      <c r="C28089" t="s">
        <v>9746</v>
      </c>
      <c r="D28089">
        <v>180</v>
      </c>
      <c r="E28089">
        <v>0</v>
      </c>
      <c r="F28089">
        <v>430</v>
      </c>
    </row>
    <row r="28090" spans="1:6" ht="12.75">
      <c r="A28090" s="2">
        <v>43875.624803240746</v>
      </c>
      <c r="B28090" t="str">
        <f>HYPERLINK("https://twitter.com/DedeWah70824344","@DedeWah70824344")</f>
        <v>@DedeWah70824344</v>
      </c>
      <c r="C28090" t="s">
        <v>12364</v>
      </c>
      <c r="D28090">
        <v>0</v>
      </c>
      <c r="E28090">
        <v>0</v>
      </c>
      <c r="F28090">
        <v>4</v>
      </c>
    </row>
    <row r="28091" spans="1:6" ht="12.75">
      <c r="A28091" s="2">
        <v>43875.624768518523</v>
      </c>
      <c r="B28091" t="str">
        <f>HYPERLINK("https://twitter.com/adieperdana20","@adieperdana20")</f>
        <v>@adieperdana20</v>
      </c>
      <c r="C28091" t="s">
        <v>2963</v>
      </c>
      <c r="D28091">
        <v>871</v>
      </c>
      <c r="E28091">
        <v>0</v>
      </c>
      <c r="F28091">
        <v>218</v>
      </c>
    </row>
    <row r="28092" spans="1:6" ht="12.75">
      <c r="A28092" s="2">
        <v>43875.624652777777</v>
      </c>
      <c r="B28092" t="str">
        <f>HYPERLINK("https://twitter.com/tsjokka","@tsjokka")</f>
        <v>@tsjokka</v>
      </c>
      <c r="C28092" t="s">
        <v>12365</v>
      </c>
      <c r="D28092">
        <v>0</v>
      </c>
      <c r="E28092">
        <v>0</v>
      </c>
      <c r="F28092">
        <v>542</v>
      </c>
    </row>
    <row r="28093" spans="1:6" ht="12.75">
      <c r="A28093" s="2">
        <v>43875.6246412037</v>
      </c>
      <c r="B28093" t="str">
        <f>HYPERLINK("https://twitter.com/danzsabana87","@danzsabana87")</f>
        <v>@danzsabana87</v>
      </c>
      <c r="C28093" t="s">
        <v>2086</v>
      </c>
      <c r="D28093">
        <v>24</v>
      </c>
      <c r="E28093">
        <v>0</v>
      </c>
      <c r="F28093">
        <v>26</v>
      </c>
    </row>
    <row r="28094" spans="1:6" ht="12.75">
      <c r="A28094" s="2">
        <v>43875.624594907407</v>
      </c>
      <c r="B28094" t="str">
        <f>HYPERLINK("https://twitter.com/jaehyunjin9200","@jaehyunjin9200")</f>
        <v>@jaehyunjin9200</v>
      </c>
      <c r="C28094" t="s">
        <v>2444</v>
      </c>
      <c r="D28094">
        <v>1239</v>
      </c>
      <c r="E28094">
        <v>0</v>
      </c>
      <c r="F28094">
        <v>530</v>
      </c>
    </row>
    <row r="28095" spans="1:6" ht="12.75">
      <c r="A28095" s="2">
        <v>43875.624583333338</v>
      </c>
      <c r="B28095" t="str">
        <f>HYPERLINK("https://twitter.com/blackpink828","@blackpink828")</f>
        <v>@blackpink828</v>
      </c>
      <c r="C28095" t="s">
        <v>2963</v>
      </c>
      <c r="D28095">
        <v>871</v>
      </c>
      <c r="E28095">
        <v>0</v>
      </c>
      <c r="F28095">
        <v>2823</v>
      </c>
    </row>
    <row r="28096" spans="1:6" ht="12.75">
      <c r="A28096" s="2">
        <v>43875.624537037038</v>
      </c>
      <c r="B28096" t="str">
        <f>HYPERLINK("https://twitter.com/suharto_dki","@suharto_dki")</f>
        <v>@suharto_dki</v>
      </c>
      <c r="C28096" t="s">
        <v>10512</v>
      </c>
      <c r="D28096">
        <v>2</v>
      </c>
      <c r="E28096">
        <v>0</v>
      </c>
      <c r="F28096">
        <v>229</v>
      </c>
    </row>
    <row r="28097" spans="1:6" ht="12.75">
      <c r="A28097" s="2">
        <v>43875.624525462961</v>
      </c>
      <c r="B28097" t="str">
        <f>HYPERLINK("https://twitter.com/mingyuwaifeu","@mingyuwaifeu")</f>
        <v>@mingyuwaifeu</v>
      </c>
      <c r="C28097" t="s">
        <v>2137</v>
      </c>
      <c r="D28097">
        <v>99</v>
      </c>
      <c r="E28097">
        <v>0</v>
      </c>
      <c r="F28097">
        <v>977</v>
      </c>
    </row>
    <row r="28098" spans="1:6" ht="12.75">
      <c r="A28098" s="2">
        <v>43875.624490740738</v>
      </c>
      <c r="B28098" t="str">
        <f>HYPERLINK("https://twitter.com/Bebetciliq57","@Bebetciliq57")</f>
        <v>@Bebetciliq57</v>
      </c>
      <c r="C28098" t="s">
        <v>9947</v>
      </c>
      <c r="D28098">
        <v>336</v>
      </c>
      <c r="E28098">
        <v>0</v>
      </c>
      <c r="F28098">
        <v>177</v>
      </c>
    </row>
    <row r="28099" spans="1:6" ht="12.75">
      <c r="A28099" s="2">
        <v>43875.624386574069</v>
      </c>
      <c r="B28099" t="str">
        <f>HYPERLINK("https://twitter.com/diah_ch","@diah_ch")</f>
        <v>@diah_ch</v>
      </c>
      <c r="C28099" t="s">
        <v>2444</v>
      </c>
      <c r="D28099">
        <v>1239</v>
      </c>
      <c r="E28099">
        <v>0</v>
      </c>
      <c r="F28099">
        <v>646</v>
      </c>
    </row>
    <row r="28100" spans="1:6" ht="12.75">
      <c r="A28100" s="2">
        <v>43875.624386574069</v>
      </c>
      <c r="B28100" t="str">
        <f>HYPERLINK("https://twitter.com/damnship","@damnship")</f>
        <v>@damnship</v>
      </c>
      <c r="C28100" t="s">
        <v>5168</v>
      </c>
      <c r="D28100">
        <v>692</v>
      </c>
      <c r="E28100">
        <v>0</v>
      </c>
      <c r="F28100">
        <v>263</v>
      </c>
    </row>
    <row r="28101" spans="1:6" ht="12.75">
      <c r="A28101" s="2">
        <v>43875.624374999999</v>
      </c>
      <c r="B28101" t="str">
        <f>HYPERLINK("https://twitter.com/Alfafirdaus3","@Alfafirdaus3")</f>
        <v>@Alfafirdaus3</v>
      </c>
      <c r="C28101" t="s">
        <v>8233</v>
      </c>
      <c r="D28101">
        <v>454</v>
      </c>
      <c r="E28101">
        <v>0</v>
      </c>
      <c r="F28101">
        <v>52</v>
      </c>
    </row>
    <row r="28102" spans="1:6" ht="12.75">
      <c r="A28102" s="2">
        <v>43875.624340277776</v>
      </c>
      <c r="B28102" t="str">
        <f>HYPERLINK("https://twitter.com/sunankaliblanak","@sunankaliblanak")</f>
        <v>@sunankaliblanak</v>
      </c>
      <c r="C28102" t="s">
        <v>12366</v>
      </c>
      <c r="D28102">
        <v>0</v>
      </c>
      <c r="E28102">
        <v>0</v>
      </c>
      <c r="F28102">
        <v>388</v>
      </c>
    </row>
    <row r="28103" spans="1:6" ht="12.75">
      <c r="A28103" s="2">
        <v>43875.624328703707</v>
      </c>
      <c r="B28103" t="str">
        <f>HYPERLINK("https://twitter.com/agitarp","@agitarp")</f>
        <v>@agitarp</v>
      </c>
      <c r="C28103" t="s">
        <v>2444</v>
      </c>
      <c r="D28103">
        <v>1239</v>
      </c>
      <c r="E28103">
        <v>0</v>
      </c>
      <c r="F28103">
        <v>365</v>
      </c>
    </row>
    <row r="28104" spans="1:6" ht="12.75">
      <c r="A28104" s="2">
        <v>43875.624201388884</v>
      </c>
      <c r="B28104" t="str">
        <f>HYPERLINK("https://twitter.com/Lord_Sakto","@Lord_Sakto")</f>
        <v>@Lord_Sakto</v>
      </c>
      <c r="C28104" t="s">
        <v>9746</v>
      </c>
      <c r="D28104">
        <v>180</v>
      </c>
      <c r="E28104">
        <v>0</v>
      </c>
      <c r="F28104">
        <v>2807</v>
      </c>
    </row>
    <row r="28105" spans="1:6" ht="12.75">
      <c r="A28105" s="2">
        <v>43875.624143518522</v>
      </c>
      <c r="B28105" t="str">
        <f>HYPERLINK("https://twitter.com/A_B0NA","@A_B0NA")</f>
        <v>@A_B0NA</v>
      </c>
      <c r="C28105" t="s">
        <v>12367</v>
      </c>
      <c r="D28105">
        <v>17</v>
      </c>
      <c r="E28105">
        <v>0</v>
      </c>
      <c r="F28105">
        <v>86</v>
      </c>
    </row>
    <row r="28106" spans="1:6" ht="12.75">
      <c r="A28106" s="2">
        <v>43875.624108796299</v>
      </c>
      <c r="B28106" t="str">
        <f>HYPERLINK("https://twitter.com/VeliKatuuk","@VeliKatuuk")</f>
        <v>@VeliKatuuk</v>
      </c>
      <c r="C28106" t="s">
        <v>2444</v>
      </c>
      <c r="D28106">
        <v>1239</v>
      </c>
      <c r="E28106">
        <v>0</v>
      </c>
      <c r="F28106">
        <v>511</v>
      </c>
    </row>
    <row r="28107" spans="1:6" ht="12.75">
      <c r="A28107" s="2">
        <v>43875.624097222222</v>
      </c>
      <c r="B28107" t="str">
        <f>HYPERLINK("https://twitter.com/GreatSpiderman7","@GreatSpiderman7")</f>
        <v>@GreatSpiderman7</v>
      </c>
      <c r="C28107" t="s">
        <v>9835</v>
      </c>
      <c r="D28107">
        <v>31</v>
      </c>
      <c r="E28107">
        <v>0</v>
      </c>
      <c r="F28107">
        <v>187</v>
      </c>
    </row>
    <row r="28108" spans="1:6" ht="12.75">
      <c r="A28108" s="2">
        <v>43875.624097222222</v>
      </c>
      <c r="B28108" t="str">
        <f>HYPERLINK("https://twitter.com/Deatermined","@Deatermined")</f>
        <v>@Deatermined</v>
      </c>
      <c r="C28108" t="s">
        <v>2444</v>
      </c>
      <c r="D28108">
        <v>1239</v>
      </c>
      <c r="E28108">
        <v>0</v>
      </c>
      <c r="F28108">
        <v>214</v>
      </c>
    </row>
    <row r="28109" spans="1:6" ht="12.75">
      <c r="A28109" s="2">
        <v>43875.624074074076</v>
      </c>
      <c r="B28109" t="str">
        <f>HYPERLINK("https://twitter.com/Lord_Sakto","@Lord_Sakto")</f>
        <v>@Lord_Sakto</v>
      </c>
      <c r="C28109" t="s">
        <v>7478</v>
      </c>
      <c r="D28109">
        <v>137</v>
      </c>
      <c r="E28109">
        <v>0</v>
      </c>
      <c r="F28109">
        <v>2807</v>
      </c>
    </row>
    <row r="28110" spans="1:6" ht="12.75">
      <c r="A28110" s="2">
        <v>43875.624062499999</v>
      </c>
      <c r="B28110" t="str">
        <f>HYPERLINK("https://twitter.com/syum37","@syum37")</f>
        <v>@syum37</v>
      </c>
      <c r="C28110" t="s">
        <v>2444</v>
      </c>
      <c r="D28110">
        <v>1239</v>
      </c>
      <c r="E28110">
        <v>0</v>
      </c>
      <c r="F28110">
        <v>21</v>
      </c>
    </row>
    <row r="28111" spans="1:6" ht="12.75">
      <c r="A28111" s="2">
        <v>43875.624039351853</v>
      </c>
      <c r="B28111" t="str">
        <f>HYPERLINK("https://twitter.com/A_B0NA","@A_B0NA")</f>
        <v>@A_B0NA</v>
      </c>
      <c r="C28111" t="s">
        <v>10859</v>
      </c>
      <c r="D28111">
        <v>30</v>
      </c>
      <c r="E28111">
        <v>0</v>
      </c>
      <c r="F28111">
        <v>86</v>
      </c>
    </row>
    <row r="28112" spans="1:6" ht="12.75">
      <c r="A28112" s="2">
        <v>43875.624027777776</v>
      </c>
      <c r="B28112" t="str">
        <f>HYPERLINK("https://twitter.com/yo_oriri","@yo_oriri")</f>
        <v>@yo_oriri</v>
      </c>
      <c r="C28112" t="s">
        <v>2444</v>
      </c>
      <c r="D28112">
        <v>1239</v>
      </c>
      <c r="E28112">
        <v>0</v>
      </c>
      <c r="F28112">
        <v>250</v>
      </c>
    </row>
    <row r="28113" spans="1:6" ht="12.75">
      <c r="A28113" s="2">
        <v>43875.623819444445</v>
      </c>
      <c r="B28113" t="str">
        <f>HYPERLINK("https://twitter.com/revihadiarti","@revihadiarti")</f>
        <v>@revihadiarti</v>
      </c>
      <c r="C28113" t="s">
        <v>2444</v>
      </c>
      <c r="D28113">
        <v>1239</v>
      </c>
      <c r="E28113">
        <v>0</v>
      </c>
      <c r="F28113">
        <v>18</v>
      </c>
    </row>
    <row r="28114" spans="1:6" ht="12.75">
      <c r="A28114" s="2">
        <v>43875.623819444445</v>
      </c>
      <c r="B28114" t="str">
        <f>HYPERLINK("https://twitter.com/A_B0NA","@A_B0NA")</f>
        <v>@A_B0NA</v>
      </c>
      <c r="C28114" t="s">
        <v>11425</v>
      </c>
      <c r="D28114">
        <v>223</v>
      </c>
      <c r="E28114">
        <v>0</v>
      </c>
      <c r="F28114">
        <v>86</v>
      </c>
    </row>
    <row r="28115" spans="1:6" ht="12.75">
      <c r="A28115" s="2">
        <v>43875.623807870375</v>
      </c>
      <c r="B28115" t="str">
        <f>HYPERLINK("https://twitter.com/dohcaaabbb","@dohcaaabbb")</f>
        <v>@dohcaaabbb</v>
      </c>
      <c r="C28115" t="s">
        <v>8233</v>
      </c>
      <c r="D28115">
        <v>454</v>
      </c>
      <c r="E28115">
        <v>0</v>
      </c>
      <c r="F28115">
        <v>204</v>
      </c>
    </row>
    <row r="28116" spans="1:6" ht="12.75">
      <c r="A28116" s="2">
        <v>43875.623749999999</v>
      </c>
      <c r="B28116" t="str">
        <f>HYPERLINK("https://twitter.com/ayah_pinban","@ayah_pinban")</f>
        <v>@ayah_pinban</v>
      </c>
      <c r="C28116" t="s">
        <v>9746</v>
      </c>
      <c r="D28116">
        <v>180</v>
      </c>
      <c r="E28116">
        <v>0</v>
      </c>
      <c r="F28116">
        <v>605</v>
      </c>
    </row>
    <row r="28117" spans="1:6" ht="12.75">
      <c r="A28117" s="2">
        <v>43875.623726851853</v>
      </c>
      <c r="B28117" t="str">
        <f>HYPERLINK("https://twitter.com/djo_wak","@djo_wak")</f>
        <v>@djo_wak</v>
      </c>
      <c r="C28117" t="s">
        <v>8252</v>
      </c>
      <c r="D28117">
        <v>495</v>
      </c>
      <c r="E28117">
        <v>0</v>
      </c>
      <c r="F28117">
        <v>233</v>
      </c>
    </row>
    <row r="28118" spans="1:6" ht="12.75">
      <c r="A28118" s="2">
        <v>43875.623692129629</v>
      </c>
      <c r="B28118" t="str">
        <f>HYPERLINK("https://twitter.com/ceriybam","@ceriybam")</f>
        <v>@ceriybam</v>
      </c>
      <c r="C28118" t="s">
        <v>2444</v>
      </c>
      <c r="D28118">
        <v>1239</v>
      </c>
      <c r="E28118">
        <v>0</v>
      </c>
      <c r="F28118">
        <v>6418</v>
      </c>
    </row>
    <row r="28119" spans="1:6" ht="12.75">
      <c r="A28119" s="2">
        <v>43875.623680555553</v>
      </c>
      <c r="B28119" t="str">
        <f>HYPERLINK("https://twitter.com/BadjaNuswantara","@BadjaNuswantara")</f>
        <v>@BadjaNuswantara</v>
      </c>
      <c r="C28119" t="s">
        <v>2963</v>
      </c>
      <c r="D28119">
        <v>871</v>
      </c>
      <c r="E28119">
        <v>0</v>
      </c>
      <c r="F28119">
        <v>42305</v>
      </c>
    </row>
    <row r="28120" spans="1:6" ht="12.75">
      <c r="A28120" s="2">
        <v>43875.623657407406</v>
      </c>
      <c r="B28120" t="str">
        <f>HYPERLINK("https://twitter.com/palsanglama_","@palsanglama_")</f>
        <v>@palsanglama_</v>
      </c>
      <c r="C28120" t="s">
        <v>2963</v>
      </c>
      <c r="D28120">
        <v>871</v>
      </c>
      <c r="E28120">
        <v>0</v>
      </c>
      <c r="F28120">
        <v>50</v>
      </c>
    </row>
    <row r="28121" spans="1:6" ht="12.75">
      <c r="A28121" s="2">
        <v>43875.62364583333</v>
      </c>
      <c r="B28121" t="str">
        <f>HYPERLINK("https://twitter.com/molout","@molout")</f>
        <v>@molout</v>
      </c>
      <c r="C28121" t="s">
        <v>2444</v>
      </c>
      <c r="D28121">
        <v>1239</v>
      </c>
      <c r="E28121">
        <v>0</v>
      </c>
      <c r="F28121">
        <v>1473</v>
      </c>
    </row>
    <row r="28122" spans="1:6" ht="12.75">
      <c r="A28122" s="2">
        <v>43875.62364583333</v>
      </c>
      <c r="B28122" t="str">
        <f>HYPERLINK("https://twitter.com/bambatri","@bambatri")</f>
        <v>@bambatri</v>
      </c>
      <c r="C28122" t="s">
        <v>12368</v>
      </c>
      <c r="D28122">
        <v>0</v>
      </c>
      <c r="E28122">
        <v>0</v>
      </c>
      <c r="F28122">
        <v>23</v>
      </c>
    </row>
    <row r="28123" spans="1:6" ht="12.75">
      <c r="A28123" s="2">
        <v>43875.623599537037</v>
      </c>
      <c r="B28123" t="str">
        <f>HYPERLINK("https://twitter.com/yo_oriri","@yo_oriri")</f>
        <v>@yo_oriri</v>
      </c>
      <c r="C28123" t="s">
        <v>5168</v>
      </c>
      <c r="D28123">
        <v>692</v>
      </c>
      <c r="E28123">
        <v>0</v>
      </c>
      <c r="F28123">
        <v>250</v>
      </c>
    </row>
    <row r="28124" spans="1:6" ht="12.75">
      <c r="A28124" s="2">
        <v>43875.623449074075</v>
      </c>
      <c r="B28124" t="str">
        <f>HYPERLINK("https://twitter.com/Ari3Pras","@Ari3Pras")</f>
        <v>@Ari3Pras</v>
      </c>
      <c r="C28124" t="s">
        <v>12369</v>
      </c>
      <c r="D28124">
        <v>0</v>
      </c>
      <c r="E28124">
        <v>0</v>
      </c>
      <c r="F28124">
        <v>7294</v>
      </c>
    </row>
    <row r="28125" spans="1:6" ht="12.75">
      <c r="A28125" s="2">
        <v>43875.623437499999</v>
      </c>
      <c r="B28125" t="str">
        <f>HYPERLINK("https://twitter.com/banglintas","@banglintas")</f>
        <v>@banglintas</v>
      </c>
      <c r="C28125" t="s">
        <v>11934</v>
      </c>
      <c r="D28125">
        <v>0</v>
      </c>
      <c r="E28125">
        <v>0</v>
      </c>
      <c r="F28125">
        <v>53</v>
      </c>
    </row>
    <row r="28126" spans="1:6" ht="12.75">
      <c r="A28126" s="2">
        <v>43875.623425925922</v>
      </c>
      <c r="B28126" t="str">
        <f>HYPERLINK("https://twitter.com/Achmad_noviandi","@Achmad_noviandi")</f>
        <v>@Achmad_noviandi</v>
      </c>
      <c r="C28126" t="s">
        <v>2444</v>
      </c>
      <c r="D28126">
        <v>1239</v>
      </c>
      <c r="E28126">
        <v>0</v>
      </c>
      <c r="F28126">
        <v>92</v>
      </c>
    </row>
    <row r="28127" spans="1:6" ht="12.75">
      <c r="A28127" s="2">
        <v>43875.623379629629</v>
      </c>
      <c r="B28127" t="str">
        <f>HYPERLINK("https://twitter.com/Lenlen_218","@Lenlen_218")</f>
        <v>@Lenlen_218</v>
      </c>
      <c r="C28127" t="s">
        <v>2444</v>
      </c>
      <c r="D28127">
        <v>1239</v>
      </c>
      <c r="E28127">
        <v>0</v>
      </c>
      <c r="F28127">
        <v>1354</v>
      </c>
    </row>
    <row r="28128" spans="1:6" ht="12.75">
      <c r="A28128" s="2">
        <v>43875.623356481483</v>
      </c>
      <c r="B28128" t="str">
        <f>HYPERLINK("https://twitter.com/Antara_Kalteng","@Antara_Kalteng")</f>
        <v>@Antara_Kalteng</v>
      </c>
      <c r="C28128" t="s">
        <v>12256</v>
      </c>
      <c r="D28128">
        <v>0</v>
      </c>
      <c r="E28128">
        <v>0</v>
      </c>
      <c r="F28128">
        <v>4631</v>
      </c>
    </row>
    <row r="28129" spans="1:6" ht="12.75">
      <c r="A28129" s="2">
        <v>43875.623333333337</v>
      </c>
      <c r="B28129" t="str">
        <f>HYPERLINK("https://twitter.com/hendri92189000","@hendri92189000")</f>
        <v>@hendri92189000</v>
      </c>
      <c r="C28129" t="s">
        <v>12370</v>
      </c>
      <c r="D28129">
        <v>0</v>
      </c>
      <c r="E28129">
        <v>0</v>
      </c>
      <c r="F28129">
        <v>3379</v>
      </c>
    </row>
    <row r="28130" spans="1:6" ht="12.75">
      <c r="A28130" s="2">
        <v>43875.623078703706</v>
      </c>
      <c r="B28130" t="str">
        <f>HYPERLINK("https://twitter.com/yathisismefat","@yathisismefat")</f>
        <v>@yathisismefat</v>
      </c>
      <c r="C28130" t="s">
        <v>5168</v>
      </c>
      <c r="D28130">
        <v>692</v>
      </c>
      <c r="E28130">
        <v>0</v>
      </c>
      <c r="F28130">
        <v>145</v>
      </c>
    </row>
    <row r="28131" spans="1:6" ht="12.75">
      <c r="A28131" s="2">
        <v>43875.62299768519</v>
      </c>
      <c r="B28131" t="str">
        <f>HYPERLINK("https://twitter.com/syaqir_alfonzo","@syaqir_alfonzo")</f>
        <v>@syaqir_alfonzo</v>
      </c>
      <c r="C28131" t="s">
        <v>7478</v>
      </c>
      <c r="D28131">
        <v>137</v>
      </c>
      <c r="E28131">
        <v>0</v>
      </c>
      <c r="F28131">
        <v>132</v>
      </c>
    </row>
    <row r="28132" spans="1:6" ht="12.75">
      <c r="A28132" s="2">
        <v>43875.622974537036</v>
      </c>
      <c r="B28132" t="str">
        <f>HYPERLINK("https://twitter.com/sogolisme_","@sogolisme_")</f>
        <v>@sogolisme_</v>
      </c>
      <c r="C28132" t="s">
        <v>2444</v>
      </c>
      <c r="D28132">
        <v>1239</v>
      </c>
      <c r="E28132">
        <v>0</v>
      </c>
      <c r="F28132">
        <v>104</v>
      </c>
    </row>
    <row r="28133" spans="1:6" ht="12.75">
      <c r="A28133" s="2">
        <v>43875.622962962967</v>
      </c>
      <c r="B28133" t="str">
        <f>HYPERLINK("https://twitter.com/anton_kaktuo","@anton_kaktuo")</f>
        <v>@anton_kaktuo</v>
      </c>
      <c r="C28133" t="s">
        <v>9746</v>
      </c>
      <c r="D28133">
        <v>180</v>
      </c>
      <c r="E28133">
        <v>0</v>
      </c>
      <c r="F28133">
        <v>250</v>
      </c>
    </row>
    <row r="28134" spans="1:6" ht="12.75">
      <c r="A28134" s="2">
        <v>43875.622916666667</v>
      </c>
      <c r="B28134" t="str">
        <f>HYPERLINK("https://twitter.com/pai_stroberi","@pai_stroberi")</f>
        <v>@pai_stroberi</v>
      </c>
      <c r="C28134" t="s">
        <v>9123</v>
      </c>
      <c r="D28134">
        <v>196</v>
      </c>
      <c r="E28134">
        <v>0</v>
      </c>
      <c r="F28134">
        <v>128</v>
      </c>
    </row>
    <row r="28135" spans="1:6" ht="12.75">
      <c r="A28135" s="2">
        <v>43875.62290509259</v>
      </c>
      <c r="B28135" t="str">
        <f>HYPERLINK("https://twitter.com/bakmiayamenak","@bakmiayamenak")</f>
        <v>@bakmiayamenak</v>
      </c>
      <c r="C28135" t="s">
        <v>2137</v>
      </c>
      <c r="D28135">
        <v>99</v>
      </c>
      <c r="E28135">
        <v>0</v>
      </c>
      <c r="F28135">
        <v>244</v>
      </c>
    </row>
    <row r="28136" spans="1:6" ht="12.75">
      <c r="A28136" s="2">
        <v>43875.622789351852</v>
      </c>
      <c r="B28136" t="str">
        <f>HYPERLINK("https://twitter.com/hanselgretel0","@hanselgretel0")</f>
        <v>@hanselgretel0</v>
      </c>
      <c r="C28136" t="s">
        <v>12371</v>
      </c>
      <c r="D28136">
        <v>0</v>
      </c>
      <c r="E28136">
        <v>0</v>
      </c>
      <c r="F28136">
        <v>33</v>
      </c>
    </row>
    <row r="28137" spans="1:6" ht="12.75">
      <c r="A28137" s="2">
        <v>43875.622754629629</v>
      </c>
      <c r="B28137" t="str">
        <f>HYPERLINK("https://twitter.com/kixxxks","@kixxxks")</f>
        <v>@kixxxks</v>
      </c>
      <c r="C28137" t="s">
        <v>9962</v>
      </c>
      <c r="D28137">
        <v>29</v>
      </c>
      <c r="E28137">
        <v>0</v>
      </c>
      <c r="F28137">
        <v>10</v>
      </c>
    </row>
    <row r="28138" spans="1:6" ht="12.75">
      <c r="A28138" s="2">
        <v>43875.622743055559</v>
      </c>
      <c r="B28138" t="str">
        <f>HYPERLINK("https://twitter.com/Asep_Hidayat82","@Asep_Hidayat82")</f>
        <v>@Asep_Hidayat82</v>
      </c>
      <c r="C28138" t="s">
        <v>7478</v>
      </c>
      <c r="D28138">
        <v>137</v>
      </c>
      <c r="E28138">
        <v>0</v>
      </c>
      <c r="F28138">
        <v>95</v>
      </c>
    </row>
    <row r="28139" spans="1:6" ht="12.75">
      <c r="A28139" s="2">
        <v>43875.622719907406</v>
      </c>
      <c r="B28139" t="str">
        <f>HYPERLINK("https://twitter.com/Za3naB_DD_","@Za3naB_DD_")</f>
        <v>@Za3naB_DD_</v>
      </c>
      <c r="C28139" t="s">
        <v>12212</v>
      </c>
      <c r="D28139">
        <v>4</v>
      </c>
      <c r="E28139">
        <v>0</v>
      </c>
      <c r="F28139">
        <v>1392</v>
      </c>
    </row>
    <row r="28140" spans="1:6" ht="12.75">
      <c r="A28140" s="2">
        <v>43875.62263888889</v>
      </c>
      <c r="B28140" t="str">
        <f>HYPERLINK("https://twitter.com/MulyaOutlook","@MulyaOutlook")</f>
        <v>@MulyaOutlook</v>
      </c>
      <c r="C28140" t="s">
        <v>9746</v>
      </c>
      <c r="D28140">
        <v>180</v>
      </c>
      <c r="E28140">
        <v>0</v>
      </c>
      <c r="F28140">
        <v>304</v>
      </c>
    </row>
    <row r="28141" spans="1:6" ht="12.75">
      <c r="A28141" s="2">
        <v>43875.622627314813</v>
      </c>
      <c r="B28141" t="str">
        <f>HYPERLINK("https://twitter.com/aldipu","@aldipu")</f>
        <v>@aldipu</v>
      </c>
      <c r="C28141" t="s">
        <v>7478</v>
      </c>
      <c r="D28141">
        <v>137</v>
      </c>
      <c r="E28141">
        <v>0</v>
      </c>
      <c r="F28141">
        <v>536</v>
      </c>
    </row>
    <row r="28142" spans="1:6" ht="12.75">
      <c r="A28142" s="2">
        <v>43875.622418981482</v>
      </c>
      <c r="B28142" t="str">
        <f>HYPERLINK("https://twitter.com/sogolisme_","@sogolisme_")</f>
        <v>@sogolisme_</v>
      </c>
      <c r="C28142" t="s">
        <v>9123</v>
      </c>
      <c r="D28142">
        <v>196</v>
      </c>
      <c r="E28142">
        <v>0</v>
      </c>
      <c r="F28142">
        <v>104</v>
      </c>
    </row>
    <row r="28143" spans="1:6" ht="12.75">
      <c r="A28143" s="2">
        <v>43875.622175925921</v>
      </c>
      <c r="B28143" t="str">
        <f>HYPERLINK("https://twitter.com/bilpen","@bilpen")</f>
        <v>@bilpen</v>
      </c>
      <c r="C28143" t="s">
        <v>175</v>
      </c>
      <c r="D28143">
        <v>5277</v>
      </c>
      <c r="E28143">
        <v>0</v>
      </c>
      <c r="F28143">
        <v>216</v>
      </c>
    </row>
    <row r="28144" spans="1:6" ht="12.75">
      <c r="A28144" s="2">
        <v>43875.622152777782</v>
      </c>
      <c r="B28144" t="str">
        <f>HYPERLINK("https://twitter.com/assedoslowaee","@assedoslowaee")</f>
        <v>@assedoslowaee</v>
      </c>
      <c r="C28144" t="s">
        <v>2963</v>
      </c>
      <c r="D28144">
        <v>871</v>
      </c>
      <c r="E28144">
        <v>0</v>
      </c>
      <c r="F28144">
        <v>319</v>
      </c>
    </row>
    <row r="28145" spans="1:6" ht="12.75">
      <c r="A28145" s="2">
        <v>43875.622152777782</v>
      </c>
      <c r="B28145" t="str">
        <f>HYPERLINK("https://twitter.com/Yhanajie","@Yhanajie")</f>
        <v>@Yhanajie</v>
      </c>
      <c r="C28145" t="s">
        <v>7478</v>
      </c>
      <c r="D28145">
        <v>137</v>
      </c>
      <c r="E28145">
        <v>0</v>
      </c>
      <c r="F28145">
        <v>73</v>
      </c>
    </row>
    <row r="28146" spans="1:6" ht="12.75">
      <c r="A28146" s="2">
        <v>43875.622118055559</v>
      </c>
      <c r="B28146" t="str">
        <f>HYPERLINK("https://twitter.com/insanmedika_id","@insanmedika_id")</f>
        <v>@insanmedika_id</v>
      </c>
      <c r="C28146" t="s">
        <v>12372</v>
      </c>
      <c r="D28146">
        <v>0</v>
      </c>
      <c r="E28146">
        <v>1</v>
      </c>
      <c r="F28146">
        <v>502</v>
      </c>
    </row>
    <row r="28147" spans="1:6" ht="12.75">
      <c r="A28147" s="2">
        <v>43875.622106481482</v>
      </c>
      <c r="B28147" t="str">
        <f>HYPERLINK("https://twitter.com/monicania","@monicania")</f>
        <v>@monicania</v>
      </c>
      <c r="C28147" t="s">
        <v>2444</v>
      </c>
      <c r="D28147">
        <v>1239</v>
      </c>
      <c r="E28147">
        <v>0</v>
      </c>
      <c r="F28147">
        <v>806</v>
      </c>
    </row>
    <row r="28148" spans="1:6" ht="12.75">
      <c r="A28148" s="2">
        <v>43875.622071759259</v>
      </c>
      <c r="B28148" t="str">
        <f>HYPERLINK("https://twitter.com/Dicky_fa","@Dicky_fa")</f>
        <v>@Dicky_fa</v>
      </c>
      <c r="C28148" t="s">
        <v>2444</v>
      </c>
      <c r="D28148">
        <v>1239</v>
      </c>
      <c r="E28148">
        <v>0</v>
      </c>
      <c r="F28148">
        <v>449</v>
      </c>
    </row>
    <row r="28149" spans="1:6" ht="12.75">
      <c r="A28149" s="2">
        <v>43875.622013888889</v>
      </c>
      <c r="B28149" t="str">
        <f>HYPERLINK("https://twitter.com/GESREK_KLUB","@GESREK_KLUB")</f>
        <v>@GESREK_KLUB</v>
      </c>
      <c r="C28149" t="s">
        <v>2444</v>
      </c>
      <c r="D28149">
        <v>1239</v>
      </c>
      <c r="E28149">
        <v>0</v>
      </c>
      <c r="F28149">
        <v>99</v>
      </c>
    </row>
    <row r="28150" spans="1:6" ht="12.75">
      <c r="A28150" s="2">
        <v>43875.621874999997</v>
      </c>
      <c r="B28150" t="str">
        <f>HYPERLINK("https://twitter.com/TrioMacari2000","@TrioMacari2000")</f>
        <v>@TrioMacari2000</v>
      </c>
      <c r="C28150" t="s">
        <v>9746</v>
      </c>
      <c r="D28150">
        <v>180</v>
      </c>
      <c r="E28150">
        <v>0</v>
      </c>
      <c r="F28150">
        <v>6503</v>
      </c>
    </row>
    <row r="28151" spans="1:6" ht="12.75">
      <c r="A28151" s="2">
        <v>43875.621759259258</v>
      </c>
      <c r="B28151" t="str">
        <f>HYPERLINK("https://twitter.com/LokadataID","@LokadataID")</f>
        <v>@LokadataID</v>
      </c>
      <c r="C28151" t="s">
        <v>12373</v>
      </c>
      <c r="D28151">
        <v>0</v>
      </c>
      <c r="E28151">
        <v>0</v>
      </c>
      <c r="F28151">
        <v>512708</v>
      </c>
    </row>
    <row r="28152" spans="1:6" ht="12.75">
      <c r="A28152" s="2">
        <v>43875.621759259258</v>
      </c>
      <c r="B28152" t="str">
        <f>HYPERLINK("https://twitter.com/medcom_id","@medcom_id")</f>
        <v>@medcom_id</v>
      </c>
      <c r="C28152" t="s">
        <v>12374</v>
      </c>
      <c r="D28152">
        <v>0</v>
      </c>
      <c r="E28152">
        <v>0</v>
      </c>
      <c r="F28152">
        <v>18112</v>
      </c>
    </row>
    <row r="28153" spans="1:6" ht="12.75">
      <c r="A28153" s="2">
        <v>43875.621631944443</v>
      </c>
      <c r="B28153" t="str">
        <f>HYPERLINK("https://twitter.com/Windy_Cristila","@Windy_Cristila")</f>
        <v>@Windy_Cristila</v>
      </c>
      <c r="C28153" t="s">
        <v>2444</v>
      </c>
      <c r="D28153">
        <v>1239</v>
      </c>
      <c r="E28153">
        <v>0</v>
      </c>
      <c r="F28153">
        <v>379</v>
      </c>
    </row>
    <row r="28154" spans="1:6" ht="12.75">
      <c r="A28154" s="2">
        <v>43875.621631944443</v>
      </c>
      <c r="B28154" t="str">
        <f>HYPERLINK("https://twitter.com/inilahdotcom","@inilahdotcom")</f>
        <v>@inilahdotcom</v>
      </c>
      <c r="C28154" t="s">
        <v>12375</v>
      </c>
      <c r="D28154">
        <v>0</v>
      </c>
      <c r="E28154">
        <v>0</v>
      </c>
      <c r="F28154">
        <v>367308</v>
      </c>
    </row>
    <row r="28155" spans="1:6" ht="12.75">
      <c r="A28155" s="2">
        <v>43875.621608796297</v>
      </c>
      <c r="B28155" t="str">
        <f>HYPERLINK("https://twitter.com/fx_leoneuler","@fx_leoneuler")</f>
        <v>@fx_leoneuler</v>
      </c>
      <c r="C28155" t="s">
        <v>2963</v>
      </c>
      <c r="D28155">
        <v>871</v>
      </c>
      <c r="E28155">
        <v>0</v>
      </c>
      <c r="F28155">
        <v>373</v>
      </c>
    </row>
    <row r="28156" spans="1:6" ht="12.75">
      <c r="A28156" s="2">
        <v>43875.621597222227</v>
      </c>
      <c r="B28156" t="str">
        <f>HYPERLINK("https://twitter.com/ahmadleofaisal","@ahmadleofaisal")</f>
        <v>@ahmadleofaisal</v>
      </c>
      <c r="C28156" t="s">
        <v>12376</v>
      </c>
      <c r="D28156">
        <v>0</v>
      </c>
      <c r="E28156">
        <v>0</v>
      </c>
      <c r="F28156">
        <v>22</v>
      </c>
    </row>
    <row r="28157" spans="1:6" ht="12.75">
      <c r="A28157" s="2">
        <v>43875.621539351851</v>
      </c>
      <c r="B28157" t="str">
        <f>HYPERLINK("https://twitter.com/malennnn_","@malennnn_")</f>
        <v>@malennnn_</v>
      </c>
      <c r="C28157" t="s">
        <v>12377</v>
      </c>
      <c r="D28157">
        <v>9</v>
      </c>
      <c r="E28157">
        <v>0</v>
      </c>
      <c r="F28157">
        <v>368</v>
      </c>
    </row>
    <row r="28158" spans="1:6" ht="12.75">
      <c r="A28158" s="2">
        <v>43875.621539351851</v>
      </c>
      <c r="B28158" t="str">
        <f>HYPERLINK("https://twitter.com/SemarakNews","@SemarakNews")</f>
        <v>@SemarakNews</v>
      </c>
      <c r="C28158" t="s">
        <v>12378</v>
      </c>
      <c r="D28158">
        <v>0</v>
      </c>
      <c r="E28158">
        <v>0</v>
      </c>
      <c r="F28158">
        <v>64</v>
      </c>
    </row>
    <row r="28159" spans="1:6" ht="12.75">
      <c r="A28159" s="2">
        <v>43875.621481481481</v>
      </c>
      <c r="B28159" t="str">
        <f>HYPERLINK("https://twitter.com/times_idn","@times_idn")</f>
        <v>@times_idn</v>
      </c>
      <c r="C28159" t="s">
        <v>12379</v>
      </c>
      <c r="D28159">
        <v>0</v>
      </c>
      <c r="E28159">
        <v>0</v>
      </c>
      <c r="F28159">
        <v>757</v>
      </c>
    </row>
    <row r="28160" spans="1:6" ht="12.75">
      <c r="A28160" s="2">
        <v>43875.621458333335</v>
      </c>
      <c r="B28160" t="str">
        <f>HYPERLINK("https://twitter.com/safxsky","@safxsky")</f>
        <v>@safxsky</v>
      </c>
      <c r="C28160" t="s">
        <v>12318</v>
      </c>
      <c r="D28160">
        <v>21</v>
      </c>
      <c r="E28160">
        <v>0</v>
      </c>
      <c r="F28160">
        <v>102</v>
      </c>
    </row>
    <row r="28161" spans="1:6" ht="12.75">
      <c r="A28161" s="2">
        <v>43875.621446759258</v>
      </c>
      <c r="B28161" t="str">
        <f>HYPERLINK("https://twitter.com/Windy_Cristila","@Windy_Cristila")</f>
        <v>@Windy_Cristila</v>
      </c>
      <c r="C28161" t="s">
        <v>9123</v>
      </c>
      <c r="D28161">
        <v>196</v>
      </c>
      <c r="E28161">
        <v>0</v>
      </c>
      <c r="F28161">
        <v>379</v>
      </c>
    </row>
    <row r="28162" spans="1:6" ht="12.75">
      <c r="A28162" s="2">
        <v>43875.621435185181</v>
      </c>
      <c r="B28162" t="str">
        <f>HYPERLINK("https://twitter.com/haruyataby","@haruyataby")</f>
        <v>@haruyataby</v>
      </c>
      <c r="C28162" t="s">
        <v>2444</v>
      </c>
      <c r="D28162">
        <v>1239</v>
      </c>
      <c r="E28162">
        <v>0</v>
      </c>
      <c r="F28162">
        <v>1429</v>
      </c>
    </row>
    <row r="28163" spans="1:6" ht="12.75">
      <c r="A28163" s="2">
        <v>43875.621423611112</v>
      </c>
      <c r="B28163" t="str">
        <f>HYPERLINK("https://twitter.com/aaraalimah","@aaraalimah")</f>
        <v>@aaraalimah</v>
      </c>
      <c r="C28163" t="s">
        <v>12380</v>
      </c>
      <c r="D28163">
        <v>48</v>
      </c>
      <c r="E28163">
        <v>0</v>
      </c>
      <c r="F28163">
        <v>1914</v>
      </c>
    </row>
    <row r="28164" spans="1:6" ht="12.75">
      <c r="A28164" s="2">
        <v>43875.621354166666</v>
      </c>
      <c r="B28164" t="str">
        <f>HYPERLINK("https://twitter.com/IhsanRizki_48","@IhsanRizki_48")</f>
        <v>@IhsanRizki_48</v>
      </c>
      <c r="C28164" t="s">
        <v>10710</v>
      </c>
      <c r="D28164">
        <v>20</v>
      </c>
      <c r="E28164">
        <v>0</v>
      </c>
      <c r="F28164">
        <v>608</v>
      </c>
    </row>
    <row r="28165" spans="1:6" ht="12.75">
      <c r="A28165" s="2">
        <v>43875.621342592596</v>
      </c>
      <c r="B28165" t="str">
        <f>HYPERLINK("https://twitter.com/masmugialba","@masmugialba")</f>
        <v>@masmugialba</v>
      </c>
      <c r="C28165" t="s">
        <v>12293</v>
      </c>
      <c r="D28165">
        <v>60</v>
      </c>
      <c r="E28165">
        <v>0</v>
      </c>
      <c r="F28165">
        <v>896</v>
      </c>
    </row>
    <row r="28166" spans="1:6" ht="12.75">
      <c r="A28166" s="2">
        <v>43875.621331018519</v>
      </c>
      <c r="B28166" t="str">
        <f>HYPERLINK("https://twitter.com/kholil62","@kholil62")</f>
        <v>@kholil62</v>
      </c>
      <c r="C28166" t="s">
        <v>7478</v>
      </c>
      <c r="D28166">
        <v>137</v>
      </c>
      <c r="E28166">
        <v>0</v>
      </c>
      <c r="F28166">
        <v>678</v>
      </c>
    </row>
    <row r="28167" spans="1:6" ht="12.75">
      <c r="A28167" s="2">
        <v>43875.621307870373</v>
      </c>
      <c r="B28167" t="str">
        <f>HYPERLINK("https://twitter.com/sayliamytr","@sayliamytr")</f>
        <v>@sayliamytr</v>
      </c>
      <c r="C28167" t="s">
        <v>2137</v>
      </c>
      <c r="D28167">
        <v>99</v>
      </c>
      <c r="E28167">
        <v>0</v>
      </c>
      <c r="F28167">
        <v>851</v>
      </c>
    </row>
    <row r="28168" spans="1:6" ht="12.75">
      <c r="A28168" s="2">
        <v>43875.62127314815</v>
      </c>
      <c r="B28168" t="str">
        <f>HYPERLINK("https://twitter.com/aaraalimah","@aaraalimah")</f>
        <v>@aaraalimah</v>
      </c>
      <c r="C28168" t="s">
        <v>12381</v>
      </c>
      <c r="D28168">
        <v>23</v>
      </c>
      <c r="E28168">
        <v>0</v>
      </c>
      <c r="F28168">
        <v>1914</v>
      </c>
    </row>
    <row r="28169" spans="1:6" ht="12.75">
      <c r="A28169" s="2">
        <v>43875.621249999997</v>
      </c>
      <c r="B28169" t="str">
        <f>HYPERLINK("https://twitter.com/dongkimyeon","@dongkimyeon")</f>
        <v>@dongkimyeon</v>
      </c>
      <c r="C28169" t="s">
        <v>9123</v>
      </c>
      <c r="D28169">
        <v>196</v>
      </c>
      <c r="E28169">
        <v>0</v>
      </c>
      <c r="F28169">
        <v>27</v>
      </c>
    </row>
    <row r="28170" spans="1:6" ht="12.75">
      <c r="A28170" s="2">
        <v>43875.621215277773</v>
      </c>
      <c r="B28170" t="str">
        <f>HYPERLINK("https://twitter.com/BudiNafa","@BudiNafa")</f>
        <v>@BudiNafa</v>
      </c>
      <c r="C28170" t="s">
        <v>7478</v>
      </c>
      <c r="D28170">
        <v>137</v>
      </c>
      <c r="E28170">
        <v>0</v>
      </c>
      <c r="F28170">
        <v>217</v>
      </c>
    </row>
    <row r="28171" spans="1:6" ht="12.75">
      <c r="A28171" s="2">
        <v>43875.621134259258</v>
      </c>
      <c r="B28171" t="str">
        <f t="shared" ref="B28171:B28172" si="368">HYPERLINK("https://twitter.com/kjrijohorbahru","@kjrijohorbahru")</f>
        <v>@kjrijohorbahru</v>
      </c>
      <c r="C28171" t="s">
        <v>12382</v>
      </c>
      <c r="D28171">
        <v>0</v>
      </c>
      <c r="E28171">
        <v>0</v>
      </c>
      <c r="F28171">
        <v>643</v>
      </c>
    </row>
    <row r="28172" spans="1:6" ht="12.75">
      <c r="A28172" s="2">
        <v>43875.621134259258</v>
      </c>
      <c r="B28172" t="str">
        <f t="shared" si="368"/>
        <v>@kjrijohorbahru</v>
      </c>
      <c r="C28172" t="s">
        <v>12383</v>
      </c>
      <c r="D28172">
        <v>0</v>
      </c>
      <c r="E28172">
        <v>0</v>
      </c>
      <c r="F28172">
        <v>643</v>
      </c>
    </row>
    <row r="28173" spans="1:6" ht="12.75">
      <c r="A28173" s="2">
        <v>43875.621111111112</v>
      </c>
      <c r="B28173" t="str">
        <f>HYPERLINK("https://twitter.com/daffodil_chan","@daffodil_chan")</f>
        <v>@daffodil_chan</v>
      </c>
      <c r="C28173" t="s">
        <v>2444</v>
      </c>
      <c r="D28173">
        <v>1239</v>
      </c>
      <c r="E28173">
        <v>0</v>
      </c>
      <c r="F28173">
        <v>74</v>
      </c>
    </row>
    <row r="28174" spans="1:6" ht="12.75">
      <c r="A28174" s="2">
        <v>43875.621018518519</v>
      </c>
      <c r="B28174" t="str">
        <f>HYPERLINK("https://twitter.com/mofirad","@mofirad")</f>
        <v>@mofirad</v>
      </c>
      <c r="C28174" t="s">
        <v>9746</v>
      </c>
      <c r="D28174">
        <v>180</v>
      </c>
      <c r="E28174">
        <v>0</v>
      </c>
      <c r="F28174">
        <v>404</v>
      </c>
    </row>
    <row r="28175" spans="1:6" ht="12.75">
      <c r="A28175" s="2">
        <v>43875.620995370366</v>
      </c>
      <c r="B28175" t="str">
        <f>HYPERLINK("https://twitter.com/idpenamini","@idpenamini")</f>
        <v>@idpenamini</v>
      </c>
      <c r="C28175" t="s">
        <v>12384</v>
      </c>
      <c r="D28175">
        <v>0</v>
      </c>
      <c r="E28175">
        <v>0</v>
      </c>
      <c r="F28175">
        <v>168</v>
      </c>
    </row>
    <row r="28176" spans="1:6" ht="12.75">
      <c r="A28176" s="2">
        <v>43875.620925925927</v>
      </c>
      <c r="B28176" t="str">
        <f>HYPERLINK("https://twitter.com/dusrimulya","@dusrimulya")</f>
        <v>@dusrimulya</v>
      </c>
      <c r="C28176" t="s">
        <v>12385</v>
      </c>
      <c r="D28176">
        <v>2</v>
      </c>
      <c r="E28176">
        <v>2</v>
      </c>
      <c r="F28176">
        <v>22305</v>
      </c>
    </row>
    <row r="28177" spans="1:6" ht="12.75">
      <c r="A28177" s="2">
        <v>43875.620925925927</v>
      </c>
      <c r="B28177" t="str">
        <f>HYPERLINK("https://twitter.com/PasukanKunang2","@PasukanKunang2")</f>
        <v>@PasukanKunang2</v>
      </c>
      <c r="C28177" t="s">
        <v>9123</v>
      </c>
      <c r="D28177">
        <v>196</v>
      </c>
      <c r="E28177">
        <v>0</v>
      </c>
      <c r="F28177">
        <v>38</v>
      </c>
    </row>
    <row r="28178" spans="1:6" ht="12.75">
      <c r="A28178" s="2">
        <v>43875.620891203704</v>
      </c>
      <c r="B28178" t="str">
        <f>HYPERLINK("https://twitter.com/tempodotco","@tempodotco")</f>
        <v>@tempodotco</v>
      </c>
      <c r="C28178" t="s">
        <v>12318</v>
      </c>
      <c r="D28178">
        <v>21</v>
      </c>
      <c r="E28178">
        <v>0</v>
      </c>
      <c r="F28178">
        <v>1702322</v>
      </c>
    </row>
    <row r="28179" spans="1:6" ht="12.75">
      <c r="A28179" s="2">
        <v>43875.620856481481</v>
      </c>
      <c r="B28179" t="str">
        <f>HYPERLINK("https://twitter.com/imamb22","@imamb22")</f>
        <v>@imamb22</v>
      </c>
      <c r="C28179" t="s">
        <v>2444</v>
      </c>
      <c r="D28179">
        <v>1239</v>
      </c>
      <c r="E28179">
        <v>0</v>
      </c>
      <c r="F28179">
        <v>109</v>
      </c>
    </row>
    <row r="28180" spans="1:6" ht="12.75">
      <c r="A28180" s="2">
        <v>43875.620821759258</v>
      </c>
      <c r="B28180" t="str">
        <f>HYPERLINK("https://twitter.com/afterdinner7pm","@afterdinner7pm")</f>
        <v>@afterdinner7pm</v>
      </c>
      <c r="C28180" t="s">
        <v>12386</v>
      </c>
      <c r="D28180">
        <v>0</v>
      </c>
      <c r="E28180">
        <v>0</v>
      </c>
      <c r="F28180">
        <v>673</v>
      </c>
    </row>
    <row r="28181" spans="1:6" ht="12.75">
      <c r="A28181" s="2">
        <v>43875.620775462958</v>
      </c>
      <c r="B28181" t="str">
        <f>HYPERLINK("https://twitter.com/Jangansombong09","@Jangansombong09")</f>
        <v>@Jangansombong09</v>
      </c>
      <c r="C28181" t="s">
        <v>9123</v>
      </c>
      <c r="D28181">
        <v>196</v>
      </c>
      <c r="E28181">
        <v>0</v>
      </c>
      <c r="F28181">
        <v>412</v>
      </c>
    </row>
    <row r="28182" spans="1:6" ht="12.75">
      <c r="A28182" s="2">
        <v>43875.620636574073</v>
      </c>
      <c r="B28182" t="str">
        <f>HYPERLINK("https://twitter.com/stzzhns","@stzzhns")</f>
        <v>@stzzhns</v>
      </c>
      <c r="C28182" t="s">
        <v>2444</v>
      </c>
      <c r="D28182">
        <v>1239</v>
      </c>
      <c r="E28182">
        <v>0</v>
      </c>
      <c r="F28182">
        <v>174</v>
      </c>
    </row>
    <row r="28183" spans="1:6" ht="12.75">
      <c r="A28183" s="2">
        <v>43875.620567129634</v>
      </c>
      <c r="B28183" t="str">
        <f>HYPERLINK("https://twitter.com/mrivaip","@mrivaip")</f>
        <v>@mrivaip</v>
      </c>
      <c r="C28183" t="s">
        <v>2444</v>
      </c>
      <c r="D28183">
        <v>1239</v>
      </c>
      <c r="E28183">
        <v>0</v>
      </c>
      <c r="F28183">
        <v>45</v>
      </c>
    </row>
    <row r="28184" spans="1:6" ht="12.75">
      <c r="A28184" s="2">
        <v>43875.620567129634</v>
      </c>
      <c r="B28184" t="str">
        <f>HYPERLINK("https://twitter.com/sashaaniaa_","@sashaaniaa_")</f>
        <v>@sashaaniaa_</v>
      </c>
      <c r="C28184" t="s">
        <v>2444</v>
      </c>
      <c r="D28184">
        <v>1239</v>
      </c>
      <c r="E28184">
        <v>0</v>
      </c>
      <c r="F28184">
        <v>2071</v>
      </c>
    </row>
    <row r="28185" spans="1:6" ht="12.75">
      <c r="A28185" s="2">
        <v>43875.620532407411</v>
      </c>
      <c r="B28185" t="str">
        <f>HYPERLINK("https://twitter.com/stormerzz","@stormerzz")</f>
        <v>@stormerzz</v>
      </c>
      <c r="C28185" t="s">
        <v>2444</v>
      </c>
      <c r="D28185">
        <v>1239</v>
      </c>
      <c r="E28185">
        <v>0</v>
      </c>
      <c r="F28185">
        <v>474</v>
      </c>
    </row>
    <row r="28186" spans="1:6" ht="12.75">
      <c r="A28186" s="2">
        <v>43875.620497685188</v>
      </c>
      <c r="B28186" t="str">
        <f>HYPERLINK("https://twitter.com/tahaqm","@tahaqm")</f>
        <v>@tahaqm</v>
      </c>
      <c r="C28186" t="s">
        <v>5168</v>
      </c>
      <c r="D28186">
        <v>693</v>
      </c>
      <c r="E28186">
        <v>0</v>
      </c>
      <c r="F28186">
        <v>215</v>
      </c>
    </row>
    <row r="28187" spans="1:6" ht="12.75">
      <c r="A28187" s="2">
        <v>43875.620451388888</v>
      </c>
      <c r="B28187" t="str">
        <f>HYPERLINK("https://twitter.com/dr_meni","@dr_meni")</f>
        <v>@dr_meni</v>
      </c>
      <c r="C28187" t="s">
        <v>9746</v>
      </c>
      <c r="D28187">
        <v>180</v>
      </c>
      <c r="E28187">
        <v>0</v>
      </c>
      <c r="F28187">
        <v>243</v>
      </c>
    </row>
    <row r="28188" spans="1:6" ht="12.75">
      <c r="A28188" s="2">
        <v>43875.620439814811</v>
      </c>
      <c r="B28188" t="str">
        <f>HYPERLINK("https://twitter.com/NUGROS13","@NUGROS13")</f>
        <v>@NUGROS13</v>
      </c>
      <c r="C28188" t="s">
        <v>7478</v>
      </c>
      <c r="D28188">
        <v>137</v>
      </c>
      <c r="E28188">
        <v>0</v>
      </c>
      <c r="F28188">
        <v>819</v>
      </c>
    </row>
    <row r="28189" spans="1:6" ht="12.75">
      <c r="A28189" s="2">
        <v>43875.620358796295</v>
      </c>
      <c r="B28189" t="str">
        <f>HYPERLINK("https://twitter.com/hbdn32","@hbdn32")</f>
        <v>@hbdn32</v>
      </c>
      <c r="C28189" t="s">
        <v>9746</v>
      </c>
      <c r="D28189">
        <v>180</v>
      </c>
      <c r="E28189">
        <v>0</v>
      </c>
      <c r="F28189">
        <v>105</v>
      </c>
    </row>
    <row r="28190" spans="1:6" ht="12.75">
      <c r="A28190" s="2">
        <v>43875.620347222226</v>
      </c>
      <c r="B28190" t="str">
        <f>HYPERLINK("https://twitter.com/kasehsaulmouk","@kasehsaulmouk")</f>
        <v>@kasehsaulmouk</v>
      </c>
      <c r="C28190" t="s">
        <v>11330</v>
      </c>
      <c r="D28190">
        <v>113</v>
      </c>
      <c r="E28190">
        <v>0</v>
      </c>
      <c r="F28190">
        <v>3428</v>
      </c>
    </row>
    <row r="28191" spans="1:6" ht="12.75">
      <c r="A28191" s="2">
        <v>43875.620289351849</v>
      </c>
      <c r="B28191" t="str">
        <f>HYPERLINK("https://twitter.com/rinsocairpink","@rinsocairpink")</f>
        <v>@rinsocairpink</v>
      </c>
      <c r="C28191" t="s">
        <v>5624</v>
      </c>
      <c r="D28191">
        <v>118</v>
      </c>
      <c r="E28191">
        <v>0</v>
      </c>
      <c r="F28191">
        <v>2</v>
      </c>
    </row>
    <row r="28192" spans="1:6" ht="12.75">
      <c r="A28192" s="2">
        <v>43875.620266203703</v>
      </c>
      <c r="B28192" t="str">
        <f>HYPERLINK("https://twitter.com/akhmadriyadi03","@akhmadriyadi03")</f>
        <v>@akhmadriyadi03</v>
      </c>
      <c r="C28192" t="s">
        <v>9732</v>
      </c>
      <c r="D28192">
        <v>53</v>
      </c>
      <c r="E28192">
        <v>0</v>
      </c>
      <c r="F28192">
        <v>103</v>
      </c>
    </row>
    <row r="28193" spans="1:6" ht="12.75">
      <c r="A28193" s="2">
        <v>43875.62018518518</v>
      </c>
      <c r="B28193" t="str">
        <f>HYPERLINK("https://twitter.com/mark_susanto","@mark_susanto")</f>
        <v>@mark_susanto</v>
      </c>
      <c r="C28193" t="s">
        <v>5168</v>
      </c>
      <c r="D28193">
        <v>693</v>
      </c>
      <c r="E28193">
        <v>0</v>
      </c>
      <c r="F28193">
        <v>449</v>
      </c>
    </row>
    <row r="28194" spans="1:6" ht="12.75">
      <c r="A28194" s="2">
        <v>43875.62018518518</v>
      </c>
      <c r="B28194" t="str">
        <f>HYPERLINK("https://twitter.com/Eyesnoselips3","@Eyesnoselips3")</f>
        <v>@Eyesnoselips3</v>
      </c>
      <c r="C28194" t="s">
        <v>5168</v>
      </c>
      <c r="D28194">
        <v>693</v>
      </c>
      <c r="E28194">
        <v>0</v>
      </c>
      <c r="F28194">
        <v>4</v>
      </c>
    </row>
    <row r="28195" spans="1:6" ht="12.75">
      <c r="A28195" s="2">
        <v>43875.620162037041</v>
      </c>
      <c r="B28195" t="str">
        <f>HYPERLINK("https://twitter.com/Rido_Lizze","@Rido_Lizze")</f>
        <v>@Rido_Lizze</v>
      </c>
      <c r="C28195" t="s">
        <v>12387</v>
      </c>
      <c r="D28195">
        <v>0</v>
      </c>
      <c r="E28195">
        <v>0</v>
      </c>
      <c r="F28195">
        <v>1303</v>
      </c>
    </row>
    <row r="28196" spans="1:6" ht="12.75">
      <c r="A28196" s="2">
        <v>43875.620046296295</v>
      </c>
      <c r="B28196" t="str">
        <f>HYPERLINK("https://twitter.com/555masteng","@555masteng")</f>
        <v>@555masteng</v>
      </c>
      <c r="C28196" t="s">
        <v>11580</v>
      </c>
      <c r="D28196">
        <v>30</v>
      </c>
      <c r="E28196">
        <v>0</v>
      </c>
      <c r="F28196">
        <v>5197</v>
      </c>
    </row>
    <row r="28197" spans="1:6" ht="12.75">
      <c r="A28197" s="2">
        <v>43875.619999999995</v>
      </c>
      <c r="B28197" t="str">
        <f>HYPERLINK("https://twitter.com/zakirifz","@zakirifz")</f>
        <v>@zakirifz</v>
      </c>
      <c r="C28197" t="s">
        <v>2444</v>
      </c>
      <c r="D28197">
        <v>1239</v>
      </c>
      <c r="E28197">
        <v>0</v>
      </c>
      <c r="F28197">
        <v>115</v>
      </c>
    </row>
    <row r="28198" spans="1:6" ht="12.75">
      <c r="A28198" s="2">
        <v>43875.61996527778</v>
      </c>
      <c r="B28198" t="str">
        <f>HYPERLINK("https://twitter.com/DarijFarah","@DarijFarah")</f>
        <v>@DarijFarah</v>
      </c>
      <c r="C28198" t="s">
        <v>9147</v>
      </c>
      <c r="D28198">
        <v>15</v>
      </c>
      <c r="E28198">
        <v>0</v>
      </c>
      <c r="F28198">
        <v>3110</v>
      </c>
    </row>
    <row r="28199" spans="1:6" ht="12.75">
      <c r="A28199" s="2">
        <v>43875.61990740741</v>
      </c>
      <c r="B28199" t="str">
        <f>HYPERLINK("https://twitter.com/meitrina","@meitrina")</f>
        <v>@meitrina</v>
      </c>
      <c r="C28199" t="s">
        <v>5168</v>
      </c>
      <c r="D28199">
        <v>693</v>
      </c>
      <c r="E28199">
        <v>0</v>
      </c>
      <c r="F28199">
        <v>2061</v>
      </c>
    </row>
    <row r="28200" spans="1:6" ht="12.75">
      <c r="A28200" s="2">
        <v>43875.619895833333</v>
      </c>
      <c r="B28200" t="str">
        <f>HYPERLINK("https://twitter.com/Raden_aaam","@Raden_aaam")</f>
        <v>@Raden_aaam</v>
      </c>
      <c r="C28200" t="s">
        <v>12388</v>
      </c>
      <c r="D28200">
        <v>0</v>
      </c>
      <c r="E28200">
        <v>0</v>
      </c>
      <c r="F28200">
        <v>1924</v>
      </c>
    </row>
    <row r="28201" spans="1:6" ht="12.75">
      <c r="A28201" s="2">
        <v>43875.619791666672</v>
      </c>
      <c r="B28201" t="str">
        <f>HYPERLINK("https://twitter.com/CallMeNayr","@CallMeNayr")</f>
        <v>@CallMeNayr</v>
      </c>
      <c r="C28201" t="s">
        <v>12389</v>
      </c>
      <c r="D28201">
        <v>0</v>
      </c>
      <c r="E28201">
        <v>0</v>
      </c>
      <c r="F28201">
        <v>287</v>
      </c>
    </row>
    <row r="28202" spans="1:6" ht="12.75">
      <c r="A28202" s="2">
        <v>43875.619768518518</v>
      </c>
      <c r="B28202" t="str">
        <f>HYPERLINK("https://twitter.com/tjenteng1","@tjenteng1")</f>
        <v>@tjenteng1</v>
      </c>
      <c r="C28202" t="s">
        <v>7478</v>
      </c>
      <c r="D28202">
        <v>137</v>
      </c>
      <c r="E28202">
        <v>0</v>
      </c>
      <c r="F28202">
        <v>0</v>
      </c>
    </row>
    <row r="28203" spans="1:6" ht="12.75">
      <c r="A28203" s="2">
        <v>43875.619652777779</v>
      </c>
      <c r="B28203" t="str">
        <f>HYPERLINK("https://twitter.com/dhimasahda","@dhimasahda")</f>
        <v>@dhimasahda</v>
      </c>
      <c r="C28203" t="s">
        <v>2137</v>
      </c>
      <c r="D28203">
        <v>99</v>
      </c>
      <c r="E28203">
        <v>0</v>
      </c>
      <c r="F28203">
        <v>80</v>
      </c>
    </row>
    <row r="28204" spans="1:6" ht="12.75">
      <c r="A28204" s="2">
        <v>43875.619629629626</v>
      </c>
      <c r="B28204" t="str">
        <f>HYPERLINK("https://twitter.com/Pay_06","@Pay_06")</f>
        <v>@Pay_06</v>
      </c>
      <c r="C28204" t="s">
        <v>2444</v>
      </c>
      <c r="D28204">
        <v>1239</v>
      </c>
      <c r="E28204">
        <v>0</v>
      </c>
      <c r="F28204">
        <v>588</v>
      </c>
    </row>
    <row r="28205" spans="1:6" ht="12.75">
      <c r="A28205" s="2">
        <v>43875.619513888887</v>
      </c>
      <c r="B28205" t="str">
        <f>HYPERLINK("https://twitter.com/hartanto_mas","@hartanto_mas")</f>
        <v>@hartanto_mas</v>
      </c>
      <c r="C28205" t="s">
        <v>12390</v>
      </c>
      <c r="D28205">
        <v>1</v>
      </c>
      <c r="E28205">
        <v>0</v>
      </c>
      <c r="F28205">
        <v>1046</v>
      </c>
    </row>
    <row r="28206" spans="1:6" ht="12.75">
      <c r="A28206" s="2">
        <v>43875.619502314818</v>
      </c>
      <c r="B28206" t="str">
        <f>HYPERLINK("https://twitter.com/nikitadarius101","@nikitadarius101")</f>
        <v>@nikitadarius101</v>
      </c>
      <c r="C28206" t="s">
        <v>2444</v>
      </c>
      <c r="D28206">
        <v>1239</v>
      </c>
      <c r="E28206">
        <v>0</v>
      </c>
      <c r="F28206">
        <v>181</v>
      </c>
    </row>
    <row r="28207" spans="1:6" ht="12.75">
      <c r="A28207" s="2">
        <v>43875.619502314818</v>
      </c>
      <c r="B28207" t="str">
        <f>HYPERLINK("https://twitter.com/IdaAyuMadeOkaA1","@IdaAyuMadeOkaA1")</f>
        <v>@IdaAyuMadeOkaA1</v>
      </c>
      <c r="C28207" t="s">
        <v>2963</v>
      </c>
      <c r="D28207">
        <v>871</v>
      </c>
      <c r="E28207">
        <v>0</v>
      </c>
      <c r="F28207">
        <v>235</v>
      </c>
    </row>
    <row r="28208" spans="1:6" ht="12.75">
      <c r="A28208" s="2">
        <v>43875.619432870371</v>
      </c>
      <c r="B28208" t="str">
        <f>HYPERLINK("https://twitter.com/bibanabila_","@bibanabila_")</f>
        <v>@bibanabila_</v>
      </c>
      <c r="C28208" t="s">
        <v>2444</v>
      </c>
      <c r="D28208">
        <v>1239</v>
      </c>
      <c r="E28208">
        <v>0</v>
      </c>
      <c r="F28208">
        <v>74</v>
      </c>
    </row>
    <row r="28209" spans="1:6" ht="12.75">
      <c r="A28209" s="2">
        <v>43875.619351851856</v>
      </c>
      <c r="B28209" t="str">
        <f>HYPERLINK("https://twitter.com/BebeTrianda","@BebeTrianda")</f>
        <v>@BebeTrianda</v>
      </c>
      <c r="C28209" t="s">
        <v>2963</v>
      </c>
      <c r="D28209">
        <v>871</v>
      </c>
      <c r="E28209">
        <v>0</v>
      </c>
      <c r="F28209">
        <v>547</v>
      </c>
    </row>
    <row r="28210" spans="1:6" ht="12.75">
      <c r="A28210" s="2">
        <v>43875.619328703702</v>
      </c>
      <c r="B28210" t="str">
        <f>HYPERLINK("https://twitter.com/Soly894","@Soly894")</f>
        <v>@Soly894</v>
      </c>
      <c r="C28210" t="s">
        <v>11536</v>
      </c>
      <c r="D28210">
        <v>0</v>
      </c>
      <c r="E28210">
        <v>0</v>
      </c>
      <c r="F28210">
        <v>366</v>
      </c>
    </row>
    <row r="28211" spans="1:6" ht="12.75">
      <c r="A28211" s="2">
        <v>43875.619328703702</v>
      </c>
      <c r="B28211" t="str">
        <f>HYPERLINK("https://twitter.com/nino_erbeth","@nino_erbeth")</f>
        <v>@nino_erbeth</v>
      </c>
      <c r="C28211" t="s">
        <v>2963</v>
      </c>
      <c r="D28211">
        <v>871</v>
      </c>
      <c r="E28211">
        <v>0</v>
      </c>
      <c r="F28211">
        <v>18</v>
      </c>
    </row>
    <row r="28212" spans="1:6" ht="12.75">
      <c r="A28212" s="2">
        <v>43875.619305555556</v>
      </c>
      <c r="B28212" t="str">
        <f>HYPERLINK("https://twitter.com/adri_surcen","@adri_surcen")</f>
        <v>@adri_surcen</v>
      </c>
      <c r="C28212" t="s">
        <v>5168</v>
      </c>
      <c r="D28212">
        <v>693</v>
      </c>
      <c r="E28212">
        <v>0</v>
      </c>
      <c r="F28212">
        <v>573</v>
      </c>
    </row>
    <row r="28213" spans="1:6" ht="12.75">
      <c r="A28213" s="2">
        <v>43875.619293981479</v>
      </c>
      <c r="B28213" t="str">
        <f>HYPERLINK("https://twitter.com/ba_ger91","@ba_ger91")</f>
        <v>@ba_ger91</v>
      </c>
      <c r="C28213" t="s">
        <v>12391</v>
      </c>
      <c r="D28213">
        <v>274</v>
      </c>
      <c r="E28213">
        <v>0</v>
      </c>
      <c r="F28213">
        <v>1672</v>
      </c>
    </row>
    <row r="28214" spans="1:6" ht="12.75">
      <c r="A28214" s="2">
        <v>43875.61918981481</v>
      </c>
      <c r="B28214" t="str">
        <f>HYPERLINK("https://twitter.com/try__Aisy4h","@try__Aisy4h")</f>
        <v>@try__Aisy4h</v>
      </c>
      <c r="C28214" t="s">
        <v>12212</v>
      </c>
      <c r="D28214">
        <v>4</v>
      </c>
      <c r="E28214">
        <v>0</v>
      </c>
      <c r="F28214">
        <v>910</v>
      </c>
    </row>
    <row r="28215" spans="1:6" ht="12.75">
      <c r="A28215" s="2">
        <v>43875.61918981481</v>
      </c>
      <c r="B28215" t="str">
        <f>HYPERLINK("https://twitter.com/Eyesnoselips3","@Eyesnoselips3")</f>
        <v>@Eyesnoselips3</v>
      </c>
      <c r="C28215" t="s">
        <v>2444</v>
      </c>
      <c r="D28215">
        <v>1239</v>
      </c>
      <c r="E28215">
        <v>0</v>
      </c>
      <c r="F28215">
        <v>4</v>
      </c>
    </row>
    <row r="28216" spans="1:6" ht="12.75">
      <c r="A28216" s="2">
        <v>43875.619050925925</v>
      </c>
      <c r="B28216" t="str">
        <f>HYPERLINK("https://twitter.com/jammy_shiba","@jammy_shiba")</f>
        <v>@jammy_shiba</v>
      </c>
      <c r="C28216" t="s">
        <v>12392</v>
      </c>
      <c r="D28216">
        <v>0</v>
      </c>
      <c r="E28216">
        <v>0</v>
      </c>
      <c r="F28216">
        <v>129</v>
      </c>
    </row>
    <row r="28217" spans="1:6" ht="12.75">
      <c r="A28217" s="2">
        <v>43875.618958333333</v>
      </c>
      <c r="B28217" t="str">
        <f>HYPERLINK("https://twitter.com/Namakuganti1","@Namakuganti1")</f>
        <v>@Namakuganti1</v>
      </c>
      <c r="C28217" t="s">
        <v>2444</v>
      </c>
      <c r="D28217">
        <v>1239</v>
      </c>
      <c r="E28217">
        <v>0</v>
      </c>
      <c r="F28217">
        <v>50</v>
      </c>
    </row>
    <row r="28218" spans="1:6" ht="12.75">
      <c r="A28218" s="2">
        <v>43875.618935185186</v>
      </c>
      <c r="B28218" t="str">
        <f>HYPERLINK("https://twitter.com/benkuswardhana","@benkuswardhana")</f>
        <v>@benkuswardhana</v>
      </c>
      <c r="C28218" t="s">
        <v>7478</v>
      </c>
      <c r="D28218">
        <v>137</v>
      </c>
      <c r="E28218">
        <v>0</v>
      </c>
      <c r="F28218">
        <v>44</v>
      </c>
    </row>
    <row r="28219" spans="1:6" ht="12.75">
      <c r="A28219" s="2">
        <v>43875.618900462963</v>
      </c>
      <c r="B28219" t="str">
        <f>HYPERLINK("https://twitter.com/HartantoZudi","@HartantoZudi")</f>
        <v>@HartantoZudi</v>
      </c>
      <c r="C28219" t="s">
        <v>12393</v>
      </c>
      <c r="D28219">
        <v>0</v>
      </c>
      <c r="E28219">
        <v>0</v>
      </c>
      <c r="F28219">
        <v>466</v>
      </c>
    </row>
    <row r="28220" spans="1:6" ht="12.75">
      <c r="A28220" s="2">
        <v>43875.618784722217</v>
      </c>
      <c r="B28220" t="str">
        <f>HYPERLINK("https://twitter.com/HernandoJunaidy","@HernandoJunaidy")</f>
        <v>@HernandoJunaidy</v>
      </c>
      <c r="C28220" t="s">
        <v>2444</v>
      </c>
      <c r="D28220">
        <v>1239</v>
      </c>
      <c r="E28220">
        <v>0</v>
      </c>
      <c r="F28220">
        <v>108</v>
      </c>
    </row>
    <row r="28221" spans="1:6" ht="12.75">
      <c r="A28221" s="2">
        <v>43875.618680555555</v>
      </c>
      <c r="B28221" t="str">
        <f>HYPERLINK("https://twitter.com/GateJannah","@GateJannah")</f>
        <v>@GateJannah</v>
      </c>
      <c r="C28221" t="s">
        <v>9538</v>
      </c>
      <c r="D28221">
        <v>134</v>
      </c>
      <c r="E28221">
        <v>0</v>
      </c>
      <c r="F28221">
        <v>784</v>
      </c>
    </row>
    <row r="28222" spans="1:6" ht="12.75">
      <c r="A28222" s="2">
        <v>43875.618599537032</v>
      </c>
      <c r="B28222" t="str">
        <f>HYPERLINK("https://twitter.com/nissarahhma","@nissarahhma")</f>
        <v>@nissarahhma</v>
      </c>
      <c r="C28222" t="s">
        <v>2444</v>
      </c>
      <c r="D28222">
        <v>1239</v>
      </c>
      <c r="E28222">
        <v>0</v>
      </c>
      <c r="F28222">
        <v>1655</v>
      </c>
    </row>
    <row r="28223" spans="1:6" ht="12.75">
      <c r="A28223" s="2">
        <v>43875.618564814809</v>
      </c>
      <c r="B28223" t="str">
        <f>HYPERLINK("https://twitter.com/nibras_masjelon","@nibras_masjelon")</f>
        <v>@nibras_masjelon</v>
      </c>
      <c r="C28223" t="s">
        <v>12394</v>
      </c>
      <c r="D28223">
        <v>0</v>
      </c>
      <c r="E28223">
        <v>0</v>
      </c>
      <c r="F28223">
        <v>30</v>
      </c>
    </row>
    <row r="28224" spans="1:6" ht="12.75">
      <c r="A28224" s="2">
        <v>43875.618564814809</v>
      </c>
      <c r="B28224" t="str">
        <f>HYPERLINK("https://twitter.com/braylungayu","@braylungayu")</f>
        <v>@braylungayu</v>
      </c>
      <c r="C28224" t="s">
        <v>12395</v>
      </c>
      <c r="D28224">
        <v>0</v>
      </c>
      <c r="E28224">
        <v>1</v>
      </c>
      <c r="F28224">
        <v>1025</v>
      </c>
    </row>
    <row r="28225" spans="1:6" ht="12.75">
      <c r="A28225" s="2">
        <v>43875.618564814809</v>
      </c>
      <c r="B28225" t="str">
        <f>HYPERLINK("https://twitter.com/Ari3Pras","@Ari3Pras")</f>
        <v>@Ari3Pras</v>
      </c>
      <c r="C28225" t="s">
        <v>2963</v>
      </c>
      <c r="D28225">
        <v>871</v>
      </c>
      <c r="E28225">
        <v>0</v>
      </c>
      <c r="F28225">
        <v>7294</v>
      </c>
    </row>
    <row r="28226" spans="1:6" ht="12.75">
      <c r="A28226" s="2">
        <v>43875.618437500001</v>
      </c>
      <c r="B28226" t="str">
        <f>HYPERLINK("https://twitter.com/tonobuwono","@tonobuwono")</f>
        <v>@tonobuwono</v>
      </c>
      <c r="C28226" t="s">
        <v>12396</v>
      </c>
      <c r="D28226">
        <v>0</v>
      </c>
      <c r="E28226">
        <v>0</v>
      </c>
      <c r="F28226">
        <v>15</v>
      </c>
    </row>
    <row r="28227" spans="1:6" ht="12.75">
      <c r="A28227" s="2">
        <v>43875.618437500001</v>
      </c>
      <c r="B28227" t="str">
        <f>HYPERLINK("https://twitter.com/Jangansombong09","@Jangansombong09")</f>
        <v>@Jangansombong09</v>
      </c>
      <c r="C28227" t="s">
        <v>2444</v>
      </c>
      <c r="D28227">
        <v>1239</v>
      </c>
      <c r="E28227">
        <v>0</v>
      </c>
      <c r="F28227">
        <v>412</v>
      </c>
    </row>
    <row r="28228" spans="1:6" ht="12.75">
      <c r="A28228" s="2">
        <v>43875.618402777778</v>
      </c>
      <c r="B28228" t="str">
        <f>HYPERLINK("https://twitter.com/himura89517038","@himura89517038")</f>
        <v>@himura89517038</v>
      </c>
      <c r="C28228" t="s">
        <v>7478</v>
      </c>
      <c r="D28228">
        <v>137</v>
      </c>
      <c r="E28228">
        <v>0</v>
      </c>
      <c r="F28228">
        <v>1661</v>
      </c>
    </row>
    <row r="28229" spans="1:6" ht="12.75">
      <c r="A28229" s="2">
        <v>43875.618368055555</v>
      </c>
      <c r="B28229" t="str">
        <f>HYPERLINK("https://twitter.com/gunandarr","@gunandarr")</f>
        <v>@gunandarr</v>
      </c>
      <c r="C28229" t="s">
        <v>2444</v>
      </c>
      <c r="D28229">
        <v>1239</v>
      </c>
      <c r="E28229">
        <v>0</v>
      </c>
      <c r="F28229">
        <v>648</v>
      </c>
    </row>
    <row r="28230" spans="1:6" ht="12.75">
      <c r="A28230" s="2">
        <v>43875.618252314816</v>
      </c>
      <c r="B28230" t="str">
        <f>HYPERLINK("https://twitter.com/baksBey","@baksBey")</f>
        <v>@baksBey</v>
      </c>
      <c r="C28230" t="s">
        <v>12397</v>
      </c>
      <c r="D28230">
        <v>0</v>
      </c>
      <c r="E28230">
        <v>0</v>
      </c>
      <c r="F28230">
        <v>91</v>
      </c>
    </row>
    <row r="28231" spans="1:6" ht="12.75">
      <c r="A28231" s="2">
        <v>43875.618229166663</v>
      </c>
      <c r="B28231" t="str">
        <f>HYPERLINK("https://twitter.com/fajri_arachman","@fajri_arachman")</f>
        <v>@fajri_arachman</v>
      </c>
      <c r="C28231" t="s">
        <v>5168</v>
      </c>
      <c r="D28231">
        <v>693</v>
      </c>
      <c r="E28231">
        <v>0</v>
      </c>
      <c r="F28231">
        <v>211</v>
      </c>
    </row>
    <row r="28232" spans="1:6" ht="12.75">
      <c r="A28232" s="2">
        <v>43875.618217592593</v>
      </c>
      <c r="B28232" t="str">
        <f>HYPERLINK("https://twitter.com/budakcapcinke1","@budakcapcinke1")</f>
        <v>@budakcapcinke1</v>
      </c>
      <c r="C28232" t="s">
        <v>5168</v>
      </c>
      <c r="D28232">
        <v>693</v>
      </c>
      <c r="E28232">
        <v>0</v>
      </c>
      <c r="F28232">
        <v>277</v>
      </c>
    </row>
    <row r="28233" spans="1:6" ht="12.75">
      <c r="A28233" s="2">
        <v>43875.618171296301</v>
      </c>
      <c r="B28233" t="str">
        <f>HYPERLINK("https://twitter.com/xoxoexact","@xoxoexact")</f>
        <v>@xoxoexact</v>
      </c>
      <c r="C28233" t="s">
        <v>2137</v>
      </c>
      <c r="D28233">
        <v>99</v>
      </c>
      <c r="E28233">
        <v>0</v>
      </c>
      <c r="F28233">
        <v>64</v>
      </c>
    </row>
    <row r="28234" spans="1:6" ht="12.75">
      <c r="A28234" s="2">
        <v>43875.618136574078</v>
      </c>
      <c r="B28234" t="str">
        <f>HYPERLINK("https://twitter.com/elangbc","@elangbc")</f>
        <v>@elangbc</v>
      </c>
      <c r="C28234" t="s">
        <v>11024</v>
      </c>
      <c r="D28234">
        <v>12</v>
      </c>
      <c r="E28234">
        <v>0</v>
      </c>
      <c r="F28234">
        <v>7956</v>
      </c>
    </row>
    <row r="28235" spans="1:6" ht="12.75">
      <c r="A28235" s="2">
        <v>43875.618125000001</v>
      </c>
      <c r="B28235" t="str">
        <f>HYPERLINK("https://twitter.com/Ladhifaa","@Ladhifaa")</f>
        <v>@Ladhifaa</v>
      </c>
      <c r="C28235" t="s">
        <v>12398</v>
      </c>
      <c r="D28235">
        <v>0</v>
      </c>
      <c r="E28235">
        <v>0</v>
      </c>
      <c r="F28235">
        <v>887</v>
      </c>
    </row>
    <row r="28236" spans="1:6" ht="12.75">
      <c r="A28236" s="2">
        <v>43875.618113425924</v>
      </c>
      <c r="B28236" t="str">
        <f>HYPERLINK("https://twitter.com/kompascom","@kompascom")</f>
        <v>@kompascom</v>
      </c>
      <c r="C28236" t="s">
        <v>12399</v>
      </c>
      <c r="D28236">
        <v>0</v>
      </c>
      <c r="E28236">
        <v>1</v>
      </c>
      <c r="F28236">
        <v>7497529</v>
      </c>
    </row>
    <row r="28237" spans="1:6" ht="12.75">
      <c r="A28237" s="2">
        <v>43875.618090277778</v>
      </c>
      <c r="B28237" t="str">
        <f>HYPERLINK("https://twitter.com/novi_ijoe","@novi_ijoe")</f>
        <v>@novi_ijoe</v>
      </c>
      <c r="C28237" t="s">
        <v>12400</v>
      </c>
      <c r="D28237">
        <v>0</v>
      </c>
      <c r="E28237">
        <v>0</v>
      </c>
      <c r="F28237">
        <v>113</v>
      </c>
    </row>
    <row r="28238" spans="1:6" ht="12.75">
      <c r="A28238" s="2">
        <v>43875.617986111116</v>
      </c>
      <c r="B28238" t="str">
        <f>HYPERLINK("https://twitter.com/Soly894","@Soly894")</f>
        <v>@Soly894</v>
      </c>
      <c r="C28238" t="s">
        <v>9123</v>
      </c>
      <c r="D28238">
        <v>196</v>
      </c>
      <c r="E28238">
        <v>0</v>
      </c>
      <c r="F28238">
        <v>366</v>
      </c>
    </row>
    <row r="28239" spans="1:6" ht="12.75">
      <c r="A28239" s="2">
        <v>43875.61791666667</v>
      </c>
      <c r="B28239" t="str">
        <f>HYPERLINK("https://twitter.com/Puteriswift_","@Puteriswift_")</f>
        <v>@Puteriswift_</v>
      </c>
      <c r="C28239" t="s">
        <v>12401</v>
      </c>
      <c r="D28239">
        <v>0</v>
      </c>
      <c r="E28239">
        <v>0</v>
      </c>
      <c r="F28239">
        <v>285</v>
      </c>
    </row>
    <row r="28240" spans="1:6" ht="12.75">
      <c r="A28240" s="2">
        <v>43875.617893518516</v>
      </c>
      <c r="B28240" t="str">
        <f>HYPERLINK("https://twitter.com/CallMeNayr","@CallMeNayr")</f>
        <v>@CallMeNayr</v>
      </c>
      <c r="C28240" t="s">
        <v>12402</v>
      </c>
      <c r="D28240">
        <v>0</v>
      </c>
      <c r="E28240">
        <v>0</v>
      </c>
      <c r="F28240">
        <v>287</v>
      </c>
    </row>
    <row r="28241" spans="1:6" ht="12.75">
      <c r="A28241" s="2">
        <v>43875.61787037037</v>
      </c>
      <c r="B28241" t="str">
        <f>HYPERLINK("https://twitter.com/sugafans_twt","@sugafans_twt")</f>
        <v>@sugafans_twt</v>
      </c>
      <c r="C28241" t="s">
        <v>12403</v>
      </c>
      <c r="D28241">
        <v>167</v>
      </c>
      <c r="E28241">
        <v>0</v>
      </c>
      <c r="F28241">
        <v>5</v>
      </c>
    </row>
    <row r="28242" spans="1:6" ht="12.75">
      <c r="A28242" s="2">
        <v>43875.617835648147</v>
      </c>
      <c r="B28242" t="str">
        <f>HYPERLINK("https://twitter.com/wahadasigit","@wahadasigit")</f>
        <v>@wahadasigit</v>
      </c>
      <c r="C28242" t="s">
        <v>12404</v>
      </c>
      <c r="D28242">
        <v>0</v>
      </c>
      <c r="E28242">
        <v>0</v>
      </c>
      <c r="F28242">
        <v>54</v>
      </c>
    </row>
    <row r="28243" spans="1:6" ht="12.75">
      <c r="A28243" s="2">
        <v>43875.617812500001</v>
      </c>
      <c r="B28243" t="str">
        <f>HYPERLINK("https://twitter.com/okezonenews","@okezonenews")</f>
        <v>@okezonenews</v>
      </c>
      <c r="C28243" t="s">
        <v>12405</v>
      </c>
      <c r="D28243">
        <v>0</v>
      </c>
      <c r="E28243">
        <v>2</v>
      </c>
      <c r="F28243">
        <v>1743740</v>
      </c>
    </row>
    <row r="28244" spans="1:6" ht="12.75">
      <c r="A28244" s="2">
        <v>43875.617719907408</v>
      </c>
      <c r="B28244" t="str">
        <f>HYPERLINK("https://twitter.com/SantaiAjaKek","@SantaiAjaKek")</f>
        <v>@SantaiAjaKek</v>
      </c>
      <c r="C28244" t="s">
        <v>10207</v>
      </c>
      <c r="D28244">
        <v>38</v>
      </c>
      <c r="E28244">
        <v>0</v>
      </c>
      <c r="F28244">
        <v>785</v>
      </c>
    </row>
    <row r="28245" spans="1:6" ht="12.75">
      <c r="A28245" s="2">
        <v>43875.617708333331</v>
      </c>
      <c r="B28245" t="str">
        <f>HYPERLINK("https://twitter.com/SDejama","@SDejama")</f>
        <v>@SDejama</v>
      </c>
      <c r="C28245" t="s">
        <v>12406</v>
      </c>
      <c r="D28245">
        <v>0</v>
      </c>
      <c r="E28245">
        <v>0</v>
      </c>
      <c r="F28245">
        <v>147</v>
      </c>
    </row>
    <row r="28246" spans="1:6" ht="12.75">
      <c r="A28246" s="2">
        <v>43875.617638888885</v>
      </c>
      <c r="B28246" t="str">
        <f>HYPERLINK("https://twitter.com/MisRitaKalang","@MisRitaKalang")</f>
        <v>@MisRitaKalang</v>
      </c>
      <c r="C28246" t="s">
        <v>7478</v>
      </c>
      <c r="D28246">
        <v>137</v>
      </c>
      <c r="E28246">
        <v>0</v>
      </c>
      <c r="F28246">
        <v>1160</v>
      </c>
    </row>
    <row r="28247" spans="1:6" ht="12.75">
      <c r="A28247" s="2">
        <v>43875.617604166662</v>
      </c>
      <c r="B28247" t="str">
        <f>HYPERLINK("https://twitter.com/itsmesipitchan","@itsmesipitchan")</f>
        <v>@itsmesipitchan</v>
      </c>
      <c r="C28247" t="s">
        <v>2444</v>
      </c>
      <c r="D28247">
        <v>1239</v>
      </c>
      <c r="E28247">
        <v>0</v>
      </c>
      <c r="F28247">
        <v>94</v>
      </c>
    </row>
    <row r="28248" spans="1:6" ht="12.75">
      <c r="A28248" s="2">
        <v>43875.617592592593</v>
      </c>
      <c r="B28248" t="str">
        <f>HYPERLINK("https://twitter.com/craoscuiu","@craoscuiu")</f>
        <v>@craoscuiu</v>
      </c>
      <c r="C28248" t="s">
        <v>5168</v>
      </c>
      <c r="D28248">
        <v>693</v>
      </c>
      <c r="E28248">
        <v>0</v>
      </c>
      <c r="F28248">
        <v>39</v>
      </c>
    </row>
    <row r="28249" spans="1:6" ht="12.75">
      <c r="A28249" s="2">
        <v>43875.617523148147</v>
      </c>
      <c r="B28249" t="str">
        <f>HYPERLINK("https://twitter.com/SunandarPS","@SunandarPS")</f>
        <v>@SunandarPS</v>
      </c>
      <c r="C28249" t="s">
        <v>12407</v>
      </c>
      <c r="D28249">
        <v>0</v>
      </c>
      <c r="E28249">
        <v>0</v>
      </c>
      <c r="F28249">
        <v>1090</v>
      </c>
    </row>
    <row r="28250" spans="1:6" ht="12.75">
      <c r="A28250" s="2">
        <v>43875.617476851854</v>
      </c>
      <c r="B28250" t="str">
        <f>HYPERLINK("https://twitter.com/DindaSayang09","@DindaSayang09")</f>
        <v>@DindaSayang09</v>
      </c>
      <c r="C28250" t="s">
        <v>12408</v>
      </c>
      <c r="D28250">
        <v>0</v>
      </c>
      <c r="E28250">
        <v>2</v>
      </c>
      <c r="F28250">
        <v>329</v>
      </c>
    </row>
    <row r="28251" spans="1:6" ht="12.75">
      <c r="A28251" s="2">
        <v>43875.617442129631</v>
      </c>
      <c r="B28251" t="str">
        <f>HYPERLINK("https://twitter.com/Soly894","@Soly894")</f>
        <v>@Soly894</v>
      </c>
      <c r="C28251" t="s">
        <v>2444</v>
      </c>
      <c r="D28251">
        <v>1239</v>
      </c>
      <c r="E28251">
        <v>0</v>
      </c>
      <c r="F28251">
        <v>366</v>
      </c>
    </row>
    <row r="28252" spans="1:6" ht="12.75">
      <c r="A28252" s="2">
        <v>43875.617395833338</v>
      </c>
      <c r="B28252" t="str">
        <f>HYPERLINK("https://twitter.com/tsjokka","@tsjokka")</f>
        <v>@tsjokka</v>
      </c>
      <c r="C28252" t="s">
        <v>12409</v>
      </c>
      <c r="D28252">
        <v>0</v>
      </c>
      <c r="E28252">
        <v>0</v>
      </c>
      <c r="F28252">
        <v>542</v>
      </c>
    </row>
    <row r="28253" spans="1:6" ht="12.75">
      <c r="A28253" s="2">
        <v>43875.617395833338</v>
      </c>
      <c r="B28253" t="str">
        <f>HYPERLINK("https://twitter.com/penjelajahhh","@penjelajahhh")</f>
        <v>@penjelajahhh</v>
      </c>
      <c r="C28253" t="s">
        <v>12410</v>
      </c>
      <c r="D28253">
        <v>0</v>
      </c>
      <c r="E28253">
        <v>0</v>
      </c>
      <c r="F28253">
        <v>267</v>
      </c>
    </row>
    <row r="28254" spans="1:6" ht="12.75">
      <c r="A28254" s="2">
        <v>43875.617372685185</v>
      </c>
      <c r="B28254" t="str">
        <f>HYPERLINK("https://twitter.com/ativre_","@ativre_")</f>
        <v>@ativre_</v>
      </c>
      <c r="C28254" t="s">
        <v>12411</v>
      </c>
      <c r="D28254">
        <v>2</v>
      </c>
      <c r="E28254">
        <v>0</v>
      </c>
      <c r="F28254">
        <v>59</v>
      </c>
    </row>
    <row r="28255" spans="1:6" ht="12.75">
      <c r="A28255" s="2">
        <v>43875.617349537039</v>
      </c>
      <c r="B28255" t="str">
        <f>HYPERLINK("https://twitter.com/mdkoir","@mdkoir")</f>
        <v>@mdkoir</v>
      </c>
      <c r="C28255" t="s">
        <v>7478</v>
      </c>
      <c r="D28255">
        <v>137</v>
      </c>
      <c r="E28255">
        <v>0</v>
      </c>
      <c r="F28255">
        <v>522</v>
      </c>
    </row>
    <row r="28256" spans="1:6" ht="12.75">
      <c r="A28256" s="2">
        <v>43875.617280092592</v>
      </c>
      <c r="B28256" t="str">
        <f>HYPERLINK("https://twitter.com/hbasuni","@hbasuni")</f>
        <v>@hbasuni</v>
      </c>
      <c r="C28256" t="s">
        <v>12412</v>
      </c>
      <c r="D28256">
        <v>0</v>
      </c>
      <c r="E28256">
        <v>0</v>
      </c>
      <c r="F28256">
        <v>481</v>
      </c>
    </row>
    <row r="28257" spans="1:6" ht="12.75">
      <c r="A28257" s="2">
        <v>43875.617245370369</v>
      </c>
      <c r="B28257" t="str">
        <f>HYPERLINK("https://twitter.com/Blindshoot","@Blindshoot")</f>
        <v>@Blindshoot</v>
      </c>
      <c r="C28257" t="s">
        <v>2444</v>
      </c>
      <c r="D28257">
        <v>1239</v>
      </c>
      <c r="E28257">
        <v>0</v>
      </c>
      <c r="F28257">
        <v>50</v>
      </c>
    </row>
    <row r="28258" spans="1:6" ht="12.75">
      <c r="A28258" s="2">
        <v>43875.617210648154</v>
      </c>
      <c r="B28258" t="str">
        <f>HYPERLINK("https://twitter.com/ANDRE_OCTA_","@ANDRE_OCTA_")</f>
        <v>@ANDRE_OCTA_</v>
      </c>
      <c r="C28258" t="s">
        <v>12413</v>
      </c>
      <c r="D28258">
        <v>0</v>
      </c>
      <c r="E28258">
        <v>0</v>
      </c>
      <c r="F28258">
        <v>16016</v>
      </c>
    </row>
    <row r="28259" spans="1:6" ht="12.75">
      <c r="A28259" s="2">
        <v>43875.6171875</v>
      </c>
      <c r="B28259" t="str">
        <f>HYPERLINK("https://twitter.com/putri_alsj","@putri_alsj")</f>
        <v>@putri_alsj</v>
      </c>
      <c r="C28259" t="s">
        <v>513</v>
      </c>
      <c r="D28259">
        <v>23206</v>
      </c>
      <c r="E28259">
        <v>0</v>
      </c>
      <c r="F28259">
        <v>105</v>
      </c>
    </row>
    <row r="28260" spans="1:6" ht="12.75">
      <c r="A28260" s="2">
        <v>43875.617094907408</v>
      </c>
      <c r="B28260" t="str">
        <f>HYPERLINK("https://twitter.com/LukmanHarijanto","@LukmanHarijanto")</f>
        <v>@LukmanHarijanto</v>
      </c>
      <c r="C28260" t="s">
        <v>2963</v>
      </c>
      <c r="D28260">
        <v>871</v>
      </c>
      <c r="E28260">
        <v>0</v>
      </c>
      <c r="F28260">
        <v>601</v>
      </c>
    </row>
    <row r="28261" spans="1:6" ht="12.75">
      <c r="A28261" s="2">
        <v>43875.617094907408</v>
      </c>
      <c r="B28261" t="str">
        <f>HYPERLINK("https://twitter.com/republikaonline","@republikaonline")</f>
        <v>@republikaonline</v>
      </c>
      <c r="C28261" t="s">
        <v>12414</v>
      </c>
      <c r="D28261">
        <v>0</v>
      </c>
      <c r="E28261">
        <v>0</v>
      </c>
      <c r="F28261">
        <v>1210279</v>
      </c>
    </row>
    <row r="28262" spans="1:6" ht="12.75">
      <c r="A28262" s="2">
        <v>43875.617071759261</v>
      </c>
      <c r="B28262" t="str">
        <f>HYPERLINK("https://twitter.com/muhammadleo68","@muhammadleo68")</f>
        <v>@muhammadleo68</v>
      </c>
      <c r="C28262" t="s">
        <v>12415</v>
      </c>
      <c r="D28262">
        <v>0</v>
      </c>
      <c r="E28262">
        <v>0</v>
      </c>
      <c r="F28262">
        <v>1124</v>
      </c>
    </row>
    <row r="28263" spans="1:6" ht="12.75">
      <c r="A28263" s="2">
        <v>43875.617060185185</v>
      </c>
      <c r="B28263" t="str">
        <f>HYPERLINK("https://twitter.com/sudirmansyah","@sudirmansyah")</f>
        <v>@sudirmansyah</v>
      </c>
      <c r="C28263" t="s">
        <v>7478</v>
      </c>
      <c r="D28263">
        <v>137</v>
      </c>
      <c r="E28263">
        <v>0</v>
      </c>
      <c r="F28263">
        <v>25</v>
      </c>
    </row>
    <row r="28264" spans="1:6" ht="12.75">
      <c r="A28264" s="2">
        <v>43875.617013888885</v>
      </c>
      <c r="B28264" t="str">
        <f>HYPERLINK("https://twitter.com/HartantoZudi","@HartantoZudi")</f>
        <v>@HartantoZudi</v>
      </c>
      <c r="C28264" t="s">
        <v>9113</v>
      </c>
      <c r="D28264">
        <v>292</v>
      </c>
      <c r="E28264">
        <v>0</v>
      </c>
      <c r="F28264">
        <v>466</v>
      </c>
    </row>
    <row r="28265" spans="1:6" ht="12.75">
      <c r="A28265" s="2">
        <v>43875.616909722223</v>
      </c>
      <c r="B28265" t="str">
        <f>HYPERLINK("https://twitter.com/sukatanyaj","@sukatanyaj")</f>
        <v>@sukatanyaj</v>
      </c>
      <c r="C28265" t="s">
        <v>7478</v>
      </c>
      <c r="D28265">
        <v>137</v>
      </c>
      <c r="E28265">
        <v>0</v>
      </c>
      <c r="F28265">
        <v>5690</v>
      </c>
    </row>
    <row r="28266" spans="1:6" ht="12.75">
      <c r="A28266" s="2">
        <v>43875.616863425923</v>
      </c>
      <c r="B28266" t="str">
        <f>HYPERLINK("https://twitter.com/hoeneybunch","@hoeneybunch")</f>
        <v>@hoeneybunch</v>
      </c>
      <c r="C28266" t="s">
        <v>2444</v>
      </c>
      <c r="D28266">
        <v>1239</v>
      </c>
      <c r="E28266">
        <v>0</v>
      </c>
      <c r="F28266">
        <v>2221</v>
      </c>
    </row>
    <row r="28267" spans="1:6" ht="12.75">
      <c r="A28267" s="2">
        <v>43875.61681712963</v>
      </c>
      <c r="B28267" t="str">
        <f>HYPERLINK("https://twitter.com/harakatuna","@harakatuna")</f>
        <v>@harakatuna</v>
      </c>
      <c r="C28267" t="s">
        <v>12416</v>
      </c>
      <c r="D28267">
        <v>0</v>
      </c>
      <c r="E28267">
        <v>0</v>
      </c>
      <c r="F28267">
        <v>409</v>
      </c>
    </row>
    <row r="28268" spans="1:6" ht="12.75">
      <c r="A28268" s="2">
        <v>43875.616782407407</v>
      </c>
      <c r="B28268" t="str">
        <f>HYPERLINK("https://twitter.com/idlafitri","@idlafitri")</f>
        <v>@idlafitri</v>
      </c>
      <c r="C28268" t="s">
        <v>9964</v>
      </c>
      <c r="D28268">
        <v>587</v>
      </c>
      <c r="E28268">
        <v>0</v>
      </c>
      <c r="F28268">
        <v>131</v>
      </c>
    </row>
    <row r="28269" spans="1:6" ht="12.75">
      <c r="A28269" s="2">
        <v>43875.616736111115</v>
      </c>
      <c r="B28269" t="str">
        <f>HYPERLINK("https://twitter.com/gambarjagad1926","@gambarjagad1926")</f>
        <v>@gambarjagad1926</v>
      </c>
      <c r="C28269" t="s">
        <v>11685</v>
      </c>
      <c r="D28269">
        <v>6</v>
      </c>
      <c r="E28269">
        <v>0</v>
      </c>
      <c r="F28269">
        <v>331</v>
      </c>
    </row>
    <row r="28270" spans="1:6" ht="12.75">
      <c r="A28270" s="2">
        <v>43875.616701388892</v>
      </c>
      <c r="B28270" t="str">
        <f>HYPERLINK("https://twitter.com/AgusSub51961367","@AgusSub51961367")</f>
        <v>@AgusSub51961367</v>
      </c>
      <c r="C28270" t="s">
        <v>12417</v>
      </c>
      <c r="D28270">
        <v>0</v>
      </c>
      <c r="E28270">
        <v>1</v>
      </c>
      <c r="F28270">
        <v>7</v>
      </c>
    </row>
    <row r="28271" spans="1:6" ht="12.75">
      <c r="A28271" s="2">
        <v>43875.616643518515</v>
      </c>
      <c r="B28271" t="str">
        <f>HYPERLINK("https://twitter.com/lerinarin","@lerinarin")</f>
        <v>@lerinarin</v>
      </c>
      <c r="C28271" t="s">
        <v>2444</v>
      </c>
      <c r="D28271">
        <v>1239</v>
      </c>
      <c r="E28271">
        <v>0</v>
      </c>
      <c r="F28271">
        <v>493</v>
      </c>
    </row>
    <row r="28272" spans="1:6" ht="12.75">
      <c r="A28272" s="2">
        <v>43875.616527777776</v>
      </c>
      <c r="B28272" t="str">
        <f>HYPERLINK("https://twitter.com/adeadag1","@adeadag1")</f>
        <v>@adeadag1</v>
      </c>
      <c r="C28272" t="s">
        <v>7478</v>
      </c>
      <c r="D28272">
        <v>137</v>
      </c>
      <c r="E28272">
        <v>0</v>
      </c>
      <c r="F28272">
        <v>509</v>
      </c>
    </row>
    <row r="28273" spans="1:6" ht="12.75">
      <c r="A28273" s="2">
        <v>43875.616493055553</v>
      </c>
      <c r="B28273" t="str">
        <f>HYPERLINK("https://twitter.com/putraorlan1","@putraorlan1")</f>
        <v>@putraorlan1</v>
      </c>
      <c r="C28273" t="s">
        <v>8233</v>
      </c>
      <c r="D28273">
        <v>454</v>
      </c>
      <c r="E28273">
        <v>0</v>
      </c>
      <c r="F28273">
        <v>25</v>
      </c>
    </row>
    <row r="28274" spans="1:6" ht="12.75">
      <c r="A28274" s="2">
        <v>43875.616365740745</v>
      </c>
      <c r="B28274" t="str">
        <f>HYPERLINK("https://twitter.com/yorandaw","@yorandaw")</f>
        <v>@yorandaw</v>
      </c>
      <c r="C28274" t="s">
        <v>5168</v>
      </c>
      <c r="D28274">
        <v>693</v>
      </c>
      <c r="E28274">
        <v>0</v>
      </c>
      <c r="F28274">
        <v>353</v>
      </c>
    </row>
    <row r="28275" spans="1:6" ht="12.75">
      <c r="A28275" s="2">
        <v>43875.616354166668</v>
      </c>
      <c r="B28275" t="str">
        <f>HYPERLINK("https://twitter.com/rozechildz","@rozechildz")</f>
        <v>@rozechildz</v>
      </c>
      <c r="C28275" t="s">
        <v>2137</v>
      </c>
      <c r="D28275">
        <v>99</v>
      </c>
      <c r="E28275">
        <v>0</v>
      </c>
      <c r="F28275">
        <v>286</v>
      </c>
    </row>
    <row r="28276" spans="1:6" ht="12.75">
      <c r="A28276" s="2">
        <v>43875.616331018522</v>
      </c>
      <c r="B28276" t="str">
        <f>HYPERLINK("https://twitter.com/dhimasbw","@dhimasbw")</f>
        <v>@dhimasbw</v>
      </c>
      <c r="C28276" t="s">
        <v>2444</v>
      </c>
      <c r="D28276">
        <v>1239</v>
      </c>
      <c r="E28276">
        <v>0</v>
      </c>
      <c r="F28276">
        <v>147</v>
      </c>
    </row>
    <row r="28277" spans="1:6" ht="12.75">
      <c r="A28277" s="2">
        <v>43875.61618055556</v>
      </c>
      <c r="B28277" t="str">
        <f>HYPERLINK("https://twitter.com/firdamar34","@firdamar34")</f>
        <v>@firdamar34</v>
      </c>
      <c r="C28277" t="s">
        <v>7478</v>
      </c>
      <c r="D28277">
        <v>137</v>
      </c>
      <c r="E28277">
        <v>0</v>
      </c>
      <c r="F28277">
        <v>3894</v>
      </c>
    </row>
    <row r="28278" spans="1:6" ht="12.75">
      <c r="A28278" s="2">
        <v>43875.616145833337</v>
      </c>
      <c r="B28278" t="str">
        <f>HYPERLINK("https://twitter.com/oktaviacrus","@oktaviacrus")</f>
        <v>@oktaviacrus</v>
      </c>
      <c r="C28278" t="s">
        <v>7068</v>
      </c>
      <c r="D28278">
        <v>7</v>
      </c>
      <c r="E28278">
        <v>0</v>
      </c>
      <c r="F28278">
        <v>54</v>
      </c>
    </row>
    <row r="28279" spans="1:6" ht="12.75">
      <c r="A28279" s="2">
        <v>43875.616122685184</v>
      </c>
      <c r="B28279" t="str">
        <f>HYPERLINK("https://twitter.com/gendhisayu20","@gendhisayu20")</f>
        <v>@gendhisayu20</v>
      </c>
      <c r="C28279" t="s">
        <v>9123</v>
      </c>
      <c r="D28279">
        <v>196</v>
      </c>
      <c r="E28279">
        <v>0</v>
      </c>
      <c r="F28279">
        <v>79</v>
      </c>
    </row>
    <row r="28280" spans="1:6" ht="12.75">
      <c r="A28280" s="2">
        <v>43875.616076388891</v>
      </c>
      <c r="B28280" t="str">
        <f>HYPERLINK("https://twitter.com/badaymasculine","@badaymasculine")</f>
        <v>@badaymasculine</v>
      </c>
      <c r="C28280" t="s">
        <v>12418</v>
      </c>
      <c r="D28280">
        <v>0</v>
      </c>
      <c r="E28280">
        <v>1</v>
      </c>
      <c r="F28280">
        <v>1694</v>
      </c>
    </row>
    <row r="28281" spans="1:6" ht="12.75">
      <c r="A28281" s="2">
        <v>43875.616030092591</v>
      </c>
      <c r="B28281" t="str">
        <f>HYPERLINK("https://twitter.com/Tweeter_Elin","@Tweeter_Elin")</f>
        <v>@Tweeter_Elin</v>
      </c>
      <c r="C28281" t="s">
        <v>12419</v>
      </c>
      <c r="D28281">
        <v>0</v>
      </c>
      <c r="E28281">
        <v>0</v>
      </c>
      <c r="F28281">
        <v>20</v>
      </c>
    </row>
    <row r="28282" spans="1:6" ht="12.75">
      <c r="A28282" s="2">
        <v>43875.616006944445</v>
      </c>
      <c r="B28282" t="str">
        <f>HYPERLINK("https://twitter.com/rinjanita","@rinjanita")</f>
        <v>@rinjanita</v>
      </c>
      <c r="C28282" t="s">
        <v>2444</v>
      </c>
      <c r="D28282">
        <v>1239</v>
      </c>
      <c r="E28282">
        <v>0</v>
      </c>
      <c r="F28282">
        <v>1908</v>
      </c>
    </row>
    <row r="28283" spans="1:6" ht="12.75">
      <c r="A28283" s="2">
        <v>43875.615983796291</v>
      </c>
      <c r="B28283" t="str">
        <f>HYPERLINK("https://twitter.com/chayunale","@chayunale")</f>
        <v>@chayunale</v>
      </c>
      <c r="C28283" t="s">
        <v>2444</v>
      </c>
      <c r="D28283">
        <v>1239</v>
      </c>
      <c r="E28283">
        <v>0</v>
      </c>
      <c r="F28283">
        <v>24</v>
      </c>
    </row>
    <row r="28284" spans="1:6" ht="12.75">
      <c r="A28284" s="2">
        <v>43875.615960648152</v>
      </c>
      <c r="B28284" t="str">
        <f>HYPERLINK("https://twitter.com/JIMsihombing","@JIMsihombing")</f>
        <v>@JIMsihombing</v>
      </c>
      <c r="C28284" t="s">
        <v>12420</v>
      </c>
      <c r="D28284">
        <v>0</v>
      </c>
      <c r="E28284">
        <v>0</v>
      </c>
      <c r="F28284">
        <v>743</v>
      </c>
    </row>
    <row r="28285" spans="1:6" ht="12.75">
      <c r="A28285" s="2">
        <v>43875.615914351853</v>
      </c>
      <c r="B28285" t="str">
        <f>HYPERLINK("https://twitter.com/walreds","@walreds")</f>
        <v>@walreds</v>
      </c>
      <c r="C28285" t="s">
        <v>10032</v>
      </c>
      <c r="D28285">
        <v>40</v>
      </c>
      <c r="E28285">
        <v>0</v>
      </c>
      <c r="F28285">
        <v>151</v>
      </c>
    </row>
    <row r="28286" spans="1:6" ht="12.75">
      <c r="A28286" s="2">
        <v>43875.615891203706</v>
      </c>
      <c r="B28286" t="str">
        <f>HYPERLINK("https://twitter.com/Farizsamanha","@Farizsamanha")</f>
        <v>@Farizsamanha</v>
      </c>
      <c r="C28286" t="s">
        <v>7478</v>
      </c>
      <c r="D28286">
        <v>137</v>
      </c>
      <c r="E28286">
        <v>0</v>
      </c>
      <c r="F28286">
        <v>442</v>
      </c>
    </row>
    <row r="28287" spans="1:6" ht="12.75">
      <c r="A28287" s="2">
        <v>43875.615891203706</v>
      </c>
      <c r="B28287" t="str">
        <f>HYPERLINK("https://twitter.com/devaangger_","@devaangger_")</f>
        <v>@devaangger_</v>
      </c>
      <c r="C28287" t="s">
        <v>2444</v>
      </c>
      <c r="D28287">
        <v>1239</v>
      </c>
      <c r="E28287">
        <v>0</v>
      </c>
      <c r="F28287">
        <v>502</v>
      </c>
    </row>
    <row r="28288" spans="1:6" ht="12.75">
      <c r="A28288" s="2">
        <v>43875.615763888884</v>
      </c>
      <c r="B28288" t="str">
        <f>HYPERLINK("https://twitter.com/rizzaldiahmad","@rizzaldiahmad")</f>
        <v>@rizzaldiahmad</v>
      </c>
      <c r="C28288" t="s">
        <v>5403</v>
      </c>
      <c r="D28288">
        <v>6</v>
      </c>
      <c r="E28288">
        <v>0</v>
      </c>
      <c r="F28288">
        <v>355</v>
      </c>
    </row>
    <row r="28289" spans="1:6" ht="12.75">
      <c r="A28289" s="2">
        <v>43875.615636574075</v>
      </c>
      <c r="B28289" t="str">
        <f>HYPERLINK("https://twitter.com/princessmafe11","@princessmafe11")</f>
        <v>@princessmafe11</v>
      </c>
      <c r="C28289" t="s">
        <v>2444</v>
      </c>
      <c r="D28289">
        <v>1239</v>
      </c>
      <c r="E28289">
        <v>0</v>
      </c>
      <c r="F28289">
        <v>314</v>
      </c>
    </row>
    <row r="28290" spans="1:6" ht="12.75">
      <c r="A28290" s="2">
        <v>43875.615613425922</v>
      </c>
      <c r="B28290" t="str">
        <f>HYPERLINK("https://twitter.com/Erlang__","@Erlang__")</f>
        <v>@Erlang__</v>
      </c>
      <c r="C28290" t="s">
        <v>12421</v>
      </c>
      <c r="D28290">
        <v>0</v>
      </c>
      <c r="E28290">
        <v>0</v>
      </c>
      <c r="F28290">
        <v>11911</v>
      </c>
    </row>
    <row r="28291" spans="1:6" ht="12.75">
      <c r="A28291" s="2">
        <v>43875.615613425922</v>
      </c>
      <c r="B28291" t="str">
        <f>HYPERLINK("https://twitter.com/sidiq_plantmana","@sidiq_plantmana")</f>
        <v>@sidiq_plantmana</v>
      </c>
      <c r="C28291" t="s">
        <v>5168</v>
      </c>
      <c r="D28291">
        <v>693</v>
      </c>
      <c r="E28291">
        <v>0</v>
      </c>
      <c r="F28291">
        <v>351</v>
      </c>
    </row>
    <row r="28292" spans="1:6" ht="12.75">
      <c r="A28292" s="2">
        <v>43875.615601851852</v>
      </c>
      <c r="B28292" t="str">
        <f>HYPERLINK("https://twitter.com/DedeWah70824344","@DedeWah70824344")</f>
        <v>@DedeWah70824344</v>
      </c>
      <c r="C28292" t="s">
        <v>12422</v>
      </c>
      <c r="D28292">
        <v>0</v>
      </c>
      <c r="E28292">
        <v>0</v>
      </c>
      <c r="F28292">
        <v>4</v>
      </c>
    </row>
    <row r="28293" spans="1:6" ht="12.75">
      <c r="A28293" s="2">
        <v>43875.615590277783</v>
      </c>
      <c r="B28293" t="str">
        <f>HYPERLINK("https://twitter.com/afrizal390","@afrizal390")</f>
        <v>@afrizal390</v>
      </c>
      <c r="C28293" t="s">
        <v>9835</v>
      </c>
      <c r="D28293">
        <v>31</v>
      </c>
      <c r="E28293">
        <v>0</v>
      </c>
      <c r="F28293">
        <v>23</v>
      </c>
    </row>
    <row r="28294" spans="1:6" ht="12.75">
      <c r="A28294" s="2">
        <v>43875.615520833337</v>
      </c>
      <c r="B28294" t="str">
        <f>HYPERLINK("https://twitter.com/KanekiTerry","@KanekiTerry")</f>
        <v>@KanekiTerry</v>
      </c>
      <c r="C28294" t="s">
        <v>12423</v>
      </c>
      <c r="D28294">
        <v>0</v>
      </c>
      <c r="E28294">
        <v>1</v>
      </c>
      <c r="F28294">
        <v>17</v>
      </c>
    </row>
    <row r="28295" spans="1:6" ht="12.75">
      <c r="A28295" s="2">
        <v>43875.615486111114</v>
      </c>
      <c r="B28295" t="str">
        <f>HYPERLINK("https://twitter.com/liviaalvianti","@liviaalvianti")</f>
        <v>@liviaalvianti</v>
      </c>
      <c r="C28295" t="s">
        <v>10697</v>
      </c>
      <c r="D28295">
        <v>19</v>
      </c>
      <c r="E28295">
        <v>0</v>
      </c>
      <c r="F28295">
        <v>83</v>
      </c>
    </row>
    <row r="28296" spans="1:6" ht="12.75">
      <c r="A28296" s="2">
        <v>43875.615451388891</v>
      </c>
      <c r="B28296" t="str">
        <f>HYPERLINK("https://twitter.com/silitonga95","@silitonga95")</f>
        <v>@silitonga95</v>
      </c>
      <c r="C28296" t="s">
        <v>11425</v>
      </c>
      <c r="D28296">
        <v>223</v>
      </c>
      <c r="E28296">
        <v>0</v>
      </c>
      <c r="F28296">
        <v>9</v>
      </c>
    </row>
    <row r="28297" spans="1:6" ht="12.75">
      <c r="A28297" s="2">
        <v>43875.615451388891</v>
      </c>
      <c r="B28297" t="str">
        <f>HYPERLINK("https://twitter.com/nengsabilla","@nengsabilla")</f>
        <v>@nengsabilla</v>
      </c>
      <c r="C28297" t="s">
        <v>2137</v>
      </c>
      <c r="D28297">
        <v>99</v>
      </c>
      <c r="E28297">
        <v>0</v>
      </c>
      <c r="F28297">
        <v>38</v>
      </c>
    </row>
    <row r="28298" spans="1:6" ht="12.75">
      <c r="A28298" s="2">
        <v>43875.615347222221</v>
      </c>
      <c r="B28298" t="str">
        <f>HYPERLINK("https://twitter.com/hanzbndaudio","@hanzbndaudio")</f>
        <v>@hanzbndaudio</v>
      </c>
      <c r="C28298" t="s">
        <v>10032</v>
      </c>
      <c r="D28298">
        <v>40</v>
      </c>
      <c r="E28298">
        <v>0</v>
      </c>
      <c r="F28298">
        <v>208</v>
      </c>
    </row>
    <row r="28299" spans="1:6" ht="12.75">
      <c r="A28299" s="2">
        <v>43875.615312499998</v>
      </c>
      <c r="B28299" t="str">
        <f>HYPERLINK("https://twitter.com/ephraym8","@ephraym8")</f>
        <v>@ephraym8</v>
      </c>
      <c r="C28299" t="s">
        <v>8233</v>
      </c>
      <c r="D28299">
        <v>454</v>
      </c>
      <c r="E28299">
        <v>0</v>
      </c>
      <c r="F28299">
        <v>1115</v>
      </c>
    </row>
    <row r="28300" spans="1:6" ht="12.75">
      <c r="A28300" s="2">
        <v>43875.615300925929</v>
      </c>
      <c r="B28300" t="str">
        <f>HYPERLINK("https://twitter.com/JekeeyyyCuties","@JekeeyyyCuties")</f>
        <v>@JekeeyyyCuties</v>
      </c>
      <c r="C28300" t="s">
        <v>2137</v>
      </c>
      <c r="D28300">
        <v>99</v>
      </c>
      <c r="E28300">
        <v>0</v>
      </c>
      <c r="F28300">
        <v>820</v>
      </c>
    </row>
    <row r="28301" spans="1:6" ht="12.75">
      <c r="A28301" s="2">
        <v>43875.615243055552</v>
      </c>
      <c r="B28301" t="str">
        <f>HYPERLINK("https://twitter.com/adeteriyanaa","@adeteriyanaa")</f>
        <v>@adeteriyanaa</v>
      </c>
      <c r="C28301" t="s">
        <v>2963</v>
      </c>
      <c r="D28301">
        <v>871</v>
      </c>
      <c r="E28301">
        <v>0</v>
      </c>
      <c r="F28301">
        <v>659</v>
      </c>
    </row>
    <row r="28302" spans="1:6" ht="12.75">
      <c r="A28302" s="2">
        <v>43875.615231481483</v>
      </c>
      <c r="B28302" t="str">
        <f>HYPERLINK("https://twitter.com/nyankoreu","@nyankoreu")</f>
        <v>@nyankoreu</v>
      </c>
      <c r="C28302" t="s">
        <v>2137</v>
      </c>
      <c r="D28302">
        <v>99</v>
      </c>
      <c r="E28302">
        <v>0</v>
      </c>
      <c r="F28302">
        <v>302</v>
      </c>
    </row>
    <row r="28303" spans="1:6" ht="12.75">
      <c r="A28303" s="2">
        <v>43875.615231481483</v>
      </c>
      <c r="B28303" t="str">
        <f>HYPERLINK("https://twitter.com/marion_holahop","@marion_holahop")</f>
        <v>@marion_holahop</v>
      </c>
      <c r="C28303" t="s">
        <v>9123</v>
      </c>
      <c r="D28303">
        <v>196</v>
      </c>
      <c r="E28303">
        <v>0</v>
      </c>
      <c r="F28303">
        <v>63</v>
      </c>
    </row>
    <row r="28304" spans="1:6" ht="12.75">
      <c r="A28304" s="2">
        <v>43875.61519675926</v>
      </c>
      <c r="B28304" t="str">
        <f>HYPERLINK("https://twitter.com/chenawoo","@chenawoo")</f>
        <v>@chenawoo</v>
      </c>
      <c r="C28304" t="s">
        <v>9067</v>
      </c>
      <c r="D28304">
        <v>3</v>
      </c>
      <c r="E28304">
        <v>0</v>
      </c>
      <c r="F28304">
        <v>203</v>
      </c>
    </row>
    <row r="28305" spans="1:6" ht="12.75">
      <c r="A28305" s="2">
        <v>43875.615104166667</v>
      </c>
      <c r="B28305" t="str">
        <f>HYPERLINK("https://twitter.com/benazariprima","@benazariprima")</f>
        <v>@benazariprima</v>
      </c>
      <c r="C28305" t="s">
        <v>2137</v>
      </c>
      <c r="D28305">
        <v>99</v>
      </c>
      <c r="E28305">
        <v>0</v>
      </c>
      <c r="F28305">
        <v>253</v>
      </c>
    </row>
    <row r="28306" spans="1:6" ht="12.75">
      <c r="A28306" s="2">
        <v>43875.615081018521</v>
      </c>
      <c r="B28306" t="str">
        <f>HYPERLINK("https://twitter.com/mnetuler","@mnetuler")</f>
        <v>@mnetuler</v>
      </c>
      <c r="C28306" t="s">
        <v>9123</v>
      </c>
      <c r="D28306">
        <v>196</v>
      </c>
      <c r="E28306">
        <v>0</v>
      </c>
      <c r="F28306">
        <v>89</v>
      </c>
    </row>
    <row r="28307" spans="1:6" ht="12.75">
      <c r="A28307" s="2">
        <v>43875.615069444444</v>
      </c>
      <c r="B28307" t="str">
        <f>HYPERLINK("https://twitter.com/BerutuRm","@BerutuRm")</f>
        <v>@BerutuRm</v>
      </c>
      <c r="C28307" t="s">
        <v>12424</v>
      </c>
      <c r="D28307">
        <v>0</v>
      </c>
      <c r="E28307">
        <v>0</v>
      </c>
      <c r="F28307">
        <v>121</v>
      </c>
    </row>
    <row r="28308" spans="1:6" ht="12.75">
      <c r="A28308" s="2">
        <v>43875.615046296298</v>
      </c>
      <c r="B28308" t="str">
        <f>HYPERLINK("https://twitter.com/Rachmad12479777","@Rachmad12479777")</f>
        <v>@Rachmad12479777</v>
      </c>
      <c r="C28308" t="s">
        <v>12425</v>
      </c>
      <c r="D28308">
        <v>0</v>
      </c>
      <c r="E28308">
        <v>0</v>
      </c>
      <c r="F28308">
        <v>187</v>
      </c>
    </row>
    <row r="28309" spans="1:6" ht="12.75">
      <c r="A28309" s="2">
        <v>43875.615046296298</v>
      </c>
      <c r="B28309" t="str">
        <f>HYPERLINK("https://twitter.com/Kellykusumah","@Kellykusumah")</f>
        <v>@Kellykusumah</v>
      </c>
      <c r="C28309" t="s">
        <v>11785</v>
      </c>
      <c r="D28309">
        <v>46</v>
      </c>
      <c r="E28309">
        <v>0</v>
      </c>
      <c r="F28309">
        <v>176</v>
      </c>
    </row>
    <row r="28310" spans="1:6" ht="12.75">
      <c r="A28310" s="2">
        <v>43875.615000000005</v>
      </c>
      <c r="B28310" t="str">
        <f>HYPERLINK("https://twitter.com/NyiGiri","@NyiGiri")</f>
        <v>@NyiGiri</v>
      </c>
      <c r="C28310" t="s">
        <v>9147</v>
      </c>
      <c r="D28310">
        <v>15</v>
      </c>
      <c r="E28310">
        <v>0</v>
      </c>
      <c r="F28310">
        <v>3558</v>
      </c>
    </row>
    <row r="28311" spans="1:6" ht="12.75">
      <c r="A28311" s="2">
        <v>43875.614861111113</v>
      </c>
      <c r="B28311" t="str">
        <f>HYPERLINK("https://twitter.com/trazh99","@trazh99")</f>
        <v>@trazh99</v>
      </c>
      <c r="C28311" t="s">
        <v>2444</v>
      </c>
      <c r="D28311">
        <v>1239</v>
      </c>
      <c r="E28311">
        <v>0</v>
      </c>
      <c r="F28311">
        <v>1943</v>
      </c>
    </row>
    <row r="28312" spans="1:6" ht="12.75">
      <c r="A28312" s="2">
        <v>43875.614814814813</v>
      </c>
      <c r="B28312" t="str">
        <f>HYPERLINK("https://twitter.com/janetsbislissin","@janetsbislissin")</f>
        <v>@janetsbislissin</v>
      </c>
      <c r="C28312" t="s">
        <v>2444</v>
      </c>
      <c r="D28312">
        <v>1239</v>
      </c>
      <c r="E28312">
        <v>0</v>
      </c>
      <c r="F28312">
        <v>65</v>
      </c>
    </row>
    <row r="28313" spans="1:6" ht="12.75">
      <c r="A28313" s="2">
        <v>43875.614768518513</v>
      </c>
      <c r="B28313" t="str">
        <f>HYPERLINK("https://twitter.com/KabarGolkarCom","@KabarGolkarCom")</f>
        <v>@KabarGolkarCom</v>
      </c>
      <c r="C28313" t="s">
        <v>12426</v>
      </c>
      <c r="D28313">
        <v>0</v>
      </c>
      <c r="E28313">
        <v>1</v>
      </c>
      <c r="F28313">
        <v>2223</v>
      </c>
    </row>
    <row r="28314" spans="1:6" ht="12.75">
      <c r="A28314" s="2">
        <v>43875.614756944444</v>
      </c>
      <c r="B28314" t="str">
        <f>HYPERLINK("https://twitter.com/inscreidible","@inscreidible")</f>
        <v>@inscreidible</v>
      </c>
      <c r="C28314" t="s">
        <v>2963</v>
      </c>
      <c r="D28314">
        <v>871</v>
      </c>
      <c r="E28314">
        <v>0</v>
      </c>
      <c r="F28314">
        <v>1</v>
      </c>
    </row>
    <row r="28315" spans="1:6" ht="12.75">
      <c r="A28315" s="2">
        <v>43875.614733796298</v>
      </c>
      <c r="B28315" t="str">
        <f>HYPERLINK("https://twitter.com/FerryWachjudi","@FerryWachjudi")</f>
        <v>@FerryWachjudi</v>
      </c>
      <c r="C28315" t="s">
        <v>7478</v>
      </c>
      <c r="D28315">
        <v>137</v>
      </c>
      <c r="E28315">
        <v>0</v>
      </c>
      <c r="F28315">
        <v>363</v>
      </c>
    </row>
    <row r="28316" spans="1:6" ht="12.75">
      <c r="A28316" s="2">
        <v>43875.614722222221</v>
      </c>
      <c r="B28316" t="str">
        <f>HYPERLINK("https://twitter.com/positive_values","@positive_values")</f>
        <v>@positive_values</v>
      </c>
      <c r="C28316" t="s">
        <v>11580</v>
      </c>
      <c r="D28316">
        <v>31</v>
      </c>
      <c r="E28316">
        <v>0</v>
      </c>
      <c r="F28316">
        <v>1839</v>
      </c>
    </row>
    <row r="28317" spans="1:6" ht="12.75">
      <c r="A28317" s="2">
        <v>43875.614710648151</v>
      </c>
      <c r="B28317" t="str">
        <f>HYPERLINK("https://twitter.com/Kellykusumah","@Kellykusumah")</f>
        <v>@Kellykusumah</v>
      </c>
      <c r="C28317" t="s">
        <v>3038</v>
      </c>
      <c r="D28317">
        <v>112</v>
      </c>
      <c r="E28317">
        <v>0</v>
      </c>
      <c r="F28317">
        <v>176</v>
      </c>
    </row>
    <row r="28318" spans="1:6" ht="12.75">
      <c r="A28318" s="2">
        <v>43875.614699074074</v>
      </c>
      <c r="B28318" t="str">
        <f>HYPERLINK("https://twitter.com/premchoudhary_","@premchoudhary_")</f>
        <v>@premchoudhary_</v>
      </c>
      <c r="C28318" t="s">
        <v>12427</v>
      </c>
      <c r="D28318">
        <v>329</v>
      </c>
      <c r="E28318">
        <v>0</v>
      </c>
      <c r="F28318">
        <v>2813</v>
      </c>
    </row>
    <row r="28319" spans="1:6" ht="12.75">
      <c r="A28319" s="2">
        <v>43875.614583333328</v>
      </c>
      <c r="B28319" t="str">
        <f>HYPERLINK("https://twitter.com/mocafloatkaefsi","@mocafloatkaefsi")</f>
        <v>@mocafloatkaefsi</v>
      </c>
      <c r="C28319" t="s">
        <v>2444</v>
      </c>
      <c r="D28319">
        <v>1239</v>
      </c>
      <c r="E28319">
        <v>0</v>
      </c>
      <c r="F28319">
        <v>32</v>
      </c>
    </row>
    <row r="28320" spans="1:6" ht="12.75">
      <c r="A28320" s="2">
        <v>43875.614560185189</v>
      </c>
      <c r="B28320" t="str">
        <f>HYPERLINK("https://twitter.com/antipelakor5","@antipelakor5")</f>
        <v>@antipelakor5</v>
      </c>
      <c r="C28320" t="s">
        <v>12347</v>
      </c>
      <c r="D28320">
        <v>0</v>
      </c>
      <c r="E28320">
        <v>0</v>
      </c>
      <c r="F28320">
        <v>85</v>
      </c>
    </row>
    <row r="28321" spans="1:6" ht="12.75">
      <c r="A28321" s="2">
        <v>43875.614537037036</v>
      </c>
      <c r="B28321" t="str">
        <f>HYPERLINK("https://twitter.com/sdhanes","@sdhanes")</f>
        <v>@sdhanes</v>
      </c>
      <c r="C28321" t="s">
        <v>11460</v>
      </c>
      <c r="D28321">
        <v>19</v>
      </c>
      <c r="E28321">
        <v>0</v>
      </c>
      <c r="F28321">
        <v>178</v>
      </c>
    </row>
    <row r="28322" spans="1:6" ht="12.75">
      <c r="A28322" s="2">
        <v>43875.614537037036</v>
      </c>
      <c r="B28322" t="str">
        <f>HYPERLINK("https://twitter.com/rezafazlurahman","@rezafazlurahman")</f>
        <v>@rezafazlurahman</v>
      </c>
      <c r="C28322" t="s">
        <v>2444</v>
      </c>
      <c r="D28322">
        <v>1239</v>
      </c>
      <c r="E28322">
        <v>0</v>
      </c>
      <c r="F28322">
        <v>418</v>
      </c>
    </row>
    <row r="28323" spans="1:6" ht="12.75">
      <c r="A28323" s="2">
        <v>43875.61451388889</v>
      </c>
      <c r="B28323" t="str">
        <f>HYPERLINK("https://twitter.com/Aizous1","@Aizous1")</f>
        <v>@Aizous1</v>
      </c>
      <c r="C28323" t="s">
        <v>2144</v>
      </c>
      <c r="D28323">
        <v>74</v>
      </c>
      <c r="E28323">
        <v>0</v>
      </c>
      <c r="F28323">
        <v>9</v>
      </c>
    </row>
    <row r="28324" spans="1:6" ht="12.75">
      <c r="A28324" s="2">
        <v>43875.614432870367</v>
      </c>
      <c r="B28324" t="str">
        <f>HYPERLINK("https://twitter.com/ChristallineN","@ChristallineN")</f>
        <v>@ChristallineN</v>
      </c>
      <c r="C28324" t="s">
        <v>11416</v>
      </c>
      <c r="D28324">
        <v>1</v>
      </c>
      <c r="E28324">
        <v>0</v>
      </c>
      <c r="F28324">
        <v>54</v>
      </c>
    </row>
    <row r="28325" spans="1:6" ht="12.75">
      <c r="A28325" s="2">
        <v>43875.614421296297</v>
      </c>
      <c r="B28325" t="str">
        <f>HYPERLINK("https://twitter.com/Farah_Aulia04","@Farah_Aulia04")</f>
        <v>@Farah_Aulia04</v>
      </c>
      <c r="C28325" t="s">
        <v>2444</v>
      </c>
      <c r="D28325">
        <v>1239</v>
      </c>
      <c r="E28325">
        <v>0</v>
      </c>
      <c r="F28325">
        <v>31</v>
      </c>
    </row>
    <row r="28326" spans="1:6" ht="12.75">
      <c r="A28326" s="2">
        <v>43875.614398148144</v>
      </c>
      <c r="B28326" t="str">
        <f>HYPERLINK("https://twitter.com/beatrice_health","@beatrice_health")</f>
        <v>@beatrice_health</v>
      </c>
      <c r="C28326" t="s">
        <v>12428</v>
      </c>
      <c r="D28326">
        <v>1</v>
      </c>
      <c r="E28326">
        <v>0</v>
      </c>
      <c r="F28326">
        <v>66</v>
      </c>
    </row>
    <row r="28327" spans="1:6" ht="12.75">
      <c r="A28327" s="2">
        <v>43875.614398148144</v>
      </c>
      <c r="B28327" t="str">
        <f>HYPERLINK("https://twitter.com/cheetatosh","@cheetatosh")</f>
        <v>@cheetatosh</v>
      </c>
      <c r="C28327" t="s">
        <v>2137</v>
      </c>
      <c r="D28327">
        <v>99</v>
      </c>
      <c r="E28327">
        <v>0</v>
      </c>
      <c r="F28327">
        <v>3093</v>
      </c>
    </row>
    <row r="28328" spans="1:6" ht="12.75">
      <c r="A28328" s="2">
        <v>43875.614363425921</v>
      </c>
      <c r="B28328" t="str">
        <f>HYPERLINK("https://twitter.com/tahu_buleeeet","@tahu_buleeeet")</f>
        <v>@tahu_buleeeet</v>
      </c>
      <c r="C28328" t="s">
        <v>9123</v>
      </c>
      <c r="D28328">
        <v>196</v>
      </c>
      <c r="E28328">
        <v>0</v>
      </c>
      <c r="F28328">
        <v>68</v>
      </c>
    </row>
    <row r="28329" spans="1:6" ht="12.75">
      <c r="A28329" s="2">
        <v>43875.614351851851</v>
      </c>
      <c r="B28329" t="str">
        <f>HYPERLINK("https://twitter.com/Anisah_Tin","@Anisah_Tin")</f>
        <v>@Anisah_Tin</v>
      </c>
      <c r="C28329" t="s">
        <v>2444</v>
      </c>
      <c r="D28329">
        <v>1239</v>
      </c>
      <c r="E28329">
        <v>0</v>
      </c>
      <c r="F28329">
        <v>358</v>
      </c>
    </row>
    <row r="28330" spans="1:6" ht="12.75">
      <c r="A28330" s="2">
        <v>43875.614340277782</v>
      </c>
      <c r="B28330" t="str">
        <f>HYPERLINK("https://twitter.com/uuL_vha","@uuL_vha")</f>
        <v>@uuL_vha</v>
      </c>
      <c r="C28330" t="s">
        <v>2444</v>
      </c>
      <c r="D28330">
        <v>1239</v>
      </c>
      <c r="E28330">
        <v>0</v>
      </c>
      <c r="F28330">
        <v>289</v>
      </c>
    </row>
    <row r="28331" spans="1:6" ht="12.75">
      <c r="A28331" s="2">
        <v>43875.614317129628</v>
      </c>
      <c r="B28331" t="str">
        <f>HYPERLINK("https://twitter.com/mahdibogor","@mahdibogor")</f>
        <v>@mahdibogor</v>
      </c>
      <c r="C28331" t="s">
        <v>7478</v>
      </c>
      <c r="D28331">
        <v>137</v>
      </c>
      <c r="E28331">
        <v>0</v>
      </c>
      <c r="F28331">
        <v>215</v>
      </c>
    </row>
    <row r="28332" spans="1:6" ht="12.75">
      <c r="A28332" s="2">
        <v>43875.614293981482</v>
      </c>
      <c r="B28332" t="str">
        <f>HYPERLINK("https://twitter.com/dracaries","@dracaries")</f>
        <v>@dracaries</v>
      </c>
      <c r="C28332" t="s">
        <v>12429</v>
      </c>
      <c r="D28332">
        <v>1</v>
      </c>
      <c r="E28332">
        <v>0</v>
      </c>
      <c r="F28332">
        <v>2203</v>
      </c>
    </row>
    <row r="28333" spans="1:6" ht="12.75">
      <c r="A28333" s="2">
        <v>43875.614247685182</v>
      </c>
      <c r="B28333" t="str">
        <f>HYPERLINK("https://twitter.com/Coffee2Talks","@Coffee2Talks")</f>
        <v>@Coffee2Talks</v>
      </c>
      <c r="C28333" t="s">
        <v>12430</v>
      </c>
      <c r="D28333">
        <v>0</v>
      </c>
      <c r="E28333">
        <v>0</v>
      </c>
      <c r="F28333">
        <v>82</v>
      </c>
    </row>
    <row r="28334" spans="1:6" ht="12.75">
      <c r="A28334" s="2">
        <v>43875.614247685182</v>
      </c>
      <c r="B28334" t="str">
        <f>HYPERLINK("https://twitter.com/prime_verdana","@prime_verdana")</f>
        <v>@prime_verdana</v>
      </c>
      <c r="C28334" t="s">
        <v>12080</v>
      </c>
      <c r="D28334">
        <v>20</v>
      </c>
      <c r="E28334">
        <v>0</v>
      </c>
      <c r="F28334">
        <v>609</v>
      </c>
    </row>
    <row r="28335" spans="1:6" ht="12.75">
      <c r="A28335" s="2">
        <v>43875.614120370374</v>
      </c>
      <c r="B28335" t="str">
        <f>HYPERLINK("https://twitter.com/Anisah_Tin","@Anisah_Tin")</f>
        <v>@Anisah_Tin</v>
      </c>
      <c r="C28335" t="s">
        <v>9123</v>
      </c>
      <c r="D28335">
        <v>196</v>
      </c>
      <c r="E28335">
        <v>0</v>
      </c>
      <c r="F28335">
        <v>358</v>
      </c>
    </row>
    <row r="28336" spans="1:6" ht="12.75">
      <c r="A28336" s="2">
        <v>43875.614120370374</v>
      </c>
      <c r="B28336" t="str">
        <f>HYPERLINK("https://twitter.com/okezonenews","@okezonenews")</f>
        <v>@okezonenews</v>
      </c>
      <c r="C28336" t="s">
        <v>12431</v>
      </c>
      <c r="D28336">
        <v>0</v>
      </c>
      <c r="E28336">
        <v>0</v>
      </c>
      <c r="F28336">
        <v>1743740</v>
      </c>
    </row>
    <row r="28337" spans="1:6" ht="12.75">
      <c r="A28337" s="2">
        <v>43875.61409722222</v>
      </c>
      <c r="B28337" t="str">
        <f>HYPERLINK("https://twitter.com/Coffee2Talks","@Coffee2Talks")</f>
        <v>@Coffee2Talks</v>
      </c>
      <c r="C28337" t="s">
        <v>12432</v>
      </c>
      <c r="D28337">
        <v>1</v>
      </c>
      <c r="E28337">
        <v>1</v>
      </c>
      <c r="F28337">
        <v>82</v>
      </c>
    </row>
    <row r="28338" spans="1:6" ht="12.75">
      <c r="A28338" s="2">
        <v>43875.614085648151</v>
      </c>
      <c r="B28338" t="str">
        <f>HYPERLINK("https://twitter.com/LinaKhairani_","@LinaKhairani_")</f>
        <v>@LinaKhairani_</v>
      </c>
      <c r="C28338" t="s">
        <v>8233</v>
      </c>
      <c r="D28338">
        <v>454</v>
      </c>
      <c r="E28338">
        <v>0</v>
      </c>
      <c r="F28338">
        <v>272</v>
      </c>
    </row>
    <row r="28339" spans="1:6" ht="12.75">
      <c r="A28339" s="2">
        <v>43875.614062499997</v>
      </c>
      <c r="B28339" t="str">
        <f>HYPERLINK("https://twitter.com/Ramdhan1980","@Ramdhan1980")</f>
        <v>@Ramdhan1980</v>
      </c>
      <c r="C28339" t="s">
        <v>2963</v>
      </c>
      <c r="D28339">
        <v>871</v>
      </c>
      <c r="E28339">
        <v>0</v>
      </c>
      <c r="F28339">
        <v>53</v>
      </c>
    </row>
    <row r="28340" spans="1:6" ht="12.75">
      <c r="A28340" s="2">
        <v>43875.614062499997</v>
      </c>
      <c r="B28340" t="str">
        <f>HYPERLINK("https://twitter.com/LRefiandy","@LRefiandy")</f>
        <v>@LRefiandy</v>
      </c>
      <c r="C28340" t="s">
        <v>4880</v>
      </c>
      <c r="D28340">
        <v>53</v>
      </c>
      <c r="E28340">
        <v>0</v>
      </c>
      <c r="F28340">
        <v>270</v>
      </c>
    </row>
    <row r="28341" spans="1:6" ht="12.75">
      <c r="A28341" s="2">
        <v>43875.613981481481</v>
      </c>
      <c r="B28341" t="str">
        <f>HYPERLINK("https://twitter.com/moonafik_","@moonafik_")</f>
        <v>@moonafik_</v>
      </c>
      <c r="C28341" t="s">
        <v>9964</v>
      </c>
      <c r="D28341">
        <v>587</v>
      </c>
      <c r="E28341">
        <v>0</v>
      </c>
      <c r="F28341">
        <v>127</v>
      </c>
    </row>
    <row r="28342" spans="1:6" ht="12.75">
      <c r="A28342" s="2">
        <v>43875.613935185189</v>
      </c>
      <c r="B28342" t="str">
        <f>HYPERLINK("https://twitter.com/GajahNata","@GajahNata")</f>
        <v>@GajahNata</v>
      </c>
      <c r="C28342" t="s">
        <v>11013</v>
      </c>
      <c r="D28342">
        <v>1</v>
      </c>
      <c r="E28342">
        <v>0</v>
      </c>
      <c r="F28342">
        <v>1211</v>
      </c>
    </row>
    <row r="28343" spans="1:6" ht="12.75">
      <c r="A28343" s="2">
        <v>43875.613912037035</v>
      </c>
      <c r="B28343" t="str">
        <f>HYPERLINK("https://twitter.com/VIVAcoid","@VIVAcoid")</f>
        <v>@VIVAcoid</v>
      </c>
      <c r="C28343" t="s">
        <v>12433</v>
      </c>
      <c r="D28343">
        <v>1</v>
      </c>
      <c r="E28343">
        <v>0</v>
      </c>
      <c r="F28343">
        <v>4169135</v>
      </c>
    </row>
    <row r="28344" spans="1:6" ht="12.75">
      <c r="A28344" s="2">
        <v>43875.613877314812</v>
      </c>
      <c r="B28344" t="str">
        <f>HYPERLINK("https://twitter.com/Izzah_AEmo","@Izzah_AEmo")</f>
        <v>@Izzah_AEmo</v>
      </c>
      <c r="C28344" t="s">
        <v>10300</v>
      </c>
      <c r="D28344">
        <v>27</v>
      </c>
      <c r="E28344">
        <v>0</v>
      </c>
      <c r="F28344">
        <v>204</v>
      </c>
    </row>
    <row r="28345" spans="1:6" ht="12.75">
      <c r="A28345" s="2">
        <v>43875.613854166666</v>
      </c>
      <c r="B28345" t="str">
        <f>HYPERLINK("https://twitter.com/menangin_aku","@menangin_aku")</f>
        <v>@menangin_aku</v>
      </c>
      <c r="C28345" t="s">
        <v>9123</v>
      </c>
      <c r="D28345">
        <v>196</v>
      </c>
      <c r="E28345">
        <v>0</v>
      </c>
      <c r="F28345">
        <v>453</v>
      </c>
    </row>
    <row r="28346" spans="1:6" ht="12.75">
      <c r="A28346" s="2">
        <v>43875.613819444443</v>
      </c>
      <c r="B28346" t="str">
        <f>HYPERLINK("https://twitter.com/chocogranulle","@chocogranulle")</f>
        <v>@chocogranulle</v>
      </c>
      <c r="C28346" t="s">
        <v>12347</v>
      </c>
      <c r="D28346">
        <v>0</v>
      </c>
      <c r="E28346">
        <v>0</v>
      </c>
      <c r="F28346">
        <v>280</v>
      </c>
    </row>
    <row r="28347" spans="1:6" ht="12.75">
      <c r="A28347" s="2">
        <v>43875.613773148143</v>
      </c>
      <c r="B28347" t="str">
        <f>HYPERLINK("https://twitter.com/Coffee2Talks","@Coffee2Talks")</f>
        <v>@Coffee2Talks</v>
      </c>
      <c r="C28347" t="s">
        <v>12434</v>
      </c>
      <c r="D28347">
        <v>0</v>
      </c>
      <c r="E28347">
        <v>0</v>
      </c>
      <c r="F28347">
        <v>82</v>
      </c>
    </row>
    <row r="28348" spans="1:6" ht="12.75">
      <c r="A28348" s="2">
        <v>43875.613761574074</v>
      </c>
      <c r="B28348" t="str">
        <f>HYPERLINK("https://twitter.com/leonrd28_","@leonrd28_")</f>
        <v>@leonrd28_</v>
      </c>
      <c r="C28348" t="s">
        <v>10319</v>
      </c>
      <c r="D28348">
        <v>156</v>
      </c>
      <c r="E28348">
        <v>0</v>
      </c>
      <c r="F28348">
        <v>98</v>
      </c>
    </row>
    <row r="28349" spans="1:6" ht="12.75">
      <c r="A28349" s="2">
        <v>43875.613680555558</v>
      </c>
      <c r="B28349" t="str">
        <f>HYPERLINK("https://twitter.com/Dhebot91","@Dhebot91")</f>
        <v>@Dhebot91</v>
      </c>
      <c r="C28349" t="s">
        <v>12435</v>
      </c>
      <c r="D28349">
        <v>0</v>
      </c>
      <c r="E28349">
        <v>0</v>
      </c>
      <c r="F28349">
        <v>479</v>
      </c>
    </row>
    <row r="28350" spans="1:6" ht="12.75">
      <c r="A28350" s="2">
        <v>43875.613564814819</v>
      </c>
      <c r="B28350" t="str">
        <f>HYPERLINK("https://twitter.com/vivanewscom","@vivanewscom")</f>
        <v>@vivanewscom</v>
      </c>
      <c r="C28350" t="s">
        <v>12436</v>
      </c>
      <c r="D28350">
        <v>1</v>
      </c>
      <c r="E28350">
        <v>1</v>
      </c>
      <c r="F28350">
        <v>4068</v>
      </c>
    </row>
    <row r="28351" spans="1:6" ht="12.75">
      <c r="A28351" s="2">
        <v>43875.613553240742</v>
      </c>
      <c r="B28351" t="str">
        <f>HYPERLINK("https://twitter.com/JmJovial","@JmJovial")</f>
        <v>@JmJovial</v>
      </c>
      <c r="C28351" t="s">
        <v>2963</v>
      </c>
      <c r="D28351">
        <v>871</v>
      </c>
      <c r="E28351">
        <v>0</v>
      </c>
      <c r="F28351">
        <v>1412</v>
      </c>
    </row>
    <row r="28352" spans="1:6" ht="12.75">
      <c r="A28352" s="2">
        <v>43875.613530092596</v>
      </c>
      <c r="B28352" t="str">
        <f>HYPERLINK("https://twitter.com/Coffee2Talks","@Coffee2Talks")</f>
        <v>@Coffee2Talks</v>
      </c>
      <c r="C28352" t="s">
        <v>12437</v>
      </c>
      <c r="D28352">
        <v>0</v>
      </c>
      <c r="E28352">
        <v>1</v>
      </c>
      <c r="F28352">
        <v>82</v>
      </c>
    </row>
    <row r="28353" spans="1:6" ht="12.75">
      <c r="A28353" s="2">
        <v>43875.613530092596</v>
      </c>
      <c r="B28353" t="str">
        <f>HYPERLINK("https://twitter.com/setiaar25","@setiaar25")</f>
        <v>@setiaar25</v>
      </c>
      <c r="C28353" t="s">
        <v>9147</v>
      </c>
      <c r="D28353">
        <v>15</v>
      </c>
      <c r="E28353">
        <v>0</v>
      </c>
      <c r="F28353">
        <v>87</v>
      </c>
    </row>
    <row r="28354" spans="1:6" ht="12.75">
      <c r="A28354" s="2">
        <v>43875.613518518519</v>
      </c>
      <c r="B28354" t="str">
        <f>HYPERLINK("https://twitter.com/Coffee2Talks","@Coffee2Talks")</f>
        <v>@Coffee2Talks</v>
      </c>
      <c r="C28354" t="s">
        <v>12438</v>
      </c>
      <c r="D28354">
        <v>0</v>
      </c>
      <c r="E28354">
        <v>0</v>
      </c>
      <c r="F28354">
        <v>82</v>
      </c>
    </row>
    <row r="28355" spans="1:6" ht="12.75">
      <c r="A28355" s="2">
        <v>43875.613506944443</v>
      </c>
      <c r="B28355" t="str">
        <f>HYPERLINK("https://twitter.com/babyalpacca","@babyalpacca")</f>
        <v>@babyalpacca</v>
      </c>
      <c r="C28355" t="s">
        <v>2444</v>
      </c>
      <c r="D28355">
        <v>1239</v>
      </c>
      <c r="E28355">
        <v>0</v>
      </c>
      <c r="F28355">
        <v>18</v>
      </c>
    </row>
    <row r="28356" spans="1:6" ht="12.75">
      <c r="A28356" s="2">
        <v>43875.613483796296</v>
      </c>
      <c r="B28356" t="str">
        <f>HYPERLINK("https://twitter.com/ElloGAWN","@ElloGAWN")</f>
        <v>@ElloGAWN</v>
      </c>
      <c r="C28356" t="s">
        <v>9666</v>
      </c>
      <c r="D28356">
        <v>7</v>
      </c>
      <c r="E28356">
        <v>0</v>
      </c>
      <c r="F28356">
        <v>223</v>
      </c>
    </row>
    <row r="28357" spans="1:6" ht="12.75">
      <c r="A28357" s="2">
        <v>43875.613449074073</v>
      </c>
      <c r="B28357" t="str">
        <f>HYPERLINK("https://twitter.com/HensemSquidy","@HensemSquidy")</f>
        <v>@HensemSquidy</v>
      </c>
      <c r="C28357" t="s">
        <v>12439</v>
      </c>
      <c r="D28357">
        <v>0</v>
      </c>
      <c r="E28357">
        <v>0</v>
      </c>
      <c r="F28357">
        <v>3</v>
      </c>
    </row>
    <row r="28358" spans="1:6" ht="12.75">
      <c r="A28358" s="2">
        <v>43875.613344907411</v>
      </c>
      <c r="B28358" t="str">
        <f>HYPERLINK("https://twitter.com/abil_habibi","@abil_habibi")</f>
        <v>@abil_habibi</v>
      </c>
      <c r="C28358" t="s">
        <v>9147</v>
      </c>
      <c r="D28358">
        <v>15</v>
      </c>
      <c r="E28358">
        <v>0</v>
      </c>
      <c r="F28358">
        <v>1451</v>
      </c>
    </row>
    <row r="28359" spans="1:6" ht="12.75">
      <c r="A28359" s="2">
        <v>43875.613240740742</v>
      </c>
      <c r="B28359" t="str">
        <f>HYPERLINK("https://twitter.com/runnyfunny931","@runnyfunny931")</f>
        <v>@runnyfunny931</v>
      </c>
      <c r="C28359" t="s">
        <v>2444</v>
      </c>
      <c r="D28359">
        <v>1240</v>
      </c>
      <c r="E28359">
        <v>0</v>
      </c>
      <c r="F28359">
        <v>15</v>
      </c>
    </row>
    <row r="28360" spans="1:6" ht="12.75">
      <c r="A28360" s="2">
        <v>43875.613217592589</v>
      </c>
      <c r="B28360" t="str">
        <f>HYPERLINK("https://twitter.com/midgard369","@midgard369")</f>
        <v>@midgard369</v>
      </c>
      <c r="C28360" t="s">
        <v>12440</v>
      </c>
      <c r="D28360">
        <v>0</v>
      </c>
      <c r="E28360">
        <v>0</v>
      </c>
      <c r="F28360">
        <v>2529</v>
      </c>
    </row>
    <row r="28361" spans="1:6" ht="12.75">
      <c r="A28361" s="2">
        <v>43875.61314814815</v>
      </c>
      <c r="B28361" t="str">
        <f>HYPERLINK("https://twitter.com/Aizous1","@Aizous1")</f>
        <v>@Aizous1</v>
      </c>
      <c r="C28361" t="s">
        <v>12441</v>
      </c>
      <c r="D28361">
        <v>0</v>
      </c>
      <c r="E28361">
        <v>0</v>
      </c>
      <c r="F28361">
        <v>9</v>
      </c>
    </row>
    <row r="28362" spans="1:6" ht="12.75">
      <c r="A28362" s="2">
        <v>43875.613125000003</v>
      </c>
      <c r="B28362" t="str">
        <f>HYPERLINK("https://twitter.com/SujudAde","@SujudAde")</f>
        <v>@SujudAde</v>
      </c>
      <c r="C28362" t="s">
        <v>12442</v>
      </c>
      <c r="D28362">
        <v>0</v>
      </c>
      <c r="E28362">
        <v>0</v>
      </c>
      <c r="F28362">
        <v>871</v>
      </c>
    </row>
    <row r="28363" spans="1:6" ht="12.75">
      <c r="A28363" s="2">
        <v>43875.613055555557</v>
      </c>
      <c r="B28363" t="str">
        <f>HYPERLINK("https://twitter.com/Luliany73","@Luliany73")</f>
        <v>@Luliany73</v>
      </c>
      <c r="C28363" t="s">
        <v>10542</v>
      </c>
      <c r="D28363">
        <v>144</v>
      </c>
      <c r="E28363">
        <v>0</v>
      </c>
      <c r="F28363">
        <v>533</v>
      </c>
    </row>
    <row r="28364" spans="1:6" ht="12.75">
      <c r="A28364" s="2">
        <v>43875.613043981481</v>
      </c>
      <c r="B28364" t="str">
        <f>HYPERLINK("https://twitter.com/aannisaid","@aannisaid")</f>
        <v>@aannisaid</v>
      </c>
      <c r="C28364" t="s">
        <v>2444</v>
      </c>
      <c r="D28364">
        <v>1240</v>
      </c>
      <c r="E28364">
        <v>0</v>
      </c>
      <c r="F28364">
        <v>234</v>
      </c>
    </row>
    <row r="28365" spans="1:6" ht="12.75">
      <c r="A28365" s="2">
        <v>43875.612951388888</v>
      </c>
      <c r="B28365" t="str">
        <f>HYPERLINK("https://twitter.com/wellfinetoday","@wellfinetoday")</f>
        <v>@wellfinetoday</v>
      </c>
      <c r="C28365" t="s">
        <v>12443</v>
      </c>
      <c r="D28365">
        <v>4</v>
      </c>
      <c r="E28365">
        <v>0</v>
      </c>
      <c r="F28365">
        <v>1040</v>
      </c>
    </row>
    <row r="28366" spans="1:6" ht="12.75">
      <c r="A28366" s="2">
        <v>43875.612858796296</v>
      </c>
      <c r="B28366" t="str">
        <f>HYPERLINK("https://twitter.com/felisyuh","@felisyuh")</f>
        <v>@felisyuh</v>
      </c>
      <c r="C28366" t="s">
        <v>5168</v>
      </c>
      <c r="D28366">
        <v>693</v>
      </c>
      <c r="E28366">
        <v>0</v>
      </c>
      <c r="F28366">
        <v>736</v>
      </c>
    </row>
    <row r="28367" spans="1:6" ht="12.75">
      <c r="A28367" s="2">
        <v>43875.612847222219</v>
      </c>
      <c r="B28367" t="str">
        <f>HYPERLINK("https://twitter.com/AgusHal87495364","@AgusHal87495364")</f>
        <v>@AgusHal87495364</v>
      </c>
      <c r="C28367" t="s">
        <v>12444</v>
      </c>
      <c r="D28367">
        <v>0</v>
      </c>
      <c r="E28367">
        <v>0</v>
      </c>
      <c r="F28367">
        <v>6</v>
      </c>
    </row>
    <row r="28368" spans="1:6" ht="12.75">
      <c r="A28368" s="2">
        <v>43875.612789351857</v>
      </c>
      <c r="B28368" t="str">
        <f>HYPERLINK("https://twitter.com/ZPanyalai","@ZPanyalai")</f>
        <v>@ZPanyalai</v>
      </c>
      <c r="C28368" t="s">
        <v>7478</v>
      </c>
      <c r="D28368">
        <v>137</v>
      </c>
      <c r="E28368">
        <v>0</v>
      </c>
      <c r="F28368">
        <v>4922</v>
      </c>
    </row>
    <row r="28369" spans="1:6" ht="12.75">
      <c r="A28369" s="2">
        <v>43875.612743055557</v>
      </c>
      <c r="B28369" t="str">
        <f>HYPERLINK("https://twitter.com/YovitaPuspitas2","@YovitaPuspitas2")</f>
        <v>@YovitaPuspitas2</v>
      </c>
      <c r="C28369" t="s">
        <v>2963</v>
      </c>
      <c r="D28369">
        <v>871</v>
      </c>
      <c r="E28369">
        <v>0</v>
      </c>
      <c r="F28369">
        <v>0</v>
      </c>
    </row>
    <row r="28370" spans="1:6" ht="12.75">
      <c r="A28370" s="2">
        <v>43875.612743055557</v>
      </c>
      <c r="B28370" t="str">
        <f>HYPERLINK("https://twitter.com/chenawoo","@chenawoo")</f>
        <v>@chenawoo</v>
      </c>
      <c r="C28370" t="s">
        <v>2137</v>
      </c>
      <c r="D28370">
        <v>99</v>
      </c>
      <c r="E28370">
        <v>0</v>
      </c>
      <c r="F28370">
        <v>203</v>
      </c>
    </row>
    <row r="28371" spans="1:6" ht="12.75">
      <c r="A28371" s="2">
        <v>43875.612696759257</v>
      </c>
      <c r="B28371" t="str">
        <f>HYPERLINK("https://twitter.com/mmmumuw","@mmmumuw")</f>
        <v>@mmmumuw</v>
      </c>
      <c r="C28371" t="s">
        <v>12445</v>
      </c>
      <c r="D28371">
        <v>0</v>
      </c>
      <c r="E28371">
        <v>1</v>
      </c>
      <c r="F28371">
        <v>264</v>
      </c>
    </row>
    <row r="28372" spans="1:6" ht="12.75">
      <c r="A28372" s="2">
        <v>43875.612662037034</v>
      </c>
      <c r="B28372" t="str">
        <f>HYPERLINK("https://twitter.com/premchoudhary_","@premchoudhary_")</f>
        <v>@premchoudhary_</v>
      </c>
      <c r="C28372" t="s">
        <v>10000</v>
      </c>
      <c r="D28372">
        <v>598</v>
      </c>
      <c r="E28372">
        <v>0</v>
      </c>
      <c r="F28372">
        <v>2813</v>
      </c>
    </row>
    <row r="28373" spans="1:6" ht="12.75">
      <c r="A28373" s="2">
        <v>43875.612557870365</v>
      </c>
      <c r="B28373" t="str">
        <f>HYPERLINK("https://twitter.com/Lucky_Aprilia04","@Lucky_Aprilia04")</f>
        <v>@Lucky_Aprilia04</v>
      </c>
      <c r="C28373" t="s">
        <v>2444</v>
      </c>
      <c r="D28373">
        <v>1240</v>
      </c>
      <c r="E28373">
        <v>0</v>
      </c>
      <c r="F28373">
        <v>141</v>
      </c>
    </row>
    <row r="28374" spans="1:6" ht="12.75">
      <c r="A28374" s="2">
        <v>43875.612500000003</v>
      </c>
      <c r="B28374" t="str">
        <f>HYPERLINK("https://twitter.com/ayneeddu","@ayneeddu")</f>
        <v>@ayneeddu</v>
      </c>
      <c r="C28374" t="s">
        <v>12446</v>
      </c>
      <c r="D28374">
        <v>0</v>
      </c>
      <c r="E28374">
        <v>0</v>
      </c>
      <c r="F28374">
        <v>146</v>
      </c>
    </row>
    <row r="28375" spans="1:6" ht="12.75">
      <c r="A28375" s="2">
        <v>43875.612476851849</v>
      </c>
      <c r="B28375" t="str">
        <f>HYPERLINK("https://twitter.com/Ayu2004_","@Ayu2004_")</f>
        <v>@Ayu2004_</v>
      </c>
      <c r="C28375" t="s">
        <v>9123</v>
      </c>
      <c r="D28375">
        <v>196</v>
      </c>
      <c r="E28375">
        <v>0</v>
      </c>
      <c r="F28375">
        <v>119</v>
      </c>
    </row>
    <row r="28376" spans="1:6" ht="12.75">
      <c r="A28376" s="2">
        <v>43875.612442129626</v>
      </c>
      <c r="B28376" t="str">
        <f>HYPERLINK("https://twitter.com/1308_njm","@1308_njm")</f>
        <v>@1308_njm</v>
      </c>
      <c r="C28376" t="s">
        <v>2137</v>
      </c>
      <c r="D28376">
        <v>99</v>
      </c>
      <c r="E28376">
        <v>0</v>
      </c>
      <c r="F28376">
        <v>1949</v>
      </c>
    </row>
    <row r="28377" spans="1:6" ht="12.75">
      <c r="A28377" s="2">
        <v>43875.612442129626</v>
      </c>
      <c r="B28377" t="str">
        <f>HYPERLINK("https://twitter.com/bonanumbawan","@bonanumbawan")</f>
        <v>@bonanumbawan</v>
      </c>
      <c r="C28377" t="s">
        <v>5168</v>
      </c>
      <c r="D28377">
        <v>693</v>
      </c>
      <c r="E28377">
        <v>0</v>
      </c>
      <c r="F28377">
        <v>70</v>
      </c>
    </row>
    <row r="28378" spans="1:6" ht="12.75">
      <c r="A28378" s="2">
        <v>43875.61241898148</v>
      </c>
      <c r="B28378" t="str">
        <f>HYPERLINK("https://twitter.com/04_adisetiawan","@04_adisetiawan")</f>
        <v>@04_adisetiawan</v>
      </c>
      <c r="C28378" t="s">
        <v>2963</v>
      </c>
      <c r="D28378">
        <v>871</v>
      </c>
      <c r="E28378">
        <v>0</v>
      </c>
      <c r="F28378">
        <v>150</v>
      </c>
    </row>
    <row r="28379" spans="1:6" ht="12.75">
      <c r="A28379" s="2">
        <v>43875.612326388888</v>
      </c>
      <c r="B28379" t="str">
        <f>HYPERLINK("https://twitter.com/AhmadRi24953035","@AhmadRi24953035")</f>
        <v>@AhmadRi24953035</v>
      </c>
      <c r="C28379" t="s">
        <v>12447</v>
      </c>
      <c r="D28379">
        <v>0</v>
      </c>
      <c r="E28379">
        <v>0</v>
      </c>
      <c r="F28379">
        <v>373</v>
      </c>
    </row>
    <row r="28380" spans="1:6" ht="12.75">
      <c r="A28380" s="2">
        <v>43875.612268518518</v>
      </c>
      <c r="B28380" t="str">
        <f>HYPERLINK("https://twitter.com/chenawoo","@chenawoo")</f>
        <v>@chenawoo</v>
      </c>
      <c r="C28380" t="s">
        <v>9123</v>
      </c>
      <c r="D28380">
        <v>196</v>
      </c>
      <c r="E28380">
        <v>0</v>
      </c>
      <c r="F28380">
        <v>203</v>
      </c>
    </row>
    <row r="28381" spans="1:6" ht="12.75">
      <c r="A28381" s="2">
        <v>43875.612256944441</v>
      </c>
      <c r="B28381" t="str">
        <f>HYPERLINK("https://twitter.com/AanHasa30530819","@AanHasa30530819")</f>
        <v>@AanHasa30530819</v>
      </c>
      <c r="C28381" t="s">
        <v>9147</v>
      </c>
      <c r="D28381">
        <v>15</v>
      </c>
      <c r="E28381">
        <v>0</v>
      </c>
      <c r="F28381">
        <v>21</v>
      </c>
    </row>
    <row r="28382" spans="1:6" ht="12.75">
      <c r="A28382" s="2">
        <v>43875.612187499995</v>
      </c>
      <c r="B28382" t="str">
        <f>HYPERLINK("https://twitter.com/riagustinee","@riagustinee")</f>
        <v>@riagustinee</v>
      </c>
      <c r="C28382" t="s">
        <v>2444</v>
      </c>
      <c r="D28382">
        <v>1240</v>
      </c>
      <c r="E28382">
        <v>0</v>
      </c>
      <c r="F28382">
        <v>38</v>
      </c>
    </row>
    <row r="28383" spans="1:6" ht="12.75">
      <c r="A28383" s="2">
        <v>43875.612187499995</v>
      </c>
      <c r="B28383" t="str">
        <f>HYPERLINK("https://twitter.com/lukasomanalu","@lukasomanalu")</f>
        <v>@lukasomanalu</v>
      </c>
      <c r="C28383" t="s">
        <v>12448</v>
      </c>
      <c r="D28383">
        <v>0</v>
      </c>
      <c r="E28383">
        <v>0</v>
      </c>
      <c r="F28383">
        <v>488</v>
      </c>
    </row>
    <row r="28384" spans="1:6" ht="12.75">
      <c r="A28384" s="2">
        <v>43875.612187499995</v>
      </c>
      <c r="B28384" t="str">
        <f>HYPERLINK("https://twitter.com/Lucky_Aprilia04","@Lucky_Aprilia04")</f>
        <v>@Lucky_Aprilia04</v>
      </c>
      <c r="C28384" t="s">
        <v>9123</v>
      </c>
      <c r="D28384">
        <v>196</v>
      </c>
      <c r="E28384">
        <v>0</v>
      </c>
      <c r="F28384">
        <v>141</v>
      </c>
    </row>
    <row r="28385" spans="1:6" ht="12.75">
      <c r="A28385" s="2">
        <v>43875.612187499995</v>
      </c>
      <c r="B28385" t="str">
        <f>HYPERLINK("https://twitter.com/meowleoo","@meowleoo")</f>
        <v>@meowleoo</v>
      </c>
      <c r="C28385" t="s">
        <v>2444</v>
      </c>
      <c r="D28385">
        <v>1240</v>
      </c>
      <c r="E28385">
        <v>0</v>
      </c>
      <c r="F28385">
        <v>179</v>
      </c>
    </row>
    <row r="28386" spans="1:6" ht="12.75">
      <c r="A28386" s="2">
        <v>43875.612175925926</v>
      </c>
      <c r="B28386" t="str">
        <f>HYPERLINK("https://twitter.com/obitalay_","@obitalay_")</f>
        <v>@obitalay_</v>
      </c>
      <c r="C28386" t="s">
        <v>8233</v>
      </c>
      <c r="D28386">
        <v>454</v>
      </c>
      <c r="E28386">
        <v>0</v>
      </c>
      <c r="F28386">
        <v>46</v>
      </c>
    </row>
    <row r="28387" spans="1:6" ht="12.75">
      <c r="A28387" s="2">
        <v>43875.61215277778</v>
      </c>
      <c r="B28387" t="str">
        <f>HYPERLINK("https://twitter.com/chocogranulle","@chocogranulle")</f>
        <v>@chocogranulle</v>
      </c>
      <c r="C28387" t="s">
        <v>2444</v>
      </c>
      <c r="D28387">
        <v>1240</v>
      </c>
      <c r="E28387">
        <v>0</v>
      </c>
      <c r="F28387">
        <v>280</v>
      </c>
    </row>
    <row r="28388" spans="1:6" ht="12.75">
      <c r="A28388" s="2">
        <v>43875.612141203703</v>
      </c>
      <c r="B28388" t="str">
        <f>HYPERLINK("https://twitter.com/Rido_Lizze","@Rido_Lizze")</f>
        <v>@Rido_Lizze</v>
      </c>
      <c r="C28388" t="s">
        <v>10739</v>
      </c>
      <c r="D28388">
        <v>233</v>
      </c>
      <c r="E28388">
        <v>0</v>
      </c>
      <c r="F28388">
        <v>1303</v>
      </c>
    </row>
    <row r="28389" spans="1:6" ht="12.75">
      <c r="A28389" s="2">
        <v>43875.612141203703</v>
      </c>
      <c r="B28389" t="str">
        <f>HYPERLINK("https://twitter.com/AkhyasTaufik","@AkhyasTaufik")</f>
        <v>@AkhyasTaufik</v>
      </c>
      <c r="C28389" t="s">
        <v>7478</v>
      </c>
      <c r="D28389">
        <v>137</v>
      </c>
      <c r="E28389">
        <v>0</v>
      </c>
      <c r="F28389">
        <v>130</v>
      </c>
    </row>
    <row r="28390" spans="1:6" ht="12.75">
      <c r="A28390" s="2">
        <v>43875.612071759257</v>
      </c>
      <c r="B28390" t="str">
        <f>HYPERLINK("https://twitter.com/dikanp","@dikanp")</f>
        <v>@dikanp</v>
      </c>
      <c r="C28390" t="s">
        <v>2444</v>
      </c>
      <c r="D28390">
        <v>1240</v>
      </c>
      <c r="E28390">
        <v>0</v>
      </c>
      <c r="F28390">
        <v>605</v>
      </c>
    </row>
    <row r="28391" spans="1:6" ht="12.75">
      <c r="A28391" s="2">
        <v>43875.612071759257</v>
      </c>
      <c r="B28391" t="str">
        <f>HYPERLINK("https://twitter.com/masadamsahid","@masadamsahid")</f>
        <v>@masadamsahid</v>
      </c>
      <c r="C28391" t="s">
        <v>12449</v>
      </c>
      <c r="D28391">
        <v>0</v>
      </c>
      <c r="E28391">
        <v>0</v>
      </c>
      <c r="F28391">
        <v>7</v>
      </c>
    </row>
    <row r="28392" spans="1:6" ht="12.75">
      <c r="A28392" s="2">
        <v>43875.612002314811</v>
      </c>
      <c r="B28392" t="str">
        <f>HYPERLINK("https://twitter.com/masmaskantoran","@masmaskantoran")</f>
        <v>@masmaskantoran</v>
      </c>
      <c r="C28392" t="s">
        <v>8233</v>
      </c>
      <c r="D28392">
        <v>454</v>
      </c>
      <c r="E28392">
        <v>0</v>
      </c>
      <c r="F28392">
        <v>15</v>
      </c>
    </row>
    <row r="28393" spans="1:6" ht="12.75">
      <c r="A28393" s="2">
        <v>43875.611921296295</v>
      </c>
      <c r="B28393" t="str">
        <f>HYPERLINK("https://twitter.com/Ayu2004_","@Ayu2004_")</f>
        <v>@Ayu2004_</v>
      </c>
      <c r="C28393" t="s">
        <v>2444</v>
      </c>
      <c r="D28393">
        <v>1240</v>
      </c>
      <c r="E28393">
        <v>0</v>
      </c>
      <c r="F28393">
        <v>119</v>
      </c>
    </row>
    <row r="28394" spans="1:6" ht="12.75">
      <c r="A28394" s="2">
        <v>43875.611886574072</v>
      </c>
      <c r="B28394" t="str">
        <f>HYPERLINK("https://twitter.com/ridwan_skly","@ridwan_skly")</f>
        <v>@ridwan_skly</v>
      </c>
      <c r="C28394" t="s">
        <v>11425</v>
      </c>
      <c r="D28394">
        <v>223</v>
      </c>
      <c r="E28394">
        <v>0</v>
      </c>
      <c r="F28394">
        <v>162</v>
      </c>
    </row>
    <row r="28395" spans="1:6" ht="12.75">
      <c r="A28395" s="2">
        <v>43875.611817129626</v>
      </c>
      <c r="B28395" t="str">
        <f>HYPERLINK("https://twitter.com/10969dion","@10969dion")</f>
        <v>@10969dion</v>
      </c>
      <c r="C28395" t="s">
        <v>175</v>
      </c>
      <c r="D28395">
        <v>5277</v>
      </c>
      <c r="E28395">
        <v>0</v>
      </c>
      <c r="F28395">
        <v>161</v>
      </c>
    </row>
    <row r="28396" spans="1:6" ht="12.75">
      <c r="A28396" s="2">
        <v>43875.611747685187</v>
      </c>
      <c r="B28396" t="str">
        <f>HYPERLINK("https://twitter.com/babgei1971","@babgei1971")</f>
        <v>@babgei1971</v>
      </c>
      <c r="C28396" t="s">
        <v>10407</v>
      </c>
      <c r="D28396">
        <v>49</v>
      </c>
      <c r="E28396">
        <v>0</v>
      </c>
      <c r="F28396">
        <v>589</v>
      </c>
    </row>
    <row r="28397" spans="1:6" ht="12.75">
      <c r="A28397" s="2">
        <v>43875.611724537041</v>
      </c>
      <c r="B28397" t="str">
        <f>HYPERLINK("https://twitter.com/Bigbacot","@Bigbacot")</f>
        <v>@Bigbacot</v>
      </c>
      <c r="C28397" t="s">
        <v>10542</v>
      </c>
      <c r="D28397">
        <v>144</v>
      </c>
      <c r="E28397">
        <v>0</v>
      </c>
      <c r="F28397">
        <v>378</v>
      </c>
    </row>
    <row r="28398" spans="1:6" ht="12.75">
      <c r="A28398" s="2">
        <v>43875.611689814818</v>
      </c>
      <c r="B28398" t="str">
        <f>HYPERLINK("https://twitter.com/rnsrch","@rnsrch")</f>
        <v>@rnsrch</v>
      </c>
      <c r="C28398" t="s">
        <v>2444</v>
      </c>
      <c r="D28398">
        <v>1240</v>
      </c>
      <c r="E28398">
        <v>0</v>
      </c>
      <c r="F28398">
        <v>165</v>
      </c>
    </row>
    <row r="28399" spans="1:6" ht="12.75">
      <c r="A28399" s="2">
        <v>43875.611678240741</v>
      </c>
      <c r="B28399" t="str">
        <f>HYPERLINK("https://twitter.com/p_pasopati","@p_pasopati")</f>
        <v>@p_pasopati</v>
      </c>
      <c r="C28399" t="s">
        <v>9746</v>
      </c>
      <c r="D28399">
        <v>180</v>
      </c>
      <c r="E28399">
        <v>0</v>
      </c>
      <c r="F28399">
        <v>803</v>
      </c>
    </row>
    <row r="28400" spans="1:6" ht="12.75">
      <c r="A28400" s="2">
        <v>43875.611620370371</v>
      </c>
      <c r="B28400" t="str">
        <f>HYPERLINK("https://twitter.com/buzzneonlight","@buzzneonlight")</f>
        <v>@buzzneonlight</v>
      </c>
      <c r="C28400" t="s">
        <v>2444</v>
      </c>
      <c r="D28400">
        <v>1240</v>
      </c>
      <c r="E28400">
        <v>0</v>
      </c>
      <c r="F28400">
        <v>28</v>
      </c>
    </row>
    <row r="28401" spans="1:6" ht="12.75">
      <c r="A28401" s="2">
        <v>43875.611597222218</v>
      </c>
      <c r="B28401" t="str">
        <f>HYPERLINK("https://twitter.com/rejananaala","@rejananaala")</f>
        <v>@rejananaala</v>
      </c>
      <c r="C28401" t="s">
        <v>12450</v>
      </c>
      <c r="D28401">
        <v>80</v>
      </c>
      <c r="E28401">
        <v>0</v>
      </c>
      <c r="F28401">
        <v>470</v>
      </c>
    </row>
    <row r="28402" spans="1:6" ht="12.75">
      <c r="A28402" s="2">
        <v>43875.611585648148</v>
      </c>
      <c r="B28402" t="str">
        <f>HYPERLINK("https://twitter.com/apahabarcom","@apahabarcom")</f>
        <v>@apahabarcom</v>
      </c>
      <c r="C28402" t="s">
        <v>12451</v>
      </c>
      <c r="D28402">
        <v>0</v>
      </c>
      <c r="E28402">
        <v>0</v>
      </c>
      <c r="F28402">
        <v>99</v>
      </c>
    </row>
    <row r="28403" spans="1:6" ht="12.75">
      <c r="A28403" s="2">
        <v>43875.611562499995</v>
      </c>
      <c r="B28403" t="str">
        <f>HYPERLINK("https://twitter.com/chocogranulle","@chocogranulle")</f>
        <v>@chocogranulle</v>
      </c>
      <c r="C28403" t="s">
        <v>9123</v>
      </c>
      <c r="D28403">
        <v>196</v>
      </c>
      <c r="E28403">
        <v>0</v>
      </c>
      <c r="F28403">
        <v>280</v>
      </c>
    </row>
    <row r="28404" spans="1:6" ht="12.75">
      <c r="A28404" s="2">
        <v>43875.611550925925</v>
      </c>
      <c r="B28404" t="str">
        <f>HYPERLINK("https://twitter.com/midgard369","@midgard369")</f>
        <v>@midgard369</v>
      </c>
      <c r="C28404" t="s">
        <v>9539</v>
      </c>
      <c r="D28404">
        <v>5</v>
      </c>
      <c r="E28404">
        <v>0</v>
      </c>
      <c r="F28404">
        <v>2529</v>
      </c>
    </row>
    <row r="28405" spans="1:6" ht="12.75">
      <c r="A28405" s="2">
        <v>43875.611504629633</v>
      </c>
      <c r="B28405" t="str">
        <f>HYPERLINK("https://twitter.com/septiarininh","@septiarininh")</f>
        <v>@septiarininh</v>
      </c>
      <c r="C28405" t="s">
        <v>9998</v>
      </c>
      <c r="D28405">
        <v>98</v>
      </c>
      <c r="E28405">
        <v>0</v>
      </c>
      <c r="F28405">
        <v>292</v>
      </c>
    </row>
    <row r="28406" spans="1:6" ht="12.75">
      <c r="A28406" s="2">
        <v>43875.61146990741</v>
      </c>
      <c r="B28406" t="str">
        <f>HYPERLINK("https://twitter.com/the_magdalene","@the_magdalene")</f>
        <v>@the_magdalene</v>
      </c>
      <c r="C28406" t="s">
        <v>12452</v>
      </c>
      <c r="D28406">
        <v>2</v>
      </c>
      <c r="E28406">
        <v>2</v>
      </c>
      <c r="F28406">
        <v>55785</v>
      </c>
    </row>
    <row r="28407" spans="1:6" ht="12.75">
      <c r="A28407" s="2">
        <v>43875.611458333333</v>
      </c>
      <c r="B28407" t="str">
        <f>HYPERLINK("https://twitter.com/ElshintaSby","@ElshintaSby")</f>
        <v>@ElshintaSby</v>
      </c>
      <c r="C28407" t="s">
        <v>12443</v>
      </c>
      <c r="D28407">
        <v>4</v>
      </c>
      <c r="E28407">
        <v>0</v>
      </c>
      <c r="F28407">
        <v>3503</v>
      </c>
    </row>
    <row r="28408" spans="1:6" ht="12.75">
      <c r="A28408" s="2">
        <v>43875.611458333333</v>
      </c>
      <c r="B28408" t="str">
        <f>HYPERLINK("https://twitter.com/midgard369","@midgard369")</f>
        <v>@midgard369</v>
      </c>
      <c r="C28408" t="s">
        <v>5761</v>
      </c>
      <c r="D28408">
        <v>54</v>
      </c>
      <c r="E28408">
        <v>0</v>
      </c>
      <c r="F28408">
        <v>2529</v>
      </c>
    </row>
    <row r="28409" spans="1:6" ht="12.75">
      <c r="A28409" s="2">
        <v>43875.611446759256</v>
      </c>
      <c r="B28409" t="str">
        <f>HYPERLINK("https://twitter.com/SujudAde","@SujudAde")</f>
        <v>@SujudAde</v>
      </c>
      <c r="C28409" t="s">
        <v>7478</v>
      </c>
      <c r="D28409">
        <v>137</v>
      </c>
      <c r="E28409">
        <v>0</v>
      </c>
      <c r="F28409">
        <v>871</v>
      </c>
    </row>
    <row r="28410" spans="1:6" ht="12.75">
      <c r="A28410" s="2">
        <v>43875.61137731481</v>
      </c>
      <c r="B28410" t="str">
        <f>HYPERLINK("https://twitter.com/umam_chaerul","@umam_chaerul")</f>
        <v>@umam_chaerul</v>
      </c>
      <c r="C28410" t="s">
        <v>9835</v>
      </c>
      <c r="D28410">
        <v>31</v>
      </c>
      <c r="E28410">
        <v>0</v>
      </c>
      <c r="F28410">
        <v>2881</v>
      </c>
    </row>
    <row r="28411" spans="1:6" ht="12.75">
      <c r="A28411" s="2">
        <v>43875.611342592594</v>
      </c>
      <c r="B28411" t="str">
        <f>HYPERLINK("https://twitter.com/ChristWamea","@ChristWamea")</f>
        <v>@ChristWamea</v>
      </c>
      <c r="C28411" t="s">
        <v>9377</v>
      </c>
      <c r="D28411">
        <v>14</v>
      </c>
      <c r="E28411">
        <v>0</v>
      </c>
      <c r="F28411">
        <v>27731</v>
      </c>
    </row>
    <row r="28412" spans="1:6" ht="12.75">
      <c r="A28412" s="2">
        <v>43875.611319444448</v>
      </c>
      <c r="B28412" t="str">
        <f>HYPERLINK("https://twitter.com/midgard369","@midgard369")</f>
        <v>@midgard369</v>
      </c>
      <c r="C28412" t="s">
        <v>10096</v>
      </c>
      <c r="D28412">
        <v>125</v>
      </c>
      <c r="E28412">
        <v>0</v>
      </c>
      <c r="F28412">
        <v>2529</v>
      </c>
    </row>
    <row r="28413" spans="1:6" ht="12.75">
      <c r="A28413" s="2">
        <v>43875.611296296294</v>
      </c>
      <c r="B28413" t="str">
        <f>HYPERLINK("https://twitter.com/Ayu2004_","@Ayu2004_")</f>
        <v>@Ayu2004_</v>
      </c>
      <c r="C28413" t="s">
        <v>11536</v>
      </c>
      <c r="D28413">
        <v>0</v>
      </c>
      <c r="E28413">
        <v>0</v>
      </c>
      <c r="F28413">
        <v>119</v>
      </c>
    </row>
    <row r="28414" spans="1:6" ht="12.75">
      <c r="A28414" s="2">
        <v>43875.611284722225</v>
      </c>
      <c r="B28414" t="str">
        <f>HYPERLINK("https://twitter.com/Edipurw61113168","@Edipurw61113168")</f>
        <v>@Edipurw61113168</v>
      </c>
      <c r="C28414" t="s">
        <v>10739</v>
      </c>
      <c r="D28414">
        <v>233</v>
      </c>
      <c r="E28414">
        <v>0</v>
      </c>
      <c r="F28414">
        <v>1194</v>
      </c>
    </row>
    <row r="28415" spans="1:6" ht="12.75">
      <c r="A28415" s="2">
        <v>43875.611203703702</v>
      </c>
      <c r="B28415" t="str">
        <f>HYPERLINK("https://twitter.com/Rido_Lizze","@Rido_Lizze")</f>
        <v>@Rido_Lizze</v>
      </c>
      <c r="C28415" t="s">
        <v>12453</v>
      </c>
      <c r="D28415">
        <v>0</v>
      </c>
      <c r="E28415">
        <v>0</v>
      </c>
      <c r="F28415">
        <v>1303</v>
      </c>
    </row>
    <row r="28416" spans="1:6" ht="12.75">
      <c r="A28416" s="2">
        <v>43875.611180555556</v>
      </c>
      <c r="B28416" t="str">
        <f>HYPERLINK("https://twitter.com/badaymasculine","@badaymasculine")</f>
        <v>@badaymasculine</v>
      </c>
      <c r="C28416" t="s">
        <v>2963</v>
      </c>
      <c r="D28416">
        <v>871</v>
      </c>
      <c r="E28416">
        <v>0</v>
      </c>
      <c r="F28416">
        <v>1694</v>
      </c>
    </row>
    <row r="28417" spans="1:6" ht="12.75">
      <c r="A28417" s="2">
        <v>43875.611168981486</v>
      </c>
      <c r="B28417" t="str">
        <f>HYPERLINK("https://twitter.com/A_Mardliyah","@A_Mardliyah")</f>
        <v>@A_Mardliyah</v>
      </c>
      <c r="C28417" t="s">
        <v>8233</v>
      </c>
      <c r="D28417">
        <v>454</v>
      </c>
      <c r="E28417">
        <v>0</v>
      </c>
      <c r="F28417">
        <v>56</v>
      </c>
    </row>
    <row r="28418" spans="1:6" ht="12.75">
      <c r="A28418" s="2">
        <v>43875.611145833333</v>
      </c>
      <c r="B28418" t="str">
        <f>HYPERLINK("https://twitter.com/Raline44271157","@Raline44271157")</f>
        <v>@Raline44271157</v>
      </c>
      <c r="C28418" t="s">
        <v>12454</v>
      </c>
      <c r="D28418">
        <v>0</v>
      </c>
      <c r="E28418">
        <v>0</v>
      </c>
      <c r="F28418">
        <v>0</v>
      </c>
    </row>
    <row r="28419" spans="1:6" ht="12.75">
      <c r="A28419" s="2">
        <v>43875.611122685186</v>
      </c>
      <c r="B28419" t="str">
        <f>HYPERLINK("https://twitter.com/ChristWamea","@ChristWamea")</f>
        <v>@ChristWamea</v>
      </c>
      <c r="C28419" t="s">
        <v>7478</v>
      </c>
      <c r="D28419">
        <v>137</v>
      </c>
      <c r="E28419">
        <v>0</v>
      </c>
      <c r="F28419">
        <v>27731</v>
      </c>
    </row>
    <row r="28420" spans="1:6" ht="12.75">
      <c r="A28420" s="2">
        <v>43875.610995370371</v>
      </c>
      <c r="B28420" t="str">
        <f>HYPERLINK("https://twitter.com/anuress","@anuress")</f>
        <v>@anuress</v>
      </c>
      <c r="C28420" t="s">
        <v>10710</v>
      </c>
      <c r="D28420">
        <v>20</v>
      </c>
      <c r="E28420">
        <v>0</v>
      </c>
      <c r="F28420">
        <v>318</v>
      </c>
    </row>
    <row r="28421" spans="1:6" ht="12.75">
      <c r="A28421" s="2">
        <v>43875.610949074078</v>
      </c>
      <c r="B28421" t="str">
        <f>HYPERLINK("https://twitter.com/ingridgloria","@ingridgloria")</f>
        <v>@ingridgloria</v>
      </c>
      <c r="C28421" t="s">
        <v>2963</v>
      </c>
      <c r="D28421">
        <v>871</v>
      </c>
      <c r="E28421">
        <v>0</v>
      </c>
      <c r="F28421">
        <v>452</v>
      </c>
    </row>
    <row r="28422" spans="1:6" ht="12.75">
      <c r="A28422" s="2">
        <v>43875.610752314809</v>
      </c>
      <c r="B28422" t="str">
        <f>HYPERLINK("https://twitter.com/mcdevx","@mcdevx")</f>
        <v>@mcdevx</v>
      </c>
      <c r="C28422" t="s">
        <v>10096</v>
      </c>
      <c r="D28422">
        <v>125</v>
      </c>
      <c r="E28422">
        <v>0</v>
      </c>
      <c r="F28422">
        <v>432</v>
      </c>
    </row>
    <row r="28423" spans="1:6" ht="12.75">
      <c r="A28423" s="2">
        <v>43875.610648148147</v>
      </c>
      <c r="B28423" t="str">
        <f>HYPERLINK("https://twitter.com/afterdinner7pm","@afterdinner7pm")</f>
        <v>@afterdinner7pm</v>
      </c>
      <c r="C28423" t="s">
        <v>12455</v>
      </c>
      <c r="D28423">
        <v>0</v>
      </c>
      <c r="E28423">
        <v>0</v>
      </c>
      <c r="F28423">
        <v>673</v>
      </c>
    </row>
    <row r="28424" spans="1:6" ht="12.75">
      <c r="A28424" s="2">
        <v>43875.610613425924</v>
      </c>
      <c r="B28424" t="str">
        <f>HYPERLINK("https://twitter.com/AlvaroDeBazan2","@AlvaroDeBazan2")</f>
        <v>@AlvaroDeBazan2</v>
      </c>
      <c r="C28424" t="s">
        <v>8233</v>
      </c>
      <c r="D28424">
        <v>454</v>
      </c>
      <c r="E28424">
        <v>0</v>
      </c>
      <c r="F28424">
        <v>247</v>
      </c>
    </row>
    <row r="28425" spans="1:6" ht="12.75">
      <c r="A28425" s="2">
        <v>43875.610567129625</v>
      </c>
      <c r="B28425" t="str">
        <f>HYPERLINK("https://twitter.com/ZoelFawzie","@ZoelFawzie")</f>
        <v>@ZoelFawzie</v>
      </c>
      <c r="C28425" t="s">
        <v>12456</v>
      </c>
      <c r="D28425">
        <v>0</v>
      </c>
      <c r="E28425">
        <v>0</v>
      </c>
      <c r="F28425">
        <v>5696</v>
      </c>
    </row>
    <row r="28426" spans="1:6" ht="12.75">
      <c r="A28426" s="2">
        <v>43875.610555555555</v>
      </c>
      <c r="B28426" t="str">
        <f>HYPERLINK("https://twitter.com/hasanngawi","@hasanngawi")</f>
        <v>@hasanngawi</v>
      </c>
      <c r="C28426" t="s">
        <v>9947</v>
      </c>
      <c r="D28426">
        <v>336</v>
      </c>
      <c r="E28426">
        <v>0</v>
      </c>
      <c r="F28426">
        <v>268</v>
      </c>
    </row>
    <row r="28427" spans="1:6" ht="12.75">
      <c r="A28427" s="2">
        <v>43875.610543981486</v>
      </c>
      <c r="B28427" t="str">
        <f>HYPERLINK("https://twitter.com/MMunirfm","@MMunirfm")</f>
        <v>@MMunirfm</v>
      </c>
      <c r="C28427" t="s">
        <v>2110</v>
      </c>
      <c r="D28427">
        <v>39</v>
      </c>
      <c r="E28427">
        <v>0</v>
      </c>
      <c r="F28427">
        <v>604</v>
      </c>
    </row>
    <row r="28428" spans="1:6" ht="12.75">
      <c r="A28428" s="2">
        <v>43875.610509259262</v>
      </c>
      <c r="B28428" t="str">
        <f>HYPERLINK("https://twitter.com/Dinarana9","@Dinarana9")</f>
        <v>@Dinarana9</v>
      </c>
      <c r="C28428" t="s">
        <v>12457</v>
      </c>
      <c r="D28428">
        <v>0</v>
      </c>
      <c r="E28428">
        <v>0</v>
      </c>
      <c r="F28428">
        <v>1</v>
      </c>
    </row>
    <row r="28429" spans="1:6" ht="12.75">
      <c r="A28429" s="2">
        <v>43875.610497685186</v>
      </c>
      <c r="B28429" t="str">
        <f>HYPERLINK("https://twitter.com/sentotakur","@sentotakur")</f>
        <v>@sentotakur</v>
      </c>
      <c r="C28429" t="s">
        <v>9746</v>
      </c>
      <c r="D28429">
        <v>180</v>
      </c>
      <c r="E28429">
        <v>0</v>
      </c>
      <c r="F28429">
        <v>69</v>
      </c>
    </row>
    <row r="28430" spans="1:6" ht="12.75">
      <c r="A28430" s="2">
        <v>43875.610439814816</v>
      </c>
      <c r="B28430" t="str">
        <f>HYPERLINK("https://twitter.com/strobaeries","@strobaeries")</f>
        <v>@strobaeries</v>
      </c>
      <c r="C28430" t="s">
        <v>2444</v>
      </c>
      <c r="D28430">
        <v>1240</v>
      </c>
      <c r="E28430">
        <v>0</v>
      </c>
      <c r="F28430">
        <v>1516</v>
      </c>
    </row>
    <row r="28431" spans="1:6" ht="12.75">
      <c r="A28431" s="2">
        <v>43875.610219907408</v>
      </c>
      <c r="B28431" t="str">
        <f>HYPERLINK("https://twitter.com/siti_julaeha50","@siti_julaeha50")</f>
        <v>@siti_julaeha50</v>
      </c>
      <c r="C28431" t="s">
        <v>2122</v>
      </c>
      <c r="D28431">
        <v>205</v>
      </c>
      <c r="E28431">
        <v>0</v>
      </c>
      <c r="F28431">
        <v>774</v>
      </c>
    </row>
    <row r="28432" spans="1:6" ht="12.75">
      <c r="A28432" s="2">
        <v>43875.610196759255</v>
      </c>
      <c r="B28432" t="str">
        <f>HYPERLINK("https://twitter.com/arizalmania","@arizalmania")</f>
        <v>@arizalmania</v>
      </c>
      <c r="C28432" t="s">
        <v>7478</v>
      </c>
      <c r="D28432">
        <v>137</v>
      </c>
      <c r="E28432">
        <v>0</v>
      </c>
      <c r="F28432">
        <v>1519</v>
      </c>
    </row>
    <row r="28433" spans="1:6" ht="12.75">
      <c r="A28433" s="2">
        <v>43875.610173611116</v>
      </c>
      <c r="B28433" t="str">
        <f>HYPERLINK("https://twitter.com/AhmadRi24953035","@AhmadRi24953035")</f>
        <v>@AhmadRi24953035</v>
      </c>
      <c r="C28433" t="s">
        <v>11292</v>
      </c>
      <c r="D28433">
        <v>2</v>
      </c>
      <c r="E28433">
        <v>0</v>
      </c>
      <c r="F28433">
        <v>373</v>
      </c>
    </row>
    <row r="28434" spans="1:6" ht="12.75">
      <c r="A28434" s="2">
        <v>43875.610173611116</v>
      </c>
      <c r="B28434" t="str">
        <f>HYPERLINK("https://twitter.com/xxpelangixx","@xxpelangixx")</f>
        <v>@xxpelangixx</v>
      </c>
      <c r="C28434" t="s">
        <v>9123</v>
      </c>
      <c r="D28434">
        <v>196</v>
      </c>
      <c r="E28434">
        <v>0</v>
      </c>
      <c r="F28434">
        <v>70</v>
      </c>
    </row>
    <row r="28435" spans="1:6" ht="12.75">
      <c r="A28435" s="2">
        <v>43875.61001157407</v>
      </c>
      <c r="B28435" t="str">
        <f>HYPERLINK("https://twitter.com/ardira_amd","@ardira_amd")</f>
        <v>@ardira_amd</v>
      </c>
      <c r="C28435" t="s">
        <v>12347</v>
      </c>
      <c r="D28435">
        <v>0</v>
      </c>
      <c r="E28435">
        <v>0</v>
      </c>
      <c r="F28435">
        <v>488</v>
      </c>
    </row>
    <row r="28436" spans="1:6" ht="12.75">
      <c r="A28436" s="2">
        <v>43875.609965277778</v>
      </c>
      <c r="B28436" t="str">
        <f>HYPERLINK("https://twitter.com/indrabudiwati","@indrabudiwati")</f>
        <v>@indrabudiwati</v>
      </c>
      <c r="C28436" t="s">
        <v>2963</v>
      </c>
      <c r="D28436">
        <v>871</v>
      </c>
      <c r="E28436">
        <v>0</v>
      </c>
      <c r="F28436">
        <v>4092</v>
      </c>
    </row>
    <row r="28437" spans="1:6" ht="12.75">
      <c r="A28437" s="2">
        <v>43875.609930555554</v>
      </c>
      <c r="B28437" t="str">
        <f>HYPERLINK("https://twitter.com/ayeshashb","@ayeshashb")</f>
        <v>@ayeshashb</v>
      </c>
      <c r="C28437" t="s">
        <v>5168</v>
      </c>
      <c r="D28437">
        <v>693</v>
      </c>
      <c r="E28437">
        <v>0</v>
      </c>
      <c r="F28437">
        <v>217</v>
      </c>
    </row>
    <row r="28438" spans="1:6" ht="12.75">
      <c r="A28438" s="2">
        <v>43875.609884259262</v>
      </c>
      <c r="B28438" t="str">
        <f>HYPERLINK("https://twitter.com/gembira683101","@gembira683101")</f>
        <v>@gembira683101</v>
      </c>
      <c r="C28438" t="s">
        <v>12458</v>
      </c>
      <c r="D28438">
        <v>41</v>
      </c>
      <c r="E28438">
        <v>0</v>
      </c>
      <c r="F28438">
        <v>194</v>
      </c>
    </row>
    <row r="28439" spans="1:6" ht="12.75">
      <c r="A28439" s="2">
        <v>43875.609803240739</v>
      </c>
      <c r="B28439" t="str">
        <f>HYPERLINK("https://twitter.com/kerupukkkaleng","@kerupukkkaleng")</f>
        <v>@kerupukkkaleng</v>
      </c>
      <c r="C28439" t="s">
        <v>2444</v>
      </c>
      <c r="D28439">
        <v>1240</v>
      </c>
      <c r="E28439">
        <v>0</v>
      </c>
      <c r="F28439">
        <v>1124</v>
      </c>
    </row>
    <row r="28440" spans="1:6" ht="12.75">
      <c r="A28440" s="2">
        <v>43875.609791666662</v>
      </c>
      <c r="B28440" t="str">
        <f>HYPERLINK("https://twitter.com/andy_ariv","@andy_ariv")</f>
        <v>@andy_ariv</v>
      </c>
      <c r="C28440" t="s">
        <v>12459</v>
      </c>
      <c r="D28440">
        <v>0</v>
      </c>
      <c r="E28440">
        <v>0</v>
      </c>
      <c r="F28440">
        <v>66</v>
      </c>
    </row>
    <row r="28441" spans="1:6" ht="12.75">
      <c r="A28441" s="2">
        <v>43875.609780092593</v>
      </c>
      <c r="B28441" t="str">
        <f>HYPERLINK("https://twitter.com/ardira_amd","@ardira_amd")</f>
        <v>@ardira_amd</v>
      </c>
      <c r="C28441" t="s">
        <v>11536</v>
      </c>
      <c r="D28441">
        <v>0</v>
      </c>
      <c r="E28441">
        <v>0</v>
      </c>
      <c r="F28441">
        <v>488</v>
      </c>
    </row>
    <row r="28442" spans="1:6" ht="12.75">
      <c r="A28442" s="2">
        <v>43875.609756944439</v>
      </c>
      <c r="B28442" t="str">
        <f>HYPERLINK("https://twitter.com/KompasTV","@KompasTV")</f>
        <v>@KompasTV</v>
      </c>
      <c r="C28442" t="s">
        <v>12460</v>
      </c>
      <c r="D28442">
        <v>1</v>
      </c>
      <c r="E28442">
        <v>5</v>
      </c>
      <c r="F28442">
        <v>2941140</v>
      </c>
    </row>
    <row r="28443" spans="1:6" ht="12.75">
      <c r="A28443" s="2">
        <v>43875.609618055554</v>
      </c>
      <c r="B28443" t="str">
        <f>HYPERLINK("https://twitter.com/linkarika","@linkarika")</f>
        <v>@linkarika</v>
      </c>
      <c r="C28443" t="s">
        <v>2096</v>
      </c>
      <c r="D28443">
        <v>12</v>
      </c>
      <c r="E28443">
        <v>0</v>
      </c>
      <c r="F28443">
        <v>300</v>
      </c>
    </row>
    <row r="28444" spans="1:6" ht="12.75">
      <c r="A28444" s="2">
        <v>43875.609606481477</v>
      </c>
      <c r="B28444" t="str">
        <f>HYPERLINK("https://twitter.com/ZoneVenomWar","@ZoneVenomWar")</f>
        <v>@ZoneVenomWar</v>
      </c>
      <c r="C28444" t="s">
        <v>12461</v>
      </c>
      <c r="D28444">
        <v>2</v>
      </c>
      <c r="E28444">
        <v>0</v>
      </c>
      <c r="F28444">
        <v>1617</v>
      </c>
    </row>
    <row r="28445" spans="1:6" ht="12.75">
      <c r="A28445" s="2">
        <v>43875.609525462962</v>
      </c>
      <c r="B28445" t="str">
        <f>HYPERLINK("https://twitter.com/mmmumuw","@mmmumuw")</f>
        <v>@mmmumuw</v>
      </c>
      <c r="C28445" t="s">
        <v>12462</v>
      </c>
      <c r="D28445">
        <v>0</v>
      </c>
      <c r="E28445">
        <v>0</v>
      </c>
      <c r="F28445">
        <v>264</v>
      </c>
    </row>
    <row r="28446" spans="1:6" ht="12.75">
      <c r="A28446" s="2">
        <v>43875.609513888892</v>
      </c>
      <c r="B28446" t="str">
        <f>HYPERLINK("https://twitter.com/sepasidotid","@sepasidotid")</f>
        <v>@sepasidotid</v>
      </c>
      <c r="C28446" t="s">
        <v>12463</v>
      </c>
      <c r="D28446">
        <v>0</v>
      </c>
      <c r="E28446">
        <v>0</v>
      </c>
      <c r="F28446">
        <v>5059</v>
      </c>
    </row>
    <row r="28447" spans="1:6" ht="12.75">
      <c r="A28447" s="2">
        <v>43875.609502314815</v>
      </c>
      <c r="B28447" t="str">
        <f>HYPERLINK("https://twitter.com/mynameismark__","@mynameismark__")</f>
        <v>@mynameismark__</v>
      </c>
      <c r="C28447" t="s">
        <v>5168</v>
      </c>
      <c r="D28447">
        <v>693</v>
      </c>
      <c r="E28447">
        <v>0</v>
      </c>
      <c r="F28447">
        <v>1710</v>
      </c>
    </row>
    <row r="28448" spans="1:6" ht="12.75">
      <c r="A28448" s="2">
        <v>43875.609479166669</v>
      </c>
      <c r="B28448" t="str">
        <f>HYPERLINK("https://twitter.com/linggaranisa","@linggaranisa")</f>
        <v>@linggaranisa</v>
      </c>
      <c r="C28448" t="s">
        <v>12464</v>
      </c>
      <c r="D28448">
        <v>0</v>
      </c>
      <c r="E28448">
        <v>0</v>
      </c>
      <c r="F28448">
        <v>307</v>
      </c>
    </row>
    <row r="28449" spans="1:6" ht="12.75">
      <c r="A28449" s="2">
        <v>43875.609479166669</v>
      </c>
      <c r="B28449" t="str">
        <f>HYPERLINK("https://twitter.com/tahaqm","@tahaqm")</f>
        <v>@tahaqm</v>
      </c>
      <c r="C28449" t="s">
        <v>12465</v>
      </c>
      <c r="D28449">
        <v>0</v>
      </c>
      <c r="E28449">
        <v>0</v>
      </c>
      <c r="F28449">
        <v>215</v>
      </c>
    </row>
    <row r="28450" spans="1:6" ht="12.75">
      <c r="A28450" s="2">
        <v>43875.609456018516</v>
      </c>
      <c r="B28450" t="str">
        <f>HYPERLINK("https://twitter.com/trinugroho162","@trinugroho162")</f>
        <v>@trinugroho162</v>
      </c>
      <c r="C28450" t="s">
        <v>7478</v>
      </c>
      <c r="D28450">
        <v>137</v>
      </c>
      <c r="E28450">
        <v>0</v>
      </c>
      <c r="F28450">
        <v>1659</v>
      </c>
    </row>
    <row r="28451" spans="1:6" ht="12.75">
      <c r="A28451" s="2">
        <v>43875.60938657407</v>
      </c>
      <c r="B28451" t="str">
        <f>HYPERLINK("https://twitter.com/rejananaala","@rejananaala")</f>
        <v>@rejananaala</v>
      </c>
      <c r="C28451" t="s">
        <v>7373</v>
      </c>
      <c r="D28451">
        <v>71</v>
      </c>
      <c r="E28451">
        <v>0</v>
      </c>
      <c r="F28451">
        <v>470</v>
      </c>
    </row>
    <row r="28452" spans="1:6" ht="12.75">
      <c r="A28452" s="2">
        <v>43875.60938657407</v>
      </c>
      <c r="B28452" t="str">
        <f>HYPERLINK("https://twitter.com/akunaink","@akunaink")</f>
        <v>@akunaink</v>
      </c>
      <c r="C28452" t="s">
        <v>7478</v>
      </c>
      <c r="D28452">
        <v>137</v>
      </c>
      <c r="E28452">
        <v>0</v>
      </c>
      <c r="F28452">
        <v>324</v>
      </c>
    </row>
    <row r="28453" spans="1:6" ht="12.75">
      <c r="A28453" s="2">
        <v>43875.609375</v>
      </c>
      <c r="B28453" t="str">
        <f>HYPERLINK("https://twitter.com/GreatSpiderman7","@GreatSpiderman7")</f>
        <v>@GreatSpiderman7</v>
      </c>
      <c r="C28453" t="s">
        <v>7478</v>
      </c>
      <c r="D28453">
        <v>137</v>
      </c>
      <c r="E28453">
        <v>0</v>
      </c>
      <c r="F28453">
        <v>187</v>
      </c>
    </row>
    <row r="28454" spans="1:6" ht="12.75">
      <c r="A28454" s="2">
        <v>43875.60936342593</v>
      </c>
      <c r="B28454" t="str">
        <f>HYPERLINK("https://twitter.com/xxpelangixx","@xxpelangixx")</f>
        <v>@xxpelangixx</v>
      </c>
      <c r="C28454" t="s">
        <v>2444</v>
      </c>
      <c r="D28454">
        <v>1240</v>
      </c>
      <c r="E28454">
        <v>0</v>
      </c>
      <c r="F28454">
        <v>70</v>
      </c>
    </row>
    <row r="28455" spans="1:6" ht="12.75">
      <c r="A28455" s="2">
        <v>43875.609317129631</v>
      </c>
      <c r="B28455" t="str">
        <f>HYPERLINK("https://twitter.com/Wongnde62842615","@Wongnde62842615")</f>
        <v>@Wongnde62842615</v>
      </c>
      <c r="C28455" t="s">
        <v>10096</v>
      </c>
      <c r="D28455">
        <v>125</v>
      </c>
      <c r="E28455">
        <v>0</v>
      </c>
      <c r="F28455">
        <v>83</v>
      </c>
    </row>
    <row r="28456" spans="1:6" ht="12.75">
      <c r="A28456" s="2">
        <v>43875.609282407408</v>
      </c>
      <c r="B28456" t="str">
        <f>HYPERLINK("https://twitter.com/aleenskii","@aleenskii")</f>
        <v>@aleenskii</v>
      </c>
      <c r="C28456" t="s">
        <v>5168</v>
      </c>
      <c r="D28456">
        <v>693</v>
      </c>
      <c r="E28456">
        <v>0</v>
      </c>
      <c r="F28456">
        <v>620</v>
      </c>
    </row>
    <row r="28457" spans="1:6" ht="12.75">
      <c r="A28457" s="2">
        <v>43875.609282407408</v>
      </c>
      <c r="B28457" t="str">
        <f>HYPERLINK("https://twitter.com/diponegros","@diponegros")</f>
        <v>@diponegros</v>
      </c>
      <c r="C28457" t="s">
        <v>7478</v>
      </c>
      <c r="D28457">
        <v>137</v>
      </c>
      <c r="E28457">
        <v>0</v>
      </c>
      <c r="F28457">
        <v>602</v>
      </c>
    </row>
    <row r="28458" spans="1:6" ht="12.75">
      <c r="A28458" s="2">
        <v>43875.609247685185</v>
      </c>
      <c r="B28458" t="str">
        <f>HYPERLINK("https://twitter.com/psshellaa","@psshellaa")</f>
        <v>@psshellaa</v>
      </c>
      <c r="C28458" t="s">
        <v>2444</v>
      </c>
      <c r="D28458">
        <v>1240</v>
      </c>
      <c r="E28458">
        <v>0</v>
      </c>
      <c r="F28458">
        <v>581</v>
      </c>
    </row>
    <row r="28459" spans="1:6" ht="12.75">
      <c r="A28459" s="2">
        <v>43875.609131944446</v>
      </c>
      <c r="B28459" t="str">
        <f>HYPERLINK("https://twitter.com/mcdevx","@mcdevx")</f>
        <v>@mcdevx</v>
      </c>
      <c r="C28459" t="s">
        <v>12143</v>
      </c>
      <c r="D28459">
        <v>5</v>
      </c>
      <c r="E28459">
        <v>0</v>
      </c>
      <c r="F28459">
        <v>432</v>
      </c>
    </row>
    <row r="28460" spans="1:6" ht="12.75">
      <c r="A28460" s="2">
        <v>43875.609085648146</v>
      </c>
      <c r="B28460" t="str">
        <f>HYPERLINK("https://twitter.com/Tulang_Godang","@Tulang_Godang")</f>
        <v>@Tulang_Godang</v>
      </c>
      <c r="C28460" t="s">
        <v>9947</v>
      </c>
      <c r="D28460">
        <v>336</v>
      </c>
      <c r="E28460">
        <v>0</v>
      </c>
      <c r="F28460">
        <v>567</v>
      </c>
    </row>
    <row r="28461" spans="1:6" ht="12.75">
      <c r="A28461" s="2">
        <v>43875.609085648146</v>
      </c>
      <c r="B28461" t="str">
        <f>HYPERLINK("https://twitter.com/Andri_an99","@Andri_an99")</f>
        <v>@Andri_an99</v>
      </c>
      <c r="C28461" t="s">
        <v>11536</v>
      </c>
      <c r="D28461">
        <v>0</v>
      </c>
      <c r="E28461">
        <v>0</v>
      </c>
      <c r="F28461">
        <v>442</v>
      </c>
    </row>
    <row r="28462" spans="1:6" ht="12.75">
      <c r="A28462" s="2">
        <v>43875.609085648146</v>
      </c>
      <c r="B28462" t="str">
        <f>HYPERLINK("https://twitter.com/erizal_isa","@erizal_isa")</f>
        <v>@erizal_isa</v>
      </c>
      <c r="C28462" t="s">
        <v>9746</v>
      </c>
      <c r="D28462">
        <v>180</v>
      </c>
      <c r="E28462">
        <v>0</v>
      </c>
      <c r="F28462">
        <v>1512</v>
      </c>
    </row>
    <row r="28463" spans="1:6" ht="12.75">
      <c r="A28463" s="2">
        <v>43875.6090162037</v>
      </c>
      <c r="B28463" t="str">
        <f>HYPERLINK("https://twitter.com/Vikde","@Vikde")</f>
        <v>@Vikde</v>
      </c>
      <c r="C28463" t="s">
        <v>12450</v>
      </c>
      <c r="D28463">
        <v>80</v>
      </c>
      <c r="E28463">
        <v>0</v>
      </c>
      <c r="F28463">
        <v>134</v>
      </c>
    </row>
    <row r="28464" spans="1:6" ht="12.75">
      <c r="A28464" s="2">
        <v>43875.608946759261</v>
      </c>
      <c r="B28464" t="str">
        <f>HYPERLINK("https://twitter.com/ibnusalimmh","@ibnusalimmh")</f>
        <v>@ibnusalimmh</v>
      </c>
      <c r="C28464" t="s">
        <v>11536</v>
      </c>
      <c r="D28464">
        <v>0</v>
      </c>
      <c r="E28464">
        <v>0</v>
      </c>
      <c r="F28464">
        <v>49</v>
      </c>
    </row>
    <row r="28465" spans="1:6" ht="12.75">
      <c r="A28465" s="2">
        <v>43875.608923611115</v>
      </c>
      <c r="B28465" t="str">
        <f>HYPERLINK("https://twitter.com/jypguise","@jypguise")</f>
        <v>@jypguise</v>
      </c>
      <c r="C28465" t="s">
        <v>2444</v>
      </c>
      <c r="D28465">
        <v>1240</v>
      </c>
      <c r="E28465">
        <v>0</v>
      </c>
      <c r="F28465">
        <v>974</v>
      </c>
    </row>
    <row r="28466" spans="1:6" ht="12.75">
      <c r="A28466" s="2">
        <v>43875.608923611115</v>
      </c>
      <c r="B28466" t="str">
        <f>HYPERLINK("https://twitter.com/xxpelangixx","@xxpelangixx")</f>
        <v>@xxpelangixx</v>
      </c>
      <c r="C28466" t="s">
        <v>11536</v>
      </c>
      <c r="D28466">
        <v>0</v>
      </c>
      <c r="E28466">
        <v>0</v>
      </c>
      <c r="F28466">
        <v>70</v>
      </c>
    </row>
    <row r="28467" spans="1:6" ht="12.75">
      <c r="A28467" s="2">
        <v>43875.608888888892</v>
      </c>
      <c r="B28467" t="str">
        <f>HYPERLINK("https://twitter.com/dinisatashya","@dinisatashya")</f>
        <v>@dinisatashya</v>
      </c>
      <c r="C28467" t="s">
        <v>7373</v>
      </c>
      <c r="D28467">
        <v>71</v>
      </c>
      <c r="E28467">
        <v>0</v>
      </c>
      <c r="F28467">
        <v>694</v>
      </c>
    </row>
    <row r="28468" spans="1:6" ht="12.75">
      <c r="A28468" s="2">
        <v>43875.608865740738</v>
      </c>
      <c r="B28468" t="str">
        <f>HYPERLINK("https://twitter.com/FauzaAnnisa","@FauzaAnnisa")</f>
        <v>@FauzaAnnisa</v>
      </c>
      <c r="C28468" t="s">
        <v>8233</v>
      </c>
      <c r="D28468">
        <v>454</v>
      </c>
      <c r="E28468">
        <v>0</v>
      </c>
      <c r="F28468">
        <v>500</v>
      </c>
    </row>
    <row r="28469" spans="1:6" ht="12.75">
      <c r="A28469" s="2">
        <v>43875.608865740738</v>
      </c>
      <c r="B28469" t="str">
        <f>HYPERLINK("https://twitter.com/univers20001","@univers20001")</f>
        <v>@univers20001</v>
      </c>
      <c r="C28469" t="s">
        <v>9082</v>
      </c>
      <c r="D28469">
        <v>23</v>
      </c>
      <c r="E28469">
        <v>0</v>
      </c>
      <c r="F28469">
        <v>51</v>
      </c>
    </row>
    <row r="28470" spans="1:6" ht="12.75">
      <c r="A28470" s="2">
        <v>43875.608796296292</v>
      </c>
      <c r="B28470" t="str">
        <f>HYPERLINK("https://twitter.com/papuakicau","@papuakicau")</f>
        <v>@papuakicau</v>
      </c>
      <c r="C28470" t="s">
        <v>12466</v>
      </c>
      <c r="D28470">
        <v>0</v>
      </c>
      <c r="E28470">
        <v>0</v>
      </c>
      <c r="F28470">
        <v>1630</v>
      </c>
    </row>
    <row r="28471" spans="1:6" ht="12.75">
      <c r="A28471" s="2">
        <v>43875.608761574069</v>
      </c>
      <c r="B28471" t="str">
        <f>HYPERLINK("https://twitter.com/amanidelm","@amanidelm")</f>
        <v>@amanidelm</v>
      </c>
      <c r="C28471" t="s">
        <v>8233</v>
      </c>
      <c r="D28471">
        <v>454</v>
      </c>
      <c r="E28471">
        <v>0</v>
      </c>
      <c r="F28471">
        <v>1661</v>
      </c>
    </row>
    <row r="28472" spans="1:6" ht="12.75">
      <c r="A28472" s="2">
        <v>43875.60873842593</v>
      </c>
      <c r="B28472" t="str">
        <f>HYPERLINK("https://twitter.com/AciakN","@AciakN")</f>
        <v>@AciakN</v>
      </c>
      <c r="C28472" t="s">
        <v>9746</v>
      </c>
      <c r="D28472">
        <v>180</v>
      </c>
      <c r="E28472">
        <v>0</v>
      </c>
      <c r="F28472">
        <v>85</v>
      </c>
    </row>
    <row r="28473" spans="1:6" ht="12.75">
      <c r="A28473" s="2">
        <v>43875.608657407407</v>
      </c>
      <c r="B28473" t="str">
        <f>HYPERLINK("https://twitter.com/gotte4","@gotte4")</f>
        <v>@gotte4</v>
      </c>
      <c r="C28473" t="s">
        <v>9746</v>
      </c>
      <c r="D28473">
        <v>180</v>
      </c>
      <c r="E28473">
        <v>0</v>
      </c>
      <c r="F28473">
        <v>399</v>
      </c>
    </row>
    <row r="28474" spans="1:6" ht="12.75">
      <c r="A28474" s="2">
        <v>43875.608587962968</v>
      </c>
      <c r="B28474" t="str">
        <f>HYPERLINK("https://twitter.com/nuuuuuuuuuuu","@nuuuuuuuuuuu")</f>
        <v>@nuuuuuuuuuuu</v>
      </c>
      <c r="C28474" t="s">
        <v>2110</v>
      </c>
      <c r="D28474">
        <v>39</v>
      </c>
      <c r="E28474">
        <v>0</v>
      </c>
      <c r="F28474">
        <v>355</v>
      </c>
    </row>
    <row r="28475" spans="1:6" ht="12.75">
      <c r="A28475" s="2">
        <v>43875.608541666668</v>
      </c>
      <c r="B28475" t="str">
        <f>HYPERLINK("https://twitter.com/idhin78_saputra","@idhin78_saputra")</f>
        <v>@idhin78_saputra</v>
      </c>
      <c r="C28475" t="s">
        <v>10190</v>
      </c>
      <c r="D28475">
        <v>19</v>
      </c>
      <c r="E28475">
        <v>0</v>
      </c>
      <c r="F28475">
        <v>209</v>
      </c>
    </row>
    <row r="28476" spans="1:6" ht="12.75">
      <c r="A28476" s="2">
        <v>43875.608541666668</v>
      </c>
      <c r="B28476" t="str">
        <f>HYPERLINK("https://twitter.com/blasteran20_","@blasteran20_")</f>
        <v>@blasteran20_</v>
      </c>
      <c r="C28476" t="s">
        <v>2963</v>
      </c>
      <c r="D28476">
        <v>871</v>
      </c>
      <c r="E28476">
        <v>0</v>
      </c>
      <c r="F28476">
        <v>17</v>
      </c>
    </row>
    <row r="28477" spans="1:6" ht="12.75">
      <c r="A28477" s="2">
        <v>43875.608495370368</v>
      </c>
      <c r="B28477" t="str">
        <f>HYPERLINK("https://twitter.com/oktaviacrus","@oktaviacrus")</f>
        <v>@oktaviacrus</v>
      </c>
      <c r="C28477" t="s">
        <v>2444</v>
      </c>
      <c r="D28477">
        <v>1240</v>
      </c>
      <c r="E28477">
        <v>0</v>
      </c>
      <c r="F28477">
        <v>54</v>
      </c>
    </row>
    <row r="28478" spans="1:6" ht="12.75">
      <c r="A28478" s="2">
        <v>43875.608460648145</v>
      </c>
      <c r="B28478" t="str">
        <f>HYPERLINK("https://twitter.com/pipin_puri","@pipin_puri")</f>
        <v>@pipin_puri</v>
      </c>
      <c r="C28478" t="s">
        <v>12467</v>
      </c>
      <c r="D28478">
        <v>2</v>
      </c>
      <c r="E28478">
        <v>0</v>
      </c>
      <c r="F28478">
        <v>587</v>
      </c>
    </row>
    <row r="28479" spans="1:6" ht="12.75">
      <c r="A28479" s="2">
        <v>43875.608425925922</v>
      </c>
      <c r="B28479" t="str">
        <f>HYPERLINK("https://twitter.com/tanzylamalik","@tanzylamalik")</f>
        <v>@tanzylamalik</v>
      </c>
      <c r="C28479" t="s">
        <v>9964</v>
      </c>
      <c r="D28479">
        <v>587</v>
      </c>
      <c r="E28479">
        <v>0</v>
      </c>
      <c r="F28479">
        <v>998</v>
      </c>
    </row>
    <row r="28480" spans="1:6" ht="12.75">
      <c r="A28480" s="2">
        <v>43875.608425925922</v>
      </c>
      <c r="B28480" t="str">
        <f>HYPERLINK("https://twitter.com/Govinadiandra_","@Govinadiandra_")</f>
        <v>@Govinadiandra_</v>
      </c>
      <c r="C28480" t="s">
        <v>12468</v>
      </c>
      <c r="D28480">
        <v>5</v>
      </c>
      <c r="E28480">
        <v>0</v>
      </c>
      <c r="F28480">
        <v>346</v>
      </c>
    </row>
    <row r="28481" spans="1:6" ht="12.75">
      <c r="A28481" s="2">
        <v>43875.608391203699</v>
      </c>
      <c r="B28481" t="str">
        <f>HYPERLINK("https://twitter.com/kompascom","@kompascom")</f>
        <v>@kompascom</v>
      </c>
      <c r="C28481" t="s">
        <v>12469</v>
      </c>
      <c r="D28481">
        <v>0</v>
      </c>
      <c r="E28481">
        <v>8</v>
      </c>
      <c r="F28481">
        <v>7497530</v>
      </c>
    </row>
    <row r="28482" spans="1:6" ht="12.75">
      <c r="A28482" s="2">
        <v>43875.60836805556</v>
      </c>
      <c r="B28482" t="str">
        <f>HYPERLINK("https://twitter.com/RadioElshinta","@RadioElshinta")</f>
        <v>@RadioElshinta</v>
      </c>
      <c r="C28482" t="s">
        <v>12443</v>
      </c>
      <c r="D28482">
        <v>4</v>
      </c>
      <c r="E28482">
        <v>0</v>
      </c>
      <c r="F28482">
        <v>3633719</v>
      </c>
    </row>
    <row r="28483" spans="1:6" ht="12.75">
      <c r="A28483" s="2">
        <v>43875.60836805556</v>
      </c>
      <c r="B28483" t="str">
        <f>HYPERLINK("https://twitter.com/AS95486365","@AS95486365")</f>
        <v>@AS95486365</v>
      </c>
      <c r="C28483" t="s">
        <v>9082</v>
      </c>
      <c r="D28483">
        <v>23</v>
      </c>
      <c r="E28483">
        <v>0</v>
      </c>
      <c r="F28483">
        <v>39</v>
      </c>
    </row>
    <row r="28484" spans="1:6" ht="12.75">
      <c r="A28484" s="2">
        <v>43875.608333333337</v>
      </c>
      <c r="B28484" t="str">
        <f>HYPERLINK("https://twitter.com/fajar_an9","@fajar_an9")</f>
        <v>@fajar_an9</v>
      </c>
      <c r="C28484" t="s">
        <v>2444</v>
      </c>
      <c r="D28484">
        <v>1240</v>
      </c>
      <c r="E28484">
        <v>0</v>
      </c>
      <c r="F28484">
        <v>32</v>
      </c>
    </row>
    <row r="28485" spans="1:6" ht="12.75">
      <c r="A28485" s="2">
        <v>43875.608298611114</v>
      </c>
      <c r="B28485" t="str">
        <f>HYPERLINK("https://twitter.com/DiyonoG","@DiyonoG")</f>
        <v>@DiyonoG</v>
      </c>
      <c r="C28485" t="s">
        <v>12470</v>
      </c>
      <c r="D28485">
        <v>0</v>
      </c>
      <c r="E28485">
        <v>0</v>
      </c>
      <c r="F28485">
        <v>18</v>
      </c>
    </row>
    <row r="28486" spans="1:6" ht="12.75">
      <c r="A28486" s="2">
        <v>43875.608287037037</v>
      </c>
      <c r="B28486" t="str">
        <f>HYPERLINK("https://twitter.com/ChuanFajar","@ChuanFajar")</f>
        <v>@ChuanFajar</v>
      </c>
      <c r="C28486" t="s">
        <v>12471</v>
      </c>
      <c r="D28486">
        <v>0</v>
      </c>
      <c r="E28486">
        <v>0</v>
      </c>
      <c r="F28486">
        <v>0</v>
      </c>
    </row>
    <row r="28487" spans="1:6" ht="12.75">
      <c r="A28487" s="2">
        <v>43875.608229166668</v>
      </c>
      <c r="B28487" t="str">
        <f>HYPERLINK("https://twitter.com/Ciranee_","@Ciranee_")</f>
        <v>@Ciranee_</v>
      </c>
      <c r="C28487" t="s">
        <v>2444</v>
      </c>
      <c r="D28487">
        <v>1240</v>
      </c>
      <c r="E28487">
        <v>0</v>
      </c>
      <c r="F28487">
        <v>1002</v>
      </c>
    </row>
    <row r="28488" spans="1:6" ht="12.75">
      <c r="A28488" s="2">
        <v>43875.608217592591</v>
      </c>
      <c r="B28488" t="str">
        <f>HYPERLINK("https://twitter.com/Wahyubagusraha1","@Wahyubagusraha1")</f>
        <v>@Wahyubagusraha1</v>
      </c>
      <c r="C28488" t="s">
        <v>7478</v>
      </c>
      <c r="D28488">
        <v>137</v>
      </c>
      <c r="E28488">
        <v>0</v>
      </c>
      <c r="F28488">
        <v>518</v>
      </c>
    </row>
    <row r="28489" spans="1:6" ht="12.75">
      <c r="A28489" s="2">
        <v>43875.608194444445</v>
      </c>
      <c r="B28489" t="str">
        <f>HYPERLINK("https://twitter.com/KomikPolitik","@KomikPolitik")</f>
        <v>@KomikPolitik</v>
      </c>
      <c r="C28489" t="s">
        <v>12472</v>
      </c>
      <c r="D28489">
        <v>0</v>
      </c>
      <c r="E28489">
        <v>0</v>
      </c>
      <c r="F28489">
        <v>185</v>
      </c>
    </row>
    <row r="28490" spans="1:6" ht="12.75">
      <c r="A28490" s="2">
        <v>43875.608067129629</v>
      </c>
      <c r="B28490" t="str">
        <f>HYPERLINK("https://twitter.com/republikaonline","@republikaonline")</f>
        <v>@republikaonline</v>
      </c>
      <c r="C28490" t="s">
        <v>12473</v>
      </c>
      <c r="D28490">
        <v>1</v>
      </c>
      <c r="E28490">
        <v>0</v>
      </c>
      <c r="F28490">
        <v>1210279</v>
      </c>
    </row>
    <row r="28491" spans="1:6" ht="12.75">
      <c r="A28491" s="2">
        <v>43875.608055555553</v>
      </c>
      <c r="B28491" t="str">
        <f>HYPERLINK("https://twitter.com/manisso_jr","@manisso_jr")</f>
        <v>@manisso_jr</v>
      </c>
      <c r="C28491" t="s">
        <v>10330</v>
      </c>
      <c r="D28491">
        <v>206</v>
      </c>
      <c r="E28491">
        <v>0</v>
      </c>
      <c r="F28491">
        <v>30</v>
      </c>
    </row>
    <row r="28492" spans="1:6" ht="12.75">
      <c r="A28492" s="2">
        <v>43875.608043981483</v>
      </c>
      <c r="B28492" t="str">
        <f>HYPERLINK("https://twitter.com/ManuverP","@ManuverP")</f>
        <v>@ManuverP</v>
      </c>
      <c r="C28492" t="s">
        <v>12474</v>
      </c>
      <c r="D28492">
        <v>0</v>
      </c>
      <c r="E28492">
        <v>0</v>
      </c>
      <c r="F28492">
        <v>110</v>
      </c>
    </row>
    <row r="28493" spans="1:6" ht="12.75">
      <c r="A28493" s="2">
        <v>43875.608032407406</v>
      </c>
      <c r="B28493" t="str">
        <f>HYPERLINK("https://twitter.com/_lufff","@_lufff")</f>
        <v>@_lufff</v>
      </c>
      <c r="C28493" t="s">
        <v>2444</v>
      </c>
      <c r="D28493">
        <v>1240</v>
      </c>
      <c r="E28493">
        <v>0</v>
      </c>
      <c r="F28493">
        <v>274</v>
      </c>
    </row>
    <row r="28494" spans="1:6" ht="12.75">
      <c r="A28494" s="2">
        <v>43875.60802083333</v>
      </c>
      <c r="B28494" t="str">
        <f>HYPERLINK("https://twitter.com/Edipurw61113168","@Edipurw61113168")</f>
        <v>@Edipurw61113168</v>
      </c>
      <c r="C28494" t="s">
        <v>11666</v>
      </c>
      <c r="D28494">
        <v>6</v>
      </c>
      <c r="E28494">
        <v>0</v>
      </c>
      <c r="F28494">
        <v>1194</v>
      </c>
    </row>
    <row r="28495" spans="1:6" ht="12.75">
      <c r="A28495" s="2">
        <v>43875.607928240745</v>
      </c>
      <c r="B28495" t="str">
        <f>HYPERLINK("https://twitter.com/AcenkMank","@AcenkMank")</f>
        <v>@AcenkMank</v>
      </c>
      <c r="C28495" t="s">
        <v>12475</v>
      </c>
      <c r="D28495">
        <v>0</v>
      </c>
      <c r="E28495">
        <v>0</v>
      </c>
      <c r="F28495">
        <v>2991</v>
      </c>
    </row>
    <row r="28496" spans="1:6" ht="12.75">
      <c r="A28496" s="2">
        <v>43875.607916666668</v>
      </c>
      <c r="B28496" t="str">
        <f>HYPERLINK("https://twitter.com/AchmadyaniAy70","@AchmadyaniAy70")</f>
        <v>@AchmadyaniAy70</v>
      </c>
      <c r="C28496" t="s">
        <v>10207</v>
      </c>
      <c r="D28496">
        <v>38</v>
      </c>
      <c r="E28496">
        <v>0</v>
      </c>
      <c r="F28496">
        <v>4246</v>
      </c>
    </row>
    <row r="28497" spans="1:6" ht="12.75">
      <c r="A28497" s="2">
        <v>43875.607881944445</v>
      </c>
      <c r="B28497" t="str">
        <f>HYPERLINK("https://twitter.com/satriosoediro","@satriosoediro")</f>
        <v>@satriosoediro</v>
      </c>
      <c r="C28497" t="s">
        <v>2444</v>
      </c>
      <c r="D28497">
        <v>1240</v>
      </c>
      <c r="E28497">
        <v>0</v>
      </c>
      <c r="F28497">
        <v>412</v>
      </c>
    </row>
    <row r="28498" spans="1:6" ht="12.75">
      <c r="A28498" s="2">
        <v>43875.607789351852</v>
      </c>
      <c r="B28498" t="str">
        <f>HYPERLINK("https://twitter.com/mohamadteguhsa1","@mohamadteguhsa1")</f>
        <v>@mohamadteguhsa1</v>
      </c>
      <c r="C28498" t="s">
        <v>2963</v>
      </c>
      <c r="D28498">
        <v>871</v>
      </c>
      <c r="E28498">
        <v>0</v>
      </c>
      <c r="F28498">
        <v>1136</v>
      </c>
    </row>
    <row r="28499" spans="1:6" ht="12.75">
      <c r="A28499" s="2">
        <v>43875.607766203699</v>
      </c>
      <c r="B28499" t="str">
        <f>HYPERLINK("https://twitter.com/Jaekonomiyaki","@Jaekonomiyaki")</f>
        <v>@Jaekonomiyaki</v>
      </c>
      <c r="C28499" t="s">
        <v>9123</v>
      </c>
      <c r="D28499">
        <v>196</v>
      </c>
      <c r="E28499">
        <v>0</v>
      </c>
      <c r="F28499">
        <v>428</v>
      </c>
    </row>
    <row r="28500" spans="1:6" ht="12.75">
      <c r="A28500" s="2">
        <v>43875.607766203699</v>
      </c>
      <c r="B28500" t="str">
        <f>HYPERLINK("https://twitter.com/oooyyuk","@oooyyuk")</f>
        <v>@oooyyuk</v>
      </c>
      <c r="C28500" t="s">
        <v>12476</v>
      </c>
      <c r="D28500">
        <v>0</v>
      </c>
      <c r="E28500">
        <v>0</v>
      </c>
      <c r="F28500">
        <v>8</v>
      </c>
    </row>
    <row r="28501" spans="1:6" ht="12.75">
      <c r="A28501" s="2">
        <v>43875.607731481483</v>
      </c>
      <c r="B28501" t="str">
        <f>HYPERLINK("https://twitter.com/novadvna","@novadvna")</f>
        <v>@novadvna</v>
      </c>
      <c r="C28501" t="s">
        <v>2444</v>
      </c>
      <c r="D28501">
        <v>1240</v>
      </c>
      <c r="E28501">
        <v>0</v>
      </c>
      <c r="F28501">
        <v>374</v>
      </c>
    </row>
    <row r="28502" spans="1:6" ht="12.75">
      <c r="A28502" s="2">
        <v>43875.607673611114</v>
      </c>
      <c r="B28502" t="str">
        <f>HYPERLINK("https://twitter.com/Jaekonomiyaki","@Jaekonomiyaki")</f>
        <v>@Jaekonomiyaki</v>
      </c>
      <c r="C28502" t="s">
        <v>2444</v>
      </c>
      <c r="D28502">
        <v>1240</v>
      </c>
      <c r="E28502">
        <v>0</v>
      </c>
      <c r="F28502">
        <v>428</v>
      </c>
    </row>
    <row r="28503" spans="1:6" ht="12.75">
      <c r="A28503" s="2">
        <v>43875.607673611114</v>
      </c>
      <c r="B28503" t="str">
        <f>HYPERLINK("https://twitter.com/ChuanFajar","@ChuanFajar")</f>
        <v>@ChuanFajar</v>
      </c>
      <c r="C28503" t="s">
        <v>12477</v>
      </c>
      <c r="D28503">
        <v>0</v>
      </c>
      <c r="E28503">
        <v>0</v>
      </c>
      <c r="F28503">
        <v>0</v>
      </c>
    </row>
    <row r="28504" spans="1:6" ht="12.75">
      <c r="A28504" s="2">
        <v>43875.607615740737</v>
      </c>
      <c r="B28504" t="str">
        <f>HYPERLINK("https://twitter.com/badaymasculine","@badaymasculine")</f>
        <v>@badaymasculine</v>
      </c>
      <c r="C28504" t="s">
        <v>12478</v>
      </c>
      <c r="D28504">
        <v>0</v>
      </c>
      <c r="E28504">
        <v>0</v>
      </c>
      <c r="F28504">
        <v>1694</v>
      </c>
    </row>
    <row r="28505" spans="1:6" ht="12.75">
      <c r="A28505" s="2">
        <v>43875.607615740737</v>
      </c>
      <c r="B28505" t="str">
        <f>HYPERLINK("https://twitter.com/tristyanto76","@tristyanto76")</f>
        <v>@tristyanto76</v>
      </c>
      <c r="C28505" t="s">
        <v>12479</v>
      </c>
      <c r="D28505">
        <v>0</v>
      </c>
      <c r="E28505">
        <v>0</v>
      </c>
      <c r="F28505">
        <v>133</v>
      </c>
    </row>
    <row r="28506" spans="1:6" ht="12.75">
      <c r="A28506" s="2">
        <v>43875.607523148152</v>
      </c>
      <c r="B28506" t="str">
        <f>HYPERLINK("https://twitter.com/ughteakotak","@ughteakotak")</f>
        <v>@ughteakotak</v>
      </c>
      <c r="C28506" t="s">
        <v>2444</v>
      </c>
      <c r="D28506">
        <v>1240</v>
      </c>
      <c r="E28506">
        <v>0</v>
      </c>
      <c r="F28506">
        <v>1357</v>
      </c>
    </row>
    <row r="28507" spans="1:6" ht="12.75">
      <c r="A28507" s="2">
        <v>43875.607523148152</v>
      </c>
      <c r="B28507" t="str">
        <f>HYPERLINK("https://twitter.com/idhin78_saputra","@idhin78_saputra")</f>
        <v>@idhin78_saputra</v>
      </c>
      <c r="C28507" t="s">
        <v>8881</v>
      </c>
      <c r="D28507">
        <v>274</v>
      </c>
      <c r="E28507">
        <v>0</v>
      </c>
      <c r="F28507">
        <v>209</v>
      </c>
    </row>
    <row r="28508" spans="1:6" ht="12.75">
      <c r="A28508" s="2">
        <v>43875.607511574075</v>
      </c>
      <c r="B28508" t="str">
        <f>HYPERLINK("https://twitter.com/FerdinandHaean2","@FerdinandHaean2")</f>
        <v>@FerdinandHaean2</v>
      </c>
      <c r="C28508" t="s">
        <v>12480</v>
      </c>
      <c r="D28508">
        <v>0</v>
      </c>
      <c r="E28508">
        <v>0</v>
      </c>
      <c r="F28508">
        <v>45843</v>
      </c>
    </row>
    <row r="28509" spans="1:6" ht="12.75">
      <c r="A28509" s="2">
        <v>43875.607488425929</v>
      </c>
      <c r="B28509" t="str">
        <f>HYPERLINK("https://twitter.com/kebuntetangga","@kebuntetangga")</f>
        <v>@kebuntetangga</v>
      </c>
      <c r="C28509" t="s">
        <v>11113</v>
      </c>
      <c r="D28509">
        <v>54</v>
      </c>
      <c r="E28509">
        <v>0</v>
      </c>
      <c r="F28509">
        <v>40</v>
      </c>
    </row>
    <row r="28510" spans="1:6" ht="12.75">
      <c r="A28510" s="2">
        <v>43875.607222222221</v>
      </c>
      <c r="B28510" t="str">
        <f>HYPERLINK("https://twitter.com/mahesatams","@mahesatams")</f>
        <v>@mahesatams</v>
      </c>
      <c r="C28510" t="s">
        <v>10300</v>
      </c>
      <c r="D28510">
        <v>27</v>
      </c>
      <c r="E28510">
        <v>0</v>
      </c>
      <c r="F28510">
        <v>402</v>
      </c>
    </row>
    <row r="28511" spans="1:6" ht="12.75">
      <c r="A28511" s="2">
        <v>43875.607222222221</v>
      </c>
      <c r="B28511" t="str">
        <f>HYPERLINK("https://twitter.com/AdharKhanifBack","@AdharKhanifBack")</f>
        <v>@AdharKhanifBack</v>
      </c>
      <c r="C28511" t="s">
        <v>10407</v>
      </c>
      <c r="D28511">
        <v>49</v>
      </c>
      <c r="E28511">
        <v>0</v>
      </c>
      <c r="F28511">
        <v>427</v>
      </c>
    </row>
    <row r="28512" spans="1:6" ht="12.75">
      <c r="A28512" s="2">
        <v>43875.607118055559</v>
      </c>
      <c r="B28512" t="str">
        <f>HYPERLINK("https://twitter.com/diki_imba","@diki_imba")</f>
        <v>@diki_imba</v>
      </c>
      <c r="C28512" t="s">
        <v>12481</v>
      </c>
      <c r="D28512">
        <v>0</v>
      </c>
      <c r="E28512">
        <v>0</v>
      </c>
      <c r="F28512">
        <v>3607</v>
      </c>
    </row>
    <row r="28513" spans="1:6" ht="12.75">
      <c r="A28513" s="2">
        <v>43875.607083333336</v>
      </c>
      <c r="B28513" t="str">
        <f>HYPERLINK("https://twitter.com/josephtans","@josephtans")</f>
        <v>@josephtans</v>
      </c>
      <c r="C28513" t="s">
        <v>2963</v>
      </c>
      <c r="D28513">
        <v>871</v>
      </c>
      <c r="E28513">
        <v>0</v>
      </c>
      <c r="F28513">
        <v>78</v>
      </c>
    </row>
    <row r="28514" spans="1:6" ht="12.75">
      <c r="A28514" s="2">
        <v>43875.607071759259</v>
      </c>
      <c r="B28514" t="str">
        <f>HYPERLINK("https://twitter.com/andryvolta","@andryvolta")</f>
        <v>@andryvolta</v>
      </c>
      <c r="C28514" t="s">
        <v>7478</v>
      </c>
      <c r="D28514">
        <v>137</v>
      </c>
      <c r="E28514">
        <v>0</v>
      </c>
      <c r="F28514">
        <v>76</v>
      </c>
    </row>
    <row r="28515" spans="1:6" ht="12.75">
      <c r="A28515" s="2">
        <v>43875.60701388889</v>
      </c>
      <c r="B28515" t="str">
        <f>HYPERLINK("https://twitter.com/ewndarKurdistan","@ewndarKurdistan")</f>
        <v>@ewndarKurdistan</v>
      </c>
      <c r="C28515" t="s">
        <v>9082</v>
      </c>
      <c r="D28515">
        <v>23</v>
      </c>
      <c r="E28515">
        <v>0</v>
      </c>
      <c r="F28515">
        <v>73</v>
      </c>
    </row>
    <row r="28516" spans="1:6" ht="12.75">
      <c r="A28516" s="2">
        <v>43875.606863425928</v>
      </c>
      <c r="B28516" t="str">
        <f>HYPERLINK("https://twitter.com/__Floreensya","@__Floreensya")</f>
        <v>@__Floreensya</v>
      </c>
      <c r="C28516" t="s">
        <v>2444</v>
      </c>
      <c r="D28516">
        <v>1240</v>
      </c>
      <c r="E28516">
        <v>0</v>
      </c>
      <c r="F28516">
        <v>2205</v>
      </c>
    </row>
    <row r="28517" spans="1:6" ht="12.75">
      <c r="A28517" s="2">
        <v>43875.606863425928</v>
      </c>
      <c r="B28517" t="str">
        <f>HYPERLINK("https://twitter.com/masihnyariuname","@masihnyariuname")</f>
        <v>@masihnyariuname</v>
      </c>
      <c r="C28517" t="s">
        <v>5168</v>
      </c>
      <c r="D28517">
        <v>693</v>
      </c>
      <c r="E28517">
        <v>0</v>
      </c>
      <c r="F28517">
        <v>162</v>
      </c>
    </row>
    <row r="28518" spans="1:6" ht="12.75">
      <c r="A28518" s="2">
        <v>43875.606759259259</v>
      </c>
      <c r="B28518" t="str">
        <f>HYPERLINK("https://twitter.com/BHD_8","@BHD_8")</f>
        <v>@BHD_8</v>
      </c>
      <c r="C28518" t="s">
        <v>12467</v>
      </c>
      <c r="D28518">
        <v>2</v>
      </c>
      <c r="E28518">
        <v>0</v>
      </c>
      <c r="F28518">
        <v>12138</v>
      </c>
    </row>
    <row r="28519" spans="1:6" ht="12.75">
      <c r="A28519" s="2">
        <v>43875.606469907405</v>
      </c>
      <c r="B28519" t="str">
        <f>HYPERLINK("https://twitter.com/Nunnu_laila","@Nunnu_laila")</f>
        <v>@Nunnu_laila</v>
      </c>
      <c r="C28519" t="s">
        <v>5168</v>
      </c>
      <c r="D28519">
        <v>693</v>
      </c>
      <c r="E28519">
        <v>0</v>
      </c>
      <c r="F28519">
        <v>138</v>
      </c>
    </row>
    <row r="28520" spans="1:6" ht="12.75">
      <c r="A28520" s="2">
        <v>43875.606446759259</v>
      </c>
      <c r="B28520" t="str">
        <f>HYPERLINK("https://twitter.com/blueoceans1213","@blueoceans1213")</f>
        <v>@blueoceans1213</v>
      </c>
      <c r="C28520" t="s">
        <v>2137</v>
      </c>
      <c r="D28520">
        <v>99</v>
      </c>
      <c r="E28520">
        <v>0</v>
      </c>
      <c r="F28520">
        <v>13</v>
      </c>
    </row>
    <row r="28521" spans="1:6" ht="12.75">
      <c r="A28521" s="2">
        <v>43875.606423611112</v>
      </c>
      <c r="B28521" t="str">
        <f>HYPERLINK("https://twitter.com/Lalahyn","@Lalahyn")</f>
        <v>@Lalahyn</v>
      </c>
      <c r="C28521" t="s">
        <v>12482</v>
      </c>
      <c r="D28521">
        <v>0</v>
      </c>
      <c r="E28521">
        <v>0</v>
      </c>
      <c r="F28521">
        <v>659</v>
      </c>
    </row>
    <row r="28522" spans="1:6" ht="12.75">
      <c r="A28522" s="2">
        <v>43875.606400462959</v>
      </c>
      <c r="B28522" t="str">
        <f>HYPERLINK("https://twitter.com/AkuAsep4","@AkuAsep4")</f>
        <v>@AkuAsep4</v>
      </c>
      <c r="C28522" t="s">
        <v>12483</v>
      </c>
      <c r="D28522">
        <v>405</v>
      </c>
      <c r="E28522">
        <v>0</v>
      </c>
      <c r="F28522">
        <v>1906</v>
      </c>
    </row>
    <row r="28523" spans="1:6" ht="12.75">
      <c r="A28523" s="2">
        <v>43875.606342592597</v>
      </c>
      <c r="B28523" t="str">
        <f>HYPERLINK("https://twitter.com/joecantiq","@joecantiq")</f>
        <v>@joecantiq</v>
      </c>
      <c r="C28523" t="s">
        <v>2963</v>
      </c>
      <c r="D28523">
        <v>871</v>
      </c>
      <c r="E28523">
        <v>0</v>
      </c>
      <c r="F28523">
        <v>21</v>
      </c>
    </row>
    <row r="28524" spans="1:6" ht="12.75">
      <c r="A28524" s="2">
        <v>43875.60633101852</v>
      </c>
      <c r="B28524" t="str">
        <f>HYPERLINK("https://twitter.com/AlvaroDeBazan2","@AlvaroDeBazan2")</f>
        <v>@AlvaroDeBazan2</v>
      </c>
      <c r="C28524" t="s">
        <v>10710</v>
      </c>
      <c r="D28524">
        <v>20</v>
      </c>
      <c r="E28524">
        <v>0</v>
      </c>
      <c r="F28524">
        <v>247</v>
      </c>
    </row>
    <row r="28525" spans="1:6" ht="12.75">
      <c r="A28525" s="2">
        <v>43875.606261574074</v>
      </c>
      <c r="B28525" t="str">
        <f>HYPERLINK("https://twitter.com/hokiqinzi","@hokiqinzi")</f>
        <v>@hokiqinzi</v>
      </c>
      <c r="C28525" t="s">
        <v>12484</v>
      </c>
      <c r="D28525">
        <v>0</v>
      </c>
      <c r="E28525">
        <v>0</v>
      </c>
      <c r="F28525">
        <v>190</v>
      </c>
    </row>
    <row r="28526" spans="1:6" ht="12.75">
      <c r="A28526" s="2">
        <v>43875.606238425928</v>
      </c>
      <c r="B28526" t="str">
        <f>HYPERLINK("https://twitter.com/Arman260471","@Arman260471")</f>
        <v>@Arman260471</v>
      </c>
      <c r="C28526" t="s">
        <v>7478</v>
      </c>
      <c r="D28526">
        <v>137</v>
      </c>
      <c r="E28526">
        <v>0</v>
      </c>
      <c r="F28526">
        <v>130</v>
      </c>
    </row>
    <row r="28527" spans="1:6" ht="12.75">
      <c r="A28527" s="2">
        <v>43875.606238425928</v>
      </c>
      <c r="B28527" t="str">
        <f>HYPERLINK("https://twitter.com/Ngobrol_Iklan","@Ngobrol_Iklan")</f>
        <v>@Ngobrol_Iklan</v>
      </c>
      <c r="C28527" t="s">
        <v>12485</v>
      </c>
      <c r="D28527">
        <v>0</v>
      </c>
      <c r="E28527">
        <v>0</v>
      </c>
      <c r="F28527">
        <v>499</v>
      </c>
    </row>
    <row r="28528" spans="1:6" ht="12.75">
      <c r="A28528" s="2">
        <v>43875.606192129635</v>
      </c>
      <c r="B28528" t="str">
        <f>HYPERLINK("https://twitter.com/HuangReagan","@HuangReagan")</f>
        <v>@HuangReagan</v>
      </c>
      <c r="C28528" t="s">
        <v>12486</v>
      </c>
      <c r="D28528">
        <v>0</v>
      </c>
      <c r="E28528">
        <v>0</v>
      </c>
      <c r="F28528">
        <v>2</v>
      </c>
    </row>
    <row r="28529" spans="1:6" ht="12.75">
      <c r="A28529" s="2">
        <v>43875.606122685189</v>
      </c>
      <c r="B28529" t="str">
        <f>HYPERLINK("https://twitter.com/twinsroses","@twinsroses")</f>
        <v>@twinsroses</v>
      </c>
      <c r="C28529" t="s">
        <v>2444</v>
      </c>
      <c r="D28529">
        <v>1240</v>
      </c>
      <c r="E28529">
        <v>0</v>
      </c>
      <c r="F28529">
        <v>59</v>
      </c>
    </row>
    <row r="28530" spans="1:6" ht="12.75">
      <c r="A28530" s="2">
        <v>43875.606111111112</v>
      </c>
      <c r="B28530" t="str">
        <f>HYPERLINK("https://twitter.com/SoundOfYogi","@SoundOfYogi")</f>
        <v>@SoundOfYogi</v>
      </c>
      <c r="C28530" t="s">
        <v>10710</v>
      </c>
      <c r="D28530">
        <v>20</v>
      </c>
      <c r="E28530">
        <v>0</v>
      </c>
      <c r="F28530">
        <v>37766</v>
      </c>
    </row>
    <row r="28531" spans="1:6" ht="12.75">
      <c r="A28531" s="2">
        <v>43875.606111111112</v>
      </c>
      <c r="B28531" t="str">
        <f>HYPERLINK("https://twitter.com/paithetic","@paithetic")</f>
        <v>@paithetic</v>
      </c>
      <c r="C28531" t="s">
        <v>2444</v>
      </c>
      <c r="D28531">
        <v>1240</v>
      </c>
      <c r="E28531">
        <v>0</v>
      </c>
      <c r="F28531">
        <v>163</v>
      </c>
    </row>
    <row r="28532" spans="1:6" ht="12.75">
      <c r="A28532" s="2">
        <v>43875.606030092589</v>
      </c>
      <c r="B28532" t="str">
        <f>HYPERLINK("https://twitter.com/BlackRednBlue","@BlackRednBlue")</f>
        <v>@BlackRednBlue</v>
      </c>
      <c r="C28532" t="s">
        <v>2963</v>
      </c>
      <c r="D28532">
        <v>871</v>
      </c>
      <c r="E28532">
        <v>0</v>
      </c>
      <c r="F28532">
        <v>592</v>
      </c>
    </row>
    <row r="28533" spans="1:6" ht="12.75">
      <c r="A28533" s="2">
        <v>43875.606030092589</v>
      </c>
      <c r="B28533" t="str">
        <f>HYPERLINK("https://twitter.com/ndahken","@ndahken")</f>
        <v>@ndahken</v>
      </c>
      <c r="C28533" t="s">
        <v>2444</v>
      </c>
      <c r="D28533">
        <v>1240</v>
      </c>
      <c r="E28533">
        <v>0</v>
      </c>
      <c r="F28533">
        <v>263</v>
      </c>
    </row>
    <row r="28534" spans="1:6" ht="12.75">
      <c r="A28534" s="2">
        <v>43875.605983796297</v>
      </c>
      <c r="B28534" t="str">
        <f>HYPERLINK("https://twitter.com/aninday","@aninday")</f>
        <v>@aninday</v>
      </c>
      <c r="C28534" t="s">
        <v>12487</v>
      </c>
      <c r="D28534">
        <v>0</v>
      </c>
      <c r="E28534">
        <v>1</v>
      </c>
      <c r="F28534">
        <v>877</v>
      </c>
    </row>
    <row r="28535" spans="1:6" ht="12.75">
      <c r="A28535" s="2">
        <v>43875.605972222227</v>
      </c>
      <c r="B28535" t="str">
        <f>HYPERLINK("https://twitter.com/Mytulip3","@Mytulip3")</f>
        <v>@Mytulip3</v>
      </c>
      <c r="C28535" t="s">
        <v>8233</v>
      </c>
      <c r="D28535">
        <v>454</v>
      </c>
      <c r="E28535">
        <v>0</v>
      </c>
      <c r="F28535">
        <v>1443</v>
      </c>
    </row>
    <row r="28536" spans="1:6" ht="12.75">
      <c r="A28536" s="2">
        <v>43875.605960648143</v>
      </c>
      <c r="B28536" t="str">
        <f>HYPERLINK("https://twitter.com/AlvaroDeBazan2","@AlvaroDeBazan2")</f>
        <v>@AlvaroDeBazan2</v>
      </c>
      <c r="C28536" t="s">
        <v>12488</v>
      </c>
      <c r="D28536">
        <v>1</v>
      </c>
      <c r="E28536">
        <v>0</v>
      </c>
      <c r="F28536">
        <v>247</v>
      </c>
    </row>
    <row r="28537" spans="1:6" ht="12.75">
      <c r="A28537" s="2">
        <v>43875.605937500004</v>
      </c>
      <c r="B28537" t="str">
        <f>HYPERLINK("https://twitter.com/hokiqinzi","@hokiqinzi")</f>
        <v>@hokiqinzi</v>
      </c>
      <c r="C28537" t="s">
        <v>9123</v>
      </c>
      <c r="D28537">
        <v>196</v>
      </c>
      <c r="E28537">
        <v>0</v>
      </c>
      <c r="F28537">
        <v>190</v>
      </c>
    </row>
    <row r="28538" spans="1:6" ht="12.75">
      <c r="A28538" s="2">
        <v>43875.605694444443</v>
      </c>
      <c r="B28538" t="str">
        <f>HYPERLINK("https://twitter.com/Novie_izma","@Novie_izma")</f>
        <v>@Novie_izma</v>
      </c>
      <c r="C28538" t="s">
        <v>2444</v>
      </c>
      <c r="D28538">
        <v>1240</v>
      </c>
      <c r="E28538">
        <v>0</v>
      </c>
      <c r="F28538">
        <v>409</v>
      </c>
    </row>
    <row r="28539" spans="1:6" ht="12.75">
      <c r="A28539" s="2">
        <v>43875.605682870373</v>
      </c>
      <c r="B28539" t="str">
        <f>HYPERLINK("https://twitter.com/TteDean","@TteDean")</f>
        <v>@TteDean</v>
      </c>
      <c r="C28539" t="s">
        <v>9947</v>
      </c>
      <c r="D28539">
        <v>336</v>
      </c>
      <c r="E28539">
        <v>0</v>
      </c>
      <c r="F28539">
        <v>6</v>
      </c>
    </row>
    <row r="28540" spans="1:6" ht="12.75">
      <c r="A28540" s="2">
        <v>43875.60564814815</v>
      </c>
      <c r="B28540" t="str">
        <f>HYPERLINK("https://twitter.com/AlvaroDeBazan2","@AlvaroDeBazan2")</f>
        <v>@AlvaroDeBazan2</v>
      </c>
      <c r="C28540" t="s">
        <v>12489</v>
      </c>
      <c r="D28540">
        <v>14</v>
      </c>
      <c r="E28540">
        <v>0</v>
      </c>
      <c r="F28540">
        <v>247</v>
      </c>
    </row>
    <row r="28541" spans="1:6" ht="12.75">
      <c r="A28541" s="2">
        <v>43875.60564814815</v>
      </c>
      <c r="B28541" t="str">
        <f>HYPERLINK("https://twitter.com/hcahyono","@hcahyono")</f>
        <v>@hcahyono</v>
      </c>
      <c r="C28541" t="s">
        <v>11122</v>
      </c>
      <c r="D28541">
        <v>5</v>
      </c>
      <c r="E28541">
        <v>0</v>
      </c>
      <c r="F28541">
        <v>4663</v>
      </c>
    </row>
    <row r="28542" spans="1:6" ht="12.75">
      <c r="A28542" s="2">
        <v>43875.60564814815</v>
      </c>
      <c r="B28542" t="str">
        <f>HYPERLINK("https://twitter.com/usmans66868565","@usmans66868565")</f>
        <v>@usmans66868565</v>
      </c>
      <c r="C28542" t="s">
        <v>9746</v>
      </c>
      <c r="D28542">
        <v>180</v>
      </c>
      <c r="E28542">
        <v>0</v>
      </c>
      <c r="F28542">
        <v>357</v>
      </c>
    </row>
    <row r="28543" spans="1:6" ht="12.75">
      <c r="A28543" s="2">
        <v>43875.605636574073</v>
      </c>
      <c r="B28543" t="str">
        <f>HYPERLINK("https://twitter.com/twinsroses","@twinsroses")</f>
        <v>@twinsroses</v>
      </c>
      <c r="C28543" t="s">
        <v>12347</v>
      </c>
      <c r="D28543">
        <v>0</v>
      </c>
      <c r="E28543">
        <v>0</v>
      </c>
      <c r="F28543">
        <v>59</v>
      </c>
    </row>
    <row r="28544" spans="1:6" ht="12.75">
      <c r="A28544" s="2">
        <v>43875.60555555555</v>
      </c>
      <c r="B28544" t="str">
        <f>HYPERLINK("https://twitter.com/MohamedAzzouz0","@MohamedAzzouz0")</f>
        <v>@MohamedAzzouz0</v>
      </c>
      <c r="C28544" t="s">
        <v>9082</v>
      </c>
      <c r="D28544">
        <v>23</v>
      </c>
      <c r="E28544">
        <v>0</v>
      </c>
      <c r="F28544">
        <v>151</v>
      </c>
    </row>
    <row r="28545" spans="1:6" ht="12.75">
      <c r="A28545" s="2">
        <v>43875.60555555555</v>
      </c>
      <c r="B28545" t="str">
        <f>HYPERLINK("https://twitter.com/umam_chaerul","@umam_chaerul")</f>
        <v>@umam_chaerul</v>
      </c>
      <c r="C28545" t="s">
        <v>9746</v>
      </c>
      <c r="D28545">
        <v>180</v>
      </c>
      <c r="E28545">
        <v>0</v>
      </c>
      <c r="F28545">
        <v>2881</v>
      </c>
    </row>
    <row r="28546" spans="1:6" ht="12.75">
      <c r="A28546" s="2">
        <v>43875.605520833335</v>
      </c>
      <c r="B28546" t="str">
        <f>HYPERLINK("https://twitter.com/AlvaroDeBazan2","@AlvaroDeBazan2")</f>
        <v>@AlvaroDeBazan2</v>
      </c>
      <c r="C28546" t="s">
        <v>10360</v>
      </c>
      <c r="D28546">
        <v>26</v>
      </c>
      <c r="E28546">
        <v>0</v>
      </c>
      <c r="F28546">
        <v>247</v>
      </c>
    </row>
    <row r="28547" spans="1:6" ht="12.75">
      <c r="A28547" s="2">
        <v>43875.605474537035</v>
      </c>
      <c r="B28547" t="str">
        <f>HYPERLINK("https://twitter.com/umam_chaerul","@umam_chaerul")</f>
        <v>@umam_chaerul</v>
      </c>
      <c r="C28547" t="s">
        <v>7478</v>
      </c>
      <c r="D28547">
        <v>137</v>
      </c>
      <c r="E28547">
        <v>0</v>
      </c>
      <c r="F28547">
        <v>2881</v>
      </c>
    </row>
    <row r="28548" spans="1:6" ht="12.75">
      <c r="A28548" s="2">
        <v>43875.605416666665</v>
      </c>
      <c r="B28548" t="str">
        <f>HYPERLINK("https://twitter.com/ArdhiansyahYP","@ArdhiansyahYP")</f>
        <v>@ArdhiansyahYP</v>
      </c>
      <c r="C28548" t="s">
        <v>2444</v>
      </c>
      <c r="D28548">
        <v>1240</v>
      </c>
      <c r="E28548">
        <v>0</v>
      </c>
      <c r="F28548">
        <v>6</v>
      </c>
    </row>
    <row r="28549" spans="1:6" ht="12.75">
      <c r="A28549" s="2">
        <v>43875.605393518519</v>
      </c>
      <c r="B28549" t="str">
        <f>HYPERLINK("https://twitter.com/Nigellasativa5","@Nigellasativa5")</f>
        <v>@Nigellasativa5</v>
      </c>
      <c r="C28549" t="s">
        <v>7478</v>
      </c>
      <c r="D28549">
        <v>137</v>
      </c>
      <c r="E28549">
        <v>0</v>
      </c>
      <c r="F28549">
        <v>4152</v>
      </c>
    </row>
    <row r="28550" spans="1:6" ht="12.75">
      <c r="A28550" s="2">
        <v>43875.60533564815</v>
      </c>
      <c r="B28550" t="str">
        <f>HYPERLINK("https://twitter.com/hokiqinzi","@hokiqinzi")</f>
        <v>@hokiqinzi</v>
      </c>
      <c r="C28550" t="s">
        <v>2444</v>
      </c>
      <c r="D28550">
        <v>1240</v>
      </c>
      <c r="E28550">
        <v>0</v>
      </c>
      <c r="F28550">
        <v>190</v>
      </c>
    </row>
    <row r="28551" spans="1:6" ht="12.75">
      <c r="A28551" s="2">
        <v>43875.60528935185</v>
      </c>
      <c r="B28551" t="str">
        <f>HYPERLINK("https://twitter.com/ardira_amd","@ardira_amd")</f>
        <v>@ardira_amd</v>
      </c>
      <c r="C28551" t="s">
        <v>2444</v>
      </c>
      <c r="D28551">
        <v>1240</v>
      </c>
      <c r="E28551">
        <v>0</v>
      </c>
      <c r="F28551">
        <v>488</v>
      </c>
    </row>
    <row r="28552" spans="1:6" ht="12.75">
      <c r="A28552" s="2">
        <v>43875.605219907404</v>
      </c>
      <c r="B28552" t="str">
        <f>HYPERLINK("https://twitter.com/Novie_izma","@Novie_izma")</f>
        <v>@Novie_izma</v>
      </c>
      <c r="C28552" t="s">
        <v>9123</v>
      </c>
      <c r="D28552">
        <v>196</v>
      </c>
      <c r="E28552">
        <v>0</v>
      </c>
      <c r="F28552">
        <v>409</v>
      </c>
    </row>
    <row r="28553" spans="1:6" ht="12.75">
      <c r="A28553" s="2">
        <v>43875.605173611111</v>
      </c>
      <c r="B28553" t="str">
        <f>HYPERLINK("https://twitter.com/CandraRachmad","@CandraRachmad")</f>
        <v>@CandraRachmad</v>
      </c>
      <c r="C28553" t="s">
        <v>7478</v>
      </c>
      <c r="D28553">
        <v>137</v>
      </c>
      <c r="E28553">
        <v>0</v>
      </c>
      <c r="F28553">
        <v>166</v>
      </c>
    </row>
    <row r="28554" spans="1:6" ht="12.75">
      <c r="A28554" s="2">
        <v>43875.605127314819</v>
      </c>
      <c r="B28554" t="str">
        <f>HYPERLINK("https://twitter.com/pebolang2","@pebolang2")</f>
        <v>@pebolang2</v>
      </c>
      <c r="C28554" t="s">
        <v>9123</v>
      </c>
      <c r="D28554">
        <v>196</v>
      </c>
      <c r="E28554">
        <v>0</v>
      </c>
      <c r="F28554">
        <v>55</v>
      </c>
    </row>
    <row r="28555" spans="1:6" ht="12.75">
      <c r="A28555" s="2">
        <v>43875.605115740742</v>
      </c>
      <c r="B28555" t="str">
        <f>HYPERLINK("https://twitter.com/IlhamSa77145041","@IlhamSa77145041")</f>
        <v>@IlhamSa77145041</v>
      </c>
      <c r="C28555" t="s">
        <v>9123</v>
      </c>
      <c r="D28555">
        <v>196</v>
      </c>
      <c r="E28555">
        <v>0</v>
      </c>
      <c r="F28555">
        <v>8</v>
      </c>
    </row>
    <row r="28556" spans="1:6" ht="12.75">
      <c r="A28556" s="2">
        <v>43875.605115740742</v>
      </c>
      <c r="B28556" t="str">
        <f>HYPERLINK("https://twitter.com/SangJelajah","@SangJelajah")</f>
        <v>@SangJelajah</v>
      </c>
      <c r="C28556" t="s">
        <v>12490</v>
      </c>
      <c r="D28556">
        <v>2</v>
      </c>
      <c r="E28556">
        <v>0</v>
      </c>
      <c r="F28556">
        <v>443</v>
      </c>
    </row>
    <row r="28557" spans="1:6" ht="12.75">
      <c r="A28557" s="2">
        <v>43875.605115740742</v>
      </c>
      <c r="B28557" t="str">
        <f>HYPERLINK("https://twitter.com/AlvaroDeBazan2","@AlvaroDeBazan2")</f>
        <v>@AlvaroDeBazan2</v>
      </c>
      <c r="C28557" t="s">
        <v>12491</v>
      </c>
      <c r="D28557">
        <v>2</v>
      </c>
      <c r="E28557">
        <v>0</v>
      </c>
      <c r="F28557">
        <v>247</v>
      </c>
    </row>
    <row r="28558" spans="1:6" ht="12.75">
      <c r="A28558" s="2">
        <v>43875.605034722219</v>
      </c>
      <c r="B28558" t="str">
        <f>HYPERLINK("https://twitter.com/paithetic","@paithetic")</f>
        <v>@paithetic</v>
      </c>
      <c r="C28558" t="s">
        <v>5168</v>
      </c>
      <c r="D28558">
        <v>693</v>
      </c>
      <c r="E28558">
        <v>0</v>
      </c>
      <c r="F28558">
        <v>163</v>
      </c>
    </row>
    <row r="28559" spans="1:6" ht="12.75">
      <c r="A28559" s="2">
        <v>43875.605034722219</v>
      </c>
      <c r="B28559" t="str">
        <f>HYPERLINK("https://twitter.com/nlailyk","@nlailyk")</f>
        <v>@nlailyk</v>
      </c>
      <c r="C28559" t="s">
        <v>9962</v>
      </c>
      <c r="D28559">
        <v>29</v>
      </c>
      <c r="E28559">
        <v>0</v>
      </c>
      <c r="F28559">
        <v>3</v>
      </c>
    </row>
    <row r="28560" spans="1:6" ht="12.75">
      <c r="A28560" s="2">
        <v>43875.604999999996</v>
      </c>
      <c r="B28560" t="str">
        <f>HYPERLINK("https://twitter.com/jammy_shiba","@jammy_shiba")</f>
        <v>@jammy_shiba</v>
      </c>
      <c r="C28560" t="s">
        <v>8470</v>
      </c>
      <c r="D28560">
        <v>135</v>
      </c>
      <c r="E28560">
        <v>0</v>
      </c>
      <c r="F28560">
        <v>129</v>
      </c>
    </row>
    <row r="28561" spans="1:6" ht="12.75">
      <c r="A28561" s="2">
        <v>43875.604988425926</v>
      </c>
      <c r="B28561" t="str">
        <f>HYPERLINK("https://twitter.com/DRputra3","@DRputra3")</f>
        <v>@DRputra3</v>
      </c>
      <c r="C28561" t="s">
        <v>2444</v>
      </c>
      <c r="D28561">
        <v>1241</v>
      </c>
      <c r="E28561">
        <v>0</v>
      </c>
      <c r="F28561">
        <v>130</v>
      </c>
    </row>
    <row r="28562" spans="1:6" ht="12.75">
      <c r="A28562" s="2">
        <v>43875.604930555557</v>
      </c>
      <c r="B28562" t="str">
        <f>HYPERLINK("https://twitter.com/hokiqinzi","@hokiqinzi")</f>
        <v>@hokiqinzi</v>
      </c>
      <c r="C28562" t="s">
        <v>12347</v>
      </c>
      <c r="D28562">
        <v>0</v>
      </c>
      <c r="E28562">
        <v>0</v>
      </c>
      <c r="F28562">
        <v>190</v>
      </c>
    </row>
    <row r="28563" spans="1:6" ht="12.75">
      <c r="A28563" s="2">
        <v>43875.604930555557</v>
      </c>
      <c r="B28563" t="str">
        <f>HYPERLINK("https://twitter.com/okezonenews","@okezonenews")</f>
        <v>@okezonenews</v>
      </c>
      <c r="C28563" t="s">
        <v>12492</v>
      </c>
      <c r="D28563">
        <v>0</v>
      </c>
      <c r="E28563">
        <v>0</v>
      </c>
      <c r="F28563">
        <v>1743740</v>
      </c>
    </row>
    <row r="28564" spans="1:6" ht="12.75">
      <c r="A28564" s="2">
        <v>43875.604895833334</v>
      </c>
      <c r="B28564" t="str">
        <f>HYPERLINK("https://twitter.com/AlvaroDeBazan2","@AlvaroDeBazan2")</f>
        <v>@AlvaroDeBazan2</v>
      </c>
      <c r="C28564" t="s">
        <v>12493</v>
      </c>
      <c r="D28564">
        <v>10</v>
      </c>
      <c r="E28564">
        <v>0</v>
      </c>
      <c r="F28564">
        <v>247</v>
      </c>
    </row>
    <row r="28565" spans="1:6" ht="12.75">
      <c r="A28565" s="2">
        <v>43875.604884259257</v>
      </c>
      <c r="B28565" t="str">
        <f>HYPERLINK("https://twitter.com/kompascom","@kompascom")</f>
        <v>@kompascom</v>
      </c>
      <c r="C28565" t="s">
        <v>12461</v>
      </c>
      <c r="D28565">
        <v>2</v>
      </c>
      <c r="E28565">
        <v>0</v>
      </c>
      <c r="F28565">
        <v>7497530</v>
      </c>
    </row>
    <row r="28566" spans="1:6" ht="12.75">
      <c r="A28566" s="2">
        <v>43875.604884259257</v>
      </c>
      <c r="B28566" t="str">
        <f>HYPERLINK("https://twitter.com/MyBinar","@MyBinar")</f>
        <v>@MyBinar</v>
      </c>
      <c r="C28566" t="s">
        <v>9123</v>
      </c>
      <c r="D28566">
        <v>196</v>
      </c>
      <c r="E28566">
        <v>0</v>
      </c>
      <c r="F28566">
        <v>104</v>
      </c>
    </row>
    <row r="28567" spans="1:6" ht="12.75">
      <c r="A28567" s="2">
        <v>43875.604884259257</v>
      </c>
      <c r="B28567" t="str">
        <f>HYPERLINK("https://twitter.com/inakafifa","@inakafifa")</f>
        <v>@inakafifa</v>
      </c>
      <c r="C28567" t="s">
        <v>5168</v>
      </c>
      <c r="D28567">
        <v>693</v>
      </c>
      <c r="E28567">
        <v>0</v>
      </c>
      <c r="F28567">
        <v>779</v>
      </c>
    </row>
    <row r="28568" spans="1:6" ht="12.75">
      <c r="A28568" s="2">
        <v>43875.604861111111</v>
      </c>
      <c r="B28568" t="str">
        <f>HYPERLINK("https://twitter.com/Absolute_halal","@Absolute_halal")</f>
        <v>@Absolute_halal</v>
      </c>
      <c r="C28568" t="s">
        <v>7478</v>
      </c>
      <c r="D28568">
        <v>137</v>
      </c>
      <c r="E28568">
        <v>0</v>
      </c>
      <c r="F28568">
        <v>1027</v>
      </c>
    </row>
    <row r="28569" spans="1:6" ht="12.75">
      <c r="A28569" s="2">
        <v>43875.604756944449</v>
      </c>
      <c r="B28569" t="str">
        <f>HYPERLINK("https://twitter.com/almascatie","@almascatie")</f>
        <v>@almascatie</v>
      </c>
      <c r="C28569" t="s">
        <v>12494</v>
      </c>
      <c r="D28569">
        <v>0</v>
      </c>
      <c r="E28569">
        <v>0</v>
      </c>
      <c r="F28569">
        <v>6095</v>
      </c>
    </row>
    <row r="28570" spans="1:6" ht="12.75">
      <c r="A28570" s="2">
        <v>43875.604687500003</v>
      </c>
      <c r="B28570" t="str">
        <f>HYPERLINK("https://twitter.com/aisnl","@aisnl")</f>
        <v>@aisnl</v>
      </c>
      <c r="C28570" t="s">
        <v>9964</v>
      </c>
      <c r="D28570">
        <v>587</v>
      </c>
      <c r="E28570">
        <v>0</v>
      </c>
      <c r="F28570">
        <v>419</v>
      </c>
    </row>
    <row r="28571" spans="1:6" ht="12.75">
      <c r="A28571" s="2">
        <v>43875.604641203703</v>
      </c>
      <c r="B28571" t="str">
        <f>HYPERLINK("https://twitter.com/28Desti_","@28Desti_")</f>
        <v>@28Desti_</v>
      </c>
      <c r="C28571" t="s">
        <v>2444</v>
      </c>
      <c r="D28571">
        <v>1241</v>
      </c>
      <c r="E28571">
        <v>0</v>
      </c>
      <c r="F28571">
        <v>449</v>
      </c>
    </row>
    <row r="28572" spans="1:6" ht="12.75">
      <c r="A28572" s="2">
        <v>43875.604641203703</v>
      </c>
      <c r="B28572" t="str">
        <f>HYPERLINK("https://twitter.com/bangajoen_doang","@bangajoen_doang")</f>
        <v>@bangajoen_doang</v>
      </c>
      <c r="C28572" t="s">
        <v>12495</v>
      </c>
      <c r="D28572">
        <v>470</v>
      </c>
      <c r="E28572">
        <v>0</v>
      </c>
      <c r="F28572">
        <v>1417</v>
      </c>
    </row>
    <row r="28573" spans="1:6" ht="12.75">
      <c r="A28573" s="2">
        <v>43875.604594907403</v>
      </c>
      <c r="B28573" t="str">
        <f>HYPERLINK("https://twitter.com/yadimarwasa","@yadimarwasa")</f>
        <v>@yadimarwasa</v>
      </c>
      <c r="C28573" t="s">
        <v>7478</v>
      </c>
      <c r="D28573">
        <v>137</v>
      </c>
      <c r="E28573">
        <v>0</v>
      </c>
      <c r="F28573">
        <v>155</v>
      </c>
    </row>
    <row r="28574" spans="1:6" ht="12.75">
      <c r="A28574" s="2">
        <v>43875.604537037041</v>
      </c>
      <c r="B28574" t="str">
        <f>HYPERLINK("https://twitter.com/KEZIAAM0UR","@KEZIAAM0UR")</f>
        <v>@KEZIAAM0UR</v>
      </c>
      <c r="C28574" t="s">
        <v>12496</v>
      </c>
      <c r="D28574">
        <v>0</v>
      </c>
      <c r="E28574">
        <v>0</v>
      </c>
      <c r="F28574">
        <v>99</v>
      </c>
    </row>
    <row r="28575" spans="1:6" ht="12.75">
      <c r="A28575" s="2">
        <v>43875.604537037041</v>
      </c>
      <c r="B28575" t="str">
        <f>HYPERLINK("https://twitter.com/DesiArfisi","@DesiArfisi")</f>
        <v>@DesiArfisi</v>
      </c>
      <c r="C28575" t="s">
        <v>12497</v>
      </c>
      <c r="D28575">
        <v>1</v>
      </c>
      <c r="E28575">
        <v>0</v>
      </c>
      <c r="F28575">
        <v>2171</v>
      </c>
    </row>
    <row r="28576" spans="1:6" ht="12.75">
      <c r="A28576" s="2">
        <v>43875.604525462964</v>
      </c>
      <c r="B28576" t="str">
        <f>HYPERLINK("https://twitter.com/medcom_id","@medcom_id")</f>
        <v>@medcom_id</v>
      </c>
      <c r="C28576" t="s">
        <v>12498</v>
      </c>
      <c r="D28576">
        <v>0</v>
      </c>
      <c r="E28576">
        <v>1</v>
      </c>
      <c r="F28576">
        <v>18112</v>
      </c>
    </row>
    <row r="28577" spans="1:6" ht="12.75">
      <c r="A28577" s="2">
        <v>43875.604305555556</v>
      </c>
      <c r="B28577" t="str">
        <f>HYPERLINK("https://twitter.com/ARISSUS02666971","@ARISSUS02666971")</f>
        <v>@ARISSUS02666971</v>
      </c>
      <c r="C28577" t="s">
        <v>9746</v>
      </c>
      <c r="D28577">
        <v>180</v>
      </c>
      <c r="E28577">
        <v>0</v>
      </c>
      <c r="F28577">
        <v>147</v>
      </c>
    </row>
    <row r="28578" spans="1:6" ht="12.75">
      <c r="A28578" s="2">
        <v>43875.604259259257</v>
      </c>
      <c r="B28578" t="str">
        <f>HYPERLINK("https://twitter.com/aw3126","@aw3126")</f>
        <v>@aw3126</v>
      </c>
      <c r="C28578" t="s">
        <v>12499</v>
      </c>
      <c r="D28578">
        <v>4</v>
      </c>
      <c r="E28578">
        <v>7</v>
      </c>
      <c r="F28578">
        <v>686</v>
      </c>
    </row>
    <row r="28579" spans="1:6" ht="12.75">
      <c r="A28579" s="2">
        <v>43875.60423611111</v>
      </c>
      <c r="B28579" t="str">
        <f>HYPERLINK("https://twitter.com/inilahdotcom","@inilahdotcom")</f>
        <v>@inilahdotcom</v>
      </c>
      <c r="C28579" t="s">
        <v>12500</v>
      </c>
      <c r="D28579">
        <v>0</v>
      </c>
      <c r="E28579">
        <v>1</v>
      </c>
      <c r="F28579">
        <v>367308</v>
      </c>
    </row>
    <row r="28580" spans="1:6" ht="12.75">
      <c r="A28580" s="2">
        <v>43875.604224537034</v>
      </c>
      <c r="B28580" t="str">
        <f>HYPERLINK("https://twitter.com/heri_ranintaqi","@heri_ranintaqi")</f>
        <v>@heri_ranintaqi</v>
      </c>
      <c r="C28580" t="s">
        <v>7478</v>
      </c>
      <c r="D28580">
        <v>137</v>
      </c>
      <c r="E28580">
        <v>0</v>
      </c>
      <c r="F28580">
        <v>275</v>
      </c>
    </row>
    <row r="28581" spans="1:6" ht="12.75">
      <c r="A28581" s="2">
        <v>43875.604212962964</v>
      </c>
      <c r="B28581" t="str">
        <f>HYPERLINK("https://twitter.com/nugrahateddy","@nugrahateddy")</f>
        <v>@nugrahateddy</v>
      </c>
      <c r="C28581" t="s">
        <v>12501</v>
      </c>
      <c r="D28581">
        <v>2</v>
      </c>
      <c r="E28581">
        <v>0</v>
      </c>
      <c r="F28581">
        <v>278</v>
      </c>
    </row>
    <row r="28582" spans="1:6" ht="12.75">
      <c r="A28582" s="2">
        <v>43875.604201388887</v>
      </c>
      <c r="B28582" t="str">
        <f>HYPERLINK("https://twitter.com/kompasiana","@kompasiana")</f>
        <v>@kompasiana</v>
      </c>
      <c r="C28582" t="s">
        <v>12502</v>
      </c>
      <c r="D28582">
        <v>2</v>
      </c>
      <c r="E28582">
        <v>2</v>
      </c>
      <c r="F28582">
        <v>927859</v>
      </c>
    </row>
    <row r="28583" spans="1:6" ht="12.75">
      <c r="A28583" s="2">
        <v>43875.604189814811</v>
      </c>
      <c r="B28583" t="str">
        <f>HYPERLINK("https://twitter.com/SangJelajah","@SangJelajah")</f>
        <v>@SangJelajah</v>
      </c>
      <c r="C28583" t="s">
        <v>9746</v>
      </c>
      <c r="D28583">
        <v>180</v>
      </c>
      <c r="E28583">
        <v>0</v>
      </c>
      <c r="F28583">
        <v>443</v>
      </c>
    </row>
    <row r="28584" spans="1:6" ht="12.75">
      <c r="A28584" s="2">
        <v>43875.604097222225</v>
      </c>
      <c r="B28584" t="str">
        <f>HYPERLINK("https://twitter.com/Bro_3di3n","@Bro_3di3n")</f>
        <v>@Bro_3di3n</v>
      </c>
      <c r="C28584" t="s">
        <v>2963</v>
      </c>
      <c r="D28584">
        <v>871</v>
      </c>
      <c r="E28584">
        <v>0</v>
      </c>
      <c r="F28584">
        <v>2457</v>
      </c>
    </row>
    <row r="28585" spans="1:6" ht="12.75">
      <c r="A28585" s="2">
        <v>43875.603969907403</v>
      </c>
      <c r="B28585" t="str">
        <f>HYPERLINK("https://twitter.com/GWilarno","@GWilarno")</f>
        <v>@GWilarno</v>
      </c>
      <c r="C28585" t="s">
        <v>12044</v>
      </c>
      <c r="D28585">
        <v>55</v>
      </c>
      <c r="E28585">
        <v>0</v>
      </c>
      <c r="F28585">
        <v>0</v>
      </c>
    </row>
    <row r="28586" spans="1:6" ht="12.75">
      <c r="A28586" s="2">
        <v>43875.60392361111</v>
      </c>
      <c r="B28586" t="str">
        <f>HYPERLINK("https://twitter.com/efie_vie","@efie_vie")</f>
        <v>@efie_vie</v>
      </c>
      <c r="C28586" t="s">
        <v>7478</v>
      </c>
      <c r="D28586">
        <v>137</v>
      </c>
      <c r="E28586">
        <v>0</v>
      </c>
      <c r="F28586">
        <v>93</v>
      </c>
    </row>
    <row r="28587" spans="1:6" ht="12.75">
      <c r="A28587" s="2">
        <v>43875.603912037041</v>
      </c>
      <c r="B28587" t="str">
        <f>HYPERLINK("https://twitter.com/ari3fbudiman","@ari3fbudiman")</f>
        <v>@ari3fbudiman</v>
      </c>
      <c r="C28587" t="s">
        <v>12503</v>
      </c>
      <c r="D28587">
        <v>0</v>
      </c>
      <c r="E28587">
        <v>0</v>
      </c>
      <c r="F28587">
        <v>344</v>
      </c>
    </row>
    <row r="28588" spans="1:6" ht="12.75">
      <c r="A28588" s="2">
        <v>43875.603865740741</v>
      </c>
      <c r="B28588" t="str">
        <f>HYPERLINK("https://twitter.com/d_wisnu01","@d_wisnu01")</f>
        <v>@d_wisnu01</v>
      </c>
      <c r="C28588" t="s">
        <v>9113</v>
      </c>
      <c r="D28588">
        <v>292</v>
      </c>
      <c r="E28588">
        <v>0</v>
      </c>
      <c r="F28588">
        <v>170</v>
      </c>
    </row>
    <row r="28589" spans="1:6" ht="12.75">
      <c r="A28589" s="2">
        <v>43875.603842592594</v>
      </c>
      <c r="B28589" t="str">
        <f>HYPERLINK("https://twitter.com/jakalatas","@jakalatas")</f>
        <v>@jakalatas</v>
      </c>
      <c r="C28589" t="s">
        <v>5168</v>
      </c>
      <c r="D28589">
        <v>693</v>
      </c>
      <c r="E28589">
        <v>0</v>
      </c>
      <c r="F28589">
        <v>143</v>
      </c>
    </row>
    <row r="28590" spans="1:6" ht="12.75">
      <c r="A28590" s="2">
        <v>43875.603819444441</v>
      </c>
      <c r="B28590" t="str">
        <f>HYPERLINK("https://twitter.com/KhairilAzizi_17","@KhairilAzizi_17")</f>
        <v>@KhairilAzizi_17</v>
      </c>
      <c r="C28590" t="s">
        <v>12504</v>
      </c>
      <c r="D28590">
        <v>0</v>
      </c>
      <c r="E28590">
        <v>0</v>
      </c>
      <c r="F28590">
        <v>11</v>
      </c>
    </row>
    <row r="28591" spans="1:6" ht="12.75">
      <c r="A28591" s="2">
        <v>43875.603807870371</v>
      </c>
      <c r="B28591" t="str">
        <f>HYPERLINK("https://twitter.com/neyagyudil","@neyagyudil")</f>
        <v>@neyagyudil</v>
      </c>
      <c r="C28591" t="s">
        <v>2444</v>
      </c>
      <c r="D28591">
        <v>1241</v>
      </c>
      <c r="E28591">
        <v>0</v>
      </c>
      <c r="F28591">
        <v>184</v>
      </c>
    </row>
    <row r="28592" spans="1:6" ht="12.75">
      <c r="A28592" s="2">
        <v>43875.603796296295</v>
      </c>
      <c r="B28592" t="str">
        <f>HYPERLINK("https://twitter.com/AldyRonyw278","@AldyRonyw278")</f>
        <v>@AldyRonyw278</v>
      </c>
      <c r="C28592" t="s">
        <v>9746</v>
      </c>
      <c r="D28592">
        <v>180</v>
      </c>
      <c r="E28592">
        <v>0</v>
      </c>
      <c r="F28592">
        <v>41</v>
      </c>
    </row>
    <row r="28593" spans="1:6" ht="12.75">
      <c r="A28593" s="2">
        <v>43875.603796296295</v>
      </c>
      <c r="B28593" t="str">
        <f>HYPERLINK("https://twitter.com/Dhealestri","@Dhealestri")</f>
        <v>@Dhealestri</v>
      </c>
      <c r="C28593" t="s">
        <v>12505</v>
      </c>
      <c r="D28593">
        <v>0</v>
      </c>
      <c r="E28593">
        <v>0</v>
      </c>
      <c r="F28593">
        <v>194</v>
      </c>
    </row>
    <row r="28594" spans="1:6" ht="12.75">
      <c r="A28594" s="2">
        <v>43875.603773148148</v>
      </c>
      <c r="B28594" t="str">
        <f>HYPERLINK("https://twitter.com/DesiArfisi","@DesiArfisi")</f>
        <v>@DesiArfisi</v>
      </c>
      <c r="C28594" t="s">
        <v>12506</v>
      </c>
      <c r="D28594">
        <v>0</v>
      </c>
      <c r="E28594">
        <v>0</v>
      </c>
      <c r="F28594">
        <v>2171</v>
      </c>
    </row>
    <row r="28595" spans="1:6" ht="12.75">
      <c r="A28595" s="2">
        <v>43875.603726851856</v>
      </c>
      <c r="B28595" t="str">
        <f>HYPERLINK("https://twitter.com/durmajaya","@durmajaya")</f>
        <v>@durmajaya</v>
      </c>
      <c r="C28595" t="s">
        <v>8233</v>
      </c>
      <c r="D28595">
        <v>454</v>
      </c>
      <c r="E28595">
        <v>0</v>
      </c>
      <c r="F28595">
        <v>232</v>
      </c>
    </row>
    <row r="28596" spans="1:6" ht="12.75">
      <c r="A28596" s="2">
        <v>43875.603680555556</v>
      </c>
      <c r="B28596" t="str">
        <f>HYPERLINK("https://twitter.com/rafaellajja","@rafaellajja")</f>
        <v>@rafaellajja</v>
      </c>
      <c r="C28596" t="s">
        <v>9123</v>
      </c>
      <c r="D28596">
        <v>196</v>
      </c>
      <c r="E28596">
        <v>0</v>
      </c>
      <c r="F28596">
        <v>292</v>
      </c>
    </row>
    <row r="28597" spans="1:6" ht="12.75">
      <c r="A28597" s="2">
        <v>43875.603680555556</v>
      </c>
      <c r="B28597" t="str">
        <f>HYPERLINK("https://twitter.com/kiqwid","@kiqwid")</f>
        <v>@kiqwid</v>
      </c>
      <c r="C28597" t="s">
        <v>2137</v>
      </c>
      <c r="D28597">
        <v>99</v>
      </c>
      <c r="E28597">
        <v>0</v>
      </c>
      <c r="F28597">
        <v>267</v>
      </c>
    </row>
    <row r="28598" spans="1:6" ht="12.75">
      <c r="A28598" s="2">
        <v>43875.60356481481</v>
      </c>
      <c r="B28598" t="str">
        <f>HYPERLINK("https://twitter.com/xayyyubi","@xayyyubi")</f>
        <v>@xayyyubi</v>
      </c>
      <c r="C28598" t="s">
        <v>2444</v>
      </c>
      <c r="D28598">
        <v>1241</v>
      </c>
      <c r="E28598">
        <v>0</v>
      </c>
      <c r="F28598">
        <v>406</v>
      </c>
    </row>
    <row r="28599" spans="1:6" ht="12.75">
      <c r="A28599" s="2">
        <v>43875.60355324074</v>
      </c>
      <c r="B28599" t="str">
        <f>HYPERLINK("https://twitter.com/BitterBallance","@BitterBallance")</f>
        <v>@BitterBallance</v>
      </c>
      <c r="C28599" t="s">
        <v>12507</v>
      </c>
      <c r="D28599">
        <v>1</v>
      </c>
      <c r="E28599">
        <v>0</v>
      </c>
      <c r="F28599">
        <v>639</v>
      </c>
    </row>
    <row r="28600" spans="1:6" ht="12.75">
      <c r="A28600" s="2">
        <v>43875.60355324074</v>
      </c>
      <c r="B28600" t="str">
        <f>HYPERLINK("https://twitter.com/Winardhi__","@Winardhi__")</f>
        <v>@Winardhi__</v>
      </c>
      <c r="C28600" t="s">
        <v>2122</v>
      </c>
      <c r="D28600">
        <v>205</v>
      </c>
      <c r="E28600">
        <v>0</v>
      </c>
      <c r="F28600">
        <v>7471</v>
      </c>
    </row>
    <row r="28601" spans="1:6" ht="12.75">
      <c r="A28601" s="2">
        <v>43875.603541666671</v>
      </c>
      <c r="B28601" t="str">
        <f>HYPERLINK("https://twitter.com/KYablochkin","@KYablochkin")</f>
        <v>@KYablochkin</v>
      </c>
      <c r="C28601" t="s">
        <v>9082</v>
      </c>
      <c r="D28601">
        <v>23</v>
      </c>
      <c r="E28601">
        <v>0</v>
      </c>
      <c r="F28601">
        <v>1363</v>
      </c>
    </row>
    <row r="28602" spans="1:6" ht="12.75">
      <c r="A28602" s="2">
        <v>43875.603518518517</v>
      </c>
      <c r="B28602" t="str">
        <f>HYPERLINK("https://twitter.com/anestflix","@anestflix")</f>
        <v>@anestflix</v>
      </c>
      <c r="C28602" t="s">
        <v>8233</v>
      </c>
      <c r="D28602">
        <v>454</v>
      </c>
      <c r="E28602">
        <v>0</v>
      </c>
      <c r="F28602">
        <v>4</v>
      </c>
    </row>
    <row r="28603" spans="1:6" ht="12.75">
      <c r="A28603" s="2">
        <v>43875.603449074071</v>
      </c>
      <c r="B28603" t="str">
        <f>HYPERLINK("https://twitter.com/dean_suga","@dean_suga")</f>
        <v>@dean_suga</v>
      </c>
      <c r="C28603" t="s">
        <v>9746</v>
      </c>
      <c r="D28603">
        <v>180</v>
      </c>
      <c r="E28603">
        <v>0</v>
      </c>
      <c r="F28603">
        <v>317</v>
      </c>
    </row>
    <row r="28604" spans="1:6" ht="12.75">
      <c r="A28604" s="2">
        <v>43875.603414351848</v>
      </c>
      <c r="B28604" t="str">
        <f>HYPERLINK("https://twitter.com/danikediri1908","@danikediri1908")</f>
        <v>@danikediri1908</v>
      </c>
      <c r="C28604" t="s">
        <v>9746</v>
      </c>
      <c r="D28604">
        <v>180</v>
      </c>
      <c r="E28604">
        <v>0</v>
      </c>
      <c r="F28604">
        <v>4806</v>
      </c>
    </row>
    <row r="28605" spans="1:6" ht="12.75">
      <c r="A28605" s="2">
        <v>43875.603414351848</v>
      </c>
      <c r="B28605" t="str">
        <f>HYPERLINK("https://twitter.com/acieldalla_","@acieldalla_")</f>
        <v>@acieldalla_</v>
      </c>
      <c r="C28605" t="s">
        <v>2444</v>
      </c>
      <c r="D28605">
        <v>1241</v>
      </c>
      <c r="E28605">
        <v>0</v>
      </c>
      <c r="F28605">
        <v>629</v>
      </c>
    </row>
    <row r="28606" spans="1:6" ht="12.75">
      <c r="A28606" s="2">
        <v>43875.603379629625</v>
      </c>
      <c r="B28606" t="str">
        <f>HYPERLINK("https://twitter.com/hemaviton99","@hemaviton99")</f>
        <v>@hemaviton99</v>
      </c>
      <c r="C28606" t="s">
        <v>12508</v>
      </c>
      <c r="D28606">
        <v>1</v>
      </c>
      <c r="E28606">
        <v>0</v>
      </c>
      <c r="F28606">
        <v>3463</v>
      </c>
    </row>
    <row r="28607" spans="1:6" ht="12.75">
      <c r="A28607" s="2">
        <v>43875.603368055556</v>
      </c>
      <c r="B28607" t="str">
        <f>HYPERLINK("https://twitter.com/DianDiol","@DianDiol")</f>
        <v>@DianDiol</v>
      </c>
      <c r="C28607" t="s">
        <v>9538</v>
      </c>
      <c r="D28607">
        <v>134</v>
      </c>
      <c r="E28607">
        <v>0</v>
      </c>
      <c r="F28607">
        <v>634</v>
      </c>
    </row>
    <row r="28608" spans="1:6" ht="12.75">
      <c r="A28608" s="2">
        <v>43875.603321759263</v>
      </c>
      <c r="B28608" t="str">
        <f>HYPERLINK("https://twitter.com/AnthaYudha","@AnthaYudha")</f>
        <v>@AnthaYudha</v>
      </c>
      <c r="C28608" t="s">
        <v>2963</v>
      </c>
      <c r="D28608">
        <v>871</v>
      </c>
      <c r="E28608">
        <v>0</v>
      </c>
      <c r="F28608">
        <v>1507</v>
      </c>
    </row>
    <row r="28609" spans="1:6" ht="12.75">
      <c r="A28609" s="2">
        <v>43875.603310185186</v>
      </c>
      <c r="B28609" t="str">
        <f>HYPERLINK("https://twitter.com/dani_partin01","@dani_partin01")</f>
        <v>@dani_partin01</v>
      </c>
      <c r="C28609" t="s">
        <v>7719</v>
      </c>
      <c r="D28609">
        <v>1</v>
      </c>
      <c r="E28609">
        <v>0</v>
      </c>
      <c r="F28609">
        <v>1286</v>
      </c>
    </row>
    <row r="28610" spans="1:6" ht="12.75">
      <c r="A28610" s="2">
        <v>43875.60328703704</v>
      </c>
      <c r="B28610" t="str">
        <f>HYPERLINK("https://twitter.com/wajdiv","@wajdiv")</f>
        <v>@wajdiv</v>
      </c>
      <c r="C28610" t="s">
        <v>12509</v>
      </c>
      <c r="D28610">
        <v>0</v>
      </c>
      <c r="E28610">
        <v>0</v>
      </c>
      <c r="F28610">
        <v>544</v>
      </c>
    </row>
    <row r="28611" spans="1:6" ht="12.75">
      <c r="A28611" s="2">
        <v>43875.603148148148</v>
      </c>
      <c r="B28611" t="str">
        <f>HYPERLINK("https://twitter.com/koranmedsos","@koranmedsos")</f>
        <v>@koranmedsos</v>
      </c>
      <c r="C28611" t="s">
        <v>12384</v>
      </c>
      <c r="D28611">
        <v>0</v>
      </c>
      <c r="E28611">
        <v>0</v>
      </c>
      <c r="F28611">
        <v>2395</v>
      </c>
    </row>
    <row r="28612" spans="1:6" ht="12.75">
      <c r="A28612" s="2">
        <v>43875.603136574078</v>
      </c>
      <c r="B28612" t="str">
        <f>HYPERLINK("https://twitter.com/DrNamdar","@DrNamdar")</f>
        <v>@DrNamdar</v>
      </c>
      <c r="C28612" t="s">
        <v>9082</v>
      </c>
      <c r="D28612">
        <v>23</v>
      </c>
      <c r="E28612">
        <v>0</v>
      </c>
      <c r="F28612">
        <v>2327</v>
      </c>
    </row>
    <row r="28613" spans="1:6" ht="12.75">
      <c r="A28613" s="2">
        <v>43875.603078703702</v>
      </c>
      <c r="B28613" t="str">
        <f>HYPERLINK("https://twitter.com/AdelinaAurelia","@AdelinaAurelia")</f>
        <v>@AdelinaAurelia</v>
      </c>
      <c r="C28613" t="s">
        <v>2963</v>
      </c>
      <c r="D28613">
        <v>871</v>
      </c>
      <c r="E28613">
        <v>0</v>
      </c>
      <c r="F28613">
        <v>77</v>
      </c>
    </row>
    <row r="28614" spans="1:6" ht="12.75">
      <c r="A28614" s="2">
        <v>43875.603055555555</v>
      </c>
      <c r="B28614" t="str">
        <f>HYPERLINK("https://twitter.com/kevinkhs_","@kevinkhs_")</f>
        <v>@kevinkhs_</v>
      </c>
      <c r="C28614" t="s">
        <v>5168</v>
      </c>
      <c r="D28614">
        <v>693</v>
      </c>
      <c r="E28614">
        <v>0</v>
      </c>
      <c r="F28614">
        <v>604</v>
      </c>
    </row>
    <row r="28615" spans="1:6" ht="12.75">
      <c r="A28615" s="2">
        <v>43875.602986111116</v>
      </c>
      <c r="B28615" t="str">
        <f>HYPERLINK("https://twitter.com/pintuhidayahh","@pintuhidayahh")</f>
        <v>@pintuhidayahh</v>
      </c>
      <c r="C28615" t="s">
        <v>9123</v>
      </c>
      <c r="D28615">
        <v>196</v>
      </c>
      <c r="E28615">
        <v>0</v>
      </c>
      <c r="F28615">
        <v>71</v>
      </c>
    </row>
    <row r="28616" spans="1:6" ht="12.75">
      <c r="A28616" s="2">
        <v>43875.602986111116</v>
      </c>
      <c r="B28616" t="str">
        <f>HYPERLINK("https://twitter.com/LilBusanGirl","@LilBusanGirl")</f>
        <v>@LilBusanGirl</v>
      </c>
      <c r="C28616" t="s">
        <v>12510</v>
      </c>
      <c r="D28616">
        <v>0</v>
      </c>
      <c r="E28616">
        <v>0</v>
      </c>
      <c r="F28616">
        <v>915</v>
      </c>
    </row>
    <row r="28617" spans="1:6" ht="12.75">
      <c r="A28617" s="2">
        <v>43875.602986111116</v>
      </c>
      <c r="B28617" t="str">
        <f>HYPERLINK("https://twitter.com/rafaellajja","@rafaellajja")</f>
        <v>@rafaellajja</v>
      </c>
      <c r="C28617" t="s">
        <v>2444</v>
      </c>
      <c r="D28617">
        <v>1241</v>
      </c>
      <c r="E28617">
        <v>0</v>
      </c>
      <c r="F28617">
        <v>292</v>
      </c>
    </row>
    <row r="28618" spans="1:6" ht="12.75">
      <c r="A28618" s="2">
        <v>43875.602905092594</v>
      </c>
      <c r="B28618" t="str">
        <f>HYPERLINK("https://twitter.com/bagaswa32317478","@bagaswa32317478")</f>
        <v>@bagaswa32317478</v>
      </c>
      <c r="C28618" t="s">
        <v>10319</v>
      </c>
      <c r="D28618">
        <v>156</v>
      </c>
      <c r="E28618">
        <v>0</v>
      </c>
      <c r="F28618">
        <v>21</v>
      </c>
    </row>
    <row r="28619" spans="1:6" ht="12.75">
      <c r="A28619" s="2">
        <v>43875.602893518517</v>
      </c>
      <c r="B28619" t="str">
        <f>HYPERLINK("https://twitter.com/mynameismark__","@mynameismark__")</f>
        <v>@mynameismark__</v>
      </c>
      <c r="C28619" t="s">
        <v>2444</v>
      </c>
      <c r="D28619">
        <v>1241</v>
      </c>
      <c r="E28619">
        <v>0</v>
      </c>
      <c r="F28619">
        <v>1710</v>
      </c>
    </row>
    <row r="28620" spans="1:6" ht="12.75">
      <c r="A28620" s="2">
        <v>43875.602858796294</v>
      </c>
      <c r="B28620" t="str">
        <f>HYPERLINK("https://twitter.com/defriema","@defriema")</f>
        <v>@defriema</v>
      </c>
      <c r="C28620" t="s">
        <v>12511</v>
      </c>
      <c r="D28620">
        <v>0</v>
      </c>
      <c r="E28620">
        <v>0</v>
      </c>
      <c r="F28620">
        <v>674</v>
      </c>
    </row>
    <row r="28621" spans="1:6" ht="12.75">
      <c r="A28621" s="2">
        <v>43875.602858796294</v>
      </c>
      <c r="B28621" t="str">
        <f>HYPERLINK("https://twitter.com/RosdianaNemo","@RosdianaNemo")</f>
        <v>@RosdianaNemo</v>
      </c>
      <c r="C28621" t="s">
        <v>12512</v>
      </c>
      <c r="D28621">
        <v>0</v>
      </c>
      <c r="E28621">
        <v>0</v>
      </c>
      <c r="F28621">
        <v>1</v>
      </c>
    </row>
    <row r="28622" spans="1:6" ht="12.75">
      <c r="A28622" s="2">
        <v>43875.602835648147</v>
      </c>
      <c r="B28622" t="str">
        <f>HYPERLINK("https://twitter.com/vtamin_tae","@vtamin_tae")</f>
        <v>@vtamin_tae</v>
      </c>
      <c r="C28622" t="s">
        <v>2444</v>
      </c>
      <c r="D28622">
        <v>1241</v>
      </c>
      <c r="E28622">
        <v>0</v>
      </c>
      <c r="F28622">
        <v>660</v>
      </c>
    </row>
    <row r="28623" spans="1:6" ht="12.75">
      <c r="A28623" s="2">
        <v>43875.602812500001</v>
      </c>
      <c r="B28623" t="str">
        <f>HYPERLINK("https://twitter.com/meryharison","@meryharison")</f>
        <v>@meryharison</v>
      </c>
      <c r="C28623" t="s">
        <v>12513</v>
      </c>
      <c r="D28623">
        <v>0</v>
      </c>
      <c r="E28623">
        <v>0</v>
      </c>
      <c r="F28623">
        <v>1187</v>
      </c>
    </row>
    <row r="28624" spans="1:6" ht="12.75">
      <c r="A28624" s="2">
        <v>43875.602800925924</v>
      </c>
      <c r="B28624" t="str">
        <f>HYPERLINK("https://twitter.com/pikiran_rakyat","@pikiran_rakyat")</f>
        <v>@pikiran_rakyat</v>
      </c>
      <c r="C28624" t="s">
        <v>12514</v>
      </c>
      <c r="D28624">
        <v>0</v>
      </c>
      <c r="E28624">
        <v>0</v>
      </c>
      <c r="F28624">
        <v>412512</v>
      </c>
    </row>
    <row r="28625" spans="1:6" ht="12.75">
      <c r="A28625" s="2">
        <v>43875.602719907409</v>
      </c>
      <c r="B28625" t="str">
        <f>HYPERLINK("https://twitter.com/vika_as_","@vika_as_")</f>
        <v>@vika_as_</v>
      </c>
      <c r="C28625" t="s">
        <v>12515</v>
      </c>
      <c r="D28625">
        <v>2</v>
      </c>
      <c r="E28625">
        <v>0</v>
      </c>
      <c r="F28625">
        <v>159</v>
      </c>
    </row>
    <row r="28626" spans="1:6" ht="12.75">
      <c r="A28626" s="2">
        <v>43875.602696759262</v>
      </c>
      <c r="B28626" t="str">
        <f>HYPERLINK("https://twitter.com/RullyTawang","@RullyTawang")</f>
        <v>@RullyTawang</v>
      </c>
      <c r="C28626" t="s">
        <v>12143</v>
      </c>
      <c r="D28626">
        <v>5</v>
      </c>
      <c r="E28626">
        <v>0</v>
      </c>
      <c r="F28626">
        <v>689</v>
      </c>
    </row>
    <row r="28627" spans="1:6" ht="12.75">
      <c r="A28627" s="2">
        <v>43875.602650462963</v>
      </c>
      <c r="B28627" t="str">
        <f>HYPERLINK("https://twitter.com/Andika_Yulianto","@Andika_Yulianto")</f>
        <v>@Andika_Yulianto</v>
      </c>
      <c r="C28627" t="s">
        <v>2444</v>
      </c>
      <c r="D28627">
        <v>1241</v>
      </c>
      <c r="E28627">
        <v>0</v>
      </c>
      <c r="F28627">
        <v>275</v>
      </c>
    </row>
    <row r="28628" spans="1:6" ht="12.75">
      <c r="A28628" s="2">
        <v>43875.602650462963</v>
      </c>
      <c r="B28628" t="str">
        <f>HYPERLINK("https://twitter.com/odemkids","@odemkids")</f>
        <v>@odemkids</v>
      </c>
      <c r="C28628" t="s">
        <v>2963</v>
      </c>
      <c r="D28628">
        <v>871</v>
      </c>
      <c r="E28628">
        <v>0</v>
      </c>
      <c r="F28628">
        <v>113</v>
      </c>
    </row>
    <row r="28629" spans="1:6" ht="12.75">
      <c r="A28629" s="2">
        <v>43875.602638888886</v>
      </c>
      <c r="B28629" t="str">
        <f>HYPERLINK("https://twitter.com/ryan_eza","@ryan_eza")</f>
        <v>@ryan_eza</v>
      </c>
      <c r="C28629" t="s">
        <v>12144</v>
      </c>
      <c r="D28629">
        <v>7</v>
      </c>
      <c r="E28629">
        <v>0</v>
      </c>
      <c r="F28629">
        <v>209</v>
      </c>
    </row>
    <row r="28630" spans="1:6" ht="12.75">
      <c r="A28630" s="2">
        <v>43875.602592592593</v>
      </c>
      <c r="B28630" t="str">
        <f>HYPERLINK("https://twitter.com/ElangTohpati","@ElangTohpati")</f>
        <v>@ElangTohpati</v>
      </c>
      <c r="C28630" t="s">
        <v>5485</v>
      </c>
      <c r="D28630">
        <v>6</v>
      </c>
      <c r="E28630">
        <v>0</v>
      </c>
      <c r="F28630">
        <v>52</v>
      </c>
    </row>
    <row r="28631" spans="1:6" ht="12.75">
      <c r="A28631" s="2">
        <v>43875.602592592593</v>
      </c>
      <c r="B28631" t="str">
        <f>HYPERLINK("https://twitter.com/ikutkabari","@ikutkabari")</f>
        <v>@ikutkabari</v>
      </c>
      <c r="C28631" t="s">
        <v>12516</v>
      </c>
      <c r="D28631">
        <v>0</v>
      </c>
      <c r="E28631">
        <v>0</v>
      </c>
      <c r="F28631">
        <v>183</v>
      </c>
    </row>
    <row r="28632" spans="1:6" ht="12.75">
      <c r="A28632" s="2">
        <v>43875.602581018524</v>
      </c>
      <c r="B28632" t="str">
        <f>HYPERLINK("https://twitter.com/AlfinArifin92","@AlfinArifin92")</f>
        <v>@AlfinArifin92</v>
      </c>
      <c r="C28632" t="s">
        <v>2963</v>
      </c>
      <c r="D28632">
        <v>871</v>
      </c>
      <c r="E28632">
        <v>0</v>
      </c>
      <c r="F28632">
        <v>670</v>
      </c>
    </row>
    <row r="28633" spans="1:6" ht="12.75">
      <c r="A28633" s="2">
        <v>43875.602418981478</v>
      </c>
      <c r="B28633" t="str">
        <f>HYPERLINK("https://twitter.com/Katrina__S09","@Katrina__S09")</f>
        <v>@Katrina__S09</v>
      </c>
      <c r="C28633" t="s">
        <v>12212</v>
      </c>
      <c r="D28633">
        <v>4</v>
      </c>
      <c r="E28633">
        <v>0</v>
      </c>
      <c r="F28633">
        <v>3389</v>
      </c>
    </row>
    <row r="28634" spans="1:6" ht="12.75">
      <c r="A28634" s="2">
        <v>43875.602407407408</v>
      </c>
      <c r="B28634" t="str">
        <f>HYPERLINK("https://twitter.com/UrubingDilah","@UrubingDilah")</f>
        <v>@UrubingDilah</v>
      </c>
      <c r="C28634" t="s">
        <v>2963</v>
      </c>
      <c r="D28634">
        <v>871</v>
      </c>
      <c r="E28634">
        <v>0</v>
      </c>
      <c r="F28634">
        <v>1327</v>
      </c>
    </row>
    <row r="28635" spans="1:6" ht="12.75">
      <c r="A28635" s="2">
        <v>43875.602395833332</v>
      </c>
      <c r="B28635" t="str">
        <f>HYPERLINK("https://twitter.com/pintuberkahh","@pintuberkahh")</f>
        <v>@pintuberkahh</v>
      </c>
      <c r="C28635" t="s">
        <v>9123</v>
      </c>
      <c r="D28635">
        <v>196</v>
      </c>
      <c r="E28635">
        <v>0</v>
      </c>
      <c r="F28635">
        <v>73</v>
      </c>
    </row>
    <row r="28636" spans="1:6" ht="12.75">
      <c r="A28636" s="2">
        <v>43875.602349537032</v>
      </c>
      <c r="B28636" t="str">
        <f>HYPERLINK("https://twitter.com/rafaellajja","@rafaellajja")</f>
        <v>@rafaellajja</v>
      </c>
      <c r="C28636" t="s">
        <v>11536</v>
      </c>
      <c r="D28636">
        <v>0</v>
      </c>
      <c r="E28636">
        <v>0</v>
      </c>
      <c r="F28636">
        <v>292</v>
      </c>
    </row>
    <row r="28637" spans="1:6" ht="12.75">
      <c r="A28637" s="2">
        <v>43875.602222222224</v>
      </c>
      <c r="B28637" t="str">
        <f>HYPERLINK("https://twitter.com/CallOfDutyRI","@CallOfDutyRI")</f>
        <v>@CallOfDutyRI</v>
      </c>
      <c r="C28637" t="s">
        <v>12517</v>
      </c>
      <c r="D28637">
        <v>0</v>
      </c>
      <c r="E28637">
        <v>0</v>
      </c>
      <c r="F28637">
        <v>393</v>
      </c>
    </row>
    <row r="28638" spans="1:6" ht="12.75">
      <c r="A28638" s="2">
        <v>43875.601967592593</v>
      </c>
      <c r="B28638" t="str">
        <f>HYPERLINK("https://twitter.com/mail_tenri","@mail_tenri")</f>
        <v>@mail_tenri</v>
      </c>
      <c r="C28638" t="s">
        <v>5168</v>
      </c>
      <c r="D28638">
        <v>693</v>
      </c>
      <c r="E28638">
        <v>0</v>
      </c>
      <c r="F28638">
        <v>1180</v>
      </c>
    </row>
    <row r="28639" spans="1:6" ht="12.75">
      <c r="A28639" s="2">
        <v>43875.60193287037</v>
      </c>
      <c r="B28639" t="str">
        <f>HYPERLINK("https://twitter.com/AntoniS56104828","@AntoniS56104828")</f>
        <v>@AntoniS56104828</v>
      </c>
      <c r="C28639" t="s">
        <v>12518</v>
      </c>
      <c r="D28639">
        <v>0</v>
      </c>
      <c r="E28639">
        <v>0</v>
      </c>
      <c r="F28639">
        <v>0</v>
      </c>
    </row>
    <row r="28640" spans="1:6" ht="12.75">
      <c r="A28640" s="2">
        <v>43875.6019212963</v>
      </c>
      <c r="B28640" t="str">
        <f>HYPERLINK("https://twitter.com/dean_suga","@dean_suga")</f>
        <v>@dean_suga</v>
      </c>
      <c r="C28640" t="s">
        <v>7478</v>
      </c>
      <c r="D28640">
        <v>137</v>
      </c>
      <c r="E28640">
        <v>0</v>
      </c>
      <c r="F28640">
        <v>317</v>
      </c>
    </row>
    <row r="28641" spans="1:6" ht="12.75">
      <c r="A28641" s="2">
        <v>43875.601782407408</v>
      </c>
      <c r="B28641" t="str">
        <f>HYPERLINK("https://twitter.com/agus_wediyanto","@agus_wediyanto")</f>
        <v>@agus_wediyanto</v>
      </c>
      <c r="C28641" t="s">
        <v>12519</v>
      </c>
      <c r="D28641">
        <v>0</v>
      </c>
      <c r="E28641">
        <v>1</v>
      </c>
      <c r="F28641">
        <v>27</v>
      </c>
    </row>
    <row r="28642" spans="1:6" ht="12.75">
      <c r="A28642" s="2">
        <v>43875.601782407408</v>
      </c>
      <c r="B28642" t="str">
        <f>HYPERLINK("https://twitter.com/Soebur8","@Soebur8")</f>
        <v>@Soebur8</v>
      </c>
      <c r="C28642" t="s">
        <v>9746</v>
      </c>
      <c r="D28642">
        <v>180</v>
      </c>
      <c r="E28642">
        <v>0</v>
      </c>
      <c r="F28642">
        <v>534</v>
      </c>
    </row>
    <row r="28643" spans="1:6" ht="12.75">
      <c r="A28643" s="2">
        <v>43875.601643518516</v>
      </c>
      <c r="B28643" t="str">
        <f>HYPERLINK("https://twitter.com/suluhpandu","@suluhpandu")</f>
        <v>@suluhpandu</v>
      </c>
      <c r="C28643" t="s">
        <v>12520</v>
      </c>
      <c r="D28643">
        <v>0</v>
      </c>
      <c r="E28643">
        <v>0</v>
      </c>
      <c r="F28643">
        <v>661</v>
      </c>
    </row>
    <row r="28644" spans="1:6" ht="12.75">
      <c r="A28644" s="2">
        <v>43875.601631944446</v>
      </c>
      <c r="B28644" t="str">
        <f>HYPERLINK("https://twitter.com/RadioElshinta","@RadioElshinta")</f>
        <v>@RadioElshinta</v>
      </c>
      <c r="C28644" t="s">
        <v>12521</v>
      </c>
      <c r="D28644">
        <v>1</v>
      </c>
      <c r="E28644">
        <v>0</v>
      </c>
      <c r="F28644">
        <v>3633719</v>
      </c>
    </row>
    <row r="28645" spans="1:6" ht="12.75">
      <c r="A28645" s="2">
        <v>43875.601631944446</v>
      </c>
      <c r="B28645" t="str">
        <f>HYPERLINK("https://twitter.com/deadsatria","@deadsatria")</f>
        <v>@deadsatria</v>
      </c>
      <c r="C28645" t="s">
        <v>2444</v>
      </c>
      <c r="D28645">
        <v>1241</v>
      </c>
      <c r="E28645">
        <v>0</v>
      </c>
      <c r="F28645">
        <v>114</v>
      </c>
    </row>
    <row r="28646" spans="1:6" ht="12.75">
      <c r="A28646" s="2">
        <v>43875.601608796293</v>
      </c>
      <c r="B28646" t="str">
        <f>HYPERLINK("https://twitter.com/setyavvati24","@setyavvati24")</f>
        <v>@setyavvati24</v>
      </c>
      <c r="C28646" t="s">
        <v>5168</v>
      </c>
      <c r="D28646">
        <v>693</v>
      </c>
      <c r="E28646">
        <v>0</v>
      </c>
      <c r="F28646">
        <v>32</v>
      </c>
    </row>
    <row r="28647" spans="1:6" ht="12.75">
      <c r="A28647" s="2">
        <v>43875.601585648154</v>
      </c>
      <c r="B28647" t="str">
        <f>HYPERLINK("https://twitter.com/RadioElshinta","@RadioElshinta")</f>
        <v>@RadioElshinta</v>
      </c>
      <c r="C28647" t="s">
        <v>12522</v>
      </c>
      <c r="D28647">
        <v>1</v>
      </c>
      <c r="E28647">
        <v>0</v>
      </c>
      <c r="F28647">
        <v>3633719</v>
      </c>
    </row>
    <row r="28648" spans="1:6" ht="12.75">
      <c r="A28648" s="2">
        <v>43875.601481481484</v>
      </c>
      <c r="B28648" t="str">
        <f>HYPERLINK("https://twitter.com/Hehemiranda","@Hehemiranda")</f>
        <v>@Hehemiranda</v>
      </c>
      <c r="C28648" t="s">
        <v>8233</v>
      </c>
      <c r="D28648">
        <v>454</v>
      </c>
      <c r="E28648">
        <v>0</v>
      </c>
      <c r="F28648">
        <v>236</v>
      </c>
    </row>
    <row r="28649" spans="1:6" ht="12.75">
      <c r="A28649" s="2">
        <v>43875.601481481484</v>
      </c>
      <c r="B28649" t="str">
        <f>HYPERLINK("https://twitter.com/RadioElshinta","@RadioElshinta")</f>
        <v>@RadioElshinta</v>
      </c>
      <c r="C28649" t="s">
        <v>11287</v>
      </c>
      <c r="D28649">
        <v>2</v>
      </c>
      <c r="E28649">
        <v>0</v>
      </c>
      <c r="F28649">
        <v>3633719</v>
      </c>
    </row>
    <row r="28650" spans="1:6" ht="12.75">
      <c r="A28650" s="2">
        <v>43875.601412037038</v>
      </c>
      <c r="B28650" t="str">
        <f>HYPERLINK("https://twitter.com/unicorn_wind","@unicorn_wind")</f>
        <v>@unicorn_wind</v>
      </c>
      <c r="C28650" t="s">
        <v>9964</v>
      </c>
      <c r="D28650">
        <v>587</v>
      </c>
      <c r="E28650">
        <v>0</v>
      </c>
      <c r="F28650">
        <v>233</v>
      </c>
    </row>
    <row r="28651" spans="1:6" ht="12.75">
      <c r="A28651" s="2">
        <v>43875.601377314815</v>
      </c>
      <c r="B28651" t="str">
        <f>HYPERLINK("https://twitter.com/Mypander1","@Mypander1")</f>
        <v>@Mypander1</v>
      </c>
      <c r="C28651" t="s">
        <v>7068</v>
      </c>
      <c r="D28651">
        <v>7</v>
      </c>
      <c r="E28651">
        <v>0</v>
      </c>
      <c r="F28651">
        <v>18</v>
      </c>
    </row>
    <row r="28652" spans="1:6" ht="12.75">
      <c r="A28652" s="2">
        <v>43875.601226851853</v>
      </c>
      <c r="B28652" t="str">
        <f>HYPERLINK("https://twitter.com/Faylasalle2","@Faylasalle2")</f>
        <v>@Faylasalle2</v>
      </c>
      <c r="C28652" t="s">
        <v>7478</v>
      </c>
      <c r="D28652">
        <v>137</v>
      </c>
      <c r="E28652">
        <v>0</v>
      </c>
      <c r="F28652">
        <v>515</v>
      </c>
    </row>
    <row r="28653" spans="1:6" ht="12.75">
      <c r="A28653" s="2">
        <v>43875.6012037037</v>
      </c>
      <c r="B28653" t="str">
        <f>HYPERLINK("https://twitter.com/bhre_wengker84","@bhre_wengker84")</f>
        <v>@bhre_wengker84</v>
      </c>
      <c r="C28653" t="s">
        <v>12044</v>
      </c>
      <c r="D28653">
        <v>55</v>
      </c>
      <c r="E28653">
        <v>0</v>
      </c>
      <c r="F28653">
        <v>5061</v>
      </c>
    </row>
    <row r="28654" spans="1:6" ht="12.75">
      <c r="A28654" s="2">
        <v>43875.601180555561</v>
      </c>
      <c r="B28654" t="str">
        <f>HYPERLINK("https://twitter.com/Dy4hPutry","@Dy4hPutry")</f>
        <v>@Dy4hPutry</v>
      </c>
      <c r="C28654" t="s">
        <v>12523</v>
      </c>
      <c r="D28654">
        <v>1</v>
      </c>
      <c r="E28654">
        <v>1</v>
      </c>
      <c r="F28654">
        <v>2018</v>
      </c>
    </row>
    <row r="28655" spans="1:6" ht="12.75">
      <c r="A28655" s="2">
        <v>43875.601180555561</v>
      </c>
      <c r="B28655" t="str">
        <f>HYPERLINK("https://twitter.com/frrozi1998","@frrozi1998")</f>
        <v>@frrozi1998</v>
      </c>
      <c r="C28655" t="s">
        <v>12524</v>
      </c>
      <c r="D28655">
        <v>0</v>
      </c>
      <c r="E28655">
        <v>0</v>
      </c>
      <c r="F28655">
        <v>547</v>
      </c>
    </row>
    <row r="28656" spans="1:6" ht="12.75">
      <c r="A28656" s="2">
        <v>43875.601053240738</v>
      </c>
      <c r="B28656" t="str">
        <f>HYPERLINK("https://twitter.com/GazhaPerdana","@GazhaPerdana")</f>
        <v>@GazhaPerdana</v>
      </c>
      <c r="C28656" t="s">
        <v>5168</v>
      </c>
      <c r="D28656">
        <v>693</v>
      </c>
      <c r="E28656">
        <v>0</v>
      </c>
      <c r="F28656">
        <v>290</v>
      </c>
    </row>
    <row r="28657" spans="1:6" ht="12.75">
      <c r="A28657" s="2">
        <v>43875.601030092592</v>
      </c>
      <c r="B28657" t="str">
        <f>HYPERLINK("https://twitter.com/EvanLaksmana","@EvanLaksmana")</f>
        <v>@EvanLaksmana</v>
      </c>
      <c r="C28657" t="s">
        <v>5168</v>
      </c>
      <c r="D28657">
        <v>693</v>
      </c>
      <c r="E28657">
        <v>0</v>
      </c>
      <c r="F28657">
        <v>10218</v>
      </c>
    </row>
    <row r="28658" spans="1:6" ht="12.75">
      <c r="A28658" s="2">
        <v>43875.600856481484</v>
      </c>
      <c r="B28658" t="str">
        <f>HYPERLINK("https://twitter.com/CallOfDutyRI","@CallOfDutyRI")</f>
        <v>@CallOfDutyRI</v>
      </c>
      <c r="C28658" t="s">
        <v>6837</v>
      </c>
      <c r="D28658">
        <v>8</v>
      </c>
      <c r="E28658">
        <v>0</v>
      </c>
      <c r="F28658">
        <v>393</v>
      </c>
    </row>
    <row r="28659" spans="1:6" ht="12.75">
      <c r="A28659" s="2">
        <v>43875.600856481484</v>
      </c>
      <c r="B28659" t="str">
        <f>HYPERLINK("https://twitter.com/AlberaD5","@AlberaD5")</f>
        <v>@AlberaD5</v>
      </c>
      <c r="C28659" t="s">
        <v>12525</v>
      </c>
      <c r="D28659">
        <v>1</v>
      </c>
      <c r="E28659">
        <v>0</v>
      </c>
      <c r="F28659">
        <v>1633</v>
      </c>
    </row>
    <row r="28660" spans="1:6" ht="12.75">
      <c r="A28660" s="2">
        <v>43875.60083333333</v>
      </c>
      <c r="B28660" t="str">
        <f>HYPERLINK("https://twitter.com/perayart","@perayart")</f>
        <v>@perayart</v>
      </c>
      <c r="C28660" t="s">
        <v>12526</v>
      </c>
      <c r="D28660">
        <v>0</v>
      </c>
      <c r="E28660">
        <v>0</v>
      </c>
      <c r="F28660">
        <v>314</v>
      </c>
    </row>
    <row r="28661" spans="1:6" ht="12.75">
      <c r="A28661" s="2">
        <v>43875.600821759261</v>
      </c>
      <c r="B28661" t="str">
        <f t="shared" ref="B28661:B28662" si="369">HYPERLINK("https://twitter.com/RullyTawang","@RullyTawang")</f>
        <v>@RullyTawang</v>
      </c>
      <c r="C28661" t="s">
        <v>10109</v>
      </c>
      <c r="D28661">
        <v>24</v>
      </c>
      <c r="E28661">
        <v>0</v>
      </c>
      <c r="F28661">
        <v>689</v>
      </c>
    </row>
    <row r="28662" spans="1:6" ht="12.75">
      <c r="A28662" s="2">
        <v>43875.600787037038</v>
      </c>
      <c r="B28662" t="str">
        <f t="shared" si="369"/>
        <v>@RullyTawang</v>
      </c>
      <c r="C28662" t="s">
        <v>12527</v>
      </c>
      <c r="D28662">
        <v>1</v>
      </c>
      <c r="E28662">
        <v>0</v>
      </c>
      <c r="F28662">
        <v>689</v>
      </c>
    </row>
    <row r="28663" spans="1:6" ht="12.75">
      <c r="A28663" s="2">
        <v>43875.600775462968</v>
      </c>
      <c r="B28663" t="str">
        <f>HYPERLINK("https://twitter.com/airmatakorpen","@airmatakorpen")</f>
        <v>@airmatakorpen</v>
      </c>
      <c r="C28663" t="s">
        <v>9123</v>
      </c>
      <c r="D28663">
        <v>196</v>
      </c>
      <c r="E28663">
        <v>0</v>
      </c>
      <c r="F28663">
        <v>45</v>
      </c>
    </row>
    <row r="28664" spans="1:6" ht="12.75">
      <c r="A28664" s="2">
        <v>43875.600775462968</v>
      </c>
      <c r="B28664" t="str">
        <f>HYPERLINK("https://twitter.com/PatoBranco11","@PatoBranco11")</f>
        <v>@PatoBranco11</v>
      </c>
      <c r="C28664" t="s">
        <v>10526</v>
      </c>
      <c r="D28664">
        <v>133</v>
      </c>
      <c r="E28664">
        <v>0</v>
      </c>
      <c r="F28664">
        <v>341</v>
      </c>
    </row>
    <row r="28665" spans="1:6" ht="12.75">
      <c r="A28665" s="2">
        <v>43875.600763888884</v>
      </c>
      <c r="B28665" t="str">
        <f>HYPERLINK("https://twitter.com/forddyce92","@forddyce92")</f>
        <v>@forddyce92</v>
      </c>
      <c r="C28665" t="s">
        <v>12528</v>
      </c>
      <c r="D28665">
        <v>0</v>
      </c>
      <c r="E28665">
        <v>0</v>
      </c>
      <c r="F28665">
        <v>24</v>
      </c>
    </row>
    <row r="28666" spans="1:6" ht="12.75">
      <c r="A28666" s="2">
        <v>43875.600740740745</v>
      </c>
      <c r="B28666" t="str">
        <f>HYPERLINK("https://twitter.com/ronny_forever","@ronny_forever")</f>
        <v>@ronny_forever</v>
      </c>
      <c r="C28666" t="s">
        <v>12529</v>
      </c>
      <c r="D28666">
        <v>1</v>
      </c>
      <c r="E28666">
        <v>6</v>
      </c>
      <c r="F28666">
        <v>3758</v>
      </c>
    </row>
    <row r="28667" spans="1:6" ht="12.75">
      <c r="A28667" s="2">
        <v>43875.600706018522</v>
      </c>
      <c r="B28667" t="str">
        <f>HYPERLINK("https://twitter.com/meryharison","@meryharison")</f>
        <v>@meryharison</v>
      </c>
      <c r="C28667" t="s">
        <v>12530</v>
      </c>
      <c r="D28667">
        <v>29</v>
      </c>
      <c r="E28667">
        <v>0</v>
      </c>
      <c r="F28667">
        <v>1187</v>
      </c>
    </row>
    <row r="28668" spans="1:6" ht="12.75">
      <c r="A28668" s="2">
        <v>43875.600706018522</v>
      </c>
      <c r="B28668" t="str">
        <f>HYPERLINK("https://twitter.com/venomize","@venomize")</f>
        <v>@venomize</v>
      </c>
      <c r="C28668" t="s">
        <v>7478</v>
      </c>
      <c r="D28668">
        <v>137</v>
      </c>
      <c r="E28668">
        <v>0</v>
      </c>
      <c r="F28668">
        <v>492</v>
      </c>
    </row>
    <row r="28669" spans="1:6" ht="12.75">
      <c r="A28669" s="2">
        <v>43875.600636574076</v>
      </c>
      <c r="B28669" t="str">
        <f>HYPERLINK("https://twitter.com/raihan__aulia","@raihan__aulia")</f>
        <v>@raihan__aulia</v>
      </c>
      <c r="C28669" t="s">
        <v>2444</v>
      </c>
      <c r="D28669">
        <v>1241</v>
      </c>
      <c r="E28669">
        <v>0</v>
      </c>
      <c r="F28669">
        <v>211</v>
      </c>
    </row>
    <row r="28670" spans="1:6" ht="12.75">
      <c r="A28670" s="2">
        <v>43875.600636574076</v>
      </c>
      <c r="B28670" t="str">
        <f>HYPERLINK("https://twitter.com/bukanSiZonkie","@bukanSiZonkie")</f>
        <v>@bukanSiZonkie</v>
      </c>
      <c r="C28670" t="s">
        <v>2963</v>
      </c>
      <c r="D28670">
        <v>871</v>
      </c>
      <c r="E28670">
        <v>0</v>
      </c>
      <c r="F28670">
        <v>142</v>
      </c>
    </row>
    <row r="28671" spans="1:6" ht="12.75">
      <c r="A28671" s="2">
        <v>43875.600613425922</v>
      </c>
      <c r="B28671" t="str">
        <f>HYPERLINK("https://twitter.com/wajdiv","@wajdiv")</f>
        <v>@wajdiv</v>
      </c>
      <c r="C28671" t="s">
        <v>9113</v>
      </c>
      <c r="D28671">
        <v>293</v>
      </c>
      <c r="E28671">
        <v>0</v>
      </c>
      <c r="F28671">
        <v>544</v>
      </c>
    </row>
    <row r="28672" spans="1:6" ht="12.75">
      <c r="A28672" s="2">
        <v>43875.600590277776</v>
      </c>
      <c r="B28672" t="str">
        <f>HYPERLINK("https://twitter.com/whyusabar","@whyusabar")</f>
        <v>@whyusabar</v>
      </c>
      <c r="C28672" t="s">
        <v>9021</v>
      </c>
      <c r="D28672">
        <v>188</v>
      </c>
      <c r="E28672">
        <v>0</v>
      </c>
      <c r="F28672">
        <v>530</v>
      </c>
    </row>
    <row r="28673" spans="1:6" ht="12.75">
      <c r="A28673" s="2">
        <v>43875.60056712963</v>
      </c>
      <c r="B28673" t="str">
        <f>HYPERLINK("https://twitter.com/praaft_","@praaft_")</f>
        <v>@praaft_</v>
      </c>
      <c r="C28673" t="s">
        <v>5168</v>
      </c>
      <c r="D28673">
        <v>693</v>
      </c>
      <c r="E28673">
        <v>0</v>
      </c>
      <c r="F28673">
        <v>67</v>
      </c>
    </row>
    <row r="28674" spans="1:6" ht="12.75">
      <c r="A28674" s="2">
        <v>43875.600451388891</v>
      </c>
      <c r="B28674" t="str">
        <f>HYPERLINK("https://twitter.com/EvanShanty","@EvanShanty")</f>
        <v>@EvanShanty</v>
      </c>
      <c r="C28674" t="s">
        <v>12531</v>
      </c>
      <c r="D28674">
        <v>0</v>
      </c>
      <c r="E28674">
        <v>0</v>
      </c>
      <c r="F28674">
        <v>72</v>
      </c>
    </row>
    <row r="28675" spans="1:6" ht="12.75">
      <c r="A28675" s="2">
        <v>43875.600370370375</v>
      </c>
      <c r="B28675" t="str">
        <f>HYPERLINK("https://twitter.com/zein_sembang","@zein_sembang")</f>
        <v>@zein_sembang</v>
      </c>
      <c r="C28675" t="s">
        <v>9096</v>
      </c>
      <c r="D28675">
        <v>190</v>
      </c>
      <c r="E28675">
        <v>0</v>
      </c>
      <c r="F28675">
        <v>38</v>
      </c>
    </row>
    <row r="28676" spans="1:6" ht="12.75">
      <c r="A28676" s="2">
        <v>43875.600335648152</v>
      </c>
      <c r="B28676" t="str">
        <f>HYPERLINK("https://twitter.com/jumianto_RK","@jumianto_RK")</f>
        <v>@jumianto_RK</v>
      </c>
      <c r="C28676" t="s">
        <v>12532</v>
      </c>
      <c r="D28676">
        <v>1</v>
      </c>
      <c r="E28676">
        <v>0</v>
      </c>
      <c r="F28676">
        <v>3373</v>
      </c>
    </row>
    <row r="28677" spans="1:6" ht="12.75">
      <c r="A28677" s="2">
        <v>43875.600312499999</v>
      </c>
      <c r="B28677" t="str">
        <f>HYPERLINK("https://twitter.com/pastimenanggg","@pastimenanggg")</f>
        <v>@pastimenanggg</v>
      </c>
      <c r="C28677" t="s">
        <v>9123</v>
      </c>
      <c r="D28677">
        <v>196</v>
      </c>
      <c r="E28677">
        <v>0</v>
      </c>
      <c r="F28677">
        <v>77</v>
      </c>
    </row>
    <row r="28678" spans="1:6" ht="12.75">
      <c r="A28678" s="2">
        <v>43875.600312499999</v>
      </c>
      <c r="B28678" t="str">
        <f>HYPERLINK("https://twitter.com/BakrinOki","@BakrinOki")</f>
        <v>@BakrinOki</v>
      </c>
      <c r="C28678" t="s">
        <v>12533</v>
      </c>
      <c r="D28678">
        <v>0</v>
      </c>
      <c r="E28678">
        <v>0</v>
      </c>
      <c r="F28678">
        <v>11</v>
      </c>
    </row>
    <row r="28679" spans="1:6" ht="12.75">
      <c r="A28679" s="2">
        <v>43875.600289351853</v>
      </c>
      <c r="B28679" t="str">
        <f>HYPERLINK("https://twitter.com/congratsteruss","@congratsteruss")</f>
        <v>@congratsteruss</v>
      </c>
      <c r="C28679" t="s">
        <v>9123</v>
      </c>
      <c r="D28679">
        <v>196</v>
      </c>
      <c r="E28679">
        <v>0</v>
      </c>
      <c r="F28679">
        <v>71</v>
      </c>
    </row>
    <row r="28680" spans="1:6" ht="12.75">
      <c r="A28680" s="2">
        <v>43875.600289351853</v>
      </c>
      <c r="B28680" t="str">
        <f>HYPERLINK("https://twitter.com/hosea_otniel","@hosea_otniel")</f>
        <v>@hosea_otniel</v>
      </c>
      <c r="C28680" t="s">
        <v>12534</v>
      </c>
      <c r="D28680">
        <v>0</v>
      </c>
      <c r="E28680">
        <v>0</v>
      </c>
      <c r="F28680">
        <v>5</v>
      </c>
    </row>
    <row r="28681" spans="1:6" ht="12.75">
      <c r="A28681" s="2">
        <v>43875.60020833333</v>
      </c>
      <c r="B28681" t="str">
        <f>HYPERLINK("https://twitter.com/__hibikeneiro","@__hibikeneiro")</f>
        <v>@__hibikeneiro</v>
      </c>
      <c r="C28681" t="s">
        <v>2444</v>
      </c>
      <c r="D28681">
        <v>1241</v>
      </c>
      <c r="E28681">
        <v>0</v>
      </c>
      <c r="F28681">
        <v>402</v>
      </c>
    </row>
    <row r="28682" spans="1:6" ht="12.75">
      <c r="A28682" s="2">
        <v>43875.600173611107</v>
      </c>
      <c r="B28682" t="str">
        <f>HYPERLINK("https://twitter.com/baoozislz","@baoozislz")</f>
        <v>@baoozislz</v>
      </c>
      <c r="C28682" t="s">
        <v>2444</v>
      </c>
      <c r="D28682">
        <v>1241</v>
      </c>
      <c r="E28682">
        <v>0</v>
      </c>
      <c r="F28682">
        <v>1557</v>
      </c>
    </row>
    <row r="28683" spans="1:6" ht="12.75">
      <c r="A28683" s="2">
        <v>43875.600162037037</v>
      </c>
      <c r="B28683" t="str">
        <f>HYPERLINK("https://twitter.com/DimasyFermana","@DimasyFermana")</f>
        <v>@DimasyFermana</v>
      </c>
      <c r="C28683" t="s">
        <v>11685</v>
      </c>
      <c r="D28683">
        <v>6</v>
      </c>
      <c r="E28683">
        <v>0</v>
      </c>
      <c r="F28683">
        <v>1448</v>
      </c>
    </row>
    <row r="28684" spans="1:6" ht="12.75">
      <c r="A28684" s="2">
        <v>43875.600162037037</v>
      </c>
      <c r="B28684" t="str">
        <f>HYPERLINK("https://twitter.com/HeriRiva75","@HeriRiva75")</f>
        <v>@HeriRiva75</v>
      </c>
      <c r="C28684" t="s">
        <v>7478</v>
      </c>
      <c r="D28684">
        <v>137</v>
      </c>
      <c r="E28684">
        <v>0</v>
      </c>
      <c r="F28684">
        <v>452</v>
      </c>
    </row>
    <row r="28685" spans="1:6" ht="12.75">
      <c r="A28685" s="2">
        <v>43875.600092592591</v>
      </c>
      <c r="B28685" t="str">
        <f>HYPERLINK("https://twitter.com/ronny_forever","@ronny_forever")</f>
        <v>@ronny_forever</v>
      </c>
      <c r="C28685" t="s">
        <v>9746</v>
      </c>
      <c r="D28685">
        <v>180</v>
      </c>
      <c r="E28685">
        <v>0</v>
      </c>
      <c r="F28685">
        <v>3758</v>
      </c>
    </row>
    <row r="28686" spans="1:6" ht="12.75">
      <c r="A28686" s="2">
        <v>43875.600046296298</v>
      </c>
      <c r="B28686" t="str">
        <f>HYPERLINK("https://twitter.com/faanirfaan","@faanirfaan")</f>
        <v>@faanirfaan</v>
      </c>
      <c r="C28686" t="s">
        <v>2444</v>
      </c>
      <c r="D28686">
        <v>1241</v>
      </c>
      <c r="E28686">
        <v>0</v>
      </c>
      <c r="F28686">
        <v>542</v>
      </c>
    </row>
    <row r="28687" spans="1:6" ht="12.75">
      <c r="A28687" s="2">
        <v>43875.600034722222</v>
      </c>
      <c r="B28687" t="str">
        <f>HYPERLINK("https://twitter.com/AbolichdZ","@AbolichdZ")</f>
        <v>@AbolichdZ</v>
      </c>
      <c r="C28687" t="s">
        <v>7478</v>
      </c>
      <c r="D28687">
        <v>137</v>
      </c>
      <c r="E28687">
        <v>0</v>
      </c>
      <c r="F28687">
        <v>806</v>
      </c>
    </row>
    <row r="28688" spans="1:6" ht="12.75">
      <c r="A28688" s="2">
        <v>43875.600023148145</v>
      </c>
      <c r="B28688" t="str">
        <f>HYPERLINK("https://twitter.com/Metro_TV","@Metro_TV")</f>
        <v>@Metro_TV</v>
      </c>
      <c r="C28688" t="s">
        <v>12535</v>
      </c>
      <c r="D28688">
        <v>1</v>
      </c>
      <c r="E28688">
        <v>3</v>
      </c>
      <c r="F28688">
        <v>10509056</v>
      </c>
    </row>
    <row r="28689" spans="1:6" ht="12.75">
      <c r="A28689" s="2">
        <v>43875.599988425922</v>
      </c>
      <c r="B28689" t="str">
        <f>HYPERLINK("https://twitter.com/airmatakorpen","@airmatakorpen")</f>
        <v>@airmatakorpen</v>
      </c>
      <c r="C28689" t="s">
        <v>2444</v>
      </c>
      <c r="D28689">
        <v>1241</v>
      </c>
      <c r="E28689">
        <v>0</v>
      </c>
      <c r="F28689">
        <v>45</v>
      </c>
    </row>
    <row r="28690" spans="1:6" ht="12.75">
      <c r="A28690" s="2">
        <v>43875.599942129629</v>
      </c>
      <c r="B28690" t="str">
        <f>HYPERLINK("https://twitter.com/WiraPra90","@WiraPra90")</f>
        <v>@WiraPra90</v>
      </c>
      <c r="C28690" t="s">
        <v>2963</v>
      </c>
      <c r="D28690">
        <v>871</v>
      </c>
      <c r="E28690">
        <v>0</v>
      </c>
      <c r="F28690">
        <v>1450</v>
      </c>
    </row>
    <row r="28691" spans="1:6" ht="12.75">
      <c r="A28691" s="2">
        <v>43875.599907407406</v>
      </c>
      <c r="B28691" t="str">
        <f>HYPERLINK("https://twitter.com/anticapekk","@anticapekk")</f>
        <v>@anticapekk</v>
      </c>
      <c r="C28691" t="s">
        <v>9123</v>
      </c>
      <c r="D28691">
        <v>196</v>
      </c>
      <c r="E28691">
        <v>0</v>
      </c>
      <c r="F28691">
        <v>153</v>
      </c>
    </row>
    <row r="28692" spans="1:6" ht="12.75">
      <c r="A28692" s="2">
        <v>43875.599722222221</v>
      </c>
      <c r="B28692" t="str">
        <f>HYPERLINK("https://twitter.com/deadsatria","@deadsatria")</f>
        <v>@deadsatria</v>
      </c>
      <c r="C28692" t="s">
        <v>9123</v>
      </c>
      <c r="D28692">
        <v>196</v>
      </c>
      <c r="E28692">
        <v>0</v>
      </c>
      <c r="F28692">
        <v>114</v>
      </c>
    </row>
    <row r="28693" spans="1:6" ht="12.75">
      <c r="A28693" s="2">
        <v>43875.599710648152</v>
      </c>
      <c r="B28693" t="str">
        <f>HYPERLINK("https://twitter.com/hitdatdowoon","@hitdatdowoon")</f>
        <v>@hitdatdowoon</v>
      </c>
      <c r="C28693" t="s">
        <v>2444</v>
      </c>
      <c r="D28693">
        <v>1241</v>
      </c>
      <c r="E28693">
        <v>0</v>
      </c>
      <c r="F28693">
        <v>294</v>
      </c>
    </row>
    <row r="28694" spans="1:6" ht="12.75">
      <c r="A28694" s="2">
        <v>43875.599629629629</v>
      </c>
      <c r="B28694" t="str">
        <f>HYPERLINK("https://twitter.com/NandaOddie","@NandaOddie")</f>
        <v>@NandaOddie</v>
      </c>
      <c r="C28694" t="s">
        <v>2963</v>
      </c>
      <c r="D28694">
        <v>871</v>
      </c>
      <c r="E28694">
        <v>0</v>
      </c>
      <c r="F28694">
        <v>26</v>
      </c>
    </row>
    <row r="28695" spans="1:6" ht="12.75">
      <c r="A28695" s="2">
        <v>43875.599502314813</v>
      </c>
      <c r="B28695" t="str">
        <f>HYPERLINK("https://twitter.com/antaz345","@antaz345")</f>
        <v>@antaz345</v>
      </c>
      <c r="C28695" t="s">
        <v>10207</v>
      </c>
      <c r="D28695">
        <v>38</v>
      </c>
      <c r="E28695">
        <v>0</v>
      </c>
      <c r="F28695">
        <v>2518</v>
      </c>
    </row>
    <row r="28696" spans="1:6" ht="12.75">
      <c r="A28696" s="2">
        <v>43875.599398148144</v>
      </c>
      <c r="B28696" t="str">
        <f>HYPERLINK("https://twitter.com/airmatakorpen","@airmatakorpen")</f>
        <v>@airmatakorpen</v>
      </c>
      <c r="C28696" t="s">
        <v>11536</v>
      </c>
      <c r="D28696">
        <v>0</v>
      </c>
      <c r="E28696">
        <v>0</v>
      </c>
      <c r="F28696">
        <v>45</v>
      </c>
    </row>
    <row r="28697" spans="1:6" ht="12.75">
      <c r="A28697" s="2">
        <v>43875.599386574075</v>
      </c>
      <c r="B28697" t="str">
        <f>HYPERLINK("https://twitter.com/nagit_a","@nagit_a")</f>
        <v>@nagit_a</v>
      </c>
      <c r="C28697" t="s">
        <v>10697</v>
      </c>
      <c r="D28697">
        <v>19</v>
      </c>
      <c r="E28697">
        <v>0</v>
      </c>
      <c r="F28697">
        <v>416</v>
      </c>
    </row>
    <row r="28698" spans="1:6" ht="12.75">
      <c r="A28698" s="2">
        <v>43875.599386574075</v>
      </c>
      <c r="B28698" t="str">
        <f>HYPERLINK("https://twitter.com/SayfullMarzuck","@SayfullMarzuck")</f>
        <v>@SayfullMarzuck</v>
      </c>
      <c r="C28698" t="s">
        <v>175</v>
      </c>
      <c r="D28698">
        <v>5277</v>
      </c>
      <c r="E28698">
        <v>0</v>
      </c>
      <c r="F28698">
        <v>2</v>
      </c>
    </row>
    <row r="28699" spans="1:6" ht="12.75">
      <c r="A28699" s="2">
        <v>43875.599340277782</v>
      </c>
      <c r="B28699" t="str">
        <f>HYPERLINK("https://twitter.com/merdekadotcom","@merdekadotcom")</f>
        <v>@merdekadotcom</v>
      </c>
      <c r="C28699" t="s">
        <v>12536</v>
      </c>
      <c r="D28699">
        <v>0</v>
      </c>
      <c r="E28699">
        <v>0</v>
      </c>
      <c r="F28699">
        <v>230410</v>
      </c>
    </row>
    <row r="28700" spans="1:6" ht="12.75">
      <c r="A28700" s="2">
        <v>43875.599317129629</v>
      </c>
      <c r="B28700" t="str">
        <f>HYPERLINK("https://twitter.com/afalisbah","@afalisbah")</f>
        <v>@afalisbah</v>
      </c>
      <c r="C28700" t="s">
        <v>2444</v>
      </c>
      <c r="D28700">
        <v>1241</v>
      </c>
      <c r="E28700">
        <v>0</v>
      </c>
      <c r="F28700">
        <v>456</v>
      </c>
    </row>
    <row r="28701" spans="1:6" ht="12.75">
      <c r="A28701" s="2">
        <v>43875.599317129629</v>
      </c>
      <c r="B28701" t="str">
        <f>HYPERLINK("https://twitter.com/sweetiebityy","@sweetiebityy")</f>
        <v>@sweetiebityy</v>
      </c>
      <c r="C28701" t="s">
        <v>9123</v>
      </c>
      <c r="D28701">
        <v>196</v>
      </c>
      <c r="E28701">
        <v>0</v>
      </c>
      <c r="F28701">
        <v>7</v>
      </c>
    </row>
    <row r="28702" spans="1:6" ht="12.75">
      <c r="A28702" s="2">
        <v>43875.599293981482</v>
      </c>
      <c r="B28702" t="str">
        <f>HYPERLINK("https://twitter.com/windidniw","@windidniw")</f>
        <v>@windidniw</v>
      </c>
      <c r="C28702" t="s">
        <v>2444</v>
      </c>
      <c r="D28702">
        <v>1241</v>
      </c>
      <c r="E28702">
        <v>0</v>
      </c>
      <c r="F28702">
        <v>1147</v>
      </c>
    </row>
    <row r="28703" spans="1:6" ht="12.75">
      <c r="A28703" s="2">
        <v>43875.599189814813</v>
      </c>
      <c r="B28703" t="str">
        <f>HYPERLINK("https://twitter.com/PojokNU","@PojokNU")</f>
        <v>@PojokNU</v>
      </c>
      <c r="C28703" t="s">
        <v>10857</v>
      </c>
      <c r="D28703">
        <v>0</v>
      </c>
      <c r="E28703">
        <v>0</v>
      </c>
      <c r="F28703">
        <v>697</v>
      </c>
    </row>
    <row r="28704" spans="1:6" ht="12.75">
      <c r="A28704" s="2">
        <v>43875.599166666667</v>
      </c>
      <c r="B28704" t="str">
        <f>HYPERLINK("https://twitter.com/yumna_83","@yumna_83")</f>
        <v>@yumna_83</v>
      </c>
      <c r="C28704" t="s">
        <v>9123</v>
      </c>
      <c r="D28704">
        <v>196</v>
      </c>
      <c r="E28704">
        <v>0</v>
      </c>
      <c r="F28704">
        <v>69</v>
      </c>
    </row>
    <row r="28705" spans="1:6" ht="12.75">
      <c r="A28705" s="2">
        <v>43875.599120370374</v>
      </c>
      <c r="B28705" t="str">
        <f>HYPERLINK("https://twitter.com/SitiKastini","@SitiKastini")</f>
        <v>@SitiKastini</v>
      </c>
      <c r="C28705" t="s">
        <v>9123</v>
      </c>
      <c r="D28705">
        <v>196</v>
      </c>
      <c r="E28705">
        <v>0</v>
      </c>
      <c r="F28705">
        <v>1425</v>
      </c>
    </row>
    <row r="28706" spans="1:6" ht="12.75">
      <c r="A28706" s="2">
        <v>43875.598981481482</v>
      </c>
      <c r="B28706" t="str">
        <f>HYPERLINK("https://twitter.com/mhmmdradityo","@mhmmdradityo")</f>
        <v>@mhmmdradityo</v>
      </c>
      <c r="C28706" t="s">
        <v>12537</v>
      </c>
      <c r="D28706">
        <v>1</v>
      </c>
      <c r="E28706">
        <v>0</v>
      </c>
      <c r="F28706">
        <v>0</v>
      </c>
    </row>
    <row r="28707" spans="1:6" ht="12.75">
      <c r="A28707" s="2">
        <v>43875.598912037036</v>
      </c>
      <c r="B28707" t="str">
        <f>HYPERLINK("https://twitter.com/sweetiebityy","@sweetiebityy")</f>
        <v>@sweetiebityy</v>
      </c>
      <c r="C28707" t="s">
        <v>2444</v>
      </c>
      <c r="D28707">
        <v>1241</v>
      </c>
      <c r="E28707">
        <v>0</v>
      </c>
      <c r="F28707">
        <v>7</v>
      </c>
    </row>
    <row r="28708" spans="1:6" ht="12.75">
      <c r="A28708" s="2">
        <v>43875.598900462966</v>
      </c>
      <c r="B28708" t="str">
        <f>HYPERLINK("https://twitter.com/botolfrestea","@botolfrestea")</f>
        <v>@botolfrestea</v>
      </c>
      <c r="C28708" t="s">
        <v>10300</v>
      </c>
      <c r="D28708">
        <v>27</v>
      </c>
      <c r="E28708">
        <v>0</v>
      </c>
      <c r="F28708">
        <v>354</v>
      </c>
    </row>
    <row r="28709" spans="1:6" ht="12.75">
      <c r="A28709" s="2">
        <v>43875.598773148144</v>
      </c>
      <c r="B28709" t="str">
        <f>HYPERLINK("https://twitter.com/ozifaozi16","@ozifaozi16")</f>
        <v>@ozifaozi16</v>
      </c>
      <c r="C28709" t="s">
        <v>9123</v>
      </c>
      <c r="D28709">
        <v>196</v>
      </c>
      <c r="E28709">
        <v>0</v>
      </c>
      <c r="F28709">
        <v>820</v>
      </c>
    </row>
    <row r="28710" spans="1:6" ht="12.75">
      <c r="A28710" s="2">
        <v>43875.598703703705</v>
      </c>
      <c r="B28710" t="str">
        <f>HYPERLINK("https://twitter.com/congratsteruss","@congratsteruss")</f>
        <v>@congratsteruss</v>
      </c>
      <c r="C28710" t="s">
        <v>2444</v>
      </c>
      <c r="D28710">
        <v>1241</v>
      </c>
      <c r="E28710">
        <v>0</v>
      </c>
      <c r="F28710">
        <v>71</v>
      </c>
    </row>
    <row r="28711" spans="1:6" ht="12.75">
      <c r="A28711" s="2">
        <v>43875.598668981482</v>
      </c>
      <c r="B28711" t="str">
        <f>HYPERLINK("https://twitter.com/ryanrologi","@ryanrologi")</f>
        <v>@ryanrologi</v>
      </c>
      <c r="C28711" t="s">
        <v>9021</v>
      </c>
      <c r="D28711">
        <v>188</v>
      </c>
      <c r="E28711">
        <v>0</v>
      </c>
      <c r="F28711">
        <v>323</v>
      </c>
    </row>
    <row r="28712" spans="1:6" ht="12.75">
      <c r="A28712" s="2">
        <v>43875.598668981482</v>
      </c>
      <c r="B28712" t="str">
        <f>HYPERLINK("https://twitter.com/ftmhkptr","@ftmhkptr")</f>
        <v>@ftmhkptr</v>
      </c>
      <c r="C28712" t="s">
        <v>5168</v>
      </c>
      <c r="D28712">
        <v>693</v>
      </c>
      <c r="E28712">
        <v>0</v>
      </c>
      <c r="F28712">
        <v>680</v>
      </c>
    </row>
    <row r="28713" spans="1:6" ht="12.75">
      <c r="A28713" s="2">
        <v>43875.598657407405</v>
      </c>
      <c r="B28713" t="str">
        <f>HYPERLINK("https://twitter.com/erikwibo","@erikwibo")</f>
        <v>@erikwibo</v>
      </c>
      <c r="C28713" t="s">
        <v>10300</v>
      </c>
      <c r="D28713">
        <v>27</v>
      </c>
      <c r="E28713">
        <v>0</v>
      </c>
      <c r="F28713">
        <v>101</v>
      </c>
    </row>
    <row r="28714" spans="1:6" ht="12.75">
      <c r="A28714" s="2">
        <v>43875.59851851852</v>
      </c>
      <c r="B28714" t="str">
        <f>HYPERLINK("https://twitter.com/getteng_m","@getteng_m")</f>
        <v>@getteng_m</v>
      </c>
      <c r="C28714" t="s">
        <v>12538</v>
      </c>
      <c r="D28714">
        <v>0</v>
      </c>
      <c r="E28714">
        <v>0</v>
      </c>
      <c r="F28714">
        <v>309</v>
      </c>
    </row>
    <row r="28715" spans="1:6" ht="12.75">
      <c r="A28715" s="2">
        <v>43875.598414351851</v>
      </c>
      <c r="B28715" t="str">
        <f>HYPERLINK("https://twitter.com/anandi_lisa","@anandi_lisa")</f>
        <v>@anandi_lisa</v>
      </c>
      <c r="C28715" t="s">
        <v>12539</v>
      </c>
      <c r="D28715">
        <v>0</v>
      </c>
      <c r="E28715">
        <v>0</v>
      </c>
      <c r="F28715">
        <v>13</v>
      </c>
    </row>
    <row r="28716" spans="1:6" ht="12.75">
      <c r="A28716" s="2">
        <v>43875.598368055551</v>
      </c>
      <c r="B28716" t="str">
        <f>HYPERLINK("https://twitter.com/sweetiebityy","@sweetiebityy")</f>
        <v>@sweetiebityy</v>
      </c>
      <c r="C28716" t="s">
        <v>11536</v>
      </c>
      <c r="D28716">
        <v>0</v>
      </c>
      <c r="E28716">
        <v>0</v>
      </c>
      <c r="F28716">
        <v>7</v>
      </c>
    </row>
    <row r="28717" spans="1:6" ht="12.75">
      <c r="A28717" s="2">
        <v>43875.598287037035</v>
      </c>
      <c r="B28717" t="str">
        <f>HYPERLINK("https://twitter.com/pikiran_rakyat","@pikiran_rakyat")</f>
        <v>@pikiran_rakyat</v>
      </c>
      <c r="C28717" t="s">
        <v>12540</v>
      </c>
      <c r="D28717">
        <v>0</v>
      </c>
      <c r="E28717">
        <v>0</v>
      </c>
      <c r="F28717">
        <v>412512</v>
      </c>
    </row>
    <row r="28718" spans="1:6" ht="12.75">
      <c r="A28718" s="2">
        <v>43875.59820601852</v>
      </c>
      <c r="B28718" t="str">
        <f>HYPERLINK("https://twitter.com/atiekksetyorini","@atiekksetyorini")</f>
        <v>@atiekksetyorini</v>
      </c>
      <c r="C28718" t="s">
        <v>12541</v>
      </c>
      <c r="D28718">
        <v>0</v>
      </c>
      <c r="E28718">
        <v>0</v>
      </c>
      <c r="F28718">
        <v>446</v>
      </c>
    </row>
    <row r="28719" spans="1:6" ht="12.75">
      <c r="A28719" s="2">
        <v>43875.59820601852</v>
      </c>
      <c r="B28719" t="str">
        <f>HYPERLINK("https://twitter.com/congratsteruss","@congratsteruss")</f>
        <v>@congratsteruss</v>
      </c>
      <c r="C28719" t="s">
        <v>11536</v>
      </c>
      <c r="D28719">
        <v>0</v>
      </c>
      <c r="E28719">
        <v>0</v>
      </c>
      <c r="F28719">
        <v>71</v>
      </c>
    </row>
    <row r="28720" spans="1:6" ht="12.75">
      <c r="A28720" s="2">
        <v>43875.598125000004</v>
      </c>
      <c r="B28720" t="str">
        <f>HYPERLINK("https://twitter.com/wilzz13","@wilzz13")</f>
        <v>@wilzz13</v>
      </c>
      <c r="C28720" t="s">
        <v>12542</v>
      </c>
      <c r="D28720">
        <v>0</v>
      </c>
      <c r="E28720">
        <v>0</v>
      </c>
      <c r="F28720">
        <v>1399</v>
      </c>
    </row>
    <row r="28721" spans="1:6" ht="12.75">
      <c r="A28721" s="2">
        <v>43875.598043981481</v>
      </c>
      <c r="B28721" t="str">
        <f>HYPERLINK("https://twitter.com/alrcyd","@alrcyd")</f>
        <v>@alrcyd</v>
      </c>
      <c r="C28721" t="s">
        <v>11232</v>
      </c>
      <c r="D28721">
        <v>4</v>
      </c>
      <c r="E28721">
        <v>0</v>
      </c>
      <c r="F28721">
        <v>128</v>
      </c>
    </row>
    <row r="28722" spans="1:6" ht="12.75">
      <c r="A28722" s="2">
        <v>43875.598043981481</v>
      </c>
      <c r="B28722" t="str">
        <f>HYPERLINK("https://twitter.com/hartanto_mas","@hartanto_mas")</f>
        <v>@hartanto_mas</v>
      </c>
      <c r="C28722" t="s">
        <v>10109</v>
      </c>
      <c r="D28722">
        <v>24</v>
      </c>
      <c r="E28722">
        <v>0</v>
      </c>
      <c r="F28722">
        <v>1046</v>
      </c>
    </row>
    <row r="28723" spans="1:6" ht="12.75">
      <c r="A28723" s="2">
        <v>43875.597905092596</v>
      </c>
      <c r="B28723" t="str">
        <f>HYPERLINK("https://twitter.com/DimasyFermana","@DimasyFermana")</f>
        <v>@DimasyFermana</v>
      </c>
      <c r="C28723" t="s">
        <v>12543</v>
      </c>
      <c r="D28723">
        <v>0</v>
      </c>
      <c r="E28723">
        <v>0</v>
      </c>
      <c r="F28723">
        <v>1448</v>
      </c>
    </row>
    <row r="28724" spans="1:6" ht="12.75">
      <c r="A28724" s="2">
        <v>43875.597893518519</v>
      </c>
      <c r="B28724" t="str">
        <f>HYPERLINK("https://twitter.com/hujanturunnnn","@hujanturunnnn")</f>
        <v>@hujanturunnnn</v>
      </c>
      <c r="C28724" t="s">
        <v>9123</v>
      </c>
      <c r="D28724">
        <v>196</v>
      </c>
      <c r="E28724">
        <v>0</v>
      </c>
      <c r="F28724">
        <v>61</v>
      </c>
    </row>
    <row r="28725" spans="1:6" ht="12.75">
      <c r="A28725" s="2">
        <v>43875.597696759258</v>
      </c>
      <c r="B28725" t="str">
        <f>HYPERLINK("https://twitter.com/Karto86768493","@Karto86768493")</f>
        <v>@Karto86768493</v>
      </c>
      <c r="C28725" t="s">
        <v>9998</v>
      </c>
      <c r="D28725">
        <v>98</v>
      </c>
      <c r="E28725">
        <v>0</v>
      </c>
      <c r="F28725">
        <v>45</v>
      </c>
    </row>
    <row r="28726" spans="1:6" ht="12.75">
      <c r="A28726" s="2">
        <v>43875.597696759258</v>
      </c>
      <c r="B28726" t="str">
        <f>HYPERLINK("https://twitter.com/MMargani5","@MMargani5")</f>
        <v>@MMargani5</v>
      </c>
      <c r="C28726" t="s">
        <v>9746</v>
      </c>
      <c r="D28726">
        <v>180</v>
      </c>
      <c r="E28726">
        <v>0</v>
      </c>
      <c r="F28726">
        <v>5270</v>
      </c>
    </row>
    <row r="28727" spans="1:6" ht="12.75">
      <c r="A28727" s="2">
        <v>43875.597604166665</v>
      </c>
      <c r="B28727" t="str">
        <f>HYPERLINK("https://twitter.com/RyanBayCan","@RyanBayCan")</f>
        <v>@RyanBayCan</v>
      </c>
      <c r="C28727" t="s">
        <v>12544</v>
      </c>
      <c r="D28727">
        <v>0</v>
      </c>
      <c r="E28727">
        <v>0</v>
      </c>
      <c r="F28727">
        <v>2628</v>
      </c>
    </row>
    <row r="28728" spans="1:6" ht="12.75">
      <c r="A28728" s="2">
        <v>43875.597592592589</v>
      </c>
      <c r="B28728" t="str">
        <f>HYPERLINK("https://twitter.com/efie_vie","@efie_vie")</f>
        <v>@efie_vie</v>
      </c>
      <c r="C28728" t="s">
        <v>9835</v>
      </c>
      <c r="D28728">
        <v>31</v>
      </c>
      <c r="E28728">
        <v>0</v>
      </c>
      <c r="F28728">
        <v>93</v>
      </c>
    </row>
    <row r="28729" spans="1:6" ht="12.75">
      <c r="A28729" s="2">
        <v>43875.597581018519</v>
      </c>
      <c r="B28729" t="str">
        <f>HYPERLINK("https://twitter.com/ozifaozi16","@ozifaozi16")</f>
        <v>@ozifaozi16</v>
      </c>
      <c r="C28729" t="s">
        <v>2444</v>
      </c>
      <c r="D28729">
        <v>1241</v>
      </c>
      <c r="E28729">
        <v>0</v>
      </c>
      <c r="F28729">
        <v>820</v>
      </c>
    </row>
    <row r="28730" spans="1:6" ht="12.75">
      <c r="A28730" s="2">
        <v>43875.597511574073</v>
      </c>
      <c r="B28730" t="str">
        <f>HYPERLINK("https://twitter.com/aw3126","@aw3126")</f>
        <v>@aw3126</v>
      </c>
      <c r="C28730" t="s">
        <v>12545</v>
      </c>
      <c r="D28730">
        <v>1</v>
      </c>
      <c r="E28730">
        <v>2</v>
      </c>
      <c r="F28730">
        <v>686</v>
      </c>
    </row>
    <row r="28731" spans="1:6" ht="12.75">
      <c r="A28731" s="2">
        <v>43875.597511574073</v>
      </c>
      <c r="B28731" t="str">
        <f>HYPERLINK("https://twitter.com/desicitrad","@desicitrad")</f>
        <v>@desicitrad</v>
      </c>
      <c r="C28731" t="s">
        <v>10237</v>
      </c>
      <c r="D28731">
        <v>47</v>
      </c>
      <c r="E28731">
        <v>0</v>
      </c>
      <c r="F28731">
        <v>145</v>
      </c>
    </row>
    <row r="28732" spans="1:6" ht="12.75">
      <c r="A28732" s="2">
        <v>43875.597418981481</v>
      </c>
      <c r="B28732" t="str">
        <f>HYPERLINK("https://twitter.com/bintanglangittt","@bintanglangittt")</f>
        <v>@bintanglangittt</v>
      </c>
      <c r="C28732" t="s">
        <v>9123</v>
      </c>
      <c r="D28732">
        <v>196</v>
      </c>
      <c r="E28732">
        <v>0</v>
      </c>
      <c r="F28732">
        <v>66</v>
      </c>
    </row>
    <row r="28733" spans="1:6" ht="12.75">
      <c r="A28733" s="2">
        <v>43875.597407407404</v>
      </c>
      <c r="B28733" t="str">
        <f>HYPERLINK("https://twitter.com/FaidahNuzul","@FaidahNuzul")</f>
        <v>@FaidahNuzul</v>
      </c>
      <c r="C28733" t="s">
        <v>9123</v>
      </c>
      <c r="D28733">
        <v>196</v>
      </c>
      <c r="E28733">
        <v>0</v>
      </c>
      <c r="F28733">
        <v>1065</v>
      </c>
    </row>
    <row r="28734" spans="1:6" ht="12.75">
      <c r="A28734" s="2">
        <v>43875.597280092596</v>
      </c>
      <c r="B28734" t="str">
        <f>HYPERLINK("https://twitter.com/sistrey","@sistrey")</f>
        <v>@sistrey</v>
      </c>
      <c r="C28734" t="s">
        <v>2444</v>
      </c>
      <c r="D28734">
        <v>1241</v>
      </c>
      <c r="E28734">
        <v>0</v>
      </c>
      <c r="F28734">
        <v>354</v>
      </c>
    </row>
    <row r="28735" spans="1:6" ht="12.75">
      <c r="A28735" s="2">
        <v>43875.597268518519</v>
      </c>
      <c r="B28735" t="str">
        <f>HYPERLINK("https://twitter.com/KontanNews","@KontanNews")</f>
        <v>@KontanNews</v>
      </c>
      <c r="C28735" t="s">
        <v>12546</v>
      </c>
      <c r="D28735">
        <v>0</v>
      </c>
      <c r="E28735">
        <v>0</v>
      </c>
      <c r="F28735">
        <v>316281</v>
      </c>
    </row>
    <row r="28736" spans="1:6" ht="12.75">
      <c r="A28736" s="2">
        <v>43875.597233796296</v>
      </c>
      <c r="B28736" t="str">
        <f>HYPERLINK("https://twitter.com/budihidayat20","@budihidayat20")</f>
        <v>@budihidayat20</v>
      </c>
      <c r="C28736" t="s">
        <v>10096</v>
      </c>
      <c r="D28736">
        <v>125</v>
      </c>
      <c r="E28736">
        <v>0</v>
      </c>
      <c r="F28736">
        <v>4383</v>
      </c>
    </row>
    <row r="28737" spans="1:6" ht="12.75">
      <c r="A28737" s="2">
        <v>43875.59710648148</v>
      </c>
      <c r="B28737" t="str">
        <f>HYPERLINK("https://twitter.com/mus_tanjung","@mus_tanjung")</f>
        <v>@mus_tanjung</v>
      </c>
      <c r="C28737" t="s">
        <v>9746</v>
      </c>
      <c r="D28737">
        <v>180</v>
      </c>
      <c r="E28737">
        <v>0</v>
      </c>
      <c r="F28737">
        <v>2568</v>
      </c>
    </row>
    <row r="28738" spans="1:6" ht="12.75">
      <c r="A28738" s="2">
        <v>43875.596956018519</v>
      </c>
      <c r="B28738" t="str">
        <f>HYPERLINK("https://twitter.com/tinabelle_","@tinabelle_")</f>
        <v>@tinabelle_</v>
      </c>
      <c r="C28738" t="s">
        <v>12547</v>
      </c>
      <c r="D28738">
        <v>0</v>
      </c>
      <c r="E28738">
        <v>0</v>
      </c>
      <c r="F28738">
        <v>511</v>
      </c>
    </row>
    <row r="28739" spans="1:6" ht="12.75">
      <c r="A28739" s="2">
        <v>43875.596909722226</v>
      </c>
      <c r="B28739" t="str">
        <f>HYPERLINK("https://twitter.com/SyarifAlkadrie3","@SyarifAlkadrie3")</f>
        <v>@SyarifAlkadrie3</v>
      </c>
      <c r="C28739" t="s">
        <v>7478</v>
      </c>
      <c r="D28739">
        <v>137</v>
      </c>
      <c r="E28739">
        <v>0</v>
      </c>
      <c r="F28739">
        <v>952</v>
      </c>
    </row>
    <row r="28740" spans="1:6" ht="12.75">
      <c r="A28740" s="2">
        <v>43875.596828703703</v>
      </c>
      <c r="B28740" t="str">
        <f>HYPERLINK("https://twitter.com/jimhasnojam","@jimhasnojam")</f>
        <v>@jimhasnojam</v>
      </c>
      <c r="C28740" t="s">
        <v>2444</v>
      </c>
      <c r="D28740">
        <v>1241</v>
      </c>
      <c r="E28740">
        <v>0</v>
      </c>
      <c r="F28740">
        <v>3209</v>
      </c>
    </row>
    <row r="28741" spans="1:6" ht="12.75">
      <c r="A28741" s="2">
        <v>43875.596817129626</v>
      </c>
      <c r="B28741" t="str">
        <f>HYPERLINK("https://twitter.com/rudyd3li","@rudyd3li")</f>
        <v>@rudyd3li</v>
      </c>
      <c r="C28741" t="s">
        <v>3140</v>
      </c>
      <c r="D28741">
        <v>2</v>
      </c>
      <c r="E28741">
        <v>0</v>
      </c>
      <c r="F28741">
        <v>189</v>
      </c>
    </row>
    <row r="28742" spans="1:6" ht="12.75">
      <c r="A28742" s="2">
        <v>43875.59679398148</v>
      </c>
      <c r="B28742" t="str">
        <f>HYPERLINK("https://twitter.com/defriema","@defriema")</f>
        <v>@defriema</v>
      </c>
      <c r="C28742" t="s">
        <v>2444</v>
      </c>
      <c r="D28742">
        <v>1241</v>
      </c>
      <c r="E28742">
        <v>0</v>
      </c>
      <c r="F28742">
        <v>674</v>
      </c>
    </row>
    <row r="28743" spans="1:6" ht="12.75">
      <c r="A28743" s="2">
        <v>43875.596724537041</v>
      </c>
      <c r="B28743" t="str">
        <f>HYPERLINK("https://twitter.com/aangmaulana","@aangmaulana")</f>
        <v>@aangmaulana</v>
      </c>
      <c r="C28743" t="s">
        <v>3412</v>
      </c>
      <c r="D28743">
        <v>1007</v>
      </c>
      <c r="E28743">
        <v>0</v>
      </c>
      <c r="F28743">
        <v>439</v>
      </c>
    </row>
    <row r="28744" spans="1:6" ht="12.75">
      <c r="A28744" s="2">
        <v>43875.596678240741</v>
      </c>
      <c r="B28744" t="str">
        <f>HYPERLINK("https://twitter.com/emanunk","@emanunk")</f>
        <v>@emanunk</v>
      </c>
      <c r="C28744" t="s">
        <v>2963</v>
      </c>
      <c r="D28744">
        <v>871</v>
      </c>
      <c r="E28744">
        <v>0</v>
      </c>
      <c r="F28744">
        <v>239</v>
      </c>
    </row>
    <row r="28745" spans="1:6" ht="12.75">
      <c r="A28745" s="2">
        <v>43875.596655092595</v>
      </c>
      <c r="B28745" t="str">
        <f>HYPERLINK("https://twitter.com/JavaraaEthnic","@JavaraaEthnic")</f>
        <v>@JavaraaEthnic</v>
      </c>
      <c r="C28745" t="s">
        <v>9746</v>
      </c>
      <c r="D28745">
        <v>180</v>
      </c>
      <c r="E28745">
        <v>0</v>
      </c>
      <c r="F28745">
        <v>222</v>
      </c>
    </row>
    <row r="28746" spans="1:6" ht="12.75">
      <c r="A28746" s="2">
        <v>43875.59652777778</v>
      </c>
      <c r="B28746" t="str">
        <f>HYPERLINK("https://twitter.com/dxzapr","@dxzapr")</f>
        <v>@dxzapr</v>
      </c>
      <c r="C28746" t="s">
        <v>9964</v>
      </c>
      <c r="D28746">
        <v>587</v>
      </c>
      <c r="E28746">
        <v>0</v>
      </c>
      <c r="F28746">
        <v>153</v>
      </c>
    </row>
    <row r="28747" spans="1:6" ht="12.75">
      <c r="A28747" s="2">
        <v>43875.596504629633</v>
      </c>
      <c r="B28747" t="str">
        <f>HYPERLINK("https://twitter.com/hellosheli","@hellosheli")</f>
        <v>@hellosheli</v>
      </c>
      <c r="C28747" t="s">
        <v>9123</v>
      </c>
      <c r="D28747">
        <v>196</v>
      </c>
      <c r="E28747">
        <v>0</v>
      </c>
      <c r="F28747">
        <v>28</v>
      </c>
    </row>
    <row r="28748" spans="1:6" ht="12.75">
      <c r="A28748" s="2">
        <v>43875.596388888887</v>
      </c>
      <c r="B28748" t="str">
        <f>HYPERLINK("https://twitter.com/virusmotivasi","@virusmotivasi")</f>
        <v>@virusmotivasi</v>
      </c>
      <c r="C28748" t="s">
        <v>3140</v>
      </c>
      <c r="D28748">
        <v>2</v>
      </c>
      <c r="E28748">
        <v>0</v>
      </c>
      <c r="F28748">
        <v>93906</v>
      </c>
    </row>
    <row r="28749" spans="1:6" ht="12.75">
      <c r="A28749" s="2">
        <v>43875.596388888887</v>
      </c>
      <c r="B28749" t="str">
        <f>HYPERLINK("https://twitter.com/aisimiaisiyu","@aisimiaisiyu")</f>
        <v>@aisimiaisiyu</v>
      </c>
      <c r="C28749" t="s">
        <v>2444</v>
      </c>
      <c r="D28749">
        <v>1241</v>
      </c>
      <c r="E28749">
        <v>0</v>
      </c>
      <c r="F28749">
        <v>42</v>
      </c>
    </row>
    <row r="28750" spans="1:6" ht="12.75">
      <c r="A28750" s="2">
        <v>43875.596354166672</v>
      </c>
      <c r="B28750" t="str">
        <f>HYPERLINK("https://twitter.com/hayanaqu","@hayanaqu")</f>
        <v>@hayanaqu</v>
      </c>
      <c r="C28750" t="s">
        <v>12548</v>
      </c>
      <c r="D28750">
        <v>0</v>
      </c>
      <c r="E28750">
        <v>0</v>
      </c>
      <c r="F28750">
        <v>69</v>
      </c>
    </row>
    <row r="28751" spans="1:6" ht="12.75">
      <c r="A28751" s="2">
        <v>43875.596342592587</v>
      </c>
      <c r="B28751" t="str">
        <f>HYPERLINK("https://twitter.com/Zza_zizi_zzu","@Zza_zizi_zzu")</f>
        <v>@Zza_zizi_zzu</v>
      </c>
      <c r="C28751" t="s">
        <v>2444</v>
      </c>
      <c r="D28751">
        <v>1241</v>
      </c>
      <c r="E28751">
        <v>0</v>
      </c>
      <c r="F28751">
        <v>417</v>
      </c>
    </row>
    <row r="28752" spans="1:6" ht="12.75">
      <c r="A28752" s="2">
        <v>43875.596307870372</v>
      </c>
      <c r="B28752" t="str">
        <f>HYPERLINK("https://twitter.com/defriema","@defriema")</f>
        <v>@defriema</v>
      </c>
      <c r="C28752" t="s">
        <v>11536</v>
      </c>
      <c r="D28752">
        <v>0</v>
      </c>
      <c r="E28752">
        <v>0</v>
      </c>
      <c r="F28752">
        <v>674</v>
      </c>
    </row>
    <row r="28753" spans="1:6" ht="12.75">
      <c r="A28753" s="2">
        <v>43875.596307870372</v>
      </c>
      <c r="B28753" t="str">
        <f>HYPERLINK("https://twitter.com/estywukak","@estywukak")</f>
        <v>@estywukak</v>
      </c>
      <c r="C28753" t="s">
        <v>2444</v>
      </c>
      <c r="D28753">
        <v>1241</v>
      </c>
      <c r="E28753">
        <v>0</v>
      </c>
      <c r="F28753">
        <v>1288</v>
      </c>
    </row>
    <row r="28754" spans="1:6" ht="12.75">
      <c r="A28754" s="2">
        <v>43875.596250000002</v>
      </c>
      <c r="B28754" t="str">
        <f>HYPERLINK("https://twitter.com/hellosheli","@hellosheli")</f>
        <v>@hellosheli</v>
      </c>
      <c r="C28754" t="s">
        <v>2444</v>
      </c>
      <c r="D28754">
        <v>1241</v>
      </c>
      <c r="E28754">
        <v>0</v>
      </c>
      <c r="F28754">
        <v>28</v>
      </c>
    </row>
    <row r="28755" spans="1:6" ht="12.75">
      <c r="A28755" s="2">
        <v>43875.596226851849</v>
      </c>
      <c r="B28755" t="str">
        <f>HYPERLINK("https://twitter.com/Baqarah216","@Baqarah216")</f>
        <v>@Baqarah216</v>
      </c>
      <c r="C28755" t="s">
        <v>9123</v>
      </c>
      <c r="D28755">
        <v>196</v>
      </c>
      <c r="E28755">
        <v>0</v>
      </c>
      <c r="F28755">
        <v>373</v>
      </c>
    </row>
    <row r="28756" spans="1:6" ht="12.75">
      <c r="A28756" s="2">
        <v>43875.596168981487</v>
      </c>
      <c r="B28756" t="str">
        <f>HYPERLINK("https://twitter.com/aw3126","@aw3126")</f>
        <v>@aw3126</v>
      </c>
      <c r="C28756" t="s">
        <v>12549</v>
      </c>
      <c r="D28756">
        <v>1</v>
      </c>
      <c r="E28756">
        <v>1</v>
      </c>
      <c r="F28756">
        <v>686</v>
      </c>
    </row>
    <row r="28757" spans="1:6" ht="12.75">
      <c r="A28757" s="2">
        <v>43875.596087962964</v>
      </c>
      <c r="B28757" t="str">
        <f>HYPERLINK("https://twitter.com/aryacokronegoro","@aryacokronegoro")</f>
        <v>@aryacokronegoro</v>
      </c>
      <c r="C28757" t="s">
        <v>12550</v>
      </c>
      <c r="D28757">
        <v>0</v>
      </c>
      <c r="E28757">
        <v>0</v>
      </c>
      <c r="F28757">
        <v>425</v>
      </c>
    </row>
    <row r="28758" spans="1:6" ht="12.75">
      <c r="A28758" s="2">
        <v>43875.596087962964</v>
      </c>
      <c r="B28758" t="str">
        <f>HYPERLINK("https://twitter.com/agwkandzzz","@agwkandzzz")</f>
        <v>@agwkandzzz</v>
      </c>
      <c r="C28758" t="s">
        <v>9964</v>
      </c>
      <c r="D28758">
        <v>587</v>
      </c>
      <c r="E28758">
        <v>0</v>
      </c>
      <c r="F28758">
        <v>474</v>
      </c>
    </row>
    <row r="28759" spans="1:6" ht="12.75">
      <c r="A28759" s="2">
        <v>43875.596076388887</v>
      </c>
      <c r="B28759" t="str">
        <f>HYPERLINK("https://twitter.com/AriePutraWijay1","@AriePutraWijay1")</f>
        <v>@AriePutraWijay1</v>
      </c>
      <c r="C28759" t="s">
        <v>12551</v>
      </c>
      <c r="D28759">
        <v>2</v>
      </c>
      <c r="E28759">
        <v>0</v>
      </c>
      <c r="F28759">
        <v>123</v>
      </c>
    </row>
    <row r="28760" spans="1:6" ht="12.75">
      <c r="A28760" s="2">
        <v>43875.596030092594</v>
      </c>
      <c r="B28760" t="str">
        <f>HYPERLINK("https://twitter.com/manzilahk","@manzilahk")</f>
        <v>@manzilahk</v>
      </c>
      <c r="C28760" t="s">
        <v>9123</v>
      </c>
      <c r="D28760">
        <v>196</v>
      </c>
      <c r="E28760">
        <v>0</v>
      </c>
      <c r="F28760">
        <v>90</v>
      </c>
    </row>
    <row r="28761" spans="1:6" ht="12.75">
      <c r="A28761" s="2">
        <v>43875.595925925925</v>
      </c>
      <c r="B28761" t="str">
        <f>HYPERLINK("https://twitter.com/hellosheli","@hellosheli")</f>
        <v>@hellosheli</v>
      </c>
      <c r="C28761" t="s">
        <v>11536</v>
      </c>
      <c r="D28761">
        <v>0</v>
      </c>
      <c r="E28761">
        <v>0</v>
      </c>
      <c r="F28761">
        <v>28</v>
      </c>
    </row>
    <row r="28762" spans="1:6" ht="12.75">
      <c r="A28762" s="2">
        <v>43875.595891203702</v>
      </c>
      <c r="B28762" t="str">
        <f>HYPERLINK("https://twitter.com/naizanahla","@naizanahla")</f>
        <v>@naizanahla</v>
      </c>
      <c r="C28762" t="s">
        <v>2444</v>
      </c>
      <c r="D28762">
        <v>1241</v>
      </c>
      <c r="E28762">
        <v>0</v>
      </c>
      <c r="F28762">
        <v>226</v>
      </c>
    </row>
    <row r="28763" spans="1:6" ht="12.75">
      <c r="A28763" s="2">
        <v>43875.595833333333</v>
      </c>
      <c r="B28763" t="str">
        <f>HYPERLINK("https://twitter.com/hartanto_mas","@hartanto_mas")</f>
        <v>@hartanto_mas</v>
      </c>
      <c r="C28763" t="s">
        <v>12552</v>
      </c>
      <c r="D28763">
        <v>1</v>
      </c>
      <c r="E28763">
        <v>0</v>
      </c>
      <c r="F28763">
        <v>1046</v>
      </c>
    </row>
    <row r="28764" spans="1:6" ht="12.75">
      <c r="A28764" s="2">
        <v>43875.59574074074</v>
      </c>
      <c r="B28764" t="str">
        <f>HYPERLINK("https://twitter.com/chang_shim","@chang_shim")</f>
        <v>@chang_shim</v>
      </c>
      <c r="C28764" t="s">
        <v>12377</v>
      </c>
      <c r="D28764">
        <v>9</v>
      </c>
      <c r="E28764">
        <v>0</v>
      </c>
      <c r="F28764">
        <v>183</v>
      </c>
    </row>
    <row r="28765" spans="1:6" ht="12.75">
      <c r="A28765" s="2">
        <v>43875.595659722225</v>
      </c>
      <c r="B28765" t="str">
        <f>HYPERLINK("https://twitter.com/yysiagian","@yysiagian")</f>
        <v>@yysiagian</v>
      </c>
      <c r="C28765" t="s">
        <v>2444</v>
      </c>
      <c r="D28765">
        <v>1241</v>
      </c>
      <c r="E28765">
        <v>0</v>
      </c>
      <c r="F28765">
        <v>360</v>
      </c>
    </row>
    <row r="28766" spans="1:6" ht="12.75">
      <c r="A28766" s="2">
        <v>43875.595648148148</v>
      </c>
      <c r="B28766" t="str">
        <f>HYPERLINK("https://twitter.com/naizanahla","@naizanahla")</f>
        <v>@naizanahla</v>
      </c>
      <c r="C28766" t="s">
        <v>9123</v>
      </c>
      <c r="D28766">
        <v>196</v>
      </c>
      <c r="E28766">
        <v>0</v>
      </c>
      <c r="F28766">
        <v>226</v>
      </c>
    </row>
    <row r="28767" spans="1:6" ht="12.75">
      <c r="A28767" s="2">
        <v>43875.595578703702</v>
      </c>
      <c r="B28767" t="str">
        <f>HYPERLINK("https://twitter.com/Mhafidzkamalra_","@Mhafidzkamalra_")</f>
        <v>@Mhafidzkamalra_</v>
      </c>
      <c r="C28767" t="s">
        <v>2444</v>
      </c>
      <c r="D28767">
        <v>1241</v>
      </c>
      <c r="E28767">
        <v>0</v>
      </c>
      <c r="F28767">
        <v>357</v>
      </c>
    </row>
    <row r="28768" spans="1:6" ht="12.75">
      <c r="A28768" s="2">
        <v>43875.595543981486</v>
      </c>
      <c r="B28768" t="str">
        <f>HYPERLINK("https://twitter.com/haiakulisa","@haiakulisa")</f>
        <v>@haiakulisa</v>
      </c>
      <c r="C28768" t="s">
        <v>9123</v>
      </c>
      <c r="D28768">
        <v>196</v>
      </c>
      <c r="E28768">
        <v>0</v>
      </c>
      <c r="F28768">
        <v>92</v>
      </c>
    </row>
    <row r="28769" spans="1:6" ht="12.75">
      <c r="A28769" s="2">
        <v>43875.595509259263</v>
      </c>
      <c r="B28769" t="str">
        <f>HYPERLINK("https://twitter.com/ISIS_Balik_NO","@ISIS_Balik_NO")</f>
        <v>@ISIS_Balik_NO</v>
      </c>
      <c r="C28769" t="s">
        <v>12553</v>
      </c>
      <c r="D28769">
        <v>0</v>
      </c>
      <c r="E28769">
        <v>1</v>
      </c>
      <c r="F28769">
        <v>5899</v>
      </c>
    </row>
    <row r="28770" spans="1:6" ht="12.75">
      <c r="A28770" s="2">
        <v>43875.595497685186</v>
      </c>
      <c r="B28770" t="str">
        <f>HYPERLINK("https://twitter.com/hujansenjaaaa","@hujansenjaaaa")</f>
        <v>@hujansenjaaaa</v>
      </c>
      <c r="C28770" t="s">
        <v>9123</v>
      </c>
      <c r="D28770">
        <v>196</v>
      </c>
      <c r="E28770">
        <v>0</v>
      </c>
      <c r="F28770">
        <v>67</v>
      </c>
    </row>
    <row r="28771" spans="1:6" ht="12.75">
      <c r="A28771" s="2">
        <v>43875.595416666663</v>
      </c>
      <c r="B28771" t="str">
        <f>HYPERLINK("https://twitter.com/Abdulmt91","@Abdulmt91")</f>
        <v>@Abdulmt91</v>
      </c>
      <c r="C28771" t="s">
        <v>9123</v>
      </c>
      <c r="D28771">
        <v>196</v>
      </c>
      <c r="E28771">
        <v>0</v>
      </c>
      <c r="F28771">
        <v>1660</v>
      </c>
    </row>
    <row r="28772" spans="1:6" ht="12.75">
      <c r="A28772" s="2">
        <v>43875.595393518517</v>
      </c>
      <c r="B28772" t="str">
        <f>HYPERLINK("https://twitter.com/Baqarah216","@Baqarah216")</f>
        <v>@Baqarah216</v>
      </c>
      <c r="C28772" t="s">
        <v>2444</v>
      </c>
      <c r="D28772">
        <v>1241</v>
      </c>
      <c r="E28772">
        <v>0</v>
      </c>
      <c r="F28772">
        <v>373</v>
      </c>
    </row>
    <row r="28773" spans="1:6" ht="12.75">
      <c r="A28773" s="2">
        <v>43875.595312500001</v>
      </c>
      <c r="B28773" t="str">
        <f>HYPERLINK("https://twitter.com/ISIS_Balik_NO","@ISIS_Balik_NO")</f>
        <v>@ISIS_Balik_NO</v>
      </c>
      <c r="C28773" t="s">
        <v>12554</v>
      </c>
      <c r="D28773">
        <v>4</v>
      </c>
      <c r="E28773">
        <v>0</v>
      </c>
      <c r="F28773">
        <v>5899</v>
      </c>
    </row>
    <row r="28774" spans="1:6" ht="12.75">
      <c r="A28774" s="2">
        <v>43875.595300925925</v>
      </c>
      <c r="B28774" t="str">
        <f>HYPERLINK("https://twitter.com/fa_diyanti","@fa_diyanti")</f>
        <v>@fa_diyanti</v>
      </c>
      <c r="C28774" t="s">
        <v>2444</v>
      </c>
      <c r="D28774">
        <v>1241</v>
      </c>
      <c r="E28774">
        <v>0</v>
      </c>
      <c r="F28774">
        <v>684</v>
      </c>
    </row>
    <row r="28775" spans="1:6" ht="12.75">
      <c r="A28775" s="2">
        <v>43875.595254629632</v>
      </c>
      <c r="B28775" t="str">
        <f>HYPERLINK("https://twitter.com/basoamir","@basoamir")</f>
        <v>@basoamir</v>
      </c>
      <c r="C28775" t="s">
        <v>10109</v>
      </c>
      <c r="D28775">
        <v>24</v>
      </c>
      <c r="E28775">
        <v>0</v>
      </c>
      <c r="F28775">
        <v>1316</v>
      </c>
    </row>
    <row r="28776" spans="1:6" ht="12.75">
      <c r="A28776" s="2">
        <v>43875.595219907409</v>
      </c>
      <c r="B28776" t="str">
        <f>HYPERLINK("https://twitter.com/onedheeis","@onedheeis")</f>
        <v>@onedheeis</v>
      </c>
      <c r="C28776" t="s">
        <v>9746</v>
      </c>
      <c r="D28776">
        <v>180</v>
      </c>
      <c r="E28776">
        <v>0</v>
      </c>
      <c r="F28776">
        <v>946</v>
      </c>
    </row>
    <row r="28777" spans="1:6" ht="12.75">
      <c r="A28777" s="2">
        <v>43875.595162037032</v>
      </c>
      <c r="B28777" t="str">
        <f>HYPERLINK("https://twitter.com/Haluan_","@Haluan_")</f>
        <v>@Haluan_</v>
      </c>
      <c r="C28777" t="s">
        <v>12555</v>
      </c>
      <c r="D28777">
        <v>0</v>
      </c>
      <c r="E28777">
        <v>0</v>
      </c>
      <c r="F28777">
        <v>1441</v>
      </c>
    </row>
    <row r="28778" spans="1:6" ht="12.75">
      <c r="A28778" s="2">
        <v>43875.59511574074</v>
      </c>
      <c r="B28778" t="str">
        <f>HYPERLINK("https://twitter.com/Metro_TV","@Metro_TV")</f>
        <v>@Metro_TV</v>
      </c>
      <c r="C28778" t="s">
        <v>12556</v>
      </c>
      <c r="D28778">
        <v>0</v>
      </c>
      <c r="E28778">
        <v>3</v>
      </c>
      <c r="F28778">
        <v>10509056</v>
      </c>
    </row>
    <row r="28779" spans="1:6" ht="12.75">
      <c r="A28779" s="2">
        <v>43875.595092592594</v>
      </c>
      <c r="B28779" t="str">
        <f>HYPERLINK("https://twitter.com/aryacokronegoro","@aryacokronegoro")</f>
        <v>@aryacokronegoro</v>
      </c>
      <c r="C28779" t="s">
        <v>12557</v>
      </c>
      <c r="D28779">
        <v>0</v>
      </c>
      <c r="E28779">
        <v>0</v>
      </c>
      <c r="F28779">
        <v>425</v>
      </c>
    </row>
    <row r="28780" spans="1:6" ht="12.75">
      <c r="A28780" s="2">
        <v>43875.595092592594</v>
      </c>
      <c r="B28780" t="str">
        <f>HYPERLINK("https://twitter.com/hime_star_","@hime_star_")</f>
        <v>@hime_star_</v>
      </c>
      <c r="C28780" t="s">
        <v>5168</v>
      </c>
      <c r="D28780">
        <v>693</v>
      </c>
      <c r="E28780">
        <v>0</v>
      </c>
      <c r="F28780">
        <v>322</v>
      </c>
    </row>
    <row r="28781" spans="1:6" ht="12.75">
      <c r="A28781" s="2">
        <v>43875.595081018517</v>
      </c>
      <c r="B28781" t="str">
        <f>HYPERLINK("https://twitter.com/oooyyuk","@oooyyuk")</f>
        <v>@oooyyuk</v>
      </c>
      <c r="C28781" t="s">
        <v>12558</v>
      </c>
      <c r="D28781">
        <v>0</v>
      </c>
      <c r="E28781">
        <v>0</v>
      </c>
      <c r="F28781">
        <v>8</v>
      </c>
    </row>
    <row r="28782" spans="1:6" ht="12.75">
      <c r="A28782" s="2">
        <v>43875.595034722224</v>
      </c>
      <c r="B28782" t="str">
        <f>HYPERLINK("https://twitter.com/semangatselaluu","@semangatselaluu")</f>
        <v>@semangatselaluu</v>
      </c>
      <c r="C28782" t="s">
        <v>9123</v>
      </c>
      <c r="D28782">
        <v>196</v>
      </c>
      <c r="E28782">
        <v>0</v>
      </c>
      <c r="F28782">
        <v>65</v>
      </c>
    </row>
    <row r="28783" spans="1:6" ht="12.75">
      <c r="A28783" s="2">
        <v>43875.595023148147</v>
      </c>
      <c r="B28783" t="str">
        <f>HYPERLINK("https://twitter.com/yunbeanic","@yunbeanic")</f>
        <v>@yunbeanic</v>
      </c>
      <c r="C28783" t="s">
        <v>2444</v>
      </c>
      <c r="D28783">
        <v>1241</v>
      </c>
      <c r="E28783">
        <v>0</v>
      </c>
      <c r="F28783">
        <v>1031</v>
      </c>
    </row>
    <row r="28784" spans="1:6" ht="12.75">
      <c r="A28784" s="2">
        <v>43875.594930555555</v>
      </c>
      <c r="B28784" t="str">
        <f>HYPERLINK("https://twitter.com/AlberaD5","@AlberaD5")</f>
        <v>@AlberaD5</v>
      </c>
      <c r="C28784" t="s">
        <v>12551</v>
      </c>
      <c r="D28784">
        <v>2</v>
      </c>
      <c r="E28784">
        <v>0</v>
      </c>
      <c r="F28784">
        <v>1633</v>
      </c>
    </row>
    <row r="28785" spans="1:6" ht="12.75">
      <c r="A28785" s="2">
        <v>43875.594895833332</v>
      </c>
      <c r="B28785" t="str">
        <f t="shared" ref="B28785:B28787" si="370">HYPERLINK("https://twitter.com/MHasyimAshari15","@MHasyimAshari15")</f>
        <v>@MHasyimAshari15</v>
      </c>
      <c r="C28785" t="s">
        <v>9998</v>
      </c>
      <c r="D28785">
        <v>98</v>
      </c>
      <c r="E28785">
        <v>0</v>
      </c>
      <c r="F28785">
        <v>37</v>
      </c>
    </row>
    <row r="28786" spans="1:6" ht="12.75">
      <c r="A28786" s="2">
        <v>43875.594884259262</v>
      </c>
      <c r="B28786" t="str">
        <f t="shared" si="370"/>
        <v>@MHasyimAshari15</v>
      </c>
      <c r="C28786" t="s">
        <v>12559</v>
      </c>
      <c r="D28786">
        <v>5</v>
      </c>
      <c r="E28786">
        <v>0</v>
      </c>
      <c r="F28786">
        <v>37</v>
      </c>
    </row>
    <row r="28787" spans="1:6" ht="12.75">
      <c r="A28787" s="2">
        <v>43875.594884259262</v>
      </c>
      <c r="B28787" t="str">
        <f t="shared" si="370"/>
        <v>@MHasyimAshari15</v>
      </c>
      <c r="C28787" t="s">
        <v>12560</v>
      </c>
      <c r="D28787">
        <v>32</v>
      </c>
      <c r="E28787">
        <v>0</v>
      </c>
      <c r="F28787">
        <v>37</v>
      </c>
    </row>
    <row r="28788" spans="1:6" ht="12.75">
      <c r="A28788" s="2">
        <v>43875.594837962963</v>
      </c>
      <c r="B28788" t="str">
        <f>HYPERLINK("https://twitter.com/bintangislam2","@bintangislam2")</f>
        <v>@bintangislam2</v>
      </c>
      <c r="C28788" t="s">
        <v>2444</v>
      </c>
      <c r="D28788">
        <v>1241</v>
      </c>
      <c r="E28788">
        <v>0</v>
      </c>
      <c r="F28788">
        <v>116</v>
      </c>
    </row>
    <row r="28789" spans="1:6" ht="12.75">
      <c r="A28789" s="2">
        <v>43875.59475694444</v>
      </c>
      <c r="B28789" t="str">
        <f>HYPERLINK("https://twitter.com/ghinautami","@ghinautami")</f>
        <v>@ghinautami</v>
      </c>
      <c r="C28789" t="s">
        <v>5168</v>
      </c>
      <c r="D28789">
        <v>693</v>
      </c>
      <c r="E28789">
        <v>0</v>
      </c>
      <c r="F28789">
        <v>200</v>
      </c>
    </row>
    <row r="28790" spans="1:6" ht="12.75">
      <c r="A28790" s="2">
        <v>43875.59474537037</v>
      </c>
      <c r="B28790" t="str">
        <f>HYPERLINK("https://twitter.com/gatcyoo","@gatcyoo")</f>
        <v>@gatcyoo</v>
      </c>
      <c r="C28790" t="s">
        <v>2444</v>
      </c>
      <c r="D28790">
        <v>1241</v>
      </c>
      <c r="E28790">
        <v>0</v>
      </c>
      <c r="F28790">
        <v>1112</v>
      </c>
    </row>
    <row r="28791" spans="1:6" ht="12.75">
      <c r="A28791" s="2">
        <v>43875.594733796301</v>
      </c>
      <c r="B28791" t="str">
        <f>HYPERLINK("https://twitter.com/harshnohi","@harshnohi")</f>
        <v>@harshnohi</v>
      </c>
      <c r="C28791" t="s">
        <v>2444</v>
      </c>
      <c r="D28791">
        <v>1241</v>
      </c>
      <c r="E28791">
        <v>0</v>
      </c>
      <c r="F28791">
        <v>169</v>
      </c>
    </row>
    <row r="28792" spans="1:6" ht="12.75">
      <c r="A28792" s="2">
        <v>43875.594722222224</v>
      </c>
      <c r="B28792" t="str">
        <f>HYPERLINK("https://twitter.com/dusrimulya","@dusrimulya")</f>
        <v>@dusrimulya</v>
      </c>
      <c r="C28792" t="s">
        <v>12561</v>
      </c>
      <c r="D28792">
        <v>0</v>
      </c>
      <c r="E28792">
        <v>0</v>
      </c>
      <c r="F28792">
        <v>22305</v>
      </c>
    </row>
    <row r="28793" spans="1:6" ht="12.75">
      <c r="A28793" s="2">
        <v>43875.594722222224</v>
      </c>
      <c r="B28793" t="str">
        <f>HYPERLINK("https://twitter.com/fwzakiy","@fwzakiy")</f>
        <v>@fwzakiy</v>
      </c>
      <c r="C28793" t="s">
        <v>12562</v>
      </c>
      <c r="D28793">
        <v>0</v>
      </c>
      <c r="E28793">
        <v>1</v>
      </c>
      <c r="F28793">
        <v>1230</v>
      </c>
    </row>
    <row r="28794" spans="1:6" ht="12.75">
      <c r="A28794" s="2">
        <v>43875.594675925924</v>
      </c>
      <c r="B28794" t="str">
        <f>HYPERLINK("https://twitter.com/TeddyIrjaya","@TeddyIrjaya")</f>
        <v>@TeddyIrjaya</v>
      </c>
      <c r="C28794" t="s">
        <v>10121</v>
      </c>
      <c r="D28794">
        <v>176</v>
      </c>
      <c r="E28794">
        <v>0</v>
      </c>
      <c r="F28794">
        <v>665</v>
      </c>
    </row>
    <row r="28795" spans="1:6" ht="12.75">
      <c r="A28795" s="2">
        <v>43875.594652777778</v>
      </c>
      <c r="B28795" t="str">
        <f>HYPERLINK("https://twitter.com/MattshaNightwi1","@MattshaNightwi1")</f>
        <v>@MattshaNightwi1</v>
      </c>
      <c r="C28795" t="s">
        <v>2963</v>
      </c>
      <c r="D28795">
        <v>871</v>
      </c>
      <c r="E28795">
        <v>0</v>
      </c>
      <c r="F28795">
        <v>25</v>
      </c>
    </row>
    <row r="28796" spans="1:6" ht="12.75">
      <c r="A28796" s="2">
        <v>43875.594513888893</v>
      </c>
      <c r="B28796" t="str">
        <f>HYPERLINK("https://twitter.com/RamdhaniBrutus","@RamdhaniBrutus")</f>
        <v>@RamdhaniBrutus</v>
      </c>
      <c r="C28796" t="s">
        <v>7478</v>
      </c>
      <c r="D28796">
        <v>137</v>
      </c>
      <c r="E28796">
        <v>0</v>
      </c>
      <c r="F28796">
        <v>1261</v>
      </c>
    </row>
    <row r="28797" spans="1:6" ht="12.75">
      <c r="A28797" s="2">
        <v>43875.594502314816</v>
      </c>
      <c r="B28797" t="str">
        <f>HYPERLINK("https://twitter.com/WiratamaJody","@WiratamaJody")</f>
        <v>@WiratamaJody</v>
      </c>
      <c r="C28797" t="s">
        <v>2088</v>
      </c>
      <c r="D28797">
        <v>16119</v>
      </c>
      <c r="E28797">
        <v>0</v>
      </c>
      <c r="F28797">
        <v>699</v>
      </c>
    </row>
    <row r="28798" spans="1:6" ht="12.75">
      <c r="A28798" s="2">
        <v>43875.594502314816</v>
      </c>
      <c r="B28798" t="str">
        <f>HYPERLINK("https://twitter.com/fecandra","@fecandra")</f>
        <v>@fecandra</v>
      </c>
      <c r="C28798" t="s">
        <v>12563</v>
      </c>
      <c r="D28798">
        <v>0</v>
      </c>
      <c r="E28798">
        <v>0</v>
      </c>
      <c r="F28798">
        <v>86</v>
      </c>
    </row>
    <row r="28799" spans="1:6" ht="12.75">
      <c r="A28799" s="2">
        <v>43875.594456018516</v>
      </c>
      <c r="B28799" t="str">
        <f>HYPERLINK("https://twitter.com/Yzkj56","@Yzkj56")</f>
        <v>@Yzkj56</v>
      </c>
      <c r="C28799" t="s">
        <v>9123</v>
      </c>
      <c r="D28799">
        <v>196</v>
      </c>
      <c r="E28799">
        <v>0</v>
      </c>
      <c r="F28799">
        <v>38</v>
      </c>
    </row>
    <row r="28800" spans="1:6" ht="12.75">
      <c r="A28800" s="2">
        <v>43875.594456018516</v>
      </c>
      <c r="B28800" t="str">
        <f>HYPERLINK("https://twitter.com/Baqarah216","@Baqarah216")</f>
        <v>@Baqarah216</v>
      </c>
      <c r="C28800" t="s">
        <v>11536</v>
      </c>
      <c r="D28800">
        <v>0</v>
      </c>
      <c r="E28800">
        <v>0</v>
      </c>
      <c r="F28800">
        <v>373</v>
      </c>
    </row>
    <row r="28801" spans="1:6" ht="12.75">
      <c r="A28801" s="2">
        <v>43875.594444444447</v>
      </c>
      <c r="B28801" t="str">
        <f>HYPERLINK("https://twitter.com/dusrimulya","@dusrimulya")</f>
        <v>@dusrimulya</v>
      </c>
      <c r="C28801" t="s">
        <v>12564</v>
      </c>
      <c r="D28801">
        <v>1</v>
      </c>
      <c r="E28801">
        <v>1</v>
      </c>
      <c r="F28801">
        <v>22305</v>
      </c>
    </row>
    <row r="28802" spans="1:6" ht="12.75">
      <c r="A28802" s="2">
        <v>43875.594444444447</v>
      </c>
      <c r="B28802" t="str">
        <f>HYPERLINK("https://twitter.com/ISIS_Balik_NO","@ISIS_Balik_NO")</f>
        <v>@ISIS_Balik_NO</v>
      </c>
      <c r="C28802" t="s">
        <v>12565</v>
      </c>
      <c r="D28802">
        <v>0</v>
      </c>
      <c r="E28802">
        <v>2</v>
      </c>
      <c r="F28802">
        <v>5899</v>
      </c>
    </row>
    <row r="28803" spans="1:6" ht="12.75">
      <c r="A28803" s="2">
        <v>43875.59443287037</v>
      </c>
      <c r="B28803" t="str">
        <f>HYPERLINK("https://twitter.com/elang766","@elang766")</f>
        <v>@elang766</v>
      </c>
      <c r="C28803" t="s">
        <v>7478</v>
      </c>
      <c r="D28803">
        <v>137</v>
      </c>
      <c r="E28803">
        <v>0</v>
      </c>
      <c r="F28803">
        <v>949</v>
      </c>
    </row>
    <row r="28804" spans="1:6" ht="12.75">
      <c r="A28804" s="2">
        <v>43875.594421296293</v>
      </c>
      <c r="B28804" t="str">
        <f>HYPERLINK("https://twitter.com/okezonenews","@okezonenews")</f>
        <v>@okezonenews</v>
      </c>
      <c r="C28804" t="s">
        <v>12566</v>
      </c>
      <c r="D28804">
        <v>0</v>
      </c>
      <c r="E28804">
        <v>0</v>
      </c>
      <c r="F28804">
        <v>1743740</v>
      </c>
    </row>
    <row r="28805" spans="1:6" ht="12.75">
      <c r="A28805" s="2">
        <v>43875.594375000001</v>
      </c>
      <c r="B28805" t="str">
        <f>HYPERLINK("https://twitter.com/Namaku_Mei","@Namaku_Mei")</f>
        <v>@Namaku_Mei</v>
      </c>
      <c r="C28805" t="s">
        <v>12567</v>
      </c>
      <c r="D28805">
        <v>2</v>
      </c>
      <c r="E28805">
        <v>3</v>
      </c>
      <c r="F28805">
        <v>33530</v>
      </c>
    </row>
    <row r="28806" spans="1:6" ht="12.75">
      <c r="A28806" s="2">
        <v>43875.594293981485</v>
      </c>
      <c r="B28806" t="str">
        <f>HYPERLINK("https://twitter.com/Joshuasuu","@Joshuasuu")</f>
        <v>@Joshuasuu</v>
      </c>
      <c r="C28806" t="s">
        <v>12568</v>
      </c>
      <c r="D28806">
        <v>0</v>
      </c>
      <c r="E28806">
        <v>0</v>
      </c>
      <c r="F28806">
        <v>1712</v>
      </c>
    </row>
    <row r="28807" spans="1:6" ht="12.75">
      <c r="A28807" s="2">
        <v>43875.594282407408</v>
      </c>
      <c r="B28807" t="str">
        <f>HYPERLINK("https://twitter.com/Baqarah216","@Baqarah216")</f>
        <v>@Baqarah216</v>
      </c>
      <c r="C28807" t="s">
        <v>12347</v>
      </c>
      <c r="D28807">
        <v>0</v>
      </c>
      <c r="E28807">
        <v>0</v>
      </c>
      <c r="F28807">
        <v>373</v>
      </c>
    </row>
    <row r="28808" spans="1:6" ht="12.75">
      <c r="A28808" s="2">
        <v>43875.594236111108</v>
      </c>
      <c r="B28808" t="str">
        <f>HYPERLINK("https://twitter.com/matafakta1","@matafakta1")</f>
        <v>@matafakta1</v>
      </c>
      <c r="C28808" t="s">
        <v>12569</v>
      </c>
      <c r="D28808">
        <v>0</v>
      </c>
      <c r="E28808">
        <v>0</v>
      </c>
      <c r="F28808">
        <v>2</v>
      </c>
    </row>
    <row r="28809" spans="1:6" ht="12.75">
      <c r="A28809" s="2">
        <v>43875.594212962962</v>
      </c>
      <c r="B28809" t="str">
        <f>HYPERLINK("https://twitter.com/4aSunlight","@4aSunlight")</f>
        <v>@4aSunlight</v>
      </c>
      <c r="C28809" t="s">
        <v>12570</v>
      </c>
      <c r="D28809">
        <v>0</v>
      </c>
      <c r="E28809">
        <v>0</v>
      </c>
      <c r="F28809">
        <v>413</v>
      </c>
    </row>
    <row r="28810" spans="1:6" ht="12.75">
      <c r="A28810" s="2">
        <v>43875.594189814816</v>
      </c>
      <c r="B28810" t="str">
        <f>HYPERLINK("https://twitter.com/Rosaline2020","@Rosaline2020")</f>
        <v>@Rosaline2020</v>
      </c>
      <c r="C28810" t="s">
        <v>11666</v>
      </c>
      <c r="D28810">
        <v>6</v>
      </c>
      <c r="E28810">
        <v>0</v>
      </c>
      <c r="F28810">
        <v>1981</v>
      </c>
    </row>
    <row r="28811" spans="1:6" ht="12.75">
      <c r="A28811" s="2">
        <v>43875.594166666662</v>
      </c>
      <c r="B28811" t="str">
        <f>HYPERLINK("https://twitter.com/CigsAfterSalat","@CigsAfterSalat")</f>
        <v>@CigsAfterSalat</v>
      </c>
      <c r="C28811" t="s">
        <v>12571</v>
      </c>
      <c r="D28811">
        <v>0</v>
      </c>
      <c r="E28811">
        <v>0</v>
      </c>
      <c r="F28811">
        <v>413</v>
      </c>
    </row>
    <row r="28812" spans="1:6" ht="12.75">
      <c r="A28812" s="2">
        <v>43875.59412037037</v>
      </c>
      <c r="B28812" t="str">
        <f>HYPERLINK("https://twitter.com/nu_online","@nu_online")</f>
        <v>@nu_online</v>
      </c>
      <c r="C28812" t="s">
        <v>12572</v>
      </c>
      <c r="D28812">
        <v>6</v>
      </c>
      <c r="E28812">
        <v>16</v>
      </c>
      <c r="F28812">
        <v>489646</v>
      </c>
    </row>
    <row r="28813" spans="1:6" ht="12.75">
      <c r="A28813" s="2">
        <v>43875.5941087963</v>
      </c>
      <c r="B28813" t="str">
        <f>HYPERLINK("https://twitter.com/chancanssi","@chancanssi")</f>
        <v>@chancanssi</v>
      </c>
      <c r="C28813" t="s">
        <v>9123</v>
      </c>
      <c r="D28813">
        <v>196</v>
      </c>
      <c r="E28813">
        <v>0</v>
      </c>
      <c r="F28813">
        <v>18</v>
      </c>
    </row>
    <row r="28814" spans="1:6" ht="12.75">
      <c r="A28814" s="2">
        <v>43875.594097222223</v>
      </c>
      <c r="B28814" t="str">
        <f>HYPERLINK("https://twitter.com/johnsjaeby","@johnsjaeby")</f>
        <v>@johnsjaeby</v>
      </c>
      <c r="C28814" t="s">
        <v>2444</v>
      </c>
      <c r="D28814">
        <v>1241</v>
      </c>
      <c r="E28814">
        <v>0</v>
      </c>
      <c r="F28814">
        <v>137</v>
      </c>
    </row>
    <row r="28815" spans="1:6" ht="12.75">
      <c r="A28815" s="2">
        <v>43875.5940625</v>
      </c>
      <c r="B28815" t="str">
        <f>HYPERLINK("https://twitter.com/TeddyIrjaya","@TeddyIrjaya")</f>
        <v>@TeddyIrjaya</v>
      </c>
      <c r="C28815" t="s">
        <v>2122</v>
      </c>
      <c r="D28815">
        <v>205</v>
      </c>
      <c r="E28815">
        <v>0</v>
      </c>
      <c r="F28815">
        <v>665</v>
      </c>
    </row>
    <row r="28816" spans="1:6" ht="12.75">
      <c r="A28816" s="2">
        <v>43875.594004629631</v>
      </c>
      <c r="B28816" t="str">
        <f>HYPERLINK("https://twitter.com/pro_hrs","@pro_hrs")</f>
        <v>@pro_hrs</v>
      </c>
      <c r="C28816" t="s">
        <v>10407</v>
      </c>
      <c r="D28816">
        <v>49</v>
      </c>
      <c r="E28816">
        <v>0</v>
      </c>
      <c r="F28816">
        <v>170</v>
      </c>
    </row>
    <row r="28817" spans="1:6" ht="12.75">
      <c r="A28817" s="2">
        <v>43875.593958333338</v>
      </c>
      <c r="B28817" t="str">
        <f>HYPERLINK("https://twitter.com/anshariiii","@anshariiii")</f>
        <v>@anshariiii</v>
      </c>
      <c r="C28817" t="s">
        <v>6982</v>
      </c>
      <c r="D28817">
        <v>86</v>
      </c>
      <c r="E28817">
        <v>0</v>
      </c>
      <c r="F28817">
        <v>11</v>
      </c>
    </row>
    <row r="28818" spans="1:6" ht="12.75">
      <c r="A28818" s="2">
        <v>43875.593946759254</v>
      </c>
      <c r="B28818" t="str">
        <f>HYPERLINK("https://twitter.com/suci_nuzul","@suci_nuzul")</f>
        <v>@suci_nuzul</v>
      </c>
      <c r="C28818" t="s">
        <v>2444</v>
      </c>
      <c r="D28818">
        <v>1241</v>
      </c>
      <c r="E28818">
        <v>0</v>
      </c>
      <c r="F28818">
        <v>333</v>
      </c>
    </row>
    <row r="28819" spans="1:6" ht="12.75">
      <c r="A28819" s="2">
        <v>43875.593831018516</v>
      </c>
      <c r="B28819" t="str">
        <f>HYPERLINK("https://twitter.com/Realitarakyat01","@Realitarakyat01")</f>
        <v>@Realitarakyat01</v>
      </c>
      <c r="C28819" t="s">
        <v>12573</v>
      </c>
      <c r="D28819">
        <v>0</v>
      </c>
      <c r="E28819">
        <v>0</v>
      </c>
      <c r="F28819">
        <v>121</v>
      </c>
    </row>
    <row r="28820" spans="1:6" ht="12.75">
      <c r="A28820" s="2">
        <v>43875.593831018516</v>
      </c>
      <c r="B28820" t="str">
        <f>HYPERLINK("https://twitter.com/JunDs","@JunDs")</f>
        <v>@JunDs</v>
      </c>
      <c r="C28820" t="s">
        <v>12574</v>
      </c>
      <c r="D28820">
        <v>0</v>
      </c>
      <c r="E28820">
        <v>0</v>
      </c>
      <c r="F28820">
        <v>566</v>
      </c>
    </row>
    <row r="28821" spans="1:6" ht="12.75">
      <c r="A28821" s="2">
        <v>43875.59373842593</v>
      </c>
      <c r="B28821" t="str">
        <f>HYPERLINK("https://twitter.com/CapeUdah","@CapeUdah")</f>
        <v>@CapeUdah</v>
      </c>
      <c r="C28821" t="s">
        <v>9123</v>
      </c>
      <c r="D28821">
        <v>196</v>
      </c>
      <c r="E28821">
        <v>0</v>
      </c>
      <c r="F28821">
        <v>108</v>
      </c>
    </row>
    <row r="28822" spans="1:6" ht="12.75">
      <c r="A28822" s="2">
        <v>43875.593715277777</v>
      </c>
      <c r="B28822" t="str">
        <f>HYPERLINK("https://twitter.com/ftmhkptr","@ftmhkptr")</f>
        <v>@ftmhkptr</v>
      </c>
      <c r="C28822" t="s">
        <v>2444</v>
      </c>
      <c r="D28822">
        <v>1241</v>
      </c>
      <c r="E28822">
        <v>0</v>
      </c>
      <c r="F28822">
        <v>680</v>
      </c>
    </row>
    <row r="28823" spans="1:6" ht="12.75">
      <c r="A28823" s="2">
        <v>43875.593703703707</v>
      </c>
      <c r="B28823" t="str">
        <f>HYPERLINK("https://twitter.com/RamdhaniBrutus","@RamdhaniBrutus")</f>
        <v>@RamdhaniBrutus</v>
      </c>
      <c r="C28823" t="s">
        <v>10795</v>
      </c>
      <c r="D28823">
        <v>2</v>
      </c>
      <c r="E28823">
        <v>0</v>
      </c>
      <c r="F28823">
        <v>1261</v>
      </c>
    </row>
    <row r="28824" spans="1:6" ht="12.75">
      <c r="A28824" s="2">
        <v>43875.593668981484</v>
      </c>
      <c r="B28824" t="str">
        <f>HYPERLINK("https://twitter.com/Potell_Sinchan","@Potell_Sinchan")</f>
        <v>@Potell_Sinchan</v>
      </c>
      <c r="C28824" t="s">
        <v>12347</v>
      </c>
      <c r="D28824">
        <v>0</v>
      </c>
      <c r="E28824">
        <v>0</v>
      </c>
      <c r="F28824">
        <v>5</v>
      </c>
    </row>
    <row r="28825" spans="1:6" ht="12.75">
      <c r="A28825" s="2">
        <v>43875.593622685185</v>
      </c>
      <c r="B28825" t="str">
        <f>HYPERLINK("https://twitter.com/rhioalfathan68","@rhioalfathan68")</f>
        <v>@rhioalfathan68</v>
      </c>
      <c r="C28825" t="s">
        <v>12560</v>
      </c>
      <c r="D28825">
        <v>32</v>
      </c>
      <c r="E28825">
        <v>0</v>
      </c>
      <c r="F28825">
        <v>143</v>
      </c>
    </row>
    <row r="28826" spans="1:6" ht="12.75">
      <c r="A28826" s="2">
        <v>43875.593622685185</v>
      </c>
      <c r="B28826" t="str">
        <f>HYPERLINK("https://twitter.com/RamdhaniBrutus","@RamdhaniBrutus")</f>
        <v>@RamdhaniBrutus</v>
      </c>
      <c r="C28826" t="s">
        <v>9539</v>
      </c>
      <c r="D28826">
        <v>5</v>
      </c>
      <c r="E28826">
        <v>0</v>
      </c>
      <c r="F28826">
        <v>1261</v>
      </c>
    </row>
    <row r="28827" spans="1:6" ht="12.75">
      <c r="A28827" s="2">
        <v>43875.593576388885</v>
      </c>
      <c r="B28827" t="str">
        <f>HYPERLINK("https://twitter.com/chancanssi","@chancanssi")</f>
        <v>@chancanssi</v>
      </c>
      <c r="C28827" t="s">
        <v>2444</v>
      </c>
      <c r="D28827">
        <v>1241</v>
      </c>
      <c r="E28827">
        <v>0</v>
      </c>
      <c r="F28827">
        <v>18</v>
      </c>
    </row>
    <row r="28828" spans="1:6" ht="12.75">
      <c r="A28828" s="2">
        <v>43875.593553240746</v>
      </c>
      <c r="B28828" t="str">
        <f>HYPERLINK("https://twitter.com/xixie13","@xixie13")</f>
        <v>@xixie13</v>
      </c>
      <c r="C28828" t="s">
        <v>12575</v>
      </c>
      <c r="D28828">
        <v>0</v>
      </c>
      <c r="E28828">
        <v>0</v>
      </c>
      <c r="F28828">
        <v>37</v>
      </c>
    </row>
    <row r="28829" spans="1:6" ht="12.75">
      <c r="A28829" s="2">
        <v>43875.593530092592</v>
      </c>
      <c r="B28829" t="str">
        <f>HYPERLINK("https://twitter.com/enemynestle","@enemynestle")</f>
        <v>@enemynestle</v>
      </c>
      <c r="C28829" t="s">
        <v>10300</v>
      </c>
      <c r="D28829">
        <v>27</v>
      </c>
      <c r="E28829">
        <v>0</v>
      </c>
      <c r="F28829">
        <v>88</v>
      </c>
    </row>
    <row r="28830" spans="1:6" ht="12.75">
      <c r="A28830" s="2">
        <v>43875.593495370369</v>
      </c>
      <c r="B28830" t="str">
        <f>HYPERLINK("https://twitter.com/SahraAhli","@SahraAhli")</f>
        <v>@SahraAhli</v>
      </c>
      <c r="C28830" t="s">
        <v>12450</v>
      </c>
      <c r="D28830">
        <v>80</v>
      </c>
      <c r="E28830">
        <v>0</v>
      </c>
      <c r="F28830">
        <v>646</v>
      </c>
    </row>
    <row r="28831" spans="1:6" ht="12.75">
      <c r="A28831" s="2">
        <v>43875.593495370369</v>
      </c>
      <c r="B28831" t="str">
        <f>HYPERLINK("https://twitter.com/wikstp","@wikstp")</f>
        <v>@wikstp</v>
      </c>
      <c r="C28831" t="s">
        <v>12576</v>
      </c>
      <c r="D28831">
        <v>1</v>
      </c>
      <c r="E28831">
        <v>0</v>
      </c>
      <c r="F28831">
        <v>150</v>
      </c>
    </row>
    <row r="28832" spans="1:6" ht="12.75">
      <c r="A28832" s="2">
        <v>43875.593449074076</v>
      </c>
      <c r="B28832" t="str">
        <f>HYPERLINK("https://twitter.com/Metro_TV","@Metro_TV")</f>
        <v>@Metro_TV</v>
      </c>
      <c r="C28832" t="s">
        <v>12577</v>
      </c>
      <c r="D28832">
        <v>0</v>
      </c>
      <c r="E28832">
        <v>3</v>
      </c>
      <c r="F28832">
        <v>10509056</v>
      </c>
    </row>
    <row r="28833" spans="1:6" ht="12.75">
      <c r="A28833" s="2">
        <v>43875.593414351853</v>
      </c>
      <c r="B28833" t="str">
        <f>HYPERLINK("https://twitter.com/RamdhaniBrutus","@RamdhaniBrutus")</f>
        <v>@RamdhaniBrutus</v>
      </c>
      <c r="C28833" t="s">
        <v>5761</v>
      </c>
      <c r="D28833">
        <v>54</v>
      </c>
      <c r="E28833">
        <v>0</v>
      </c>
      <c r="F28833">
        <v>1261</v>
      </c>
    </row>
    <row r="28834" spans="1:6" ht="12.75">
      <c r="A28834" s="2">
        <v>43875.593275462961</v>
      </c>
      <c r="B28834" t="str">
        <f>HYPERLINK("https://twitter.com/CakMan70489610","@CakMan70489610")</f>
        <v>@CakMan70489610</v>
      </c>
      <c r="C28834" t="s">
        <v>7478</v>
      </c>
      <c r="D28834">
        <v>137</v>
      </c>
      <c r="E28834">
        <v>0</v>
      </c>
      <c r="F28834">
        <v>494</v>
      </c>
    </row>
    <row r="28835" spans="1:6" ht="12.75">
      <c r="A28835" s="2">
        <v>43875.593252314815</v>
      </c>
      <c r="B28835" t="str">
        <f>HYPERLINK("https://twitter.com/embah72","@embah72")</f>
        <v>@embah72</v>
      </c>
      <c r="C28835" t="s">
        <v>11322</v>
      </c>
      <c r="D28835">
        <v>74</v>
      </c>
      <c r="E28835">
        <v>0</v>
      </c>
      <c r="F28835">
        <v>14092</v>
      </c>
    </row>
    <row r="28836" spans="1:6" ht="12.75">
      <c r="A28836" s="2">
        <v>43875.593240740738</v>
      </c>
      <c r="B28836" t="str">
        <f>HYPERLINK("https://twitter.com/PandianganSh","@PandianganSh")</f>
        <v>@PandianganSh</v>
      </c>
      <c r="C28836" t="s">
        <v>9096</v>
      </c>
      <c r="D28836">
        <v>190</v>
      </c>
      <c r="E28836">
        <v>0</v>
      </c>
      <c r="F28836">
        <v>164</v>
      </c>
    </row>
    <row r="28837" spans="1:6" ht="12.75">
      <c r="A28837" s="2">
        <v>43875.593159722222</v>
      </c>
      <c r="B28837" t="str">
        <f>HYPERLINK("https://twitter.com/vbk_Brian","@vbk_Brian")</f>
        <v>@vbk_Brian</v>
      </c>
      <c r="C28837" t="s">
        <v>9964</v>
      </c>
      <c r="D28837">
        <v>587</v>
      </c>
      <c r="E28837">
        <v>0</v>
      </c>
      <c r="F28837">
        <v>225</v>
      </c>
    </row>
    <row r="28838" spans="1:6" ht="12.75">
      <c r="A28838" s="2">
        <v>43875.593124999999</v>
      </c>
      <c r="B28838" t="str">
        <f>HYPERLINK("https://twitter.com/Rido_Lizze","@Rido_Lizze")</f>
        <v>@Rido_Lizze</v>
      </c>
      <c r="C28838" t="s">
        <v>12578</v>
      </c>
      <c r="D28838">
        <v>1</v>
      </c>
      <c r="E28838">
        <v>0</v>
      </c>
      <c r="F28838">
        <v>1303</v>
      </c>
    </row>
    <row r="28839" spans="1:6" ht="12.75">
      <c r="A28839" s="2">
        <v>43875.593124999999</v>
      </c>
      <c r="B28839" t="str">
        <f>HYPERLINK("https://twitter.com/JeySiver","@JeySiver")</f>
        <v>@JeySiver</v>
      </c>
      <c r="C28839" t="s">
        <v>9123</v>
      </c>
      <c r="D28839">
        <v>196</v>
      </c>
      <c r="E28839">
        <v>0</v>
      </c>
      <c r="F28839">
        <v>382</v>
      </c>
    </row>
    <row r="28840" spans="1:6" ht="12.75">
      <c r="A28840" s="2">
        <v>43875.59311342593</v>
      </c>
      <c r="B28840" t="str">
        <f>HYPERLINK("https://twitter.com/IntanFanny1","@IntanFanny1")</f>
        <v>@IntanFanny1</v>
      </c>
      <c r="C28840" t="s">
        <v>9123</v>
      </c>
      <c r="D28840">
        <v>196</v>
      </c>
      <c r="E28840">
        <v>0</v>
      </c>
      <c r="F28840">
        <v>52</v>
      </c>
    </row>
    <row r="28841" spans="1:6" ht="12.75">
      <c r="A28841" s="2">
        <v>43875.593101851853</v>
      </c>
      <c r="B28841" t="str">
        <f>HYPERLINK("https://twitter.com/heipivairus","@heipivairus")</f>
        <v>@heipivairus</v>
      </c>
      <c r="C28841" t="s">
        <v>10697</v>
      </c>
      <c r="D28841">
        <v>19</v>
      </c>
      <c r="E28841">
        <v>0</v>
      </c>
      <c r="F28841">
        <v>262</v>
      </c>
    </row>
    <row r="28842" spans="1:6" ht="12.75">
      <c r="A28842" s="2">
        <v>43875.593090277776</v>
      </c>
      <c r="B28842" t="str">
        <f>HYPERLINK("https://twitter.com/Potell_Sinchan","@Potell_Sinchan")</f>
        <v>@Potell_Sinchan</v>
      </c>
      <c r="C28842" t="s">
        <v>9123</v>
      </c>
      <c r="D28842">
        <v>196</v>
      </c>
      <c r="E28842">
        <v>0</v>
      </c>
      <c r="F28842">
        <v>5</v>
      </c>
    </row>
    <row r="28843" spans="1:6" ht="12.75">
      <c r="A28843" s="2">
        <v>43875.593078703707</v>
      </c>
      <c r="B28843" t="str">
        <f>HYPERLINK("https://twitter.com/RamdhaniBrutus","@RamdhaniBrutus")</f>
        <v>@RamdhaniBrutus</v>
      </c>
      <c r="C28843" t="s">
        <v>12579</v>
      </c>
      <c r="D28843">
        <v>2</v>
      </c>
      <c r="E28843">
        <v>0</v>
      </c>
      <c r="F28843">
        <v>1261</v>
      </c>
    </row>
    <row r="28844" spans="1:6" ht="12.75">
      <c r="A28844" s="2">
        <v>43875.593078703707</v>
      </c>
      <c r="B28844" t="str">
        <f>HYPERLINK("https://twitter.com/AM3j6vKzGasx4hW","@AM3j6vKzGasx4hW")</f>
        <v>@AM3j6vKzGasx4hW</v>
      </c>
      <c r="C28844" t="s">
        <v>9082</v>
      </c>
      <c r="D28844">
        <v>23</v>
      </c>
      <c r="E28844">
        <v>0</v>
      </c>
      <c r="F28844">
        <v>260</v>
      </c>
    </row>
    <row r="28845" spans="1:6" ht="12.75">
      <c r="A28845" s="2">
        <v>43875.59302083333</v>
      </c>
      <c r="B28845" t="str">
        <f>HYPERLINK("https://twitter.com/Duwiaja6","@Duwiaja6")</f>
        <v>@Duwiaja6</v>
      </c>
      <c r="C28845" t="s">
        <v>9123</v>
      </c>
      <c r="D28845">
        <v>196</v>
      </c>
      <c r="E28845">
        <v>0</v>
      </c>
      <c r="F28845">
        <v>94</v>
      </c>
    </row>
    <row r="28846" spans="1:6" ht="12.75">
      <c r="A28846" s="2">
        <v>43875.592974537038</v>
      </c>
      <c r="B28846" t="str">
        <f>HYPERLINK("https://twitter.com/itunamaakuu","@itunamaakuu")</f>
        <v>@itunamaakuu</v>
      </c>
      <c r="C28846" t="s">
        <v>2444</v>
      </c>
      <c r="D28846">
        <v>1241</v>
      </c>
      <c r="E28846">
        <v>0</v>
      </c>
      <c r="F28846">
        <v>243</v>
      </c>
    </row>
    <row r="28847" spans="1:6" ht="12.75">
      <c r="A28847" s="2">
        <v>43875.592928240745</v>
      </c>
      <c r="B28847" t="str">
        <f>HYPERLINK("https://twitter.com/chancanssi","@chancanssi")</f>
        <v>@chancanssi</v>
      </c>
      <c r="C28847" t="s">
        <v>11536</v>
      </c>
      <c r="D28847">
        <v>0</v>
      </c>
      <c r="E28847">
        <v>0</v>
      </c>
      <c r="F28847">
        <v>18</v>
      </c>
    </row>
    <row r="28848" spans="1:6" ht="12.75">
      <c r="A28848" s="2">
        <v>43875.592881944445</v>
      </c>
      <c r="B28848" t="str">
        <f>HYPERLINK("https://twitter.com/omar2000nur","@omar2000nur")</f>
        <v>@omar2000nur</v>
      </c>
      <c r="C28848" t="s">
        <v>9746</v>
      </c>
      <c r="D28848">
        <v>180</v>
      </c>
      <c r="E28848">
        <v>0</v>
      </c>
      <c r="F28848">
        <v>220</v>
      </c>
    </row>
    <row r="28849" spans="1:6" ht="12.75">
      <c r="A28849" s="2">
        <v>43875.592870370368</v>
      </c>
      <c r="B28849" t="str">
        <f>HYPERLINK("https://twitter.com/RamdhaniBrutus","@RamdhaniBrutus")</f>
        <v>@RamdhaniBrutus</v>
      </c>
      <c r="C28849" t="s">
        <v>12580</v>
      </c>
      <c r="D28849">
        <v>1</v>
      </c>
      <c r="E28849">
        <v>0</v>
      </c>
      <c r="F28849">
        <v>1261</v>
      </c>
    </row>
    <row r="28850" spans="1:6" ht="12.75">
      <c r="A28850" s="2">
        <v>43875.592766203699</v>
      </c>
      <c r="B28850" t="str">
        <f>HYPERLINK("https://twitter.com/Ceo_angkringan","@Ceo_angkringan")</f>
        <v>@Ceo_angkringan</v>
      </c>
      <c r="C28850" t="s">
        <v>8571</v>
      </c>
      <c r="D28850">
        <v>39</v>
      </c>
      <c r="E28850">
        <v>0</v>
      </c>
      <c r="F28850">
        <v>52</v>
      </c>
    </row>
    <row r="28851" spans="1:6" ht="12.75">
      <c r="A28851" s="2">
        <v>43875.59275462963</v>
      </c>
      <c r="B28851" t="str">
        <f>HYPERLINK("https://twitter.com/Nasrudin_14","@Nasrudin_14")</f>
        <v>@Nasrudin_14</v>
      </c>
      <c r="C28851" t="s">
        <v>9123</v>
      </c>
      <c r="D28851">
        <v>196</v>
      </c>
      <c r="E28851">
        <v>0</v>
      </c>
      <c r="F28851">
        <v>0</v>
      </c>
    </row>
    <row r="28852" spans="1:6" ht="12.75">
      <c r="A28852" s="2">
        <v>43875.592708333337</v>
      </c>
      <c r="B28852" t="str">
        <f>HYPERLINK("https://twitter.com/wassapges","@wassapges")</f>
        <v>@wassapges</v>
      </c>
      <c r="C28852" t="s">
        <v>9123</v>
      </c>
      <c r="D28852">
        <v>196</v>
      </c>
      <c r="E28852">
        <v>0</v>
      </c>
      <c r="F28852">
        <v>10</v>
      </c>
    </row>
    <row r="28853" spans="1:6" ht="12.75">
      <c r="A28853" s="2">
        <v>43875.59269675926</v>
      </c>
      <c r="B28853" t="str">
        <f>HYPERLINK("https://twitter.com/BloklimaAnwar","@BloklimaAnwar")</f>
        <v>@BloklimaAnwar</v>
      </c>
      <c r="C28853" t="s">
        <v>7478</v>
      </c>
      <c r="D28853">
        <v>137</v>
      </c>
      <c r="E28853">
        <v>0</v>
      </c>
      <c r="F28853">
        <v>425</v>
      </c>
    </row>
    <row r="28854" spans="1:6" ht="12.75">
      <c r="A28854" s="2">
        <v>43875.592673611114</v>
      </c>
      <c r="B28854" t="str">
        <f>HYPERLINK("https://twitter.com/RamdhaniBrutus","@RamdhaniBrutus")</f>
        <v>@RamdhaniBrutus</v>
      </c>
      <c r="C28854" t="s">
        <v>10096</v>
      </c>
      <c r="D28854">
        <v>125</v>
      </c>
      <c r="E28854">
        <v>0</v>
      </c>
      <c r="F28854">
        <v>1261</v>
      </c>
    </row>
    <row r="28855" spans="1:6" ht="12.75">
      <c r="A28855" s="2">
        <v>43875.592638888891</v>
      </c>
      <c r="B28855" t="str">
        <f>HYPERLINK("https://twitter.com/FarzanaFauzii","@FarzanaFauzii")</f>
        <v>@FarzanaFauzii</v>
      </c>
      <c r="C28855" t="s">
        <v>12505</v>
      </c>
      <c r="D28855">
        <v>1</v>
      </c>
      <c r="E28855">
        <v>1</v>
      </c>
      <c r="F28855">
        <v>448</v>
      </c>
    </row>
    <row r="28856" spans="1:6" ht="12.75">
      <c r="A28856" s="2">
        <v>43875.592627314814</v>
      </c>
      <c r="B28856" t="str">
        <f>HYPERLINK("https://twitter.com/ISIS_Balik_NO","@ISIS_Balik_NO")</f>
        <v>@ISIS_Balik_NO</v>
      </c>
      <c r="C28856" t="s">
        <v>12581</v>
      </c>
      <c r="D28856">
        <v>0</v>
      </c>
      <c r="E28856">
        <v>0</v>
      </c>
      <c r="F28856">
        <v>5899</v>
      </c>
    </row>
    <row r="28857" spans="1:6" ht="12.75">
      <c r="A28857" s="2">
        <v>43875.592604166668</v>
      </c>
      <c r="B28857" t="str">
        <f>HYPERLINK("https://twitter.com/rmoljateng","@rmoljateng")</f>
        <v>@rmoljateng</v>
      </c>
      <c r="C28857" t="s">
        <v>12582</v>
      </c>
      <c r="D28857">
        <v>0</v>
      </c>
      <c r="E28857">
        <v>0</v>
      </c>
      <c r="F28857">
        <v>178</v>
      </c>
    </row>
    <row r="28858" spans="1:6" ht="12.75">
      <c r="A28858" s="2">
        <v>43875.592476851853</v>
      </c>
      <c r="B28858" t="str">
        <f>HYPERLINK("https://twitter.com/ISIS_Balik_NO","@ISIS_Balik_NO")</f>
        <v>@ISIS_Balik_NO</v>
      </c>
      <c r="C28858" t="s">
        <v>12583</v>
      </c>
      <c r="D28858">
        <v>445</v>
      </c>
      <c r="E28858">
        <v>0</v>
      </c>
      <c r="F28858">
        <v>5899</v>
      </c>
    </row>
    <row r="28859" spans="1:6" ht="12.75">
      <c r="A28859" s="2">
        <v>43875.592465277776</v>
      </c>
      <c r="B28859" t="str">
        <f>HYPERLINK("https://twitter.com/Annisaaasin","@Annisaaasin")</f>
        <v>@Annisaaasin</v>
      </c>
      <c r="C28859" t="s">
        <v>2444</v>
      </c>
      <c r="D28859">
        <v>1241</v>
      </c>
      <c r="E28859">
        <v>0</v>
      </c>
      <c r="F28859">
        <v>82</v>
      </c>
    </row>
    <row r="28860" spans="1:6" ht="12.75">
      <c r="A28860" s="2">
        <v>43875.592430555553</v>
      </c>
      <c r="B28860" t="str">
        <f>HYPERLINK("https://twitter.com/aparadox_","@aparadox_")</f>
        <v>@aparadox_</v>
      </c>
      <c r="C28860" t="s">
        <v>2444</v>
      </c>
      <c r="D28860">
        <v>1241</v>
      </c>
      <c r="E28860">
        <v>0</v>
      </c>
      <c r="F28860">
        <v>17</v>
      </c>
    </row>
    <row r="28861" spans="1:6" ht="12.75">
      <c r="A28861" s="2">
        <v>43875.59239583333</v>
      </c>
      <c r="B28861" t="str">
        <f>HYPERLINK("https://twitter.com/JeySiver","@JeySiver")</f>
        <v>@JeySiver</v>
      </c>
      <c r="C28861" t="s">
        <v>2444</v>
      </c>
      <c r="D28861">
        <v>1241</v>
      </c>
      <c r="E28861">
        <v>0</v>
      </c>
      <c r="F28861">
        <v>382</v>
      </c>
    </row>
    <row r="28862" spans="1:6" ht="12.75">
      <c r="A28862" s="2">
        <v>43875.592326388884</v>
      </c>
      <c r="B28862" t="str">
        <f>HYPERLINK("https://twitter.com/akunsekiankali","@akunsekiankali")</f>
        <v>@akunsekiankali</v>
      </c>
      <c r="C28862" t="s">
        <v>2444</v>
      </c>
      <c r="D28862">
        <v>1241</v>
      </c>
      <c r="E28862">
        <v>0</v>
      </c>
      <c r="F28862">
        <v>39</v>
      </c>
    </row>
    <row r="28863" spans="1:6" ht="12.75">
      <c r="A28863" s="2">
        <v>43875.592291666668</v>
      </c>
      <c r="B28863" t="str">
        <f>HYPERLINK("https://twitter.com/diahput__","@diahput__")</f>
        <v>@diahput__</v>
      </c>
      <c r="C28863" t="s">
        <v>2444</v>
      </c>
      <c r="D28863">
        <v>1241</v>
      </c>
      <c r="E28863">
        <v>0</v>
      </c>
      <c r="F28863">
        <v>14</v>
      </c>
    </row>
    <row r="28864" spans="1:6" ht="12.75">
      <c r="A28864" s="2">
        <v>43875.592256944445</v>
      </c>
      <c r="B28864" t="str">
        <f>HYPERLINK("https://twitter.com/EkoSiam","@EkoSiam")</f>
        <v>@EkoSiam</v>
      </c>
      <c r="C28864" t="s">
        <v>2963</v>
      </c>
      <c r="D28864">
        <v>871</v>
      </c>
      <c r="E28864">
        <v>0</v>
      </c>
      <c r="F28864">
        <v>407</v>
      </c>
    </row>
    <row r="28865" spans="1:6" ht="12.75">
      <c r="A28865" s="2">
        <v>43875.592222222222</v>
      </c>
      <c r="B28865" t="str">
        <f>HYPERLINK("https://twitter.com/Putut_09","@Putut_09")</f>
        <v>@Putut_09</v>
      </c>
      <c r="C28865" t="s">
        <v>12584</v>
      </c>
      <c r="D28865">
        <v>162</v>
      </c>
      <c r="E28865">
        <v>0</v>
      </c>
      <c r="F28865">
        <v>168</v>
      </c>
    </row>
    <row r="28866" spans="1:6" ht="12.75">
      <c r="A28866" s="2">
        <v>43875.592199074075</v>
      </c>
      <c r="B28866" t="str">
        <f>HYPERLINK("https://twitter.com/ekasumanjayap","@ekasumanjayap")</f>
        <v>@ekasumanjayap</v>
      </c>
      <c r="C28866" t="s">
        <v>9666</v>
      </c>
      <c r="D28866">
        <v>7</v>
      </c>
      <c r="E28866">
        <v>0</v>
      </c>
      <c r="F28866">
        <v>490</v>
      </c>
    </row>
    <row r="28867" spans="1:6" ht="12.75">
      <c r="A28867" s="2">
        <v>43875.592199074075</v>
      </c>
      <c r="B28867" t="str">
        <f>HYPERLINK("https://twitter.com/Rivaldipall","@Rivaldipall")</f>
        <v>@Rivaldipall</v>
      </c>
      <c r="C28867" t="s">
        <v>9021</v>
      </c>
      <c r="D28867">
        <v>188</v>
      </c>
      <c r="E28867">
        <v>0</v>
      </c>
      <c r="F28867">
        <v>701</v>
      </c>
    </row>
    <row r="28868" spans="1:6" ht="12.75">
      <c r="A28868" s="2">
        <v>43875.592187499999</v>
      </c>
      <c r="B28868" t="str">
        <f>HYPERLINK("https://twitter.com/novi_ijoe","@novi_ijoe")</f>
        <v>@novi_ijoe</v>
      </c>
      <c r="C28868" t="s">
        <v>12585</v>
      </c>
      <c r="D28868">
        <v>0</v>
      </c>
      <c r="E28868">
        <v>0</v>
      </c>
      <c r="F28868">
        <v>113</v>
      </c>
    </row>
    <row r="28869" spans="1:6" ht="12.75">
      <c r="A28869" s="2">
        <v>43875.592141203699</v>
      </c>
      <c r="B28869" t="str">
        <f>HYPERLINK("https://twitter.com/akunsekiankali","@akunsekiankali")</f>
        <v>@akunsekiankali</v>
      </c>
      <c r="C28869" t="s">
        <v>9123</v>
      </c>
      <c r="D28869">
        <v>196</v>
      </c>
      <c r="E28869">
        <v>0</v>
      </c>
      <c r="F28869">
        <v>39</v>
      </c>
    </row>
    <row r="28870" spans="1:6" ht="12.75">
      <c r="A28870" s="2">
        <v>43875.592094907406</v>
      </c>
      <c r="B28870" t="str">
        <f>HYPERLINK("https://twitter.com/BattleOfVienna","@BattleOfVienna")</f>
        <v>@BattleOfVienna</v>
      </c>
      <c r="C28870" t="s">
        <v>12586</v>
      </c>
      <c r="D28870">
        <v>6</v>
      </c>
      <c r="E28870">
        <v>0</v>
      </c>
      <c r="F28870">
        <v>52</v>
      </c>
    </row>
    <row r="28871" spans="1:6" ht="12.75">
      <c r="A28871" s="2">
        <v>43875.592083333337</v>
      </c>
      <c r="B28871" t="str">
        <f>HYPERLINK("https://twitter.com/evandwizra","@evandwizra")</f>
        <v>@evandwizra</v>
      </c>
      <c r="C28871" t="s">
        <v>5168</v>
      </c>
      <c r="D28871">
        <v>693</v>
      </c>
      <c r="E28871">
        <v>0</v>
      </c>
      <c r="F28871">
        <v>988</v>
      </c>
    </row>
    <row r="28872" spans="1:6" ht="12.75">
      <c r="A28872" s="2">
        <v>43875.592048611114</v>
      </c>
      <c r="B28872" t="str">
        <f>HYPERLINK("https://twitter.com/dusrimulya","@dusrimulya")</f>
        <v>@dusrimulya</v>
      </c>
      <c r="C28872" t="s">
        <v>12587</v>
      </c>
      <c r="D28872">
        <v>0</v>
      </c>
      <c r="E28872">
        <v>1</v>
      </c>
      <c r="F28872">
        <v>22305</v>
      </c>
    </row>
    <row r="28873" spans="1:6" ht="12.75">
      <c r="A28873" s="2">
        <v>43875.59202546296</v>
      </c>
      <c r="B28873" t="str">
        <f>HYPERLINK("https://twitter.com/SuryaBorneo","@SuryaBorneo")</f>
        <v>@SuryaBorneo</v>
      </c>
      <c r="C28873" t="s">
        <v>12588</v>
      </c>
      <c r="D28873">
        <v>1</v>
      </c>
      <c r="E28873">
        <v>0</v>
      </c>
      <c r="F28873">
        <v>997</v>
      </c>
    </row>
    <row r="28874" spans="1:6" ht="12.75">
      <c r="A28874" s="2">
        <v>43875.592013888891</v>
      </c>
      <c r="B28874" t="str">
        <f>HYPERLINK("https://twitter.com/kentangmahal","@kentangmahal")</f>
        <v>@kentangmahal</v>
      </c>
      <c r="C28874" t="s">
        <v>2137</v>
      </c>
      <c r="D28874">
        <v>99</v>
      </c>
      <c r="E28874">
        <v>0</v>
      </c>
      <c r="F28874">
        <v>2582</v>
      </c>
    </row>
    <row r="28875" spans="1:6" ht="12.75">
      <c r="A28875" s="2">
        <v>43875.592002314814</v>
      </c>
      <c r="B28875" t="str">
        <f>HYPERLINK("https://twitter.com/LSimamora2","@LSimamora2")</f>
        <v>@LSimamora2</v>
      </c>
      <c r="C28875" t="s">
        <v>12589</v>
      </c>
      <c r="D28875">
        <v>0</v>
      </c>
      <c r="E28875">
        <v>0</v>
      </c>
      <c r="F28875">
        <v>21</v>
      </c>
    </row>
    <row r="28876" spans="1:6" ht="12.75">
      <c r="A28876" s="2">
        <v>43875.591990740737</v>
      </c>
      <c r="B28876" t="str">
        <f>HYPERLINK("https://twitter.com/pencarirezekii","@pencarirezekii")</f>
        <v>@pencarirezekii</v>
      </c>
      <c r="C28876" t="s">
        <v>9123</v>
      </c>
      <c r="D28876">
        <v>196</v>
      </c>
      <c r="E28876">
        <v>0</v>
      </c>
      <c r="F28876">
        <v>70</v>
      </c>
    </row>
    <row r="28877" spans="1:6" ht="12.75">
      <c r="A28877" s="2">
        <v>43875.591874999998</v>
      </c>
      <c r="B28877" t="str">
        <f>HYPERLINK("https://twitter.com/sichengmvp","@sichengmvp")</f>
        <v>@sichengmvp</v>
      </c>
      <c r="C28877" t="s">
        <v>7068</v>
      </c>
      <c r="D28877">
        <v>7</v>
      </c>
      <c r="E28877">
        <v>0</v>
      </c>
      <c r="F28877">
        <v>701</v>
      </c>
    </row>
    <row r="28878" spans="1:6" ht="12.75">
      <c r="A28878" s="2">
        <v>43875.591817129629</v>
      </c>
      <c r="B28878" t="str">
        <f>HYPERLINK("https://twitter.com/idntimes","@idntimes")</f>
        <v>@idntimes</v>
      </c>
      <c r="C28878" t="s">
        <v>12590</v>
      </c>
      <c r="D28878">
        <v>0</v>
      </c>
      <c r="E28878">
        <v>0</v>
      </c>
      <c r="F28878">
        <v>392654</v>
      </c>
    </row>
    <row r="28879" spans="1:6" ht="12.75">
      <c r="A28879" s="2">
        <v>43875.591805555552</v>
      </c>
      <c r="B28879" t="str">
        <f>HYPERLINK("https://twitter.com/nissamaulina","@nissamaulina")</f>
        <v>@nissamaulina</v>
      </c>
      <c r="C28879" t="s">
        <v>5168</v>
      </c>
      <c r="D28879">
        <v>693</v>
      </c>
      <c r="E28879">
        <v>0</v>
      </c>
      <c r="F28879">
        <v>663</v>
      </c>
    </row>
    <row r="28880" spans="1:6" ht="12.75">
      <c r="A28880" s="2">
        <v>43875.591805555552</v>
      </c>
      <c r="B28880" t="str">
        <f>HYPERLINK("https://twitter.com/Metro_TV","@Metro_TV")</f>
        <v>@Metro_TV</v>
      </c>
      <c r="C28880" t="s">
        <v>12591</v>
      </c>
      <c r="D28880">
        <v>0</v>
      </c>
      <c r="E28880">
        <v>2</v>
      </c>
      <c r="F28880">
        <v>10509056</v>
      </c>
    </row>
    <row r="28881" spans="1:6" ht="12.75">
      <c r="A28881" s="2">
        <v>43875.591793981483</v>
      </c>
      <c r="B28881" t="str">
        <f>HYPERLINK("https://twitter.com/Fuadillla","@Fuadillla")</f>
        <v>@Fuadillla</v>
      </c>
      <c r="C28881" t="s">
        <v>12592</v>
      </c>
      <c r="D28881">
        <v>0</v>
      </c>
      <c r="E28881">
        <v>0</v>
      </c>
      <c r="F28881">
        <v>172</v>
      </c>
    </row>
    <row r="28882" spans="1:6" ht="12.75">
      <c r="A28882" s="2">
        <v>43875.591782407406</v>
      </c>
      <c r="B28882" t="str">
        <f>HYPERLINK("https://twitter.com/Iping55218468","@Iping55218468")</f>
        <v>@Iping55218468</v>
      </c>
      <c r="C28882" t="s">
        <v>2144</v>
      </c>
      <c r="D28882">
        <v>74</v>
      </c>
      <c r="E28882">
        <v>0</v>
      </c>
      <c r="F28882">
        <v>8</v>
      </c>
    </row>
    <row r="28883" spans="1:6" ht="12.75">
      <c r="A28883" s="2">
        <v>43875.591666666667</v>
      </c>
      <c r="B28883" t="str">
        <f>HYPERLINK("https://twitter.com/likhaae27","@likhaae27")</f>
        <v>@likhaae27</v>
      </c>
      <c r="C28883" t="s">
        <v>9123</v>
      </c>
      <c r="D28883">
        <v>196</v>
      </c>
      <c r="E28883">
        <v>0</v>
      </c>
      <c r="F28883">
        <v>67</v>
      </c>
    </row>
    <row r="28884" spans="1:6" ht="12.75">
      <c r="A28884" s="2">
        <v>43875.591597222221</v>
      </c>
      <c r="B28884" t="str">
        <f>HYPERLINK("https://twitter.com/RullyTawang","@RullyTawang")</f>
        <v>@RullyTawang</v>
      </c>
      <c r="C28884" t="s">
        <v>11481</v>
      </c>
      <c r="D28884">
        <v>2</v>
      </c>
      <c r="E28884">
        <v>0</v>
      </c>
      <c r="F28884">
        <v>689</v>
      </c>
    </row>
    <row r="28885" spans="1:6" ht="12.75">
      <c r="A28885" s="2">
        <v>43875.591574074075</v>
      </c>
      <c r="B28885" t="str">
        <f>HYPERLINK("https://twitter.com/wrongfromstart","@wrongfromstart")</f>
        <v>@wrongfromstart</v>
      </c>
      <c r="C28885" t="s">
        <v>8233</v>
      </c>
      <c r="D28885">
        <v>454</v>
      </c>
      <c r="E28885">
        <v>0</v>
      </c>
      <c r="F28885">
        <v>8</v>
      </c>
    </row>
    <row r="28886" spans="1:6" ht="12.75">
      <c r="A28886" s="2">
        <v>43875.591527777782</v>
      </c>
      <c r="B28886" t="str">
        <f>HYPERLINK("https://twitter.com/BalADEva_","@BalADEva_")</f>
        <v>@BalADEva_</v>
      </c>
      <c r="C28886" t="s">
        <v>9835</v>
      </c>
      <c r="D28886">
        <v>31</v>
      </c>
      <c r="E28886">
        <v>0</v>
      </c>
      <c r="F28886">
        <v>114</v>
      </c>
    </row>
    <row r="28887" spans="1:6" ht="12.75">
      <c r="A28887" s="2">
        <v>43875.591469907406</v>
      </c>
      <c r="B28887" t="str">
        <f>HYPERLINK("https://twitter.com/Iwan_Jaychow2","@Iwan_Jaychow2")</f>
        <v>@Iwan_Jaychow2</v>
      </c>
      <c r="C28887" t="s">
        <v>9123</v>
      </c>
      <c r="D28887">
        <v>196</v>
      </c>
      <c r="E28887">
        <v>0</v>
      </c>
      <c r="F28887">
        <v>3295</v>
      </c>
    </row>
    <row r="28888" spans="1:6" ht="12.75">
      <c r="A28888" s="2">
        <v>43875.591342592597</v>
      </c>
      <c r="B28888" t="str">
        <f>HYPERLINK("https://twitter.com/pawiroy76","@pawiroy76")</f>
        <v>@pawiroy76</v>
      </c>
      <c r="C28888" t="s">
        <v>10237</v>
      </c>
      <c r="D28888">
        <v>47</v>
      </c>
      <c r="E28888">
        <v>0</v>
      </c>
      <c r="F28888">
        <v>20</v>
      </c>
    </row>
    <row r="28889" spans="1:6" ht="12.75">
      <c r="A28889" s="2">
        <v>43875.591296296298</v>
      </c>
      <c r="B28889" t="str">
        <f>HYPERLINK("https://twitter.com/hartanto_mas","@hartanto_mas")</f>
        <v>@hartanto_mas</v>
      </c>
      <c r="C28889" t="s">
        <v>9746</v>
      </c>
      <c r="D28889">
        <v>180</v>
      </c>
      <c r="E28889">
        <v>0</v>
      </c>
      <c r="F28889">
        <v>1046</v>
      </c>
    </row>
    <row r="28890" spans="1:6" ht="12.75">
      <c r="A28890" s="2">
        <v>43875.591296296298</v>
      </c>
      <c r="B28890" t="str">
        <f>HYPERLINK("https://twitter.com/septembears","@septembears")</f>
        <v>@septembears</v>
      </c>
      <c r="C28890" t="s">
        <v>2444</v>
      </c>
      <c r="D28890">
        <v>1241</v>
      </c>
      <c r="E28890">
        <v>0</v>
      </c>
      <c r="F28890">
        <v>1149</v>
      </c>
    </row>
    <row r="28891" spans="1:6" ht="12.75">
      <c r="A28891" s="2">
        <v>43875.591273148151</v>
      </c>
      <c r="B28891" t="str">
        <f>HYPERLINK("https://twitter.com/Cunay_02","@Cunay_02")</f>
        <v>@Cunay_02</v>
      </c>
      <c r="C28891" t="s">
        <v>12347</v>
      </c>
      <c r="D28891">
        <v>0</v>
      </c>
      <c r="E28891">
        <v>0</v>
      </c>
      <c r="F28891">
        <v>108</v>
      </c>
    </row>
    <row r="28892" spans="1:6" ht="12.75">
      <c r="A28892" s="2">
        <v>43875.591226851851</v>
      </c>
      <c r="B28892" t="str">
        <f>HYPERLINK("https://twitter.com/TsTsp71","@TsTsp71")</f>
        <v>@TsTsp71</v>
      </c>
      <c r="C28892" t="s">
        <v>7478</v>
      </c>
      <c r="D28892">
        <v>137</v>
      </c>
      <c r="E28892">
        <v>0</v>
      </c>
      <c r="F28892">
        <v>555</v>
      </c>
    </row>
    <row r="28893" spans="1:6" ht="12.75">
      <c r="A28893" s="2">
        <v>43875.591215277775</v>
      </c>
      <c r="B28893" t="str">
        <f>HYPERLINK("https://twitter.com/bern_stern","@bern_stern")</f>
        <v>@bern_stern</v>
      </c>
      <c r="C28893" t="s">
        <v>12593</v>
      </c>
      <c r="D28893">
        <v>1</v>
      </c>
      <c r="E28893">
        <v>1</v>
      </c>
      <c r="F28893">
        <v>658</v>
      </c>
    </row>
    <row r="28894" spans="1:6" ht="12.75">
      <c r="A28894" s="2">
        <v>43875.591180555552</v>
      </c>
      <c r="B28894" t="str">
        <f>HYPERLINK("https://twitter.com/oooyyuk","@oooyyuk")</f>
        <v>@oooyyuk</v>
      </c>
      <c r="C28894" t="s">
        <v>12594</v>
      </c>
      <c r="D28894">
        <v>0</v>
      </c>
      <c r="E28894">
        <v>0</v>
      </c>
      <c r="F28894">
        <v>8</v>
      </c>
    </row>
    <row r="28895" spans="1:6" ht="12.75">
      <c r="A28895" s="2">
        <v>43875.591168981482</v>
      </c>
      <c r="B28895" t="str">
        <f>HYPERLINK("https://twitter.com/NoorGiaW","@NoorGiaW")</f>
        <v>@NoorGiaW</v>
      </c>
      <c r="C28895" t="s">
        <v>8233</v>
      </c>
      <c r="D28895">
        <v>454</v>
      </c>
      <c r="E28895">
        <v>0</v>
      </c>
      <c r="F28895">
        <v>103</v>
      </c>
    </row>
    <row r="28896" spans="1:6" ht="12.75">
      <c r="A28896" s="2">
        <v>43875.591157407413</v>
      </c>
      <c r="B28896" t="str">
        <f>HYPERLINK("https://twitter.com/KadrunHunter99","@KadrunHunter99")</f>
        <v>@KadrunHunter99</v>
      </c>
      <c r="C28896" t="s">
        <v>12595</v>
      </c>
      <c r="D28896">
        <v>2</v>
      </c>
      <c r="E28896">
        <v>0</v>
      </c>
      <c r="F28896">
        <v>3904</v>
      </c>
    </row>
    <row r="28897" spans="1:6" ht="12.75">
      <c r="A28897" s="2">
        <v>43875.591145833328</v>
      </c>
      <c r="B28897" t="str">
        <f>HYPERLINK("https://twitter.com/naizanahla","@naizanahla")</f>
        <v>@naizanahla</v>
      </c>
      <c r="C28897" t="s">
        <v>11536</v>
      </c>
      <c r="D28897">
        <v>0</v>
      </c>
      <c r="E28897">
        <v>0</v>
      </c>
      <c r="F28897">
        <v>226</v>
      </c>
    </row>
    <row r="28898" spans="1:6" ht="12.75">
      <c r="A28898" s="2">
        <v>43875.591099537036</v>
      </c>
      <c r="B28898" t="str">
        <f>HYPERLINK("https://twitter.com/RockmanticRyx","@RockmanticRyx")</f>
        <v>@RockmanticRyx</v>
      </c>
      <c r="C28898" t="s">
        <v>2963</v>
      </c>
      <c r="D28898">
        <v>871</v>
      </c>
      <c r="E28898">
        <v>0</v>
      </c>
      <c r="F28898">
        <v>16</v>
      </c>
    </row>
    <row r="28899" spans="1:6" ht="12.75">
      <c r="A28899" s="2">
        <v>43875.591087962966</v>
      </c>
      <c r="B28899" t="str">
        <f>HYPERLINK("https://twitter.com/Cunay_02","@Cunay_02")</f>
        <v>@Cunay_02</v>
      </c>
      <c r="C28899" t="s">
        <v>11536</v>
      </c>
      <c r="D28899">
        <v>0</v>
      </c>
      <c r="E28899">
        <v>0</v>
      </c>
      <c r="F28899">
        <v>108</v>
      </c>
    </row>
    <row r="28900" spans="1:6" ht="12.75">
      <c r="A28900" s="2">
        <v>43875.591006944444</v>
      </c>
      <c r="B28900" t="str">
        <f>HYPERLINK("https://twitter.com/IchaNoppy","@IchaNoppy")</f>
        <v>@IchaNoppy</v>
      </c>
      <c r="C28900" t="s">
        <v>9962</v>
      </c>
      <c r="D28900">
        <v>29</v>
      </c>
      <c r="E28900">
        <v>0</v>
      </c>
      <c r="F28900">
        <v>97</v>
      </c>
    </row>
    <row r="28901" spans="1:6" ht="12.75">
      <c r="A28901" s="2">
        <v>43875.590925925921</v>
      </c>
      <c r="B28901" t="str">
        <f>HYPERLINK("https://twitter.com/hartanto_mas","@hartanto_mas")</f>
        <v>@hartanto_mas</v>
      </c>
      <c r="C28901" t="s">
        <v>10096</v>
      </c>
      <c r="D28901">
        <v>125</v>
      </c>
      <c r="E28901">
        <v>0</v>
      </c>
      <c r="F28901">
        <v>1046</v>
      </c>
    </row>
    <row r="28902" spans="1:6" ht="12.75">
      <c r="A28902" s="2">
        <v>43875.590868055559</v>
      </c>
      <c r="B28902" t="str">
        <f>HYPERLINK("https://twitter.com/azabgogon","@azabgogon")</f>
        <v>@azabgogon</v>
      </c>
      <c r="C28902" t="s">
        <v>2444</v>
      </c>
      <c r="D28902">
        <v>1241</v>
      </c>
      <c r="E28902">
        <v>0</v>
      </c>
      <c r="F28902">
        <v>439</v>
      </c>
    </row>
    <row r="28903" spans="1:6" ht="12.75">
      <c r="A28903" s="2">
        <v>43875.590798611112</v>
      </c>
      <c r="B28903" t="str">
        <f>HYPERLINK("https://twitter.com/AnyoengID","@AnyoengID")</f>
        <v>@AnyoengID</v>
      </c>
      <c r="C28903" t="s">
        <v>12347</v>
      </c>
      <c r="D28903">
        <v>0</v>
      </c>
      <c r="E28903">
        <v>0</v>
      </c>
      <c r="F28903">
        <v>169</v>
      </c>
    </row>
    <row r="28904" spans="1:6" ht="12.75">
      <c r="A28904" s="2">
        <v>43875.590798611112</v>
      </c>
      <c r="B28904" t="str">
        <f>HYPERLINK("https://twitter.com/RobetDeNiru","@RobetDeNiru")</f>
        <v>@RobetDeNiru</v>
      </c>
      <c r="C28904" t="s">
        <v>2963</v>
      </c>
      <c r="D28904">
        <v>871</v>
      </c>
      <c r="E28904">
        <v>0</v>
      </c>
      <c r="F28904">
        <v>135</v>
      </c>
    </row>
    <row r="28905" spans="1:6" ht="12.75">
      <c r="A28905" s="2">
        <v>43875.590763888889</v>
      </c>
      <c r="B28905" t="str">
        <f>HYPERLINK("https://twitter.com/taugegoreng","@taugegoreng")</f>
        <v>@taugegoreng</v>
      </c>
      <c r="C28905" t="s">
        <v>9123</v>
      </c>
      <c r="D28905">
        <v>196</v>
      </c>
      <c r="E28905">
        <v>0</v>
      </c>
      <c r="F28905">
        <v>39</v>
      </c>
    </row>
    <row r="28906" spans="1:6" ht="12.75">
      <c r="A28906" s="2">
        <v>43875.590740740736</v>
      </c>
      <c r="B28906" t="str">
        <f>HYPERLINK("https://twitter.com/Alamsyah_Alfie","@Alamsyah_Alfie")</f>
        <v>@Alamsyah_Alfie</v>
      </c>
      <c r="C28906" t="s">
        <v>5168</v>
      </c>
      <c r="D28906">
        <v>693</v>
      </c>
      <c r="E28906">
        <v>0</v>
      </c>
      <c r="F28906">
        <v>609</v>
      </c>
    </row>
    <row r="28907" spans="1:6" ht="12.75">
      <c r="A28907" s="2">
        <v>43875.590694444443</v>
      </c>
      <c r="B28907" t="str">
        <f>HYPERLINK("https://twitter.com/Lkunri","@Lkunri")</f>
        <v>@Lkunri</v>
      </c>
      <c r="C28907" t="s">
        <v>12596</v>
      </c>
      <c r="D28907">
        <v>0</v>
      </c>
      <c r="E28907">
        <v>0</v>
      </c>
      <c r="F28907">
        <v>12</v>
      </c>
    </row>
    <row r="28908" spans="1:6" ht="12.75">
      <c r="A28908" s="2">
        <v>43875.590682870374</v>
      </c>
      <c r="B28908" t="str">
        <f>HYPERLINK("https://twitter.com/IlhamSa77145041","@IlhamSa77145041")</f>
        <v>@IlhamSa77145041</v>
      </c>
      <c r="C28908" t="s">
        <v>2444</v>
      </c>
      <c r="D28908">
        <v>1241</v>
      </c>
      <c r="E28908">
        <v>0</v>
      </c>
      <c r="F28908">
        <v>8</v>
      </c>
    </row>
    <row r="28909" spans="1:6" ht="12.75">
      <c r="A28909" s="2">
        <v>43875.590671296297</v>
      </c>
      <c r="B28909" t="str">
        <f>HYPERLINK("https://twitter.com/Nasrudin_14","@Nasrudin_14")</f>
        <v>@Nasrudin_14</v>
      </c>
      <c r="C28909" t="s">
        <v>2444</v>
      </c>
      <c r="D28909">
        <v>1241</v>
      </c>
      <c r="E28909">
        <v>0</v>
      </c>
      <c r="F28909">
        <v>0</v>
      </c>
    </row>
    <row r="28910" spans="1:6" ht="12.75">
      <c r="A28910" s="2">
        <v>43875.590601851851</v>
      </c>
      <c r="B28910" t="str">
        <f>HYPERLINK("https://twitter.com/nindya_ervina","@nindya_ervina")</f>
        <v>@nindya_ervina</v>
      </c>
      <c r="C28910" t="s">
        <v>10237</v>
      </c>
      <c r="D28910">
        <v>47</v>
      </c>
      <c r="E28910">
        <v>0</v>
      </c>
      <c r="F28910">
        <v>93</v>
      </c>
    </row>
    <row r="28911" spans="1:6" ht="12.75">
      <c r="A28911" s="2">
        <v>43875.590578703705</v>
      </c>
      <c r="B28911" t="str">
        <f>HYPERLINK("https://twitter.com/SheanNathanael","@SheanNathanael")</f>
        <v>@SheanNathanael</v>
      </c>
      <c r="C28911" t="s">
        <v>2444</v>
      </c>
      <c r="D28911">
        <v>1241</v>
      </c>
      <c r="E28911">
        <v>0</v>
      </c>
      <c r="F28911">
        <v>348</v>
      </c>
    </row>
    <row r="28912" spans="1:6" ht="12.75">
      <c r="A28912" s="2">
        <v>43875.590578703705</v>
      </c>
      <c r="B28912" t="str">
        <f>HYPERLINK("https://twitter.com/Haqiqijhn","@Haqiqijhn")</f>
        <v>@Haqiqijhn</v>
      </c>
      <c r="C28912" t="s">
        <v>8131</v>
      </c>
      <c r="D28912">
        <v>2411</v>
      </c>
      <c r="E28912">
        <v>0</v>
      </c>
      <c r="F28912">
        <v>226</v>
      </c>
    </row>
    <row r="28913" spans="1:6" ht="12.75">
      <c r="A28913" s="2">
        <v>43875.590567129635</v>
      </c>
      <c r="B28913" t="str">
        <f>HYPERLINK("https://twitter.com/achmad_kusnanto","@achmad_kusnanto")</f>
        <v>@achmad_kusnanto</v>
      </c>
      <c r="C28913" t="s">
        <v>12597</v>
      </c>
      <c r="D28913">
        <v>0</v>
      </c>
      <c r="E28913">
        <v>0</v>
      </c>
      <c r="F28913">
        <v>113</v>
      </c>
    </row>
    <row r="28914" spans="1:6" ht="12.75">
      <c r="A28914" s="2">
        <v>43875.590543981481</v>
      </c>
      <c r="B28914" t="str">
        <f>HYPERLINK("https://twitter.com/mIqballux","@mIqballux")</f>
        <v>@mIqballux</v>
      </c>
      <c r="C28914" t="s">
        <v>12598</v>
      </c>
      <c r="D28914">
        <v>0</v>
      </c>
      <c r="E28914">
        <v>0</v>
      </c>
      <c r="F28914">
        <v>5458</v>
      </c>
    </row>
    <row r="28915" spans="1:6" ht="12.75">
      <c r="A28915" s="2">
        <v>43875.590509259258</v>
      </c>
      <c r="B28915" t="str">
        <f>HYPERLINK("https://twitter.com/zandraalmiraa","@zandraalmiraa")</f>
        <v>@zandraalmiraa</v>
      </c>
      <c r="C28915" t="s">
        <v>2444</v>
      </c>
      <c r="D28915">
        <v>1241</v>
      </c>
      <c r="E28915">
        <v>0</v>
      </c>
      <c r="F28915">
        <v>207</v>
      </c>
    </row>
    <row r="28916" spans="1:6" ht="12.75">
      <c r="A28916" s="2">
        <v>43875.590497685189</v>
      </c>
      <c r="B28916" t="str">
        <f>HYPERLINK("https://twitter.com/haryoprabowo","@haryoprabowo")</f>
        <v>@haryoprabowo</v>
      </c>
      <c r="C28916" t="s">
        <v>2963</v>
      </c>
      <c r="D28916">
        <v>871</v>
      </c>
      <c r="E28916">
        <v>0</v>
      </c>
      <c r="F28916">
        <v>618</v>
      </c>
    </row>
    <row r="28917" spans="1:6" ht="12.75">
      <c r="A28917" s="2">
        <v>43875.590474537035</v>
      </c>
      <c r="B28917" t="str">
        <f>HYPERLINK("https://twitter.com/dusrimulya","@dusrimulya")</f>
        <v>@dusrimulya</v>
      </c>
      <c r="C28917" t="s">
        <v>12599</v>
      </c>
      <c r="D28917">
        <v>1</v>
      </c>
      <c r="E28917">
        <v>0</v>
      </c>
      <c r="F28917">
        <v>22305</v>
      </c>
    </row>
    <row r="28918" spans="1:6" ht="12.75">
      <c r="A28918" s="2">
        <v>43875.590474537035</v>
      </c>
      <c r="B28918" t="str">
        <f>HYPERLINK("https://twitter.com/sopojenenge13","@sopojenenge13")</f>
        <v>@sopojenenge13</v>
      </c>
      <c r="C28918" t="s">
        <v>12600</v>
      </c>
      <c r="D28918">
        <v>15</v>
      </c>
      <c r="E28918">
        <v>0</v>
      </c>
      <c r="F28918">
        <v>79</v>
      </c>
    </row>
    <row r="28919" spans="1:6" ht="12.75">
      <c r="A28919" s="2">
        <v>43875.590474537035</v>
      </c>
      <c r="B28919" t="str">
        <f>HYPERLINK("https://twitter.com/Egaa_1098","@Egaa_1098")</f>
        <v>@Egaa_1098</v>
      </c>
      <c r="C28919" t="s">
        <v>2444</v>
      </c>
      <c r="D28919">
        <v>1241</v>
      </c>
      <c r="E28919">
        <v>0</v>
      </c>
      <c r="F28919">
        <v>4</v>
      </c>
    </row>
    <row r="28920" spans="1:6" ht="12.75">
      <c r="A28920" s="2">
        <v>43875.590462962966</v>
      </c>
      <c r="B28920" t="str">
        <f>HYPERLINK("https://twitter.com/Cunay_02","@Cunay_02")</f>
        <v>@Cunay_02</v>
      </c>
      <c r="C28920" t="s">
        <v>2444</v>
      </c>
      <c r="D28920">
        <v>1241</v>
      </c>
      <c r="E28920">
        <v>0</v>
      </c>
      <c r="F28920">
        <v>108</v>
      </c>
    </row>
    <row r="28921" spans="1:6" ht="12.75">
      <c r="A28921" s="2">
        <v>43875.590358796297</v>
      </c>
      <c r="B28921" t="str">
        <f>HYPERLINK("https://twitter.com/likhaae27","@likhaae27")</f>
        <v>@likhaae27</v>
      </c>
      <c r="C28921" t="s">
        <v>2444</v>
      </c>
      <c r="D28921">
        <v>1241</v>
      </c>
      <c r="E28921">
        <v>0</v>
      </c>
      <c r="F28921">
        <v>67</v>
      </c>
    </row>
    <row r="28922" spans="1:6" ht="12.75">
      <c r="A28922" s="2">
        <v>43875.590358796297</v>
      </c>
      <c r="B28922" t="str">
        <f>HYPERLINK("https://twitter.com/ncyctophilia","@ncyctophilia")</f>
        <v>@ncyctophilia</v>
      </c>
      <c r="C28922" t="s">
        <v>9021</v>
      </c>
      <c r="D28922">
        <v>188</v>
      </c>
      <c r="E28922">
        <v>0</v>
      </c>
      <c r="F28922">
        <v>1195</v>
      </c>
    </row>
    <row r="28923" spans="1:6" ht="12.75">
      <c r="A28923" s="2">
        <v>43875.590300925927</v>
      </c>
      <c r="B28923" t="str">
        <f>HYPERLINK("https://twitter.com/rmol_id","@rmol_id")</f>
        <v>@rmol_id</v>
      </c>
      <c r="C28923" t="s">
        <v>12601</v>
      </c>
      <c r="D28923">
        <v>0</v>
      </c>
      <c r="E28923">
        <v>0</v>
      </c>
      <c r="F28923">
        <v>160954</v>
      </c>
    </row>
    <row r="28924" spans="1:6" ht="12.75">
      <c r="A28924" s="2">
        <v>43875.590208333335</v>
      </c>
      <c r="B28924" t="str">
        <f>HYPERLINK("https://twitter.com/DimasAlfyan","@DimasAlfyan")</f>
        <v>@DimasAlfyan</v>
      </c>
      <c r="C28924" t="s">
        <v>9998</v>
      </c>
      <c r="D28924">
        <v>98</v>
      </c>
      <c r="E28924">
        <v>0</v>
      </c>
      <c r="F28924">
        <v>265</v>
      </c>
    </row>
    <row r="28925" spans="1:6" ht="12.75">
      <c r="A28925" s="2">
        <v>43875.590150462958</v>
      </c>
      <c r="B28925" t="str">
        <f>HYPERLINK("https://twitter.com/ozifaozi16","@ozifaozi16")</f>
        <v>@ozifaozi16</v>
      </c>
      <c r="C28925" t="s">
        <v>11536</v>
      </c>
      <c r="D28925">
        <v>0</v>
      </c>
      <c r="E28925">
        <v>0</v>
      </c>
      <c r="F28925">
        <v>820</v>
      </c>
    </row>
    <row r="28926" spans="1:6" ht="12.75">
      <c r="A28926" s="2">
        <v>43875.590057870373</v>
      </c>
      <c r="B28926" t="str">
        <f>HYPERLINK("https://twitter.com/Ajkwa4","@Ajkwa4")</f>
        <v>@Ajkwa4</v>
      </c>
      <c r="C28926" t="s">
        <v>12602</v>
      </c>
      <c r="D28926">
        <v>0</v>
      </c>
      <c r="E28926">
        <v>0</v>
      </c>
      <c r="F28926">
        <v>52</v>
      </c>
    </row>
    <row r="28927" spans="1:6" ht="12.75">
      <c r="A28927" s="2">
        <v>43875.589988425927</v>
      </c>
      <c r="B28927" t="str">
        <f>HYPERLINK("https://twitter.com/ali_biu335","@ali_biu335")</f>
        <v>@ali_biu335</v>
      </c>
      <c r="C28927" t="s">
        <v>9082</v>
      </c>
      <c r="D28927">
        <v>23</v>
      </c>
      <c r="E28927">
        <v>0</v>
      </c>
      <c r="F28927">
        <v>327</v>
      </c>
    </row>
    <row r="28928" spans="1:6" ht="12.75">
      <c r="A28928" s="2">
        <v>43875.589965277773</v>
      </c>
      <c r="B28928" t="str">
        <f>HYPERLINK("https://twitter.com/Cunay_02","@Cunay_02")</f>
        <v>@Cunay_02</v>
      </c>
      <c r="C28928" t="s">
        <v>9123</v>
      </c>
      <c r="D28928">
        <v>196</v>
      </c>
      <c r="E28928">
        <v>0</v>
      </c>
      <c r="F28928">
        <v>108</v>
      </c>
    </row>
    <row r="28929" spans="1:6" ht="12.75">
      <c r="A28929" s="2">
        <v>43875.589953703704</v>
      </c>
      <c r="B28929" t="str">
        <f>HYPERLINK("https://twitter.com/rahil_simabua","@rahil_simabua")</f>
        <v>@rahil_simabua</v>
      </c>
      <c r="C28929" t="s">
        <v>10096</v>
      </c>
      <c r="D28929">
        <v>125</v>
      </c>
      <c r="E28929">
        <v>0</v>
      </c>
      <c r="F28929">
        <v>352</v>
      </c>
    </row>
    <row r="28930" spans="1:6" ht="12.75">
      <c r="A28930" s="2">
        <v>43875.58993055555</v>
      </c>
      <c r="B28930" t="str">
        <f>HYPERLINK("https://twitter.com/wahhabicc_jabar","@wahhabicc_jabar")</f>
        <v>@wahhabicc_jabar</v>
      </c>
      <c r="C28930" t="s">
        <v>10431</v>
      </c>
      <c r="D28930">
        <v>5</v>
      </c>
      <c r="E28930">
        <v>0</v>
      </c>
      <c r="F28930">
        <v>30159</v>
      </c>
    </row>
    <row r="28931" spans="1:6" ht="12.75">
      <c r="A28931" s="2">
        <v>43875.589907407411</v>
      </c>
      <c r="B28931" t="str">
        <f>HYPERLINK("https://twitter.com/taugegoreng","@taugegoreng")</f>
        <v>@taugegoreng</v>
      </c>
      <c r="C28931" t="s">
        <v>2444</v>
      </c>
      <c r="D28931">
        <v>1241</v>
      </c>
      <c r="E28931">
        <v>0</v>
      </c>
      <c r="F28931">
        <v>39</v>
      </c>
    </row>
    <row r="28932" spans="1:6" ht="12.75">
      <c r="A28932" s="2">
        <v>43875.589895833335</v>
      </c>
      <c r="B28932" t="str">
        <f>HYPERLINK("https://twitter.com/ariagaana","@ariagaana")</f>
        <v>@ariagaana</v>
      </c>
      <c r="C28932" t="s">
        <v>5761</v>
      </c>
      <c r="D28932">
        <v>54</v>
      </c>
      <c r="E28932">
        <v>0</v>
      </c>
      <c r="F28932">
        <v>502</v>
      </c>
    </row>
    <row r="28933" spans="1:6" ht="12.75">
      <c r="A28933" s="2">
        <v>43875.589849537035</v>
      </c>
      <c r="B28933" t="str">
        <f>HYPERLINK("https://twitter.com/AlberaD5","@AlberaD5")</f>
        <v>@AlberaD5</v>
      </c>
      <c r="C28933" t="s">
        <v>12595</v>
      </c>
      <c r="D28933">
        <v>2</v>
      </c>
      <c r="E28933">
        <v>0</v>
      </c>
      <c r="F28933">
        <v>1633</v>
      </c>
    </row>
    <row r="28934" spans="1:6" ht="12.75">
      <c r="A28934" s="2">
        <v>43875.589837962965</v>
      </c>
      <c r="B28934" t="str">
        <f>HYPERLINK("https://twitter.com/tempodotco","@tempodotco")</f>
        <v>@tempodotco</v>
      </c>
      <c r="C28934" t="s">
        <v>12603</v>
      </c>
      <c r="D28934">
        <v>1</v>
      </c>
      <c r="E28934">
        <v>6</v>
      </c>
      <c r="F28934">
        <v>1702322</v>
      </c>
    </row>
    <row r="28935" spans="1:6" ht="12.75">
      <c r="A28935" s="2">
        <v>43875.589814814812</v>
      </c>
      <c r="B28935" t="str">
        <f>HYPERLINK("https://twitter.com/ISIS_Balik_NO","@ISIS_Balik_NO")</f>
        <v>@ISIS_Balik_NO</v>
      </c>
      <c r="C28935" t="s">
        <v>12604</v>
      </c>
      <c r="D28935">
        <v>2</v>
      </c>
      <c r="E28935">
        <v>4</v>
      </c>
      <c r="F28935">
        <v>5899</v>
      </c>
    </row>
    <row r="28936" spans="1:6" ht="12.75">
      <c r="A28936" s="2">
        <v>43875.589791666665</v>
      </c>
      <c r="B28936" t="str">
        <f>HYPERLINK("https://twitter.com/dusrimulya","@dusrimulya")</f>
        <v>@dusrimulya</v>
      </c>
      <c r="C28936" t="s">
        <v>12605</v>
      </c>
      <c r="D28936">
        <v>1</v>
      </c>
      <c r="E28936">
        <v>0</v>
      </c>
      <c r="F28936">
        <v>22305</v>
      </c>
    </row>
    <row r="28937" spans="1:6" ht="12.75">
      <c r="A28937" s="2">
        <v>43875.58975694445</v>
      </c>
      <c r="B28937" t="str">
        <f>HYPERLINK("https://twitter.com/chikaseptiyana","@chikaseptiyana")</f>
        <v>@chikaseptiyana</v>
      </c>
      <c r="C28937" t="s">
        <v>12606</v>
      </c>
      <c r="D28937">
        <v>2</v>
      </c>
      <c r="E28937">
        <v>3</v>
      </c>
      <c r="F28937">
        <v>174</v>
      </c>
    </row>
    <row r="28938" spans="1:6" ht="12.75">
      <c r="A28938" s="2">
        <v>43875.589722222227</v>
      </c>
      <c r="B28938" t="str">
        <f>HYPERLINK("https://twitter.com/MegaJuliats","@MegaJuliats")</f>
        <v>@MegaJuliats</v>
      </c>
      <c r="C28938" t="s">
        <v>2444</v>
      </c>
      <c r="D28938">
        <v>1241</v>
      </c>
      <c r="E28938">
        <v>0</v>
      </c>
      <c r="F28938">
        <v>461</v>
      </c>
    </row>
    <row r="28939" spans="1:6" ht="12.75">
      <c r="A28939" s="2">
        <v>43875.589722222227</v>
      </c>
      <c r="B28939" t="str">
        <f>HYPERLINK("https://twitter.com/alextom71","@alextom71")</f>
        <v>@alextom71</v>
      </c>
      <c r="C28939" t="s">
        <v>175</v>
      </c>
      <c r="D28939">
        <v>5277</v>
      </c>
      <c r="E28939">
        <v>0</v>
      </c>
      <c r="F28939">
        <v>157</v>
      </c>
    </row>
    <row r="28940" spans="1:6" ht="12.75">
      <c r="A28940" s="2">
        <v>43875.589641203704</v>
      </c>
      <c r="B28940" t="str">
        <f>HYPERLINK("https://twitter.com/SoniMsi07","@SoniMsi07")</f>
        <v>@SoniMsi07</v>
      </c>
      <c r="C28940" t="s">
        <v>11322</v>
      </c>
      <c r="D28940">
        <v>74</v>
      </c>
      <c r="E28940">
        <v>0</v>
      </c>
      <c r="F28940">
        <v>234</v>
      </c>
    </row>
    <row r="28941" spans="1:6" ht="12.75">
      <c r="A28941" s="2">
        <v>43875.589606481481</v>
      </c>
      <c r="B28941" t="str">
        <f>HYPERLINK("https://twitter.com/evandwizra","@evandwizra")</f>
        <v>@evandwizra</v>
      </c>
      <c r="C28941" t="s">
        <v>2444</v>
      </c>
      <c r="D28941">
        <v>1241</v>
      </c>
      <c r="E28941">
        <v>0</v>
      </c>
      <c r="F28941">
        <v>988</v>
      </c>
    </row>
    <row r="28942" spans="1:6" ht="12.75">
      <c r="A28942" s="2">
        <v>43875.589583333334</v>
      </c>
      <c r="B28942" t="str">
        <f>HYPERLINK("https://twitter.com/icegoodday","@icegoodday")</f>
        <v>@icegoodday</v>
      </c>
      <c r="C28942" t="s">
        <v>9123</v>
      </c>
      <c r="D28942">
        <v>196</v>
      </c>
      <c r="E28942">
        <v>0</v>
      </c>
      <c r="F28942">
        <v>60</v>
      </c>
    </row>
    <row r="28943" spans="1:6" ht="12.75">
      <c r="A28943" s="2">
        <v>43875.589571759258</v>
      </c>
      <c r="B28943" t="str">
        <f>HYPERLINK("https://twitter.com/yessi40136798","@yessi40136798")</f>
        <v>@yessi40136798</v>
      </c>
      <c r="C28943" t="s">
        <v>2444</v>
      </c>
      <c r="D28943">
        <v>1241</v>
      </c>
      <c r="E28943">
        <v>0</v>
      </c>
      <c r="F28943">
        <v>35</v>
      </c>
    </row>
    <row r="28944" spans="1:6" ht="12.75">
      <c r="A28944" s="2">
        <v>43875.589548611111</v>
      </c>
      <c r="B28944" t="str">
        <f>HYPERLINK("https://twitter.com/YuddTa","@YuddTa")</f>
        <v>@YuddTa</v>
      </c>
      <c r="C28944" t="s">
        <v>2144</v>
      </c>
      <c r="D28944">
        <v>74</v>
      </c>
      <c r="E28944">
        <v>0</v>
      </c>
      <c r="F28944">
        <v>328</v>
      </c>
    </row>
    <row r="28945" spans="1:6" ht="12.75">
      <c r="A28945" s="2">
        <v>43875.589490740742</v>
      </c>
      <c r="B28945" t="str">
        <f>HYPERLINK("https://twitter.com/MulyadiMade","@MulyadiMade")</f>
        <v>@MulyadiMade</v>
      </c>
      <c r="C28945" t="s">
        <v>8233</v>
      </c>
      <c r="D28945">
        <v>454</v>
      </c>
      <c r="E28945">
        <v>0</v>
      </c>
      <c r="F28945">
        <v>422</v>
      </c>
    </row>
    <row r="28946" spans="1:6" ht="12.75">
      <c r="A28946" s="2">
        <v>43875.589467592596</v>
      </c>
      <c r="B28946" t="str">
        <f>HYPERLINK("https://twitter.com/2020stannn","@2020stannn")</f>
        <v>@2020stannn</v>
      </c>
      <c r="C28946" t="s">
        <v>10697</v>
      </c>
      <c r="D28946">
        <v>19</v>
      </c>
      <c r="E28946">
        <v>0</v>
      </c>
      <c r="F28946">
        <v>107</v>
      </c>
    </row>
    <row r="28947" spans="1:6" ht="12.75">
      <c r="A28947" s="2">
        <v>43875.589456018519</v>
      </c>
      <c r="B28947" t="str">
        <f>HYPERLINK("https://twitter.com/rorojonqranq","@rorojonqranq")</f>
        <v>@rorojonqranq</v>
      </c>
      <c r="C28947" t="s">
        <v>2444</v>
      </c>
      <c r="D28947">
        <v>1241</v>
      </c>
      <c r="E28947">
        <v>0</v>
      </c>
      <c r="F28947">
        <v>28</v>
      </c>
    </row>
    <row r="28948" spans="1:6" ht="12.75">
      <c r="A28948" s="2">
        <v>43875.589444444442</v>
      </c>
      <c r="B28948" t="str">
        <f>HYPERLINK("https://twitter.com/Cupcake_off","@Cupcake_off")</f>
        <v>@Cupcake_off</v>
      </c>
      <c r="C28948" t="s">
        <v>9123</v>
      </c>
      <c r="D28948">
        <v>196</v>
      </c>
      <c r="E28948">
        <v>0</v>
      </c>
      <c r="F28948">
        <v>7</v>
      </c>
    </row>
    <row r="28949" spans="1:6" ht="12.75">
      <c r="A28949" s="2">
        <v>43875.589409722219</v>
      </c>
      <c r="B28949" t="str">
        <f>HYPERLINK("https://twitter.com/ahmadiyekwam","@ahmadiyekwam")</f>
        <v>@ahmadiyekwam</v>
      </c>
      <c r="C28949" t="s">
        <v>12607</v>
      </c>
      <c r="D28949">
        <v>0</v>
      </c>
      <c r="E28949">
        <v>0</v>
      </c>
      <c r="F28949">
        <v>25</v>
      </c>
    </row>
    <row r="28950" spans="1:6" ht="12.75">
      <c r="A28950" s="2">
        <v>43875.589409722219</v>
      </c>
      <c r="B28950" t="str">
        <f>HYPERLINK("https://twitter.com/rorojonqranq","@rorojonqranq")</f>
        <v>@rorojonqranq</v>
      </c>
      <c r="C28950" t="s">
        <v>9123</v>
      </c>
      <c r="D28950">
        <v>196</v>
      </c>
      <c r="E28950">
        <v>0</v>
      </c>
      <c r="F28950">
        <v>28</v>
      </c>
    </row>
    <row r="28951" spans="1:6" ht="12.75">
      <c r="A28951" s="2">
        <v>43875.589409722219</v>
      </c>
      <c r="B28951" t="str">
        <f>HYPERLINK("https://twitter.com/BlueaAlice","@BlueaAlice")</f>
        <v>@BlueaAlice</v>
      </c>
      <c r="C28951" t="s">
        <v>9123</v>
      </c>
      <c r="D28951">
        <v>196</v>
      </c>
      <c r="E28951">
        <v>0</v>
      </c>
      <c r="F28951">
        <v>58</v>
      </c>
    </row>
    <row r="28952" spans="1:6" ht="12.75">
      <c r="A28952" s="2">
        <v>43875.589328703703</v>
      </c>
      <c r="B28952" t="str">
        <f>HYPERLINK("https://twitter.com/73hermantjoe","@73hermantjoe")</f>
        <v>@73hermantjoe</v>
      </c>
      <c r="C28952" t="s">
        <v>12608</v>
      </c>
      <c r="D28952">
        <v>2</v>
      </c>
      <c r="E28952">
        <v>5</v>
      </c>
      <c r="F28952">
        <v>3035</v>
      </c>
    </row>
    <row r="28953" spans="1:6" ht="12.75">
      <c r="A28953" s="2">
        <v>43875.589236111111</v>
      </c>
      <c r="B28953" t="str">
        <f>HYPERLINK("https://twitter.com/DuChaLovers","@DuChaLovers")</f>
        <v>@DuChaLovers</v>
      </c>
      <c r="C28953" t="s">
        <v>9123</v>
      </c>
      <c r="D28953">
        <v>196</v>
      </c>
      <c r="E28953">
        <v>0</v>
      </c>
      <c r="F28953">
        <v>13489</v>
      </c>
    </row>
    <row r="28954" spans="1:6" ht="12.75">
      <c r="A28954" s="2">
        <v>43875.589224537034</v>
      </c>
      <c r="B28954" t="str">
        <f>HYPERLINK("https://twitter.com/KosmetikDinda","@KosmetikDinda")</f>
        <v>@KosmetikDinda</v>
      </c>
      <c r="C28954" t="s">
        <v>7478</v>
      </c>
      <c r="D28954">
        <v>138</v>
      </c>
      <c r="E28954">
        <v>0</v>
      </c>
      <c r="F28954">
        <v>1284</v>
      </c>
    </row>
    <row r="28955" spans="1:6" ht="12.75">
      <c r="A28955" s="2">
        <v>43875.589074074072</v>
      </c>
      <c r="B28955" t="str">
        <f>HYPERLINK("https://twitter.com/omar2000nur","@omar2000nur")</f>
        <v>@omar2000nur</v>
      </c>
      <c r="C28955" t="s">
        <v>7478</v>
      </c>
      <c r="D28955">
        <v>138</v>
      </c>
      <c r="E28955">
        <v>0</v>
      </c>
      <c r="F28955">
        <v>220</v>
      </c>
    </row>
    <row r="28956" spans="1:6" ht="12.75">
      <c r="A28956" s="2">
        <v>43875.58902777778</v>
      </c>
      <c r="B28956" t="str">
        <f>HYPERLINK("https://twitter.com/RowiOgaraFals","@RowiOgaraFals")</f>
        <v>@RowiOgaraFals</v>
      </c>
      <c r="C28956" t="s">
        <v>9746</v>
      </c>
      <c r="D28956">
        <v>180</v>
      </c>
      <c r="E28956">
        <v>0</v>
      </c>
      <c r="F28956">
        <v>40</v>
      </c>
    </row>
    <row r="28957" spans="1:6" ht="12.75">
      <c r="A28957" s="2">
        <v>43875.588946759264</v>
      </c>
      <c r="B28957" t="str">
        <f>HYPERLINK("https://twitter.com/Toinktoink22","@Toinktoink22")</f>
        <v>@Toinktoink22</v>
      </c>
      <c r="C28957" t="s">
        <v>10096</v>
      </c>
      <c r="D28957">
        <v>125</v>
      </c>
      <c r="E28957">
        <v>0</v>
      </c>
      <c r="F28957">
        <v>183</v>
      </c>
    </row>
    <row r="28958" spans="1:6" ht="12.75">
      <c r="A28958" s="2">
        <v>43875.588923611111</v>
      </c>
      <c r="B28958" t="str">
        <f>HYPERLINK("https://twitter.com/r_resvi","@r_resvi")</f>
        <v>@r_resvi</v>
      </c>
      <c r="C28958" t="s">
        <v>5168</v>
      </c>
      <c r="D28958">
        <v>693</v>
      </c>
      <c r="E28958">
        <v>0</v>
      </c>
      <c r="F28958">
        <v>122</v>
      </c>
    </row>
    <row r="28959" spans="1:6" ht="12.75">
      <c r="A28959" s="2">
        <v>43875.588877314818</v>
      </c>
      <c r="B28959" t="str">
        <f>HYPERLINK("https://twitter.com/sirodjudin01","@sirodjudin01")</f>
        <v>@sirodjudin01</v>
      </c>
      <c r="C28959" t="s">
        <v>12609</v>
      </c>
      <c r="D28959">
        <v>0</v>
      </c>
      <c r="E28959">
        <v>0</v>
      </c>
      <c r="F28959">
        <v>8033</v>
      </c>
    </row>
    <row r="28960" spans="1:6" ht="12.75">
      <c r="A28960" s="2">
        <v>43875.588865740741</v>
      </c>
      <c r="B28960" t="str">
        <f>HYPERLINK("https://twitter.com/taugegoreng","@taugegoreng")</f>
        <v>@taugegoreng</v>
      </c>
      <c r="C28960" t="s">
        <v>11536</v>
      </c>
      <c r="D28960">
        <v>0</v>
      </c>
      <c r="E28960">
        <v>0</v>
      </c>
      <c r="F28960">
        <v>39</v>
      </c>
    </row>
    <row r="28961" spans="1:6" ht="12.75">
      <c r="A28961" s="2">
        <v>43875.588807870372</v>
      </c>
      <c r="B28961" t="str">
        <f>HYPERLINK("https://twitter.com/_dhit4__","@_dhit4__")</f>
        <v>@_dhit4__</v>
      </c>
      <c r="C28961" t="s">
        <v>12212</v>
      </c>
      <c r="D28961">
        <v>4</v>
      </c>
      <c r="E28961">
        <v>0</v>
      </c>
      <c r="F28961">
        <v>986</v>
      </c>
    </row>
    <row r="28962" spans="1:6" ht="12.75">
      <c r="A28962" s="2">
        <v>43875.588738425926</v>
      </c>
      <c r="B28962" t="str">
        <f>HYPERLINK("https://twitter.com/risetiadi","@risetiadi")</f>
        <v>@risetiadi</v>
      </c>
      <c r="C28962" t="s">
        <v>2444</v>
      </c>
      <c r="D28962">
        <v>1241</v>
      </c>
      <c r="E28962">
        <v>0</v>
      </c>
      <c r="F28962">
        <v>208</v>
      </c>
    </row>
    <row r="28963" spans="1:6" ht="12.75">
      <c r="A28963" s="2">
        <v>43875.588738425926</v>
      </c>
      <c r="B28963" t="str">
        <f>HYPERLINK("https://twitter.com/Cupcake_off","@Cupcake_off")</f>
        <v>@Cupcake_off</v>
      </c>
      <c r="C28963" t="s">
        <v>2444</v>
      </c>
      <c r="D28963">
        <v>1241</v>
      </c>
      <c r="E28963">
        <v>0</v>
      </c>
      <c r="F28963">
        <v>7</v>
      </c>
    </row>
    <row r="28964" spans="1:6" ht="12.75">
      <c r="A28964" s="2">
        <v>43875.588738425926</v>
      </c>
      <c r="B28964" t="str">
        <f>HYPERLINK("https://twitter.com/dkelluv","@dkelluv")</f>
        <v>@dkelluv</v>
      </c>
      <c r="C28964" t="s">
        <v>2444</v>
      </c>
      <c r="D28964">
        <v>1241</v>
      </c>
      <c r="E28964">
        <v>0</v>
      </c>
      <c r="F28964">
        <v>1179</v>
      </c>
    </row>
    <row r="28965" spans="1:6" ht="12.75">
      <c r="A28965" s="2">
        <v>43875.588634259257</v>
      </c>
      <c r="B28965" t="str">
        <f>HYPERLINK("https://twitter.com/MuhammadAagung","@MuhammadAagung")</f>
        <v>@MuhammadAagung</v>
      </c>
      <c r="C28965" t="s">
        <v>2444</v>
      </c>
      <c r="D28965">
        <v>1241</v>
      </c>
      <c r="E28965">
        <v>0</v>
      </c>
      <c r="F28965">
        <v>37</v>
      </c>
    </row>
    <row r="28966" spans="1:6" ht="12.75">
      <c r="A28966" s="2">
        <v>43875.588576388887</v>
      </c>
      <c r="B28966" t="str">
        <f>HYPERLINK("https://twitter.com/suaradotcom","@suaradotcom")</f>
        <v>@suaradotcom</v>
      </c>
      <c r="C28966" t="s">
        <v>12610</v>
      </c>
      <c r="D28966">
        <v>0</v>
      </c>
      <c r="E28966">
        <v>0</v>
      </c>
      <c r="F28966">
        <v>24164</v>
      </c>
    </row>
    <row r="28967" spans="1:6" ht="12.75">
      <c r="A28967" s="2">
        <v>43875.588472222225</v>
      </c>
      <c r="B28967" t="str">
        <f>HYPERLINK("https://twitter.com/RullyTawang","@RullyTawang")</f>
        <v>@RullyTawang</v>
      </c>
      <c r="C28967" t="s">
        <v>11208</v>
      </c>
      <c r="D28967">
        <v>4</v>
      </c>
      <c r="E28967">
        <v>0</v>
      </c>
      <c r="F28967">
        <v>689</v>
      </c>
    </row>
    <row r="28968" spans="1:6" ht="12.75">
      <c r="A28968" s="2">
        <v>43875.588460648149</v>
      </c>
      <c r="B28968" t="str">
        <f>HYPERLINK("https://twitter.com/urip_murup","@urip_murup")</f>
        <v>@urip_murup</v>
      </c>
      <c r="C28968" t="s">
        <v>12611</v>
      </c>
      <c r="D28968">
        <v>2</v>
      </c>
      <c r="E28968">
        <v>0</v>
      </c>
      <c r="F28968">
        <v>228</v>
      </c>
    </row>
    <row r="28969" spans="1:6" ht="12.75">
      <c r="A28969" s="2">
        <v>43875.588414351849</v>
      </c>
      <c r="B28969" t="str">
        <f>HYPERLINK("https://twitter.com/rinabcdef","@rinabcdef")</f>
        <v>@rinabcdef</v>
      </c>
      <c r="C28969" t="s">
        <v>2444</v>
      </c>
      <c r="D28969">
        <v>1241</v>
      </c>
      <c r="E28969">
        <v>0</v>
      </c>
      <c r="F28969">
        <v>651</v>
      </c>
    </row>
    <row r="28970" spans="1:6" ht="12.75">
      <c r="A28970" s="2">
        <v>43875.588321759264</v>
      </c>
      <c r="B28970" t="str">
        <f>HYPERLINK("https://twitter.com/sambel_blender","@sambel_blender")</f>
        <v>@sambel_blender</v>
      </c>
      <c r="C28970" t="s">
        <v>2137</v>
      </c>
      <c r="D28970">
        <v>99</v>
      </c>
      <c r="E28970">
        <v>0</v>
      </c>
      <c r="F28970">
        <v>10</v>
      </c>
    </row>
    <row r="28971" spans="1:6" ht="12.75">
      <c r="A28971" s="2">
        <v>43875.58829861111</v>
      </c>
      <c r="B28971" t="str">
        <f>HYPERLINK("https://twitter.com/linkarika","@linkarika")</f>
        <v>@linkarika</v>
      </c>
      <c r="C28971" t="s">
        <v>12612</v>
      </c>
      <c r="D28971">
        <v>16</v>
      </c>
      <c r="E28971">
        <v>0</v>
      </c>
      <c r="F28971">
        <v>300</v>
      </c>
    </row>
    <row r="28972" spans="1:6" ht="12.75">
      <c r="A28972" s="2">
        <v>43875.588217592594</v>
      </c>
      <c r="B28972" t="str">
        <f>HYPERLINK("https://twitter.com/dami_octo","@dami_octo")</f>
        <v>@dami_octo</v>
      </c>
      <c r="C28972" t="s">
        <v>9096</v>
      </c>
      <c r="D28972">
        <v>190</v>
      </c>
      <c r="E28972">
        <v>0</v>
      </c>
      <c r="F28972">
        <v>833</v>
      </c>
    </row>
    <row r="28973" spans="1:6" ht="12.75">
      <c r="A28973" s="2">
        <v>43875.588090277779</v>
      </c>
      <c r="B28973" t="str">
        <f>HYPERLINK("https://twitter.com/elbynz","@elbynz")</f>
        <v>@elbynz</v>
      </c>
      <c r="C28973" t="s">
        <v>10032</v>
      </c>
      <c r="D28973">
        <v>40</v>
      </c>
      <c r="E28973">
        <v>0</v>
      </c>
      <c r="F28973">
        <v>1328</v>
      </c>
    </row>
    <row r="28974" spans="1:6" ht="12.75">
      <c r="A28974" s="2">
        <v>43875.588078703702</v>
      </c>
      <c r="B28974" t="str">
        <f>HYPERLINK("https://twitter.com/harakatuna","@harakatuna")</f>
        <v>@harakatuna</v>
      </c>
      <c r="C28974" t="s">
        <v>10857</v>
      </c>
      <c r="D28974">
        <v>0</v>
      </c>
      <c r="E28974">
        <v>0</v>
      </c>
      <c r="F28974">
        <v>409</v>
      </c>
    </row>
    <row r="28975" spans="1:6" ht="12.75">
      <c r="A28975" s="2">
        <v>43875.588043981479</v>
      </c>
      <c r="B28975" t="str">
        <f>HYPERLINK("https://twitter.com/just_cross","@just_cross")</f>
        <v>@just_cross</v>
      </c>
      <c r="C28975" t="s">
        <v>12613</v>
      </c>
      <c r="D28975">
        <v>20</v>
      </c>
      <c r="E28975">
        <v>0</v>
      </c>
      <c r="F28975">
        <v>150</v>
      </c>
    </row>
    <row r="28976" spans="1:6" ht="12.75">
      <c r="A28976" s="2">
        <v>43875.588043981479</v>
      </c>
      <c r="B28976" t="str">
        <f>HYPERLINK("https://twitter.com/still_hendro","@still_hendro")</f>
        <v>@still_hendro</v>
      </c>
      <c r="C28976" t="s">
        <v>12614</v>
      </c>
      <c r="D28976">
        <v>0</v>
      </c>
      <c r="E28976">
        <v>0</v>
      </c>
      <c r="F28976">
        <v>374</v>
      </c>
    </row>
    <row r="28977" spans="1:6" ht="12.75">
      <c r="A28977" s="2">
        <v>43875.588043981479</v>
      </c>
      <c r="B28977" t="str">
        <f>HYPERLINK("https://twitter.com/masturbarking","@masturbarking")</f>
        <v>@masturbarking</v>
      </c>
      <c r="C28977" t="s">
        <v>7068</v>
      </c>
      <c r="D28977">
        <v>7</v>
      </c>
      <c r="E28977">
        <v>0</v>
      </c>
      <c r="F28977">
        <v>660</v>
      </c>
    </row>
    <row r="28978" spans="1:6" ht="12.75">
      <c r="A28978" s="2">
        <v>43875.588020833333</v>
      </c>
      <c r="B28978" t="str">
        <f>HYPERLINK("https://twitter.com/Taehyuul","@Taehyuul")</f>
        <v>@Taehyuul</v>
      </c>
      <c r="C28978" t="s">
        <v>9123</v>
      </c>
      <c r="D28978">
        <v>196</v>
      </c>
      <c r="E28978">
        <v>0</v>
      </c>
      <c r="F28978">
        <v>39</v>
      </c>
    </row>
    <row r="28979" spans="1:6" ht="12.75">
      <c r="A28979" s="2">
        <v>43875.588020833333</v>
      </c>
      <c r="B28979" t="str">
        <f>HYPERLINK("https://twitter.com/sirodjudin01","@sirodjudin01")</f>
        <v>@sirodjudin01</v>
      </c>
      <c r="C28979" t="s">
        <v>12615</v>
      </c>
      <c r="D28979">
        <v>0</v>
      </c>
      <c r="E28979">
        <v>0</v>
      </c>
      <c r="F28979">
        <v>8033</v>
      </c>
    </row>
    <row r="28980" spans="1:6" ht="12.75">
      <c r="A28980" s="2">
        <v>43875.587974537033</v>
      </c>
      <c r="B28980" t="str">
        <f>HYPERLINK("https://twitter.com/rizkiwidy_","@rizkiwidy_")</f>
        <v>@rizkiwidy_</v>
      </c>
      <c r="C28980" t="s">
        <v>2444</v>
      </c>
      <c r="D28980">
        <v>1241</v>
      </c>
      <c r="E28980">
        <v>0</v>
      </c>
      <c r="F28980">
        <v>982</v>
      </c>
    </row>
    <row r="28981" spans="1:6" ht="12.75">
      <c r="A28981" s="2">
        <v>43875.587962962964</v>
      </c>
      <c r="B28981" t="str">
        <f>HYPERLINK("https://twitter.com/Gwundala","@Gwundala")</f>
        <v>@Gwundala</v>
      </c>
      <c r="C28981" t="s">
        <v>9123</v>
      </c>
      <c r="D28981">
        <v>196</v>
      </c>
      <c r="E28981">
        <v>0</v>
      </c>
      <c r="F28981">
        <v>27</v>
      </c>
    </row>
    <row r="28982" spans="1:6" ht="12.75">
      <c r="A28982" s="2">
        <v>43875.58792824074</v>
      </c>
      <c r="B28982" t="str">
        <f>HYPERLINK("https://twitter.com/RRIPrograma3","@RRIPrograma3")</f>
        <v>@RRIPrograma3</v>
      </c>
      <c r="C28982" t="s">
        <v>11287</v>
      </c>
      <c r="D28982">
        <v>2</v>
      </c>
      <c r="E28982">
        <v>0</v>
      </c>
      <c r="F28982">
        <v>8715</v>
      </c>
    </row>
    <row r="28983" spans="1:6" ht="12.75">
      <c r="A28983" s="2">
        <v>43875.587881944448</v>
      </c>
      <c r="B28983" t="str">
        <f>HYPERLINK("https://twitter.com/adie_masihhidup","@adie_masihhidup")</f>
        <v>@adie_masihhidup</v>
      </c>
      <c r="C28983" t="s">
        <v>12616</v>
      </c>
      <c r="D28983">
        <v>0</v>
      </c>
      <c r="E28983">
        <v>0</v>
      </c>
      <c r="F28983">
        <v>1558</v>
      </c>
    </row>
    <row r="28984" spans="1:6" ht="12.75">
      <c r="A28984" s="2">
        <v>43875.587696759263</v>
      </c>
      <c r="B28984" t="str">
        <f>HYPERLINK("https://twitter.com/Cupcake_off","@Cupcake_off")</f>
        <v>@Cupcake_off</v>
      </c>
      <c r="C28984" t="s">
        <v>11536</v>
      </c>
      <c r="D28984">
        <v>0</v>
      </c>
      <c r="E28984">
        <v>0</v>
      </c>
      <c r="F28984">
        <v>7</v>
      </c>
    </row>
    <row r="28985" spans="1:6" ht="12.75">
      <c r="A28985" s="2">
        <v>43875.58766203704</v>
      </c>
      <c r="B28985" t="str">
        <f>HYPERLINK("https://twitter.com/trinugroho162","@trinugroho162")</f>
        <v>@trinugroho162</v>
      </c>
      <c r="C28985" t="s">
        <v>10096</v>
      </c>
      <c r="D28985">
        <v>125</v>
      </c>
      <c r="E28985">
        <v>0</v>
      </c>
      <c r="F28985">
        <v>1659</v>
      </c>
    </row>
    <row r="28986" spans="1:6" ht="12.75">
      <c r="A28986" s="2">
        <v>43875.58761574074</v>
      </c>
      <c r="B28986" t="str">
        <f>HYPERLINK("https://twitter.com/Taehyuul","@Taehyuul")</f>
        <v>@Taehyuul</v>
      </c>
      <c r="C28986" t="s">
        <v>2444</v>
      </c>
      <c r="D28986">
        <v>1241</v>
      </c>
      <c r="E28986">
        <v>0</v>
      </c>
      <c r="F28986">
        <v>39</v>
      </c>
    </row>
    <row r="28987" spans="1:6" ht="12.75">
      <c r="A28987" s="2">
        <v>43875.587592592594</v>
      </c>
      <c r="B28987" t="str">
        <f>HYPERLINK("https://twitter.com/jh1343","@jh1343")</f>
        <v>@jh1343</v>
      </c>
      <c r="C28987" t="s">
        <v>2444</v>
      </c>
      <c r="D28987">
        <v>1241</v>
      </c>
      <c r="E28987">
        <v>0</v>
      </c>
      <c r="F28987">
        <v>54</v>
      </c>
    </row>
    <row r="28988" spans="1:6" ht="12.75">
      <c r="A28988" s="2">
        <v>43875.587592592594</v>
      </c>
      <c r="B28988" t="str">
        <f>HYPERLINK("https://twitter.com/pandawooji","@pandawooji")</f>
        <v>@pandawooji</v>
      </c>
      <c r="C28988" t="s">
        <v>9964</v>
      </c>
      <c r="D28988">
        <v>587</v>
      </c>
      <c r="E28988">
        <v>0</v>
      </c>
      <c r="F28988">
        <v>269</v>
      </c>
    </row>
    <row r="28989" spans="1:6" ht="12.75">
      <c r="A28989" s="2">
        <v>43875.587546296301</v>
      </c>
      <c r="B28989" t="str">
        <f>HYPERLINK("https://twitter.com/heysheralia","@heysheralia")</f>
        <v>@heysheralia</v>
      </c>
      <c r="C28989" t="s">
        <v>9123</v>
      </c>
      <c r="D28989">
        <v>196</v>
      </c>
      <c r="E28989">
        <v>0</v>
      </c>
      <c r="F28989">
        <v>634</v>
      </c>
    </row>
    <row r="28990" spans="1:6" ht="12.75">
      <c r="A28990" s="2">
        <v>43875.587546296301</v>
      </c>
      <c r="B28990" t="str">
        <f>HYPERLINK("https://twitter.com/fatus05","@fatus05")</f>
        <v>@fatus05</v>
      </c>
      <c r="C28990" t="s">
        <v>9123</v>
      </c>
      <c r="D28990">
        <v>196</v>
      </c>
      <c r="E28990">
        <v>0</v>
      </c>
      <c r="F28990">
        <v>850</v>
      </c>
    </row>
    <row r="28991" spans="1:6" ht="12.75">
      <c r="A28991" s="2">
        <v>43875.587523148148</v>
      </c>
      <c r="B28991" t="str">
        <f>HYPERLINK("https://twitter.com/aw3126","@aw3126")</f>
        <v>@aw3126</v>
      </c>
      <c r="C28991" t="s">
        <v>12617</v>
      </c>
      <c r="D28991">
        <v>2</v>
      </c>
      <c r="E28991">
        <v>4</v>
      </c>
      <c r="F28991">
        <v>686</v>
      </c>
    </row>
    <row r="28992" spans="1:6" ht="12.75">
      <c r="A28992" s="2">
        <v>43875.587500000001</v>
      </c>
      <c r="B28992" t="str">
        <f>HYPERLINK("https://twitter.com/ryanmyusup","@ryanmyusup")</f>
        <v>@ryanmyusup</v>
      </c>
      <c r="C28992" t="s">
        <v>9835</v>
      </c>
      <c r="D28992">
        <v>31</v>
      </c>
      <c r="E28992">
        <v>0</v>
      </c>
      <c r="F28992">
        <v>1370</v>
      </c>
    </row>
    <row r="28993" spans="1:6" ht="12.75">
      <c r="A28993" s="2">
        <v>43875.587453703702</v>
      </c>
      <c r="B28993" t="str">
        <f>HYPERLINK("https://twitter.com/arbaiasa","@arbaiasa")</f>
        <v>@arbaiasa</v>
      </c>
      <c r="C28993" t="s">
        <v>7478</v>
      </c>
      <c r="D28993">
        <v>138</v>
      </c>
      <c r="E28993">
        <v>0</v>
      </c>
      <c r="F28993">
        <v>75</v>
      </c>
    </row>
    <row r="28994" spans="1:6" ht="12.75">
      <c r="A28994" s="2">
        <v>43875.587430555555</v>
      </c>
      <c r="B28994" t="str">
        <f>HYPERLINK("https://twitter.com/kalacakrakala","@kalacakrakala")</f>
        <v>@kalacakrakala</v>
      </c>
      <c r="C28994" t="s">
        <v>12618</v>
      </c>
      <c r="D28994">
        <v>0</v>
      </c>
      <c r="E28994">
        <v>0</v>
      </c>
      <c r="F28994">
        <v>1119</v>
      </c>
    </row>
    <row r="28995" spans="1:6" ht="12.75">
      <c r="A28995" s="2">
        <v>43875.587418981479</v>
      </c>
      <c r="B28995" t="str">
        <f>HYPERLINK("https://twitter.com/dusrimulya","@dusrimulya")</f>
        <v>@dusrimulya</v>
      </c>
      <c r="C28995" t="s">
        <v>11208</v>
      </c>
      <c r="D28995">
        <v>4</v>
      </c>
      <c r="E28995">
        <v>0</v>
      </c>
      <c r="F28995">
        <v>22305</v>
      </c>
    </row>
    <row r="28996" spans="1:6" ht="12.75">
      <c r="A28996" s="2">
        <v>43875.587407407409</v>
      </c>
      <c r="B28996" t="str">
        <f>HYPERLINK("https://twitter.com/AgusSut69805876","@AgusSut69805876")</f>
        <v>@AgusSut69805876</v>
      </c>
      <c r="C28996" t="s">
        <v>7478</v>
      </c>
      <c r="D28996">
        <v>138</v>
      </c>
      <c r="E28996">
        <v>0</v>
      </c>
      <c r="F28996">
        <v>62</v>
      </c>
    </row>
    <row r="28997" spans="1:6" ht="12.75">
      <c r="A28997" s="2">
        <v>43875.587407407409</v>
      </c>
      <c r="B28997" t="str">
        <f>HYPERLINK("https://twitter.com/Gwundala","@Gwundala")</f>
        <v>@Gwundala</v>
      </c>
      <c r="C28997" t="s">
        <v>2444</v>
      </c>
      <c r="D28997">
        <v>1241</v>
      </c>
      <c r="E28997">
        <v>0</v>
      </c>
      <c r="F28997">
        <v>27</v>
      </c>
    </row>
    <row r="28998" spans="1:6" ht="12.75">
      <c r="A28998" s="2">
        <v>43875.587407407409</v>
      </c>
      <c r="B28998" t="str">
        <f>HYPERLINK("https://twitter.com/trinugroho162","@trinugroho162")</f>
        <v>@trinugroho162</v>
      </c>
      <c r="C28998" t="s">
        <v>5761</v>
      </c>
      <c r="D28998">
        <v>54</v>
      </c>
      <c r="E28998">
        <v>0</v>
      </c>
      <c r="F28998">
        <v>1659</v>
      </c>
    </row>
    <row r="28999" spans="1:6" ht="12.75">
      <c r="A28999" s="2">
        <v>43875.587361111116</v>
      </c>
      <c r="B28999" t="str">
        <f>HYPERLINK("https://twitter.com/mostradio1058fm","@mostradio1058fm")</f>
        <v>@mostradio1058fm</v>
      </c>
      <c r="C28999" t="s">
        <v>12619</v>
      </c>
      <c r="D28999">
        <v>0</v>
      </c>
      <c r="E28999">
        <v>0</v>
      </c>
      <c r="F28999">
        <v>75419</v>
      </c>
    </row>
    <row r="29000" spans="1:6" ht="12.75">
      <c r="A29000" s="2">
        <v>43875.587222222224</v>
      </c>
      <c r="B29000" t="str">
        <f>HYPERLINK("https://twitter.com/loukiats","@loukiats")</f>
        <v>@loukiats</v>
      </c>
      <c r="C29000" t="s">
        <v>9082</v>
      </c>
      <c r="D29000">
        <v>23</v>
      </c>
      <c r="E29000">
        <v>0</v>
      </c>
      <c r="F29000">
        <v>29</v>
      </c>
    </row>
    <row r="29001" spans="1:6" ht="12.75">
      <c r="A29001" s="2">
        <v>43875.587210648147</v>
      </c>
      <c r="B29001" t="str">
        <f>HYPERLINK("https://twitter.com/heysheralia","@heysheralia")</f>
        <v>@heysheralia</v>
      </c>
      <c r="C29001" t="s">
        <v>2444</v>
      </c>
      <c r="D29001">
        <v>1241</v>
      </c>
      <c r="E29001">
        <v>0</v>
      </c>
      <c r="F29001">
        <v>634</v>
      </c>
    </row>
    <row r="29002" spans="1:6" ht="12.75">
      <c r="A29002" s="2">
        <v>43875.587175925924</v>
      </c>
      <c r="B29002" t="str">
        <f>HYPERLINK("https://twitter.com/Pinayungan96","@Pinayungan96")</f>
        <v>@Pinayungan96</v>
      </c>
      <c r="C29002" t="s">
        <v>10300</v>
      </c>
      <c r="D29002">
        <v>27</v>
      </c>
      <c r="E29002">
        <v>0</v>
      </c>
      <c r="F29002">
        <v>301</v>
      </c>
    </row>
    <row r="29003" spans="1:6" ht="12.75">
      <c r="A29003" s="2">
        <v>43875.587152777778</v>
      </c>
      <c r="B29003" t="str">
        <f>HYPERLINK("https://twitter.com/dinaaaa52","@dinaaaa52")</f>
        <v>@dinaaaa52</v>
      </c>
      <c r="C29003" t="s">
        <v>12620</v>
      </c>
      <c r="D29003">
        <v>0</v>
      </c>
      <c r="E29003">
        <v>0</v>
      </c>
      <c r="F29003">
        <v>990</v>
      </c>
    </row>
    <row r="29004" spans="1:6" ht="12.75">
      <c r="A29004" s="2">
        <v>43875.587118055555</v>
      </c>
      <c r="B29004" t="str">
        <f>HYPERLINK("https://twitter.com/Eldoralysia","@Eldoralysia")</f>
        <v>@Eldoralysia</v>
      </c>
      <c r="C29004" t="s">
        <v>2444</v>
      </c>
      <c r="D29004">
        <v>1241</v>
      </c>
      <c r="E29004">
        <v>0</v>
      </c>
      <c r="F29004">
        <v>443</v>
      </c>
    </row>
    <row r="29005" spans="1:6" ht="12.75">
      <c r="A29005" s="2">
        <v>43875.587118055555</v>
      </c>
      <c r="B29005" t="str">
        <f>HYPERLINK("https://twitter.com/dadanherdhi","@dadanherdhi")</f>
        <v>@dadanherdhi</v>
      </c>
      <c r="C29005" t="s">
        <v>10526</v>
      </c>
      <c r="D29005">
        <v>133</v>
      </c>
      <c r="E29005">
        <v>0</v>
      </c>
      <c r="F29005">
        <v>140</v>
      </c>
    </row>
    <row r="29006" spans="1:6" ht="12.75">
      <c r="A29006" s="2">
        <v>43875.587060185186</v>
      </c>
      <c r="B29006" t="str">
        <f>HYPERLINK("https://twitter.com/dusrimulya","@dusrimulya")</f>
        <v>@dusrimulya</v>
      </c>
      <c r="C29006" t="s">
        <v>11481</v>
      </c>
      <c r="D29006">
        <v>2</v>
      </c>
      <c r="E29006">
        <v>0</v>
      </c>
      <c r="F29006">
        <v>22305</v>
      </c>
    </row>
    <row r="29007" spans="1:6" ht="12.75">
      <c r="A29007" s="2">
        <v>43875.587037037039</v>
      </c>
      <c r="B29007" t="str">
        <f>HYPERLINK("https://twitter.com/mfthlrzky","@mfthlrzky")</f>
        <v>@mfthlrzky</v>
      </c>
      <c r="C29007" t="s">
        <v>12621</v>
      </c>
      <c r="D29007">
        <v>5</v>
      </c>
      <c r="E29007">
        <v>0</v>
      </c>
      <c r="F29007">
        <v>245</v>
      </c>
    </row>
    <row r="29008" spans="1:6" ht="12.75">
      <c r="A29008" s="2">
        <v>43875.58699074074</v>
      </c>
      <c r="B29008" t="str">
        <f>HYPERLINK("https://twitter.com/Abraham24Q","@Abraham24Q")</f>
        <v>@Abraham24Q</v>
      </c>
      <c r="C29008" t="s">
        <v>2963</v>
      </c>
      <c r="D29008">
        <v>871</v>
      </c>
      <c r="E29008">
        <v>0</v>
      </c>
      <c r="F29008">
        <v>12</v>
      </c>
    </row>
    <row r="29009" spans="1:6" ht="12.75">
      <c r="A29009" s="2">
        <v>43875.58694444444</v>
      </c>
      <c r="B29009" t="str">
        <f>HYPERLINK("https://twitter.com/Yusuf26512284","@Yusuf26512284")</f>
        <v>@Yusuf26512284</v>
      </c>
      <c r="C29009" t="s">
        <v>12622</v>
      </c>
      <c r="D29009">
        <v>0</v>
      </c>
      <c r="E29009">
        <v>0</v>
      </c>
      <c r="F29009">
        <v>1</v>
      </c>
    </row>
    <row r="29010" spans="1:6" ht="12.75">
      <c r="A29010" s="2">
        <v>43875.58694444444</v>
      </c>
      <c r="B29010" t="str">
        <f>HYPERLINK("https://twitter.com/ahmadkosasih03","@ahmadkosasih03")</f>
        <v>@ahmadkosasih03</v>
      </c>
      <c r="C29010" t="s">
        <v>9746</v>
      </c>
      <c r="D29010">
        <v>180</v>
      </c>
      <c r="E29010">
        <v>0</v>
      </c>
      <c r="F29010">
        <v>130</v>
      </c>
    </row>
    <row r="29011" spans="1:6" ht="12.75">
      <c r="A29011" s="2">
        <v>43875.586909722224</v>
      </c>
      <c r="B29011" t="str">
        <f>HYPERLINK("https://twitter.com/WayanChocolate","@WayanChocolate")</f>
        <v>@WayanChocolate</v>
      </c>
      <c r="C29011" t="s">
        <v>10300</v>
      </c>
      <c r="D29011">
        <v>27</v>
      </c>
      <c r="E29011">
        <v>0</v>
      </c>
      <c r="F29011">
        <v>258</v>
      </c>
    </row>
    <row r="29012" spans="1:6" ht="12.75">
      <c r="A29012" s="2">
        <v>43875.586863425924</v>
      </c>
      <c r="B29012" t="str">
        <f>HYPERLINK("https://twitter.com/sichengmvp","@sichengmvp")</f>
        <v>@sichengmvp</v>
      </c>
      <c r="C29012" t="s">
        <v>2444</v>
      </c>
      <c r="D29012">
        <v>1241</v>
      </c>
      <c r="E29012">
        <v>0</v>
      </c>
      <c r="F29012">
        <v>701</v>
      </c>
    </row>
    <row r="29013" spans="1:6" ht="12.75">
      <c r="A29013" s="2">
        <v>43875.586851851855</v>
      </c>
      <c r="B29013" t="str">
        <f>HYPERLINK("https://twitter.com/heysheralia","@heysheralia")</f>
        <v>@heysheralia</v>
      </c>
      <c r="C29013" t="s">
        <v>11536</v>
      </c>
      <c r="D29013">
        <v>0</v>
      </c>
      <c r="E29013">
        <v>0</v>
      </c>
      <c r="F29013">
        <v>634</v>
      </c>
    </row>
    <row r="29014" spans="1:6" ht="12.75">
      <c r="A29014" s="2">
        <v>43875.586817129632</v>
      </c>
      <c r="B29014" t="str">
        <f>HYPERLINK("https://twitter.com/IbebFebri","@IbebFebri")</f>
        <v>@IbebFebri</v>
      </c>
      <c r="C29014" t="s">
        <v>9666</v>
      </c>
      <c r="D29014">
        <v>7</v>
      </c>
      <c r="E29014">
        <v>0</v>
      </c>
      <c r="F29014">
        <v>751</v>
      </c>
    </row>
    <row r="29015" spans="1:6" ht="12.75">
      <c r="A29015" s="2">
        <v>43875.586747685185</v>
      </c>
      <c r="B29015" t="str">
        <f>HYPERLINK("https://twitter.com/Ydmt5_","@Ydmt5_")</f>
        <v>@Ydmt5_</v>
      </c>
      <c r="C29015" t="s">
        <v>9123</v>
      </c>
      <c r="D29015">
        <v>196</v>
      </c>
      <c r="E29015">
        <v>0</v>
      </c>
      <c r="F29015">
        <v>69</v>
      </c>
    </row>
    <row r="29016" spans="1:6" ht="12.75">
      <c r="A29016" s="2">
        <v>43875.586747685185</v>
      </c>
      <c r="B29016" t="str">
        <f>HYPERLINK("https://twitter.com/PutriRaysari","@PutriRaysari")</f>
        <v>@PutriRaysari</v>
      </c>
      <c r="C29016" t="s">
        <v>7478</v>
      </c>
      <c r="D29016">
        <v>138</v>
      </c>
      <c r="E29016">
        <v>0</v>
      </c>
      <c r="F29016">
        <v>1330</v>
      </c>
    </row>
    <row r="29017" spans="1:6" ht="12.75">
      <c r="A29017" s="2">
        <v>43875.586678240739</v>
      </c>
      <c r="B29017" t="str">
        <f>HYPERLINK("https://twitter.com/ArielFatR","@ArielFatR")</f>
        <v>@ArielFatR</v>
      </c>
      <c r="C29017" t="s">
        <v>12623</v>
      </c>
      <c r="D29017">
        <v>0</v>
      </c>
      <c r="E29017">
        <v>0</v>
      </c>
      <c r="F29017">
        <v>569</v>
      </c>
    </row>
    <row r="29018" spans="1:6" ht="12.75">
      <c r="A29018" s="2">
        <v>43875.586597222224</v>
      </c>
      <c r="B29018" t="str">
        <f>HYPERLINK("https://twitter.com/RobetSuyud","@RobetSuyud")</f>
        <v>@RobetSuyud</v>
      </c>
      <c r="C29018" t="s">
        <v>12624</v>
      </c>
      <c r="D29018">
        <v>0</v>
      </c>
      <c r="E29018">
        <v>0</v>
      </c>
      <c r="F29018">
        <v>0</v>
      </c>
    </row>
    <row r="29019" spans="1:6" ht="12.75">
      <c r="A29019" s="2">
        <v>43875.586493055554</v>
      </c>
      <c r="B29019" t="str">
        <f>HYPERLINK("https://twitter.com/ChayaaAlam","@ChayaaAlam")</f>
        <v>@ChayaaAlam</v>
      </c>
      <c r="C29019" t="s">
        <v>12625</v>
      </c>
      <c r="D29019">
        <v>3</v>
      </c>
      <c r="E29019">
        <v>0</v>
      </c>
      <c r="F29019">
        <v>211</v>
      </c>
    </row>
    <row r="29020" spans="1:6" ht="12.75">
      <c r="A29020" s="2">
        <v>43875.586469907408</v>
      </c>
      <c r="B29020" t="str">
        <f>HYPERLINK("https://twitter.com/AlBanna57697952","@AlBanna57697952")</f>
        <v>@AlBanna57697952</v>
      </c>
      <c r="C29020" t="s">
        <v>11424</v>
      </c>
      <c r="D29020">
        <v>45</v>
      </c>
      <c r="E29020">
        <v>0</v>
      </c>
      <c r="F29020">
        <v>42</v>
      </c>
    </row>
    <row r="29021" spans="1:6" ht="12.75">
      <c r="A29021" s="2">
        <v>43875.586423611108</v>
      </c>
      <c r="B29021" t="str">
        <f>HYPERLINK("https://twitter.com/beaucteous","@beaucteous")</f>
        <v>@beaucteous</v>
      </c>
      <c r="C29021" t="s">
        <v>2137</v>
      </c>
      <c r="D29021">
        <v>99</v>
      </c>
      <c r="E29021">
        <v>0</v>
      </c>
      <c r="F29021">
        <v>1380</v>
      </c>
    </row>
    <row r="29022" spans="1:6" ht="12.75">
      <c r="A29022" s="2">
        <v>43875.586388888885</v>
      </c>
      <c r="B29022" t="str">
        <f>HYPERLINK("https://twitter.com/mdwisuci","@mdwisuci")</f>
        <v>@mdwisuci</v>
      </c>
      <c r="C29022" t="s">
        <v>12626</v>
      </c>
      <c r="D29022">
        <v>1</v>
      </c>
      <c r="E29022">
        <v>0</v>
      </c>
      <c r="F29022">
        <v>634</v>
      </c>
    </row>
    <row r="29023" spans="1:6" ht="12.75">
      <c r="A29023" s="2">
        <v>43875.586388888885</v>
      </c>
      <c r="B29023" t="str">
        <f>HYPERLINK("https://twitter.com/DadangLumut","@DadangLumut")</f>
        <v>@DadangLumut</v>
      </c>
      <c r="C29023" t="s">
        <v>9123</v>
      </c>
      <c r="D29023">
        <v>196</v>
      </c>
      <c r="E29023">
        <v>0</v>
      </c>
      <c r="F29023">
        <v>306</v>
      </c>
    </row>
    <row r="29024" spans="1:6" ht="12.75">
      <c r="A29024" s="2">
        <v>43875.586354166662</v>
      </c>
      <c r="B29024" t="str">
        <f>HYPERLINK("https://twitter.com/JoKerR_nN","@JoKerR_nN")</f>
        <v>@JoKerR_nN</v>
      </c>
      <c r="C29024" t="s">
        <v>10422</v>
      </c>
      <c r="D29024">
        <v>86</v>
      </c>
      <c r="E29024">
        <v>0</v>
      </c>
      <c r="F29024">
        <v>715</v>
      </c>
    </row>
    <row r="29025" spans="1:6" ht="12.75">
      <c r="A29025" s="2">
        <v>43875.586215277777</v>
      </c>
      <c r="B29025" t="str">
        <f>HYPERLINK("https://twitter.com/sichengmvp","@sichengmvp")</f>
        <v>@sichengmvp</v>
      </c>
      <c r="C29025" t="s">
        <v>12377</v>
      </c>
      <c r="D29025">
        <v>9</v>
      </c>
      <c r="E29025">
        <v>0</v>
      </c>
      <c r="F29025">
        <v>701</v>
      </c>
    </row>
    <row r="29026" spans="1:6" ht="12.75">
      <c r="A29026" s="2">
        <v>43875.586215277777</v>
      </c>
      <c r="B29026" t="str">
        <f>HYPERLINK("https://twitter.com/BabArdhi","@BabArdhi")</f>
        <v>@BabArdhi</v>
      </c>
      <c r="C29026" t="s">
        <v>12627</v>
      </c>
      <c r="D29026">
        <v>0</v>
      </c>
      <c r="E29026">
        <v>0</v>
      </c>
      <c r="F29026">
        <v>58</v>
      </c>
    </row>
    <row r="29027" spans="1:6" ht="12.75">
      <c r="A29027" s="2">
        <v>43875.586215277777</v>
      </c>
      <c r="B29027" t="str">
        <f>HYPERLINK("https://twitter.com/Korbansadboi","@Korbansadboi")</f>
        <v>@Korbansadboi</v>
      </c>
      <c r="C29027" t="s">
        <v>11536</v>
      </c>
      <c r="D29027">
        <v>0</v>
      </c>
      <c r="E29027">
        <v>0</v>
      </c>
      <c r="F29027">
        <v>16</v>
      </c>
    </row>
    <row r="29028" spans="1:6" ht="12.75">
      <c r="A29028" s="2">
        <v>43875.586030092592</v>
      </c>
      <c r="B29028" t="str">
        <f>HYPERLINK("https://twitter.com/widyastutirika","@widyastutirika")</f>
        <v>@widyastutirika</v>
      </c>
      <c r="C29028" t="s">
        <v>11425</v>
      </c>
      <c r="D29028">
        <v>223</v>
      </c>
      <c r="E29028">
        <v>0</v>
      </c>
      <c r="F29028">
        <v>22</v>
      </c>
    </row>
    <row r="29029" spans="1:6" ht="12.75">
      <c r="A29029" s="2">
        <v>43875.585995370369</v>
      </c>
      <c r="B29029" t="str">
        <f>HYPERLINK("https://twitter.com/inekine","@inekine")</f>
        <v>@inekine</v>
      </c>
      <c r="C29029" t="s">
        <v>9123</v>
      </c>
      <c r="D29029">
        <v>196</v>
      </c>
      <c r="E29029">
        <v>0</v>
      </c>
      <c r="F29029">
        <v>141</v>
      </c>
    </row>
    <row r="29030" spans="1:6" ht="12.75">
      <c r="A29030" s="2">
        <v>43875.585983796293</v>
      </c>
      <c r="B29030" t="str">
        <f>HYPERLINK("https://twitter.com/mommyewik","@mommyewik")</f>
        <v>@mommyewik</v>
      </c>
      <c r="C29030" t="s">
        <v>2444</v>
      </c>
      <c r="D29030">
        <v>1241</v>
      </c>
      <c r="E29030">
        <v>0</v>
      </c>
      <c r="F29030">
        <v>235</v>
      </c>
    </row>
    <row r="29031" spans="1:6" ht="12.75">
      <c r="A29031" s="2">
        <v>43875.585960648154</v>
      </c>
      <c r="B29031" t="str">
        <f>HYPERLINK("https://twitter.com/Supriatun9","@Supriatun9")</f>
        <v>@Supriatun9</v>
      </c>
      <c r="C29031" t="s">
        <v>8881</v>
      </c>
      <c r="D29031">
        <v>274</v>
      </c>
      <c r="E29031">
        <v>0</v>
      </c>
      <c r="F29031">
        <v>250</v>
      </c>
    </row>
    <row r="29032" spans="1:6" ht="12.75">
      <c r="A29032" s="2">
        <v>43875.585902777777</v>
      </c>
      <c r="B29032" t="str">
        <f>HYPERLINK("https://twitter.com/Taehyuul","@Taehyuul")</f>
        <v>@Taehyuul</v>
      </c>
      <c r="C29032" t="s">
        <v>12347</v>
      </c>
      <c r="D29032">
        <v>0</v>
      </c>
      <c r="E29032">
        <v>0</v>
      </c>
      <c r="F29032">
        <v>39</v>
      </c>
    </row>
    <row r="29033" spans="1:6" ht="12.75">
      <c r="A29033" s="2">
        <v>43875.585902777777</v>
      </c>
      <c r="B29033" t="str">
        <f>HYPERLINK("https://twitter.com/grizkiawan","@grizkiawan")</f>
        <v>@grizkiawan</v>
      </c>
      <c r="C29033" t="s">
        <v>2444</v>
      </c>
      <c r="D29033">
        <v>1241</v>
      </c>
      <c r="E29033">
        <v>0</v>
      </c>
      <c r="F29033">
        <v>470</v>
      </c>
    </row>
    <row r="29034" spans="1:6" ht="12.75">
      <c r="A29034" s="2">
        <v>43875.585844907408</v>
      </c>
      <c r="B29034" t="str">
        <f>HYPERLINK("https://twitter.com/Manique","@Manique")</f>
        <v>@Manique</v>
      </c>
      <c r="C29034" t="s">
        <v>5168</v>
      </c>
      <c r="D29034">
        <v>693</v>
      </c>
      <c r="E29034">
        <v>0</v>
      </c>
      <c r="F29034">
        <v>147</v>
      </c>
    </row>
    <row r="29035" spans="1:6" ht="12.75">
      <c r="A29035" s="2">
        <v>43875.585787037038</v>
      </c>
      <c r="B29035" t="str">
        <f>HYPERLINK("https://twitter.com/IlhamSa77145041","@IlhamSa77145041")</f>
        <v>@IlhamSa77145041</v>
      </c>
      <c r="C29035" t="s">
        <v>12628</v>
      </c>
      <c r="D29035">
        <v>0</v>
      </c>
      <c r="E29035">
        <v>0</v>
      </c>
      <c r="F29035">
        <v>8</v>
      </c>
    </row>
    <row r="29036" spans="1:6" ht="12.75">
      <c r="A29036" s="2">
        <v>43875.585787037038</v>
      </c>
      <c r="B29036" t="str">
        <f>HYPERLINK("https://twitter.com/RamdhaniBrutus","@RamdhaniBrutus")</f>
        <v>@RamdhaniBrutus</v>
      </c>
      <c r="C29036" t="s">
        <v>9746</v>
      </c>
      <c r="D29036">
        <v>180</v>
      </c>
      <c r="E29036">
        <v>0</v>
      </c>
      <c r="F29036">
        <v>1261</v>
      </c>
    </row>
    <row r="29037" spans="1:6" ht="12.75">
      <c r="A29037" s="2">
        <v>43875.585752314815</v>
      </c>
      <c r="B29037" t="str">
        <f>HYPERLINK("https://twitter.com/mdkoir","@mdkoir")</f>
        <v>@mdkoir</v>
      </c>
      <c r="C29037" t="s">
        <v>10109</v>
      </c>
      <c r="D29037">
        <v>24</v>
      </c>
      <c r="E29037">
        <v>0</v>
      </c>
      <c r="F29037">
        <v>522</v>
      </c>
    </row>
    <row r="29038" spans="1:6" ht="12.75">
      <c r="A29038" s="2">
        <v>43875.585740740746</v>
      </c>
      <c r="B29038" t="str">
        <f>HYPERLINK("https://twitter.com/Korbansadboi","@Korbansadboi")</f>
        <v>@Korbansadboi</v>
      </c>
      <c r="C29038" t="s">
        <v>2444</v>
      </c>
      <c r="D29038">
        <v>1241</v>
      </c>
      <c r="E29038">
        <v>0</v>
      </c>
      <c r="F29038">
        <v>16</v>
      </c>
    </row>
    <row r="29039" spans="1:6" ht="12.75">
      <c r="A29039" s="2">
        <v>43875.585694444446</v>
      </c>
      <c r="B29039" t="str">
        <f>HYPERLINK("https://twitter.com/minkyebung","@minkyebung")</f>
        <v>@minkyebung</v>
      </c>
      <c r="C29039" t="s">
        <v>2444</v>
      </c>
      <c r="D29039">
        <v>1241</v>
      </c>
      <c r="E29039">
        <v>0</v>
      </c>
      <c r="F29039">
        <v>1253</v>
      </c>
    </row>
    <row r="29040" spans="1:6" ht="12.75">
      <c r="A29040" s="2">
        <v>43875.585659722223</v>
      </c>
      <c r="B29040" t="str">
        <f>HYPERLINK("https://twitter.com/Nunungkurniaw11","@Nunungkurniaw11")</f>
        <v>@Nunungkurniaw11</v>
      </c>
      <c r="C29040" t="s">
        <v>7478</v>
      </c>
      <c r="D29040">
        <v>138</v>
      </c>
      <c r="E29040">
        <v>0</v>
      </c>
      <c r="F29040">
        <v>573</v>
      </c>
    </row>
    <row r="29041" spans="1:6" ht="12.75">
      <c r="A29041" s="2">
        <v>43875.5855787037</v>
      </c>
      <c r="B29041" t="str">
        <f>HYPERLINK("https://twitter.com/trubusid","@trubusid")</f>
        <v>@trubusid</v>
      </c>
      <c r="C29041" t="s">
        <v>12629</v>
      </c>
      <c r="D29041">
        <v>0</v>
      </c>
      <c r="E29041">
        <v>0</v>
      </c>
      <c r="F29041">
        <v>1026</v>
      </c>
    </row>
    <row r="29042" spans="1:6" ht="12.75">
      <c r="A29042" s="2">
        <v>43875.585486111115</v>
      </c>
      <c r="B29042" t="str">
        <f>HYPERLINK("https://twitter.com/icegoodday","@icegoodday")</f>
        <v>@icegoodday</v>
      </c>
      <c r="C29042" t="s">
        <v>11536</v>
      </c>
      <c r="D29042">
        <v>0</v>
      </c>
      <c r="E29042">
        <v>0</v>
      </c>
      <c r="F29042">
        <v>60</v>
      </c>
    </row>
    <row r="29043" spans="1:6" ht="12.75">
      <c r="A29043" s="2">
        <v>43875.585486111115</v>
      </c>
      <c r="B29043" t="str">
        <f>HYPERLINK("https://twitter.com/bangcepe7","@bangcepe7")</f>
        <v>@bangcepe7</v>
      </c>
      <c r="C29043" t="s">
        <v>7478</v>
      </c>
      <c r="D29043">
        <v>138</v>
      </c>
      <c r="E29043">
        <v>0</v>
      </c>
      <c r="F29043">
        <v>549</v>
      </c>
    </row>
    <row r="29044" spans="1:6" ht="12.75">
      <c r="A29044" s="2">
        <v>43875.585451388892</v>
      </c>
      <c r="B29044" t="str">
        <f>HYPERLINK("https://twitter.com/lambokrumiris","@lambokrumiris")</f>
        <v>@lambokrumiris</v>
      </c>
      <c r="C29044" t="s">
        <v>5402</v>
      </c>
      <c r="D29044">
        <v>5569</v>
      </c>
      <c r="E29044">
        <v>0</v>
      </c>
      <c r="F29044">
        <v>216</v>
      </c>
    </row>
    <row r="29045" spans="1:6" ht="12.75">
      <c r="A29045" s="2">
        <v>43875.585439814815</v>
      </c>
      <c r="B29045" t="str">
        <f>HYPERLINK("https://twitter.com/sweetiebity23","@sweetiebity23")</f>
        <v>@sweetiebity23</v>
      </c>
      <c r="C29045" t="s">
        <v>9123</v>
      </c>
      <c r="D29045">
        <v>196</v>
      </c>
      <c r="E29045">
        <v>0</v>
      </c>
      <c r="F29045">
        <v>235</v>
      </c>
    </row>
    <row r="29046" spans="1:6" ht="12.75">
      <c r="A29046" s="2">
        <v>43875.585405092592</v>
      </c>
      <c r="B29046" t="str">
        <f>HYPERLINK("https://twitter.com/AboKhalil1234","@AboKhalil1234")</f>
        <v>@AboKhalil1234</v>
      </c>
      <c r="C29046" t="s">
        <v>9082</v>
      </c>
      <c r="D29046">
        <v>23</v>
      </c>
      <c r="E29046">
        <v>0</v>
      </c>
      <c r="F29046">
        <v>460</v>
      </c>
    </row>
    <row r="29047" spans="1:6" ht="12.75">
      <c r="A29047" s="2">
        <v>43875.585405092592</v>
      </c>
      <c r="B29047" t="str">
        <f>HYPERLINK("https://twitter.com/Korbansadboi","@Korbansadboi")</f>
        <v>@Korbansadboi</v>
      </c>
      <c r="C29047" t="s">
        <v>9123</v>
      </c>
      <c r="D29047">
        <v>196</v>
      </c>
      <c r="E29047">
        <v>0</v>
      </c>
      <c r="F29047">
        <v>16</v>
      </c>
    </row>
    <row r="29048" spans="1:6" ht="12.75">
      <c r="A29048" s="2">
        <v>43875.585335648153</v>
      </c>
      <c r="B29048" t="str">
        <f>HYPERLINK("https://twitter.com/bambang78225581","@bambang78225581")</f>
        <v>@bambang78225581</v>
      </c>
      <c r="C29048" t="s">
        <v>10237</v>
      </c>
      <c r="D29048">
        <v>47</v>
      </c>
      <c r="E29048">
        <v>0</v>
      </c>
      <c r="F29048">
        <v>7</v>
      </c>
    </row>
    <row r="29049" spans="1:6" ht="12.75">
      <c r="A29049" s="2">
        <v>43875.585312499999</v>
      </c>
      <c r="B29049" t="str">
        <f>HYPERLINK("https://twitter.com/SoniMsi07","@SoniMsi07")</f>
        <v>@SoniMsi07</v>
      </c>
      <c r="C29049" t="s">
        <v>10526</v>
      </c>
      <c r="D29049">
        <v>133</v>
      </c>
      <c r="E29049">
        <v>0</v>
      </c>
      <c r="F29049">
        <v>234</v>
      </c>
    </row>
    <row r="29050" spans="1:6" ht="12.75">
      <c r="A29050" s="2">
        <v>43875.585277777776</v>
      </c>
      <c r="B29050" t="str">
        <f>HYPERLINK("https://twitter.com/wonAsugar","@wonAsugar")</f>
        <v>@wonAsugar</v>
      </c>
      <c r="C29050" t="s">
        <v>9964</v>
      </c>
      <c r="D29050">
        <v>587</v>
      </c>
      <c r="E29050">
        <v>0</v>
      </c>
      <c r="F29050">
        <v>345</v>
      </c>
    </row>
    <row r="29051" spans="1:6" ht="12.75">
      <c r="A29051" s="2">
        <v>43875.585266203707</v>
      </c>
      <c r="B29051" t="str">
        <f>HYPERLINK("https://twitter.com/A4Bugs","@A4Bugs")</f>
        <v>@A4Bugs</v>
      </c>
      <c r="C29051" t="s">
        <v>7478</v>
      </c>
      <c r="D29051">
        <v>138</v>
      </c>
      <c r="E29051">
        <v>0</v>
      </c>
      <c r="F29051">
        <v>1143</v>
      </c>
    </row>
    <row r="29052" spans="1:6" ht="12.75">
      <c r="A29052" s="2">
        <v>43875.585243055553</v>
      </c>
      <c r="B29052" t="str">
        <f>HYPERLINK("https://twitter.com/Arifngk","@Arifngk")</f>
        <v>@Arifngk</v>
      </c>
      <c r="C29052" t="s">
        <v>2963</v>
      </c>
      <c r="D29052">
        <v>871</v>
      </c>
      <c r="E29052">
        <v>0</v>
      </c>
      <c r="F29052">
        <v>507</v>
      </c>
    </row>
    <row r="29053" spans="1:6" ht="12.75">
      <c r="A29053" s="2">
        <v>43875.585219907407</v>
      </c>
      <c r="B29053" t="str">
        <f>HYPERLINK("https://twitter.com/en_setiawan","@en_setiawan")</f>
        <v>@en_setiawan</v>
      </c>
      <c r="C29053" t="s">
        <v>10109</v>
      </c>
      <c r="D29053">
        <v>24</v>
      </c>
      <c r="E29053">
        <v>0</v>
      </c>
      <c r="F29053">
        <v>919</v>
      </c>
    </row>
    <row r="29054" spans="1:6" ht="12.75">
      <c r="A29054" s="2">
        <v>43875.58520833333</v>
      </c>
      <c r="B29054" t="str">
        <f>HYPERLINK("https://twitter.com/sweetiebity23","@sweetiebity23")</f>
        <v>@sweetiebity23</v>
      </c>
      <c r="C29054" t="s">
        <v>2444</v>
      </c>
      <c r="D29054">
        <v>1241</v>
      </c>
      <c r="E29054">
        <v>0</v>
      </c>
      <c r="F29054">
        <v>235</v>
      </c>
    </row>
    <row r="29055" spans="1:6" ht="12.75">
      <c r="A29055" s="2">
        <v>43875.585069444445</v>
      </c>
      <c r="B29055" t="str">
        <f>HYPERLINK("https://twitter.com/masihsukasambat","@masihsukasambat")</f>
        <v>@masihsukasambat</v>
      </c>
      <c r="C29055" t="s">
        <v>2137</v>
      </c>
      <c r="D29055">
        <v>99</v>
      </c>
      <c r="E29055">
        <v>0</v>
      </c>
      <c r="F29055">
        <v>1167</v>
      </c>
    </row>
    <row r="29056" spans="1:6" ht="12.75">
      <c r="A29056" s="2">
        <v>43875.585069444445</v>
      </c>
      <c r="B29056" t="str">
        <f>HYPERLINK("https://twitter.com/DandunSampurno2","@DandunSampurno2")</f>
        <v>@DandunSampurno2</v>
      </c>
      <c r="C29056" t="s">
        <v>12630</v>
      </c>
      <c r="D29056">
        <v>0</v>
      </c>
      <c r="E29056">
        <v>0</v>
      </c>
      <c r="F29056">
        <v>178</v>
      </c>
    </row>
    <row r="29057" spans="1:6" ht="12.75">
      <c r="A29057" s="2">
        <v>43875.585057870368</v>
      </c>
      <c r="B29057" t="str">
        <f>HYPERLINK("https://twitter.com/SupardiSikumba7","@SupardiSikumba7")</f>
        <v>@SupardiSikumba7</v>
      </c>
      <c r="C29057" t="s">
        <v>12144</v>
      </c>
      <c r="D29057">
        <v>7</v>
      </c>
      <c r="E29057">
        <v>0</v>
      </c>
      <c r="F29057">
        <v>201</v>
      </c>
    </row>
    <row r="29058" spans="1:6" ht="12.75">
      <c r="A29058" s="2">
        <v>43875.585034722222</v>
      </c>
      <c r="B29058" t="str">
        <f>HYPERLINK("https://twitter.com/audynodin","@audynodin")</f>
        <v>@audynodin</v>
      </c>
      <c r="C29058" t="s">
        <v>2444</v>
      </c>
      <c r="D29058">
        <v>1241</v>
      </c>
      <c r="E29058">
        <v>0</v>
      </c>
      <c r="F29058">
        <v>494</v>
      </c>
    </row>
    <row r="29059" spans="1:6" ht="12.75">
      <c r="A29059" s="2">
        <v>43875.584965277776</v>
      </c>
      <c r="B29059" t="str">
        <f>HYPERLINK("https://twitter.com/Basuki80844076","@Basuki80844076")</f>
        <v>@Basuki80844076</v>
      </c>
      <c r="C29059" t="s">
        <v>9746</v>
      </c>
      <c r="D29059">
        <v>180</v>
      </c>
      <c r="E29059">
        <v>0</v>
      </c>
      <c r="F29059">
        <v>24</v>
      </c>
    </row>
    <row r="29060" spans="1:6" ht="12.75">
      <c r="A29060" s="2">
        <v>43875.584965277776</v>
      </c>
      <c r="B29060" t="str">
        <f>HYPERLINK("https://twitter.com/edisonsbr","@edisonsbr")</f>
        <v>@edisonsbr</v>
      </c>
      <c r="C29060" t="s">
        <v>5624</v>
      </c>
      <c r="D29060">
        <v>118</v>
      </c>
      <c r="E29060">
        <v>0</v>
      </c>
      <c r="F29060">
        <v>75</v>
      </c>
    </row>
    <row r="29061" spans="1:6" ht="12.75">
      <c r="A29061" s="2">
        <v>43875.584953703699</v>
      </c>
      <c r="B29061" t="str">
        <f>HYPERLINK("https://twitter.com/yazidathalla","@yazidathalla")</f>
        <v>@yazidathalla</v>
      </c>
      <c r="C29061" t="s">
        <v>9964</v>
      </c>
      <c r="D29061">
        <v>587</v>
      </c>
      <c r="E29061">
        <v>0</v>
      </c>
      <c r="F29061">
        <v>297</v>
      </c>
    </row>
    <row r="29062" spans="1:6" ht="12.75">
      <c r="A29062" s="2">
        <v>43875.58493055556</v>
      </c>
      <c r="B29062" t="str">
        <f>HYPERLINK("https://twitter.com/sweetiebity23","@sweetiebity23")</f>
        <v>@sweetiebity23</v>
      </c>
      <c r="C29062" t="s">
        <v>11536</v>
      </c>
      <c r="D29062">
        <v>0</v>
      </c>
      <c r="E29062">
        <v>0</v>
      </c>
      <c r="F29062">
        <v>235</v>
      </c>
    </row>
    <row r="29063" spans="1:6" ht="12.75">
      <c r="A29063" s="2">
        <v>43875.584861111114</v>
      </c>
      <c r="B29063" t="str">
        <f>HYPERLINK("https://twitter.com/eka_ristania","@eka_ristania")</f>
        <v>@eka_ristania</v>
      </c>
      <c r="C29063" t="s">
        <v>12631</v>
      </c>
      <c r="D29063">
        <v>1</v>
      </c>
      <c r="E29063">
        <v>0</v>
      </c>
      <c r="F29063">
        <v>354</v>
      </c>
    </row>
    <row r="29064" spans="1:6" ht="12.75">
      <c r="A29064" s="2">
        <v>43875.584814814814</v>
      </c>
      <c r="B29064" t="str">
        <f>HYPERLINK("https://twitter.com/meriafrida3","@meriafrida3")</f>
        <v>@meriafrida3</v>
      </c>
      <c r="C29064" t="s">
        <v>10697</v>
      </c>
      <c r="D29064">
        <v>12</v>
      </c>
      <c r="E29064">
        <v>0</v>
      </c>
      <c r="F29064">
        <v>113</v>
      </c>
    </row>
    <row r="29065" spans="1:6" ht="12.75">
      <c r="A29065" s="2">
        <v>43875.584803240738</v>
      </c>
      <c r="B29065" t="str">
        <f>HYPERLINK("https://twitter.com/AzizFadhillah","@AzizFadhillah")</f>
        <v>@AzizFadhillah</v>
      </c>
      <c r="C29065" t="s">
        <v>9538</v>
      </c>
      <c r="D29065">
        <v>131</v>
      </c>
      <c r="E29065">
        <v>0</v>
      </c>
      <c r="F29065">
        <v>1093</v>
      </c>
    </row>
    <row r="29066" spans="1:6" ht="12.75">
      <c r="A29066" s="2">
        <v>43875.584733796291</v>
      </c>
      <c r="B29066" t="str">
        <f>HYPERLINK("https://twitter.com/abillionairey","@abillionairey")</f>
        <v>@abillionairey</v>
      </c>
      <c r="C29066" t="s">
        <v>5168</v>
      </c>
      <c r="D29066">
        <v>644</v>
      </c>
      <c r="E29066">
        <v>0</v>
      </c>
      <c r="F29066">
        <v>513</v>
      </c>
    </row>
    <row r="29067" spans="1:6" ht="12.75">
      <c r="A29067" s="2">
        <v>43875.584722222222</v>
      </c>
      <c r="B29067" t="str">
        <f>HYPERLINK("https://twitter.com/udatauhid","@udatauhid")</f>
        <v>@udatauhid</v>
      </c>
      <c r="C29067" t="s">
        <v>12632</v>
      </c>
      <c r="D29067">
        <v>0</v>
      </c>
      <c r="E29067">
        <v>0</v>
      </c>
      <c r="F29067">
        <v>425</v>
      </c>
    </row>
    <row r="29068" spans="1:6" ht="12.75">
      <c r="A29068" s="2">
        <v>43875.584652777776</v>
      </c>
      <c r="B29068" t="str">
        <f>HYPERLINK("https://twitter.com/LiniGamena","@LiniGamena")</f>
        <v>@LiniGamena</v>
      </c>
      <c r="C29068" t="s">
        <v>12633</v>
      </c>
      <c r="D29068">
        <v>0</v>
      </c>
      <c r="E29068">
        <v>0</v>
      </c>
      <c r="F29068">
        <v>361</v>
      </c>
    </row>
    <row r="29069" spans="1:6" ht="12.75">
      <c r="A29069" s="2">
        <v>43875.584641203706</v>
      </c>
      <c r="B29069" t="str">
        <f>HYPERLINK("https://twitter.com/DiartonoSapto","@DiartonoSapto")</f>
        <v>@DiartonoSapto</v>
      </c>
      <c r="C29069" t="s">
        <v>12143</v>
      </c>
      <c r="D29069">
        <v>3</v>
      </c>
      <c r="E29069">
        <v>0</v>
      </c>
      <c r="F29069">
        <v>478</v>
      </c>
    </row>
    <row r="29070" spans="1:6" ht="12.75">
      <c r="A29070" s="2">
        <v>43875.584560185191</v>
      </c>
      <c r="B29070" t="str">
        <f>HYPERLINK("https://twitter.com/AdutSuradut1","@AdutSuradut1")</f>
        <v>@AdutSuradut1</v>
      </c>
      <c r="C29070" t="s">
        <v>12634</v>
      </c>
      <c r="D29070">
        <v>0</v>
      </c>
      <c r="E29070">
        <v>0</v>
      </c>
      <c r="F29070">
        <v>621</v>
      </c>
    </row>
    <row r="29071" spans="1:6" ht="12.75">
      <c r="A29071" s="2">
        <v>43875.584456018521</v>
      </c>
      <c r="B29071" t="str">
        <f>HYPERLINK("https://twitter.com/Ali_Sopan","@Ali_Sopan")</f>
        <v>@Ali_Sopan</v>
      </c>
      <c r="C29071" t="s">
        <v>12635</v>
      </c>
      <c r="D29071">
        <v>0</v>
      </c>
      <c r="E29071">
        <v>0</v>
      </c>
      <c r="F29071">
        <v>369</v>
      </c>
    </row>
    <row r="29072" spans="1:6" ht="12.75">
      <c r="A29072" s="2">
        <v>43875.584432870368</v>
      </c>
      <c r="B29072" t="str">
        <f>HYPERLINK("https://twitter.com/Repansyahm","@Repansyahm")</f>
        <v>@Repansyahm</v>
      </c>
      <c r="C29072" t="s">
        <v>12636</v>
      </c>
      <c r="D29072">
        <v>0</v>
      </c>
      <c r="E29072">
        <v>0</v>
      </c>
      <c r="F29072">
        <v>151</v>
      </c>
    </row>
    <row r="29073" spans="1:6" ht="12.75">
      <c r="A29073" s="2">
        <v>43875.584293981483</v>
      </c>
      <c r="B29073" t="str">
        <f>HYPERLINK("https://twitter.com/ChuanFajar","@ChuanFajar")</f>
        <v>@ChuanFajar</v>
      </c>
      <c r="C29073" t="s">
        <v>12637</v>
      </c>
      <c r="D29073">
        <v>0</v>
      </c>
      <c r="E29073">
        <v>0</v>
      </c>
      <c r="F29073">
        <v>0</v>
      </c>
    </row>
    <row r="29074" spans="1:6" ht="12.75">
      <c r="A29074" s="2">
        <v>43875.584282407406</v>
      </c>
      <c r="B29074" t="str">
        <f>HYPERLINK("https://twitter.com/tristyanto76","@tristyanto76")</f>
        <v>@tristyanto76</v>
      </c>
      <c r="C29074" t="s">
        <v>12638</v>
      </c>
      <c r="D29074">
        <v>0</v>
      </c>
      <c r="E29074">
        <v>0</v>
      </c>
      <c r="F29074">
        <v>133</v>
      </c>
    </row>
    <row r="29075" spans="1:6" ht="12.75">
      <c r="A29075" s="2">
        <v>43875.584282407406</v>
      </c>
      <c r="B29075" t="str">
        <f>HYPERLINK("https://twitter.com/ikangm","@ikangm")</f>
        <v>@ikangm</v>
      </c>
      <c r="C29075" t="s">
        <v>7820</v>
      </c>
      <c r="D29075">
        <v>140</v>
      </c>
      <c r="E29075">
        <v>0</v>
      </c>
      <c r="F29075">
        <v>276</v>
      </c>
    </row>
    <row r="29076" spans="1:6" ht="12.75">
      <c r="A29076" s="2">
        <v>43875.584282407406</v>
      </c>
      <c r="B29076" t="str">
        <f>HYPERLINK("https://twitter.com/Eldoralysia","@Eldoralysia")</f>
        <v>@Eldoralysia</v>
      </c>
      <c r="C29076" t="s">
        <v>11536</v>
      </c>
      <c r="D29076">
        <v>0</v>
      </c>
      <c r="E29076">
        <v>0</v>
      </c>
      <c r="F29076">
        <v>443</v>
      </c>
    </row>
    <row r="29077" spans="1:6" ht="12.75">
      <c r="A29077" s="2">
        <v>43875.58421296296</v>
      </c>
      <c r="B29077" t="str">
        <f>HYPERLINK("https://twitter.com/arinamllaa","@arinamllaa")</f>
        <v>@arinamllaa</v>
      </c>
      <c r="C29077" t="s">
        <v>2444</v>
      </c>
      <c r="D29077">
        <v>1053</v>
      </c>
      <c r="E29077">
        <v>0</v>
      </c>
      <c r="F29077">
        <v>2937</v>
      </c>
    </row>
    <row r="29078" spans="1:6" ht="12.75">
      <c r="A29078" s="2">
        <v>43875.584189814814</v>
      </c>
      <c r="B29078" t="str">
        <f>HYPERLINK("https://twitter.com/diezitoe","@diezitoe")</f>
        <v>@diezitoe</v>
      </c>
      <c r="C29078" t="s">
        <v>10666</v>
      </c>
      <c r="D29078">
        <v>3</v>
      </c>
      <c r="E29078">
        <v>0</v>
      </c>
      <c r="F29078">
        <v>335</v>
      </c>
    </row>
    <row r="29079" spans="1:6" ht="12.75">
      <c r="A29079" s="2">
        <v>43875.584166666667</v>
      </c>
      <c r="B29079" t="str">
        <f>HYPERLINK("https://twitter.com/PutriRaysari","@PutriRaysari")</f>
        <v>@PutriRaysari</v>
      </c>
      <c r="C29079" t="s">
        <v>10096</v>
      </c>
      <c r="D29079">
        <v>113</v>
      </c>
      <c r="E29079">
        <v>0</v>
      </c>
      <c r="F29079">
        <v>1330</v>
      </c>
    </row>
    <row r="29080" spans="1:6" ht="12.75">
      <c r="A29080" s="2">
        <v>43875.584120370375</v>
      </c>
      <c r="B29080" t="str">
        <f>HYPERLINK("https://twitter.com/Mas_Enggal","@Mas_Enggal")</f>
        <v>@Mas_Enggal</v>
      </c>
      <c r="C29080" t="s">
        <v>2444</v>
      </c>
      <c r="D29080">
        <v>1053</v>
      </c>
      <c r="E29080">
        <v>0</v>
      </c>
      <c r="F29080">
        <v>323</v>
      </c>
    </row>
    <row r="29081" spans="1:6" ht="12.75">
      <c r="A29081" s="2">
        <v>43875.584097222221</v>
      </c>
      <c r="B29081" t="str">
        <f>HYPERLINK("https://twitter.com/AhmadIbrahimSu2","@AhmadIbrahimSu2")</f>
        <v>@AhmadIbrahimSu2</v>
      </c>
      <c r="C29081" t="s">
        <v>2963</v>
      </c>
      <c r="D29081">
        <v>821</v>
      </c>
      <c r="E29081">
        <v>0</v>
      </c>
      <c r="F29081">
        <v>4</v>
      </c>
    </row>
    <row r="29082" spans="1:6" ht="12.75">
      <c r="A29082" s="2">
        <v>43875.584050925929</v>
      </c>
      <c r="B29082" t="str">
        <f>HYPERLINK("https://twitter.com/ishmahzakiyya","@ishmahzakiyya")</f>
        <v>@ishmahzakiyya</v>
      </c>
      <c r="C29082" t="s">
        <v>2444</v>
      </c>
      <c r="D29082">
        <v>1053</v>
      </c>
      <c r="E29082">
        <v>0</v>
      </c>
      <c r="F29082">
        <v>382</v>
      </c>
    </row>
    <row r="29083" spans="1:6" ht="12.75">
      <c r="A29083" s="2">
        <v>43875.584050925929</v>
      </c>
      <c r="B29083" t="str">
        <f>HYPERLINK("https://twitter.com/lailanhani","@lailanhani")</f>
        <v>@lailanhani</v>
      </c>
      <c r="C29083" t="s">
        <v>2444</v>
      </c>
      <c r="D29083">
        <v>1053</v>
      </c>
      <c r="E29083">
        <v>0</v>
      </c>
      <c r="F29083">
        <v>342</v>
      </c>
    </row>
    <row r="29084" spans="1:6" ht="12.75">
      <c r="A29084" s="2">
        <v>43875.584027777775</v>
      </c>
      <c r="B29084" t="str">
        <f>HYPERLINK("https://twitter.com/MataMataPolitik","@MataMataPolitik")</f>
        <v>@MataMataPolitik</v>
      </c>
      <c r="C29084" t="s">
        <v>12639</v>
      </c>
      <c r="D29084">
        <v>0</v>
      </c>
      <c r="E29084">
        <v>0</v>
      </c>
      <c r="F29084">
        <v>3734</v>
      </c>
    </row>
    <row r="29085" spans="1:6" ht="12.75">
      <c r="A29085" s="2">
        <v>43875.583981481483</v>
      </c>
      <c r="B29085" t="str">
        <f>HYPERLINK("https://twitter.com/diezitoe","@diezitoe")</f>
        <v>@diezitoe</v>
      </c>
      <c r="C29085" t="s">
        <v>12640</v>
      </c>
      <c r="D29085">
        <v>1</v>
      </c>
      <c r="E29085">
        <v>0</v>
      </c>
      <c r="F29085">
        <v>335</v>
      </c>
    </row>
    <row r="29086" spans="1:6" ht="12.75">
      <c r="A29086" s="2">
        <v>43875.58394675926</v>
      </c>
      <c r="B29086" t="str">
        <f>HYPERLINK("https://twitter.com/jodi_wirawan","@jodi_wirawan")</f>
        <v>@jodi_wirawan</v>
      </c>
      <c r="C29086" t="s">
        <v>2444</v>
      </c>
      <c r="D29086">
        <v>1053</v>
      </c>
      <c r="E29086">
        <v>0</v>
      </c>
      <c r="F29086">
        <v>150</v>
      </c>
    </row>
    <row r="29087" spans="1:6" ht="12.75">
      <c r="A29087" s="2">
        <v>43875.583912037036</v>
      </c>
      <c r="B29087" t="str">
        <f>HYPERLINK("https://twitter.com/Arifngk","@Arifngk")</f>
        <v>@Arifngk</v>
      </c>
      <c r="C29087" t="s">
        <v>12641</v>
      </c>
      <c r="D29087">
        <v>73</v>
      </c>
      <c r="E29087">
        <v>0</v>
      </c>
      <c r="F29087">
        <v>507</v>
      </c>
    </row>
    <row r="29088" spans="1:6" ht="12.75">
      <c r="A29088" s="2">
        <v>43875.583877314813</v>
      </c>
      <c r="B29088" t="str">
        <f>HYPERLINK("https://twitter.com/st_kurniawan","@st_kurniawan")</f>
        <v>@st_kurniawan</v>
      </c>
      <c r="C29088" t="s">
        <v>2963</v>
      </c>
      <c r="D29088">
        <v>821</v>
      </c>
      <c r="E29088">
        <v>0</v>
      </c>
      <c r="F29088">
        <v>2155</v>
      </c>
    </row>
    <row r="29089" spans="1:6" ht="12.75">
      <c r="A29089" s="2">
        <v>43875.583831018521</v>
      </c>
      <c r="B29089" t="str">
        <f>HYPERLINK("https://twitter.com/diezitoe","@diezitoe")</f>
        <v>@diezitoe</v>
      </c>
      <c r="C29089" t="s">
        <v>12642</v>
      </c>
      <c r="D29089">
        <v>4</v>
      </c>
      <c r="E29089">
        <v>0</v>
      </c>
      <c r="F29089">
        <v>335</v>
      </c>
    </row>
    <row r="29090" spans="1:6" ht="12.75">
      <c r="A29090" s="2">
        <v>43875.583807870367</v>
      </c>
      <c r="B29090" t="str">
        <f>HYPERLINK("https://twitter.com/gadlsku","@gadlsku")</f>
        <v>@gadlsku</v>
      </c>
      <c r="C29090" t="s">
        <v>2444</v>
      </c>
      <c r="D29090">
        <v>1053</v>
      </c>
      <c r="E29090">
        <v>0</v>
      </c>
      <c r="F29090">
        <v>1019</v>
      </c>
    </row>
    <row r="29091" spans="1:6" ht="12.75">
      <c r="A29091" s="2">
        <v>43875.583796296298</v>
      </c>
      <c r="B29091" t="str">
        <f>HYPERLINK("https://twitter.com/ino_mufc","@ino_mufc")</f>
        <v>@ino_mufc</v>
      </c>
      <c r="C29091" t="s">
        <v>9746</v>
      </c>
      <c r="D29091">
        <v>135</v>
      </c>
      <c r="E29091">
        <v>0</v>
      </c>
      <c r="F29091">
        <v>387</v>
      </c>
    </row>
    <row r="29092" spans="1:6" ht="12.75">
      <c r="A29092" s="2">
        <v>43875.583784722221</v>
      </c>
      <c r="B29092" t="str">
        <f>HYPERLINK("https://twitter.com/HyugaHyu","@HyugaHyu")</f>
        <v>@HyugaHyu</v>
      </c>
      <c r="C29092" t="s">
        <v>12643</v>
      </c>
      <c r="D29092">
        <v>1</v>
      </c>
      <c r="E29092">
        <v>0</v>
      </c>
      <c r="F29092">
        <v>28</v>
      </c>
    </row>
    <row r="29093" spans="1:6" ht="12.75">
      <c r="A29093" s="2">
        <v>43875.583750000005</v>
      </c>
      <c r="B29093" t="str">
        <f>HYPERLINK("https://twitter.com/diezitoe","@diezitoe")</f>
        <v>@diezitoe</v>
      </c>
      <c r="C29093" t="s">
        <v>12644</v>
      </c>
      <c r="D29093">
        <v>1</v>
      </c>
      <c r="E29093">
        <v>0</v>
      </c>
      <c r="F29093">
        <v>335</v>
      </c>
    </row>
    <row r="29094" spans="1:6" ht="12.75">
      <c r="A29094" s="2">
        <v>43875.583750000005</v>
      </c>
      <c r="B29094" t="str">
        <f>HYPERLINK("https://twitter.com/MohMans45469273","@MohMans45469273")</f>
        <v>@MohMans45469273</v>
      </c>
      <c r="C29094" t="s">
        <v>7478</v>
      </c>
      <c r="D29094">
        <v>61</v>
      </c>
      <c r="E29094">
        <v>0</v>
      </c>
      <c r="F29094">
        <v>750</v>
      </c>
    </row>
    <row r="29095" spans="1:6" ht="12.75">
      <c r="A29095" s="2">
        <v>43875.583715277782</v>
      </c>
      <c r="B29095" t="str">
        <f>HYPERLINK("https://twitter.com/katsupedas","@katsupedas")</f>
        <v>@katsupedas</v>
      </c>
      <c r="C29095" t="s">
        <v>2444</v>
      </c>
      <c r="D29095">
        <v>1053</v>
      </c>
      <c r="E29095">
        <v>0</v>
      </c>
      <c r="F29095">
        <v>2114</v>
      </c>
    </row>
    <row r="29096" spans="1:6" ht="12.75">
      <c r="A29096" s="2">
        <v>43875.583692129629</v>
      </c>
      <c r="B29096" t="str">
        <f>HYPERLINK("https://twitter.com/itsnine7","@itsnine7")</f>
        <v>@itsnine7</v>
      </c>
      <c r="C29096" t="s">
        <v>9123</v>
      </c>
      <c r="D29096">
        <v>118</v>
      </c>
      <c r="E29096">
        <v>0</v>
      </c>
      <c r="F29096">
        <v>172</v>
      </c>
    </row>
    <row r="29097" spans="1:6" ht="12.75">
      <c r="A29097" s="2">
        <v>43875.583668981482</v>
      </c>
      <c r="B29097" t="str">
        <f>HYPERLINK("https://twitter.com/entzusiaast","@entzusiaast")</f>
        <v>@entzusiaast</v>
      </c>
      <c r="C29097" t="s">
        <v>2444</v>
      </c>
      <c r="D29097">
        <v>1053</v>
      </c>
      <c r="E29097">
        <v>0</v>
      </c>
      <c r="F29097">
        <v>217</v>
      </c>
    </row>
    <row r="29098" spans="1:6" ht="12.75">
      <c r="A29098" s="2">
        <v>43875.583645833336</v>
      </c>
      <c r="B29098" t="str">
        <f>HYPERLINK("https://twitter.com/maygentrainer","@maygentrainer")</f>
        <v>@maygentrainer</v>
      </c>
      <c r="C29098" t="s">
        <v>2444</v>
      </c>
      <c r="D29098">
        <v>1053</v>
      </c>
      <c r="E29098">
        <v>0</v>
      </c>
      <c r="F29098">
        <v>180</v>
      </c>
    </row>
    <row r="29099" spans="1:6" ht="12.75">
      <c r="A29099" s="2">
        <v>43875.583645833336</v>
      </c>
      <c r="B29099" t="str">
        <f>HYPERLINK("https://twitter.com/12_ashura","@12_ashura")</f>
        <v>@12_ashura</v>
      </c>
      <c r="C29099" t="s">
        <v>12645</v>
      </c>
      <c r="D29099">
        <v>1</v>
      </c>
      <c r="E29099">
        <v>0</v>
      </c>
      <c r="F29099">
        <v>8</v>
      </c>
    </row>
    <row r="29100" spans="1:6" ht="12.75">
      <c r="A29100" s="2">
        <v>43875.583611111113</v>
      </c>
      <c r="B29100" t="str">
        <f>HYPERLINK("https://twitter.com/wawanloutoh","@wawanloutoh")</f>
        <v>@wawanloutoh</v>
      </c>
      <c r="C29100" t="s">
        <v>12646</v>
      </c>
      <c r="D29100">
        <v>0</v>
      </c>
      <c r="E29100">
        <v>0</v>
      </c>
      <c r="F29100">
        <v>356</v>
      </c>
    </row>
    <row r="29101" spans="1:6" ht="12.75">
      <c r="A29101" s="2">
        <v>43875.583599537036</v>
      </c>
      <c r="B29101" t="str">
        <f>HYPERLINK("https://twitter.com/diezitoe","@diezitoe")</f>
        <v>@diezitoe</v>
      </c>
      <c r="C29101" t="s">
        <v>12101</v>
      </c>
      <c r="D29101">
        <v>1</v>
      </c>
      <c r="E29101">
        <v>0</v>
      </c>
      <c r="F29101">
        <v>335</v>
      </c>
    </row>
    <row r="29102" spans="1:6" ht="12.75">
      <c r="A29102" s="2">
        <v>43875.583541666667</v>
      </c>
      <c r="B29102" t="str">
        <f>HYPERLINK("https://twitter.com/ohdinss","@ohdinss")</f>
        <v>@ohdinss</v>
      </c>
      <c r="C29102" t="s">
        <v>5168</v>
      </c>
      <c r="D29102">
        <v>644</v>
      </c>
      <c r="E29102">
        <v>0</v>
      </c>
      <c r="F29102">
        <v>128</v>
      </c>
    </row>
    <row r="29103" spans="1:6" ht="12.75">
      <c r="A29103" s="2">
        <v>43875.583530092597</v>
      </c>
      <c r="B29103" t="str">
        <f>HYPERLINK("https://twitter.com/keruwetan","@keruwetan")</f>
        <v>@keruwetan</v>
      </c>
      <c r="C29103" t="s">
        <v>8233</v>
      </c>
      <c r="D29103">
        <v>433</v>
      </c>
      <c r="E29103">
        <v>0</v>
      </c>
      <c r="F29103">
        <v>1412</v>
      </c>
    </row>
    <row r="29104" spans="1:6" ht="12.75">
      <c r="A29104" s="2">
        <v>43875.583530092597</v>
      </c>
      <c r="B29104" t="str">
        <f>HYPERLINK("https://twitter.com/sugacrane","@sugacrane")</f>
        <v>@sugacrane</v>
      </c>
      <c r="C29104" t="s">
        <v>2444</v>
      </c>
      <c r="D29104">
        <v>1053</v>
      </c>
      <c r="E29104">
        <v>0</v>
      </c>
      <c r="F29104">
        <v>1417</v>
      </c>
    </row>
    <row r="29105" spans="1:6" ht="12.75">
      <c r="A29105" s="2">
        <v>43875.583495370374</v>
      </c>
      <c r="B29105" t="str">
        <f>HYPERLINK("https://twitter.com/heedewh","@heedewh")</f>
        <v>@heedewh</v>
      </c>
      <c r="C29105" t="s">
        <v>12647</v>
      </c>
      <c r="D29105">
        <v>0</v>
      </c>
      <c r="E29105">
        <v>0</v>
      </c>
      <c r="F29105">
        <v>651</v>
      </c>
    </row>
    <row r="29106" spans="1:6" ht="12.75">
      <c r="A29106" s="2">
        <v>43875.583437499998</v>
      </c>
      <c r="B29106" t="str">
        <f>HYPERLINK("https://twitter.com/ishmahzakiyya","@ishmahzakiyya")</f>
        <v>@ishmahzakiyya</v>
      </c>
      <c r="C29106" t="s">
        <v>5168</v>
      </c>
      <c r="D29106">
        <v>644</v>
      </c>
      <c r="E29106">
        <v>0</v>
      </c>
      <c r="F29106">
        <v>382</v>
      </c>
    </row>
    <row r="29107" spans="1:6" ht="12.75">
      <c r="A29107" s="2">
        <v>43875.583368055552</v>
      </c>
      <c r="B29107" t="str">
        <f>HYPERLINK("https://twitter.com/saranghaoo","@saranghaoo")</f>
        <v>@saranghaoo</v>
      </c>
      <c r="C29107" t="s">
        <v>9964</v>
      </c>
      <c r="D29107">
        <v>572</v>
      </c>
      <c r="E29107">
        <v>0</v>
      </c>
      <c r="F29107">
        <v>571</v>
      </c>
    </row>
    <row r="29108" spans="1:6" ht="12.75">
      <c r="A29108" s="2">
        <v>43875.583356481482</v>
      </c>
      <c r="B29108" t="str">
        <f>HYPERLINK("https://twitter.com/entzusiaast","@entzusiaast")</f>
        <v>@entzusiaast</v>
      </c>
      <c r="C29108" t="s">
        <v>9123</v>
      </c>
      <c r="D29108">
        <v>118</v>
      </c>
      <c r="E29108">
        <v>0</v>
      </c>
      <c r="F29108">
        <v>217</v>
      </c>
    </row>
    <row r="29109" spans="1:6" ht="12.75">
      <c r="A29109" s="2">
        <v>43875.583344907413</v>
      </c>
      <c r="B29109" t="str">
        <f>HYPERLINK("https://twitter.com/rmol_id","@rmol_id")</f>
        <v>@rmol_id</v>
      </c>
      <c r="C29109" t="s">
        <v>12648</v>
      </c>
      <c r="D29109">
        <v>0</v>
      </c>
      <c r="E29109">
        <v>0</v>
      </c>
      <c r="F29109">
        <v>160936</v>
      </c>
    </row>
    <row r="29110" spans="1:6" ht="12.75">
      <c r="A29110" s="2">
        <v>43875.583321759259</v>
      </c>
      <c r="B29110" t="str">
        <f>HYPERLINK("https://twitter.com/pindainews","@pindainews")</f>
        <v>@pindainews</v>
      </c>
      <c r="C29110" t="s">
        <v>12649</v>
      </c>
      <c r="D29110">
        <v>0</v>
      </c>
      <c r="E29110">
        <v>0</v>
      </c>
      <c r="F29110">
        <v>91</v>
      </c>
    </row>
    <row r="29111" spans="1:6" ht="12.75">
      <c r="A29111" s="2">
        <v>43875.583310185189</v>
      </c>
      <c r="B29111" t="str">
        <f>HYPERLINK("https://twitter.com/achttiensept","@achttiensept")</f>
        <v>@achttiensept</v>
      </c>
      <c r="C29111" t="s">
        <v>2444</v>
      </c>
      <c r="D29111">
        <v>1053</v>
      </c>
      <c r="E29111">
        <v>0</v>
      </c>
      <c r="F29111">
        <v>22</v>
      </c>
    </row>
    <row r="29112" spans="1:6" ht="12.75">
      <c r="A29112" s="2">
        <v>43875.583275462966</v>
      </c>
      <c r="B29112" t="str">
        <f>HYPERLINK("https://twitter.com/IdamanNegri","@IdamanNegri")</f>
        <v>@IdamanNegri</v>
      </c>
      <c r="C29112" t="s">
        <v>12650</v>
      </c>
      <c r="D29112">
        <v>1</v>
      </c>
      <c r="E29112">
        <v>0</v>
      </c>
      <c r="F29112">
        <v>12</v>
      </c>
    </row>
    <row r="29113" spans="1:6" ht="12.75">
      <c r="A29113" s="2">
        <v>43875.583229166667</v>
      </c>
      <c r="B29113" t="str">
        <f>HYPERLINK("https://twitter.com/dumplingkisses","@dumplingkisses")</f>
        <v>@dumplingkisses</v>
      </c>
      <c r="C29113" t="s">
        <v>12651</v>
      </c>
      <c r="D29113">
        <v>1</v>
      </c>
      <c r="E29113">
        <v>0</v>
      </c>
      <c r="F29113">
        <v>148</v>
      </c>
    </row>
    <row r="29114" spans="1:6" ht="12.75">
      <c r="A29114" s="2">
        <v>43875.58320601852</v>
      </c>
      <c r="B29114" t="str">
        <f>HYPERLINK("https://twitter.com/IdamanNegri","@IdamanNegri")</f>
        <v>@IdamanNegri</v>
      </c>
      <c r="C29114" t="s">
        <v>12652</v>
      </c>
      <c r="D29114">
        <v>1</v>
      </c>
      <c r="E29114">
        <v>0</v>
      </c>
      <c r="F29114">
        <v>12</v>
      </c>
    </row>
    <row r="29115" spans="1:6" ht="12.75">
      <c r="A29115" s="2">
        <v>43875.583182870367</v>
      </c>
      <c r="B29115" t="str">
        <f>HYPERLINK("https://twitter.com/Sendall_jener","@Sendall_jener")</f>
        <v>@Sendall_jener</v>
      </c>
      <c r="C29115" t="s">
        <v>2444</v>
      </c>
      <c r="D29115">
        <v>1053</v>
      </c>
      <c r="E29115">
        <v>0</v>
      </c>
      <c r="F29115">
        <v>36</v>
      </c>
    </row>
    <row r="29116" spans="1:6" ht="12.75">
      <c r="A29116" s="2">
        <v>43875.583148148144</v>
      </c>
      <c r="B29116" t="str">
        <f>HYPERLINK("https://twitter.com/fatus05","@fatus05")</f>
        <v>@fatus05</v>
      </c>
      <c r="C29116" t="s">
        <v>2444</v>
      </c>
      <c r="D29116">
        <v>1053</v>
      </c>
      <c r="E29116">
        <v>0</v>
      </c>
      <c r="F29116">
        <v>849</v>
      </c>
    </row>
    <row r="29117" spans="1:6" ht="12.75">
      <c r="A29117" s="2">
        <v>43875.583113425921</v>
      </c>
      <c r="B29117" t="str">
        <f>HYPERLINK("https://twitter.com/HyugaHyu","@HyugaHyu")</f>
        <v>@HyugaHyu</v>
      </c>
      <c r="C29117" t="s">
        <v>12653</v>
      </c>
      <c r="D29117">
        <v>1</v>
      </c>
      <c r="E29117">
        <v>0</v>
      </c>
      <c r="F29117">
        <v>28</v>
      </c>
    </row>
    <row r="29118" spans="1:6" ht="12.75">
      <c r="A29118" s="2">
        <v>43875.583113425921</v>
      </c>
      <c r="B29118" t="str">
        <f>HYPERLINK("https://twitter.com/diezitoe","@diezitoe")</f>
        <v>@diezitoe</v>
      </c>
      <c r="C29118" t="s">
        <v>12654</v>
      </c>
      <c r="D29118">
        <v>1</v>
      </c>
      <c r="E29118">
        <v>0</v>
      </c>
      <c r="F29118">
        <v>335</v>
      </c>
    </row>
    <row r="29119" spans="1:6" ht="12.75">
      <c r="A29119" s="2">
        <v>43875.583078703705</v>
      </c>
      <c r="B29119" t="str">
        <f>HYPERLINK("https://twitter.com/kangdin223","@kangdin223")</f>
        <v>@kangdin223</v>
      </c>
      <c r="C29119" t="s">
        <v>12612</v>
      </c>
      <c r="D29119">
        <v>15</v>
      </c>
      <c r="E29119">
        <v>0</v>
      </c>
      <c r="F29119">
        <v>4063</v>
      </c>
    </row>
    <row r="29120" spans="1:6" ht="12.75">
      <c r="A29120" s="2">
        <v>43875.583055555559</v>
      </c>
      <c r="B29120" t="str">
        <f>HYPERLINK("https://twitter.com/gendhisayu20","@gendhisayu20")</f>
        <v>@gendhisayu20</v>
      </c>
      <c r="C29120" t="s">
        <v>2444</v>
      </c>
      <c r="D29120">
        <v>1053</v>
      </c>
      <c r="E29120">
        <v>0</v>
      </c>
      <c r="F29120">
        <v>79</v>
      </c>
    </row>
    <row r="29121" spans="1:6" ht="12.75">
      <c r="A29121" s="2">
        <v>43875.583020833335</v>
      </c>
      <c r="B29121" t="str">
        <f>HYPERLINK("https://twitter.com/diezitoe","@diezitoe")</f>
        <v>@diezitoe</v>
      </c>
      <c r="C29121" t="s">
        <v>12377</v>
      </c>
      <c r="D29121">
        <v>5</v>
      </c>
      <c r="E29121">
        <v>0</v>
      </c>
      <c r="F29121">
        <v>335</v>
      </c>
    </row>
    <row r="29122" spans="1:6" ht="12.75">
      <c r="A29122" s="2">
        <v>43875.582986111112</v>
      </c>
      <c r="B29122" t="str">
        <f>HYPERLINK("https://twitter.com/SoniMsi07","@SoniMsi07")</f>
        <v>@SoniMsi07</v>
      </c>
      <c r="C29122" t="s">
        <v>10121</v>
      </c>
      <c r="D29122">
        <v>175</v>
      </c>
      <c r="E29122">
        <v>0</v>
      </c>
      <c r="F29122">
        <v>234</v>
      </c>
    </row>
    <row r="29123" spans="1:6" ht="12.75">
      <c r="A29123" s="2">
        <v>43875.582951388889</v>
      </c>
      <c r="B29123" t="str">
        <f>HYPERLINK("https://twitter.com/fatus05","@fatus05")</f>
        <v>@fatus05</v>
      </c>
      <c r="C29123" t="s">
        <v>11536</v>
      </c>
      <c r="D29123">
        <v>0</v>
      </c>
      <c r="E29123">
        <v>0</v>
      </c>
      <c r="F29123">
        <v>849</v>
      </c>
    </row>
    <row r="29124" spans="1:6" ht="12.75">
      <c r="A29124" s="2">
        <v>43875.582916666666</v>
      </c>
      <c r="B29124" t="str">
        <f>HYPERLINK("https://twitter.com/amanidelm","@amanidelm")</f>
        <v>@amanidelm</v>
      </c>
      <c r="C29124" t="s">
        <v>10422</v>
      </c>
      <c r="D29124">
        <v>83</v>
      </c>
      <c r="E29124">
        <v>0</v>
      </c>
      <c r="F29124">
        <v>1644</v>
      </c>
    </row>
    <row r="29125" spans="1:6" ht="12.75">
      <c r="A29125" s="2">
        <v>43875.582835648151</v>
      </c>
      <c r="B29125" t="str">
        <f>HYPERLINK("https://twitter.com/fakboycoy","@fakboycoy")</f>
        <v>@fakboycoy</v>
      </c>
      <c r="C29125" t="s">
        <v>12655</v>
      </c>
      <c r="D29125">
        <v>1</v>
      </c>
      <c r="E29125">
        <v>0</v>
      </c>
      <c r="F29125">
        <v>34</v>
      </c>
    </row>
    <row r="29126" spans="1:6" ht="12.75">
      <c r="A29126" s="2">
        <v>43875.582789351851</v>
      </c>
      <c r="B29126" t="str">
        <f>HYPERLINK("https://twitter.com/Adnestamaria","@Adnestamaria")</f>
        <v>@Adnestamaria</v>
      </c>
      <c r="C29126" t="s">
        <v>5168</v>
      </c>
      <c r="D29126">
        <v>644</v>
      </c>
      <c r="E29126">
        <v>0</v>
      </c>
      <c r="F29126">
        <v>241</v>
      </c>
    </row>
    <row r="29127" spans="1:6" ht="12.75">
      <c r="A29127" s="2">
        <v>43875.582719907412</v>
      </c>
      <c r="B29127" t="str">
        <f>HYPERLINK("https://twitter.com/HidayatAdhin","@HidayatAdhin")</f>
        <v>@HidayatAdhin</v>
      </c>
      <c r="C29127" t="s">
        <v>9971</v>
      </c>
      <c r="D29127">
        <v>4</v>
      </c>
      <c r="E29127">
        <v>0</v>
      </c>
      <c r="F29127">
        <v>388</v>
      </c>
    </row>
    <row r="29128" spans="1:6" ht="12.75">
      <c r="A29128" s="2">
        <v>43875.582708333328</v>
      </c>
      <c r="B29128" t="str">
        <f>HYPERLINK("https://twitter.com/entzusiaast","@entzusiaast")</f>
        <v>@entzusiaast</v>
      </c>
      <c r="C29128" t="s">
        <v>11536</v>
      </c>
      <c r="D29128">
        <v>0</v>
      </c>
      <c r="E29128">
        <v>0</v>
      </c>
      <c r="F29128">
        <v>217</v>
      </c>
    </row>
    <row r="29129" spans="1:6" ht="12.75">
      <c r="A29129" s="2">
        <v>43875.582696759258</v>
      </c>
      <c r="B29129" t="str">
        <f>HYPERLINK("https://twitter.com/DeAkatsuki1","@DeAkatsuki1")</f>
        <v>@DeAkatsuki1</v>
      </c>
      <c r="C29129" t="s">
        <v>12656</v>
      </c>
      <c r="D29129">
        <v>1</v>
      </c>
      <c r="E29129">
        <v>0</v>
      </c>
      <c r="F29129">
        <v>8</v>
      </c>
    </row>
    <row r="29130" spans="1:6" ht="12.75">
      <c r="A29130" s="2">
        <v>43875.582638888889</v>
      </c>
      <c r="B29130" t="str">
        <f>HYPERLINK("https://twitter.com/enokibeef","@enokibeef")</f>
        <v>@enokibeef</v>
      </c>
      <c r="C29130" t="s">
        <v>9123</v>
      </c>
      <c r="D29130">
        <v>118</v>
      </c>
      <c r="E29130">
        <v>0</v>
      </c>
      <c r="F29130">
        <v>81</v>
      </c>
    </row>
    <row r="29131" spans="1:6" ht="12.75">
      <c r="A29131" s="2">
        <v>43875.582604166666</v>
      </c>
      <c r="B29131" t="str">
        <f>HYPERLINK("https://twitter.com/tteokpoKyu","@tteokpoKyu")</f>
        <v>@tteokpoKyu</v>
      </c>
      <c r="C29131" t="s">
        <v>2444</v>
      </c>
      <c r="D29131">
        <v>1053</v>
      </c>
      <c r="E29131">
        <v>0</v>
      </c>
      <c r="F29131">
        <v>436</v>
      </c>
    </row>
    <row r="29132" spans="1:6" ht="12.75">
      <c r="A29132" s="2">
        <v>43875.582557870366</v>
      </c>
      <c r="B29132" t="str">
        <f>HYPERLINK("https://twitter.com/_wni_","@_wni_")</f>
        <v>@_wni_</v>
      </c>
      <c r="C29132" t="s">
        <v>12657</v>
      </c>
      <c r="D29132">
        <v>0</v>
      </c>
      <c r="E29132">
        <v>0</v>
      </c>
      <c r="F29132">
        <v>8</v>
      </c>
    </row>
    <row r="29133" spans="1:6" ht="12.75">
      <c r="A29133" s="2">
        <v>43875.582523148143</v>
      </c>
      <c r="B29133" t="str">
        <f>HYPERLINK("https://twitter.com/Inibarufajar","@Inibarufajar")</f>
        <v>@Inibarufajar</v>
      </c>
      <c r="C29133" t="s">
        <v>2444</v>
      </c>
      <c r="D29133">
        <v>1053</v>
      </c>
      <c r="E29133">
        <v>0</v>
      </c>
      <c r="F29133">
        <v>96</v>
      </c>
    </row>
    <row r="29134" spans="1:6" ht="12.75">
      <c r="A29134" s="2">
        <v>43875.582523148143</v>
      </c>
      <c r="B29134" t="str">
        <f>HYPERLINK("https://twitter.com/agskprmn","@agskprmn")</f>
        <v>@agskprmn</v>
      </c>
      <c r="C29134" t="s">
        <v>12658</v>
      </c>
      <c r="D29134">
        <v>0</v>
      </c>
      <c r="E29134">
        <v>0</v>
      </c>
      <c r="F29134">
        <v>376</v>
      </c>
    </row>
    <row r="29135" spans="1:6" ht="12.75">
      <c r="A29135" s="2">
        <v>43875.582523148143</v>
      </c>
      <c r="B29135" t="str">
        <f>HYPERLINK("https://twitter.com/Rita8213","@Rita8213")</f>
        <v>@Rita8213</v>
      </c>
      <c r="C29135" t="s">
        <v>12659</v>
      </c>
      <c r="D29135">
        <v>0</v>
      </c>
      <c r="E29135">
        <v>0</v>
      </c>
      <c r="F29135">
        <v>108</v>
      </c>
    </row>
    <row r="29136" spans="1:6" ht="12.75">
      <c r="A29136" s="2">
        <v>43875.582465277781</v>
      </c>
      <c r="B29136" t="str">
        <f>HYPERLINK("https://twitter.com/Ramayan63810275","@Ramayan63810275")</f>
        <v>@Ramayan63810275</v>
      </c>
      <c r="C29136" t="s">
        <v>10297</v>
      </c>
      <c r="D29136">
        <v>2</v>
      </c>
      <c r="E29136">
        <v>0</v>
      </c>
      <c r="F29136">
        <v>1675</v>
      </c>
    </row>
    <row r="29137" spans="1:6" ht="12.75">
      <c r="A29137" s="2">
        <v>43875.582372685181</v>
      </c>
      <c r="B29137" t="str">
        <f>HYPERLINK("https://twitter.com/SahlanAmin4","@SahlanAmin4")</f>
        <v>@SahlanAmin4</v>
      </c>
      <c r="C29137" t="s">
        <v>9538</v>
      </c>
      <c r="D29137">
        <v>131</v>
      </c>
      <c r="E29137">
        <v>0</v>
      </c>
      <c r="F29137">
        <v>615</v>
      </c>
    </row>
    <row r="29138" spans="1:6" ht="12.75">
      <c r="A29138" s="2">
        <v>43875.582361111112</v>
      </c>
      <c r="B29138" t="str">
        <f>HYPERLINK("https://twitter.com/rifkiperdanaa","@rifkiperdanaa")</f>
        <v>@rifkiperdanaa</v>
      </c>
      <c r="C29138" t="s">
        <v>2444</v>
      </c>
      <c r="D29138">
        <v>1053</v>
      </c>
      <c r="E29138">
        <v>0</v>
      </c>
      <c r="F29138">
        <v>465</v>
      </c>
    </row>
    <row r="29139" spans="1:6" ht="12.75">
      <c r="A29139" s="2">
        <v>43875.582361111112</v>
      </c>
      <c r="B29139" t="str">
        <f>HYPERLINK("https://twitter.com/Sendall_jener","@Sendall_jener")</f>
        <v>@Sendall_jener</v>
      </c>
      <c r="C29139" t="s">
        <v>9123</v>
      </c>
      <c r="D29139">
        <v>118</v>
      </c>
      <c r="E29139">
        <v>0</v>
      </c>
      <c r="F29139">
        <v>36</v>
      </c>
    </row>
    <row r="29140" spans="1:6" ht="12.75">
      <c r="A29140" s="2">
        <v>43875.582280092596</v>
      </c>
      <c r="B29140" t="str">
        <f>HYPERLINK("https://twitter.com/NavyrulF","@NavyrulF")</f>
        <v>@NavyrulF</v>
      </c>
      <c r="C29140" t="s">
        <v>2444</v>
      </c>
      <c r="D29140">
        <v>1053</v>
      </c>
      <c r="E29140">
        <v>0</v>
      </c>
      <c r="F29140">
        <v>316</v>
      </c>
    </row>
    <row r="29141" spans="1:6" ht="12.75">
      <c r="A29141" s="2">
        <v>43875.582233796296</v>
      </c>
      <c r="B29141" t="str">
        <f>HYPERLINK("https://twitter.com/mega_yoora","@mega_yoora")</f>
        <v>@mega_yoora</v>
      </c>
      <c r="C29141" t="s">
        <v>2444</v>
      </c>
      <c r="D29141">
        <v>1053</v>
      </c>
      <c r="E29141">
        <v>0</v>
      </c>
      <c r="F29141">
        <v>882</v>
      </c>
    </row>
    <row r="29142" spans="1:6" ht="12.75">
      <c r="A29142" s="2">
        <v>43875.582175925927</v>
      </c>
      <c r="B29142" t="str">
        <f>HYPERLINK("https://twitter.com/andi_achilles","@andi_achilles")</f>
        <v>@andi_achilles</v>
      </c>
      <c r="C29142" t="s">
        <v>12143</v>
      </c>
      <c r="D29142">
        <v>3</v>
      </c>
      <c r="E29142">
        <v>0</v>
      </c>
      <c r="F29142">
        <v>1290</v>
      </c>
    </row>
    <row r="29143" spans="1:6" ht="12.75">
      <c r="A29143" s="2">
        <v>43875.582152777773</v>
      </c>
      <c r="B29143" t="str">
        <f>HYPERLINK("https://twitter.com/BangAceng88","@BangAceng88")</f>
        <v>@BangAceng88</v>
      </c>
      <c r="C29143" t="s">
        <v>10297</v>
      </c>
      <c r="D29143">
        <v>2</v>
      </c>
      <c r="E29143">
        <v>0</v>
      </c>
      <c r="F29143">
        <v>638</v>
      </c>
    </row>
    <row r="29144" spans="1:6" ht="12.75">
      <c r="A29144" s="2">
        <v>43875.582141203704</v>
      </c>
      <c r="B29144" t="str">
        <f>HYPERLINK("https://twitter.com/Ah0506H","@Ah0506H")</f>
        <v>@Ah0506H</v>
      </c>
      <c r="C29144" t="s">
        <v>9082</v>
      </c>
      <c r="D29144">
        <v>13</v>
      </c>
      <c r="E29144">
        <v>0</v>
      </c>
      <c r="F29144">
        <v>5</v>
      </c>
    </row>
    <row r="29145" spans="1:6" ht="12.75">
      <c r="A29145" s="2">
        <v>43875.58211805555</v>
      </c>
      <c r="B29145" t="str">
        <f>HYPERLINK("https://twitter.com/yoojungmu","@yoojungmu")</f>
        <v>@yoojungmu</v>
      </c>
      <c r="C29145" t="s">
        <v>12660</v>
      </c>
      <c r="D29145">
        <v>2</v>
      </c>
      <c r="E29145">
        <v>0</v>
      </c>
      <c r="F29145">
        <v>8650</v>
      </c>
    </row>
    <row r="29146" spans="1:6" ht="12.75">
      <c r="A29146" s="2">
        <v>43875.582083333335</v>
      </c>
      <c r="B29146" t="str">
        <f>HYPERLINK("https://twitter.com/androvengers","@androvengers")</f>
        <v>@androvengers</v>
      </c>
      <c r="C29146" t="s">
        <v>2444</v>
      </c>
      <c r="D29146">
        <v>1053</v>
      </c>
      <c r="E29146">
        <v>0</v>
      </c>
      <c r="F29146">
        <v>282</v>
      </c>
    </row>
    <row r="29147" spans="1:6" ht="12.75">
      <c r="A29147" s="2">
        <v>43875.582060185188</v>
      </c>
      <c r="B29147" t="str">
        <f>HYPERLINK("https://twitter.com/cechangiya","@cechangiya")</f>
        <v>@cechangiya</v>
      </c>
      <c r="C29147" t="s">
        <v>9123</v>
      </c>
      <c r="D29147">
        <v>118</v>
      </c>
      <c r="E29147">
        <v>0</v>
      </c>
      <c r="F29147">
        <v>504</v>
      </c>
    </row>
    <row r="29148" spans="1:6" ht="12.75">
      <c r="A29148" s="2">
        <v>43875.582048611112</v>
      </c>
      <c r="B29148" t="str">
        <f>HYPERLINK("https://twitter.com/rkselvia","@rkselvia")</f>
        <v>@rkselvia</v>
      </c>
      <c r="C29148" t="s">
        <v>12660</v>
      </c>
      <c r="D29148">
        <v>2</v>
      </c>
      <c r="E29148">
        <v>0</v>
      </c>
      <c r="F29148">
        <v>43</v>
      </c>
    </row>
    <row r="29149" spans="1:6" ht="12.75">
      <c r="A29149" s="2">
        <v>43875.582013888888</v>
      </c>
      <c r="B29149" t="str">
        <f>HYPERLINK("https://twitter.com/andibachruddin","@andibachruddin")</f>
        <v>@andibachruddin</v>
      </c>
      <c r="C29149" t="s">
        <v>8571</v>
      </c>
      <c r="D29149">
        <v>38</v>
      </c>
      <c r="E29149">
        <v>0</v>
      </c>
      <c r="F29149">
        <v>1089</v>
      </c>
    </row>
    <row r="29150" spans="1:6" ht="12.75">
      <c r="A29150" s="2">
        <v>43875.582013888888</v>
      </c>
      <c r="B29150" t="str">
        <f>HYPERLINK("https://twitter.com/voeusctal","@voeusctal")</f>
        <v>@voeusctal</v>
      </c>
      <c r="C29150" t="s">
        <v>12661</v>
      </c>
      <c r="D29150">
        <v>2</v>
      </c>
      <c r="E29150">
        <v>0</v>
      </c>
      <c r="F29150">
        <v>4644</v>
      </c>
    </row>
    <row r="29151" spans="1:6" ht="12.75">
      <c r="A29151" s="2">
        <v>43875.582013888888</v>
      </c>
      <c r="B29151" t="str">
        <f>HYPERLINK("https://twitter.com/ronaldips","@ronaldips")</f>
        <v>@ronaldips</v>
      </c>
      <c r="C29151" t="s">
        <v>9186</v>
      </c>
      <c r="D29151">
        <v>99</v>
      </c>
      <c r="E29151">
        <v>0</v>
      </c>
      <c r="F29151">
        <v>311</v>
      </c>
    </row>
    <row r="29152" spans="1:6" ht="12.75">
      <c r="A29152" s="2">
        <v>43875.582013888888</v>
      </c>
      <c r="B29152" t="str">
        <f>HYPERLINK("https://twitter.com/Sarip_oyong","@Sarip_oyong")</f>
        <v>@Sarip_oyong</v>
      </c>
      <c r="C29152" t="s">
        <v>12662</v>
      </c>
      <c r="D29152">
        <v>0</v>
      </c>
      <c r="E29152">
        <v>0</v>
      </c>
      <c r="F29152">
        <v>2330</v>
      </c>
    </row>
    <row r="29153" spans="1:6" ht="12.75">
      <c r="A29153" s="2">
        <v>43875.582002314812</v>
      </c>
      <c r="B29153" t="str">
        <f>HYPERLINK("https://twitter.com/MaisyahMS","@MaisyahMS")</f>
        <v>@MaisyahMS</v>
      </c>
      <c r="C29153" t="s">
        <v>9746</v>
      </c>
      <c r="D29153">
        <v>135</v>
      </c>
      <c r="E29153">
        <v>0</v>
      </c>
      <c r="F29153">
        <v>938</v>
      </c>
    </row>
    <row r="29154" spans="1:6" ht="12.75">
      <c r="A29154" s="2">
        <v>43875.581979166665</v>
      </c>
      <c r="B29154" t="str">
        <f>HYPERLINK("https://twitter.com/minhyunsc","@minhyunsc")</f>
        <v>@minhyunsc</v>
      </c>
      <c r="C29154" t="s">
        <v>12661</v>
      </c>
      <c r="D29154">
        <v>2</v>
      </c>
      <c r="E29154">
        <v>0</v>
      </c>
      <c r="F29154">
        <v>7542</v>
      </c>
    </row>
    <row r="29155" spans="1:6" ht="12.75">
      <c r="A29155" s="2">
        <v>43875.581967592589</v>
      </c>
      <c r="B29155" t="str">
        <f>HYPERLINK("https://twitter.com/itsmeoryza","@itsmeoryza")</f>
        <v>@itsmeoryza</v>
      </c>
      <c r="C29155" t="s">
        <v>9123</v>
      </c>
      <c r="D29155">
        <v>118</v>
      </c>
      <c r="E29155">
        <v>0</v>
      </c>
      <c r="F29155">
        <v>710</v>
      </c>
    </row>
    <row r="29156" spans="1:6" ht="12.75">
      <c r="A29156" s="2">
        <v>43875.581967592589</v>
      </c>
      <c r="B29156" t="str">
        <f>HYPERLINK("https://twitter.com/muhammad_ridhaa","@muhammad_ridhaa")</f>
        <v>@muhammad_ridhaa</v>
      </c>
      <c r="C29156" t="s">
        <v>12663</v>
      </c>
      <c r="D29156">
        <v>0</v>
      </c>
      <c r="E29156">
        <v>0</v>
      </c>
      <c r="F29156">
        <v>684</v>
      </c>
    </row>
    <row r="29157" spans="1:6" ht="12.75">
      <c r="A29157" s="2">
        <v>43875.581909722227</v>
      </c>
      <c r="B29157" t="str">
        <f>HYPERLINK("https://twitter.com/bungsulananggg","@bungsulananggg")</f>
        <v>@bungsulananggg</v>
      </c>
      <c r="C29157" t="s">
        <v>2444</v>
      </c>
      <c r="D29157">
        <v>1053</v>
      </c>
      <c r="E29157">
        <v>0</v>
      </c>
      <c r="F29157">
        <v>31831</v>
      </c>
    </row>
    <row r="29158" spans="1:6" ht="12.75">
      <c r="A29158" s="2">
        <v>43875.581863425927</v>
      </c>
      <c r="B29158" t="str">
        <f>HYPERLINK("https://twitter.com/nusantara_kita1","@nusantara_kita1")</f>
        <v>@nusantara_kita1</v>
      </c>
      <c r="C29158" t="s">
        <v>12664</v>
      </c>
      <c r="D29158">
        <v>3</v>
      </c>
      <c r="E29158">
        <v>0</v>
      </c>
      <c r="F29158">
        <v>281</v>
      </c>
    </row>
    <row r="29159" spans="1:6" ht="12.75">
      <c r="A29159" s="2">
        <v>43875.58184027778</v>
      </c>
      <c r="B29159" t="str">
        <f>HYPERLINK("https://twitter.com/TIAAZRA","@TIAAZRA")</f>
        <v>@TIAAZRA</v>
      </c>
      <c r="C29159" t="s">
        <v>2444</v>
      </c>
      <c r="D29159">
        <v>1053</v>
      </c>
      <c r="E29159">
        <v>0</v>
      </c>
      <c r="F29159">
        <v>756</v>
      </c>
    </row>
    <row r="29160" spans="1:6" ht="12.75">
      <c r="A29160" s="2">
        <v>43875.581805555557</v>
      </c>
      <c r="B29160" t="str">
        <f>HYPERLINK("https://twitter.com/Inibarufajar","@Inibarufajar")</f>
        <v>@Inibarufajar</v>
      </c>
      <c r="C29160" t="s">
        <v>9123</v>
      </c>
      <c r="D29160">
        <v>118</v>
      </c>
      <c r="E29160">
        <v>0</v>
      </c>
      <c r="F29160">
        <v>96</v>
      </c>
    </row>
    <row r="29161" spans="1:6" ht="12.75">
      <c r="A29161" s="2">
        <v>43875.581759259258</v>
      </c>
      <c r="B29161" t="str">
        <f>HYPERLINK("https://twitter.com/gendhisayu20","@gendhisayu20")</f>
        <v>@gendhisayu20</v>
      </c>
      <c r="C29161" t="s">
        <v>11536</v>
      </c>
      <c r="D29161">
        <v>0</v>
      </c>
      <c r="E29161">
        <v>0</v>
      </c>
      <c r="F29161">
        <v>79</v>
      </c>
    </row>
    <row r="29162" spans="1:6" ht="12.75">
      <c r="A29162" s="2">
        <v>43875.581689814819</v>
      </c>
      <c r="B29162" t="str">
        <f>HYPERLINK("https://twitter.com/Zaka_R17","@Zaka_R17")</f>
        <v>@Zaka_R17</v>
      </c>
      <c r="C29162" t="s">
        <v>9123</v>
      </c>
      <c r="D29162">
        <v>118</v>
      </c>
      <c r="E29162">
        <v>0</v>
      </c>
      <c r="F29162">
        <v>908</v>
      </c>
    </row>
    <row r="29163" spans="1:6" ht="12.75">
      <c r="A29163" s="2">
        <v>43875.581689814819</v>
      </c>
      <c r="B29163" t="str">
        <f>HYPERLINK("https://twitter.com/yoojungmu","@yoojungmu")</f>
        <v>@yoojungmu</v>
      </c>
      <c r="C29163" t="s">
        <v>12665</v>
      </c>
      <c r="D29163">
        <v>2</v>
      </c>
      <c r="E29163">
        <v>0</v>
      </c>
      <c r="F29163">
        <v>8650</v>
      </c>
    </row>
    <row r="29164" spans="1:6" ht="12.75">
      <c r="A29164" s="2">
        <v>43875.581655092596</v>
      </c>
      <c r="B29164" t="str">
        <f>HYPERLINK("https://twitter.com/rkselvia","@rkselvia")</f>
        <v>@rkselvia</v>
      </c>
      <c r="C29164" t="s">
        <v>12665</v>
      </c>
      <c r="D29164">
        <v>2</v>
      </c>
      <c r="E29164">
        <v>0</v>
      </c>
      <c r="F29164">
        <v>43</v>
      </c>
    </row>
    <row r="29165" spans="1:6" ht="12.75">
      <c r="A29165" s="2">
        <v>43875.581655092596</v>
      </c>
      <c r="B29165" t="str">
        <f>HYPERLINK("https://twitter.com/hasrat_magabe","@hasrat_magabe")</f>
        <v>@hasrat_magabe</v>
      </c>
      <c r="C29165" t="s">
        <v>7478</v>
      </c>
      <c r="D29165">
        <v>61</v>
      </c>
      <c r="E29165">
        <v>0</v>
      </c>
      <c r="F29165">
        <v>319</v>
      </c>
    </row>
    <row r="29166" spans="1:6" ht="12.75">
      <c r="A29166" s="2">
        <v>43875.581631944442</v>
      </c>
      <c r="B29166" t="str">
        <f>HYPERLINK("https://twitter.com/karinAntares","@karinAntares")</f>
        <v>@karinAntares</v>
      </c>
      <c r="C29166" t="s">
        <v>2137</v>
      </c>
      <c r="D29166">
        <v>76</v>
      </c>
      <c r="E29166">
        <v>0</v>
      </c>
      <c r="F29166">
        <v>458</v>
      </c>
    </row>
    <row r="29167" spans="1:6" ht="12.75">
      <c r="A29167" s="2">
        <v>43875.581620370373</v>
      </c>
      <c r="B29167" t="str">
        <f>HYPERLINK("https://twitter.com/voeusctal","@voeusctal")</f>
        <v>@voeusctal</v>
      </c>
      <c r="C29167" t="s">
        <v>12666</v>
      </c>
      <c r="D29167">
        <v>2</v>
      </c>
      <c r="E29167">
        <v>0</v>
      </c>
      <c r="F29167">
        <v>4644</v>
      </c>
    </row>
    <row r="29168" spans="1:6" ht="12.75">
      <c r="A29168" s="2">
        <v>43875.581597222219</v>
      </c>
      <c r="B29168" t="str">
        <f>HYPERLINK("https://twitter.com/minhyunsc","@minhyunsc")</f>
        <v>@minhyunsc</v>
      </c>
      <c r="C29168" t="s">
        <v>12666</v>
      </c>
      <c r="D29168">
        <v>2</v>
      </c>
      <c r="E29168">
        <v>0</v>
      </c>
      <c r="F29168">
        <v>7542</v>
      </c>
    </row>
    <row r="29169" spans="1:6" ht="12.75">
      <c r="A29169" s="2">
        <v>43875.581585648149</v>
      </c>
      <c r="B29169" t="str">
        <f>HYPERLINK("https://twitter.com/Jeonjeyykeyyy","@Jeonjeyykeyyy")</f>
        <v>@Jeonjeyykeyyy</v>
      </c>
      <c r="C29169" t="s">
        <v>12347</v>
      </c>
      <c r="D29169">
        <v>0</v>
      </c>
      <c r="E29169">
        <v>0</v>
      </c>
      <c r="F29169">
        <v>1271</v>
      </c>
    </row>
    <row r="29170" spans="1:6" ht="12.75">
      <c r="A29170" s="2">
        <v>43875.581585648149</v>
      </c>
      <c r="B29170" t="str">
        <f>HYPERLINK("https://twitter.com/isminundor","@isminundor")</f>
        <v>@isminundor</v>
      </c>
      <c r="C29170" t="s">
        <v>2444</v>
      </c>
      <c r="D29170">
        <v>1053</v>
      </c>
      <c r="E29170">
        <v>0</v>
      </c>
      <c r="F29170">
        <v>316</v>
      </c>
    </row>
    <row r="29171" spans="1:6" ht="12.75">
      <c r="A29171" s="2">
        <v>43875.581574074073</v>
      </c>
      <c r="B29171" t="str">
        <f>HYPERLINK("https://twitter.com/yoojungmu","@yoojungmu")</f>
        <v>@yoojungmu</v>
      </c>
      <c r="C29171" t="s">
        <v>12667</v>
      </c>
      <c r="D29171">
        <v>2</v>
      </c>
      <c r="E29171">
        <v>0</v>
      </c>
      <c r="F29171">
        <v>8650</v>
      </c>
    </row>
    <row r="29172" spans="1:6" ht="12.75">
      <c r="A29172" s="2">
        <v>43875.581562499996</v>
      </c>
      <c r="B29172" t="str">
        <f>HYPERLINK("https://twitter.com/kthxca","@kthxca")</f>
        <v>@kthxca</v>
      </c>
      <c r="C29172" t="s">
        <v>2444</v>
      </c>
      <c r="D29172">
        <v>1053</v>
      </c>
      <c r="E29172">
        <v>0</v>
      </c>
      <c r="F29172">
        <v>106</v>
      </c>
    </row>
    <row r="29173" spans="1:6" ht="12.75">
      <c r="A29173" s="2">
        <v>43875.581550925926</v>
      </c>
      <c r="B29173" t="str">
        <f>HYPERLINK("https://twitter.com/CH00NGJAE","@CH00NGJAE")</f>
        <v>@CH00NGJAE</v>
      </c>
      <c r="C29173" t="s">
        <v>10697</v>
      </c>
      <c r="D29173">
        <v>12</v>
      </c>
      <c r="E29173">
        <v>0</v>
      </c>
      <c r="F29173">
        <v>486</v>
      </c>
    </row>
    <row r="29174" spans="1:6" ht="12.75">
      <c r="A29174" s="2">
        <v>43875.581527777773</v>
      </c>
      <c r="B29174" t="str">
        <f>HYPERLINK("https://twitter.com/rkselvia","@rkselvia")</f>
        <v>@rkselvia</v>
      </c>
      <c r="C29174" t="s">
        <v>12667</v>
      </c>
      <c r="D29174">
        <v>2</v>
      </c>
      <c r="E29174">
        <v>0</v>
      </c>
      <c r="F29174">
        <v>43</v>
      </c>
    </row>
    <row r="29175" spans="1:6" ht="12.75">
      <c r="A29175" s="2">
        <v>43875.581504629634</v>
      </c>
      <c r="B29175" t="str">
        <f>HYPERLINK("https://twitter.com/voeusctal","@voeusctal")</f>
        <v>@voeusctal</v>
      </c>
      <c r="C29175" t="s">
        <v>12668</v>
      </c>
      <c r="D29175">
        <v>2</v>
      </c>
      <c r="E29175">
        <v>0</v>
      </c>
      <c r="F29175">
        <v>4644</v>
      </c>
    </row>
    <row r="29176" spans="1:6" ht="12.75">
      <c r="A29176" s="2">
        <v>43875.581493055557</v>
      </c>
      <c r="B29176" t="str">
        <f>HYPERLINK("https://twitter.com/itsmeoryza","@itsmeoryza")</f>
        <v>@itsmeoryza</v>
      </c>
      <c r="C29176" t="s">
        <v>2444</v>
      </c>
      <c r="D29176">
        <v>1053</v>
      </c>
      <c r="E29176">
        <v>0</v>
      </c>
      <c r="F29176">
        <v>710</v>
      </c>
    </row>
    <row r="29177" spans="1:6" ht="12.75">
      <c r="A29177" s="2">
        <v>43875.581458333334</v>
      </c>
      <c r="B29177" t="str">
        <f>HYPERLINK("https://twitter.com/minhyunsc","@minhyunsc")</f>
        <v>@minhyunsc</v>
      </c>
      <c r="C29177" t="s">
        <v>12668</v>
      </c>
      <c r="D29177">
        <v>2</v>
      </c>
      <c r="E29177">
        <v>0</v>
      </c>
      <c r="F29177">
        <v>7542</v>
      </c>
    </row>
    <row r="29178" spans="1:6" ht="12.75">
      <c r="A29178" s="2">
        <v>43875.581423611111</v>
      </c>
      <c r="B29178" t="str">
        <f>HYPERLINK("https://twitter.com/heru_tanjuang","@heru_tanjuang")</f>
        <v>@heru_tanjuang</v>
      </c>
      <c r="C29178" t="s">
        <v>11764</v>
      </c>
      <c r="D29178">
        <v>28</v>
      </c>
      <c r="E29178">
        <v>0</v>
      </c>
      <c r="F29178">
        <v>2188</v>
      </c>
    </row>
    <row r="29179" spans="1:6" ht="12.75">
      <c r="A29179" s="2">
        <v>43875.581377314811</v>
      </c>
      <c r="B29179" t="str">
        <f>HYPERLINK("https://twitter.com/mark_on14june","@mark_on14june")</f>
        <v>@mark_on14june</v>
      </c>
      <c r="C29179" t="s">
        <v>2444</v>
      </c>
      <c r="D29179">
        <v>1053</v>
      </c>
      <c r="E29179">
        <v>0</v>
      </c>
      <c r="F29179">
        <v>541</v>
      </c>
    </row>
    <row r="29180" spans="1:6" ht="12.75">
      <c r="A29180" s="2">
        <v>43875.581261574072</v>
      </c>
      <c r="B29180" t="str">
        <f>HYPERLINK("https://twitter.com/KangNuriel","@KangNuriel")</f>
        <v>@KangNuriel</v>
      </c>
      <c r="C29180" t="s">
        <v>12669</v>
      </c>
      <c r="D29180">
        <v>0</v>
      </c>
      <c r="E29180">
        <v>0</v>
      </c>
      <c r="F29180">
        <v>203</v>
      </c>
    </row>
    <row r="29181" spans="1:6" ht="12.75">
      <c r="A29181" s="2">
        <v>43875.581250000003</v>
      </c>
      <c r="B29181" t="str">
        <f>HYPERLINK("https://twitter.com/Ahmadfikri1618","@Ahmadfikri1618")</f>
        <v>@Ahmadfikri1618</v>
      </c>
      <c r="C29181" t="s">
        <v>12670</v>
      </c>
      <c r="D29181">
        <v>605</v>
      </c>
      <c r="E29181">
        <v>0</v>
      </c>
      <c r="F29181">
        <v>40</v>
      </c>
    </row>
    <row r="29182" spans="1:6" ht="12.75">
      <c r="A29182" s="2">
        <v>43875.581250000003</v>
      </c>
      <c r="B29182" t="str">
        <f>HYPERLINK("https://twitter.com/RamdhaniBrutus","@RamdhaniBrutus")</f>
        <v>@RamdhaniBrutus</v>
      </c>
      <c r="C29182" t="s">
        <v>11764</v>
      </c>
      <c r="D29182">
        <v>28</v>
      </c>
      <c r="E29182">
        <v>0</v>
      </c>
      <c r="F29182">
        <v>1261</v>
      </c>
    </row>
    <row r="29183" spans="1:6" ht="12.75">
      <c r="A29183" s="2">
        <v>43875.58121527778</v>
      </c>
      <c r="B29183" t="str">
        <f>HYPERLINK("https://twitter.com/Jeonjeyykeyyy","@Jeonjeyykeyyy")</f>
        <v>@Jeonjeyykeyyy</v>
      </c>
      <c r="C29183" t="s">
        <v>11536</v>
      </c>
      <c r="D29183">
        <v>0</v>
      </c>
      <c r="E29183">
        <v>0</v>
      </c>
      <c r="F29183">
        <v>1271</v>
      </c>
    </row>
    <row r="29184" spans="1:6" ht="12.75">
      <c r="A29184" s="2">
        <v>43875.581030092595</v>
      </c>
      <c r="B29184" t="str">
        <f>HYPERLINK("https://twitter.com/fathan1453","@fathan1453")</f>
        <v>@fathan1453</v>
      </c>
      <c r="C29184" t="s">
        <v>7478</v>
      </c>
      <c r="D29184">
        <v>61</v>
      </c>
      <c r="E29184">
        <v>0</v>
      </c>
      <c r="F29184">
        <v>439</v>
      </c>
    </row>
    <row r="29185" spans="1:6" ht="12.75">
      <c r="A29185" s="2">
        <v>43875.581018518518</v>
      </c>
      <c r="B29185" t="str">
        <f>HYPERLINK("https://twitter.com/rsuci312_","@rsuci312_")</f>
        <v>@rsuci312_</v>
      </c>
      <c r="C29185" t="s">
        <v>5168</v>
      </c>
      <c r="D29185">
        <v>644</v>
      </c>
      <c r="E29185">
        <v>0</v>
      </c>
      <c r="F29185">
        <v>188</v>
      </c>
    </row>
    <row r="29186" spans="1:6" ht="12.75">
      <c r="A29186" s="2">
        <v>43875.581018518518</v>
      </c>
      <c r="B29186" t="str">
        <f>HYPERLINK("https://twitter.com/ObazT","@ObazT")</f>
        <v>@ObazT</v>
      </c>
      <c r="C29186" t="s">
        <v>9082</v>
      </c>
      <c r="D29186">
        <v>13</v>
      </c>
      <c r="E29186">
        <v>0</v>
      </c>
      <c r="F29186">
        <v>6</v>
      </c>
    </row>
    <row r="29187" spans="1:6" ht="12.75">
      <c r="A29187" s="2">
        <v>43875.580995370372</v>
      </c>
      <c r="B29187" t="str">
        <f>HYPERLINK("https://twitter.com/JhondoexlxG","@JhondoexlxG")</f>
        <v>@JhondoexlxG</v>
      </c>
      <c r="C29187" t="s">
        <v>7478</v>
      </c>
      <c r="D29187">
        <v>61</v>
      </c>
      <c r="E29187">
        <v>0</v>
      </c>
      <c r="F29187">
        <v>385</v>
      </c>
    </row>
    <row r="29188" spans="1:6" ht="12.75">
      <c r="A29188" s="2">
        <v>43875.580960648149</v>
      </c>
      <c r="B29188" t="str">
        <f>HYPERLINK("https://twitter.com/heysheraliaa","@heysheraliaa")</f>
        <v>@heysheraliaa</v>
      </c>
      <c r="C29188" t="s">
        <v>9123</v>
      </c>
      <c r="D29188">
        <v>118</v>
      </c>
      <c r="E29188">
        <v>0</v>
      </c>
      <c r="F29188">
        <v>644</v>
      </c>
    </row>
    <row r="29189" spans="1:6" ht="12.75">
      <c r="A29189" s="2">
        <v>43875.58090277778</v>
      </c>
      <c r="B29189" t="str">
        <f>HYPERLINK("https://twitter.com/Kenzu_KPTB","@Kenzu_KPTB")</f>
        <v>@Kenzu_KPTB</v>
      </c>
      <c r="C29189" t="s">
        <v>12671</v>
      </c>
      <c r="D29189">
        <v>41</v>
      </c>
      <c r="E29189">
        <v>0</v>
      </c>
      <c r="F29189">
        <v>1934</v>
      </c>
    </row>
    <row r="29190" spans="1:6" ht="12.75">
      <c r="A29190" s="2">
        <v>43875.580868055556</v>
      </c>
      <c r="B29190" t="str">
        <f>HYPERLINK("https://twitter.com/zonadamai","@zonadamai")</f>
        <v>@zonadamai</v>
      </c>
      <c r="C29190" t="s">
        <v>1513</v>
      </c>
      <c r="D29190">
        <v>0</v>
      </c>
      <c r="E29190">
        <v>0</v>
      </c>
      <c r="F29190">
        <v>1092</v>
      </c>
    </row>
    <row r="29191" spans="1:6" ht="12.75">
      <c r="A29191" s="2">
        <v>43875.580833333333</v>
      </c>
      <c r="B29191" t="str">
        <f>HYPERLINK("https://twitter.com/Kenzu_KPTB","@Kenzu_KPTB")</f>
        <v>@Kenzu_KPTB</v>
      </c>
      <c r="C29191" t="s">
        <v>6982</v>
      </c>
      <c r="D29191">
        <v>85</v>
      </c>
      <c r="E29191">
        <v>0</v>
      </c>
      <c r="F29191">
        <v>1934</v>
      </c>
    </row>
    <row r="29192" spans="1:6" ht="12.75">
      <c r="A29192" s="2">
        <v>43875.580821759257</v>
      </c>
      <c r="B29192" t="str">
        <f>HYPERLINK("https://twitter.com/Aditya_Panji","@Aditya_Panji")</f>
        <v>@Aditya_Panji</v>
      </c>
      <c r="C29192" t="s">
        <v>2444</v>
      </c>
      <c r="D29192">
        <v>1053</v>
      </c>
      <c r="E29192">
        <v>0</v>
      </c>
      <c r="F29192">
        <v>570</v>
      </c>
    </row>
    <row r="29193" spans="1:6" ht="12.75">
      <c r="A29193" s="2">
        <v>43875.580717592587</v>
      </c>
      <c r="B29193" t="str">
        <f>HYPERLINK("https://twitter.com/ParmonanganRaja","@ParmonanganRaja")</f>
        <v>@ParmonanganRaja</v>
      </c>
      <c r="C29193" t="s">
        <v>10200</v>
      </c>
      <c r="D29193">
        <v>27</v>
      </c>
      <c r="E29193">
        <v>0</v>
      </c>
      <c r="F29193">
        <v>182</v>
      </c>
    </row>
    <row r="29194" spans="1:6" ht="12.75">
      <c r="A29194" s="2">
        <v>43875.580706018518</v>
      </c>
      <c r="B29194" t="str">
        <f>HYPERLINK("https://twitter.com/ydhstrws","@ydhstrws")</f>
        <v>@ydhstrws</v>
      </c>
      <c r="C29194" t="s">
        <v>12672</v>
      </c>
      <c r="D29194">
        <v>0</v>
      </c>
      <c r="E29194">
        <v>0</v>
      </c>
      <c r="F29194">
        <v>86</v>
      </c>
    </row>
    <row r="29195" spans="1:6" ht="12.75">
      <c r="A29195" s="2">
        <v>43875.580659722225</v>
      </c>
      <c r="B29195" t="str">
        <f>HYPERLINK("https://twitter.com/beten5","@beten5")</f>
        <v>@beten5</v>
      </c>
      <c r="C29195" t="s">
        <v>2144</v>
      </c>
      <c r="D29195">
        <v>71</v>
      </c>
      <c r="E29195">
        <v>0</v>
      </c>
      <c r="F29195">
        <v>6</v>
      </c>
    </row>
    <row r="29196" spans="1:6" ht="12.75">
      <c r="A29196" s="2">
        <v>43875.580625000002</v>
      </c>
      <c r="B29196" t="str">
        <f>HYPERLINK("https://twitter.com/vj_rynnn","@vj_rynnn")</f>
        <v>@vj_rynnn</v>
      </c>
      <c r="C29196" t="s">
        <v>9123</v>
      </c>
      <c r="D29196">
        <v>118</v>
      </c>
      <c r="E29196">
        <v>0</v>
      </c>
      <c r="F29196">
        <v>32</v>
      </c>
    </row>
    <row r="29197" spans="1:6" ht="12.75">
      <c r="A29197" s="2">
        <v>43875.580613425926</v>
      </c>
      <c r="B29197" t="str">
        <f>HYPERLINK("https://twitter.com/indomiephile","@indomiephile")</f>
        <v>@indomiephile</v>
      </c>
      <c r="C29197" t="s">
        <v>2444</v>
      </c>
      <c r="D29197">
        <v>1053</v>
      </c>
      <c r="E29197">
        <v>0</v>
      </c>
      <c r="F29197">
        <v>1019</v>
      </c>
    </row>
    <row r="29198" spans="1:6" ht="12.75">
      <c r="A29198" s="2">
        <v>43875.580567129626</v>
      </c>
      <c r="B29198" t="str">
        <f>HYPERLINK("https://twitter.com/shinmuhammad","@shinmuhammad")</f>
        <v>@shinmuhammad</v>
      </c>
      <c r="C29198" t="s">
        <v>2444</v>
      </c>
      <c r="D29198">
        <v>1053</v>
      </c>
      <c r="E29198">
        <v>0</v>
      </c>
      <c r="F29198">
        <v>587</v>
      </c>
    </row>
    <row r="29199" spans="1:6" ht="12.75">
      <c r="A29199" s="2">
        <v>43875.580567129626</v>
      </c>
      <c r="B29199" t="str">
        <f>HYPERLINK("https://twitter.com/vezhecella","@vezhecella")</f>
        <v>@vezhecella</v>
      </c>
      <c r="C29199" t="s">
        <v>9123</v>
      </c>
      <c r="D29199">
        <v>118</v>
      </c>
      <c r="E29199">
        <v>0</v>
      </c>
      <c r="F29199">
        <v>264</v>
      </c>
    </row>
    <row r="29200" spans="1:6" ht="12.75">
      <c r="A29200" s="2">
        <v>43875.580543981487</v>
      </c>
      <c r="B29200" t="str">
        <f>HYPERLINK("https://twitter.com/bmbgst","@bmbgst")</f>
        <v>@bmbgst</v>
      </c>
      <c r="C29200" t="s">
        <v>7478</v>
      </c>
      <c r="D29200">
        <v>61</v>
      </c>
      <c r="E29200">
        <v>0</v>
      </c>
      <c r="F29200">
        <v>568</v>
      </c>
    </row>
    <row r="29201" spans="1:6" ht="12.75">
      <c r="A29201" s="2">
        <v>43875.580543981487</v>
      </c>
      <c r="B29201" t="str">
        <f>HYPERLINK("https://twitter.com/minhee842","@minhee842")</f>
        <v>@minhee842</v>
      </c>
      <c r="C29201" t="s">
        <v>2444</v>
      </c>
      <c r="D29201">
        <v>1053</v>
      </c>
      <c r="E29201">
        <v>0</v>
      </c>
      <c r="F29201">
        <v>1991</v>
      </c>
    </row>
    <row r="29202" spans="1:6" ht="12.75">
      <c r="A29202" s="2">
        <v>43875.580543981487</v>
      </c>
      <c r="B29202" t="str">
        <f>HYPERLINK("https://twitter.com/Ahmadfikri1618","@Ahmadfikri1618")</f>
        <v>@Ahmadfikri1618</v>
      </c>
      <c r="C29202" t="s">
        <v>12673</v>
      </c>
      <c r="D29202">
        <v>4</v>
      </c>
      <c r="E29202">
        <v>0</v>
      </c>
      <c r="F29202">
        <v>40</v>
      </c>
    </row>
    <row r="29203" spans="1:6" ht="12.75">
      <c r="A29203" s="2">
        <v>43875.580439814818</v>
      </c>
      <c r="B29203" t="str">
        <f>HYPERLINK("https://twitter.com/rchznl","@rchznl")</f>
        <v>@rchznl</v>
      </c>
      <c r="C29203" t="s">
        <v>2444</v>
      </c>
      <c r="D29203">
        <v>1053</v>
      </c>
      <c r="E29203">
        <v>0</v>
      </c>
      <c r="F29203">
        <v>612</v>
      </c>
    </row>
    <row r="29204" spans="1:6" ht="12.75">
      <c r="A29204" s="2">
        <v>43875.580439814818</v>
      </c>
      <c r="B29204" t="str">
        <f>HYPERLINK("https://twitter.com/malikrafly17","@malikrafly17")</f>
        <v>@malikrafly17</v>
      </c>
      <c r="C29204" t="s">
        <v>2444</v>
      </c>
      <c r="D29204">
        <v>1053</v>
      </c>
      <c r="E29204">
        <v>0</v>
      </c>
      <c r="F29204">
        <v>3</v>
      </c>
    </row>
    <row r="29205" spans="1:6" ht="12.75">
      <c r="A29205" s="2">
        <v>43875.580405092594</v>
      </c>
      <c r="B29205" t="str">
        <f>HYPERLINK("https://twitter.com/vj_rynnn","@vj_rynnn")</f>
        <v>@vj_rynnn</v>
      </c>
      <c r="C29205" t="s">
        <v>2444</v>
      </c>
      <c r="D29205">
        <v>1053</v>
      </c>
      <c r="E29205">
        <v>0</v>
      </c>
      <c r="F29205">
        <v>32</v>
      </c>
    </row>
    <row r="29206" spans="1:6" ht="12.75">
      <c r="A29206" s="2">
        <v>43875.580335648148</v>
      </c>
      <c r="B29206" t="str">
        <f>HYPERLINK("https://twitter.com/RudySt6","@RudySt6")</f>
        <v>@RudySt6</v>
      </c>
      <c r="C29206" t="s">
        <v>7478</v>
      </c>
      <c r="D29206">
        <v>61</v>
      </c>
      <c r="E29206">
        <v>0</v>
      </c>
      <c r="F29206">
        <v>348</v>
      </c>
    </row>
    <row r="29207" spans="1:6" ht="12.75">
      <c r="A29207" s="2">
        <v>43875.580324074079</v>
      </c>
      <c r="B29207" t="str">
        <f>HYPERLINK("https://twitter.com/izaa00_","@izaa00_")</f>
        <v>@izaa00_</v>
      </c>
      <c r="C29207" t="s">
        <v>2444</v>
      </c>
      <c r="D29207">
        <v>1053</v>
      </c>
      <c r="E29207">
        <v>0</v>
      </c>
      <c r="F29207">
        <v>82</v>
      </c>
    </row>
    <row r="29208" spans="1:6" ht="12.75">
      <c r="A29208" s="2">
        <v>43875.580289351856</v>
      </c>
      <c r="B29208" t="str">
        <f>HYPERLINK("https://twitter.com/dijwarusoyan","@dijwarusoyan")</f>
        <v>@dijwarusoyan</v>
      </c>
      <c r="C29208" t="s">
        <v>9082</v>
      </c>
      <c r="D29208">
        <v>13</v>
      </c>
      <c r="E29208">
        <v>0</v>
      </c>
      <c r="F29208">
        <v>199</v>
      </c>
    </row>
    <row r="29209" spans="1:6" ht="12.75">
      <c r="A29209" s="2">
        <v>43875.580231481479</v>
      </c>
      <c r="B29209" t="str">
        <f>HYPERLINK("https://twitter.com/Chubby16_","@Chubby16_")</f>
        <v>@Chubby16_</v>
      </c>
      <c r="C29209" t="s">
        <v>11536</v>
      </c>
      <c r="D29209">
        <v>0</v>
      </c>
      <c r="E29209">
        <v>0</v>
      </c>
      <c r="F29209">
        <v>352</v>
      </c>
    </row>
    <row r="29210" spans="1:6" ht="12.75">
      <c r="A29210" s="2">
        <v>43875.580185185187</v>
      </c>
      <c r="B29210" t="str">
        <f>HYPERLINK("https://twitter.com/windiahabiba","@windiahabiba")</f>
        <v>@windiahabiba</v>
      </c>
      <c r="C29210" t="s">
        <v>2444</v>
      </c>
      <c r="D29210">
        <v>1053</v>
      </c>
      <c r="E29210">
        <v>0</v>
      </c>
      <c r="F29210">
        <v>460</v>
      </c>
    </row>
    <row r="29211" spans="1:6" ht="12.75">
      <c r="A29211" s="2">
        <v>43875.580162037033</v>
      </c>
      <c r="B29211" t="str">
        <f>HYPERLINK("https://twitter.com/zonadamai","@zonadamai")</f>
        <v>@zonadamai</v>
      </c>
      <c r="C29211" t="s">
        <v>12674</v>
      </c>
      <c r="D29211">
        <v>0</v>
      </c>
      <c r="E29211">
        <v>0</v>
      </c>
      <c r="F29211">
        <v>1092</v>
      </c>
    </row>
    <row r="29212" spans="1:6" ht="12.75">
      <c r="A29212" s="2">
        <v>43875.580138888894</v>
      </c>
      <c r="B29212" t="str">
        <f>HYPERLINK("https://twitter.com/meitrina","@meitrina")</f>
        <v>@meitrina</v>
      </c>
      <c r="C29212" t="s">
        <v>2444</v>
      </c>
      <c r="D29212">
        <v>1053</v>
      </c>
      <c r="E29212">
        <v>0</v>
      </c>
      <c r="F29212">
        <v>2060</v>
      </c>
    </row>
    <row r="29213" spans="1:6" ht="12.75">
      <c r="A29213" s="2">
        <v>43875.580104166671</v>
      </c>
      <c r="B29213" t="str">
        <f>HYPERLINK("https://twitter.com/Ahmadfikri1618","@Ahmadfikri1618")</f>
        <v>@Ahmadfikri1618</v>
      </c>
      <c r="C29213" t="s">
        <v>12675</v>
      </c>
      <c r="D29213">
        <v>1051</v>
      </c>
      <c r="E29213">
        <v>0</v>
      </c>
      <c r="F29213">
        <v>40</v>
      </c>
    </row>
    <row r="29214" spans="1:6" ht="12.75">
      <c r="A29214" s="2">
        <v>43875.580092592594</v>
      </c>
      <c r="B29214" t="str">
        <f>HYPERLINK("https://twitter.com/boembatubara","@boembatubara")</f>
        <v>@boembatubara</v>
      </c>
      <c r="C29214" t="s">
        <v>5168</v>
      </c>
      <c r="D29214">
        <v>644</v>
      </c>
      <c r="E29214">
        <v>0</v>
      </c>
      <c r="F29214">
        <v>451</v>
      </c>
    </row>
    <row r="29215" spans="1:6" ht="12.75">
      <c r="A29215" s="2">
        <v>43875.580057870371</v>
      </c>
      <c r="B29215" t="str">
        <f>HYPERLINK("https://twitter.com/lDuIurLanaNG","@lDuIurLanaNG")</f>
        <v>@lDuIurLanaNG</v>
      </c>
      <c r="C29215" t="s">
        <v>9746</v>
      </c>
      <c r="D29215">
        <v>135</v>
      </c>
      <c r="E29215">
        <v>0</v>
      </c>
      <c r="F29215">
        <v>1105</v>
      </c>
    </row>
    <row r="29216" spans="1:6" ht="12.75">
      <c r="A29216" s="2">
        <v>43875.580046296294</v>
      </c>
      <c r="B29216" t="str">
        <f>HYPERLINK("https://twitter.com/Lady_Zeebo","@Lady_Zeebo")</f>
        <v>@Lady_Zeebo</v>
      </c>
      <c r="C29216" t="s">
        <v>12676</v>
      </c>
      <c r="D29216">
        <v>2</v>
      </c>
      <c r="E29216">
        <v>6</v>
      </c>
      <c r="F29216">
        <v>6893</v>
      </c>
    </row>
    <row r="29217" spans="1:6" ht="12.75">
      <c r="A29217" s="2">
        <v>43875.580023148148</v>
      </c>
      <c r="B29217" t="str">
        <f>HYPERLINK("https://twitter.com/agiegi","@agiegi")</f>
        <v>@agiegi</v>
      </c>
      <c r="C29217" t="s">
        <v>12677</v>
      </c>
      <c r="D29217">
        <v>0</v>
      </c>
      <c r="E29217">
        <v>0</v>
      </c>
      <c r="F29217">
        <v>648</v>
      </c>
    </row>
    <row r="29218" spans="1:6" ht="12.75">
      <c r="A29218" s="2">
        <v>43875.579976851848</v>
      </c>
      <c r="B29218" t="str">
        <f>HYPERLINK("https://twitter.com/marpaung913","@marpaung913")</f>
        <v>@marpaung913</v>
      </c>
      <c r="C29218" t="s">
        <v>12678</v>
      </c>
      <c r="D29218">
        <v>0</v>
      </c>
      <c r="E29218">
        <v>0</v>
      </c>
      <c r="F29218">
        <v>525</v>
      </c>
    </row>
    <row r="29219" spans="1:6" ht="12.75">
      <c r="A29219" s="2">
        <v>43875.579976851848</v>
      </c>
      <c r="B29219" t="str">
        <f>HYPERLINK("https://twitter.com/RullyTawang","@RullyTawang")</f>
        <v>@RullyTawang</v>
      </c>
      <c r="C29219" t="s">
        <v>12679</v>
      </c>
      <c r="D29219">
        <v>730</v>
      </c>
      <c r="E29219">
        <v>0</v>
      </c>
      <c r="F29219">
        <v>688</v>
      </c>
    </row>
    <row r="29220" spans="1:6" ht="12.75">
      <c r="A29220" s="2">
        <v>43875.579861111109</v>
      </c>
      <c r="B29220" t="str">
        <f>HYPERLINK("https://twitter.com/Kylie_brantas","@Kylie_brantas")</f>
        <v>@Kylie_brantas</v>
      </c>
      <c r="C29220" t="s">
        <v>9123</v>
      </c>
      <c r="D29220">
        <v>118</v>
      </c>
      <c r="E29220">
        <v>0</v>
      </c>
      <c r="F29220">
        <v>25</v>
      </c>
    </row>
    <row r="29221" spans="1:6" ht="12.75">
      <c r="A29221" s="2">
        <v>43875.579780092594</v>
      </c>
      <c r="B29221" t="str">
        <f>HYPERLINK("https://twitter.com/nyotobagus","@nyotobagus")</f>
        <v>@nyotobagus</v>
      </c>
      <c r="C29221" t="s">
        <v>8233</v>
      </c>
      <c r="D29221">
        <v>433</v>
      </c>
      <c r="E29221">
        <v>0</v>
      </c>
      <c r="F29221">
        <v>243</v>
      </c>
    </row>
    <row r="29222" spans="1:6" ht="12.75">
      <c r="A29222" s="2">
        <v>43875.579722222217</v>
      </c>
      <c r="B29222" t="str">
        <f>HYPERLINK("https://twitter.com/vezhecella","@vezhecella")</f>
        <v>@vezhecella</v>
      </c>
      <c r="C29222" t="s">
        <v>2444</v>
      </c>
      <c r="D29222">
        <v>1053</v>
      </c>
      <c r="E29222">
        <v>0</v>
      </c>
      <c r="F29222">
        <v>264</v>
      </c>
    </row>
    <row r="29223" spans="1:6" ht="12.75">
      <c r="A29223" s="2">
        <v>43875.579710648148</v>
      </c>
      <c r="B29223" t="str">
        <f>HYPERLINK("https://twitter.com/DinoAry","@DinoAry")</f>
        <v>@DinoAry</v>
      </c>
      <c r="C29223" t="s">
        <v>2963</v>
      </c>
      <c r="D29223">
        <v>821</v>
      </c>
      <c r="E29223">
        <v>0</v>
      </c>
      <c r="F29223">
        <v>153</v>
      </c>
    </row>
    <row r="29224" spans="1:6" ht="12.75">
      <c r="A29224" s="2">
        <v>43875.579710648148</v>
      </c>
      <c r="B29224" t="str">
        <f>HYPERLINK("https://twitter.com/shelishiny","@shelishiny")</f>
        <v>@shelishiny</v>
      </c>
      <c r="C29224" t="s">
        <v>9123</v>
      </c>
      <c r="D29224">
        <v>118</v>
      </c>
      <c r="E29224">
        <v>0</v>
      </c>
      <c r="F29224">
        <v>1038</v>
      </c>
    </row>
    <row r="29225" spans="1:6" ht="12.75">
      <c r="A29225" s="2">
        <v>43875.57947916667</v>
      </c>
      <c r="B29225" t="str">
        <f>HYPERLINK("https://twitter.com/AnnaKur34179103","@AnnaKur34179103")</f>
        <v>@AnnaKur34179103</v>
      </c>
      <c r="C29225" t="s">
        <v>12680</v>
      </c>
      <c r="D29225">
        <v>1</v>
      </c>
      <c r="E29225">
        <v>0</v>
      </c>
      <c r="F29225">
        <v>556</v>
      </c>
    </row>
    <row r="29226" spans="1:6" ht="12.75">
      <c r="A29226" s="2">
        <v>43875.579467592594</v>
      </c>
      <c r="B29226" t="str">
        <f>HYPERLINK("https://twitter.com/YoesfaT","@YoesfaT")</f>
        <v>@YoesfaT</v>
      </c>
      <c r="C29226" t="s">
        <v>9123</v>
      </c>
      <c r="D29226">
        <v>118</v>
      </c>
      <c r="E29226">
        <v>0</v>
      </c>
      <c r="F29226">
        <v>659</v>
      </c>
    </row>
    <row r="29227" spans="1:6" ht="12.75">
      <c r="A29227" s="2">
        <v>43875.579444444447</v>
      </c>
      <c r="B29227" t="str">
        <f>HYPERLINK("https://twitter.com/ViraYustika_","@ViraYustika_")</f>
        <v>@ViraYustika_</v>
      </c>
      <c r="C29227" t="s">
        <v>8233</v>
      </c>
      <c r="D29227">
        <v>433</v>
      </c>
      <c r="E29227">
        <v>0</v>
      </c>
      <c r="F29227">
        <v>338</v>
      </c>
    </row>
    <row r="29228" spans="1:6" ht="12.75">
      <c r="A29228" s="2">
        <v>43875.579432870371</v>
      </c>
      <c r="B29228" t="str">
        <f>HYPERLINK("https://twitter.com/honeybii__","@honeybii__")</f>
        <v>@honeybii__</v>
      </c>
      <c r="C29228" t="s">
        <v>10697</v>
      </c>
      <c r="D29228">
        <v>12</v>
      </c>
      <c r="E29228">
        <v>0</v>
      </c>
      <c r="F29228">
        <v>330</v>
      </c>
    </row>
    <row r="29229" spans="1:6" ht="12.75">
      <c r="A29229" s="2">
        <v>43875.579432870371</v>
      </c>
      <c r="B29229" t="str">
        <f>HYPERLINK("https://twitter.com/seaismyname08__","@seaismyname08__")</f>
        <v>@seaismyname08__</v>
      </c>
      <c r="C29229" t="s">
        <v>2444</v>
      </c>
      <c r="D29229">
        <v>1053</v>
      </c>
      <c r="E29229">
        <v>0</v>
      </c>
      <c r="F29229">
        <v>1339</v>
      </c>
    </row>
    <row r="29230" spans="1:6" ht="12.75">
      <c r="A29230" s="2">
        <v>43875.579421296294</v>
      </c>
      <c r="B29230" t="str">
        <f>HYPERLINK("https://twitter.com/Febyval22","@Febyval22")</f>
        <v>@Febyval22</v>
      </c>
      <c r="C29230" t="s">
        <v>7478</v>
      </c>
      <c r="D29230">
        <v>61</v>
      </c>
      <c r="E29230">
        <v>0</v>
      </c>
      <c r="F29230">
        <v>287</v>
      </c>
    </row>
    <row r="29231" spans="1:6" ht="12.75">
      <c r="A29231" s="2">
        <v>43875.579421296294</v>
      </c>
      <c r="B29231" t="str">
        <f>HYPERLINK("https://twitter.com/afiafiafii","@afiafiafii")</f>
        <v>@afiafiafii</v>
      </c>
      <c r="C29231" t="s">
        <v>12681</v>
      </c>
      <c r="D29231">
        <v>0</v>
      </c>
      <c r="E29231">
        <v>0</v>
      </c>
      <c r="F29231">
        <v>824</v>
      </c>
    </row>
    <row r="29232" spans="1:6" ht="12.75">
      <c r="A29232" s="2">
        <v>43875.579398148147</v>
      </c>
      <c r="B29232" t="str">
        <f>HYPERLINK("https://twitter.com/zarazettirazr","@zarazettirazr")</f>
        <v>@zarazettirazr</v>
      </c>
      <c r="C29232" t="s">
        <v>12682</v>
      </c>
      <c r="D29232">
        <v>3</v>
      </c>
      <c r="E29232">
        <v>7</v>
      </c>
      <c r="F29232">
        <v>250116</v>
      </c>
    </row>
    <row r="29233" spans="1:6" ht="12.75">
      <c r="A29233" s="2">
        <v>43875.579386574071</v>
      </c>
      <c r="B29233" t="str">
        <f>HYPERLINK("https://twitter.com/DiartonoSapto","@DiartonoSapto")</f>
        <v>@DiartonoSapto</v>
      </c>
      <c r="C29233" t="s">
        <v>7478</v>
      </c>
      <c r="D29233">
        <v>61</v>
      </c>
      <c r="E29233">
        <v>0</v>
      </c>
      <c r="F29233">
        <v>478</v>
      </c>
    </row>
    <row r="29234" spans="1:6" ht="12.75">
      <c r="A29234" s="2">
        <v>43875.579363425924</v>
      </c>
      <c r="B29234" t="str">
        <f>HYPERLINK("https://twitter.com/KavindraOemar","@KavindraOemar")</f>
        <v>@KavindraOemar</v>
      </c>
      <c r="C29234" t="s">
        <v>7478</v>
      </c>
      <c r="D29234">
        <v>61</v>
      </c>
      <c r="E29234">
        <v>0</v>
      </c>
      <c r="F29234">
        <v>3670</v>
      </c>
    </row>
    <row r="29235" spans="1:6" ht="12.75">
      <c r="A29235" s="2">
        <v>43875.579363425924</v>
      </c>
      <c r="B29235" t="str">
        <f>HYPERLINK("https://twitter.com/Amanda010206","@Amanda010206")</f>
        <v>@Amanda010206</v>
      </c>
      <c r="C29235" t="s">
        <v>12683</v>
      </c>
      <c r="D29235">
        <v>0</v>
      </c>
      <c r="E29235">
        <v>0</v>
      </c>
      <c r="F29235">
        <v>712</v>
      </c>
    </row>
    <row r="29236" spans="1:6" ht="12.75">
      <c r="A29236" s="2">
        <v>43875.579317129625</v>
      </c>
      <c r="B29236" t="str">
        <f>HYPERLINK("https://twitter.com/rszxap","@rszxap")</f>
        <v>@rszxap</v>
      </c>
      <c r="C29236" t="s">
        <v>10300</v>
      </c>
      <c r="D29236">
        <v>16</v>
      </c>
      <c r="E29236">
        <v>0</v>
      </c>
      <c r="F29236">
        <v>317</v>
      </c>
    </row>
    <row r="29237" spans="1:6" ht="12.75">
      <c r="A29237" s="2">
        <v>43875.579305555555</v>
      </c>
      <c r="B29237" t="str">
        <f>HYPERLINK("https://twitter.com/d_zinbawe","@d_zinbawe")</f>
        <v>@d_zinbawe</v>
      </c>
      <c r="C29237" t="s">
        <v>11451</v>
      </c>
      <c r="D29237">
        <v>85</v>
      </c>
      <c r="E29237">
        <v>0</v>
      </c>
      <c r="F29237">
        <v>144</v>
      </c>
    </row>
    <row r="29238" spans="1:6" ht="12.75">
      <c r="A29238" s="2">
        <v>43875.579305555555</v>
      </c>
      <c r="B29238" t="str">
        <f>HYPERLINK("https://twitter.com/Kylie_brantas","@Kylie_brantas")</f>
        <v>@Kylie_brantas</v>
      </c>
      <c r="C29238" t="s">
        <v>2444</v>
      </c>
      <c r="D29238">
        <v>1053</v>
      </c>
      <c r="E29238">
        <v>0</v>
      </c>
      <c r="F29238">
        <v>25</v>
      </c>
    </row>
    <row r="29239" spans="1:6" ht="12.75">
      <c r="A29239" s="2">
        <v>43875.579293981486</v>
      </c>
      <c r="B29239" t="str">
        <f>HYPERLINK("https://twitter.com/gusnur212","@gusnur212")</f>
        <v>@gusnur212</v>
      </c>
      <c r="C29239" t="s">
        <v>2122</v>
      </c>
      <c r="D29239">
        <v>202</v>
      </c>
      <c r="E29239">
        <v>0</v>
      </c>
      <c r="F29239">
        <v>579</v>
      </c>
    </row>
    <row r="29240" spans="1:6" ht="12.75">
      <c r="A29240" s="2">
        <v>43875.579259259262</v>
      </c>
      <c r="B29240" t="str">
        <f>HYPERLINK("https://twitter.com/KevinPerwira007","@KevinPerwira007")</f>
        <v>@KevinPerwira007</v>
      </c>
      <c r="C29240" t="s">
        <v>12144</v>
      </c>
      <c r="D29240">
        <v>5</v>
      </c>
      <c r="E29240">
        <v>0</v>
      </c>
      <c r="F29240">
        <v>879</v>
      </c>
    </row>
    <row r="29241" spans="1:6" ht="12.75">
      <c r="A29241" s="2">
        <v>43875.579224537039</v>
      </c>
      <c r="B29241" t="str">
        <f>HYPERLINK("https://twitter.com/Rezekiquu","@Rezekiquu")</f>
        <v>@Rezekiquu</v>
      </c>
      <c r="C29241" t="s">
        <v>9123</v>
      </c>
      <c r="D29241">
        <v>118</v>
      </c>
      <c r="E29241">
        <v>0</v>
      </c>
      <c r="F29241">
        <v>408</v>
      </c>
    </row>
    <row r="29242" spans="1:6" ht="12.75">
      <c r="A29242" s="2">
        <v>43875.579189814816</v>
      </c>
      <c r="B29242" t="str">
        <f>HYPERLINK("https://twitter.com/nanasubana9","@nanasubana9")</f>
        <v>@nanasubana9</v>
      </c>
      <c r="C29242" t="s">
        <v>2444</v>
      </c>
      <c r="D29242">
        <v>1053</v>
      </c>
      <c r="E29242">
        <v>0</v>
      </c>
      <c r="F29242">
        <v>2435</v>
      </c>
    </row>
    <row r="29243" spans="1:6" ht="12.75">
      <c r="A29243" s="2">
        <v>43875.57912037037</v>
      </c>
      <c r="B29243" t="str">
        <f>HYPERLINK("https://twitter.com/ocin71","@ocin71")</f>
        <v>@ocin71</v>
      </c>
      <c r="C29243" t="s">
        <v>9538</v>
      </c>
      <c r="D29243">
        <v>131</v>
      </c>
      <c r="E29243">
        <v>0</v>
      </c>
      <c r="F29243">
        <v>318</v>
      </c>
    </row>
    <row r="29244" spans="1:6" ht="12.75">
      <c r="A29244" s="2">
        <v>43875.579085648147</v>
      </c>
      <c r="B29244" t="str">
        <f>HYPERLINK("https://twitter.com/junhuicy","@junhuicy")</f>
        <v>@junhuicy</v>
      </c>
      <c r="C29244" t="s">
        <v>5168</v>
      </c>
      <c r="D29244">
        <v>644</v>
      </c>
      <c r="E29244">
        <v>0</v>
      </c>
      <c r="F29244">
        <v>52</v>
      </c>
    </row>
    <row r="29245" spans="1:6" ht="12.75">
      <c r="A29245" s="2">
        <v>43875.579016203701</v>
      </c>
      <c r="B29245" t="str">
        <f>HYPERLINK("https://twitter.com/boembatubara","@boembatubara")</f>
        <v>@boembatubara</v>
      </c>
      <c r="C29245" t="s">
        <v>2444</v>
      </c>
      <c r="D29245">
        <v>1053</v>
      </c>
      <c r="E29245">
        <v>0</v>
      </c>
      <c r="F29245">
        <v>451</v>
      </c>
    </row>
    <row r="29246" spans="1:6" ht="12.75">
      <c r="A29246" s="2">
        <v>43875.578981481478</v>
      </c>
      <c r="B29246" t="str">
        <f>HYPERLINK("https://twitter.com/Iccodarl1","@Iccodarl1")</f>
        <v>@Iccodarl1</v>
      </c>
      <c r="C29246" t="s">
        <v>2963</v>
      </c>
      <c r="D29246">
        <v>821</v>
      </c>
      <c r="E29246">
        <v>0</v>
      </c>
      <c r="F29246">
        <v>143</v>
      </c>
    </row>
    <row r="29247" spans="1:6" ht="12.75">
      <c r="A29247" s="2">
        <v>43875.578981481478</v>
      </c>
      <c r="B29247" t="str">
        <f>HYPERLINK("https://twitter.com/annisarzk20","@annisarzk20")</f>
        <v>@annisarzk20</v>
      </c>
      <c r="C29247" t="s">
        <v>2444</v>
      </c>
      <c r="D29247">
        <v>1053</v>
      </c>
      <c r="E29247">
        <v>0</v>
      </c>
      <c r="F29247">
        <v>58</v>
      </c>
    </row>
    <row r="29248" spans="1:6" ht="12.75">
      <c r="A29248" s="2">
        <v>43875.578842592593</v>
      </c>
      <c r="B29248" t="str">
        <f>HYPERLINK("https://twitter.com/WenangAndre","@WenangAndre")</f>
        <v>@WenangAndre</v>
      </c>
      <c r="C29248" t="s">
        <v>2963</v>
      </c>
      <c r="D29248">
        <v>821</v>
      </c>
      <c r="E29248">
        <v>0</v>
      </c>
      <c r="F29248">
        <v>1175</v>
      </c>
    </row>
    <row r="29249" spans="1:6" ht="12.75">
      <c r="A29249" s="2">
        <v>43875.578831018516</v>
      </c>
      <c r="B29249" t="str">
        <f>HYPERLINK("https://twitter.com/IndonesiaRAW","@IndonesiaRAW")</f>
        <v>@IndonesiaRAW</v>
      </c>
      <c r="C29249" t="s">
        <v>12684</v>
      </c>
      <c r="D29249">
        <v>2</v>
      </c>
      <c r="E29249">
        <v>0</v>
      </c>
      <c r="F29249">
        <v>201866</v>
      </c>
    </row>
    <row r="29250" spans="1:6" ht="12.75">
      <c r="A29250" s="2">
        <v>43875.578819444447</v>
      </c>
      <c r="B29250" t="str">
        <f>HYPERLINK("https://twitter.com/eajparki","@eajparki")</f>
        <v>@eajparki</v>
      </c>
      <c r="C29250" t="s">
        <v>9123</v>
      </c>
      <c r="D29250">
        <v>118</v>
      </c>
      <c r="E29250">
        <v>0</v>
      </c>
      <c r="F29250">
        <v>864</v>
      </c>
    </row>
    <row r="29251" spans="1:6" ht="12.75">
      <c r="A29251" s="2">
        <v>43875.578819444447</v>
      </c>
      <c r="B29251" t="str">
        <f>HYPERLINK("https://twitter.com/dodank_dc","@dodank_dc")</f>
        <v>@dodank_dc</v>
      </c>
      <c r="C29251" t="s">
        <v>12685</v>
      </c>
      <c r="D29251">
        <v>0</v>
      </c>
      <c r="E29251">
        <v>0</v>
      </c>
      <c r="F29251">
        <v>130</v>
      </c>
    </row>
    <row r="29252" spans="1:6" ht="12.75">
      <c r="A29252" s="2">
        <v>43875.578819444447</v>
      </c>
      <c r="B29252" t="str">
        <f>HYPERLINK("https://twitter.com/alt1_","@alt1_")</f>
        <v>@alt1_</v>
      </c>
      <c r="C29252" t="s">
        <v>9123</v>
      </c>
      <c r="D29252">
        <v>118</v>
      </c>
      <c r="E29252">
        <v>0</v>
      </c>
      <c r="F29252">
        <v>208</v>
      </c>
    </row>
    <row r="29253" spans="1:6" ht="12.75">
      <c r="A29253" s="2">
        <v>43875.578784722224</v>
      </c>
      <c r="B29253" t="str">
        <f>HYPERLINK("https://twitter.com/annabarle","@annabarle")</f>
        <v>@annabarle</v>
      </c>
      <c r="C29253" t="s">
        <v>2444</v>
      </c>
      <c r="D29253">
        <v>1053</v>
      </c>
      <c r="E29253">
        <v>0</v>
      </c>
      <c r="F29253">
        <v>297</v>
      </c>
    </row>
    <row r="29254" spans="1:6" ht="12.75">
      <c r="A29254" s="2">
        <v>43875.578784722224</v>
      </c>
      <c r="B29254" t="str">
        <f>HYPERLINK("https://twitter.com/eajparki","@eajparki")</f>
        <v>@eajparki</v>
      </c>
      <c r="C29254" t="s">
        <v>2444</v>
      </c>
      <c r="D29254">
        <v>1053</v>
      </c>
      <c r="E29254">
        <v>0</v>
      </c>
      <c r="F29254">
        <v>864</v>
      </c>
    </row>
    <row r="29255" spans="1:6" ht="12.75">
      <c r="A29255" s="2">
        <v>43875.578726851847</v>
      </c>
      <c r="B29255" t="str">
        <f>HYPERLINK("https://twitter.com/Rezekiquu","@Rezekiquu")</f>
        <v>@Rezekiquu</v>
      </c>
      <c r="C29255" t="s">
        <v>2444</v>
      </c>
      <c r="D29255">
        <v>1053</v>
      </c>
      <c r="E29255">
        <v>0</v>
      </c>
      <c r="F29255">
        <v>408</v>
      </c>
    </row>
    <row r="29256" spans="1:6" ht="12.75">
      <c r="A29256" s="2">
        <v>43875.578726851847</v>
      </c>
      <c r="B29256" t="str">
        <f>HYPERLINK("https://twitter.com/syahrasaddin62","@syahrasaddin62")</f>
        <v>@syahrasaddin62</v>
      </c>
      <c r="C29256" t="s">
        <v>9746</v>
      </c>
      <c r="D29256">
        <v>135</v>
      </c>
      <c r="E29256">
        <v>0</v>
      </c>
      <c r="F29256">
        <v>737</v>
      </c>
    </row>
    <row r="29257" spans="1:6" ht="12.75">
      <c r="A29257" s="2">
        <v>43875.578715277778</v>
      </c>
      <c r="B29257" t="str">
        <f>HYPERLINK("https://twitter.com/yumna_83","@yumna_83")</f>
        <v>@yumna_83</v>
      </c>
      <c r="C29257" t="s">
        <v>12347</v>
      </c>
      <c r="D29257">
        <v>0</v>
      </c>
      <c r="E29257">
        <v>0</v>
      </c>
      <c r="F29257">
        <v>67</v>
      </c>
    </row>
    <row r="29258" spans="1:6" ht="12.75">
      <c r="A29258" s="2">
        <v>43875.578703703708</v>
      </c>
      <c r="B29258" t="str">
        <f>HYPERLINK("https://twitter.com/Noveepio","@Noveepio")</f>
        <v>@Noveepio</v>
      </c>
      <c r="C29258" t="s">
        <v>9123</v>
      </c>
      <c r="D29258">
        <v>118</v>
      </c>
      <c r="E29258">
        <v>0</v>
      </c>
      <c r="F29258">
        <v>1971</v>
      </c>
    </row>
    <row r="29259" spans="1:6" ht="12.75">
      <c r="A29259" s="2">
        <v>43875.578703703708</v>
      </c>
      <c r="B29259" t="str">
        <f>HYPERLINK("https://twitter.com/IndonesiaRAW","@IndonesiaRAW")</f>
        <v>@IndonesiaRAW</v>
      </c>
      <c r="C29259" t="s">
        <v>12686</v>
      </c>
      <c r="D29259">
        <v>2</v>
      </c>
      <c r="E29259">
        <v>1</v>
      </c>
      <c r="F29259">
        <v>201866</v>
      </c>
    </row>
    <row r="29260" spans="1:6" ht="12.75">
      <c r="A29260" s="2">
        <v>43875.578587962962</v>
      </c>
      <c r="B29260" t="str">
        <f>HYPERLINK("https://twitter.com/kikagi123","@kikagi123")</f>
        <v>@kikagi123</v>
      </c>
      <c r="C29260" t="s">
        <v>10300</v>
      </c>
      <c r="D29260">
        <v>16</v>
      </c>
      <c r="E29260">
        <v>0</v>
      </c>
      <c r="F29260">
        <v>237</v>
      </c>
    </row>
    <row r="29261" spans="1:6" ht="12.75">
      <c r="A29261" s="2">
        <v>43875.578576388885</v>
      </c>
      <c r="B29261" t="str">
        <f>HYPERLINK("https://twitter.com/vashappenin24","@vashappenin24")</f>
        <v>@vashappenin24</v>
      </c>
      <c r="C29261" t="s">
        <v>12687</v>
      </c>
      <c r="D29261">
        <v>0</v>
      </c>
      <c r="E29261">
        <v>0</v>
      </c>
      <c r="F29261">
        <v>38</v>
      </c>
    </row>
    <row r="29262" spans="1:6" ht="12.75">
      <c r="A29262" s="2">
        <v>43875.578576388885</v>
      </c>
      <c r="B29262" t="str">
        <f>HYPERLINK("https://twitter.com/nanasubana9","@nanasubana9")</f>
        <v>@nanasubana9</v>
      </c>
      <c r="C29262" t="s">
        <v>9123</v>
      </c>
      <c r="D29262">
        <v>118</v>
      </c>
      <c r="E29262">
        <v>0</v>
      </c>
      <c r="F29262">
        <v>2435</v>
      </c>
    </row>
    <row r="29263" spans="1:6" ht="12.75">
      <c r="A29263" s="2">
        <v>43875.578530092593</v>
      </c>
      <c r="B29263" t="str">
        <f>HYPERLINK("https://twitter.com/KompasTV","@KompasTV")</f>
        <v>@KompasTV</v>
      </c>
      <c r="C29263" t="s">
        <v>12688</v>
      </c>
      <c r="D29263">
        <v>0</v>
      </c>
      <c r="E29263">
        <v>1</v>
      </c>
      <c r="F29263">
        <v>2941108</v>
      </c>
    </row>
    <row r="29264" spans="1:6" ht="12.75">
      <c r="A29264" s="2">
        <v>43875.578506944439</v>
      </c>
      <c r="B29264" t="str">
        <f>HYPERLINK("https://twitter.com/adhunlee","@adhunlee")</f>
        <v>@adhunlee</v>
      </c>
      <c r="C29264" t="s">
        <v>2444</v>
      </c>
      <c r="D29264">
        <v>1053</v>
      </c>
      <c r="E29264">
        <v>0</v>
      </c>
      <c r="F29264">
        <v>125</v>
      </c>
    </row>
    <row r="29265" spans="1:6" ht="12.75">
      <c r="A29265" s="2">
        <v>43875.578506944439</v>
      </c>
      <c r="B29265" t="str">
        <f>HYPERLINK("https://twitter.com/LCimory","@LCimory")</f>
        <v>@LCimory</v>
      </c>
      <c r="C29265" t="s">
        <v>9123</v>
      </c>
      <c r="D29265">
        <v>118</v>
      </c>
      <c r="E29265">
        <v>0</v>
      </c>
      <c r="F29265">
        <v>136</v>
      </c>
    </row>
    <row r="29266" spans="1:6" ht="12.75">
      <c r="A29266" s="2">
        <v>43875.57849537037</v>
      </c>
      <c r="B29266" t="str">
        <f>HYPERLINK("https://twitter.com/vikunyel","@vikunyel")</f>
        <v>@vikunyel</v>
      </c>
      <c r="C29266" t="s">
        <v>2444</v>
      </c>
      <c r="D29266">
        <v>1053</v>
      </c>
      <c r="E29266">
        <v>0</v>
      </c>
      <c r="F29266">
        <v>302</v>
      </c>
    </row>
    <row r="29267" spans="1:6" ht="12.75">
      <c r="A29267" s="2">
        <v>43875.5784837963</v>
      </c>
      <c r="B29267" t="str">
        <f>HYPERLINK("https://twitter.com/Rezekiquu","@Rezekiquu")</f>
        <v>@Rezekiquu</v>
      </c>
      <c r="C29267" t="s">
        <v>11536</v>
      </c>
      <c r="D29267">
        <v>0</v>
      </c>
      <c r="E29267">
        <v>0</v>
      </c>
      <c r="F29267">
        <v>408</v>
      </c>
    </row>
    <row r="29268" spans="1:6" ht="12.75">
      <c r="A29268" s="2">
        <v>43875.578449074077</v>
      </c>
      <c r="B29268" t="str">
        <f>HYPERLINK("https://twitter.com/Tandaseru_id","@Tandaseru_id")</f>
        <v>@Tandaseru_id</v>
      </c>
      <c r="C29268" t="s">
        <v>12689</v>
      </c>
      <c r="D29268">
        <v>0</v>
      </c>
      <c r="E29268">
        <v>0</v>
      </c>
      <c r="F29268">
        <v>932</v>
      </c>
    </row>
    <row r="29269" spans="1:6" ht="12.75">
      <c r="A29269" s="2">
        <v>43875.5784375</v>
      </c>
      <c r="B29269" t="str">
        <f>HYPERLINK("https://twitter.com/Cindarbumiwn","@Cindarbumiwn")</f>
        <v>@Cindarbumiwn</v>
      </c>
      <c r="C29269" t="s">
        <v>12690</v>
      </c>
      <c r="D29269">
        <v>0</v>
      </c>
      <c r="E29269">
        <v>0</v>
      </c>
      <c r="F29269">
        <v>351</v>
      </c>
    </row>
    <row r="29270" spans="1:6" ht="12.75">
      <c r="A29270" s="2">
        <v>43875.578402777777</v>
      </c>
      <c r="B29270" t="str">
        <f>HYPERLINK("https://twitter.com/girlwxkoo","@girlwxkoo")</f>
        <v>@girlwxkoo</v>
      </c>
      <c r="C29270" t="s">
        <v>9123</v>
      </c>
      <c r="D29270">
        <v>118</v>
      </c>
      <c r="E29270">
        <v>0</v>
      </c>
      <c r="F29270">
        <v>4419</v>
      </c>
    </row>
    <row r="29271" spans="1:6" ht="12.75">
      <c r="A29271" s="2">
        <v>43875.5783912037</v>
      </c>
      <c r="B29271" t="str">
        <f>HYPERLINK("https://twitter.com/ummairarizky","@ummairarizky")</f>
        <v>@ummairarizky</v>
      </c>
      <c r="C29271" t="s">
        <v>2444</v>
      </c>
      <c r="D29271">
        <v>1053</v>
      </c>
      <c r="E29271">
        <v>0</v>
      </c>
      <c r="F29271">
        <v>304</v>
      </c>
    </row>
    <row r="29272" spans="1:6" ht="12.75">
      <c r="A29272" s="2">
        <v>43875.578379629631</v>
      </c>
      <c r="B29272" t="str">
        <f>HYPERLINK("https://twitter.com/Kylie_brantas","@Kylie_brantas")</f>
        <v>@Kylie_brantas</v>
      </c>
      <c r="C29272" t="s">
        <v>11536</v>
      </c>
      <c r="D29272">
        <v>0</v>
      </c>
      <c r="E29272">
        <v>0</v>
      </c>
      <c r="F29272">
        <v>25</v>
      </c>
    </row>
    <row r="29273" spans="1:6" ht="12.75">
      <c r="A29273" s="2">
        <v>43875.578379629631</v>
      </c>
      <c r="B29273" t="str">
        <f>HYPERLINK("https://twitter.com/fairusizzudin","@fairusizzudin")</f>
        <v>@fairusizzudin</v>
      </c>
      <c r="C29273" t="s">
        <v>12691</v>
      </c>
      <c r="D29273">
        <v>0</v>
      </c>
      <c r="E29273">
        <v>0</v>
      </c>
      <c r="F29273">
        <v>154</v>
      </c>
    </row>
    <row r="29274" spans="1:6" ht="12.75">
      <c r="A29274" s="2">
        <v>43875.578333333338</v>
      </c>
      <c r="B29274" t="str">
        <f>HYPERLINK("https://twitter.com/wolgwangg","@wolgwangg")</f>
        <v>@wolgwangg</v>
      </c>
      <c r="C29274" t="s">
        <v>8233</v>
      </c>
      <c r="D29274">
        <v>433</v>
      </c>
      <c r="E29274">
        <v>0</v>
      </c>
      <c r="F29274">
        <v>19</v>
      </c>
    </row>
    <row r="29275" spans="1:6" ht="12.75">
      <c r="A29275" s="2">
        <v>43875.578240740739</v>
      </c>
      <c r="B29275" t="str">
        <f>HYPERLINK("https://twitter.com/IndonesiaRAW","@IndonesiaRAW")</f>
        <v>@IndonesiaRAW</v>
      </c>
      <c r="C29275" t="s">
        <v>12692</v>
      </c>
      <c r="D29275">
        <v>2</v>
      </c>
      <c r="E29275">
        <v>0</v>
      </c>
      <c r="F29275">
        <v>201866</v>
      </c>
    </row>
    <row r="29276" spans="1:6" ht="12.75">
      <c r="A29276" s="2">
        <v>43875.578229166669</v>
      </c>
      <c r="B29276" t="str">
        <f>HYPERLINK("https://twitter.com/Malahay48802284","@Malahay48802284")</f>
        <v>@Malahay48802284</v>
      </c>
      <c r="C29276" t="s">
        <v>12693</v>
      </c>
      <c r="D29276">
        <v>0</v>
      </c>
      <c r="E29276">
        <v>0</v>
      </c>
      <c r="F29276">
        <v>47</v>
      </c>
    </row>
    <row r="29277" spans="1:6" ht="12.75">
      <c r="A29277" s="2">
        <v>43875.578206018516</v>
      </c>
      <c r="B29277" t="str">
        <f>HYPERLINK("https://twitter.com/ngzkyzdry","@ngzkyzdry")</f>
        <v>@ngzkyzdry</v>
      </c>
      <c r="C29277" t="s">
        <v>2444</v>
      </c>
      <c r="D29277">
        <v>1053</v>
      </c>
      <c r="E29277">
        <v>0</v>
      </c>
      <c r="F29277">
        <v>99</v>
      </c>
    </row>
    <row r="29278" spans="1:6" ht="12.75">
      <c r="A29278" s="2">
        <v>43875.578194444446</v>
      </c>
      <c r="B29278" t="str">
        <f>HYPERLINK("https://twitter.com/radenputraa","@radenputraa")</f>
        <v>@radenputraa</v>
      </c>
      <c r="C29278" t="s">
        <v>2444</v>
      </c>
      <c r="D29278">
        <v>1053</v>
      </c>
      <c r="E29278">
        <v>0</v>
      </c>
      <c r="F29278">
        <v>1131</v>
      </c>
    </row>
    <row r="29279" spans="1:6" ht="12.75">
      <c r="A29279" s="2">
        <v>43875.578182870369</v>
      </c>
      <c r="B29279" t="str">
        <f>HYPERLINK("https://twitter.com/sweetiebityy23","@sweetiebityy23")</f>
        <v>@sweetiebityy23</v>
      </c>
      <c r="C29279" t="s">
        <v>9123</v>
      </c>
      <c r="D29279">
        <v>118</v>
      </c>
      <c r="E29279">
        <v>0</v>
      </c>
      <c r="F29279">
        <v>629</v>
      </c>
    </row>
    <row r="29280" spans="1:6" ht="12.75">
      <c r="A29280" s="2">
        <v>43875.578171296293</v>
      </c>
      <c r="B29280" t="str">
        <f>HYPERLINK("https://twitter.com/Adelereads","@Adelereads")</f>
        <v>@Adelereads</v>
      </c>
      <c r="C29280" t="s">
        <v>2444</v>
      </c>
      <c r="D29280">
        <v>1053</v>
      </c>
      <c r="E29280">
        <v>0</v>
      </c>
      <c r="F29280">
        <v>306</v>
      </c>
    </row>
    <row r="29281" spans="1:6" ht="12.75">
      <c r="A29281" s="2">
        <v>43875.578159722223</v>
      </c>
      <c r="B29281" t="str">
        <f>HYPERLINK("https://twitter.com/YoesfaT","@YoesfaT")</f>
        <v>@YoesfaT</v>
      </c>
      <c r="C29281" t="s">
        <v>2444</v>
      </c>
      <c r="D29281">
        <v>1053</v>
      </c>
      <c r="E29281">
        <v>0</v>
      </c>
      <c r="F29281">
        <v>659</v>
      </c>
    </row>
    <row r="29282" spans="1:6" ht="12.75">
      <c r="A29282" s="2">
        <v>43875.578101851846</v>
      </c>
      <c r="B29282" t="str">
        <f>HYPERLINK("https://twitter.com/AkbNouval","@AkbNouval")</f>
        <v>@AkbNouval</v>
      </c>
      <c r="C29282" t="s">
        <v>7478</v>
      </c>
      <c r="D29282">
        <v>61</v>
      </c>
      <c r="E29282">
        <v>0</v>
      </c>
      <c r="F29282">
        <v>1452</v>
      </c>
    </row>
    <row r="29283" spans="1:6" ht="12.75">
      <c r="A29283" s="2">
        <v>43875.578090277777</v>
      </c>
      <c r="B29283" t="str">
        <f>HYPERLINK("https://twitter.com/IndonesiaRAW","@IndonesiaRAW")</f>
        <v>@IndonesiaRAW</v>
      </c>
      <c r="C29283" t="s">
        <v>12694</v>
      </c>
      <c r="D29283">
        <v>2</v>
      </c>
      <c r="E29283">
        <v>2</v>
      </c>
      <c r="F29283">
        <v>201866</v>
      </c>
    </row>
    <row r="29284" spans="1:6" ht="12.75">
      <c r="A29284" s="2">
        <v>43875.578055555554</v>
      </c>
      <c r="B29284" t="str">
        <f>HYPERLINK("https://twitter.com/masihsyg","@masihsyg")</f>
        <v>@masihsyg</v>
      </c>
      <c r="C29284" t="s">
        <v>2444</v>
      </c>
      <c r="D29284">
        <v>1053</v>
      </c>
      <c r="E29284">
        <v>0</v>
      </c>
      <c r="F29284">
        <v>499</v>
      </c>
    </row>
    <row r="29285" spans="1:6" ht="12.75">
      <c r="A29285" s="2">
        <v>43875.578055555554</v>
      </c>
      <c r="B29285" t="str">
        <f>HYPERLINK("https://twitter.com/kitasamakita","@kitasamakita")</f>
        <v>@kitasamakita</v>
      </c>
      <c r="C29285" t="s">
        <v>2444</v>
      </c>
      <c r="D29285">
        <v>1053</v>
      </c>
      <c r="E29285">
        <v>0</v>
      </c>
      <c r="F29285">
        <v>612</v>
      </c>
    </row>
    <row r="29286" spans="1:6" ht="12.75">
      <c r="A29286" s="2">
        <v>43875.578055555554</v>
      </c>
      <c r="B29286" t="str">
        <f>HYPERLINK("https://twitter.com/ext2_","@ext2_")</f>
        <v>@ext2_</v>
      </c>
      <c r="C29286" t="s">
        <v>9123</v>
      </c>
      <c r="D29286">
        <v>118</v>
      </c>
      <c r="E29286">
        <v>0</v>
      </c>
      <c r="F29286">
        <v>246</v>
      </c>
    </row>
    <row r="29287" spans="1:6" ht="12.75">
      <c r="A29287" s="2">
        <v>43875.578043981484</v>
      </c>
      <c r="B29287" t="str">
        <f>HYPERLINK("https://twitter.com/HendroP90921707","@HendroP90921707")</f>
        <v>@HendroP90921707</v>
      </c>
      <c r="C29287" t="s">
        <v>12695</v>
      </c>
      <c r="D29287">
        <v>1</v>
      </c>
      <c r="E29287">
        <v>0</v>
      </c>
      <c r="F29287">
        <v>2567</v>
      </c>
    </row>
    <row r="29288" spans="1:6" ht="12.75">
      <c r="A29288" s="2">
        <v>43875.578032407408</v>
      </c>
      <c r="B29288" t="str">
        <f>HYPERLINK("https://twitter.com/ryan_p_delarosa","@ryan_p_delarosa")</f>
        <v>@ryan_p_delarosa</v>
      </c>
      <c r="C29288" t="s">
        <v>5168</v>
      </c>
      <c r="D29288">
        <v>644</v>
      </c>
      <c r="E29288">
        <v>0</v>
      </c>
      <c r="F29288">
        <v>200</v>
      </c>
    </row>
    <row r="29289" spans="1:6" ht="12.75">
      <c r="A29289" s="2">
        <v>43875.577974537038</v>
      </c>
      <c r="B29289" t="str">
        <f>HYPERLINK("https://twitter.com/FauzanAlFayedi","@FauzanAlFayedi")</f>
        <v>@FauzanAlFayedi</v>
      </c>
      <c r="C29289" t="s">
        <v>2444</v>
      </c>
      <c r="D29289">
        <v>1053</v>
      </c>
      <c r="E29289">
        <v>0</v>
      </c>
      <c r="F29289">
        <v>92</v>
      </c>
    </row>
    <row r="29290" spans="1:6" ht="12.75">
      <c r="A29290" s="2">
        <v>43875.577881944446</v>
      </c>
      <c r="B29290" t="str">
        <f>HYPERLINK("https://twitter.com/sambalgoangg","@sambalgoangg")</f>
        <v>@sambalgoangg</v>
      </c>
      <c r="C29290" t="s">
        <v>2444</v>
      </c>
      <c r="D29290">
        <v>1053</v>
      </c>
      <c r="E29290">
        <v>0</v>
      </c>
      <c r="F29290">
        <v>30</v>
      </c>
    </row>
    <row r="29291" spans="1:6" ht="12.75">
      <c r="A29291" s="2">
        <v>43875.5778587963</v>
      </c>
      <c r="B29291" t="str">
        <f>HYPERLINK("https://twitter.com/kitasamakita","@kitasamakita")</f>
        <v>@kitasamakita</v>
      </c>
      <c r="C29291" t="s">
        <v>9123</v>
      </c>
      <c r="D29291">
        <v>118</v>
      </c>
      <c r="E29291">
        <v>0</v>
      </c>
      <c r="F29291">
        <v>612</v>
      </c>
    </row>
    <row r="29292" spans="1:6" ht="12.75">
      <c r="A29292" s="2">
        <v>43875.577835648146</v>
      </c>
      <c r="B29292" t="str">
        <f>HYPERLINK("https://twitter.com/adisaelangi_id","@adisaelangi_id")</f>
        <v>@adisaelangi_id</v>
      </c>
      <c r="C29292" t="s">
        <v>12144</v>
      </c>
      <c r="D29292">
        <v>5</v>
      </c>
      <c r="E29292">
        <v>0</v>
      </c>
      <c r="F29292">
        <v>1710</v>
      </c>
    </row>
    <row r="29293" spans="1:6" ht="12.75">
      <c r="A29293" s="2">
        <v>43875.577777777777</v>
      </c>
      <c r="B29293" t="str">
        <f>HYPERLINK("https://twitter.com/Hokime","@Hokime")</f>
        <v>@Hokime</v>
      </c>
      <c r="C29293" t="s">
        <v>9123</v>
      </c>
      <c r="D29293">
        <v>118</v>
      </c>
      <c r="E29293">
        <v>0</v>
      </c>
      <c r="F29293">
        <v>660</v>
      </c>
    </row>
    <row r="29294" spans="1:6" ht="12.75">
      <c r="A29294" s="2">
        <v>43875.577662037038</v>
      </c>
      <c r="B29294" t="str">
        <f>HYPERLINK("https://twitter.com/s4ty4b4ng","@s4ty4b4ng")</f>
        <v>@s4ty4b4ng</v>
      </c>
      <c r="C29294" t="s">
        <v>9123</v>
      </c>
      <c r="D29294">
        <v>118</v>
      </c>
      <c r="E29294">
        <v>0</v>
      </c>
      <c r="F29294">
        <v>725</v>
      </c>
    </row>
    <row r="29295" spans="1:6" ht="12.75">
      <c r="A29295" s="2">
        <v>43875.577627314815</v>
      </c>
      <c r="B29295" t="str">
        <f>HYPERLINK("https://twitter.com/Noveepio","@Noveepio")</f>
        <v>@Noveepio</v>
      </c>
      <c r="C29295" t="s">
        <v>2444</v>
      </c>
      <c r="D29295">
        <v>1053</v>
      </c>
      <c r="E29295">
        <v>0</v>
      </c>
      <c r="F29295">
        <v>1971</v>
      </c>
    </row>
    <row r="29296" spans="1:6" ht="12.75">
      <c r="A29296" s="2">
        <v>43875.577581018515</v>
      </c>
      <c r="B29296" t="str">
        <f>HYPERLINK("https://twitter.com/bersatulahnkri","@bersatulahnkri")</f>
        <v>@bersatulahnkri</v>
      </c>
      <c r="C29296" t="s">
        <v>11425</v>
      </c>
      <c r="D29296">
        <v>219</v>
      </c>
      <c r="E29296">
        <v>0</v>
      </c>
      <c r="F29296">
        <v>1937</v>
      </c>
    </row>
    <row r="29297" spans="1:6" ht="12.75">
      <c r="A29297" s="2">
        <v>43875.577534722222</v>
      </c>
      <c r="B29297" t="str">
        <f>HYPERLINK("https://twitter.com/PeanutShiny","@PeanutShiny")</f>
        <v>@PeanutShiny</v>
      </c>
      <c r="C29297" t="s">
        <v>12696</v>
      </c>
      <c r="D29297">
        <v>0</v>
      </c>
      <c r="E29297">
        <v>0</v>
      </c>
      <c r="F29297">
        <v>28</v>
      </c>
    </row>
    <row r="29298" spans="1:6" ht="12.75">
      <c r="A29298" s="2">
        <v>43875.577499999999</v>
      </c>
      <c r="B29298" t="str">
        <f>HYPERLINK("https://twitter.com/HendroP90921707","@HendroP90921707")</f>
        <v>@HendroP90921707</v>
      </c>
      <c r="C29298" t="s">
        <v>12697</v>
      </c>
      <c r="D29298">
        <v>1</v>
      </c>
      <c r="E29298">
        <v>1</v>
      </c>
      <c r="F29298">
        <v>2567</v>
      </c>
    </row>
    <row r="29299" spans="1:6" ht="12.75">
      <c r="A29299" s="2">
        <v>43875.577465277776</v>
      </c>
      <c r="B29299" t="str">
        <f>HYPERLINK("https://twitter.com/moenirry","@moenirry")</f>
        <v>@moenirry</v>
      </c>
      <c r="C29299" t="s">
        <v>12698</v>
      </c>
      <c r="D29299">
        <v>0</v>
      </c>
      <c r="E29299">
        <v>0</v>
      </c>
      <c r="F29299">
        <v>332</v>
      </c>
    </row>
    <row r="29300" spans="1:6" ht="12.75">
      <c r="A29300" s="2">
        <v>43875.57739583333</v>
      </c>
      <c r="B29300" t="str">
        <f>HYPERLINK("https://twitter.com/Rido_Lizze","@Rido_Lizze")</f>
        <v>@Rido_Lizze</v>
      </c>
      <c r="C29300" t="s">
        <v>12144</v>
      </c>
      <c r="D29300">
        <v>5</v>
      </c>
      <c r="E29300">
        <v>0</v>
      </c>
      <c r="F29300">
        <v>1303</v>
      </c>
    </row>
    <row r="29301" spans="1:6" ht="12.75">
      <c r="A29301" s="2">
        <v>43875.577372685184</v>
      </c>
      <c r="B29301" t="str">
        <f>HYPERLINK("https://twitter.com/Nychoiii","@Nychoiii")</f>
        <v>@Nychoiii</v>
      </c>
      <c r="C29301" t="s">
        <v>2444</v>
      </c>
      <c r="D29301">
        <v>1053</v>
      </c>
      <c r="E29301">
        <v>0</v>
      </c>
      <c r="F29301">
        <v>24</v>
      </c>
    </row>
    <row r="29302" spans="1:6" ht="12.75">
      <c r="A29302" s="2">
        <v>43875.577337962968</v>
      </c>
      <c r="B29302" t="str">
        <f>HYPERLINK("https://twitter.com/BangJacklins","@BangJacklins")</f>
        <v>@BangJacklins</v>
      </c>
      <c r="C29302" t="s">
        <v>8349</v>
      </c>
      <c r="D29302">
        <v>10</v>
      </c>
      <c r="E29302">
        <v>0</v>
      </c>
      <c r="F29302">
        <v>120</v>
      </c>
    </row>
    <row r="29303" spans="1:6" ht="12.75">
      <c r="A29303" s="2">
        <v>43875.577326388884</v>
      </c>
      <c r="B29303" t="str">
        <f>HYPERLINK("https://twitter.com/kyoongsoowu","@kyoongsoowu")</f>
        <v>@kyoongsoowu</v>
      </c>
      <c r="C29303" t="s">
        <v>9123</v>
      </c>
      <c r="D29303">
        <v>118</v>
      </c>
      <c r="E29303">
        <v>0</v>
      </c>
      <c r="F29303">
        <v>144</v>
      </c>
    </row>
    <row r="29304" spans="1:6" ht="12.75">
      <c r="A29304" s="2">
        <v>43875.577326388884</v>
      </c>
      <c r="B29304" t="str">
        <f>HYPERLINK("https://twitter.com/bb41_","@bb41_")</f>
        <v>@bb41_</v>
      </c>
      <c r="C29304" t="s">
        <v>9123</v>
      </c>
      <c r="D29304">
        <v>118</v>
      </c>
      <c r="E29304">
        <v>0</v>
      </c>
      <c r="F29304">
        <v>34</v>
      </c>
    </row>
    <row r="29305" spans="1:6" ht="12.75">
      <c r="A29305" s="2">
        <v>43875.577280092592</v>
      </c>
      <c r="B29305" t="str">
        <f>HYPERLINK("https://twitter.com/pulangkekopo","@pulangkekopo")</f>
        <v>@pulangkekopo</v>
      </c>
      <c r="C29305" t="s">
        <v>8233</v>
      </c>
      <c r="D29305">
        <v>433</v>
      </c>
      <c r="E29305">
        <v>0</v>
      </c>
      <c r="F29305">
        <v>34</v>
      </c>
    </row>
    <row r="29306" spans="1:6" ht="12.75">
      <c r="A29306" s="2">
        <v>43875.577268518522</v>
      </c>
      <c r="B29306" t="str">
        <f>HYPERLINK("https://twitter.com/Adelereads","@Adelereads")</f>
        <v>@Adelereads</v>
      </c>
      <c r="C29306" t="s">
        <v>9123</v>
      </c>
      <c r="D29306">
        <v>118</v>
      </c>
      <c r="E29306">
        <v>0</v>
      </c>
      <c r="F29306">
        <v>306</v>
      </c>
    </row>
    <row r="29307" spans="1:6" ht="12.75">
      <c r="A29307" s="2">
        <v>43875.577268518522</v>
      </c>
      <c r="B29307" t="str">
        <f>HYPERLINK("https://twitter.com/YoesfaT","@YoesfaT")</f>
        <v>@YoesfaT</v>
      </c>
      <c r="C29307" t="s">
        <v>11536</v>
      </c>
      <c r="D29307">
        <v>0</v>
      </c>
      <c r="E29307">
        <v>0</v>
      </c>
      <c r="F29307">
        <v>659</v>
      </c>
    </row>
    <row r="29308" spans="1:6" ht="12.75">
      <c r="A29308" s="2">
        <v>43875.577256944445</v>
      </c>
      <c r="B29308" t="str">
        <f>HYPERLINK("https://twitter.com/samyangtelor","@samyangtelor")</f>
        <v>@samyangtelor</v>
      </c>
      <c r="C29308" t="s">
        <v>2444</v>
      </c>
      <c r="D29308">
        <v>1053</v>
      </c>
      <c r="E29308">
        <v>0</v>
      </c>
      <c r="F29308">
        <v>976</v>
      </c>
    </row>
    <row r="29309" spans="1:6" ht="12.75">
      <c r="A29309" s="2">
        <v>43875.577245370368</v>
      </c>
      <c r="B29309" t="str">
        <f>HYPERLINK("https://twitter.com/Nychoiii","@Nychoiii")</f>
        <v>@Nychoiii</v>
      </c>
      <c r="C29309" t="s">
        <v>9123</v>
      </c>
      <c r="D29309">
        <v>118</v>
      </c>
      <c r="E29309">
        <v>0</v>
      </c>
      <c r="F29309">
        <v>24</v>
      </c>
    </row>
    <row r="29310" spans="1:6" ht="12.75">
      <c r="A29310" s="2">
        <v>43875.577222222222</v>
      </c>
      <c r="B29310" t="str">
        <f>HYPERLINK("https://twitter.com/ttssaabbiittaa","@ttssaabbiittaa")</f>
        <v>@ttssaabbiittaa</v>
      </c>
      <c r="C29310" t="s">
        <v>9746</v>
      </c>
      <c r="D29310">
        <v>135</v>
      </c>
      <c r="E29310">
        <v>0</v>
      </c>
      <c r="F29310">
        <v>43</v>
      </c>
    </row>
    <row r="29311" spans="1:6" ht="12.75">
      <c r="A29311" s="2">
        <v>43875.577222222222</v>
      </c>
      <c r="B29311" t="str">
        <f>HYPERLINK("https://twitter.com/Hokime","@Hokime")</f>
        <v>@Hokime</v>
      </c>
      <c r="C29311" t="s">
        <v>2444</v>
      </c>
      <c r="D29311">
        <v>1053</v>
      </c>
      <c r="E29311">
        <v>0</v>
      </c>
      <c r="F29311">
        <v>660</v>
      </c>
    </row>
    <row r="29312" spans="1:6" ht="12.75">
      <c r="A29312" s="2">
        <v>43875.577152777776</v>
      </c>
      <c r="B29312" t="str">
        <f>HYPERLINK("https://twitter.com/ausi_Oz","@ausi_Oz")</f>
        <v>@ausi_Oz</v>
      </c>
      <c r="C29312" t="s">
        <v>2444</v>
      </c>
      <c r="D29312">
        <v>1053</v>
      </c>
      <c r="E29312">
        <v>0</v>
      </c>
      <c r="F29312">
        <v>257</v>
      </c>
    </row>
    <row r="29313" spans="1:6" ht="12.75">
      <c r="A29313" s="2">
        <v>43875.577141203699</v>
      </c>
      <c r="B29313" t="str">
        <f>HYPERLINK("https://twitter.com/Winsontrotz1","@Winsontrotz1")</f>
        <v>@Winsontrotz1</v>
      </c>
      <c r="C29313" t="s">
        <v>2963</v>
      </c>
      <c r="D29313">
        <v>821</v>
      </c>
      <c r="E29313">
        <v>0</v>
      </c>
      <c r="F29313">
        <v>2598</v>
      </c>
    </row>
    <row r="29314" spans="1:6" ht="12.75">
      <c r="A29314" s="2">
        <v>43875.57711805556</v>
      </c>
      <c r="B29314" t="str">
        <f>HYPERLINK("https://twitter.com/markibow","@markibow")</f>
        <v>@markibow</v>
      </c>
      <c r="C29314" t="s">
        <v>2444</v>
      </c>
      <c r="D29314">
        <v>1053</v>
      </c>
      <c r="E29314">
        <v>0</v>
      </c>
      <c r="F29314">
        <v>2645</v>
      </c>
    </row>
    <row r="29315" spans="1:6" ht="12.75">
      <c r="A29315" s="2">
        <v>43875.577106481476</v>
      </c>
      <c r="B29315" t="str">
        <f>HYPERLINK("https://twitter.com/galamedianews","@galamedianews")</f>
        <v>@galamedianews</v>
      </c>
      <c r="C29315" t="s">
        <v>12699</v>
      </c>
      <c r="D29315">
        <v>0</v>
      </c>
      <c r="E29315">
        <v>0</v>
      </c>
      <c r="F29315">
        <v>13712</v>
      </c>
    </row>
    <row r="29316" spans="1:6" ht="12.75">
      <c r="A29316" s="2">
        <v>43875.577013888891</v>
      </c>
      <c r="B29316" t="str">
        <f>HYPERLINK("https://twitter.com/NaCLsteril","@NaCLsteril")</f>
        <v>@NaCLsteril</v>
      </c>
      <c r="C29316" t="s">
        <v>2137</v>
      </c>
      <c r="D29316">
        <v>76</v>
      </c>
      <c r="E29316">
        <v>0</v>
      </c>
      <c r="F29316">
        <v>6</v>
      </c>
    </row>
    <row r="29317" spans="1:6" ht="12.75">
      <c r="A29317" s="2">
        <v>43875.576979166668</v>
      </c>
      <c r="B29317" t="str">
        <f>HYPERLINK("https://twitter.com/Aku51458105","@Aku51458105")</f>
        <v>@Aku51458105</v>
      </c>
      <c r="C29317" t="s">
        <v>10291</v>
      </c>
      <c r="D29317">
        <v>15</v>
      </c>
      <c r="E29317">
        <v>0</v>
      </c>
      <c r="F29317">
        <v>104</v>
      </c>
    </row>
    <row r="29318" spans="1:6" ht="12.75">
      <c r="A29318" s="2">
        <v>43875.576967592591</v>
      </c>
      <c r="B29318" t="str">
        <f>HYPERLINK("https://twitter.com/aldobandaro","@aldobandaro")</f>
        <v>@aldobandaro</v>
      </c>
      <c r="C29318" t="s">
        <v>12700</v>
      </c>
      <c r="D29318">
        <v>0</v>
      </c>
      <c r="E29318">
        <v>0</v>
      </c>
      <c r="F29318">
        <v>63</v>
      </c>
    </row>
    <row r="29319" spans="1:6" ht="12.75">
      <c r="A29319" s="2">
        <v>43875.576944444445</v>
      </c>
      <c r="B29319" t="str">
        <f>HYPERLINK("https://twitter.com/visual98L","@visual98L")</f>
        <v>@visual98L</v>
      </c>
      <c r="C29319" t="s">
        <v>2444</v>
      </c>
      <c r="D29319">
        <v>1053</v>
      </c>
      <c r="E29319">
        <v>0</v>
      </c>
      <c r="F29319">
        <v>420</v>
      </c>
    </row>
    <row r="29320" spans="1:6" ht="12.75">
      <c r="A29320" s="2">
        <v>43875.576909722222</v>
      </c>
      <c r="B29320" t="str">
        <f>HYPERLINK("https://twitter.com/RizalEf_96","@RizalEf_96")</f>
        <v>@RizalEf_96</v>
      </c>
      <c r="C29320" t="s">
        <v>2444</v>
      </c>
      <c r="D29320">
        <v>1053</v>
      </c>
      <c r="E29320">
        <v>0</v>
      </c>
      <c r="F29320">
        <v>172</v>
      </c>
    </row>
    <row r="29321" spans="1:6" ht="12.75">
      <c r="A29321" s="2">
        <v>43875.576851851853</v>
      </c>
      <c r="B29321" t="str">
        <f>HYPERLINK("https://twitter.com/digantidulu","@digantidulu")</f>
        <v>@digantidulu</v>
      </c>
      <c r="C29321" t="s">
        <v>2444</v>
      </c>
      <c r="D29321">
        <v>1053</v>
      </c>
      <c r="E29321">
        <v>0</v>
      </c>
      <c r="F29321">
        <v>351</v>
      </c>
    </row>
    <row r="29322" spans="1:6" ht="12.75">
      <c r="A29322" s="2">
        <v>43875.576828703706</v>
      </c>
      <c r="B29322" t="str">
        <f>HYPERLINK("https://twitter.com/jinkkii","@jinkkii")</f>
        <v>@jinkkii</v>
      </c>
      <c r="C29322" t="s">
        <v>5168</v>
      </c>
      <c r="D29322">
        <v>644</v>
      </c>
      <c r="E29322">
        <v>0</v>
      </c>
      <c r="F29322">
        <v>242</v>
      </c>
    </row>
    <row r="29323" spans="1:6" ht="12.75">
      <c r="A29323" s="2">
        <v>43875.576828703706</v>
      </c>
      <c r="B29323" t="str">
        <f>HYPERLINK("https://twitter.com/malmingan","@malmingan")</f>
        <v>@malmingan</v>
      </c>
      <c r="C29323" t="s">
        <v>9123</v>
      </c>
      <c r="D29323">
        <v>118</v>
      </c>
      <c r="E29323">
        <v>0</v>
      </c>
      <c r="F29323">
        <v>290</v>
      </c>
    </row>
    <row r="29324" spans="1:6" ht="12.75">
      <c r="A29324" s="2">
        <v>43875.576805555553</v>
      </c>
      <c r="B29324" t="str">
        <f>HYPERLINK("https://twitter.com/Hokime","@Hokime")</f>
        <v>@Hokime</v>
      </c>
      <c r="C29324" t="s">
        <v>11536</v>
      </c>
      <c r="D29324">
        <v>0</v>
      </c>
      <c r="E29324">
        <v>0</v>
      </c>
      <c r="F29324">
        <v>660</v>
      </c>
    </row>
    <row r="29325" spans="1:6" ht="12.75">
      <c r="A29325" s="2">
        <v>43875.576805555553</v>
      </c>
      <c r="B29325" t="str">
        <f>HYPERLINK("https://twitter.com/kyoongsoowu","@kyoongsoowu")</f>
        <v>@kyoongsoowu</v>
      </c>
      <c r="C29325" t="s">
        <v>2444</v>
      </c>
      <c r="D29325">
        <v>1053</v>
      </c>
      <c r="E29325">
        <v>0</v>
      </c>
      <c r="F29325">
        <v>144</v>
      </c>
    </row>
    <row r="29326" spans="1:6" ht="12.75">
      <c r="A29326" s="2">
        <v>43875.576782407406</v>
      </c>
      <c r="B29326" t="str">
        <f>HYPERLINK("https://twitter.com/Ydmt5_","@Ydmt5_")</f>
        <v>@Ydmt5_</v>
      </c>
      <c r="C29326" t="s">
        <v>2444</v>
      </c>
      <c r="D29326">
        <v>1053</v>
      </c>
      <c r="E29326">
        <v>0</v>
      </c>
      <c r="F29326">
        <v>70</v>
      </c>
    </row>
    <row r="29327" spans="1:6" ht="12.75">
      <c r="A29327" s="2">
        <v>43875.57677083333</v>
      </c>
      <c r="B29327" t="str">
        <f>HYPERLINK("https://twitter.com/_tinggalkenanga","@_tinggalkenanga")</f>
        <v>@_tinggalkenanga</v>
      </c>
      <c r="C29327" t="s">
        <v>9123</v>
      </c>
      <c r="D29327">
        <v>118</v>
      </c>
      <c r="E29327">
        <v>0</v>
      </c>
      <c r="F29327">
        <v>413</v>
      </c>
    </row>
    <row r="29328" spans="1:6" ht="12.75">
      <c r="A29328" s="2">
        <v>43875.57675925926</v>
      </c>
      <c r="B29328" t="str">
        <f>HYPERLINK("https://twitter.com/NuzulBeckam_","@NuzulBeckam_")</f>
        <v>@NuzulBeckam_</v>
      </c>
      <c r="C29328" t="s">
        <v>2444</v>
      </c>
      <c r="D29328">
        <v>1053</v>
      </c>
      <c r="E29328">
        <v>0</v>
      </c>
      <c r="F29328">
        <v>131</v>
      </c>
    </row>
    <row r="29329" spans="1:6" ht="12.75">
      <c r="A29329" s="2">
        <v>43875.576724537037</v>
      </c>
      <c r="B29329" t="str">
        <f>HYPERLINK("https://twitter.com/BartsPete","@BartsPete")</f>
        <v>@BartsPete</v>
      </c>
      <c r="C29329" t="s">
        <v>9082</v>
      </c>
      <c r="D29329">
        <v>13</v>
      </c>
      <c r="E29329">
        <v>0</v>
      </c>
      <c r="F29329">
        <v>1097</v>
      </c>
    </row>
    <row r="29330" spans="1:6" ht="12.75">
      <c r="A29330" s="2">
        <v>43875.576701388884</v>
      </c>
      <c r="B29330" t="str">
        <f>HYPERLINK("https://twitter.com/zzeachels","@zzeachels")</f>
        <v>@zzeachels</v>
      </c>
      <c r="C29330" t="s">
        <v>9494</v>
      </c>
      <c r="D29330">
        <v>0</v>
      </c>
      <c r="E29330">
        <v>0</v>
      </c>
      <c r="F29330">
        <v>41</v>
      </c>
    </row>
    <row r="29331" spans="1:6" ht="12.75">
      <c r="A29331" s="2">
        <v>43875.576678240745</v>
      </c>
      <c r="B29331" t="str">
        <f>HYPERLINK("https://twitter.com/okezonenews","@okezonenews")</f>
        <v>@okezonenews</v>
      </c>
      <c r="C29331" t="s">
        <v>12701</v>
      </c>
      <c r="D29331">
        <v>1</v>
      </c>
      <c r="E29331">
        <v>0</v>
      </c>
      <c r="F29331">
        <v>1743737</v>
      </c>
    </row>
    <row r="29332" spans="1:6" ht="12.75">
      <c r="A29332" s="2">
        <v>43875.576550925922</v>
      </c>
      <c r="B29332" t="str">
        <f>HYPERLINK("https://twitter.com/cechangiya","@cechangiya")</f>
        <v>@cechangiya</v>
      </c>
      <c r="C29332" t="s">
        <v>2444</v>
      </c>
      <c r="D29332">
        <v>1053</v>
      </c>
      <c r="E29332">
        <v>0</v>
      </c>
      <c r="F29332">
        <v>504</v>
      </c>
    </row>
    <row r="29333" spans="1:6" ht="12.75">
      <c r="A29333" s="2">
        <v>43875.576527777783</v>
      </c>
      <c r="B29333" t="str">
        <f>HYPERLINK("https://twitter.com/lailymagfirohh","@lailymagfirohh")</f>
        <v>@lailymagfirohh</v>
      </c>
      <c r="C29333" t="s">
        <v>2444</v>
      </c>
      <c r="D29333">
        <v>1053</v>
      </c>
      <c r="E29333">
        <v>0</v>
      </c>
      <c r="F29333">
        <v>416</v>
      </c>
    </row>
    <row r="29334" spans="1:6" ht="12.75">
      <c r="A29334" s="2">
        <v>43875.576527777783</v>
      </c>
      <c r="B29334" t="str">
        <f>HYPERLINK("https://twitter.com/basoamir","@basoamir")</f>
        <v>@basoamir</v>
      </c>
      <c r="C29334" t="s">
        <v>9746</v>
      </c>
      <c r="D29334">
        <v>135</v>
      </c>
      <c r="E29334">
        <v>0</v>
      </c>
      <c r="F29334">
        <v>1316</v>
      </c>
    </row>
    <row r="29335" spans="1:6" ht="12.75">
      <c r="A29335" s="2">
        <v>43875.576504629629</v>
      </c>
      <c r="B29335" t="str">
        <f>HYPERLINK("https://twitter.com/WAbedego","@WAbedego")</f>
        <v>@WAbedego</v>
      </c>
      <c r="C29335" t="s">
        <v>12702</v>
      </c>
      <c r="D29335">
        <v>38</v>
      </c>
      <c r="E29335">
        <v>0</v>
      </c>
      <c r="F29335">
        <v>917</v>
      </c>
    </row>
    <row r="29336" spans="1:6" ht="12.75">
      <c r="A29336" s="2">
        <v>43875.576504629629</v>
      </c>
      <c r="B29336" t="str">
        <f>HYPERLINK("https://twitter.com/FaizulUmam27","@FaizulUmam27")</f>
        <v>@FaizulUmam27</v>
      </c>
      <c r="C29336" t="s">
        <v>9113</v>
      </c>
      <c r="D29336">
        <v>289</v>
      </c>
      <c r="E29336">
        <v>0</v>
      </c>
      <c r="F29336">
        <v>279</v>
      </c>
    </row>
    <row r="29337" spans="1:6" ht="12.75">
      <c r="A29337" s="2">
        <v>43875.576481481483</v>
      </c>
      <c r="B29337" t="str">
        <f>HYPERLINK("https://twitter.com/jinkkii","@jinkkii")</f>
        <v>@jinkkii</v>
      </c>
      <c r="C29337" t="s">
        <v>10697</v>
      </c>
      <c r="D29337">
        <v>12</v>
      </c>
      <c r="E29337">
        <v>0</v>
      </c>
      <c r="F29337">
        <v>242</v>
      </c>
    </row>
    <row r="29338" spans="1:6" ht="12.75">
      <c r="A29338" s="2">
        <v>43875.576469907406</v>
      </c>
      <c r="B29338" t="str">
        <f>HYPERLINK("https://twitter.com/ss_rynn","@ss_rynn")</f>
        <v>@ss_rynn</v>
      </c>
      <c r="C29338" t="s">
        <v>9123</v>
      </c>
      <c r="D29338">
        <v>118</v>
      </c>
      <c r="E29338">
        <v>0</v>
      </c>
      <c r="F29338">
        <v>52</v>
      </c>
    </row>
    <row r="29339" spans="1:6" ht="12.75">
      <c r="A29339" s="2">
        <v>43875.576458333337</v>
      </c>
      <c r="B29339" t="str">
        <f>HYPERLINK("https://twitter.com/tribun_palu","@tribun_palu")</f>
        <v>@tribun_palu</v>
      </c>
      <c r="C29339" t="s">
        <v>12703</v>
      </c>
      <c r="D29339">
        <v>1</v>
      </c>
      <c r="E29339">
        <v>0</v>
      </c>
      <c r="F29339">
        <v>106</v>
      </c>
    </row>
    <row r="29340" spans="1:6" ht="12.75">
      <c r="A29340" s="2">
        <v>43875.576458333337</v>
      </c>
      <c r="B29340" t="str">
        <f>HYPERLINK("https://twitter.com/kyoongsoowu","@kyoongsoowu")</f>
        <v>@kyoongsoowu</v>
      </c>
      <c r="C29340" t="s">
        <v>12347</v>
      </c>
      <c r="D29340">
        <v>0</v>
      </c>
      <c r="E29340">
        <v>0</v>
      </c>
      <c r="F29340">
        <v>144</v>
      </c>
    </row>
    <row r="29341" spans="1:6" ht="12.75">
      <c r="A29341" s="2">
        <v>43875.576458333337</v>
      </c>
      <c r="B29341" t="str">
        <f>HYPERLINK("https://twitter.com/hujanhoki","@hujanhoki")</f>
        <v>@hujanhoki</v>
      </c>
      <c r="C29341" t="s">
        <v>9123</v>
      </c>
      <c r="D29341">
        <v>118</v>
      </c>
      <c r="E29341">
        <v>0</v>
      </c>
      <c r="F29341">
        <v>334</v>
      </c>
    </row>
    <row r="29342" spans="1:6" ht="12.75">
      <c r="A29342" s="2">
        <v>43875.576423611114</v>
      </c>
      <c r="B29342" t="str">
        <f>HYPERLINK("https://twitter.com/embunpagi_12","@embunpagi_12")</f>
        <v>@embunpagi_12</v>
      </c>
      <c r="C29342" t="s">
        <v>12704</v>
      </c>
      <c r="D29342">
        <v>0</v>
      </c>
      <c r="E29342">
        <v>0</v>
      </c>
      <c r="F29342">
        <v>94</v>
      </c>
    </row>
    <row r="29343" spans="1:6" ht="12.75">
      <c r="A29343" s="2">
        <v>43875.576412037037</v>
      </c>
      <c r="B29343" t="str">
        <f>HYPERLINK("https://twitter.com/DreamersRadioID","@DreamersRadioID")</f>
        <v>@DreamersRadioID</v>
      </c>
      <c r="C29343" t="s">
        <v>29</v>
      </c>
      <c r="D29343">
        <v>1</v>
      </c>
      <c r="E29343">
        <v>1</v>
      </c>
      <c r="F29343">
        <v>75574</v>
      </c>
    </row>
    <row r="29344" spans="1:6" ht="12.75">
      <c r="A29344" s="2">
        <v>43875.576412037037</v>
      </c>
      <c r="B29344" t="str">
        <f>HYPERLINK("https://twitter.com/SayHeiYu","@SayHeiYu")</f>
        <v>@SayHeiYu</v>
      </c>
      <c r="C29344" t="s">
        <v>29</v>
      </c>
      <c r="D29344">
        <v>0</v>
      </c>
      <c r="E29344">
        <v>0</v>
      </c>
      <c r="F29344">
        <v>120178</v>
      </c>
    </row>
    <row r="29345" spans="1:6" ht="12.75">
      <c r="A29345" s="2">
        <v>43875.576388888891</v>
      </c>
      <c r="B29345" t="str">
        <f>HYPERLINK("https://twitter.com/Zaka_R17","@Zaka_R17")</f>
        <v>@Zaka_R17</v>
      </c>
      <c r="C29345" t="s">
        <v>2444</v>
      </c>
      <c r="D29345">
        <v>1053</v>
      </c>
      <c r="E29345">
        <v>0</v>
      </c>
      <c r="F29345">
        <v>908</v>
      </c>
    </row>
    <row r="29346" spans="1:6" ht="12.75">
      <c r="A29346" s="2">
        <v>43875.576377314814</v>
      </c>
      <c r="B29346" t="str">
        <f>HYPERLINK("https://twitter.com/danzfikd","@danzfikd")</f>
        <v>@danzfikd</v>
      </c>
      <c r="C29346" t="s">
        <v>2963</v>
      </c>
      <c r="D29346">
        <v>821</v>
      </c>
      <c r="E29346">
        <v>0</v>
      </c>
      <c r="F29346">
        <v>1044</v>
      </c>
    </row>
    <row r="29347" spans="1:6" ht="12.75">
      <c r="A29347" s="2">
        <v>43875.576377314814</v>
      </c>
      <c r="B29347" t="str">
        <f>HYPERLINK("https://twitter.com/NisaKaiba","@NisaKaiba")</f>
        <v>@NisaKaiba</v>
      </c>
      <c r="C29347" t="s">
        <v>175</v>
      </c>
      <c r="D29347">
        <v>5273</v>
      </c>
      <c r="E29347">
        <v>0</v>
      </c>
      <c r="F29347">
        <v>12</v>
      </c>
    </row>
    <row r="29348" spans="1:6" ht="12.75">
      <c r="A29348" s="2">
        <v>43875.576319444444</v>
      </c>
      <c r="B29348" t="str">
        <f t="shared" ref="B29348:B29349" si="371">HYPERLINK("https://twitter.com/IndonesiaRAW","@IndonesiaRAW")</f>
        <v>@IndonesiaRAW</v>
      </c>
      <c r="C29348" t="s">
        <v>12705</v>
      </c>
      <c r="D29348">
        <v>2</v>
      </c>
      <c r="E29348">
        <v>0</v>
      </c>
      <c r="F29348">
        <v>201866</v>
      </c>
    </row>
    <row r="29349" spans="1:6" ht="12.75">
      <c r="A29349" s="2">
        <v>43875.576307870375</v>
      </c>
      <c r="B29349" t="str">
        <f t="shared" si="371"/>
        <v>@IndonesiaRAW</v>
      </c>
      <c r="C29349" t="s">
        <v>12706</v>
      </c>
      <c r="D29349">
        <v>2</v>
      </c>
      <c r="E29349">
        <v>1</v>
      </c>
      <c r="F29349">
        <v>201866</v>
      </c>
    </row>
    <row r="29350" spans="1:6" ht="12.75">
      <c r="A29350" s="2">
        <v>43875.576284722221</v>
      </c>
      <c r="B29350" t="str">
        <f>HYPERLINK("https://twitter.com/jodi_wirawan","@jodi_wirawan")</f>
        <v>@jodi_wirawan</v>
      </c>
      <c r="C29350" t="s">
        <v>8233</v>
      </c>
      <c r="D29350">
        <v>433</v>
      </c>
      <c r="E29350">
        <v>0</v>
      </c>
      <c r="F29350">
        <v>150</v>
      </c>
    </row>
    <row r="29351" spans="1:6" ht="12.75">
      <c r="A29351" s="2">
        <v>43875.576273148152</v>
      </c>
      <c r="B29351" t="str">
        <f>HYPERLINK("https://twitter.com/Mataka81760170","@Mataka81760170")</f>
        <v>@Mataka81760170</v>
      </c>
      <c r="C29351" t="s">
        <v>12707</v>
      </c>
      <c r="D29351">
        <v>2</v>
      </c>
      <c r="E29351">
        <v>0</v>
      </c>
      <c r="F29351">
        <v>3352</v>
      </c>
    </row>
    <row r="29352" spans="1:6" ht="12.75">
      <c r="A29352" s="2">
        <v>43875.576261574075</v>
      </c>
      <c r="B29352" t="str">
        <f>HYPERLINK("https://twitter.com/ravolienche","@ravolienche")</f>
        <v>@ravolienche</v>
      </c>
      <c r="C29352" t="s">
        <v>2444</v>
      </c>
      <c r="D29352">
        <v>1053</v>
      </c>
      <c r="E29352">
        <v>0</v>
      </c>
      <c r="F29352">
        <v>978</v>
      </c>
    </row>
    <row r="29353" spans="1:6" ht="12.75">
      <c r="A29353" s="2">
        <v>43875.576180555552</v>
      </c>
      <c r="B29353" t="str">
        <f>HYPERLINK("https://twitter.com/MetridaVidiarsi","@MetridaVidiarsi")</f>
        <v>@MetridaVidiarsi</v>
      </c>
      <c r="C29353" t="s">
        <v>2444</v>
      </c>
      <c r="D29353">
        <v>1053</v>
      </c>
      <c r="E29353">
        <v>0</v>
      </c>
      <c r="F29353">
        <v>505</v>
      </c>
    </row>
    <row r="29354" spans="1:6" ht="12.75">
      <c r="A29354" s="2">
        <v>43875.576168981483</v>
      </c>
      <c r="B29354" t="str">
        <f>HYPERLINK("https://twitter.com/afiafiafii","@afiafiafii")</f>
        <v>@afiafiafii</v>
      </c>
      <c r="C29354" t="s">
        <v>12708</v>
      </c>
      <c r="D29354">
        <v>0</v>
      </c>
      <c r="E29354">
        <v>0</v>
      </c>
      <c r="F29354">
        <v>824</v>
      </c>
    </row>
    <row r="29355" spans="1:6" ht="12.75">
      <c r="A29355" s="2">
        <v>43875.576087962967</v>
      </c>
      <c r="B29355" t="str">
        <f>HYPERLINK("https://twitter.com/cechangiya","@cechangiya")</f>
        <v>@cechangiya</v>
      </c>
      <c r="C29355" t="s">
        <v>11536</v>
      </c>
      <c r="D29355">
        <v>0</v>
      </c>
      <c r="E29355">
        <v>0</v>
      </c>
      <c r="F29355">
        <v>504</v>
      </c>
    </row>
    <row r="29356" spans="1:6" ht="12.75">
      <c r="A29356" s="2">
        <v>43875.576053240744</v>
      </c>
      <c r="B29356" t="str">
        <f>HYPERLINK("https://twitter.com/PojokNU","@PojokNU")</f>
        <v>@PojokNU</v>
      </c>
      <c r="C29356" t="s">
        <v>12416</v>
      </c>
      <c r="D29356">
        <v>0</v>
      </c>
      <c r="E29356">
        <v>0</v>
      </c>
      <c r="F29356">
        <v>697</v>
      </c>
    </row>
    <row r="29357" spans="1:6" ht="12.75">
      <c r="A29357" s="2">
        <v>43875.575983796298</v>
      </c>
      <c r="B29357" t="str">
        <f>HYPERLINK("https://twitter.com/jawapos","@jawapos")</f>
        <v>@jawapos</v>
      </c>
      <c r="C29357" t="s">
        <v>12709</v>
      </c>
      <c r="D29357">
        <v>0</v>
      </c>
      <c r="E29357">
        <v>0</v>
      </c>
      <c r="F29357">
        <v>116428</v>
      </c>
    </row>
    <row r="29358" spans="1:6" ht="12.75">
      <c r="A29358" s="2">
        <v>43875.575960648144</v>
      </c>
      <c r="B29358" t="str">
        <f>HYPERLINK("https://twitter.com/asmadajoel","@asmadajoel")</f>
        <v>@asmadajoel</v>
      </c>
      <c r="C29358" t="s">
        <v>10422</v>
      </c>
      <c r="D29358">
        <v>83</v>
      </c>
      <c r="E29358">
        <v>0</v>
      </c>
      <c r="F29358">
        <v>3503</v>
      </c>
    </row>
    <row r="29359" spans="1:6" ht="12.75">
      <c r="A29359" s="2">
        <v>43875.575949074075</v>
      </c>
      <c r="B29359" t="str">
        <f>HYPERLINK("https://twitter.com/itsmeparkjihoon","@itsmeparkjihoon")</f>
        <v>@itsmeparkjihoon</v>
      </c>
      <c r="C29359" t="s">
        <v>2444</v>
      </c>
      <c r="D29359">
        <v>1053</v>
      </c>
      <c r="E29359">
        <v>0</v>
      </c>
      <c r="F29359">
        <v>1486</v>
      </c>
    </row>
    <row r="29360" spans="1:6" ht="12.75">
      <c r="A29360" s="2">
        <v>43875.575925925921</v>
      </c>
      <c r="B29360" t="str">
        <f>HYPERLINK("https://twitter.com/tatapoongie","@tatapoongie")</f>
        <v>@tatapoongie</v>
      </c>
      <c r="C29360" t="s">
        <v>2444</v>
      </c>
      <c r="D29360">
        <v>1054</v>
      </c>
      <c r="E29360">
        <v>0</v>
      </c>
      <c r="F29360">
        <v>336</v>
      </c>
    </row>
    <row r="29361" spans="1:6" ht="12.75">
      <c r="A29361" s="2">
        <v>43875.575914351852</v>
      </c>
      <c r="B29361" t="str">
        <f>HYPERLINK("https://twitter.com/novianhg","@novianhg")</f>
        <v>@novianhg</v>
      </c>
      <c r="C29361" t="s">
        <v>2444</v>
      </c>
      <c r="D29361">
        <v>1054</v>
      </c>
      <c r="E29361">
        <v>0</v>
      </c>
      <c r="F29361">
        <v>588</v>
      </c>
    </row>
    <row r="29362" spans="1:6" ht="12.75">
      <c r="A29362" s="2">
        <v>43875.575902777782</v>
      </c>
      <c r="B29362" t="str">
        <f>HYPERLINK("https://twitter.com/eja1_","@eja1_")</f>
        <v>@eja1_</v>
      </c>
      <c r="C29362" t="s">
        <v>9123</v>
      </c>
      <c r="D29362">
        <v>118</v>
      </c>
      <c r="E29362">
        <v>0</v>
      </c>
      <c r="F29362">
        <v>40</v>
      </c>
    </row>
    <row r="29363" spans="1:6" ht="12.75">
      <c r="A29363" s="2">
        <v>43875.575902777782</v>
      </c>
      <c r="B29363" t="str">
        <f>HYPERLINK("https://twitter.com/AAlfaroqi2","@AAlfaroqi2")</f>
        <v>@AAlfaroqi2</v>
      </c>
      <c r="C29363" t="s">
        <v>12710</v>
      </c>
      <c r="D29363">
        <v>0</v>
      </c>
      <c r="E29363">
        <v>2</v>
      </c>
      <c r="F29363">
        <v>292</v>
      </c>
    </row>
    <row r="29364" spans="1:6" ht="12.75">
      <c r="A29364" s="2">
        <v>43875.575902777782</v>
      </c>
      <c r="B29364" t="str">
        <f>HYPERLINK("https://twitter.com/Garbageilo","@Garbageilo")</f>
        <v>@Garbageilo</v>
      </c>
      <c r="C29364" t="s">
        <v>7478</v>
      </c>
      <c r="D29364">
        <v>61</v>
      </c>
      <c r="E29364">
        <v>0</v>
      </c>
      <c r="F29364">
        <v>96</v>
      </c>
    </row>
    <row r="29365" spans="1:6" ht="12.75">
      <c r="A29365" s="2">
        <v>43875.575902777782</v>
      </c>
      <c r="B29365" t="str">
        <f>HYPERLINK("https://twitter.com/guztiekaputra","@guztiekaputra")</f>
        <v>@guztiekaputra</v>
      </c>
      <c r="C29365" t="s">
        <v>12711</v>
      </c>
      <c r="D29365">
        <v>0</v>
      </c>
      <c r="E29365">
        <v>0</v>
      </c>
      <c r="F29365">
        <v>597</v>
      </c>
    </row>
    <row r="29366" spans="1:6" ht="12.75">
      <c r="A29366" s="2">
        <v>43875.575879629629</v>
      </c>
      <c r="B29366" t="str">
        <f>HYPERLINK("https://twitter.com/heyy_AR","@heyy_AR")</f>
        <v>@heyy_AR</v>
      </c>
      <c r="C29366" t="s">
        <v>2444</v>
      </c>
      <c r="D29366">
        <v>1054</v>
      </c>
      <c r="E29366">
        <v>0</v>
      </c>
      <c r="F29366">
        <v>334</v>
      </c>
    </row>
    <row r="29367" spans="1:6" ht="12.75">
      <c r="A29367" s="2">
        <v>43875.575868055559</v>
      </c>
      <c r="B29367" t="str">
        <f>HYPERLINK("https://twitter.com/novianhg","@novianhg")</f>
        <v>@novianhg</v>
      </c>
      <c r="C29367" t="s">
        <v>9123</v>
      </c>
      <c r="D29367">
        <v>118</v>
      </c>
      <c r="E29367">
        <v>0</v>
      </c>
      <c r="F29367">
        <v>588</v>
      </c>
    </row>
    <row r="29368" spans="1:6" ht="12.75">
      <c r="A29368" s="2">
        <v>43875.575856481482</v>
      </c>
      <c r="B29368" t="str">
        <f>HYPERLINK("https://twitter.com/hanum_10","@hanum_10")</f>
        <v>@hanum_10</v>
      </c>
      <c r="C29368" t="s">
        <v>12347</v>
      </c>
      <c r="D29368">
        <v>0</v>
      </c>
      <c r="E29368">
        <v>0</v>
      </c>
      <c r="F29368">
        <v>170</v>
      </c>
    </row>
    <row r="29369" spans="1:6" ht="12.75">
      <c r="A29369" s="2">
        <v>43875.575856481482</v>
      </c>
      <c r="B29369" t="str">
        <f>HYPERLINK("https://twitter.com/lucky_dedew","@lucky_dedew")</f>
        <v>@lucky_dedew</v>
      </c>
      <c r="C29369" t="s">
        <v>2444</v>
      </c>
      <c r="D29369">
        <v>1054</v>
      </c>
      <c r="E29369">
        <v>0</v>
      </c>
      <c r="F29369">
        <v>86</v>
      </c>
    </row>
    <row r="29370" spans="1:6" ht="12.75">
      <c r="A29370" s="2">
        <v>43875.575810185182</v>
      </c>
      <c r="B29370" t="str">
        <f>HYPERLINK("https://twitter.com/Cindarbumiwn","@Cindarbumiwn")</f>
        <v>@Cindarbumiwn</v>
      </c>
      <c r="C29370" t="s">
        <v>9123</v>
      </c>
      <c r="D29370">
        <v>118</v>
      </c>
      <c r="E29370">
        <v>0</v>
      </c>
      <c r="F29370">
        <v>351</v>
      </c>
    </row>
    <row r="29371" spans="1:6" ht="12.75">
      <c r="A29371" s="2">
        <v>43875.575798611113</v>
      </c>
      <c r="B29371" t="str">
        <f>HYPERLINK("https://twitter.com/tsemangkamanis","@tsemangkamanis")</f>
        <v>@tsemangkamanis</v>
      </c>
      <c r="C29371" t="s">
        <v>2444</v>
      </c>
      <c r="D29371">
        <v>1054</v>
      </c>
      <c r="E29371">
        <v>0</v>
      </c>
      <c r="F29371">
        <v>110</v>
      </c>
    </row>
    <row r="29372" spans="1:6" ht="12.75">
      <c r="A29372" s="2">
        <v>43875.575787037036</v>
      </c>
      <c r="B29372" t="str">
        <f>HYPERLINK("https://twitter.com/embunpagi_12","@embunpagi_12")</f>
        <v>@embunpagi_12</v>
      </c>
      <c r="C29372" t="s">
        <v>9123</v>
      </c>
      <c r="D29372">
        <v>118</v>
      </c>
      <c r="E29372">
        <v>0</v>
      </c>
      <c r="F29372">
        <v>94</v>
      </c>
    </row>
    <row r="29373" spans="1:6" ht="12.75">
      <c r="A29373" s="2">
        <v>43875.575717592597</v>
      </c>
      <c r="B29373" t="str">
        <f>HYPERLINK("https://twitter.com/yogascitra83","@yogascitra83")</f>
        <v>@yogascitra83</v>
      </c>
      <c r="C29373" t="s">
        <v>12712</v>
      </c>
      <c r="D29373">
        <v>0</v>
      </c>
      <c r="E29373">
        <v>0</v>
      </c>
      <c r="F29373">
        <v>156</v>
      </c>
    </row>
    <row r="29374" spans="1:6" ht="12.75">
      <c r="A29374" s="2">
        <v>43875.575706018513</v>
      </c>
      <c r="B29374" t="str">
        <f>HYPERLINK("https://twitter.com/irulsaja21","@irulsaja21")</f>
        <v>@irulsaja21</v>
      </c>
      <c r="C29374" t="s">
        <v>9123</v>
      </c>
      <c r="D29374">
        <v>118</v>
      </c>
      <c r="E29374">
        <v>0</v>
      </c>
      <c r="F29374">
        <v>55</v>
      </c>
    </row>
    <row r="29375" spans="1:6" ht="12.75">
      <c r="A29375" s="2">
        <v>43875.575694444444</v>
      </c>
      <c r="B29375" t="str">
        <f>HYPERLINK("https://twitter.com/kompascom","@kompascom")</f>
        <v>@kompascom</v>
      </c>
      <c r="C29375" t="s">
        <v>12713</v>
      </c>
      <c r="D29375">
        <v>0</v>
      </c>
      <c r="E29375">
        <v>5</v>
      </c>
      <c r="F29375">
        <v>7497486</v>
      </c>
    </row>
    <row r="29376" spans="1:6" ht="12.75">
      <c r="A29376" s="2">
        <v>43875.575682870374</v>
      </c>
      <c r="B29376" t="str">
        <f>HYPERLINK("https://twitter.com/wantholidae","@wantholidae")</f>
        <v>@wantholidae</v>
      </c>
      <c r="C29376" t="s">
        <v>7803</v>
      </c>
      <c r="D29376">
        <v>309</v>
      </c>
      <c r="E29376">
        <v>0</v>
      </c>
      <c r="F29376">
        <v>245</v>
      </c>
    </row>
    <row r="29377" spans="1:6" ht="12.75">
      <c r="A29377" s="2">
        <v>43875.575671296298</v>
      </c>
      <c r="B29377" t="str">
        <f>HYPERLINK("https://twitter.com/firlydarwin","@firlydarwin")</f>
        <v>@firlydarwin</v>
      </c>
      <c r="C29377" t="s">
        <v>2444</v>
      </c>
      <c r="D29377">
        <v>1054</v>
      </c>
      <c r="E29377">
        <v>0</v>
      </c>
      <c r="F29377">
        <v>160</v>
      </c>
    </row>
    <row r="29378" spans="1:6" ht="12.75">
      <c r="A29378" s="2">
        <v>43875.575671296298</v>
      </c>
      <c r="B29378" t="str">
        <f>HYPERLINK("https://twitter.com/ocin71","@ocin71")</f>
        <v>@ocin71</v>
      </c>
      <c r="C29378" t="s">
        <v>7478</v>
      </c>
      <c r="D29378">
        <v>61</v>
      </c>
      <c r="E29378">
        <v>0</v>
      </c>
      <c r="F29378">
        <v>318</v>
      </c>
    </row>
    <row r="29379" spans="1:6" ht="12.75">
      <c r="A29379" s="2">
        <v>43875.575601851851</v>
      </c>
      <c r="B29379" t="str">
        <f>HYPERLINK("https://twitter.com/hujanhoki","@hujanhoki")</f>
        <v>@hujanhoki</v>
      </c>
      <c r="C29379" t="s">
        <v>2444</v>
      </c>
      <c r="D29379">
        <v>1054</v>
      </c>
      <c r="E29379">
        <v>0</v>
      </c>
      <c r="F29379">
        <v>334</v>
      </c>
    </row>
    <row r="29380" spans="1:6" ht="12.75">
      <c r="A29380" s="2">
        <v>43875.575555555552</v>
      </c>
      <c r="B29380" t="str">
        <f>HYPERLINK("https://twitter.com/csyvesaint","@csyvesaint")</f>
        <v>@csyvesaint</v>
      </c>
      <c r="C29380" t="s">
        <v>12714</v>
      </c>
      <c r="D29380">
        <v>0</v>
      </c>
      <c r="E29380">
        <v>0</v>
      </c>
      <c r="F29380">
        <v>1319</v>
      </c>
    </row>
    <row r="29381" spans="1:6" ht="12.75">
      <c r="A29381" s="2">
        <v>43875.575532407413</v>
      </c>
      <c r="B29381" t="str">
        <f>HYPERLINK("https://twitter.com/katadhimaz","@katadhimaz")</f>
        <v>@katadhimaz</v>
      </c>
      <c r="C29381" t="s">
        <v>10300</v>
      </c>
      <c r="D29381">
        <v>16</v>
      </c>
      <c r="E29381">
        <v>0</v>
      </c>
      <c r="F29381">
        <v>323</v>
      </c>
    </row>
    <row r="29382" spans="1:6" ht="12.75">
      <c r="A29382" s="2">
        <v>43875.575497685189</v>
      </c>
      <c r="B29382" t="str">
        <f>HYPERLINK("https://twitter.com/utixdds","@utixdds")</f>
        <v>@utixdds</v>
      </c>
      <c r="C29382" t="s">
        <v>12347</v>
      </c>
      <c r="D29382">
        <v>0</v>
      </c>
      <c r="E29382">
        <v>0</v>
      </c>
      <c r="F29382">
        <v>188</v>
      </c>
    </row>
    <row r="29383" spans="1:6" ht="12.75">
      <c r="A29383" s="2">
        <v>43875.575497685189</v>
      </c>
      <c r="B29383" t="str">
        <f>HYPERLINK("https://twitter.com/girlwxkoo","@girlwxkoo")</f>
        <v>@girlwxkoo</v>
      </c>
      <c r="C29383" t="s">
        <v>2444</v>
      </c>
      <c r="D29383">
        <v>1054</v>
      </c>
      <c r="E29383">
        <v>0</v>
      </c>
      <c r="F29383">
        <v>4419</v>
      </c>
    </row>
    <row r="29384" spans="1:6" ht="12.75">
      <c r="A29384" s="2">
        <v>43875.575474537036</v>
      </c>
      <c r="B29384" t="str">
        <f>HYPERLINK("https://twitter.com/paintyeol","@paintyeol")</f>
        <v>@paintyeol</v>
      </c>
      <c r="C29384" t="s">
        <v>11536</v>
      </c>
      <c r="D29384">
        <v>0</v>
      </c>
      <c r="E29384">
        <v>0</v>
      </c>
      <c r="F29384">
        <v>217</v>
      </c>
    </row>
    <row r="29385" spans="1:6" ht="12.75">
      <c r="A29385" s="2">
        <v>43875.575416666667</v>
      </c>
      <c r="B29385" t="str">
        <f>HYPERLINK("https://twitter.com/KORNASJOIN","@KORNASJOIN")</f>
        <v>@KORNASJOIN</v>
      </c>
      <c r="C29385" t="s">
        <v>12613</v>
      </c>
      <c r="D29385">
        <v>19</v>
      </c>
      <c r="E29385">
        <v>0</v>
      </c>
      <c r="F29385">
        <v>1255</v>
      </c>
    </row>
    <row r="29386" spans="1:6" ht="12.75">
      <c r="A29386" s="2">
        <v>43875.575416666667</v>
      </c>
      <c r="B29386" t="str">
        <f>HYPERLINK("https://twitter.com/habibfathuroziq","@habibfathuroziq")</f>
        <v>@habibfathuroziq</v>
      </c>
      <c r="C29386" t="s">
        <v>2444</v>
      </c>
      <c r="D29386">
        <v>1054</v>
      </c>
      <c r="E29386">
        <v>0</v>
      </c>
      <c r="F29386">
        <v>543</v>
      </c>
    </row>
    <row r="29387" spans="1:6" ht="12.75">
      <c r="A29387" s="2">
        <v>43875.57540509259</v>
      </c>
      <c r="B29387" t="str">
        <f>HYPERLINK("https://twitter.com/senengangue","@senengangue")</f>
        <v>@senengangue</v>
      </c>
      <c r="C29387" t="s">
        <v>8881</v>
      </c>
      <c r="D29387">
        <v>272</v>
      </c>
      <c r="E29387">
        <v>0</v>
      </c>
      <c r="F29387">
        <v>1204</v>
      </c>
    </row>
    <row r="29388" spans="1:6" ht="12.75">
      <c r="A29388" s="2">
        <v>43875.575370370367</v>
      </c>
      <c r="B29388" t="str">
        <f>HYPERLINK("https://twitter.com/erickjohn__","@erickjohn__")</f>
        <v>@erickjohn__</v>
      </c>
      <c r="C29388" t="s">
        <v>8233</v>
      </c>
      <c r="D29388">
        <v>433</v>
      </c>
      <c r="E29388">
        <v>0</v>
      </c>
      <c r="F29388">
        <v>380</v>
      </c>
    </row>
    <row r="29389" spans="1:6" ht="12.75">
      <c r="A29389" s="2">
        <v>43875.575358796297</v>
      </c>
      <c r="B29389" t="str">
        <f>HYPERLINK("https://twitter.com/IntoGeisha","@IntoGeisha")</f>
        <v>@IntoGeisha</v>
      </c>
      <c r="C29389" t="s">
        <v>9123</v>
      </c>
      <c r="D29389">
        <v>118</v>
      </c>
      <c r="E29389">
        <v>0</v>
      </c>
      <c r="F29389">
        <v>160</v>
      </c>
    </row>
    <row r="29390" spans="1:6" ht="12.75">
      <c r="A29390" s="2">
        <v>43875.575358796297</v>
      </c>
      <c r="B29390" t="str">
        <f>HYPERLINK("https://twitter.com/KORNASJOIN","@KORNASJOIN")</f>
        <v>@KORNASJOIN</v>
      </c>
      <c r="C29390" t="s">
        <v>5665</v>
      </c>
      <c r="D29390">
        <v>67</v>
      </c>
      <c r="E29390">
        <v>0</v>
      </c>
      <c r="F29390">
        <v>1255</v>
      </c>
    </row>
    <row r="29391" spans="1:6" ht="12.75">
      <c r="A29391" s="2">
        <v>43875.575300925921</v>
      </c>
      <c r="B29391" t="str">
        <f>HYPERLINK("https://twitter.com/dthevew","@dthevew")</f>
        <v>@dthevew</v>
      </c>
      <c r="C29391" t="s">
        <v>5168</v>
      </c>
      <c r="D29391">
        <v>644</v>
      </c>
      <c r="E29391">
        <v>0</v>
      </c>
      <c r="F29391">
        <v>1188</v>
      </c>
    </row>
    <row r="29392" spans="1:6" ht="12.75">
      <c r="A29392" s="2">
        <v>43875.575266203705</v>
      </c>
      <c r="B29392" t="str">
        <f>HYPERLINK("https://twitter.com/JoKerR_nN","@JoKerR_nN")</f>
        <v>@JoKerR_nN</v>
      </c>
      <c r="C29392" t="s">
        <v>2122</v>
      </c>
      <c r="D29392">
        <v>202</v>
      </c>
      <c r="E29392">
        <v>0</v>
      </c>
      <c r="F29392">
        <v>714</v>
      </c>
    </row>
    <row r="29393" spans="1:6" ht="12.75">
      <c r="A29393" s="2">
        <v>43875.575243055559</v>
      </c>
      <c r="B29393" t="str">
        <f>HYPERLINK("https://twitter.com/jualgojek","@jualgojek")</f>
        <v>@jualgojek</v>
      </c>
      <c r="C29393" t="s">
        <v>9123</v>
      </c>
      <c r="D29393">
        <v>118</v>
      </c>
      <c r="E29393">
        <v>0</v>
      </c>
      <c r="F29393">
        <v>59</v>
      </c>
    </row>
    <row r="29394" spans="1:6" ht="12.75">
      <c r="A29394" s="2">
        <v>43875.575219907405</v>
      </c>
      <c r="B29394" t="str">
        <f>HYPERLINK("https://twitter.com/Ciindy_Putrii","@Ciindy_Putrii")</f>
        <v>@Ciindy_Putrii</v>
      </c>
      <c r="C29394" t="s">
        <v>12715</v>
      </c>
      <c r="D29394">
        <v>0</v>
      </c>
      <c r="E29394">
        <v>0</v>
      </c>
      <c r="F29394">
        <v>65</v>
      </c>
    </row>
    <row r="29395" spans="1:6" ht="12.75">
      <c r="A29395" s="2">
        <v>43875.575219907405</v>
      </c>
      <c r="B29395" t="str">
        <f>HYPERLINK("https://twitter.com/gwoblo","@gwoblo")</f>
        <v>@gwoblo</v>
      </c>
      <c r="C29395" t="s">
        <v>9123</v>
      </c>
      <c r="D29395">
        <v>118</v>
      </c>
      <c r="E29395">
        <v>0</v>
      </c>
      <c r="F29395">
        <v>124</v>
      </c>
    </row>
    <row r="29396" spans="1:6" ht="12.75">
      <c r="A29396" s="2">
        <v>43875.575196759259</v>
      </c>
      <c r="B29396" t="str">
        <f>HYPERLINK("https://twitter.com/utixdds","@utixdds")</f>
        <v>@utixdds</v>
      </c>
      <c r="C29396" t="s">
        <v>9123</v>
      </c>
      <c r="D29396">
        <v>118</v>
      </c>
      <c r="E29396">
        <v>0</v>
      </c>
      <c r="F29396">
        <v>188</v>
      </c>
    </row>
    <row r="29397" spans="1:6" ht="12.75">
      <c r="A29397" s="2">
        <v>43875.575196759259</v>
      </c>
      <c r="B29397" t="str">
        <f>HYPERLINK("https://twitter.com/hujanhoki","@hujanhoki")</f>
        <v>@hujanhoki</v>
      </c>
      <c r="C29397" t="s">
        <v>12347</v>
      </c>
      <c r="D29397">
        <v>0</v>
      </c>
      <c r="E29397">
        <v>0</v>
      </c>
      <c r="F29397">
        <v>334</v>
      </c>
    </row>
    <row r="29398" spans="1:6" ht="12.75">
      <c r="A29398" s="2">
        <v>43875.575173611112</v>
      </c>
      <c r="B29398" t="str">
        <f>HYPERLINK("https://twitter.com/byeoldyogi","@byeoldyogi")</f>
        <v>@byeoldyogi</v>
      </c>
      <c r="C29398" t="s">
        <v>10697</v>
      </c>
      <c r="D29398">
        <v>12</v>
      </c>
      <c r="E29398">
        <v>0</v>
      </c>
      <c r="F29398">
        <v>216</v>
      </c>
    </row>
    <row r="29399" spans="1:6" ht="12.75">
      <c r="A29399" s="2">
        <v>43875.575173611112</v>
      </c>
      <c r="B29399" t="str">
        <f>HYPERLINK("https://twitter.com/spraklingwine","@spraklingwine")</f>
        <v>@spraklingwine</v>
      </c>
      <c r="C29399" t="s">
        <v>12716</v>
      </c>
      <c r="D29399">
        <v>0</v>
      </c>
      <c r="E29399">
        <v>0</v>
      </c>
      <c r="F29399">
        <v>210</v>
      </c>
    </row>
    <row r="29400" spans="1:6" ht="12.75">
      <c r="A29400" s="2">
        <v>43875.575162037036</v>
      </c>
      <c r="B29400" t="str">
        <f>HYPERLINK("https://twitter.com/becausespecial","@becausespecial")</f>
        <v>@becausespecial</v>
      </c>
      <c r="C29400" t="s">
        <v>2963</v>
      </c>
      <c r="D29400">
        <v>821</v>
      </c>
      <c r="E29400">
        <v>0</v>
      </c>
      <c r="F29400">
        <v>118</v>
      </c>
    </row>
    <row r="29401" spans="1:6" ht="12.75">
      <c r="A29401" s="2">
        <v>43875.575150462959</v>
      </c>
      <c r="B29401" t="str">
        <f>HYPERLINK("https://twitter.com/fans6690","@fans6690")</f>
        <v>@fans6690</v>
      </c>
      <c r="C29401" t="s">
        <v>12717</v>
      </c>
      <c r="D29401">
        <v>0</v>
      </c>
      <c r="E29401">
        <v>0</v>
      </c>
      <c r="F29401">
        <v>87</v>
      </c>
    </row>
    <row r="29402" spans="1:6" ht="12.75">
      <c r="A29402" s="2">
        <v>43875.575104166666</v>
      </c>
      <c r="B29402" t="str">
        <f>HYPERLINK("https://twitter.com/apelmaniss","@apelmaniss")</f>
        <v>@apelmaniss</v>
      </c>
      <c r="C29402" t="s">
        <v>9123</v>
      </c>
      <c r="D29402">
        <v>118</v>
      </c>
      <c r="E29402">
        <v>0</v>
      </c>
      <c r="F29402">
        <v>135</v>
      </c>
    </row>
    <row r="29403" spans="1:6" ht="12.75">
      <c r="A29403" s="2">
        <v>43875.575057870374</v>
      </c>
      <c r="B29403" t="str">
        <f>HYPERLINK("https://twitter.com/SitiPatimahAja","@SitiPatimahAja")</f>
        <v>@SitiPatimahAja</v>
      </c>
      <c r="C29403" t="s">
        <v>12273</v>
      </c>
      <c r="D29403">
        <v>5</v>
      </c>
      <c r="E29403">
        <v>0</v>
      </c>
      <c r="F29403">
        <v>2875</v>
      </c>
    </row>
    <row r="29404" spans="1:6" ht="12.75">
      <c r="A29404" s="2">
        <v>43875.575046296297</v>
      </c>
      <c r="B29404" t="str">
        <f>HYPERLINK("https://twitter.com/oniikkun","@oniikkun")</f>
        <v>@oniikkun</v>
      </c>
      <c r="C29404" t="s">
        <v>9964</v>
      </c>
      <c r="D29404">
        <v>572</v>
      </c>
      <c r="E29404">
        <v>0</v>
      </c>
      <c r="F29404">
        <v>370</v>
      </c>
    </row>
    <row r="29405" spans="1:6" ht="12.75">
      <c r="A29405" s="2">
        <v>43875.57503472222</v>
      </c>
      <c r="B29405" t="str">
        <f>HYPERLINK("https://twitter.com/Mrhasiholan","@Mrhasiholan")</f>
        <v>@Mrhasiholan</v>
      </c>
      <c r="C29405" t="s">
        <v>2963</v>
      </c>
      <c r="D29405">
        <v>821</v>
      </c>
      <c r="E29405">
        <v>0</v>
      </c>
      <c r="F29405">
        <v>464</v>
      </c>
    </row>
    <row r="29406" spans="1:6" ht="12.75">
      <c r="A29406" s="2">
        <v>43875.575023148151</v>
      </c>
      <c r="B29406" t="str">
        <f>HYPERLINK("https://twitter.com/yeandboy","@yeandboy")</f>
        <v>@yeandboy</v>
      </c>
      <c r="C29406" t="s">
        <v>5168</v>
      </c>
      <c r="D29406">
        <v>644</v>
      </c>
      <c r="E29406">
        <v>0</v>
      </c>
      <c r="F29406">
        <v>278</v>
      </c>
    </row>
    <row r="29407" spans="1:6" ht="12.75">
      <c r="A29407" s="2">
        <v>43875.575011574074</v>
      </c>
      <c r="B29407" t="str">
        <f>HYPERLINK("https://twitter.com/robbyrachman17","@robbyrachman17")</f>
        <v>@robbyrachman17</v>
      </c>
      <c r="C29407" t="s">
        <v>5168</v>
      </c>
      <c r="D29407">
        <v>644</v>
      </c>
      <c r="E29407">
        <v>0</v>
      </c>
      <c r="F29407">
        <v>79</v>
      </c>
    </row>
    <row r="29408" spans="1:6" ht="12.75">
      <c r="A29408" s="2">
        <v>43875.574999999997</v>
      </c>
      <c r="B29408" t="str">
        <f>HYPERLINK("https://twitter.com/4aSunlight","@4aSunlight")</f>
        <v>@4aSunlight</v>
      </c>
      <c r="C29408" t="s">
        <v>12718</v>
      </c>
      <c r="D29408">
        <v>0</v>
      </c>
      <c r="E29408">
        <v>0</v>
      </c>
      <c r="F29408">
        <v>413</v>
      </c>
    </row>
    <row r="29409" spans="1:6" ht="12.75">
      <c r="A29409" s="2">
        <v>43875.574999999997</v>
      </c>
      <c r="B29409" t="str">
        <f>HYPERLINK("https://twitter.com/lucky_dedew","@lucky_dedew")</f>
        <v>@lucky_dedew</v>
      </c>
      <c r="C29409" t="s">
        <v>9123</v>
      </c>
      <c r="D29409">
        <v>118</v>
      </c>
      <c r="E29409">
        <v>0</v>
      </c>
      <c r="F29409">
        <v>86</v>
      </c>
    </row>
    <row r="29410" spans="1:6" ht="12.75">
      <c r="A29410" s="2">
        <v>43875.574965277774</v>
      </c>
      <c r="B29410" t="str">
        <f>HYPERLINK("https://twitter.com/takeonepedes","@takeonepedes")</f>
        <v>@takeonepedes</v>
      </c>
      <c r="C29410" t="s">
        <v>2444</v>
      </c>
      <c r="D29410">
        <v>1054</v>
      </c>
      <c r="E29410">
        <v>0</v>
      </c>
      <c r="F29410">
        <v>157</v>
      </c>
    </row>
    <row r="29411" spans="1:6" ht="12.75">
      <c r="A29411" s="2">
        <v>43875.574942129635</v>
      </c>
      <c r="B29411" t="str">
        <f>HYPERLINK("https://twitter.com/whtvrcrzy","@whtvrcrzy")</f>
        <v>@whtvrcrzy</v>
      </c>
      <c r="C29411" t="s">
        <v>11033</v>
      </c>
      <c r="D29411">
        <v>2</v>
      </c>
      <c r="E29411">
        <v>0</v>
      </c>
      <c r="F29411">
        <v>1306</v>
      </c>
    </row>
    <row r="29412" spans="1:6" ht="12.75">
      <c r="A29412" s="2">
        <v>43875.574895833328</v>
      </c>
      <c r="B29412" t="str">
        <f>HYPERLINK("https://twitter.com/LogikaRG","@LogikaRG")</f>
        <v>@LogikaRG</v>
      </c>
      <c r="C29412" t="s">
        <v>12719</v>
      </c>
      <c r="D29412">
        <v>6</v>
      </c>
      <c r="E29412">
        <v>8</v>
      </c>
      <c r="F29412">
        <v>2740</v>
      </c>
    </row>
    <row r="29413" spans="1:6" ht="12.75">
      <c r="A29413" s="2">
        <v>43875.574861111112</v>
      </c>
      <c r="B29413" t="str">
        <f>HYPERLINK("https://twitter.com/Effi3Erfiana","@Effi3Erfiana")</f>
        <v>@Effi3Erfiana</v>
      </c>
      <c r="C29413" t="s">
        <v>2963</v>
      </c>
      <c r="D29413">
        <v>821</v>
      </c>
      <c r="E29413">
        <v>0</v>
      </c>
      <c r="F29413">
        <v>122</v>
      </c>
    </row>
    <row r="29414" spans="1:6" ht="12.75">
      <c r="A29414" s="2">
        <v>43875.574837962966</v>
      </c>
      <c r="B29414" t="str">
        <f>HYPERLINK("https://twitter.com/gusnur212","@gusnur212")</f>
        <v>@gusnur212</v>
      </c>
      <c r="C29414" t="s">
        <v>10032</v>
      </c>
      <c r="D29414">
        <v>37</v>
      </c>
      <c r="E29414">
        <v>0</v>
      </c>
      <c r="F29414">
        <v>579</v>
      </c>
    </row>
    <row r="29415" spans="1:6" ht="12.75">
      <c r="A29415" s="2">
        <v>43875.574837962966</v>
      </c>
      <c r="B29415" t="str">
        <f>HYPERLINK("https://twitter.com/RullyTawang","@RullyTawang")</f>
        <v>@RullyTawang</v>
      </c>
      <c r="C29415" t="s">
        <v>10739</v>
      </c>
      <c r="D29415">
        <v>231</v>
      </c>
      <c r="E29415">
        <v>0</v>
      </c>
      <c r="F29415">
        <v>688</v>
      </c>
    </row>
    <row r="29416" spans="1:6" ht="12.75">
      <c r="A29416" s="2">
        <v>43875.574791666666</v>
      </c>
      <c r="B29416" t="str">
        <f>HYPERLINK("https://twitter.com/tsemangkamanis","@tsemangkamanis")</f>
        <v>@tsemangkamanis</v>
      </c>
      <c r="C29416" t="s">
        <v>9123</v>
      </c>
      <c r="D29416">
        <v>118</v>
      </c>
      <c r="E29416">
        <v>0</v>
      </c>
      <c r="F29416">
        <v>110</v>
      </c>
    </row>
    <row r="29417" spans="1:6" ht="12.75">
      <c r="A29417" s="2">
        <v>43875.574780092589</v>
      </c>
      <c r="B29417" t="str">
        <f>HYPERLINK("https://twitter.com/RiskaMelina11","@RiskaMelina11")</f>
        <v>@RiskaMelina11</v>
      </c>
      <c r="C29417" t="s">
        <v>2963</v>
      </c>
      <c r="D29417">
        <v>821</v>
      </c>
      <c r="E29417">
        <v>0</v>
      </c>
      <c r="F29417">
        <v>0</v>
      </c>
    </row>
    <row r="29418" spans="1:6" ht="12.75">
      <c r="A29418" s="2">
        <v>43875.574733796297</v>
      </c>
      <c r="B29418" t="str">
        <f>HYPERLINK("https://twitter.com/disorehari_","@disorehari_")</f>
        <v>@disorehari_</v>
      </c>
      <c r="C29418" t="s">
        <v>9123</v>
      </c>
      <c r="D29418">
        <v>118</v>
      </c>
      <c r="E29418">
        <v>0</v>
      </c>
      <c r="F29418">
        <v>164</v>
      </c>
    </row>
    <row r="29419" spans="1:6" ht="12.75">
      <c r="A29419" s="2">
        <v>43875.574687500004</v>
      </c>
      <c r="B29419" t="str">
        <f>HYPERLINK("https://twitter.com/Firmans01646495","@Firmans01646495")</f>
        <v>@Firmans01646495</v>
      </c>
      <c r="C29419" t="s">
        <v>9998</v>
      </c>
      <c r="D29419">
        <v>94</v>
      </c>
      <c r="E29419">
        <v>0</v>
      </c>
      <c r="F29419">
        <v>49</v>
      </c>
    </row>
    <row r="29420" spans="1:6" ht="12.75">
      <c r="A29420" s="2">
        <v>43875.574594907404</v>
      </c>
      <c r="B29420" t="str">
        <f>HYPERLINK("https://twitter.com/indicaaaa__","@indicaaaa__")</f>
        <v>@indicaaaa__</v>
      </c>
      <c r="C29420" t="s">
        <v>10237</v>
      </c>
      <c r="D29420">
        <v>43</v>
      </c>
      <c r="E29420">
        <v>0</v>
      </c>
      <c r="F29420">
        <v>728</v>
      </c>
    </row>
    <row r="29421" spans="1:6" ht="12.75">
      <c r="A29421" s="2">
        <v>43875.574560185181</v>
      </c>
      <c r="B29421" t="str">
        <f>HYPERLINK("https://twitter.com/babysunhyuk","@babysunhyuk")</f>
        <v>@babysunhyuk</v>
      </c>
      <c r="C29421" t="s">
        <v>2137</v>
      </c>
      <c r="D29421">
        <v>76</v>
      </c>
      <c r="E29421">
        <v>0</v>
      </c>
      <c r="F29421">
        <v>154</v>
      </c>
    </row>
    <row r="29422" spans="1:6" ht="12.75">
      <c r="A29422" s="2">
        <v>43875.574525462958</v>
      </c>
      <c r="B29422" t="str">
        <f>HYPERLINK("https://twitter.com/Intan_wp","@Intan_wp")</f>
        <v>@Intan_wp</v>
      </c>
      <c r="C29422" t="s">
        <v>12720</v>
      </c>
      <c r="D29422">
        <v>0</v>
      </c>
      <c r="E29422">
        <v>0</v>
      </c>
      <c r="F29422">
        <v>559</v>
      </c>
    </row>
    <row r="29423" spans="1:6" ht="12.75">
      <c r="A29423" s="2">
        <v>43875.574525462958</v>
      </c>
      <c r="B29423" t="str">
        <f>HYPERLINK("https://twitter.com/suka2aku_","@suka2aku_")</f>
        <v>@suka2aku_</v>
      </c>
      <c r="C29423" t="s">
        <v>9123</v>
      </c>
      <c r="D29423">
        <v>118</v>
      </c>
      <c r="E29423">
        <v>0</v>
      </c>
      <c r="F29423">
        <v>827</v>
      </c>
    </row>
    <row r="29424" spans="1:6" ht="12.75">
      <c r="A29424" s="2">
        <v>43875.574513888889</v>
      </c>
      <c r="B29424" t="str">
        <f>HYPERLINK("https://twitter.com/saikekel","@saikekel")</f>
        <v>@saikekel</v>
      </c>
      <c r="C29424" t="s">
        <v>10300</v>
      </c>
      <c r="D29424">
        <v>16</v>
      </c>
      <c r="E29424">
        <v>0</v>
      </c>
      <c r="F29424">
        <v>399</v>
      </c>
    </row>
    <row r="29425" spans="1:6" ht="12.75">
      <c r="A29425" s="2">
        <v>43875.57440972222</v>
      </c>
      <c r="B29425" t="str">
        <f>HYPERLINK("https://twitter.com/zetezetezet","@zetezetezet")</f>
        <v>@zetezetezet</v>
      </c>
      <c r="C29425" t="s">
        <v>10300</v>
      </c>
      <c r="D29425">
        <v>16</v>
      </c>
      <c r="E29425">
        <v>0</v>
      </c>
      <c r="F29425">
        <v>177</v>
      </c>
    </row>
    <row r="29426" spans="1:6" ht="12.75">
      <c r="A29426" s="2">
        <v>43875.57439814815</v>
      </c>
      <c r="B29426" t="str">
        <f>HYPERLINK("https://twitter.com/_MightyFinger","@_MightyFinger")</f>
        <v>@_MightyFinger</v>
      </c>
      <c r="C29426" t="s">
        <v>9123</v>
      </c>
      <c r="D29426">
        <v>118</v>
      </c>
      <c r="E29426">
        <v>0</v>
      </c>
      <c r="F29426">
        <v>143</v>
      </c>
    </row>
    <row r="29427" spans="1:6" ht="12.75">
      <c r="A29427" s="2">
        <v>43875.574340277773</v>
      </c>
      <c r="B29427" t="str">
        <f>HYPERLINK("https://twitter.com/anantosubagiio","@anantosubagiio")</f>
        <v>@anantosubagiio</v>
      </c>
      <c r="C29427" t="s">
        <v>10300</v>
      </c>
      <c r="D29427">
        <v>16</v>
      </c>
      <c r="E29427">
        <v>0</v>
      </c>
      <c r="F29427">
        <v>157</v>
      </c>
    </row>
    <row r="29428" spans="1:6" ht="12.75">
      <c r="A29428" s="2">
        <v>43875.574328703704</v>
      </c>
      <c r="B29428" t="str">
        <f>HYPERLINK("https://twitter.com/Arni4224","@Arni4224")</f>
        <v>@Arni4224</v>
      </c>
      <c r="C29428" t="s">
        <v>9123</v>
      </c>
      <c r="D29428">
        <v>118</v>
      </c>
      <c r="E29428">
        <v>0</v>
      </c>
      <c r="F29428">
        <v>183</v>
      </c>
    </row>
    <row r="29429" spans="1:6" ht="12.75">
      <c r="A29429" s="2">
        <v>43875.57430555555</v>
      </c>
      <c r="B29429" t="str">
        <f>HYPERLINK("https://twitter.com/paintyeol","@paintyeol")</f>
        <v>@paintyeol</v>
      </c>
      <c r="C29429" t="s">
        <v>9123</v>
      </c>
      <c r="D29429">
        <v>118</v>
      </c>
      <c r="E29429">
        <v>0</v>
      </c>
      <c r="F29429">
        <v>217</v>
      </c>
    </row>
    <row r="29430" spans="1:6" ht="12.75">
      <c r="A29430" s="2">
        <v>43875.57430555555</v>
      </c>
      <c r="B29430" t="str">
        <f>HYPERLINK("https://twitter.com/sekaiest","@sekaiest")</f>
        <v>@sekaiest</v>
      </c>
      <c r="C29430" t="s">
        <v>9964</v>
      </c>
      <c r="D29430">
        <v>572</v>
      </c>
      <c r="E29430">
        <v>0</v>
      </c>
      <c r="F29430">
        <v>1846</v>
      </c>
    </row>
    <row r="29431" spans="1:6" ht="12.75">
      <c r="A29431" s="2">
        <v>43875.57430555555</v>
      </c>
      <c r="B29431" t="str">
        <f>HYPERLINK("https://twitter.com/dysmrt","@dysmrt")</f>
        <v>@dysmrt</v>
      </c>
      <c r="C29431" t="s">
        <v>9123</v>
      </c>
      <c r="D29431">
        <v>118</v>
      </c>
      <c r="E29431">
        <v>0</v>
      </c>
      <c r="F29431">
        <v>61</v>
      </c>
    </row>
    <row r="29432" spans="1:6" ht="12.75">
      <c r="A29432" s="2">
        <v>43875.574282407411</v>
      </c>
      <c r="B29432" t="str">
        <f>HYPERLINK("https://twitter.com/eotari50_","@eotari50_")</f>
        <v>@eotari50_</v>
      </c>
      <c r="C29432" t="s">
        <v>8233</v>
      </c>
      <c r="D29432">
        <v>433</v>
      </c>
      <c r="E29432">
        <v>0</v>
      </c>
      <c r="F29432">
        <v>92</v>
      </c>
    </row>
    <row r="29433" spans="1:6" ht="12.75">
      <c r="A29433" s="2">
        <v>43875.574224537035</v>
      </c>
      <c r="B29433" t="str">
        <f>HYPERLINK("https://twitter.com/mediaindonesia","@mediaindonesia")</f>
        <v>@mediaindonesia</v>
      </c>
      <c r="C29433" t="s">
        <v>12721</v>
      </c>
      <c r="D29433">
        <v>0</v>
      </c>
      <c r="E29433">
        <v>0</v>
      </c>
      <c r="F29433">
        <v>1415731</v>
      </c>
    </row>
    <row r="29434" spans="1:6" ht="12.75">
      <c r="A29434" s="2">
        <v>43875.574189814812</v>
      </c>
      <c r="B29434" t="str">
        <f>HYPERLINK("https://twitter.com/TVMuhammadiyah","@TVMuhammadiyah")</f>
        <v>@TVMuhammadiyah</v>
      </c>
      <c r="C29434" t="s">
        <v>12722</v>
      </c>
      <c r="D29434">
        <v>0</v>
      </c>
      <c r="E29434">
        <v>4</v>
      </c>
      <c r="F29434">
        <v>25214</v>
      </c>
    </row>
    <row r="29435" spans="1:6" ht="12.75">
      <c r="A29435" s="2">
        <v>43875.574178240742</v>
      </c>
      <c r="B29435" t="str">
        <f>HYPERLINK("https://twitter.com/akusiapadimana_","@akusiapadimana_")</f>
        <v>@akusiapadimana_</v>
      </c>
      <c r="C29435" t="s">
        <v>2444</v>
      </c>
      <c r="D29435">
        <v>1054</v>
      </c>
      <c r="E29435">
        <v>0</v>
      </c>
      <c r="F29435">
        <v>257</v>
      </c>
    </row>
    <row r="29436" spans="1:6" ht="12.75">
      <c r="A29436" s="2">
        <v>43875.574166666665</v>
      </c>
      <c r="B29436" t="str">
        <f>HYPERLINK("https://twitter.com/Arni4224","@Arni4224")</f>
        <v>@Arni4224</v>
      </c>
      <c r="C29436" t="s">
        <v>12723</v>
      </c>
      <c r="D29436">
        <v>0</v>
      </c>
      <c r="E29436">
        <v>0</v>
      </c>
      <c r="F29436">
        <v>183</v>
      </c>
    </row>
    <row r="29437" spans="1:6" ht="12.75">
      <c r="A29437" s="2">
        <v>43875.574155092589</v>
      </c>
      <c r="B29437" t="str">
        <f>HYPERLINK("https://twitter.com/JunDs","@JunDs")</f>
        <v>@JunDs</v>
      </c>
      <c r="C29437" t="s">
        <v>5168</v>
      </c>
      <c r="D29437">
        <v>644</v>
      </c>
      <c r="E29437">
        <v>0</v>
      </c>
      <c r="F29437">
        <v>566</v>
      </c>
    </row>
    <row r="29438" spans="1:6" ht="12.75">
      <c r="A29438" s="2">
        <v>43875.57403935185</v>
      </c>
      <c r="B29438" t="str">
        <f>HYPERLINK("https://twitter.com/pleasebmyFinale","@pleasebmyFinale")</f>
        <v>@pleasebmyFinale</v>
      </c>
      <c r="C29438" t="s">
        <v>9123</v>
      </c>
      <c r="D29438">
        <v>118</v>
      </c>
      <c r="E29438">
        <v>0</v>
      </c>
      <c r="F29438">
        <v>685</v>
      </c>
    </row>
    <row r="29439" spans="1:6" ht="12.75">
      <c r="A29439" s="2">
        <v>43875.574004629627</v>
      </c>
      <c r="B29439" t="str">
        <f>HYPERLINK("https://twitter.com/Ryhan____","@Ryhan____")</f>
        <v>@Ryhan____</v>
      </c>
      <c r="C29439" t="s">
        <v>12724</v>
      </c>
      <c r="D29439">
        <v>0</v>
      </c>
      <c r="E29439">
        <v>0</v>
      </c>
      <c r="F29439">
        <v>225</v>
      </c>
    </row>
    <row r="29440" spans="1:6" ht="12.75">
      <c r="A29440" s="2">
        <v>43875.573981481481</v>
      </c>
      <c r="B29440" t="str">
        <f>HYPERLINK("https://twitter.com/CakasepLagi","@CakasepLagi")</f>
        <v>@CakasepLagi</v>
      </c>
      <c r="C29440" t="s">
        <v>9123</v>
      </c>
      <c r="D29440">
        <v>118</v>
      </c>
      <c r="E29440">
        <v>0</v>
      </c>
      <c r="F29440">
        <v>144</v>
      </c>
    </row>
    <row r="29441" spans="1:6" ht="12.75">
      <c r="A29441" s="2">
        <v>43875.573969907404</v>
      </c>
      <c r="B29441" t="str">
        <f>HYPERLINK("https://twitter.com/caffulet","@caffulet")</f>
        <v>@caffulet</v>
      </c>
      <c r="C29441" t="s">
        <v>9123</v>
      </c>
      <c r="D29441">
        <v>118</v>
      </c>
      <c r="E29441">
        <v>0</v>
      </c>
      <c r="F29441">
        <v>240</v>
      </c>
    </row>
    <row r="29442" spans="1:6" ht="12.75">
      <c r="A29442" s="2">
        <v>43875.573946759258</v>
      </c>
      <c r="B29442" t="str">
        <f>HYPERLINK("https://twitter.com/eotari50_","@eotari50_")</f>
        <v>@eotari50_</v>
      </c>
      <c r="C29442" t="s">
        <v>12725</v>
      </c>
      <c r="D29442">
        <v>0</v>
      </c>
      <c r="E29442">
        <v>0</v>
      </c>
      <c r="F29442">
        <v>92</v>
      </c>
    </row>
    <row r="29443" spans="1:6" ht="12.75">
      <c r="A29443" s="2">
        <v>43875.573935185181</v>
      </c>
      <c r="B29443" t="str">
        <f>HYPERLINK("https://twitter.com/bukansprt","@bukansprt")</f>
        <v>@bukansprt</v>
      </c>
      <c r="C29443" t="s">
        <v>9123</v>
      </c>
      <c r="D29443">
        <v>118</v>
      </c>
      <c r="E29443">
        <v>0</v>
      </c>
      <c r="F29443">
        <v>155</v>
      </c>
    </row>
    <row r="29444" spans="1:6" ht="12.75">
      <c r="A29444" s="2">
        <v>43875.573831018519</v>
      </c>
      <c r="B29444" t="str">
        <f>HYPERLINK("https://twitter.com/ADITYOPRATAMA","@ADITYOPRATAMA")</f>
        <v>@ADITYOPRATAMA</v>
      </c>
      <c r="C29444" t="s">
        <v>8233</v>
      </c>
      <c r="D29444">
        <v>433</v>
      </c>
      <c r="E29444">
        <v>0</v>
      </c>
      <c r="F29444">
        <v>456</v>
      </c>
    </row>
    <row r="29445" spans="1:6" ht="12.75">
      <c r="A29445" s="2">
        <v>43875.573807870373</v>
      </c>
      <c r="B29445" t="str">
        <f>HYPERLINK("https://twitter.com/reisariz","@reisariz")</f>
        <v>@reisariz</v>
      </c>
      <c r="C29445" t="s">
        <v>5168</v>
      </c>
      <c r="D29445">
        <v>644</v>
      </c>
      <c r="E29445">
        <v>0</v>
      </c>
      <c r="F29445">
        <v>234</v>
      </c>
    </row>
    <row r="29446" spans="1:6" ht="12.75">
      <c r="A29446" s="2">
        <v>43875.573773148149</v>
      </c>
      <c r="B29446" t="str">
        <f>HYPERLINK("https://twitter.com/zamxu","@zamxu")</f>
        <v>@zamxu</v>
      </c>
      <c r="C29446" t="s">
        <v>2444</v>
      </c>
      <c r="D29446">
        <v>1054</v>
      </c>
      <c r="E29446">
        <v>0</v>
      </c>
      <c r="F29446">
        <v>80</v>
      </c>
    </row>
    <row r="29447" spans="1:6" ht="12.75">
      <c r="A29447" s="2">
        <v>43875.573761574073</v>
      </c>
      <c r="B29447" t="str">
        <f>HYPERLINK("https://twitter.com/Manissha_","@Manissha_")</f>
        <v>@Manissha_</v>
      </c>
      <c r="C29447" t="s">
        <v>9123</v>
      </c>
      <c r="D29447">
        <v>118</v>
      </c>
      <c r="E29447">
        <v>0</v>
      </c>
      <c r="F29447">
        <v>576</v>
      </c>
    </row>
    <row r="29448" spans="1:6" ht="12.75">
      <c r="A29448" s="2">
        <v>43875.573703703703</v>
      </c>
      <c r="B29448" t="str">
        <f>HYPERLINK("https://twitter.com/heysheraliaa","@heysheraliaa")</f>
        <v>@heysheraliaa</v>
      </c>
      <c r="C29448" t="s">
        <v>2444</v>
      </c>
      <c r="D29448">
        <v>1054</v>
      </c>
      <c r="E29448">
        <v>0</v>
      </c>
      <c r="F29448">
        <v>644</v>
      </c>
    </row>
    <row r="29449" spans="1:6" ht="12.75">
      <c r="A29449" s="2">
        <v>43875.573692129634</v>
      </c>
      <c r="B29449" t="str">
        <f>HYPERLINK("https://twitter.com/jualgojek","@jualgojek")</f>
        <v>@jualgojek</v>
      </c>
      <c r="C29449" t="s">
        <v>2444</v>
      </c>
      <c r="D29449">
        <v>1054</v>
      </c>
      <c r="E29449">
        <v>0</v>
      </c>
      <c r="F29449">
        <v>59</v>
      </c>
    </row>
    <row r="29450" spans="1:6" ht="12.75">
      <c r="A29450" s="2">
        <v>43875.57366898148</v>
      </c>
      <c r="B29450" t="str">
        <f>HYPERLINK("https://twitter.com/Rinda16241018","@Rinda16241018")</f>
        <v>@Rinda16241018</v>
      </c>
      <c r="C29450" t="s">
        <v>9123</v>
      </c>
      <c r="D29450">
        <v>118</v>
      </c>
      <c r="E29450">
        <v>0</v>
      </c>
      <c r="F29450">
        <v>51</v>
      </c>
    </row>
    <row r="29451" spans="1:6" ht="12.75">
      <c r="A29451" s="2">
        <v>43875.573657407411</v>
      </c>
      <c r="B29451" t="str">
        <f>HYPERLINK("https://twitter.com/terdesudesu","@terdesudesu")</f>
        <v>@terdesudesu</v>
      </c>
      <c r="C29451" t="s">
        <v>2444</v>
      </c>
      <c r="D29451">
        <v>1054</v>
      </c>
      <c r="E29451">
        <v>0</v>
      </c>
      <c r="F29451">
        <v>248</v>
      </c>
    </row>
    <row r="29452" spans="1:6" ht="12.75">
      <c r="A29452" s="2">
        <v>43875.573541666672</v>
      </c>
      <c r="B29452" t="str">
        <f>HYPERLINK("https://twitter.com/zamxu","@zamxu")</f>
        <v>@zamxu</v>
      </c>
      <c r="C29452" t="s">
        <v>9123</v>
      </c>
      <c r="D29452">
        <v>118</v>
      </c>
      <c r="E29452">
        <v>0</v>
      </c>
      <c r="F29452">
        <v>80</v>
      </c>
    </row>
    <row r="29453" spans="1:6" ht="12.75">
      <c r="A29453" s="2">
        <v>43875.573541666672</v>
      </c>
      <c r="B29453" t="str">
        <f>HYPERLINK("https://twitter.com/KWnyaDoni","@KWnyaDoni")</f>
        <v>@KWnyaDoni</v>
      </c>
      <c r="C29453" t="s">
        <v>9123</v>
      </c>
      <c r="D29453">
        <v>118</v>
      </c>
      <c r="E29453">
        <v>0</v>
      </c>
      <c r="F29453">
        <v>39</v>
      </c>
    </row>
    <row r="29454" spans="1:6" ht="12.75">
      <c r="A29454" s="2">
        <v>43875.573530092588</v>
      </c>
      <c r="B29454" t="str">
        <f>HYPERLINK("https://twitter.com/CaturBambangH1","@CaturBambangH1")</f>
        <v>@CaturBambangH1</v>
      </c>
      <c r="C29454" t="s">
        <v>9123</v>
      </c>
      <c r="D29454">
        <v>118</v>
      </c>
      <c r="E29454">
        <v>0</v>
      </c>
      <c r="F29454">
        <v>216</v>
      </c>
    </row>
    <row r="29455" spans="1:6" ht="12.75">
      <c r="A29455" s="2">
        <v>43875.573530092588</v>
      </c>
      <c r="B29455" t="str">
        <f>HYPERLINK("https://twitter.com/CakasepLagi","@CakasepLagi")</f>
        <v>@CakasepLagi</v>
      </c>
      <c r="C29455" t="s">
        <v>2444</v>
      </c>
      <c r="D29455">
        <v>1054</v>
      </c>
      <c r="E29455">
        <v>0</v>
      </c>
      <c r="F29455">
        <v>144</v>
      </c>
    </row>
    <row r="29456" spans="1:6" ht="12.75">
      <c r="A29456" s="2">
        <v>43875.573530092588</v>
      </c>
      <c r="B29456" t="str">
        <f>HYPERLINK("https://twitter.com/baruwari","@baruwari")</f>
        <v>@baruwari</v>
      </c>
      <c r="C29456" t="s">
        <v>9123</v>
      </c>
      <c r="D29456">
        <v>118</v>
      </c>
      <c r="E29456">
        <v>0</v>
      </c>
      <c r="F29456">
        <v>216</v>
      </c>
    </row>
    <row r="29457" spans="1:6" ht="12.75">
      <c r="A29457" s="2">
        <v>43875.573506944449</v>
      </c>
      <c r="B29457" t="str">
        <f>HYPERLINK("https://twitter.com/ayakhairiah_","@ayakhairiah_")</f>
        <v>@ayakhairiah_</v>
      </c>
      <c r="C29457" t="s">
        <v>2444</v>
      </c>
      <c r="D29457">
        <v>1054</v>
      </c>
      <c r="E29457">
        <v>0</v>
      </c>
      <c r="F29457">
        <v>1222</v>
      </c>
    </row>
    <row r="29458" spans="1:6" ht="12.75">
      <c r="A29458" s="2">
        <v>43875.573495370365</v>
      </c>
      <c r="B29458" t="str">
        <f>HYPERLINK("https://twitter.com/JohnIrwan4","@JohnIrwan4")</f>
        <v>@JohnIrwan4</v>
      </c>
      <c r="C29458" t="s">
        <v>12726</v>
      </c>
      <c r="D29458">
        <v>1</v>
      </c>
      <c r="E29458">
        <v>0</v>
      </c>
      <c r="F29458">
        <v>2115</v>
      </c>
    </row>
    <row r="29459" spans="1:6" ht="12.75">
      <c r="A29459" s="2">
        <v>43875.573495370365</v>
      </c>
      <c r="B29459" t="str">
        <f>HYPERLINK("https://twitter.com/NuzulBeckam_","@NuzulBeckam_")</f>
        <v>@NuzulBeckam_</v>
      </c>
      <c r="C29459" t="s">
        <v>9123</v>
      </c>
      <c r="D29459">
        <v>118</v>
      </c>
      <c r="E29459">
        <v>0</v>
      </c>
      <c r="F29459">
        <v>131</v>
      </c>
    </row>
    <row r="29460" spans="1:6" ht="12.75">
      <c r="A29460" s="2">
        <v>43875.573495370365</v>
      </c>
      <c r="B29460" t="str">
        <f>HYPERLINK("https://twitter.com/herwinmb","@herwinmb")</f>
        <v>@herwinmb</v>
      </c>
      <c r="C29460" t="s">
        <v>2963</v>
      </c>
      <c r="D29460">
        <v>821</v>
      </c>
      <c r="E29460">
        <v>0</v>
      </c>
      <c r="F29460">
        <v>228</v>
      </c>
    </row>
    <row r="29461" spans="1:6" ht="12.75">
      <c r="A29461" s="2">
        <v>43875.573460648149</v>
      </c>
      <c r="B29461" t="str">
        <f>HYPERLINK("https://twitter.com/quvretz","@quvretz")</f>
        <v>@quvretz</v>
      </c>
      <c r="C29461" t="s">
        <v>9123</v>
      </c>
      <c r="D29461">
        <v>118</v>
      </c>
      <c r="E29461">
        <v>0</v>
      </c>
      <c r="F29461">
        <v>106</v>
      </c>
    </row>
    <row r="29462" spans="1:6" ht="12.75">
      <c r="A29462" s="2">
        <v>43875.573414351849</v>
      </c>
      <c r="B29462" t="str">
        <f>HYPERLINK("https://twitter.com/aufaarizqiana96","@aufaarizqiana96")</f>
        <v>@aufaarizqiana96</v>
      </c>
      <c r="C29462" t="s">
        <v>9123</v>
      </c>
      <c r="D29462">
        <v>118</v>
      </c>
      <c r="E29462">
        <v>0</v>
      </c>
      <c r="F29462">
        <v>257</v>
      </c>
    </row>
    <row r="29463" spans="1:6" ht="12.75">
      <c r="A29463" s="2">
        <v>43875.573414351849</v>
      </c>
      <c r="B29463" t="str">
        <f>HYPERLINK("https://twitter.com/djanuanti","@djanuanti")</f>
        <v>@djanuanti</v>
      </c>
      <c r="C29463" t="s">
        <v>8881</v>
      </c>
      <c r="D29463">
        <v>272</v>
      </c>
      <c r="E29463">
        <v>0</v>
      </c>
      <c r="F29463">
        <v>471</v>
      </c>
    </row>
    <row r="29464" spans="1:6" ht="12.75">
      <c r="A29464" s="2">
        <v>43875.57340277778</v>
      </c>
      <c r="B29464" t="str">
        <f>HYPERLINK("https://twitter.com/sirajapadoha","@sirajapadoha")</f>
        <v>@sirajapadoha</v>
      </c>
      <c r="C29464" t="s">
        <v>9113</v>
      </c>
      <c r="D29464">
        <v>289</v>
      </c>
      <c r="E29464">
        <v>0</v>
      </c>
      <c r="F29464">
        <v>2399</v>
      </c>
    </row>
    <row r="29465" spans="1:6" ht="12.75">
      <c r="A29465" s="2">
        <v>43875.573391203703</v>
      </c>
      <c r="B29465" t="str">
        <f>HYPERLINK("https://twitter.com/MinatozakiSkies","@MinatozakiSkies")</f>
        <v>@MinatozakiSkies</v>
      </c>
      <c r="C29465" t="s">
        <v>5168</v>
      </c>
      <c r="D29465">
        <v>644</v>
      </c>
      <c r="E29465">
        <v>0</v>
      </c>
      <c r="F29465">
        <v>286</v>
      </c>
    </row>
    <row r="29466" spans="1:6" ht="12.75">
      <c r="A29466" s="2">
        <v>43875.573391203703</v>
      </c>
      <c r="B29466" t="str">
        <f>HYPERLINK("https://twitter.com/masalalumuuu","@masalalumuuu")</f>
        <v>@masalalumuuu</v>
      </c>
      <c r="C29466" t="s">
        <v>9123</v>
      </c>
      <c r="D29466">
        <v>118</v>
      </c>
      <c r="E29466">
        <v>0</v>
      </c>
      <c r="F29466">
        <v>19</v>
      </c>
    </row>
    <row r="29467" spans="1:6" ht="12.75">
      <c r="A29467" s="2">
        <v>43875.573333333334</v>
      </c>
      <c r="B29467" t="str">
        <f>HYPERLINK("https://twitter.com/mujur_bae","@mujur_bae")</f>
        <v>@mujur_bae</v>
      </c>
      <c r="C29467" t="s">
        <v>9123</v>
      </c>
      <c r="D29467">
        <v>118</v>
      </c>
      <c r="E29467">
        <v>0</v>
      </c>
      <c r="F29467">
        <v>441</v>
      </c>
    </row>
    <row r="29468" spans="1:6" ht="12.75">
      <c r="A29468" s="2">
        <v>43875.573287037041</v>
      </c>
      <c r="B29468" t="str">
        <f>HYPERLINK("https://twitter.com/dhe_puth","@dhe_puth")</f>
        <v>@dhe_puth</v>
      </c>
      <c r="C29468" t="s">
        <v>2444</v>
      </c>
      <c r="D29468">
        <v>1054</v>
      </c>
      <c r="E29468">
        <v>0</v>
      </c>
      <c r="F29468">
        <v>60</v>
      </c>
    </row>
    <row r="29469" spans="1:6" ht="12.75">
      <c r="A29469" s="2">
        <v>43875.573287037041</v>
      </c>
      <c r="B29469" t="str">
        <f>HYPERLINK("https://twitter.com/_finarla","@_finarla")</f>
        <v>@_finarla</v>
      </c>
      <c r="C29469" t="s">
        <v>9123</v>
      </c>
      <c r="D29469">
        <v>118</v>
      </c>
      <c r="E29469">
        <v>0</v>
      </c>
      <c r="F29469">
        <v>269</v>
      </c>
    </row>
    <row r="29470" spans="1:6" ht="12.75">
      <c r="A29470" s="2">
        <v>43875.573263888888</v>
      </c>
      <c r="B29470" t="str">
        <f>HYPERLINK("https://twitter.com/csyxyhn","@csyxyhn")</f>
        <v>@csyxyhn</v>
      </c>
      <c r="C29470" t="s">
        <v>9123</v>
      </c>
      <c r="D29470">
        <v>118</v>
      </c>
      <c r="E29470">
        <v>0</v>
      </c>
      <c r="F29470">
        <v>169</v>
      </c>
    </row>
    <row r="29471" spans="1:6" ht="12.75">
      <c r="A29471" s="2">
        <v>43875.573240740741</v>
      </c>
      <c r="B29471" t="str">
        <f>HYPERLINK("https://twitter.com/myzxngi","@myzxngi")</f>
        <v>@myzxngi</v>
      </c>
      <c r="C29471" t="s">
        <v>2444</v>
      </c>
      <c r="D29471">
        <v>1054</v>
      </c>
      <c r="E29471">
        <v>0</v>
      </c>
      <c r="F29471">
        <v>1677</v>
      </c>
    </row>
    <row r="29472" spans="1:6" ht="12.75">
      <c r="A29472" s="2">
        <v>43875.573229166665</v>
      </c>
      <c r="B29472" t="str">
        <f>HYPERLINK("https://twitter.com/Bayouiraone1","@Bayouiraone1")</f>
        <v>@Bayouiraone1</v>
      </c>
      <c r="C29472" t="s">
        <v>12727</v>
      </c>
      <c r="D29472">
        <v>0</v>
      </c>
      <c r="E29472">
        <v>0</v>
      </c>
      <c r="F29472">
        <v>741</v>
      </c>
    </row>
    <row r="29473" spans="1:6" ht="12.75">
      <c r="A29473" s="2">
        <v>43875.573217592595</v>
      </c>
      <c r="B29473" t="str">
        <f>HYPERLINK("https://twitter.com/sie_mumun","@sie_mumun")</f>
        <v>@sie_mumun</v>
      </c>
      <c r="C29473" t="s">
        <v>9746</v>
      </c>
      <c r="D29473">
        <v>135</v>
      </c>
      <c r="E29473">
        <v>0</v>
      </c>
      <c r="F29473">
        <v>256</v>
      </c>
    </row>
    <row r="29474" spans="1:6" ht="12.75">
      <c r="A29474" s="2">
        <v>43875.573206018518</v>
      </c>
      <c r="B29474" t="str">
        <f>HYPERLINK("https://twitter.com/Husnan_13","@Husnan_13")</f>
        <v>@Husnan_13</v>
      </c>
      <c r="C29474" t="s">
        <v>10300</v>
      </c>
      <c r="D29474">
        <v>16</v>
      </c>
      <c r="E29474">
        <v>0</v>
      </c>
      <c r="F29474">
        <v>382</v>
      </c>
    </row>
    <row r="29475" spans="1:6" ht="12.75">
      <c r="A29475" s="2">
        <v>43875.573194444441</v>
      </c>
      <c r="B29475" t="str">
        <f>HYPERLINK("https://twitter.com/zanetiferi","@zanetiferi")</f>
        <v>@zanetiferi</v>
      </c>
      <c r="C29475" t="s">
        <v>2444</v>
      </c>
      <c r="D29475">
        <v>1054</v>
      </c>
      <c r="E29475">
        <v>0</v>
      </c>
      <c r="F29475">
        <v>472</v>
      </c>
    </row>
    <row r="29476" spans="1:6" ht="12.75">
      <c r="A29476" s="2">
        <v>43875.573113425926</v>
      </c>
      <c r="B29476" t="str">
        <f>HYPERLINK("https://twitter.com/GarinSalsabila","@GarinSalsabila")</f>
        <v>@GarinSalsabila</v>
      </c>
      <c r="C29476" t="s">
        <v>12044</v>
      </c>
      <c r="D29476">
        <v>52</v>
      </c>
      <c r="E29476">
        <v>0</v>
      </c>
      <c r="F29476">
        <v>0</v>
      </c>
    </row>
    <row r="29477" spans="1:6" ht="12.75">
      <c r="A29477" s="2">
        <v>43875.573101851856</v>
      </c>
      <c r="B29477" t="str">
        <f>HYPERLINK("https://twitter.com/heysheraliaa","@heysheraliaa")</f>
        <v>@heysheraliaa</v>
      </c>
      <c r="C29477" t="s">
        <v>11536</v>
      </c>
      <c r="D29477">
        <v>0</v>
      </c>
      <c r="E29477">
        <v>0</v>
      </c>
      <c r="F29477">
        <v>644</v>
      </c>
    </row>
    <row r="29478" spans="1:6" ht="12.75">
      <c r="A29478" s="2">
        <v>43875.57309027778</v>
      </c>
      <c r="B29478" t="str">
        <f>HYPERLINK("https://twitter.com/korSusPen","@korSusPen")</f>
        <v>@korSusPen</v>
      </c>
      <c r="C29478" t="s">
        <v>9123</v>
      </c>
      <c r="D29478">
        <v>118</v>
      </c>
      <c r="E29478">
        <v>0</v>
      </c>
      <c r="F29478">
        <v>31</v>
      </c>
    </row>
    <row r="29479" spans="1:6" ht="12.75">
      <c r="A29479" s="2">
        <v>43875.573055555556</v>
      </c>
      <c r="B29479" t="str">
        <f>HYPERLINK("https://twitter.com/Arifin2Zainal","@Arifin2Zainal")</f>
        <v>@Arifin2Zainal</v>
      </c>
      <c r="C29479" t="s">
        <v>7478</v>
      </c>
      <c r="D29479">
        <v>61</v>
      </c>
      <c r="E29479">
        <v>0</v>
      </c>
      <c r="F29479">
        <v>1851</v>
      </c>
    </row>
    <row r="29480" spans="1:6" ht="12.75">
      <c r="A29480" s="2">
        <v>43875.573020833333</v>
      </c>
      <c r="B29480" t="str">
        <f>HYPERLINK("https://twitter.com/HezekiaBenjamin","@HezekiaBenjamin")</f>
        <v>@HezekiaBenjamin</v>
      </c>
      <c r="C29480" t="s">
        <v>2963</v>
      </c>
      <c r="D29480">
        <v>821</v>
      </c>
      <c r="E29480">
        <v>0</v>
      </c>
      <c r="F29480">
        <v>1164</v>
      </c>
    </row>
    <row r="29481" spans="1:6" ht="12.75">
      <c r="A29481" s="2">
        <v>43875.573009259257</v>
      </c>
      <c r="B29481" t="str">
        <f>HYPERLINK("https://twitter.com/onlyaidee","@onlyaidee")</f>
        <v>@onlyaidee</v>
      </c>
      <c r="C29481" t="s">
        <v>5168</v>
      </c>
      <c r="D29481">
        <v>644</v>
      </c>
      <c r="E29481">
        <v>0</v>
      </c>
      <c r="F29481">
        <v>778</v>
      </c>
    </row>
    <row r="29482" spans="1:6" ht="12.75">
      <c r="A29482" s="2">
        <v>43875.572997685187</v>
      </c>
      <c r="B29482" t="str">
        <f>HYPERLINK("https://twitter.com/Asnur_18","@Asnur_18")</f>
        <v>@Asnur_18</v>
      </c>
      <c r="C29482" t="s">
        <v>12347</v>
      </c>
      <c r="D29482">
        <v>0</v>
      </c>
      <c r="E29482">
        <v>0</v>
      </c>
      <c r="F29482">
        <v>139</v>
      </c>
    </row>
    <row r="29483" spans="1:6" ht="12.75">
      <c r="A29483" s="2">
        <v>43875.572997685187</v>
      </c>
      <c r="B29483" t="str">
        <f>HYPERLINK("https://twitter.com/rozalia_anggi","@rozalia_anggi")</f>
        <v>@rozalia_anggi</v>
      </c>
      <c r="C29483" t="s">
        <v>11536</v>
      </c>
      <c r="D29483">
        <v>0</v>
      </c>
      <c r="E29483">
        <v>0</v>
      </c>
      <c r="F29483">
        <v>18</v>
      </c>
    </row>
    <row r="29484" spans="1:6" ht="12.75">
      <c r="A29484" s="2">
        <v>43875.57298611111</v>
      </c>
      <c r="B29484" t="str">
        <f>HYPERLINK("https://twitter.com/dhe_puth","@dhe_puth")</f>
        <v>@dhe_puth</v>
      </c>
      <c r="C29484" t="s">
        <v>9123</v>
      </c>
      <c r="D29484">
        <v>118</v>
      </c>
      <c r="E29484">
        <v>0</v>
      </c>
      <c r="F29484">
        <v>60</v>
      </c>
    </row>
    <row r="29485" spans="1:6" ht="12.75">
      <c r="A29485" s="2">
        <v>43875.572962962964</v>
      </c>
      <c r="B29485" t="str">
        <f>HYPERLINK("https://twitter.com/inisialyss_","@inisialyss_")</f>
        <v>@inisialyss_</v>
      </c>
      <c r="C29485" t="s">
        <v>9123</v>
      </c>
      <c r="D29485">
        <v>118</v>
      </c>
      <c r="E29485">
        <v>0</v>
      </c>
      <c r="F29485">
        <v>94</v>
      </c>
    </row>
    <row r="29486" spans="1:6" ht="12.75">
      <c r="A29486" s="2">
        <v>43875.572939814811</v>
      </c>
      <c r="B29486" t="str">
        <f>HYPERLINK("https://twitter.com/kiyoran315","@kiyoran315")</f>
        <v>@kiyoran315</v>
      </c>
      <c r="C29486" t="s">
        <v>9123</v>
      </c>
      <c r="D29486">
        <v>118</v>
      </c>
      <c r="E29486">
        <v>0</v>
      </c>
      <c r="F29486">
        <v>245</v>
      </c>
    </row>
    <row r="29487" spans="1:6" ht="12.75">
      <c r="A29487" s="2">
        <v>43875.572928240741</v>
      </c>
      <c r="B29487" t="str">
        <f>HYPERLINK("https://twitter.com/2375Lawu","@2375Lawu")</f>
        <v>@2375Lawu</v>
      </c>
      <c r="C29487" t="s">
        <v>9746</v>
      </c>
      <c r="D29487">
        <v>135</v>
      </c>
      <c r="E29487">
        <v>0</v>
      </c>
      <c r="F29487">
        <v>158</v>
      </c>
    </row>
    <row r="29488" spans="1:6" ht="12.75">
      <c r="A29488" s="2">
        <v>43875.572916666672</v>
      </c>
      <c r="B29488" t="str">
        <f>HYPERLINK("https://twitter.com/koncowirawiri","@koncowirawiri")</f>
        <v>@koncowirawiri</v>
      </c>
      <c r="C29488" t="s">
        <v>2444</v>
      </c>
      <c r="D29488">
        <v>1054</v>
      </c>
      <c r="E29488">
        <v>0</v>
      </c>
      <c r="F29488">
        <v>298</v>
      </c>
    </row>
    <row r="29489" spans="1:6" ht="12.75">
      <c r="A29489" s="2">
        <v>43875.572916666672</v>
      </c>
      <c r="B29489" t="str">
        <f>HYPERLINK("https://twitter.com/fawwaz_96","@fawwaz_96")</f>
        <v>@fawwaz_96</v>
      </c>
      <c r="C29489" t="s">
        <v>9123</v>
      </c>
      <c r="D29489">
        <v>118</v>
      </c>
      <c r="E29489">
        <v>0</v>
      </c>
      <c r="F29489">
        <v>1821</v>
      </c>
    </row>
    <row r="29490" spans="1:6" ht="12.75">
      <c r="A29490" s="2">
        <v>43875.572870370372</v>
      </c>
      <c r="B29490" t="str">
        <f>HYPERLINK("https://twitter.com/roon3651","@roon3651")</f>
        <v>@roon3651</v>
      </c>
      <c r="C29490" t="s">
        <v>10739</v>
      </c>
      <c r="D29490">
        <v>231</v>
      </c>
      <c r="E29490">
        <v>0</v>
      </c>
      <c r="F29490">
        <v>381</v>
      </c>
    </row>
    <row r="29491" spans="1:6" ht="12.75">
      <c r="A29491" s="2">
        <v>43875.572858796295</v>
      </c>
      <c r="B29491" t="str">
        <f>HYPERLINK("https://twitter.com/abjadbiru","@abjadbiru")</f>
        <v>@abjadbiru</v>
      </c>
      <c r="C29491" t="s">
        <v>7478</v>
      </c>
      <c r="D29491">
        <v>61</v>
      </c>
      <c r="E29491">
        <v>0</v>
      </c>
      <c r="F29491">
        <v>504</v>
      </c>
    </row>
    <row r="29492" spans="1:6" ht="12.75">
      <c r="A29492" s="2">
        <v>43875.572835648149</v>
      </c>
      <c r="B29492" t="str">
        <f>HYPERLINK("https://twitter.com/akuamoeba_","@akuamoeba_")</f>
        <v>@akuamoeba_</v>
      </c>
      <c r="C29492" t="s">
        <v>12728</v>
      </c>
      <c r="D29492">
        <v>0</v>
      </c>
      <c r="E29492">
        <v>0</v>
      </c>
      <c r="F29492">
        <v>96</v>
      </c>
    </row>
    <row r="29493" spans="1:6" ht="12.75">
      <c r="A29493" s="2">
        <v>43875.572824074072</v>
      </c>
      <c r="B29493" t="str">
        <f>HYPERLINK("https://twitter.com/ExUnik","@ExUnik")</f>
        <v>@ExUnik</v>
      </c>
      <c r="C29493" t="s">
        <v>9123</v>
      </c>
      <c r="D29493">
        <v>118</v>
      </c>
      <c r="E29493">
        <v>0</v>
      </c>
      <c r="F29493">
        <v>363</v>
      </c>
    </row>
    <row r="29494" spans="1:6" ht="12.75">
      <c r="A29494" s="2">
        <v>43875.572800925926</v>
      </c>
      <c r="B29494" t="str">
        <f>HYPERLINK("https://twitter.com/nobodhii","@nobodhii")</f>
        <v>@nobodhii</v>
      </c>
      <c r="C29494" t="s">
        <v>12729</v>
      </c>
      <c r="D29494">
        <v>0</v>
      </c>
      <c r="E29494">
        <v>0</v>
      </c>
      <c r="F29494">
        <v>3</v>
      </c>
    </row>
    <row r="29495" spans="1:6" ht="12.75">
      <c r="A29495" s="2">
        <v>43875.572766203702</v>
      </c>
      <c r="B29495" t="str">
        <f>HYPERLINK("https://twitter.com/jinggaa_07","@jinggaa_07")</f>
        <v>@jinggaa_07</v>
      </c>
      <c r="C29495" t="s">
        <v>9123</v>
      </c>
      <c r="D29495">
        <v>118</v>
      </c>
      <c r="E29495">
        <v>0</v>
      </c>
      <c r="F29495">
        <v>858</v>
      </c>
    </row>
    <row r="29496" spans="1:6" ht="12.75">
      <c r="A29496" s="2">
        <v>43875.572754629626</v>
      </c>
      <c r="B29496" t="str">
        <f>HYPERLINK("https://twitter.com/LeicesterLucu","@LeicesterLucu")</f>
        <v>@LeicesterLucu</v>
      </c>
      <c r="C29496" t="s">
        <v>12723</v>
      </c>
      <c r="D29496">
        <v>0</v>
      </c>
      <c r="E29496">
        <v>0</v>
      </c>
      <c r="F29496">
        <v>586</v>
      </c>
    </row>
    <row r="29497" spans="1:6" ht="12.75">
      <c r="A29497" s="2">
        <v>43875.572743055556</v>
      </c>
      <c r="B29497" t="str">
        <f>HYPERLINK("https://twitter.com/KWnyaDoni","@KWnyaDoni")</f>
        <v>@KWnyaDoni</v>
      </c>
      <c r="C29497" t="s">
        <v>2444</v>
      </c>
      <c r="D29497">
        <v>1054</v>
      </c>
      <c r="E29497">
        <v>0</v>
      </c>
      <c r="F29497">
        <v>39</v>
      </c>
    </row>
    <row r="29498" spans="1:6" ht="12.75">
      <c r="A29498" s="2">
        <v>43875.572719907403</v>
      </c>
      <c r="B29498" t="str">
        <f>HYPERLINK("https://twitter.com/Otridjasfar","@Otridjasfar")</f>
        <v>@Otridjasfar</v>
      </c>
      <c r="C29498" t="s">
        <v>10300</v>
      </c>
      <c r="D29498">
        <v>16</v>
      </c>
      <c r="E29498">
        <v>0</v>
      </c>
      <c r="F29498">
        <v>835</v>
      </c>
    </row>
    <row r="29499" spans="1:6" ht="12.75">
      <c r="A29499" s="2">
        <v>43875.572696759264</v>
      </c>
      <c r="B29499" t="str">
        <f>HYPERLINK("https://twitter.com/jualgojek","@jualgojek")</f>
        <v>@jualgojek</v>
      </c>
      <c r="C29499" t="s">
        <v>11536</v>
      </c>
      <c r="D29499">
        <v>0</v>
      </c>
      <c r="E29499">
        <v>0</v>
      </c>
      <c r="F29499">
        <v>59</v>
      </c>
    </row>
    <row r="29500" spans="1:6" ht="12.75">
      <c r="A29500" s="2">
        <v>43875.572650462964</v>
      </c>
      <c r="B29500" t="str">
        <f>HYPERLINK("https://twitter.com/Hey_Letters","@Hey_Letters")</f>
        <v>@Hey_Letters</v>
      </c>
      <c r="C29500" t="s">
        <v>9123</v>
      </c>
      <c r="D29500">
        <v>118</v>
      </c>
      <c r="E29500">
        <v>0</v>
      </c>
      <c r="F29500">
        <v>176</v>
      </c>
    </row>
    <row r="29501" spans="1:6" ht="12.75">
      <c r="A29501" s="2">
        <v>43875.572638888887</v>
      </c>
      <c r="B29501" t="str">
        <f>HYPERLINK("https://twitter.com/Mizkatri","@Mizkatri")</f>
        <v>@Mizkatri</v>
      </c>
      <c r="C29501" t="s">
        <v>9123</v>
      </c>
      <c r="D29501">
        <v>118</v>
      </c>
      <c r="E29501">
        <v>0</v>
      </c>
      <c r="F29501">
        <v>142</v>
      </c>
    </row>
    <row r="29502" spans="1:6" ht="12.75">
      <c r="A29502" s="2">
        <v>43875.572557870371</v>
      </c>
      <c r="B29502" t="str">
        <f>HYPERLINK("https://twitter.com/2375Lawu","@2375Lawu")</f>
        <v>@2375Lawu</v>
      </c>
      <c r="C29502" t="s">
        <v>9835</v>
      </c>
      <c r="D29502">
        <v>23</v>
      </c>
      <c r="E29502">
        <v>0</v>
      </c>
      <c r="F29502">
        <v>158</v>
      </c>
    </row>
    <row r="29503" spans="1:6" ht="12.75">
      <c r="A29503" s="2">
        <v>43875.572546296295</v>
      </c>
      <c r="B29503" t="str">
        <f>HYPERLINK("https://twitter.com/mulaidari0lagi","@mulaidari0lagi")</f>
        <v>@mulaidari0lagi</v>
      </c>
      <c r="C29503" t="s">
        <v>9123</v>
      </c>
      <c r="D29503">
        <v>118</v>
      </c>
      <c r="E29503">
        <v>0</v>
      </c>
      <c r="F29503">
        <v>107</v>
      </c>
    </row>
    <row r="29504" spans="1:6" ht="12.75">
      <c r="A29504" s="2">
        <v>43875.572523148148</v>
      </c>
      <c r="B29504" t="str">
        <f>HYPERLINK("https://twitter.com/hanum_10","@hanum_10")</f>
        <v>@hanum_10</v>
      </c>
      <c r="C29504" t="s">
        <v>9123</v>
      </c>
      <c r="D29504">
        <v>118</v>
      </c>
      <c r="E29504">
        <v>0</v>
      </c>
      <c r="F29504">
        <v>170</v>
      </c>
    </row>
    <row r="29505" spans="1:6" ht="12.75">
      <c r="A29505" s="2">
        <v>43875.572465277779</v>
      </c>
      <c r="B29505" t="str">
        <f>HYPERLINK("https://twitter.com/maylafaisha96","@maylafaisha96")</f>
        <v>@maylafaisha96</v>
      </c>
      <c r="C29505" t="s">
        <v>9123</v>
      </c>
      <c r="D29505">
        <v>118</v>
      </c>
      <c r="E29505">
        <v>0</v>
      </c>
      <c r="F29505">
        <v>143</v>
      </c>
    </row>
    <row r="29506" spans="1:6" ht="12.75">
      <c r="A29506" s="2">
        <v>43875.572442129633</v>
      </c>
      <c r="B29506" t="str">
        <f>HYPERLINK("https://twitter.com/dysmrt","@dysmrt")</f>
        <v>@dysmrt</v>
      </c>
      <c r="C29506" t="s">
        <v>2444</v>
      </c>
      <c r="D29506">
        <v>1054</v>
      </c>
      <c r="E29506">
        <v>0</v>
      </c>
      <c r="F29506">
        <v>61</v>
      </c>
    </row>
    <row r="29507" spans="1:6" ht="12.75">
      <c r="A29507" s="2">
        <v>43875.572418981479</v>
      </c>
      <c r="B29507" t="str">
        <f>HYPERLINK("https://twitter.com/Asnur_18","@Asnur_18")</f>
        <v>@Asnur_18</v>
      </c>
      <c r="C29507" t="s">
        <v>2444</v>
      </c>
      <c r="D29507">
        <v>1054</v>
      </c>
      <c r="E29507">
        <v>0</v>
      </c>
      <c r="F29507">
        <v>139</v>
      </c>
    </row>
    <row r="29508" spans="1:6" ht="12.75">
      <c r="A29508" s="2">
        <v>43875.57236111111</v>
      </c>
      <c r="B29508" t="str">
        <f>HYPERLINK("https://twitter.com/aliviqbal","@aliviqbal")</f>
        <v>@aliviqbal</v>
      </c>
      <c r="C29508" t="s">
        <v>5168</v>
      </c>
      <c r="D29508">
        <v>644</v>
      </c>
      <c r="E29508">
        <v>0</v>
      </c>
      <c r="F29508">
        <v>1365</v>
      </c>
    </row>
    <row r="29509" spans="1:6" ht="12.75">
      <c r="A29509" s="2">
        <v>43875.57236111111</v>
      </c>
      <c r="B29509" t="str">
        <f>HYPERLINK("https://twitter.com/anshari04675393","@anshari04675393")</f>
        <v>@anshari04675393</v>
      </c>
      <c r="C29509" t="s">
        <v>12730</v>
      </c>
      <c r="D29509">
        <v>0</v>
      </c>
      <c r="E29509">
        <v>0</v>
      </c>
      <c r="F29509">
        <v>19</v>
      </c>
    </row>
    <row r="29510" spans="1:6" ht="12.75">
      <c r="A29510" s="2">
        <v>43875.572337962964</v>
      </c>
      <c r="B29510" t="str">
        <f>HYPERLINK("https://twitter.com/anduarani","@anduarani")</f>
        <v>@anduarani</v>
      </c>
      <c r="C29510" t="s">
        <v>2444</v>
      </c>
      <c r="D29510">
        <v>1054</v>
      </c>
      <c r="E29510">
        <v>0</v>
      </c>
      <c r="F29510">
        <v>81</v>
      </c>
    </row>
    <row r="29511" spans="1:6" ht="12.75">
      <c r="A29511" s="2">
        <v>43875.572326388894</v>
      </c>
      <c r="B29511" t="str">
        <f>HYPERLINK("https://twitter.com/CarikeadilanDi","@CarikeadilanDi")</f>
        <v>@CarikeadilanDi</v>
      </c>
      <c r="C29511" t="s">
        <v>7478</v>
      </c>
      <c r="D29511">
        <v>61</v>
      </c>
      <c r="E29511">
        <v>0</v>
      </c>
      <c r="F29511">
        <v>436</v>
      </c>
    </row>
    <row r="29512" spans="1:6" ht="12.75">
      <c r="A29512" s="2">
        <v>43875.57231481481</v>
      </c>
      <c r="B29512" t="str">
        <f>HYPERLINK("https://twitter.com/inekine","@inekine")</f>
        <v>@inekine</v>
      </c>
      <c r="C29512" t="s">
        <v>2444</v>
      </c>
      <c r="D29512">
        <v>1054</v>
      </c>
      <c r="E29512">
        <v>0</v>
      </c>
      <c r="F29512">
        <v>141</v>
      </c>
    </row>
    <row r="29513" spans="1:6" ht="12.75">
      <c r="A29513" s="2">
        <v>43875.572291666671</v>
      </c>
      <c r="B29513" t="str">
        <f>HYPERLINK("https://twitter.com/Yoonmin11084064","@Yoonmin11084064")</f>
        <v>@Yoonmin11084064</v>
      </c>
      <c r="C29513" t="s">
        <v>2444</v>
      </c>
      <c r="D29513">
        <v>1054</v>
      </c>
      <c r="E29513">
        <v>0</v>
      </c>
      <c r="F29513">
        <v>54</v>
      </c>
    </row>
    <row r="29514" spans="1:6" ht="12.75">
      <c r="A29514" s="2">
        <v>43875.572268518517</v>
      </c>
      <c r="B29514" t="str">
        <f>HYPERLINK("https://twitter.com/scarletloverx","@scarletloverx")</f>
        <v>@scarletloverx</v>
      </c>
      <c r="C29514" t="s">
        <v>2444</v>
      </c>
      <c r="D29514">
        <v>1054</v>
      </c>
      <c r="E29514">
        <v>0</v>
      </c>
      <c r="F29514">
        <v>1077</v>
      </c>
    </row>
    <row r="29515" spans="1:6" ht="12.75">
      <c r="A29515" s="2">
        <v>43875.572256944448</v>
      </c>
      <c r="B29515" t="str">
        <f>HYPERLINK("https://twitter.com/2014Monaco","@2014Monaco")</f>
        <v>@2014Monaco</v>
      </c>
      <c r="C29515" t="s">
        <v>9082</v>
      </c>
      <c r="D29515">
        <v>13</v>
      </c>
      <c r="E29515">
        <v>0</v>
      </c>
      <c r="F29515">
        <v>499</v>
      </c>
    </row>
    <row r="29516" spans="1:6" ht="12.75">
      <c r="A29516" s="2">
        <v>43875.572256944448</v>
      </c>
      <c r="B29516" t="str">
        <f>HYPERLINK("https://twitter.com/callmeacchan","@callmeacchan")</f>
        <v>@callmeacchan</v>
      </c>
      <c r="C29516" t="s">
        <v>5168</v>
      </c>
      <c r="D29516">
        <v>644</v>
      </c>
      <c r="E29516">
        <v>0</v>
      </c>
      <c r="F29516">
        <v>529</v>
      </c>
    </row>
    <row r="29517" spans="1:6" ht="12.75">
      <c r="A29517" s="2">
        <v>43875.572210648148</v>
      </c>
      <c r="B29517" t="str">
        <f>HYPERLINK("https://twitter.com/Meidielsandra","@Meidielsandra")</f>
        <v>@Meidielsandra</v>
      </c>
      <c r="C29517" t="s">
        <v>2444</v>
      </c>
      <c r="D29517">
        <v>1054</v>
      </c>
      <c r="E29517">
        <v>0</v>
      </c>
      <c r="F29517">
        <v>540</v>
      </c>
    </row>
    <row r="29518" spans="1:6" ht="12.75">
      <c r="A29518" s="2">
        <v>43875.572199074071</v>
      </c>
      <c r="B29518" t="str">
        <f>HYPERLINK("https://twitter.com/Dayangsunnbi","@Dayangsunnbi")</f>
        <v>@Dayangsunnbi</v>
      </c>
      <c r="C29518" t="s">
        <v>2444</v>
      </c>
      <c r="D29518">
        <v>1054</v>
      </c>
      <c r="E29518">
        <v>0</v>
      </c>
      <c r="F29518">
        <v>35</v>
      </c>
    </row>
    <row r="29519" spans="1:6" ht="12.75">
      <c r="A29519" s="2">
        <v>43875.572187500002</v>
      </c>
      <c r="B29519" t="str">
        <f>HYPERLINK("https://twitter.com/koerbansoespend","@koerbansoespend")</f>
        <v>@koerbansoespend</v>
      </c>
      <c r="C29519" t="s">
        <v>9123</v>
      </c>
      <c r="D29519">
        <v>118</v>
      </c>
      <c r="E29519">
        <v>0</v>
      </c>
      <c r="F29519">
        <v>85</v>
      </c>
    </row>
    <row r="29520" spans="1:6" ht="12.75">
      <c r="A29520" s="2">
        <v>43875.572187500002</v>
      </c>
      <c r="B29520" t="str">
        <f>HYPERLINK("https://twitter.com/Apriliasendu","@Apriliasendu")</f>
        <v>@Apriliasendu</v>
      </c>
      <c r="C29520" t="s">
        <v>9123</v>
      </c>
      <c r="D29520">
        <v>118</v>
      </c>
      <c r="E29520">
        <v>0</v>
      </c>
      <c r="F29520">
        <v>54</v>
      </c>
    </row>
    <row r="29521" spans="1:6" ht="12.75">
      <c r="A29521" s="2">
        <v>43875.572175925925</v>
      </c>
      <c r="B29521" t="str">
        <f>HYPERLINK("https://twitter.com/RakyatLangit","@RakyatLangit")</f>
        <v>@RakyatLangit</v>
      </c>
      <c r="C29521" t="s">
        <v>7478</v>
      </c>
      <c r="D29521">
        <v>61</v>
      </c>
      <c r="E29521">
        <v>0</v>
      </c>
      <c r="F29521">
        <v>22</v>
      </c>
    </row>
    <row r="29522" spans="1:6" ht="12.75">
      <c r="A29522" s="2">
        <v>43875.572164351848</v>
      </c>
      <c r="B29522" t="str">
        <f>HYPERLINK("https://twitter.com/_dirikoe","@_dirikoe")</f>
        <v>@_dirikoe</v>
      </c>
      <c r="C29522" t="s">
        <v>9123</v>
      </c>
      <c r="D29522">
        <v>118</v>
      </c>
      <c r="E29522">
        <v>0</v>
      </c>
      <c r="F29522">
        <v>17</v>
      </c>
    </row>
    <row r="29523" spans="1:6" ht="12.75">
      <c r="A29523" s="2">
        <v>43875.572141203702</v>
      </c>
      <c r="B29523" t="str">
        <f>HYPERLINK("https://twitter.com/wak_ila","@wak_ila")</f>
        <v>@wak_ila</v>
      </c>
      <c r="C29523" t="s">
        <v>9123</v>
      </c>
      <c r="D29523">
        <v>118</v>
      </c>
      <c r="E29523">
        <v>0</v>
      </c>
      <c r="F29523">
        <v>96</v>
      </c>
    </row>
    <row r="29524" spans="1:6" ht="12.75">
      <c r="A29524" s="2">
        <v>43875.572141203702</v>
      </c>
      <c r="B29524" t="str">
        <f>HYPERLINK("https://twitter.com/indiestofficial","@indiestofficial")</f>
        <v>@indiestofficial</v>
      </c>
      <c r="C29524" t="s">
        <v>9123</v>
      </c>
      <c r="D29524">
        <v>118</v>
      </c>
      <c r="E29524">
        <v>0</v>
      </c>
      <c r="F29524">
        <v>86</v>
      </c>
    </row>
    <row r="29525" spans="1:6" ht="12.75">
      <c r="A29525" s="2">
        <v>43875.572129629625</v>
      </c>
      <c r="B29525" t="str">
        <f>HYPERLINK("https://twitter.com/DemiNamaObul","@DemiNamaObul")</f>
        <v>@DemiNamaObul</v>
      </c>
      <c r="C29525" t="s">
        <v>9021</v>
      </c>
      <c r="D29525">
        <v>182</v>
      </c>
      <c r="E29525">
        <v>0</v>
      </c>
      <c r="F29525">
        <v>667</v>
      </c>
    </row>
    <row r="29526" spans="1:6" ht="12.75">
      <c r="A29526" s="2">
        <v>43875.572118055556</v>
      </c>
      <c r="B29526" t="str">
        <f>HYPERLINK("https://twitter.com/opajalal","@opajalal")</f>
        <v>@opajalal</v>
      </c>
      <c r="C29526" t="s">
        <v>12731</v>
      </c>
      <c r="D29526">
        <v>0</v>
      </c>
      <c r="E29526">
        <v>0</v>
      </c>
      <c r="F29526">
        <v>11</v>
      </c>
    </row>
    <row r="29527" spans="1:6" ht="12.75">
      <c r="A29527" s="2">
        <v>43875.572106481486</v>
      </c>
      <c r="B29527" t="str">
        <f>HYPERLINK("https://twitter.com/yaudaapaaja","@yaudaapaaja")</f>
        <v>@yaudaapaaja</v>
      </c>
      <c r="C29527" t="s">
        <v>2137</v>
      </c>
      <c r="D29527">
        <v>77</v>
      </c>
      <c r="E29527">
        <v>0</v>
      </c>
      <c r="F29527">
        <v>9</v>
      </c>
    </row>
    <row r="29528" spans="1:6" ht="12.75">
      <c r="A29528" s="2">
        <v>43875.572060185186</v>
      </c>
      <c r="B29528" t="str">
        <f>HYPERLINK("https://twitter.com/chieWahyuni_sri","@chieWahyuni_sri")</f>
        <v>@chieWahyuni_sri</v>
      </c>
      <c r="C29528" t="s">
        <v>2444</v>
      </c>
      <c r="D29528">
        <v>1054</v>
      </c>
      <c r="E29528">
        <v>0</v>
      </c>
      <c r="F29528">
        <v>493</v>
      </c>
    </row>
    <row r="29529" spans="1:6" ht="12.75">
      <c r="A29529" s="2">
        <v>43875.57203703704</v>
      </c>
      <c r="B29529" t="str">
        <f>HYPERLINK("https://twitter.com/kanimsurakarta","@kanimsurakarta")</f>
        <v>@kanimsurakarta</v>
      </c>
      <c r="C29529" t="s">
        <v>12732</v>
      </c>
      <c r="D29529">
        <v>0</v>
      </c>
      <c r="E29529">
        <v>0</v>
      </c>
      <c r="F29529">
        <v>357</v>
      </c>
    </row>
    <row r="29530" spans="1:6" ht="12.75">
      <c r="A29530" s="2">
        <v>43875.571967592594</v>
      </c>
      <c r="B29530" t="str">
        <f>HYPERLINK("https://twitter.com/sikecilmarmut","@sikecilmarmut")</f>
        <v>@sikecilmarmut</v>
      </c>
      <c r="C29530" t="s">
        <v>12733</v>
      </c>
      <c r="D29530">
        <v>1</v>
      </c>
      <c r="E29530">
        <v>0</v>
      </c>
      <c r="F29530">
        <v>2207</v>
      </c>
    </row>
    <row r="29531" spans="1:6" ht="12.75">
      <c r="A29531" s="2">
        <v>43875.57194444444</v>
      </c>
      <c r="B29531" t="str">
        <f t="shared" ref="B29531:B29532" si="372">HYPERLINK("https://twitter.com/LamanKita_","@LamanKita_")</f>
        <v>@LamanKita_</v>
      </c>
      <c r="C29531" t="s">
        <v>12734</v>
      </c>
      <c r="D29531">
        <v>1</v>
      </c>
      <c r="E29531">
        <v>1</v>
      </c>
      <c r="F29531">
        <v>139618</v>
      </c>
    </row>
    <row r="29532" spans="1:6" ht="12.75">
      <c r="A29532" s="2">
        <v>43875.571932870371</v>
      </c>
      <c r="B29532" t="str">
        <f t="shared" si="372"/>
        <v>@LamanKita_</v>
      </c>
      <c r="C29532" t="s">
        <v>12735</v>
      </c>
      <c r="D29532">
        <v>0</v>
      </c>
      <c r="E29532">
        <v>0</v>
      </c>
      <c r="F29532">
        <v>139618</v>
      </c>
    </row>
    <row r="29533" spans="1:6" ht="12.75">
      <c r="A29533" s="2">
        <v>43875.571932870371</v>
      </c>
      <c r="B29533" t="str">
        <f>HYPERLINK("https://twitter.com/sriwud","@sriwud")</f>
        <v>@sriwud</v>
      </c>
      <c r="C29533" t="s">
        <v>9123</v>
      </c>
      <c r="D29533">
        <v>118</v>
      </c>
      <c r="E29533">
        <v>0</v>
      </c>
      <c r="F29533">
        <v>152</v>
      </c>
    </row>
    <row r="29534" spans="1:6" ht="12.75">
      <c r="A29534" s="2">
        <v>43875.571921296301</v>
      </c>
      <c r="B29534" t="str">
        <f>HYPERLINK("https://twitter.com/byulbitj","@byulbitj")</f>
        <v>@byulbitj</v>
      </c>
      <c r="C29534" t="s">
        <v>2444</v>
      </c>
      <c r="D29534">
        <v>1054</v>
      </c>
      <c r="E29534">
        <v>0</v>
      </c>
      <c r="F29534">
        <v>93</v>
      </c>
    </row>
    <row r="29535" spans="1:6" ht="12.75">
      <c r="A29535" s="2">
        <v>43875.571921296301</v>
      </c>
      <c r="B29535" t="str">
        <f>HYPERLINK("https://twitter.com/paintyeol","@paintyeol")</f>
        <v>@paintyeol</v>
      </c>
      <c r="C29535" t="s">
        <v>2444</v>
      </c>
      <c r="D29535">
        <v>1054</v>
      </c>
      <c r="E29535">
        <v>0</v>
      </c>
      <c r="F29535">
        <v>217</v>
      </c>
    </row>
    <row r="29536" spans="1:6" ht="12.75">
      <c r="A29536" s="2">
        <v>43875.571909722217</v>
      </c>
      <c r="B29536" t="str">
        <f>HYPERLINK("https://twitter.com/jazuli_iqbal","@jazuli_iqbal")</f>
        <v>@jazuli_iqbal</v>
      </c>
      <c r="C29536" t="s">
        <v>9123</v>
      </c>
      <c r="D29536">
        <v>118</v>
      </c>
      <c r="E29536">
        <v>0</v>
      </c>
      <c r="F29536">
        <v>2487</v>
      </c>
    </row>
    <row r="29537" spans="1:6" ht="12.75">
      <c r="A29537" s="2">
        <v>43875.571840277778</v>
      </c>
      <c r="B29537" t="str">
        <f>HYPERLINK("https://twitter.com/gvftanipia","@gvftanipia")</f>
        <v>@gvftanipia</v>
      </c>
      <c r="C29537" t="s">
        <v>9082</v>
      </c>
      <c r="D29537">
        <v>13</v>
      </c>
      <c r="E29537">
        <v>0</v>
      </c>
      <c r="F29537">
        <v>788</v>
      </c>
    </row>
    <row r="29538" spans="1:6" ht="12.75">
      <c r="A29538" s="2">
        <v>43875.571840277778</v>
      </c>
      <c r="B29538" t="str">
        <f>HYPERLINK("https://twitter.com/07momocha","@07momocha")</f>
        <v>@07momocha</v>
      </c>
      <c r="C29538" t="s">
        <v>9123</v>
      </c>
      <c r="D29538">
        <v>118</v>
      </c>
      <c r="E29538">
        <v>0</v>
      </c>
      <c r="F29538">
        <v>506</v>
      </c>
    </row>
    <row r="29539" spans="1:6" ht="12.75">
      <c r="A29539" s="2">
        <v>43875.571805555555</v>
      </c>
      <c r="B29539" t="str">
        <f>HYPERLINK("https://twitter.com/Surya4424","@Surya4424")</f>
        <v>@Surya4424</v>
      </c>
      <c r="C29539" t="s">
        <v>9123</v>
      </c>
      <c r="D29539">
        <v>118</v>
      </c>
      <c r="E29539">
        <v>0</v>
      </c>
      <c r="F29539">
        <v>32</v>
      </c>
    </row>
    <row r="29540" spans="1:6" ht="12.75">
      <c r="A29540" s="2">
        <v>43875.571782407409</v>
      </c>
      <c r="B29540" t="str">
        <f>HYPERLINK("https://twitter.com/rintiksendumu","@rintiksendumu")</f>
        <v>@rintiksendumu</v>
      </c>
      <c r="C29540" t="s">
        <v>9123</v>
      </c>
      <c r="D29540">
        <v>118</v>
      </c>
      <c r="E29540">
        <v>0</v>
      </c>
      <c r="F29540">
        <v>59</v>
      </c>
    </row>
    <row r="29541" spans="1:6" ht="12.75">
      <c r="A29541" s="2">
        <v>43875.571782407409</v>
      </c>
      <c r="B29541" t="str">
        <f>HYPERLINK("https://twitter.com/gusnur212","@gusnur212")</f>
        <v>@gusnur212</v>
      </c>
      <c r="C29541" t="s">
        <v>11566</v>
      </c>
      <c r="D29541">
        <v>104</v>
      </c>
      <c r="E29541">
        <v>0</v>
      </c>
      <c r="F29541">
        <v>579</v>
      </c>
    </row>
    <row r="29542" spans="1:6" ht="12.75">
      <c r="A29542" s="2">
        <v>43875.571759259255</v>
      </c>
      <c r="B29542" t="str">
        <f>HYPERLINK("https://twitter.com/BangPitung_AJW","@BangPitung_AJW")</f>
        <v>@BangPitung_AJW</v>
      </c>
      <c r="C29542" t="s">
        <v>7478</v>
      </c>
      <c r="D29542">
        <v>61</v>
      </c>
      <c r="E29542">
        <v>0</v>
      </c>
      <c r="F29542">
        <v>6414</v>
      </c>
    </row>
    <row r="29543" spans="1:6" ht="12.75">
      <c r="A29543" s="2">
        <v>43875.571759259255</v>
      </c>
      <c r="B29543" t="str">
        <f>HYPERLINK("https://twitter.com/irdnap","@irdnap")</f>
        <v>@irdnap</v>
      </c>
      <c r="C29543" t="s">
        <v>2444</v>
      </c>
      <c r="D29543">
        <v>1054</v>
      </c>
      <c r="E29543">
        <v>0</v>
      </c>
      <c r="F29543">
        <v>736</v>
      </c>
    </row>
    <row r="29544" spans="1:6" ht="12.75">
      <c r="A29544" s="2">
        <v>43875.571736111116</v>
      </c>
      <c r="B29544" t="str">
        <f>HYPERLINK("https://twitter.com/Asnur_18","@Asnur_18")</f>
        <v>@Asnur_18</v>
      </c>
      <c r="C29544" t="s">
        <v>9123</v>
      </c>
      <c r="D29544">
        <v>118</v>
      </c>
      <c r="E29544">
        <v>0</v>
      </c>
      <c r="F29544">
        <v>139</v>
      </c>
    </row>
    <row r="29545" spans="1:6" ht="12.75">
      <c r="A29545" s="2">
        <v>43875.571736111116</v>
      </c>
      <c r="B29545" t="str">
        <f>HYPERLINK("https://twitter.com/hasrat_magabe","@hasrat_magabe")</f>
        <v>@hasrat_magabe</v>
      </c>
      <c r="C29545" t="s">
        <v>9746</v>
      </c>
      <c r="D29545">
        <v>135</v>
      </c>
      <c r="E29545">
        <v>0</v>
      </c>
      <c r="F29545">
        <v>319</v>
      </c>
    </row>
    <row r="29546" spans="1:6" ht="12.75">
      <c r="A29546" s="2">
        <v>43875.571724537032</v>
      </c>
      <c r="B29546" t="str">
        <f>HYPERLINK("https://twitter.com/99budlight","@99budlight")</f>
        <v>@99budlight</v>
      </c>
      <c r="C29546" t="s">
        <v>12736</v>
      </c>
      <c r="D29546">
        <v>0</v>
      </c>
      <c r="E29546">
        <v>0</v>
      </c>
      <c r="F29546">
        <v>1465</v>
      </c>
    </row>
    <row r="29547" spans="1:6" ht="12.75">
      <c r="A29547" s="2">
        <v>43875.571712962963</v>
      </c>
      <c r="B29547" t="str">
        <f>HYPERLINK("https://twitter.com/mulyono09281912","@mulyono09281912")</f>
        <v>@mulyono09281912</v>
      </c>
      <c r="C29547" t="s">
        <v>2144</v>
      </c>
      <c r="D29547">
        <v>71</v>
      </c>
      <c r="E29547">
        <v>0</v>
      </c>
      <c r="F29547">
        <v>53</v>
      </c>
    </row>
    <row r="29548" spans="1:6" ht="12.75">
      <c r="A29548" s="2">
        <v>43875.571689814809</v>
      </c>
      <c r="B29548" t="str">
        <f>HYPERLINK("https://twitter.com/riricomelz","@riricomelz")</f>
        <v>@riricomelz</v>
      </c>
      <c r="C29548" t="s">
        <v>9123</v>
      </c>
      <c r="D29548">
        <v>118</v>
      </c>
      <c r="E29548">
        <v>0</v>
      </c>
      <c r="F29548">
        <v>60</v>
      </c>
    </row>
    <row r="29549" spans="1:6" ht="12.75">
      <c r="A29549" s="2">
        <v>43875.57167824074</v>
      </c>
      <c r="B29549" t="str">
        <f>HYPERLINK("https://twitter.com/wisanggeni_084","@wisanggeni_084")</f>
        <v>@wisanggeni_084</v>
      </c>
      <c r="C29549" t="s">
        <v>12737</v>
      </c>
      <c r="D29549">
        <v>1</v>
      </c>
      <c r="E29549">
        <v>0</v>
      </c>
      <c r="F29549">
        <v>15831</v>
      </c>
    </row>
    <row r="29550" spans="1:6" ht="12.75">
      <c r="A29550" s="2">
        <v>43875.57166666667</v>
      </c>
      <c r="B29550" t="str">
        <f>HYPERLINK("https://twitter.com/philobangtania","@philobangtania")</f>
        <v>@philobangtania</v>
      </c>
      <c r="C29550" t="s">
        <v>2444</v>
      </c>
      <c r="D29550">
        <v>1054</v>
      </c>
      <c r="E29550">
        <v>0</v>
      </c>
      <c r="F29550">
        <v>435</v>
      </c>
    </row>
    <row r="29551" spans="1:6" ht="12.75">
      <c r="A29551" s="2">
        <v>43875.571655092594</v>
      </c>
      <c r="B29551" t="str">
        <f>HYPERLINK("https://twitter.com/gusnur212","@gusnur212")</f>
        <v>@gusnur212</v>
      </c>
      <c r="C29551" t="s">
        <v>9113</v>
      </c>
      <c r="D29551">
        <v>289</v>
      </c>
      <c r="E29551">
        <v>0</v>
      </c>
      <c r="F29551">
        <v>579</v>
      </c>
    </row>
    <row r="29552" spans="1:6" ht="12.75">
      <c r="A29552" s="2">
        <v>43875.571643518517</v>
      </c>
      <c r="B29552" t="str">
        <f>HYPERLINK("https://twitter.com/emboh_weess","@emboh_weess")</f>
        <v>@emboh_weess</v>
      </c>
      <c r="C29552" t="s">
        <v>9123</v>
      </c>
      <c r="D29552">
        <v>118</v>
      </c>
      <c r="E29552">
        <v>0</v>
      </c>
      <c r="F29552">
        <v>44</v>
      </c>
    </row>
    <row r="29553" spans="1:6" ht="12.75">
      <c r="A29553" s="2">
        <v>43875.571643518517</v>
      </c>
      <c r="B29553" t="str">
        <f>HYPERLINK("https://twitter.com/scarletloverx","@scarletloverx")</f>
        <v>@scarletloverx</v>
      </c>
      <c r="C29553" t="s">
        <v>9123</v>
      </c>
      <c r="D29553">
        <v>118</v>
      </c>
      <c r="E29553">
        <v>0</v>
      </c>
      <c r="F29553">
        <v>1077</v>
      </c>
    </row>
    <row r="29554" spans="1:6" ht="12.75">
      <c r="A29554" s="2">
        <v>43875.571631944447</v>
      </c>
      <c r="B29554" t="str">
        <f>HYPERLINK("https://twitter.com/safxsky","@safxsky")</f>
        <v>@safxsky</v>
      </c>
      <c r="C29554" t="s">
        <v>9021</v>
      </c>
      <c r="D29554">
        <v>182</v>
      </c>
      <c r="E29554">
        <v>0</v>
      </c>
      <c r="F29554">
        <v>102</v>
      </c>
    </row>
    <row r="29555" spans="1:6" ht="12.75">
      <c r="A29555" s="2">
        <v>43875.571597222224</v>
      </c>
      <c r="B29555" t="str">
        <f>HYPERLINK("https://twitter.com/bomber_tagar45","@bomber_tagar45")</f>
        <v>@bomber_tagar45</v>
      </c>
      <c r="C29555" t="s">
        <v>11666</v>
      </c>
      <c r="D29555">
        <v>4</v>
      </c>
      <c r="E29555">
        <v>0</v>
      </c>
      <c r="F29555">
        <v>1022</v>
      </c>
    </row>
    <row r="29556" spans="1:6" ht="12.75">
      <c r="A29556" s="2">
        <v>43875.571597222224</v>
      </c>
      <c r="B29556" t="str">
        <f>HYPERLINK("https://twitter.com/agoessp","@agoessp")</f>
        <v>@agoessp</v>
      </c>
      <c r="C29556" t="s">
        <v>7373</v>
      </c>
      <c r="D29556">
        <v>69</v>
      </c>
      <c r="E29556">
        <v>0</v>
      </c>
      <c r="F29556">
        <v>130</v>
      </c>
    </row>
    <row r="29557" spans="1:6" ht="12.75">
      <c r="A29557" s="2">
        <v>43875.571562500001</v>
      </c>
      <c r="B29557" t="str">
        <f>HYPERLINK("https://twitter.com/djanuanti","@djanuanti")</f>
        <v>@djanuanti</v>
      </c>
      <c r="C29557" t="s">
        <v>12738</v>
      </c>
      <c r="D29557">
        <v>69</v>
      </c>
      <c r="E29557">
        <v>0</v>
      </c>
      <c r="F29557">
        <v>471</v>
      </c>
    </row>
    <row r="29558" spans="1:6" ht="12.75">
      <c r="A29558" s="2">
        <v>43875.571550925924</v>
      </c>
      <c r="B29558" t="str">
        <f>HYPERLINK("https://twitter.com/Lyarahma10","@Lyarahma10")</f>
        <v>@Lyarahma10</v>
      </c>
      <c r="C29558" t="s">
        <v>9123</v>
      </c>
      <c r="D29558">
        <v>118</v>
      </c>
      <c r="E29558">
        <v>0</v>
      </c>
      <c r="F29558">
        <v>281</v>
      </c>
    </row>
    <row r="29559" spans="1:6" ht="12.75">
      <c r="A29559" s="2">
        <v>43875.571527777778</v>
      </c>
      <c r="B29559" t="str">
        <f>HYPERLINK("https://twitter.com/PinayunganE","@PinayunganE")</f>
        <v>@PinayunganE</v>
      </c>
      <c r="C29559" t="s">
        <v>12739</v>
      </c>
      <c r="D29559">
        <v>0</v>
      </c>
      <c r="E29559">
        <v>0</v>
      </c>
      <c r="F29559">
        <v>18</v>
      </c>
    </row>
    <row r="29560" spans="1:6" ht="12.75">
      <c r="A29560" s="2">
        <v>43875.571527777778</v>
      </c>
      <c r="B29560" t="str">
        <f>HYPERLINK("https://twitter.com/dysyani_","@dysyani_")</f>
        <v>@dysyani_</v>
      </c>
      <c r="C29560" t="s">
        <v>9123</v>
      </c>
      <c r="D29560">
        <v>118</v>
      </c>
      <c r="E29560">
        <v>0</v>
      </c>
      <c r="F29560">
        <v>4095</v>
      </c>
    </row>
    <row r="29561" spans="1:6" ht="12.75">
      <c r="A29561" s="2">
        <v>43875.571469907409</v>
      </c>
      <c r="B29561" t="str">
        <f>HYPERLINK("https://twitter.com/nmajid","@nmajid")</f>
        <v>@nmajid</v>
      </c>
      <c r="C29561" t="s">
        <v>9746</v>
      </c>
      <c r="D29561">
        <v>135</v>
      </c>
      <c r="E29561">
        <v>0</v>
      </c>
      <c r="F29561">
        <v>200</v>
      </c>
    </row>
    <row r="29562" spans="1:6" ht="12.75">
      <c r="A29562" s="2">
        <v>43875.571458333332</v>
      </c>
      <c r="B29562" t="str">
        <f>HYPERLINK("https://twitter.com/unaktip","@unaktip")</f>
        <v>@unaktip</v>
      </c>
      <c r="C29562" t="s">
        <v>9123</v>
      </c>
      <c r="D29562">
        <v>118</v>
      </c>
      <c r="E29562">
        <v>0</v>
      </c>
      <c r="F29562">
        <v>241</v>
      </c>
    </row>
    <row r="29563" spans="1:6" ht="12.75">
      <c r="A29563" s="2">
        <v>43875.571446759262</v>
      </c>
      <c r="B29563" t="str">
        <f>HYPERLINK("https://twitter.com/origamioregano","@origamioregano")</f>
        <v>@origamioregano</v>
      </c>
      <c r="C29563" t="s">
        <v>2444</v>
      </c>
      <c r="D29563">
        <v>1054</v>
      </c>
      <c r="E29563">
        <v>0</v>
      </c>
      <c r="F29563">
        <v>1164</v>
      </c>
    </row>
    <row r="29564" spans="1:6" ht="12.75">
      <c r="A29564" s="2">
        <v>43875.571423611109</v>
      </c>
      <c r="B29564" t="str">
        <f>HYPERLINK("https://twitter.com/FikriSama__","@FikriSama__")</f>
        <v>@FikriSama__</v>
      </c>
      <c r="C29564" t="s">
        <v>12740</v>
      </c>
      <c r="D29564">
        <v>0</v>
      </c>
      <c r="E29564">
        <v>0</v>
      </c>
      <c r="F29564">
        <v>312</v>
      </c>
    </row>
    <row r="29565" spans="1:6" ht="12.75">
      <c r="A29565" s="2">
        <v>43875.571412037039</v>
      </c>
      <c r="B29565" t="str">
        <f>HYPERLINK("https://twitter.com/saudadee_p","@saudadee_p")</f>
        <v>@saudadee_p</v>
      </c>
      <c r="C29565" t="s">
        <v>5168</v>
      </c>
      <c r="D29565">
        <v>644</v>
      </c>
      <c r="E29565">
        <v>0</v>
      </c>
      <c r="F29565">
        <v>1497</v>
      </c>
    </row>
    <row r="29566" spans="1:6" ht="12.75">
      <c r="A29566" s="2">
        <v>43875.571354166663</v>
      </c>
      <c r="B29566" t="str">
        <f>HYPERLINK("https://twitter.com/InvestorID","@InvestorID")</f>
        <v>@InvestorID</v>
      </c>
      <c r="C29566" t="s">
        <v>12741</v>
      </c>
      <c r="D29566">
        <v>0</v>
      </c>
      <c r="E29566">
        <v>0</v>
      </c>
      <c r="F29566">
        <v>15257</v>
      </c>
    </row>
    <row r="29567" spans="1:6" ht="12.75">
      <c r="A29567" s="2">
        <v>43875.571342592593</v>
      </c>
      <c r="B29567" t="str">
        <f>HYPERLINK("https://twitter.com/leewoochi","@leewoochi")</f>
        <v>@leewoochi</v>
      </c>
      <c r="C29567" t="s">
        <v>5168</v>
      </c>
      <c r="D29567">
        <v>644</v>
      </c>
      <c r="E29567">
        <v>0</v>
      </c>
      <c r="F29567">
        <v>1576</v>
      </c>
    </row>
    <row r="29568" spans="1:6" ht="12.75">
      <c r="A29568" s="2">
        <v>43875.57131944444</v>
      </c>
      <c r="B29568" t="str">
        <f>HYPERLINK("https://twitter.com/tantenyadekpeci","@tantenyadekpeci")</f>
        <v>@tantenyadekpeci</v>
      </c>
      <c r="C29568" t="s">
        <v>2444</v>
      </c>
      <c r="D29568">
        <v>1054</v>
      </c>
      <c r="E29568">
        <v>0</v>
      </c>
      <c r="F29568">
        <v>216</v>
      </c>
    </row>
    <row r="29569" spans="1:6" ht="12.75">
      <c r="A29569" s="2">
        <v>43875.571296296301</v>
      </c>
      <c r="B29569" t="str">
        <f>HYPERLINK("https://twitter.com/thedankris","@thedankris")</f>
        <v>@thedankris</v>
      </c>
      <c r="C29569" t="s">
        <v>9123</v>
      </c>
      <c r="D29569">
        <v>118</v>
      </c>
      <c r="E29569">
        <v>0</v>
      </c>
      <c r="F29569">
        <v>60</v>
      </c>
    </row>
    <row r="29570" spans="1:6" ht="12.75">
      <c r="A29570" s="2">
        <v>43875.571261574078</v>
      </c>
      <c r="B29570" t="str">
        <f>HYPERLINK("https://twitter.com/tikey_13","@tikey_13")</f>
        <v>@tikey_13</v>
      </c>
      <c r="C29570" t="s">
        <v>10300</v>
      </c>
      <c r="D29570">
        <v>16</v>
      </c>
      <c r="E29570">
        <v>0</v>
      </c>
      <c r="F29570">
        <v>60</v>
      </c>
    </row>
    <row r="29571" spans="1:6" ht="12.75">
      <c r="A29571" s="2">
        <v>43875.571250000001</v>
      </c>
      <c r="B29571" t="str">
        <f>HYPERLINK("https://twitter.com/ensitinthehaus","@ensitinthehaus")</f>
        <v>@ensitinthehaus</v>
      </c>
      <c r="C29571" t="s">
        <v>2444</v>
      </c>
      <c r="D29571">
        <v>1054</v>
      </c>
      <c r="E29571">
        <v>0</v>
      </c>
      <c r="F29571">
        <v>1222</v>
      </c>
    </row>
    <row r="29572" spans="1:6" ht="12.75">
      <c r="A29572" s="2">
        <v>43875.571238425924</v>
      </c>
      <c r="B29572" t="str">
        <f>HYPERLINK("https://twitter.com/shelishiny","@shelishiny")</f>
        <v>@shelishiny</v>
      </c>
      <c r="C29572" t="s">
        <v>2444</v>
      </c>
      <c r="D29572">
        <v>1054</v>
      </c>
      <c r="E29572">
        <v>0</v>
      </c>
      <c r="F29572">
        <v>1038</v>
      </c>
    </row>
    <row r="29573" spans="1:6" ht="12.75">
      <c r="A29573" s="2">
        <v>43875.571238425924</v>
      </c>
      <c r="B29573" t="str">
        <f>HYPERLINK("https://twitter.com/Dayangsunnbi","@Dayangsunnbi")</f>
        <v>@Dayangsunnbi</v>
      </c>
      <c r="C29573" t="s">
        <v>12347</v>
      </c>
      <c r="D29573">
        <v>0</v>
      </c>
      <c r="E29573">
        <v>0</v>
      </c>
      <c r="F29573">
        <v>35</v>
      </c>
    </row>
    <row r="29574" spans="1:6" ht="12.75">
      <c r="A29574" s="2">
        <v>43875.571168981478</v>
      </c>
      <c r="B29574" t="str">
        <f>HYPERLINK("https://twitter.com/AdrianPramudito","@AdrianPramudito")</f>
        <v>@AdrianPramudito</v>
      </c>
      <c r="C29574" t="s">
        <v>2444</v>
      </c>
      <c r="D29574">
        <v>1054</v>
      </c>
      <c r="E29574">
        <v>0</v>
      </c>
      <c r="F29574">
        <v>98</v>
      </c>
    </row>
    <row r="29575" spans="1:6" ht="12.75">
      <c r="A29575" s="2">
        <v>43875.571157407408</v>
      </c>
      <c r="B29575" t="str">
        <f>HYPERLINK("https://twitter.com/itsrika07","@itsrika07")</f>
        <v>@itsrika07</v>
      </c>
      <c r="C29575" t="s">
        <v>9123</v>
      </c>
      <c r="D29575">
        <v>118</v>
      </c>
      <c r="E29575">
        <v>0</v>
      </c>
      <c r="F29575">
        <v>787</v>
      </c>
    </row>
    <row r="29576" spans="1:6" ht="12.75">
      <c r="A29576" s="2">
        <v>43875.571145833332</v>
      </c>
      <c r="B29576" t="str">
        <f>HYPERLINK("https://twitter.com/Qiim_T","@Qiim_T")</f>
        <v>@Qiim_T</v>
      </c>
      <c r="C29576" t="s">
        <v>9123</v>
      </c>
      <c r="D29576">
        <v>118</v>
      </c>
      <c r="E29576">
        <v>0</v>
      </c>
      <c r="F29576">
        <v>445</v>
      </c>
    </row>
    <row r="29577" spans="1:6" ht="12.75">
      <c r="A29577" s="2">
        <v>43875.571134259255</v>
      </c>
      <c r="B29577" t="str">
        <f>HYPERLINK("https://twitter.com/rajutanbunga","@rajutanbunga")</f>
        <v>@rajutanbunga</v>
      </c>
      <c r="C29577" t="s">
        <v>9123</v>
      </c>
      <c r="D29577">
        <v>118</v>
      </c>
      <c r="E29577">
        <v>0</v>
      </c>
      <c r="F29577">
        <v>1131</v>
      </c>
    </row>
    <row r="29578" spans="1:6" ht="12.75">
      <c r="A29578" s="2">
        <v>43875.571134259255</v>
      </c>
      <c r="B29578" t="str">
        <f>HYPERLINK("https://twitter.com/rossityari","@rossityari")</f>
        <v>@rossityari</v>
      </c>
      <c r="C29578" t="s">
        <v>2444</v>
      </c>
      <c r="D29578">
        <v>1054</v>
      </c>
      <c r="E29578">
        <v>0</v>
      </c>
      <c r="F29578">
        <v>199</v>
      </c>
    </row>
    <row r="29579" spans="1:6" ht="12.75">
      <c r="A29579" s="2">
        <v>43875.571134259255</v>
      </c>
      <c r="B29579" t="str">
        <f>HYPERLINK("https://twitter.com/fans6690","@fans6690")</f>
        <v>@fans6690</v>
      </c>
      <c r="C29579" t="s">
        <v>9123</v>
      </c>
      <c r="D29579">
        <v>118</v>
      </c>
      <c r="E29579">
        <v>0</v>
      </c>
      <c r="F29579">
        <v>87</v>
      </c>
    </row>
    <row r="29580" spans="1:6" ht="12.75">
      <c r="A29580" s="2">
        <v>43875.571122685185</v>
      </c>
      <c r="B29580" t="str">
        <f>HYPERLINK("https://twitter.com/MasterMufid","@MasterMufid")</f>
        <v>@MasterMufid</v>
      </c>
      <c r="C29580" t="s">
        <v>12742</v>
      </c>
      <c r="D29580">
        <v>0</v>
      </c>
      <c r="E29580">
        <v>0</v>
      </c>
      <c r="F29580">
        <v>370</v>
      </c>
    </row>
    <row r="29581" spans="1:6" ht="12.75">
      <c r="A29581" s="2">
        <v>43875.571099537032</v>
      </c>
      <c r="B29581" t="str">
        <f>HYPERLINK("https://twitter.com/syntheiz","@syntheiz")</f>
        <v>@syntheiz</v>
      </c>
      <c r="C29581" t="s">
        <v>2444</v>
      </c>
      <c r="D29581">
        <v>1054</v>
      </c>
      <c r="E29581">
        <v>0</v>
      </c>
      <c r="F29581">
        <v>289</v>
      </c>
    </row>
    <row r="29582" spans="1:6" ht="12.75">
      <c r="A29582" s="2">
        <v>43875.571087962962</v>
      </c>
      <c r="B29582" t="str">
        <f>HYPERLINK("https://twitter.com/L3OF14N","@L3OF14N")</f>
        <v>@L3OF14N</v>
      </c>
      <c r="C29582" t="s">
        <v>9096</v>
      </c>
      <c r="D29582">
        <v>186</v>
      </c>
      <c r="E29582">
        <v>0</v>
      </c>
      <c r="F29582">
        <v>1165</v>
      </c>
    </row>
    <row r="29583" spans="1:6" ht="12.75">
      <c r="A29583" s="2">
        <v>43875.571053240739</v>
      </c>
      <c r="B29583" t="str">
        <f>HYPERLINK("https://twitter.com/rais_amat","@rais_amat")</f>
        <v>@rais_amat</v>
      </c>
      <c r="C29583" t="s">
        <v>9123</v>
      </c>
      <c r="D29583">
        <v>118</v>
      </c>
      <c r="E29583">
        <v>0</v>
      </c>
      <c r="F29583">
        <v>151</v>
      </c>
    </row>
    <row r="29584" spans="1:6" ht="12.75">
      <c r="A29584" s="2">
        <v>43875.571018518516</v>
      </c>
      <c r="B29584" t="str">
        <f>HYPERLINK("https://twitter.com/Copoae","@Copoae")</f>
        <v>@Copoae</v>
      </c>
      <c r="C29584" t="s">
        <v>10300</v>
      </c>
      <c r="D29584">
        <v>16</v>
      </c>
      <c r="E29584">
        <v>0</v>
      </c>
      <c r="F29584">
        <v>142</v>
      </c>
    </row>
    <row r="29585" spans="1:6" ht="12.75">
      <c r="A29585" s="2">
        <v>43875.571006944447</v>
      </c>
      <c r="B29585" t="str">
        <f>HYPERLINK("https://twitter.com/djanuanti","@djanuanti")</f>
        <v>@djanuanti</v>
      </c>
      <c r="C29585" t="s">
        <v>8233</v>
      </c>
      <c r="D29585">
        <v>433</v>
      </c>
      <c r="E29585">
        <v>0</v>
      </c>
      <c r="F29585">
        <v>471</v>
      </c>
    </row>
    <row r="29586" spans="1:6" ht="12.75">
      <c r="A29586" s="2">
        <v>43875.571006944447</v>
      </c>
      <c r="B29586" t="str">
        <f>HYPERLINK("https://twitter.com/RahmaMeydina","@RahmaMeydina")</f>
        <v>@RahmaMeydina</v>
      </c>
      <c r="C29586" t="s">
        <v>12743</v>
      </c>
      <c r="D29586">
        <v>0</v>
      </c>
      <c r="E29586">
        <v>1</v>
      </c>
      <c r="F29586">
        <v>434</v>
      </c>
    </row>
    <row r="29587" spans="1:6" ht="12.75">
      <c r="A29587" s="2">
        <v>43875.571006944447</v>
      </c>
      <c r="B29587" t="str">
        <f>HYPERLINK("https://twitter.com/Mingfan35","@Mingfan35")</f>
        <v>@Mingfan35</v>
      </c>
      <c r="C29587" t="s">
        <v>12744</v>
      </c>
      <c r="D29587">
        <v>0</v>
      </c>
      <c r="E29587">
        <v>0</v>
      </c>
      <c r="F29587">
        <v>110</v>
      </c>
    </row>
    <row r="29588" spans="1:6" ht="12.75">
      <c r="A29588" s="2">
        <v>43875.57099537037</v>
      </c>
      <c r="B29588" t="str">
        <f>HYPERLINK("https://twitter.com/fortaekoo","@fortaekoo")</f>
        <v>@fortaekoo</v>
      </c>
      <c r="C29588" t="s">
        <v>9123</v>
      </c>
      <c r="D29588">
        <v>118</v>
      </c>
      <c r="E29588">
        <v>0</v>
      </c>
      <c r="F29588">
        <v>351</v>
      </c>
    </row>
    <row r="29589" spans="1:6" ht="12.75">
      <c r="A29589" s="2">
        <v>43875.57099537037</v>
      </c>
      <c r="B29589" t="str">
        <f>HYPERLINK("https://twitter.com/Fajarnur94","@Fajarnur94")</f>
        <v>@Fajarnur94</v>
      </c>
      <c r="C29589" t="s">
        <v>9123</v>
      </c>
      <c r="D29589">
        <v>118</v>
      </c>
      <c r="E29589">
        <v>0</v>
      </c>
      <c r="F29589">
        <v>2251</v>
      </c>
    </row>
    <row r="29590" spans="1:6" ht="12.75">
      <c r="A29590" s="2">
        <v>43875.570972222224</v>
      </c>
      <c r="B29590" t="str">
        <f>HYPERLINK("https://twitter.com/LeicesterLucu","@LeicesterLucu")</f>
        <v>@LeicesterLucu</v>
      </c>
      <c r="C29590" t="s">
        <v>9123</v>
      </c>
      <c r="D29590">
        <v>118</v>
      </c>
      <c r="E29590">
        <v>0</v>
      </c>
      <c r="F29590">
        <v>586</v>
      </c>
    </row>
    <row r="29591" spans="1:6" ht="12.75">
      <c r="A29591" s="2">
        <v>43875.570972222224</v>
      </c>
      <c r="B29591" t="str">
        <f>HYPERLINK("https://twitter.com/Rudi_Gunawan24","@Rudi_Gunawan24")</f>
        <v>@Rudi_Gunawan24</v>
      </c>
      <c r="C29591" t="s">
        <v>9123</v>
      </c>
      <c r="D29591">
        <v>118</v>
      </c>
      <c r="E29591">
        <v>0</v>
      </c>
      <c r="F29591">
        <v>156</v>
      </c>
    </row>
    <row r="29592" spans="1:6" ht="12.75">
      <c r="A29592" s="2">
        <v>43875.57094907407</v>
      </c>
      <c r="B29592" t="str">
        <f>HYPERLINK("https://twitter.com/arsymaulani","@arsymaulani")</f>
        <v>@arsymaulani</v>
      </c>
      <c r="C29592" t="s">
        <v>9123</v>
      </c>
      <c r="D29592">
        <v>118</v>
      </c>
      <c r="E29592">
        <v>0</v>
      </c>
      <c r="F29592">
        <v>579</v>
      </c>
    </row>
    <row r="29593" spans="1:6" ht="12.75">
      <c r="A29593" s="2">
        <v>43875.570891203708</v>
      </c>
      <c r="B29593" t="str">
        <f>HYPERLINK("https://twitter.com/gwagwaw","@gwagwaw")</f>
        <v>@gwagwaw</v>
      </c>
      <c r="C29593" t="s">
        <v>2444</v>
      </c>
      <c r="D29593">
        <v>1054</v>
      </c>
      <c r="E29593">
        <v>0</v>
      </c>
      <c r="F29593">
        <v>458</v>
      </c>
    </row>
    <row r="29594" spans="1:6" ht="12.75">
      <c r="A29594" s="2">
        <v>43875.570891203708</v>
      </c>
      <c r="B29594" t="str">
        <f>HYPERLINK("https://twitter.com/shelishiny","@shelishiny")</f>
        <v>@shelishiny</v>
      </c>
      <c r="C29594" t="s">
        <v>11536</v>
      </c>
      <c r="D29594">
        <v>0</v>
      </c>
      <c r="E29594">
        <v>0</v>
      </c>
      <c r="F29594">
        <v>1038</v>
      </c>
    </row>
    <row r="29595" spans="1:6" ht="12.75">
      <c r="A29595" s="2">
        <v>43875.570879629631</v>
      </c>
      <c r="B29595" t="str">
        <f>HYPERLINK("https://twitter.com/SenjaLestari16","@SenjaLestari16")</f>
        <v>@SenjaLestari16</v>
      </c>
      <c r="C29595" t="s">
        <v>9123</v>
      </c>
      <c r="D29595">
        <v>118</v>
      </c>
      <c r="E29595">
        <v>0</v>
      </c>
      <c r="F29595">
        <v>102</v>
      </c>
    </row>
    <row r="29596" spans="1:6" ht="12.75">
      <c r="A29596" s="2">
        <v>43875.570868055554</v>
      </c>
      <c r="B29596" t="str">
        <f>HYPERLINK("https://twitter.com/alt1_","@alt1_")</f>
        <v>@alt1_</v>
      </c>
      <c r="C29596" t="s">
        <v>2444</v>
      </c>
      <c r="D29596">
        <v>1054</v>
      </c>
      <c r="E29596">
        <v>0</v>
      </c>
      <c r="F29596">
        <v>208</v>
      </c>
    </row>
    <row r="29597" spans="1:6" ht="12.75">
      <c r="A29597" s="2">
        <v>43875.570868055554</v>
      </c>
      <c r="B29597" t="str">
        <f>HYPERLINK("https://twitter.com/umarngelo","@umarngelo")</f>
        <v>@umarngelo</v>
      </c>
      <c r="C29597" t="s">
        <v>9746</v>
      </c>
      <c r="D29597">
        <v>135</v>
      </c>
      <c r="E29597">
        <v>0</v>
      </c>
      <c r="F29597">
        <v>145</v>
      </c>
    </row>
    <row r="29598" spans="1:6" ht="12.75">
      <c r="A29598" s="2">
        <v>43875.570868055554</v>
      </c>
      <c r="B29598" t="str">
        <f>HYPERLINK("https://twitter.com/gwenkiim","@gwenkiim")</f>
        <v>@gwenkiim</v>
      </c>
      <c r="C29598" t="s">
        <v>2137</v>
      </c>
      <c r="D29598">
        <v>77</v>
      </c>
      <c r="E29598">
        <v>0</v>
      </c>
      <c r="F29598">
        <v>227</v>
      </c>
    </row>
    <row r="29599" spans="1:6" ht="12.75">
      <c r="A29599" s="2">
        <v>43875.570856481485</v>
      </c>
      <c r="B29599" t="str">
        <f>HYPERLINK("https://twitter.com/JohnIrwan4","@JohnIrwan4")</f>
        <v>@JohnIrwan4</v>
      </c>
      <c r="C29599" t="s">
        <v>12745</v>
      </c>
      <c r="D29599">
        <v>3</v>
      </c>
      <c r="E29599">
        <v>0</v>
      </c>
      <c r="F29599">
        <v>2115</v>
      </c>
    </row>
    <row r="29600" spans="1:6" ht="12.75">
      <c r="A29600" s="2">
        <v>43875.570856481485</v>
      </c>
      <c r="B29600" t="str">
        <f>HYPERLINK("https://twitter.com/lawjusticeco","@lawjusticeco")</f>
        <v>@lawjusticeco</v>
      </c>
      <c r="C29600" t="s">
        <v>12746</v>
      </c>
      <c r="D29600">
        <v>0</v>
      </c>
      <c r="E29600">
        <v>0</v>
      </c>
      <c r="F29600">
        <v>4909</v>
      </c>
    </row>
    <row r="29601" spans="1:6" ht="12.75">
      <c r="A29601" s="2">
        <v>43875.570844907408</v>
      </c>
      <c r="B29601" t="str">
        <f>HYPERLINK("https://twitter.com/nilaipalingbaik","@nilaipalingbaik")</f>
        <v>@nilaipalingbaik</v>
      </c>
      <c r="C29601" t="s">
        <v>12747</v>
      </c>
      <c r="D29601">
        <v>25</v>
      </c>
      <c r="E29601">
        <v>0</v>
      </c>
      <c r="F29601">
        <v>332</v>
      </c>
    </row>
    <row r="29602" spans="1:6" ht="12.75">
      <c r="A29602" s="2">
        <v>43875.570798611108</v>
      </c>
      <c r="B29602" t="str">
        <f>HYPERLINK("https://twitter.com/rizalnosugar","@rizalnosugar")</f>
        <v>@rizalnosugar</v>
      </c>
      <c r="C29602" t="s">
        <v>9123</v>
      </c>
      <c r="D29602">
        <v>118</v>
      </c>
      <c r="E29602">
        <v>0</v>
      </c>
      <c r="F29602">
        <v>327</v>
      </c>
    </row>
    <row r="29603" spans="1:6" ht="12.75">
      <c r="A29603" s="2">
        <v>43875.570740740739</v>
      </c>
      <c r="B29603" t="str">
        <f>HYPERLINK("https://twitter.com/DivaNaff999","@DivaNaff999")</f>
        <v>@DivaNaff999</v>
      </c>
      <c r="C29603" t="s">
        <v>9123</v>
      </c>
      <c r="D29603">
        <v>118</v>
      </c>
      <c r="E29603">
        <v>0</v>
      </c>
      <c r="F29603">
        <v>331</v>
      </c>
    </row>
    <row r="29604" spans="1:6" ht="12.75">
      <c r="A29604" s="2">
        <v>43875.570740740739</v>
      </c>
      <c r="B29604" t="str">
        <f>HYPERLINK("https://twitter.com/jhrh__","@jhrh__")</f>
        <v>@jhrh__</v>
      </c>
      <c r="C29604" t="s">
        <v>2444</v>
      </c>
      <c r="D29604">
        <v>1054</v>
      </c>
      <c r="E29604">
        <v>0</v>
      </c>
      <c r="F29604">
        <v>342</v>
      </c>
    </row>
    <row r="29605" spans="1:6" ht="12.75">
      <c r="A29605" s="2">
        <v>43875.570717592593</v>
      </c>
      <c r="B29605" t="str">
        <f>HYPERLINK("https://twitter.com/SitiKastini","@SitiKastini")</f>
        <v>@SitiKastini</v>
      </c>
      <c r="C29605" t="s">
        <v>12748</v>
      </c>
      <c r="D29605">
        <v>0</v>
      </c>
      <c r="E29605">
        <v>0</v>
      </c>
      <c r="F29605">
        <v>1425</v>
      </c>
    </row>
    <row r="29606" spans="1:6" ht="12.75">
      <c r="A29606" s="2">
        <v>43875.570717592593</v>
      </c>
      <c r="B29606" t="str">
        <f>HYPERLINK("https://twitter.com/innovember07","@innovember07")</f>
        <v>@innovember07</v>
      </c>
      <c r="C29606" t="s">
        <v>9123</v>
      </c>
      <c r="D29606">
        <v>118</v>
      </c>
      <c r="E29606">
        <v>0</v>
      </c>
      <c r="F29606">
        <v>187</v>
      </c>
    </row>
    <row r="29607" spans="1:6" ht="12.75">
      <c r="A29607" s="2">
        <v>43875.570659722223</v>
      </c>
      <c r="B29607" t="str">
        <f>HYPERLINK("https://twitter.com/rosagani1","@rosagani1")</f>
        <v>@rosagani1</v>
      </c>
      <c r="C29607" t="s">
        <v>12749</v>
      </c>
      <c r="D29607">
        <v>0</v>
      </c>
      <c r="E29607">
        <v>0</v>
      </c>
      <c r="F29607">
        <v>23</v>
      </c>
    </row>
    <row r="29608" spans="1:6" ht="12.75">
      <c r="A29608" s="2">
        <v>43875.570636574077</v>
      </c>
      <c r="B29608" t="str">
        <f>HYPERLINK("https://twitter.com/RAJATOKEK2","@RAJATOKEK2")</f>
        <v>@RAJATOKEK2</v>
      </c>
      <c r="C29608" t="s">
        <v>12750</v>
      </c>
      <c r="D29608">
        <v>0</v>
      </c>
      <c r="E29608">
        <v>0</v>
      </c>
      <c r="F29608">
        <v>0</v>
      </c>
    </row>
    <row r="29609" spans="1:6" ht="12.75">
      <c r="A29609" s="2">
        <v>43875.570625</v>
      </c>
      <c r="B29609" t="str">
        <f>HYPERLINK("https://twitter.com/fathurwae28","@fathurwae28")</f>
        <v>@fathurwae28</v>
      </c>
      <c r="C29609" t="s">
        <v>7478</v>
      </c>
      <c r="D29609">
        <v>61</v>
      </c>
      <c r="E29609">
        <v>0</v>
      </c>
      <c r="F29609">
        <v>273</v>
      </c>
    </row>
    <row r="29610" spans="1:6" ht="12.75">
      <c r="A29610" s="2">
        <v>43875.570543981477</v>
      </c>
      <c r="B29610" t="str">
        <f>HYPERLINK("https://twitter.com/ferry_adamhar","@ferry_adamhar")</f>
        <v>@ferry_adamhar</v>
      </c>
      <c r="C29610" t="s">
        <v>175</v>
      </c>
      <c r="D29610">
        <v>5273</v>
      </c>
      <c r="E29610">
        <v>0</v>
      </c>
      <c r="F29610">
        <v>10</v>
      </c>
    </row>
    <row r="29611" spans="1:6" ht="12.75">
      <c r="A29611" s="2">
        <v>43875.570462962962</v>
      </c>
      <c r="B29611" t="str">
        <f>HYPERLINK("https://twitter.com/markuni","@markuni")</f>
        <v>@markuni</v>
      </c>
      <c r="C29611" t="s">
        <v>12751</v>
      </c>
      <c r="D29611">
        <v>0</v>
      </c>
      <c r="E29611">
        <v>0</v>
      </c>
      <c r="F29611">
        <v>54</v>
      </c>
    </row>
    <row r="29612" spans="1:6" ht="12.75">
      <c r="A29612" s="2">
        <v>43875.570451388892</v>
      </c>
      <c r="B29612" t="str">
        <f>HYPERLINK("https://twitter.com/rajutanbunga","@rajutanbunga")</f>
        <v>@rajutanbunga</v>
      </c>
      <c r="C29612" t="s">
        <v>12347</v>
      </c>
      <c r="D29612">
        <v>0</v>
      </c>
      <c r="E29612">
        <v>0</v>
      </c>
      <c r="F29612">
        <v>1131</v>
      </c>
    </row>
    <row r="29613" spans="1:6" ht="12.75">
      <c r="A29613" s="2">
        <v>43875.570428240739</v>
      </c>
      <c r="B29613" t="str">
        <f>HYPERLINK("https://twitter.com/akuseriusdong","@akuseriusdong")</f>
        <v>@akuseriusdong</v>
      </c>
      <c r="C29613" t="s">
        <v>2444</v>
      </c>
      <c r="D29613">
        <v>1054</v>
      </c>
      <c r="E29613">
        <v>0</v>
      </c>
      <c r="F29613">
        <v>59</v>
      </c>
    </row>
    <row r="29614" spans="1:6" ht="12.75">
      <c r="A29614" s="2">
        <v>43875.570416666669</v>
      </c>
      <c r="B29614" t="str">
        <f>HYPERLINK("https://twitter.com/uzcne","@uzcne")</f>
        <v>@uzcne</v>
      </c>
      <c r="C29614" t="s">
        <v>2444</v>
      </c>
      <c r="D29614">
        <v>1054</v>
      </c>
      <c r="E29614">
        <v>0</v>
      </c>
      <c r="F29614">
        <v>1080</v>
      </c>
    </row>
    <row r="29615" spans="1:6" ht="12.75">
      <c r="A29615" s="2">
        <v>43875.570405092592</v>
      </c>
      <c r="B29615" t="str">
        <f>HYPERLINK("https://twitter.com/LamanKita_","@LamanKita_")</f>
        <v>@LamanKita_</v>
      </c>
      <c r="C29615" t="s">
        <v>12752</v>
      </c>
      <c r="D29615">
        <v>1</v>
      </c>
      <c r="E29615">
        <v>1</v>
      </c>
      <c r="F29615">
        <v>139618</v>
      </c>
    </row>
    <row r="29616" spans="1:6" ht="12.75">
      <c r="A29616" s="2">
        <v>43875.570405092592</v>
      </c>
      <c r="B29616" t="str">
        <f>HYPERLINK("https://twitter.com/kaastky","@kaastky")</f>
        <v>@kaastky</v>
      </c>
      <c r="C29616" t="s">
        <v>2137</v>
      </c>
      <c r="D29616">
        <v>77</v>
      </c>
      <c r="E29616">
        <v>0</v>
      </c>
      <c r="F29616">
        <v>690</v>
      </c>
    </row>
    <row r="29617" spans="1:6" ht="12.75">
      <c r="A29617" s="2">
        <v>43875.570405092592</v>
      </c>
      <c r="B29617" t="str">
        <f t="shared" ref="B29617:B29620" si="373">HYPERLINK("https://twitter.com/LamanKita_","@LamanKita_")</f>
        <v>@LamanKita_</v>
      </c>
      <c r="C29617" t="s">
        <v>12753</v>
      </c>
      <c r="D29617">
        <v>1</v>
      </c>
      <c r="E29617">
        <v>0</v>
      </c>
      <c r="F29617">
        <v>139618</v>
      </c>
    </row>
    <row r="29618" spans="1:6" ht="12.75">
      <c r="A29618" s="2">
        <v>43875.570393518516</v>
      </c>
      <c r="B29618" t="str">
        <f t="shared" si="373"/>
        <v>@LamanKita_</v>
      </c>
      <c r="C29618" t="s">
        <v>12754</v>
      </c>
      <c r="D29618">
        <v>0</v>
      </c>
      <c r="E29618">
        <v>0</v>
      </c>
      <c r="F29618">
        <v>139618</v>
      </c>
    </row>
    <row r="29619" spans="1:6" ht="12.75">
      <c r="A29619" s="2">
        <v>43875.570381944446</v>
      </c>
      <c r="B29619" t="str">
        <f t="shared" si="373"/>
        <v>@LamanKita_</v>
      </c>
      <c r="C29619" t="s">
        <v>12755</v>
      </c>
      <c r="D29619">
        <v>0</v>
      </c>
      <c r="E29619">
        <v>0</v>
      </c>
      <c r="F29619">
        <v>139618</v>
      </c>
    </row>
    <row r="29620" spans="1:6" ht="12.75">
      <c r="A29620" s="2">
        <v>43875.570381944446</v>
      </c>
      <c r="B29620" t="str">
        <f t="shared" si="373"/>
        <v>@LamanKita_</v>
      </c>
      <c r="C29620" t="s">
        <v>12756</v>
      </c>
      <c r="D29620">
        <v>0</v>
      </c>
      <c r="E29620">
        <v>0</v>
      </c>
      <c r="F29620">
        <v>139618</v>
      </c>
    </row>
    <row r="29621" spans="1:6" ht="12.75">
      <c r="A29621" s="2">
        <v>43875.570370370369</v>
      </c>
      <c r="B29621" t="str">
        <f>HYPERLINK("https://twitter.com/swastipus","@swastipus")</f>
        <v>@swastipus</v>
      </c>
      <c r="C29621" t="s">
        <v>12757</v>
      </c>
      <c r="D29621">
        <v>0</v>
      </c>
      <c r="E29621">
        <v>0</v>
      </c>
      <c r="F29621">
        <v>557</v>
      </c>
    </row>
    <row r="29622" spans="1:6" ht="12.75">
      <c r="A29622" s="2">
        <v>43875.570370370369</v>
      </c>
      <c r="B29622" t="str">
        <f>HYPERLINK("https://twitter.com/LamanKita_","@LamanKita_")</f>
        <v>@LamanKita_</v>
      </c>
      <c r="C29622" t="s">
        <v>12758</v>
      </c>
      <c r="D29622">
        <v>1</v>
      </c>
      <c r="E29622">
        <v>0</v>
      </c>
      <c r="F29622">
        <v>139618</v>
      </c>
    </row>
    <row r="29623" spans="1:6" ht="12.75">
      <c r="A29623" s="2">
        <v>43875.570335648154</v>
      </c>
      <c r="B29623" t="str">
        <f>HYPERLINK("https://twitter.com/ext2_","@ext2_")</f>
        <v>@ext2_</v>
      </c>
      <c r="C29623" t="s">
        <v>2444</v>
      </c>
      <c r="D29623">
        <v>1054</v>
      </c>
      <c r="E29623">
        <v>0</v>
      </c>
      <c r="F29623">
        <v>246</v>
      </c>
    </row>
    <row r="29624" spans="1:6" ht="12.75">
      <c r="A29624" s="2">
        <v>43875.5703125</v>
      </c>
      <c r="B29624" t="str">
        <f>HYPERLINK("https://twitter.com/BustamyKarmen","@BustamyKarmen")</f>
        <v>@BustamyKarmen</v>
      </c>
      <c r="C29624" t="s">
        <v>12759</v>
      </c>
      <c r="D29624">
        <v>0</v>
      </c>
      <c r="E29624">
        <v>0</v>
      </c>
      <c r="F29624">
        <v>0</v>
      </c>
    </row>
    <row r="29625" spans="1:6" ht="12.75">
      <c r="A29625" s="2">
        <v>43875.570289351846</v>
      </c>
      <c r="B29625" t="str">
        <f>HYPERLINK("https://twitter.com/AhmadZXY","@AhmadZXY")</f>
        <v>@AhmadZXY</v>
      </c>
      <c r="C29625" t="s">
        <v>12760</v>
      </c>
      <c r="D29625">
        <v>0</v>
      </c>
      <c r="E29625">
        <v>0</v>
      </c>
      <c r="F29625">
        <v>955</v>
      </c>
    </row>
    <row r="29626" spans="1:6" ht="12.75">
      <c r="A29626" s="2">
        <v>43875.570277777777</v>
      </c>
      <c r="B29626" t="str">
        <f>HYPERLINK("https://twitter.com/MrsAmron23","@MrsAmron23")</f>
        <v>@MrsAmron23</v>
      </c>
      <c r="C29626" t="s">
        <v>11460</v>
      </c>
      <c r="D29626">
        <v>18</v>
      </c>
      <c r="E29626">
        <v>0</v>
      </c>
      <c r="F29626">
        <v>818</v>
      </c>
    </row>
    <row r="29627" spans="1:6" ht="12.75">
      <c r="A29627" s="2">
        <v>43875.5700462963</v>
      </c>
      <c r="B29627" t="str">
        <f>HYPERLINK("https://twitter.com/BennyHendra18","@BennyHendra18")</f>
        <v>@BennyHendra18</v>
      </c>
      <c r="C29627" t="s">
        <v>11835</v>
      </c>
      <c r="D29627">
        <v>2</v>
      </c>
      <c r="E29627">
        <v>0</v>
      </c>
      <c r="F29627">
        <v>32</v>
      </c>
    </row>
    <row r="29628" spans="1:6" ht="12.75">
      <c r="A29628" s="2">
        <v>43875.570034722223</v>
      </c>
      <c r="B29628" t="str">
        <f>HYPERLINK("https://twitter.com/adhet11a","@adhet11a")</f>
        <v>@adhet11a</v>
      </c>
      <c r="C29628" t="s">
        <v>9746</v>
      </c>
      <c r="D29628">
        <v>135</v>
      </c>
      <c r="E29628">
        <v>0</v>
      </c>
      <c r="F29628">
        <v>229</v>
      </c>
    </row>
    <row r="29629" spans="1:6" ht="12.75">
      <c r="A29629" s="2">
        <v>43875.570011574076</v>
      </c>
      <c r="B29629" t="str">
        <f>HYPERLINK("https://twitter.com/prighaga","@prighaga")</f>
        <v>@prighaga</v>
      </c>
      <c r="C29629" t="s">
        <v>2444</v>
      </c>
      <c r="D29629">
        <v>1054</v>
      </c>
      <c r="E29629">
        <v>0</v>
      </c>
      <c r="F29629">
        <v>635</v>
      </c>
    </row>
    <row r="29630" spans="1:6" ht="12.75">
      <c r="A29630" s="2">
        <v>43875.57</v>
      </c>
      <c r="B29630" t="str">
        <f>HYPERLINK("https://twitter.com/madedev","@madedev")</f>
        <v>@madedev</v>
      </c>
      <c r="C29630" t="s">
        <v>10300</v>
      </c>
      <c r="D29630">
        <v>16</v>
      </c>
      <c r="E29630">
        <v>0</v>
      </c>
      <c r="F29630">
        <v>618</v>
      </c>
    </row>
    <row r="29631" spans="1:6" ht="12.75">
      <c r="A29631" s="2">
        <v>43875.569988425923</v>
      </c>
      <c r="B29631" t="str">
        <f>HYPERLINK("https://twitter.com/GadiesGelies","@GadiesGelies")</f>
        <v>@GadiesGelies</v>
      </c>
      <c r="C29631" t="s">
        <v>2444</v>
      </c>
      <c r="D29631">
        <v>1054</v>
      </c>
      <c r="E29631">
        <v>0</v>
      </c>
      <c r="F29631">
        <v>223</v>
      </c>
    </row>
    <row r="29632" spans="1:6" ht="12.75">
      <c r="A29632" s="2">
        <v>43875.569988425923</v>
      </c>
      <c r="B29632" t="str">
        <f>HYPERLINK("https://twitter.com/GunawanSao","@GunawanSao")</f>
        <v>@GunawanSao</v>
      </c>
      <c r="C29632" t="s">
        <v>12761</v>
      </c>
      <c r="D29632">
        <v>0</v>
      </c>
      <c r="E29632">
        <v>0</v>
      </c>
      <c r="F29632">
        <v>162</v>
      </c>
    </row>
    <row r="29633" spans="1:6" ht="12.75">
      <c r="A29633" s="2">
        <v>43875.569976851853</v>
      </c>
      <c r="B29633" t="str">
        <f>HYPERLINK("https://twitter.com/natalia2412","@natalia2412")</f>
        <v>@natalia2412</v>
      </c>
      <c r="C29633" t="s">
        <v>11113</v>
      </c>
      <c r="D29633">
        <v>53</v>
      </c>
      <c r="E29633">
        <v>0</v>
      </c>
      <c r="F29633">
        <v>629</v>
      </c>
    </row>
    <row r="29634" spans="1:6" ht="12.75">
      <c r="A29634" s="2">
        <v>43875.569976851853</v>
      </c>
      <c r="B29634" t="str">
        <f>HYPERLINK("https://twitter.com/jrwang11","@jrwang11")</f>
        <v>@jrwang11</v>
      </c>
      <c r="C29634" t="s">
        <v>9113</v>
      </c>
      <c r="D29634">
        <v>289</v>
      </c>
      <c r="E29634">
        <v>0</v>
      </c>
      <c r="F29634">
        <v>19</v>
      </c>
    </row>
    <row r="29635" spans="1:6" ht="12.75">
      <c r="A29635" s="2">
        <v>43875.569872685184</v>
      </c>
      <c r="B29635" t="str">
        <f>HYPERLINK("https://twitter.com/yumnawijdan","@yumnawijdan")</f>
        <v>@yumnawijdan</v>
      </c>
      <c r="C29635" t="s">
        <v>12762</v>
      </c>
      <c r="D29635">
        <v>0</v>
      </c>
      <c r="E29635">
        <v>0</v>
      </c>
      <c r="F29635">
        <v>73</v>
      </c>
    </row>
    <row r="29636" spans="1:6" ht="12.75">
      <c r="A29636" s="2">
        <v>43875.569861111115</v>
      </c>
      <c r="B29636" t="str">
        <f>HYPERLINK("https://twitter.com/bb41_","@bb41_")</f>
        <v>@bb41_</v>
      </c>
      <c r="C29636" t="s">
        <v>2444</v>
      </c>
      <c r="D29636">
        <v>1054</v>
      </c>
      <c r="E29636">
        <v>0</v>
      </c>
      <c r="F29636">
        <v>34</v>
      </c>
    </row>
    <row r="29637" spans="1:6" ht="12.75">
      <c r="A29637" s="2">
        <v>43875.569837962961</v>
      </c>
      <c r="B29637" t="str">
        <f>HYPERLINK("https://twitter.com/Yue89031","@Yue89031")</f>
        <v>@Yue89031</v>
      </c>
      <c r="C29637" t="s">
        <v>12763</v>
      </c>
      <c r="D29637">
        <v>0</v>
      </c>
      <c r="E29637">
        <v>0</v>
      </c>
      <c r="F29637">
        <v>0</v>
      </c>
    </row>
    <row r="29638" spans="1:6" ht="12.75">
      <c r="A29638" s="2">
        <v>43875.569826388892</v>
      </c>
      <c r="B29638" t="str">
        <f>HYPERLINK("https://twitter.com/VIVAcoid","@VIVAcoid")</f>
        <v>@VIVAcoid</v>
      </c>
      <c r="C29638" t="s">
        <v>12764</v>
      </c>
      <c r="D29638">
        <v>1</v>
      </c>
      <c r="E29638">
        <v>0</v>
      </c>
      <c r="F29638">
        <v>4169121</v>
      </c>
    </row>
    <row r="29639" spans="1:6" ht="12.75">
      <c r="A29639" s="2">
        <v>43875.569780092592</v>
      </c>
      <c r="B29639" t="str">
        <f>HYPERLINK("https://twitter.com/96Gino1","@96Gino1")</f>
        <v>@96Gino1</v>
      </c>
      <c r="C29639" t="s">
        <v>12765</v>
      </c>
      <c r="D29639">
        <v>0</v>
      </c>
      <c r="E29639">
        <v>0</v>
      </c>
      <c r="F29639">
        <v>134</v>
      </c>
    </row>
    <row r="29640" spans="1:6" ht="12.75">
      <c r="A29640" s="2">
        <v>43875.569733796292</v>
      </c>
      <c r="B29640" t="str">
        <f>HYPERLINK("https://twitter.com/DavidKanata","@DavidKanata")</f>
        <v>@DavidKanata</v>
      </c>
      <c r="C29640" t="s">
        <v>12766</v>
      </c>
      <c r="D29640">
        <v>0</v>
      </c>
      <c r="E29640">
        <v>0</v>
      </c>
      <c r="F29640">
        <v>931</v>
      </c>
    </row>
    <row r="29641" spans="1:6" ht="12.75">
      <c r="A29641" s="2">
        <v>43875.569710648153</v>
      </c>
      <c r="B29641" t="str">
        <f>HYPERLINK("https://twitter.com/RuhiyatNandang","@RuhiyatNandang")</f>
        <v>@RuhiyatNandang</v>
      </c>
      <c r="C29641" t="s">
        <v>175</v>
      </c>
      <c r="D29641">
        <v>5273</v>
      </c>
      <c r="E29641">
        <v>0</v>
      </c>
      <c r="F29641">
        <v>2</v>
      </c>
    </row>
    <row r="29642" spans="1:6" ht="12.75">
      <c r="A29642" s="2">
        <v>43875.569652777776</v>
      </c>
      <c r="B29642" t="str">
        <f>HYPERLINK("https://twitter.com/itsnine7","@itsnine7")</f>
        <v>@itsnine7</v>
      </c>
      <c r="C29642" t="s">
        <v>2444</v>
      </c>
      <c r="D29642">
        <v>1054</v>
      </c>
      <c r="E29642">
        <v>0</v>
      </c>
      <c r="F29642">
        <v>172</v>
      </c>
    </row>
    <row r="29643" spans="1:6" ht="12.75">
      <c r="A29643" s="2">
        <v>43875.569652777776</v>
      </c>
      <c r="B29643" t="str">
        <f>HYPERLINK("https://twitter.com/Roroarumi3","@Roroarumi3")</f>
        <v>@Roroarumi3</v>
      </c>
      <c r="C29643" t="s">
        <v>12767</v>
      </c>
      <c r="D29643">
        <v>1</v>
      </c>
      <c r="E29643">
        <v>1</v>
      </c>
      <c r="F29643">
        <v>131</v>
      </c>
    </row>
    <row r="29644" spans="1:6" ht="12.75">
      <c r="A29644" s="2">
        <v>43875.56962962963</v>
      </c>
      <c r="B29644" t="str">
        <f>HYPERLINK("https://twitter.com/hayati2404","@hayati2404")</f>
        <v>@hayati2404</v>
      </c>
      <c r="C29644" t="s">
        <v>11536</v>
      </c>
      <c r="D29644">
        <v>0</v>
      </c>
      <c r="E29644">
        <v>0</v>
      </c>
      <c r="F29644">
        <v>130</v>
      </c>
    </row>
    <row r="29645" spans="1:6" ht="12.75">
      <c r="A29645" s="2">
        <v>43875.569606481484</v>
      </c>
      <c r="B29645" t="str">
        <f>HYPERLINK("https://twitter.com/Winsontrotz1","@Winsontrotz1")</f>
        <v>@Winsontrotz1</v>
      </c>
      <c r="C29645" t="s">
        <v>10422</v>
      </c>
      <c r="D29645">
        <v>83</v>
      </c>
      <c r="E29645">
        <v>0</v>
      </c>
      <c r="F29645">
        <v>2598</v>
      </c>
    </row>
    <row r="29646" spans="1:6" ht="12.75">
      <c r="A29646" s="2">
        <v>43875.569537037038</v>
      </c>
      <c r="B29646" t="str">
        <f>HYPERLINK("https://twitter.com/RAJATOKEK2","@RAJATOKEK2")</f>
        <v>@RAJATOKEK2</v>
      </c>
      <c r="C29646" t="s">
        <v>12768</v>
      </c>
      <c r="D29646">
        <v>0</v>
      </c>
      <c r="E29646">
        <v>0</v>
      </c>
      <c r="F29646">
        <v>0</v>
      </c>
    </row>
    <row r="29647" spans="1:6" ht="12.75">
      <c r="A29647" s="2">
        <v>43875.569525462968</v>
      </c>
      <c r="B29647" t="str">
        <f>HYPERLINK("https://twitter.com/WartaKotaTribun","@WartaKotaTribun")</f>
        <v>@WartaKotaTribun</v>
      </c>
      <c r="C29647" t="s">
        <v>12769</v>
      </c>
      <c r="D29647">
        <v>0</v>
      </c>
      <c r="E29647">
        <v>0</v>
      </c>
      <c r="F29647">
        <v>783</v>
      </c>
    </row>
    <row r="29648" spans="1:6" ht="12.75">
      <c r="A29648" s="2">
        <v>43875.569525462968</v>
      </c>
      <c r="B29648" t="str">
        <f>HYPERLINK("https://twitter.com/Orangbiasaaje","@Orangbiasaaje")</f>
        <v>@Orangbiasaaje</v>
      </c>
      <c r="C29648" t="s">
        <v>12770</v>
      </c>
      <c r="D29648">
        <v>0</v>
      </c>
      <c r="E29648">
        <v>0</v>
      </c>
      <c r="F29648">
        <v>471</v>
      </c>
    </row>
    <row r="29649" spans="1:6" ht="12.75">
      <c r="A29649" s="2">
        <v>43875.569502314815</v>
      </c>
      <c r="B29649" t="str">
        <f>HYPERLINK("https://twitter.com/vivanewscom","@vivanewscom")</f>
        <v>@vivanewscom</v>
      </c>
      <c r="C29649" t="s">
        <v>12771</v>
      </c>
      <c r="D29649">
        <v>1</v>
      </c>
      <c r="E29649">
        <v>1</v>
      </c>
      <c r="F29649">
        <v>4067</v>
      </c>
    </row>
    <row r="29650" spans="1:6" ht="12.75">
      <c r="A29650" s="2">
        <v>43875.569502314815</v>
      </c>
      <c r="B29650" t="str">
        <f>HYPERLINK("https://twitter.com/bomber_tagar45","@bomber_tagar45")</f>
        <v>@bomber_tagar45</v>
      </c>
      <c r="C29650" t="s">
        <v>12772</v>
      </c>
      <c r="D29650">
        <v>1</v>
      </c>
      <c r="E29650">
        <v>0</v>
      </c>
      <c r="F29650">
        <v>1022</v>
      </c>
    </row>
    <row r="29651" spans="1:6" ht="12.75">
      <c r="A29651" s="2">
        <v>43875.569490740745</v>
      </c>
      <c r="B29651" t="str">
        <f>HYPERLINK("https://twitter.com/jessicaasinaga","@jessicaasinaga")</f>
        <v>@jessicaasinaga</v>
      </c>
      <c r="C29651" t="s">
        <v>9666</v>
      </c>
      <c r="D29651">
        <v>4</v>
      </c>
      <c r="E29651">
        <v>0</v>
      </c>
      <c r="F29651">
        <v>635</v>
      </c>
    </row>
    <row r="29652" spans="1:6" ht="12.75">
      <c r="A29652" s="2">
        <v>43875.569479166668</v>
      </c>
      <c r="B29652" t="str">
        <f>HYPERLINK("https://twitter.com/Maadanik","@Maadanik")</f>
        <v>@Maadanik</v>
      </c>
      <c r="C29652" t="s">
        <v>10196</v>
      </c>
      <c r="D29652">
        <v>141</v>
      </c>
      <c r="E29652">
        <v>0</v>
      </c>
      <c r="F29652">
        <v>6</v>
      </c>
    </row>
    <row r="29653" spans="1:6" ht="12.75">
      <c r="A29653" s="2">
        <v>43875.569479166668</v>
      </c>
      <c r="B29653" t="str">
        <f>HYPERLINK("https://twitter.com/forddyce92","@forddyce92")</f>
        <v>@forddyce92</v>
      </c>
      <c r="C29653" t="s">
        <v>12773</v>
      </c>
      <c r="D29653">
        <v>0</v>
      </c>
      <c r="E29653">
        <v>0</v>
      </c>
      <c r="F29653">
        <v>24</v>
      </c>
    </row>
    <row r="29654" spans="1:6" ht="12.75">
      <c r="A29654" s="2">
        <v>43875.569467592592</v>
      </c>
      <c r="B29654" t="str">
        <f>HYPERLINK("https://twitter.com/eja1_","@eja1_")</f>
        <v>@eja1_</v>
      </c>
      <c r="C29654" t="s">
        <v>2444</v>
      </c>
      <c r="D29654">
        <v>1054</v>
      </c>
      <c r="E29654">
        <v>0</v>
      </c>
      <c r="F29654">
        <v>40</v>
      </c>
    </row>
    <row r="29655" spans="1:6" ht="12.75">
      <c r="A29655" s="2">
        <v>43875.569444444445</v>
      </c>
      <c r="B29655" t="str">
        <f>HYPERLINK("https://twitter.com/BILLYSEVEN71","@BILLYSEVEN71")</f>
        <v>@BILLYSEVEN71</v>
      </c>
      <c r="C29655" t="s">
        <v>10422</v>
      </c>
      <c r="D29655">
        <v>83</v>
      </c>
      <c r="E29655">
        <v>0</v>
      </c>
      <c r="F29655">
        <v>1054</v>
      </c>
    </row>
    <row r="29656" spans="1:6" ht="12.75">
      <c r="A29656" s="2">
        <v>43875.569432870368</v>
      </c>
      <c r="B29656" t="str">
        <f>HYPERLINK("https://twitter.com/sinyovandlahom","@sinyovandlahom")</f>
        <v>@sinyovandlahom</v>
      </c>
      <c r="C29656" t="s">
        <v>5168</v>
      </c>
      <c r="D29656">
        <v>644</v>
      </c>
      <c r="E29656">
        <v>0</v>
      </c>
      <c r="F29656">
        <v>1282</v>
      </c>
    </row>
    <row r="29657" spans="1:6" ht="12.75">
      <c r="A29657" s="2">
        <v>43875.569386574076</v>
      </c>
      <c r="B29657" t="str">
        <f>HYPERLINK("https://twitter.com/AsgharAyie","@AsgharAyie")</f>
        <v>@AsgharAyie</v>
      </c>
      <c r="C29657" t="s">
        <v>12774</v>
      </c>
      <c r="D29657">
        <v>0</v>
      </c>
      <c r="E29657">
        <v>0</v>
      </c>
      <c r="F29657">
        <v>142</v>
      </c>
    </row>
    <row r="29658" spans="1:6" ht="12.75">
      <c r="A29658" s="2">
        <v>43875.569363425922</v>
      </c>
      <c r="B29658" t="str">
        <f>HYPERLINK("https://twitter.com/yudi682","@yudi682")</f>
        <v>@yudi682</v>
      </c>
      <c r="C29658" t="s">
        <v>11778</v>
      </c>
      <c r="D29658">
        <v>14</v>
      </c>
      <c r="E29658">
        <v>0</v>
      </c>
      <c r="F29658">
        <v>259</v>
      </c>
    </row>
    <row r="29659" spans="1:6" ht="12.75">
      <c r="A29659" s="2">
        <v>43875.569293981476</v>
      </c>
      <c r="B29659" t="str">
        <f>HYPERLINK("https://twitter.com/indiestofficial","@indiestofficial")</f>
        <v>@indiestofficial</v>
      </c>
      <c r="C29659" t="s">
        <v>2444</v>
      </c>
      <c r="D29659">
        <v>1054</v>
      </c>
      <c r="E29659">
        <v>0</v>
      </c>
      <c r="F29659">
        <v>86</v>
      </c>
    </row>
    <row r="29660" spans="1:6" ht="12.75">
      <c r="A29660" s="2">
        <v>43875.569282407407</v>
      </c>
      <c r="B29660" t="str">
        <f>HYPERLINK("https://twitter.com/markipret","@markipret")</f>
        <v>@markipret</v>
      </c>
      <c r="C29660" t="s">
        <v>12775</v>
      </c>
      <c r="D29660">
        <v>0</v>
      </c>
      <c r="E29660">
        <v>0</v>
      </c>
      <c r="F29660">
        <v>512</v>
      </c>
    </row>
    <row r="29661" spans="1:6" ht="12.75">
      <c r="A29661" s="2">
        <v>43875.569282407407</v>
      </c>
      <c r="B29661" t="str">
        <f>HYPERLINK("https://twitter.com/RizalSaenong","@RizalSaenong")</f>
        <v>@RizalSaenong</v>
      </c>
      <c r="C29661" t="s">
        <v>9113</v>
      </c>
      <c r="D29661">
        <v>289</v>
      </c>
      <c r="E29661">
        <v>0</v>
      </c>
      <c r="F29661">
        <v>639</v>
      </c>
    </row>
    <row r="29662" spans="1:6" ht="12.75">
      <c r="A29662" s="2">
        <v>43875.56925925926</v>
      </c>
      <c r="B29662" t="str">
        <f>HYPERLINK("https://twitter.com/2dibukaB","@2dibukaB")</f>
        <v>@2dibukaB</v>
      </c>
      <c r="C29662" t="s">
        <v>9746</v>
      </c>
      <c r="D29662">
        <v>135</v>
      </c>
      <c r="E29662">
        <v>0</v>
      </c>
      <c r="F29662">
        <v>1534</v>
      </c>
    </row>
    <row r="29663" spans="1:6" ht="12.75">
      <c r="A29663" s="2">
        <v>43875.569236111114</v>
      </c>
      <c r="B29663" t="str">
        <f>HYPERLINK("https://twitter.com/liffinn","@liffinn")</f>
        <v>@liffinn</v>
      </c>
      <c r="C29663" t="s">
        <v>2444</v>
      </c>
      <c r="D29663">
        <v>1054</v>
      </c>
      <c r="E29663">
        <v>0</v>
      </c>
      <c r="F29663">
        <v>44</v>
      </c>
    </row>
    <row r="29664" spans="1:6" ht="12.75">
      <c r="A29664" s="2">
        <v>43875.569224537037</v>
      </c>
      <c r="B29664" t="str">
        <f>HYPERLINK("https://twitter.com/Beritasatu","@Beritasatu")</f>
        <v>@Beritasatu</v>
      </c>
      <c r="C29664" t="s">
        <v>12776</v>
      </c>
      <c r="D29664">
        <v>0</v>
      </c>
      <c r="E29664">
        <v>0</v>
      </c>
      <c r="F29664">
        <v>613695</v>
      </c>
    </row>
    <row r="29665" spans="1:6" ht="12.75">
      <c r="A29665" s="2">
        <v>43875.569178240738</v>
      </c>
      <c r="B29665" t="str">
        <f>HYPERLINK("https://twitter.com/carseedik","@carseedik")</f>
        <v>@carseedik</v>
      </c>
      <c r="C29665" t="s">
        <v>8233</v>
      </c>
      <c r="D29665">
        <v>433</v>
      </c>
      <c r="E29665">
        <v>0</v>
      </c>
      <c r="F29665">
        <v>366</v>
      </c>
    </row>
    <row r="29666" spans="1:6" ht="12.75">
      <c r="A29666" s="2">
        <v>43875.569097222222</v>
      </c>
      <c r="B29666" t="str">
        <f>HYPERLINK("https://twitter.com/Eno_Bening","@Eno_Bening")</f>
        <v>@Eno_Bening</v>
      </c>
      <c r="C29666" t="s">
        <v>12777</v>
      </c>
      <c r="D29666">
        <v>16</v>
      </c>
      <c r="E29666">
        <v>65</v>
      </c>
      <c r="F29666">
        <v>70464</v>
      </c>
    </row>
    <row r="29667" spans="1:6" ht="12.75">
      <c r="A29667" s="2">
        <v>43875.569085648152</v>
      </c>
      <c r="B29667" t="str">
        <f>HYPERLINK("https://twitter.com/wak_ila","@wak_ila")</f>
        <v>@wak_ila</v>
      </c>
      <c r="C29667" t="s">
        <v>2444</v>
      </c>
      <c r="D29667">
        <v>1054</v>
      </c>
      <c r="E29667">
        <v>0</v>
      </c>
      <c r="F29667">
        <v>96</v>
      </c>
    </row>
    <row r="29668" spans="1:6" ht="12.75">
      <c r="A29668" s="2">
        <v>43875.569085648152</v>
      </c>
      <c r="B29668" t="str">
        <f>HYPERLINK("https://twitter.com/ossynn","@ossynn")</f>
        <v>@ossynn</v>
      </c>
      <c r="C29668" t="s">
        <v>2444</v>
      </c>
      <c r="D29668">
        <v>1054</v>
      </c>
      <c r="E29668">
        <v>0</v>
      </c>
      <c r="F29668">
        <v>145</v>
      </c>
    </row>
    <row r="29669" spans="1:6" ht="12.75">
      <c r="A29669" s="2">
        <v>43875.569074074076</v>
      </c>
      <c r="B29669" t="str">
        <f>HYPERLINK("https://twitter.com/cometculametan","@cometculametan")</f>
        <v>@cometculametan</v>
      </c>
      <c r="C29669" t="s">
        <v>2444</v>
      </c>
      <c r="D29669">
        <v>1054</v>
      </c>
      <c r="E29669">
        <v>0</v>
      </c>
      <c r="F29669">
        <v>59</v>
      </c>
    </row>
    <row r="29670" spans="1:6" ht="12.75">
      <c r="A29670" s="2">
        <v>43875.568969907406</v>
      </c>
      <c r="B29670" t="str">
        <f>HYPERLINK("https://twitter.com/IntoGeisha","@IntoGeisha")</f>
        <v>@IntoGeisha</v>
      </c>
      <c r="C29670" t="s">
        <v>2444</v>
      </c>
      <c r="D29670">
        <v>1054</v>
      </c>
      <c r="E29670">
        <v>0</v>
      </c>
      <c r="F29670">
        <v>160</v>
      </c>
    </row>
    <row r="29671" spans="1:6" ht="12.75">
      <c r="A29671" s="2">
        <v>43875.568923611107</v>
      </c>
      <c r="B29671" t="str">
        <f>HYPERLINK("https://twitter.com/ss_rynn","@ss_rynn")</f>
        <v>@ss_rynn</v>
      </c>
      <c r="C29671" t="s">
        <v>2444</v>
      </c>
      <c r="D29671">
        <v>1054</v>
      </c>
      <c r="E29671">
        <v>0</v>
      </c>
      <c r="F29671">
        <v>52</v>
      </c>
    </row>
    <row r="29672" spans="1:6" ht="12.75">
      <c r="A29672" s="2">
        <v>43875.568877314814</v>
      </c>
      <c r="B29672" t="str">
        <f>HYPERLINK("https://twitter.com/ashhndyn","@ashhndyn")</f>
        <v>@ashhndyn</v>
      </c>
      <c r="C29672" t="s">
        <v>2444</v>
      </c>
      <c r="D29672">
        <v>1054</v>
      </c>
      <c r="E29672">
        <v>0</v>
      </c>
      <c r="F29672">
        <v>133</v>
      </c>
    </row>
    <row r="29673" spans="1:6" ht="12.75">
      <c r="A29673" s="2">
        <v>43875.568854166668</v>
      </c>
      <c r="B29673" t="str">
        <f>HYPERLINK("https://twitter.com/wak_ila","@wak_ila")</f>
        <v>@wak_ila</v>
      </c>
      <c r="C29673" t="s">
        <v>11536</v>
      </c>
      <c r="D29673">
        <v>0</v>
      </c>
      <c r="E29673">
        <v>0</v>
      </c>
      <c r="F29673">
        <v>96</v>
      </c>
    </row>
    <row r="29674" spans="1:6" ht="12.75">
      <c r="A29674" s="2">
        <v>43875.568854166668</v>
      </c>
      <c r="B29674" t="str">
        <f>HYPERLINK("https://twitter.com/malaikatmuuuu","@malaikatmuuuu")</f>
        <v>@malaikatmuuuu</v>
      </c>
      <c r="C29674" t="s">
        <v>175</v>
      </c>
      <c r="D29674">
        <v>5273</v>
      </c>
      <c r="E29674">
        <v>0</v>
      </c>
      <c r="F29674">
        <v>219</v>
      </c>
    </row>
    <row r="29675" spans="1:6" ht="12.75">
      <c r="A29675" s="2">
        <v>43875.568831018521</v>
      </c>
      <c r="B29675" t="str">
        <f>HYPERLINK("https://twitter.com/yusupalimohamad","@yusupalimohamad")</f>
        <v>@yusupalimohamad</v>
      </c>
      <c r="C29675" t="s">
        <v>12778</v>
      </c>
      <c r="D29675">
        <v>0</v>
      </c>
      <c r="E29675">
        <v>2</v>
      </c>
      <c r="F29675">
        <v>30</v>
      </c>
    </row>
    <row r="29676" spans="1:6" ht="12.75">
      <c r="A29676" s="2">
        <v>43875.568784722222</v>
      </c>
      <c r="B29676" t="str">
        <f>HYPERLINK("https://twitter.com/hayoolooo","@hayoolooo")</f>
        <v>@hayoolooo</v>
      </c>
      <c r="C29676" t="s">
        <v>5168</v>
      </c>
      <c r="D29676">
        <v>644</v>
      </c>
      <c r="E29676">
        <v>0</v>
      </c>
      <c r="F29676">
        <v>1693</v>
      </c>
    </row>
    <row r="29677" spans="1:6" ht="12.75">
      <c r="A29677" s="2">
        <v>43875.568784722222</v>
      </c>
      <c r="B29677" t="str">
        <f>HYPERLINK("https://twitter.com/FerdinandHanami","@FerdinandHanami")</f>
        <v>@FerdinandHanami</v>
      </c>
      <c r="C29677" t="s">
        <v>2963</v>
      </c>
      <c r="D29677">
        <v>821</v>
      </c>
      <c r="E29677">
        <v>0</v>
      </c>
      <c r="F29677">
        <v>0</v>
      </c>
    </row>
    <row r="29678" spans="1:6" ht="12.75">
      <c r="A29678" s="2">
        <v>43875.568761574075</v>
      </c>
      <c r="B29678" t="str">
        <f>HYPERLINK("https://twitter.com/Kookie2595","@Kookie2595")</f>
        <v>@Kookie2595</v>
      </c>
      <c r="C29678" t="s">
        <v>11536</v>
      </c>
      <c r="D29678">
        <v>0</v>
      </c>
      <c r="E29678">
        <v>0</v>
      </c>
      <c r="F29678">
        <v>200</v>
      </c>
    </row>
    <row r="29679" spans="1:6" ht="12.75">
      <c r="A29679" s="2">
        <v>43875.568657407406</v>
      </c>
      <c r="B29679" t="str">
        <f>HYPERLINK("https://twitter.com/Hillwan","@Hillwan")</f>
        <v>@Hillwan</v>
      </c>
      <c r="C29679" t="s">
        <v>8233</v>
      </c>
      <c r="D29679">
        <v>433</v>
      </c>
      <c r="E29679">
        <v>0</v>
      </c>
      <c r="F29679">
        <v>177</v>
      </c>
    </row>
    <row r="29680" spans="1:6" ht="12.75">
      <c r="A29680" s="2">
        <v>43875.568657407406</v>
      </c>
      <c r="B29680" t="str">
        <f>HYPERLINK("https://twitter.com/iqbal230891","@iqbal230891")</f>
        <v>@iqbal230891</v>
      </c>
      <c r="C29680" t="s">
        <v>7478</v>
      </c>
      <c r="D29680">
        <v>61</v>
      </c>
      <c r="E29680">
        <v>0</v>
      </c>
      <c r="F29680">
        <v>178</v>
      </c>
    </row>
    <row r="29681" spans="1:6" ht="12.75">
      <c r="A29681" s="2">
        <v>43875.56858796296</v>
      </c>
      <c r="B29681" t="str">
        <f>HYPERLINK("https://twitter.com/HadiPoerbo","@HadiPoerbo")</f>
        <v>@HadiPoerbo</v>
      </c>
      <c r="C29681" t="s">
        <v>12779</v>
      </c>
      <c r="D29681">
        <v>84</v>
      </c>
      <c r="E29681">
        <v>0</v>
      </c>
      <c r="F29681">
        <v>1154</v>
      </c>
    </row>
    <row r="29682" spans="1:6" ht="12.75">
      <c r="A29682" s="2">
        <v>43875.568564814814</v>
      </c>
      <c r="B29682" t="str">
        <f>HYPERLINK("https://twitter.com/Adelina_Shn","@Adelina_Shn")</f>
        <v>@Adelina_Shn</v>
      </c>
      <c r="C29682" t="s">
        <v>2444</v>
      </c>
      <c r="D29682">
        <v>1054</v>
      </c>
      <c r="E29682">
        <v>0</v>
      </c>
      <c r="F29682">
        <v>245</v>
      </c>
    </row>
    <row r="29683" spans="1:6" ht="12.75">
      <c r="A29683" s="2">
        <v>43875.568530092598</v>
      </c>
      <c r="B29683" t="str">
        <f>HYPERLINK("https://twitter.com/ExUnik","@ExUnik")</f>
        <v>@ExUnik</v>
      </c>
      <c r="C29683" t="s">
        <v>2444</v>
      </c>
      <c r="D29683">
        <v>1054</v>
      </c>
      <c r="E29683">
        <v>0</v>
      </c>
      <c r="F29683">
        <v>363</v>
      </c>
    </row>
    <row r="29684" spans="1:6" ht="12.75">
      <c r="A29684" s="2">
        <v>43875.568530092598</v>
      </c>
      <c r="B29684" t="str">
        <f>HYPERLINK("https://twitter.com/Apriliasendu","@Apriliasendu")</f>
        <v>@Apriliasendu</v>
      </c>
      <c r="C29684" t="s">
        <v>11536</v>
      </c>
      <c r="D29684">
        <v>0</v>
      </c>
      <c r="E29684">
        <v>0</v>
      </c>
      <c r="F29684">
        <v>54</v>
      </c>
    </row>
    <row r="29685" spans="1:6" ht="12.75">
      <c r="A29685" s="2">
        <v>43875.568530092598</v>
      </c>
      <c r="B29685" t="str">
        <f>HYPERLINK("https://twitter.com/baruwari","@baruwari")</f>
        <v>@baruwari</v>
      </c>
      <c r="C29685" t="s">
        <v>2444</v>
      </c>
      <c r="D29685">
        <v>1054</v>
      </c>
      <c r="E29685">
        <v>0</v>
      </c>
      <c r="F29685">
        <v>216</v>
      </c>
    </row>
    <row r="29686" spans="1:6" ht="12.75">
      <c r="A29686" s="2">
        <v>43875.568506944444</v>
      </c>
      <c r="B29686" t="str">
        <f>HYPERLINK("https://twitter.com/fortaekoo","@fortaekoo")</f>
        <v>@fortaekoo</v>
      </c>
      <c r="C29686" t="s">
        <v>2444</v>
      </c>
      <c r="D29686">
        <v>1054</v>
      </c>
      <c r="E29686">
        <v>0</v>
      </c>
      <c r="F29686">
        <v>351</v>
      </c>
    </row>
    <row r="29687" spans="1:6" ht="12.75">
      <c r="A29687" s="2">
        <v>43875.568506944444</v>
      </c>
      <c r="B29687" t="str">
        <f>HYPERLINK("https://twitter.com/PJ101010PJM","@PJ101010PJM")</f>
        <v>@PJ101010PJM</v>
      </c>
      <c r="C29687" t="s">
        <v>2444</v>
      </c>
      <c r="D29687">
        <v>1054</v>
      </c>
      <c r="E29687">
        <v>0</v>
      </c>
      <c r="F29687">
        <v>2084</v>
      </c>
    </row>
    <row r="29688" spans="1:6" ht="12.75">
      <c r="A29688" s="2">
        <v>43875.568495370375</v>
      </c>
      <c r="B29688" t="str">
        <f>HYPERLINK("https://twitter.com/freneticday6","@freneticday6")</f>
        <v>@freneticday6</v>
      </c>
      <c r="C29688" t="s">
        <v>2444</v>
      </c>
      <c r="D29688">
        <v>1054</v>
      </c>
      <c r="E29688">
        <v>0</v>
      </c>
      <c r="F29688">
        <v>434</v>
      </c>
    </row>
    <row r="29689" spans="1:6" ht="12.75">
      <c r="A29689" s="2">
        <v>43875.568460648152</v>
      </c>
      <c r="B29689" t="str">
        <f>HYPERLINK("https://twitter.com/amalinaaxxy","@amalinaaxxy")</f>
        <v>@amalinaaxxy</v>
      </c>
      <c r="C29689" t="s">
        <v>12780</v>
      </c>
      <c r="D29689">
        <v>0</v>
      </c>
      <c r="E29689">
        <v>0</v>
      </c>
      <c r="F29689">
        <v>32</v>
      </c>
    </row>
    <row r="29690" spans="1:6" ht="12.75">
      <c r="A29690" s="2">
        <v>43875.568449074075</v>
      </c>
      <c r="B29690" t="str">
        <f>HYPERLINK("https://twitter.com/sourpatchbitj","@sourpatchbitj")</f>
        <v>@sourpatchbitj</v>
      </c>
      <c r="C29690" t="s">
        <v>10697</v>
      </c>
      <c r="D29690">
        <v>12</v>
      </c>
      <c r="E29690">
        <v>0</v>
      </c>
      <c r="F29690">
        <v>413</v>
      </c>
    </row>
    <row r="29691" spans="1:6" ht="12.75">
      <c r="A29691" s="2">
        <v>43875.568379629629</v>
      </c>
      <c r="B29691" t="str">
        <f>HYPERLINK("https://twitter.com/unaktip","@unaktip")</f>
        <v>@unaktip</v>
      </c>
      <c r="C29691" t="s">
        <v>2444</v>
      </c>
      <c r="D29691">
        <v>1054</v>
      </c>
      <c r="E29691">
        <v>0</v>
      </c>
      <c r="F29691">
        <v>241</v>
      </c>
    </row>
    <row r="29692" spans="1:6" ht="12.75">
      <c r="A29692" s="2">
        <v>43875.568379629629</v>
      </c>
      <c r="B29692" t="str">
        <f>HYPERLINK("https://twitter.com/131kee_","@131kee_")</f>
        <v>@131kee_</v>
      </c>
      <c r="C29692" t="s">
        <v>2444</v>
      </c>
      <c r="D29692">
        <v>1054</v>
      </c>
      <c r="E29692">
        <v>0</v>
      </c>
      <c r="F29692">
        <v>796</v>
      </c>
    </row>
    <row r="29693" spans="1:6" ht="12.75">
      <c r="A29693" s="2">
        <v>43875.568333333329</v>
      </c>
      <c r="B29693" t="str">
        <f>HYPERLINK("https://twitter.com/LeicesterLucu","@LeicesterLucu")</f>
        <v>@LeicesterLucu</v>
      </c>
      <c r="C29693" t="s">
        <v>12347</v>
      </c>
      <c r="D29693">
        <v>0</v>
      </c>
      <c r="E29693">
        <v>0</v>
      </c>
      <c r="F29693">
        <v>586</v>
      </c>
    </row>
    <row r="29694" spans="1:6" ht="12.75">
      <c r="A29694" s="2">
        <v>43875.568298611106</v>
      </c>
      <c r="B29694" t="str">
        <f>HYPERLINK("https://twitter.com/pssamatya","@pssamatya")</f>
        <v>@pssamatya</v>
      </c>
      <c r="C29694" t="s">
        <v>9082</v>
      </c>
      <c r="D29694">
        <v>13</v>
      </c>
      <c r="E29694">
        <v>0</v>
      </c>
      <c r="F29694">
        <v>307</v>
      </c>
    </row>
    <row r="29695" spans="1:6" ht="12.75">
      <c r="A29695" s="2">
        <v>43875.568240740744</v>
      </c>
      <c r="B29695" t="str">
        <f>HYPERLINK("https://twitter.com/CaturBambangH1","@CaturBambangH1")</f>
        <v>@CaturBambangH1</v>
      </c>
      <c r="C29695" t="s">
        <v>2444</v>
      </c>
      <c r="D29695">
        <v>1054</v>
      </c>
      <c r="E29695">
        <v>0</v>
      </c>
      <c r="F29695">
        <v>216</v>
      </c>
    </row>
    <row r="29696" spans="1:6" ht="12.75">
      <c r="A29696" s="2">
        <v>43875.568229166667</v>
      </c>
      <c r="B29696" t="str">
        <f>HYPERLINK("https://twitter.com/Hiraniyas","@Hiraniyas")</f>
        <v>@Hiraniyas</v>
      </c>
      <c r="C29696" t="s">
        <v>2444</v>
      </c>
      <c r="D29696">
        <v>1054</v>
      </c>
      <c r="E29696">
        <v>0</v>
      </c>
      <c r="F29696">
        <v>862</v>
      </c>
    </row>
    <row r="29697" spans="1:6" ht="12.75">
      <c r="A29697" s="2">
        <v>43875.568206018521</v>
      </c>
      <c r="B29697" t="str">
        <f>HYPERLINK("https://twitter.com/yudi682","@yudi682")</f>
        <v>@yudi682</v>
      </c>
      <c r="C29697" t="s">
        <v>2134</v>
      </c>
      <c r="D29697">
        <v>981</v>
      </c>
      <c r="E29697">
        <v>0</v>
      </c>
      <c r="F29697">
        <v>259</v>
      </c>
    </row>
    <row r="29698" spans="1:6" ht="12.75">
      <c r="A29698" s="2">
        <v>43875.568206018521</v>
      </c>
      <c r="B29698" t="str">
        <f>HYPERLINK("https://twitter.com/inipastihalu","@inipastihalu")</f>
        <v>@inipastihalu</v>
      </c>
      <c r="C29698" t="s">
        <v>2444</v>
      </c>
      <c r="D29698">
        <v>1054</v>
      </c>
      <c r="E29698">
        <v>0</v>
      </c>
      <c r="F29698">
        <v>80</v>
      </c>
    </row>
    <row r="29699" spans="1:6" ht="12.75">
      <c r="A29699" s="2">
        <v>43875.568206018521</v>
      </c>
      <c r="B29699" t="str">
        <f>HYPERLINK("https://twitter.com/KhusnularifinSt","@KhusnularifinSt")</f>
        <v>@KhusnularifinSt</v>
      </c>
      <c r="C29699" t="s">
        <v>9746</v>
      </c>
      <c r="D29699">
        <v>135</v>
      </c>
      <c r="E29699">
        <v>0</v>
      </c>
      <c r="F29699">
        <v>58</v>
      </c>
    </row>
    <row r="29700" spans="1:6" ht="12.75">
      <c r="A29700" s="2">
        <v>43875.568182870367</v>
      </c>
      <c r="B29700" t="str">
        <f>HYPERLINK("https://twitter.com/rintiksendumu","@rintiksendumu")</f>
        <v>@rintiksendumu</v>
      </c>
      <c r="C29700" t="s">
        <v>11536</v>
      </c>
      <c r="D29700">
        <v>0</v>
      </c>
      <c r="E29700">
        <v>0</v>
      </c>
      <c r="F29700">
        <v>59</v>
      </c>
    </row>
    <row r="29701" spans="1:6" ht="12.75">
      <c r="A29701" s="2">
        <v>43875.568159722221</v>
      </c>
      <c r="B29701" t="str">
        <f>HYPERLINK("https://twitter.com/korSusPen","@korSusPen")</f>
        <v>@korSusPen</v>
      </c>
      <c r="C29701" t="s">
        <v>2444</v>
      </c>
      <c r="D29701">
        <v>1054</v>
      </c>
      <c r="E29701">
        <v>0</v>
      </c>
      <c r="F29701">
        <v>31</v>
      </c>
    </row>
    <row r="29702" spans="1:6" ht="12.75">
      <c r="A29702" s="2">
        <v>43875.568113425921</v>
      </c>
      <c r="B29702" t="str">
        <f>HYPERLINK("https://twitter.com/emboh_weess","@emboh_weess")</f>
        <v>@emboh_weess</v>
      </c>
      <c r="C29702" t="s">
        <v>2444</v>
      </c>
      <c r="D29702">
        <v>1054</v>
      </c>
      <c r="E29702">
        <v>0</v>
      </c>
      <c r="F29702">
        <v>44</v>
      </c>
    </row>
    <row r="29703" spans="1:6" ht="12.75">
      <c r="A29703" s="2">
        <v>43875.568113425921</v>
      </c>
      <c r="B29703" t="str">
        <f>HYPERLINK("https://twitter.com/adam_adiba","@adam_adiba")</f>
        <v>@adam_adiba</v>
      </c>
      <c r="C29703" t="s">
        <v>2444</v>
      </c>
      <c r="D29703">
        <v>1054</v>
      </c>
      <c r="E29703">
        <v>0</v>
      </c>
      <c r="F29703">
        <v>16</v>
      </c>
    </row>
    <row r="29704" spans="1:6" ht="12.75">
      <c r="A29704" s="2">
        <v>43875.568078703705</v>
      </c>
      <c r="B29704" t="str">
        <f>HYPERLINK("https://twitter.com/hayati2404","@hayati2404")</f>
        <v>@hayati2404</v>
      </c>
      <c r="C29704" t="s">
        <v>2444</v>
      </c>
      <c r="D29704">
        <v>1054</v>
      </c>
      <c r="E29704">
        <v>0</v>
      </c>
      <c r="F29704">
        <v>130</v>
      </c>
    </row>
    <row r="29705" spans="1:6" ht="12.75">
      <c r="A29705" s="2">
        <v>43875.568055555559</v>
      </c>
      <c r="B29705" t="str">
        <f>HYPERLINK("https://twitter.com/koerbansoespend","@koerbansoespend")</f>
        <v>@koerbansoespend</v>
      </c>
      <c r="C29705" t="s">
        <v>2444</v>
      </c>
      <c r="D29705">
        <v>1054</v>
      </c>
      <c r="E29705">
        <v>0</v>
      </c>
      <c r="F29705">
        <v>85</v>
      </c>
    </row>
    <row r="29706" spans="1:6" ht="12.75">
      <c r="A29706" s="2">
        <v>43875.568043981482</v>
      </c>
      <c r="B29706" t="str">
        <f>HYPERLINK("https://twitter.com/BaliHanafi","@BaliHanafi")</f>
        <v>@BaliHanafi</v>
      </c>
      <c r="C29706" t="s">
        <v>2122</v>
      </c>
      <c r="D29706">
        <v>202</v>
      </c>
      <c r="E29706">
        <v>0</v>
      </c>
      <c r="F29706">
        <v>402</v>
      </c>
    </row>
    <row r="29707" spans="1:6" ht="12.75">
      <c r="A29707" s="2">
        <v>43875.568032407406</v>
      </c>
      <c r="B29707" t="str">
        <f>HYPERLINK("https://twitter.com/sweetiebityy23","@sweetiebityy23")</f>
        <v>@sweetiebityy23</v>
      </c>
      <c r="C29707" t="s">
        <v>2444</v>
      </c>
      <c r="D29707">
        <v>1054</v>
      </c>
      <c r="E29707">
        <v>0</v>
      </c>
      <c r="F29707">
        <v>629</v>
      </c>
    </row>
    <row r="29708" spans="1:6" ht="12.75">
      <c r="A29708" s="2">
        <v>43875.568009259259</v>
      </c>
      <c r="B29708" t="str">
        <f>HYPERLINK("https://twitter.com/subisaja","@subisaja")</f>
        <v>@subisaja</v>
      </c>
      <c r="C29708" t="s">
        <v>8233</v>
      </c>
      <c r="D29708">
        <v>433</v>
      </c>
      <c r="E29708">
        <v>0</v>
      </c>
      <c r="F29708">
        <v>763</v>
      </c>
    </row>
    <row r="29709" spans="1:6" ht="12.75">
      <c r="A29709" s="2">
        <v>43875.567997685182</v>
      </c>
      <c r="B29709" t="str">
        <f>HYPERLINK("https://twitter.com/quvretz","@quvretz")</f>
        <v>@quvretz</v>
      </c>
      <c r="C29709" t="s">
        <v>12781</v>
      </c>
      <c r="D29709">
        <v>0</v>
      </c>
      <c r="E29709">
        <v>0</v>
      </c>
      <c r="F29709">
        <v>106</v>
      </c>
    </row>
    <row r="29710" spans="1:6" ht="12.75">
      <c r="A29710" s="2">
        <v>43875.567974537036</v>
      </c>
      <c r="B29710" t="str">
        <f>HYPERLINK("https://twitter.com/vanleon_13","@vanleon_13")</f>
        <v>@vanleon_13</v>
      </c>
      <c r="C29710" t="s">
        <v>12782</v>
      </c>
      <c r="D29710">
        <v>24</v>
      </c>
      <c r="E29710">
        <v>0</v>
      </c>
      <c r="F29710">
        <v>26</v>
      </c>
    </row>
    <row r="29711" spans="1:6" ht="12.75">
      <c r="A29711" s="2">
        <v>43875.56795138889</v>
      </c>
      <c r="B29711" t="str">
        <f>HYPERLINK("https://twitter.com/_whalesfood","@_whalesfood")</f>
        <v>@_whalesfood</v>
      </c>
      <c r="C29711" t="s">
        <v>5168</v>
      </c>
      <c r="D29711">
        <v>644</v>
      </c>
      <c r="E29711">
        <v>0</v>
      </c>
      <c r="F29711">
        <v>201</v>
      </c>
    </row>
    <row r="29712" spans="1:6" ht="12.75">
      <c r="A29712" s="2">
        <v>43875.567939814813</v>
      </c>
      <c r="B29712" t="str">
        <f>HYPERLINK("https://twitter.com/ardhy661","@ardhy661")</f>
        <v>@ardhy661</v>
      </c>
      <c r="C29712" t="s">
        <v>12783</v>
      </c>
      <c r="D29712">
        <v>0</v>
      </c>
      <c r="E29712">
        <v>1</v>
      </c>
      <c r="F29712">
        <v>4</v>
      </c>
    </row>
    <row r="29713" spans="1:6" ht="12.75">
      <c r="A29713" s="2">
        <v>43875.567916666667</v>
      </c>
      <c r="B29713" t="str">
        <f>HYPERLINK("https://twitter.com/deyeolmon","@deyeolmon")</f>
        <v>@deyeolmon</v>
      </c>
      <c r="C29713" t="s">
        <v>10697</v>
      </c>
      <c r="D29713">
        <v>12</v>
      </c>
      <c r="E29713">
        <v>0</v>
      </c>
      <c r="F29713">
        <v>629</v>
      </c>
    </row>
    <row r="29714" spans="1:6" ht="12.75">
      <c r="A29714" s="2">
        <v>43875.567905092597</v>
      </c>
      <c r="B29714" t="str">
        <f>HYPERLINK("https://twitter.com/mujur_bae","@mujur_bae")</f>
        <v>@mujur_bae</v>
      </c>
      <c r="C29714" t="s">
        <v>2444</v>
      </c>
      <c r="D29714">
        <v>1054</v>
      </c>
      <c r="E29714">
        <v>0</v>
      </c>
      <c r="F29714">
        <v>441</v>
      </c>
    </row>
    <row r="29715" spans="1:6" ht="12.75">
      <c r="A29715" s="2">
        <v>43875.567835648151</v>
      </c>
      <c r="B29715" t="str">
        <f>HYPERLINK("https://twitter.com/Mizkatri","@Mizkatri")</f>
        <v>@Mizkatri</v>
      </c>
      <c r="C29715" t="s">
        <v>2444</v>
      </c>
      <c r="D29715">
        <v>1054</v>
      </c>
      <c r="E29715">
        <v>0</v>
      </c>
      <c r="F29715">
        <v>142</v>
      </c>
    </row>
    <row r="29716" spans="1:6" ht="12.75">
      <c r="A29716" s="2">
        <v>43875.567824074074</v>
      </c>
      <c r="B29716" t="str">
        <f>HYPERLINK("https://twitter.com/imanhidayat1280","@imanhidayat1280")</f>
        <v>@imanhidayat1280</v>
      </c>
      <c r="C29716" t="s">
        <v>10032</v>
      </c>
      <c r="D29716">
        <v>37</v>
      </c>
      <c r="E29716">
        <v>0</v>
      </c>
      <c r="F29716">
        <v>596</v>
      </c>
    </row>
    <row r="29717" spans="1:6" ht="12.75">
      <c r="A29717" s="2">
        <v>43875.567824074074</v>
      </c>
      <c r="B29717" t="str">
        <f>HYPERLINK("https://twitter.com/rizalsannyH","@rizalsannyH")</f>
        <v>@rizalsannyH</v>
      </c>
      <c r="C29717" t="s">
        <v>2444</v>
      </c>
      <c r="D29717">
        <v>1054</v>
      </c>
      <c r="E29717">
        <v>0</v>
      </c>
      <c r="F29717">
        <v>280</v>
      </c>
    </row>
    <row r="29718" spans="1:6" ht="12.75">
      <c r="A29718" s="2">
        <v>43875.567777777775</v>
      </c>
      <c r="B29718" t="str">
        <f>HYPERLINK("https://twitter.com/barikangkang","@barikangkang")</f>
        <v>@barikangkang</v>
      </c>
      <c r="C29718" t="s">
        <v>10697</v>
      </c>
      <c r="D29718">
        <v>12</v>
      </c>
      <c r="E29718">
        <v>0</v>
      </c>
      <c r="F29718">
        <v>305</v>
      </c>
    </row>
    <row r="29719" spans="1:6" ht="12.75">
      <c r="A29719" s="2">
        <v>43875.567754629628</v>
      </c>
      <c r="B29719" t="str">
        <f>HYPERLINK("https://twitter.com/Yzkj56","@Yzkj56")</f>
        <v>@Yzkj56</v>
      </c>
      <c r="C29719" t="s">
        <v>2444</v>
      </c>
      <c r="D29719">
        <v>1054</v>
      </c>
      <c r="E29719">
        <v>0</v>
      </c>
      <c r="F29719">
        <v>38</v>
      </c>
    </row>
    <row r="29720" spans="1:6" ht="12.75">
      <c r="A29720" s="2">
        <v>43875.567743055552</v>
      </c>
      <c r="B29720" t="str">
        <f>HYPERLINK("https://twitter.com/jmzacharias","@jmzacharias")</f>
        <v>@jmzacharias</v>
      </c>
      <c r="C29720" t="s">
        <v>5168</v>
      </c>
      <c r="D29720">
        <v>644</v>
      </c>
      <c r="E29720">
        <v>0</v>
      </c>
      <c r="F29720">
        <v>654</v>
      </c>
    </row>
    <row r="29721" spans="1:6" ht="12.75">
      <c r="A29721" s="2">
        <v>43875.567731481482</v>
      </c>
      <c r="B29721" t="str">
        <f>HYPERLINK("https://twitter.com/vnriskaa","@vnriskaa")</f>
        <v>@vnriskaa</v>
      </c>
      <c r="C29721" t="s">
        <v>2444</v>
      </c>
      <c r="D29721">
        <v>1054</v>
      </c>
      <c r="E29721">
        <v>0</v>
      </c>
      <c r="F29721">
        <v>116</v>
      </c>
    </row>
    <row r="29722" spans="1:6" ht="12.75">
      <c r="A29722" s="2">
        <v>43875.567708333328</v>
      </c>
      <c r="B29722" t="str">
        <f>HYPERLINK("https://twitter.com/antipolitisibsk","@antipolitisibsk")</f>
        <v>@antipolitisibsk</v>
      </c>
      <c r="C29722" t="s">
        <v>12784</v>
      </c>
      <c r="D29722">
        <v>0</v>
      </c>
      <c r="E29722">
        <v>0</v>
      </c>
      <c r="F29722">
        <v>45</v>
      </c>
    </row>
    <row r="29723" spans="1:6" ht="12.75">
      <c r="A29723" s="2">
        <v>43875.567708333328</v>
      </c>
      <c r="B29723" t="str">
        <f>HYPERLINK("https://twitter.com/JoKerR_nN","@JoKerR_nN")</f>
        <v>@JoKerR_nN</v>
      </c>
      <c r="C29723" t="s">
        <v>2963</v>
      </c>
      <c r="D29723">
        <v>821</v>
      </c>
      <c r="E29723">
        <v>0</v>
      </c>
      <c r="F29723">
        <v>714</v>
      </c>
    </row>
    <row r="29724" spans="1:6" ht="12.75">
      <c r="A29724" s="2">
        <v>43875.567662037036</v>
      </c>
      <c r="B29724" t="str">
        <f>HYPERLINK("https://twitter.com/SenjaLestari16","@SenjaLestari16")</f>
        <v>@SenjaLestari16</v>
      </c>
      <c r="C29724" t="s">
        <v>11536</v>
      </c>
      <c r="D29724">
        <v>0</v>
      </c>
      <c r="E29724">
        <v>0</v>
      </c>
      <c r="F29724">
        <v>102</v>
      </c>
    </row>
    <row r="29725" spans="1:6" ht="12.75">
      <c r="A29725" s="2">
        <v>43875.567650462966</v>
      </c>
      <c r="B29725" t="str">
        <f>HYPERLINK("https://twitter.com/NinoGitar","@NinoGitar")</f>
        <v>@NinoGitar</v>
      </c>
      <c r="C29725" t="s">
        <v>7478</v>
      </c>
      <c r="D29725">
        <v>61</v>
      </c>
      <c r="E29725">
        <v>0</v>
      </c>
      <c r="F29725">
        <v>95</v>
      </c>
    </row>
    <row r="29726" spans="1:6" ht="12.75">
      <c r="A29726" s="2">
        <v>43875.567650462966</v>
      </c>
      <c r="B29726" t="str">
        <f>HYPERLINK("https://twitter.com/NegriMerahPutih","@NegriMerahPutih")</f>
        <v>@NegriMerahPutih</v>
      </c>
      <c r="C29726" t="s">
        <v>7478</v>
      </c>
      <c r="D29726">
        <v>61</v>
      </c>
      <c r="E29726">
        <v>0</v>
      </c>
      <c r="F29726">
        <v>1208</v>
      </c>
    </row>
    <row r="29727" spans="1:6" ht="12.75">
      <c r="A29727" s="2">
        <v>43875.56763888889</v>
      </c>
      <c r="B29727" t="str">
        <f>HYPERLINK("https://twitter.com/Aden_GD","@Aden_GD")</f>
        <v>@Aden_GD</v>
      </c>
      <c r="C29727" t="s">
        <v>2444</v>
      </c>
      <c r="D29727">
        <v>1054</v>
      </c>
      <c r="E29727">
        <v>0</v>
      </c>
      <c r="F29727">
        <v>172</v>
      </c>
    </row>
    <row r="29728" spans="1:6" ht="12.75">
      <c r="A29728" s="2">
        <v>43875.567557870367</v>
      </c>
      <c r="B29728" t="str">
        <f>HYPERLINK("https://twitter.com/riricomelz","@riricomelz")</f>
        <v>@riricomelz</v>
      </c>
      <c r="C29728" t="s">
        <v>2444</v>
      </c>
      <c r="D29728">
        <v>1054</v>
      </c>
      <c r="E29728">
        <v>0</v>
      </c>
      <c r="F29728">
        <v>60</v>
      </c>
    </row>
    <row r="29729" spans="1:6" ht="12.75">
      <c r="A29729" s="2">
        <v>43875.567557870367</v>
      </c>
      <c r="B29729" t="str">
        <f>HYPERLINK("https://twitter.com/NyuwunSayangmu","@NyuwunSayangmu")</f>
        <v>@NyuwunSayangmu</v>
      </c>
      <c r="C29729" t="s">
        <v>12347</v>
      </c>
      <c r="D29729">
        <v>0</v>
      </c>
      <c r="E29729">
        <v>0</v>
      </c>
      <c r="F29729">
        <v>169</v>
      </c>
    </row>
    <row r="29730" spans="1:6" ht="12.75">
      <c r="A29730" s="2">
        <v>43875.567557870367</v>
      </c>
      <c r="B29730" t="str">
        <f>HYPERLINK("https://twitter.com/wni_jmsri","@wni_jmsri")</f>
        <v>@wni_jmsri</v>
      </c>
      <c r="C29730" t="s">
        <v>12785</v>
      </c>
      <c r="D29730">
        <v>18427</v>
      </c>
      <c r="E29730">
        <v>0</v>
      </c>
      <c r="F29730">
        <v>195</v>
      </c>
    </row>
    <row r="29731" spans="1:6" ht="12.75">
      <c r="A29731" s="2">
        <v>43875.567500000005</v>
      </c>
      <c r="B29731" t="str">
        <f>HYPERLINK("https://twitter.com/apuyman1","@apuyman1")</f>
        <v>@apuyman1</v>
      </c>
      <c r="C29731" t="s">
        <v>7478</v>
      </c>
      <c r="D29731">
        <v>61</v>
      </c>
      <c r="E29731">
        <v>0</v>
      </c>
      <c r="F29731">
        <v>596</v>
      </c>
    </row>
    <row r="29732" spans="1:6" ht="12.75">
      <c r="A29732" s="2">
        <v>43875.567488425921</v>
      </c>
      <c r="B29732" t="str">
        <f>HYPERLINK("https://twitter.com/rhyzonda","@rhyzonda")</f>
        <v>@rhyzonda</v>
      </c>
      <c r="C29732" t="s">
        <v>2444</v>
      </c>
      <c r="D29732">
        <v>1054</v>
      </c>
      <c r="E29732">
        <v>0</v>
      </c>
      <c r="F29732">
        <v>4795</v>
      </c>
    </row>
    <row r="29733" spans="1:6" ht="12.75">
      <c r="A29733" s="2">
        <v>43875.567453703705</v>
      </c>
      <c r="B29733" t="str">
        <f>HYPERLINK("https://twitter.com/Bocahk3mplung","@Bocahk3mplung")</f>
        <v>@Bocahk3mplung</v>
      </c>
      <c r="C29733" t="s">
        <v>2444</v>
      </c>
      <c r="D29733">
        <v>1054</v>
      </c>
      <c r="E29733">
        <v>0</v>
      </c>
      <c r="F29733">
        <v>21</v>
      </c>
    </row>
    <row r="29734" spans="1:6" ht="12.75">
      <c r="A29734" s="2">
        <v>43875.567407407405</v>
      </c>
      <c r="B29734" t="str">
        <f>HYPERLINK("https://twitter.com/SIntianto","@SIntianto")</f>
        <v>@SIntianto</v>
      </c>
      <c r="C29734" t="s">
        <v>175</v>
      </c>
      <c r="D29734">
        <v>5273</v>
      </c>
      <c r="E29734">
        <v>0</v>
      </c>
      <c r="F29734">
        <v>2623</v>
      </c>
    </row>
    <row r="29735" spans="1:6" ht="12.75">
      <c r="A29735" s="2">
        <v>43875.567395833335</v>
      </c>
      <c r="B29735" t="str">
        <f>HYPERLINK("https://twitter.com/caffulet","@caffulet")</f>
        <v>@caffulet</v>
      </c>
      <c r="C29735" t="s">
        <v>2444</v>
      </c>
      <c r="D29735">
        <v>1054</v>
      </c>
      <c r="E29735">
        <v>0</v>
      </c>
      <c r="F29735">
        <v>240</v>
      </c>
    </row>
    <row r="29736" spans="1:6" ht="12.75">
      <c r="A29736" s="2">
        <v>43875.567384259259</v>
      </c>
      <c r="B29736" t="str">
        <f>HYPERLINK("https://twitter.com/Nia56553920","@Nia56553920")</f>
        <v>@Nia56553920</v>
      </c>
      <c r="C29736" t="s">
        <v>2444</v>
      </c>
      <c r="D29736">
        <v>1054</v>
      </c>
      <c r="E29736">
        <v>0</v>
      </c>
      <c r="F29736">
        <v>22</v>
      </c>
    </row>
    <row r="29737" spans="1:6" ht="12.75">
      <c r="A29737" s="2">
        <v>43875.567326388889</v>
      </c>
      <c r="B29737" t="str">
        <f>HYPERLINK("https://twitter.com/LarasRaitei","@LarasRaitei")</f>
        <v>@LarasRaitei</v>
      </c>
      <c r="C29737" t="s">
        <v>12786</v>
      </c>
      <c r="D29737">
        <v>0</v>
      </c>
      <c r="E29737">
        <v>0</v>
      </c>
      <c r="F29737">
        <v>182</v>
      </c>
    </row>
    <row r="29738" spans="1:6" ht="12.75">
      <c r="A29738" s="2">
        <v>43875.567326388889</v>
      </c>
      <c r="B29738" t="str">
        <f>HYPERLINK("https://twitter.com/mediaindonesia","@mediaindonesia")</f>
        <v>@mediaindonesia</v>
      </c>
      <c r="C29738" t="s">
        <v>12787</v>
      </c>
      <c r="D29738">
        <v>0</v>
      </c>
      <c r="E29738">
        <v>1</v>
      </c>
      <c r="F29738">
        <v>1415731</v>
      </c>
    </row>
    <row r="29739" spans="1:6" ht="12.75">
      <c r="A29739" s="2">
        <v>43875.56731481482</v>
      </c>
      <c r="B29739" t="str">
        <f>HYPERLINK("https://twitter.com/FauzanAlFayedi","@FauzanAlFayedi")</f>
        <v>@FauzanAlFayedi</v>
      </c>
      <c r="C29739" t="s">
        <v>5168</v>
      </c>
      <c r="D29739">
        <v>644</v>
      </c>
      <c r="E29739">
        <v>0</v>
      </c>
      <c r="F29739">
        <v>92</v>
      </c>
    </row>
    <row r="29740" spans="1:6" ht="12.75">
      <c r="A29740" s="2">
        <v>43875.567291666666</v>
      </c>
      <c r="B29740" t="str">
        <f>HYPERLINK("https://twitter.com/ossynn","@ossynn")</f>
        <v>@ossynn</v>
      </c>
      <c r="C29740" t="s">
        <v>12347</v>
      </c>
      <c r="D29740">
        <v>0</v>
      </c>
      <c r="E29740">
        <v>0</v>
      </c>
      <c r="F29740">
        <v>145</v>
      </c>
    </row>
    <row r="29741" spans="1:6" ht="12.75">
      <c r="A29741" s="2">
        <v>43875.567245370374</v>
      </c>
      <c r="B29741" t="str">
        <f>HYPERLINK("https://twitter.com/NyuwunSayangmu","@NyuwunSayangmu")</f>
        <v>@NyuwunSayangmu</v>
      </c>
      <c r="C29741" t="s">
        <v>11536</v>
      </c>
      <c r="D29741">
        <v>0</v>
      </c>
      <c r="E29741">
        <v>0</v>
      </c>
      <c r="F29741">
        <v>169</v>
      </c>
    </row>
    <row r="29742" spans="1:6" ht="12.75">
      <c r="A29742" s="2">
        <v>43875.56722222222</v>
      </c>
      <c r="B29742" t="str">
        <f>HYPERLINK("https://twitter.com/emboh_weess","@emboh_weess")</f>
        <v>@emboh_weess</v>
      </c>
      <c r="C29742" t="s">
        <v>11536</v>
      </c>
      <c r="D29742">
        <v>0</v>
      </c>
      <c r="E29742">
        <v>0</v>
      </c>
      <c r="F29742">
        <v>44</v>
      </c>
    </row>
    <row r="29743" spans="1:6" ht="12.75">
      <c r="A29743" s="2">
        <v>43875.56722222222</v>
      </c>
      <c r="B29743" t="str">
        <f>HYPERLINK("https://twitter.com/myflipflop_id","@myflipflop_id")</f>
        <v>@myflipflop_id</v>
      </c>
      <c r="C29743" t="s">
        <v>2444</v>
      </c>
      <c r="D29743">
        <v>1054</v>
      </c>
      <c r="E29743">
        <v>0</v>
      </c>
      <c r="F29743">
        <v>75</v>
      </c>
    </row>
    <row r="29744" spans="1:6" ht="12.75">
      <c r="A29744" s="2">
        <v>43875.567118055551</v>
      </c>
      <c r="B29744" t="str">
        <f>HYPERLINK("https://twitter.com/masalalumuuu","@masalalumuuu")</f>
        <v>@masalalumuuu</v>
      </c>
      <c r="C29744" t="s">
        <v>2444</v>
      </c>
      <c r="D29744">
        <v>1054</v>
      </c>
      <c r="E29744">
        <v>0</v>
      </c>
      <c r="F29744">
        <v>19</v>
      </c>
    </row>
    <row r="29745" spans="1:6" ht="12.75">
      <c r="A29745" s="2">
        <v>43875.567083333328</v>
      </c>
      <c r="B29745" t="str">
        <f>HYPERLINK("https://twitter.com/ichaasyh_","@ichaasyh_")</f>
        <v>@ichaasyh_</v>
      </c>
      <c r="C29745" t="s">
        <v>5168</v>
      </c>
      <c r="D29745">
        <v>644</v>
      </c>
      <c r="E29745">
        <v>0</v>
      </c>
      <c r="F29745">
        <v>417</v>
      </c>
    </row>
    <row r="29746" spans="1:6" ht="12.75">
      <c r="A29746" s="2">
        <v>43875.567071759258</v>
      </c>
      <c r="B29746" t="str">
        <f>HYPERLINK("https://twitter.com/PapoKikok","@PapoKikok")</f>
        <v>@PapoKikok</v>
      </c>
      <c r="C29746" t="s">
        <v>12788</v>
      </c>
      <c r="D29746">
        <v>0</v>
      </c>
      <c r="E29746">
        <v>0</v>
      </c>
      <c r="F29746">
        <v>94</v>
      </c>
    </row>
    <row r="29747" spans="1:6" ht="12.75">
      <c r="A29747" s="2">
        <v>43875.567060185189</v>
      </c>
      <c r="B29747" t="str">
        <f>HYPERLINK("https://twitter.com/leecindwrella","@leecindwrella")</f>
        <v>@leecindwrella</v>
      </c>
      <c r="C29747" t="s">
        <v>2444</v>
      </c>
      <c r="D29747">
        <v>1054</v>
      </c>
      <c r="E29747">
        <v>0</v>
      </c>
      <c r="F29747">
        <v>824</v>
      </c>
    </row>
    <row r="29748" spans="1:6" ht="12.75">
      <c r="A29748" s="2">
        <v>43875.567025462966</v>
      </c>
      <c r="B29748" t="str">
        <f>HYPERLINK("https://twitter.com/ayunrjh","@ayunrjh")</f>
        <v>@ayunrjh</v>
      </c>
      <c r="C29748" t="s">
        <v>12789</v>
      </c>
      <c r="D29748">
        <v>0</v>
      </c>
      <c r="E29748">
        <v>6</v>
      </c>
      <c r="F29748">
        <v>1885</v>
      </c>
    </row>
    <row r="29749" spans="1:6" ht="12.75">
      <c r="A29749" s="2">
        <v>43875.566909722227</v>
      </c>
      <c r="B29749" t="str">
        <f>HYPERLINK("https://twitter.com/Rani_SRYN","@Rani_SRYN")</f>
        <v>@Rani_SRYN</v>
      </c>
      <c r="C29749" t="s">
        <v>2963</v>
      </c>
      <c r="D29749">
        <v>821</v>
      </c>
      <c r="E29749">
        <v>0</v>
      </c>
      <c r="F29749">
        <v>1090</v>
      </c>
    </row>
    <row r="29750" spans="1:6" ht="12.75">
      <c r="A29750" s="2">
        <v>43875.566886574074</v>
      </c>
      <c r="B29750" t="str">
        <f>HYPERLINK("https://twitter.com/_MightyFinger","@_MightyFinger")</f>
        <v>@_MightyFinger</v>
      </c>
      <c r="C29750" t="s">
        <v>2444</v>
      </c>
      <c r="D29750">
        <v>1054</v>
      </c>
      <c r="E29750">
        <v>0</v>
      </c>
      <c r="F29750">
        <v>143</v>
      </c>
    </row>
    <row r="29751" spans="1:6" ht="12.75">
      <c r="A29751" s="2">
        <v>43875.566828703704</v>
      </c>
      <c r="B29751" t="str">
        <f>HYPERLINK("https://twitter.com/fans6690","@fans6690")</f>
        <v>@fans6690</v>
      </c>
      <c r="C29751" t="s">
        <v>2444</v>
      </c>
      <c r="D29751">
        <v>1054</v>
      </c>
      <c r="E29751">
        <v>0</v>
      </c>
      <c r="F29751">
        <v>87</v>
      </c>
    </row>
    <row r="29752" spans="1:6" ht="12.75">
      <c r="A29752" s="2">
        <v>43875.566805555558</v>
      </c>
      <c r="B29752" t="str">
        <f>HYPERLINK("https://twitter.com/bikincanduloh","@bikincanduloh")</f>
        <v>@bikincanduloh</v>
      </c>
      <c r="C29752" t="s">
        <v>2444</v>
      </c>
      <c r="D29752">
        <v>1054</v>
      </c>
      <c r="E29752">
        <v>0</v>
      </c>
      <c r="F29752">
        <v>95</v>
      </c>
    </row>
    <row r="29753" spans="1:6" ht="12.75">
      <c r="A29753" s="2">
        <v>43875.566805555558</v>
      </c>
      <c r="B29753" t="str">
        <f>HYPERLINK("https://twitter.com/Dafindana","@Dafindana")</f>
        <v>@Dafindana</v>
      </c>
      <c r="C29753" t="s">
        <v>12790</v>
      </c>
      <c r="D29753">
        <v>0</v>
      </c>
      <c r="E29753">
        <v>0</v>
      </c>
      <c r="F29753">
        <v>1180</v>
      </c>
    </row>
    <row r="29754" spans="1:6" ht="12.75">
      <c r="A29754" s="2">
        <v>43875.566793981481</v>
      </c>
      <c r="B29754" t="str">
        <f>HYPERLINK("https://twitter.com/04_prieslo","@04_prieslo")</f>
        <v>@04_prieslo</v>
      </c>
      <c r="C29754" t="s">
        <v>12745</v>
      </c>
      <c r="D29754">
        <v>3</v>
      </c>
      <c r="E29754">
        <v>0</v>
      </c>
      <c r="F29754">
        <v>1169</v>
      </c>
    </row>
    <row r="29755" spans="1:6" ht="12.75">
      <c r="A29755" s="2">
        <v>43875.566724537042</v>
      </c>
      <c r="B29755" t="str">
        <f>HYPERLINK("https://twitter.com/burnedtoaxt","@burnedtoaxt")</f>
        <v>@burnedtoaxt</v>
      </c>
      <c r="C29755" t="s">
        <v>2444</v>
      </c>
      <c r="D29755">
        <v>1054</v>
      </c>
      <c r="E29755">
        <v>0</v>
      </c>
      <c r="F29755">
        <v>568</v>
      </c>
    </row>
    <row r="29756" spans="1:6" ht="12.75">
      <c r="A29756" s="2">
        <v>43875.566701388889</v>
      </c>
      <c r="B29756" t="str">
        <f>HYPERLINK("https://twitter.com/Anaslamet","@Anaslamet")</f>
        <v>@Anaslamet</v>
      </c>
      <c r="C29756" t="s">
        <v>8233</v>
      </c>
      <c r="D29756">
        <v>433</v>
      </c>
      <c r="E29756">
        <v>0</v>
      </c>
      <c r="F29756">
        <v>8</v>
      </c>
    </row>
    <row r="29757" spans="1:6" ht="12.75">
      <c r="A29757" s="2">
        <v>43875.566701388889</v>
      </c>
      <c r="B29757" t="str">
        <f>HYPERLINK("https://twitter.com/SurSur07","@SurSur07")</f>
        <v>@SurSur07</v>
      </c>
      <c r="C29757" t="s">
        <v>2444</v>
      </c>
      <c r="D29757">
        <v>1054</v>
      </c>
      <c r="E29757">
        <v>0</v>
      </c>
      <c r="F29757">
        <v>508</v>
      </c>
    </row>
    <row r="29758" spans="1:6" ht="12.75">
      <c r="A29758" s="2">
        <v>43875.566701388889</v>
      </c>
      <c r="B29758" t="str">
        <f>HYPERLINK("https://twitter.com/frusinatebhoy","@frusinatebhoy")</f>
        <v>@frusinatebhoy</v>
      </c>
      <c r="C29758" t="s">
        <v>9082</v>
      </c>
      <c r="D29758">
        <v>13</v>
      </c>
      <c r="E29758">
        <v>0</v>
      </c>
      <c r="F29758">
        <v>1954</v>
      </c>
    </row>
    <row r="29759" spans="1:6" ht="12.75">
      <c r="A29759" s="2">
        <v>43875.566678240742</v>
      </c>
      <c r="B29759" t="str">
        <f>HYPERLINK("https://twitter.com/hwakmureo","@hwakmureo")</f>
        <v>@hwakmureo</v>
      </c>
      <c r="C29759" t="s">
        <v>12791</v>
      </c>
      <c r="D29759">
        <v>12</v>
      </c>
      <c r="E29759">
        <v>1</v>
      </c>
      <c r="F29759">
        <v>3350</v>
      </c>
    </row>
    <row r="29760" spans="1:6" ht="12.75">
      <c r="A29760" s="2">
        <v>43875.566655092596</v>
      </c>
      <c r="B29760" t="str">
        <f>HYPERLINK("https://twitter.com/IrwanMunir1","@IrwanMunir1")</f>
        <v>@IrwanMunir1</v>
      </c>
      <c r="C29760" t="s">
        <v>2963</v>
      </c>
      <c r="D29760">
        <v>821</v>
      </c>
      <c r="E29760">
        <v>0</v>
      </c>
      <c r="F29760">
        <v>104</v>
      </c>
    </row>
    <row r="29761" spans="1:6" ht="12.75">
      <c r="A29761" s="2">
        <v>43875.566620370373</v>
      </c>
      <c r="B29761" t="str">
        <f>HYPERLINK("https://twitter.com/rais_amat","@rais_amat")</f>
        <v>@rais_amat</v>
      </c>
      <c r="C29761" t="s">
        <v>2444</v>
      </c>
      <c r="D29761">
        <v>1054</v>
      </c>
      <c r="E29761">
        <v>0</v>
      </c>
      <c r="F29761">
        <v>151</v>
      </c>
    </row>
    <row r="29762" spans="1:6" ht="12.75">
      <c r="A29762" s="2">
        <v>43875.566608796296</v>
      </c>
      <c r="B29762" t="str">
        <f>HYPERLINK("https://twitter.com/LeicesterLucu","@LeicesterLucu")</f>
        <v>@LeicesterLucu</v>
      </c>
      <c r="C29762" t="s">
        <v>2444</v>
      </c>
      <c r="D29762">
        <v>1054</v>
      </c>
      <c r="E29762">
        <v>0</v>
      </c>
      <c r="F29762">
        <v>586</v>
      </c>
    </row>
    <row r="29763" spans="1:6" ht="12.75">
      <c r="A29763" s="2">
        <v>43875.566608796296</v>
      </c>
      <c r="B29763" t="str">
        <f>HYPERLINK("https://twitter.com/Apriliasendu","@Apriliasendu")</f>
        <v>@Apriliasendu</v>
      </c>
      <c r="C29763" t="s">
        <v>2444</v>
      </c>
      <c r="D29763">
        <v>1054</v>
      </c>
      <c r="E29763">
        <v>0</v>
      </c>
      <c r="F29763">
        <v>54</v>
      </c>
    </row>
    <row r="29764" spans="1:6" ht="12.75">
      <c r="A29764" s="2">
        <v>43875.566574074073</v>
      </c>
      <c r="B29764" t="str">
        <f>HYPERLINK("https://twitter.com/Mr____aL","@Mr____aL")</f>
        <v>@Mr____aL</v>
      </c>
      <c r="C29764" t="s">
        <v>7478</v>
      </c>
      <c r="D29764">
        <v>61</v>
      </c>
      <c r="E29764">
        <v>0</v>
      </c>
      <c r="F29764">
        <v>661</v>
      </c>
    </row>
    <row r="29765" spans="1:6" ht="12.75">
      <c r="A29765" s="2">
        <v>43875.566562499997</v>
      </c>
      <c r="B29765" t="str">
        <f>HYPERLINK("https://twitter.com/LamanKita_","@LamanKita_")</f>
        <v>@LamanKita_</v>
      </c>
      <c r="C29765" t="s">
        <v>12792</v>
      </c>
      <c r="D29765">
        <v>1</v>
      </c>
      <c r="E29765">
        <v>0</v>
      </c>
      <c r="F29765">
        <v>139618</v>
      </c>
    </row>
    <row r="29766" spans="1:6" ht="12.75">
      <c r="A29766" s="2">
        <v>43875.56653935185</v>
      </c>
      <c r="B29766" t="str">
        <f>HYPERLINK("https://twitter.com/Kar_IM_O0E","@Kar_IM_O0E")</f>
        <v>@Kar_IM_O0E</v>
      </c>
      <c r="C29766" t="s">
        <v>9082</v>
      </c>
      <c r="D29766">
        <v>13</v>
      </c>
      <c r="E29766">
        <v>0</v>
      </c>
      <c r="F29766">
        <v>879</v>
      </c>
    </row>
    <row r="29767" spans="1:6" ht="12.75">
      <c r="A29767" s="2">
        <v>43875.566527777773</v>
      </c>
      <c r="B29767" t="str">
        <f>HYPERLINK("https://twitter.com/Confused_Now_","@Confused_Now_")</f>
        <v>@Confused_Now_</v>
      </c>
      <c r="C29767" t="s">
        <v>9082</v>
      </c>
      <c r="D29767">
        <v>13</v>
      </c>
      <c r="E29767">
        <v>0</v>
      </c>
      <c r="F29767">
        <v>31</v>
      </c>
    </row>
    <row r="29768" spans="1:6" ht="12.75">
      <c r="A29768" s="2">
        <v>43875.566527777773</v>
      </c>
      <c r="B29768" t="str">
        <f>HYPERLINK("https://twitter.com/cutlunaa","@cutlunaa")</f>
        <v>@cutlunaa</v>
      </c>
      <c r="C29768" t="s">
        <v>5168</v>
      </c>
      <c r="D29768">
        <v>644</v>
      </c>
      <c r="E29768">
        <v>0</v>
      </c>
      <c r="F29768">
        <v>1250</v>
      </c>
    </row>
    <row r="29769" spans="1:6" ht="12.75">
      <c r="A29769" s="2">
        <v>43875.56649305555</v>
      </c>
      <c r="B29769" t="str">
        <f>HYPERLINK("https://twitter.com/dwoger","@dwoger")</f>
        <v>@dwoger</v>
      </c>
      <c r="C29769" t="s">
        <v>9082</v>
      </c>
      <c r="D29769">
        <v>13</v>
      </c>
      <c r="E29769">
        <v>0</v>
      </c>
      <c r="F29769">
        <v>56</v>
      </c>
    </row>
    <row r="29770" spans="1:6" ht="12.75">
      <c r="A29770" s="2">
        <v>43875.566469907411</v>
      </c>
      <c r="B29770" t="str">
        <f>HYPERLINK("https://twitter.com/BaliHanafi","@BaliHanafi")</f>
        <v>@BaliHanafi</v>
      </c>
      <c r="C29770" t="s">
        <v>12793</v>
      </c>
      <c r="D29770">
        <v>95</v>
      </c>
      <c r="E29770">
        <v>0</v>
      </c>
      <c r="F29770">
        <v>402</v>
      </c>
    </row>
    <row r="29771" spans="1:6" ht="12.75">
      <c r="A29771" s="2">
        <v>43875.566446759258</v>
      </c>
      <c r="B29771" t="str">
        <f>HYPERLINK("https://twitter.com/NyuwunSayangmu","@NyuwunSayangmu")</f>
        <v>@NyuwunSayangmu</v>
      </c>
      <c r="C29771" t="s">
        <v>2444</v>
      </c>
      <c r="D29771">
        <v>1054</v>
      </c>
      <c r="E29771">
        <v>0</v>
      </c>
      <c r="F29771">
        <v>169</v>
      </c>
    </row>
    <row r="29772" spans="1:6" ht="12.75">
      <c r="A29772" s="2">
        <v>43875.566400462965</v>
      </c>
      <c r="B29772" t="str">
        <f>HYPERLINK("https://twitter.com/rizaky_syifa","@rizaky_syifa")</f>
        <v>@rizaky_syifa</v>
      </c>
      <c r="C29772" t="s">
        <v>12180</v>
      </c>
      <c r="D29772">
        <v>27</v>
      </c>
      <c r="E29772">
        <v>0</v>
      </c>
      <c r="F29772">
        <v>24</v>
      </c>
    </row>
    <row r="29773" spans="1:6" ht="12.75">
      <c r="A29773" s="2">
        <v>43875.566388888888</v>
      </c>
      <c r="B29773" t="str">
        <f>HYPERLINK("https://twitter.com/bukansprt","@bukansprt")</f>
        <v>@bukansprt</v>
      </c>
      <c r="C29773" t="s">
        <v>2444</v>
      </c>
      <c r="D29773">
        <v>1054</v>
      </c>
      <c r="E29773">
        <v>0</v>
      </c>
      <c r="F29773">
        <v>155</v>
      </c>
    </row>
    <row r="29774" spans="1:6" ht="12.75">
      <c r="A29774" s="2">
        <v>43875.566388888888</v>
      </c>
      <c r="B29774" t="str">
        <f>HYPERLINK("https://twitter.com/Cahkuwut","@Cahkuwut")</f>
        <v>@Cahkuwut</v>
      </c>
      <c r="C29774" t="s">
        <v>12794</v>
      </c>
      <c r="D29774">
        <v>68</v>
      </c>
      <c r="E29774">
        <v>0</v>
      </c>
      <c r="F29774">
        <v>608</v>
      </c>
    </row>
    <row r="29775" spans="1:6" ht="12.75">
      <c r="A29775" s="2">
        <v>43875.566307870366</v>
      </c>
      <c r="B29775" t="str">
        <f>HYPERLINK("https://twitter.com/apelmaniss","@apelmaniss")</f>
        <v>@apelmaniss</v>
      </c>
      <c r="C29775" t="s">
        <v>2444</v>
      </c>
      <c r="D29775">
        <v>1054</v>
      </c>
      <c r="E29775">
        <v>0</v>
      </c>
      <c r="F29775">
        <v>135</v>
      </c>
    </row>
    <row r="29776" spans="1:6" ht="12.75">
      <c r="A29776" s="2">
        <v>43875.566307870366</v>
      </c>
      <c r="B29776" t="str">
        <f>HYPERLINK("https://twitter.com/BaliHanafi","@BaliHanafi")</f>
        <v>@BaliHanafi</v>
      </c>
      <c r="C29776" t="s">
        <v>10032</v>
      </c>
      <c r="D29776">
        <v>37</v>
      </c>
      <c r="E29776">
        <v>0</v>
      </c>
      <c r="F29776">
        <v>402</v>
      </c>
    </row>
    <row r="29777" spans="1:6" ht="12.75">
      <c r="A29777" s="2">
        <v>43875.566238425927</v>
      </c>
      <c r="B29777" t="str">
        <f>HYPERLINK("https://twitter.com/JansonKrisna","@JansonKrisna")</f>
        <v>@JansonKrisna</v>
      </c>
      <c r="C29777" t="s">
        <v>12044</v>
      </c>
      <c r="D29777">
        <v>52</v>
      </c>
      <c r="E29777">
        <v>0</v>
      </c>
      <c r="F29777">
        <v>0</v>
      </c>
    </row>
    <row r="29778" spans="1:6" ht="12.75">
      <c r="A29778" s="2">
        <v>43875.56622685185</v>
      </c>
      <c r="B29778" t="str">
        <f>HYPERLINK("https://twitter.com/tararaerl","@tararaerl")</f>
        <v>@tararaerl</v>
      </c>
      <c r="C29778" t="s">
        <v>2444</v>
      </c>
      <c r="D29778">
        <v>1054</v>
      </c>
      <c r="E29778">
        <v>0</v>
      </c>
      <c r="F29778">
        <v>50</v>
      </c>
    </row>
    <row r="29779" spans="1:6" ht="12.75">
      <c r="A29779" s="2">
        <v>43875.566168981481</v>
      </c>
      <c r="B29779" t="str">
        <f>HYPERLINK("https://twitter.com/ac6e31c95a15493","@ac6e31c95a15493")</f>
        <v>@ac6e31c95a15493</v>
      </c>
      <c r="C29779" t="s">
        <v>12795</v>
      </c>
      <c r="D29779">
        <v>1</v>
      </c>
      <c r="E29779">
        <v>3</v>
      </c>
      <c r="F29779">
        <v>429</v>
      </c>
    </row>
    <row r="29780" spans="1:6" ht="12.75">
      <c r="A29780" s="2">
        <v>43875.566157407404</v>
      </c>
      <c r="B29780" t="str">
        <f>HYPERLINK("https://twitter.com/jazuli_iqbal","@jazuli_iqbal")</f>
        <v>@jazuli_iqbal</v>
      </c>
      <c r="C29780" t="s">
        <v>11536</v>
      </c>
      <c r="D29780">
        <v>0</v>
      </c>
      <c r="E29780">
        <v>0</v>
      </c>
      <c r="F29780">
        <v>2487</v>
      </c>
    </row>
    <row r="29781" spans="1:6" ht="12.75">
      <c r="A29781" s="2">
        <v>43875.566145833334</v>
      </c>
      <c r="B29781" t="str">
        <f>HYPERLINK("https://twitter.com/hellveticas","@hellveticas")</f>
        <v>@hellveticas</v>
      </c>
      <c r="C29781" t="s">
        <v>2444</v>
      </c>
      <c r="D29781">
        <v>1054</v>
      </c>
      <c r="E29781">
        <v>0</v>
      </c>
      <c r="F29781">
        <v>3384</v>
      </c>
    </row>
    <row r="29782" spans="1:6" ht="12.75">
      <c r="A29782" s="2">
        <v>43875.566134259258</v>
      </c>
      <c r="B29782" t="str">
        <f>HYPERLINK("https://twitter.com/SurSur07","@SurSur07")</f>
        <v>@SurSur07</v>
      </c>
      <c r="C29782" t="s">
        <v>12796</v>
      </c>
      <c r="D29782">
        <v>0</v>
      </c>
      <c r="E29782">
        <v>0</v>
      </c>
      <c r="F29782">
        <v>508</v>
      </c>
    </row>
    <row r="29783" spans="1:6" ht="12.75">
      <c r="A29783" s="2">
        <v>43875.566087962958</v>
      </c>
      <c r="B29783" t="str">
        <f>HYPERLINK("https://twitter.com/AbuGhaGha","@AbuGhaGha")</f>
        <v>@AbuGhaGha</v>
      </c>
      <c r="C29783" t="s">
        <v>7478</v>
      </c>
      <c r="D29783">
        <v>61</v>
      </c>
      <c r="E29783">
        <v>0</v>
      </c>
      <c r="F29783">
        <v>496</v>
      </c>
    </row>
    <row r="29784" spans="1:6" ht="12.75">
      <c r="A29784" s="2">
        <v>43875.566076388888</v>
      </c>
      <c r="B29784" t="str">
        <f>HYPERLINK("https://twitter.com/kongkokongko","@kongkokongko")</f>
        <v>@kongkokongko</v>
      </c>
      <c r="C29784" t="s">
        <v>12797</v>
      </c>
      <c r="D29784">
        <v>1</v>
      </c>
      <c r="E29784">
        <v>0</v>
      </c>
      <c r="F29784">
        <v>87</v>
      </c>
    </row>
    <row r="29785" spans="1:6" ht="12.75">
      <c r="A29785" s="2">
        <v>43875.566064814819</v>
      </c>
      <c r="B29785" t="str">
        <f>HYPERLINK("https://twitter.com/WJSamudro","@WJSamudro")</f>
        <v>@WJSamudro</v>
      </c>
      <c r="C29785" t="s">
        <v>5168</v>
      </c>
      <c r="D29785">
        <v>644</v>
      </c>
      <c r="E29785">
        <v>0</v>
      </c>
      <c r="F29785">
        <v>195</v>
      </c>
    </row>
    <row r="29786" spans="1:6" ht="12.75">
      <c r="A29786" s="2">
        <v>43875.566018518519</v>
      </c>
      <c r="B29786" t="str">
        <f>HYPERLINK("https://twitter.com/harakatuna","@harakatuna")</f>
        <v>@harakatuna</v>
      </c>
      <c r="C29786" t="s">
        <v>12416</v>
      </c>
      <c r="D29786">
        <v>0</v>
      </c>
      <c r="E29786">
        <v>0</v>
      </c>
      <c r="F29786">
        <v>409</v>
      </c>
    </row>
    <row r="29787" spans="1:6" ht="12.75">
      <c r="A29787" s="2">
        <v>43875.565983796296</v>
      </c>
      <c r="B29787" t="str">
        <f>HYPERLINK("https://twitter.com/DwiNoviantoro1","@DwiNoviantoro1")</f>
        <v>@DwiNoviantoro1</v>
      </c>
      <c r="C29787" t="s">
        <v>9096</v>
      </c>
      <c r="D29787">
        <v>186</v>
      </c>
      <c r="E29787">
        <v>0</v>
      </c>
      <c r="F29787">
        <v>39</v>
      </c>
    </row>
    <row r="29788" spans="1:6" ht="12.75">
      <c r="A29788" s="2">
        <v>43875.565960648149</v>
      </c>
      <c r="B29788" t="str">
        <f>HYPERLINK("https://twitter.com/Kookie2595","@Kookie2595")</f>
        <v>@Kookie2595</v>
      </c>
      <c r="C29788" t="s">
        <v>2444</v>
      </c>
      <c r="D29788">
        <v>1054</v>
      </c>
      <c r="E29788">
        <v>0</v>
      </c>
      <c r="F29788">
        <v>200</v>
      </c>
    </row>
    <row r="29789" spans="1:6" ht="12.75">
      <c r="A29789" s="2">
        <v>43875.565925925926</v>
      </c>
      <c r="B29789" t="str">
        <f>HYPERLINK("https://twitter.com/mulaidari0lagi","@mulaidari0lagi")</f>
        <v>@mulaidari0lagi</v>
      </c>
      <c r="C29789" t="s">
        <v>2444</v>
      </c>
      <c r="D29789">
        <v>1054</v>
      </c>
      <c r="E29789">
        <v>0</v>
      </c>
      <c r="F29789">
        <v>107</v>
      </c>
    </row>
    <row r="29790" spans="1:6" ht="12.75">
      <c r="A29790" s="2">
        <v>43875.565925925926</v>
      </c>
      <c r="B29790" t="str">
        <f>HYPERLINK("https://twitter.com/hujanbadaii","@hujanbadaii")</f>
        <v>@hujanbadaii</v>
      </c>
      <c r="C29790" t="s">
        <v>2444</v>
      </c>
      <c r="D29790">
        <v>1054</v>
      </c>
      <c r="E29790">
        <v>0</v>
      </c>
      <c r="F29790">
        <v>158</v>
      </c>
    </row>
    <row r="29791" spans="1:6" ht="12.75">
      <c r="A29791" s="2">
        <v>43875.565914351857</v>
      </c>
      <c r="B29791" t="str">
        <f>HYPERLINK("https://twitter.com/pai_stroberi","@pai_stroberi")</f>
        <v>@pai_stroberi</v>
      </c>
      <c r="C29791" t="s">
        <v>2444</v>
      </c>
      <c r="D29791">
        <v>1054</v>
      </c>
      <c r="E29791">
        <v>0</v>
      </c>
      <c r="F29791">
        <v>128</v>
      </c>
    </row>
    <row r="29792" spans="1:6" ht="12.75">
      <c r="A29792" s="2">
        <v>43875.565891203703</v>
      </c>
      <c r="B29792" t="str">
        <f>HYPERLINK("https://twitter.com/ali_njajali","@ali_njajali")</f>
        <v>@ali_njajali</v>
      </c>
      <c r="C29792" t="s">
        <v>8233</v>
      </c>
      <c r="D29792">
        <v>433</v>
      </c>
      <c r="E29792">
        <v>0</v>
      </c>
      <c r="F29792">
        <v>964</v>
      </c>
    </row>
    <row r="29793" spans="1:6" ht="12.75">
      <c r="A29793" s="2">
        <v>43875.56585648148</v>
      </c>
      <c r="B29793" t="str">
        <f>HYPERLINK("https://twitter.com/csyxyhn","@csyxyhn")</f>
        <v>@csyxyhn</v>
      </c>
      <c r="C29793" t="s">
        <v>2444</v>
      </c>
      <c r="D29793">
        <v>1054</v>
      </c>
      <c r="E29793">
        <v>0</v>
      </c>
      <c r="F29793">
        <v>169</v>
      </c>
    </row>
    <row r="29794" spans="1:6" ht="12.75">
      <c r="A29794" s="2">
        <v>43875.565844907411</v>
      </c>
      <c r="B29794" t="str">
        <f>HYPERLINK("https://twitter.com/rintiksendumu","@rintiksendumu")</f>
        <v>@rintiksendumu</v>
      </c>
      <c r="C29794" t="s">
        <v>2444</v>
      </c>
      <c r="D29794">
        <v>1054</v>
      </c>
      <c r="E29794">
        <v>0</v>
      </c>
      <c r="F29794">
        <v>59</v>
      </c>
    </row>
    <row r="29795" spans="1:6" ht="12.75">
      <c r="A29795" s="2">
        <v>43875.565810185188</v>
      </c>
      <c r="B29795" t="str">
        <f>HYPERLINK("https://twitter.com/Vivas_1074","@Vivas_1074")</f>
        <v>@Vivas_1074</v>
      </c>
      <c r="C29795" t="s">
        <v>12745</v>
      </c>
      <c r="D29795">
        <v>3</v>
      </c>
      <c r="E29795">
        <v>0</v>
      </c>
      <c r="F29795">
        <v>1084</v>
      </c>
    </row>
    <row r="29796" spans="1:6" ht="12.75">
      <c r="A29796" s="2">
        <v>43875.565810185188</v>
      </c>
      <c r="B29796" t="str">
        <f>HYPERLINK("https://twitter.com/rizalnosugar","@rizalnosugar")</f>
        <v>@rizalnosugar</v>
      </c>
      <c r="C29796" t="s">
        <v>2444</v>
      </c>
      <c r="D29796">
        <v>1054</v>
      </c>
      <c r="E29796">
        <v>0</v>
      </c>
      <c r="F29796">
        <v>327</v>
      </c>
    </row>
    <row r="29797" spans="1:6" ht="12.75">
      <c r="A29797" s="2">
        <v>43875.565763888888</v>
      </c>
      <c r="B29797" t="str">
        <f>HYPERLINK("https://twitter.com/Hey_Letters","@Hey_Letters")</f>
        <v>@Hey_Letters</v>
      </c>
      <c r="C29797" t="s">
        <v>2444</v>
      </c>
      <c r="D29797">
        <v>1054</v>
      </c>
      <c r="E29797">
        <v>0</v>
      </c>
      <c r="F29797">
        <v>176</v>
      </c>
    </row>
    <row r="29798" spans="1:6" ht="12.75">
      <c r="A29798" s="2">
        <v>43875.565752314811</v>
      </c>
      <c r="B29798" t="str">
        <f>HYPERLINK("https://twitter.com/sriwud","@sriwud")</f>
        <v>@sriwud</v>
      </c>
      <c r="C29798" t="s">
        <v>2444</v>
      </c>
      <c r="D29798">
        <v>1054</v>
      </c>
      <c r="E29798">
        <v>0</v>
      </c>
      <c r="F29798">
        <v>152</v>
      </c>
    </row>
    <row r="29799" spans="1:6" ht="12.75">
      <c r="A29799" s="2">
        <v>43875.565694444449</v>
      </c>
      <c r="B29799" t="str">
        <f>HYPERLINK("https://twitter.com/_dirikoe","@_dirikoe")</f>
        <v>@_dirikoe</v>
      </c>
      <c r="C29799" t="s">
        <v>2444</v>
      </c>
      <c r="D29799">
        <v>1054</v>
      </c>
      <c r="E29799">
        <v>0</v>
      </c>
      <c r="F29799">
        <v>17</v>
      </c>
    </row>
    <row r="29800" spans="1:6" ht="12.75">
      <c r="A29800" s="2">
        <v>43875.565659722226</v>
      </c>
      <c r="B29800" t="str">
        <f>HYPERLINK("https://twitter.com/rizalnosugar","@rizalnosugar")</f>
        <v>@rizalnosugar</v>
      </c>
      <c r="C29800" t="s">
        <v>12347</v>
      </c>
      <c r="D29800">
        <v>0</v>
      </c>
      <c r="E29800">
        <v>0</v>
      </c>
      <c r="F29800">
        <v>327</v>
      </c>
    </row>
    <row r="29801" spans="1:6" ht="12.75">
      <c r="A29801" s="2">
        <v>43875.565613425926</v>
      </c>
      <c r="B29801" t="str">
        <f>HYPERLINK("https://twitter.com/JoKerR_nN","@JoKerR_nN")</f>
        <v>@JoKerR_nN</v>
      </c>
      <c r="C29801" t="s">
        <v>10032</v>
      </c>
      <c r="D29801">
        <v>37</v>
      </c>
      <c r="E29801">
        <v>0</v>
      </c>
      <c r="F29801">
        <v>714</v>
      </c>
    </row>
    <row r="29802" spans="1:6" ht="12.75">
      <c r="A29802" s="2">
        <v>43875.565578703703</v>
      </c>
      <c r="B29802" t="str">
        <f>HYPERLINK("https://twitter.com/HELLOMYLOVEYOU","@HELLOMYLOVEYOU")</f>
        <v>@HELLOMYLOVEYOU</v>
      </c>
      <c r="C29802" t="s">
        <v>12798</v>
      </c>
      <c r="D29802">
        <v>0</v>
      </c>
      <c r="E29802">
        <v>0</v>
      </c>
      <c r="F29802">
        <v>1</v>
      </c>
    </row>
    <row r="29803" spans="1:6" ht="12.75">
      <c r="A29803" s="2">
        <v>43875.565486111111</v>
      </c>
      <c r="B29803" t="str">
        <f>HYPERLINK("https://twitter.com/Lyarahma10","@Lyarahma10")</f>
        <v>@Lyarahma10</v>
      </c>
      <c r="C29803" t="s">
        <v>2444</v>
      </c>
      <c r="D29803">
        <v>1054</v>
      </c>
      <c r="E29803">
        <v>0</v>
      </c>
      <c r="F29803">
        <v>281</v>
      </c>
    </row>
    <row r="29804" spans="1:6" ht="12.75">
      <c r="A29804" s="2">
        <v>43875.565486111111</v>
      </c>
      <c r="B29804" t="str">
        <f>HYPERLINK("https://twitter.com/Masdjodi1","@Masdjodi1")</f>
        <v>@Masdjodi1</v>
      </c>
      <c r="C29804" t="s">
        <v>12799</v>
      </c>
      <c r="D29804">
        <v>0</v>
      </c>
      <c r="E29804">
        <v>0</v>
      </c>
      <c r="F29804">
        <v>685</v>
      </c>
    </row>
    <row r="29805" spans="1:6" ht="12.75">
      <c r="A29805" s="2">
        <v>43875.565439814818</v>
      </c>
      <c r="B29805" t="str">
        <f>HYPERLINK("https://twitter.com/suka2aku_","@suka2aku_")</f>
        <v>@suka2aku_</v>
      </c>
      <c r="C29805" t="s">
        <v>2444</v>
      </c>
      <c r="D29805">
        <v>1054</v>
      </c>
      <c r="E29805">
        <v>0</v>
      </c>
      <c r="F29805">
        <v>827</v>
      </c>
    </row>
    <row r="29806" spans="1:6" ht="12.75">
      <c r="A29806" s="2">
        <v>43875.565416666665</v>
      </c>
      <c r="B29806" t="str">
        <f>HYPERLINK("https://twitter.com/LilikMardiana3","@LilikMardiana3")</f>
        <v>@LilikMardiana3</v>
      </c>
      <c r="C29806" t="s">
        <v>12800</v>
      </c>
      <c r="D29806">
        <v>1</v>
      </c>
      <c r="E29806">
        <v>1</v>
      </c>
      <c r="F29806">
        <v>18</v>
      </c>
    </row>
    <row r="29807" spans="1:6" ht="12.75">
      <c r="A29807" s="2">
        <v>43875.565381944441</v>
      </c>
      <c r="B29807" t="str">
        <f>HYPERLINK("https://twitter.com/rizalnosugar","@rizalnosugar")</f>
        <v>@rizalnosugar</v>
      </c>
      <c r="C29807" t="s">
        <v>11536</v>
      </c>
      <c r="D29807">
        <v>0</v>
      </c>
      <c r="E29807">
        <v>0</v>
      </c>
      <c r="F29807">
        <v>327</v>
      </c>
    </row>
    <row r="29808" spans="1:6" ht="12.75">
      <c r="A29808" s="2">
        <v>43875.565370370372</v>
      </c>
      <c r="B29808" t="str">
        <f>HYPERLINK("https://twitter.com/_tinggalkenanga","@_tinggalkenanga")</f>
        <v>@_tinggalkenanga</v>
      </c>
      <c r="C29808" t="s">
        <v>11536</v>
      </c>
      <c r="D29808">
        <v>0</v>
      </c>
      <c r="E29808">
        <v>0</v>
      </c>
      <c r="F29808">
        <v>413</v>
      </c>
    </row>
    <row r="29809" spans="1:6" ht="12.75">
      <c r="A29809" s="2">
        <v>43875.565300925926</v>
      </c>
      <c r="B29809" t="str">
        <f>HYPERLINK("https://twitter.com/SenjaLestari16","@SenjaLestari16")</f>
        <v>@SenjaLestari16</v>
      </c>
      <c r="C29809" t="s">
        <v>2444</v>
      </c>
      <c r="D29809">
        <v>1054</v>
      </c>
      <c r="E29809">
        <v>0</v>
      </c>
      <c r="F29809">
        <v>102</v>
      </c>
    </row>
    <row r="29810" spans="1:6" ht="12.75">
      <c r="A29810" s="2">
        <v>43875.565243055556</v>
      </c>
      <c r="B29810" t="str">
        <f>HYPERLINK("https://twitter.com/bellaablee","@bellaablee")</f>
        <v>@bellaablee</v>
      </c>
      <c r="C29810" t="s">
        <v>8233</v>
      </c>
      <c r="D29810">
        <v>433</v>
      </c>
      <c r="E29810">
        <v>0</v>
      </c>
      <c r="F29810">
        <v>198</v>
      </c>
    </row>
    <row r="29811" spans="1:6" ht="12.75">
      <c r="A29811" s="2">
        <v>43875.565243055556</v>
      </c>
      <c r="B29811" t="str">
        <f>HYPERLINK("https://twitter.com/Qiim_T","@Qiim_T")</f>
        <v>@Qiim_T</v>
      </c>
      <c r="C29811" t="s">
        <v>2444</v>
      </c>
      <c r="D29811">
        <v>1054</v>
      </c>
      <c r="E29811">
        <v>0</v>
      </c>
      <c r="F29811">
        <v>445</v>
      </c>
    </row>
    <row r="29812" spans="1:6" ht="12.75">
      <c r="A29812" s="2">
        <v>43875.565243055556</v>
      </c>
      <c r="B29812" t="str">
        <f>HYPERLINK("https://twitter.com/ISIS_Balik_NO","@ISIS_Balik_NO")</f>
        <v>@ISIS_Balik_NO</v>
      </c>
      <c r="C29812" t="s">
        <v>12801</v>
      </c>
      <c r="D29812">
        <v>0</v>
      </c>
      <c r="E29812">
        <v>0</v>
      </c>
      <c r="F29812">
        <v>5895</v>
      </c>
    </row>
    <row r="29813" spans="1:6" ht="12.75">
      <c r="A29813" s="2">
        <v>43875.56523148148</v>
      </c>
      <c r="B29813" t="str">
        <f>HYPERLINK("https://twitter.com/Yzkj56","@Yzkj56")</f>
        <v>@Yzkj56</v>
      </c>
      <c r="C29813" t="s">
        <v>12347</v>
      </c>
      <c r="D29813">
        <v>0</v>
      </c>
      <c r="E29813">
        <v>0</v>
      </c>
      <c r="F29813">
        <v>38</v>
      </c>
    </row>
    <row r="29814" spans="1:6" ht="12.75">
      <c r="A29814" s="2">
        <v>43875.56521990741</v>
      </c>
      <c r="B29814" t="str">
        <f>HYPERLINK("https://twitter.com/putramatahari20","@putramatahari20")</f>
        <v>@putramatahari20</v>
      </c>
      <c r="C29814" t="s">
        <v>12802</v>
      </c>
      <c r="D29814">
        <v>0</v>
      </c>
      <c r="E29814">
        <v>0</v>
      </c>
      <c r="F29814">
        <v>4</v>
      </c>
    </row>
    <row r="29815" spans="1:6" ht="12.75">
      <c r="A29815" s="2">
        <v>43875.56521990741</v>
      </c>
      <c r="B29815" t="str">
        <f>HYPERLINK("https://twitter.com/menangin_aku","@menangin_aku")</f>
        <v>@menangin_aku</v>
      </c>
      <c r="C29815" t="s">
        <v>2444</v>
      </c>
      <c r="D29815">
        <v>1054</v>
      </c>
      <c r="E29815">
        <v>0</v>
      </c>
      <c r="F29815">
        <v>453</v>
      </c>
    </row>
    <row r="29816" spans="1:6" ht="12.75">
      <c r="A29816" s="2">
        <v>43875.565196759257</v>
      </c>
      <c r="B29816" t="str">
        <f>HYPERLINK("https://twitter.com/masbhe","@masbhe")</f>
        <v>@masbhe</v>
      </c>
      <c r="C29816" t="s">
        <v>10096</v>
      </c>
      <c r="D29816">
        <v>113</v>
      </c>
      <c r="E29816">
        <v>0</v>
      </c>
      <c r="F29816">
        <v>412</v>
      </c>
    </row>
    <row r="29817" spans="1:6" ht="12.75">
      <c r="A29817" s="2">
        <v>43875.565115740741</v>
      </c>
      <c r="B29817" t="str">
        <f>HYPERLINK("https://twitter.com/kabarpolitik","@kabarpolitik")</f>
        <v>@kabarpolitik</v>
      </c>
      <c r="C29817" t="s">
        <v>12803</v>
      </c>
      <c r="D29817">
        <v>0</v>
      </c>
      <c r="E29817">
        <v>0</v>
      </c>
      <c r="F29817">
        <v>16765</v>
      </c>
    </row>
    <row r="29818" spans="1:6" ht="12.75">
      <c r="A29818" s="2">
        <v>43875.565115740741</v>
      </c>
      <c r="B29818" t="str">
        <f>HYPERLINK("https://twitter.com/PJustitia7","@PJustitia7")</f>
        <v>@PJustitia7</v>
      </c>
      <c r="C29818" t="s">
        <v>12804</v>
      </c>
      <c r="D29818">
        <v>0</v>
      </c>
      <c r="E29818">
        <v>2</v>
      </c>
      <c r="F29818">
        <v>651</v>
      </c>
    </row>
    <row r="29819" spans="1:6" ht="12.75">
      <c r="A29819" s="2">
        <v>43875.565092592587</v>
      </c>
      <c r="B29819" t="str">
        <f>HYPERLINK("https://twitter.com/needmorespxce","@needmorespxce")</f>
        <v>@needmorespxce</v>
      </c>
      <c r="C29819" t="s">
        <v>2444</v>
      </c>
      <c r="D29819">
        <v>1054</v>
      </c>
      <c r="E29819">
        <v>0</v>
      </c>
      <c r="F29819">
        <v>1686</v>
      </c>
    </row>
    <row r="29820" spans="1:6" ht="12.75">
      <c r="A29820" s="2">
        <v>43875.565057870372</v>
      </c>
      <c r="B29820" t="str">
        <f>HYPERLINK("https://twitter.com/ganafmargi","@ganafmargi")</f>
        <v>@ganafmargi</v>
      </c>
      <c r="C29820" t="s">
        <v>12805</v>
      </c>
      <c r="D29820">
        <v>0</v>
      </c>
      <c r="E29820">
        <v>0</v>
      </c>
      <c r="F29820">
        <v>540</v>
      </c>
    </row>
    <row r="29821" spans="1:6" ht="12.75">
      <c r="A29821" s="2">
        <v>43875.565011574072</v>
      </c>
      <c r="B29821" t="str">
        <f>HYPERLINK("https://twitter.com/khoirinaannisa","@khoirinaannisa")</f>
        <v>@khoirinaannisa</v>
      </c>
      <c r="C29821" t="s">
        <v>12806</v>
      </c>
      <c r="D29821">
        <v>118</v>
      </c>
      <c r="E29821">
        <v>47</v>
      </c>
      <c r="F29821">
        <v>941</v>
      </c>
    </row>
    <row r="29822" spans="1:6" ht="12.75">
      <c r="A29822" s="2">
        <v>43875.564988425926</v>
      </c>
      <c r="B29822" t="str">
        <f>HYPERLINK("https://twitter.com/Silverblue1975","@Silverblue1975")</f>
        <v>@Silverblue1975</v>
      </c>
      <c r="C29822" t="s">
        <v>12807</v>
      </c>
      <c r="D29822">
        <v>0</v>
      </c>
      <c r="E29822">
        <v>1</v>
      </c>
      <c r="F29822">
        <v>101</v>
      </c>
    </row>
    <row r="29823" spans="1:6" ht="12.75">
      <c r="A29823" s="2">
        <v>43875.564965277779</v>
      </c>
      <c r="B29823" t="str">
        <f>HYPERLINK("https://twitter.com/dirhand","@dirhand")</f>
        <v>@dirhand</v>
      </c>
      <c r="C29823" t="s">
        <v>9746</v>
      </c>
      <c r="D29823">
        <v>135</v>
      </c>
      <c r="E29823">
        <v>0</v>
      </c>
      <c r="F29823">
        <v>321</v>
      </c>
    </row>
    <row r="29824" spans="1:6" ht="12.75">
      <c r="A29824" s="2">
        <v>43875.564930555556</v>
      </c>
      <c r="B29824" t="str">
        <f>HYPERLINK("https://twitter.com/PasukanKunang2","@PasukanKunang2")</f>
        <v>@PasukanKunang2</v>
      </c>
      <c r="C29824" t="s">
        <v>2444</v>
      </c>
      <c r="D29824">
        <v>1054</v>
      </c>
      <c r="E29824">
        <v>0</v>
      </c>
      <c r="F29824">
        <v>38</v>
      </c>
    </row>
    <row r="29825" spans="1:6" ht="12.75">
      <c r="A29825" s="2">
        <v>43875.564918981487</v>
      </c>
      <c r="B29825" t="str">
        <f>HYPERLINK("https://twitter.com/autucm","@autucm")</f>
        <v>@autucm</v>
      </c>
      <c r="C29825" t="s">
        <v>2444</v>
      </c>
      <c r="D29825">
        <v>1054</v>
      </c>
      <c r="E29825">
        <v>0</v>
      </c>
      <c r="F29825">
        <v>697</v>
      </c>
    </row>
    <row r="29826" spans="1:6" ht="12.75">
      <c r="A29826" s="2">
        <v>43875.564907407403</v>
      </c>
      <c r="B29826" t="str">
        <f>HYPERLINK("https://twitter.com/bon_nugroho","@bon_nugroho")</f>
        <v>@bon_nugroho</v>
      </c>
      <c r="C29826" t="s">
        <v>9746</v>
      </c>
      <c r="D29826">
        <v>135</v>
      </c>
      <c r="E29826">
        <v>0</v>
      </c>
      <c r="F29826">
        <v>490</v>
      </c>
    </row>
    <row r="29827" spans="1:6" ht="12.75">
      <c r="A29827" s="2">
        <v>43875.564895833333</v>
      </c>
      <c r="B29827" t="str">
        <f>HYPERLINK("https://twitter.com/gwoblo","@gwoblo")</f>
        <v>@gwoblo</v>
      </c>
      <c r="C29827" t="s">
        <v>2444</v>
      </c>
      <c r="D29827">
        <v>1054</v>
      </c>
      <c r="E29827">
        <v>0</v>
      </c>
      <c r="F29827">
        <v>124</v>
      </c>
    </row>
    <row r="29828" spans="1:6" ht="12.75">
      <c r="A29828" s="2">
        <v>43875.564872685187</v>
      </c>
      <c r="B29828" t="str">
        <f>HYPERLINK("https://twitter.com/quvretz","@quvretz")</f>
        <v>@quvretz</v>
      </c>
      <c r="C29828" t="s">
        <v>2444</v>
      </c>
      <c r="D29828">
        <v>1054</v>
      </c>
      <c r="E29828">
        <v>0</v>
      </c>
      <c r="F29828">
        <v>106</v>
      </c>
    </row>
    <row r="29829" spans="1:6" ht="12.75">
      <c r="A29829" s="2">
        <v>43875.564872685187</v>
      </c>
      <c r="B29829" t="str">
        <f>HYPERLINK("https://twitter.com/Iwan_Jaychow2","@Iwan_Jaychow2")</f>
        <v>@Iwan_Jaychow2</v>
      </c>
      <c r="C29829" t="s">
        <v>2444</v>
      </c>
      <c r="D29829">
        <v>1054</v>
      </c>
      <c r="E29829">
        <v>0</v>
      </c>
      <c r="F29829">
        <v>3295</v>
      </c>
    </row>
    <row r="29830" spans="1:6" ht="12.75">
      <c r="A29830" s="2">
        <v>43875.564849537041</v>
      </c>
      <c r="B29830" t="str">
        <f>HYPERLINK("https://twitter.com/marion_holahop","@marion_holahop")</f>
        <v>@marion_holahop</v>
      </c>
      <c r="C29830" t="s">
        <v>2444</v>
      </c>
      <c r="D29830">
        <v>1054</v>
      </c>
      <c r="E29830">
        <v>0</v>
      </c>
      <c r="F29830">
        <v>63</v>
      </c>
    </row>
    <row r="29831" spans="1:6" ht="12.75">
      <c r="A29831" s="2">
        <v>43875.564768518518</v>
      </c>
      <c r="B29831" t="str">
        <f>HYPERLINK("https://twitter.com/irulsaja21","@irulsaja21")</f>
        <v>@irulsaja21</v>
      </c>
      <c r="C29831" t="s">
        <v>2444</v>
      </c>
      <c r="D29831">
        <v>1054</v>
      </c>
      <c r="E29831">
        <v>0</v>
      </c>
      <c r="F29831">
        <v>55</v>
      </c>
    </row>
    <row r="29832" spans="1:6" ht="12.75">
      <c r="A29832" s="2">
        <v>43875.564745370371</v>
      </c>
      <c r="B29832" t="str">
        <f>HYPERLINK("https://twitter.com/Skandarhy","@Skandarhy")</f>
        <v>@Skandarhy</v>
      </c>
      <c r="C29832" t="s">
        <v>2444</v>
      </c>
      <c r="D29832">
        <v>1054</v>
      </c>
      <c r="E29832">
        <v>0</v>
      </c>
      <c r="F29832">
        <v>19</v>
      </c>
    </row>
    <row r="29833" spans="1:6" ht="12.75">
      <c r="A29833" s="2">
        <v>43875.564745370371</v>
      </c>
      <c r="B29833" t="str">
        <f>HYPERLINK("https://twitter.com/adipcahyoko","@adipcahyoko")</f>
        <v>@adipcahyoko</v>
      </c>
      <c r="C29833" t="s">
        <v>2444</v>
      </c>
      <c r="D29833">
        <v>1054</v>
      </c>
      <c r="E29833">
        <v>0</v>
      </c>
      <c r="F29833">
        <v>476</v>
      </c>
    </row>
    <row r="29834" spans="1:6" ht="12.75">
      <c r="A29834" s="2">
        <v>43875.564733796295</v>
      </c>
      <c r="B29834" t="str">
        <f>HYPERLINK("https://twitter.com/LamanKita_","@LamanKita_")</f>
        <v>@LamanKita_</v>
      </c>
      <c r="C29834" t="s">
        <v>12808</v>
      </c>
      <c r="D29834">
        <v>1</v>
      </c>
      <c r="E29834">
        <v>1</v>
      </c>
      <c r="F29834">
        <v>139618</v>
      </c>
    </row>
    <row r="29835" spans="1:6" ht="12.75">
      <c r="A29835" s="2">
        <v>43875.564733796295</v>
      </c>
      <c r="B29835" t="str">
        <f>HYPERLINK("https://twitter.com/wushitxun","@wushitxun")</f>
        <v>@wushitxun</v>
      </c>
      <c r="C29835" t="s">
        <v>9964</v>
      </c>
      <c r="D29835">
        <v>572</v>
      </c>
      <c r="E29835">
        <v>0</v>
      </c>
      <c r="F29835">
        <v>1823</v>
      </c>
    </row>
    <row r="29836" spans="1:6" ht="12.75">
      <c r="A29836" s="2">
        <v>43875.564733796295</v>
      </c>
      <c r="B29836" t="str">
        <f>HYPERLINK("https://twitter.com/papasaurus1","@papasaurus1")</f>
        <v>@papasaurus1</v>
      </c>
      <c r="C29836" t="s">
        <v>12809</v>
      </c>
      <c r="D29836">
        <v>3</v>
      </c>
      <c r="E29836">
        <v>3</v>
      </c>
      <c r="F29836">
        <v>1506</v>
      </c>
    </row>
    <row r="29837" spans="1:6" ht="12.75">
      <c r="A29837" s="2">
        <v>43875.564722222218</v>
      </c>
      <c r="B29837" t="str">
        <f t="shared" ref="B29837:B29838" si="374">HYPERLINK("https://twitter.com/LamanKita_","@LamanKita_")</f>
        <v>@LamanKita_</v>
      </c>
      <c r="C29837" t="s">
        <v>12810</v>
      </c>
      <c r="D29837">
        <v>1</v>
      </c>
      <c r="E29837">
        <v>0</v>
      </c>
      <c r="F29837">
        <v>139618</v>
      </c>
    </row>
    <row r="29838" spans="1:6" ht="12.75">
      <c r="A29838" s="2">
        <v>43875.564722222218</v>
      </c>
      <c r="B29838" t="str">
        <f t="shared" si="374"/>
        <v>@LamanKita_</v>
      </c>
      <c r="C29838" t="s">
        <v>12811</v>
      </c>
      <c r="D29838">
        <v>0</v>
      </c>
      <c r="E29838">
        <v>0</v>
      </c>
      <c r="F29838">
        <v>139618</v>
      </c>
    </row>
    <row r="29839" spans="1:6" ht="12.75">
      <c r="A29839" s="2">
        <v>43875.564722222218</v>
      </c>
      <c r="B29839" t="str">
        <f>HYPERLINK("https://twitter.com/iniunfaedah","@iniunfaedah")</f>
        <v>@iniunfaedah</v>
      </c>
      <c r="C29839" t="s">
        <v>11536</v>
      </c>
      <c r="D29839">
        <v>0</v>
      </c>
      <c r="E29839">
        <v>0</v>
      </c>
      <c r="F29839">
        <v>40</v>
      </c>
    </row>
    <row r="29840" spans="1:6" ht="12.75">
      <c r="A29840" s="2">
        <v>43875.564710648148</v>
      </c>
      <c r="B29840" t="str">
        <f>HYPERLINK("https://twitter.com/LamanKita_","@LamanKita_")</f>
        <v>@LamanKita_</v>
      </c>
      <c r="C29840" t="s">
        <v>12812</v>
      </c>
      <c r="D29840">
        <v>0</v>
      </c>
      <c r="E29840">
        <v>0</v>
      </c>
      <c r="F29840">
        <v>139618</v>
      </c>
    </row>
    <row r="29841" spans="1:6" ht="12.75">
      <c r="A29841" s="2">
        <v>43875.564710648148</v>
      </c>
      <c r="B29841" t="str">
        <f>HYPERLINK("https://twitter.com/AryoSekti","@AryoSekti")</f>
        <v>@AryoSekti</v>
      </c>
      <c r="C29841" t="s">
        <v>8233</v>
      </c>
      <c r="D29841">
        <v>433</v>
      </c>
      <c r="E29841">
        <v>0</v>
      </c>
      <c r="F29841">
        <v>217</v>
      </c>
    </row>
    <row r="29842" spans="1:6" ht="12.75">
      <c r="A29842" s="2">
        <v>43875.564710648148</v>
      </c>
      <c r="B29842" t="str">
        <f>HYPERLINK("https://twitter.com/LamanKita_","@LamanKita_")</f>
        <v>@LamanKita_</v>
      </c>
      <c r="C29842" t="s">
        <v>12813</v>
      </c>
      <c r="D29842">
        <v>0</v>
      </c>
      <c r="E29842">
        <v>0</v>
      </c>
      <c r="F29842">
        <v>139618</v>
      </c>
    </row>
    <row r="29843" spans="1:6" ht="12.75">
      <c r="A29843" s="2">
        <v>43875.564699074079</v>
      </c>
      <c r="B29843" t="str">
        <f>HYPERLINK("https://twitter.com/mamihanafi","@mamihanafi")</f>
        <v>@mamihanafi</v>
      </c>
      <c r="C29843" t="s">
        <v>2963</v>
      </c>
      <c r="D29843">
        <v>821</v>
      </c>
      <c r="E29843">
        <v>0</v>
      </c>
      <c r="F29843">
        <v>1464</v>
      </c>
    </row>
    <row r="29844" spans="1:6" ht="12.75">
      <c r="A29844" s="2">
        <v>43875.564699074079</v>
      </c>
      <c r="B29844" t="str">
        <f>HYPERLINK("https://twitter.com/LamanKita_","@LamanKita_")</f>
        <v>@LamanKita_</v>
      </c>
      <c r="C29844" t="s">
        <v>12814</v>
      </c>
      <c r="D29844">
        <v>1</v>
      </c>
      <c r="E29844">
        <v>0</v>
      </c>
      <c r="F29844">
        <v>139618</v>
      </c>
    </row>
    <row r="29845" spans="1:6" ht="12.75">
      <c r="A29845" s="2">
        <v>43875.564687499995</v>
      </c>
      <c r="B29845" t="str">
        <f>HYPERLINK("https://twitter.com/csyxyhn","@csyxyhn")</f>
        <v>@csyxyhn</v>
      </c>
      <c r="C29845" t="s">
        <v>11536</v>
      </c>
      <c r="D29845">
        <v>0</v>
      </c>
      <c r="E29845">
        <v>0</v>
      </c>
      <c r="F29845">
        <v>169</v>
      </c>
    </row>
    <row r="29846" spans="1:6" ht="12.75">
      <c r="A29846" s="2">
        <v>43875.564675925925</v>
      </c>
      <c r="B29846" t="str">
        <f>HYPERLINK("https://twitter.com/ross_show","@ross_show")</f>
        <v>@ross_show</v>
      </c>
      <c r="C29846" t="s">
        <v>8233</v>
      </c>
      <c r="D29846">
        <v>433</v>
      </c>
      <c r="E29846">
        <v>0</v>
      </c>
      <c r="F29846">
        <v>382</v>
      </c>
    </row>
    <row r="29847" spans="1:6" ht="12.75">
      <c r="A29847" s="2">
        <v>43875.56459490741</v>
      </c>
      <c r="B29847" t="str">
        <f>HYPERLINK("https://twitter.com/taertawalah","@taertawalah")</f>
        <v>@taertawalah</v>
      </c>
      <c r="C29847" t="s">
        <v>2444</v>
      </c>
      <c r="D29847">
        <v>1054</v>
      </c>
      <c r="E29847">
        <v>0</v>
      </c>
      <c r="F29847">
        <v>879</v>
      </c>
    </row>
    <row r="29848" spans="1:6" ht="12.75">
      <c r="A29848" s="2">
        <v>43875.56459490741</v>
      </c>
      <c r="B29848" t="str">
        <f>HYPERLINK("https://twitter.com/Koutsoukosdim","@Koutsoukosdim")</f>
        <v>@Koutsoukosdim</v>
      </c>
      <c r="C29848" t="s">
        <v>9082</v>
      </c>
      <c r="D29848">
        <v>13</v>
      </c>
      <c r="E29848">
        <v>0</v>
      </c>
      <c r="F29848">
        <v>389</v>
      </c>
    </row>
    <row r="29849" spans="1:6" ht="12.75">
      <c r="A29849" s="2">
        <v>43875.564583333333</v>
      </c>
      <c r="B29849" t="str">
        <f>HYPERLINK("https://twitter.com/timlovers","@timlovers")</f>
        <v>@timlovers</v>
      </c>
      <c r="C29849" t="s">
        <v>12815</v>
      </c>
      <c r="D29849">
        <v>0</v>
      </c>
      <c r="E29849">
        <v>0</v>
      </c>
      <c r="F29849">
        <v>1991</v>
      </c>
    </row>
    <row r="29850" spans="1:6" ht="12.75">
      <c r="A29850" s="2">
        <v>43875.564583333333</v>
      </c>
      <c r="B29850" t="str">
        <f>HYPERLINK("https://twitter.com/kabartimlo","@kabartimlo")</f>
        <v>@kabartimlo</v>
      </c>
      <c r="C29850" t="s">
        <v>12815</v>
      </c>
      <c r="D29850">
        <v>0</v>
      </c>
      <c r="E29850">
        <v>0</v>
      </c>
      <c r="F29850">
        <v>6714</v>
      </c>
    </row>
    <row r="29851" spans="1:6" ht="12.75">
      <c r="A29851" s="2">
        <v>43875.564583333333</v>
      </c>
      <c r="B29851" t="str">
        <f>HYPERLINK("https://twitter.com/InfoTimlo","@InfoTimlo")</f>
        <v>@InfoTimlo</v>
      </c>
      <c r="C29851" t="s">
        <v>12815</v>
      </c>
      <c r="D29851">
        <v>0</v>
      </c>
      <c r="E29851">
        <v>1</v>
      </c>
      <c r="F29851">
        <v>24924</v>
      </c>
    </row>
    <row r="29852" spans="1:6" ht="12.75">
      <c r="A29852" s="2">
        <v>43875.564571759256</v>
      </c>
      <c r="B29852" t="str">
        <f>HYPERLINK("https://twitter.com/_tinggalkenanga","@_tinggalkenanga")</f>
        <v>@_tinggalkenanga</v>
      </c>
      <c r="C29852" t="s">
        <v>2444</v>
      </c>
      <c r="D29852">
        <v>1054</v>
      </c>
      <c r="E29852">
        <v>0</v>
      </c>
      <c r="F29852">
        <v>413</v>
      </c>
    </row>
    <row r="29853" spans="1:6" ht="12.75">
      <c r="A29853" s="2">
        <v>43875.564444444448</v>
      </c>
      <c r="B29853" t="str">
        <f>HYPERLINK("https://twitter.com/sorotnews","@sorotnews")</f>
        <v>@sorotnews</v>
      </c>
      <c r="C29853" t="s">
        <v>12086</v>
      </c>
      <c r="D29853">
        <v>1</v>
      </c>
      <c r="E29853">
        <v>1</v>
      </c>
      <c r="F29853">
        <v>3409</v>
      </c>
    </row>
    <row r="29854" spans="1:6" ht="12.75">
      <c r="A29854" s="2">
        <v>43875.564432870371</v>
      </c>
      <c r="B29854" t="str">
        <f>HYPERLINK("https://twitter.com/ext2_","@ext2_")</f>
        <v>@ext2_</v>
      </c>
      <c r="C29854" t="s">
        <v>12816</v>
      </c>
      <c r="D29854">
        <v>0</v>
      </c>
      <c r="E29854">
        <v>0</v>
      </c>
      <c r="F29854">
        <v>246</v>
      </c>
    </row>
    <row r="29855" spans="1:6" ht="12.75">
      <c r="A29855" s="2">
        <v>43875.564398148148</v>
      </c>
      <c r="B29855" t="str">
        <f>HYPERLINK("https://twitter.com/iniunfaedah","@iniunfaedah")</f>
        <v>@iniunfaedah</v>
      </c>
      <c r="C29855" t="s">
        <v>2444</v>
      </c>
      <c r="D29855">
        <v>1055</v>
      </c>
      <c r="E29855">
        <v>0</v>
      </c>
      <c r="F29855">
        <v>40</v>
      </c>
    </row>
    <row r="29856" spans="1:6" ht="12.75">
      <c r="A29856" s="2">
        <v>43875.564375000002</v>
      </c>
      <c r="B29856" t="str">
        <f>HYPERLINK("https://twitter.com/Yoonie______","@Yoonie______")</f>
        <v>@Yoonie______</v>
      </c>
      <c r="C29856" t="s">
        <v>2444</v>
      </c>
      <c r="D29856">
        <v>1055</v>
      </c>
      <c r="E29856">
        <v>0</v>
      </c>
      <c r="F29856">
        <v>21</v>
      </c>
    </row>
    <row r="29857" spans="1:6" ht="12.75">
      <c r="A29857" s="2">
        <v>43875.564340277779</v>
      </c>
      <c r="B29857" t="str">
        <f>HYPERLINK("https://twitter.com/tahu_buleeeet","@tahu_buleeeet")</f>
        <v>@tahu_buleeeet</v>
      </c>
      <c r="C29857" t="s">
        <v>2444</v>
      </c>
      <c r="D29857">
        <v>1055</v>
      </c>
      <c r="E29857">
        <v>0</v>
      </c>
      <c r="F29857">
        <v>68</v>
      </c>
    </row>
    <row r="29858" spans="1:6" ht="12.75">
      <c r="A29858" s="2">
        <v>43875.564328703702</v>
      </c>
      <c r="B29858" t="str">
        <f>HYPERLINK("https://twitter.com/PradityaBeni","@PradityaBeni")</f>
        <v>@PradityaBeni</v>
      </c>
      <c r="C29858" t="s">
        <v>7478</v>
      </c>
      <c r="D29858">
        <v>61</v>
      </c>
      <c r="E29858">
        <v>0</v>
      </c>
      <c r="F29858">
        <v>1289</v>
      </c>
    </row>
    <row r="29859" spans="1:6" ht="12.75">
      <c r="A29859" s="2">
        <v>43875.564305555556</v>
      </c>
      <c r="B29859" t="str">
        <f>HYPERLINK("https://twitter.com/BucinCat_","@BucinCat_")</f>
        <v>@BucinCat_</v>
      </c>
      <c r="C29859" t="s">
        <v>11536</v>
      </c>
      <c r="D29859">
        <v>0</v>
      </c>
      <c r="E29859">
        <v>0</v>
      </c>
      <c r="F29859">
        <v>210</v>
      </c>
    </row>
    <row r="29860" spans="1:6" ht="12.75">
      <c r="A29860" s="2">
        <v>43875.56422453704</v>
      </c>
      <c r="B29860" t="str">
        <f>HYPERLINK("https://twitter.com/Surant6","@Surant6")</f>
        <v>@Surant6</v>
      </c>
      <c r="C29860" t="s">
        <v>7478</v>
      </c>
      <c r="D29860">
        <v>61</v>
      </c>
      <c r="E29860">
        <v>0</v>
      </c>
      <c r="F29860">
        <v>388</v>
      </c>
    </row>
    <row r="29861" spans="1:6" ht="12.75">
      <c r="A29861" s="2">
        <v>43875.564212962963</v>
      </c>
      <c r="B29861" t="str">
        <f>HYPERLINK("https://twitter.com/Iissoli57449302","@Iissoli57449302")</f>
        <v>@Iissoli57449302</v>
      </c>
      <c r="C29861" t="s">
        <v>3604</v>
      </c>
      <c r="D29861">
        <v>425</v>
      </c>
      <c r="E29861">
        <v>0</v>
      </c>
      <c r="F29861">
        <v>72</v>
      </c>
    </row>
    <row r="29862" spans="1:6" ht="12.75">
      <c r="A29862" s="2">
        <v>43875.564201388886</v>
      </c>
      <c r="B29862" t="str">
        <f>HYPERLINK("https://twitter.com/ernaaugust","@ernaaugust")</f>
        <v>@ernaaugust</v>
      </c>
      <c r="C29862" t="s">
        <v>12080</v>
      </c>
      <c r="D29862">
        <v>19</v>
      </c>
      <c r="E29862">
        <v>0</v>
      </c>
      <c r="F29862">
        <v>52</v>
      </c>
    </row>
    <row r="29863" spans="1:6" ht="12.75">
      <c r="A29863" s="2">
        <v>43875.56417824074</v>
      </c>
      <c r="B29863" t="str">
        <f>HYPERLINK("https://twitter.com/tanjung_nuzul","@tanjung_nuzul")</f>
        <v>@tanjung_nuzul</v>
      </c>
      <c r="C29863" t="s">
        <v>10291</v>
      </c>
      <c r="D29863">
        <v>15</v>
      </c>
      <c r="E29863">
        <v>0</v>
      </c>
      <c r="F29863">
        <v>170</v>
      </c>
    </row>
    <row r="29864" spans="1:6" ht="12.75">
      <c r="A29864" s="2">
        <v>43875.564166666663</v>
      </c>
      <c r="B29864" t="str">
        <f>HYPERLINK("https://twitter.com/hajinewsonline","@hajinewsonline")</f>
        <v>@hajinewsonline</v>
      </c>
      <c r="C29864" t="s">
        <v>12817</v>
      </c>
      <c r="D29864">
        <v>0</v>
      </c>
      <c r="E29864">
        <v>0</v>
      </c>
      <c r="F29864">
        <v>20</v>
      </c>
    </row>
    <row r="29865" spans="1:6" ht="12.75">
      <c r="A29865" s="2">
        <v>43875.564097222217</v>
      </c>
      <c r="B29865" t="str">
        <f>HYPERLINK("https://twitter.com/aryahave","@aryahave")</f>
        <v>@aryahave</v>
      </c>
      <c r="C29865" t="s">
        <v>2963</v>
      </c>
      <c r="D29865">
        <v>821</v>
      </c>
      <c r="E29865">
        <v>0</v>
      </c>
      <c r="F29865">
        <v>315</v>
      </c>
    </row>
    <row r="29866" spans="1:6" ht="12.75">
      <c r="A29866" s="2">
        <v>43875.564016203702</v>
      </c>
      <c r="B29866" t="str">
        <f>HYPERLINK("https://twitter.com/LNA2019M","@LNA2019M")</f>
        <v>@LNA2019M</v>
      </c>
      <c r="C29866" t="s">
        <v>12818</v>
      </c>
      <c r="D29866">
        <v>13</v>
      </c>
      <c r="E29866">
        <v>23</v>
      </c>
      <c r="F29866">
        <v>11700</v>
      </c>
    </row>
    <row r="29867" spans="1:6" ht="12.75">
      <c r="A29867" s="2">
        <v>43875.563993055555</v>
      </c>
      <c r="B29867" t="str">
        <f>HYPERLINK("https://twitter.com/opacharophile","@opacharophile")</f>
        <v>@opacharophile</v>
      </c>
      <c r="C29867" t="s">
        <v>9021</v>
      </c>
      <c r="D29867">
        <v>182</v>
      </c>
      <c r="E29867">
        <v>0</v>
      </c>
      <c r="F29867">
        <v>40</v>
      </c>
    </row>
    <row r="29868" spans="1:6" ht="12.75">
      <c r="A29868" s="2">
        <v>43875.563981481479</v>
      </c>
      <c r="B29868" t="str">
        <f>HYPERLINK("https://twitter.com/cheolrin","@cheolrin")</f>
        <v>@cheolrin</v>
      </c>
      <c r="C29868" t="s">
        <v>9964</v>
      </c>
      <c r="D29868">
        <v>572</v>
      </c>
      <c r="E29868">
        <v>0</v>
      </c>
      <c r="F29868">
        <v>1265</v>
      </c>
    </row>
    <row r="29869" spans="1:6" ht="12.75">
      <c r="A29869" s="2">
        <v>43875.563946759255</v>
      </c>
      <c r="B29869" t="str">
        <f>HYPERLINK("https://twitter.com/sweetiebityy23","@sweetiebityy23")</f>
        <v>@sweetiebityy23</v>
      </c>
      <c r="C29869" t="s">
        <v>11536</v>
      </c>
      <c r="D29869">
        <v>0</v>
      </c>
      <c r="E29869">
        <v>0</v>
      </c>
      <c r="F29869">
        <v>629</v>
      </c>
    </row>
    <row r="29870" spans="1:6" ht="12.75">
      <c r="A29870" s="2">
        <v>43875.563946759255</v>
      </c>
      <c r="B29870" t="str">
        <f>HYPERLINK("https://twitter.com/JohnFisher22","@JohnFisher22")</f>
        <v>@JohnFisher22</v>
      </c>
      <c r="C29870" t="s">
        <v>2110</v>
      </c>
      <c r="D29870">
        <v>35</v>
      </c>
      <c r="E29870">
        <v>0</v>
      </c>
      <c r="F29870">
        <v>520</v>
      </c>
    </row>
    <row r="29871" spans="1:6" ht="12.75">
      <c r="A29871" s="2">
        <v>43875.563935185186</v>
      </c>
      <c r="B29871" t="str">
        <f>HYPERLINK("https://twitter.com/haluanghabang","@haluanghabang")</f>
        <v>@haluanghabang</v>
      </c>
      <c r="C29871" t="s">
        <v>12819</v>
      </c>
      <c r="D29871">
        <v>3</v>
      </c>
      <c r="E29871">
        <v>0</v>
      </c>
      <c r="F29871">
        <v>965</v>
      </c>
    </row>
    <row r="29872" spans="1:6" ht="12.75">
      <c r="A29872" s="2">
        <v>43875.563888888893</v>
      </c>
      <c r="B29872" t="str">
        <f>HYPERLINK("https://twitter.com/aldaaaaaae","@aldaaaaaae")</f>
        <v>@aldaaaaaae</v>
      </c>
      <c r="C29872" t="s">
        <v>12820</v>
      </c>
      <c r="D29872">
        <v>0</v>
      </c>
      <c r="E29872">
        <v>0</v>
      </c>
      <c r="F29872">
        <v>142</v>
      </c>
    </row>
    <row r="29873" spans="1:6" ht="12.75">
      <c r="A29873" s="2">
        <v>43875.563819444447</v>
      </c>
      <c r="B29873" t="str">
        <f>HYPERLINK("https://twitter.com/trah1967","@trah1967")</f>
        <v>@trah1967</v>
      </c>
      <c r="C29873" t="s">
        <v>9746</v>
      </c>
      <c r="D29873">
        <v>135</v>
      </c>
      <c r="E29873">
        <v>0</v>
      </c>
      <c r="F29873">
        <v>1962</v>
      </c>
    </row>
    <row r="29874" spans="1:6" ht="12.75">
      <c r="A29874" s="2">
        <v>43875.563796296294</v>
      </c>
      <c r="B29874" t="str">
        <f>HYPERLINK("https://twitter.com/hujanbadaii","@hujanbadaii")</f>
        <v>@hujanbadaii</v>
      </c>
      <c r="C29874" t="s">
        <v>11536</v>
      </c>
      <c r="D29874">
        <v>0</v>
      </c>
      <c r="E29874">
        <v>0</v>
      </c>
      <c r="F29874">
        <v>158</v>
      </c>
    </row>
    <row r="29875" spans="1:6" ht="12.75">
      <c r="A29875" s="2">
        <v>43875.563680555555</v>
      </c>
      <c r="B29875" t="str">
        <f>HYPERLINK("https://twitter.com/ParmonanganRaja","@ParmonanganRaja")</f>
        <v>@ParmonanganRaja</v>
      </c>
      <c r="C29875" t="s">
        <v>12821</v>
      </c>
      <c r="D29875">
        <v>1</v>
      </c>
      <c r="E29875">
        <v>0</v>
      </c>
      <c r="F29875">
        <v>182</v>
      </c>
    </row>
    <row r="29876" spans="1:6" ht="12.75">
      <c r="A29876" s="2">
        <v>43875.563657407409</v>
      </c>
      <c r="B29876" t="str">
        <f>HYPERLINK("https://twitter.com/zlametabidin","@zlametabidin")</f>
        <v>@zlametabidin</v>
      </c>
      <c r="C29876" t="s">
        <v>2963</v>
      </c>
      <c r="D29876">
        <v>821</v>
      </c>
      <c r="E29876">
        <v>0</v>
      </c>
      <c r="F29876">
        <v>1770</v>
      </c>
    </row>
    <row r="29877" spans="1:6" ht="12.75">
      <c r="A29877" s="2">
        <v>43875.563576388886</v>
      </c>
      <c r="B29877" t="str">
        <f>HYPERLINK("https://twitter.com/thedufresne","@thedufresne")</f>
        <v>@thedufresne</v>
      </c>
      <c r="C29877" t="s">
        <v>8233</v>
      </c>
      <c r="D29877">
        <v>433</v>
      </c>
      <c r="E29877">
        <v>0</v>
      </c>
      <c r="F29877">
        <v>13442</v>
      </c>
    </row>
    <row r="29878" spans="1:6" ht="12.75">
      <c r="A29878" s="2">
        <v>43875.563564814816</v>
      </c>
      <c r="B29878" t="str">
        <f>HYPERLINK("https://twitter.com/JoKerR_nN","@JoKerR_nN")</f>
        <v>@JoKerR_nN</v>
      </c>
      <c r="C29878" t="s">
        <v>7373</v>
      </c>
      <c r="D29878">
        <v>69</v>
      </c>
      <c r="E29878">
        <v>0</v>
      </c>
      <c r="F29878">
        <v>714</v>
      </c>
    </row>
    <row r="29879" spans="1:6" ht="12.75">
      <c r="A29879" s="2">
        <v>43875.56355324074</v>
      </c>
      <c r="B29879" t="str">
        <f>HYPERLINK("https://twitter.com/DediPurwantos","@DediPurwantos")</f>
        <v>@DediPurwantos</v>
      </c>
      <c r="C29879" t="s">
        <v>9666</v>
      </c>
      <c r="D29879">
        <v>4</v>
      </c>
      <c r="E29879">
        <v>0</v>
      </c>
      <c r="F29879">
        <v>28</v>
      </c>
    </row>
    <row r="29880" spans="1:6" ht="12.75">
      <c r="A29880" s="2">
        <v>43875.563472222224</v>
      </c>
      <c r="B29880" t="str">
        <f>HYPERLINK("https://twitter.com/trah1967","@trah1967")</f>
        <v>@trah1967</v>
      </c>
      <c r="C29880" t="s">
        <v>10096</v>
      </c>
      <c r="D29880">
        <v>113</v>
      </c>
      <c r="E29880">
        <v>0</v>
      </c>
      <c r="F29880">
        <v>1962</v>
      </c>
    </row>
    <row r="29881" spans="1:6" ht="12.75">
      <c r="A29881" s="2">
        <v>43875.563425925924</v>
      </c>
      <c r="B29881" t="str">
        <f>HYPERLINK("https://twitter.com/PapoKikok","@PapoKikok")</f>
        <v>@PapoKikok</v>
      </c>
      <c r="C29881" t="s">
        <v>12495</v>
      </c>
      <c r="D29881">
        <v>470</v>
      </c>
      <c r="E29881">
        <v>0</v>
      </c>
      <c r="F29881">
        <v>94</v>
      </c>
    </row>
    <row r="29882" spans="1:6" ht="12.75">
      <c r="A29882" s="2">
        <v>43875.563310185185</v>
      </c>
      <c r="B29882" t="str">
        <f>HYPERLINK("https://twitter.com/Dafindana","@Dafindana")</f>
        <v>@Dafindana</v>
      </c>
      <c r="C29882" t="s">
        <v>9539</v>
      </c>
      <c r="D29882">
        <v>3</v>
      </c>
      <c r="E29882">
        <v>0</v>
      </c>
      <c r="F29882">
        <v>1180</v>
      </c>
    </row>
    <row r="29883" spans="1:6" ht="12.75">
      <c r="A29883" s="2">
        <v>43875.563287037032</v>
      </c>
      <c r="B29883" t="str">
        <f>HYPERLINK("https://twitter.com/DakwahOnline114","@DakwahOnline114")</f>
        <v>@DakwahOnline114</v>
      </c>
      <c r="C29883" t="s">
        <v>9538</v>
      </c>
      <c r="D29883">
        <v>131</v>
      </c>
      <c r="E29883">
        <v>0</v>
      </c>
      <c r="F29883">
        <v>1067</v>
      </c>
    </row>
    <row r="29884" spans="1:6" ht="12.75">
      <c r="A29884" s="2">
        <v>43875.563287037032</v>
      </c>
      <c r="B29884" t="str">
        <f>HYPERLINK("https://twitter.com/_thisgurllL","@_thisgurllL")</f>
        <v>@_thisgurllL</v>
      </c>
      <c r="C29884" t="s">
        <v>11536</v>
      </c>
      <c r="D29884">
        <v>0</v>
      </c>
      <c r="E29884">
        <v>0</v>
      </c>
      <c r="F29884">
        <v>49</v>
      </c>
    </row>
    <row r="29885" spans="1:6" ht="12.75">
      <c r="A29885" s="2">
        <v>43875.56322916667</v>
      </c>
      <c r="B29885" t="str">
        <f>HYPERLINK("https://twitter.com/neraka_jarum","@neraka_jarum")</f>
        <v>@neraka_jarum</v>
      </c>
      <c r="C29885" t="s">
        <v>9538</v>
      </c>
      <c r="D29885">
        <v>131</v>
      </c>
      <c r="E29885">
        <v>0</v>
      </c>
      <c r="F29885">
        <v>373</v>
      </c>
    </row>
    <row r="29886" spans="1:6" ht="12.75">
      <c r="A29886" s="2">
        <v>43875.563217592593</v>
      </c>
      <c r="B29886" t="str">
        <f>HYPERLINK("https://twitter.com/Sumilan07159909","@Sumilan07159909")</f>
        <v>@Sumilan07159909</v>
      </c>
      <c r="C29886" t="s">
        <v>10462</v>
      </c>
      <c r="D29886">
        <v>234</v>
      </c>
      <c r="E29886">
        <v>0</v>
      </c>
      <c r="F29886">
        <v>2</v>
      </c>
    </row>
    <row r="29887" spans="1:6" ht="12.75">
      <c r="A29887" s="2">
        <v>43875.563206018516</v>
      </c>
      <c r="B29887" t="str">
        <f>HYPERLINK("https://twitter.com/bb41_","@bb41_")</f>
        <v>@bb41_</v>
      </c>
      <c r="C29887" t="s">
        <v>12796</v>
      </c>
      <c r="D29887">
        <v>0</v>
      </c>
      <c r="E29887">
        <v>0</v>
      </c>
      <c r="F29887">
        <v>34</v>
      </c>
    </row>
    <row r="29888" spans="1:6" ht="12.75">
      <c r="A29888" s="2">
        <v>43875.563125000001</v>
      </c>
      <c r="B29888" t="str">
        <f>HYPERLINK("https://twitter.com/Omar_abudinar","@Omar_abudinar")</f>
        <v>@Omar_abudinar</v>
      </c>
      <c r="C29888" t="s">
        <v>12822</v>
      </c>
      <c r="D29888">
        <v>1</v>
      </c>
      <c r="E29888">
        <v>2</v>
      </c>
      <c r="F29888">
        <v>270</v>
      </c>
    </row>
    <row r="29889" spans="1:6" ht="12.75">
      <c r="A29889" s="2">
        <v>43875.563090277778</v>
      </c>
      <c r="B29889" t="str">
        <f>HYPERLINK("https://twitter.com/ss_saybot","@ss_saybot")</f>
        <v>@ss_saybot</v>
      </c>
      <c r="C29889" t="s">
        <v>2444</v>
      </c>
      <c r="D29889">
        <v>1055</v>
      </c>
      <c r="E29889">
        <v>0</v>
      </c>
      <c r="F29889">
        <v>8</v>
      </c>
    </row>
    <row r="29890" spans="1:6" ht="12.75">
      <c r="A29890" s="2">
        <v>43875.562974537039</v>
      </c>
      <c r="B29890" t="str">
        <f>HYPERLINK("https://twitter.com/tribunbatamku","@tribunbatamku")</f>
        <v>@tribunbatamku</v>
      </c>
      <c r="C29890" t="s">
        <v>12823</v>
      </c>
      <c r="D29890">
        <v>0</v>
      </c>
      <c r="E29890">
        <v>0</v>
      </c>
      <c r="F29890">
        <v>5267</v>
      </c>
    </row>
    <row r="29891" spans="1:6" ht="12.75">
      <c r="A29891" s="2">
        <v>43875.562962962962</v>
      </c>
      <c r="B29891" t="str">
        <f>HYPERLINK("https://twitter.com/Dafindana","@Dafindana")</f>
        <v>@Dafindana</v>
      </c>
      <c r="C29891" t="s">
        <v>5761</v>
      </c>
      <c r="D29891">
        <v>50</v>
      </c>
      <c r="E29891">
        <v>0</v>
      </c>
      <c r="F29891">
        <v>1180</v>
      </c>
    </row>
    <row r="29892" spans="1:6" ht="12.75">
      <c r="A29892" s="2">
        <v>43875.562881944439</v>
      </c>
      <c r="B29892" t="str">
        <f>HYPERLINK("https://twitter.com/rais_amat","@rais_amat")</f>
        <v>@rais_amat</v>
      </c>
      <c r="C29892" t="s">
        <v>11536</v>
      </c>
      <c r="D29892">
        <v>0</v>
      </c>
      <c r="E29892">
        <v>0</v>
      </c>
      <c r="F29892">
        <v>151</v>
      </c>
    </row>
    <row r="29893" spans="1:6" ht="12.75">
      <c r="A29893" s="2">
        <v>43875.562800925924</v>
      </c>
      <c r="B29893" t="str">
        <f>HYPERLINK("https://twitter.com/Iwan_Jaychow2","@Iwan_Jaychow2")</f>
        <v>@Iwan_Jaychow2</v>
      </c>
      <c r="C29893" t="s">
        <v>11536</v>
      </c>
      <c r="D29893">
        <v>0</v>
      </c>
      <c r="E29893">
        <v>0</v>
      </c>
      <c r="F29893">
        <v>3295</v>
      </c>
    </row>
    <row r="29894" spans="1:6" ht="12.75">
      <c r="A29894" s="2">
        <v>43875.562789351854</v>
      </c>
      <c r="B29894" t="str">
        <f>HYPERLINK("https://twitter.com/esgrim__coklat","@esgrim__coklat")</f>
        <v>@esgrim__coklat</v>
      </c>
      <c r="C29894" t="s">
        <v>2444</v>
      </c>
      <c r="D29894">
        <v>1055</v>
      </c>
      <c r="E29894">
        <v>0</v>
      </c>
      <c r="F29894">
        <v>184</v>
      </c>
    </row>
    <row r="29895" spans="1:6" ht="12.75">
      <c r="A29895" s="2">
        <v>43875.562743055554</v>
      </c>
      <c r="B29895" t="str">
        <f>HYPERLINK("https://twitter.com/medcom_id","@medcom_id")</f>
        <v>@medcom_id</v>
      </c>
      <c r="C29895" t="s">
        <v>12824</v>
      </c>
      <c r="D29895">
        <v>0</v>
      </c>
      <c r="E29895">
        <v>0</v>
      </c>
      <c r="F29895">
        <v>18110</v>
      </c>
    </row>
    <row r="29896" spans="1:6" ht="12.75">
      <c r="A29896" s="2">
        <v>43875.562673611115</v>
      </c>
      <c r="B29896" t="str">
        <f>HYPERLINK("https://twitter.com/dsutanandika","@dsutanandika")</f>
        <v>@dsutanandika</v>
      </c>
      <c r="C29896" t="s">
        <v>12825</v>
      </c>
      <c r="D29896">
        <v>43</v>
      </c>
      <c r="E29896">
        <v>0</v>
      </c>
      <c r="F29896">
        <v>312</v>
      </c>
    </row>
    <row r="29897" spans="1:6" ht="12.75">
      <c r="A29897" s="2">
        <v>43875.562604166669</v>
      </c>
      <c r="B29897" t="str">
        <f>HYPERLINK("https://twitter.com/toshiyoni","@toshiyoni")</f>
        <v>@toshiyoni</v>
      </c>
      <c r="C29897" t="s">
        <v>2444</v>
      </c>
      <c r="D29897">
        <v>1055</v>
      </c>
      <c r="E29897">
        <v>0</v>
      </c>
      <c r="F29897">
        <v>264</v>
      </c>
    </row>
    <row r="29898" spans="1:6" ht="12.75">
      <c r="A29898" s="2">
        <v>43875.562534722223</v>
      </c>
      <c r="B29898" t="str">
        <f>HYPERLINK("https://twitter.com/BlueaAlice","@BlueaAlice")</f>
        <v>@BlueaAlice</v>
      </c>
      <c r="C29898" t="s">
        <v>11536</v>
      </c>
      <c r="D29898">
        <v>0</v>
      </c>
      <c r="E29898">
        <v>0</v>
      </c>
      <c r="F29898">
        <v>58</v>
      </c>
    </row>
    <row r="29899" spans="1:6" ht="12.75">
      <c r="A29899" s="2">
        <v>43875.562523148154</v>
      </c>
      <c r="B29899" t="str">
        <f>HYPERLINK("https://twitter.com/wwolvie","@wwolvie")</f>
        <v>@wwolvie</v>
      </c>
      <c r="C29899" t="s">
        <v>5168</v>
      </c>
      <c r="D29899">
        <v>644</v>
      </c>
      <c r="E29899">
        <v>0</v>
      </c>
      <c r="F29899">
        <v>2</v>
      </c>
    </row>
    <row r="29900" spans="1:6" ht="12.75">
      <c r="A29900" s="2">
        <v>43875.56248842593</v>
      </c>
      <c r="B29900" t="str">
        <f>HYPERLINK("https://twitter.com/HanokSae","@HanokSae")</f>
        <v>@HanokSae</v>
      </c>
      <c r="C29900" t="s">
        <v>11121</v>
      </c>
      <c r="D29900">
        <v>13</v>
      </c>
      <c r="E29900">
        <v>0</v>
      </c>
      <c r="F29900">
        <v>525</v>
      </c>
    </row>
    <row r="29901" spans="1:6" ht="12.75">
      <c r="A29901" s="2">
        <v>43875.562453703707</v>
      </c>
      <c r="B29901" t="str">
        <f>HYPERLINK("https://twitter.com/zlametabidin","@zlametabidin")</f>
        <v>@zlametabidin</v>
      </c>
      <c r="C29901" t="s">
        <v>12826</v>
      </c>
      <c r="D29901">
        <v>0</v>
      </c>
      <c r="E29901">
        <v>0</v>
      </c>
      <c r="F29901">
        <v>1770</v>
      </c>
    </row>
    <row r="29902" spans="1:6" ht="12.75">
      <c r="A29902" s="2">
        <v>43875.562395833331</v>
      </c>
      <c r="B29902" t="str">
        <f>HYPERLINK("https://twitter.com/uemdeee","@uemdeee")</f>
        <v>@uemdeee</v>
      </c>
      <c r="C29902" t="s">
        <v>2444</v>
      </c>
      <c r="D29902">
        <v>1055</v>
      </c>
      <c r="E29902">
        <v>0</v>
      </c>
      <c r="F29902">
        <v>153</v>
      </c>
    </row>
    <row r="29903" spans="1:6" ht="12.75">
      <c r="A29903" s="2">
        <v>43875.562384259261</v>
      </c>
      <c r="B29903" t="str">
        <f>HYPERLINK("https://twitter.com/SwaraKepri","@SwaraKepri")</f>
        <v>@SwaraKepri</v>
      </c>
      <c r="C29903" t="s">
        <v>12827</v>
      </c>
      <c r="D29903">
        <v>0</v>
      </c>
      <c r="E29903">
        <v>0</v>
      </c>
      <c r="F29903">
        <v>462</v>
      </c>
    </row>
    <row r="29904" spans="1:6" ht="12.75">
      <c r="A29904" s="2">
        <v>43875.562337962961</v>
      </c>
      <c r="B29904" t="str">
        <f>HYPERLINK("https://twitter.com/_UsbinDunda","@_UsbinDunda")</f>
        <v>@_UsbinDunda</v>
      </c>
      <c r="C29904" t="s">
        <v>12828</v>
      </c>
      <c r="D29904">
        <v>0</v>
      </c>
      <c r="E29904">
        <v>0</v>
      </c>
      <c r="F29904">
        <v>318</v>
      </c>
    </row>
    <row r="29905" spans="1:6" ht="12.75">
      <c r="A29905" s="2">
        <v>43875.562337962961</v>
      </c>
      <c r="B29905" t="str">
        <f>HYPERLINK("https://twitter.com/putputputgusput","@putputputgusput")</f>
        <v>@putputputgusput</v>
      </c>
      <c r="C29905" t="s">
        <v>2444</v>
      </c>
      <c r="D29905">
        <v>1055</v>
      </c>
      <c r="E29905">
        <v>0</v>
      </c>
      <c r="F29905">
        <v>51</v>
      </c>
    </row>
    <row r="29906" spans="1:6" ht="12.75">
      <c r="A29906" s="2">
        <v>43875.562326388885</v>
      </c>
      <c r="B29906" t="str">
        <f>HYPERLINK("https://twitter.com/stewiegriffxxx","@stewiegriffxxx")</f>
        <v>@stewiegriffxxx</v>
      </c>
      <c r="C29906" t="s">
        <v>12829</v>
      </c>
      <c r="D29906">
        <v>0</v>
      </c>
      <c r="E29906">
        <v>0</v>
      </c>
      <c r="F29906">
        <v>142</v>
      </c>
    </row>
    <row r="29907" spans="1:6" ht="12.75">
      <c r="A29907" s="2">
        <v>43875.562291666662</v>
      </c>
      <c r="B29907" t="str">
        <f>HYPERLINK("https://twitter.com/CapeUdah","@CapeUdah")</f>
        <v>@CapeUdah</v>
      </c>
      <c r="C29907" t="s">
        <v>12347</v>
      </c>
      <c r="D29907">
        <v>0</v>
      </c>
      <c r="E29907">
        <v>0</v>
      </c>
      <c r="F29907">
        <v>108</v>
      </c>
    </row>
    <row r="29908" spans="1:6" ht="12.75">
      <c r="A29908" s="2">
        <v>43875.5621412037</v>
      </c>
      <c r="B29908" t="str">
        <f>HYPERLINK("https://twitter.com/UCIKINI","@UCIKINI")</f>
        <v>@UCIKINI</v>
      </c>
      <c r="C29908" t="s">
        <v>12830</v>
      </c>
      <c r="D29908">
        <v>0</v>
      </c>
      <c r="E29908">
        <v>0</v>
      </c>
      <c r="F29908">
        <v>194</v>
      </c>
    </row>
    <row r="29909" spans="1:6" ht="12.75">
      <c r="A29909" s="2">
        <v>43875.5621412037</v>
      </c>
      <c r="B29909" t="str">
        <f>HYPERLINK("https://twitter.com/Ydmt5_","@Ydmt5_")</f>
        <v>@Ydmt5_</v>
      </c>
      <c r="C29909" t="s">
        <v>11536</v>
      </c>
      <c r="D29909">
        <v>0</v>
      </c>
      <c r="E29909">
        <v>0</v>
      </c>
      <c r="F29909">
        <v>70</v>
      </c>
    </row>
    <row r="29910" spans="1:6" ht="12.75">
      <c r="A29910" s="2">
        <v>43875.562083333338</v>
      </c>
      <c r="B29910" t="str">
        <f>HYPERLINK("https://twitter.com/ParmonanganRaja","@ParmonanganRaja")</f>
        <v>@ParmonanganRaja</v>
      </c>
      <c r="C29910" t="s">
        <v>5761</v>
      </c>
      <c r="D29910">
        <v>50</v>
      </c>
      <c r="E29910">
        <v>0</v>
      </c>
      <c r="F29910">
        <v>182</v>
      </c>
    </row>
    <row r="29911" spans="1:6" ht="12.75">
      <c r="A29911" s="2">
        <v>43875.562071759261</v>
      </c>
      <c r="B29911" t="str">
        <f>HYPERLINK("https://twitter.com/kaylikaay","@kaylikaay")</f>
        <v>@kaylikaay</v>
      </c>
      <c r="C29911" t="s">
        <v>10462</v>
      </c>
      <c r="D29911">
        <v>234</v>
      </c>
      <c r="E29911">
        <v>0</v>
      </c>
      <c r="F29911">
        <v>871</v>
      </c>
    </row>
    <row r="29912" spans="1:6" ht="12.75">
      <c r="A29912" s="2">
        <v>43875.562060185184</v>
      </c>
      <c r="B29912" t="str">
        <f>HYPERLINK("https://twitter.com/Isfy_fav","@Isfy_fav")</f>
        <v>@Isfy_fav</v>
      </c>
      <c r="C29912" t="s">
        <v>12831</v>
      </c>
      <c r="D29912">
        <v>0</v>
      </c>
      <c r="E29912">
        <v>0</v>
      </c>
      <c r="F29912">
        <v>112</v>
      </c>
    </row>
    <row r="29913" spans="1:6" ht="12.75">
      <c r="A29913" s="2">
        <v>43875.562013888892</v>
      </c>
      <c r="B29913" t="str">
        <f>HYPERLINK("https://twitter.com/Iwan_Jaychow2","@Iwan_Jaychow2")</f>
        <v>@Iwan_Jaychow2</v>
      </c>
      <c r="C29913" t="s">
        <v>12347</v>
      </c>
      <c r="D29913">
        <v>0</v>
      </c>
      <c r="E29913">
        <v>0</v>
      </c>
      <c r="F29913">
        <v>3295</v>
      </c>
    </row>
    <row r="29914" spans="1:6" ht="12.75">
      <c r="A29914" s="2">
        <v>43875.561898148153</v>
      </c>
      <c r="B29914" t="str">
        <f>HYPERLINK("https://twitter.com/Vincent74631391","@Vincent74631391")</f>
        <v>@Vincent74631391</v>
      </c>
      <c r="C29914" t="s">
        <v>9113</v>
      </c>
      <c r="D29914">
        <v>289</v>
      </c>
      <c r="E29914">
        <v>0</v>
      </c>
      <c r="F29914">
        <v>53</v>
      </c>
    </row>
    <row r="29915" spans="1:6" ht="12.75">
      <c r="A29915" s="2">
        <v>43875.56186342593</v>
      </c>
      <c r="B29915" t="str">
        <f>HYPERLINK("https://twitter.com/Rabbit4ss","@Rabbit4ss")</f>
        <v>@Rabbit4ss</v>
      </c>
      <c r="C29915" t="s">
        <v>12832</v>
      </c>
      <c r="D29915">
        <v>0</v>
      </c>
      <c r="E29915">
        <v>0</v>
      </c>
      <c r="F29915">
        <v>5</v>
      </c>
    </row>
    <row r="29916" spans="1:6" ht="12.75">
      <c r="A29916" s="2">
        <v>43875.561793981484</v>
      </c>
      <c r="B29916" t="str">
        <f>HYPERLINK("https://twitter.com/Rrachmat12","@Rrachmat12")</f>
        <v>@Rrachmat12</v>
      </c>
      <c r="C29916" t="s">
        <v>2444</v>
      </c>
      <c r="D29916">
        <v>1055</v>
      </c>
      <c r="E29916">
        <v>0</v>
      </c>
      <c r="F29916">
        <v>172</v>
      </c>
    </row>
    <row r="29917" spans="1:6" ht="12.75">
      <c r="A29917" s="2">
        <v>43875.561782407407</v>
      </c>
      <c r="B29917" t="str">
        <f>HYPERLINK("https://twitter.com/arsymaulani","@arsymaulani")</f>
        <v>@arsymaulani</v>
      </c>
      <c r="C29917" t="s">
        <v>12347</v>
      </c>
      <c r="D29917">
        <v>0</v>
      </c>
      <c r="E29917">
        <v>0</v>
      </c>
      <c r="F29917">
        <v>579</v>
      </c>
    </row>
    <row r="29918" spans="1:6" ht="12.75">
      <c r="A29918" s="2">
        <v>43875.561759259261</v>
      </c>
      <c r="B29918" t="str">
        <f>HYPERLINK("https://twitter.com/Mang_Adil","@Mang_Adil")</f>
        <v>@Mang_Adil</v>
      </c>
      <c r="C29918" t="s">
        <v>12833</v>
      </c>
      <c r="D29918">
        <v>0</v>
      </c>
      <c r="E29918">
        <v>2</v>
      </c>
      <c r="F29918">
        <v>143</v>
      </c>
    </row>
    <row r="29919" spans="1:6" ht="12.75">
      <c r="A29919" s="2">
        <v>43875.561736111107</v>
      </c>
      <c r="B29919" t="str">
        <f>HYPERLINK("https://twitter.com/radensastro7579","@radensastro7579")</f>
        <v>@radensastro7579</v>
      </c>
      <c r="C29919" t="s">
        <v>7478</v>
      </c>
      <c r="D29919">
        <v>61</v>
      </c>
      <c r="E29919">
        <v>0</v>
      </c>
      <c r="F29919">
        <v>467</v>
      </c>
    </row>
    <row r="29920" spans="1:6" ht="12.75">
      <c r="A29920" s="2">
        <v>43875.561655092592</v>
      </c>
      <c r="B29920" t="str">
        <f>HYPERLINK("https://twitter.com/dsutanandika","@dsutanandika")</f>
        <v>@dsutanandika</v>
      </c>
      <c r="C29920" t="s">
        <v>12834</v>
      </c>
      <c r="D29920">
        <v>417</v>
      </c>
      <c r="E29920">
        <v>0</v>
      </c>
      <c r="F29920">
        <v>312</v>
      </c>
    </row>
    <row r="29921" spans="1:6" ht="12.75">
      <c r="A29921" s="2">
        <v>43875.561585648145</v>
      </c>
      <c r="B29921" t="str">
        <f>HYPERLINK("https://twitter.com/heffheven","@heffheven")</f>
        <v>@heffheven</v>
      </c>
      <c r="C29921" t="s">
        <v>2444</v>
      </c>
      <c r="D29921">
        <v>1055</v>
      </c>
      <c r="E29921">
        <v>0</v>
      </c>
      <c r="F29921">
        <v>503</v>
      </c>
    </row>
    <row r="29922" spans="1:6" ht="12.75">
      <c r="A29922" s="2">
        <v>43875.561527777776</v>
      </c>
      <c r="B29922" t="str">
        <f>HYPERLINK("https://twitter.com/Yettidewi","@Yettidewi")</f>
        <v>@Yettidewi</v>
      </c>
      <c r="C29922" t="s">
        <v>12835</v>
      </c>
      <c r="D29922">
        <v>0</v>
      </c>
      <c r="E29922">
        <v>0</v>
      </c>
      <c r="F29922">
        <v>24549</v>
      </c>
    </row>
    <row r="29923" spans="1:6" ht="12.75">
      <c r="A29923" s="2">
        <v>43875.56144675926</v>
      </c>
      <c r="B29923" t="str">
        <f>HYPERLINK("https://twitter.com/iwankgt3838","@iwankgt3838")</f>
        <v>@iwankgt3838</v>
      </c>
      <c r="C29923" t="s">
        <v>9666</v>
      </c>
      <c r="D29923">
        <v>4</v>
      </c>
      <c r="E29923">
        <v>0</v>
      </c>
      <c r="F29923">
        <v>71</v>
      </c>
    </row>
    <row r="29924" spans="1:6" ht="12.75">
      <c r="A29924" s="2">
        <v>43875.561412037037</v>
      </c>
      <c r="B29924" t="str">
        <f>HYPERLINK("https://twitter.com/zlametabidin","@zlametabidin")</f>
        <v>@zlametabidin</v>
      </c>
      <c r="C29924" t="s">
        <v>9113</v>
      </c>
      <c r="D29924">
        <v>289</v>
      </c>
      <c r="E29924">
        <v>0</v>
      </c>
      <c r="F29924">
        <v>1770</v>
      </c>
    </row>
    <row r="29925" spans="1:6" ht="12.75">
      <c r="A29925" s="2">
        <v>43875.561307870375</v>
      </c>
      <c r="B29925" t="str">
        <f>HYPERLINK("https://twitter.com/Lyarahma10","@Lyarahma10")</f>
        <v>@Lyarahma10</v>
      </c>
      <c r="C29925" t="s">
        <v>11536</v>
      </c>
      <c r="D29925">
        <v>0</v>
      </c>
      <c r="E29925">
        <v>0</v>
      </c>
      <c r="F29925">
        <v>281</v>
      </c>
    </row>
    <row r="29926" spans="1:6" ht="12.75">
      <c r="A29926" s="2">
        <v>43875.561215277776</v>
      </c>
      <c r="B29926" t="str">
        <f>HYPERLINK("https://twitter.com/NitaSastrajiaji","@NitaSastrajiaji")</f>
        <v>@NitaSastrajiaji</v>
      </c>
      <c r="C29926" t="s">
        <v>12836</v>
      </c>
      <c r="D29926">
        <v>0</v>
      </c>
      <c r="E29926">
        <v>1</v>
      </c>
      <c r="F29926">
        <v>103</v>
      </c>
    </row>
    <row r="29927" spans="1:6" ht="12.75">
      <c r="A29927" s="2">
        <v>43875.561122685191</v>
      </c>
      <c r="B29927" t="str">
        <f>HYPERLINK("https://twitter.com/DhimazAriya","@DhimazAriya")</f>
        <v>@DhimazAriya</v>
      </c>
      <c r="C29927" t="s">
        <v>12837</v>
      </c>
      <c r="D29927">
        <v>1</v>
      </c>
      <c r="E29927">
        <v>3</v>
      </c>
      <c r="F29927">
        <v>1660</v>
      </c>
    </row>
    <row r="29928" spans="1:6" ht="12.75">
      <c r="A29928" s="2">
        <v>43875.561099537037</v>
      </c>
      <c r="B29928" t="str">
        <f>HYPERLINK("https://twitter.com/dian_osaka","@dian_osaka")</f>
        <v>@dian_osaka</v>
      </c>
      <c r="C29928" t="s">
        <v>2444</v>
      </c>
      <c r="D29928">
        <v>1055</v>
      </c>
      <c r="E29928">
        <v>0</v>
      </c>
      <c r="F29928">
        <v>77</v>
      </c>
    </row>
    <row r="29929" spans="1:6" ht="12.75">
      <c r="A29929" s="2">
        <v>43875.561006944445</v>
      </c>
      <c r="B29929" t="str">
        <f>HYPERLINK("https://twitter.com/psychosaligia","@psychosaligia")</f>
        <v>@psychosaligia</v>
      </c>
      <c r="C29929" t="s">
        <v>2963</v>
      </c>
      <c r="D29929">
        <v>821</v>
      </c>
      <c r="E29929">
        <v>0</v>
      </c>
      <c r="F29929">
        <v>70</v>
      </c>
    </row>
    <row r="29930" spans="1:6" ht="12.75">
      <c r="A29930" s="2">
        <v>43875.561006944445</v>
      </c>
      <c r="B29930" t="str">
        <f>HYPERLINK("https://twitter.com/Aden_GD","@Aden_GD")</f>
        <v>@Aden_GD</v>
      </c>
      <c r="C29930" t="s">
        <v>12347</v>
      </c>
      <c r="D29930">
        <v>0</v>
      </c>
      <c r="E29930">
        <v>0</v>
      </c>
      <c r="F29930">
        <v>172</v>
      </c>
    </row>
    <row r="29931" spans="1:6" ht="12.75">
      <c r="A29931" s="2">
        <v>43875.560983796298</v>
      </c>
      <c r="B29931" t="str">
        <f>HYPERLINK("https://twitter.com/Hidayatmursid","@Hidayatmursid")</f>
        <v>@Hidayatmursid</v>
      </c>
      <c r="C29931" t="s">
        <v>12838</v>
      </c>
      <c r="D29931">
        <v>0</v>
      </c>
      <c r="E29931">
        <v>0</v>
      </c>
      <c r="F29931">
        <v>776</v>
      </c>
    </row>
    <row r="29932" spans="1:6" ht="12.75">
      <c r="A29932" s="2">
        <v>43875.560914351852</v>
      </c>
      <c r="B29932" t="str">
        <f>HYPERLINK("https://twitter.com/milaandani","@milaandani")</f>
        <v>@milaandani</v>
      </c>
      <c r="C29932" t="s">
        <v>12839</v>
      </c>
      <c r="D29932">
        <v>0</v>
      </c>
      <c r="E29932">
        <v>0</v>
      </c>
      <c r="F29932">
        <v>720</v>
      </c>
    </row>
    <row r="29933" spans="1:6" ht="12.75">
      <c r="A29933" s="2">
        <v>43875.560787037037</v>
      </c>
      <c r="B29933" t="str">
        <f>HYPERLINK("https://twitter.com/juleehee","@juleehee")</f>
        <v>@juleehee</v>
      </c>
      <c r="C29933" t="s">
        <v>2444</v>
      </c>
      <c r="D29933">
        <v>1055</v>
      </c>
      <c r="E29933">
        <v>0</v>
      </c>
      <c r="F29933">
        <v>220</v>
      </c>
    </row>
    <row r="29934" spans="1:6" ht="12.75">
      <c r="A29934" s="2">
        <v>43875.560763888891</v>
      </c>
      <c r="B29934" t="str">
        <f>HYPERLINK("https://twitter.com/mydreamnctz","@mydreamnctz")</f>
        <v>@mydreamnctz</v>
      </c>
      <c r="C29934" t="s">
        <v>2444</v>
      </c>
      <c r="D29934">
        <v>1055</v>
      </c>
      <c r="E29934">
        <v>0</v>
      </c>
      <c r="F29934">
        <v>22</v>
      </c>
    </row>
    <row r="29935" spans="1:6" ht="12.75">
      <c r="A29935" s="2">
        <v>43875.560763888891</v>
      </c>
      <c r="B29935" t="str">
        <f>HYPERLINK("https://twitter.com/nissamaulina","@nissamaulina")</f>
        <v>@nissamaulina</v>
      </c>
      <c r="C29935" t="s">
        <v>12840</v>
      </c>
      <c r="D29935">
        <v>0</v>
      </c>
      <c r="E29935">
        <v>0</v>
      </c>
      <c r="F29935">
        <v>663</v>
      </c>
    </row>
    <row r="29936" spans="1:6" ht="12.75">
      <c r="A29936" s="2">
        <v>43875.560706018514</v>
      </c>
      <c r="B29936" t="str">
        <f>HYPERLINK("https://twitter.com/Alie_Fahnoor","@Alie_Fahnoor")</f>
        <v>@Alie_Fahnoor</v>
      </c>
      <c r="C29936" t="s">
        <v>7478</v>
      </c>
      <c r="D29936">
        <v>61</v>
      </c>
      <c r="E29936">
        <v>0</v>
      </c>
      <c r="F29936">
        <v>438</v>
      </c>
    </row>
    <row r="29937" spans="1:6" ht="12.75">
      <c r="A29937" s="2">
        <v>43875.560474537036</v>
      </c>
      <c r="B29937" t="str">
        <f>HYPERLINK("https://twitter.com/IntoGeisha","@IntoGeisha")</f>
        <v>@IntoGeisha</v>
      </c>
      <c r="C29937" t="s">
        <v>12347</v>
      </c>
      <c r="D29937">
        <v>0</v>
      </c>
      <c r="E29937">
        <v>0</v>
      </c>
      <c r="F29937">
        <v>160</v>
      </c>
    </row>
    <row r="29938" spans="1:6" ht="12.75">
      <c r="A29938" s="2">
        <v>43875.560474537036</v>
      </c>
      <c r="B29938" t="str">
        <f>HYPERLINK("https://twitter.com/inyukkk","@inyukkk")</f>
        <v>@inyukkk</v>
      </c>
      <c r="C29938" t="s">
        <v>2137</v>
      </c>
      <c r="D29938">
        <v>77</v>
      </c>
      <c r="E29938">
        <v>0</v>
      </c>
      <c r="F29938">
        <v>318</v>
      </c>
    </row>
    <row r="29939" spans="1:6" ht="12.75">
      <c r="A29939" s="2">
        <v>43875.56045138889</v>
      </c>
      <c r="B29939" t="str">
        <f>HYPERLINK("https://twitter.com/MochyShinki","@MochyShinki")</f>
        <v>@MochyShinki</v>
      </c>
      <c r="C29939" t="s">
        <v>2444</v>
      </c>
      <c r="D29939">
        <v>1055</v>
      </c>
      <c r="E29939">
        <v>0</v>
      </c>
      <c r="F29939">
        <v>1606</v>
      </c>
    </row>
    <row r="29940" spans="1:6" ht="12.75">
      <c r="A29940" s="2">
        <v>43875.560416666667</v>
      </c>
      <c r="B29940" t="str">
        <f>HYPERLINK("https://twitter.com/s4ty4b4ng","@s4ty4b4ng")</f>
        <v>@s4ty4b4ng</v>
      </c>
      <c r="C29940" t="s">
        <v>11536</v>
      </c>
      <c r="D29940">
        <v>0</v>
      </c>
      <c r="E29940">
        <v>0</v>
      </c>
      <c r="F29940">
        <v>725</v>
      </c>
    </row>
    <row r="29941" spans="1:6" ht="12.75">
      <c r="A29941" s="2">
        <v>43875.560393518521</v>
      </c>
      <c r="B29941" t="str">
        <f>HYPERLINK("https://twitter.com/pai_stroberi","@pai_stroberi")</f>
        <v>@pai_stroberi</v>
      </c>
      <c r="C29941" t="s">
        <v>12841</v>
      </c>
      <c r="D29941">
        <v>0</v>
      </c>
      <c r="E29941">
        <v>0</v>
      </c>
      <c r="F29941">
        <v>128</v>
      </c>
    </row>
    <row r="29942" spans="1:6" ht="12.75">
      <c r="A29942" s="2">
        <v>43875.560381944444</v>
      </c>
      <c r="B29942" t="str">
        <f>HYPERLINK("https://twitter.com/ZMarajo","@ZMarajo")</f>
        <v>@ZMarajo</v>
      </c>
      <c r="C29942" t="s">
        <v>10096</v>
      </c>
      <c r="D29942">
        <v>113</v>
      </c>
      <c r="E29942">
        <v>0</v>
      </c>
      <c r="F29942">
        <v>394</v>
      </c>
    </row>
    <row r="29943" spans="1:6" ht="12.75">
      <c r="A29943" s="2">
        <v>43875.560370370367</v>
      </c>
      <c r="B29943" t="str">
        <f>HYPERLINK("https://twitter.com/ZamanBadroez","@ZamanBadroez")</f>
        <v>@ZamanBadroez</v>
      </c>
      <c r="C29943" t="s">
        <v>9746</v>
      </c>
      <c r="D29943">
        <v>135</v>
      </c>
      <c r="E29943">
        <v>0</v>
      </c>
      <c r="F29943">
        <v>164</v>
      </c>
    </row>
    <row r="29944" spans="1:6" ht="12.75">
      <c r="A29944" s="2">
        <v>43875.560347222221</v>
      </c>
      <c r="B29944" t="str">
        <f>HYPERLINK("https://twitter.com/caffulet","@caffulet")</f>
        <v>@caffulet</v>
      </c>
      <c r="C29944" t="s">
        <v>12347</v>
      </c>
      <c r="D29944">
        <v>0</v>
      </c>
      <c r="E29944">
        <v>0</v>
      </c>
      <c r="F29944">
        <v>240</v>
      </c>
    </row>
    <row r="29945" spans="1:6" ht="12.75">
      <c r="A29945" s="2">
        <v>43875.560335648144</v>
      </c>
      <c r="B29945" t="str">
        <f>HYPERLINK("https://twitter.com/GadiesGelies","@GadiesGelies")</f>
        <v>@GadiesGelies</v>
      </c>
      <c r="C29945" t="s">
        <v>12347</v>
      </c>
      <c r="D29945">
        <v>0</v>
      </c>
      <c r="E29945">
        <v>0</v>
      </c>
      <c r="F29945">
        <v>223</v>
      </c>
    </row>
    <row r="29946" spans="1:6" ht="12.75">
      <c r="A29946" s="2">
        <v>43875.560324074075</v>
      </c>
      <c r="B29946" t="str">
        <f>HYPERLINK("https://twitter.com/fawwaz_96","@fawwaz_96")</f>
        <v>@fawwaz_96</v>
      </c>
      <c r="C29946" t="s">
        <v>11536</v>
      </c>
      <c r="D29946">
        <v>0</v>
      </c>
      <c r="E29946">
        <v>0</v>
      </c>
      <c r="F29946">
        <v>1821</v>
      </c>
    </row>
    <row r="29947" spans="1:6" ht="12.75">
      <c r="A29947" s="2">
        <v>43875.560300925921</v>
      </c>
      <c r="B29947" t="str">
        <f>HYPERLINK("https://twitter.com/IntanFanny1","@IntanFanny1")</f>
        <v>@IntanFanny1</v>
      </c>
      <c r="C29947" t="s">
        <v>11536</v>
      </c>
      <c r="D29947">
        <v>0</v>
      </c>
      <c r="E29947">
        <v>0</v>
      </c>
      <c r="F29947">
        <v>52</v>
      </c>
    </row>
    <row r="29948" spans="1:6" ht="12.75">
      <c r="A29948" s="2">
        <v>43875.560300925921</v>
      </c>
      <c r="B29948" t="str">
        <f>HYPERLINK("https://twitter.com/Cahyeahh","@Cahyeahh")</f>
        <v>@Cahyeahh</v>
      </c>
      <c r="C29948" t="s">
        <v>2444</v>
      </c>
      <c r="D29948">
        <v>1055</v>
      </c>
      <c r="E29948">
        <v>0</v>
      </c>
      <c r="F29948">
        <v>320</v>
      </c>
    </row>
    <row r="29949" spans="1:6" ht="12.75">
      <c r="A29949" s="2">
        <v>43875.560219907406</v>
      </c>
      <c r="B29949" t="str">
        <f>HYPERLINK("https://twitter.com/mahrusaf","@mahrusaf")</f>
        <v>@mahrusaf</v>
      </c>
      <c r="C29949" t="s">
        <v>2102</v>
      </c>
      <c r="D29949">
        <v>442</v>
      </c>
      <c r="E29949">
        <v>0</v>
      </c>
      <c r="F29949">
        <v>18</v>
      </c>
    </row>
    <row r="29950" spans="1:6" ht="12.75">
      <c r="A29950" s="2">
        <v>43875.560196759259</v>
      </c>
      <c r="B29950" t="str">
        <f>HYPERLINK("https://twitter.com/AkubukanRatu","@AkubukanRatu")</f>
        <v>@AkubukanRatu</v>
      </c>
      <c r="C29950" t="s">
        <v>11536</v>
      </c>
      <c r="D29950">
        <v>0</v>
      </c>
      <c r="E29950">
        <v>0</v>
      </c>
      <c r="F29950">
        <v>254</v>
      </c>
    </row>
    <row r="29951" spans="1:6" ht="12.75">
      <c r="A29951" s="2">
        <v>43875.560185185182</v>
      </c>
      <c r="B29951" t="str">
        <f>HYPERLINK("https://twitter.com/indramusuk","@indramusuk")</f>
        <v>@indramusuk</v>
      </c>
      <c r="C29951" t="s">
        <v>2963</v>
      </c>
      <c r="D29951">
        <v>821</v>
      </c>
      <c r="E29951">
        <v>0</v>
      </c>
      <c r="F29951">
        <v>349</v>
      </c>
    </row>
    <row r="29952" spans="1:6" ht="12.75">
      <c r="A29952" s="2">
        <v>43875.560185185182</v>
      </c>
      <c r="B29952" t="str">
        <f>HYPERLINK("https://twitter.com/bukansprt","@bukansprt")</f>
        <v>@bukansprt</v>
      </c>
      <c r="C29952" t="s">
        <v>11536</v>
      </c>
      <c r="D29952">
        <v>0</v>
      </c>
      <c r="E29952">
        <v>0</v>
      </c>
      <c r="F29952">
        <v>155</v>
      </c>
    </row>
    <row r="29953" spans="1:6" ht="12.75">
      <c r="A29953" s="2">
        <v>43875.560173611113</v>
      </c>
      <c r="B29953" t="str">
        <f>HYPERLINK("https://twitter.com/ariq_ridhwanaa","@ariq_ridhwanaa")</f>
        <v>@ariq_ridhwanaa</v>
      </c>
      <c r="C29953" t="s">
        <v>2963</v>
      </c>
      <c r="D29953">
        <v>821</v>
      </c>
      <c r="E29953">
        <v>0</v>
      </c>
      <c r="F29953">
        <v>75</v>
      </c>
    </row>
    <row r="29954" spans="1:6" ht="12.75">
      <c r="A29954" s="2">
        <v>43875.560162037036</v>
      </c>
      <c r="B29954" t="str">
        <f>HYPERLINK("https://twitter.com/Rudi_Gunawan24","@Rudi_Gunawan24")</f>
        <v>@Rudi_Gunawan24</v>
      </c>
      <c r="C29954" t="s">
        <v>11536</v>
      </c>
      <c r="D29954">
        <v>0</v>
      </c>
      <c r="E29954">
        <v>0</v>
      </c>
      <c r="F29954">
        <v>156</v>
      </c>
    </row>
    <row r="29955" spans="1:6" ht="12.75">
      <c r="A29955" s="2">
        <v>43875.560150462959</v>
      </c>
      <c r="B29955" t="str">
        <f>HYPERLINK("https://twitter.com/tsemangkamanis","@tsemangkamanis")</f>
        <v>@tsemangkamanis</v>
      </c>
      <c r="C29955" t="s">
        <v>11536</v>
      </c>
      <c r="D29955">
        <v>0</v>
      </c>
      <c r="E29955">
        <v>0</v>
      </c>
      <c r="F29955">
        <v>110</v>
      </c>
    </row>
    <row r="29956" spans="1:6" ht="12.75">
      <c r="A29956" s="2">
        <v>43875.560127314813</v>
      </c>
      <c r="B29956" t="str">
        <f>HYPERLINK("https://twitter.com/bukansprt","@bukansprt")</f>
        <v>@bukansprt</v>
      </c>
      <c r="C29956" t="s">
        <v>12347</v>
      </c>
      <c r="D29956">
        <v>0</v>
      </c>
      <c r="E29956">
        <v>0</v>
      </c>
      <c r="F29956">
        <v>155</v>
      </c>
    </row>
    <row r="29957" spans="1:6" ht="12.75">
      <c r="A29957" s="2">
        <v>43875.560081018513</v>
      </c>
      <c r="B29957" t="str">
        <f>HYPERLINK("https://twitter.com/dhe_puth","@dhe_puth")</f>
        <v>@dhe_puth</v>
      </c>
      <c r="C29957" t="s">
        <v>11536</v>
      </c>
      <c r="D29957">
        <v>0</v>
      </c>
      <c r="E29957">
        <v>0</v>
      </c>
      <c r="F29957">
        <v>60</v>
      </c>
    </row>
    <row r="29958" spans="1:6" ht="12.75">
      <c r="A29958" s="2">
        <v>43875.560081018513</v>
      </c>
      <c r="B29958" t="str">
        <f>HYPERLINK("https://twitter.com/girlwxkoo","@girlwxkoo")</f>
        <v>@girlwxkoo</v>
      </c>
      <c r="C29958" t="s">
        <v>11536</v>
      </c>
      <c r="D29958">
        <v>0</v>
      </c>
      <c r="E29958">
        <v>0</v>
      </c>
      <c r="F29958">
        <v>4419</v>
      </c>
    </row>
    <row r="29959" spans="1:6" ht="12.75">
      <c r="A29959" s="2">
        <v>43875.560057870374</v>
      </c>
      <c r="B29959" t="str">
        <f>HYPERLINK("https://twitter.com/Evi_YR","@Evi_YR")</f>
        <v>@Evi_YR</v>
      </c>
      <c r="C29959" t="s">
        <v>11536</v>
      </c>
      <c r="D29959">
        <v>0</v>
      </c>
      <c r="E29959">
        <v>0</v>
      </c>
      <c r="F29959">
        <v>152</v>
      </c>
    </row>
    <row r="29960" spans="1:6" ht="12.75">
      <c r="A29960" s="2">
        <v>43875.560046296298</v>
      </c>
      <c r="B29960" t="str">
        <f>HYPERLINK("https://twitter.com/lovemeeeharder","@lovemeeeharder")</f>
        <v>@lovemeeeharder</v>
      </c>
      <c r="C29960" t="s">
        <v>12842</v>
      </c>
      <c r="D29960">
        <v>0</v>
      </c>
      <c r="E29960">
        <v>0</v>
      </c>
      <c r="F29960">
        <v>4720</v>
      </c>
    </row>
    <row r="29961" spans="1:6" ht="12.75">
      <c r="A29961" s="2">
        <v>43875.560023148151</v>
      </c>
      <c r="B29961" t="str">
        <f>HYPERLINK("https://twitter.com/faridwa99955806","@faridwa99955806")</f>
        <v>@faridwa99955806</v>
      </c>
      <c r="C29961" t="s">
        <v>12843</v>
      </c>
      <c r="D29961">
        <v>3</v>
      </c>
      <c r="E29961">
        <v>0</v>
      </c>
      <c r="F29961">
        <v>41</v>
      </c>
    </row>
    <row r="29962" spans="1:6" ht="12.75">
      <c r="A29962" s="2">
        <v>43875.560023148151</v>
      </c>
      <c r="B29962" t="str">
        <f>HYPERLINK("https://twitter.com/EGAerisca","@EGAerisca")</f>
        <v>@EGAerisca</v>
      </c>
      <c r="C29962" t="s">
        <v>8233</v>
      </c>
      <c r="D29962">
        <v>433</v>
      </c>
      <c r="E29962">
        <v>0</v>
      </c>
      <c r="F29962">
        <v>316</v>
      </c>
    </row>
    <row r="29963" spans="1:6" ht="12.75">
      <c r="A29963" s="2">
        <v>43875.56</v>
      </c>
      <c r="B29963" t="str">
        <f>HYPERLINK("https://twitter.com/JohnIrwan4","@JohnIrwan4")</f>
        <v>@JohnIrwan4</v>
      </c>
      <c r="C29963" t="s">
        <v>12844</v>
      </c>
      <c r="D29963">
        <v>1</v>
      </c>
      <c r="E29963">
        <v>0</v>
      </c>
      <c r="F29963">
        <v>2115</v>
      </c>
    </row>
    <row r="29964" spans="1:6" ht="12.75">
      <c r="A29964" s="2">
        <v>43875.559988425928</v>
      </c>
      <c r="B29964" t="str">
        <f>HYPERLINK("https://twitter.com/Melatipagii","@Melatipagii")</f>
        <v>@Melatipagii</v>
      </c>
      <c r="C29964" t="s">
        <v>11536</v>
      </c>
      <c r="D29964">
        <v>0</v>
      </c>
      <c r="E29964">
        <v>0</v>
      </c>
      <c r="F29964">
        <v>42</v>
      </c>
    </row>
    <row r="29965" spans="1:6" ht="12.75">
      <c r="A29965" s="2">
        <v>43875.559965277775</v>
      </c>
      <c r="B29965" t="str">
        <f>HYPERLINK("https://twitter.com/urip_murup","@urip_murup")</f>
        <v>@urip_murup</v>
      </c>
      <c r="C29965" t="s">
        <v>12845</v>
      </c>
      <c r="D29965">
        <v>43</v>
      </c>
      <c r="E29965">
        <v>0</v>
      </c>
      <c r="F29965">
        <v>228</v>
      </c>
    </row>
    <row r="29966" spans="1:6" ht="12.75">
      <c r="A29966" s="2">
        <v>43875.559930555552</v>
      </c>
      <c r="B29966" t="str">
        <f>HYPERLINK("https://twitter.com/GadiesGelies","@GadiesGelies")</f>
        <v>@GadiesGelies</v>
      </c>
      <c r="C29966" t="s">
        <v>11536</v>
      </c>
      <c r="D29966">
        <v>0</v>
      </c>
      <c r="E29966">
        <v>0</v>
      </c>
      <c r="F29966">
        <v>223</v>
      </c>
    </row>
    <row r="29967" spans="1:6" ht="12.75">
      <c r="A29967" s="2">
        <v>43875.559895833328</v>
      </c>
      <c r="B29967" t="str">
        <f>HYPERLINK("https://twitter.com/AyunindyaRizkya","@AyunindyaRizkya")</f>
        <v>@AyunindyaRizkya</v>
      </c>
      <c r="C29967" t="s">
        <v>12846</v>
      </c>
      <c r="D29967">
        <v>1</v>
      </c>
      <c r="E29967">
        <v>0</v>
      </c>
      <c r="F29967">
        <v>3557</v>
      </c>
    </row>
    <row r="29968" spans="1:6" ht="12.75">
      <c r="A29968" s="2">
        <v>43875.559884259259</v>
      </c>
      <c r="B29968" t="str">
        <f>HYPERLINK("https://twitter.com/missminimono","@missminimono")</f>
        <v>@missminimono</v>
      </c>
      <c r="C29968" t="s">
        <v>5168</v>
      </c>
      <c r="D29968">
        <v>644</v>
      </c>
      <c r="E29968">
        <v>0</v>
      </c>
      <c r="F29968">
        <v>277</v>
      </c>
    </row>
    <row r="29969" spans="1:6" ht="12.75">
      <c r="A29969" s="2">
        <v>43875.559884259259</v>
      </c>
      <c r="B29969" t="str">
        <f>HYPERLINK("https://twitter.com/masalalumuuu","@masalalumuuu")</f>
        <v>@masalalumuuu</v>
      </c>
      <c r="C29969" t="s">
        <v>11536</v>
      </c>
      <c r="D29969">
        <v>0</v>
      </c>
      <c r="E29969">
        <v>0</v>
      </c>
      <c r="F29969">
        <v>19</v>
      </c>
    </row>
    <row r="29970" spans="1:6" ht="12.75">
      <c r="A29970" s="2">
        <v>43875.559884259259</v>
      </c>
      <c r="B29970" t="str">
        <f>HYPERLINK("https://twitter.com/roon3651","@roon3651")</f>
        <v>@roon3651</v>
      </c>
      <c r="C29970" t="s">
        <v>9746</v>
      </c>
      <c r="D29970">
        <v>135</v>
      </c>
      <c r="E29970">
        <v>0</v>
      </c>
      <c r="F29970">
        <v>381</v>
      </c>
    </row>
    <row r="29971" spans="1:6" ht="12.75">
      <c r="A29971" s="2">
        <v>43875.559849537036</v>
      </c>
      <c r="B29971" t="str">
        <f>HYPERLINK("https://twitter.com/Noveepio","@Noveepio")</f>
        <v>@Noveepio</v>
      </c>
      <c r="C29971" t="s">
        <v>11536</v>
      </c>
      <c r="D29971">
        <v>0</v>
      </c>
      <c r="E29971">
        <v>0</v>
      </c>
      <c r="F29971">
        <v>1971</v>
      </c>
    </row>
    <row r="29972" spans="1:6" ht="12.75">
      <c r="A29972" s="2">
        <v>43875.559837962966</v>
      </c>
      <c r="B29972" t="str">
        <f>HYPERLINK("https://twitter.com/masbhe","@masbhe")</f>
        <v>@masbhe</v>
      </c>
      <c r="C29972" t="s">
        <v>10109</v>
      </c>
      <c r="D29972">
        <v>20</v>
      </c>
      <c r="E29972">
        <v>0</v>
      </c>
      <c r="F29972">
        <v>412</v>
      </c>
    </row>
    <row r="29973" spans="1:6" ht="12.75">
      <c r="A29973" s="2">
        <v>43875.559837962966</v>
      </c>
      <c r="B29973" t="str">
        <f>HYPERLINK("https://twitter.com/mochpratama7","@mochpratama7")</f>
        <v>@mochpratama7</v>
      </c>
      <c r="C29973" t="s">
        <v>12847</v>
      </c>
      <c r="D29973">
        <v>1</v>
      </c>
      <c r="E29973">
        <v>0</v>
      </c>
      <c r="F29973">
        <v>314</v>
      </c>
    </row>
    <row r="29974" spans="1:6" ht="12.75">
      <c r="A29974" s="2">
        <v>43875.55982638889</v>
      </c>
      <c r="B29974" t="str">
        <f>HYPERLINK("https://twitter.com/desukardi18","@desukardi18")</f>
        <v>@desukardi18</v>
      </c>
      <c r="C29974" t="s">
        <v>12848</v>
      </c>
      <c r="D29974">
        <v>0</v>
      </c>
      <c r="E29974">
        <v>0</v>
      </c>
      <c r="F29974">
        <v>396</v>
      </c>
    </row>
    <row r="29975" spans="1:6" ht="12.75">
      <c r="A29975" s="2">
        <v>43875.559733796297</v>
      </c>
      <c r="B29975" t="str">
        <f>HYPERLINK("https://twitter.com/EGAerisca","@EGAerisca")</f>
        <v>@EGAerisca</v>
      </c>
      <c r="C29975" t="s">
        <v>10360</v>
      </c>
      <c r="D29975">
        <v>25</v>
      </c>
      <c r="E29975">
        <v>0</v>
      </c>
      <c r="F29975">
        <v>316</v>
      </c>
    </row>
    <row r="29976" spans="1:6" ht="12.75">
      <c r="A29976" s="2">
        <v>43875.559699074074</v>
      </c>
      <c r="B29976" t="str">
        <f>HYPERLINK("https://twitter.com/Daniipratamaa","@Daniipratamaa")</f>
        <v>@Daniipratamaa</v>
      </c>
      <c r="C29976" t="s">
        <v>10266</v>
      </c>
      <c r="D29976">
        <v>262</v>
      </c>
      <c r="E29976">
        <v>0</v>
      </c>
      <c r="F29976">
        <v>26</v>
      </c>
    </row>
    <row r="29977" spans="1:6" ht="12.75">
      <c r="A29977" s="2">
        <v>43875.559664351851</v>
      </c>
      <c r="B29977" t="str">
        <f>HYPERLINK("https://twitter.com/BaliHanafi","@BaliHanafi")</f>
        <v>@BaliHanafi</v>
      </c>
      <c r="C29977" t="s">
        <v>12849</v>
      </c>
      <c r="D29977">
        <v>66</v>
      </c>
      <c r="E29977">
        <v>0</v>
      </c>
      <c r="F29977">
        <v>402</v>
      </c>
    </row>
    <row r="29978" spans="1:6" ht="12.75">
      <c r="A29978" s="2">
        <v>43875.559594907405</v>
      </c>
      <c r="B29978" t="str">
        <f>HYPERLINK("https://twitter.com/kaidante_","@kaidante_")</f>
        <v>@kaidante_</v>
      </c>
      <c r="C29978" t="s">
        <v>9964</v>
      </c>
      <c r="D29978">
        <v>572</v>
      </c>
      <c r="E29978">
        <v>0</v>
      </c>
      <c r="F29978">
        <v>793</v>
      </c>
    </row>
    <row r="29979" spans="1:6" ht="12.75">
      <c r="A29979" s="2">
        <v>43875.559560185182</v>
      </c>
      <c r="B29979" t="str">
        <f>HYPERLINK("https://twitter.com/seftirahayuuu","@seftirahayuuu")</f>
        <v>@seftirahayuuu</v>
      </c>
      <c r="C29979" t="s">
        <v>12850</v>
      </c>
      <c r="D29979">
        <v>0</v>
      </c>
      <c r="E29979">
        <v>0</v>
      </c>
      <c r="F29979">
        <v>30</v>
      </c>
    </row>
    <row r="29980" spans="1:6" ht="12.75">
      <c r="A29980" s="2">
        <v>43875.559548611112</v>
      </c>
      <c r="B29980" t="str">
        <f>HYPERLINK("https://twitter.com/Peyang_bagor","@Peyang_bagor")</f>
        <v>@Peyang_bagor</v>
      </c>
      <c r="C29980" t="s">
        <v>11536</v>
      </c>
      <c r="D29980">
        <v>0</v>
      </c>
      <c r="E29980">
        <v>0</v>
      </c>
      <c r="F29980">
        <v>103</v>
      </c>
    </row>
    <row r="29981" spans="1:6" ht="12.75">
      <c r="A29981" s="2">
        <v>43875.559537037036</v>
      </c>
      <c r="B29981" t="str">
        <f>HYPERLINK("https://twitter.com/alijoker09","@alijoker09")</f>
        <v>@alijoker09</v>
      </c>
      <c r="C29981" t="s">
        <v>9746</v>
      </c>
      <c r="D29981">
        <v>135</v>
      </c>
      <c r="E29981">
        <v>0</v>
      </c>
      <c r="F29981">
        <v>386</v>
      </c>
    </row>
    <row r="29982" spans="1:6" ht="12.75">
      <c r="A29982" s="2">
        <v>43875.55945601852</v>
      </c>
      <c r="B29982" t="str">
        <f>HYPERLINK("https://twitter.com/baruwari","@baruwari")</f>
        <v>@baruwari</v>
      </c>
      <c r="C29982" t="s">
        <v>11536</v>
      </c>
      <c r="D29982">
        <v>0</v>
      </c>
      <c r="E29982">
        <v>0</v>
      </c>
      <c r="F29982">
        <v>216</v>
      </c>
    </row>
    <row r="29983" spans="1:6" ht="12.75">
      <c r="A29983" s="2">
        <v>43875.55940972222</v>
      </c>
      <c r="B29983" t="str">
        <f>HYPERLINK("https://twitter.com/SahlanAmin4","@SahlanAmin4")</f>
        <v>@SahlanAmin4</v>
      </c>
      <c r="C29983" t="s">
        <v>5761</v>
      </c>
      <c r="D29983">
        <v>50</v>
      </c>
      <c r="E29983">
        <v>0</v>
      </c>
      <c r="F29983">
        <v>615</v>
      </c>
    </row>
    <row r="29984" spans="1:6" ht="12.75">
      <c r="A29984" s="2">
        <v>43875.559398148151</v>
      </c>
      <c r="B29984" t="str">
        <f>HYPERLINK("https://twitter.com/AcepWaluyo","@AcepWaluyo")</f>
        <v>@AcepWaluyo</v>
      </c>
      <c r="C29984" t="s">
        <v>7478</v>
      </c>
      <c r="D29984">
        <v>61</v>
      </c>
      <c r="E29984">
        <v>0</v>
      </c>
      <c r="F29984">
        <v>169</v>
      </c>
    </row>
    <row r="29985" spans="1:6" ht="12.75">
      <c r="A29985" s="2">
        <v>43875.559328703705</v>
      </c>
      <c r="B29985" t="str">
        <f>HYPERLINK("https://twitter.com/Asepgranat12","@Asepgranat12")</f>
        <v>@Asepgranat12</v>
      </c>
      <c r="C29985" t="s">
        <v>11536</v>
      </c>
      <c r="D29985">
        <v>0</v>
      </c>
      <c r="E29985">
        <v>0</v>
      </c>
      <c r="F29985">
        <v>81</v>
      </c>
    </row>
    <row r="29986" spans="1:6" ht="12.75">
      <c r="A29986" s="2">
        <v>43875.559236111112</v>
      </c>
      <c r="B29986" t="str">
        <f>HYPERLINK("https://twitter.com/mujur_bae","@mujur_bae")</f>
        <v>@mujur_bae</v>
      </c>
      <c r="C29986" t="s">
        <v>12347</v>
      </c>
      <c r="D29986">
        <v>0</v>
      </c>
      <c r="E29986">
        <v>0</v>
      </c>
      <c r="F29986">
        <v>441</v>
      </c>
    </row>
    <row r="29987" spans="1:6" ht="12.75">
      <c r="A29987" s="2">
        <v>43875.559224537035</v>
      </c>
      <c r="B29987" t="str">
        <f>HYPERLINK("https://twitter.com/zamxu","@zamxu")</f>
        <v>@zamxu</v>
      </c>
      <c r="C29987" t="s">
        <v>11536</v>
      </c>
      <c r="D29987">
        <v>0</v>
      </c>
      <c r="E29987">
        <v>0</v>
      </c>
      <c r="F29987">
        <v>80</v>
      </c>
    </row>
    <row r="29988" spans="1:6" ht="12.75">
      <c r="A29988" s="2">
        <v>43875.559166666666</v>
      </c>
      <c r="B29988" t="str">
        <f>HYPERLINK("https://twitter.com/RidwanRoti","@RidwanRoti")</f>
        <v>@RidwanRoti</v>
      </c>
      <c r="C29988" t="s">
        <v>12851</v>
      </c>
      <c r="D29988">
        <v>0</v>
      </c>
      <c r="E29988">
        <v>0</v>
      </c>
      <c r="F29988">
        <v>130</v>
      </c>
    </row>
    <row r="29989" spans="1:6" ht="12.75">
      <c r="A29989" s="2">
        <v>43875.55914351852</v>
      </c>
      <c r="B29989" t="str">
        <f>HYPERLINK("https://twitter.com/Hanifa27Love","@Hanifa27Love")</f>
        <v>@Hanifa27Love</v>
      </c>
      <c r="C29989" t="s">
        <v>11536</v>
      </c>
      <c r="D29989">
        <v>0</v>
      </c>
      <c r="E29989">
        <v>0</v>
      </c>
      <c r="F29989">
        <v>256</v>
      </c>
    </row>
    <row r="29990" spans="1:6" ht="12.75">
      <c r="A29990" s="2">
        <v>43875.558993055558</v>
      </c>
      <c r="B29990" t="str">
        <f>HYPERLINK("https://twitter.com/07_liest","@07_liest")</f>
        <v>@07_liest</v>
      </c>
      <c r="C29990" t="s">
        <v>10237</v>
      </c>
      <c r="D29990">
        <v>43</v>
      </c>
      <c r="E29990">
        <v>0</v>
      </c>
      <c r="F29990">
        <v>132</v>
      </c>
    </row>
    <row r="29991" spans="1:6" ht="12.75">
      <c r="A29991" s="2">
        <v>43875.558958333335</v>
      </c>
      <c r="B29991" t="str">
        <f>HYPERLINK("https://twitter.com/birudoker","@birudoker")</f>
        <v>@birudoker</v>
      </c>
      <c r="C29991" t="s">
        <v>12347</v>
      </c>
      <c r="D29991">
        <v>0</v>
      </c>
      <c r="E29991">
        <v>0</v>
      </c>
      <c r="F29991">
        <v>870</v>
      </c>
    </row>
    <row r="29992" spans="1:6" ht="12.75">
      <c r="A29992" s="2">
        <v>43875.558946759258</v>
      </c>
      <c r="B29992" t="str">
        <f>HYPERLINK("https://twitter.com/DrOtoy","@DrOtoy")</f>
        <v>@DrOtoy</v>
      </c>
      <c r="C29992" t="s">
        <v>12852</v>
      </c>
      <c r="D29992">
        <v>0</v>
      </c>
      <c r="E29992">
        <v>0</v>
      </c>
      <c r="F29992">
        <v>229</v>
      </c>
    </row>
    <row r="29993" spans="1:6" ht="12.75">
      <c r="A29993" s="2">
        <v>43875.558923611112</v>
      </c>
      <c r="B29993" t="str">
        <f>HYPERLINK("https://twitter.com/PasukanKunang2","@PasukanKunang2")</f>
        <v>@PasukanKunang2</v>
      </c>
      <c r="C29993" t="s">
        <v>12853</v>
      </c>
      <c r="D29993">
        <v>0</v>
      </c>
      <c r="E29993">
        <v>0</v>
      </c>
      <c r="F29993">
        <v>38</v>
      </c>
    </row>
    <row r="29994" spans="1:6" ht="12.75">
      <c r="A29994" s="2">
        <v>43875.558923611112</v>
      </c>
      <c r="B29994" t="str">
        <f>HYPERLINK("https://twitter.com/RidwanRoti","@RidwanRoti")</f>
        <v>@RidwanRoti</v>
      </c>
      <c r="C29994" t="s">
        <v>12854</v>
      </c>
      <c r="D29994">
        <v>0</v>
      </c>
      <c r="E29994">
        <v>0</v>
      </c>
      <c r="F29994">
        <v>130</v>
      </c>
    </row>
    <row r="29995" spans="1:6" ht="12.75">
      <c r="A29995" s="2">
        <v>43875.558900462958</v>
      </c>
      <c r="B29995" t="str">
        <f>HYPERLINK("https://twitter.com/faridwa99955806","@faridwa99955806")</f>
        <v>@faridwa99955806</v>
      </c>
      <c r="C29995" t="s">
        <v>12080</v>
      </c>
      <c r="D29995">
        <v>19</v>
      </c>
      <c r="E29995">
        <v>0</v>
      </c>
      <c r="F29995">
        <v>41</v>
      </c>
    </row>
    <row r="29996" spans="1:6" ht="12.75">
      <c r="A29996" s="2">
        <v>43875.558900462958</v>
      </c>
      <c r="B29996" t="str">
        <f>HYPERLINK("https://twitter.com/hasby_willy","@hasby_willy")</f>
        <v>@hasby_willy</v>
      </c>
      <c r="C29996" t="s">
        <v>12855</v>
      </c>
      <c r="D29996">
        <v>0</v>
      </c>
      <c r="E29996">
        <v>0</v>
      </c>
      <c r="F29996">
        <v>2931</v>
      </c>
    </row>
    <row r="29997" spans="1:6" ht="12.75">
      <c r="A29997" s="2">
        <v>43875.558888888889</v>
      </c>
      <c r="B29997" t="str">
        <f>HYPERLINK("https://twitter.com/djanuanti","@djanuanti")</f>
        <v>@djanuanti</v>
      </c>
      <c r="C29997" t="s">
        <v>2444</v>
      </c>
      <c r="D29997">
        <v>1055</v>
      </c>
      <c r="E29997">
        <v>0</v>
      </c>
      <c r="F29997">
        <v>471</v>
      </c>
    </row>
    <row r="29998" spans="1:6" ht="12.75">
      <c r="A29998" s="2">
        <v>43875.558842592596</v>
      </c>
      <c r="B29998" t="str">
        <f>HYPERLINK("https://twitter.com/WinarsihParis","@WinarsihParis")</f>
        <v>@WinarsihParis</v>
      </c>
      <c r="C29998" t="s">
        <v>12856</v>
      </c>
      <c r="D29998">
        <v>0</v>
      </c>
      <c r="E29998">
        <v>0</v>
      </c>
      <c r="F29998">
        <v>81</v>
      </c>
    </row>
    <row r="29999" spans="1:6" ht="12.75">
      <c r="A29999" s="2">
        <v>43875.558807870373</v>
      </c>
      <c r="B29999" t="str">
        <f>HYPERLINK("https://twitter.com/fiqihfabulous","@fiqihfabulous")</f>
        <v>@fiqihfabulous</v>
      </c>
      <c r="C29999" t="s">
        <v>2444</v>
      </c>
      <c r="D29999">
        <v>1055</v>
      </c>
      <c r="E29999">
        <v>0</v>
      </c>
      <c r="F29999">
        <v>1061</v>
      </c>
    </row>
    <row r="30000" spans="1:6" ht="12.75">
      <c r="A30000" s="2">
        <v>43875.55878472222</v>
      </c>
      <c r="B30000" t="str">
        <f>HYPERLINK("https://twitter.com/ansigilang","@ansigilang")</f>
        <v>@ansigilang</v>
      </c>
      <c r="C30000" t="s">
        <v>2444</v>
      </c>
      <c r="D30000">
        <v>1055</v>
      </c>
      <c r="E30000">
        <v>0</v>
      </c>
      <c r="F30000">
        <v>388</v>
      </c>
    </row>
    <row r="30001" spans="1:6" ht="12.75">
      <c r="A30001" s="2">
        <v>43875.558761574073</v>
      </c>
      <c r="B30001" t="str">
        <f>HYPERLINK("https://twitter.com/rachmarach__","@rachmarach__")</f>
        <v>@rachmarach__</v>
      </c>
      <c r="C30001" t="s">
        <v>2444</v>
      </c>
      <c r="D30001">
        <v>1055</v>
      </c>
      <c r="E30001">
        <v>0</v>
      </c>
      <c r="F30001">
        <v>280</v>
      </c>
    </row>
    <row r="30002" spans="1:6" ht="12.75">
      <c r="A30002" s="2">
        <v>43875.558657407411</v>
      </c>
      <c r="B30002" t="str">
        <f>HYPERLINK("https://twitter.com/fah_mi20","@fah_mi20")</f>
        <v>@fah_mi20</v>
      </c>
      <c r="C30002" t="s">
        <v>175</v>
      </c>
      <c r="D30002">
        <v>5273</v>
      </c>
      <c r="E30002">
        <v>0</v>
      </c>
      <c r="F30002">
        <v>16</v>
      </c>
    </row>
    <row r="30003" spans="1:6" ht="12.75">
      <c r="A30003" s="2">
        <v>43875.558645833335</v>
      </c>
      <c r="B30003" t="str">
        <f>HYPERLINK("https://twitter.com/rangermera","@rangermera")</f>
        <v>@rangermera</v>
      </c>
      <c r="C30003" t="s">
        <v>12857</v>
      </c>
      <c r="D30003">
        <v>0</v>
      </c>
      <c r="E30003">
        <v>0</v>
      </c>
      <c r="F30003">
        <v>82</v>
      </c>
    </row>
    <row r="30004" spans="1:6" ht="12.75">
      <c r="A30004" s="2">
        <v>43875.558634259258</v>
      </c>
      <c r="B30004" t="str">
        <f>HYPERLINK("https://twitter.com/inisialyss_","@inisialyss_")</f>
        <v>@inisialyss_</v>
      </c>
      <c r="C30004" t="s">
        <v>12347</v>
      </c>
      <c r="D30004">
        <v>0</v>
      </c>
      <c r="E30004">
        <v>0</v>
      </c>
      <c r="F30004">
        <v>94</v>
      </c>
    </row>
    <row r="30005" spans="1:6" ht="12.75">
      <c r="A30005" s="2">
        <v>43875.558622685188</v>
      </c>
      <c r="B30005" t="str">
        <f>HYPERLINK("https://twitter.com/irulsaja21","@irulsaja21")</f>
        <v>@irulsaja21</v>
      </c>
      <c r="C30005" t="s">
        <v>11536</v>
      </c>
      <c r="D30005">
        <v>0</v>
      </c>
      <c r="E30005">
        <v>0</v>
      </c>
      <c r="F30005">
        <v>55</v>
      </c>
    </row>
    <row r="30006" spans="1:6" ht="12.75">
      <c r="A30006" s="2">
        <v>43875.558599537035</v>
      </c>
      <c r="B30006" t="str">
        <f>HYPERLINK("https://twitter.com/SunardiGiman1","@SunardiGiman1")</f>
        <v>@SunardiGiman1</v>
      </c>
      <c r="C30006" t="s">
        <v>7478</v>
      </c>
      <c r="D30006">
        <v>61</v>
      </c>
      <c r="E30006">
        <v>0</v>
      </c>
      <c r="F30006">
        <v>1072</v>
      </c>
    </row>
    <row r="30007" spans="1:6" ht="12.75">
      <c r="A30007" s="2">
        <v>43875.558587962965</v>
      </c>
      <c r="B30007" t="str">
        <f>HYPERLINK("https://twitter.com/Faizzahoox","@Faizzahoox")</f>
        <v>@Faizzahoox</v>
      </c>
      <c r="C30007" t="s">
        <v>12858</v>
      </c>
      <c r="D30007">
        <v>0</v>
      </c>
      <c r="E30007">
        <v>1</v>
      </c>
      <c r="F30007">
        <v>462</v>
      </c>
    </row>
    <row r="30008" spans="1:6" ht="12.75">
      <c r="A30008" s="2">
        <v>43875.558518518519</v>
      </c>
      <c r="B30008" t="str">
        <f>HYPERLINK("https://twitter.com/juandibob","@juandibob")</f>
        <v>@juandibob</v>
      </c>
      <c r="C30008" t="s">
        <v>9746</v>
      </c>
      <c r="D30008">
        <v>135</v>
      </c>
      <c r="E30008">
        <v>0</v>
      </c>
      <c r="F30008">
        <v>381</v>
      </c>
    </row>
    <row r="30009" spans="1:6" ht="12.75">
      <c r="A30009" s="2">
        <v>43875.558437500003</v>
      </c>
      <c r="B30009" t="str">
        <f>HYPERLINK("https://twitter.com/jisuserang","@jisuserang")</f>
        <v>@jisuserang</v>
      </c>
      <c r="C30009" t="s">
        <v>2444</v>
      </c>
      <c r="D30009">
        <v>1055</v>
      </c>
      <c r="E30009">
        <v>0</v>
      </c>
      <c r="F30009">
        <v>901</v>
      </c>
    </row>
    <row r="30010" spans="1:6" ht="12.75">
      <c r="A30010" s="2">
        <v>43875.558425925927</v>
      </c>
      <c r="B30010" t="str">
        <f>HYPERLINK("https://twitter.com/girlcrush520","@girlcrush520")</f>
        <v>@girlcrush520</v>
      </c>
      <c r="C30010" t="s">
        <v>5168</v>
      </c>
      <c r="D30010">
        <v>644</v>
      </c>
      <c r="E30010">
        <v>0</v>
      </c>
      <c r="F30010">
        <v>92</v>
      </c>
    </row>
    <row r="30011" spans="1:6" ht="12.75">
      <c r="A30011" s="2">
        <v>43875.55841435185</v>
      </c>
      <c r="B30011" t="str">
        <f>HYPERLINK("https://twitter.com/AderadianDian","@AderadianDian")</f>
        <v>@AderadianDian</v>
      </c>
      <c r="C30011" t="s">
        <v>12854</v>
      </c>
      <c r="D30011">
        <v>0</v>
      </c>
      <c r="E30011">
        <v>0</v>
      </c>
      <c r="F30011">
        <v>46</v>
      </c>
    </row>
    <row r="30012" spans="1:6" ht="12.75">
      <c r="A30012" s="2">
        <v>43875.558356481481</v>
      </c>
      <c r="B30012" t="str">
        <f>HYPERLINK("https://twitter.com/AliTarsono1","@AliTarsono1")</f>
        <v>@AliTarsono1</v>
      </c>
      <c r="C30012" t="s">
        <v>12859</v>
      </c>
      <c r="D30012">
        <v>0</v>
      </c>
      <c r="E30012">
        <v>0</v>
      </c>
      <c r="F30012">
        <v>26</v>
      </c>
    </row>
    <row r="30013" spans="1:6" ht="12.75">
      <c r="A30013" s="2">
        <v>43875.558356481481</v>
      </c>
      <c r="B30013" t="str">
        <f>HYPERLINK("https://twitter.com/Bocahk3mplung","@Bocahk3mplung")</f>
        <v>@Bocahk3mplung</v>
      </c>
      <c r="C30013" t="s">
        <v>11536</v>
      </c>
      <c r="D30013">
        <v>0</v>
      </c>
      <c r="E30013">
        <v>0</v>
      </c>
      <c r="F30013">
        <v>21</v>
      </c>
    </row>
    <row r="30014" spans="1:6" ht="12.75">
      <c r="A30014" s="2">
        <v>43875.558321759258</v>
      </c>
      <c r="B30014" t="str">
        <f>HYPERLINK("https://twitter.com/Nasrudin_14","@Nasrudin_14")</f>
        <v>@Nasrudin_14</v>
      </c>
      <c r="C30014" t="s">
        <v>11536</v>
      </c>
      <c r="D30014">
        <v>0</v>
      </c>
      <c r="E30014">
        <v>0</v>
      </c>
      <c r="F30014">
        <v>0</v>
      </c>
    </row>
    <row r="30015" spans="1:6" ht="12.75">
      <c r="A30015" s="2">
        <v>43875.558310185181</v>
      </c>
      <c r="B30015" t="str">
        <f>HYPERLINK("https://twitter.com/koerbansoespend","@koerbansoespend")</f>
        <v>@koerbansoespend</v>
      </c>
      <c r="C30015" t="s">
        <v>12347</v>
      </c>
      <c r="D30015">
        <v>0</v>
      </c>
      <c r="E30015">
        <v>0</v>
      </c>
      <c r="F30015">
        <v>85</v>
      </c>
    </row>
    <row r="30016" spans="1:6" ht="12.75">
      <c r="A30016" s="2">
        <v>43875.558240740742</v>
      </c>
      <c r="B30016" t="str">
        <f>HYPERLINK("https://twitter.com/pleasebmyFinale","@pleasebmyFinale")</f>
        <v>@pleasebmyFinale</v>
      </c>
      <c r="C30016" t="s">
        <v>11536</v>
      </c>
      <c r="D30016">
        <v>0</v>
      </c>
      <c r="E30016">
        <v>0</v>
      </c>
      <c r="F30016">
        <v>685</v>
      </c>
    </row>
    <row r="30017" spans="1:6" ht="12.75">
      <c r="A30017" s="2">
        <v>43875.558240740742</v>
      </c>
      <c r="B30017" t="str">
        <f>HYPERLINK("https://twitter.com/PapoKikok","@PapoKikok")</f>
        <v>@PapoKikok</v>
      </c>
      <c r="C30017" t="s">
        <v>12860</v>
      </c>
      <c r="D30017">
        <v>0</v>
      </c>
      <c r="E30017">
        <v>0</v>
      </c>
      <c r="F30017">
        <v>94</v>
      </c>
    </row>
    <row r="30018" spans="1:6" ht="12.75">
      <c r="A30018" s="2">
        <v>43875.558217592596</v>
      </c>
      <c r="B30018" t="str">
        <f>HYPERLINK("https://twitter.com/Asepgranat12","@Asepgranat12")</f>
        <v>@Asepgranat12</v>
      </c>
      <c r="C30018" t="s">
        <v>2444</v>
      </c>
      <c r="D30018">
        <v>1055</v>
      </c>
      <c r="E30018">
        <v>0</v>
      </c>
      <c r="F30018">
        <v>81</v>
      </c>
    </row>
    <row r="30019" spans="1:6" ht="12.75">
      <c r="A30019" s="2">
        <v>43875.558182870373</v>
      </c>
      <c r="B30019" t="str">
        <f>HYPERLINK("https://twitter.com/Masdjodi1","@Masdjodi1")</f>
        <v>@Masdjodi1</v>
      </c>
      <c r="C30019" t="s">
        <v>9531</v>
      </c>
      <c r="D30019">
        <v>4</v>
      </c>
      <c r="E30019">
        <v>0</v>
      </c>
      <c r="F30019">
        <v>685</v>
      </c>
    </row>
    <row r="30020" spans="1:6" ht="12.75">
      <c r="A30020" s="2">
        <v>43875.558171296296</v>
      </c>
      <c r="B30020" t="str">
        <f>HYPERLINK("https://twitter.com/loseyouuuuu","@loseyouuuuu")</f>
        <v>@loseyouuuuu</v>
      </c>
      <c r="C30020" t="s">
        <v>5168</v>
      </c>
      <c r="D30020">
        <v>644</v>
      </c>
      <c r="E30020">
        <v>0</v>
      </c>
      <c r="F30020">
        <v>12</v>
      </c>
    </row>
    <row r="30021" spans="1:6" ht="12.75">
      <c r="A30021" s="2">
        <v>43875.558124999996</v>
      </c>
      <c r="B30021" t="str">
        <f>HYPERLINK("https://twitter.com/misake89847474","@misake89847474")</f>
        <v>@misake89847474</v>
      </c>
      <c r="C30021" t="s">
        <v>12861</v>
      </c>
      <c r="D30021">
        <v>0</v>
      </c>
      <c r="E30021">
        <v>0</v>
      </c>
      <c r="F30021">
        <v>17</v>
      </c>
    </row>
    <row r="30022" spans="1:6" ht="12.75">
      <c r="A30022" s="2">
        <v>43875.558101851857</v>
      </c>
      <c r="B30022" t="str">
        <f>HYPERLINK("https://twitter.com/girlcrush520","@girlcrush520")</f>
        <v>@girlcrush520</v>
      </c>
      <c r="C30022" t="s">
        <v>2444</v>
      </c>
      <c r="D30022">
        <v>1055</v>
      </c>
      <c r="E30022">
        <v>0</v>
      </c>
      <c r="F30022">
        <v>92</v>
      </c>
    </row>
    <row r="30023" spans="1:6" ht="12.75">
      <c r="A30023" s="2">
        <v>43875.557951388888</v>
      </c>
      <c r="B30023" t="str">
        <f t="shared" ref="B30023:B30026" si="375">HYPERLINK("https://twitter.com/LamanKita_","@LamanKita_")</f>
        <v>@LamanKita_</v>
      </c>
      <c r="C30023" t="s">
        <v>12862</v>
      </c>
      <c r="D30023">
        <v>1</v>
      </c>
      <c r="E30023">
        <v>1</v>
      </c>
      <c r="F30023">
        <v>139618</v>
      </c>
    </row>
    <row r="30024" spans="1:6" ht="12.75">
      <c r="A30024" s="2">
        <v>43875.557928240742</v>
      </c>
      <c r="B30024" t="str">
        <f t="shared" si="375"/>
        <v>@LamanKita_</v>
      </c>
      <c r="C30024" t="s">
        <v>12863</v>
      </c>
      <c r="D30024">
        <v>0</v>
      </c>
      <c r="E30024">
        <v>0</v>
      </c>
      <c r="F30024">
        <v>139618</v>
      </c>
    </row>
    <row r="30025" spans="1:6" ht="12.75">
      <c r="A30025" s="2">
        <v>43875.557916666672</v>
      </c>
      <c r="B30025" t="str">
        <f t="shared" si="375"/>
        <v>@LamanKita_</v>
      </c>
      <c r="C30025" t="s">
        <v>12864</v>
      </c>
      <c r="D30025">
        <v>0</v>
      </c>
      <c r="E30025">
        <v>0</v>
      </c>
      <c r="F30025">
        <v>139618</v>
      </c>
    </row>
    <row r="30026" spans="1:6" ht="12.75">
      <c r="A30026" s="2">
        <v>43875.557916666672</v>
      </c>
      <c r="B30026" t="str">
        <f t="shared" si="375"/>
        <v>@LamanKita_</v>
      </c>
      <c r="C30026" t="s">
        <v>12865</v>
      </c>
      <c r="D30026">
        <v>1</v>
      </c>
      <c r="E30026">
        <v>0</v>
      </c>
      <c r="F30026">
        <v>139618</v>
      </c>
    </row>
    <row r="30027" spans="1:6" ht="12.75">
      <c r="A30027" s="2">
        <v>43875.557893518519</v>
      </c>
      <c r="B30027" t="str">
        <f>HYPERLINK("https://twitter.com/ajeeysaka","@ajeeysaka")</f>
        <v>@ajeeysaka</v>
      </c>
      <c r="C30027" t="s">
        <v>10526</v>
      </c>
      <c r="D30027">
        <v>130</v>
      </c>
      <c r="E30027">
        <v>0</v>
      </c>
      <c r="F30027">
        <v>741</v>
      </c>
    </row>
    <row r="30028" spans="1:6" ht="12.75">
      <c r="A30028" s="2">
        <v>43875.557881944449</v>
      </c>
      <c r="B30028" t="str">
        <f>HYPERLINK("https://twitter.com/wahyuernawan_","@wahyuernawan_")</f>
        <v>@wahyuernawan_</v>
      </c>
      <c r="C30028" t="s">
        <v>2444</v>
      </c>
      <c r="D30028">
        <v>1055</v>
      </c>
      <c r="E30028">
        <v>0</v>
      </c>
      <c r="F30028">
        <v>141</v>
      </c>
    </row>
    <row r="30029" spans="1:6" ht="12.75">
      <c r="A30029" s="2">
        <v>43875.557870370365</v>
      </c>
      <c r="B30029" t="str">
        <f>HYPERLINK("https://twitter.com/Pakdhe_Didi","@Pakdhe_Didi")</f>
        <v>@Pakdhe_Didi</v>
      </c>
      <c r="C30029" t="s">
        <v>2444</v>
      </c>
      <c r="D30029">
        <v>1055</v>
      </c>
      <c r="E30029">
        <v>0</v>
      </c>
      <c r="F30029">
        <v>194</v>
      </c>
    </row>
    <row r="30030" spans="1:6" ht="12.75">
      <c r="A30030" s="2">
        <v>43875.557858796295</v>
      </c>
      <c r="B30030" t="str">
        <f>HYPERLINK("https://twitter.com/beatrice_health","@beatrice_health")</f>
        <v>@beatrice_health</v>
      </c>
      <c r="C30030" t="s">
        <v>11033</v>
      </c>
      <c r="D30030">
        <v>2</v>
      </c>
      <c r="E30030">
        <v>0</v>
      </c>
      <c r="F30030">
        <v>66</v>
      </c>
    </row>
    <row r="30031" spans="1:6" ht="12.75">
      <c r="A30031" s="2">
        <v>43875.557847222226</v>
      </c>
      <c r="B30031" t="str">
        <f>HYPERLINK("https://twitter.com/loseyouuuuu","@loseyouuuuu")</f>
        <v>@loseyouuuuu</v>
      </c>
      <c r="C30031" t="s">
        <v>2444</v>
      </c>
      <c r="D30031">
        <v>1055</v>
      </c>
      <c r="E30031">
        <v>0</v>
      </c>
      <c r="F30031">
        <v>12</v>
      </c>
    </row>
    <row r="30032" spans="1:6" ht="12.75">
      <c r="A30032" s="2">
        <v>43875.557847222226</v>
      </c>
      <c r="B30032" t="str">
        <f>HYPERLINK("https://twitter.com/FeriyantoArief","@FeriyantoArief")</f>
        <v>@FeriyantoArief</v>
      </c>
      <c r="C30032" t="s">
        <v>12866</v>
      </c>
      <c r="D30032">
        <v>0</v>
      </c>
      <c r="E30032">
        <v>1</v>
      </c>
      <c r="F30032">
        <v>1289</v>
      </c>
    </row>
    <row r="30033" spans="1:6" ht="12.75">
      <c r="A30033" s="2">
        <v>43875.557800925926</v>
      </c>
      <c r="B30033" t="str">
        <f>HYPERLINK("https://twitter.com/aufaarizqiana96","@aufaarizqiana96")</f>
        <v>@aufaarizqiana96</v>
      </c>
      <c r="C30033" t="s">
        <v>11536</v>
      </c>
      <c r="D30033">
        <v>0</v>
      </c>
      <c r="E30033">
        <v>0</v>
      </c>
      <c r="F30033">
        <v>257</v>
      </c>
    </row>
    <row r="30034" spans="1:6" ht="12.75">
      <c r="A30034" s="2">
        <v>43875.557789351849</v>
      </c>
      <c r="B30034" t="str">
        <f>HYPERLINK("https://twitter.com/pandasoes","@pandasoes")</f>
        <v>@pandasoes</v>
      </c>
      <c r="C30034" t="s">
        <v>12867</v>
      </c>
      <c r="D30034">
        <v>2</v>
      </c>
      <c r="E30034">
        <v>6</v>
      </c>
      <c r="F30034">
        <v>6070</v>
      </c>
    </row>
    <row r="30035" spans="1:6" ht="12.75">
      <c r="A30035" s="2">
        <v>43875.55777777778</v>
      </c>
      <c r="B30035" t="str">
        <f>HYPERLINK("https://twitter.com/SunardiGiman1","@SunardiGiman1")</f>
        <v>@SunardiGiman1</v>
      </c>
      <c r="C30035" t="s">
        <v>9835</v>
      </c>
      <c r="D30035">
        <v>23</v>
      </c>
      <c r="E30035">
        <v>0</v>
      </c>
      <c r="F30035">
        <v>1072</v>
      </c>
    </row>
    <row r="30036" spans="1:6" ht="12.75">
      <c r="A30036" s="2">
        <v>43875.557754629626</v>
      </c>
      <c r="B30036" t="str">
        <f>HYPERLINK("https://twitter.com/Usep210","@Usep210")</f>
        <v>@Usep210</v>
      </c>
      <c r="C30036" t="s">
        <v>12868</v>
      </c>
      <c r="D30036">
        <v>2</v>
      </c>
      <c r="E30036">
        <v>0</v>
      </c>
      <c r="F30036">
        <v>4776</v>
      </c>
    </row>
    <row r="30037" spans="1:6" ht="12.75">
      <c r="A30037" s="2">
        <v>43875.557708333334</v>
      </c>
      <c r="B30037" t="str">
        <f>HYPERLINK("https://twitter.com/Airy_abi18","@Airy_abi18")</f>
        <v>@Airy_abi18</v>
      </c>
      <c r="C30037" t="s">
        <v>11536</v>
      </c>
      <c r="D30037">
        <v>0</v>
      </c>
      <c r="E30037">
        <v>0</v>
      </c>
      <c r="F30037">
        <v>168</v>
      </c>
    </row>
    <row r="30038" spans="1:6" ht="12.75">
      <c r="A30038" s="2">
        <v>43875.55768518518</v>
      </c>
      <c r="B30038" t="str">
        <f>HYPERLINK("https://twitter.com/Rudiwaluyo11","@Rudiwaluyo11")</f>
        <v>@Rudiwaluyo11</v>
      </c>
      <c r="C30038" t="s">
        <v>12851</v>
      </c>
      <c r="D30038">
        <v>0</v>
      </c>
      <c r="E30038">
        <v>0</v>
      </c>
      <c r="F30038">
        <v>38</v>
      </c>
    </row>
    <row r="30039" spans="1:6" ht="12.75">
      <c r="A30039" s="2">
        <v>43875.557650462964</v>
      </c>
      <c r="B30039" t="str">
        <f>HYPERLINK("https://twitter.com/MHannibla","@MHannibla")</f>
        <v>@MHannibla</v>
      </c>
      <c r="C30039" t="s">
        <v>12869</v>
      </c>
      <c r="D30039">
        <v>0</v>
      </c>
      <c r="E30039">
        <v>0</v>
      </c>
      <c r="F30039">
        <v>0</v>
      </c>
    </row>
    <row r="30040" spans="1:6" ht="12.75">
      <c r="A30040" s="2">
        <v>43875.557638888888</v>
      </c>
      <c r="B30040" t="str">
        <f>HYPERLINK("https://twitter.com/gwoblo","@gwoblo")</f>
        <v>@gwoblo</v>
      </c>
      <c r="C30040" t="s">
        <v>12347</v>
      </c>
      <c r="D30040">
        <v>0</v>
      </c>
      <c r="E30040">
        <v>0</v>
      </c>
      <c r="F30040">
        <v>124</v>
      </c>
    </row>
    <row r="30041" spans="1:6" ht="12.75">
      <c r="A30041" s="2">
        <v>43875.557638888888</v>
      </c>
      <c r="B30041" t="str">
        <f>HYPERLINK("https://twitter.com/soegijr","@soegijr")</f>
        <v>@soegijr</v>
      </c>
      <c r="C30041" t="s">
        <v>12870</v>
      </c>
      <c r="D30041">
        <v>0</v>
      </c>
      <c r="E30041">
        <v>0</v>
      </c>
      <c r="F30041">
        <v>36</v>
      </c>
    </row>
    <row r="30042" spans="1:6" ht="12.75">
      <c r="A30042" s="2">
        <v>43875.557604166665</v>
      </c>
      <c r="B30042" t="str">
        <f>HYPERLINK("https://twitter.com/gwoblo","@gwoblo")</f>
        <v>@gwoblo</v>
      </c>
      <c r="C30042" t="s">
        <v>11536</v>
      </c>
      <c r="D30042">
        <v>0</v>
      </c>
      <c r="E30042">
        <v>0</v>
      </c>
      <c r="F30042">
        <v>124</v>
      </c>
    </row>
    <row r="30043" spans="1:6" ht="12.75">
      <c r="A30043" s="2">
        <v>43875.557592592595</v>
      </c>
      <c r="B30043" t="str">
        <f>HYPERLINK("https://twitter.com/finskk","@finskk")</f>
        <v>@finskk</v>
      </c>
      <c r="C30043" t="s">
        <v>12621</v>
      </c>
      <c r="D30043">
        <v>4</v>
      </c>
      <c r="E30043">
        <v>0</v>
      </c>
      <c r="F30043">
        <v>83</v>
      </c>
    </row>
    <row r="30044" spans="1:6" ht="12.75">
      <c r="A30044" s="2">
        <v>43875.557546296295</v>
      </c>
      <c r="B30044" t="str">
        <f>HYPERLINK("https://twitter.com/menangin_aku","@menangin_aku")</f>
        <v>@menangin_aku</v>
      </c>
      <c r="C30044" t="s">
        <v>11536</v>
      </c>
      <c r="D30044">
        <v>0</v>
      </c>
      <c r="E30044">
        <v>0</v>
      </c>
      <c r="F30044">
        <v>453</v>
      </c>
    </row>
    <row r="30045" spans="1:6" ht="12.75">
      <c r="A30045" s="2">
        <v>43875.557534722218</v>
      </c>
      <c r="B30045" t="str">
        <f>HYPERLINK("https://twitter.com/_dirikoe","@_dirikoe")</f>
        <v>@_dirikoe</v>
      </c>
      <c r="C30045" t="s">
        <v>12871</v>
      </c>
      <c r="D30045">
        <v>0</v>
      </c>
      <c r="E30045">
        <v>0</v>
      </c>
      <c r="F30045">
        <v>17</v>
      </c>
    </row>
    <row r="30046" spans="1:6" ht="12.75">
      <c r="A30046" s="2">
        <v>43875.557499999995</v>
      </c>
      <c r="B30046" t="str">
        <f>HYPERLINK("https://twitter.com/MHannibla","@MHannibla")</f>
        <v>@MHannibla</v>
      </c>
      <c r="C30046" t="s">
        <v>12872</v>
      </c>
      <c r="D30046">
        <v>3</v>
      </c>
      <c r="E30046">
        <v>0</v>
      </c>
      <c r="F30046">
        <v>0</v>
      </c>
    </row>
    <row r="30047" spans="1:6" ht="12.75">
      <c r="A30047" s="2">
        <v>43875.557476851856</v>
      </c>
      <c r="B30047" t="str">
        <f>HYPERLINK("https://twitter.com/ragilpeci67","@ragilpeci67")</f>
        <v>@ragilpeci67</v>
      </c>
      <c r="C30047" t="s">
        <v>12873</v>
      </c>
      <c r="D30047">
        <v>0</v>
      </c>
      <c r="E30047">
        <v>0</v>
      </c>
      <c r="F30047">
        <v>0</v>
      </c>
    </row>
    <row r="30048" spans="1:6" ht="12.75">
      <c r="A30048" s="2">
        <v>43875.557442129633</v>
      </c>
      <c r="B30048" t="str">
        <f>HYPERLINK("https://twitter.com/ExUnik","@ExUnik")</f>
        <v>@ExUnik</v>
      </c>
      <c r="C30048" t="s">
        <v>12347</v>
      </c>
      <c r="D30048">
        <v>0</v>
      </c>
      <c r="E30048">
        <v>0</v>
      </c>
      <c r="F30048">
        <v>363</v>
      </c>
    </row>
    <row r="30049" spans="1:6" ht="12.75">
      <c r="A30049" s="2">
        <v>43875.55740740741</v>
      </c>
      <c r="B30049" t="str">
        <f>HYPERLINK("https://twitter.com/billyktm","@billyktm")</f>
        <v>@billyktm</v>
      </c>
      <c r="C30049" t="s">
        <v>11122</v>
      </c>
      <c r="D30049">
        <v>4</v>
      </c>
      <c r="E30049">
        <v>0</v>
      </c>
      <c r="F30049">
        <v>80</v>
      </c>
    </row>
    <row r="30050" spans="1:6" ht="12.75">
      <c r="A30050" s="2">
        <v>43875.557395833333</v>
      </c>
      <c r="B30050" t="str">
        <f>HYPERLINK("https://twitter.com/Verrell19312082","@Verrell19312082")</f>
        <v>@Verrell19312082</v>
      </c>
      <c r="C30050" t="s">
        <v>10089</v>
      </c>
      <c r="D30050">
        <v>7</v>
      </c>
      <c r="E30050">
        <v>0</v>
      </c>
      <c r="F30050">
        <v>3334</v>
      </c>
    </row>
    <row r="30051" spans="1:6" ht="12.75">
      <c r="A30051" s="2">
        <v>43875.557384259257</v>
      </c>
      <c r="B30051" t="str">
        <f>HYPERLINK("https://twitter.com/kanal24coid","@kanal24coid")</f>
        <v>@kanal24coid</v>
      </c>
      <c r="C30051" t="s">
        <v>12874</v>
      </c>
      <c r="D30051">
        <v>0</v>
      </c>
      <c r="E30051">
        <v>0</v>
      </c>
      <c r="F30051">
        <v>30</v>
      </c>
    </row>
    <row r="30052" spans="1:6" ht="12.75">
      <c r="A30052" s="2">
        <v>43875.557372685187</v>
      </c>
      <c r="B30052" t="str">
        <f>HYPERLINK("https://twitter.com/diana_harianti","@diana_harianti")</f>
        <v>@diana_harianti</v>
      </c>
      <c r="C30052" t="s">
        <v>10422</v>
      </c>
      <c r="D30052">
        <v>83</v>
      </c>
      <c r="E30052">
        <v>0</v>
      </c>
      <c r="F30052">
        <v>1222</v>
      </c>
    </row>
    <row r="30053" spans="1:6" ht="12.75">
      <c r="A30053" s="2">
        <v>43875.557349537034</v>
      </c>
      <c r="B30053" t="str">
        <f>HYPERLINK("https://twitter.com/takiif","@takiif")</f>
        <v>@takiif</v>
      </c>
      <c r="C30053" t="s">
        <v>2963</v>
      </c>
      <c r="D30053">
        <v>822</v>
      </c>
      <c r="E30053">
        <v>0</v>
      </c>
      <c r="F30053">
        <v>3821</v>
      </c>
    </row>
    <row r="30054" spans="1:6" ht="12.75">
      <c r="A30054" s="2">
        <v>43875.557349537034</v>
      </c>
      <c r="B30054" t="str">
        <f>HYPERLINK("https://twitter.com/marion_holahop","@marion_holahop")</f>
        <v>@marion_holahop</v>
      </c>
      <c r="C30054" t="s">
        <v>11536</v>
      </c>
      <c r="D30054">
        <v>0</v>
      </c>
      <c r="E30054">
        <v>0</v>
      </c>
      <c r="F30054">
        <v>63</v>
      </c>
    </row>
    <row r="30055" spans="1:6" ht="12.75">
      <c r="A30055" s="2">
        <v>43875.557337962964</v>
      </c>
      <c r="B30055" t="str">
        <f>HYPERLINK("https://twitter.com/mulaidari0lagi","@mulaidari0lagi")</f>
        <v>@mulaidari0lagi</v>
      </c>
      <c r="C30055" t="s">
        <v>11536</v>
      </c>
      <c r="D30055">
        <v>0</v>
      </c>
      <c r="E30055">
        <v>0</v>
      </c>
      <c r="F30055">
        <v>107</v>
      </c>
    </row>
    <row r="30056" spans="1:6" ht="12.75">
      <c r="A30056" s="2">
        <v>43875.557314814811</v>
      </c>
      <c r="B30056" t="str">
        <f>HYPERLINK("https://twitter.com/tararaerl","@tararaerl")</f>
        <v>@tararaerl</v>
      </c>
      <c r="C30056" t="s">
        <v>11536</v>
      </c>
      <c r="D30056">
        <v>0</v>
      </c>
      <c r="E30056">
        <v>0</v>
      </c>
      <c r="F30056">
        <v>50</v>
      </c>
    </row>
    <row r="30057" spans="1:6" ht="12.75">
      <c r="A30057" s="2">
        <v>43875.557245370372</v>
      </c>
      <c r="B30057" t="str">
        <f>HYPERLINK("https://twitter.com/diana_harianti","@diana_harianti")</f>
        <v>@diana_harianti</v>
      </c>
      <c r="C30057" t="s">
        <v>10542</v>
      </c>
      <c r="D30057">
        <v>142</v>
      </c>
      <c r="E30057">
        <v>0</v>
      </c>
      <c r="F30057">
        <v>1222</v>
      </c>
    </row>
    <row r="30058" spans="1:6" ht="12.75">
      <c r="A30058" s="2">
        <v>43875.557233796295</v>
      </c>
      <c r="B30058" t="str">
        <f>HYPERLINK("https://twitter.com/itsrika07","@itsrika07")</f>
        <v>@itsrika07</v>
      </c>
      <c r="C30058" t="s">
        <v>12347</v>
      </c>
      <c r="D30058">
        <v>0</v>
      </c>
      <c r="E30058">
        <v>0</v>
      </c>
      <c r="F30058">
        <v>787</v>
      </c>
    </row>
    <row r="30059" spans="1:6" ht="12.75">
      <c r="A30059" s="2">
        <v>43875.557199074072</v>
      </c>
      <c r="B30059" t="str">
        <f>HYPERLINK("https://twitter.com/erdobani","@erdobani")</f>
        <v>@erdobani</v>
      </c>
      <c r="C30059" t="s">
        <v>12875</v>
      </c>
      <c r="D30059">
        <v>0</v>
      </c>
      <c r="E30059">
        <v>0</v>
      </c>
      <c r="F30059">
        <v>108</v>
      </c>
    </row>
    <row r="30060" spans="1:6" ht="12.75">
      <c r="A30060" s="2">
        <v>43875.557164351849</v>
      </c>
      <c r="B30060" t="str">
        <f>HYPERLINK("https://twitter.com/Tony_Harto","@Tony_Harto")</f>
        <v>@Tony_Harto</v>
      </c>
      <c r="C30060" t="s">
        <v>2963</v>
      </c>
      <c r="D30060">
        <v>822</v>
      </c>
      <c r="E30060">
        <v>0</v>
      </c>
      <c r="F30060">
        <v>6371</v>
      </c>
    </row>
    <row r="30061" spans="1:6" ht="12.75">
      <c r="A30061" s="2">
        <v>43875.557164351849</v>
      </c>
      <c r="B30061" t="str">
        <f>HYPERLINK("https://twitter.com/lilxcrush","@lilxcrush")</f>
        <v>@lilxcrush</v>
      </c>
      <c r="C30061" t="s">
        <v>5168</v>
      </c>
      <c r="D30061">
        <v>644</v>
      </c>
      <c r="E30061">
        <v>0</v>
      </c>
      <c r="F30061">
        <v>482</v>
      </c>
    </row>
    <row r="30062" spans="1:6" ht="12.75">
      <c r="A30062" s="2">
        <v>43875.557106481487</v>
      </c>
      <c r="B30062" t="str">
        <f>HYPERLINK("https://twitter.com/laelatulrhmh","@laelatulrhmh")</f>
        <v>@laelatulrhmh</v>
      </c>
      <c r="C30062" t="s">
        <v>5168</v>
      </c>
      <c r="D30062">
        <v>644</v>
      </c>
      <c r="E30062">
        <v>0</v>
      </c>
      <c r="F30062">
        <v>469</v>
      </c>
    </row>
    <row r="30063" spans="1:6" ht="12.75">
      <c r="A30063" s="2">
        <v>43875.557106481487</v>
      </c>
      <c r="B30063" t="str">
        <f>HYPERLINK("https://twitter.com/Fajarnur94","@Fajarnur94")</f>
        <v>@Fajarnur94</v>
      </c>
      <c r="C30063" t="s">
        <v>11536</v>
      </c>
      <c r="D30063">
        <v>0</v>
      </c>
      <c r="E30063">
        <v>0</v>
      </c>
      <c r="F30063">
        <v>2251</v>
      </c>
    </row>
    <row r="30064" spans="1:6" ht="12.75">
      <c r="A30064" s="2">
        <v>43875.55704861111</v>
      </c>
      <c r="B30064" t="str">
        <f>HYPERLINK("https://twitter.com/Penjelajahwak18","@Penjelajahwak18")</f>
        <v>@Penjelajahwak18</v>
      </c>
      <c r="C30064" t="s">
        <v>12876</v>
      </c>
      <c r="D30064">
        <v>0</v>
      </c>
      <c r="E30064">
        <v>0</v>
      </c>
      <c r="F30064">
        <v>2</v>
      </c>
    </row>
    <row r="30065" spans="1:6" ht="12.75">
      <c r="A30065" s="2">
        <v>43875.557025462964</v>
      </c>
      <c r="B30065" t="str">
        <f>HYPERLINK("https://twitter.com/conysatya","@conysatya")</f>
        <v>@conysatya</v>
      </c>
      <c r="C30065" t="s">
        <v>2444</v>
      </c>
      <c r="D30065">
        <v>1055</v>
      </c>
      <c r="E30065">
        <v>0</v>
      </c>
      <c r="F30065">
        <v>920</v>
      </c>
    </row>
    <row r="30066" spans="1:6" ht="12.75">
      <c r="A30066" s="2">
        <v>43875.557013888887</v>
      </c>
      <c r="B30066" t="str">
        <f>HYPERLINK("https://twitter.com/seftirahayuuu","@seftirahayuuu")</f>
        <v>@seftirahayuuu</v>
      </c>
      <c r="C30066" t="s">
        <v>12877</v>
      </c>
      <c r="D30066">
        <v>0</v>
      </c>
      <c r="E30066">
        <v>0</v>
      </c>
      <c r="F30066">
        <v>30</v>
      </c>
    </row>
    <row r="30067" spans="1:6" ht="12.75">
      <c r="A30067" s="2">
        <v>43875.556979166664</v>
      </c>
      <c r="B30067" t="str">
        <f>HYPERLINK("https://twitter.com/Listian08","@Listian08")</f>
        <v>@Listian08</v>
      </c>
      <c r="C30067" t="s">
        <v>12878</v>
      </c>
      <c r="D30067">
        <v>0</v>
      </c>
      <c r="E30067">
        <v>0</v>
      </c>
      <c r="F30067">
        <v>12</v>
      </c>
    </row>
    <row r="30068" spans="1:6" ht="12.75">
      <c r="A30068" s="2">
        <v>43875.556967592594</v>
      </c>
      <c r="B30068" t="str">
        <f>HYPERLINK("https://twitter.com/apelmaniss","@apelmaniss")</f>
        <v>@apelmaniss</v>
      </c>
      <c r="C30068" t="s">
        <v>11536</v>
      </c>
      <c r="D30068">
        <v>0</v>
      </c>
      <c r="E30068">
        <v>1</v>
      </c>
      <c r="F30068">
        <v>135</v>
      </c>
    </row>
    <row r="30069" spans="1:6" ht="12.75">
      <c r="A30069" s="2">
        <v>43875.556956018518</v>
      </c>
      <c r="B30069" t="str">
        <f>HYPERLINK("https://twitter.com/Jaejae99_","@Jaejae99_")</f>
        <v>@Jaejae99_</v>
      </c>
      <c r="C30069" t="s">
        <v>2444</v>
      </c>
      <c r="D30069">
        <v>1055</v>
      </c>
      <c r="E30069">
        <v>0</v>
      </c>
      <c r="F30069">
        <v>417</v>
      </c>
    </row>
    <row r="30070" spans="1:6" ht="12.75">
      <c r="A30070" s="2">
        <v>43875.556944444441</v>
      </c>
      <c r="B30070" t="str">
        <f>HYPERLINK("https://twitter.com/DadangLumut","@DadangLumut")</f>
        <v>@DadangLumut</v>
      </c>
      <c r="C30070" t="s">
        <v>11536</v>
      </c>
      <c r="D30070">
        <v>0</v>
      </c>
      <c r="E30070">
        <v>0</v>
      </c>
      <c r="F30070">
        <v>306</v>
      </c>
    </row>
    <row r="30071" spans="1:6" ht="12.75">
      <c r="A30071" s="2">
        <v>43875.556921296295</v>
      </c>
      <c r="B30071" t="str">
        <f>HYPERLINK("https://twitter.com/_finarla","@_finarla")</f>
        <v>@_finarla</v>
      </c>
      <c r="C30071" t="s">
        <v>12347</v>
      </c>
      <c r="D30071">
        <v>0</v>
      </c>
      <c r="E30071">
        <v>0</v>
      </c>
      <c r="F30071">
        <v>269</v>
      </c>
    </row>
    <row r="30072" spans="1:6" ht="12.75">
      <c r="A30072" s="2">
        <v>43875.556921296295</v>
      </c>
      <c r="B30072" t="str">
        <f>HYPERLINK("https://twitter.com/Mizkatri","@Mizkatri")</f>
        <v>@Mizkatri</v>
      </c>
      <c r="C30072" t="s">
        <v>12347</v>
      </c>
      <c r="D30072">
        <v>0</v>
      </c>
      <c r="E30072">
        <v>0</v>
      </c>
      <c r="F30072">
        <v>142</v>
      </c>
    </row>
    <row r="30073" spans="1:6" ht="12.75">
      <c r="A30073" s="2">
        <v>43875.556909722218</v>
      </c>
      <c r="B30073" t="str">
        <f>HYPERLINK("https://twitter.com/Qiim_T","@Qiim_T")</f>
        <v>@Qiim_T</v>
      </c>
      <c r="C30073" t="s">
        <v>12871</v>
      </c>
      <c r="D30073">
        <v>0</v>
      </c>
      <c r="E30073">
        <v>0</v>
      </c>
      <c r="F30073">
        <v>445</v>
      </c>
    </row>
    <row r="30074" spans="1:6" ht="12.75">
      <c r="A30074" s="2">
        <v>43875.556898148148</v>
      </c>
      <c r="B30074" t="str">
        <f>HYPERLINK("https://twitter.com/jhon18148938","@jhon18148938")</f>
        <v>@jhon18148938</v>
      </c>
      <c r="C30074" t="s">
        <v>12879</v>
      </c>
      <c r="D30074">
        <v>0</v>
      </c>
      <c r="E30074">
        <v>0</v>
      </c>
      <c r="F30074">
        <v>114</v>
      </c>
    </row>
    <row r="30075" spans="1:6" ht="12.75">
      <c r="A30075" s="2">
        <v>43875.556805555556</v>
      </c>
      <c r="B30075" t="str">
        <f>HYPERLINK("https://twitter.com/budi1439h","@budi1439h")</f>
        <v>@budi1439h</v>
      </c>
      <c r="C30075" t="s">
        <v>2963</v>
      </c>
      <c r="D30075">
        <v>822</v>
      </c>
      <c r="E30075">
        <v>0</v>
      </c>
      <c r="F30075">
        <v>5081</v>
      </c>
    </row>
    <row r="30076" spans="1:6" ht="12.75">
      <c r="A30076" s="2">
        <v>43875.556793981479</v>
      </c>
      <c r="B30076" t="str">
        <f>HYPERLINK("https://twitter.com/suka2aku_","@suka2aku_")</f>
        <v>@suka2aku_</v>
      </c>
      <c r="C30076" t="s">
        <v>11536</v>
      </c>
      <c r="D30076">
        <v>0</v>
      </c>
      <c r="E30076">
        <v>0</v>
      </c>
      <c r="F30076">
        <v>827</v>
      </c>
    </row>
    <row r="30077" spans="1:6" ht="12.75">
      <c r="A30077" s="2">
        <v>43875.55678240741</v>
      </c>
      <c r="B30077" t="str">
        <f>HYPERLINK("https://twitter.com/mcflurrye","@mcflurrye")</f>
        <v>@mcflurrye</v>
      </c>
      <c r="C30077" t="s">
        <v>2444</v>
      </c>
      <c r="D30077">
        <v>1055</v>
      </c>
      <c r="E30077">
        <v>0</v>
      </c>
      <c r="F30077">
        <v>310</v>
      </c>
    </row>
    <row r="30078" spans="1:6" ht="12.75">
      <c r="A30078" s="2">
        <v>43875.556759259256</v>
      </c>
      <c r="B30078" t="str">
        <f>HYPERLINK("https://twitter.com/yoojungmu","@yoojungmu")</f>
        <v>@yoojungmu</v>
      </c>
      <c r="C30078" t="s">
        <v>12850</v>
      </c>
      <c r="D30078">
        <v>0</v>
      </c>
      <c r="E30078">
        <v>0</v>
      </c>
      <c r="F30078">
        <v>8650</v>
      </c>
    </row>
    <row r="30079" spans="1:6" ht="12.75">
      <c r="A30079" s="2">
        <v>43875.556759259256</v>
      </c>
      <c r="B30079" t="str">
        <f>HYPERLINK("https://twitter.com/Cigiwigi","@Cigiwigi")</f>
        <v>@Cigiwigi</v>
      </c>
      <c r="C30079" t="s">
        <v>2444</v>
      </c>
      <c r="D30079">
        <v>1055</v>
      </c>
      <c r="E30079">
        <v>0</v>
      </c>
      <c r="F30079">
        <v>1884</v>
      </c>
    </row>
    <row r="30080" spans="1:6" ht="12.75">
      <c r="A30080" s="2">
        <v>43875.556712962964</v>
      </c>
      <c r="B30080" t="str">
        <f>HYPERLINK("https://twitter.com/Septinurs1","@Septinurs1")</f>
        <v>@Septinurs1</v>
      </c>
      <c r="C30080" t="s">
        <v>12880</v>
      </c>
      <c r="D30080">
        <v>0</v>
      </c>
      <c r="E30080">
        <v>0</v>
      </c>
      <c r="F30080">
        <v>2095</v>
      </c>
    </row>
    <row r="30081" spans="1:6" ht="12.75">
      <c r="A30081" s="2">
        <v>43875.556701388894</v>
      </c>
      <c r="B30081" t="str">
        <f>HYPERLINK("https://twitter.com/hamzahfaridali","@hamzahfaridali")</f>
        <v>@hamzahfaridali</v>
      </c>
      <c r="C30081" t="s">
        <v>10096</v>
      </c>
      <c r="D30081">
        <v>113</v>
      </c>
      <c r="E30081">
        <v>0</v>
      </c>
      <c r="F30081">
        <v>173</v>
      </c>
    </row>
    <row r="30082" spans="1:6" ht="12.75">
      <c r="A30082" s="2">
        <v>43875.556666666671</v>
      </c>
      <c r="B30082" t="str">
        <f>HYPERLINK("https://twitter.com/pratiwirani10","@pratiwirani10")</f>
        <v>@pratiwirani10</v>
      </c>
      <c r="C30082" t="s">
        <v>5168</v>
      </c>
      <c r="D30082">
        <v>644</v>
      </c>
      <c r="E30082">
        <v>0</v>
      </c>
      <c r="F30082">
        <v>686</v>
      </c>
    </row>
    <row r="30083" spans="1:6" ht="12.75">
      <c r="A30083" s="2">
        <v>43875.556655092594</v>
      </c>
      <c r="B30083" t="str">
        <f>HYPERLINK("https://twitter.com/ditabdul","@ditabdul")</f>
        <v>@ditabdul</v>
      </c>
      <c r="C30083" t="s">
        <v>2444</v>
      </c>
      <c r="D30083">
        <v>1055</v>
      </c>
      <c r="E30083">
        <v>0</v>
      </c>
      <c r="F30083">
        <v>487</v>
      </c>
    </row>
    <row r="30084" spans="1:6" ht="12.75">
      <c r="A30084" s="2">
        <v>43875.556643518517</v>
      </c>
      <c r="B30084" t="str">
        <f>HYPERLINK("https://twitter.com/jackdnieIs","@jackdnieIs")</f>
        <v>@jackdnieIs</v>
      </c>
      <c r="C30084" t="s">
        <v>12881</v>
      </c>
      <c r="D30084">
        <v>0</v>
      </c>
      <c r="E30084">
        <v>0</v>
      </c>
      <c r="F30084">
        <v>128</v>
      </c>
    </row>
    <row r="30085" spans="1:6" ht="12.75">
      <c r="A30085" s="2">
        <v>43875.556620370371</v>
      </c>
      <c r="B30085" t="str">
        <f>HYPERLINK("https://twitter.com/bon_nugroho","@bon_nugroho")</f>
        <v>@bon_nugroho</v>
      </c>
      <c r="C30085" t="s">
        <v>7478</v>
      </c>
      <c r="D30085">
        <v>62</v>
      </c>
      <c r="E30085">
        <v>0</v>
      </c>
      <c r="F30085">
        <v>490</v>
      </c>
    </row>
    <row r="30086" spans="1:6" ht="12.75">
      <c r="A30086" s="2">
        <v>43875.556597222225</v>
      </c>
      <c r="B30086" t="str">
        <f>HYPERLINK("https://twitter.com/Sendall_jener","@Sendall_jener")</f>
        <v>@Sendall_jener</v>
      </c>
      <c r="C30086" t="s">
        <v>11536</v>
      </c>
      <c r="D30086">
        <v>0</v>
      </c>
      <c r="E30086">
        <v>0</v>
      </c>
      <c r="F30086">
        <v>36</v>
      </c>
    </row>
    <row r="30087" spans="1:6" ht="12.75">
      <c r="A30087" s="2">
        <v>43875.556539351848</v>
      </c>
      <c r="B30087" t="str">
        <f>HYPERLINK("https://twitter.com/fatmariana97","@fatmariana97")</f>
        <v>@fatmariana97</v>
      </c>
      <c r="C30087" t="s">
        <v>12226</v>
      </c>
      <c r="D30087">
        <v>0</v>
      </c>
      <c r="E30087">
        <v>0</v>
      </c>
      <c r="F30087">
        <v>498</v>
      </c>
    </row>
    <row r="30088" spans="1:6" ht="12.75">
      <c r="A30088" s="2">
        <v>43875.556516203702</v>
      </c>
      <c r="B30088" t="str">
        <f>HYPERLINK("https://twitter.com/yoojungmu","@yoojungmu")</f>
        <v>@yoojungmu</v>
      </c>
      <c r="C30088" t="s">
        <v>12856</v>
      </c>
      <c r="D30088">
        <v>0</v>
      </c>
      <c r="E30088">
        <v>0</v>
      </c>
      <c r="F30088">
        <v>8650</v>
      </c>
    </row>
    <row r="30089" spans="1:6" ht="12.75">
      <c r="A30089" s="2">
        <v>43875.556481481486</v>
      </c>
      <c r="B30089" t="str">
        <f>HYPERLINK("https://twitter.com/riricomelz","@riricomelz")</f>
        <v>@riricomelz</v>
      </c>
      <c r="C30089" t="s">
        <v>11536</v>
      </c>
      <c r="D30089">
        <v>0</v>
      </c>
      <c r="E30089">
        <v>0</v>
      </c>
      <c r="F30089">
        <v>60</v>
      </c>
    </row>
    <row r="30090" spans="1:6" ht="12.75">
      <c r="A30090" s="2">
        <v>43875.556446759263</v>
      </c>
      <c r="B30090" t="str">
        <f>HYPERLINK("https://twitter.com/yoojungmu","@yoojungmu")</f>
        <v>@yoojungmu</v>
      </c>
      <c r="C30090" t="s">
        <v>12851</v>
      </c>
      <c r="D30090">
        <v>0</v>
      </c>
      <c r="E30090">
        <v>0</v>
      </c>
      <c r="F30090">
        <v>8650</v>
      </c>
    </row>
    <row r="30091" spans="1:6" ht="12.75">
      <c r="A30091" s="2">
        <v>43875.556446759263</v>
      </c>
      <c r="B30091" t="str">
        <f>HYPERLINK("https://twitter.com/iksanwicak","@iksanwicak")</f>
        <v>@iksanwicak</v>
      </c>
      <c r="C30091" t="s">
        <v>2444</v>
      </c>
      <c r="D30091">
        <v>1055</v>
      </c>
      <c r="E30091">
        <v>0</v>
      </c>
      <c r="F30091">
        <v>71</v>
      </c>
    </row>
    <row r="30092" spans="1:6" ht="12.75">
      <c r="A30092" s="2">
        <v>43875.556435185186</v>
      </c>
      <c r="B30092" t="str">
        <f>HYPERLINK("https://twitter.com/_UsbinDunda","@_UsbinDunda")</f>
        <v>@_UsbinDunda</v>
      </c>
      <c r="C30092" t="s">
        <v>12882</v>
      </c>
      <c r="D30092">
        <v>0</v>
      </c>
      <c r="E30092">
        <v>0</v>
      </c>
      <c r="F30092">
        <v>318</v>
      </c>
    </row>
    <row r="30093" spans="1:6" ht="12.75">
      <c r="A30093" s="2">
        <v>43875.556435185186</v>
      </c>
      <c r="B30093" t="str">
        <f>HYPERLINK("https://twitter.com/vezhecella","@vezhecella")</f>
        <v>@vezhecella</v>
      </c>
      <c r="C30093" t="s">
        <v>11536</v>
      </c>
      <c r="D30093">
        <v>0</v>
      </c>
      <c r="E30093">
        <v>0</v>
      </c>
      <c r="F30093">
        <v>264</v>
      </c>
    </row>
    <row r="30094" spans="1:6" ht="12.75">
      <c r="A30094" s="2">
        <v>43875.55641203704</v>
      </c>
      <c r="B30094" t="str">
        <f>HYPERLINK("https://twitter.com/yakurss","@yakurss")</f>
        <v>@yakurss</v>
      </c>
      <c r="C30094" t="s">
        <v>9964</v>
      </c>
      <c r="D30094">
        <v>572</v>
      </c>
      <c r="E30094">
        <v>0</v>
      </c>
      <c r="F30094">
        <v>518</v>
      </c>
    </row>
    <row r="30095" spans="1:6" ht="12.75">
      <c r="A30095" s="2">
        <v>43875.556388888886</v>
      </c>
      <c r="B30095" t="str">
        <f>HYPERLINK("https://twitter.com/Arni4224","@Arni4224")</f>
        <v>@Arni4224</v>
      </c>
      <c r="C30095" t="s">
        <v>11536</v>
      </c>
      <c r="D30095">
        <v>0</v>
      </c>
      <c r="E30095">
        <v>0</v>
      </c>
      <c r="F30095">
        <v>183</v>
      </c>
    </row>
    <row r="30096" spans="1:6" ht="12.75">
      <c r="A30096" s="2">
        <v>43875.556331018517</v>
      </c>
      <c r="B30096" t="str">
        <f>HYPERLINK("https://twitter.com/DiniPutriReborn","@DiniPutriReborn")</f>
        <v>@DiniPutriReborn</v>
      </c>
      <c r="C30096" t="s">
        <v>175</v>
      </c>
      <c r="D30096">
        <v>5273</v>
      </c>
      <c r="E30096">
        <v>0</v>
      </c>
      <c r="F30096">
        <v>970</v>
      </c>
    </row>
    <row r="30097" spans="1:6" ht="12.75">
      <c r="A30097" s="2">
        <v>43875.556296296301</v>
      </c>
      <c r="B30097" t="str">
        <f>HYPERLINK("https://twitter.com/jinggaa_07","@jinggaa_07")</f>
        <v>@jinggaa_07</v>
      </c>
      <c r="C30097" t="s">
        <v>11536</v>
      </c>
      <c r="D30097">
        <v>0</v>
      </c>
      <c r="E30097">
        <v>0</v>
      </c>
      <c r="F30097">
        <v>858</v>
      </c>
    </row>
    <row r="30098" spans="1:6" ht="12.75">
      <c r="A30098" s="2">
        <v>43875.556238425925</v>
      </c>
      <c r="B30098" t="str">
        <f>HYPERLINK("https://twitter.com/Inggridd__","@Inggridd__")</f>
        <v>@Inggridd__</v>
      </c>
      <c r="C30098" t="s">
        <v>11536</v>
      </c>
      <c r="D30098">
        <v>0</v>
      </c>
      <c r="E30098">
        <v>0</v>
      </c>
      <c r="F30098">
        <v>50</v>
      </c>
    </row>
    <row r="30099" spans="1:6" ht="12.75">
      <c r="A30099" s="2">
        <v>43875.556168981479</v>
      </c>
      <c r="B30099" t="str">
        <f>HYPERLINK("https://twitter.com/bayu_danarto","@bayu_danarto")</f>
        <v>@bayu_danarto</v>
      </c>
      <c r="C30099" t="s">
        <v>2444</v>
      </c>
      <c r="D30099">
        <v>1055</v>
      </c>
      <c r="E30099">
        <v>0</v>
      </c>
      <c r="F30099">
        <v>542</v>
      </c>
    </row>
    <row r="30100" spans="1:6" ht="12.75">
      <c r="A30100" s="2">
        <v>43875.556145833332</v>
      </c>
      <c r="B30100" t="str">
        <f>HYPERLINK("https://twitter.com/Parapat_Nixon","@Parapat_Nixon")</f>
        <v>@Parapat_Nixon</v>
      </c>
      <c r="C30100" t="s">
        <v>12883</v>
      </c>
      <c r="D30100">
        <v>0</v>
      </c>
      <c r="E30100">
        <v>6</v>
      </c>
      <c r="F30100">
        <v>19576</v>
      </c>
    </row>
    <row r="30101" spans="1:6" ht="12.75">
      <c r="A30101" s="2">
        <v>43875.556134259255</v>
      </c>
      <c r="B30101" t="str">
        <f>HYPERLINK("https://twitter.com/innovember07","@innovember07")</f>
        <v>@innovember07</v>
      </c>
      <c r="C30101" t="s">
        <v>11536</v>
      </c>
      <c r="D30101">
        <v>0</v>
      </c>
      <c r="E30101">
        <v>0</v>
      </c>
      <c r="F30101">
        <v>187</v>
      </c>
    </row>
    <row r="30102" spans="1:6" ht="12.75">
      <c r="A30102" s="2">
        <v>43875.556122685186</v>
      </c>
      <c r="B30102" t="str">
        <f>HYPERLINK("https://twitter.com/simidun05","@simidun05")</f>
        <v>@simidun05</v>
      </c>
      <c r="C30102" t="s">
        <v>11122</v>
      </c>
      <c r="D30102">
        <v>4</v>
      </c>
      <c r="E30102">
        <v>0</v>
      </c>
      <c r="F30102">
        <v>164</v>
      </c>
    </row>
    <row r="30103" spans="1:6" ht="12.75">
      <c r="A30103" s="2">
        <v>43875.556122685186</v>
      </c>
      <c r="B30103" t="str">
        <f>HYPERLINK("https://twitter.com/pion_praponco","@pion_praponco")</f>
        <v>@pion_praponco</v>
      </c>
      <c r="C30103" t="s">
        <v>5485</v>
      </c>
      <c r="D30103">
        <v>5</v>
      </c>
      <c r="E30103">
        <v>0</v>
      </c>
      <c r="F30103">
        <v>788</v>
      </c>
    </row>
    <row r="30104" spans="1:6" ht="12.75">
      <c r="A30104" s="2">
        <v>43875.55605324074</v>
      </c>
      <c r="B30104" t="str">
        <f>HYPERLINK("https://twitter.com/DivaNaff999","@DivaNaff999")</f>
        <v>@DivaNaff999</v>
      </c>
      <c r="C30104" t="s">
        <v>11536</v>
      </c>
      <c r="D30104">
        <v>0</v>
      </c>
      <c r="E30104">
        <v>0</v>
      </c>
      <c r="F30104">
        <v>331</v>
      </c>
    </row>
    <row r="30105" spans="1:6" ht="12.75">
      <c r="A30105" s="2">
        <v>43875.555995370371</v>
      </c>
      <c r="B30105" t="str">
        <f>HYPERLINK("https://twitter.com/dysyani_","@dysyani_")</f>
        <v>@dysyani_</v>
      </c>
      <c r="C30105" t="s">
        <v>12347</v>
      </c>
      <c r="D30105">
        <v>0</v>
      </c>
      <c r="E30105">
        <v>0</v>
      </c>
      <c r="F30105">
        <v>4095</v>
      </c>
    </row>
    <row r="30106" spans="1:6" ht="12.75">
      <c r="A30106" s="2">
        <v>43875.555995370371</v>
      </c>
      <c r="B30106" t="str">
        <f>HYPERLINK("https://twitter.com/sinyovandlahom","@sinyovandlahom")</f>
        <v>@sinyovandlahom</v>
      </c>
      <c r="C30106" t="s">
        <v>2963</v>
      </c>
      <c r="D30106">
        <v>822</v>
      </c>
      <c r="E30106">
        <v>0</v>
      </c>
      <c r="F30106">
        <v>1282</v>
      </c>
    </row>
    <row r="30107" spans="1:6" ht="12.75">
      <c r="A30107" s="2">
        <v>43875.555983796294</v>
      </c>
      <c r="B30107" t="str">
        <f>HYPERLINK("https://twitter.com/yudinaryadi","@yudinaryadi")</f>
        <v>@yudinaryadi</v>
      </c>
      <c r="C30107" t="s">
        <v>5168</v>
      </c>
      <c r="D30107">
        <v>644</v>
      </c>
      <c r="E30107">
        <v>0</v>
      </c>
      <c r="F30107">
        <v>60</v>
      </c>
    </row>
    <row r="30108" spans="1:6" ht="12.75">
      <c r="A30108" s="2">
        <v>43875.555983796294</v>
      </c>
      <c r="B30108" t="str">
        <f>HYPERLINK("https://twitter.com/tahu_buleeeet","@tahu_buleeeet")</f>
        <v>@tahu_buleeeet</v>
      </c>
      <c r="C30108" t="s">
        <v>11536</v>
      </c>
      <c r="D30108">
        <v>0</v>
      </c>
      <c r="E30108">
        <v>0</v>
      </c>
      <c r="F30108">
        <v>68</v>
      </c>
    </row>
    <row r="30109" spans="1:6" ht="12.75">
      <c r="A30109" s="2">
        <v>43875.555972222224</v>
      </c>
      <c r="B30109" t="str">
        <f>HYPERLINK("https://twitter.com/Utaeodla","@Utaeodla")</f>
        <v>@Utaeodla</v>
      </c>
      <c r="C30109" t="s">
        <v>5168</v>
      </c>
      <c r="D30109">
        <v>644</v>
      </c>
      <c r="E30109">
        <v>0</v>
      </c>
      <c r="F30109">
        <v>17</v>
      </c>
    </row>
    <row r="30110" spans="1:6" ht="12.75">
      <c r="A30110" s="2">
        <v>43875.555925925924</v>
      </c>
      <c r="B30110" t="str">
        <f>HYPERLINK("https://twitter.com/yudi682","@yudi682")</f>
        <v>@yudi682</v>
      </c>
      <c r="C30110" t="s">
        <v>12884</v>
      </c>
      <c r="D30110">
        <v>0</v>
      </c>
      <c r="E30110">
        <v>0</v>
      </c>
      <c r="F30110">
        <v>259</v>
      </c>
    </row>
    <row r="30111" spans="1:6" ht="12.75">
      <c r="A30111" s="2">
        <v>43875.555833333332</v>
      </c>
      <c r="B30111" t="str">
        <f>HYPERLINK("https://twitter.com/MagicSimCard2","@MagicSimCard2")</f>
        <v>@MagicSimCard2</v>
      </c>
      <c r="C30111" t="s">
        <v>10089</v>
      </c>
      <c r="D30111">
        <v>7</v>
      </c>
      <c r="E30111">
        <v>0</v>
      </c>
      <c r="F30111">
        <v>1090</v>
      </c>
    </row>
    <row r="30112" spans="1:6" ht="12.75">
      <c r="A30112" s="2">
        <v>43875.555821759262</v>
      </c>
      <c r="B30112" t="str">
        <f>HYPERLINK("https://twitter.com/FiersaHalusi","@FiersaHalusi")</f>
        <v>@FiersaHalusi</v>
      </c>
      <c r="C30112" t="s">
        <v>2444</v>
      </c>
      <c r="D30112">
        <v>1055</v>
      </c>
      <c r="E30112">
        <v>0</v>
      </c>
      <c r="F30112">
        <v>7</v>
      </c>
    </row>
    <row r="30113" spans="1:6" ht="12.75">
      <c r="A30113" s="2">
        <v>43875.555787037039</v>
      </c>
      <c r="B30113" t="str">
        <f>HYPERLINK("https://twitter.com/kbrioslo","@kbrioslo")</f>
        <v>@kbrioslo</v>
      </c>
      <c r="C30113" t="s">
        <v>175</v>
      </c>
      <c r="D30113">
        <v>5273</v>
      </c>
      <c r="E30113">
        <v>0</v>
      </c>
      <c r="F30113">
        <v>2395</v>
      </c>
    </row>
    <row r="30114" spans="1:6" ht="12.75">
      <c r="A30114" s="2">
        <v>43875.555775462963</v>
      </c>
      <c r="B30114" t="str">
        <f>HYPERLINK("https://twitter.com/cyberhackerID","@cyberhackerID")</f>
        <v>@cyberhackerID</v>
      </c>
      <c r="C30114" t="s">
        <v>10089</v>
      </c>
      <c r="D30114">
        <v>7</v>
      </c>
      <c r="E30114">
        <v>0</v>
      </c>
      <c r="F30114">
        <v>3085</v>
      </c>
    </row>
    <row r="30115" spans="1:6" ht="12.75">
      <c r="A30115" s="2">
        <v>43875.555752314816</v>
      </c>
      <c r="B30115" t="str">
        <f>HYPERLINK("https://twitter.com/Ganjar6antira","@Ganjar6antira")</f>
        <v>@Ganjar6antira</v>
      </c>
      <c r="C30115" t="s">
        <v>10089</v>
      </c>
      <c r="D30115">
        <v>7</v>
      </c>
      <c r="E30115">
        <v>0</v>
      </c>
      <c r="F30115">
        <v>3643</v>
      </c>
    </row>
    <row r="30116" spans="1:6" ht="12.75">
      <c r="A30116" s="2">
        <v>43875.555578703701</v>
      </c>
      <c r="B30116" t="str">
        <f>HYPERLINK("https://twitter.com/_albaiat","@_albaiat")</f>
        <v>@_albaiat</v>
      </c>
      <c r="C30116" t="s">
        <v>10089</v>
      </c>
      <c r="D30116">
        <v>7</v>
      </c>
      <c r="E30116">
        <v>0</v>
      </c>
      <c r="F30116">
        <v>850</v>
      </c>
    </row>
    <row r="30117" spans="1:6" ht="12.75">
      <c r="A30117" s="2">
        <v>43875.555543981478</v>
      </c>
      <c r="B30117" t="str">
        <f>HYPERLINK("https://twitter.com/Julie_Luvita","@Julie_Luvita")</f>
        <v>@Julie_Luvita</v>
      </c>
      <c r="C30117" t="s">
        <v>12885</v>
      </c>
      <c r="D30117">
        <v>0</v>
      </c>
      <c r="E30117">
        <v>1</v>
      </c>
      <c r="F30117">
        <v>11298</v>
      </c>
    </row>
    <row r="30118" spans="1:6" ht="12.75">
      <c r="A30118" s="2">
        <v>43875.555520833332</v>
      </c>
      <c r="B30118" t="str">
        <f>HYPERLINK("https://twitter.com/SuburBur","@SuburBur")</f>
        <v>@SuburBur</v>
      </c>
      <c r="C30118" t="s">
        <v>2963</v>
      </c>
      <c r="D30118">
        <v>822</v>
      </c>
      <c r="E30118">
        <v>0</v>
      </c>
      <c r="F30118">
        <v>5961</v>
      </c>
    </row>
    <row r="30119" spans="1:6" ht="12.75">
      <c r="A30119" s="2">
        <v>43875.555520833332</v>
      </c>
      <c r="B30119" t="str">
        <f>HYPERLINK("https://twitter.com/eka_gabe","@eka_gabe")</f>
        <v>@eka_gabe</v>
      </c>
      <c r="C30119" t="s">
        <v>2444</v>
      </c>
      <c r="D30119">
        <v>1055</v>
      </c>
      <c r="E30119">
        <v>0</v>
      </c>
      <c r="F30119">
        <v>887</v>
      </c>
    </row>
    <row r="30120" spans="1:6" ht="12.75">
      <c r="A30120" s="2">
        <v>43875.555486111116</v>
      </c>
      <c r="B30120" t="str">
        <f>HYPERLINK("https://twitter.com/Sthalsaaa","@Sthalsaaa")</f>
        <v>@Sthalsaaa</v>
      </c>
      <c r="C30120" t="s">
        <v>9971</v>
      </c>
      <c r="D30120">
        <v>4</v>
      </c>
      <c r="E30120">
        <v>0</v>
      </c>
      <c r="F30120">
        <v>23</v>
      </c>
    </row>
    <row r="30121" spans="1:6" ht="12.75">
      <c r="A30121" s="2">
        <v>43875.555451388893</v>
      </c>
      <c r="B30121" t="str">
        <f>HYPERLINK("https://twitter.com/risanggedhang","@risanggedhang")</f>
        <v>@risanggedhang</v>
      </c>
      <c r="C30121" t="s">
        <v>2444</v>
      </c>
      <c r="D30121">
        <v>1055</v>
      </c>
      <c r="E30121">
        <v>0</v>
      </c>
      <c r="F30121">
        <v>293</v>
      </c>
    </row>
    <row r="30122" spans="1:6" ht="12.75">
      <c r="A30122" s="2">
        <v>43875.555196759262</v>
      </c>
      <c r="B30122" t="str">
        <f>HYPERLINK("https://twitter.com/ShandyPurnama09","@ShandyPurnama09")</f>
        <v>@ShandyPurnama09</v>
      </c>
      <c r="C30122" t="s">
        <v>9835</v>
      </c>
      <c r="D30122">
        <v>23</v>
      </c>
      <c r="E30122">
        <v>0</v>
      </c>
      <c r="F30122">
        <v>446</v>
      </c>
    </row>
    <row r="30123" spans="1:6" ht="12.75">
      <c r="A30123" s="2">
        <v>43875.555162037039</v>
      </c>
      <c r="B30123" t="str">
        <f>HYPERLINK("https://twitter.com/JunjungUji","@JunjungUji")</f>
        <v>@JunjungUji</v>
      </c>
      <c r="C30123" t="s">
        <v>12886</v>
      </c>
      <c r="D30123">
        <v>5</v>
      </c>
      <c r="E30123">
        <v>0</v>
      </c>
      <c r="F30123">
        <v>1008</v>
      </c>
    </row>
    <row r="30124" spans="1:6" ht="12.75">
      <c r="A30124" s="2">
        <v>43875.555127314816</v>
      </c>
      <c r="B30124" t="str">
        <f>HYPERLINK("https://twitter.com/ricaricaricha","@ricaricaricha")</f>
        <v>@ricaricaricha</v>
      </c>
      <c r="C30124" t="s">
        <v>2963</v>
      </c>
      <c r="D30124">
        <v>822</v>
      </c>
      <c r="E30124">
        <v>0</v>
      </c>
      <c r="F30124">
        <v>244</v>
      </c>
    </row>
    <row r="30125" spans="1:6" ht="12.75">
      <c r="A30125" s="2">
        <v>43875.555115740739</v>
      </c>
      <c r="B30125" t="str">
        <f>HYPERLINK("https://twitter.com/integrity160171","@integrity160171")</f>
        <v>@integrity160171</v>
      </c>
      <c r="C30125" t="s">
        <v>10096</v>
      </c>
      <c r="D30125">
        <v>113</v>
      </c>
      <c r="E30125">
        <v>0</v>
      </c>
      <c r="F30125">
        <v>494</v>
      </c>
    </row>
    <row r="30126" spans="1:6" ht="12.75">
      <c r="A30126" s="2">
        <v>43875.555081018523</v>
      </c>
      <c r="B30126" t="str">
        <f>HYPERLINK("https://twitter.com/hycredhithe","@hycredhithe")</f>
        <v>@hycredhithe</v>
      </c>
      <c r="C30126" t="s">
        <v>2137</v>
      </c>
      <c r="D30126">
        <v>77</v>
      </c>
      <c r="E30126">
        <v>0</v>
      </c>
      <c r="F30126">
        <v>568</v>
      </c>
    </row>
    <row r="30127" spans="1:6" ht="12.75">
      <c r="A30127" s="2">
        <v>43875.555081018523</v>
      </c>
      <c r="B30127" t="str">
        <f>HYPERLINK("https://twitter.com/airmagzcom","@airmagzcom")</f>
        <v>@airmagzcom</v>
      </c>
      <c r="C30127" t="s">
        <v>11934</v>
      </c>
      <c r="D30127">
        <v>0</v>
      </c>
      <c r="E30127">
        <v>0</v>
      </c>
      <c r="F30127">
        <v>128</v>
      </c>
    </row>
    <row r="30128" spans="1:6" ht="12.75">
      <c r="A30128" s="2">
        <v>43875.555069444439</v>
      </c>
      <c r="B30128" t="str">
        <f>HYPERLINK("https://twitter.com/DynCurny","@DynCurny")</f>
        <v>@DynCurny</v>
      </c>
      <c r="C30128" t="s">
        <v>2963</v>
      </c>
      <c r="D30128">
        <v>822</v>
      </c>
      <c r="E30128">
        <v>0</v>
      </c>
      <c r="F30128">
        <v>154</v>
      </c>
    </row>
    <row r="30129" spans="1:6" ht="12.75">
      <c r="A30129" s="2">
        <v>43875.55505787037</v>
      </c>
      <c r="B30129" t="str">
        <f>HYPERLINK("https://twitter.com/olarizal","@olarizal")</f>
        <v>@olarizal</v>
      </c>
      <c r="C30129" t="s">
        <v>2122</v>
      </c>
      <c r="D30129">
        <v>202</v>
      </c>
      <c r="E30129">
        <v>0</v>
      </c>
      <c r="F30129">
        <v>3855</v>
      </c>
    </row>
    <row r="30130" spans="1:6" ht="12.75">
      <c r="A30130" s="2">
        <v>43875.555011574077</v>
      </c>
      <c r="B30130" t="str">
        <f>HYPERLINK("https://twitter.com/Henderi90238586","@Henderi90238586")</f>
        <v>@Henderi90238586</v>
      </c>
      <c r="C30130" t="s">
        <v>2963</v>
      </c>
      <c r="D30130">
        <v>822</v>
      </c>
      <c r="E30130">
        <v>0</v>
      </c>
      <c r="F30130">
        <v>23</v>
      </c>
    </row>
    <row r="30131" spans="1:6" ht="12.75">
      <c r="A30131" s="2">
        <v>43875.554988425924</v>
      </c>
      <c r="B30131" t="str">
        <f>HYPERLINK("https://twitter.com/JunjungUji","@JunjungUji")</f>
        <v>@JunjungUji</v>
      </c>
      <c r="C30131" t="s">
        <v>10077</v>
      </c>
      <c r="D30131">
        <v>1</v>
      </c>
      <c r="E30131">
        <v>0</v>
      </c>
      <c r="F30131">
        <v>1008</v>
      </c>
    </row>
    <row r="30132" spans="1:6" ht="12.75">
      <c r="A30132" s="2">
        <v>43875.554942129631</v>
      </c>
      <c r="B30132" t="str">
        <f>HYPERLINK("https://twitter.com/suaradotcom","@suaradotcom")</f>
        <v>@suaradotcom</v>
      </c>
      <c r="C30132" t="s">
        <v>12887</v>
      </c>
      <c r="D30132">
        <v>0</v>
      </c>
      <c r="E30132">
        <v>0</v>
      </c>
      <c r="F30132">
        <v>24163</v>
      </c>
    </row>
    <row r="30133" spans="1:6" ht="12.75">
      <c r="A30133" s="2">
        <v>43875.554895833338</v>
      </c>
      <c r="B30133" t="str">
        <f>HYPERLINK("https://twitter.com/didisanjaya15","@didisanjaya15")</f>
        <v>@didisanjaya15</v>
      </c>
      <c r="C30133" t="s">
        <v>12888</v>
      </c>
      <c r="D30133">
        <v>0</v>
      </c>
      <c r="E30133">
        <v>0</v>
      </c>
      <c r="F30133">
        <v>325</v>
      </c>
    </row>
    <row r="30134" spans="1:6" ht="12.75">
      <c r="A30134" s="2">
        <v>43875.554849537039</v>
      </c>
      <c r="B30134" t="str">
        <f>HYPERLINK("https://twitter.com/MasAnjar13","@MasAnjar13")</f>
        <v>@MasAnjar13</v>
      </c>
      <c r="C30134" t="s">
        <v>9096</v>
      </c>
      <c r="D30134">
        <v>186</v>
      </c>
      <c r="E30134">
        <v>0</v>
      </c>
      <c r="F30134">
        <v>99</v>
      </c>
    </row>
    <row r="30135" spans="1:6" ht="12.75">
      <c r="A30135" s="2">
        <v>43875.554803240739</v>
      </c>
      <c r="B30135" t="str">
        <f>HYPERLINK("https://twitter.com/pputrakkelana","@pputrakkelana")</f>
        <v>@pputrakkelana</v>
      </c>
      <c r="C30135" t="s">
        <v>10089</v>
      </c>
      <c r="D30135">
        <v>7</v>
      </c>
      <c r="E30135">
        <v>0</v>
      </c>
      <c r="F30135">
        <v>235</v>
      </c>
    </row>
    <row r="30136" spans="1:6" ht="12.75">
      <c r="A30136" s="2">
        <v>43875.554780092592</v>
      </c>
      <c r="B30136" t="str">
        <f>HYPERLINK("https://twitter.com/mudha_satriya","@mudha_satriya")</f>
        <v>@mudha_satriya</v>
      </c>
      <c r="C30136" t="s">
        <v>12889</v>
      </c>
      <c r="D30136">
        <v>1</v>
      </c>
      <c r="E30136">
        <v>0</v>
      </c>
      <c r="F30136">
        <v>1878</v>
      </c>
    </row>
    <row r="30137" spans="1:6" ht="12.75">
      <c r="A30137" s="2">
        <v>43875.554733796293</v>
      </c>
      <c r="B30137" t="str">
        <f>HYPERLINK("https://twitter.com/ruthdesinta","@ruthdesinta")</f>
        <v>@ruthdesinta</v>
      </c>
      <c r="C30137" t="s">
        <v>2444</v>
      </c>
      <c r="D30137">
        <v>1055</v>
      </c>
      <c r="E30137">
        <v>0</v>
      </c>
      <c r="F30137">
        <v>36</v>
      </c>
    </row>
    <row r="30138" spans="1:6" ht="12.75">
      <c r="A30138" s="2">
        <v>43875.554733796293</v>
      </c>
      <c r="B30138" t="str">
        <f>HYPERLINK("https://twitter.com/salima252","@salima252")</f>
        <v>@salima252</v>
      </c>
      <c r="C30138" t="s">
        <v>11121</v>
      </c>
      <c r="D30138">
        <v>13</v>
      </c>
      <c r="E30138">
        <v>0</v>
      </c>
      <c r="F30138">
        <v>3167</v>
      </c>
    </row>
    <row r="30139" spans="1:6" ht="12.75">
      <c r="A30139" s="2">
        <v>43875.5546875</v>
      </c>
      <c r="B30139" t="str">
        <f>HYPERLINK("https://twitter.com/Sayyed_Muzakkir","@Sayyed_Muzakkir")</f>
        <v>@Sayyed_Muzakkir</v>
      </c>
      <c r="C30139" t="s">
        <v>12890</v>
      </c>
      <c r="D30139">
        <v>0</v>
      </c>
      <c r="E30139">
        <v>1</v>
      </c>
      <c r="F30139">
        <v>496</v>
      </c>
    </row>
    <row r="30140" spans="1:6" ht="12.75">
      <c r="A30140" s="2">
        <v>43875.55467592593</v>
      </c>
      <c r="B30140" t="str">
        <f>HYPERLINK("https://twitter.com/amri_9812","@amri_9812")</f>
        <v>@amri_9812</v>
      </c>
      <c r="C30140" t="s">
        <v>2444</v>
      </c>
      <c r="D30140">
        <v>1055</v>
      </c>
      <c r="E30140">
        <v>0</v>
      </c>
      <c r="F30140">
        <v>696</v>
      </c>
    </row>
    <row r="30141" spans="1:6" ht="12.75">
      <c r="A30141" s="2">
        <v>43875.554652777777</v>
      </c>
      <c r="B30141" t="str">
        <f>HYPERLINK("https://twitter.com/dwitama_k","@dwitama_k")</f>
        <v>@dwitama_k</v>
      </c>
      <c r="C30141" t="s">
        <v>7478</v>
      </c>
      <c r="D30141">
        <v>62</v>
      </c>
      <c r="E30141">
        <v>0</v>
      </c>
      <c r="F30141">
        <v>367</v>
      </c>
    </row>
    <row r="30142" spans="1:6" ht="12.75">
      <c r="A30142" s="2">
        <v>43875.554548611108</v>
      </c>
      <c r="B30142" t="str">
        <f>HYPERLINK("https://twitter.com/Qiunara","@Qiunara")</f>
        <v>@Qiunara</v>
      </c>
      <c r="C30142" t="s">
        <v>2137</v>
      </c>
      <c r="D30142">
        <v>77</v>
      </c>
      <c r="E30142">
        <v>0</v>
      </c>
      <c r="F30142">
        <v>3180</v>
      </c>
    </row>
    <row r="30143" spans="1:6" ht="12.75">
      <c r="A30143" s="2">
        <v>43875.554502314815</v>
      </c>
      <c r="B30143" t="str">
        <f>HYPERLINK("https://twitter.com/bunnyteethgguk","@bunnyteethgguk")</f>
        <v>@bunnyteethgguk</v>
      </c>
      <c r="C30143" t="s">
        <v>2137</v>
      </c>
      <c r="D30143">
        <v>77</v>
      </c>
      <c r="E30143">
        <v>0</v>
      </c>
      <c r="F30143">
        <v>1612</v>
      </c>
    </row>
    <row r="30144" spans="1:6" ht="12.75">
      <c r="A30144" s="2">
        <v>43875.554479166662</v>
      </c>
      <c r="B30144" t="str">
        <f>HYPERLINK("https://twitter.com/xsalbixyz","@xsalbixyz")</f>
        <v>@xsalbixyz</v>
      </c>
      <c r="C30144" t="s">
        <v>2444</v>
      </c>
      <c r="D30144">
        <v>1055</v>
      </c>
      <c r="E30144">
        <v>0</v>
      </c>
      <c r="F30144">
        <v>311</v>
      </c>
    </row>
    <row r="30145" spans="1:6" ht="12.75">
      <c r="A30145" s="2">
        <v>43875.554479166662</v>
      </c>
      <c r="B30145" t="str">
        <f>HYPERLINK("https://twitter.com/Ariefmantoi","@Ariefmantoi")</f>
        <v>@Ariefmantoi</v>
      </c>
      <c r="C30145" t="s">
        <v>7478</v>
      </c>
      <c r="D30145">
        <v>62</v>
      </c>
      <c r="E30145">
        <v>0</v>
      </c>
      <c r="F30145">
        <v>320</v>
      </c>
    </row>
    <row r="30146" spans="1:6" ht="12.75">
      <c r="A30146" s="2">
        <v>43875.554456018523</v>
      </c>
      <c r="B30146" t="str">
        <f>HYPERLINK("https://twitter.com/djanuanti","@djanuanti")</f>
        <v>@djanuanti</v>
      </c>
      <c r="C30146" t="s">
        <v>10422</v>
      </c>
      <c r="D30146">
        <v>83</v>
      </c>
      <c r="E30146">
        <v>0</v>
      </c>
      <c r="F30146">
        <v>471</v>
      </c>
    </row>
    <row r="30147" spans="1:6" ht="12.75">
      <c r="A30147" s="2">
        <v>43875.554444444446</v>
      </c>
      <c r="B30147" t="str">
        <f>HYPERLINK("https://twitter.com/Rita8213","@Rita8213")</f>
        <v>@Rita8213</v>
      </c>
      <c r="C30147" t="s">
        <v>12891</v>
      </c>
      <c r="D30147">
        <v>0</v>
      </c>
      <c r="E30147">
        <v>0</v>
      </c>
      <c r="F30147">
        <v>108</v>
      </c>
    </row>
    <row r="30148" spans="1:6" ht="12.75">
      <c r="A30148" s="2">
        <v>43875.554432870369</v>
      </c>
      <c r="B30148" t="str">
        <f>HYPERLINK("https://twitter.com/indroprayitno39","@indroprayitno39")</f>
        <v>@indroprayitno39</v>
      </c>
      <c r="C30148" t="s">
        <v>12892</v>
      </c>
      <c r="D30148">
        <v>1</v>
      </c>
      <c r="E30148">
        <v>0</v>
      </c>
      <c r="F30148">
        <v>158</v>
      </c>
    </row>
    <row r="30149" spans="1:6" ht="12.75">
      <c r="A30149" s="2">
        <v>43875.5543287037</v>
      </c>
      <c r="B30149" t="str">
        <f>HYPERLINK("https://twitter.com/Maswiro3","@Maswiro3")</f>
        <v>@Maswiro3</v>
      </c>
      <c r="C30149" t="s">
        <v>9746</v>
      </c>
      <c r="D30149">
        <v>135</v>
      </c>
      <c r="E30149">
        <v>0</v>
      </c>
      <c r="F30149">
        <v>1677</v>
      </c>
    </row>
    <row r="30150" spans="1:6" ht="12.75">
      <c r="A30150" s="2">
        <v>43875.554270833338</v>
      </c>
      <c r="B30150" t="str">
        <f>HYPERLINK("https://twitter.com/BaliHanafi","@BaliHanafi")</f>
        <v>@BaliHanafi</v>
      </c>
      <c r="C30150" t="s">
        <v>9947</v>
      </c>
      <c r="D30150">
        <v>332</v>
      </c>
      <c r="E30150">
        <v>0</v>
      </c>
      <c r="F30150">
        <v>402</v>
      </c>
    </row>
    <row r="30151" spans="1:6" ht="12.75">
      <c r="A30151" s="2">
        <v>43875.554166666669</v>
      </c>
      <c r="B30151" t="str">
        <f>HYPERLINK("https://twitter.com/aderomeo","@aderomeo")</f>
        <v>@aderomeo</v>
      </c>
      <c r="C30151" t="s">
        <v>10089</v>
      </c>
      <c r="D30151">
        <v>7</v>
      </c>
      <c r="E30151">
        <v>0</v>
      </c>
      <c r="F30151">
        <v>397</v>
      </c>
    </row>
    <row r="30152" spans="1:6" ht="12.75">
      <c r="A30152" s="2">
        <v>43875.554155092592</v>
      </c>
      <c r="B30152" t="str">
        <f>HYPERLINK("https://twitter.com/AgustinaYurisa","@AgustinaYurisa")</f>
        <v>@AgustinaYurisa</v>
      </c>
      <c r="C30152" t="s">
        <v>7478</v>
      </c>
      <c r="D30152">
        <v>62</v>
      </c>
      <c r="E30152">
        <v>0</v>
      </c>
      <c r="F30152">
        <v>809</v>
      </c>
    </row>
    <row r="30153" spans="1:6" ht="12.75">
      <c r="A30153" s="2">
        <v>43875.55400462963</v>
      </c>
      <c r="B30153" t="str">
        <f>HYPERLINK("https://twitter.com/dyahachmad","@dyahachmad")</f>
        <v>@dyahachmad</v>
      </c>
      <c r="C30153" t="s">
        <v>5168</v>
      </c>
      <c r="D30153">
        <v>644</v>
      </c>
      <c r="E30153">
        <v>0</v>
      </c>
      <c r="F30153">
        <v>68</v>
      </c>
    </row>
    <row r="30154" spans="1:6" ht="12.75">
      <c r="A30154" s="2">
        <v>43875.55395833333</v>
      </c>
      <c r="B30154" t="str">
        <f>HYPERLINK("https://twitter.com/mudha_satriya","@mudha_satriya")</f>
        <v>@mudha_satriya</v>
      </c>
      <c r="C30154" t="s">
        <v>12893</v>
      </c>
      <c r="D30154">
        <v>2</v>
      </c>
      <c r="E30154">
        <v>0</v>
      </c>
      <c r="F30154">
        <v>1878</v>
      </c>
    </row>
    <row r="30155" spans="1:6" ht="12.75">
      <c r="A30155" s="2">
        <v>43875.553935185184</v>
      </c>
      <c r="B30155" t="str">
        <f>HYPERLINK("https://twitter.com/dyibz","@dyibz")</f>
        <v>@dyibz</v>
      </c>
      <c r="C30155" t="s">
        <v>9021</v>
      </c>
      <c r="D30155">
        <v>182</v>
      </c>
      <c r="E30155">
        <v>0</v>
      </c>
      <c r="F30155">
        <v>513</v>
      </c>
    </row>
    <row r="30156" spans="1:6" ht="12.75">
      <c r="A30156" s="2">
        <v>43875.553923611107</v>
      </c>
      <c r="B30156" t="str">
        <f>HYPERLINK("https://twitter.com/WartaKotaTribun","@WartaKotaTribun")</f>
        <v>@WartaKotaTribun</v>
      </c>
      <c r="C30156" t="s">
        <v>12894</v>
      </c>
      <c r="D30156">
        <v>0</v>
      </c>
      <c r="E30156">
        <v>0</v>
      </c>
      <c r="F30156">
        <v>783</v>
      </c>
    </row>
    <row r="30157" spans="1:6" ht="12.75">
      <c r="A30157" s="2">
        <v>43875.553923611107</v>
      </c>
      <c r="B30157" t="str">
        <f>HYPERLINK("https://twitter.com/SuburBur","@SuburBur")</f>
        <v>@SuburBur</v>
      </c>
      <c r="C30157" t="s">
        <v>12895</v>
      </c>
      <c r="D30157">
        <v>1</v>
      </c>
      <c r="E30157">
        <v>0</v>
      </c>
      <c r="F30157">
        <v>5961</v>
      </c>
    </row>
    <row r="30158" spans="1:6" ht="12.75">
      <c r="A30158" s="2">
        <v>43875.553807870368</v>
      </c>
      <c r="B30158" t="str">
        <f>HYPERLINK("https://twitter.com/syafitri_l","@syafitri_l")</f>
        <v>@syafitri_l</v>
      </c>
      <c r="C30158" t="s">
        <v>8720</v>
      </c>
      <c r="D30158">
        <v>42</v>
      </c>
      <c r="E30158">
        <v>0</v>
      </c>
      <c r="F30158">
        <v>138</v>
      </c>
    </row>
    <row r="30159" spans="1:6" ht="12.75">
      <c r="A30159" s="2">
        <v>43875.553796296299</v>
      </c>
      <c r="B30159" t="str">
        <f>HYPERLINK("https://twitter.com/Aldizero","@Aldizero")</f>
        <v>@Aldizero</v>
      </c>
      <c r="C30159" t="s">
        <v>5168</v>
      </c>
      <c r="D30159">
        <v>644</v>
      </c>
      <c r="E30159">
        <v>0</v>
      </c>
      <c r="F30159">
        <v>652</v>
      </c>
    </row>
    <row r="30160" spans="1:6" ht="12.75">
      <c r="A30160" s="2">
        <v>43875.553761574076</v>
      </c>
      <c r="B30160" t="str">
        <f>HYPERLINK("https://twitter.com/arbelaa","@arbelaa")</f>
        <v>@arbelaa</v>
      </c>
      <c r="C30160" t="s">
        <v>2444</v>
      </c>
      <c r="D30160">
        <v>1055</v>
      </c>
      <c r="E30160">
        <v>0</v>
      </c>
      <c r="F30160">
        <v>403</v>
      </c>
    </row>
    <row r="30161" spans="1:6" ht="12.75">
      <c r="A30161" s="2">
        <v>43875.553761574076</v>
      </c>
      <c r="B30161" t="str">
        <f>HYPERLINK("https://twitter.com/saskiaanr","@saskiaanr")</f>
        <v>@saskiaanr</v>
      </c>
      <c r="C30161" t="s">
        <v>2137</v>
      </c>
      <c r="D30161">
        <v>77</v>
      </c>
      <c r="E30161">
        <v>0</v>
      </c>
      <c r="F30161">
        <v>715</v>
      </c>
    </row>
    <row r="30162" spans="1:6" ht="12.75">
      <c r="A30162" s="2">
        <v>43875.553749999999</v>
      </c>
      <c r="B30162" t="str">
        <f>HYPERLINK("https://twitter.com/BadjaNuswantara","@BadjaNuswantara")</f>
        <v>@BadjaNuswantara</v>
      </c>
      <c r="C30162" t="s">
        <v>12611</v>
      </c>
      <c r="D30162">
        <v>1</v>
      </c>
      <c r="E30162">
        <v>0</v>
      </c>
      <c r="F30162">
        <v>42297</v>
      </c>
    </row>
    <row r="30163" spans="1:6" ht="12.75">
      <c r="A30163" s="2">
        <v>43875.553703703699</v>
      </c>
      <c r="B30163" t="str">
        <f>HYPERLINK("https://twitter.com/assalamsyah","@assalamsyah")</f>
        <v>@assalamsyah</v>
      </c>
      <c r="C30163" t="s">
        <v>8233</v>
      </c>
      <c r="D30163">
        <v>433</v>
      </c>
      <c r="E30163">
        <v>0</v>
      </c>
      <c r="F30163">
        <v>120</v>
      </c>
    </row>
    <row r="30164" spans="1:6" ht="12.75">
      <c r="A30164" s="2">
        <v>43875.55368055556</v>
      </c>
      <c r="B30164" t="str">
        <f>HYPERLINK("https://twitter.com/Ilovemendoan","@Ilovemendoan")</f>
        <v>@Ilovemendoan</v>
      </c>
      <c r="C30164" t="s">
        <v>2110</v>
      </c>
      <c r="D30164">
        <v>35</v>
      </c>
      <c r="E30164">
        <v>0</v>
      </c>
      <c r="F30164">
        <v>59</v>
      </c>
    </row>
    <row r="30165" spans="1:6" ht="12.75">
      <c r="A30165" s="2">
        <v>43875.553483796291</v>
      </c>
      <c r="B30165" t="str">
        <f>HYPERLINK("https://twitter.com/rayestu","@rayestu")</f>
        <v>@rayestu</v>
      </c>
      <c r="C30165" t="s">
        <v>2444</v>
      </c>
      <c r="D30165">
        <v>1055</v>
      </c>
      <c r="E30165">
        <v>0</v>
      </c>
      <c r="F30165">
        <v>7576</v>
      </c>
    </row>
    <row r="30166" spans="1:6" ht="12.75">
      <c r="A30166" s="2">
        <v>43875.553368055553</v>
      </c>
      <c r="B30166" t="str">
        <f>HYPERLINK("https://twitter.com/kabarpol","@kabarpol")</f>
        <v>@kabarpol</v>
      </c>
      <c r="C30166" t="s">
        <v>12803</v>
      </c>
      <c r="D30166">
        <v>0</v>
      </c>
      <c r="E30166">
        <v>0</v>
      </c>
      <c r="F30166">
        <v>51</v>
      </c>
    </row>
    <row r="30167" spans="1:6" ht="12.75">
      <c r="A30167" s="2">
        <v>43875.55332175926</v>
      </c>
      <c r="B30167" t="str">
        <f>HYPERLINK("https://twitter.com/kabarpolitik","@kabarpolitik")</f>
        <v>@kabarpolitik</v>
      </c>
      <c r="C30167" t="s">
        <v>12803</v>
      </c>
      <c r="D30167">
        <v>0</v>
      </c>
      <c r="E30167">
        <v>0</v>
      </c>
      <c r="F30167">
        <v>16765</v>
      </c>
    </row>
    <row r="30168" spans="1:6" ht="12.75">
      <c r="A30168" s="2">
        <v>43875.553310185191</v>
      </c>
      <c r="B30168" t="str">
        <f>HYPERLINK("https://twitter.com/AGUSINDONESIA2","@AGUSINDONESIA2")</f>
        <v>@AGUSINDONESIA2</v>
      </c>
      <c r="C30168" t="s">
        <v>2963</v>
      </c>
      <c r="D30168">
        <v>822</v>
      </c>
      <c r="E30168">
        <v>0</v>
      </c>
      <c r="F30168">
        <v>398</v>
      </c>
    </row>
    <row r="30169" spans="1:6" ht="12.75">
      <c r="A30169" s="2">
        <v>43875.553310185191</v>
      </c>
      <c r="B30169" t="str">
        <f>HYPERLINK("https://twitter.com/fergianto","@fergianto")</f>
        <v>@fergianto</v>
      </c>
      <c r="C30169" t="s">
        <v>10291</v>
      </c>
      <c r="D30169">
        <v>15</v>
      </c>
      <c r="E30169">
        <v>0</v>
      </c>
      <c r="F30169">
        <v>680</v>
      </c>
    </row>
    <row r="30170" spans="1:6" ht="12.75">
      <c r="A30170" s="2">
        <v>43875.553287037037</v>
      </c>
      <c r="B30170" t="str">
        <f>HYPERLINK("https://twitter.com/lifewithharris","@lifewithharris")</f>
        <v>@lifewithharris</v>
      </c>
      <c r="C30170" t="s">
        <v>2444</v>
      </c>
      <c r="D30170">
        <v>1055</v>
      </c>
      <c r="E30170">
        <v>0</v>
      </c>
      <c r="F30170">
        <v>625</v>
      </c>
    </row>
    <row r="30171" spans="1:6" ht="12.75">
      <c r="A30171" s="2">
        <v>43875.553171296298</v>
      </c>
      <c r="B30171" t="str">
        <f>HYPERLINK("https://twitter.com/_gayahidup","@_gayahidup")</f>
        <v>@_gayahidup</v>
      </c>
      <c r="C30171" t="s">
        <v>12896</v>
      </c>
      <c r="D30171">
        <v>0</v>
      </c>
      <c r="E30171">
        <v>0</v>
      </c>
      <c r="F30171">
        <v>123</v>
      </c>
    </row>
    <row r="30172" spans="1:6" ht="12.75">
      <c r="A30172" s="2">
        <v>43875.553148148145</v>
      </c>
      <c r="B30172" t="str">
        <f>HYPERLINK("https://twitter.com/MHAlFirdaus1","@MHAlFirdaus1")</f>
        <v>@MHAlFirdaus1</v>
      </c>
      <c r="C30172" t="s">
        <v>10291</v>
      </c>
      <c r="D30172">
        <v>15</v>
      </c>
      <c r="E30172">
        <v>0</v>
      </c>
      <c r="F30172">
        <v>618</v>
      </c>
    </row>
    <row r="30173" spans="1:6" ht="12.75">
      <c r="A30173" s="2">
        <v>43875.55305555556</v>
      </c>
      <c r="B30173" t="str">
        <f>HYPERLINK("https://twitter.com/Entos761","@Entos761")</f>
        <v>@Entos761</v>
      </c>
      <c r="C30173" t="s">
        <v>12897</v>
      </c>
      <c r="D30173">
        <v>0</v>
      </c>
      <c r="E30173">
        <v>0</v>
      </c>
      <c r="F30173">
        <v>0</v>
      </c>
    </row>
    <row r="30174" spans="1:6" ht="12.75">
      <c r="A30174" s="2">
        <v>43875.553020833337</v>
      </c>
      <c r="B30174" t="str">
        <f>HYPERLINK("https://twitter.com/capt_tabasa","@capt_tabasa")</f>
        <v>@capt_tabasa</v>
      </c>
      <c r="C30174" t="s">
        <v>2444</v>
      </c>
      <c r="D30174">
        <v>1055</v>
      </c>
      <c r="E30174">
        <v>0</v>
      </c>
      <c r="F30174">
        <v>461</v>
      </c>
    </row>
    <row r="30175" spans="1:6" ht="12.75">
      <c r="A30175" s="2">
        <v>43875.55300925926</v>
      </c>
      <c r="B30175" t="str">
        <f>HYPERLINK("https://twitter.com/Metro_TV","@Metro_TV")</f>
        <v>@Metro_TV</v>
      </c>
      <c r="C30175" t="s">
        <v>12898</v>
      </c>
      <c r="D30175">
        <v>0</v>
      </c>
      <c r="E30175">
        <v>1</v>
      </c>
      <c r="F30175">
        <v>10509038</v>
      </c>
    </row>
    <row r="30176" spans="1:6" ht="12.75">
      <c r="A30176" s="2">
        <v>43875.552986111114</v>
      </c>
      <c r="B30176" t="str">
        <f>HYPERLINK("https://twitter.com/JoKerR_nN","@JoKerR_nN")</f>
        <v>@JoKerR_nN</v>
      </c>
      <c r="C30176" t="s">
        <v>11566</v>
      </c>
      <c r="D30176">
        <v>104</v>
      </c>
      <c r="E30176">
        <v>0</v>
      </c>
      <c r="F30176">
        <v>714</v>
      </c>
    </row>
    <row r="30177" spans="1:6" ht="12.75">
      <c r="A30177" s="2">
        <v>43875.552951388891</v>
      </c>
      <c r="B30177" t="str">
        <f>HYPERLINK("https://twitter.com/JunjungUji","@JunjungUji")</f>
        <v>@JunjungUji</v>
      </c>
      <c r="C30177" t="s">
        <v>12899</v>
      </c>
      <c r="D30177">
        <v>1</v>
      </c>
      <c r="E30177">
        <v>0</v>
      </c>
      <c r="F30177">
        <v>1008</v>
      </c>
    </row>
    <row r="30178" spans="1:6" ht="12.75">
      <c r="A30178" s="2">
        <v>43875.552916666667</v>
      </c>
      <c r="B30178" t="str">
        <f>HYPERLINK("https://twitter.com/Bagas36406270","@Bagas36406270")</f>
        <v>@Bagas36406270</v>
      </c>
      <c r="C30178" t="s">
        <v>9835</v>
      </c>
      <c r="D30178">
        <v>23</v>
      </c>
      <c r="E30178">
        <v>0</v>
      </c>
      <c r="F30178">
        <v>1174</v>
      </c>
    </row>
    <row r="30179" spans="1:6" ht="12.75">
      <c r="A30179" s="2">
        <v>43875.552893518514</v>
      </c>
      <c r="B30179" t="str">
        <f>HYPERLINK("https://twitter.com/Fm98Sonora","@Fm98Sonora")</f>
        <v>@Fm98Sonora</v>
      </c>
      <c r="C30179" t="s">
        <v>12900</v>
      </c>
      <c r="D30179">
        <v>3</v>
      </c>
      <c r="E30179">
        <v>0</v>
      </c>
      <c r="F30179">
        <v>18</v>
      </c>
    </row>
    <row r="30180" spans="1:6" ht="12.75">
      <c r="A30180" s="2">
        <v>43875.552893518514</v>
      </c>
      <c r="B30180" t="str">
        <f>HYPERLINK("https://twitter.com/ireneanneea","@ireneanneea")</f>
        <v>@ireneanneea</v>
      </c>
      <c r="C30180" t="s">
        <v>5168</v>
      </c>
      <c r="D30180">
        <v>644</v>
      </c>
      <c r="E30180">
        <v>0</v>
      </c>
      <c r="F30180">
        <v>112</v>
      </c>
    </row>
    <row r="30181" spans="1:6" ht="12.75">
      <c r="A30181" s="2">
        <v>43875.552777777775</v>
      </c>
      <c r="B30181" t="str">
        <f>HYPERLINK("https://twitter.com/beritaKBR","@beritaKBR")</f>
        <v>@beritaKBR</v>
      </c>
      <c r="C30181" t="s">
        <v>12901</v>
      </c>
      <c r="D30181">
        <v>0</v>
      </c>
      <c r="E30181">
        <v>0</v>
      </c>
      <c r="F30181">
        <v>137225</v>
      </c>
    </row>
    <row r="30182" spans="1:6" ht="12.75">
      <c r="A30182" s="2">
        <v>43875.552708333329</v>
      </c>
      <c r="B30182" t="str">
        <f>HYPERLINK("https://twitter.com/mietektek","@mietektek")</f>
        <v>@mietektek</v>
      </c>
      <c r="C30182" t="s">
        <v>2444</v>
      </c>
      <c r="D30182">
        <v>1055</v>
      </c>
      <c r="E30182">
        <v>0</v>
      </c>
      <c r="F30182">
        <v>60</v>
      </c>
    </row>
    <row r="30183" spans="1:6" ht="12.75">
      <c r="A30183" s="2">
        <v>43875.552708333329</v>
      </c>
      <c r="B30183" t="str">
        <f>HYPERLINK("https://twitter.com/10_arimln","@10_arimln")</f>
        <v>@10_arimln</v>
      </c>
      <c r="C30183" t="s">
        <v>9113</v>
      </c>
      <c r="D30183">
        <v>289</v>
      </c>
      <c r="E30183">
        <v>0</v>
      </c>
      <c r="F30183">
        <v>33</v>
      </c>
    </row>
    <row r="30184" spans="1:6" ht="12.75">
      <c r="A30184" s="2">
        <v>43875.55269675926</v>
      </c>
      <c r="B30184" t="str">
        <f>HYPERLINK("https://twitter.com/fdlr__","@fdlr__")</f>
        <v>@fdlr__</v>
      </c>
      <c r="C30184" t="s">
        <v>10801</v>
      </c>
      <c r="D30184">
        <v>3</v>
      </c>
      <c r="E30184">
        <v>0</v>
      </c>
      <c r="F30184">
        <v>135</v>
      </c>
    </row>
    <row r="30185" spans="1:6" ht="12.75">
      <c r="A30185" s="2">
        <v>43875.552627314813</v>
      </c>
      <c r="B30185" t="str">
        <f>HYPERLINK("https://twitter.com/indahnuria","@indahnuria")</f>
        <v>@indahnuria</v>
      </c>
      <c r="C30185" t="s">
        <v>2078</v>
      </c>
      <c r="D30185">
        <v>19</v>
      </c>
      <c r="E30185">
        <v>0</v>
      </c>
      <c r="F30185">
        <v>3312</v>
      </c>
    </row>
    <row r="30186" spans="1:6" ht="12.75">
      <c r="A30186" s="2">
        <v>43875.552557870367</v>
      </c>
      <c r="B30186" t="str">
        <f>HYPERLINK("https://twitter.com/Wahyouwahyono","@Wahyouwahyono")</f>
        <v>@Wahyouwahyono</v>
      </c>
      <c r="C30186" t="s">
        <v>9147</v>
      </c>
      <c r="D30186">
        <v>8</v>
      </c>
      <c r="E30186">
        <v>0</v>
      </c>
      <c r="F30186">
        <v>329</v>
      </c>
    </row>
    <row r="30187" spans="1:6" ht="12.75">
      <c r="A30187" s="2">
        <v>43875.552500000005</v>
      </c>
      <c r="B30187" t="str">
        <f>HYPERLINK("https://twitter.com/D4C311","@D4C311")</f>
        <v>@D4C311</v>
      </c>
      <c r="C30187" t="s">
        <v>7478</v>
      </c>
      <c r="D30187">
        <v>62</v>
      </c>
      <c r="E30187">
        <v>0</v>
      </c>
      <c r="F30187">
        <v>1052</v>
      </c>
    </row>
    <row r="30188" spans="1:6" ht="12.75">
      <c r="A30188" s="2">
        <v>43875.552465277782</v>
      </c>
      <c r="B30188" t="str">
        <f>HYPERLINK("https://twitter.com/baca_tanda","@baca_tanda")</f>
        <v>@baca_tanda</v>
      </c>
      <c r="C30188" t="s">
        <v>9746</v>
      </c>
      <c r="D30188">
        <v>135</v>
      </c>
      <c r="E30188">
        <v>0</v>
      </c>
      <c r="F30188">
        <v>978</v>
      </c>
    </row>
    <row r="30189" spans="1:6" ht="12.75">
      <c r="A30189" s="2">
        <v>43875.552453703705</v>
      </c>
      <c r="B30189" t="str">
        <f>HYPERLINK("https://twitter.com/SabangMerauke08","@SabangMerauke08")</f>
        <v>@SabangMerauke08</v>
      </c>
      <c r="C30189" t="s">
        <v>7478</v>
      </c>
      <c r="D30189">
        <v>62</v>
      </c>
      <c r="E30189">
        <v>0</v>
      </c>
      <c r="F30189">
        <v>1745</v>
      </c>
    </row>
    <row r="30190" spans="1:6" ht="12.75">
      <c r="A30190" s="2">
        <v>43875.552395833336</v>
      </c>
      <c r="B30190" t="str">
        <f>HYPERLINK("https://twitter.com/insanirahmi","@insanirahmi")</f>
        <v>@insanirahmi</v>
      </c>
      <c r="C30190" t="s">
        <v>2444</v>
      </c>
      <c r="D30190">
        <v>1055</v>
      </c>
      <c r="E30190">
        <v>0</v>
      </c>
      <c r="F30190">
        <v>303</v>
      </c>
    </row>
    <row r="30191" spans="1:6" ht="12.75">
      <c r="A30191" s="2">
        <v>43875.552349537036</v>
      </c>
      <c r="B30191" t="str">
        <f>HYPERLINK("https://twitter.com/yannitakhoir","@yannitakhoir")</f>
        <v>@yannitakhoir</v>
      </c>
      <c r="C30191" t="s">
        <v>5168</v>
      </c>
      <c r="D30191">
        <v>644</v>
      </c>
      <c r="E30191">
        <v>0</v>
      </c>
      <c r="F30191">
        <v>714</v>
      </c>
    </row>
    <row r="30192" spans="1:6" ht="12.75">
      <c r="A30192" s="2">
        <v>43875.55232638889</v>
      </c>
      <c r="B30192" t="str">
        <f>HYPERLINK("https://twitter.com/RelawanUMKM","@RelawanUMKM")</f>
        <v>@RelawanUMKM</v>
      </c>
      <c r="C30192" t="s">
        <v>11797</v>
      </c>
      <c r="D30192">
        <v>6</v>
      </c>
      <c r="E30192">
        <v>0</v>
      </c>
      <c r="F30192">
        <v>375</v>
      </c>
    </row>
    <row r="30193" spans="1:6" ht="12.75">
      <c r="A30193" s="2">
        <v>43875.552210648151</v>
      </c>
      <c r="B30193" t="str">
        <f>HYPERLINK("https://twitter.com/starstufwxyz","@starstufwxyz")</f>
        <v>@starstufwxyz</v>
      </c>
      <c r="C30193" t="s">
        <v>2137</v>
      </c>
      <c r="D30193">
        <v>77</v>
      </c>
      <c r="E30193">
        <v>0</v>
      </c>
      <c r="F30193">
        <v>467</v>
      </c>
    </row>
    <row r="30194" spans="1:6" ht="12.75">
      <c r="A30194" s="2">
        <v>43875.552175925928</v>
      </c>
      <c r="B30194" t="str">
        <f>HYPERLINK("https://twitter.com/misake89847474","@misake89847474")</f>
        <v>@misake89847474</v>
      </c>
      <c r="C30194" t="s">
        <v>12902</v>
      </c>
      <c r="D30194">
        <v>0</v>
      </c>
      <c r="E30194">
        <v>0</v>
      </c>
      <c r="F30194">
        <v>17</v>
      </c>
    </row>
    <row r="30195" spans="1:6" ht="12.75">
      <c r="A30195" s="2">
        <v>43875.552083333328</v>
      </c>
      <c r="B30195" t="str">
        <f>HYPERLINK("https://twitter.com/gayuh_ha16","@gayuh_ha16")</f>
        <v>@gayuh_ha16</v>
      </c>
      <c r="C30195" t="s">
        <v>12903</v>
      </c>
      <c r="D30195">
        <v>15</v>
      </c>
      <c r="E30195">
        <v>0</v>
      </c>
      <c r="F30195">
        <v>425</v>
      </c>
    </row>
    <row r="30196" spans="1:6" ht="12.75">
      <c r="A30196" s="2">
        <v>43875.552060185189</v>
      </c>
      <c r="B30196" t="str">
        <f>HYPERLINK("https://twitter.com/serasamanis","@serasamanis")</f>
        <v>@serasamanis</v>
      </c>
      <c r="C30196" t="s">
        <v>5168</v>
      </c>
      <c r="D30196">
        <v>644</v>
      </c>
      <c r="E30196">
        <v>0</v>
      </c>
      <c r="F30196">
        <v>2307</v>
      </c>
    </row>
    <row r="30197" spans="1:6" ht="12.75">
      <c r="A30197" s="2">
        <v>43875.55195601852</v>
      </c>
      <c r="B30197" t="str">
        <f>HYPERLINK("https://twitter.com/johnbralink","@johnbralink")</f>
        <v>@johnbralink</v>
      </c>
      <c r="C30197" t="s">
        <v>2144</v>
      </c>
      <c r="D30197">
        <v>71</v>
      </c>
      <c r="E30197">
        <v>0</v>
      </c>
      <c r="F30197">
        <v>251</v>
      </c>
    </row>
    <row r="30198" spans="1:6" ht="12.75">
      <c r="A30198" s="2">
        <v>43875.55190972222</v>
      </c>
      <c r="B30198" t="str">
        <f>HYPERLINK("https://twitter.com/maria_ulfa_a","@maria_ulfa_a")</f>
        <v>@maria_ulfa_a</v>
      </c>
      <c r="C30198" t="s">
        <v>2444</v>
      </c>
      <c r="D30198">
        <v>1055</v>
      </c>
      <c r="E30198">
        <v>0</v>
      </c>
      <c r="F30198">
        <v>1479</v>
      </c>
    </row>
    <row r="30199" spans="1:6" ht="12.75">
      <c r="A30199" s="2">
        <v>43875.551898148144</v>
      </c>
      <c r="B30199" t="str">
        <f>HYPERLINK("https://twitter.com/tentarakeraton","@tentarakeraton")</f>
        <v>@tentarakeraton</v>
      </c>
      <c r="C30199" t="s">
        <v>2963</v>
      </c>
      <c r="D30199">
        <v>822</v>
      </c>
      <c r="E30199">
        <v>0</v>
      </c>
      <c r="F30199">
        <v>254</v>
      </c>
    </row>
    <row r="30200" spans="1:6" ht="12.75">
      <c r="A30200" s="2">
        <v>43875.551863425921</v>
      </c>
      <c r="B30200" t="str">
        <f>HYPERLINK("https://twitter.com/johnbralink","@johnbralink")</f>
        <v>@johnbralink</v>
      </c>
      <c r="C30200" t="s">
        <v>2963</v>
      </c>
      <c r="D30200">
        <v>822</v>
      </c>
      <c r="E30200">
        <v>0</v>
      </c>
      <c r="F30200">
        <v>251</v>
      </c>
    </row>
    <row r="30201" spans="1:6" ht="12.75">
      <c r="A30201" s="2">
        <v>43875.551863425921</v>
      </c>
      <c r="B30201" t="str">
        <f>HYPERLINK("https://twitter.com/trubusid","@trubusid")</f>
        <v>@trubusid</v>
      </c>
      <c r="C30201" t="s">
        <v>12904</v>
      </c>
      <c r="D30201">
        <v>0</v>
      </c>
      <c r="E30201">
        <v>0</v>
      </c>
      <c r="F30201">
        <v>1026</v>
      </c>
    </row>
    <row r="30202" spans="1:6" ht="12.75">
      <c r="A30202" s="2">
        <v>43875.551828703705</v>
      </c>
      <c r="B30202" t="str">
        <f>HYPERLINK("https://twitter.com/ponyodigidawww","@ponyodigidawww")</f>
        <v>@ponyodigidawww</v>
      </c>
      <c r="C30202" t="s">
        <v>12905</v>
      </c>
      <c r="D30202">
        <v>0</v>
      </c>
      <c r="E30202">
        <v>0</v>
      </c>
      <c r="F30202">
        <v>988</v>
      </c>
    </row>
    <row r="30203" spans="1:6" ht="12.75">
      <c r="A30203" s="2">
        <v>43875.551805555559</v>
      </c>
      <c r="B30203" t="str">
        <f>HYPERLINK("https://twitter.com/ireneanneea","@ireneanneea")</f>
        <v>@ireneanneea</v>
      </c>
      <c r="C30203" t="s">
        <v>2444</v>
      </c>
      <c r="D30203">
        <v>1055</v>
      </c>
      <c r="E30203">
        <v>0</v>
      </c>
      <c r="F30203">
        <v>112</v>
      </c>
    </row>
    <row r="30204" spans="1:6" ht="12.75">
      <c r="A30204" s="2">
        <v>43875.551793981482</v>
      </c>
      <c r="B30204" t="str">
        <f>HYPERLINK("https://twitter.com/indroprayitno39","@indroprayitno39")</f>
        <v>@indroprayitno39</v>
      </c>
      <c r="C30204" t="s">
        <v>12906</v>
      </c>
      <c r="D30204">
        <v>63</v>
      </c>
      <c r="E30204">
        <v>0</v>
      </c>
      <c r="F30204">
        <v>158</v>
      </c>
    </row>
    <row r="30205" spans="1:6" ht="12.75">
      <c r="A30205" s="2">
        <v>43875.551759259259</v>
      </c>
      <c r="B30205" t="str">
        <f>HYPERLINK("https://twitter.com/Beritasatu","@Beritasatu")</f>
        <v>@Beritasatu</v>
      </c>
      <c r="C30205" t="s">
        <v>12907</v>
      </c>
      <c r="D30205">
        <v>7</v>
      </c>
      <c r="E30205">
        <v>4</v>
      </c>
      <c r="F30205">
        <v>613695</v>
      </c>
    </row>
    <row r="30206" spans="1:6" ht="12.75">
      <c r="A30206" s="2">
        <v>43875.551736111112</v>
      </c>
      <c r="B30206" t="str">
        <f>HYPERLINK("https://twitter.com/UlfaAmara","@UlfaAmara")</f>
        <v>@UlfaAmara</v>
      </c>
      <c r="C30206" t="s">
        <v>175</v>
      </c>
      <c r="D30206">
        <v>5273</v>
      </c>
      <c r="E30206">
        <v>0</v>
      </c>
      <c r="F30206">
        <v>100</v>
      </c>
    </row>
    <row r="30207" spans="1:6" ht="12.75">
      <c r="A30207" s="2">
        <v>43875.551736111112</v>
      </c>
      <c r="B30207" t="str">
        <f>HYPERLINK("https://twitter.com/Metro_TV","@Metro_TV")</f>
        <v>@Metro_TV</v>
      </c>
      <c r="C30207" t="s">
        <v>9666</v>
      </c>
      <c r="D30207">
        <v>4</v>
      </c>
      <c r="E30207">
        <v>0</v>
      </c>
      <c r="F30207">
        <v>10509038</v>
      </c>
    </row>
    <row r="30208" spans="1:6" ht="12.75">
      <c r="A30208" s="2">
        <v>43875.551701388889</v>
      </c>
      <c r="B30208" t="str">
        <f>HYPERLINK("https://twitter.com/eka_dini722","@eka_dini722")</f>
        <v>@eka_dini722</v>
      </c>
      <c r="C30208" t="s">
        <v>2963</v>
      </c>
      <c r="D30208">
        <v>822</v>
      </c>
      <c r="E30208">
        <v>0</v>
      </c>
      <c r="F30208">
        <v>2278</v>
      </c>
    </row>
    <row r="30209" spans="1:6" ht="12.75">
      <c r="A30209" s="2">
        <v>43875.55164351852</v>
      </c>
      <c r="B30209" t="str">
        <f>HYPERLINK("https://twitter.com/grwentea","@grwentea")</f>
        <v>@grwentea</v>
      </c>
      <c r="C30209" t="s">
        <v>5168</v>
      </c>
      <c r="D30209">
        <v>644</v>
      </c>
      <c r="E30209">
        <v>0</v>
      </c>
      <c r="F30209">
        <v>543</v>
      </c>
    </row>
    <row r="30210" spans="1:6" ht="12.75">
      <c r="A30210" s="2">
        <v>43875.551631944443</v>
      </c>
      <c r="B30210" t="str">
        <f>HYPERLINK("https://twitter.com/bidang_arie","@bidang_arie")</f>
        <v>@bidang_arie</v>
      </c>
      <c r="C30210" t="s">
        <v>12908</v>
      </c>
      <c r="D30210">
        <v>0</v>
      </c>
      <c r="E30210">
        <v>0</v>
      </c>
      <c r="F30210">
        <v>15</v>
      </c>
    </row>
    <row r="30211" spans="1:6" ht="12.75">
      <c r="A30211" s="2">
        <v>43875.551620370374</v>
      </c>
      <c r="B30211" t="str">
        <f>HYPERLINK("https://twitter.com/heaheya","@heaheya")</f>
        <v>@heaheya</v>
      </c>
      <c r="C30211" t="s">
        <v>2444</v>
      </c>
      <c r="D30211">
        <v>1055</v>
      </c>
      <c r="E30211">
        <v>0</v>
      </c>
      <c r="F30211">
        <v>410</v>
      </c>
    </row>
    <row r="30212" spans="1:6" ht="12.75">
      <c r="A30212" s="2">
        <v>43875.551585648151</v>
      </c>
      <c r="B30212" t="str">
        <f>HYPERLINK("https://twitter.com/DZ_1_KRI","@DZ_1_KRI")</f>
        <v>@DZ_1_KRI</v>
      </c>
      <c r="C30212" t="s">
        <v>12909</v>
      </c>
      <c r="D30212">
        <v>0</v>
      </c>
      <c r="E30212">
        <v>0</v>
      </c>
      <c r="F30212">
        <v>216</v>
      </c>
    </row>
    <row r="30213" spans="1:6" ht="12.75">
      <c r="A30213" s="2">
        <v>43875.551562499997</v>
      </c>
      <c r="B30213" t="str">
        <f>HYPERLINK("https://twitter.com/AmstrongBiring","@AmstrongBiring")</f>
        <v>@AmstrongBiring</v>
      </c>
      <c r="C30213" t="s">
        <v>11322</v>
      </c>
      <c r="D30213">
        <v>71</v>
      </c>
      <c r="E30213">
        <v>0</v>
      </c>
      <c r="F30213">
        <v>1971</v>
      </c>
    </row>
    <row r="30214" spans="1:6" ht="12.75">
      <c r="A30214" s="2">
        <v>43875.551539351851</v>
      </c>
      <c r="B30214" t="str">
        <f>HYPERLINK("https://twitter.com/HarisandiSofyan","@HarisandiSofyan")</f>
        <v>@HarisandiSofyan</v>
      </c>
      <c r="C30214" t="s">
        <v>12910</v>
      </c>
      <c r="D30214">
        <v>0</v>
      </c>
      <c r="E30214">
        <v>0</v>
      </c>
      <c r="F30214">
        <v>4</v>
      </c>
    </row>
    <row r="30215" spans="1:6" ht="12.75">
      <c r="A30215" s="2">
        <v>43875.551527777774</v>
      </c>
      <c r="B30215" t="str">
        <f>HYPERLINK("https://twitter.com/annisasptdn","@annisasptdn")</f>
        <v>@annisasptdn</v>
      </c>
      <c r="C30215" t="s">
        <v>12911</v>
      </c>
      <c r="D30215">
        <v>0</v>
      </c>
      <c r="E30215">
        <v>0</v>
      </c>
      <c r="F30215">
        <v>403</v>
      </c>
    </row>
    <row r="30216" spans="1:6" ht="12.75">
      <c r="A30216" s="2">
        <v>43875.551469907412</v>
      </c>
      <c r="B30216" t="str">
        <f>HYPERLINK("https://twitter.com/KecebongGembul","@KecebongGembul")</f>
        <v>@KecebongGembul</v>
      </c>
      <c r="C30216" t="s">
        <v>10422</v>
      </c>
      <c r="D30216">
        <v>83</v>
      </c>
      <c r="E30216">
        <v>0</v>
      </c>
      <c r="F30216">
        <v>483</v>
      </c>
    </row>
    <row r="30217" spans="1:6" ht="12.75">
      <c r="A30217" s="2">
        <v>43875.551435185189</v>
      </c>
      <c r="B30217" t="str">
        <f>HYPERLINK("https://twitter.com/MuhamadHanafiID","@MuhamadHanafiID")</f>
        <v>@MuhamadHanafiID</v>
      </c>
      <c r="C30217" t="s">
        <v>5168</v>
      </c>
      <c r="D30217">
        <v>644</v>
      </c>
      <c r="E30217">
        <v>0</v>
      </c>
      <c r="F30217">
        <v>110</v>
      </c>
    </row>
    <row r="30218" spans="1:6" ht="12.75">
      <c r="A30218" s="2">
        <v>43875.551412037035</v>
      </c>
      <c r="B30218" t="str">
        <f>HYPERLINK("https://twitter.com/tribunbatamku","@tribunbatamku")</f>
        <v>@tribunbatamku</v>
      </c>
      <c r="C30218" t="s">
        <v>12912</v>
      </c>
      <c r="D30218">
        <v>0</v>
      </c>
      <c r="E30218">
        <v>0</v>
      </c>
      <c r="F30218">
        <v>5267</v>
      </c>
    </row>
    <row r="30219" spans="1:6" ht="12.75">
      <c r="A30219" s="2">
        <v>43875.551412037035</v>
      </c>
      <c r="B30219" t="str">
        <f>HYPERLINK("https://twitter.com/ArielFatR","@ArielFatR")</f>
        <v>@ArielFatR</v>
      </c>
      <c r="C30219" t="s">
        <v>12913</v>
      </c>
      <c r="D30219">
        <v>0</v>
      </c>
      <c r="E30219">
        <v>0</v>
      </c>
      <c r="F30219">
        <v>568</v>
      </c>
    </row>
    <row r="30220" spans="1:6" ht="12.75">
      <c r="A30220" s="2">
        <v>43875.551400462966</v>
      </c>
      <c r="B30220" t="str">
        <f>HYPERLINK("https://twitter.com/peachrecious","@peachrecious")</f>
        <v>@peachrecious</v>
      </c>
      <c r="C30220" t="s">
        <v>2137</v>
      </c>
      <c r="D30220">
        <v>77</v>
      </c>
      <c r="E30220">
        <v>0</v>
      </c>
      <c r="F30220">
        <v>3911</v>
      </c>
    </row>
    <row r="30221" spans="1:6" ht="12.75">
      <c r="A30221" s="2">
        <v>43875.551377314812</v>
      </c>
      <c r="B30221" t="str">
        <f>HYPERLINK("https://twitter.com/JoKerR_nN","@JoKerR_nN")</f>
        <v>@JoKerR_nN</v>
      </c>
      <c r="C30221" t="s">
        <v>12914</v>
      </c>
      <c r="D30221">
        <v>5</v>
      </c>
      <c r="E30221">
        <v>0</v>
      </c>
      <c r="F30221">
        <v>714</v>
      </c>
    </row>
    <row r="30222" spans="1:6" ht="12.75">
      <c r="A30222" s="2">
        <v>43875.551203703704</v>
      </c>
      <c r="B30222" t="str">
        <f>HYPERLINK("https://twitter.com/mactooryus","@mactooryus")</f>
        <v>@mactooryus</v>
      </c>
      <c r="C30222" t="s">
        <v>2444</v>
      </c>
      <c r="D30222">
        <v>1055</v>
      </c>
      <c r="E30222">
        <v>0</v>
      </c>
      <c r="F30222">
        <v>6264</v>
      </c>
    </row>
    <row r="30223" spans="1:6" ht="12.75">
      <c r="A30223" s="2">
        <v>43875.551180555558</v>
      </c>
      <c r="B30223" t="str">
        <f>HYPERLINK("https://twitter.com/rttauw","@rttauw")</f>
        <v>@rttauw</v>
      </c>
      <c r="C30223" t="s">
        <v>2444</v>
      </c>
      <c r="D30223">
        <v>1055</v>
      </c>
      <c r="E30223">
        <v>0</v>
      </c>
      <c r="F30223">
        <v>2807</v>
      </c>
    </row>
    <row r="30224" spans="1:6" ht="12.75">
      <c r="A30224" s="2">
        <v>43875.551157407404</v>
      </c>
      <c r="B30224" t="str">
        <f>HYPERLINK("https://twitter.com/MalinParmato7","@MalinParmato7")</f>
        <v>@MalinParmato7</v>
      </c>
      <c r="C30224" t="s">
        <v>7478</v>
      </c>
      <c r="D30224">
        <v>62</v>
      </c>
      <c r="E30224">
        <v>0</v>
      </c>
      <c r="F30224">
        <v>274</v>
      </c>
    </row>
    <row r="30225" spans="1:6" ht="12.75">
      <c r="A30225" s="2">
        <v>43875.551145833335</v>
      </c>
      <c r="B30225" t="str">
        <f>HYPERLINK("https://twitter.com/g1ratina","@g1ratina")</f>
        <v>@g1ratina</v>
      </c>
      <c r="C30225" t="s">
        <v>2137</v>
      </c>
      <c r="D30225">
        <v>77</v>
      </c>
      <c r="E30225">
        <v>0</v>
      </c>
      <c r="F30225">
        <v>565</v>
      </c>
    </row>
    <row r="30226" spans="1:6" ht="12.75">
      <c r="A30226" s="2">
        <v>43875.551099537042</v>
      </c>
      <c r="B30226" t="str">
        <f>HYPERLINK("https://twitter.com/mudha_satriya","@mudha_satriya")</f>
        <v>@mudha_satriya</v>
      </c>
      <c r="C30226" t="s">
        <v>2110</v>
      </c>
      <c r="D30226">
        <v>35</v>
      </c>
      <c r="E30226">
        <v>0</v>
      </c>
      <c r="F30226">
        <v>1878</v>
      </c>
    </row>
    <row r="30227" spans="1:6" ht="12.75">
      <c r="A30227" s="2">
        <v>43875.551076388889</v>
      </c>
      <c r="B30227" t="str">
        <f>HYPERLINK("https://twitter.com/kompascom","@kompascom")</f>
        <v>@kompascom</v>
      </c>
      <c r="C30227" t="s">
        <v>12915</v>
      </c>
      <c r="D30227">
        <v>0</v>
      </c>
      <c r="E30227">
        <v>2</v>
      </c>
      <c r="F30227">
        <v>7497486</v>
      </c>
    </row>
    <row r="30228" spans="1:6" ht="12.75">
      <c r="A30228" s="2">
        <v>43875.550995370373</v>
      </c>
      <c r="B30228" t="str">
        <f>HYPERLINK("https://twitter.com/dasaralter","@dasaralter")</f>
        <v>@dasaralter</v>
      </c>
      <c r="C30228" t="s">
        <v>5761</v>
      </c>
      <c r="D30228">
        <v>50</v>
      </c>
      <c r="E30228">
        <v>0</v>
      </c>
      <c r="F30228">
        <v>210</v>
      </c>
    </row>
    <row r="30229" spans="1:6" ht="12.75">
      <c r="A30229" s="2">
        <v>43875.55091435185</v>
      </c>
      <c r="B30229" t="str">
        <f>HYPERLINK("https://twitter.com/raihan_oo7","@raihan_oo7")</f>
        <v>@raihan_oo7</v>
      </c>
      <c r="C30229" t="s">
        <v>12916</v>
      </c>
      <c r="D30229">
        <v>0</v>
      </c>
      <c r="E30229">
        <v>0</v>
      </c>
      <c r="F30229">
        <v>1842</v>
      </c>
    </row>
    <row r="30230" spans="1:6" ht="12.75">
      <c r="A30230" s="2">
        <v>43875.550810185188</v>
      </c>
      <c r="B30230" t="str">
        <f>HYPERLINK("https://twitter.com/DZ_1_KRI","@DZ_1_KRI")</f>
        <v>@DZ_1_KRI</v>
      </c>
      <c r="C30230" t="s">
        <v>12917</v>
      </c>
      <c r="D30230">
        <v>1</v>
      </c>
      <c r="E30230">
        <v>1</v>
      </c>
      <c r="F30230">
        <v>216</v>
      </c>
    </row>
    <row r="30231" spans="1:6" ht="12.75">
      <c r="A30231" s="2">
        <v>43875.550763888888</v>
      </c>
      <c r="B30231" t="str">
        <f>HYPERLINK("https://twitter.com/roitoraja","@roitoraja")</f>
        <v>@roitoraja</v>
      </c>
      <c r="C30231" t="s">
        <v>12918</v>
      </c>
      <c r="D30231">
        <v>1</v>
      </c>
      <c r="E30231">
        <v>0</v>
      </c>
      <c r="F30231">
        <v>58</v>
      </c>
    </row>
    <row r="30232" spans="1:6" ht="12.75">
      <c r="A30232" s="2">
        <v>43875.550740740742</v>
      </c>
      <c r="B30232" t="str">
        <f>HYPERLINK("https://twitter.com/Wongso_Soebali","@Wongso_Soebali")</f>
        <v>@Wongso_Soebali</v>
      </c>
      <c r="C30232" t="s">
        <v>12919</v>
      </c>
      <c r="D30232">
        <v>1</v>
      </c>
      <c r="E30232">
        <v>0</v>
      </c>
      <c r="F30232">
        <v>5762</v>
      </c>
    </row>
    <row r="30233" spans="1:6" ht="12.75">
      <c r="A30233" s="2">
        <v>43875.550717592589</v>
      </c>
      <c r="B30233" t="str">
        <f>HYPERLINK("https://twitter.com/Rido_Lizze","@Rido_Lizze")</f>
        <v>@Rido_Lizze</v>
      </c>
      <c r="C30233" t="s">
        <v>7478</v>
      </c>
      <c r="D30233">
        <v>62</v>
      </c>
      <c r="E30233">
        <v>0</v>
      </c>
      <c r="F30233">
        <v>1303</v>
      </c>
    </row>
    <row r="30234" spans="1:6" ht="12.75">
      <c r="A30234" s="2">
        <v>43875.550659722227</v>
      </c>
      <c r="B30234" t="str">
        <f>HYPERLINK("https://twitter.com/Usep210","@Usep210")</f>
        <v>@Usep210</v>
      </c>
      <c r="C30234" t="s">
        <v>12920</v>
      </c>
      <c r="D30234">
        <v>1</v>
      </c>
      <c r="E30234">
        <v>0</v>
      </c>
      <c r="F30234">
        <v>4776</v>
      </c>
    </row>
    <row r="30235" spans="1:6" ht="12.75">
      <c r="A30235" s="2">
        <v>43875.550625000003</v>
      </c>
      <c r="B30235" t="str">
        <f>HYPERLINK("https://twitter.com/alsinkqy","@alsinkqy")</f>
        <v>@alsinkqy</v>
      </c>
      <c r="C30235" t="s">
        <v>2963</v>
      </c>
      <c r="D30235">
        <v>822</v>
      </c>
      <c r="E30235">
        <v>0</v>
      </c>
      <c r="F30235">
        <v>57</v>
      </c>
    </row>
    <row r="30236" spans="1:6" ht="12.75">
      <c r="A30236" s="2">
        <v>43875.550613425927</v>
      </c>
      <c r="B30236" t="str">
        <f>HYPERLINK("https://twitter.com/Erick_Marsel","@Erick_Marsel")</f>
        <v>@Erick_Marsel</v>
      </c>
      <c r="C30236" t="s">
        <v>10121</v>
      </c>
      <c r="D30236">
        <v>175</v>
      </c>
      <c r="E30236">
        <v>0</v>
      </c>
      <c r="F30236">
        <v>217</v>
      </c>
    </row>
    <row r="30237" spans="1:6" ht="12.75">
      <c r="A30237" s="2">
        <v>43875.55059027778</v>
      </c>
      <c r="B30237" t="str">
        <f>HYPERLINK("https://twitter.com/weallknowho","@weallknowho")</f>
        <v>@weallknowho</v>
      </c>
      <c r="C30237" t="s">
        <v>2444</v>
      </c>
      <c r="D30237">
        <v>1055</v>
      </c>
      <c r="E30237">
        <v>0</v>
      </c>
      <c r="F30237">
        <v>54</v>
      </c>
    </row>
    <row r="30238" spans="1:6" ht="12.75">
      <c r="A30238" s="2">
        <v>43875.550578703704</v>
      </c>
      <c r="B30238" t="str">
        <f>HYPERLINK("https://twitter.com/AnakKolong___","@AnakKolong___")</f>
        <v>@AnakKolong___</v>
      </c>
      <c r="C30238" t="s">
        <v>12868</v>
      </c>
      <c r="D30238">
        <v>2</v>
      </c>
      <c r="E30238">
        <v>0</v>
      </c>
      <c r="F30238">
        <v>5290</v>
      </c>
    </row>
    <row r="30239" spans="1:6" ht="12.75">
      <c r="A30239" s="2">
        <v>43875.550497685181</v>
      </c>
      <c r="B30239" t="str">
        <f>HYPERLINK("https://twitter.com/Wongso_Soebali","@Wongso_Soebali")</f>
        <v>@Wongso_Soebali</v>
      </c>
      <c r="C30239" t="s">
        <v>12921</v>
      </c>
      <c r="D30239">
        <v>9</v>
      </c>
      <c r="E30239">
        <v>0</v>
      </c>
      <c r="F30239">
        <v>5762</v>
      </c>
    </row>
    <row r="30240" spans="1:6" ht="12.75">
      <c r="A30240" s="2">
        <v>43875.550416666665</v>
      </c>
      <c r="B30240" t="str">
        <f>HYPERLINK("https://twitter.com/Larasaazz","@Larasaazz")</f>
        <v>@Larasaazz</v>
      </c>
      <c r="C30240" t="s">
        <v>2444</v>
      </c>
      <c r="D30240">
        <v>1055</v>
      </c>
      <c r="E30240">
        <v>0</v>
      </c>
      <c r="F30240">
        <v>231</v>
      </c>
    </row>
    <row r="30241" spans="1:6" ht="12.75">
      <c r="A30241" s="2">
        <v>43875.550335648149</v>
      </c>
      <c r="B30241" t="str">
        <f>HYPERLINK("https://twitter.com/Jeonjeyykeyyy","@Jeonjeyykeyyy")</f>
        <v>@Jeonjeyykeyyy</v>
      </c>
      <c r="C30241" t="s">
        <v>2444</v>
      </c>
      <c r="D30241">
        <v>1055</v>
      </c>
      <c r="E30241">
        <v>0</v>
      </c>
      <c r="F30241">
        <v>1271</v>
      </c>
    </row>
    <row r="30242" spans="1:6" ht="12.75">
      <c r="A30242" s="2">
        <v>43875.550300925926</v>
      </c>
      <c r="B30242" t="str">
        <f>HYPERLINK("https://twitter.com/AnakKolong___","@AnakKolong___")</f>
        <v>@AnakKolong___</v>
      </c>
      <c r="C30242" t="s">
        <v>12922</v>
      </c>
      <c r="D30242">
        <v>1</v>
      </c>
      <c r="E30242">
        <v>0</v>
      </c>
      <c r="F30242">
        <v>5290</v>
      </c>
    </row>
    <row r="30243" spans="1:6" ht="12.75">
      <c r="A30243" s="2">
        <v>43875.550300925926</v>
      </c>
      <c r="B30243" t="str">
        <f>HYPERLINK("https://twitter.com/Aq64987848","@Aq64987848")</f>
        <v>@Aq64987848</v>
      </c>
      <c r="C30243" t="s">
        <v>10096</v>
      </c>
      <c r="D30243">
        <v>113</v>
      </c>
      <c r="E30243">
        <v>0</v>
      </c>
      <c r="F30243">
        <v>130</v>
      </c>
    </row>
    <row r="30244" spans="1:6" ht="12.75">
      <c r="A30244" s="2">
        <v>43875.550277777773</v>
      </c>
      <c r="B30244" t="str">
        <f>HYPERLINK("https://twitter.com/Hitomitanaka110","@Hitomitanaka110")</f>
        <v>@Hitomitanaka110</v>
      </c>
      <c r="C30244" t="s">
        <v>2963</v>
      </c>
      <c r="D30244">
        <v>822</v>
      </c>
      <c r="E30244">
        <v>0</v>
      </c>
      <c r="F30244">
        <v>91</v>
      </c>
    </row>
    <row r="30245" spans="1:6" ht="12.75">
      <c r="A30245" s="2">
        <v>43875.550277777773</v>
      </c>
      <c r="B30245" t="str">
        <f>HYPERLINK("https://twitter.com/ejha_rawk","@ejha_rawk")</f>
        <v>@ejha_rawk</v>
      </c>
      <c r="C30245" t="s">
        <v>2444</v>
      </c>
      <c r="D30245">
        <v>1055</v>
      </c>
      <c r="E30245">
        <v>0</v>
      </c>
      <c r="F30245">
        <v>884</v>
      </c>
    </row>
    <row r="30246" spans="1:6" ht="12.75">
      <c r="A30246" s="2">
        <v>43875.550243055557</v>
      </c>
      <c r="B30246" t="str">
        <f>HYPERLINK("https://twitter.com/Wongso_Soebali","@Wongso_Soebali")</f>
        <v>@Wongso_Soebali</v>
      </c>
      <c r="C30246" t="s">
        <v>9746</v>
      </c>
      <c r="D30246">
        <v>135</v>
      </c>
      <c r="E30246">
        <v>0</v>
      </c>
      <c r="F30246">
        <v>5762</v>
      </c>
    </row>
    <row r="30247" spans="1:6" ht="12.75">
      <c r="A30247" s="2">
        <v>43875.550208333334</v>
      </c>
      <c r="B30247" t="str">
        <f>HYPERLINK("https://twitter.com/ArielFatR","@ArielFatR")</f>
        <v>@ArielFatR</v>
      </c>
      <c r="C30247" t="s">
        <v>12923</v>
      </c>
      <c r="D30247">
        <v>0</v>
      </c>
      <c r="E30247">
        <v>0</v>
      </c>
      <c r="F30247">
        <v>568</v>
      </c>
    </row>
    <row r="30248" spans="1:6" ht="12.75">
      <c r="A30248" s="2">
        <v>43875.550104166672</v>
      </c>
      <c r="B30248" t="str">
        <f>HYPERLINK("https://twitter.com/GunYusril","@GunYusril")</f>
        <v>@GunYusril</v>
      </c>
      <c r="C30248" t="s">
        <v>9746</v>
      </c>
      <c r="D30248">
        <v>135</v>
      </c>
      <c r="E30248">
        <v>0</v>
      </c>
      <c r="F30248">
        <v>163</v>
      </c>
    </row>
    <row r="30249" spans="1:6" ht="12.75">
      <c r="A30249" s="2">
        <v>43875.550023148149</v>
      </c>
      <c r="B30249" t="str">
        <f>HYPERLINK("https://twitter.com/itsriskuy","@itsriskuy")</f>
        <v>@itsriskuy</v>
      </c>
      <c r="C30249" t="s">
        <v>2444</v>
      </c>
      <c r="D30249">
        <v>1055</v>
      </c>
      <c r="E30249">
        <v>0</v>
      </c>
      <c r="F30249">
        <v>7</v>
      </c>
    </row>
    <row r="30250" spans="1:6" ht="12.75">
      <c r="A30250" s="2">
        <v>43875.549988425926</v>
      </c>
      <c r="B30250" t="str">
        <f>HYPERLINK("https://twitter.com/RezaAri44832179","@RezaAri44832179")</f>
        <v>@RezaAri44832179</v>
      </c>
      <c r="C30250" t="s">
        <v>12924</v>
      </c>
      <c r="D30250">
        <v>0</v>
      </c>
      <c r="E30250">
        <v>0</v>
      </c>
      <c r="F30250">
        <v>47</v>
      </c>
    </row>
    <row r="30251" spans="1:6" ht="12.75">
      <c r="A30251" s="2">
        <v>43875.54996527778</v>
      </c>
      <c r="B30251" t="str">
        <f>HYPERLINK("https://twitter.com/SangKelana_70","@SangKelana_70")</f>
        <v>@SangKelana_70</v>
      </c>
      <c r="C30251" t="s">
        <v>12914</v>
      </c>
      <c r="D30251">
        <v>5</v>
      </c>
      <c r="E30251">
        <v>0</v>
      </c>
      <c r="F30251">
        <v>2899</v>
      </c>
    </row>
    <row r="30252" spans="1:6" ht="12.75">
      <c r="A30252" s="2">
        <v>43875.549895833334</v>
      </c>
      <c r="B30252" t="str">
        <f>HYPERLINK("https://twitter.com/Wongso_Soebali","@Wongso_Soebali")</f>
        <v>@Wongso_Soebali</v>
      </c>
      <c r="C30252" t="s">
        <v>11208</v>
      </c>
      <c r="D30252">
        <v>1</v>
      </c>
      <c r="E30252">
        <v>0</v>
      </c>
      <c r="F30252">
        <v>5762</v>
      </c>
    </row>
    <row r="30253" spans="1:6" ht="12.75">
      <c r="A30253" s="2">
        <v>43875.549756944441</v>
      </c>
      <c r="B30253" t="str">
        <f>HYPERLINK("https://twitter.com/ValWinchesters","@ValWinchesters")</f>
        <v>@ValWinchesters</v>
      </c>
      <c r="C30253" t="s">
        <v>2444</v>
      </c>
      <c r="D30253">
        <v>1055</v>
      </c>
      <c r="E30253">
        <v>0</v>
      </c>
      <c r="F30253">
        <v>2054</v>
      </c>
    </row>
    <row r="30254" spans="1:6" ht="12.75">
      <c r="A30254" s="2">
        <v>43875.549733796295</v>
      </c>
      <c r="B30254" t="str">
        <f>HYPERLINK("https://twitter.com/nezsha34","@nezsha34")</f>
        <v>@nezsha34</v>
      </c>
      <c r="C30254" t="s">
        <v>2963</v>
      </c>
      <c r="D30254">
        <v>822</v>
      </c>
      <c r="E30254">
        <v>0</v>
      </c>
      <c r="F30254">
        <v>263</v>
      </c>
    </row>
    <row r="30255" spans="1:6" ht="12.75">
      <c r="A30255" s="2">
        <v>43875.549699074079</v>
      </c>
      <c r="B30255" t="str">
        <f>HYPERLINK("https://twitter.com/AmiArdiwinata","@AmiArdiwinata")</f>
        <v>@AmiArdiwinata</v>
      </c>
      <c r="C30255" t="s">
        <v>2444</v>
      </c>
      <c r="D30255">
        <v>1055</v>
      </c>
      <c r="E30255">
        <v>0</v>
      </c>
      <c r="F30255">
        <v>345</v>
      </c>
    </row>
    <row r="30256" spans="1:6" ht="12.75">
      <c r="A30256" s="2">
        <v>43875.549675925926</v>
      </c>
      <c r="B30256" t="str">
        <f>HYPERLINK("https://twitter.com/sunnynoona_","@sunnynoona_")</f>
        <v>@sunnynoona_</v>
      </c>
      <c r="C30256" t="s">
        <v>2444</v>
      </c>
      <c r="D30256">
        <v>1055</v>
      </c>
      <c r="E30256">
        <v>0</v>
      </c>
      <c r="F30256">
        <v>2623</v>
      </c>
    </row>
    <row r="30257" spans="1:6" ht="12.75">
      <c r="A30257" s="2">
        <v>43875.549641203703</v>
      </c>
      <c r="B30257" t="str">
        <f>HYPERLINK("https://twitter.com/mluthfid_","@mluthfid_")</f>
        <v>@mluthfid_</v>
      </c>
      <c r="C30257" t="s">
        <v>2444</v>
      </c>
      <c r="D30257">
        <v>1055</v>
      </c>
      <c r="E30257">
        <v>0</v>
      </c>
      <c r="F30257">
        <v>1797</v>
      </c>
    </row>
    <row r="30258" spans="1:6" ht="12.75">
      <c r="A30258" s="2">
        <v>43875.549629629633</v>
      </c>
      <c r="B30258" t="str">
        <f>HYPERLINK("https://twitter.com/BaliHanafi","@BaliHanafi")</f>
        <v>@BaliHanafi</v>
      </c>
      <c r="C30258" t="s">
        <v>11086</v>
      </c>
      <c r="D30258">
        <v>86</v>
      </c>
      <c r="E30258">
        <v>0</v>
      </c>
      <c r="F30258">
        <v>402</v>
      </c>
    </row>
    <row r="30259" spans="1:6" ht="12.75">
      <c r="A30259" s="2">
        <v>43875.549583333333</v>
      </c>
      <c r="B30259" t="str">
        <f>HYPERLINK("https://twitter.com/Edotnsei","@Edotnsei")</f>
        <v>@Edotnsei</v>
      </c>
      <c r="C30259" t="s">
        <v>2444</v>
      </c>
      <c r="D30259">
        <v>1055</v>
      </c>
      <c r="E30259">
        <v>0</v>
      </c>
      <c r="F30259">
        <v>238</v>
      </c>
    </row>
    <row r="30260" spans="1:6" ht="12.75">
      <c r="A30260" s="2">
        <v>43875.549571759257</v>
      </c>
      <c r="B30260" t="str">
        <f>HYPERLINK("https://twitter.com/Indopolitika","@Indopolitika")</f>
        <v>@Indopolitika</v>
      </c>
      <c r="C30260" t="s">
        <v>12803</v>
      </c>
      <c r="D30260">
        <v>0</v>
      </c>
      <c r="E30260">
        <v>0</v>
      </c>
      <c r="F30260">
        <v>10606</v>
      </c>
    </row>
    <row r="30261" spans="1:6" ht="12.75">
      <c r="A30261" s="2">
        <v>43875.549479166672</v>
      </c>
      <c r="B30261" t="str">
        <f>HYPERLINK("https://twitter.com/edward_smjtk","@edward_smjtk")</f>
        <v>@edward_smjtk</v>
      </c>
      <c r="C30261" t="s">
        <v>9998</v>
      </c>
      <c r="D30261">
        <v>94</v>
      </c>
      <c r="E30261">
        <v>0</v>
      </c>
      <c r="F30261">
        <v>20</v>
      </c>
    </row>
    <row r="30262" spans="1:6" ht="12.75">
      <c r="A30262" s="2">
        <v>43875.549456018518</v>
      </c>
      <c r="B30262" t="str">
        <f>HYPERLINK("https://twitter.com/Indopolitika","@Indopolitika")</f>
        <v>@Indopolitika</v>
      </c>
      <c r="C30262" t="s">
        <v>12925</v>
      </c>
      <c r="D30262">
        <v>0</v>
      </c>
      <c r="E30262">
        <v>0</v>
      </c>
      <c r="F30262">
        <v>10606</v>
      </c>
    </row>
    <row r="30263" spans="1:6" ht="12.75">
      <c r="A30263" s="2">
        <v>43875.549351851849</v>
      </c>
      <c r="B30263" t="str">
        <f>HYPERLINK("https://twitter.com/NickEnd_","@NickEnd_")</f>
        <v>@NickEnd_</v>
      </c>
      <c r="C30263" t="s">
        <v>2444</v>
      </c>
      <c r="D30263">
        <v>1055</v>
      </c>
      <c r="E30263">
        <v>0</v>
      </c>
      <c r="F30263">
        <v>74</v>
      </c>
    </row>
    <row r="30264" spans="1:6" ht="12.75">
      <c r="A30264" s="2">
        <v>43875.549317129626</v>
      </c>
      <c r="B30264" t="str">
        <f>HYPERLINK("https://twitter.com/AnomanRadikal","@AnomanRadikal")</f>
        <v>@AnomanRadikal</v>
      </c>
      <c r="C30264" t="s">
        <v>12926</v>
      </c>
      <c r="D30264">
        <v>0</v>
      </c>
      <c r="E30264">
        <v>0</v>
      </c>
      <c r="F30264">
        <v>375</v>
      </c>
    </row>
    <row r="30265" spans="1:6" ht="12.75">
      <c r="A30265" s="2">
        <v>43875.549317129626</v>
      </c>
      <c r="B30265" t="str">
        <f>HYPERLINK("https://twitter.com/AnggelinaAnle","@AnggelinaAnle")</f>
        <v>@AnggelinaAnle</v>
      </c>
      <c r="C30265" t="s">
        <v>175</v>
      </c>
      <c r="D30265">
        <v>5273</v>
      </c>
      <c r="E30265">
        <v>0</v>
      </c>
      <c r="F30265">
        <v>121</v>
      </c>
    </row>
    <row r="30266" spans="1:6" ht="12.75">
      <c r="A30266" s="2">
        <v>43875.549305555556</v>
      </c>
      <c r="B30266" t="str">
        <f>HYPERLINK("https://twitter.com/tsantosa844","@tsantosa844")</f>
        <v>@tsantosa844</v>
      </c>
      <c r="C30266" t="s">
        <v>2963</v>
      </c>
      <c r="D30266">
        <v>822</v>
      </c>
      <c r="E30266">
        <v>0</v>
      </c>
      <c r="F30266">
        <v>849</v>
      </c>
    </row>
    <row r="30267" spans="1:6" ht="12.75">
      <c r="A30267" s="2">
        <v>43875.54923611111</v>
      </c>
      <c r="B30267" t="str">
        <f>HYPERLINK("https://twitter.com/DesiArfisi","@DesiArfisi")</f>
        <v>@DesiArfisi</v>
      </c>
      <c r="C30267" t="s">
        <v>7478</v>
      </c>
      <c r="D30267">
        <v>62</v>
      </c>
      <c r="E30267">
        <v>0</v>
      </c>
      <c r="F30267">
        <v>2169</v>
      </c>
    </row>
    <row r="30268" spans="1:6" ht="12.75">
      <c r="A30268" s="2">
        <v>43875.549166666664</v>
      </c>
      <c r="B30268" t="str">
        <f>HYPERLINK("https://twitter.com/AhokGozali","@AhokGozali")</f>
        <v>@AhokGozali</v>
      </c>
      <c r="C30268" t="s">
        <v>10121</v>
      </c>
      <c r="D30268">
        <v>175</v>
      </c>
      <c r="E30268">
        <v>0</v>
      </c>
      <c r="F30268">
        <v>15</v>
      </c>
    </row>
    <row r="30269" spans="1:6" ht="12.75">
      <c r="A30269" s="2">
        <v>43875.549131944441</v>
      </c>
      <c r="B30269" t="str">
        <f>HYPERLINK("https://twitter.com/arusbawah11","@arusbawah11")</f>
        <v>@arusbawah11</v>
      </c>
      <c r="C30269" t="s">
        <v>2963</v>
      </c>
      <c r="D30269">
        <v>822</v>
      </c>
      <c r="E30269">
        <v>0</v>
      </c>
      <c r="F30269">
        <v>54</v>
      </c>
    </row>
    <row r="30270" spans="1:6" ht="12.75">
      <c r="A30270" s="2">
        <v>43875.549131944441</v>
      </c>
      <c r="B30270" t="str">
        <f>HYPERLINK("https://twitter.com/AnasFauzi4","@AnasFauzi4")</f>
        <v>@AnasFauzi4</v>
      </c>
      <c r="C30270" t="s">
        <v>2963</v>
      </c>
      <c r="D30270">
        <v>822</v>
      </c>
      <c r="E30270">
        <v>0</v>
      </c>
      <c r="F30270">
        <v>247</v>
      </c>
    </row>
    <row r="30271" spans="1:6" ht="12.75">
      <c r="A30271" s="2">
        <v>43875.549120370371</v>
      </c>
      <c r="B30271" t="str">
        <f>HYPERLINK("https://twitter.com/hellopapaw","@hellopapaw")</f>
        <v>@hellopapaw</v>
      </c>
      <c r="C30271" t="s">
        <v>2444</v>
      </c>
      <c r="D30271">
        <v>1055</v>
      </c>
      <c r="E30271">
        <v>0</v>
      </c>
      <c r="F30271">
        <v>2638</v>
      </c>
    </row>
    <row r="30272" spans="1:6" ht="12.75">
      <c r="A30272" s="2">
        <v>43875.549074074079</v>
      </c>
      <c r="B30272" t="str">
        <f>HYPERLINK("https://twitter.com/is_pelssy","@is_pelssy")</f>
        <v>@is_pelssy</v>
      </c>
      <c r="C30272" t="s">
        <v>7478</v>
      </c>
      <c r="D30272">
        <v>62</v>
      </c>
      <c r="E30272">
        <v>0</v>
      </c>
      <c r="F30272">
        <v>4431</v>
      </c>
    </row>
    <row r="30273" spans="1:6" ht="12.75">
      <c r="A30273" s="2">
        <v>43875.549050925925</v>
      </c>
      <c r="B30273" t="str">
        <f>HYPERLINK("https://twitter.com/siimisfil","@siimisfil")</f>
        <v>@siimisfil</v>
      </c>
      <c r="C30273" t="s">
        <v>2444</v>
      </c>
      <c r="D30273">
        <v>1055</v>
      </c>
      <c r="E30273">
        <v>0</v>
      </c>
      <c r="F30273">
        <v>1304</v>
      </c>
    </row>
    <row r="30274" spans="1:6" ht="12.75">
      <c r="A30274" s="2">
        <v>43875.549016203702</v>
      </c>
      <c r="B30274" t="str">
        <f>HYPERLINK("https://twitter.com/miftahulfalah","@miftahulfalah")</f>
        <v>@miftahulfalah</v>
      </c>
      <c r="C30274" t="s">
        <v>8252</v>
      </c>
      <c r="D30274">
        <v>493</v>
      </c>
      <c r="E30274">
        <v>0</v>
      </c>
      <c r="F30274">
        <v>1283</v>
      </c>
    </row>
    <row r="30275" spans="1:6" ht="12.75">
      <c r="A30275" s="2">
        <v>43875.549004629633</v>
      </c>
      <c r="B30275" t="str">
        <f>HYPERLINK("https://twitter.com/washingtoen","@washingtoen")</f>
        <v>@washingtoen</v>
      </c>
      <c r="C30275" t="s">
        <v>2444</v>
      </c>
      <c r="D30275">
        <v>1055</v>
      </c>
      <c r="E30275">
        <v>0</v>
      </c>
      <c r="F30275">
        <v>278</v>
      </c>
    </row>
    <row r="30276" spans="1:6" ht="12.75">
      <c r="A30276" s="2">
        <v>43875.549004629633</v>
      </c>
      <c r="B30276" t="str">
        <f>HYPERLINK("https://twitter.com/saepulh_","@saepulh_")</f>
        <v>@saepulh_</v>
      </c>
      <c r="C30276" t="s">
        <v>2444</v>
      </c>
      <c r="D30276">
        <v>1055</v>
      </c>
      <c r="E30276">
        <v>0</v>
      </c>
      <c r="F30276">
        <v>17</v>
      </c>
    </row>
    <row r="30277" spans="1:6" ht="12.75">
      <c r="A30277" s="2">
        <v>43875.54892361111</v>
      </c>
      <c r="B30277" t="str">
        <f t="shared" ref="B30277:B30278" si="376">HYPERLINK("https://twitter.com/27Ichoe","@27Ichoe")</f>
        <v>@27Ichoe</v>
      </c>
      <c r="C30277" t="s">
        <v>10032</v>
      </c>
      <c r="D30277">
        <v>37</v>
      </c>
      <c r="E30277">
        <v>0</v>
      </c>
      <c r="F30277">
        <v>311</v>
      </c>
    </row>
    <row r="30278" spans="1:6" ht="12.75">
      <c r="A30278" s="2">
        <v>43875.54887731481</v>
      </c>
      <c r="B30278" t="str">
        <f t="shared" si="376"/>
        <v>@27Ichoe</v>
      </c>
      <c r="C30278" t="s">
        <v>12927</v>
      </c>
      <c r="D30278">
        <v>3</v>
      </c>
      <c r="E30278">
        <v>0</v>
      </c>
      <c r="F30278">
        <v>311</v>
      </c>
    </row>
    <row r="30279" spans="1:6" ht="12.75">
      <c r="A30279" s="2">
        <v>43875.548831018517</v>
      </c>
      <c r="B30279" t="str">
        <f>HYPERLINK("https://twitter.com/totok97564223","@totok97564223")</f>
        <v>@totok97564223</v>
      </c>
      <c r="C30279" t="s">
        <v>12250</v>
      </c>
      <c r="D30279">
        <v>3</v>
      </c>
      <c r="E30279">
        <v>0</v>
      </c>
      <c r="F30279">
        <v>142</v>
      </c>
    </row>
    <row r="30280" spans="1:6" ht="12.75">
      <c r="A30280" s="2">
        <v>43875.548831018517</v>
      </c>
      <c r="B30280" t="str">
        <f>HYPERLINK("https://twitter.com/XO024","@XO024")</f>
        <v>@XO024</v>
      </c>
      <c r="C30280" t="s">
        <v>9746</v>
      </c>
      <c r="D30280">
        <v>135</v>
      </c>
      <c r="E30280">
        <v>0</v>
      </c>
      <c r="F30280">
        <v>796</v>
      </c>
    </row>
    <row r="30281" spans="1:6" ht="12.75">
      <c r="A30281" s="2">
        <v>43875.548807870371</v>
      </c>
      <c r="B30281" t="str">
        <f>HYPERLINK("https://twitter.com/awang_sunu","@awang_sunu")</f>
        <v>@awang_sunu</v>
      </c>
      <c r="C30281" t="s">
        <v>2963</v>
      </c>
      <c r="D30281">
        <v>822</v>
      </c>
      <c r="E30281">
        <v>0</v>
      </c>
      <c r="F30281">
        <v>141</v>
      </c>
    </row>
    <row r="30282" spans="1:6" ht="12.75">
      <c r="A30282" s="2">
        <v>43875.548750000002</v>
      </c>
      <c r="B30282" t="str">
        <f>HYPERLINK("https://twitter.com/opaaul","@opaaul")</f>
        <v>@opaaul</v>
      </c>
      <c r="C30282" t="s">
        <v>2444</v>
      </c>
      <c r="D30282">
        <v>1055</v>
      </c>
      <c r="E30282">
        <v>0</v>
      </c>
      <c r="F30282">
        <v>4205</v>
      </c>
    </row>
    <row r="30283" spans="1:6" ht="12.75">
      <c r="A30283" s="2">
        <v>43875.548726851848</v>
      </c>
      <c r="B30283" t="str">
        <f>HYPERLINK("https://twitter.com/farhanputra___","@farhanputra___")</f>
        <v>@farhanputra___</v>
      </c>
      <c r="C30283" t="s">
        <v>10422</v>
      </c>
      <c r="D30283">
        <v>83</v>
      </c>
      <c r="E30283">
        <v>0</v>
      </c>
      <c r="F30283">
        <v>777</v>
      </c>
    </row>
    <row r="30284" spans="1:6" ht="12.75">
      <c r="A30284" s="2">
        <v>43875.548703703702</v>
      </c>
      <c r="B30284" t="str">
        <f>HYPERLINK("https://twitter.com/ArielFatR","@ArielFatR")</f>
        <v>@ArielFatR</v>
      </c>
      <c r="C30284" t="s">
        <v>12928</v>
      </c>
      <c r="D30284">
        <v>0</v>
      </c>
      <c r="E30284">
        <v>0</v>
      </c>
      <c r="F30284">
        <v>568</v>
      </c>
    </row>
    <row r="30285" spans="1:6" ht="12.75">
      <c r="A30285" s="2">
        <v>43875.548703703702</v>
      </c>
      <c r="B30285" t="str">
        <f>HYPERLINK("https://twitter.com/alifiasyyf","@alifiasyyf")</f>
        <v>@alifiasyyf</v>
      </c>
      <c r="C30285" t="s">
        <v>2444</v>
      </c>
      <c r="D30285">
        <v>1055</v>
      </c>
      <c r="E30285">
        <v>0</v>
      </c>
      <c r="F30285">
        <v>9991</v>
      </c>
    </row>
    <row r="30286" spans="1:6" ht="12.75">
      <c r="A30286" s="2">
        <v>43875.548680555556</v>
      </c>
      <c r="B30286" t="str">
        <f>HYPERLINK("https://twitter.com/navavirya","@navavirya")</f>
        <v>@navavirya</v>
      </c>
      <c r="C30286" t="s">
        <v>12929</v>
      </c>
      <c r="D30286">
        <v>0</v>
      </c>
      <c r="E30286">
        <v>0</v>
      </c>
      <c r="F30286">
        <v>123</v>
      </c>
    </row>
    <row r="30287" spans="1:6" ht="12.75">
      <c r="A30287" s="2">
        <v>43875.548645833333</v>
      </c>
      <c r="B30287" t="str">
        <f>HYPERLINK("https://twitter.com/edwin_basuki","@edwin_basuki")</f>
        <v>@edwin_basuki</v>
      </c>
      <c r="C30287" t="s">
        <v>12930</v>
      </c>
      <c r="D30287">
        <v>0</v>
      </c>
      <c r="E30287">
        <v>0</v>
      </c>
      <c r="F30287">
        <v>192</v>
      </c>
    </row>
    <row r="30288" spans="1:6" ht="12.75">
      <c r="A30288" s="2">
        <v>43875.548587962963</v>
      </c>
      <c r="B30288" t="str">
        <f>HYPERLINK("https://twitter.com/farfifah","@farfifah")</f>
        <v>@farfifah</v>
      </c>
      <c r="C30288" t="s">
        <v>12931</v>
      </c>
      <c r="D30288">
        <v>0</v>
      </c>
      <c r="E30288">
        <v>0</v>
      </c>
      <c r="F30288">
        <v>53</v>
      </c>
    </row>
    <row r="30289" spans="1:6" ht="12.75">
      <c r="A30289" s="2">
        <v>43875.548518518517</v>
      </c>
      <c r="B30289" t="str">
        <f>HYPERLINK("https://twitter.com/Wongso_Soebali","@Wongso_Soebali")</f>
        <v>@Wongso_Soebali</v>
      </c>
      <c r="C30289" t="s">
        <v>10109</v>
      </c>
      <c r="D30289">
        <v>20</v>
      </c>
      <c r="E30289">
        <v>0</v>
      </c>
      <c r="F30289">
        <v>5762</v>
      </c>
    </row>
    <row r="30290" spans="1:6" ht="12.75">
      <c r="A30290" s="2">
        <v>43875.54850694444</v>
      </c>
      <c r="B30290" t="str">
        <f>HYPERLINK("https://twitter.com/rzkslwt","@rzkslwt")</f>
        <v>@rzkslwt</v>
      </c>
      <c r="C30290" t="s">
        <v>7803</v>
      </c>
      <c r="D30290">
        <v>309</v>
      </c>
      <c r="E30290">
        <v>0</v>
      </c>
      <c r="F30290">
        <v>465</v>
      </c>
    </row>
    <row r="30291" spans="1:6" ht="12.75">
      <c r="A30291" s="2">
        <v>43875.548495370371</v>
      </c>
      <c r="B30291" t="str">
        <f>HYPERLINK("https://twitter.com/ca_baru","@ca_baru")</f>
        <v>@ca_baru</v>
      </c>
      <c r="C30291" t="s">
        <v>2444</v>
      </c>
      <c r="D30291">
        <v>1055</v>
      </c>
      <c r="E30291">
        <v>0</v>
      </c>
      <c r="F30291">
        <v>60</v>
      </c>
    </row>
    <row r="30292" spans="1:6" ht="12.75">
      <c r="A30292" s="2">
        <v>43875.548483796301</v>
      </c>
      <c r="B30292" t="str">
        <f>HYPERLINK("https://twitter.com/totok97564223","@totok97564223")</f>
        <v>@totok97564223</v>
      </c>
      <c r="C30292" t="s">
        <v>2963</v>
      </c>
      <c r="D30292">
        <v>822</v>
      </c>
      <c r="E30292">
        <v>0</v>
      </c>
      <c r="F30292">
        <v>142</v>
      </c>
    </row>
    <row r="30293" spans="1:6" ht="12.75">
      <c r="A30293" s="2">
        <v>43875.548437500001</v>
      </c>
      <c r="B30293" t="str">
        <f>HYPERLINK("https://twitter.com/mudha_satriya","@mudha_satriya")</f>
        <v>@mudha_satriya</v>
      </c>
      <c r="C30293" t="s">
        <v>12900</v>
      </c>
      <c r="D30293">
        <v>3</v>
      </c>
      <c r="E30293">
        <v>0</v>
      </c>
      <c r="F30293">
        <v>1878</v>
      </c>
    </row>
    <row r="30294" spans="1:6" ht="12.75">
      <c r="A30294" s="2">
        <v>43875.548425925925</v>
      </c>
      <c r="B30294" t="str">
        <f>HYPERLINK("https://twitter.com/lilibakaragmai1","@lilibakaragmai1")</f>
        <v>@lilibakaragmai1</v>
      </c>
      <c r="C30294" t="s">
        <v>7390</v>
      </c>
      <c r="D30294">
        <v>88</v>
      </c>
      <c r="E30294">
        <v>0</v>
      </c>
      <c r="F30294">
        <v>2</v>
      </c>
    </row>
    <row r="30295" spans="1:6" ht="12.75">
      <c r="A30295" s="2">
        <v>43875.548368055555</v>
      </c>
      <c r="B30295" t="str">
        <f>HYPERLINK("https://twitter.com/disklausur","@disklausur")</f>
        <v>@disklausur</v>
      </c>
      <c r="C30295" t="s">
        <v>5168</v>
      </c>
      <c r="D30295">
        <v>644</v>
      </c>
      <c r="E30295">
        <v>0</v>
      </c>
      <c r="F30295">
        <v>551</v>
      </c>
    </row>
    <row r="30296" spans="1:6" ht="12.75">
      <c r="A30296" s="2">
        <v>43875.548310185186</v>
      </c>
      <c r="B30296" t="str">
        <f>HYPERLINK("https://twitter.com/Manissha_","@Manissha_")</f>
        <v>@Manissha_</v>
      </c>
      <c r="C30296" t="s">
        <v>2444</v>
      </c>
      <c r="D30296">
        <v>1055</v>
      </c>
      <c r="E30296">
        <v>0</v>
      </c>
      <c r="F30296">
        <v>576</v>
      </c>
    </row>
    <row r="30297" spans="1:6" ht="12.75">
      <c r="A30297" s="2">
        <v>43875.548206018517</v>
      </c>
      <c r="B30297" t="str">
        <f>HYPERLINK("https://twitter.com/yoandwiii","@yoandwiii")</f>
        <v>@yoandwiii</v>
      </c>
      <c r="C30297" t="s">
        <v>2444</v>
      </c>
      <c r="D30297">
        <v>1055</v>
      </c>
      <c r="E30297">
        <v>0</v>
      </c>
      <c r="F30297">
        <v>337</v>
      </c>
    </row>
    <row r="30298" spans="1:6" ht="12.75">
      <c r="A30298" s="2">
        <v>43875.548171296294</v>
      </c>
      <c r="B30298" t="str">
        <f>HYPERLINK("https://twitter.com/GraciellaCalma","@GraciellaCalma")</f>
        <v>@GraciellaCalma</v>
      </c>
      <c r="C30298" t="s">
        <v>2963</v>
      </c>
      <c r="D30298">
        <v>822</v>
      </c>
      <c r="E30298">
        <v>0</v>
      </c>
      <c r="F30298">
        <v>384</v>
      </c>
    </row>
    <row r="30299" spans="1:6" ht="12.75">
      <c r="A30299" s="2">
        <v>43875.548136574071</v>
      </c>
      <c r="B30299" t="str">
        <f>HYPERLINK("https://twitter.com/ayririz","@ayririz")</f>
        <v>@ayririz</v>
      </c>
      <c r="C30299" t="s">
        <v>2444</v>
      </c>
      <c r="D30299">
        <v>1055</v>
      </c>
      <c r="E30299">
        <v>0</v>
      </c>
      <c r="F30299">
        <v>340</v>
      </c>
    </row>
    <row r="30300" spans="1:6" ht="12.75">
      <c r="A30300" s="2">
        <v>43875.548055555555</v>
      </c>
      <c r="B30300" t="str">
        <f>HYPERLINK("https://twitter.com/Wongso_Soebali","@Wongso_Soebali")</f>
        <v>@Wongso_Soebali</v>
      </c>
      <c r="C30300" t="s">
        <v>12932</v>
      </c>
      <c r="D30300">
        <v>1</v>
      </c>
      <c r="E30300">
        <v>0</v>
      </c>
      <c r="F30300">
        <v>5762</v>
      </c>
    </row>
    <row r="30301" spans="1:6" ht="12.75">
      <c r="A30301" s="2">
        <v>43875.54788194444</v>
      </c>
      <c r="B30301" t="str">
        <f>HYPERLINK("https://twitter.com/benbagos","@benbagos")</f>
        <v>@benbagos</v>
      </c>
      <c r="C30301" t="s">
        <v>10422</v>
      </c>
      <c r="D30301">
        <v>83</v>
      </c>
      <c r="E30301">
        <v>0</v>
      </c>
      <c r="F30301">
        <v>219</v>
      </c>
    </row>
    <row r="30302" spans="1:6" ht="12.75">
      <c r="A30302" s="2">
        <v>43875.547835648147</v>
      </c>
      <c r="B30302" t="str">
        <f>HYPERLINK("https://twitter.com/misake89847474","@misake89847474")</f>
        <v>@misake89847474</v>
      </c>
      <c r="C30302" t="s">
        <v>12933</v>
      </c>
      <c r="D30302">
        <v>0</v>
      </c>
      <c r="E30302">
        <v>0</v>
      </c>
      <c r="F30302">
        <v>17</v>
      </c>
    </row>
    <row r="30303" spans="1:6" ht="12.75">
      <c r="A30303" s="2">
        <v>43875.547824074078</v>
      </c>
      <c r="B30303" t="str">
        <f>HYPERLINK("https://twitter.com/raniwidyaaa1","@raniwidyaaa1")</f>
        <v>@raniwidyaaa1</v>
      </c>
      <c r="C30303" t="s">
        <v>2444</v>
      </c>
      <c r="D30303">
        <v>1055</v>
      </c>
      <c r="E30303">
        <v>0</v>
      </c>
      <c r="F30303">
        <v>278</v>
      </c>
    </row>
    <row r="30304" spans="1:6" ht="12.75">
      <c r="A30304" s="2">
        <v>43875.547777777778</v>
      </c>
      <c r="B30304" t="str">
        <f>HYPERLINK("https://twitter.com/bgsdkyut","@bgsdkyut")</f>
        <v>@bgsdkyut</v>
      </c>
      <c r="C30304" t="s">
        <v>12934</v>
      </c>
      <c r="D30304">
        <v>0</v>
      </c>
      <c r="E30304">
        <v>0</v>
      </c>
      <c r="F30304">
        <v>246</v>
      </c>
    </row>
    <row r="30305" spans="1:6" ht="12.75">
      <c r="A30305" s="2">
        <v>43875.547754629632</v>
      </c>
      <c r="B30305" t="str">
        <f>HYPERLINK("https://twitter.com/yahyasem","@yahyasem")</f>
        <v>@yahyasem</v>
      </c>
      <c r="C30305" t="s">
        <v>2444</v>
      </c>
      <c r="D30305">
        <v>1055</v>
      </c>
      <c r="E30305">
        <v>0</v>
      </c>
      <c r="F30305">
        <v>4849</v>
      </c>
    </row>
    <row r="30306" spans="1:6" ht="12.75">
      <c r="A30306" s="2">
        <v>43875.547754629632</v>
      </c>
      <c r="B30306" t="str">
        <f>HYPERLINK("https://twitter.com/agusyongki77","@agusyongki77")</f>
        <v>@agusyongki77</v>
      </c>
      <c r="C30306" t="s">
        <v>10266</v>
      </c>
      <c r="D30306">
        <v>262</v>
      </c>
      <c r="E30306">
        <v>0</v>
      </c>
      <c r="F30306">
        <v>117</v>
      </c>
    </row>
    <row r="30307" spans="1:6" ht="12.75">
      <c r="A30307" s="2">
        <v>43875.547662037032</v>
      </c>
      <c r="B30307" t="str">
        <f>HYPERLINK("https://twitter.com/jeng_enno","@jeng_enno")</f>
        <v>@jeng_enno</v>
      </c>
      <c r="C30307" t="s">
        <v>7478</v>
      </c>
      <c r="D30307">
        <v>62</v>
      </c>
      <c r="E30307">
        <v>0</v>
      </c>
      <c r="F30307">
        <v>116</v>
      </c>
    </row>
    <row r="30308" spans="1:6" ht="12.75">
      <c r="A30308" s="2">
        <v>43875.547638888893</v>
      </c>
      <c r="B30308" t="str">
        <f>HYPERLINK("https://twitter.com/TiaSari_93","@TiaSari_93")</f>
        <v>@TiaSari_93</v>
      </c>
      <c r="C30308" t="s">
        <v>2444</v>
      </c>
      <c r="D30308">
        <v>1055</v>
      </c>
      <c r="E30308">
        <v>0</v>
      </c>
      <c r="F30308">
        <v>362</v>
      </c>
    </row>
    <row r="30309" spans="1:6" ht="12.75">
      <c r="A30309" s="2">
        <v>43875.547581018516</v>
      </c>
      <c r="B30309" t="str">
        <f>HYPERLINK("https://twitter.com/robert868686","@robert868686")</f>
        <v>@robert868686</v>
      </c>
      <c r="C30309" t="s">
        <v>12935</v>
      </c>
      <c r="D30309">
        <v>1</v>
      </c>
      <c r="E30309">
        <v>0</v>
      </c>
      <c r="F30309">
        <v>247</v>
      </c>
    </row>
    <row r="30310" spans="1:6" ht="12.75">
      <c r="A30310" s="2">
        <v>43875.547581018516</v>
      </c>
      <c r="B30310" t="str">
        <f>HYPERLINK("https://twitter.com/NKRI_ARIES","@NKRI_ARIES")</f>
        <v>@NKRI_ARIES</v>
      </c>
      <c r="C30310" t="s">
        <v>10422</v>
      </c>
      <c r="D30310">
        <v>83</v>
      </c>
      <c r="E30310">
        <v>0</v>
      </c>
      <c r="F30310">
        <v>800</v>
      </c>
    </row>
    <row r="30311" spans="1:6" ht="12.75">
      <c r="A30311" s="2">
        <v>43875.54751157407</v>
      </c>
      <c r="B30311" t="str">
        <f>HYPERLINK("https://twitter.com/RamadhaniB0re5","@RamadhaniB0re5")</f>
        <v>@RamadhaniB0re5</v>
      </c>
      <c r="C30311" t="s">
        <v>9113</v>
      </c>
      <c r="D30311">
        <v>289</v>
      </c>
      <c r="E30311">
        <v>0</v>
      </c>
      <c r="F30311">
        <v>119</v>
      </c>
    </row>
    <row r="30312" spans="1:6" ht="12.75">
      <c r="A30312" s="2">
        <v>43875.547500000001</v>
      </c>
      <c r="B30312" t="str">
        <f>HYPERLINK("https://twitter.com/merahh_putihh","@merahh_putihh")</f>
        <v>@merahh_putihh</v>
      </c>
      <c r="C30312" t="s">
        <v>12505</v>
      </c>
      <c r="D30312">
        <v>0</v>
      </c>
      <c r="E30312">
        <v>1</v>
      </c>
      <c r="F30312">
        <v>41</v>
      </c>
    </row>
    <row r="30313" spans="1:6" ht="12.75">
      <c r="A30313" s="2">
        <v>43875.547476851847</v>
      </c>
      <c r="B30313" t="str">
        <f>HYPERLINK("https://twitter.com/jazuli_iqbal","@jazuli_iqbal")</f>
        <v>@jazuli_iqbal</v>
      </c>
      <c r="C30313" t="s">
        <v>2444</v>
      </c>
      <c r="D30313">
        <v>1055</v>
      </c>
      <c r="E30313">
        <v>0</v>
      </c>
      <c r="F30313">
        <v>2487</v>
      </c>
    </row>
    <row r="30314" spans="1:6" ht="12.75">
      <c r="A30314" s="2">
        <v>43875.547465277778</v>
      </c>
      <c r="B30314" t="str">
        <f>HYPERLINK("https://twitter.com/Aquilariaa","@Aquilariaa")</f>
        <v>@Aquilariaa</v>
      </c>
      <c r="C30314" t="s">
        <v>2444</v>
      </c>
      <c r="D30314">
        <v>1055</v>
      </c>
      <c r="E30314">
        <v>0</v>
      </c>
      <c r="F30314">
        <v>541</v>
      </c>
    </row>
    <row r="30315" spans="1:6" ht="12.75">
      <c r="A30315" s="2">
        <v>43875.547465277778</v>
      </c>
      <c r="B30315" t="str">
        <f>HYPERLINK("https://twitter.com/awhalimah_","@awhalimah_")</f>
        <v>@awhalimah_</v>
      </c>
      <c r="C30315" t="s">
        <v>2444</v>
      </c>
      <c r="D30315">
        <v>1055</v>
      </c>
      <c r="E30315">
        <v>0</v>
      </c>
      <c r="F30315">
        <v>1830</v>
      </c>
    </row>
    <row r="30316" spans="1:6" ht="12.75">
      <c r="A30316" s="2">
        <v>43875.547407407408</v>
      </c>
      <c r="B30316" t="str">
        <f>HYPERLINK("https://twitter.com/jubelekete","@jubelekete")</f>
        <v>@jubelekete</v>
      </c>
      <c r="C30316" t="s">
        <v>12936</v>
      </c>
      <c r="D30316">
        <v>0</v>
      </c>
      <c r="E30316">
        <v>0</v>
      </c>
      <c r="F30316">
        <v>1896</v>
      </c>
    </row>
    <row r="30317" spans="1:6" ht="12.75">
      <c r="A30317" s="2">
        <v>43875.547395833331</v>
      </c>
      <c r="B30317" t="str">
        <f>HYPERLINK("https://twitter.com/Jahan26160699","@Jahan26160699")</f>
        <v>@Jahan26160699</v>
      </c>
      <c r="C30317" t="s">
        <v>12937</v>
      </c>
      <c r="D30317">
        <v>0</v>
      </c>
      <c r="E30317">
        <v>0</v>
      </c>
      <c r="F30317">
        <v>566</v>
      </c>
    </row>
    <row r="30318" spans="1:6" ht="12.75">
      <c r="A30318" s="2">
        <v>43875.547372685185</v>
      </c>
      <c r="B30318" t="str">
        <f>HYPERLINK("https://twitter.com/de2via","@de2via")</f>
        <v>@de2via</v>
      </c>
      <c r="C30318" t="s">
        <v>2444</v>
      </c>
      <c r="D30318">
        <v>1055</v>
      </c>
      <c r="E30318">
        <v>0</v>
      </c>
      <c r="F30318">
        <v>288</v>
      </c>
    </row>
    <row r="30319" spans="1:6" ht="12.75">
      <c r="A30319" s="2">
        <v>43875.547256944439</v>
      </c>
      <c r="B30319" t="str">
        <f>HYPERLINK("https://twitter.com/JualRandom","@JualRandom")</f>
        <v>@JualRandom</v>
      </c>
      <c r="C30319" t="s">
        <v>2444</v>
      </c>
      <c r="D30319">
        <v>1055</v>
      </c>
      <c r="E30319">
        <v>0</v>
      </c>
      <c r="F30319">
        <v>133</v>
      </c>
    </row>
    <row r="30320" spans="1:6" ht="12.75">
      <c r="A30320" s="2">
        <v>43875.5471875</v>
      </c>
      <c r="B30320" t="str">
        <f>HYPERLINK("https://twitter.com/letta_75","@letta_75")</f>
        <v>@letta_75</v>
      </c>
      <c r="C30320" t="s">
        <v>12938</v>
      </c>
      <c r="D30320">
        <v>0</v>
      </c>
      <c r="E30320">
        <v>0</v>
      </c>
      <c r="F30320">
        <v>5</v>
      </c>
    </row>
    <row r="30321" spans="1:6" ht="12.75">
      <c r="A30321" s="2">
        <v>43875.547164351854</v>
      </c>
      <c r="B30321" t="str">
        <f>HYPERLINK("https://twitter.com/lusiyana_n","@lusiyana_n")</f>
        <v>@lusiyana_n</v>
      </c>
      <c r="C30321" t="s">
        <v>12939</v>
      </c>
      <c r="D30321">
        <v>0</v>
      </c>
      <c r="E30321">
        <v>0</v>
      </c>
      <c r="F30321">
        <v>8</v>
      </c>
    </row>
    <row r="30322" spans="1:6" ht="12.75">
      <c r="A30322" s="2">
        <v>43875.547164351854</v>
      </c>
      <c r="B30322" t="str">
        <f>HYPERLINK("https://twitter.com/kholil62","@kholil62")</f>
        <v>@kholil62</v>
      </c>
      <c r="C30322" t="s">
        <v>9835</v>
      </c>
      <c r="D30322">
        <v>23</v>
      </c>
      <c r="E30322">
        <v>0</v>
      </c>
      <c r="F30322">
        <v>675</v>
      </c>
    </row>
    <row r="30323" spans="1:6" ht="12.75">
      <c r="A30323" s="2">
        <v>43875.547094907408</v>
      </c>
      <c r="B30323" t="str">
        <f>HYPERLINK("https://twitter.com/Hiraeth_00","@Hiraeth_00")</f>
        <v>@Hiraeth_00</v>
      </c>
      <c r="C30323" t="s">
        <v>2444</v>
      </c>
      <c r="D30323">
        <v>1055</v>
      </c>
      <c r="E30323">
        <v>0</v>
      </c>
      <c r="F30323">
        <v>693</v>
      </c>
    </row>
    <row r="30324" spans="1:6" ht="12.75">
      <c r="A30324" s="2">
        <v>43875.547071759254</v>
      </c>
      <c r="B30324" t="str">
        <f>HYPERLINK("https://twitter.com/saiful56ami","@saiful56ami")</f>
        <v>@saiful56ami</v>
      </c>
      <c r="C30324" t="s">
        <v>12940</v>
      </c>
      <c r="D30324">
        <v>98</v>
      </c>
      <c r="E30324">
        <v>0</v>
      </c>
      <c r="F30324">
        <v>359</v>
      </c>
    </row>
    <row r="30325" spans="1:6" ht="12.75">
      <c r="A30325" s="2">
        <v>43875.546979166669</v>
      </c>
      <c r="B30325" t="str">
        <f>HYPERLINK("https://twitter.com/ditamaharrani","@ditamaharrani")</f>
        <v>@ditamaharrani</v>
      </c>
      <c r="C30325" t="s">
        <v>2444</v>
      </c>
      <c r="D30325">
        <v>1055</v>
      </c>
      <c r="E30325">
        <v>0</v>
      </c>
      <c r="F30325">
        <v>725</v>
      </c>
    </row>
    <row r="30326" spans="1:6" ht="12.75">
      <c r="A30326" s="2">
        <v>43875.546967592592</v>
      </c>
      <c r="B30326" t="str">
        <f>HYPERLINK("https://twitter.com/FRPrayogo","@FRPrayogo")</f>
        <v>@FRPrayogo</v>
      </c>
      <c r="C30326" t="s">
        <v>2444</v>
      </c>
      <c r="D30326">
        <v>1055</v>
      </c>
      <c r="E30326">
        <v>0</v>
      </c>
      <c r="F30326">
        <v>145</v>
      </c>
    </row>
    <row r="30327" spans="1:6" ht="12.75">
      <c r="A30327" s="2">
        <v>43875.546956018516</v>
      </c>
      <c r="B30327" t="str">
        <f>HYPERLINK("https://twitter.com/beatrice_health","@beatrice_health")</f>
        <v>@beatrice_health</v>
      </c>
      <c r="C30327" t="s">
        <v>12941</v>
      </c>
      <c r="D30327">
        <v>2</v>
      </c>
      <c r="E30327">
        <v>0</v>
      </c>
      <c r="F30327">
        <v>66</v>
      </c>
    </row>
    <row r="30328" spans="1:6" ht="12.75">
      <c r="A30328" s="2">
        <v>43875.546909722223</v>
      </c>
      <c r="B30328" t="str">
        <f>HYPERLINK("https://twitter.com/MuhamadHanafiID","@MuhamadHanafiID")</f>
        <v>@MuhamadHanafiID</v>
      </c>
      <c r="C30328" t="s">
        <v>2444</v>
      </c>
      <c r="D30328">
        <v>1055</v>
      </c>
      <c r="E30328">
        <v>0</v>
      </c>
      <c r="F30328">
        <v>110</v>
      </c>
    </row>
    <row r="30329" spans="1:6" ht="12.75">
      <c r="A30329" s="2">
        <v>43875.54686342593</v>
      </c>
      <c r="B30329" t="str">
        <f>HYPERLINK("https://twitter.com/sdevinalevin","@sdevinalevin")</f>
        <v>@sdevinalevin</v>
      </c>
      <c r="C30329" t="s">
        <v>8233</v>
      </c>
      <c r="D30329">
        <v>433</v>
      </c>
      <c r="E30329">
        <v>0</v>
      </c>
      <c r="F30329">
        <v>116</v>
      </c>
    </row>
    <row r="30330" spans="1:6" ht="12.75">
      <c r="A30330" s="2">
        <v>43875.546805555554</v>
      </c>
      <c r="B30330" t="str">
        <f>HYPERLINK("https://twitter.com/mudha_satriya","@mudha_satriya")</f>
        <v>@mudha_satriya</v>
      </c>
      <c r="C30330" t="s">
        <v>12941</v>
      </c>
      <c r="D30330">
        <v>2</v>
      </c>
      <c r="E30330">
        <v>0</v>
      </c>
      <c r="F30330">
        <v>1878</v>
      </c>
    </row>
    <row r="30331" spans="1:6" ht="12.75">
      <c r="A30331" s="2">
        <v>43875.546782407408</v>
      </c>
      <c r="B30331" t="str">
        <f>HYPERLINK("https://twitter.com/DadangSuhanda92","@DadangSuhanda92")</f>
        <v>@DadangSuhanda92</v>
      </c>
      <c r="C30331" t="s">
        <v>12942</v>
      </c>
      <c r="D30331">
        <v>0</v>
      </c>
      <c r="E30331">
        <v>0</v>
      </c>
      <c r="F30331">
        <v>45</v>
      </c>
    </row>
    <row r="30332" spans="1:6" ht="12.75">
      <c r="A30332" s="2">
        <v>43875.546770833331</v>
      </c>
      <c r="B30332" t="str">
        <f>HYPERLINK("https://twitter.com/Masdjodi1","@Masdjodi1")</f>
        <v>@Masdjodi1</v>
      </c>
      <c r="C30332" t="s">
        <v>7478</v>
      </c>
      <c r="D30332">
        <v>62</v>
      </c>
      <c r="E30332">
        <v>0</v>
      </c>
      <c r="F30332">
        <v>685</v>
      </c>
    </row>
    <row r="30333" spans="1:6" ht="12.75">
      <c r="A30333" s="2">
        <v>43875.546747685185</v>
      </c>
      <c r="B30333" t="str">
        <f>HYPERLINK("https://twitter.com/RajibMohammad","@RajibMohammad")</f>
        <v>@RajibMohammad</v>
      </c>
      <c r="C30333" t="s">
        <v>9998</v>
      </c>
      <c r="D30333">
        <v>94</v>
      </c>
      <c r="E30333">
        <v>0</v>
      </c>
      <c r="F30333">
        <v>729</v>
      </c>
    </row>
    <row r="30334" spans="1:6" ht="12.75">
      <c r="A30334" s="2">
        <v>43875.546747685185</v>
      </c>
      <c r="B30334" t="str">
        <f>HYPERLINK("https://twitter.com/Mang_Aldo","@Mang_Aldo")</f>
        <v>@Mang_Aldo</v>
      </c>
      <c r="C30334" t="s">
        <v>7478</v>
      </c>
      <c r="D30334">
        <v>62</v>
      </c>
      <c r="E30334">
        <v>0</v>
      </c>
      <c r="F30334">
        <v>465</v>
      </c>
    </row>
    <row r="30335" spans="1:6" ht="12.75">
      <c r="A30335" s="2">
        <v>43875.546678240746</v>
      </c>
      <c r="B30335" t="str">
        <f>HYPERLINK("https://twitter.com/alfa_viter","@alfa_viter")</f>
        <v>@alfa_viter</v>
      </c>
      <c r="C30335" t="s">
        <v>12943</v>
      </c>
      <c r="D30335">
        <v>0</v>
      </c>
      <c r="E30335">
        <v>0</v>
      </c>
      <c r="F30335">
        <v>15</v>
      </c>
    </row>
    <row r="30336" spans="1:6" ht="12.75">
      <c r="A30336" s="2">
        <v>43875.546666666662</v>
      </c>
      <c r="B30336" t="str">
        <f>HYPERLINK("https://twitter.com/angedespoir5","@angedespoir5")</f>
        <v>@angedespoir5</v>
      </c>
      <c r="C30336" t="s">
        <v>12944</v>
      </c>
      <c r="D30336">
        <v>1</v>
      </c>
      <c r="E30336">
        <v>0</v>
      </c>
      <c r="F30336">
        <v>4926</v>
      </c>
    </row>
    <row r="30337" spans="1:6" ht="12.75">
      <c r="A30337" s="2">
        <v>43875.546643518523</v>
      </c>
      <c r="B30337" t="str">
        <f>HYPERLINK("https://twitter.com/nama_panggung","@nama_panggung")</f>
        <v>@nama_panggung</v>
      </c>
      <c r="C30337" t="s">
        <v>11167</v>
      </c>
      <c r="D30337">
        <v>157</v>
      </c>
      <c r="E30337">
        <v>0</v>
      </c>
      <c r="F30337">
        <v>373</v>
      </c>
    </row>
    <row r="30338" spans="1:6" ht="12.75">
      <c r="A30338" s="2">
        <v>43875.546631944446</v>
      </c>
      <c r="B30338" t="str">
        <f>HYPERLINK("https://twitter.com/mudha_satriya","@mudha_satriya")</f>
        <v>@mudha_satriya</v>
      </c>
      <c r="C30338" t="s">
        <v>10433</v>
      </c>
      <c r="D30338">
        <v>1</v>
      </c>
      <c r="E30338">
        <v>0</v>
      </c>
      <c r="F30338">
        <v>1878</v>
      </c>
    </row>
    <row r="30339" spans="1:6" ht="12.75">
      <c r="A30339" s="2">
        <v>43875.546620370369</v>
      </c>
      <c r="B30339" t="str">
        <f>HYPERLINK("https://twitter.com/ricosiswandi","@ricosiswandi")</f>
        <v>@ricosiswandi</v>
      </c>
      <c r="C30339" t="s">
        <v>12914</v>
      </c>
      <c r="D30339">
        <v>5</v>
      </c>
      <c r="E30339">
        <v>0</v>
      </c>
      <c r="F30339">
        <v>2313</v>
      </c>
    </row>
    <row r="30340" spans="1:6" ht="12.75">
      <c r="A30340" s="2">
        <v>43875.546469907407</v>
      </c>
      <c r="B30340" t="str">
        <f>HYPERLINK("https://twitter.com/chalavandula","@chalavandula")</f>
        <v>@chalavandula</v>
      </c>
      <c r="C30340" t="s">
        <v>2137</v>
      </c>
      <c r="D30340">
        <v>77</v>
      </c>
      <c r="E30340">
        <v>0</v>
      </c>
      <c r="F30340">
        <v>19</v>
      </c>
    </row>
    <row r="30341" spans="1:6" ht="12.75">
      <c r="A30341" s="2">
        <v>43875.546423611115</v>
      </c>
      <c r="B30341" t="str">
        <f>HYPERLINK("https://twitter.com/liqcocaine","@liqcocaine")</f>
        <v>@liqcocaine</v>
      </c>
      <c r="C30341" t="s">
        <v>2444</v>
      </c>
      <c r="D30341">
        <v>1055</v>
      </c>
      <c r="E30341">
        <v>0</v>
      </c>
      <c r="F30341">
        <v>1456</v>
      </c>
    </row>
    <row r="30342" spans="1:6" ht="12.75">
      <c r="A30342" s="2">
        <v>43875.546377314815</v>
      </c>
      <c r="B30342" t="str">
        <f>HYPERLINK("https://twitter.com/vonbronbiru","@vonbronbiru")</f>
        <v>@vonbronbiru</v>
      </c>
      <c r="C30342" t="s">
        <v>12914</v>
      </c>
      <c r="D30342">
        <v>5</v>
      </c>
      <c r="E30342">
        <v>0</v>
      </c>
      <c r="F30342">
        <v>984</v>
      </c>
    </row>
    <row r="30343" spans="1:6" ht="12.75">
      <c r="A30343" s="2">
        <v>43875.546365740738</v>
      </c>
      <c r="B30343" t="str">
        <f>HYPERLINK("https://twitter.com/nnyzhuxin","@nnyzhuxin")</f>
        <v>@nnyzhuxin</v>
      </c>
      <c r="C30343" t="s">
        <v>2122</v>
      </c>
      <c r="D30343">
        <v>202</v>
      </c>
      <c r="E30343">
        <v>0</v>
      </c>
      <c r="F30343">
        <v>11490</v>
      </c>
    </row>
    <row r="30344" spans="1:6" ht="12.75">
      <c r="A30344" s="2">
        <v>43875.546365740738</v>
      </c>
      <c r="B30344" t="str">
        <f>HYPERLINK("https://twitter.com/taromilkbubble","@taromilkbubble")</f>
        <v>@taromilkbubble</v>
      </c>
      <c r="C30344" t="s">
        <v>2444</v>
      </c>
      <c r="D30344">
        <v>1055</v>
      </c>
      <c r="E30344">
        <v>0</v>
      </c>
      <c r="F30344">
        <v>357</v>
      </c>
    </row>
    <row r="30345" spans="1:6" ht="12.75">
      <c r="A30345" s="2">
        <v>43875.546296296292</v>
      </c>
      <c r="B30345" t="str">
        <f>HYPERLINK("https://twitter.com/Jahan26160699","@Jahan26160699")</f>
        <v>@Jahan26160699</v>
      </c>
      <c r="C30345" t="s">
        <v>12945</v>
      </c>
      <c r="D30345">
        <v>0</v>
      </c>
      <c r="E30345">
        <v>0</v>
      </c>
      <c r="F30345">
        <v>566</v>
      </c>
    </row>
    <row r="30346" spans="1:6" ht="12.75">
      <c r="A30346" s="2">
        <v>43875.546273148153</v>
      </c>
      <c r="B30346" t="str">
        <f>HYPERLINK("https://twitter.com/SutamayasaI","@SutamayasaI")</f>
        <v>@SutamayasaI</v>
      </c>
      <c r="C30346" t="s">
        <v>491</v>
      </c>
      <c r="D30346">
        <v>4730</v>
      </c>
      <c r="E30346">
        <v>0</v>
      </c>
      <c r="F30346">
        <v>329</v>
      </c>
    </row>
    <row r="30347" spans="1:6" ht="12.75">
      <c r="A30347" s="2">
        <v>43875.546215277776</v>
      </c>
      <c r="B30347" t="str">
        <f>HYPERLINK("https://twitter.com/DiblokVienny","@DiblokVienny")</f>
        <v>@DiblokVienny</v>
      </c>
      <c r="C30347" t="s">
        <v>2444</v>
      </c>
      <c r="D30347">
        <v>1055</v>
      </c>
      <c r="E30347">
        <v>0</v>
      </c>
      <c r="F30347">
        <v>217</v>
      </c>
    </row>
    <row r="30348" spans="1:6" ht="12.75">
      <c r="A30348" s="2">
        <v>43875.546064814815</v>
      </c>
      <c r="B30348" t="str">
        <f>HYPERLINK("https://twitter.com/__aiek_esthreem","@__aiek_esthreem")</f>
        <v>@__aiek_esthreem</v>
      </c>
      <c r="C30348" t="s">
        <v>11666</v>
      </c>
      <c r="D30348">
        <v>4</v>
      </c>
      <c r="E30348">
        <v>0</v>
      </c>
      <c r="F30348">
        <v>16733</v>
      </c>
    </row>
    <row r="30349" spans="1:6" ht="12.75">
      <c r="A30349" s="2">
        <v>43875.546006944445</v>
      </c>
      <c r="B30349" t="str">
        <f>HYPERLINK("https://twitter.com/super_marioSL","@super_marioSL")</f>
        <v>@super_marioSL</v>
      </c>
      <c r="C30349" t="s">
        <v>8233</v>
      </c>
      <c r="D30349">
        <v>433</v>
      </c>
      <c r="E30349">
        <v>0</v>
      </c>
      <c r="F30349">
        <v>152</v>
      </c>
    </row>
    <row r="30350" spans="1:6" ht="12.75">
      <c r="A30350" s="2">
        <v>43875.545972222222</v>
      </c>
      <c r="B30350" t="str">
        <f>HYPERLINK("https://twitter.com/thedankris","@thedankris")</f>
        <v>@thedankris</v>
      </c>
      <c r="C30350" t="s">
        <v>2444</v>
      </c>
      <c r="D30350">
        <v>1055</v>
      </c>
      <c r="E30350">
        <v>0</v>
      </c>
      <c r="F30350">
        <v>60</v>
      </c>
    </row>
    <row r="30351" spans="1:6" ht="12.75">
      <c r="A30351" s="2">
        <v>43875.545960648145</v>
      </c>
      <c r="B30351" t="str">
        <f>HYPERLINK("https://twitter.com/AnakLolina","@AnakLolina")</f>
        <v>@AnakLolina</v>
      </c>
      <c r="C30351" t="s">
        <v>12914</v>
      </c>
      <c r="D30351">
        <v>5</v>
      </c>
      <c r="E30351">
        <v>0</v>
      </c>
      <c r="F30351">
        <v>14507</v>
      </c>
    </row>
    <row r="30352" spans="1:6" ht="12.75">
      <c r="A30352" s="2">
        <v>43875.545960648145</v>
      </c>
      <c r="B30352" t="str">
        <f>HYPERLINK("https://twitter.com/donaatsu_","@donaatsu_")</f>
        <v>@donaatsu_</v>
      </c>
      <c r="C30352" t="s">
        <v>9964</v>
      </c>
      <c r="D30352">
        <v>573</v>
      </c>
      <c r="E30352">
        <v>0</v>
      </c>
      <c r="F30352">
        <v>127</v>
      </c>
    </row>
    <row r="30353" spans="1:6" ht="12.75">
      <c r="A30353" s="2">
        <v>43875.545925925922</v>
      </c>
      <c r="B30353" t="str">
        <f>HYPERLINK("https://twitter.com/AiezKopites","@AiezKopites")</f>
        <v>@AiezKopites</v>
      </c>
      <c r="C30353" t="s">
        <v>12946</v>
      </c>
      <c r="D30353">
        <v>0</v>
      </c>
      <c r="E30353">
        <v>1</v>
      </c>
      <c r="F30353">
        <v>0</v>
      </c>
    </row>
    <row r="30354" spans="1:6" ht="12.75">
      <c r="A30354" s="2">
        <v>43875.545891203699</v>
      </c>
      <c r="B30354" t="str">
        <f>HYPERLINK("https://twitter.com/OldJoe771","@OldJoe771")</f>
        <v>@OldJoe771</v>
      </c>
      <c r="C30354" t="s">
        <v>9835</v>
      </c>
      <c r="D30354">
        <v>23</v>
      </c>
      <c r="E30354">
        <v>0</v>
      </c>
      <c r="F30354">
        <v>311</v>
      </c>
    </row>
    <row r="30355" spans="1:6" ht="12.75">
      <c r="A30355" s="2">
        <v>43875.545856481476</v>
      </c>
      <c r="B30355" t="str">
        <f>HYPERLINK("https://twitter.com/The_Warman","@The_Warman")</f>
        <v>@The_Warman</v>
      </c>
      <c r="C30355" t="s">
        <v>12947</v>
      </c>
      <c r="D30355">
        <v>4</v>
      </c>
      <c r="E30355">
        <v>0</v>
      </c>
      <c r="F30355">
        <v>1008</v>
      </c>
    </row>
    <row r="30356" spans="1:6" ht="12.75">
      <c r="A30356" s="2">
        <v>43875.54582175926</v>
      </c>
      <c r="B30356" t="str">
        <f>HYPERLINK("https://twitter.com/Adzanmagrb","@Adzanmagrb")</f>
        <v>@Adzanmagrb</v>
      </c>
      <c r="C30356" t="s">
        <v>12948</v>
      </c>
      <c r="D30356">
        <v>0</v>
      </c>
      <c r="E30356">
        <v>0</v>
      </c>
      <c r="F30356">
        <v>682</v>
      </c>
    </row>
    <row r="30357" spans="1:6" ht="12.75">
      <c r="A30357" s="2">
        <v>43875.54582175926</v>
      </c>
      <c r="B30357" t="str">
        <f>HYPERLINK("https://twitter.com/coowookk","@coowookk")</f>
        <v>@coowookk</v>
      </c>
      <c r="C30357" t="s">
        <v>12949</v>
      </c>
      <c r="D30357">
        <v>0</v>
      </c>
      <c r="E30357">
        <v>0</v>
      </c>
      <c r="F30357">
        <v>310</v>
      </c>
    </row>
    <row r="30358" spans="1:6" ht="12.75">
      <c r="A30358" s="2">
        <v>43875.545798611114</v>
      </c>
      <c r="B30358" t="str">
        <f>HYPERLINK("https://twitter.com/AyiiikkR","@AyiiikkR")</f>
        <v>@AyiiikkR</v>
      </c>
      <c r="C30358" t="s">
        <v>2444</v>
      </c>
      <c r="D30358">
        <v>1055</v>
      </c>
      <c r="E30358">
        <v>0</v>
      </c>
      <c r="F30358">
        <v>123</v>
      </c>
    </row>
    <row r="30359" spans="1:6" ht="12.75">
      <c r="A30359" s="2">
        <v>43875.545798611114</v>
      </c>
      <c r="B30359" t="str">
        <f>HYPERLINK("https://twitter.com/akupetaa","@akupetaa")</f>
        <v>@akupetaa</v>
      </c>
      <c r="C30359" t="s">
        <v>2444</v>
      </c>
      <c r="D30359">
        <v>1055</v>
      </c>
      <c r="E30359">
        <v>0</v>
      </c>
      <c r="F30359">
        <v>2398</v>
      </c>
    </row>
    <row r="30360" spans="1:6" ht="12.75">
      <c r="A30360" s="2">
        <v>43875.545798611114</v>
      </c>
      <c r="B30360" t="str">
        <f>HYPERLINK("https://twitter.com/jaehvynn","@jaehvynn")</f>
        <v>@jaehvynn</v>
      </c>
      <c r="C30360" t="s">
        <v>2444</v>
      </c>
      <c r="D30360">
        <v>1055</v>
      </c>
      <c r="E30360">
        <v>0</v>
      </c>
      <c r="F30360">
        <v>292</v>
      </c>
    </row>
    <row r="30361" spans="1:6" ht="12.75">
      <c r="A30361" s="2">
        <v>43875.545775462961</v>
      </c>
      <c r="B30361" t="str">
        <f>HYPERLINK("https://twitter.com/jooniestan28","@jooniestan28")</f>
        <v>@jooniestan28</v>
      </c>
      <c r="C30361" t="s">
        <v>2444</v>
      </c>
      <c r="D30361">
        <v>1055</v>
      </c>
      <c r="E30361">
        <v>0</v>
      </c>
      <c r="F30361">
        <v>222</v>
      </c>
    </row>
    <row r="30362" spans="1:6" ht="12.75">
      <c r="A30362" s="2">
        <v>43875.545659722222</v>
      </c>
      <c r="B30362" t="str">
        <f>HYPERLINK("https://twitter.com/RebyHs","@RebyHs")</f>
        <v>@RebyHs</v>
      </c>
      <c r="C30362" t="s">
        <v>12819</v>
      </c>
      <c r="D30362">
        <v>3</v>
      </c>
      <c r="E30362">
        <v>0</v>
      </c>
      <c r="F30362">
        <v>34</v>
      </c>
    </row>
    <row r="30363" spans="1:6" ht="12.75">
      <c r="A30363" s="2">
        <v>43875.545659722222</v>
      </c>
      <c r="B30363" t="str">
        <f>HYPERLINK("https://twitter.com/taejinnish","@taejinnish")</f>
        <v>@taejinnish</v>
      </c>
      <c r="C30363" t="s">
        <v>2444</v>
      </c>
      <c r="D30363">
        <v>1055</v>
      </c>
      <c r="E30363">
        <v>0</v>
      </c>
      <c r="F30363">
        <v>1752</v>
      </c>
    </row>
    <row r="30364" spans="1:6" ht="12.75">
      <c r="A30364" s="2">
        <v>43875.545648148152</v>
      </c>
      <c r="B30364" t="str">
        <f>HYPERLINK("https://twitter.com/daraa_puspita","@daraa_puspita")</f>
        <v>@daraa_puspita</v>
      </c>
      <c r="C30364" t="s">
        <v>12642</v>
      </c>
      <c r="D30364">
        <v>4</v>
      </c>
      <c r="E30364">
        <v>0</v>
      </c>
      <c r="F30364">
        <v>386</v>
      </c>
    </row>
    <row r="30365" spans="1:6" ht="12.75">
      <c r="A30365" s="2">
        <v>43875.545601851853</v>
      </c>
      <c r="B30365" t="str">
        <f>HYPERLINK("https://twitter.com/snyo64","@snyo64")</f>
        <v>@snyo64</v>
      </c>
      <c r="C30365" t="s">
        <v>12642</v>
      </c>
      <c r="D30365">
        <v>4</v>
      </c>
      <c r="E30365">
        <v>0</v>
      </c>
      <c r="F30365">
        <v>171</v>
      </c>
    </row>
    <row r="30366" spans="1:6" ht="12.75">
      <c r="A30366" s="2">
        <v>43875.545601851853</v>
      </c>
      <c r="B30366" t="str">
        <f>HYPERLINK("https://twitter.com/_Cepcepcep","@_Cepcepcep")</f>
        <v>@_Cepcepcep</v>
      </c>
      <c r="C30366" t="s">
        <v>2444</v>
      </c>
      <c r="D30366">
        <v>1055</v>
      </c>
      <c r="E30366">
        <v>0</v>
      </c>
      <c r="F30366">
        <v>509</v>
      </c>
    </row>
    <row r="30367" spans="1:6" ht="12.75">
      <c r="A30367" s="2">
        <v>43875.545601851853</v>
      </c>
      <c r="B30367" t="str">
        <f>HYPERLINK("https://twitter.com/rahmatismaya","@rahmatismaya")</f>
        <v>@rahmatismaya</v>
      </c>
      <c r="C30367" t="s">
        <v>5485</v>
      </c>
      <c r="D30367">
        <v>5</v>
      </c>
      <c r="E30367">
        <v>0</v>
      </c>
      <c r="F30367">
        <v>2215</v>
      </c>
    </row>
    <row r="30368" spans="1:6" ht="12.75">
      <c r="A30368" s="2">
        <v>43875.545578703706</v>
      </c>
      <c r="B30368" t="str">
        <f>HYPERLINK("https://twitter.com/budy141208","@budy141208")</f>
        <v>@budy141208</v>
      </c>
      <c r="C30368" t="s">
        <v>12950</v>
      </c>
      <c r="D30368">
        <v>0</v>
      </c>
      <c r="E30368">
        <v>3</v>
      </c>
      <c r="F30368">
        <v>1766</v>
      </c>
    </row>
    <row r="30369" spans="1:6" ht="12.75">
      <c r="A30369" s="2">
        <v>43875.545555555553</v>
      </c>
      <c r="B30369" t="str">
        <f>HYPERLINK("https://twitter.com/AnakKolong___","@AnakKolong___")</f>
        <v>@AnakKolong___</v>
      </c>
      <c r="C30369" t="s">
        <v>12951</v>
      </c>
      <c r="D30369">
        <v>1</v>
      </c>
      <c r="E30369">
        <v>0</v>
      </c>
      <c r="F30369">
        <v>5290</v>
      </c>
    </row>
    <row r="30370" spans="1:6" ht="12.75">
      <c r="A30370" s="2">
        <v>43875.54550925926</v>
      </c>
      <c r="B30370" t="str">
        <f>HYPERLINK("https://twitter.com/AnakLolina","@AnakLolina")</f>
        <v>@AnakLolina</v>
      </c>
      <c r="C30370" t="s">
        <v>12952</v>
      </c>
      <c r="D30370">
        <v>1</v>
      </c>
      <c r="E30370">
        <v>0</v>
      </c>
      <c r="F30370">
        <v>14507</v>
      </c>
    </row>
    <row r="30371" spans="1:6" ht="12.75">
      <c r="A30371" s="2">
        <v>43875.545462962968</v>
      </c>
      <c r="B30371" t="str">
        <f>HYPERLINK("https://twitter.com/jpsatrio","@jpsatrio")</f>
        <v>@jpsatrio</v>
      </c>
      <c r="C30371" t="s">
        <v>10422</v>
      </c>
      <c r="D30371">
        <v>83</v>
      </c>
      <c r="E30371">
        <v>0</v>
      </c>
      <c r="F30371">
        <v>512</v>
      </c>
    </row>
    <row r="30372" spans="1:6" ht="12.75">
      <c r="A30372" s="2">
        <v>43875.545428240745</v>
      </c>
      <c r="B30372" t="str">
        <f>HYPERLINK("https://twitter.com/citachittapon","@citachittapon")</f>
        <v>@citachittapon</v>
      </c>
      <c r="C30372" t="s">
        <v>2444</v>
      </c>
      <c r="D30372">
        <v>1055</v>
      </c>
      <c r="E30372">
        <v>0</v>
      </c>
      <c r="F30372">
        <v>365</v>
      </c>
    </row>
    <row r="30373" spans="1:6" ht="12.75">
      <c r="A30373" s="2">
        <v>43875.545381944445</v>
      </c>
      <c r="B30373" t="str">
        <f>HYPERLINK("https://twitter.com/Potell_Sinchan","@Potell_Sinchan")</f>
        <v>@Potell_Sinchan</v>
      </c>
      <c r="C30373" t="s">
        <v>2444</v>
      </c>
      <c r="D30373">
        <v>1055</v>
      </c>
      <c r="E30373">
        <v>0</v>
      </c>
      <c r="F30373">
        <v>5</v>
      </c>
    </row>
    <row r="30374" spans="1:6" ht="12.75">
      <c r="A30374" s="2">
        <v>43875.545370370368</v>
      </c>
      <c r="B30374" t="str">
        <f>HYPERLINK("https://twitter.com/heribudiyanto21","@heribudiyanto21")</f>
        <v>@heribudiyanto21</v>
      </c>
      <c r="C30374" t="s">
        <v>9113</v>
      </c>
      <c r="D30374">
        <v>289</v>
      </c>
      <c r="E30374">
        <v>0</v>
      </c>
      <c r="F30374">
        <v>70</v>
      </c>
    </row>
    <row r="30375" spans="1:6" ht="12.75">
      <c r="A30375" s="2">
        <v>43875.545335648145</v>
      </c>
      <c r="B30375" t="str">
        <f>HYPERLINK("https://twitter.com/AstutiNaura","@AstutiNaura")</f>
        <v>@AstutiNaura</v>
      </c>
      <c r="C30375" t="s">
        <v>2444</v>
      </c>
      <c r="D30375">
        <v>1055</v>
      </c>
      <c r="E30375">
        <v>0</v>
      </c>
      <c r="F30375">
        <v>748</v>
      </c>
    </row>
    <row r="30376" spans="1:6" ht="12.75">
      <c r="A30376" s="2">
        <v>43875.545300925922</v>
      </c>
      <c r="B30376" t="str">
        <f>HYPERLINK("https://twitter.com/msaid_didu","@msaid_didu")</f>
        <v>@msaid_didu</v>
      </c>
      <c r="C30376" t="s">
        <v>7478</v>
      </c>
      <c r="D30376">
        <v>62</v>
      </c>
      <c r="E30376">
        <v>0</v>
      </c>
      <c r="F30376">
        <v>228797</v>
      </c>
    </row>
    <row r="30377" spans="1:6" ht="12.75">
      <c r="A30377" s="2">
        <v>43875.54524305556</v>
      </c>
      <c r="B30377" t="str">
        <f>HYPERLINK("https://twitter.com/abbass_ai","@abbass_ai")</f>
        <v>@abbass_ai</v>
      </c>
      <c r="C30377" t="s">
        <v>9147</v>
      </c>
      <c r="D30377">
        <v>8</v>
      </c>
      <c r="E30377">
        <v>0</v>
      </c>
      <c r="F30377">
        <v>260</v>
      </c>
    </row>
    <row r="30378" spans="1:6" ht="12.75">
      <c r="A30378" s="2">
        <v>43875.545219907406</v>
      </c>
      <c r="B30378" t="str">
        <f>HYPERLINK("https://twitter.com/hnnsha","@hnnsha")</f>
        <v>@hnnsha</v>
      </c>
      <c r="C30378" t="s">
        <v>9964</v>
      </c>
      <c r="D30378">
        <v>573</v>
      </c>
      <c r="E30378">
        <v>0</v>
      </c>
      <c r="F30378">
        <v>104</v>
      </c>
    </row>
    <row r="30379" spans="1:6" ht="12.75">
      <c r="A30379" s="2">
        <v>43875.545185185183</v>
      </c>
      <c r="B30379" t="str">
        <f>HYPERLINK("https://twitter.com/AngelinaSelvie","@AngelinaSelvie")</f>
        <v>@AngelinaSelvie</v>
      </c>
      <c r="C30379" t="s">
        <v>5168</v>
      </c>
      <c r="D30379">
        <v>644</v>
      </c>
      <c r="E30379">
        <v>0</v>
      </c>
      <c r="F30379">
        <v>302</v>
      </c>
    </row>
    <row r="30380" spans="1:6" ht="12.75">
      <c r="A30380" s="2">
        <v>43875.545162037037</v>
      </c>
      <c r="B30380" t="str">
        <f>HYPERLINK("https://twitter.com/142_124_97","@142_124_97")</f>
        <v>@142_124_97</v>
      </c>
      <c r="C30380" t="s">
        <v>2444</v>
      </c>
      <c r="D30380">
        <v>1055</v>
      </c>
      <c r="E30380">
        <v>0</v>
      </c>
      <c r="F30380">
        <v>426</v>
      </c>
    </row>
    <row r="30381" spans="1:6" ht="12.75">
      <c r="A30381" s="2">
        <v>43875.54515046296</v>
      </c>
      <c r="B30381" t="str">
        <f>HYPERLINK("https://twitter.com/Cahkuwut","@Cahkuwut")</f>
        <v>@Cahkuwut</v>
      </c>
      <c r="C30381" t="s">
        <v>12279</v>
      </c>
      <c r="D30381">
        <v>56</v>
      </c>
      <c r="E30381">
        <v>0</v>
      </c>
      <c r="F30381">
        <v>608</v>
      </c>
    </row>
    <row r="30382" spans="1:6" ht="12.75">
      <c r="A30382" s="2">
        <v>43875.545138888891</v>
      </c>
      <c r="B30382" t="str">
        <f>HYPERLINK("https://twitter.com/and_dhi76","@and_dhi76")</f>
        <v>@and_dhi76</v>
      </c>
      <c r="C30382" t="s">
        <v>10237</v>
      </c>
      <c r="D30382">
        <v>44</v>
      </c>
      <c r="E30382">
        <v>0</v>
      </c>
      <c r="F30382">
        <v>48</v>
      </c>
    </row>
    <row r="30383" spans="1:6" ht="12.75">
      <c r="A30383" s="2">
        <v>43875.545057870375</v>
      </c>
      <c r="B30383" t="str">
        <f>HYPERLINK("https://twitter.com/antecessio","@antecessio")</f>
        <v>@antecessio</v>
      </c>
      <c r="C30383" t="s">
        <v>2444</v>
      </c>
      <c r="D30383">
        <v>1055</v>
      </c>
      <c r="E30383">
        <v>0</v>
      </c>
      <c r="F30383">
        <v>71</v>
      </c>
    </row>
    <row r="30384" spans="1:6" ht="12.75">
      <c r="A30384" s="2">
        <v>43875.545046296298</v>
      </c>
      <c r="B30384" t="str">
        <f>HYPERLINK("https://twitter.com/SoniMsi07","@SoniMsi07")</f>
        <v>@SoniMsi07</v>
      </c>
      <c r="C30384" t="s">
        <v>2963</v>
      </c>
      <c r="D30384">
        <v>822</v>
      </c>
      <c r="E30384">
        <v>0</v>
      </c>
      <c r="F30384">
        <v>234</v>
      </c>
    </row>
    <row r="30385" spans="1:6" ht="12.75">
      <c r="A30385" s="2">
        <v>43875.545023148152</v>
      </c>
      <c r="B30385" t="str">
        <f>HYPERLINK("https://twitter.com/rafi_aaaa","@rafi_aaaa")</f>
        <v>@rafi_aaaa</v>
      </c>
      <c r="C30385" t="s">
        <v>2963</v>
      </c>
      <c r="D30385">
        <v>822</v>
      </c>
      <c r="E30385">
        <v>0</v>
      </c>
      <c r="F30385">
        <v>471</v>
      </c>
    </row>
    <row r="30386" spans="1:6" ht="12.75">
      <c r="A30386" s="2">
        <v>43875.544988425929</v>
      </c>
      <c r="B30386" t="str">
        <f>HYPERLINK("https://twitter.com/dkskxkti","@dkskxkti")</f>
        <v>@dkskxkti</v>
      </c>
      <c r="C30386" t="s">
        <v>2444</v>
      </c>
      <c r="D30386">
        <v>1055</v>
      </c>
      <c r="E30386">
        <v>0</v>
      </c>
      <c r="F30386">
        <v>344</v>
      </c>
    </row>
    <row r="30387" spans="1:6" ht="12.75">
      <c r="A30387" s="2">
        <v>43875.544953703706</v>
      </c>
      <c r="B30387" t="str">
        <f>HYPERLINK("https://twitter.com/saltedpopcrown","@saltedpopcrown")</f>
        <v>@saltedpopcrown</v>
      </c>
      <c r="C30387" t="s">
        <v>2444</v>
      </c>
      <c r="D30387">
        <v>1055</v>
      </c>
      <c r="E30387">
        <v>0</v>
      </c>
      <c r="F30387">
        <v>842</v>
      </c>
    </row>
    <row r="30388" spans="1:6" ht="12.75">
      <c r="A30388" s="2">
        <v>43875.544907407406</v>
      </c>
      <c r="B30388" t="str">
        <f>HYPERLINK("https://twitter.com/itsadilla","@itsadilla")</f>
        <v>@itsadilla</v>
      </c>
      <c r="C30388" t="s">
        <v>2444</v>
      </c>
      <c r="D30388">
        <v>1055</v>
      </c>
      <c r="E30388">
        <v>0</v>
      </c>
      <c r="F30388">
        <v>93</v>
      </c>
    </row>
    <row r="30389" spans="1:6" ht="12.75">
      <c r="A30389" s="2">
        <v>43875.54488425926</v>
      </c>
      <c r="B30389" t="str">
        <f>HYPERLINK("https://twitter.com/KeelHouse","@KeelHouse")</f>
        <v>@KeelHouse</v>
      </c>
      <c r="C30389" t="s">
        <v>12953</v>
      </c>
      <c r="D30389">
        <v>0</v>
      </c>
      <c r="E30389">
        <v>0</v>
      </c>
      <c r="F30389">
        <v>0</v>
      </c>
    </row>
    <row r="30390" spans="1:6" ht="12.75">
      <c r="A30390" s="2">
        <v>43875.54488425926</v>
      </c>
      <c r="B30390" t="str">
        <f>HYPERLINK("https://twitter.com/pac_plantungan","@pac_plantungan")</f>
        <v>@pac_plantungan</v>
      </c>
      <c r="C30390" t="s">
        <v>175</v>
      </c>
      <c r="D30390">
        <v>5273</v>
      </c>
      <c r="E30390">
        <v>0</v>
      </c>
      <c r="F30390">
        <v>161</v>
      </c>
    </row>
    <row r="30391" spans="1:6" ht="12.75">
      <c r="A30391" s="2">
        <v>43875.544849537036</v>
      </c>
      <c r="B30391" t="str">
        <f>HYPERLINK("https://twitter.com/phlisophy","@phlisophy")</f>
        <v>@phlisophy</v>
      </c>
      <c r="C30391" t="s">
        <v>2444</v>
      </c>
      <c r="D30391">
        <v>1055</v>
      </c>
      <c r="E30391">
        <v>0</v>
      </c>
      <c r="F30391">
        <v>364</v>
      </c>
    </row>
    <row r="30392" spans="1:6" ht="12.75">
      <c r="A30392" s="2">
        <v>43875.544814814813</v>
      </c>
      <c r="B30392" t="str">
        <f>HYPERLINK("https://twitter.com/pergitukkembali","@pergitukkembali")</f>
        <v>@pergitukkembali</v>
      </c>
      <c r="C30392" t="s">
        <v>12954</v>
      </c>
      <c r="D30392">
        <v>0</v>
      </c>
      <c r="E30392">
        <v>0</v>
      </c>
      <c r="F30392">
        <v>39</v>
      </c>
    </row>
    <row r="30393" spans="1:6" ht="12.75">
      <c r="A30393" s="2">
        <v>43875.544745370367</v>
      </c>
      <c r="B30393" t="str">
        <f>HYPERLINK("https://twitter.com/sugalittlemeow","@sugalittlemeow")</f>
        <v>@sugalittlemeow</v>
      </c>
      <c r="C30393" t="s">
        <v>2444</v>
      </c>
      <c r="D30393">
        <v>1055</v>
      </c>
      <c r="E30393">
        <v>0</v>
      </c>
      <c r="F30393">
        <v>194</v>
      </c>
    </row>
    <row r="30394" spans="1:6" ht="12.75">
      <c r="A30394" s="2">
        <v>43875.544641203705</v>
      </c>
      <c r="B30394" t="str">
        <f>HYPERLINK("https://twitter.com/watunggggg","@watunggggg")</f>
        <v>@watunggggg</v>
      </c>
      <c r="C30394" t="s">
        <v>2444</v>
      </c>
      <c r="D30394">
        <v>1055</v>
      </c>
      <c r="E30394">
        <v>0</v>
      </c>
      <c r="F30394">
        <v>173</v>
      </c>
    </row>
    <row r="30395" spans="1:6" ht="12.75">
      <c r="A30395" s="2">
        <v>43875.544560185182</v>
      </c>
      <c r="B30395" t="str">
        <f>HYPERLINK("https://twitter.com/apepramadhan","@apepramadhan")</f>
        <v>@apepramadhan</v>
      </c>
      <c r="C30395" t="s">
        <v>9964</v>
      </c>
      <c r="D30395">
        <v>573</v>
      </c>
      <c r="E30395">
        <v>0</v>
      </c>
      <c r="F30395">
        <v>1316</v>
      </c>
    </row>
    <row r="30396" spans="1:6" ht="12.75">
      <c r="A30396" s="2">
        <v>43875.544560185182</v>
      </c>
      <c r="B30396" t="str">
        <f>HYPERLINK("https://twitter.com/Andika_pmp","@Andika_pmp")</f>
        <v>@Andika_pmp</v>
      </c>
      <c r="C30396" t="s">
        <v>2144</v>
      </c>
      <c r="D30396">
        <v>71</v>
      </c>
      <c r="E30396">
        <v>0</v>
      </c>
      <c r="F30396">
        <v>111</v>
      </c>
    </row>
    <row r="30397" spans="1:6" ht="12.75">
      <c r="A30397" s="2">
        <v>43875.544502314813</v>
      </c>
      <c r="B30397" t="str">
        <f>HYPERLINK("https://twitter.com/_Suyomin0309","@_Suyomin0309")</f>
        <v>@_Suyomin0309</v>
      </c>
      <c r="C30397" t="s">
        <v>2444</v>
      </c>
      <c r="D30397">
        <v>1055</v>
      </c>
      <c r="E30397">
        <v>0</v>
      </c>
      <c r="F30397">
        <v>37</v>
      </c>
    </row>
    <row r="30398" spans="1:6" ht="12.75">
      <c r="A30398" s="2">
        <v>43875.544467592597</v>
      </c>
      <c r="B30398" t="str">
        <f>HYPERLINK("https://twitter.com/Pokcay2","@Pokcay2")</f>
        <v>@Pokcay2</v>
      </c>
      <c r="C30398" t="s">
        <v>2122</v>
      </c>
      <c r="D30398">
        <v>202</v>
      </c>
      <c r="E30398">
        <v>0</v>
      </c>
      <c r="F30398">
        <v>0</v>
      </c>
    </row>
    <row r="30399" spans="1:6" ht="12.75">
      <c r="A30399" s="2">
        <v>43875.544374999998</v>
      </c>
      <c r="B30399" t="str">
        <f>HYPERLINK("https://twitter.com/zarazettirazr","@zarazettirazr")</f>
        <v>@zarazettirazr</v>
      </c>
      <c r="C30399" t="s">
        <v>12955</v>
      </c>
      <c r="D30399">
        <v>62</v>
      </c>
      <c r="E30399">
        <v>187</v>
      </c>
      <c r="F30399">
        <v>250116</v>
      </c>
    </row>
    <row r="30400" spans="1:6" ht="12.75">
      <c r="A30400" s="2">
        <v>43875.544351851851</v>
      </c>
      <c r="B30400" t="str">
        <f>HYPERLINK("https://twitter.com/Lidiyaac","@Lidiyaac")</f>
        <v>@Lidiyaac</v>
      </c>
      <c r="C30400" t="s">
        <v>5168</v>
      </c>
      <c r="D30400">
        <v>644</v>
      </c>
      <c r="E30400">
        <v>0</v>
      </c>
      <c r="F30400">
        <v>331</v>
      </c>
    </row>
    <row r="30401" spans="1:6" ht="12.75">
      <c r="A30401" s="2">
        <v>43875.544317129628</v>
      </c>
      <c r="B30401" t="str">
        <f>HYPERLINK("https://twitter.com/BahrunKarim","@BahrunKarim")</f>
        <v>@BahrunKarim</v>
      </c>
      <c r="C30401" t="s">
        <v>9538</v>
      </c>
      <c r="D30401">
        <v>131</v>
      </c>
      <c r="E30401">
        <v>0</v>
      </c>
      <c r="F30401">
        <v>580</v>
      </c>
    </row>
    <row r="30402" spans="1:6" ht="12.75">
      <c r="A30402" s="2">
        <v>43875.544270833328</v>
      </c>
      <c r="B30402" t="str">
        <f>HYPERLINK("https://twitter.com/owwcaa","@owwcaa")</f>
        <v>@owwcaa</v>
      </c>
      <c r="C30402" t="s">
        <v>2444</v>
      </c>
      <c r="D30402">
        <v>1055</v>
      </c>
      <c r="E30402">
        <v>0</v>
      </c>
      <c r="F30402">
        <v>225</v>
      </c>
    </row>
    <row r="30403" spans="1:6" ht="12.75">
      <c r="A30403" s="2">
        <v>43875.544224537036</v>
      </c>
      <c r="B30403" t="str">
        <f>HYPERLINK("https://twitter.com/bagas_tanadi","@bagas_tanadi")</f>
        <v>@bagas_tanadi</v>
      </c>
      <c r="C30403" t="s">
        <v>9962</v>
      </c>
      <c r="D30403">
        <v>24</v>
      </c>
      <c r="E30403">
        <v>0</v>
      </c>
      <c r="F30403">
        <v>12</v>
      </c>
    </row>
    <row r="30404" spans="1:6" ht="12.75">
      <c r="A30404" s="2">
        <v>43875.544212962966</v>
      </c>
      <c r="B30404" t="str">
        <f>HYPERLINK("https://twitter.com/FRPrayogo","@FRPrayogo")</f>
        <v>@FRPrayogo</v>
      </c>
      <c r="C30404" t="s">
        <v>5168</v>
      </c>
      <c r="D30404">
        <v>644</v>
      </c>
      <c r="E30404">
        <v>0</v>
      </c>
      <c r="F30404">
        <v>145</v>
      </c>
    </row>
    <row r="30405" spans="1:6" ht="12.75">
      <c r="A30405" s="2">
        <v>43875.544166666667</v>
      </c>
      <c r="B30405" t="str">
        <f>HYPERLINK("https://twitter.com/JMoonlight15","@JMoonlight15")</f>
        <v>@JMoonlight15</v>
      </c>
      <c r="C30405" t="s">
        <v>8233</v>
      </c>
      <c r="D30405">
        <v>433</v>
      </c>
      <c r="E30405">
        <v>0</v>
      </c>
      <c r="F30405">
        <v>908</v>
      </c>
    </row>
    <row r="30406" spans="1:6" ht="12.75">
      <c r="A30406" s="2">
        <v>43875.54415509259</v>
      </c>
      <c r="B30406" t="str">
        <f>HYPERLINK("https://twitter.com/Cahkuwut","@Cahkuwut")</f>
        <v>@Cahkuwut</v>
      </c>
      <c r="C30406" t="s">
        <v>10542</v>
      </c>
      <c r="D30406">
        <v>142</v>
      </c>
      <c r="E30406">
        <v>0</v>
      </c>
      <c r="F30406">
        <v>608</v>
      </c>
    </row>
    <row r="30407" spans="1:6" ht="12.75">
      <c r="A30407" s="2">
        <v>43875.544120370367</v>
      </c>
      <c r="B30407" t="str">
        <f>HYPERLINK("https://twitter.com/odikoke","@odikoke")</f>
        <v>@odikoke</v>
      </c>
      <c r="C30407" t="s">
        <v>12956</v>
      </c>
      <c r="D30407">
        <v>0</v>
      </c>
      <c r="E30407">
        <v>0</v>
      </c>
      <c r="F30407">
        <v>58</v>
      </c>
    </row>
    <row r="30408" spans="1:6" ht="12.75">
      <c r="A30408" s="2">
        <v>43875.544120370367</v>
      </c>
      <c r="B30408" t="str">
        <f>HYPERLINK("https://twitter.com/republikaonline","@republikaonline")</f>
        <v>@republikaonline</v>
      </c>
      <c r="C30408" t="s">
        <v>12957</v>
      </c>
      <c r="D30408">
        <v>1</v>
      </c>
      <c r="E30408">
        <v>5</v>
      </c>
      <c r="F30408">
        <v>1210267</v>
      </c>
    </row>
    <row r="30409" spans="1:6" ht="12.75">
      <c r="A30409" s="2">
        <v>43875.544004629628</v>
      </c>
      <c r="B30409" t="str">
        <f>HYPERLINK("https://twitter.com/ethereal_blosso","@ethereal_blosso")</f>
        <v>@ethereal_blosso</v>
      </c>
      <c r="C30409" t="s">
        <v>12958</v>
      </c>
      <c r="D30409">
        <v>0</v>
      </c>
      <c r="E30409">
        <v>0</v>
      </c>
      <c r="F30409">
        <v>297</v>
      </c>
    </row>
    <row r="30410" spans="1:6" ht="12.75">
      <c r="A30410" s="2">
        <v>43875.543923611112</v>
      </c>
      <c r="B30410" t="str">
        <f>HYPERLINK("https://twitter.com/pemanisakhirat","@pemanisakhirat")</f>
        <v>@pemanisakhirat</v>
      </c>
      <c r="C30410" t="s">
        <v>2444</v>
      </c>
      <c r="D30410">
        <v>1055</v>
      </c>
      <c r="E30410">
        <v>0</v>
      </c>
      <c r="F30410">
        <v>612</v>
      </c>
    </row>
    <row r="30411" spans="1:6" ht="12.75">
      <c r="A30411" s="2">
        <v>43875.543900462959</v>
      </c>
      <c r="B30411" t="str">
        <f>HYPERLINK("https://twitter.com/Mayanglrsati","@Mayanglrsati")</f>
        <v>@Mayanglrsati</v>
      </c>
      <c r="C30411" t="s">
        <v>9964</v>
      </c>
      <c r="D30411">
        <v>573</v>
      </c>
      <c r="E30411">
        <v>0</v>
      </c>
      <c r="F30411">
        <v>1814</v>
      </c>
    </row>
    <row r="30412" spans="1:6" ht="12.75">
      <c r="A30412" s="2">
        <v>43875.54387731482</v>
      </c>
      <c r="B30412" t="str">
        <f>HYPERLINK("https://twitter.com/greetingsssss","@greetingsssss")</f>
        <v>@greetingsssss</v>
      </c>
      <c r="C30412" t="s">
        <v>8233</v>
      </c>
      <c r="D30412">
        <v>433</v>
      </c>
      <c r="E30412">
        <v>0</v>
      </c>
      <c r="F30412">
        <v>19</v>
      </c>
    </row>
    <row r="30413" spans="1:6" ht="12.75">
      <c r="A30413" s="2">
        <v>43875.54387731482</v>
      </c>
      <c r="B30413" t="str">
        <f>HYPERLINK("https://twitter.com/hotnspiccyy","@hotnspiccyy")</f>
        <v>@hotnspiccyy</v>
      </c>
      <c r="C30413" t="s">
        <v>2444</v>
      </c>
      <c r="D30413">
        <v>1055</v>
      </c>
      <c r="E30413">
        <v>0</v>
      </c>
      <c r="F30413">
        <v>56</v>
      </c>
    </row>
    <row r="30414" spans="1:6" ht="12.75">
      <c r="A30414" s="2">
        <v>43875.543865740736</v>
      </c>
      <c r="B30414" t="str">
        <f>HYPERLINK("https://twitter.com/victorkc128","@victorkc128")</f>
        <v>@victorkc128</v>
      </c>
      <c r="C30414" t="s">
        <v>2444</v>
      </c>
      <c r="D30414">
        <v>1055</v>
      </c>
      <c r="E30414">
        <v>0</v>
      </c>
      <c r="F30414">
        <v>343</v>
      </c>
    </row>
    <row r="30415" spans="1:6" ht="12.75">
      <c r="A30415" s="2">
        <v>43875.54378472222</v>
      </c>
      <c r="B30415" t="str">
        <f>HYPERLINK("https://twitter.com/OpsiMetroTV","@OpsiMetroTV")</f>
        <v>@OpsiMetroTV</v>
      </c>
      <c r="C30415" t="s">
        <v>12959</v>
      </c>
      <c r="D30415">
        <v>4</v>
      </c>
      <c r="E30415">
        <v>13</v>
      </c>
      <c r="F30415">
        <v>15448</v>
      </c>
    </row>
    <row r="30416" spans="1:6" ht="12.75">
      <c r="A30416" s="2">
        <v>43875.543773148151</v>
      </c>
      <c r="B30416" t="str">
        <f>HYPERLINK("https://twitter.com/fabul0uis91","@fabul0uis91")</f>
        <v>@fabul0uis91</v>
      </c>
      <c r="C30416" t="s">
        <v>2444</v>
      </c>
      <c r="D30416">
        <v>1055</v>
      </c>
      <c r="E30416">
        <v>0</v>
      </c>
      <c r="F30416">
        <v>718</v>
      </c>
    </row>
    <row r="30417" spans="1:6" ht="12.75">
      <c r="A30417" s="2">
        <v>43875.543703703705</v>
      </c>
      <c r="B30417" t="str">
        <f>HYPERLINK("https://twitter.com/AlBanna57697952","@AlBanna57697952")</f>
        <v>@AlBanna57697952</v>
      </c>
      <c r="C30417" t="s">
        <v>9147</v>
      </c>
      <c r="D30417">
        <v>8</v>
      </c>
      <c r="E30417">
        <v>0</v>
      </c>
      <c r="F30417">
        <v>42</v>
      </c>
    </row>
    <row r="30418" spans="1:6" ht="12.75">
      <c r="A30418" s="2">
        <v>43875.543692129635</v>
      </c>
      <c r="B30418" t="str">
        <f>HYPERLINK("https://twitter.com/cakbulla","@cakbulla")</f>
        <v>@cakbulla</v>
      </c>
      <c r="C30418" t="s">
        <v>2963</v>
      </c>
      <c r="D30418">
        <v>822</v>
      </c>
      <c r="E30418">
        <v>0</v>
      </c>
      <c r="F30418">
        <v>650</v>
      </c>
    </row>
    <row r="30419" spans="1:6" ht="12.75">
      <c r="A30419" s="2">
        <v>43875.543668981481</v>
      </c>
      <c r="B30419" t="str">
        <f>HYPERLINK("https://twitter.com/melonisred","@melonisred")</f>
        <v>@melonisred</v>
      </c>
      <c r="C30419" t="s">
        <v>2444</v>
      </c>
      <c r="D30419">
        <v>1055</v>
      </c>
      <c r="E30419">
        <v>0</v>
      </c>
      <c r="F30419">
        <v>345</v>
      </c>
    </row>
    <row r="30420" spans="1:6" ht="12.75">
      <c r="A30420" s="2">
        <v>43875.543657407412</v>
      </c>
      <c r="B30420" t="str">
        <f>HYPERLINK("https://twitter.com/Biebzlexx","@Biebzlexx")</f>
        <v>@Biebzlexx</v>
      </c>
      <c r="C30420" t="s">
        <v>2444</v>
      </c>
      <c r="D30420">
        <v>1055</v>
      </c>
      <c r="E30420">
        <v>0</v>
      </c>
      <c r="F30420">
        <v>494</v>
      </c>
    </row>
    <row r="30421" spans="1:6" ht="12.75">
      <c r="A30421" s="2">
        <v>43875.543587962966</v>
      </c>
      <c r="B30421" t="str">
        <f>HYPERLINK("https://twitter.com/rinawaki","@rinawaki")</f>
        <v>@rinawaki</v>
      </c>
      <c r="C30421" t="s">
        <v>12960</v>
      </c>
      <c r="D30421">
        <v>1</v>
      </c>
      <c r="E30421">
        <v>1</v>
      </c>
      <c r="F30421">
        <v>385</v>
      </c>
    </row>
    <row r="30422" spans="1:6" ht="12.75">
      <c r="A30422" s="2">
        <v>43875.543576388889</v>
      </c>
      <c r="B30422" t="str">
        <f>HYPERLINK("https://twitter.com/Santo_Amora","@Santo_Amora")</f>
        <v>@Santo_Amora</v>
      </c>
      <c r="C30422" t="s">
        <v>9746</v>
      </c>
      <c r="D30422">
        <v>135</v>
      </c>
      <c r="E30422">
        <v>0</v>
      </c>
      <c r="F30422">
        <v>396</v>
      </c>
    </row>
    <row r="30423" spans="1:6" ht="12.75">
      <c r="A30423" s="2">
        <v>43875.543553240743</v>
      </c>
      <c r="B30423" t="str">
        <f>HYPERLINK("https://twitter.com/FYozze","@FYozze")</f>
        <v>@FYozze</v>
      </c>
      <c r="C30423" t="s">
        <v>8233</v>
      </c>
      <c r="D30423">
        <v>433</v>
      </c>
      <c r="E30423">
        <v>0</v>
      </c>
      <c r="F30423">
        <v>1348</v>
      </c>
    </row>
    <row r="30424" spans="1:6" ht="12.75">
      <c r="A30424" s="2">
        <v>43875.543437500004</v>
      </c>
      <c r="B30424" t="str">
        <f>HYPERLINK("https://twitter.com/TjahyoUnky","@TjahyoUnky")</f>
        <v>@TjahyoUnky</v>
      </c>
      <c r="C30424" t="s">
        <v>12961</v>
      </c>
      <c r="D30424">
        <v>0</v>
      </c>
      <c r="E30424">
        <v>0</v>
      </c>
      <c r="F30424">
        <v>2038</v>
      </c>
    </row>
    <row r="30425" spans="1:6" ht="12.75">
      <c r="A30425" s="2">
        <v>43875.543414351851</v>
      </c>
      <c r="B30425" t="str">
        <f>HYPERLINK("https://twitter.com/amandadheaB","@amandadheaB")</f>
        <v>@amandadheaB</v>
      </c>
      <c r="C30425" t="s">
        <v>2444</v>
      </c>
      <c r="D30425">
        <v>1055</v>
      </c>
      <c r="E30425">
        <v>0</v>
      </c>
      <c r="F30425">
        <v>1640</v>
      </c>
    </row>
    <row r="30426" spans="1:6" ht="12.75">
      <c r="A30426" s="2">
        <v>43875.543379629627</v>
      </c>
      <c r="B30426" t="str">
        <f>HYPERLINK("https://twitter.com/pradhta","@pradhta")</f>
        <v>@pradhta</v>
      </c>
      <c r="C30426" t="s">
        <v>2444</v>
      </c>
      <c r="D30426">
        <v>1055</v>
      </c>
      <c r="E30426">
        <v>0</v>
      </c>
      <c r="F30426">
        <v>387</v>
      </c>
    </row>
    <row r="30427" spans="1:6" ht="12.75">
      <c r="A30427" s="2">
        <v>43875.543379629627</v>
      </c>
      <c r="B30427" t="str">
        <f>HYPERLINK("https://twitter.com/dksoswbjyhw","@dksoswbjyhw")</f>
        <v>@dksoswbjyhw</v>
      </c>
      <c r="C30427" t="s">
        <v>2444</v>
      </c>
      <c r="D30427">
        <v>1055</v>
      </c>
      <c r="E30427">
        <v>0</v>
      </c>
      <c r="F30427">
        <v>37</v>
      </c>
    </row>
    <row r="30428" spans="1:6" ht="12.75">
      <c r="A30428" s="2">
        <v>43875.543310185181</v>
      </c>
      <c r="B30428" t="str">
        <f>HYPERLINK("https://twitter.com/Harry85469365","@Harry85469365")</f>
        <v>@Harry85469365</v>
      </c>
      <c r="C30428" t="s">
        <v>12962</v>
      </c>
      <c r="D30428">
        <v>0</v>
      </c>
      <c r="E30428">
        <v>0</v>
      </c>
      <c r="F30428">
        <v>1615</v>
      </c>
    </row>
    <row r="30429" spans="1:6" ht="12.75">
      <c r="A30429" s="2">
        <v>43875.543182870373</v>
      </c>
      <c r="B30429" t="str">
        <f>HYPERLINK("https://twitter.com/yankur_","@yankur_")</f>
        <v>@yankur_</v>
      </c>
      <c r="C30429" t="s">
        <v>2444</v>
      </c>
      <c r="D30429">
        <v>695</v>
      </c>
      <c r="E30429">
        <v>0</v>
      </c>
      <c r="F30429">
        <v>883</v>
      </c>
    </row>
    <row r="30430" spans="1:6" ht="12.75">
      <c r="A30430" s="2">
        <v>43875.54314814815</v>
      </c>
      <c r="B30430" t="str">
        <f>HYPERLINK("https://twitter.com/AdhiWas","@AdhiWas")</f>
        <v>@AdhiWas</v>
      </c>
      <c r="C30430" t="s">
        <v>12621</v>
      </c>
      <c r="D30430">
        <v>3</v>
      </c>
      <c r="E30430">
        <v>0</v>
      </c>
      <c r="F30430">
        <v>207</v>
      </c>
    </row>
    <row r="30431" spans="1:6" ht="12.75">
      <c r="A30431" s="2">
        <v>43875.543067129634</v>
      </c>
      <c r="B30431" t="str">
        <f>HYPERLINK("https://twitter.com/caramelcarbs","@caramelcarbs")</f>
        <v>@caramelcarbs</v>
      </c>
      <c r="C30431" t="s">
        <v>12963</v>
      </c>
      <c r="D30431">
        <v>0</v>
      </c>
      <c r="E30431">
        <v>0</v>
      </c>
      <c r="F30431">
        <v>1316</v>
      </c>
    </row>
    <row r="30432" spans="1:6" ht="12.75">
      <c r="A30432" s="2">
        <v>43875.542962962965</v>
      </c>
      <c r="B30432" t="str">
        <f>HYPERLINK("https://twitter.com/psychosaligia","@psychosaligia")</f>
        <v>@psychosaligia</v>
      </c>
      <c r="C30432" t="s">
        <v>11449</v>
      </c>
      <c r="D30432">
        <v>18</v>
      </c>
      <c r="E30432">
        <v>0</v>
      </c>
      <c r="F30432">
        <v>70</v>
      </c>
    </row>
    <row r="30433" spans="1:6" ht="12.75">
      <c r="A30433" s="2">
        <v>43875.542962962965</v>
      </c>
      <c r="B30433" t="str">
        <f>HYPERLINK("https://twitter.com/ibra_zycko","@ibra_zycko")</f>
        <v>@ibra_zycko</v>
      </c>
      <c r="C30433" t="s">
        <v>12819</v>
      </c>
      <c r="D30433">
        <v>1</v>
      </c>
      <c r="E30433">
        <v>0</v>
      </c>
      <c r="F30433">
        <v>1342</v>
      </c>
    </row>
    <row r="30434" spans="1:6" ht="12.75">
      <c r="A30434" s="2">
        <v>43875.542939814812</v>
      </c>
      <c r="B30434" t="str">
        <f>HYPERLINK("https://twitter.com/pihrapih","@pihrapih")</f>
        <v>@pihrapih</v>
      </c>
      <c r="C30434" t="s">
        <v>8720</v>
      </c>
      <c r="D30434">
        <v>41</v>
      </c>
      <c r="E30434">
        <v>0</v>
      </c>
      <c r="F30434">
        <v>616</v>
      </c>
    </row>
    <row r="30435" spans="1:6" ht="12.75">
      <c r="A30435" s="2">
        <v>43875.542858796296</v>
      </c>
      <c r="B30435" t="str">
        <f>HYPERLINK("https://twitter.com/naffisahaini","@naffisahaini")</f>
        <v>@naffisahaini</v>
      </c>
      <c r="C30435" t="s">
        <v>2444</v>
      </c>
      <c r="D30435">
        <v>695</v>
      </c>
      <c r="E30435">
        <v>0</v>
      </c>
      <c r="F30435">
        <v>115</v>
      </c>
    </row>
    <row r="30436" spans="1:6" ht="12.75">
      <c r="A30436" s="2">
        <v>43875.542824074073</v>
      </c>
      <c r="B30436" t="str">
        <f>HYPERLINK("https://twitter.com/njuzsha","@njuzsha")</f>
        <v>@njuzsha</v>
      </c>
      <c r="C30436" t="s">
        <v>2444</v>
      </c>
      <c r="D30436">
        <v>695</v>
      </c>
      <c r="E30436">
        <v>0</v>
      </c>
      <c r="F30436">
        <v>476</v>
      </c>
    </row>
    <row r="30437" spans="1:6" ht="12.75">
      <c r="A30437" s="2">
        <v>43875.542708333334</v>
      </c>
      <c r="B30437" t="str">
        <f>HYPERLINK("https://twitter.com/Aininoer12","@Aininoer12")</f>
        <v>@Aininoer12</v>
      </c>
      <c r="C30437" t="s">
        <v>12964</v>
      </c>
      <c r="D30437">
        <v>4</v>
      </c>
      <c r="E30437">
        <v>0</v>
      </c>
      <c r="F30437">
        <v>5761</v>
      </c>
    </row>
    <row r="30438" spans="1:6" ht="12.75">
      <c r="A30438" s="2">
        <v>43875.542638888888</v>
      </c>
      <c r="B30438" t="str">
        <f>HYPERLINK("https://twitter.com/NgaritCommunity","@NgaritCommunity")</f>
        <v>@NgaritCommunity</v>
      </c>
      <c r="C30438" t="s">
        <v>12965</v>
      </c>
      <c r="D30438">
        <v>2</v>
      </c>
      <c r="E30438">
        <v>0</v>
      </c>
      <c r="F30438">
        <v>420</v>
      </c>
    </row>
    <row r="30439" spans="1:6" ht="12.75">
      <c r="A30439" s="2">
        <v>43875.542638888888</v>
      </c>
      <c r="B30439" t="str">
        <f>HYPERLINK("https://twitter.com/brandalsantri45","@brandalsantri45")</f>
        <v>@brandalsantri45</v>
      </c>
      <c r="C30439" t="s">
        <v>10096</v>
      </c>
      <c r="D30439">
        <v>105</v>
      </c>
      <c r="E30439">
        <v>0</v>
      </c>
      <c r="F30439">
        <v>16053</v>
      </c>
    </row>
    <row r="30440" spans="1:6" ht="12.75">
      <c r="A30440" s="2">
        <v>43875.542581018519</v>
      </c>
      <c r="B30440" t="str">
        <f>HYPERLINK("https://twitter.com/SSN051079","@SSN051079")</f>
        <v>@SSN051079</v>
      </c>
      <c r="C30440" t="s">
        <v>2963</v>
      </c>
      <c r="D30440">
        <v>766</v>
      </c>
      <c r="E30440">
        <v>0</v>
      </c>
      <c r="F30440">
        <v>31</v>
      </c>
    </row>
    <row r="30441" spans="1:6" ht="12.75">
      <c r="A30441" s="2">
        <v>43875.542546296296</v>
      </c>
      <c r="B30441" t="str">
        <f>HYPERLINK("https://twitter.com/idntimes","@idntimes")</f>
        <v>@idntimes</v>
      </c>
      <c r="C30441" t="s">
        <v>12966</v>
      </c>
      <c r="D30441">
        <v>0</v>
      </c>
      <c r="E30441">
        <v>0</v>
      </c>
      <c r="F30441">
        <v>392646</v>
      </c>
    </row>
    <row r="30442" spans="1:6" ht="12.75">
      <c r="A30442" s="2">
        <v>43875.542407407411</v>
      </c>
      <c r="B30442" t="str">
        <f>HYPERLINK("https://twitter.com/love_owe","@love_owe")</f>
        <v>@love_owe</v>
      </c>
      <c r="C30442" t="s">
        <v>2963</v>
      </c>
      <c r="D30442">
        <v>766</v>
      </c>
      <c r="E30442">
        <v>0</v>
      </c>
      <c r="F30442">
        <v>514</v>
      </c>
    </row>
    <row r="30443" spans="1:6" ht="12.75">
      <c r="A30443" s="2">
        <v>43875.542337962965</v>
      </c>
      <c r="B30443" t="str">
        <f>HYPERLINK("https://twitter.com/idntimes","@idntimes")</f>
        <v>@idntimes</v>
      </c>
      <c r="C30443" t="s">
        <v>12967</v>
      </c>
      <c r="D30443">
        <v>0</v>
      </c>
      <c r="E30443">
        <v>1</v>
      </c>
      <c r="F30443">
        <v>392646</v>
      </c>
    </row>
    <row r="30444" spans="1:6" ht="12.75">
      <c r="A30444" s="2">
        <v>43875.542326388888</v>
      </c>
      <c r="B30444" t="str">
        <f>HYPERLINK("https://twitter.com/Nurhadi9913","@Nurhadi9913")</f>
        <v>@Nurhadi9913</v>
      </c>
      <c r="C30444" t="s">
        <v>10291</v>
      </c>
      <c r="D30444">
        <v>10</v>
      </c>
      <c r="E30444">
        <v>0</v>
      </c>
      <c r="F30444">
        <v>148</v>
      </c>
    </row>
    <row r="30445" spans="1:6" ht="12.75">
      <c r="A30445" s="2">
        <v>43875.542314814811</v>
      </c>
      <c r="B30445" t="str">
        <f>HYPERLINK("https://twitter.com/Andika_pmp","@Andika_pmp")</f>
        <v>@Andika_pmp</v>
      </c>
      <c r="C30445" t="s">
        <v>9147</v>
      </c>
      <c r="D30445">
        <v>5</v>
      </c>
      <c r="E30445">
        <v>0</v>
      </c>
      <c r="F30445">
        <v>111</v>
      </c>
    </row>
    <row r="30446" spans="1:6" ht="12.75">
      <c r="A30446" s="2">
        <v>43875.542314814811</v>
      </c>
      <c r="B30446" t="str">
        <f>HYPERLINK("https://twitter.com/CGazee","@CGazee")</f>
        <v>@CGazee</v>
      </c>
      <c r="C30446" t="s">
        <v>12968</v>
      </c>
      <c r="D30446">
        <v>0</v>
      </c>
      <c r="E30446">
        <v>0</v>
      </c>
      <c r="F30446">
        <v>0</v>
      </c>
    </row>
    <row r="30447" spans="1:6" ht="12.75">
      <c r="A30447" s="2">
        <v>43875.542314814811</v>
      </c>
      <c r="B30447" t="str">
        <f>HYPERLINK("https://twitter.com/crynptr25","@crynptr25")</f>
        <v>@crynptr25</v>
      </c>
      <c r="C30447" t="s">
        <v>2444</v>
      </c>
      <c r="D30447">
        <v>695</v>
      </c>
      <c r="E30447">
        <v>0</v>
      </c>
      <c r="F30447">
        <v>490</v>
      </c>
    </row>
    <row r="30448" spans="1:6" ht="12.75">
      <c r="A30448" s="2">
        <v>43875.542268518519</v>
      </c>
      <c r="B30448" t="str">
        <f>HYPERLINK("https://twitter.com/opulentsign","@opulentsign")</f>
        <v>@opulentsign</v>
      </c>
      <c r="C30448" t="s">
        <v>2444</v>
      </c>
      <c r="D30448">
        <v>695</v>
      </c>
      <c r="E30448">
        <v>0</v>
      </c>
      <c r="F30448">
        <v>18</v>
      </c>
    </row>
    <row r="30449" spans="1:6" ht="12.75">
      <c r="A30449" s="2">
        <v>43875.542199074072</v>
      </c>
      <c r="B30449" t="str">
        <f>HYPERLINK("https://twitter.com/tiarkris","@tiarkris")</f>
        <v>@tiarkris</v>
      </c>
      <c r="C30449" t="s">
        <v>5168</v>
      </c>
      <c r="D30449">
        <v>576</v>
      </c>
      <c r="E30449">
        <v>0</v>
      </c>
      <c r="F30449">
        <v>716</v>
      </c>
    </row>
    <row r="30450" spans="1:6" ht="12.75">
      <c r="A30450" s="2">
        <v>43875.542187500003</v>
      </c>
      <c r="B30450" t="str">
        <f>HYPERLINK("https://twitter.com/jackdnieIs","@jackdnieIs")</f>
        <v>@jackdnieIs</v>
      </c>
      <c r="C30450" t="s">
        <v>2444</v>
      </c>
      <c r="D30450">
        <v>695</v>
      </c>
      <c r="E30450">
        <v>0</v>
      </c>
      <c r="F30450">
        <v>128</v>
      </c>
    </row>
    <row r="30451" spans="1:6" ht="12.75">
      <c r="A30451" s="2">
        <v>43875.542129629626</v>
      </c>
      <c r="B30451" t="str">
        <f>HYPERLINK("https://twitter.com/Hermawanluo","@Hermawanluo")</f>
        <v>@Hermawanluo</v>
      </c>
      <c r="C30451" t="s">
        <v>2444</v>
      </c>
      <c r="D30451">
        <v>695</v>
      </c>
      <c r="E30451">
        <v>0</v>
      </c>
      <c r="F30451">
        <v>50</v>
      </c>
    </row>
    <row r="30452" spans="1:6" ht="12.75">
      <c r="A30452" s="2">
        <v>43875.542118055557</v>
      </c>
      <c r="B30452" t="str">
        <f>HYPERLINK("https://twitter.com/FYozze","@FYozze")</f>
        <v>@FYozze</v>
      </c>
      <c r="C30452" t="s">
        <v>2963</v>
      </c>
      <c r="D30452">
        <v>766</v>
      </c>
      <c r="E30452">
        <v>0</v>
      </c>
      <c r="F30452">
        <v>1348</v>
      </c>
    </row>
    <row r="30453" spans="1:6" ht="12.75">
      <c r="A30453" s="2">
        <v>43875.542071759264</v>
      </c>
      <c r="B30453" t="str">
        <f>HYPERLINK("https://twitter.com/yeogibutheora","@yeogibutheora")</f>
        <v>@yeogibutheora</v>
      </c>
      <c r="C30453" t="s">
        <v>5168</v>
      </c>
      <c r="D30453">
        <v>576</v>
      </c>
      <c r="E30453">
        <v>0</v>
      </c>
      <c r="F30453">
        <v>324</v>
      </c>
    </row>
    <row r="30454" spans="1:6" ht="12.75">
      <c r="A30454" s="2">
        <v>43875.542025462964</v>
      </c>
      <c r="B30454" t="str">
        <f>HYPERLINK("https://twitter.com/r_wulandari04","@r_wulandari04")</f>
        <v>@r_wulandari04</v>
      </c>
      <c r="C30454" t="s">
        <v>9998</v>
      </c>
      <c r="D30454">
        <v>91</v>
      </c>
      <c r="E30454">
        <v>0</v>
      </c>
      <c r="F30454">
        <v>37</v>
      </c>
    </row>
    <row r="30455" spans="1:6" ht="12.75">
      <c r="A30455" s="2">
        <v>43875.542025462964</v>
      </c>
      <c r="B30455" t="str">
        <f>HYPERLINK("https://twitter.com/junior_tikno","@junior_tikno")</f>
        <v>@junior_tikno</v>
      </c>
      <c r="C30455" t="s">
        <v>12969</v>
      </c>
      <c r="D30455">
        <v>0</v>
      </c>
      <c r="E30455">
        <v>0</v>
      </c>
      <c r="F30455">
        <v>1</v>
      </c>
    </row>
    <row r="30456" spans="1:6" ht="12.75">
      <c r="A30456" s="2">
        <v>43875.542013888888</v>
      </c>
      <c r="B30456" t="str">
        <f>HYPERLINK("https://twitter.com/warekterus","@warekterus")</f>
        <v>@warekterus</v>
      </c>
      <c r="C30456" t="s">
        <v>2444</v>
      </c>
      <c r="D30456">
        <v>695</v>
      </c>
      <c r="E30456">
        <v>0</v>
      </c>
      <c r="F30456">
        <v>45</v>
      </c>
    </row>
    <row r="30457" spans="1:6" ht="12.75">
      <c r="A30457" s="2">
        <v>43875.542002314818</v>
      </c>
      <c r="B30457" t="str">
        <f>HYPERLINK("https://twitter.com/Reiza_Patters","@Reiza_Patters")</f>
        <v>@Reiza_Patters</v>
      </c>
      <c r="C30457" t="s">
        <v>9746</v>
      </c>
      <c r="D30457">
        <v>96</v>
      </c>
      <c r="E30457">
        <v>0</v>
      </c>
      <c r="F30457">
        <v>28731</v>
      </c>
    </row>
    <row r="30458" spans="1:6" ht="12.75">
      <c r="A30458" s="2">
        <v>43875.541956018518</v>
      </c>
      <c r="B30458" t="str">
        <f>HYPERLINK("https://twitter.com/tataerissa","@tataerissa")</f>
        <v>@tataerissa</v>
      </c>
      <c r="C30458" t="s">
        <v>2444</v>
      </c>
      <c r="D30458">
        <v>695</v>
      </c>
      <c r="E30458">
        <v>0</v>
      </c>
      <c r="F30458">
        <v>484</v>
      </c>
    </row>
    <row r="30459" spans="1:6" ht="12.75">
      <c r="A30459" s="2">
        <v>43875.541932870372</v>
      </c>
      <c r="B30459" t="str">
        <f>HYPERLINK("https://twitter.com/gtwpusingah","@gtwpusingah")</f>
        <v>@gtwpusingah</v>
      </c>
      <c r="C30459" t="s">
        <v>12970</v>
      </c>
      <c r="D30459">
        <v>0</v>
      </c>
      <c r="E30459">
        <v>0</v>
      </c>
      <c r="F30459">
        <v>406</v>
      </c>
    </row>
    <row r="30460" spans="1:6" ht="12.75">
      <c r="A30460" s="2">
        <v>43875.541886574079</v>
      </c>
      <c r="B30460" t="str">
        <f>HYPERLINK("https://twitter.com/suwitasari","@suwitasari")</f>
        <v>@suwitasari</v>
      </c>
      <c r="C30460" t="s">
        <v>12971</v>
      </c>
      <c r="D30460">
        <v>0</v>
      </c>
      <c r="E30460">
        <v>0</v>
      </c>
      <c r="F30460">
        <v>1040</v>
      </c>
    </row>
    <row r="30461" spans="1:6" ht="12.75">
      <c r="A30461" s="2">
        <v>43875.541874999995</v>
      </c>
      <c r="B30461" t="str">
        <f>HYPERLINK("https://twitter.com/masihnyariuname","@masihnyariuname")</f>
        <v>@masihnyariuname</v>
      </c>
      <c r="C30461" t="s">
        <v>2444</v>
      </c>
      <c r="D30461">
        <v>695</v>
      </c>
      <c r="E30461">
        <v>0</v>
      </c>
      <c r="F30461">
        <v>162</v>
      </c>
    </row>
    <row r="30462" spans="1:6" ht="12.75">
      <c r="A30462" s="2">
        <v>43875.54184027778</v>
      </c>
      <c r="B30462" t="str">
        <f>HYPERLINK("https://twitter.com/balerinaa","@balerinaa")</f>
        <v>@balerinaa</v>
      </c>
      <c r="C30462" t="s">
        <v>10173</v>
      </c>
      <c r="D30462">
        <v>3</v>
      </c>
      <c r="E30462">
        <v>0</v>
      </c>
      <c r="F30462">
        <v>428</v>
      </c>
    </row>
    <row r="30463" spans="1:6" ht="12.75">
      <c r="A30463" s="2">
        <v>43875.54179398148</v>
      </c>
      <c r="B30463" t="str">
        <f>HYPERLINK("https://twitter.com/Moc_sya","@Moc_sya")</f>
        <v>@Moc_sya</v>
      </c>
      <c r="C30463" t="s">
        <v>12972</v>
      </c>
      <c r="D30463">
        <v>0</v>
      </c>
      <c r="E30463">
        <v>0</v>
      </c>
      <c r="F30463">
        <v>679</v>
      </c>
    </row>
    <row r="30464" spans="1:6" ht="12.75">
      <c r="A30464" s="2">
        <v>43875.541770833333</v>
      </c>
      <c r="B30464" t="str">
        <f>HYPERLINK("https://twitter.com/Zhouyieqiong","@Zhouyieqiong")</f>
        <v>@Zhouyieqiong</v>
      </c>
      <c r="C30464" t="s">
        <v>2444</v>
      </c>
      <c r="D30464">
        <v>695</v>
      </c>
      <c r="E30464">
        <v>0</v>
      </c>
      <c r="F30464">
        <v>342</v>
      </c>
    </row>
    <row r="30465" spans="1:6" ht="12.75">
      <c r="A30465" s="2">
        <v>43875.541759259257</v>
      </c>
      <c r="B30465" t="str">
        <f>HYPERLINK("https://twitter.com/jibriljbrl","@jibriljbrl")</f>
        <v>@jibriljbrl</v>
      </c>
      <c r="C30465" t="s">
        <v>11167</v>
      </c>
      <c r="D30465">
        <v>156</v>
      </c>
      <c r="E30465">
        <v>0</v>
      </c>
      <c r="F30465">
        <v>146</v>
      </c>
    </row>
    <row r="30466" spans="1:6" ht="12.75">
      <c r="A30466" s="2">
        <v>43875.541747685187</v>
      </c>
      <c r="B30466" t="str">
        <f>HYPERLINK("https://twitter.com/kopisanger","@kopisanger")</f>
        <v>@kopisanger</v>
      </c>
      <c r="C30466" t="s">
        <v>9746</v>
      </c>
      <c r="D30466">
        <v>96</v>
      </c>
      <c r="E30466">
        <v>0</v>
      </c>
      <c r="F30466">
        <v>508</v>
      </c>
    </row>
    <row r="30467" spans="1:6" ht="12.75">
      <c r="A30467" s="2">
        <v>43875.541701388887</v>
      </c>
      <c r="B30467" t="str">
        <f>HYPERLINK("https://twitter.com/huffledignity","@huffledignity")</f>
        <v>@huffledignity</v>
      </c>
      <c r="C30467" t="s">
        <v>2444</v>
      </c>
      <c r="D30467">
        <v>695</v>
      </c>
      <c r="E30467">
        <v>0</v>
      </c>
      <c r="F30467">
        <v>198</v>
      </c>
    </row>
    <row r="30468" spans="1:6" ht="12.75">
      <c r="A30468" s="2">
        <v>43875.541666666672</v>
      </c>
      <c r="B30468" t="str">
        <f>HYPERLINK("https://twitter.com/lensaRTV","@lensaRTV")</f>
        <v>@lensaRTV</v>
      </c>
      <c r="C30468" t="s">
        <v>12973</v>
      </c>
      <c r="D30468">
        <v>0</v>
      </c>
      <c r="E30468">
        <v>0</v>
      </c>
      <c r="F30468">
        <v>9500</v>
      </c>
    </row>
    <row r="30469" spans="1:6" ht="12.75">
      <c r="A30469" s="2">
        <v>43875.541655092587</v>
      </c>
      <c r="B30469" t="str">
        <f>HYPERLINK("https://twitter.com/nusantara_kita1","@nusantara_kita1")</f>
        <v>@nusantara_kita1</v>
      </c>
      <c r="C30469" t="s">
        <v>10542</v>
      </c>
      <c r="D30469">
        <v>138</v>
      </c>
      <c r="E30469">
        <v>0</v>
      </c>
      <c r="F30469">
        <v>281</v>
      </c>
    </row>
    <row r="30470" spans="1:6" ht="12.75">
      <c r="A30470" s="2">
        <v>43875.541655092587</v>
      </c>
      <c r="B30470" t="str">
        <f>HYPERLINK("https://twitter.com/kangenmamapapah","@kangenmamapapah")</f>
        <v>@kangenmamapapah</v>
      </c>
      <c r="C30470" t="s">
        <v>2110</v>
      </c>
      <c r="D30470">
        <v>30</v>
      </c>
      <c r="E30470">
        <v>0</v>
      </c>
      <c r="F30470">
        <v>267</v>
      </c>
    </row>
    <row r="30471" spans="1:6" ht="12.75">
      <c r="A30471" s="2">
        <v>43875.541631944448</v>
      </c>
      <c r="B30471" t="str">
        <f>HYPERLINK("https://twitter.com/vagaencee","@vagaencee")</f>
        <v>@vagaencee</v>
      </c>
      <c r="C30471" t="s">
        <v>2444</v>
      </c>
      <c r="D30471">
        <v>695</v>
      </c>
      <c r="E30471">
        <v>0</v>
      </c>
      <c r="F30471">
        <v>49</v>
      </c>
    </row>
    <row r="30472" spans="1:6" ht="12.75">
      <c r="A30472" s="2">
        <v>43875.541585648149</v>
      </c>
      <c r="B30472" t="str">
        <f>HYPERLINK("https://twitter.com/Santo_Amora","@Santo_Amora")</f>
        <v>@Santo_Amora</v>
      </c>
      <c r="C30472" t="s">
        <v>9835</v>
      </c>
      <c r="D30472">
        <v>15</v>
      </c>
      <c r="E30472">
        <v>0</v>
      </c>
      <c r="F30472">
        <v>398</v>
      </c>
    </row>
    <row r="30473" spans="1:6" ht="12.75">
      <c r="A30473" s="2">
        <v>43875.541574074072</v>
      </c>
      <c r="B30473" t="str">
        <f>HYPERLINK("https://twitter.com/Sasa2307200","@Sasa2307200")</f>
        <v>@Sasa2307200</v>
      </c>
      <c r="C30473" t="s">
        <v>2444</v>
      </c>
      <c r="D30473">
        <v>695</v>
      </c>
      <c r="E30473">
        <v>0</v>
      </c>
      <c r="F30473">
        <v>330</v>
      </c>
    </row>
    <row r="30474" spans="1:6" ht="12.75">
      <c r="A30474" s="2">
        <v>43875.541458333333</v>
      </c>
      <c r="B30474" t="str">
        <f>HYPERLINK("https://twitter.com/aibisidiilafyou","@aibisidiilafyou")</f>
        <v>@aibisidiilafyou</v>
      </c>
      <c r="C30474" t="s">
        <v>12974</v>
      </c>
      <c r="D30474">
        <v>0</v>
      </c>
      <c r="E30474">
        <v>0</v>
      </c>
      <c r="F30474">
        <v>687</v>
      </c>
    </row>
    <row r="30475" spans="1:6" ht="12.75">
      <c r="A30475" s="2">
        <v>43875.541458333333</v>
      </c>
      <c r="B30475" t="str">
        <f>HYPERLINK("https://twitter.com/myatharva","@myatharva")</f>
        <v>@myatharva</v>
      </c>
      <c r="C30475" t="s">
        <v>12975</v>
      </c>
      <c r="D30475">
        <v>0</v>
      </c>
      <c r="E30475">
        <v>0</v>
      </c>
      <c r="F30475">
        <v>4007</v>
      </c>
    </row>
    <row r="30476" spans="1:6" ht="12.75">
      <c r="A30476" s="2">
        <v>43875.541446759264</v>
      </c>
      <c r="B30476" t="str">
        <f>HYPERLINK("https://twitter.com/cikendinner","@cikendinner")</f>
        <v>@cikendinner</v>
      </c>
      <c r="C30476" t="s">
        <v>2444</v>
      </c>
      <c r="D30476">
        <v>695</v>
      </c>
      <c r="E30476">
        <v>0</v>
      </c>
      <c r="F30476">
        <v>408</v>
      </c>
    </row>
    <row r="30477" spans="1:6" ht="12.75">
      <c r="A30477" s="2">
        <v>43875.54142361111</v>
      </c>
      <c r="B30477" t="str">
        <f>HYPERLINK("https://twitter.com/MartinNauli","@MartinNauli")</f>
        <v>@MartinNauli</v>
      </c>
      <c r="C30477" t="s">
        <v>2963</v>
      </c>
      <c r="D30477">
        <v>766</v>
      </c>
      <c r="E30477">
        <v>0</v>
      </c>
      <c r="F30477">
        <v>434</v>
      </c>
    </row>
    <row r="30478" spans="1:6" ht="12.75">
      <c r="A30478" s="2">
        <v>43875.54142361111</v>
      </c>
      <c r="B30478" t="str">
        <f>HYPERLINK("https://twitter.com/Carol1n3wijaya","@Carol1n3wijaya")</f>
        <v>@Carol1n3wijaya</v>
      </c>
      <c r="C30478" t="s">
        <v>12976</v>
      </c>
      <c r="D30478">
        <v>0</v>
      </c>
      <c r="E30478">
        <v>0</v>
      </c>
      <c r="F30478">
        <v>223</v>
      </c>
    </row>
    <row r="30479" spans="1:6" ht="12.75">
      <c r="A30479" s="2">
        <v>43875.541377314818</v>
      </c>
      <c r="B30479" t="str">
        <f>HYPERLINK("https://twitter.com/todayiswndy","@todayiswndy")</f>
        <v>@todayiswndy</v>
      </c>
      <c r="C30479" t="s">
        <v>2444</v>
      </c>
      <c r="D30479">
        <v>695</v>
      </c>
      <c r="E30479">
        <v>0</v>
      </c>
      <c r="F30479">
        <v>149</v>
      </c>
    </row>
    <row r="30480" spans="1:6" ht="12.75">
      <c r="A30480" s="2">
        <v>43875.541331018518</v>
      </c>
      <c r="B30480" t="str">
        <f>HYPERLINK("https://twitter.com/ChilviaAnggrae1","@ChilviaAnggrae1")</f>
        <v>@ChilviaAnggrae1</v>
      </c>
      <c r="C30480" t="s">
        <v>2444</v>
      </c>
      <c r="D30480">
        <v>695</v>
      </c>
      <c r="E30480">
        <v>0</v>
      </c>
      <c r="F30480">
        <v>81</v>
      </c>
    </row>
    <row r="30481" spans="1:6" ht="12.75">
      <c r="A30481" s="2">
        <v>43875.541284722218</v>
      </c>
      <c r="B30481" t="str">
        <f>HYPERLINK("https://twitter.com/Silviiraaa","@Silviiraaa")</f>
        <v>@Silviiraaa</v>
      </c>
      <c r="C30481" t="s">
        <v>2444</v>
      </c>
      <c r="D30481">
        <v>695</v>
      </c>
      <c r="E30481">
        <v>0</v>
      </c>
      <c r="F30481">
        <v>340</v>
      </c>
    </row>
    <row r="30482" spans="1:6" ht="12.75">
      <c r="A30482" s="2">
        <v>43875.541273148148</v>
      </c>
      <c r="B30482" t="str">
        <f>HYPERLINK("https://twitter.com/putrifitriyaaa","@putrifitriyaaa")</f>
        <v>@putrifitriyaaa</v>
      </c>
      <c r="C30482" t="s">
        <v>2444</v>
      </c>
      <c r="D30482">
        <v>695</v>
      </c>
      <c r="E30482">
        <v>0</v>
      </c>
      <c r="F30482">
        <v>938</v>
      </c>
    </row>
    <row r="30483" spans="1:6" ht="12.75">
      <c r="A30483" s="2">
        <v>43875.541168981479</v>
      </c>
      <c r="B30483" t="str">
        <f>HYPERLINK("https://twitter.com/AloudiaBA","@AloudiaBA")</f>
        <v>@AloudiaBA</v>
      </c>
      <c r="C30483" t="s">
        <v>12977</v>
      </c>
      <c r="D30483">
        <v>0</v>
      </c>
      <c r="E30483">
        <v>0</v>
      </c>
      <c r="F30483">
        <v>522</v>
      </c>
    </row>
    <row r="30484" spans="1:6" ht="12.75">
      <c r="A30484" s="2">
        <v>43875.54115740741</v>
      </c>
      <c r="B30484" t="str">
        <f>HYPERLINK("https://twitter.com/ismafatimahdes","@ismafatimahdes")</f>
        <v>@ismafatimahdes</v>
      </c>
      <c r="C30484" t="s">
        <v>2444</v>
      </c>
      <c r="D30484">
        <v>695</v>
      </c>
      <c r="E30484">
        <v>0</v>
      </c>
      <c r="F30484">
        <v>14</v>
      </c>
    </row>
    <row r="30485" spans="1:6" ht="12.75">
      <c r="A30485" s="2">
        <v>43875.541018518517</v>
      </c>
      <c r="B30485" t="str">
        <f>HYPERLINK("https://twitter.com/DavidKanata","@DavidKanata")</f>
        <v>@DavidKanata</v>
      </c>
      <c r="C30485" t="s">
        <v>2963</v>
      </c>
      <c r="D30485">
        <v>766</v>
      </c>
      <c r="E30485">
        <v>0</v>
      </c>
      <c r="F30485">
        <v>930</v>
      </c>
    </row>
    <row r="30486" spans="1:6" ht="12.75">
      <c r="A30486" s="2">
        <v>43875.540972222225</v>
      </c>
      <c r="B30486" t="str">
        <f>HYPERLINK("https://twitter.com/abarrelofodds","@abarrelofodds")</f>
        <v>@abarrelofodds</v>
      </c>
      <c r="C30486" t="s">
        <v>2444</v>
      </c>
      <c r="D30486">
        <v>695</v>
      </c>
      <c r="E30486">
        <v>0</v>
      </c>
      <c r="F30486">
        <v>2702</v>
      </c>
    </row>
    <row r="30487" spans="1:6" ht="12.75">
      <c r="A30487" s="2">
        <v>43875.540891203702</v>
      </c>
      <c r="B30487" t="str">
        <f>HYPERLINK("https://twitter.com/imus28","@imus28")</f>
        <v>@imus28</v>
      </c>
      <c r="C30487" t="s">
        <v>10291</v>
      </c>
      <c r="D30487">
        <v>10</v>
      </c>
      <c r="E30487">
        <v>0</v>
      </c>
      <c r="F30487">
        <v>899</v>
      </c>
    </row>
    <row r="30488" spans="1:6" ht="12.75">
      <c r="A30488" s="2">
        <v>43875.540856481486</v>
      </c>
      <c r="B30488" t="str">
        <f>HYPERLINK("https://twitter.com/mriserable","@mriserable")</f>
        <v>@mriserable</v>
      </c>
      <c r="C30488" t="s">
        <v>2444</v>
      </c>
      <c r="D30488">
        <v>695</v>
      </c>
      <c r="E30488">
        <v>0</v>
      </c>
      <c r="F30488">
        <v>687</v>
      </c>
    </row>
    <row r="30489" spans="1:6" ht="12.75">
      <c r="A30489" s="2">
        <v>43875.540844907402</v>
      </c>
      <c r="B30489" t="str">
        <f>HYPERLINK("https://twitter.com/radjanabolon","@radjanabolon")</f>
        <v>@radjanabolon</v>
      </c>
      <c r="C30489" t="s">
        <v>12978</v>
      </c>
      <c r="D30489">
        <v>0</v>
      </c>
      <c r="E30489">
        <v>0</v>
      </c>
      <c r="F30489">
        <v>29</v>
      </c>
    </row>
    <row r="30490" spans="1:6" ht="12.75">
      <c r="A30490" s="2">
        <v>43875.54078703704</v>
      </c>
      <c r="B30490" t="str">
        <f>HYPERLINK("https://twitter.com/BerniKusen","@BerniKusen")</f>
        <v>@BerniKusen</v>
      </c>
      <c r="C30490" t="s">
        <v>12979</v>
      </c>
      <c r="D30490">
        <v>0</v>
      </c>
      <c r="E30490">
        <v>0</v>
      </c>
      <c r="F30490">
        <v>2186</v>
      </c>
    </row>
    <row r="30491" spans="1:6" ht="12.75">
      <c r="A30491" s="2">
        <v>43875.540763888886</v>
      </c>
      <c r="B30491" t="str">
        <f>HYPERLINK("https://twitter.com/pida_erina","@pida_erina")</f>
        <v>@pida_erina</v>
      </c>
      <c r="C30491" t="s">
        <v>2444</v>
      </c>
      <c r="D30491">
        <v>695</v>
      </c>
      <c r="E30491">
        <v>0</v>
      </c>
      <c r="F30491">
        <v>1703</v>
      </c>
    </row>
    <row r="30492" spans="1:6" ht="12.75">
      <c r="A30492" s="2">
        <v>43875.540763888886</v>
      </c>
      <c r="B30492" t="str">
        <f>HYPERLINK("https://twitter.com/KeelHouse","@KeelHouse")</f>
        <v>@KeelHouse</v>
      </c>
      <c r="C30492" t="s">
        <v>12980</v>
      </c>
      <c r="D30492">
        <v>0</v>
      </c>
      <c r="E30492">
        <v>0</v>
      </c>
      <c r="F30492">
        <v>0</v>
      </c>
    </row>
    <row r="30493" spans="1:6" ht="12.75">
      <c r="A30493" s="2">
        <v>43875.540659722217</v>
      </c>
      <c r="B30493" t="str">
        <f>HYPERLINK("https://twitter.com/sadnessist","@sadnessist")</f>
        <v>@sadnessist</v>
      </c>
      <c r="C30493" t="s">
        <v>2137</v>
      </c>
      <c r="D30493">
        <v>59</v>
      </c>
      <c r="E30493">
        <v>0</v>
      </c>
      <c r="F30493">
        <v>126</v>
      </c>
    </row>
    <row r="30494" spans="1:6" ht="12.75">
      <c r="A30494" s="2">
        <v>43875.540648148148</v>
      </c>
      <c r="B30494" t="str">
        <f>HYPERLINK("https://twitter.com/M_IrvanHN","@M_IrvanHN")</f>
        <v>@M_IrvanHN</v>
      </c>
      <c r="C30494" t="s">
        <v>10237</v>
      </c>
      <c r="D30494">
        <v>38</v>
      </c>
      <c r="E30494">
        <v>0</v>
      </c>
      <c r="F30494">
        <v>400</v>
      </c>
    </row>
    <row r="30495" spans="1:6" ht="12.75">
      <c r="A30495" s="2">
        <v>43875.540636574078</v>
      </c>
      <c r="B30495" t="str">
        <f>HYPERLINK("https://twitter.com/yeogibutheora","@yeogibutheora")</f>
        <v>@yeogibutheora</v>
      </c>
      <c r="C30495" t="s">
        <v>2444</v>
      </c>
      <c r="D30495">
        <v>695</v>
      </c>
      <c r="E30495">
        <v>0</v>
      </c>
      <c r="F30495">
        <v>324</v>
      </c>
    </row>
    <row r="30496" spans="1:6" ht="12.75">
      <c r="A30496" s="2">
        <v>43875.540613425925</v>
      </c>
      <c r="B30496" t="str">
        <f>HYPERLINK("https://twitter.com/lordanrijon","@lordanrijon")</f>
        <v>@lordanrijon</v>
      </c>
      <c r="C30496" t="s">
        <v>7411</v>
      </c>
      <c r="D30496">
        <v>140</v>
      </c>
      <c r="E30496">
        <v>0</v>
      </c>
      <c r="F30496">
        <v>435</v>
      </c>
    </row>
    <row r="30497" spans="1:6" ht="12.75">
      <c r="A30497" s="2">
        <v>43875.540567129632</v>
      </c>
      <c r="B30497" t="str">
        <f>HYPERLINK("https://twitter.com/putragaruda27","@putragaruda27")</f>
        <v>@putragaruda27</v>
      </c>
      <c r="C30497" t="s">
        <v>10109</v>
      </c>
      <c r="D30497">
        <v>17</v>
      </c>
      <c r="E30497">
        <v>0</v>
      </c>
      <c r="F30497">
        <v>5745</v>
      </c>
    </row>
    <row r="30498" spans="1:6" ht="12.75">
      <c r="A30498" s="2">
        <v>43875.540520833332</v>
      </c>
      <c r="B30498" t="str">
        <f>HYPERLINK("https://twitter.com/maswuranto","@maswuranto")</f>
        <v>@maswuranto</v>
      </c>
      <c r="C30498" t="s">
        <v>10462</v>
      </c>
      <c r="D30498">
        <v>231</v>
      </c>
      <c r="E30498">
        <v>0</v>
      </c>
      <c r="F30498">
        <v>157</v>
      </c>
    </row>
    <row r="30499" spans="1:6" ht="12.75">
      <c r="A30499" s="2">
        <v>43875.540486111116</v>
      </c>
      <c r="B30499" t="str">
        <f>HYPERLINK("https://twitter.com/mudha_satriya","@mudha_satriya")</f>
        <v>@mudha_satriya</v>
      </c>
      <c r="C30499" t="s">
        <v>12664</v>
      </c>
      <c r="D30499">
        <v>2</v>
      </c>
      <c r="E30499">
        <v>0</v>
      </c>
      <c r="F30499">
        <v>1878</v>
      </c>
    </row>
    <row r="30500" spans="1:6" ht="12.75">
      <c r="A30500" s="2">
        <v>43875.540451388893</v>
      </c>
      <c r="B30500" t="str">
        <f>HYPERLINK("https://twitter.com/Delano_fahri","@Delano_fahri")</f>
        <v>@Delano_fahri</v>
      </c>
      <c r="C30500" t="s">
        <v>2444</v>
      </c>
      <c r="D30500">
        <v>695</v>
      </c>
      <c r="E30500">
        <v>0</v>
      </c>
      <c r="F30500">
        <v>41</v>
      </c>
    </row>
    <row r="30501" spans="1:6" ht="12.75">
      <c r="A30501" s="2">
        <v>43875.54042824074</v>
      </c>
      <c r="B30501" t="str">
        <f>HYPERLINK("https://twitter.com/desyarama","@desyarama")</f>
        <v>@desyarama</v>
      </c>
      <c r="C30501" t="s">
        <v>2444</v>
      </c>
      <c r="D30501">
        <v>695</v>
      </c>
      <c r="E30501">
        <v>0</v>
      </c>
      <c r="F30501">
        <v>274</v>
      </c>
    </row>
    <row r="30502" spans="1:6" ht="12.75">
      <c r="A30502" s="2">
        <v>43875.540370370371</v>
      </c>
      <c r="B30502" t="str">
        <f>HYPERLINK("https://twitter.com/TeddyIrjaya","@TeddyIrjaya")</f>
        <v>@TeddyIrjaya</v>
      </c>
      <c r="C30502" t="s">
        <v>11773</v>
      </c>
      <c r="D30502">
        <v>5</v>
      </c>
      <c r="E30502">
        <v>0</v>
      </c>
      <c r="F30502">
        <v>665</v>
      </c>
    </row>
    <row r="30503" spans="1:6" ht="12.75">
      <c r="A30503" s="2">
        <v>43875.540358796294</v>
      </c>
      <c r="B30503" t="str">
        <f>HYPERLINK("https://twitter.com/Cherryydumb","@Cherryydumb")</f>
        <v>@Cherryydumb</v>
      </c>
      <c r="C30503" t="s">
        <v>2444</v>
      </c>
      <c r="D30503">
        <v>695</v>
      </c>
      <c r="E30503">
        <v>0</v>
      </c>
      <c r="F30503">
        <v>33</v>
      </c>
    </row>
    <row r="30504" spans="1:6" ht="12.75">
      <c r="A30504" s="2">
        <v>43875.540347222224</v>
      </c>
      <c r="B30504" t="str">
        <f>HYPERLINK("https://twitter.com/cheetoslovahh","@cheetoslovahh")</f>
        <v>@cheetoslovahh</v>
      </c>
      <c r="C30504" t="s">
        <v>2444</v>
      </c>
      <c r="D30504">
        <v>695</v>
      </c>
      <c r="E30504">
        <v>0</v>
      </c>
      <c r="F30504">
        <v>5</v>
      </c>
    </row>
    <row r="30505" spans="1:6" ht="12.75">
      <c r="A30505" s="2">
        <v>43875.540335648147</v>
      </c>
      <c r="B30505" t="str">
        <f>HYPERLINK("https://twitter.com/Muhamad09147404","@Muhamad09147404")</f>
        <v>@Muhamad09147404</v>
      </c>
      <c r="C30505" t="s">
        <v>9538</v>
      </c>
      <c r="D30505">
        <v>124</v>
      </c>
      <c r="E30505">
        <v>0</v>
      </c>
      <c r="F30505">
        <v>609</v>
      </c>
    </row>
    <row r="30506" spans="1:6" ht="12.75">
      <c r="A30506" s="2">
        <v>43875.540254629625</v>
      </c>
      <c r="B30506" t="str">
        <f>HYPERLINK("https://twitter.com/Chubby16_","@Chubby16_")</f>
        <v>@Chubby16_</v>
      </c>
      <c r="C30506" t="s">
        <v>2444</v>
      </c>
      <c r="D30506">
        <v>695</v>
      </c>
      <c r="E30506">
        <v>0</v>
      </c>
      <c r="F30506">
        <v>352</v>
      </c>
    </row>
    <row r="30507" spans="1:6" ht="12.75">
      <c r="A30507" s="2">
        <v>43875.540254629625</v>
      </c>
      <c r="B30507" t="str">
        <f>HYPERLINK("https://twitter.com/NinaSuoth","@NinaSuoth")</f>
        <v>@NinaSuoth</v>
      </c>
      <c r="C30507" t="s">
        <v>12377</v>
      </c>
      <c r="D30507">
        <v>3</v>
      </c>
      <c r="E30507">
        <v>0</v>
      </c>
      <c r="F30507">
        <v>200</v>
      </c>
    </row>
    <row r="30508" spans="1:6" ht="12.75">
      <c r="A30508" s="2">
        <v>43875.540208333332</v>
      </c>
      <c r="B30508" t="str">
        <f>HYPERLINK("https://twitter.com/iamokkysukma","@iamokkysukma")</f>
        <v>@iamokkysukma</v>
      </c>
      <c r="C30508" t="s">
        <v>2444</v>
      </c>
      <c r="D30508">
        <v>695</v>
      </c>
      <c r="E30508">
        <v>0</v>
      </c>
      <c r="F30508">
        <v>1060</v>
      </c>
    </row>
    <row r="30509" spans="1:6" ht="12.75">
      <c r="A30509" s="2">
        <v>43875.540185185186</v>
      </c>
      <c r="B30509" t="str">
        <f>HYPERLINK("https://twitter.com/WhySoSensi","@WhySoSensi")</f>
        <v>@WhySoSensi</v>
      </c>
      <c r="C30509" t="s">
        <v>10109</v>
      </c>
      <c r="D30509">
        <v>17</v>
      </c>
      <c r="E30509">
        <v>0</v>
      </c>
      <c r="F30509">
        <v>7655</v>
      </c>
    </row>
    <row r="30510" spans="1:6" ht="12.75">
      <c r="A30510" s="2">
        <v>43875.540173611109</v>
      </c>
      <c r="B30510" t="str">
        <f>HYPERLINK("https://twitter.com/HanipUmardi","@HanipUmardi")</f>
        <v>@HanipUmardi</v>
      </c>
      <c r="C30510" t="s">
        <v>12981</v>
      </c>
      <c r="D30510">
        <v>0</v>
      </c>
      <c r="E30510">
        <v>0</v>
      </c>
      <c r="F30510">
        <v>1</v>
      </c>
    </row>
    <row r="30511" spans="1:6" ht="12.75">
      <c r="A30511" s="2">
        <v>43875.540150462963</v>
      </c>
      <c r="B30511" t="str">
        <f>HYPERLINK("https://twitter.com/hennysuhaeni21","@hennysuhaeni21")</f>
        <v>@hennysuhaeni21</v>
      </c>
      <c r="C30511" t="s">
        <v>9746</v>
      </c>
      <c r="D30511">
        <v>96</v>
      </c>
      <c r="E30511">
        <v>0</v>
      </c>
      <c r="F30511">
        <v>570</v>
      </c>
    </row>
    <row r="30512" spans="1:6" ht="12.75">
      <c r="A30512" s="2">
        <v>43875.540138888886</v>
      </c>
      <c r="B30512" t="str">
        <f>HYPERLINK("https://twitter.com/Miasharaaa","@Miasharaaa")</f>
        <v>@Miasharaaa</v>
      </c>
      <c r="C30512" t="s">
        <v>2444</v>
      </c>
      <c r="D30512">
        <v>695</v>
      </c>
      <c r="E30512">
        <v>0</v>
      </c>
      <c r="F30512">
        <v>476</v>
      </c>
    </row>
    <row r="30513" spans="1:6" ht="12.75">
      <c r="A30513" s="2">
        <v>43875.54011574074</v>
      </c>
      <c r="B30513" t="str">
        <f>HYPERLINK("https://twitter.com/cookiee_jarrr","@cookiee_jarrr")</f>
        <v>@cookiee_jarrr</v>
      </c>
      <c r="C30513" t="s">
        <v>2444</v>
      </c>
      <c r="D30513">
        <v>695</v>
      </c>
      <c r="E30513">
        <v>0</v>
      </c>
      <c r="F30513">
        <v>772</v>
      </c>
    </row>
    <row r="30514" spans="1:6" ht="12.75">
      <c r="A30514" s="2">
        <v>43875.54006944444</v>
      </c>
      <c r="B30514" t="str">
        <f>HYPERLINK("https://twitter.com/TeyengCekap","@TeyengCekap")</f>
        <v>@TeyengCekap</v>
      </c>
      <c r="C30514" t="s">
        <v>8394</v>
      </c>
      <c r="D30514">
        <v>33</v>
      </c>
      <c r="E30514">
        <v>0</v>
      </c>
      <c r="F30514">
        <v>4763</v>
      </c>
    </row>
    <row r="30515" spans="1:6" ht="12.75">
      <c r="A30515" s="2">
        <v>43875.539965277778</v>
      </c>
      <c r="B30515" t="str">
        <f>HYPERLINK("https://twitter.com/Rotin_azof","@Rotin_azof")</f>
        <v>@Rotin_azof</v>
      </c>
      <c r="C30515" t="s">
        <v>2444</v>
      </c>
      <c r="D30515">
        <v>695</v>
      </c>
      <c r="E30515">
        <v>0</v>
      </c>
      <c r="F30515">
        <v>32</v>
      </c>
    </row>
    <row r="30516" spans="1:6" ht="12.75">
      <c r="A30516" s="2">
        <v>43875.539872685185</v>
      </c>
      <c r="B30516" t="str">
        <f>HYPERLINK("https://twitter.com/LuqmanFahd","@LuqmanFahd")</f>
        <v>@LuqmanFahd</v>
      </c>
      <c r="C30516" t="s">
        <v>2444</v>
      </c>
      <c r="D30516">
        <v>695</v>
      </c>
      <c r="E30516">
        <v>0</v>
      </c>
      <c r="F30516">
        <v>418</v>
      </c>
    </row>
    <row r="30517" spans="1:6" ht="12.75">
      <c r="A30517" s="2">
        <v>43875.539849537032</v>
      </c>
      <c r="B30517" t="str">
        <f>HYPERLINK("https://twitter.com/sktadit","@sktadit")</f>
        <v>@sktadit</v>
      </c>
      <c r="C30517" t="s">
        <v>9998</v>
      </c>
      <c r="D30517">
        <v>91</v>
      </c>
      <c r="E30517">
        <v>0</v>
      </c>
      <c r="F30517">
        <v>275</v>
      </c>
    </row>
    <row r="30518" spans="1:6" ht="12.75">
      <c r="A30518" s="2">
        <v>43875.539826388893</v>
      </c>
      <c r="B30518" t="str">
        <f>HYPERLINK("https://twitter.com/neo_taem","@neo_taem")</f>
        <v>@neo_taem</v>
      </c>
      <c r="C30518" t="s">
        <v>2444</v>
      </c>
      <c r="D30518">
        <v>695</v>
      </c>
      <c r="E30518">
        <v>0</v>
      </c>
      <c r="F30518">
        <v>952</v>
      </c>
    </row>
    <row r="30519" spans="1:6" ht="12.75">
      <c r="A30519" s="2">
        <v>43875.539756944447</v>
      </c>
      <c r="B30519" t="str">
        <f>HYPERLINK("https://twitter.com/DyahUtari13","@DyahUtari13")</f>
        <v>@DyahUtari13</v>
      </c>
      <c r="C30519" t="s">
        <v>12982</v>
      </c>
      <c r="D30519">
        <v>0</v>
      </c>
      <c r="E30519">
        <v>0</v>
      </c>
      <c r="F30519">
        <v>10</v>
      </c>
    </row>
    <row r="30520" spans="1:6" ht="12.75">
      <c r="A30520" s="2">
        <v>43875.539756944447</v>
      </c>
      <c r="B30520" t="str">
        <f>HYPERLINK("https://twitter.com/Ishish19885793","@Ishish19885793")</f>
        <v>@Ishish19885793</v>
      </c>
      <c r="C30520" t="s">
        <v>9746</v>
      </c>
      <c r="D30520">
        <v>96</v>
      </c>
      <c r="E30520">
        <v>0</v>
      </c>
      <c r="F30520">
        <v>45</v>
      </c>
    </row>
    <row r="30521" spans="1:6" ht="12.75">
      <c r="A30521" s="2">
        <v>43875.539664351847</v>
      </c>
      <c r="B30521" t="str">
        <f>HYPERLINK("https://twitter.com/septiana988","@septiana988")</f>
        <v>@septiana988</v>
      </c>
      <c r="C30521" t="s">
        <v>2444</v>
      </c>
      <c r="D30521">
        <v>695</v>
      </c>
      <c r="E30521">
        <v>0</v>
      </c>
      <c r="F30521">
        <v>232</v>
      </c>
    </row>
    <row r="30522" spans="1:6" ht="12.75">
      <c r="A30522" s="2">
        <v>43875.539629629631</v>
      </c>
      <c r="B30522" t="str">
        <f>HYPERLINK("https://twitter.com/saifaliebahri_","@saifaliebahri_")</f>
        <v>@saifaliebahri_</v>
      </c>
      <c r="C30522" t="s">
        <v>9147</v>
      </c>
      <c r="D30522">
        <v>5</v>
      </c>
      <c r="E30522">
        <v>0</v>
      </c>
      <c r="F30522">
        <v>855</v>
      </c>
    </row>
    <row r="30523" spans="1:6" ht="12.75">
      <c r="A30523" s="2">
        <v>43875.539548611108</v>
      </c>
      <c r="B30523" t="str">
        <f>HYPERLINK("https://twitter.com/akupensambat","@akupensambat")</f>
        <v>@akupensambat</v>
      </c>
      <c r="C30523" t="s">
        <v>12983</v>
      </c>
      <c r="D30523">
        <v>0</v>
      </c>
      <c r="E30523">
        <v>0</v>
      </c>
      <c r="F30523">
        <v>22</v>
      </c>
    </row>
    <row r="30524" spans="1:6" ht="12.75">
      <c r="A30524" s="2">
        <v>43875.539537037039</v>
      </c>
      <c r="B30524" t="str">
        <f>HYPERLINK("https://twitter.com/rachmansyah89","@rachmansyah89")</f>
        <v>@rachmansyah89</v>
      </c>
      <c r="C30524" t="s">
        <v>9147</v>
      </c>
      <c r="D30524">
        <v>5</v>
      </c>
      <c r="E30524">
        <v>0</v>
      </c>
      <c r="F30524">
        <v>294</v>
      </c>
    </row>
    <row r="30525" spans="1:6" ht="12.75">
      <c r="A30525" s="2">
        <v>43875.539479166662</v>
      </c>
      <c r="B30525" t="str">
        <f>HYPERLINK("https://twitter.com/reconWaRRioRs","@reconWaRRioRs")</f>
        <v>@reconWaRRioRs</v>
      </c>
      <c r="C30525" t="s">
        <v>12984</v>
      </c>
      <c r="D30525">
        <v>0</v>
      </c>
      <c r="E30525">
        <v>0</v>
      </c>
      <c r="F30525">
        <v>87</v>
      </c>
    </row>
    <row r="30526" spans="1:6" ht="12.75">
      <c r="A30526" s="2">
        <v>43875.539467592593</v>
      </c>
      <c r="B30526" t="str">
        <f>HYPERLINK("https://twitter.com/allifian","@allifian")</f>
        <v>@allifian</v>
      </c>
      <c r="C30526" t="s">
        <v>9964</v>
      </c>
      <c r="D30526">
        <v>552</v>
      </c>
      <c r="E30526">
        <v>0</v>
      </c>
      <c r="F30526">
        <v>468</v>
      </c>
    </row>
    <row r="30527" spans="1:6" ht="12.75">
      <c r="A30527" s="2">
        <v>43875.5394212963</v>
      </c>
      <c r="B30527" t="str">
        <f>HYPERLINK("https://twitter.com/Wasi_Jaladara_","@Wasi_Jaladara_")</f>
        <v>@Wasi_Jaladara_</v>
      </c>
      <c r="C30527" t="s">
        <v>8233</v>
      </c>
      <c r="D30527">
        <v>403</v>
      </c>
      <c r="E30527">
        <v>0</v>
      </c>
      <c r="F30527">
        <v>31</v>
      </c>
    </row>
    <row r="30528" spans="1:6" ht="12.75">
      <c r="A30528" s="2">
        <v>43875.539398148147</v>
      </c>
      <c r="B30528" t="str">
        <f>HYPERLINK("https://twitter.com/tu_bil","@tu_bil")</f>
        <v>@tu_bil</v>
      </c>
      <c r="C30528" t="s">
        <v>9835</v>
      </c>
      <c r="D30528">
        <v>15</v>
      </c>
      <c r="E30528">
        <v>0</v>
      </c>
      <c r="F30528">
        <v>749</v>
      </c>
    </row>
    <row r="30529" spans="1:6" ht="12.75">
      <c r="A30529" s="2">
        <v>43875.539375</v>
      </c>
      <c r="B30529" t="str">
        <f>HYPERLINK("https://twitter.com/isneni48","@isneni48")</f>
        <v>@isneni48</v>
      </c>
      <c r="C30529" t="s">
        <v>9964</v>
      </c>
      <c r="D30529">
        <v>552</v>
      </c>
      <c r="E30529">
        <v>0</v>
      </c>
      <c r="F30529">
        <v>1037</v>
      </c>
    </row>
    <row r="30530" spans="1:6" ht="12.75">
      <c r="A30530" s="2">
        <v>43875.539293981477</v>
      </c>
      <c r="B30530" t="str">
        <f>HYPERLINK("https://twitter.com/ternakucing","@ternakucing")</f>
        <v>@ternakucing</v>
      </c>
      <c r="C30530" t="s">
        <v>2444</v>
      </c>
      <c r="D30530">
        <v>695</v>
      </c>
      <c r="E30530">
        <v>0</v>
      </c>
      <c r="F30530">
        <v>3524</v>
      </c>
    </row>
    <row r="30531" spans="1:6" ht="12.75">
      <c r="A30531" s="2">
        <v>43875.539224537039</v>
      </c>
      <c r="B30531" t="str">
        <f>HYPERLINK("https://twitter.com/AroelRoenaldo","@AroelRoenaldo")</f>
        <v>@AroelRoenaldo</v>
      </c>
      <c r="C30531" t="s">
        <v>9113</v>
      </c>
      <c r="D30531">
        <v>280</v>
      </c>
      <c r="E30531">
        <v>0</v>
      </c>
      <c r="F30531">
        <v>11</v>
      </c>
    </row>
    <row r="30532" spans="1:6" ht="12.75">
      <c r="A30532" s="2">
        <v>43875.539212962962</v>
      </c>
      <c r="B30532" t="str">
        <f>HYPERLINK("https://twitter.com/beomiharu","@beomiharu")</f>
        <v>@beomiharu</v>
      </c>
      <c r="C30532" t="s">
        <v>2444</v>
      </c>
      <c r="D30532">
        <v>695</v>
      </c>
      <c r="E30532">
        <v>0</v>
      </c>
      <c r="F30532">
        <v>218</v>
      </c>
    </row>
    <row r="30533" spans="1:6" ht="12.75">
      <c r="A30533" s="2">
        <v>43875.539189814815</v>
      </c>
      <c r="B30533" t="str">
        <f t="shared" ref="B30533:B30534" si="377">HYPERLINK("https://twitter.com/ratu_adil","@ratu_adil")</f>
        <v>@ratu_adil</v>
      </c>
      <c r="C30533" t="s">
        <v>12947</v>
      </c>
      <c r="D30533">
        <v>3</v>
      </c>
      <c r="E30533">
        <v>0</v>
      </c>
      <c r="F30533">
        <v>52877</v>
      </c>
    </row>
    <row r="30534" spans="1:6" ht="12.75">
      <c r="A30534" s="2">
        <v>43875.539108796293</v>
      </c>
      <c r="B30534" t="str">
        <f t="shared" si="377"/>
        <v>@ratu_adil</v>
      </c>
      <c r="C30534" t="s">
        <v>12985</v>
      </c>
      <c r="D30534">
        <v>3</v>
      </c>
      <c r="E30534">
        <v>0</v>
      </c>
      <c r="F30534">
        <v>52877</v>
      </c>
    </row>
    <row r="30535" spans="1:6" ht="12.75">
      <c r="A30535" s="2">
        <v>43875.539097222223</v>
      </c>
      <c r="B30535" t="str">
        <f>HYPERLINK("https://twitter.com/Peyang_bagor","@Peyang_bagor")</f>
        <v>@Peyang_bagor</v>
      </c>
      <c r="C30535" t="s">
        <v>2444</v>
      </c>
      <c r="D30535">
        <v>695</v>
      </c>
      <c r="E30535">
        <v>0</v>
      </c>
      <c r="F30535">
        <v>103</v>
      </c>
    </row>
    <row r="30536" spans="1:6" ht="12.75">
      <c r="A30536" s="2">
        <v>43875.53907407407</v>
      </c>
      <c r="B30536" t="str">
        <f>HYPERLINK("https://twitter.com/ratu_adil","@ratu_adil")</f>
        <v>@ratu_adil</v>
      </c>
      <c r="C30536" t="s">
        <v>12986</v>
      </c>
      <c r="D30536">
        <v>1</v>
      </c>
      <c r="E30536">
        <v>0</v>
      </c>
      <c r="F30536">
        <v>52877</v>
      </c>
    </row>
    <row r="30537" spans="1:6" ht="12.75">
      <c r="A30537" s="2">
        <v>43875.5390625</v>
      </c>
      <c r="B30537" t="str">
        <f>HYPERLINK("https://twitter.com/dongkimyeon","@dongkimyeon")</f>
        <v>@dongkimyeon</v>
      </c>
      <c r="C30537" t="s">
        <v>12987</v>
      </c>
      <c r="D30537">
        <v>0</v>
      </c>
      <c r="E30537">
        <v>0</v>
      </c>
      <c r="F30537">
        <v>27</v>
      </c>
    </row>
    <row r="30538" spans="1:6" ht="12.75">
      <c r="A30538" s="2">
        <v>43875.53905092593</v>
      </c>
      <c r="B30538" t="str">
        <f t="shared" ref="B30538:B30539" si="378">HYPERLINK("https://twitter.com/ratu_adil","@ratu_adil")</f>
        <v>@ratu_adil</v>
      </c>
      <c r="C30538" t="s">
        <v>12988</v>
      </c>
      <c r="D30538">
        <v>1</v>
      </c>
      <c r="E30538">
        <v>0</v>
      </c>
      <c r="F30538">
        <v>52877</v>
      </c>
    </row>
    <row r="30539" spans="1:6" ht="12.75">
      <c r="A30539" s="2">
        <v>43875.539004629631</v>
      </c>
      <c r="B30539" t="str">
        <f t="shared" si="378"/>
        <v>@ratu_adil</v>
      </c>
      <c r="C30539" t="s">
        <v>12989</v>
      </c>
      <c r="D30539">
        <v>2</v>
      </c>
      <c r="E30539">
        <v>0</v>
      </c>
      <c r="F30539">
        <v>52877</v>
      </c>
    </row>
    <row r="30540" spans="1:6" ht="12.75">
      <c r="A30540" s="2">
        <v>43875.538958333331</v>
      </c>
      <c r="B30540" t="str">
        <f>HYPERLINK("https://twitter.com/maceswag27","@maceswag27")</f>
        <v>@maceswag27</v>
      </c>
      <c r="C30540" t="s">
        <v>2444</v>
      </c>
      <c r="D30540">
        <v>695</v>
      </c>
      <c r="E30540">
        <v>0</v>
      </c>
      <c r="F30540">
        <v>1016</v>
      </c>
    </row>
    <row r="30541" spans="1:6" ht="12.75">
      <c r="A30541" s="2">
        <v>43875.538923611108</v>
      </c>
      <c r="B30541" t="str">
        <f>HYPERLINK("https://twitter.com/amakdamanhuri","@amakdamanhuri")</f>
        <v>@amakdamanhuri</v>
      </c>
      <c r="C30541" t="s">
        <v>12990</v>
      </c>
      <c r="D30541">
        <v>1</v>
      </c>
      <c r="E30541">
        <v>0</v>
      </c>
      <c r="F30541">
        <v>195</v>
      </c>
    </row>
    <row r="30542" spans="1:6" ht="12.75">
      <c r="A30542" s="2">
        <v>43875.538900462961</v>
      </c>
      <c r="B30542" t="str">
        <f>HYPERLINK("https://twitter.com/s4ty4b4ng","@s4ty4b4ng")</f>
        <v>@s4ty4b4ng</v>
      </c>
      <c r="C30542" t="s">
        <v>2444</v>
      </c>
      <c r="D30542">
        <v>695</v>
      </c>
      <c r="E30542">
        <v>0</v>
      </c>
      <c r="F30542">
        <v>723</v>
      </c>
    </row>
    <row r="30543" spans="1:6" ht="12.75">
      <c r="A30543" s="2">
        <v>43875.538888888885</v>
      </c>
      <c r="B30543" t="str">
        <f>HYPERLINK("https://twitter.com/RiaTumimomor","@RiaTumimomor")</f>
        <v>@RiaTumimomor</v>
      </c>
      <c r="C30543" t="s">
        <v>2963</v>
      </c>
      <c r="D30543">
        <v>766</v>
      </c>
      <c r="E30543">
        <v>0</v>
      </c>
      <c r="F30543">
        <v>1359</v>
      </c>
    </row>
    <row r="30544" spans="1:6" ht="12.75">
      <c r="A30544" s="2">
        <v>43875.538807870369</v>
      </c>
      <c r="B30544" t="str">
        <f>HYPERLINK("https://twitter.com/whiteismyjam","@whiteismyjam")</f>
        <v>@whiteismyjam</v>
      </c>
      <c r="C30544" t="s">
        <v>2444</v>
      </c>
      <c r="D30544">
        <v>695</v>
      </c>
      <c r="E30544">
        <v>0</v>
      </c>
      <c r="F30544">
        <v>4953</v>
      </c>
    </row>
    <row r="30545" spans="1:6" ht="12.75">
      <c r="A30545" s="2">
        <v>43875.538773148146</v>
      </c>
      <c r="B30545" t="str">
        <f>HYPERLINK("https://twitter.com/RezaMrc786","@RezaMrc786")</f>
        <v>@RezaMrc786</v>
      </c>
      <c r="C30545" t="s">
        <v>12921</v>
      </c>
      <c r="D30545">
        <v>8</v>
      </c>
      <c r="E30545">
        <v>0</v>
      </c>
      <c r="F30545">
        <v>284</v>
      </c>
    </row>
    <row r="30546" spans="1:6" ht="12.75">
      <c r="A30546" s="2">
        <v>43875.538738425923</v>
      </c>
      <c r="B30546" t="str">
        <f>HYPERLINK("https://twitter.com/enggi_engineer","@enggi_engineer")</f>
        <v>@enggi_engineer</v>
      </c>
      <c r="C30546" t="s">
        <v>8233</v>
      </c>
      <c r="D30546">
        <v>403</v>
      </c>
      <c r="E30546">
        <v>0</v>
      </c>
      <c r="F30546">
        <v>193</v>
      </c>
    </row>
    <row r="30547" spans="1:6" ht="12.75">
      <c r="A30547" s="2">
        <v>43875.538726851853</v>
      </c>
      <c r="B30547" t="str">
        <f>HYPERLINK("https://twitter.com/RAISYAELBIX1","@RAISYAELBIX1")</f>
        <v>@RAISYAELBIX1</v>
      </c>
      <c r="C30547" t="s">
        <v>12991</v>
      </c>
      <c r="D30547">
        <v>1</v>
      </c>
      <c r="E30547">
        <v>3</v>
      </c>
      <c r="F30547">
        <v>5973</v>
      </c>
    </row>
    <row r="30548" spans="1:6" ht="12.75">
      <c r="A30548" s="2">
        <v>43875.538726851853</v>
      </c>
      <c r="B30548" t="str">
        <f>HYPERLINK("https://twitter.com/IntanFanny1","@IntanFanny1")</f>
        <v>@IntanFanny1</v>
      </c>
      <c r="C30548" t="s">
        <v>2444</v>
      </c>
      <c r="D30548">
        <v>695</v>
      </c>
      <c r="E30548">
        <v>0</v>
      </c>
      <c r="F30548">
        <v>52</v>
      </c>
    </row>
    <row r="30549" spans="1:6" ht="12.75">
      <c r="A30549" s="2">
        <v>43875.538680555561</v>
      </c>
      <c r="B30549" t="str">
        <f>HYPERLINK("https://twitter.com/dongkimyeon","@dongkimyeon")</f>
        <v>@dongkimyeon</v>
      </c>
      <c r="C30549" t="s">
        <v>12992</v>
      </c>
      <c r="D30549">
        <v>0</v>
      </c>
      <c r="E30549">
        <v>0</v>
      </c>
      <c r="F30549">
        <v>27</v>
      </c>
    </row>
    <row r="30550" spans="1:6" ht="12.75">
      <c r="A30550" s="2">
        <v>43875.538634259261</v>
      </c>
      <c r="B30550" t="str">
        <f>HYPERLINK("https://twitter.com/ariklbr","@ariklbr")</f>
        <v>@ariklbr</v>
      </c>
      <c r="C30550" t="s">
        <v>12845</v>
      </c>
      <c r="D30550">
        <v>42</v>
      </c>
      <c r="E30550">
        <v>0</v>
      </c>
      <c r="F30550">
        <v>174</v>
      </c>
    </row>
    <row r="30551" spans="1:6" ht="12.75">
      <c r="A30551" s="2">
        <v>43875.538634259261</v>
      </c>
      <c r="B30551" t="str">
        <f>HYPERLINK("https://twitter.com/myatharva","@myatharva")</f>
        <v>@myatharva</v>
      </c>
      <c r="C30551" t="s">
        <v>12993</v>
      </c>
      <c r="D30551">
        <v>0</v>
      </c>
      <c r="E30551">
        <v>0</v>
      </c>
      <c r="F30551">
        <v>4007</v>
      </c>
    </row>
    <row r="30552" spans="1:6" ht="12.75">
      <c r="A30552" s="2">
        <v>43875.538599537038</v>
      </c>
      <c r="B30552" t="str">
        <f>HYPERLINK("https://twitter.com/rdwnfrmnsyh","@rdwnfrmnsyh")</f>
        <v>@rdwnfrmnsyh</v>
      </c>
      <c r="C30552" t="s">
        <v>2444</v>
      </c>
      <c r="D30552">
        <v>695</v>
      </c>
      <c r="E30552">
        <v>0</v>
      </c>
      <c r="F30552">
        <v>546</v>
      </c>
    </row>
    <row r="30553" spans="1:6" ht="12.75">
      <c r="A30553" s="2">
        <v>43875.538587962961</v>
      </c>
      <c r="B30553" t="str">
        <f>HYPERLINK("https://twitter.com/singgihk8","@singgihk8")</f>
        <v>@singgihk8</v>
      </c>
      <c r="C30553" t="s">
        <v>2963</v>
      </c>
      <c r="D30553">
        <v>766</v>
      </c>
      <c r="E30553">
        <v>0</v>
      </c>
      <c r="F30553">
        <v>1469</v>
      </c>
    </row>
    <row r="30554" spans="1:6" ht="12.75">
      <c r="A30554" s="2">
        <v>43875.538564814815</v>
      </c>
      <c r="B30554" t="str">
        <f>HYPERLINK("https://twitter.com/KompasTV","@KompasTV")</f>
        <v>@KompasTV</v>
      </c>
      <c r="C30554" t="s">
        <v>12994</v>
      </c>
      <c r="D30554">
        <v>2</v>
      </c>
      <c r="E30554">
        <v>1</v>
      </c>
      <c r="F30554">
        <v>2941081</v>
      </c>
    </row>
    <row r="30555" spans="1:6" ht="12.75">
      <c r="A30555" s="2">
        <v>43875.538460648153</v>
      </c>
      <c r="B30555" t="str">
        <f>HYPERLINK("https://twitter.com/KomikPolitik","@KomikPolitik")</f>
        <v>@KomikPolitik</v>
      </c>
      <c r="C30555" t="s">
        <v>12995</v>
      </c>
      <c r="D30555">
        <v>0</v>
      </c>
      <c r="E30555">
        <v>0</v>
      </c>
      <c r="F30555">
        <v>183</v>
      </c>
    </row>
    <row r="30556" spans="1:6" ht="12.75">
      <c r="A30556" s="2">
        <v>43875.538449074069</v>
      </c>
      <c r="B30556" t="str">
        <f>HYPERLINK("https://twitter.com/WankHerma","@WankHerma")</f>
        <v>@WankHerma</v>
      </c>
      <c r="C30556" t="s">
        <v>2444</v>
      </c>
      <c r="D30556">
        <v>695</v>
      </c>
      <c r="E30556">
        <v>0</v>
      </c>
      <c r="F30556">
        <v>167</v>
      </c>
    </row>
    <row r="30557" spans="1:6" ht="12.75">
      <c r="A30557" s="2">
        <v>43875.538449074069</v>
      </c>
      <c r="B30557" t="str">
        <f>HYPERLINK("https://twitter.com/IrwansyahAgungJ","@IrwansyahAgungJ")</f>
        <v>@IrwansyahAgungJ</v>
      </c>
      <c r="C30557" t="s">
        <v>10237</v>
      </c>
      <c r="D30557">
        <v>38</v>
      </c>
      <c r="E30557">
        <v>0</v>
      </c>
      <c r="F30557">
        <v>210</v>
      </c>
    </row>
    <row r="30558" spans="1:6" ht="12.75">
      <c r="A30558" s="2">
        <v>43875.53842592593</v>
      </c>
      <c r="B30558" t="str">
        <f>HYPERLINK("https://twitter.com/Mardhaexkz","@Mardhaexkz")</f>
        <v>@Mardhaexkz</v>
      </c>
      <c r="C30558" t="s">
        <v>2444</v>
      </c>
      <c r="D30558">
        <v>695</v>
      </c>
      <c r="E30558">
        <v>0</v>
      </c>
      <c r="F30558">
        <v>19</v>
      </c>
    </row>
    <row r="30559" spans="1:6" ht="12.75">
      <c r="A30559" s="2">
        <v>43875.538402777776</v>
      </c>
      <c r="B30559" t="str">
        <f>HYPERLINK("https://twitter.com/Dadang72_","@Dadang72_")</f>
        <v>@Dadang72_</v>
      </c>
      <c r="C30559" t="s">
        <v>2444</v>
      </c>
      <c r="D30559">
        <v>695</v>
      </c>
      <c r="E30559">
        <v>0</v>
      </c>
      <c r="F30559">
        <v>29</v>
      </c>
    </row>
    <row r="30560" spans="1:6" ht="12.75">
      <c r="A30560" s="2">
        <v>43875.538275462968</v>
      </c>
      <c r="B30560" t="str">
        <f>HYPERLINK("https://twitter.com/ZoneVenomWar","@ZoneVenomWar")</f>
        <v>@ZoneVenomWar</v>
      </c>
      <c r="C30560" t="s">
        <v>10422</v>
      </c>
      <c r="D30560">
        <v>72</v>
      </c>
      <c r="E30560">
        <v>0</v>
      </c>
      <c r="F30560">
        <v>1617</v>
      </c>
    </row>
    <row r="30561" spans="1:6" ht="12.75">
      <c r="A30561" s="2">
        <v>43875.538263888884</v>
      </c>
      <c r="B30561" t="str">
        <f>HYPERLINK("https://twitter.com/BerniKusen","@BerniKusen")</f>
        <v>@BerniKusen</v>
      </c>
      <c r="C30561" t="s">
        <v>12996</v>
      </c>
      <c r="D30561">
        <v>0</v>
      </c>
      <c r="E30561">
        <v>0</v>
      </c>
      <c r="F30561">
        <v>2186</v>
      </c>
    </row>
    <row r="30562" spans="1:6" ht="12.75">
      <c r="A30562" s="2">
        <v>43875.538240740745</v>
      </c>
      <c r="B30562" t="str">
        <f>HYPERLINK("https://twitter.com/darkshine_1890","@darkshine_1890")</f>
        <v>@darkshine_1890</v>
      </c>
      <c r="C30562" t="s">
        <v>12997</v>
      </c>
      <c r="D30562">
        <v>0</v>
      </c>
      <c r="E30562">
        <v>0</v>
      </c>
      <c r="F30562">
        <v>590</v>
      </c>
    </row>
    <row r="30563" spans="1:6" ht="12.75">
      <c r="A30563" s="2">
        <v>43875.538229166668</v>
      </c>
      <c r="B30563" t="str">
        <f>HYPERLINK("https://twitter.com/KontanNews","@KontanNews")</f>
        <v>@KontanNews</v>
      </c>
      <c r="C30563" t="s">
        <v>12998</v>
      </c>
      <c r="D30563">
        <v>0</v>
      </c>
      <c r="E30563">
        <v>1</v>
      </c>
      <c r="F30563">
        <v>316278</v>
      </c>
    </row>
    <row r="30564" spans="1:6" ht="12.75">
      <c r="A30564" s="2">
        <v>43875.538217592592</v>
      </c>
      <c r="B30564" t="str">
        <f>HYPERLINK("https://twitter.com/savorylament","@savorylament")</f>
        <v>@savorylament</v>
      </c>
      <c r="C30564" t="s">
        <v>8233</v>
      </c>
      <c r="D30564">
        <v>403</v>
      </c>
      <c r="E30564">
        <v>0</v>
      </c>
      <c r="F30564">
        <v>159</v>
      </c>
    </row>
    <row r="30565" spans="1:6" ht="12.75">
      <c r="A30565" s="2">
        <v>43875.538159722222</v>
      </c>
      <c r="B30565" t="str">
        <f>HYPERLINK("https://twitter.com/DavidKanata","@DavidKanata")</f>
        <v>@DavidKanata</v>
      </c>
      <c r="C30565" t="s">
        <v>12999</v>
      </c>
      <c r="D30565">
        <v>4</v>
      </c>
      <c r="E30565">
        <v>0</v>
      </c>
      <c r="F30565">
        <v>930</v>
      </c>
    </row>
    <row r="30566" spans="1:6" ht="12.75">
      <c r="A30566" s="2">
        <v>43875.538148148145</v>
      </c>
      <c r="B30566" t="str">
        <f>HYPERLINK("https://twitter.com/Cwen555","@Cwen555")</f>
        <v>@Cwen555</v>
      </c>
      <c r="C30566" t="s">
        <v>5624</v>
      </c>
      <c r="D30566">
        <v>116</v>
      </c>
      <c r="E30566">
        <v>0</v>
      </c>
      <c r="F30566">
        <v>187</v>
      </c>
    </row>
    <row r="30567" spans="1:6" ht="12.75">
      <c r="A30567" s="2">
        <v>43875.53805555556</v>
      </c>
      <c r="B30567" t="str">
        <f>HYPERLINK("https://twitter.com/DPujiawan","@DPujiawan")</f>
        <v>@DPujiawan</v>
      </c>
      <c r="C30567" t="s">
        <v>9147</v>
      </c>
      <c r="D30567">
        <v>5</v>
      </c>
      <c r="E30567">
        <v>0</v>
      </c>
      <c r="F30567">
        <v>7</v>
      </c>
    </row>
    <row r="30568" spans="1:6" ht="12.75">
      <c r="A30568" s="2">
        <v>43875.538032407407</v>
      </c>
      <c r="B30568" t="str">
        <f>HYPERLINK("https://twitter.com/WPHalim","@WPHalim")</f>
        <v>@WPHalim</v>
      </c>
      <c r="C30568" t="s">
        <v>12845</v>
      </c>
      <c r="D30568">
        <v>42</v>
      </c>
      <c r="E30568">
        <v>0</v>
      </c>
      <c r="F30568">
        <v>284</v>
      </c>
    </row>
    <row r="30569" spans="1:6" ht="12.75">
      <c r="A30569" s="2">
        <v>43875.538020833337</v>
      </c>
      <c r="B30569" t="str">
        <f>HYPERLINK("https://twitter.com/RAISYAELBIX1","@RAISYAELBIX1")</f>
        <v>@RAISYAELBIX1</v>
      </c>
      <c r="C30569" t="s">
        <v>11773</v>
      </c>
      <c r="D30569">
        <v>5</v>
      </c>
      <c r="E30569">
        <v>0</v>
      </c>
      <c r="F30569">
        <v>5973</v>
      </c>
    </row>
    <row r="30570" spans="1:6" ht="12.75">
      <c r="A30570" s="2">
        <v>43875.537997685184</v>
      </c>
      <c r="B30570" t="str">
        <f>HYPERLINK("https://twitter.com/Abd_Fadli01","@Abd_Fadli01")</f>
        <v>@Abd_Fadli01</v>
      </c>
      <c r="C30570" t="s">
        <v>9147</v>
      </c>
      <c r="D30570">
        <v>5</v>
      </c>
      <c r="E30570">
        <v>0</v>
      </c>
      <c r="F30570">
        <v>74</v>
      </c>
    </row>
    <row r="30571" spans="1:6" ht="12.75">
      <c r="A30571" s="2">
        <v>43875.537974537037</v>
      </c>
      <c r="B30571" t="str">
        <f>HYPERLINK("https://twitter.com/___destyani_","@___destyani_")</f>
        <v>@___destyani_</v>
      </c>
      <c r="C30571" t="s">
        <v>12872</v>
      </c>
      <c r="D30571">
        <v>2</v>
      </c>
      <c r="E30571">
        <v>0</v>
      </c>
      <c r="F30571">
        <v>0</v>
      </c>
    </row>
    <row r="30572" spans="1:6" ht="12.75">
      <c r="A30572" s="2">
        <v>43875.537858796291</v>
      </c>
      <c r="B30572" t="str">
        <f>HYPERLINK("https://twitter.com/Sauron48435284","@Sauron48435284")</f>
        <v>@Sauron48435284</v>
      </c>
      <c r="C30572" t="s">
        <v>13000</v>
      </c>
      <c r="D30572">
        <v>0</v>
      </c>
      <c r="E30572">
        <v>0</v>
      </c>
      <c r="F30572">
        <v>32</v>
      </c>
    </row>
    <row r="30573" spans="1:6" ht="12.75">
      <c r="A30573" s="2">
        <v>43875.537847222222</v>
      </c>
      <c r="B30573" t="str">
        <f>HYPERLINK("https://twitter.com/kimalenim","@kimalenim")</f>
        <v>@kimalenim</v>
      </c>
      <c r="C30573" t="s">
        <v>2444</v>
      </c>
      <c r="D30573">
        <v>695</v>
      </c>
      <c r="E30573">
        <v>0</v>
      </c>
      <c r="F30573">
        <v>554</v>
      </c>
    </row>
    <row r="30574" spans="1:6" ht="12.75">
      <c r="A30574" s="2">
        <v>43875.537835648152</v>
      </c>
      <c r="B30574" t="str">
        <f>HYPERLINK("https://twitter.com/cikkkwahhh","@cikkkwahhh")</f>
        <v>@cikkkwahhh</v>
      </c>
      <c r="C30574" t="s">
        <v>2444</v>
      </c>
      <c r="D30574">
        <v>695</v>
      </c>
      <c r="E30574">
        <v>0</v>
      </c>
      <c r="F30574">
        <v>263</v>
      </c>
    </row>
    <row r="30575" spans="1:6" ht="12.75">
      <c r="A30575" s="2">
        <v>43875.537824074076</v>
      </c>
      <c r="B30575" t="str">
        <f>HYPERLINK("https://twitter.com/Generasi_MudaNU","@Generasi_MudaNU")</f>
        <v>@Generasi_MudaNU</v>
      </c>
      <c r="C30575" t="s">
        <v>13001</v>
      </c>
      <c r="D30575">
        <v>5</v>
      </c>
      <c r="E30575">
        <v>7</v>
      </c>
      <c r="F30575">
        <v>14189</v>
      </c>
    </row>
    <row r="30576" spans="1:6" ht="12.75">
      <c r="A30576" s="2">
        <v>43875.537800925929</v>
      </c>
      <c r="B30576" t="str">
        <f>HYPERLINK("https://twitter.com/agnestanisia","@agnestanisia")</f>
        <v>@agnestanisia</v>
      </c>
      <c r="C30576" t="s">
        <v>5168</v>
      </c>
      <c r="D30576">
        <v>576</v>
      </c>
      <c r="E30576">
        <v>0</v>
      </c>
      <c r="F30576">
        <v>1032</v>
      </c>
    </row>
    <row r="30577" spans="1:6" ht="12.75">
      <c r="A30577" s="2">
        <v>43875.537754629629</v>
      </c>
      <c r="B30577" t="str">
        <f>HYPERLINK("https://twitter.com/anirakc_","@anirakc_")</f>
        <v>@anirakc_</v>
      </c>
      <c r="C30577" t="s">
        <v>2444</v>
      </c>
      <c r="D30577">
        <v>695</v>
      </c>
      <c r="E30577">
        <v>0</v>
      </c>
      <c r="F30577">
        <v>304</v>
      </c>
    </row>
    <row r="30578" spans="1:6" ht="12.75">
      <c r="A30578" s="2">
        <v>43875.537754629629</v>
      </c>
      <c r="B30578" t="str">
        <f>HYPERLINK("https://twitter.com/SunDongYang","@SunDongYang")</f>
        <v>@SunDongYang</v>
      </c>
      <c r="C30578" t="s">
        <v>12679</v>
      </c>
      <c r="D30578">
        <v>729</v>
      </c>
      <c r="E30578">
        <v>0</v>
      </c>
      <c r="F30578">
        <v>313</v>
      </c>
    </row>
    <row r="30579" spans="1:6" ht="12.75">
      <c r="A30579" s="2">
        <v>43875.53770833333</v>
      </c>
      <c r="B30579" t="str">
        <f>HYPERLINK("https://twitter.com/Ratihhpratiwii","@Ratihhpratiwii")</f>
        <v>@Ratihhpratiwii</v>
      </c>
      <c r="C30579" t="s">
        <v>2444</v>
      </c>
      <c r="D30579">
        <v>695</v>
      </c>
      <c r="E30579">
        <v>0</v>
      </c>
      <c r="F30579">
        <v>69</v>
      </c>
    </row>
    <row r="30580" spans="1:6" ht="12.75">
      <c r="A30580" s="2">
        <v>43875.537685185191</v>
      </c>
      <c r="B30580" t="str">
        <f>HYPERLINK("https://twitter.com/DSagha","@DSagha")</f>
        <v>@DSagha</v>
      </c>
      <c r="C30580" t="s">
        <v>2444</v>
      </c>
      <c r="D30580">
        <v>695</v>
      </c>
      <c r="E30580">
        <v>0</v>
      </c>
      <c r="F30580">
        <v>691</v>
      </c>
    </row>
    <row r="30581" spans="1:6" ht="12.75">
      <c r="A30581" s="2">
        <v>43875.537638888884</v>
      </c>
      <c r="B30581" t="str">
        <f>HYPERLINK("https://twitter.com/mwsr__","@mwsr__")</f>
        <v>@mwsr__</v>
      </c>
      <c r="C30581" t="s">
        <v>2444</v>
      </c>
      <c r="D30581">
        <v>695</v>
      </c>
      <c r="E30581">
        <v>0</v>
      </c>
      <c r="F30581">
        <v>13</v>
      </c>
    </row>
    <row r="30582" spans="1:6" ht="12.75">
      <c r="A30582" s="2">
        <v>43875.537615740745</v>
      </c>
      <c r="B30582" t="str">
        <f>HYPERLINK("https://twitter.com/KikilestariK","@KikilestariK")</f>
        <v>@KikilestariK</v>
      </c>
      <c r="C30582" t="s">
        <v>2444</v>
      </c>
      <c r="D30582">
        <v>695</v>
      </c>
      <c r="E30582">
        <v>0</v>
      </c>
      <c r="F30582">
        <v>334</v>
      </c>
    </row>
    <row r="30583" spans="1:6" ht="12.75">
      <c r="A30583" s="2">
        <v>43875.537557870368</v>
      </c>
      <c r="B30583" t="str">
        <f>HYPERLINK("https://twitter.com/SunDongYang","@SunDongYang")</f>
        <v>@SunDongYang</v>
      </c>
      <c r="C30583" t="s">
        <v>13002</v>
      </c>
      <c r="D30583">
        <v>3</v>
      </c>
      <c r="E30583">
        <v>0</v>
      </c>
      <c r="F30583">
        <v>313</v>
      </c>
    </row>
    <row r="30584" spans="1:6" ht="12.75">
      <c r="A30584" s="2">
        <v>43875.537523148145</v>
      </c>
      <c r="B30584" t="str">
        <f>HYPERLINK("https://twitter.com/ImbKosta","@ImbKosta")</f>
        <v>@ImbKosta</v>
      </c>
      <c r="C30584" t="s">
        <v>13003</v>
      </c>
      <c r="D30584">
        <v>6</v>
      </c>
      <c r="E30584">
        <v>0</v>
      </c>
      <c r="F30584">
        <v>46</v>
      </c>
    </row>
    <row r="30585" spans="1:6" ht="12.75">
      <c r="A30585" s="2">
        <v>43875.537476851852</v>
      </c>
      <c r="B30585" t="str">
        <f>HYPERLINK("https://twitter.com/dongkimyeon","@dongkimyeon")</f>
        <v>@dongkimyeon</v>
      </c>
      <c r="C30585" t="s">
        <v>2444</v>
      </c>
      <c r="D30585">
        <v>695</v>
      </c>
      <c r="E30585">
        <v>0</v>
      </c>
      <c r="F30585">
        <v>27</v>
      </c>
    </row>
    <row r="30586" spans="1:6" ht="12.75">
      <c r="A30586" s="2">
        <v>43875.537453703699</v>
      </c>
      <c r="B30586" t="str">
        <f>HYPERLINK("https://twitter.com/umar_agil","@umar_agil")</f>
        <v>@umar_agil</v>
      </c>
      <c r="C30586" t="s">
        <v>5761</v>
      </c>
      <c r="D30586">
        <v>45</v>
      </c>
      <c r="E30586">
        <v>0</v>
      </c>
      <c r="F30586">
        <v>1753</v>
      </c>
    </row>
    <row r="30587" spans="1:6" ht="12.75">
      <c r="A30587" s="2">
        <v>43875.537418981483</v>
      </c>
      <c r="B30587" t="str">
        <f>HYPERLINK("https://twitter.com/ferrynugra","@ferrynugra")</f>
        <v>@ferrynugra</v>
      </c>
      <c r="C30587" t="s">
        <v>13004</v>
      </c>
      <c r="D30587">
        <v>0</v>
      </c>
      <c r="E30587">
        <v>0</v>
      </c>
      <c r="F30587">
        <v>740</v>
      </c>
    </row>
    <row r="30588" spans="1:6" ht="12.75">
      <c r="A30588" s="2">
        <v>43875.537407407406</v>
      </c>
      <c r="B30588" t="str">
        <f>HYPERLINK("https://twitter.com/TjahyoUnky","@TjahyoUnky")</f>
        <v>@TjahyoUnky</v>
      </c>
      <c r="C30588" t="s">
        <v>2963</v>
      </c>
      <c r="D30588">
        <v>766</v>
      </c>
      <c r="E30588">
        <v>0</v>
      </c>
      <c r="F30588">
        <v>2037</v>
      </c>
    </row>
    <row r="30589" spans="1:6" ht="12.75">
      <c r="A30589" s="2">
        <v>43875.537407407406</v>
      </c>
      <c r="B30589" t="str">
        <f>HYPERLINK("https://twitter.com/sherrywhiskey","@sherrywhiskey")</f>
        <v>@sherrywhiskey</v>
      </c>
      <c r="C30589" t="s">
        <v>12377</v>
      </c>
      <c r="D30589">
        <v>3</v>
      </c>
      <c r="E30589">
        <v>0</v>
      </c>
      <c r="F30589">
        <v>462</v>
      </c>
    </row>
    <row r="30590" spans="1:6" ht="12.75">
      <c r="A30590" s="2">
        <v>43875.537395833337</v>
      </c>
      <c r="B30590" t="str">
        <f>HYPERLINK("https://twitter.com/yahyarr883","@yahyarr883")</f>
        <v>@yahyarr883</v>
      </c>
      <c r="C30590" t="s">
        <v>13005</v>
      </c>
      <c r="D30590">
        <v>0</v>
      </c>
      <c r="E30590">
        <v>1</v>
      </c>
      <c r="F30590">
        <v>1711</v>
      </c>
    </row>
    <row r="30591" spans="1:6" ht="12.75">
      <c r="A30591" s="2">
        <v>43875.537314814814</v>
      </c>
      <c r="B30591" t="str">
        <f>HYPERLINK("https://twitter.com/tempodotco","@tempodotco")</f>
        <v>@tempodotco</v>
      </c>
      <c r="C30591" t="s">
        <v>13006</v>
      </c>
      <c r="D30591">
        <v>1</v>
      </c>
      <c r="E30591">
        <v>8</v>
      </c>
      <c r="F30591">
        <v>1702246</v>
      </c>
    </row>
    <row r="30592" spans="1:6" ht="12.75">
      <c r="A30592" s="2">
        <v>43875.537303240737</v>
      </c>
      <c r="B30592" t="str">
        <f>HYPERLINK("https://twitter.com/jimmyjnoor","@jimmyjnoor")</f>
        <v>@jimmyjnoor</v>
      </c>
      <c r="C30592" t="s">
        <v>8881</v>
      </c>
      <c r="D30592">
        <v>269</v>
      </c>
      <c r="E30592">
        <v>0</v>
      </c>
      <c r="F30592">
        <v>618</v>
      </c>
    </row>
    <row r="30593" spans="1:6" ht="12.75">
      <c r="A30593" s="2">
        <v>43875.537291666667</v>
      </c>
      <c r="B30593" t="str">
        <f>HYPERLINK("https://twitter.com/MbarepJeng","@MbarepJeng")</f>
        <v>@MbarepJeng</v>
      </c>
      <c r="C30593" t="s">
        <v>11659</v>
      </c>
      <c r="D30593">
        <v>66</v>
      </c>
      <c r="E30593">
        <v>0</v>
      </c>
      <c r="F30593">
        <v>65</v>
      </c>
    </row>
    <row r="30594" spans="1:6" ht="12.75">
      <c r="A30594" s="2">
        <v>43875.537256944444</v>
      </c>
      <c r="B30594" t="str">
        <f>HYPERLINK("https://twitter.com/halubauuu1209","@halubauuu1209")</f>
        <v>@halubauuu1209</v>
      </c>
      <c r="C30594" t="s">
        <v>2444</v>
      </c>
      <c r="D30594">
        <v>695</v>
      </c>
      <c r="E30594">
        <v>0</v>
      </c>
      <c r="F30594">
        <v>366</v>
      </c>
    </row>
    <row r="30595" spans="1:6" ht="12.75">
      <c r="A30595" s="2">
        <v>43875.537233796298</v>
      </c>
      <c r="B30595" t="str">
        <f>HYPERLINK("https://twitter.com/widyastuti_tri","@widyastuti_tri")</f>
        <v>@widyastuti_tri</v>
      </c>
      <c r="C30595" t="s">
        <v>9746</v>
      </c>
      <c r="D30595">
        <v>96</v>
      </c>
      <c r="E30595">
        <v>0</v>
      </c>
      <c r="F30595">
        <v>74</v>
      </c>
    </row>
    <row r="30596" spans="1:6" ht="12.75">
      <c r="A30596" s="2">
        <v>43875.537222222221</v>
      </c>
      <c r="B30596" t="str">
        <f>HYPERLINK("https://twitter.com/Pitra_Alvaro","@Pitra_Alvaro")</f>
        <v>@Pitra_Alvaro</v>
      </c>
      <c r="C30596" t="s">
        <v>9962</v>
      </c>
      <c r="D30596">
        <v>23</v>
      </c>
      <c r="E30596">
        <v>0</v>
      </c>
      <c r="F30596">
        <v>189</v>
      </c>
    </row>
    <row r="30597" spans="1:6" ht="12.75">
      <c r="A30597" s="2">
        <v>43875.537210648152</v>
      </c>
      <c r="B30597" t="str">
        <f>HYPERLINK("https://twitter.com/haiprenn","@haiprenn")</f>
        <v>@haiprenn</v>
      </c>
      <c r="C30597" t="s">
        <v>2444</v>
      </c>
      <c r="D30597">
        <v>695</v>
      </c>
      <c r="E30597">
        <v>0</v>
      </c>
      <c r="F30597">
        <v>608</v>
      </c>
    </row>
    <row r="30598" spans="1:6" ht="12.75">
      <c r="A30598" s="2">
        <v>43875.537210648152</v>
      </c>
      <c r="B30598" t="str">
        <f>HYPERLINK("https://twitter.com/BaliKhusus","@BaliKhusus")</f>
        <v>@BaliKhusus</v>
      </c>
      <c r="C30598" t="s">
        <v>13007</v>
      </c>
      <c r="D30598">
        <v>0</v>
      </c>
      <c r="E30598">
        <v>0</v>
      </c>
      <c r="F30598">
        <v>0</v>
      </c>
    </row>
    <row r="30599" spans="1:6" ht="12.75">
      <c r="A30599" s="2">
        <v>43875.537152777775</v>
      </c>
      <c r="B30599" t="str">
        <f>HYPERLINK("https://twitter.com/oryze_sative","@oryze_sative")</f>
        <v>@oryze_sative</v>
      </c>
      <c r="C30599" t="s">
        <v>2963</v>
      </c>
      <c r="D30599">
        <v>766</v>
      </c>
      <c r="E30599">
        <v>0</v>
      </c>
      <c r="F30599">
        <v>1174</v>
      </c>
    </row>
    <row r="30600" spans="1:6" ht="12.75">
      <c r="A30600" s="2">
        <v>43875.537118055552</v>
      </c>
      <c r="B30600" t="str">
        <f>HYPERLINK("https://twitter.com/djadasjah","@djadasjah")</f>
        <v>@djadasjah</v>
      </c>
      <c r="C30600" t="s">
        <v>9746</v>
      </c>
      <c r="D30600">
        <v>96</v>
      </c>
      <c r="E30600">
        <v>0</v>
      </c>
      <c r="F30600">
        <v>512</v>
      </c>
    </row>
    <row r="30601" spans="1:6" ht="12.75">
      <c r="A30601" s="2">
        <v>43875.537083333329</v>
      </c>
      <c r="B30601" t="str">
        <f t="shared" ref="B30601:B30602" si="379">HYPERLINK("https://twitter.com/PojokNU","@PojokNU")</f>
        <v>@PojokNU</v>
      </c>
      <c r="C30601" t="s">
        <v>12063</v>
      </c>
      <c r="D30601">
        <v>1</v>
      </c>
      <c r="E30601">
        <v>1</v>
      </c>
      <c r="F30601">
        <v>697</v>
      </c>
    </row>
    <row r="30602" spans="1:6" ht="12.75">
      <c r="A30602" s="2">
        <v>43875.53707175926</v>
      </c>
      <c r="B30602" t="str">
        <f t="shared" si="379"/>
        <v>@PojokNU</v>
      </c>
      <c r="C30602" t="s">
        <v>13008</v>
      </c>
      <c r="D30602">
        <v>0</v>
      </c>
      <c r="E30602">
        <v>0</v>
      </c>
      <c r="F30602">
        <v>697</v>
      </c>
    </row>
    <row r="30603" spans="1:6" ht="12.75">
      <c r="A30603" s="2">
        <v>43875.537025462967</v>
      </c>
      <c r="B30603" t="str">
        <f>HYPERLINK("https://twitter.com/julinartsaniM","@julinartsaniM")</f>
        <v>@julinartsaniM</v>
      </c>
      <c r="C30603" t="s">
        <v>2444</v>
      </c>
      <c r="D30603">
        <v>695</v>
      </c>
      <c r="E30603">
        <v>0</v>
      </c>
      <c r="F30603">
        <v>73</v>
      </c>
    </row>
    <row r="30604" spans="1:6" ht="12.75">
      <c r="A30604" s="2">
        <v>43875.536979166667</v>
      </c>
      <c r="B30604" t="str">
        <f>HYPERLINK("https://twitter.com/AgusSurnyana","@AgusSurnyana")</f>
        <v>@AgusSurnyana</v>
      </c>
      <c r="C30604" t="s">
        <v>9835</v>
      </c>
      <c r="D30604">
        <v>15</v>
      </c>
      <c r="E30604">
        <v>0</v>
      </c>
      <c r="F30604">
        <v>66</v>
      </c>
    </row>
    <row r="30605" spans="1:6" ht="12.75">
      <c r="A30605" s="2">
        <v>43875.536979166667</v>
      </c>
      <c r="B30605" t="str">
        <f>HYPERLINK("https://twitter.com/bananaachoco","@bananaachoco")</f>
        <v>@bananaachoco</v>
      </c>
      <c r="C30605" t="s">
        <v>2444</v>
      </c>
      <c r="D30605">
        <v>695</v>
      </c>
      <c r="E30605">
        <v>0</v>
      </c>
      <c r="F30605">
        <v>437</v>
      </c>
    </row>
    <row r="30606" spans="1:6" ht="12.75">
      <c r="A30606" s="2">
        <v>43875.536932870367</v>
      </c>
      <c r="B30606" t="str">
        <f>HYPERLINK("https://twitter.com/JihoonNoona2706","@JihoonNoona2706")</f>
        <v>@JihoonNoona2706</v>
      </c>
      <c r="C30606" t="s">
        <v>2444</v>
      </c>
      <c r="D30606">
        <v>695</v>
      </c>
      <c r="E30606">
        <v>0</v>
      </c>
      <c r="F30606">
        <v>157</v>
      </c>
    </row>
    <row r="30607" spans="1:6" ht="12.75">
      <c r="A30607" s="2">
        <v>43875.536886574075</v>
      </c>
      <c r="B30607" t="str">
        <f>HYPERLINK("https://twitter.com/SashaGreimas","@SashaGreimas")</f>
        <v>@SashaGreimas</v>
      </c>
      <c r="C30607" t="s">
        <v>2444</v>
      </c>
      <c r="D30607">
        <v>695</v>
      </c>
      <c r="E30607">
        <v>0</v>
      </c>
      <c r="F30607">
        <v>810</v>
      </c>
    </row>
    <row r="30608" spans="1:6" ht="12.75">
      <c r="A30608" s="2">
        <v>43875.536886574075</v>
      </c>
      <c r="B30608" t="str">
        <f>HYPERLINK("https://twitter.com/adreambetween_","@adreambetween_")</f>
        <v>@adreambetween_</v>
      </c>
      <c r="C30608" t="s">
        <v>10173</v>
      </c>
      <c r="D30608">
        <v>3</v>
      </c>
      <c r="E30608">
        <v>0</v>
      </c>
      <c r="F30608">
        <v>526</v>
      </c>
    </row>
    <row r="30609" spans="1:6" ht="12.75">
      <c r="A30609" s="2">
        <v>43875.536863425921</v>
      </c>
      <c r="B30609" t="str">
        <f>HYPERLINK("https://twitter.com/hanggonomurtopo","@hanggonomurtopo")</f>
        <v>@hanggonomurtopo</v>
      </c>
      <c r="C30609" t="s">
        <v>13009</v>
      </c>
      <c r="D30609">
        <v>0</v>
      </c>
      <c r="E30609">
        <v>0</v>
      </c>
      <c r="F30609">
        <v>125</v>
      </c>
    </row>
    <row r="30610" spans="1:6" ht="12.75">
      <c r="A30610" s="2">
        <v>43875.536863425921</v>
      </c>
      <c r="B30610" t="str">
        <f>HYPERLINK("https://twitter.com/Susilatifa193","@Susilatifa193")</f>
        <v>@Susilatifa193</v>
      </c>
      <c r="C30610" t="s">
        <v>13009</v>
      </c>
      <c r="D30610">
        <v>0</v>
      </c>
      <c r="E30610">
        <v>0</v>
      </c>
      <c r="F30610">
        <v>52</v>
      </c>
    </row>
    <row r="30611" spans="1:6" ht="12.75">
      <c r="A30611" s="2">
        <v>43875.536863425921</v>
      </c>
      <c r="B30611" t="str">
        <f>HYPERLINK("https://twitter.com/maryamedina002","@maryamedina002")</f>
        <v>@maryamedina002</v>
      </c>
      <c r="C30611" t="s">
        <v>13009</v>
      </c>
      <c r="D30611">
        <v>0</v>
      </c>
      <c r="E30611">
        <v>0</v>
      </c>
      <c r="F30611">
        <v>124</v>
      </c>
    </row>
    <row r="30612" spans="1:6" ht="12.75">
      <c r="A30612" s="2">
        <v>43875.536863425921</v>
      </c>
      <c r="B30612" t="str">
        <f>HYPERLINK("https://twitter.com/Umiii23","@Umiii23")</f>
        <v>@Umiii23</v>
      </c>
      <c r="C30612" t="s">
        <v>2444</v>
      </c>
      <c r="D30612">
        <v>695</v>
      </c>
      <c r="E30612">
        <v>0</v>
      </c>
      <c r="F30612">
        <v>151</v>
      </c>
    </row>
    <row r="30613" spans="1:6" ht="12.75">
      <c r="A30613" s="2">
        <v>43875.536863425921</v>
      </c>
      <c r="B30613" t="str">
        <f>HYPERLINK("https://twitter.com/Jayaneg14","@Jayaneg14")</f>
        <v>@Jayaneg14</v>
      </c>
      <c r="C30613" t="s">
        <v>13009</v>
      </c>
      <c r="D30613">
        <v>0</v>
      </c>
      <c r="E30613">
        <v>0</v>
      </c>
      <c r="F30613">
        <v>36</v>
      </c>
    </row>
    <row r="30614" spans="1:6" ht="12.75">
      <c r="A30614" s="2">
        <v>43875.536851851852</v>
      </c>
      <c r="B30614" t="str">
        <f>HYPERLINK("https://twitter.com/liadarmagita","@liadarmagita")</f>
        <v>@liadarmagita</v>
      </c>
      <c r="C30614" t="s">
        <v>13009</v>
      </c>
      <c r="D30614">
        <v>0</v>
      </c>
      <c r="E30614">
        <v>0</v>
      </c>
      <c r="F30614">
        <v>130</v>
      </c>
    </row>
    <row r="30615" spans="1:6" ht="12.75">
      <c r="A30615" s="2">
        <v>43875.536851851852</v>
      </c>
      <c r="B30615" t="str">
        <f>HYPERLINK("https://twitter.com/diyahkumalasar7","@diyahkumalasar7")</f>
        <v>@diyahkumalasar7</v>
      </c>
      <c r="C30615" t="s">
        <v>13009</v>
      </c>
      <c r="D30615">
        <v>0</v>
      </c>
      <c r="E30615">
        <v>0</v>
      </c>
      <c r="F30615">
        <v>37</v>
      </c>
    </row>
    <row r="30616" spans="1:6" ht="12.75">
      <c r="A30616" s="2">
        <v>43875.536851851852</v>
      </c>
      <c r="B30616" t="str">
        <f>HYPERLINK("https://twitter.com/dionfathah","@dionfathah")</f>
        <v>@dionfathah</v>
      </c>
      <c r="C30616" t="s">
        <v>13009</v>
      </c>
      <c r="D30616">
        <v>0</v>
      </c>
      <c r="E30616">
        <v>0</v>
      </c>
      <c r="F30616">
        <v>124</v>
      </c>
    </row>
    <row r="30617" spans="1:6" ht="12.75">
      <c r="A30617" s="2">
        <v>43875.536851851852</v>
      </c>
      <c r="B30617" t="str">
        <f>HYPERLINK("https://twitter.com/analisawidya4","@analisawidya4")</f>
        <v>@analisawidya4</v>
      </c>
      <c r="C30617" t="s">
        <v>13009</v>
      </c>
      <c r="D30617">
        <v>0</v>
      </c>
      <c r="E30617">
        <v>0</v>
      </c>
      <c r="F30617">
        <v>122</v>
      </c>
    </row>
    <row r="30618" spans="1:6" ht="12.75">
      <c r="A30618" s="2">
        <v>43875.536840277782</v>
      </c>
      <c r="B30618" t="str">
        <f>HYPERLINK("https://twitter.com/hildaasegaff","@hildaasegaff")</f>
        <v>@hildaasegaff</v>
      </c>
      <c r="C30618" t="s">
        <v>13009</v>
      </c>
      <c r="D30618">
        <v>0</v>
      </c>
      <c r="E30618">
        <v>0</v>
      </c>
      <c r="F30618">
        <v>122</v>
      </c>
    </row>
    <row r="30619" spans="1:6" ht="12.75">
      <c r="A30619" s="2">
        <v>43875.536840277782</v>
      </c>
      <c r="B30619" t="str">
        <f>HYPERLINK("https://twitter.com/ayu_larasayu1","@ayu_larasayu1")</f>
        <v>@ayu_larasayu1</v>
      </c>
      <c r="C30619" t="s">
        <v>13009</v>
      </c>
      <c r="D30619">
        <v>0</v>
      </c>
      <c r="E30619">
        <v>0</v>
      </c>
      <c r="F30619">
        <v>158</v>
      </c>
    </row>
    <row r="30620" spans="1:6" ht="12.75">
      <c r="A30620" s="2">
        <v>43875.536828703705</v>
      </c>
      <c r="B30620" t="str">
        <f>HYPERLINK("https://twitter.com/jonrispurba","@jonrispurba")</f>
        <v>@jonrispurba</v>
      </c>
      <c r="C30620" t="s">
        <v>13010</v>
      </c>
      <c r="D30620">
        <v>0</v>
      </c>
      <c r="E30620">
        <v>0</v>
      </c>
      <c r="F30620">
        <v>456</v>
      </c>
    </row>
    <row r="30621" spans="1:6" ht="12.75">
      <c r="A30621" s="2">
        <v>43875.536793981482</v>
      </c>
      <c r="B30621" t="str">
        <f>HYPERLINK("https://twitter.com/putraduaII","@putraduaII")</f>
        <v>@putraduaII</v>
      </c>
      <c r="C30621" t="s">
        <v>2444</v>
      </c>
      <c r="D30621">
        <v>695</v>
      </c>
      <c r="E30621">
        <v>0</v>
      </c>
      <c r="F30621">
        <v>36</v>
      </c>
    </row>
    <row r="30622" spans="1:6" ht="12.75">
      <c r="A30622" s="2">
        <v>43875.536770833336</v>
      </c>
      <c r="B30622" t="str">
        <f>HYPERLINK("https://twitter.com/SautM1","@SautM1")</f>
        <v>@SautM1</v>
      </c>
      <c r="C30622" t="s">
        <v>8233</v>
      </c>
      <c r="D30622">
        <v>403</v>
      </c>
      <c r="E30622">
        <v>0</v>
      </c>
      <c r="F30622">
        <v>32</v>
      </c>
    </row>
    <row r="30623" spans="1:6" ht="12.75">
      <c r="A30623" s="2">
        <v>43875.536631944444</v>
      </c>
      <c r="B30623" t="str">
        <f>HYPERLINK("https://twitter.com/tribunmedan","@tribunmedan")</f>
        <v>@tribunmedan</v>
      </c>
      <c r="C30623" t="s">
        <v>13011</v>
      </c>
      <c r="D30623">
        <v>0</v>
      </c>
      <c r="E30623">
        <v>0</v>
      </c>
      <c r="F30623">
        <v>72637</v>
      </c>
    </row>
    <row r="30624" spans="1:6" ht="12.75">
      <c r="A30624" s="2">
        <v>43875.536620370374</v>
      </c>
      <c r="B30624" t="str">
        <f>HYPERLINK("https://twitter.com/yadisariyadi","@yadisariyadi")</f>
        <v>@yadisariyadi</v>
      </c>
      <c r="C30624" t="s">
        <v>12312</v>
      </c>
      <c r="D30624">
        <v>12</v>
      </c>
      <c r="E30624">
        <v>0</v>
      </c>
      <c r="F30624">
        <v>170</v>
      </c>
    </row>
    <row r="30625" spans="1:6" ht="12.75">
      <c r="A30625" s="2">
        <v>43875.536539351851</v>
      </c>
      <c r="B30625" t="str">
        <f>HYPERLINK("https://twitter.com/aim_revolt2","@aim_revolt2")</f>
        <v>@aim_revolt2</v>
      </c>
      <c r="C30625" t="s">
        <v>8252</v>
      </c>
      <c r="D30625">
        <v>492</v>
      </c>
      <c r="E30625">
        <v>0</v>
      </c>
      <c r="F30625">
        <v>119</v>
      </c>
    </row>
    <row r="30626" spans="1:6" ht="12.75">
      <c r="A30626" s="2">
        <v>43875.536539351851</v>
      </c>
      <c r="B30626" t="str">
        <f>HYPERLINK("https://twitter.com/IniKangUto","@IniKangUto")</f>
        <v>@IniKangUto</v>
      </c>
      <c r="C30626" t="s">
        <v>9746</v>
      </c>
      <c r="D30626">
        <v>96</v>
      </c>
      <c r="E30626">
        <v>0</v>
      </c>
      <c r="F30626">
        <v>248</v>
      </c>
    </row>
    <row r="30627" spans="1:6" ht="12.75">
      <c r="A30627" s="2">
        <v>43875.536469907413</v>
      </c>
      <c r="B30627" t="str">
        <f>HYPERLINK("https://twitter.com/Etherealza_","@Etherealza_")</f>
        <v>@Etherealza_</v>
      </c>
      <c r="C30627" t="s">
        <v>2444</v>
      </c>
      <c r="D30627">
        <v>695</v>
      </c>
      <c r="E30627">
        <v>0</v>
      </c>
      <c r="F30627">
        <v>266</v>
      </c>
    </row>
    <row r="30628" spans="1:6" ht="12.75">
      <c r="A30628" s="2">
        <v>43875.536458333328</v>
      </c>
      <c r="B30628" t="str">
        <f>HYPERLINK("https://twitter.com/anisdoankah","@anisdoankah")</f>
        <v>@anisdoankah</v>
      </c>
      <c r="C30628" t="s">
        <v>2444</v>
      </c>
      <c r="D30628">
        <v>695</v>
      </c>
      <c r="E30628">
        <v>0</v>
      </c>
      <c r="F30628">
        <v>190</v>
      </c>
    </row>
    <row r="30629" spans="1:6" ht="12.75">
      <c r="A30629" s="2">
        <v>43875.536446759259</v>
      </c>
      <c r="B30629" t="str">
        <f>HYPERLINK("https://twitter.com/idpenamini","@idpenamini")</f>
        <v>@idpenamini</v>
      </c>
      <c r="C30629" t="s">
        <v>13012</v>
      </c>
      <c r="D30629">
        <v>0</v>
      </c>
      <c r="E30629">
        <v>0</v>
      </c>
      <c r="F30629">
        <v>168</v>
      </c>
    </row>
    <row r="30630" spans="1:6" ht="12.75">
      <c r="A30630" s="2">
        <v>43875.536412037036</v>
      </c>
      <c r="B30630" t="str">
        <f>HYPERLINK("https://twitter.com/tekonly19","@tekonly19")</f>
        <v>@tekonly19</v>
      </c>
      <c r="C30630" t="s">
        <v>9998</v>
      </c>
      <c r="D30630">
        <v>91</v>
      </c>
      <c r="E30630">
        <v>0</v>
      </c>
      <c r="F30630">
        <v>59</v>
      </c>
    </row>
    <row r="30631" spans="1:6" ht="12.75">
      <c r="A30631" s="2">
        <v>43875.536377314813</v>
      </c>
      <c r="B30631" t="str">
        <f>HYPERLINK("https://twitter.com/luvdino99to99","@luvdino99to99")</f>
        <v>@luvdino99to99</v>
      </c>
      <c r="C30631" t="s">
        <v>2444</v>
      </c>
      <c r="D30631">
        <v>695</v>
      </c>
      <c r="E30631">
        <v>0</v>
      </c>
      <c r="F30631">
        <v>274</v>
      </c>
    </row>
    <row r="30632" spans="1:6" ht="12.75">
      <c r="A30632" s="2">
        <v>43875.53633101852</v>
      </c>
      <c r="B30632" t="str">
        <f>HYPERLINK("https://twitter.com/asyhadi01","@asyhadi01")</f>
        <v>@asyhadi01</v>
      </c>
      <c r="C30632" t="s">
        <v>13013</v>
      </c>
      <c r="D30632">
        <v>0</v>
      </c>
      <c r="E30632">
        <v>0</v>
      </c>
      <c r="F30632">
        <v>185</v>
      </c>
    </row>
    <row r="30633" spans="1:6" ht="12.75">
      <c r="A30633" s="2">
        <v>43875.536319444444</v>
      </c>
      <c r="B30633" t="str">
        <f>HYPERLINK("https://twitter.com/adnrxst","@adnrxst")</f>
        <v>@adnrxst</v>
      </c>
      <c r="C30633" t="s">
        <v>13014</v>
      </c>
      <c r="D30633">
        <v>0</v>
      </c>
      <c r="E30633">
        <v>0</v>
      </c>
      <c r="F30633">
        <v>35</v>
      </c>
    </row>
    <row r="30634" spans="1:6" ht="12.75">
      <c r="A30634" s="2">
        <v>43875.53628472222</v>
      </c>
      <c r="B30634" t="str">
        <f>HYPERLINK("https://twitter.com/Satir76","@Satir76")</f>
        <v>@Satir76</v>
      </c>
      <c r="C30634" t="s">
        <v>10096</v>
      </c>
      <c r="D30634">
        <v>105</v>
      </c>
      <c r="E30634">
        <v>0</v>
      </c>
      <c r="F30634">
        <v>577</v>
      </c>
    </row>
    <row r="30635" spans="1:6" ht="12.75">
      <c r="A30635" s="2">
        <v>43875.536273148144</v>
      </c>
      <c r="B30635" t="str">
        <f>HYPERLINK("https://twitter.com/imkjygdrgn","@imkjygdrgn")</f>
        <v>@imkjygdrgn</v>
      </c>
      <c r="C30635" t="s">
        <v>2444</v>
      </c>
      <c r="D30635">
        <v>695</v>
      </c>
      <c r="E30635">
        <v>0</v>
      </c>
      <c r="F30635">
        <v>1024</v>
      </c>
    </row>
    <row r="30636" spans="1:6" ht="12.75">
      <c r="A30636" s="2">
        <v>43875.536226851851</v>
      </c>
      <c r="B30636" t="str">
        <f>HYPERLINK("https://twitter.com/yuhendra_ri","@yuhendra_ri")</f>
        <v>@yuhendra_ri</v>
      </c>
      <c r="C30636" t="s">
        <v>12999</v>
      </c>
      <c r="D30636">
        <v>4</v>
      </c>
      <c r="E30636">
        <v>0</v>
      </c>
      <c r="F30636">
        <v>187</v>
      </c>
    </row>
    <row r="30637" spans="1:6" ht="12.75">
      <c r="A30637" s="2">
        <v>43875.536203703705</v>
      </c>
      <c r="B30637" t="str">
        <f>HYPERLINK("https://twitter.com/KomikPolitik","@KomikPolitik")</f>
        <v>@KomikPolitik</v>
      </c>
      <c r="C30637" t="s">
        <v>13015</v>
      </c>
      <c r="D30637">
        <v>0</v>
      </c>
      <c r="E30637">
        <v>0</v>
      </c>
      <c r="F30637">
        <v>183</v>
      </c>
    </row>
    <row r="30638" spans="1:6" ht="12.75">
      <c r="A30638" s="2">
        <v>43875.536111111112</v>
      </c>
      <c r="B30638" t="str">
        <f>HYPERLINK("https://twitter.com/g_gjw","@g_gjw")</f>
        <v>@g_gjw</v>
      </c>
      <c r="C30638" t="s">
        <v>13016</v>
      </c>
      <c r="D30638">
        <v>0</v>
      </c>
      <c r="E30638">
        <v>0</v>
      </c>
      <c r="F30638">
        <v>33</v>
      </c>
    </row>
    <row r="30639" spans="1:6" ht="12.75">
      <c r="A30639" s="2">
        <v>43875.536099537036</v>
      </c>
      <c r="B30639" t="str">
        <f>HYPERLINK("https://twitter.com/Ab1id__DzOE3","@Ab1id__DzOE3")</f>
        <v>@Ab1id__DzOE3</v>
      </c>
      <c r="C30639" t="s">
        <v>13017</v>
      </c>
      <c r="D30639">
        <v>0</v>
      </c>
      <c r="E30639">
        <v>0</v>
      </c>
      <c r="F30639">
        <v>1576</v>
      </c>
    </row>
    <row r="30640" spans="1:6" ht="12.75">
      <c r="A30640" s="2">
        <v>43875.536099537036</v>
      </c>
      <c r="B30640" t="str">
        <f>HYPERLINK("https://twitter.com/fikichu","@fikichu")</f>
        <v>@fikichu</v>
      </c>
      <c r="C30640" t="s">
        <v>5168</v>
      </c>
      <c r="D30640">
        <v>576</v>
      </c>
      <c r="E30640">
        <v>0</v>
      </c>
      <c r="F30640">
        <v>395</v>
      </c>
    </row>
    <row r="30641" spans="1:6" ht="12.75">
      <c r="A30641" s="2">
        <v>43875.536041666666</v>
      </c>
      <c r="B30641" t="str">
        <f>HYPERLINK("https://twitter.com/kadiel88","@kadiel88")</f>
        <v>@kadiel88</v>
      </c>
      <c r="C30641" t="s">
        <v>2444</v>
      </c>
      <c r="D30641">
        <v>695</v>
      </c>
      <c r="E30641">
        <v>0</v>
      </c>
      <c r="F30641">
        <v>123</v>
      </c>
    </row>
    <row r="30642" spans="1:6" ht="12.75">
      <c r="A30642" s="2">
        <v>43875.536041666666</v>
      </c>
      <c r="B30642" t="str">
        <f>HYPERLINK("https://twitter.com/lilxcrush","@lilxcrush")</f>
        <v>@lilxcrush</v>
      </c>
      <c r="C30642" t="s">
        <v>2444</v>
      </c>
      <c r="D30642">
        <v>695</v>
      </c>
      <c r="E30642">
        <v>0</v>
      </c>
      <c r="F30642">
        <v>482</v>
      </c>
    </row>
    <row r="30643" spans="1:6" ht="12.75">
      <c r="A30643" s="2">
        <v>43875.536030092597</v>
      </c>
      <c r="B30643" t="str">
        <f>HYPERLINK("https://twitter.com/congferi","@congferi")</f>
        <v>@congferi</v>
      </c>
      <c r="C30643" t="s">
        <v>8233</v>
      </c>
      <c r="D30643">
        <v>403</v>
      </c>
      <c r="E30643">
        <v>0</v>
      </c>
      <c r="F30643">
        <v>310</v>
      </c>
    </row>
    <row r="30644" spans="1:6" ht="12.75">
      <c r="A30644" s="2">
        <v>43875.535787037035</v>
      </c>
      <c r="B30644" t="str">
        <f>HYPERLINK("https://twitter.com/dennydaniel77","@dennydaniel77")</f>
        <v>@dennydaniel77</v>
      </c>
      <c r="C30644" t="s">
        <v>9096</v>
      </c>
      <c r="D30644">
        <v>182</v>
      </c>
      <c r="E30644">
        <v>0</v>
      </c>
      <c r="F30644">
        <v>288</v>
      </c>
    </row>
    <row r="30645" spans="1:6" ht="12.75">
      <c r="A30645" s="2">
        <v>43875.535787037035</v>
      </c>
      <c r="B30645" t="str">
        <f>HYPERLINK("https://twitter.com/JagatSa09140860","@JagatSa09140860")</f>
        <v>@JagatSa09140860</v>
      </c>
      <c r="C30645" t="s">
        <v>13018</v>
      </c>
      <c r="D30645">
        <v>0</v>
      </c>
      <c r="E30645">
        <v>0</v>
      </c>
      <c r="F30645">
        <v>22</v>
      </c>
    </row>
    <row r="30646" spans="1:6" ht="12.75">
      <c r="A30646" s="2">
        <v>43875.53570601852</v>
      </c>
      <c r="B30646" t="str">
        <f>HYPERLINK("https://twitter.com/AnjaniZaharie","@AnjaniZaharie")</f>
        <v>@AnjaniZaharie</v>
      </c>
      <c r="C30646" t="s">
        <v>2444</v>
      </c>
      <c r="D30646">
        <v>695</v>
      </c>
      <c r="E30646">
        <v>0</v>
      </c>
      <c r="F30646">
        <v>29</v>
      </c>
    </row>
    <row r="30647" spans="1:6" ht="12.75">
      <c r="A30647" s="2">
        <v>43875.53570601852</v>
      </c>
      <c r="B30647" t="str">
        <f>HYPERLINK("https://twitter.com/riaudetilcom","@riaudetilcom")</f>
        <v>@riaudetilcom</v>
      </c>
      <c r="C30647" t="s">
        <v>13019</v>
      </c>
      <c r="D30647">
        <v>0</v>
      </c>
      <c r="E30647">
        <v>0</v>
      </c>
      <c r="F30647">
        <v>131</v>
      </c>
    </row>
    <row r="30648" spans="1:6" ht="12.75">
      <c r="A30648" s="2">
        <v>43875.535694444443</v>
      </c>
      <c r="B30648" t="str">
        <f>HYPERLINK("https://twitter.com/AdiSusa81284098","@AdiSusa81284098")</f>
        <v>@AdiSusa81284098</v>
      </c>
      <c r="C30648" t="s">
        <v>9113</v>
      </c>
      <c r="D30648">
        <v>280</v>
      </c>
      <c r="E30648">
        <v>0</v>
      </c>
      <c r="F30648">
        <v>16</v>
      </c>
    </row>
    <row r="30649" spans="1:6" ht="12.75">
      <c r="A30649" s="2">
        <v>43875.535659722227</v>
      </c>
      <c r="B30649" t="str">
        <f>HYPERLINK("https://twitter.com/DiliTewu1","@DiliTewu1")</f>
        <v>@DiliTewu1</v>
      </c>
      <c r="C30649" t="s">
        <v>9835</v>
      </c>
      <c r="D30649">
        <v>15</v>
      </c>
      <c r="E30649">
        <v>0</v>
      </c>
      <c r="F30649">
        <v>12</v>
      </c>
    </row>
    <row r="30650" spans="1:6" ht="12.75">
      <c r="A30650" s="2">
        <v>43875.535659722227</v>
      </c>
      <c r="B30650" t="str">
        <f>HYPERLINK("https://twitter.com/Rinda16241018","@Rinda16241018")</f>
        <v>@Rinda16241018</v>
      </c>
      <c r="C30650" t="s">
        <v>2444</v>
      </c>
      <c r="D30650">
        <v>695</v>
      </c>
      <c r="E30650">
        <v>0</v>
      </c>
      <c r="F30650">
        <v>51</v>
      </c>
    </row>
    <row r="30651" spans="1:6" ht="12.75">
      <c r="A30651" s="2">
        <v>43875.535659722227</v>
      </c>
      <c r="B30651" t="str">
        <f>HYPERLINK("https://twitter.com/Fitriasuska8","@Fitriasuska8")</f>
        <v>@Fitriasuska8</v>
      </c>
      <c r="C30651" t="s">
        <v>2444</v>
      </c>
      <c r="D30651">
        <v>695</v>
      </c>
      <c r="E30651">
        <v>0</v>
      </c>
      <c r="F30651">
        <v>163</v>
      </c>
    </row>
    <row r="30652" spans="1:6" ht="12.75">
      <c r="A30652" s="2">
        <v>43875.535613425927</v>
      </c>
      <c r="B30652" t="str">
        <f>HYPERLINK("https://twitter.com/vanicun","@vanicun")</f>
        <v>@vanicun</v>
      </c>
      <c r="C30652" t="s">
        <v>2444</v>
      </c>
      <c r="D30652">
        <v>695</v>
      </c>
      <c r="E30652">
        <v>0</v>
      </c>
      <c r="F30652">
        <v>717</v>
      </c>
    </row>
    <row r="30653" spans="1:6" ht="12.75">
      <c r="A30653" s="2">
        <v>43875.535555555558</v>
      </c>
      <c r="B30653" t="str">
        <f>HYPERLINK("https://twitter.com/harumkatanya","@harumkatanya")</f>
        <v>@harumkatanya</v>
      </c>
      <c r="C30653" t="s">
        <v>2444</v>
      </c>
      <c r="D30653">
        <v>695</v>
      </c>
      <c r="E30653">
        <v>0</v>
      </c>
      <c r="F30653">
        <v>15</v>
      </c>
    </row>
    <row r="30654" spans="1:6" ht="12.75">
      <c r="A30654" s="2">
        <v>43875.535543981481</v>
      </c>
      <c r="B30654" t="str">
        <f>HYPERLINK("https://twitter.com/Rudi_Gunawan24","@Rudi_Gunawan24")</f>
        <v>@Rudi_Gunawan24</v>
      </c>
      <c r="C30654" t="s">
        <v>2444</v>
      </c>
      <c r="D30654">
        <v>695</v>
      </c>
      <c r="E30654">
        <v>0</v>
      </c>
      <c r="F30654">
        <v>157</v>
      </c>
    </row>
    <row r="30655" spans="1:6" ht="12.75">
      <c r="A30655" s="2">
        <v>43875.535543981481</v>
      </c>
      <c r="B30655" t="str">
        <f>HYPERLINK("https://twitter.com/ZHOUMIne","@ZHOUMIne")</f>
        <v>@ZHOUMIne</v>
      </c>
      <c r="C30655" t="s">
        <v>2444</v>
      </c>
      <c r="D30655">
        <v>695</v>
      </c>
      <c r="E30655">
        <v>0</v>
      </c>
      <c r="F30655">
        <v>37</v>
      </c>
    </row>
    <row r="30656" spans="1:6" ht="12.75">
      <c r="A30656" s="2">
        <v>43875.535486111112</v>
      </c>
      <c r="B30656" t="str">
        <f>HYPERLINK("https://twitter.com/PE_Fenny","@PE_Fenny")</f>
        <v>@PE_Fenny</v>
      </c>
      <c r="C30656" t="s">
        <v>2444</v>
      </c>
      <c r="D30656">
        <v>695</v>
      </c>
      <c r="E30656">
        <v>0</v>
      </c>
      <c r="F30656">
        <v>715</v>
      </c>
    </row>
    <row r="30657" spans="1:6" ht="12.75">
      <c r="A30657" s="2">
        <v>43875.535474537042</v>
      </c>
      <c r="B30657" t="str">
        <f>HYPERLINK("https://twitter.com/Rose89Black","@Rose89Black")</f>
        <v>@Rose89Black</v>
      </c>
      <c r="C30657" t="s">
        <v>10109</v>
      </c>
      <c r="D30657">
        <v>17</v>
      </c>
      <c r="E30657">
        <v>0</v>
      </c>
      <c r="F30657">
        <v>836</v>
      </c>
    </row>
    <row r="30658" spans="1:6" ht="12.75">
      <c r="A30658" s="2">
        <v>43875.535439814819</v>
      </c>
      <c r="B30658" t="str">
        <f>HYPERLINK("https://twitter.com/qunrizulfa","@qunrizulfa")</f>
        <v>@qunrizulfa</v>
      </c>
      <c r="C30658" t="s">
        <v>2444</v>
      </c>
      <c r="D30658">
        <v>695</v>
      </c>
      <c r="E30658">
        <v>0</v>
      </c>
      <c r="F30658">
        <v>3</v>
      </c>
    </row>
    <row r="30659" spans="1:6" ht="12.75">
      <c r="A30659" s="2">
        <v>43875.535405092596</v>
      </c>
      <c r="B30659" t="str">
        <f>HYPERLINK("https://twitter.com/ekabintangnurc2","@ekabintangnurc2")</f>
        <v>@ekabintangnurc2</v>
      </c>
      <c r="C30659" t="s">
        <v>10237</v>
      </c>
      <c r="D30659">
        <v>38</v>
      </c>
      <c r="E30659">
        <v>0</v>
      </c>
      <c r="F30659">
        <v>197</v>
      </c>
    </row>
    <row r="30660" spans="1:6" ht="12.75">
      <c r="A30660" s="2">
        <v>43875.535393518519</v>
      </c>
      <c r="B30660" t="str">
        <f>HYPERLINK("https://twitter.com/HaloAdeSky","@HaloAdeSky")</f>
        <v>@HaloAdeSky</v>
      </c>
      <c r="C30660" t="s">
        <v>13020</v>
      </c>
      <c r="D30660">
        <v>0</v>
      </c>
      <c r="E30660">
        <v>0</v>
      </c>
      <c r="F30660">
        <v>444</v>
      </c>
    </row>
    <row r="30661" spans="1:6" ht="12.75">
      <c r="A30661" s="2">
        <v>43875.535381944443</v>
      </c>
      <c r="B30661" t="str">
        <f>HYPERLINK("https://twitter.com/sesamalelaki_","@sesamalelaki_")</f>
        <v>@sesamalelaki_</v>
      </c>
      <c r="C30661" t="s">
        <v>12044</v>
      </c>
      <c r="D30661">
        <v>49</v>
      </c>
      <c r="E30661">
        <v>0</v>
      </c>
      <c r="F30661">
        <v>1564</v>
      </c>
    </row>
    <row r="30662" spans="1:6" ht="12.75">
      <c r="A30662" s="2">
        <v>43875.53533564815</v>
      </c>
      <c r="B30662" t="str">
        <f>HYPERLINK("https://twitter.com/taejiminbts","@taejiminbts")</f>
        <v>@taejiminbts</v>
      </c>
      <c r="C30662" t="s">
        <v>2444</v>
      </c>
      <c r="D30662">
        <v>695</v>
      </c>
      <c r="E30662">
        <v>0</v>
      </c>
      <c r="F30662">
        <v>1578</v>
      </c>
    </row>
    <row r="30663" spans="1:6" ht="12.75">
      <c r="A30663" s="2">
        <v>43875.535324074073</v>
      </c>
      <c r="B30663" t="str">
        <f>HYPERLINK("https://twitter.com/jansefaye","@jansefaye")</f>
        <v>@jansefaye</v>
      </c>
      <c r="C30663" t="s">
        <v>2444</v>
      </c>
      <c r="D30663">
        <v>695</v>
      </c>
      <c r="E30663">
        <v>0</v>
      </c>
      <c r="F30663">
        <v>219</v>
      </c>
    </row>
    <row r="30664" spans="1:6" ht="12.75">
      <c r="A30664" s="2">
        <v>43875.53528935185</v>
      </c>
      <c r="B30664" t="str">
        <f>HYPERLINK("https://twitter.com/Anggira86839022","@Anggira86839022")</f>
        <v>@Anggira86839022</v>
      </c>
      <c r="C30664" t="s">
        <v>2444</v>
      </c>
      <c r="D30664">
        <v>695</v>
      </c>
      <c r="E30664">
        <v>0</v>
      </c>
      <c r="F30664">
        <v>82</v>
      </c>
    </row>
    <row r="30665" spans="1:6" ht="12.75">
      <c r="A30665" s="2">
        <v>43875.535266203704</v>
      </c>
      <c r="B30665" t="str">
        <f>HYPERLINK("https://twitter.com/muhalmi1","@muhalmi1")</f>
        <v>@muhalmi1</v>
      </c>
      <c r="C30665" t="s">
        <v>2444</v>
      </c>
      <c r="D30665">
        <v>695</v>
      </c>
      <c r="E30665">
        <v>0</v>
      </c>
      <c r="F30665">
        <v>284</v>
      </c>
    </row>
    <row r="30666" spans="1:6" ht="12.75">
      <c r="A30666" s="2">
        <v>43875.535231481481</v>
      </c>
      <c r="B30666" t="str">
        <f>HYPERLINK("https://twitter.com/DParSi1","@DParSi1")</f>
        <v>@DParSi1</v>
      </c>
      <c r="C30666" t="s">
        <v>11394</v>
      </c>
      <c r="D30666">
        <v>23</v>
      </c>
      <c r="E30666">
        <v>0</v>
      </c>
      <c r="F30666">
        <v>21</v>
      </c>
    </row>
    <row r="30667" spans="1:6" ht="12.75">
      <c r="A30667" s="2">
        <v>43875.535208333335</v>
      </c>
      <c r="B30667" t="str">
        <f>HYPERLINK("https://twitter.com/matchaanget","@matchaanget")</f>
        <v>@matchaanget</v>
      </c>
      <c r="C30667" t="s">
        <v>2444</v>
      </c>
      <c r="D30667">
        <v>695</v>
      </c>
      <c r="E30667">
        <v>0</v>
      </c>
      <c r="F30667">
        <v>76</v>
      </c>
    </row>
    <row r="30668" spans="1:6" ht="12.75">
      <c r="A30668" s="2">
        <v>43875.535196759258</v>
      </c>
      <c r="B30668" t="str">
        <f>HYPERLINK("https://twitter.com/Veenone","@Veenone")</f>
        <v>@Veenone</v>
      </c>
      <c r="C30668" t="s">
        <v>13021</v>
      </c>
      <c r="D30668">
        <v>4</v>
      </c>
      <c r="E30668">
        <v>0</v>
      </c>
      <c r="F30668">
        <v>1211</v>
      </c>
    </row>
    <row r="30669" spans="1:6" ht="12.75">
      <c r="A30669" s="2">
        <v>43875.535162037035</v>
      </c>
      <c r="B30669" t="str">
        <f>HYPERLINK("https://twitter.com/SeolheeMoon","@SeolheeMoon")</f>
        <v>@SeolheeMoon</v>
      </c>
      <c r="C30669" t="s">
        <v>9964</v>
      </c>
      <c r="D30669">
        <v>552</v>
      </c>
      <c r="E30669">
        <v>0</v>
      </c>
      <c r="F30669">
        <v>296</v>
      </c>
    </row>
    <row r="30670" spans="1:6" ht="12.75">
      <c r="A30670" s="2">
        <v>43875.535162037035</v>
      </c>
      <c r="B30670" t="str">
        <f>HYPERLINK("https://twitter.com/dioda17","@dioda17")</f>
        <v>@dioda17</v>
      </c>
      <c r="C30670" t="s">
        <v>13022</v>
      </c>
      <c r="D30670">
        <v>0</v>
      </c>
      <c r="E30670">
        <v>0</v>
      </c>
      <c r="F30670">
        <v>8</v>
      </c>
    </row>
    <row r="30671" spans="1:6" ht="12.75">
      <c r="A30671" s="2">
        <v>43875.535046296296</v>
      </c>
      <c r="B30671" t="str">
        <f>HYPERLINK("https://twitter.com/Rakaaz1","@Rakaaz1")</f>
        <v>@Rakaaz1</v>
      </c>
      <c r="C30671" t="s">
        <v>2444</v>
      </c>
      <c r="D30671">
        <v>695</v>
      </c>
      <c r="E30671">
        <v>0</v>
      </c>
      <c r="F30671">
        <v>5</v>
      </c>
    </row>
    <row r="30672" spans="1:6" ht="12.75">
      <c r="A30672" s="2">
        <v>43875.535046296296</v>
      </c>
      <c r="B30672" t="str">
        <f>HYPERLINK("https://twitter.com/lorpa3","@lorpa3")</f>
        <v>@lorpa3</v>
      </c>
      <c r="C30672" t="s">
        <v>13023</v>
      </c>
      <c r="D30672">
        <v>0</v>
      </c>
      <c r="E30672">
        <v>1</v>
      </c>
      <c r="F30672">
        <v>30</v>
      </c>
    </row>
    <row r="30673" spans="1:6" ht="12.75">
      <c r="A30673" s="2">
        <v>43875.534988425927</v>
      </c>
      <c r="B30673" t="str">
        <f>HYPERLINK("https://twitter.com/xabumi","@xabumi")</f>
        <v>@xabumi</v>
      </c>
      <c r="C30673" t="s">
        <v>2444</v>
      </c>
      <c r="D30673">
        <v>695</v>
      </c>
      <c r="E30673">
        <v>0</v>
      </c>
      <c r="F30673">
        <v>14</v>
      </c>
    </row>
    <row r="30674" spans="1:6" ht="12.75">
      <c r="A30674" s="2">
        <v>43875.534988425927</v>
      </c>
      <c r="B30674" t="str">
        <f>HYPERLINK("https://twitter.com/KomikPolitik","@KomikPolitik")</f>
        <v>@KomikPolitik</v>
      </c>
      <c r="C30674" t="s">
        <v>13024</v>
      </c>
      <c r="D30674">
        <v>0</v>
      </c>
      <c r="E30674">
        <v>0</v>
      </c>
      <c r="F30674">
        <v>183</v>
      </c>
    </row>
    <row r="30675" spans="1:6" ht="12.75">
      <c r="A30675" s="2">
        <v>43875.534942129627</v>
      </c>
      <c r="B30675" t="str">
        <f>HYPERLINK("https://twitter.com/gianteplok","@gianteplok")</f>
        <v>@gianteplok</v>
      </c>
      <c r="C30675" t="s">
        <v>2444</v>
      </c>
      <c r="D30675">
        <v>695</v>
      </c>
      <c r="E30675">
        <v>0</v>
      </c>
      <c r="F30675">
        <v>2100</v>
      </c>
    </row>
    <row r="30676" spans="1:6" ht="12.75">
      <c r="A30676" s="2">
        <v>43875.534872685181</v>
      </c>
      <c r="B30676" t="str">
        <f>HYPERLINK("https://twitter.com/menjelangasar","@menjelangasar")</f>
        <v>@menjelangasar</v>
      </c>
      <c r="C30676" t="s">
        <v>10319</v>
      </c>
      <c r="D30676">
        <v>154</v>
      </c>
      <c r="E30676">
        <v>0</v>
      </c>
      <c r="F30676">
        <v>1382</v>
      </c>
    </row>
    <row r="30677" spans="1:6" ht="12.75">
      <c r="A30677" s="2">
        <v>43875.534861111111</v>
      </c>
      <c r="B30677" t="str">
        <f>HYPERLINK("https://twitter.com/MAlexandriet","@MAlexandriet")</f>
        <v>@MAlexandriet</v>
      </c>
      <c r="C30677" t="s">
        <v>11176</v>
      </c>
      <c r="D30677">
        <v>4</v>
      </c>
      <c r="E30677">
        <v>0</v>
      </c>
      <c r="F30677">
        <v>195</v>
      </c>
    </row>
    <row r="30678" spans="1:6" ht="12.75">
      <c r="A30678" s="2">
        <v>43875.534814814819</v>
      </c>
      <c r="B30678" t="str">
        <f>HYPERLINK("https://twitter.com/KontanNews","@KontanNews")</f>
        <v>@KontanNews</v>
      </c>
      <c r="C30678" t="s">
        <v>13025</v>
      </c>
      <c r="D30678">
        <v>0</v>
      </c>
      <c r="E30678">
        <v>1</v>
      </c>
      <c r="F30678">
        <v>316278</v>
      </c>
    </row>
    <row r="30679" spans="1:6" ht="12.75">
      <c r="A30679" s="2">
        <v>43875.534768518519</v>
      </c>
      <c r="B30679" t="str">
        <f>HYPERLINK("https://twitter.com/joshku","@joshku")</f>
        <v>@joshku</v>
      </c>
      <c r="C30679" t="s">
        <v>2444</v>
      </c>
      <c r="D30679">
        <v>695</v>
      </c>
      <c r="E30679">
        <v>0</v>
      </c>
      <c r="F30679">
        <v>310</v>
      </c>
    </row>
    <row r="30680" spans="1:6" ht="12.75">
      <c r="A30680" s="2">
        <v>43875.534745370373</v>
      </c>
      <c r="B30680" t="str">
        <f>HYPERLINK("https://twitter.com/vanteqim","@vanteqim")</f>
        <v>@vanteqim</v>
      </c>
      <c r="C30680" t="s">
        <v>2444</v>
      </c>
      <c r="D30680">
        <v>695</v>
      </c>
      <c r="E30680">
        <v>0</v>
      </c>
      <c r="F30680">
        <v>298</v>
      </c>
    </row>
    <row r="30681" spans="1:6" ht="12.75">
      <c r="A30681" s="2">
        <v>43875.534733796296</v>
      </c>
      <c r="B30681" t="str">
        <f>HYPERLINK("https://twitter.com/Dewa93716095","@Dewa93716095")</f>
        <v>@Dewa93716095</v>
      </c>
      <c r="C30681" t="s">
        <v>13026</v>
      </c>
      <c r="D30681">
        <v>0</v>
      </c>
      <c r="E30681">
        <v>0</v>
      </c>
      <c r="F30681">
        <v>1377</v>
      </c>
    </row>
    <row r="30682" spans="1:6" ht="12.75">
      <c r="A30682" s="2">
        <v>43875.534722222219</v>
      </c>
      <c r="B30682" t="str">
        <f>HYPERLINK("https://twitter.com/ResaGn","@ResaGn")</f>
        <v>@ResaGn</v>
      </c>
      <c r="C30682" t="s">
        <v>13027</v>
      </c>
      <c r="D30682">
        <v>301</v>
      </c>
      <c r="E30682">
        <v>0</v>
      </c>
      <c r="F30682">
        <v>456</v>
      </c>
    </row>
    <row r="30683" spans="1:6" ht="12.75">
      <c r="A30683" s="2">
        <v>43875.534687499996</v>
      </c>
      <c r="B30683" t="str">
        <f>HYPERLINK("https://twitter.com/Rahmadayater","@Rahmadayater")</f>
        <v>@Rahmadayater</v>
      </c>
      <c r="C30683" t="s">
        <v>2444</v>
      </c>
      <c r="D30683">
        <v>695</v>
      </c>
      <c r="E30683">
        <v>0</v>
      </c>
      <c r="F30683">
        <v>696</v>
      </c>
    </row>
    <row r="30684" spans="1:6" ht="12.75">
      <c r="A30684" s="2">
        <v>43875.534490740742</v>
      </c>
      <c r="B30684" t="str">
        <f>HYPERLINK("https://twitter.com/CapeUdah","@CapeUdah")</f>
        <v>@CapeUdah</v>
      </c>
      <c r="C30684" t="s">
        <v>2444</v>
      </c>
      <c r="D30684">
        <v>695</v>
      </c>
      <c r="E30684">
        <v>0</v>
      </c>
      <c r="F30684">
        <v>108</v>
      </c>
    </row>
    <row r="30685" spans="1:6" ht="12.75">
      <c r="A30685" s="2">
        <v>43875.534456018519</v>
      </c>
      <c r="B30685" t="str">
        <f>HYPERLINK("https://twitter.com/dodi_ahmad07","@dodi_ahmad07")</f>
        <v>@dodi_ahmad07</v>
      </c>
      <c r="C30685" t="s">
        <v>12940</v>
      </c>
      <c r="D30685">
        <v>97</v>
      </c>
      <c r="E30685">
        <v>0</v>
      </c>
      <c r="F30685">
        <v>623</v>
      </c>
    </row>
    <row r="30686" spans="1:6" ht="12.75">
      <c r="A30686" s="2">
        <v>43875.534421296295</v>
      </c>
      <c r="B30686" t="str">
        <f>HYPERLINK("https://twitter.com/Rvladitya88","@Rvladitya88")</f>
        <v>@Rvladitya88</v>
      </c>
      <c r="C30686" t="s">
        <v>11425</v>
      </c>
      <c r="D30686">
        <v>218</v>
      </c>
      <c r="E30686">
        <v>0</v>
      </c>
      <c r="F30686">
        <v>921</v>
      </c>
    </row>
    <row r="30687" spans="1:6" ht="12.75">
      <c r="A30687" s="2">
        <v>43875.534409722226</v>
      </c>
      <c r="B30687" t="str">
        <f>HYPERLINK("https://twitter.com/ohAgungg","@ohAgungg")</f>
        <v>@ohAgungg</v>
      </c>
      <c r="C30687" t="s">
        <v>2444</v>
      </c>
      <c r="D30687">
        <v>695</v>
      </c>
      <c r="E30687">
        <v>0</v>
      </c>
      <c r="F30687">
        <v>105</v>
      </c>
    </row>
    <row r="30688" spans="1:6" ht="12.75">
      <c r="A30688" s="2">
        <v>43875.534351851849</v>
      </c>
      <c r="B30688" t="str">
        <f>HYPERLINK("https://twitter.com/tinkerbeeeelz","@tinkerbeeeelz")</f>
        <v>@tinkerbeeeelz</v>
      </c>
      <c r="C30688" t="s">
        <v>2444</v>
      </c>
      <c r="D30688">
        <v>695</v>
      </c>
      <c r="E30688">
        <v>0</v>
      </c>
      <c r="F30688">
        <v>219</v>
      </c>
    </row>
    <row r="30689" spans="1:6" ht="12.75">
      <c r="A30689" s="2">
        <v>43875.534270833334</v>
      </c>
      <c r="B30689" t="str">
        <f>HYPERLINK("https://twitter.com/dellapearce_","@dellapearce_")</f>
        <v>@dellapearce_</v>
      </c>
      <c r="C30689" t="s">
        <v>2444</v>
      </c>
      <c r="D30689">
        <v>695</v>
      </c>
      <c r="E30689">
        <v>0</v>
      </c>
      <c r="F30689">
        <v>181</v>
      </c>
    </row>
    <row r="30690" spans="1:6" ht="12.75">
      <c r="A30690" s="2">
        <v>43875.534236111111</v>
      </c>
      <c r="B30690" t="str">
        <f>HYPERLINK("https://twitter.com/boy7822","@boy7822")</f>
        <v>@boy7822</v>
      </c>
      <c r="C30690" t="s">
        <v>11484</v>
      </c>
      <c r="D30690">
        <v>251</v>
      </c>
      <c r="E30690">
        <v>0</v>
      </c>
      <c r="F30690">
        <v>2038</v>
      </c>
    </row>
    <row r="30691" spans="1:6" ht="12.75">
      <c r="A30691" s="2">
        <v>43875.534212962964</v>
      </c>
      <c r="B30691" t="str">
        <f>HYPERLINK("https://twitter.com/coegmin","@coegmin")</f>
        <v>@coegmin</v>
      </c>
      <c r="C30691" t="s">
        <v>2444</v>
      </c>
      <c r="D30691">
        <v>695</v>
      </c>
      <c r="E30691">
        <v>0</v>
      </c>
      <c r="F30691">
        <v>51</v>
      </c>
    </row>
    <row r="30692" spans="1:6" ht="12.75">
      <c r="A30692" s="2">
        <v>43875.534201388888</v>
      </c>
      <c r="B30692" t="str">
        <f>HYPERLINK("https://twitter.com/swloll","@swloll")</f>
        <v>@swloll</v>
      </c>
      <c r="C30692" t="s">
        <v>2444</v>
      </c>
      <c r="D30692">
        <v>695</v>
      </c>
      <c r="E30692">
        <v>0</v>
      </c>
      <c r="F30692">
        <v>2</v>
      </c>
    </row>
    <row r="30693" spans="1:6" ht="12.75">
      <c r="A30693" s="2">
        <v>43875.534085648149</v>
      </c>
      <c r="B30693" t="str">
        <f>HYPERLINK("https://twitter.com/partyellow","@partyellow")</f>
        <v>@partyellow</v>
      </c>
      <c r="C30693" t="s">
        <v>2444</v>
      </c>
      <c r="D30693">
        <v>695</v>
      </c>
      <c r="E30693">
        <v>0</v>
      </c>
      <c r="F30693">
        <v>2535</v>
      </c>
    </row>
    <row r="30694" spans="1:6" ht="12.75">
      <c r="A30694" s="2">
        <v>43875.534062499995</v>
      </c>
      <c r="B30694" t="str">
        <f>HYPERLINK("https://twitter.com/bipolonline","@bipolonline")</f>
        <v>@bipolonline</v>
      </c>
      <c r="C30694" t="s">
        <v>13028</v>
      </c>
      <c r="D30694">
        <v>0</v>
      </c>
      <c r="E30694">
        <v>0</v>
      </c>
      <c r="F30694">
        <v>213</v>
      </c>
    </row>
    <row r="30695" spans="1:6" ht="12.75">
      <c r="A30695" s="2">
        <v>43875.534004629633</v>
      </c>
      <c r="B30695" t="str">
        <f>HYPERLINK("https://twitter.com/maocwanteks","@maocwanteks")</f>
        <v>@maocwanteks</v>
      </c>
      <c r="C30695" t="s">
        <v>2444</v>
      </c>
      <c r="D30695">
        <v>695</v>
      </c>
      <c r="E30695">
        <v>0</v>
      </c>
      <c r="F30695">
        <v>2167</v>
      </c>
    </row>
    <row r="30696" spans="1:6" ht="12.75">
      <c r="A30696" s="2">
        <v>43875.53398148148</v>
      </c>
      <c r="B30696" t="str">
        <f>HYPERLINK("https://twitter.com/Abdoelghanii","@Abdoelghanii")</f>
        <v>@Abdoelghanii</v>
      </c>
      <c r="C30696" t="s">
        <v>13029</v>
      </c>
      <c r="D30696">
        <v>0</v>
      </c>
      <c r="E30696">
        <v>0</v>
      </c>
      <c r="F30696">
        <v>386</v>
      </c>
    </row>
    <row r="30697" spans="1:6" ht="12.75">
      <c r="A30697" s="2">
        <v>43875.533854166672</v>
      </c>
      <c r="B30697" t="str">
        <f>HYPERLINK("https://twitter.com/mintealova","@mintealova")</f>
        <v>@mintealova</v>
      </c>
      <c r="C30697" t="s">
        <v>2444</v>
      </c>
      <c r="D30697">
        <v>695</v>
      </c>
      <c r="E30697">
        <v>0</v>
      </c>
      <c r="F30697">
        <v>150</v>
      </c>
    </row>
    <row r="30698" spans="1:6" ht="12.75">
      <c r="A30698" s="2">
        <v>43875.533842592587</v>
      </c>
      <c r="B30698" t="str">
        <f>HYPERLINK("https://twitter.com/mohammadkoba","@mohammadkoba")</f>
        <v>@mohammadkoba</v>
      </c>
      <c r="C30698" t="s">
        <v>2078</v>
      </c>
      <c r="D30698">
        <v>18</v>
      </c>
      <c r="E30698">
        <v>0</v>
      </c>
      <c r="F30698">
        <v>346</v>
      </c>
    </row>
    <row r="30699" spans="1:6" ht="12.75">
      <c r="A30699" s="2">
        <v>43875.533784722225</v>
      </c>
      <c r="B30699" t="str">
        <f>HYPERLINK("https://twitter.com/nagalana_","@nagalana_")</f>
        <v>@nagalana_</v>
      </c>
      <c r="C30699" t="s">
        <v>2444</v>
      </c>
      <c r="D30699">
        <v>695</v>
      </c>
      <c r="E30699">
        <v>0</v>
      </c>
      <c r="F30699">
        <v>1600</v>
      </c>
    </row>
    <row r="30700" spans="1:6" ht="12.75">
      <c r="A30700" s="2">
        <v>43875.533657407403</v>
      </c>
      <c r="B30700" t="str">
        <f>HYPERLINK("https://twitter.com/megazhra","@megazhra")</f>
        <v>@megazhra</v>
      </c>
      <c r="C30700" t="s">
        <v>2444</v>
      </c>
      <c r="D30700">
        <v>695</v>
      </c>
      <c r="E30700">
        <v>0</v>
      </c>
      <c r="F30700">
        <v>251</v>
      </c>
    </row>
    <row r="30701" spans="1:6" ht="12.75">
      <c r="A30701" s="2">
        <v>43875.533599537041</v>
      </c>
      <c r="B30701" t="str">
        <f>HYPERLINK("https://twitter.com/dunhilitempride","@dunhilitempride")</f>
        <v>@dunhilitempride</v>
      </c>
      <c r="C30701" t="s">
        <v>2444</v>
      </c>
      <c r="D30701">
        <v>695</v>
      </c>
      <c r="E30701">
        <v>0</v>
      </c>
      <c r="F30701">
        <v>1612</v>
      </c>
    </row>
    <row r="30702" spans="1:6" ht="12.75">
      <c r="A30702" s="2">
        <v>43875.533576388887</v>
      </c>
      <c r="B30702" t="str">
        <f>HYPERLINK("https://twitter.com/AndrianusDjlit1","@AndrianusDjlit1")</f>
        <v>@AndrianusDjlit1</v>
      </c>
      <c r="C30702" t="s">
        <v>13030</v>
      </c>
      <c r="D30702">
        <v>0</v>
      </c>
      <c r="E30702">
        <v>0</v>
      </c>
      <c r="F30702">
        <v>3</v>
      </c>
    </row>
    <row r="30703" spans="1:6" ht="12.75">
      <c r="A30703" s="2">
        <v>43875.533460648148</v>
      </c>
      <c r="B30703" t="str">
        <f>HYPERLINK("https://twitter.com/icegoodday","@icegoodday")</f>
        <v>@icegoodday</v>
      </c>
      <c r="C30703" t="s">
        <v>2444</v>
      </c>
      <c r="D30703">
        <v>695</v>
      </c>
      <c r="E30703">
        <v>0</v>
      </c>
      <c r="F30703">
        <v>59</v>
      </c>
    </row>
    <row r="30704" spans="1:6" ht="12.75">
      <c r="A30704" s="2">
        <v>43875.533414351856</v>
      </c>
      <c r="B30704" t="str">
        <f>HYPERLINK("https://twitter.com/shilahmausul_","@shilahmausul_")</f>
        <v>@shilahmausul_</v>
      </c>
      <c r="C30704" t="s">
        <v>2444</v>
      </c>
      <c r="D30704">
        <v>695</v>
      </c>
      <c r="E30704">
        <v>0</v>
      </c>
      <c r="F30704">
        <v>452</v>
      </c>
    </row>
    <row r="30705" spans="1:6" ht="12.75">
      <c r="A30705" s="2">
        <v>43875.533333333333</v>
      </c>
      <c r="B30705" t="str">
        <f>HYPERLINK("https://twitter.com/mureliyana","@mureliyana")</f>
        <v>@mureliyana</v>
      </c>
      <c r="C30705" t="s">
        <v>12579</v>
      </c>
      <c r="D30705">
        <v>1</v>
      </c>
      <c r="E30705">
        <v>0</v>
      </c>
      <c r="F30705">
        <v>332</v>
      </c>
    </row>
    <row r="30706" spans="1:6" ht="12.75">
      <c r="A30706" s="2">
        <v>43875.533321759256</v>
      </c>
      <c r="B30706" t="str">
        <f>HYPERLINK("https://twitter.com/Oranggjahat","@Oranggjahat")</f>
        <v>@Oranggjahat</v>
      </c>
      <c r="C30706" t="s">
        <v>2444</v>
      </c>
      <c r="D30706">
        <v>695</v>
      </c>
      <c r="E30706">
        <v>0</v>
      </c>
      <c r="F30706">
        <v>58</v>
      </c>
    </row>
    <row r="30707" spans="1:6" ht="12.75">
      <c r="A30707" s="2">
        <v>43875.533217592594</v>
      </c>
      <c r="B30707" t="str">
        <f>HYPERLINK("https://twitter.com/Asepism63254575","@Asepism63254575")</f>
        <v>@Asepism63254575</v>
      </c>
      <c r="C30707" t="s">
        <v>13031</v>
      </c>
      <c r="D30707">
        <v>0</v>
      </c>
      <c r="E30707">
        <v>0</v>
      </c>
      <c r="F30707">
        <v>8</v>
      </c>
    </row>
    <row r="30708" spans="1:6" ht="12.75">
      <c r="A30708" s="2">
        <v>43875.533182870371</v>
      </c>
      <c r="B30708" t="str">
        <f>HYPERLINK("https://twitter.com/febiantyvvia","@febiantyvvia")</f>
        <v>@febiantyvvia</v>
      </c>
      <c r="C30708" t="s">
        <v>2444</v>
      </c>
      <c r="D30708">
        <v>695</v>
      </c>
      <c r="E30708">
        <v>0</v>
      </c>
      <c r="F30708">
        <v>154</v>
      </c>
    </row>
    <row r="30709" spans="1:6" ht="12.75">
      <c r="A30709" s="2">
        <v>43875.533125000002</v>
      </c>
      <c r="B30709" t="str">
        <f>HYPERLINK("https://twitter.com/akmalmilan01","@akmalmilan01")</f>
        <v>@akmalmilan01</v>
      </c>
      <c r="C30709" t="s">
        <v>9119</v>
      </c>
      <c r="D30709">
        <v>46</v>
      </c>
      <c r="E30709">
        <v>0</v>
      </c>
      <c r="F30709">
        <v>346</v>
      </c>
    </row>
    <row r="30710" spans="1:6" ht="12.75">
      <c r="A30710" s="2">
        <v>43875.533078703702</v>
      </c>
      <c r="B30710" t="str">
        <f>HYPERLINK("https://twitter.com/sesukabct","@sesukabct")</f>
        <v>@sesukabct</v>
      </c>
      <c r="C30710" t="s">
        <v>2444</v>
      </c>
      <c r="D30710">
        <v>695</v>
      </c>
      <c r="E30710">
        <v>0</v>
      </c>
      <c r="F30710">
        <v>6</v>
      </c>
    </row>
    <row r="30711" spans="1:6" ht="12.75">
      <c r="A30711" s="2">
        <v>43875.533032407402</v>
      </c>
      <c r="B30711" t="str">
        <f>HYPERLINK("https://twitter.com/dabenone2","@dabenone2")</f>
        <v>@dabenone2</v>
      </c>
      <c r="C30711" t="s">
        <v>13032</v>
      </c>
      <c r="D30711">
        <v>0</v>
      </c>
      <c r="E30711">
        <v>0</v>
      </c>
      <c r="F30711">
        <v>44</v>
      </c>
    </row>
    <row r="30712" spans="1:6" ht="12.75">
      <c r="A30712" s="2">
        <v>43875.533009259263</v>
      </c>
      <c r="B30712" t="str">
        <f>HYPERLINK("https://twitter.com/AJangJoDo","@AJangJoDo")</f>
        <v>@AJangJoDo</v>
      </c>
      <c r="C30712" t="s">
        <v>13033</v>
      </c>
      <c r="D30712">
        <v>0</v>
      </c>
      <c r="E30712">
        <v>0</v>
      </c>
      <c r="F30712">
        <v>120</v>
      </c>
    </row>
    <row r="30713" spans="1:6" ht="12.75">
      <c r="A30713" s="2">
        <v>43875.532939814817</v>
      </c>
      <c r="B30713" t="str">
        <f>HYPERLINK("https://twitter.com/ariftriw","@ariftriw")</f>
        <v>@ariftriw</v>
      </c>
      <c r="C30713" t="s">
        <v>13034</v>
      </c>
      <c r="D30713">
        <v>0</v>
      </c>
      <c r="E30713">
        <v>0</v>
      </c>
      <c r="F30713">
        <v>120</v>
      </c>
    </row>
    <row r="30714" spans="1:6" ht="12.75">
      <c r="A30714" s="2">
        <v>43875.532870370371</v>
      </c>
      <c r="B30714" t="str">
        <f>HYPERLINK("https://twitter.com/RiSubinanta","@RiSubinanta")</f>
        <v>@RiSubinanta</v>
      </c>
      <c r="C30714" t="s">
        <v>175</v>
      </c>
      <c r="D30714">
        <v>5259</v>
      </c>
      <c r="E30714">
        <v>0</v>
      </c>
      <c r="F30714">
        <v>89</v>
      </c>
    </row>
    <row r="30715" spans="1:6" ht="12.75">
      <c r="A30715" s="2">
        <v>43875.532858796301</v>
      </c>
      <c r="B30715" t="str">
        <f>HYPERLINK("https://twitter.com/putrikebo","@putrikebo")</f>
        <v>@putrikebo</v>
      </c>
      <c r="C30715" t="s">
        <v>13035</v>
      </c>
      <c r="D30715">
        <v>7</v>
      </c>
      <c r="E30715">
        <v>0</v>
      </c>
      <c r="F30715">
        <v>185</v>
      </c>
    </row>
    <row r="30716" spans="1:6" ht="12.75">
      <c r="A30716" s="2">
        <v>43875.532789351855</v>
      </c>
      <c r="B30716" t="str">
        <f>HYPERLINK("https://twitter.com/ElshintaDotcom","@ElshintaDotcom")</f>
        <v>@ElshintaDotcom</v>
      </c>
      <c r="C30716" t="s">
        <v>13036</v>
      </c>
      <c r="D30716">
        <v>0</v>
      </c>
      <c r="E30716">
        <v>0</v>
      </c>
      <c r="F30716">
        <v>27865</v>
      </c>
    </row>
    <row r="30717" spans="1:6" ht="12.75">
      <c r="A30717" s="2">
        <v>43875.532708333332</v>
      </c>
      <c r="B30717" t="str">
        <f>HYPERLINK("https://twitter.com/SitiKastini","@SitiKastini")</f>
        <v>@SitiKastini</v>
      </c>
      <c r="C30717" t="s">
        <v>2444</v>
      </c>
      <c r="D30717">
        <v>695</v>
      </c>
      <c r="E30717">
        <v>0</v>
      </c>
      <c r="F30717">
        <v>1424</v>
      </c>
    </row>
    <row r="30718" spans="1:6" ht="12.75">
      <c r="A30718" s="2">
        <v>43875.532638888893</v>
      </c>
      <c r="B30718" t="str">
        <f>HYPERLINK("https://twitter.com/kompascom","@kompascom")</f>
        <v>@kompascom</v>
      </c>
      <c r="C30718" t="s">
        <v>13037</v>
      </c>
      <c r="D30718">
        <v>0</v>
      </c>
      <c r="E30718">
        <v>2</v>
      </c>
      <c r="F30718">
        <v>7497433</v>
      </c>
    </row>
    <row r="30719" spans="1:6" ht="12.75">
      <c r="A30719" s="2">
        <v>43875.53260416667</v>
      </c>
      <c r="B30719" t="str">
        <f>HYPERLINK("https://twitter.com/realPriGim","@realPriGim")</f>
        <v>@realPriGim</v>
      </c>
      <c r="C30719" t="s">
        <v>2963</v>
      </c>
      <c r="D30719">
        <v>766</v>
      </c>
      <c r="E30719">
        <v>0</v>
      </c>
      <c r="F30719">
        <v>3263</v>
      </c>
    </row>
    <row r="30720" spans="1:6" ht="12.75">
      <c r="A30720" s="2">
        <v>43875.53260416667</v>
      </c>
      <c r="B30720" t="str">
        <f>HYPERLINK("https://twitter.com/amazing_island","@amazing_island")</f>
        <v>@amazing_island</v>
      </c>
      <c r="C30720" t="s">
        <v>13038</v>
      </c>
      <c r="D30720">
        <v>0</v>
      </c>
      <c r="E30720">
        <v>0</v>
      </c>
      <c r="F30720">
        <v>666</v>
      </c>
    </row>
    <row r="30721" spans="1:6" ht="12.75">
      <c r="A30721" s="2">
        <v>43875.532511574071</v>
      </c>
      <c r="B30721" t="str">
        <f>HYPERLINK("https://twitter.com/stabiloey","@stabiloey")</f>
        <v>@stabiloey</v>
      </c>
      <c r="C30721" t="s">
        <v>2444</v>
      </c>
      <c r="D30721">
        <v>695</v>
      </c>
      <c r="E30721">
        <v>0</v>
      </c>
      <c r="F30721">
        <v>833</v>
      </c>
    </row>
    <row r="30722" spans="1:6" ht="12.75">
      <c r="A30722" s="2">
        <v>43875.532465277778</v>
      </c>
      <c r="B30722" t="str">
        <f>HYPERLINK("https://twitter.com/NanankZati1","@NanankZati1")</f>
        <v>@NanankZati1</v>
      </c>
      <c r="C30722" t="s">
        <v>2963</v>
      </c>
      <c r="D30722">
        <v>766</v>
      </c>
      <c r="E30722">
        <v>0</v>
      </c>
      <c r="F30722">
        <v>103</v>
      </c>
    </row>
    <row r="30723" spans="1:6" ht="12.75">
      <c r="A30723" s="2">
        <v>43875.532418981486</v>
      </c>
      <c r="B30723" t="str">
        <f>HYPERLINK("https://twitter.com/gamabuono","@gamabuono")</f>
        <v>@gamabuono</v>
      </c>
      <c r="C30723" t="s">
        <v>5168</v>
      </c>
      <c r="D30723">
        <v>576</v>
      </c>
      <c r="E30723">
        <v>0</v>
      </c>
      <c r="F30723">
        <v>255</v>
      </c>
    </row>
    <row r="30724" spans="1:6" ht="12.75">
      <c r="A30724" s="2">
        <v>43875.532384259262</v>
      </c>
      <c r="B30724" t="str">
        <f>HYPERLINK("https://twitter.com/kntlmaniss","@kntlmaniss")</f>
        <v>@kntlmaniss</v>
      </c>
      <c r="C30724" t="s">
        <v>2137</v>
      </c>
      <c r="D30724">
        <v>59</v>
      </c>
      <c r="E30724">
        <v>0</v>
      </c>
      <c r="F30724">
        <v>743</v>
      </c>
    </row>
    <row r="30725" spans="1:6" ht="12.75">
      <c r="A30725" s="2">
        <v>43875.532326388886</v>
      </c>
      <c r="B30725" t="str">
        <f>HYPERLINK("https://twitter.com/elevenoct_guy","@elevenoct_guy")</f>
        <v>@elevenoct_guy</v>
      </c>
      <c r="C30725" t="s">
        <v>13039</v>
      </c>
      <c r="D30725">
        <v>0</v>
      </c>
      <c r="E30725">
        <v>0</v>
      </c>
      <c r="F30725">
        <v>4</v>
      </c>
    </row>
    <row r="30726" spans="1:6" ht="12.75">
      <c r="A30726" s="2">
        <v>43875.53230324074</v>
      </c>
      <c r="B30726" t="str">
        <f>HYPERLINK("https://twitter.com/starlightpjmpjm","@starlightpjmpjm")</f>
        <v>@starlightpjmpjm</v>
      </c>
      <c r="C30726" t="s">
        <v>2444</v>
      </c>
      <c r="D30726">
        <v>695</v>
      </c>
      <c r="E30726">
        <v>0</v>
      </c>
      <c r="F30726">
        <v>427</v>
      </c>
    </row>
    <row r="30727" spans="1:6" ht="12.75">
      <c r="A30727" s="2">
        <v>43875.532210648147</v>
      </c>
      <c r="B30727" t="str">
        <f>HYPERLINK("https://twitter.com/Veenone","@Veenone")</f>
        <v>@Veenone</v>
      </c>
      <c r="C30727" t="s">
        <v>10096</v>
      </c>
      <c r="D30727">
        <v>105</v>
      </c>
      <c r="E30727">
        <v>0</v>
      </c>
      <c r="F30727">
        <v>1211</v>
      </c>
    </row>
    <row r="30728" spans="1:6" ht="12.75">
      <c r="A30728" s="2">
        <v>43875.532129629632</v>
      </c>
      <c r="B30728" t="str">
        <f>HYPERLINK("https://twitter.com/TeyengCekap","@TeyengCekap")</f>
        <v>@TeyengCekap</v>
      </c>
      <c r="C30728" t="s">
        <v>10422</v>
      </c>
      <c r="D30728">
        <v>72</v>
      </c>
      <c r="E30728">
        <v>0</v>
      </c>
      <c r="F30728">
        <v>4763</v>
      </c>
    </row>
    <row r="30729" spans="1:6" ht="12.75">
      <c r="A30729" s="2">
        <v>43875.532129629632</v>
      </c>
      <c r="B30729" t="str">
        <f>HYPERLINK("https://twitter.com/tejusiomay","@tejusiomay")</f>
        <v>@tejusiomay</v>
      </c>
      <c r="C30729" t="s">
        <v>2444</v>
      </c>
      <c r="D30729">
        <v>697</v>
      </c>
      <c r="E30729">
        <v>0</v>
      </c>
      <c r="F30729">
        <v>8</v>
      </c>
    </row>
    <row r="30730" spans="1:6" ht="12.75">
      <c r="A30730" s="2">
        <v>43875.532094907408</v>
      </c>
      <c r="B30730" t="str">
        <f>HYPERLINK("https://twitter.com/dheaorellia","@dheaorellia")</f>
        <v>@dheaorellia</v>
      </c>
      <c r="C30730" t="s">
        <v>13040</v>
      </c>
      <c r="D30730">
        <v>0</v>
      </c>
      <c r="E30730">
        <v>0</v>
      </c>
      <c r="F30730">
        <v>325</v>
      </c>
    </row>
    <row r="30731" spans="1:6" ht="12.75">
      <c r="A30731" s="2">
        <v>43875.532083333332</v>
      </c>
      <c r="B30731" t="str">
        <f>HYPERLINK("https://twitter.com/avocadozii","@avocadozii")</f>
        <v>@avocadozii</v>
      </c>
      <c r="C30731" t="s">
        <v>2444</v>
      </c>
      <c r="D30731">
        <v>697</v>
      </c>
      <c r="E30731">
        <v>0</v>
      </c>
      <c r="F30731">
        <v>2096</v>
      </c>
    </row>
    <row r="30732" spans="1:6" ht="12.75">
      <c r="A30732" s="2">
        <v>43875.531898148147</v>
      </c>
      <c r="B30732" t="str">
        <f>HYPERLINK("https://twitter.com/vincentiusradit","@vincentiusradit")</f>
        <v>@vincentiusradit</v>
      </c>
      <c r="C30732" t="s">
        <v>13041</v>
      </c>
      <c r="D30732">
        <v>0</v>
      </c>
      <c r="E30732">
        <v>0</v>
      </c>
      <c r="F30732">
        <v>318</v>
      </c>
    </row>
    <row r="30733" spans="1:6" ht="12.75">
      <c r="A30733" s="2">
        <v>43875.531863425931</v>
      </c>
      <c r="B30733" t="str">
        <f>HYPERLINK("https://twitter.com/hers_coffee","@hers_coffee")</f>
        <v>@hers_coffee</v>
      </c>
      <c r="C30733" t="s">
        <v>2963</v>
      </c>
      <c r="D30733">
        <v>766</v>
      </c>
      <c r="E30733">
        <v>0</v>
      </c>
      <c r="F30733">
        <v>3410</v>
      </c>
    </row>
    <row r="30734" spans="1:6" ht="12.75">
      <c r="A30734" s="2">
        <v>43875.531851851847</v>
      </c>
      <c r="B30734" t="str">
        <f>HYPERLINK("https://twitter.com/dsfajaru","@dsfajaru")</f>
        <v>@dsfajaru</v>
      </c>
      <c r="C30734" t="s">
        <v>2444</v>
      </c>
      <c r="D30734">
        <v>697</v>
      </c>
      <c r="E30734">
        <v>0</v>
      </c>
      <c r="F30734">
        <v>145</v>
      </c>
    </row>
    <row r="30735" spans="1:6" ht="12.75">
      <c r="A30735" s="2">
        <v>43875.531851851847</v>
      </c>
      <c r="B30735" t="str">
        <f>HYPERLINK("https://twitter.com/gnsoniaaa","@gnsoniaaa")</f>
        <v>@gnsoniaaa</v>
      </c>
      <c r="C30735" t="s">
        <v>2444</v>
      </c>
      <c r="D30735">
        <v>697</v>
      </c>
      <c r="E30735">
        <v>0</v>
      </c>
      <c r="F30735">
        <v>782</v>
      </c>
    </row>
    <row r="30736" spans="1:6" ht="12.75">
      <c r="A30736" s="2">
        <v>43875.531817129631</v>
      </c>
      <c r="B30736" t="str">
        <f>HYPERLINK("https://twitter.com/Aliffitrindewor","@Aliffitrindewor")</f>
        <v>@Aliffitrindewor</v>
      </c>
      <c r="C30736" t="s">
        <v>11428</v>
      </c>
      <c r="D30736">
        <v>4</v>
      </c>
      <c r="E30736">
        <v>0</v>
      </c>
      <c r="F30736">
        <v>551</v>
      </c>
    </row>
    <row r="30737" spans="1:6" ht="12.75">
      <c r="A30737" s="2">
        <v>43875.531712962962</v>
      </c>
      <c r="B30737" t="str">
        <f>HYPERLINK("https://twitter.com/evirilika","@evirilika")</f>
        <v>@evirilika</v>
      </c>
      <c r="C30737" t="s">
        <v>5168</v>
      </c>
      <c r="D30737">
        <v>576</v>
      </c>
      <c r="E30737">
        <v>0</v>
      </c>
      <c r="F30737">
        <v>419</v>
      </c>
    </row>
    <row r="30738" spans="1:6" ht="12.75">
      <c r="A30738" s="2">
        <v>43875.531689814816</v>
      </c>
      <c r="B30738" t="str">
        <f>HYPERLINK("https://twitter.com/GaenkD","@GaenkD")</f>
        <v>@GaenkD</v>
      </c>
      <c r="C30738" t="s">
        <v>13042</v>
      </c>
      <c r="D30738">
        <v>0</v>
      </c>
      <c r="E30738">
        <v>0</v>
      </c>
      <c r="F30738">
        <v>0</v>
      </c>
    </row>
    <row r="30739" spans="1:6" ht="12.75">
      <c r="A30739" s="2">
        <v>43875.531655092593</v>
      </c>
      <c r="B30739" t="str">
        <f>HYPERLINK("https://twitter.com/tayangayu","@tayangayu")</f>
        <v>@tayangayu</v>
      </c>
      <c r="C30739" t="s">
        <v>2444</v>
      </c>
      <c r="D30739">
        <v>697</v>
      </c>
      <c r="E30739">
        <v>0</v>
      </c>
      <c r="F30739">
        <v>597</v>
      </c>
    </row>
    <row r="30740" spans="1:6" ht="12.75">
      <c r="A30740" s="2">
        <v>43875.531574074077</v>
      </c>
      <c r="B30740" t="str">
        <f>HYPERLINK("https://twitter.com/sebuahmasker","@sebuahmasker")</f>
        <v>@sebuahmasker</v>
      </c>
      <c r="C30740" t="s">
        <v>5168</v>
      </c>
      <c r="D30740">
        <v>576</v>
      </c>
      <c r="E30740">
        <v>0</v>
      </c>
      <c r="F30740">
        <v>132</v>
      </c>
    </row>
    <row r="30741" spans="1:6" ht="12.75">
      <c r="A30741" s="2">
        <v>43875.531539351854</v>
      </c>
      <c r="B30741" t="str">
        <f>HYPERLINK("https://twitter.com/papaleomilenial","@papaleomilenial")</f>
        <v>@papaleomilenial</v>
      </c>
      <c r="C30741" t="s">
        <v>13043</v>
      </c>
      <c r="D30741">
        <v>0</v>
      </c>
      <c r="E30741">
        <v>0</v>
      </c>
      <c r="F30741">
        <v>909</v>
      </c>
    </row>
    <row r="30742" spans="1:6" ht="12.75">
      <c r="A30742" s="2">
        <v>43875.531481481477</v>
      </c>
      <c r="B30742" t="str">
        <f>HYPERLINK("https://twitter.com/lia_aja","@lia_aja")</f>
        <v>@lia_aja</v>
      </c>
      <c r="C30742" t="s">
        <v>13044</v>
      </c>
      <c r="D30742">
        <v>0</v>
      </c>
      <c r="E30742">
        <v>0</v>
      </c>
      <c r="F30742">
        <v>82</v>
      </c>
    </row>
    <row r="30743" spans="1:6" ht="12.75">
      <c r="A30743" s="2">
        <v>43875.531423611115</v>
      </c>
      <c r="B30743" t="str">
        <f>HYPERLINK("https://twitter.com/throne_owner","@throne_owner")</f>
        <v>@throne_owner</v>
      </c>
      <c r="C30743" t="s">
        <v>2144</v>
      </c>
      <c r="D30743">
        <v>65</v>
      </c>
      <c r="E30743">
        <v>0</v>
      </c>
      <c r="F30743">
        <v>49</v>
      </c>
    </row>
    <row r="30744" spans="1:6" ht="12.75">
      <c r="A30744" s="2">
        <v>43875.531342592592</v>
      </c>
      <c r="B30744" t="str">
        <f>HYPERLINK("https://twitter.com/TasunPawanto507","@TasunPawanto507")</f>
        <v>@TasunPawanto507</v>
      </c>
      <c r="C30744" t="s">
        <v>2963</v>
      </c>
      <c r="D30744">
        <v>766</v>
      </c>
      <c r="E30744">
        <v>0</v>
      </c>
      <c r="F30744">
        <v>1634</v>
      </c>
    </row>
    <row r="30745" spans="1:6" ht="12.75">
      <c r="A30745" s="2">
        <v>43875.531342592592</v>
      </c>
      <c r="B30745" t="str">
        <f>HYPERLINK("https://twitter.com/donaaaatjco","@donaaaatjco")</f>
        <v>@donaaaatjco</v>
      </c>
      <c r="C30745" t="s">
        <v>2444</v>
      </c>
      <c r="D30745">
        <v>697</v>
      </c>
      <c r="E30745">
        <v>0</v>
      </c>
      <c r="F30745">
        <v>757</v>
      </c>
    </row>
    <row r="30746" spans="1:6" ht="12.75">
      <c r="A30746" s="2">
        <v>43875.53126157407</v>
      </c>
      <c r="B30746" t="str">
        <f>HYPERLINK("https://twitter.com/dhederaa","@dhederaa")</f>
        <v>@dhederaa</v>
      </c>
      <c r="C30746" t="s">
        <v>5168</v>
      </c>
      <c r="D30746">
        <v>576</v>
      </c>
      <c r="E30746">
        <v>0</v>
      </c>
      <c r="F30746">
        <v>617</v>
      </c>
    </row>
    <row r="30747" spans="1:6" ht="12.75">
      <c r="A30747" s="2">
        <v>43875.531226851846</v>
      </c>
      <c r="B30747" t="str">
        <f>HYPERLINK("https://twitter.com/ephraym8","@ephraym8")</f>
        <v>@ephraym8</v>
      </c>
      <c r="C30747" t="s">
        <v>13045</v>
      </c>
      <c r="D30747">
        <v>4</v>
      </c>
      <c r="E30747">
        <v>0</v>
      </c>
      <c r="F30747">
        <v>1113</v>
      </c>
    </row>
    <row r="30748" spans="1:6" ht="12.75">
      <c r="A30748" s="2">
        <v>43875.531087962961</v>
      </c>
      <c r="B30748" t="str">
        <f>HYPERLINK("https://twitter.com/cbncs4","@cbncs4")</f>
        <v>@cbncs4</v>
      </c>
      <c r="C30748" t="s">
        <v>2444</v>
      </c>
      <c r="D30748">
        <v>697</v>
      </c>
      <c r="E30748">
        <v>0</v>
      </c>
      <c r="F30748">
        <v>30</v>
      </c>
    </row>
    <row r="30749" spans="1:6" ht="12.75">
      <c r="A30749" s="2">
        <v>43875.531076388885</v>
      </c>
      <c r="B30749" t="str">
        <f>HYPERLINK("https://twitter.com/SelliaRospika","@SelliaRospika")</f>
        <v>@SelliaRospika</v>
      </c>
      <c r="C30749" t="s">
        <v>2444</v>
      </c>
      <c r="D30749">
        <v>697</v>
      </c>
      <c r="E30749">
        <v>0</v>
      </c>
      <c r="F30749">
        <v>148</v>
      </c>
    </row>
    <row r="30750" spans="1:6" ht="12.75">
      <c r="A30750" s="2">
        <v>43875.531041666662</v>
      </c>
      <c r="B30750" t="str">
        <f>HYPERLINK("https://twitter.com/birudoker","@birudoker")</f>
        <v>@birudoker</v>
      </c>
      <c r="C30750" t="s">
        <v>2444</v>
      </c>
      <c r="D30750">
        <v>697</v>
      </c>
      <c r="E30750">
        <v>0</v>
      </c>
      <c r="F30750">
        <v>869</v>
      </c>
    </row>
    <row r="30751" spans="1:6" ht="12.75">
      <c r="A30751" s="2">
        <v>43875.531030092592</v>
      </c>
      <c r="B30751" t="str">
        <f>HYPERLINK("https://twitter.com/ahmadhito","@ahmadhito")</f>
        <v>@ahmadhito</v>
      </c>
      <c r="C30751" t="s">
        <v>2444</v>
      </c>
      <c r="D30751">
        <v>697</v>
      </c>
      <c r="E30751">
        <v>0</v>
      </c>
      <c r="F30751">
        <v>1668</v>
      </c>
    </row>
    <row r="30752" spans="1:6" ht="12.75">
      <c r="A30752" s="2">
        <v>43875.5309837963</v>
      </c>
      <c r="B30752" t="str">
        <f>HYPERLINK("https://twitter.com/pramondhes","@pramondhes")</f>
        <v>@pramondhes</v>
      </c>
      <c r="C30752" t="s">
        <v>9998</v>
      </c>
      <c r="D30752">
        <v>91</v>
      </c>
      <c r="E30752">
        <v>0</v>
      </c>
      <c r="F30752">
        <v>73</v>
      </c>
    </row>
    <row r="30753" spans="1:6" ht="12.75">
      <c r="A30753" s="2">
        <v>43875.5308912037</v>
      </c>
      <c r="B30753" t="str">
        <f>HYPERLINK("https://twitter.com/GemacanBack","@GemacanBack")</f>
        <v>@GemacanBack</v>
      </c>
      <c r="C30753" t="s">
        <v>10407</v>
      </c>
      <c r="D30753">
        <v>46</v>
      </c>
      <c r="E30753">
        <v>0</v>
      </c>
      <c r="F30753">
        <v>503</v>
      </c>
    </row>
    <row r="30754" spans="1:6" ht="12.75">
      <c r="A30754" s="2">
        <v>43875.53087962963</v>
      </c>
      <c r="B30754" t="str">
        <f>HYPERLINK("https://twitter.com/mingyu__wonwoo","@mingyu__wonwoo")</f>
        <v>@mingyu__wonwoo</v>
      </c>
      <c r="C30754" t="s">
        <v>2444</v>
      </c>
      <c r="D30754">
        <v>697</v>
      </c>
      <c r="E30754">
        <v>0</v>
      </c>
      <c r="F30754">
        <v>289</v>
      </c>
    </row>
    <row r="30755" spans="1:6" ht="12.75">
      <c r="A30755" s="2">
        <v>43875.530856481477</v>
      </c>
      <c r="B30755" t="str">
        <f>HYPERLINK("https://twitter.com/PapahEndut","@PapahEndut")</f>
        <v>@PapahEndut</v>
      </c>
      <c r="C30755" t="s">
        <v>13046</v>
      </c>
      <c r="D30755">
        <v>0</v>
      </c>
      <c r="E30755">
        <v>0</v>
      </c>
      <c r="F30755">
        <v>2777</v>
      </c>
    </row>
    <row r="30756" spans="1:6" ht="12.75">
      <c r="A30756" s="2">
        <v>43875.530752314815</v>
      </c>
      <c r="B30756" t="str">
        <f>HYPERLINK("https://twitter.com/haiakulisa","@haiakulisa")</f>
        <v>@haiakulisa</v>
      </c>
      <c r="C30756" t="s">
        <v>2444</v>
      </c>
      <c r="D30756">
        <v>697</v>
      </c>
      <c r="E30756">
        <v>0</v>
      </c>
      <c r="F30756">
        <v>92</v>
      </c>
    </row>
    <row r="30757" spans="1:6" ht="12.75">
      <c r="A30757" s="2">
        <v>43875.530706018515</v>
      </c>
      <c r="B30757" t="str">
        <f>HYPERLINK("https://twitter.com/kooktiger31","@kooktiger31")</f>
        <v>@kooktiger31</v>
      </c>
      <c r="C30757" t="s">
        <v>2444</v>
      </c>
      <c r="D30757">
        <v>697</v>
      </c>
      <c r="E30757">
        <v>0</v>
      </c>
      <c r="F30757">
        <v>1348</v>
      </c>
    </row>
    <row r="30758" spans="1:6" ht="12.75">
      <c r="A30758" s="2">
        <v>43875.53061342593</v>
      </c>
      <c r="B30758" t="str">
        <f>HYPERLINK("https://twitter.com/fluttershysies","@fluttershysies")</f>
        <v>@fluttershysies</v>
      </c>
      <c r="C30758" t="s">
        <v>2444</v>
      </c>
      <c r="D30758">
        <v>697</v>
      </c>
      <c r="E30758">
        <v>0</v>
      </c>
      <c r="F30758">
        <v>949</v>
      </c>
    </row>
    <row r="30759" spans="1:6" ht="12.75">
      <c r="A30759" s="2">
        <v>43875.530590277776</v>
      </c>
      <c r="B30759" t="str">
        <f>HYPERLINK("https://twitter.com/NoegrohoEddie","@NoegrohoEddie")</f>
        <v>@NoegrohoEddie</v>
      </c>
      <c r="C30759" t="s">
        <v>10096</v>
      </c>
      <c r="D30759">
        <v>105</v>
      </c>
      <c r="E30759">
        <v>0</v>
      </c>
      <c r="F30759">
        <v>556</v>
      </c>
    </row>
    <row r="30760" spans="1:6" ht="12.75">
      <c r="A30760" s="2">
        <v>43875.530439814815</v>
      </c>
      <c r="B30760" t="str">
        <f>HYPERLINK("https://twitter.com/Leeqis","@Leeqis")</f>
        <v>@Leeqis</v>
      </c>
      <c r="C30760" t="s">
        <v>2444</v>
      </c>
      <c r="D30760">
        <v>697</v>
      </c>
      <c r="E30760">
        <v>0</v>
      </c>
      <c r="F30760">
        <v>783</v>
      </c>
    </row>
    <row r="30761" spans="1:6" ht="12.75">
      <c r="A30761" s="2">
        <v>43875.530439814815</v>
      </c>
      <c r="B30761" t="str">
        <f>HYPERLINK("https://twitter.com/si_doel07","@si_doel07")</f>
        <v>@si_doel07</v>
      </c>
      <c r="C30761" t="s">
        <v>9746</v>
      </c>
      <c r="D30761">
        <v>96</v>
      </c>
      <c r="E30761">
        <v>0</v>
      </c>
      <c r="F30761">
        <v>168</v>
      </c>
    </row>
    <row r="30762" spans="1:6" ht="12.75">
      <c r="A30762" s="2">
        <v>43875.530439814815</v>
      </c>
      <c r="B30762" t="str">
        <f>HYPERLINK("https://twitter.com/putriinisya","@putriinisya")</f>
        <v>@putriinisya</v>
      </c>
      <c r="C30762" t="s">
        <v>2444</v>
      </c>
      <c r="D30762">
        <v>697</v>
      </c>
      <c r="E30762">
        <v>0</v>
      </c>
      <c r="F30762">
        <v>558</v>
      </c>
    </row>
    <row r="30763" spans="1:6" ht="12.75">
      <c r="A30763" s="2">
        <v>43875.530405092592</v>
      </c>
      <c r="B30763" t="str">
        <f>HYPERLINK("https://twitter.com/Jafartoktil84","@Jafartoktil84")</f>
        <v>@Jafartoktil84</v>
      </c>
      <c r="C30763" t="s">
        <v>13047</v>
      </c>
      <c r="D30763">
        <v>0</v>
      </c>
      <c r="E30763">
        <v>0</v>
      </c>
      <c r="F30763">
        <v>6</v>
      </c>
    </row>
    <row r="30764" spans="1:6" ht="12.75">
      <c r="A30764" s="2">
        <v>43875.530347222222</v>
      </c>
      <c r="B30764" t="str">
        <f>HYPERLINK("https://twitter.com/malmingan","@malmingan")</f>
        <v>@malmingan</v>
      </c>
      <c r="C30764" t="s">
        <v>2444</v>
      </c>
      <c r="D30764">
        <v>697</v>
      </c>
      <c r="E30764">
        <v>0</v>
      </c>
      <c r="F30764">
        <v>290</v>
      </c>
    </row>
    <row r="30765" spans="1:6" ht="12.75">
      <c r="A30765" s="2">
        <v>43875.530324074076</v>
      </c>
      <c r="B30765" t="str">
        <f>HYPERLINK("https://twitter.com/Luchikim_20","@Luchikim_20")</f>
        <v>@Luchikim_20</v>
      </c>
      <c r="C30765" t="s">
        <v>2444</v>
      </c>
      <c r="D30765">
        <v>697</v>
      </c>
      <c r="E30765">
        <v>0</v>
      </c>
      <c r="F30765">
        <v>140</v>
      </c>
    </row>
    <row r="30766" spans="1:6" ht="12.75">
      <c r="A30766" s="2">
        <v>43875.530289351853</v>
      </c>
      <c r="B30766" t="str">
        <f>HYPERLINK("https://twitter.com/sarpalika_","@sarpalika_")</f>
        <v>@sarpalika_</v>
      </c>
      <c r="C30766" t="s">
        <v>2444</v>
      </c>
      <c r="D30766">
        <v>697</v>
      </c>
      <c r="E30766">
        <v>0</v>
      </c>
      <c r="F30766">
        <v>175</v>
      </c>
    </row>
    <row r="30767" spans="1:6" ht="12.75">
      <c r="A30767" s="2">
        <v>43875.530208333337</v>
      </c>
      <c r="B30767" t="str">
        <f>HYPERLINK("https://twitter.com/vousseun","@vousseun")</f>
        <v>@vousseun</v>
      </c>
      <c r="C30767" t="s">
        <v>2444</v>
      </c>
      <c r="D30767">
        <v>697</v>
      </c>
      <c r="E30767">
        <v>0</v>
      </c>
      <c r="F30767">
        <v>449</v>
      </c>
    </row>
    <row r="30768" spans="1:6" ht="12.75">
      <c r="A30768" s="2">
        <v>43875.530127314814</v>
      </c>
      <c r="B30768" t="str">
        <f>HYPERLINK("https://twitter.com/Duwiaja6","@Duwiaja6")</f>
        <v>@Duwiaja6</v>
      </c>
      <c r="C30768" t="s">
        <v>2444</v>
      </c>
      <c r="D30768">
        <v>697</v>
      </c>
      <c r="E30768">
        <v>0</v>
      </c>
      <c r="F30768">
        <v>93</v>
      </c>
    </row>
    <row r="30769" spans="1:6" ht="12.75">
      <c r="A30769" s="2">
        <v>43875.53</v>
      </c>
      <c r="B30769" t="str">
        <f>HYPERLINK("https://twitter.com/asul1988_","@asul1988_")</f>
        <v>@asul1988_</v>
      </c>
      <c r="C30769" t="s">
        <v>2444</v>
      </c>
      <c r="D30769">
        <v>697</v>
      </c>
      <c r="E30769">
        <v>0</v>
      </c>
      <c r="F30769">
        <v>9</v>
      </c>
    </row>
    <row r="30770" spans="1:6" ht="12.75">
      <c r="A30770" s="2">
        <v>43875.53</v>
      </c>
      <c r="B30770" t="str">
        <f>HYPERLINK("https://twitter.com/purple4lyfee","@purple4lyfee")</f>
        <v>@purple4lyfee</v>
      </c>
      <c r="C30770" t="s">
        <v>2444</v>
      </c>
      <c r="D30770">
        <v>697</v>
      </c>
      <c r="E30770">
        <v>0</v>
      </c>
      <c r="F30770">
        <v>570</v>
      </c>
    </row>
    <row r="30771" spans="1:6" ht="12.75">
      <c r="A30771" s="2">
        <v>43875.53</v>
      </c>
      <c r="B30771" t="str">
        <f>HYPERLINK("https://twitter.com/MJoeJoef1","@MJoeJoef1")</f>
        <v>@MJoeJoef1</v>
      </c>
      <c r="C30771" t="s">
        <v>10407</v>
      </c>
      <c r="D30771">
        <v>46</v>
      </c>
      <c r="E30771">
        <v>0</v>
      </c>
      <c r="F30771">
        <v>553</v>
      </c>
    </row>
    <row r="30772" spans="1:6" ht="12.75">
      <c r="A30772" s="2">
        <v>43875.529976851853</v>
      </c>
      <c r="B30772" t="str">
        <f>HYPERLINK("https://twitter.com/aulokta","@aulokta")</f>
        <v>@aulokta</v>
      </c>
      <c r="C30772" t="s">
        <v>5168</v>
      </c>
      <c r="D30772">
        <v>576</v>
      </c>
      <c r="E30772">
        <v>0</v>
      </c>
      <c r="F30772">
        <v>319</v>
      </c>
    </row>
    <row r="30773" spans="1:6" ht="12.75">
      <c r="A30773" s="2">
        <v>43875.529826388884</v>
      </c>
      <c r="B30773" t="str">
        <f>HYPERLINK("https://twitter.com/chanleoI","@chanleoI")</f>
        <v>@chanleoI</v>
      </c>
      <c r="C30773" t="s">
        <v>2444</v>
      </c>
      <c r="D30773">
        <v>697</v>
      </c>
      <c r="E30773">
        <v>0</v>
      </c>
      <c r="F30773">
        <v>761</v>
      </c>
    </row>
    <row r="30774" spans="1:6" ht="12.75">
      <c r="A30774" s="2">
        <v>43875.529814814814</v>
      </c>
      <c r="B30774" t="str">
        <f>HYPERLINK("https://twitter.com/st_kurniawan","@st_kurniawan")</f>
        <v>@st_kurniawan</v>
      </c>
      <c r="C30774" t="s">
        <v>12999</v>
      </c>
      <c r="D30774">
        <v>4</v>
      </c>
      <c r="E30774">
        <v>0</v>
      </c>
      <c r="F30774">
        <v>2155</v>
      </c>
    </row>
    <row r="30775" spans="1:6" ht="12.75">
      <c r="A30775" s="2">
        <v>43875.529791666668</v>
      </c>
      <c r="B30775" t="str">
        <f>HYPERLINK("https://twitter.com/2Sry1609","@2Sry1609")</f>
        <v>@2Sry1609</v>
      </c>
      <c r="C30775" t="s">
        <v>2444</v>
      </c>
      <c r="D30775">
        <v>697</v>
      </c>
      <c r="E30775">
        <v>0</v>
      </c>
      <c r="F30775">
        <v>1598</v>
      </c>
    </row>
    <row r="30776" spans="1:6" ht="12.75">
      <c r="A30776" s="2">
        <v>43875.529745370368</v>
      </c>
      <c r="B30776" t="str">
        <f>HYPERLINK("https://twitter.com/temennyadobl3h","@temennyadobl3h")</f>
        <v>@temennyadobl3h</v>
      </c>
      <c r="C30776" t="s">
        <v>2444</v>
      </c>
      <c r="D30776">
        <v>697</v>
      </c>
      <c r="E30776">
        <v>0</v>
      </c>
      <c r="F30776">
        <v>15</v>
      </c>
    </row>
    <row r="30777" spans="1:6" ht="12.75">
      <c r="A30777" s="2">
        <v>43875.529675925922</v>
      </c>
      <c r="B30777" t="str">
        <f>HYPERLINK("https://twitter.com/pawiroy76","@pawiroy76")</f>
        <v>@pawiroy76</v>
      </c>
      <c r="C30777" t="s">
        <v>9962</v>
      </c>
      <c r="D30777">
        <v>23</v>
      </c>
      <c r="E30777">
        <v>0</v>
      </c>
      <c r="F30777">
        <v>20</v>
      </c>
    </row>
    <row r="30778" spans="1:6" ht="12.75">
      <c r="A30778" s="2">
        <v>43875.529641203699</v>
      </c>
      <c r="B30778" t="str">
        <f>HYPERLINK("https://twitter.com/TorangPSi","@TorangPSi")</f>
        <v>@TorangPSi</v>
      </c>
      <c r="C30778" t="s">
        <v>2963</v>
      </c>
      <c r="D30778">
        <v>766</v>
      </c>
      <c r="E30778">
        <v>0</v>
      </c>
      <c r="F30778">
        <v>261</v>
      </c>
    </row>
    <row r="30779" spans="1:6" ht="12.75">
      <c r="A30779" s="2">
        <v>43875.529641203699</v>
      </c>
      <c r="B30779" t="str">
        <f>HYPERLINK("https://twitter.com/sparxlingdust","@sparxlingdust")</f>
        <v>@sparxlingdust</v>
      </c>
      <c r="C30779" t="s">
        <v>2444</v>
      </c>
      <c r="D30779">
        <v>697</v>
      </c>
      <c r="E30779">
        <v>0</v>
      </c>
      <c r="F30779">
        <v>3457</v>
      </c>
    </row>
    <row r="30780" spans="1:6" ht="12.75">
      <c r="A30780" s="2">
        <v>43875.529629629629</v>
      </c>
      <c r="B30780" t="str">
        <f>HYPERLINK("https://twitter.com/nink079","@nink079")</f>
        <v>@nink079</v>
      </c>
      <c r="C30780" t="s">
        <v>13048</v>
      </c>
      <c r="D30780">
        <v>0</v>
      </c>
      <c r="E30780">
        <v>1</v>
      </c>
      <c r="F30780">
        <v>349</v>
      </c>
    </row>
    <row r="30781" spans="1:6" ht="12.75">
      <c r="A30781" s="2">
        <v>43875.529537037037</v>
      </c>
      <c r="B30781" t="str">
        <f>HYPERLINK("https://twitter.com/dabenone2","@dabenone2")</f>
        <v>@dabenone2</v>
      </c>
      <c r="C30781" t="s">
        <v>10109</v>
      </c>
      <c r="D30781">
        <v>17</v>
      </c>
      <c r="E30781">
        <v>0</v>
      </c>
      <c r="F30781">
        <v>44</v>
      </c>
    </row>
    <row r="30782" spans="1:6" ht="12.75">
      <c r="A30782" s="2">
        <v>43875.529490740737</v>
      </c>
      <c r="B30782" t="str">
        <f>HYPERLINK("https://twitter.com/lia_aja","@lia_aja")</f>
        <v>@lia_aja</v>
      </c>
      <c r="C30782" t="s">
        <v>2444</v>
      </c>
      <c r="D30782">
        <v>697</v>
      </c>
      <c r="E30782">
        <v>0</v>
      </c>
      <c r="F30782">
        <v>82</v>
      </c>
    </row>
    <row r="30783" spans="1:6" ht="12.75">
      <c r="A30783" s="2">
        <v>43875.529490740737</v>
      </c>
      <c r="B30783" t="str">
        <f>HYPERLINK("https://twitter.com/larjibolala","@larjibolala")</f>
        <v>@larjibolala</v>
      </c>
      <c r="C30783" t="s">
        <v>2444</v>
      </c>
      <c r="D30783">
        <v>697</v>
      </c>
      <c r="E30783">
        <v>0</v>
      </c>
      <c r="F30783">
        <v>151</v>
      </c>
    </row>
    <row r="30784" spans="1:6" ht="12.75">
      <c r="A30784" s="2">
        <v>43875.529456018514</v>
      </c>
      <c r="B30784" t="str">
        <f>HYPERLINK("https://twitter.com/nabilbasyair","@nabilbasyair")</f>
        <v>@nabilbasyair</v>
      </c>
      <c r="C30784" t="s">
        <v>12621</v>
      </c>
      <c r="D30784">
        <v>3</v>
      </c>
      <c r="E30784">
        <v>0</v>
      </c>
      <c r="F30784">
        <v>145</v>
      </c>
    </row>
    <row r="30785" spans="1:6" ht="12.75">
      <c r="A30785" s="2">
        <v>43875.529456018514</v>
      </c>
      <c r="B30785" t="str">
        <f>HYPERLINK("https://twitter.com/niaaakaaa","@niaaakaaa")</f>
        <v>@niaaakaaa</v>
      </c>
      <c r="C30785" t="s">
        <v>2444</v>
      </c>
      <c r="D30785">
        <v>697</v>
      </c>
      <c r="E30785">
        <v>0</v>
      </c>
      <c r="F30785">
        <v>1782</v>
      </c>
    </row>
    <row r="30786" spans="1:6" ht="12.75">
      <c r="A30786" s="2">
        <v>43875.529421296298</v>
      </c>
      <c r="B30786" t="str">
        <f>HYPERLINK("https://twitter.com/flwblsm_","@flwblsm_")</f>
        <v>@flwblsm_</v>
      </c>
      <c r="C30786" t="s">
        <v>2444</v>
      </c>
      <c r="D30786">
        <v>697</v>
      </c>
      <c r="E30786">
        <v>0</v>
      </c>
      <c r="F30786">
        <v>47</v>
      </c>
    </row>
    <row r="30787" spans="1:6" ht="12.75">
      <c r="A30787" s="2">
        <v>43875.529317129629</v>
      </c>
      <c r="B30787" t="str">
        <f>HYPERLINK("https://twitter.com/spaceshxx","@spaceshxx")</f>
        <v>@spaceshxx</v>
      </c>
      <c r="C30787" t="s">
        <v>2444</v>
      </c>
      <c r="D30787">
        <v>697</v>
      </c>
      <c r="E30787">
        <v>0</v>
      </c>
      <c r="F30787">
        <v>147</v>
      </c>
    </row>
    <row r="30788" spans="1:6" ht="12.75">
      <c r="A30788" s="2">
        <v>43875.529305555552</v>
      </c>
      <c r="B30788" t="str">
        <f>HYPERLINK("https://twitter.com/EwpKanang","@EwpKanang")</f>
        <v>@EwpKanang</v>
      </c>
      <c r="C30788" t="s">
        <v>13049</v>
      </c>
      <c r="D30788">
        <v>0</v>
      </c>
      <c r="E30788">
        <v>0</v>
      </c>
      <c r="F30788">
        <v>2</v>
      </c>
    </row>
    <row r="30789" spans="1:6" ht="12.75">
      <c r="A30789" s="2">
        <v>43875.529236111106</v>
      </c>
      <c r="B30789" t="str">
        <f>HYPERLINK("https://twitter.com/CalonDokterr","@CalonDokterr")</f>
        <v>@CalonDokterr</v>
      </c>
      <c r="C30789" t="s">
        <v>13050</v>
      </c>
      <c r="D30789">
        <v>0</v>
      </c>
      <c r="E30789">
        <v>0</v>
      </c>
      <c r="F30789">
        <v>26</v>
      </c>
    </row>
    <row r="30790" spans="1:6" ht="12.75">
      <c r="A30790" s="2">
        <v>43875.529236111106</v>
      </c>
      <c r="B30790" t="str">
        <f>HYPERLINK("https://twitter.com/pebolang2","@pebolang2")</f>
        <v>@pebolang2</v>
      </c>
      <c r="C30790" t="s">
        <v>2444</v>
      </c>
      <c r="D30790">
        <v>697</v>
      </c>
      <c r="E30790">
        <v>0</v>
      </c>
      <c r="F30790">
        <v>55</v>
      </c>
    </row>
    <row r="30791" spans="1:6" ht="12.75">
      <c r="A30791" s="2">
        <v>43875.529224537036</v>
      </c>
      <c r="B30791" t="str">
        <f>HYPERLINK("https://twitter.com/amhcaranivle","@amhcaranivle")</f>
        <v>@amhcaranivle</v>
      </c>
      <c r="C30791" t="s">
        <v>2444</v>
      </c>
      <c r="D30791">
        <v>697</v>
      </c>
      <c r="E30791">
        <v>0</v>
      </c>
      <c r="F30791">
        <v>20</v>
      </c>
    </row>
    <row r="30792" spans="1:6" ht="12.75">
      <c r="A30792" s="2">
        <v>43875.529212962967</v>
      </c>
      <c r="B30792" t="str">
        <f>HYPERLINK("https://twitter.com/jiafarid","@jiafarid")</f>
        <v>@jiafarid</v>
      </c>
      <c r="C30792" t="s">
        <v>2963</v>
      </c>
      <c r="D30792">
        <v>766</v>
      </c>
      <c r="E30792">
        <v>0</v>
      </c>
      <c r="F30792">
        <v>16</v>
      </c>
    </row>
    <row r="30793" spans="1:6" ht="12.75">
      <c r="A30793" s="2">
        <v>43875.52920138889</v>
      </c>
      <c r="B30793" t="str">
        <f>HYPERLINK("https://twitter.com/wantifishy","@wantifishy")</f>
        <v>@wantifishy</v>
      </c>
      <c r="C30793" t="s">
        <v>2444</v>
      </c>
      <c r="D30793">
        <v>697</v>
      </c>
      <c r="E30793">
        <v>0</v>
      </c>
      <c r="F30793">
        <v>476</v>
      </c>
    </row>
    <row r="30794" spans="1:6" ht="12.75">
      <c r="A30794" s="2">
        <v>43875.529085648144</v>
      </c>
      <c r="B30794" t="str">
        <f>HYPERLINK("https://twitter.com/Khong_Beng","@Khong_Beng")</f>
        <v>@Khong_Beng</v>
      </c>
      <c r="C30794" t="s">
        <v>2963</v>
      </c>
      <c r="D30794">
        <v>766</v>
      </c>
      <c r="E30794">
        <v>0</v>
      </c>
      <c r="F30794">
        <v>160</v>
      </c>
    </row>
    <row r="30795" spans="1:6" ht="12.75">
      <c r="A30795" s="2">
        <v>43875.528958333336</v>
      </c>
      <c r="B30795" t="str">
        <f>HYPERLINK("https://twitter.com/tantraindra","@tantraindra")</f>
        <v>@tantraindra</v>
      </c>
      <c r="C30795" t="s">
        <v>2444</v>
      </c>
      <c r="D30795">
        <v>697</v>
      </c>
      <c r="E30795">
        <v>0</v>
      </c>
      <c r="F30795">
        <v>136</v>
      </c>
    </row>
    <row r="30796" spans="1:6" ht="12.75">
      <c r="A30796" s="2">
        <v>43875.528912037036</v>
      </c>
      <c r="B30796" t="str">
        <f>HYPERLINK("https://twitter.com/0inkk","@0inkk")</f>
        <v>@0inkk</v>
      </c>
      <c r="C30796" t="s">
        <v>2444</v>
      </c>
      <c r="D30796">
        <v>697</v>
      </c>
      <c r="E30796">
        <v>0</v>
      </c>
      <c r="F30796">
        <v>67</v>
      </c>
    </row>
    <row r="30797" spans="1:6" ht="12.75">
      <c r="A30797" s="2">
        <v>43875.528912037036</v>
      </c>
      <c r="B30797" t="str">
        <f>HYPERLINK("https://twitter.com/yeogibutheora","@yeogibutheora")</f>
        <v>@yeogibutheora</v>
      </c>
      <c r="C30797" t="s">
        <v>2110</v>
      </c>
      <c r="D30797">
        <v>30</v>
      </c>
      <c r="E30797">
        <v>0</v>
      </c>
      <c r="F30797">
        <v>324</v>
      </c>
    </row>
    <row r="30798" spans="1:6" ht="12.75">
      <c r="A30798" s="2">
        <v>43875.528784722221</v>
      </c>
      <c r="B30798" t="str">
        <f>HYPERLINK("https://twitter.com/hary717","@hary717")</f>
        <v>@hary717</v>
      </c>
      <c r="C30798" t="s">
        <v>11428</v>
      </c>
      <c r="D30798">
        <v>4</v>
      </c>
      <c r="E30798">
        <v>0</v>
      </c>
      <c r="F30798">
        <v>2367</v>
      </c>
    </row>
    <row r="30799" spans="1:6" ht="12.75">
      <c r="A30799" s="2">
        <v>43875.528773148151</v>
      </c>
      <c r="B30799" t="str">
        <f>HYPERLINK("https://twitter.com/pororoisdyo","@pororoisdyo")</f>
        <v>@pororoisdyo</v>
      </c>
      <c r="C30799" t="s">
        <v>2444</v>
      </c>
      <c r="D30799">
        <v>697</v>
      </c>
      <c r="E30799">
        <v>0</v>
      </c>
      <c r="F30799">
        <v>949</v>
      </c>
    </row>
    <row r="30800" spans="1:6" ht="12.75">
      <c r="A30800" s="2">
        <v>43875.528749999998</v>
      </c>
      <c r="B30800" t="str">
        <f>HYPERLINK("https://twitter.com/arifaAyi","@arifaAyi")</f>
        <v>@arifaAyi</v>
      </c>
      <c r="C30800" t="s">
        <v>2444</v>
      </c>
      <c r="D30800">
        <v>697</v>
      </c>
      <c r="E30800">
        <v>0</v>
      </c>
      <c r="F30800">
        <v>328</v>
      </c>
    </row>
    <row r="30801" spans="1:6" ht="12.75">
      <c r="A30801" s="2">
        <v>43875.528738425928</v>
      </c>
      <c r="B30801" t="str">
        <f>HYPERLINK("https://twitter.com/cudikbjah","@cudikbjah")</f>
        <v>@cudikbjah</v>
      </c>
      <c r="C30801" t="s">
        <v>2444</v>
      </c>
      <c r="D30801">
        <v>697</v>
      </c>
      <c r="E30801">
        <v>0</v>
      </c>
      <c r="F30801">
        <v>564</v>
      </c>
    </row>
    <row r="30802" spans="1:6" ht="12.75">
      <c r="A30802" s="2">
        <v>43875.528703703705</v>
      </c>
      <c r="B30802" t="str">
        <f>HYPERLINK("https://twitter.com/asmadajoel","@asmadajoel")</f>
        <v>@asmadajoel</v>
      </c>
      <c r="C30802" t="s">
        <v>13051</v>
      </c>
      <c r="D30802">
        <v>0</v>
      </c>
      <c r="E30802">
        <v>0</v>
      </c>
      <c r="F30802">
        <v>3503</v>
      </c>
    </row>
    <row r="30803" spans="1:6" ht="12.75">
      <c r="A30803" s="2">
        <v>43875.528680555552</v>
      </c>
      <c r="B30803" t="str">
        <f>HYPERLINK("https://twitter.com/IGBagus07","@IGBagus07")</f>
        <v>@IGBagus07</v>
      </c>
      <c r="C30803" t="s">
        <v>13052</v>
      </c>
      <c r="D30803">
        <v>0</v>
      </c>
      <c r="E30803">
        <v>0</v>
      </c>
      <c r="F30803">
        <v>2156</v>
      </c>
    </row>
    <row r="30804" spans="1:6" ht="12.75">
      <c r="A30804" s="2">
        <v>43875.528657407413</v>
      </c>
      <c r="B30804" t="str">
        <f>HYPERLINK("https://twitter.com/falovavavorito","@falovavavorito")</f>
        <v>@falovavavorito</v>
      </c>
      <c r="C30804" t="s">
        <v>2444</v>
      </c>
      <c r="D30804">
        <v>697</v>
      </c>
      <c r="E30804">
        <v>0</v>
      </c>
      <c r="F30804">
        <v>462</v>
      </c>
    </row>
    <row r="30805" spans="1:6" ht="12.75">
      <c r="A30805" s="2">
        <v>43875.528622685189</v>
      </c>
      <c r="B30805" t="str">
        <f>HYPERLINK("https://twitter.com/juni_irene","@juni_irene")</f>
        <v>@juni_irene</v>
      </c>
      <c r="C30805" t="s">
        <v>2444</v>
      </c>
      <c r="D30805">
        <v>697</v>
      </c>
      <c r="E30805">
        <v>0</v>
      </c>
      <c r="F30805">
        <v>5553</v>
      </c>
    </row>
    <row r="30806" spans="1:6" ht="12.75">
      <c r="A30806" s="2">
        <v>43875.528587962966</v>
      </c>
      <c r="B30806" t="str">
        <f>HYPERLINK("https://twitter.com/Dewa93716095","@Dewa93716095")</f>
        <v>@Dewa93716095</v>
      </c>
      <c r="C30806" t="s">
        <v>2963</v>
      </c>
      <c r="D30806">
        <v>766</v>
      </c>
      <c r="E30806">
        <v>0</v>
      </c>
      <c r="F30806">
        <v>1377</v>
      </c>
    </row>
    <row r="30807" spans="1:6" ht="12.75">
      <c r="A30807" s="2">
        <v>43875.528564814813</v>
      </c>
      <c r="B30807" t="str">
        <f>HYPERLINK("https://twitter.com/BlueaAlice","@BlueaAlice")</f>
        <v>@BlueaAlice</v>
      </c>
      <c r="C30807" t="s">
        <v>2444</v>
      </c>
      <c r="D30807">
        <v>697</v>
      </c>
      <c r="E30807">
        <v>0</v>
      </c>
      <c r="F30807">
        <v>58</v>
      </c>
    </row>
    <row r="30808" spans="1:6" ht="12.75">
      <c r="A30808" s="2">
        <v>43875.528553240743</v>
      </c>
      <c r="B30808" t="str">
        <f>HYPERLINK("https://twitter.com/NanaSuryacandra","@NanaSuryacandra")</f>
        <v>@NanaSuryacandra</v>
      </c>
      <c r="C30808" t="s">
        <v>9746</v>
      </c>
      <c r="D30808">
        <v>96</v>
      </c>
      <c r="E30808">
        <v>0</v>
      </c>
      <c r="F30808">
        <v>701</v>
      </c>
    </row>
    <row r="30809" spans="1:6" ht="12.75">
      <c r="A30809" s="2">
        <v>43875.528495370367</v>
      </c>
      <c r="B30809" t="str">
        <f>HYPERLINK("https://twitter.com/mooniechxld","@mooniechxld")</f>
        <v>@mooniechxld</v>
      </c>
      <c r="C30809" t="s">
        <v>13053</v>
      </c>
      <c r="D30809">
        <v>39</v>
      </c>
      <c r="E30809">
        <v>0</v>
      </c>
      <c r="F30809">
        <v>63</v>
      </c>
    </row>
    <row r="30810" spans="1:6" ht="12.75">
      <c r="A30810" s="2">
        <v>43875.528483796297</v>
      </c>
      <c r="B30810" t="str">
        <f>HYPERLINK("https://twitter.com/rruna_n","@rruna_n")</f>
        <v>@rruna_n</v>
      </c>
      <c r="C30810" t="s">
        <v>2444</v>
      </c>
      <c r="D30810">
        <v>697</v>
      </c>
      <c r="E30810">
        <v>0</v>
      </c>
      <c r="F30810">
        <v>21</v>
      </c>
    </row>
    <row r="30811" spans="1:6" ht="12.75">
      <c r="A30811" s="2">
        <v>43875.528425925921</v>
      </c>
      <c r="B30811" t="str">
        <f>HYPERLINK("https://twitter.com/nelacho","@nelacho")</f>
        <v>@nelacho</v>
      </c>
      <c r="C30811" t="s">
        <v>2444</v>
      </c>
      <c r="D30811">
        <v>697</v>
      </c>
      <c r="E30811">
        <v>0</v>
      </c>
      <c r="F30811">
        <v>81</v>
      </c>
    </row>
    <row r="30812" spans="1:6" ht="12.75">
      <c r="A30812" s="2">
        <v>43875.528333333335</v>
      </c>
      <c r="B30812" t="str">
        <f>HYPERLINK("https://twitter.com/miyubukanki","@miyubukanki")</f>
        <v>@miyubukanki</v>
      </c>
      <c r="C30812" t="s">
        <v>5168</v>
      </c>
      <c r="D30812">
        <v>576</v>
      </c>
      <c r="E30812">
        <v>0</v>
      </c>
      <c r="F30812">
        <v>335</v>
      </c>
    </row>
    <row r="30813" spans="1:6" ht="12.75">
      <c r="A30813" s="2">
        <v>43875.528310185182</v>
      </c>
      <c r="B30813" t="str">
        <f>HYPERLINK("https://twitter.com/Jelitahyun","@Jelitahyun")</f>
        <v>@Jelitahyun</v>
      </c>
      <c r="C30813" t="s">
        <v>2444</v>
      </c>
      <c r="D30813">
        <v>697</v>
      </c>
      <c r="E30813">
        <v>0</v>
      </c>
      <c r="F30813">
        <v>3</v>
      </c>
    </row>
    <row r="30814" spans="1:6" ht="12.75">
      <c r="A30814" s="2">
        <v>43875.528298611112</v>
      </c>
      <c r="B30814" t="str">
        <f>HYPERLINK("https://twitter.com/sayaangjae","@sayaangjae")</f>
        <v>@sayaangjae</v>
      </c>
      <c r="C30814" t="s">
        <v>2444</v>
      </c>
      <c r="D30814">
        <v>697</v>
      </c>
      <c r="E30814">
        <v>0</v>
      </c>
      <c r="F30814">
        <v>125</v>
      </c>
    </row>
    <row r="30815" spans="1:6" ht="12.75">
      <c r="A30815" s="2">
        <v>43875.528287037036</v>
      </c>
      <c r="B30815" t="str">
        <f>HYPERLINK("https://twitter.com/BYUNyani_","@BYUNyani_")</f>
        <v>@BYUNyani_</v>
      </c>
      <c r="C30815" t="s">
        <v>2444</v>
      </c>
      <c r="D30815">
        <v>697</v>
      </c>
      <c r="E30815">
        <v>0</v>
      </c>
      <c r="F30815">
        <v>1041</v>
      </c>
    </row>
    <row r="30816" spans="1:6" ht="12.75">
      <c r="A30816" s="2">
        <v>43875.528275462959</v>
      </c>
      <c r="B30816" t="str">
        <f>HYPERLINK("https://twitter.com/sunlighthun","@sunlighthun")</f>
        <v>@sunlighthun</v>
      </c>
      <c r="C30816" t="s">
        <v>2444</v>
      </c>
      <c r="D30816">
        <v>697</v>
      </c>
      <c r="E30816">
        <v>0</v>
      </c>
      <c r="F30816">
        <v>211</v>
      </c>
    </row>
    <row r="30817" spans="1:6" ht="12.75">
      <c r="A30817" s="2">
        <v>43875.52825231482</v>
      </c>
      <c r="B30817" t="str">
        <f>HYPERLINK("https://twitter.com/slsblndhtxx","@slsblndhtxx")</f>
        <v>@slsblndhtxx</v>
      </c>
      <c r="C30817" t="s">
        <v>2444</v>
      </c>
      <c r="D30817">
        <v>697</v>
      </c>
      <c r="E30817">
        <v>0</v>
      </c>
      <c r="F30817">
        <v>1551</v>
      </c>
    </row>
    <row r="30818" spans="1:6" ht="12.75">
      <c r="A30818" s="2">
        <v>43875.52825231482</v>
      </c>
      <c r="B30818" t="str">
        <f>HYPERLINK("https://twitter.com/CoachJustinL","@CoachJustinL")</f>
        <v>@CoachJustinL</v>
      </c>
      <c r="C30818" t="s">
        <v>12621</v>
      </c>
      <c r="D30818">
        <v>3</v>
      </c>
      <c r="E30818">
        <v>0</v>
      </c>
      <c r="F30818">
        <v>45636</v>
      </c>
    </row>
    <row r="30819" spans="1:6" ht="12.75">
      <c r="A30819" s="2">
        <v>43875.52825231482</v>
      </c>
      <c r="B30819" t="str">
        <f>HYPERLINK("https://twitter.com/ayuningratri5","@ayuningratri5")</f>
        <v>@ayuningratri5</v>
      </c>
      <c r="C30819" t="s">
        <v>8233</v>
      </c>
      <c r="D30819">
        <v>403</v>
      </c>
      <c r="E30819">
        <v>0</v>
      </c>
      <c r="F30819">
        <v>15</v>
      </c>
    </row>
    <row r="30820" spans="1:6" ht="12.75">
      <c r="A30820" s="2">
        <v>43875.528194444443</v>
      </c>
      <c r="B30820" t="str">
        <f>HYPERLINK("https://twitter.com/deeta_eka","@deeta_eka")</f>
        <v>@deeta_eka</v>
      </c>
      <c r="C30820" t="s">
        <v>2444</v>
      </c>
      <c r="D30820">
        <v>697</v>
      </c>
      <c r="E30820">
        <v>0</v>
      </c>
      <c r="F30820">
        <v>402</v>
      </c>
    </row>
    <row r="30821" spans="1:6" ht="12.75">
      <c r="A30821" s="2">
        <v>43875.528171296297</v>
      </c>
      <c r="B30821" t="str">
        <f>HYPERLINK("https://twitter.com/pintuhidayahh","@pintuhidayahh")</f>
        <v>@pintuhidayahh</v>
      </c>
      <c r="C30821" t="s">
        <v>2444</v>
      </c>
      <c r="D30821">
        <v>697</v>
      </c>
      <c r="E30821">
        <v>0</v>
      </c>
      <c r="F30821">
        <v>70</v>
      </c>
    </row>
    <row r="30822" spans="1:6" ht="12.75">
      <c r="A30822" s="2">
        <v>43875.528101851851</v>
      </c>
      <c r="B30822" t="str">
        <f>HYPERLINK("https://twitter.com/anaheimp3","@anaheimp3")</f>
        <v>@anaheimp3</v>
      </c>
      <c r="C30822" t="s">
        <v>9964</v>
      </c>
      <c r="D30822">
        <v>552</v>
      </c>
      <c r="E30822">
        <v>0</v>
      </c>
      <c r="F30822">
        <v>167</v>
      </c>
    </row>
    <row r="30823" spans="1:6" ht="12.75">
      <c r="A30823" s="2">
        <v>43875.528078703705</v>
      </c>
      <c r="B30823" t="str">
        <f>HYPERLINK("https://twitter.com/tinytteokjinnie","@tinytteokjinnie")</f>
        <v>@tinytteokjinnie</v>
      </c>
      <c r="C30823" t="s">
        <v>2444</v>
      </c>
      <c r="D30823">
        <v>697</v>
      </c>
      <c r="E30823">
        <v>0</v>
      </c>
      <c r="F30823">
        <v>355</v>
      </c>
    </row>
    <row r="30824" spans="1:6" ht="12.75">
      <c r="A30824" s="2">
        <v>43875.528055555551</v>
      </c>
      <c r="B30824" t="str">
        <f>HYPERLINK("https://twitter.com/maririn_lie","@maririn_lie")</f>
        <v>@maririn_lie</v>
      </c>
      <c r="C30824" t="s">
        <v>10710</v>
      </c>
      <c r="D30824">
        <v>13</v>
      </c>
      <c r="E30824">
        <v>0</v>
      </c>
      <c r="F30824">
        <v>161</v>
      </c>
    </row>
    <row r="30825" spans="1:6" ht="12.75">
      <c r="A30825" s="2">
        <v>43875.528055555551</v>
      </c>
      <c r="B30825" t="str">
        <f>HYPERLINK("https://twitter.com/dimcaaan","@dimcaaan")</f>
        <v>@dimcaaan</v>
      </c>
      <c r="C30825" t="s">
        <v>2444</v>
      </c>
      <c r="D30825">
        <v>697</v>
      </c>
      <c r="E30825">
        <v>0</v>
      </c>
      <c r="F30825">
        <v>844</v>
      </c>
    </row>
    <row r="30826" spans="1:6" ht="12.75">
      <c r="A30826" s="2">
        <v>43875.528009259258</v>
      </c>
      <c r="B30826" t="str">
        <f>HYPERLINK("https://twitter.com/urkthjjk","@urkthjjk")</f>
        <v>@urkthjjk</v>
      </c>
      <c r="C30826" t="s">
        <v>2444</v>
      </c>
      <c r="D30826">
        <v>698</v>
      </c>
      <c r="E30826">
        <v>0</v>
      </c>
      <c r="F30826">
        <v>885</v>
      </c>
    </row>
    <row r="30827" spans="1:6" ht="12.75">
      <c r="A30827" s="2">
        <v>43875.527928240743</v>
      </c>
      <c r="B30827" t="str">
        <f>HYPERLINK("https://twitter.com/an_naumi","@an_naumi")</f>
        <v>@an_naumi</v>
      </c>
      <c r="C30827" t="s">
        <v>2963</v>
      </c>
      <c r="D30827">
        <v>766</v>
      </c>
      <c r="E30827">
        <v>0</v>
      </c>
      <c r="F30827">
        <v>223</v>
      </c>
    </row>
    <row r="30828" spans="1:6" ht="12.75">
      <c r="A30828" s="2">
        <v>43875.527916666666</v>
      </c>
      <c r="B30828" t="str">
        <f>HYPERLINK("https://twitter.com/Mardhado16","@Mardhado16")</f>
        <v>@Mardhado16</v>
      </c>
      <c r="C30828" t="s">
        <v>2444</v>
      </c>
      <c r="D30828">
        <v>698</v>
      </c>
      <c r="E30828">
        <v>0</v>
      </c>
      <c r="F30828">
        <v>106</v>
      </c>
    </row>
    <row r="30829" spans="1:6" ht="12.75">
      <c r="A30829" s="2">
        <v>43875.527905092589</v>
      </c>
      <c r="B30829" t="str">
        <f>HYPERLINK("https://twitter.com/Hayawntp","@Hayawntp")</f>
        <v>@Hayawntp</v>
      </c>
      <c r="C30829" t="s">
        <v>2444</v>
      </c>
      <c r="D30829">
        <v>698</v>
      </c>
      <c r="E30829">
        <v>0</v>
      </c>
      <c r="F30829">
        <v>508</v>
      </c>
    </row>
    <row r="30830" spans="1:6" ht="12.75">
      <c r="A30830" s="2">
        <v>43875.527835648143</v>
      </c>
      <c r="B30830" t="str">
        <f>HYPERLINK("https://twitter.com/innovember07","@innovember07")</f>
        <v>@innovember07</v>
      </c>
      <c r="C30830" t="s">
        <v>2444</v>
      </c>
      <c r="D30830">
        <v>698</v>
      </c>
      <c r="E30830">
        <v>0</v>
      </c>
      <c r="F30830">
        <v>187</v>
      </c>
    </row>
    <row r="30831" spans="1:6" ht="12.75">
      <c r="A30831" s="2">
        <v>43875.527800925927</v>
      </c>
      <c r="B30831" t="str">
        <f>HYPERLINK("https://twitter.com/DreamersRadioID","@DreamersRadioID")</f>
        <v>@DreamersRadioID</v>
      </c>
      <c r="C30831" t="s">
        <v>708</v>
      </c>
      <c r="D30831">
        <v>0</v>
      </c>
      <c r="E30831">
        <v>0</v>
      </c>
      <c r="F30831">
        <v>75568</v>
      </c>
    </row>
    <row r="30832" spans="1:6" ht="12.75">
      <c r="A30832" s="2">
        <v>43875.527800925927</v>
      </c>
      <c r="B30832" t="str">
        <f>HYPERLINK("https://twitter.com/aphroditeshead","@aphroditeshead")</f>
        <v>@aphroditeshead</v>
      </c>
      <c r="C30832" t="s">
        <v>2444</v>
      </c>
      <c r="D30832">
        <v>698</v>
      </c>
      <c r="E30832">
        <v>0</v>
      </c>
      <c r="F30832">
        <v>422</v>
      </c>
    </row>
    <row r="30833" spans="1:6" ht="12.75">
      <c r="A30833" s="2">
        <v>43875.527800925927</v>
      </c>
      <c r="B30833" t="str">
        <f>HYPERLINK("https://twitter.com/brightestarss","@brightestarss")</f>
        <v>@brightestarss</v>
      </c>
      <c r="C30833" t="s">
        <v>2444</v>
      </c>
      <c r="D30833">
        <v>698</v>
      </c>
      <c r="E30833">
        <v>0</v>
      </c>
      <c r="F30833">
        <v>1358</v>
      </c>
    </row>
    <row r="30834" spans="1:6" ht="12.75">
      <c r="A30834" s="2">
        <v>43875.527800925927</v>
      </c>
      <c r="B30834" t="str">
        <f>HYPERLINK("https://twitter.com/akucalonmuuuu","@akucalonmuuuu")</f>
        <v>@akucalonmuuuu</v>
      </c>
      <c r="C30834" t="s">
        <v>2444</v>
      </c>
      <c r="D30834">
        <v>698</v>
      </c>
      <c r="E30834">
        <v>0</v>
      </c>
      <c r="F30834">
        <v>58</v>
      </c>
    </row>
    <row r="30835" spans="1:6" ht="12.75">
      <c r="A30835" s="2">
        <v>43875.527708333335</v>
      </c>
      <c r="B30835" t="str">
        <f>HYPERLINK("https://twitter.com/newijah","@newijah")</f>
        <v>@newijah</v>
      </c>
      <c r="C30835" t="s">
        <v>2444</v>
      </c>
      <c r="D30835">
        <v>698</v>
      </c>
      <c r="E30835">
        <v>0</v>
      </c>
      <c r="F30835">
        <v>193</v>
      </c>
    </row>
    <row r="30836" spans="1:6" ht="12.75">
      <c r="A30836" s="2">
        <v>43875.527662037042</v>
      </c>
      <c r="B30836" t="str">
        <f>HYPERLINK("https://twitter.com/Lkunri","@Lkunri")</f>
        <v>@Lkunri</v>
      </c>
      <c r="C30836" t="s">
        <v>13054</v>
      </c>
      <c r="D30836">
        <v>0</v>
      </c>
      <c r="E30836">
        <v>0</v>
      </c>
      <c r="F30836">
        <v>12</v>
      </c>
    </row>
    <row r="30837" spans="1:6" ht="12.75">
      <c r="A30837" s="2">
        <v>43875.527638888889</v>
      </c>
      <c r="B30837" t="str">
        <f>HYPERLINK("https://twitter.com/JhondoexlxG","@JhondoexlxG")</f>
        <v>@JhondoexlxG</v>
      </c>
      <c r="C30837" t="s">
        <v>9835</v>
      </c>
      <c r="D30837">
        <v>15</v>
      </c>
      <c r="E30837">
        <v>0</v>
      </c>
      <c r="F30837">
        <v>385</v>
      </c>
    </row>
    <row r="30838" spans="1:6" ht="12.75">
      <c r="A30838" s="2">
        <v>43875.527604166666</v>
      </c>
      <c r="B30838" t="str">
        <f>HYPERLINK("https://twitter.com/maylafaisha96","@maylafaisha96")</f>
        <v>@maylafaisha96</v>
      </c>
      <c r="C30838" t="s">
        <v>2444</v>
      </c>
      <c r="D30838">
        <v>698</v>
      </c>
      <c r="E30838">
        <v>0</v>
      </c>
      <c r="F30838">
        <v>143</v>
      </c>
    </row>
    <row r="30839" spans="1:6" ht="12.75">
      <c r="A30839" s="2">
        <v>43875.52753472222</v>
      </c>
      <c r="B30839" t="str">
        <f>HYPERLINK("https://twitter.com/tia_shabira","@tia_shabira")</f>
        <v>@tia_shabira</v>
      </c>
      <c r="C30839" t="s">
        <v>2444</v>
      </c>
      <c r="D30839">
        <v>698</v>
      </c>
      <c r="E30839">
        <v>0</v>
      </c>
      <c r="F30839">
        <v>261</v>
      </c>
    </row>
    <row r="30840" spans="1:6" ht="12.75">
      <c r="A30840" s="2">
        <v>43875.527395833335</v>
      </c>
      <c r="B30840" t="str">
        <f>HYPERLINK("https://twitter.com/sirnutcrackers","@sirnutcrackers")</f>
        <v>@sirnutcrackers</v>
      </c>
      <c r="C30840" t="s">
        <v>2444</v>
      </c>
      <c r="D30840">
        <v>698</v>
      </c>
      <c r="E30840">
        <v>0</v>
      </c>
      <c r="F30840">
        <v>245</v>
      </c>
    </row>
    <row r="30841" spans="1:6" ht="12.75">
      <c r="A30841" s="2">
        <v>43875.527395833335</v>
      </c>
      <c r="B30841" t="str">
        <f>HYPERLINK("https://twitter.com/BukanGatutKaca","@BukanGatutKaca")</f>
        <v>@BukanGatutKaca</v>
      </c>
      <c r="C30841" t="s">
        <v>2444</v>
      </c>
      <c r="D30841">
        <v>698</v>
      </c>
      <c r="E30841">
        <v>0</v>
      </c>
      <c r="F30841">
        <v>330</v>
      </c>
    </row>
    <row r="30842" spans="1:6" ht="12.75">
      <c r="A30842" s="2">
        <v>43875.527361111112</v>
      </c>
      <c r="B30842" t="str">
        <f>HYPERLINK("https://twitter.com/adiarthabudasi","@adiarthabudasi")</f>
        <v>@adiarthabudasi</v>
      </c>
      <c r="C30842" t="s">
        <v>2444</v>
      </c>
      <c r="D30842">
        <v>698</v>
      </c>
      <c r="E30842">
        <v>0</v>
      </c>
      <c r="F30842">
        <v>323</v>
      </c>
    </row>
    <row r="30843" spans="1:6" ht="12.75">
      <c r="A30843" s="2">
        <v>43875.527303240742</v>
      </c>
      <c r="B30843" t="str">
        <f>HYPERLINK("https://twitter.com/reinxrin__","@reinxrin__")</f>
        <v>@reinxrin__</v>
      </c>
      <c r="C30843" t="s">
        <v>2444</v>
      </c>
      <c r="D30843">
        <v>698</v>
      </c>
      <c r="E30843">
        <v>0</v>
      </c>
      <c r="F30843">
        <v>498</v>
      </c>
    </row>
    <row r="30844" spans="1:6" ht="12.75">
      <c r="A30844" s="2">
        <v>43875.527303240742</v>
      </c>
      <c r="B30844" t="str">
        <f>HYPERLINK("https://twitter.com/mrskyungkai","@mrskyungkai")</f>
        <v>@mrskyungkai</v>
      </c>
      <c r="C30844" t="s">
        <v>2444</v>
      </c>
      <c r="D30844">
        <v>698</v>
      </c>
      <c r="E30844">
        <v>0</v>
      </c>
      <c r="F30844">
        <v>306</v>
      </c>
    </row>
    <row r="30845" spans="1:6" ht="12.75">
      <c r="A30845" s="2">
        <v>43875.527268518519</v>
      </c>
      <c r="B30845" t="str">
        <f>HYPERLINK("https://twitter.com/sinung_sb","@sinung_sb")</f>
        <v>@sinung_sb</v>
      </c>
      <c r="C30845" t="s">
        <v>13055</v>
      </c>
      <c r="D30845">
        <v>0</v>
      </c>
      <c r="E30845">
        <v>0</v>
      </c>
      <c r="F30845">
        <v>6</v>
      </c>
    </row>
    <row r="30846" spans="1:6" ht="12.75">
      <c r="A30846" s="2">
        <v>43875.52725694445</v>
      </c>
      <c r="B30846" t="str">
        <f>HYPERLINK("https://twitter.com/sunflower_kjd","@sunflower_kjd")</f>
        <v>@sunflower_kjd</v>
      </c>
      <c r="C30846" t="s">
        <v>2444</v>
      </c>
      <c r="D30846">
        <v>698</v>
      </c>
      <c r="E30846">
        <v>0</v>
      </c>
      <c r="F30846">
        <v>1084</v>
      </c>
    </row>
    <row r="30847" spans="1:6" ht="12.75">
      <c r="A30847" s="2">
        <v>43875.52725694445</v>
      </c>
      <c r="B30847" t="str">
        <f>HYPERLINK("https://twitter.com/decientee","@decientee")</f>
        <v>@decientee</v>
      </c>
      <c r="C30847" t="s">
        <v>2444</v>
      </c>
      <c r="D30847">
        <v>698</v>
      </c>
      <c r="E30847">
        <v>0</v>
      </c>
      <c r="F30847">
        <v>1972</v>
      </c>
    </row>
    <row r="30848" spans="1:6" ht="12.75">
      <c r="A30848" s="2">
        <v>43875.527245370366</v>
      </c>
      <c r="B30848" t="str">
        <f>HYPERLINK("https://twitter.com/batcukupid","@batcukupid")</f>
        <v>@batcukupid</v>
      </c>
      <c r="C30848" t="s">
        <v>2444</v>
      </c>
      <c r="D30848">
        <v>698</v>
      </c>
      <c r="E30848">
        <v>0</v>
      </c>
      <c r="F30848">
        <v>651</v>
      </c>
    </row>
    <row r="30849" spans="1:6" ht="12.75">
      <c r="A30849" s="2">
        <v>43875.527233796296</v>
      </c>
      <c r="B30849" t="str">
        <f>HYPERLINK("https://twitter.com/nanasnanad","@nanasnanad")</f>
        <v>@nanasnanad</v>
      </c>
      <c r="C30849" t="s">
        <v>2444</v>
      </c>
      <c r="D30849">
        <v>698</v>
      </c>
      <c r="E30849">
        <v>0</v>
      </c>
      <c r="F30849">
        <v>1187</v>
      </c>
    </row>
    <row r="30850" spans="1:6" ht="12.75">
      <c r="A30850" s="2">
        <v>43875.52721064815</v>
      </c>
      <c r="B30850" t="str">
        <f>HYPERLINK("https://twitter.com/pintuberkahh","@pintuberkahh")</f>
        <v>@pintuberkahh</v>
      </c>
      <c r="C30850" t="s">
        <v>2444</v>
      </c>
      <c r="D30850">
        <v>698</v>
      </c>
      <c r="E30850">
        <v>0</v>
      </c>
      <c r="F30850">
        <v>72</v>
      </c>
    </row>
    <row r="30851" spans="1:6" ht="12.75">
      <c r="A30851" s="2">
        <v>43875.52715277778</v>
      </c>
      <c r="B30851" t="str">
        <f>HYPERLINK("https://twitter.com/BilalGuntur","@BilalGuntur")</f>
        <v>@BilalGuntur</v>
      </c>
      <c r="C30851" t="s">
        <v>5485</v>
      </c>
      <c r="D30851">
        <v>2</v>
      </c>
      <c r="E30851">
        <v>0</v>
      </c>
      <c r="F30851">
        <v>376</v>
      </c>
    </row>
    <row r="30852" spans="1:6" ht="12.75">
      <c r="A30852" s="2">
        <v>43875.527118055557</v>
      </c>
      <c r="B30852" t="str">
        <f>HYPERLINK("https://twitter.com/skyfly08","@skyfly08")</f>
        <v>@skyfly08</v>
      </c>
      <c r="C30852" t="s">
        <v>2444</v>
      </c>
      <c r="D30852">
        <v>698</v>
      </c>
      <c r="E30852">
        <v>0</v>
      </c>
      <c r="F30852">
        <v>77</v>
      </c>
    </row>
    <row r="30853" spans="1:6" ht="12.75">
      <c r="A30853" s="2">
        <v>43875.527083333334</v>
      </c>
      <c r="B30853" t="str">
        <f>HYPERLINK("https://twitter.com/Ikahidayatt","@Ikahidayatt")</f>
        <v>@Ikahidayatt</v>
      </c>
      <c r="C30853" t="s">
        <v>2444</v>
      </c>
      <c r="D30853">
        <v>698</v>
      </c>
      <c r="E30853">
        <v>0</v>
      </c>
      <c r="F30853">
        <v>633</v>
      </c>
    </row>
    <row r="30854" spans="1:6" ht="12.75">
      <c r="A30854" s="2">
        <v>43875.527083333334</v>
      </c>
      <c r="B30854" t="str">
        <f>HYPERLINK("https://twitter.com/kompascom","@kompascom")</f>
        <v>@kompascom</v>
      </c>
      <c r="C30854" t="s">
        <v>13056</v>
      </c>
      <c r="D30854">
        <v>4</v>
      </c>
      <c r="E30854">
        <v>12</v>
      </c>
      <c r="F30854">
        <v>7497433</v>
      </c>
    </row>
    <row r="30855" spans="1:6" ht="12.75">
      <c r="A30855" s="2">
        <v>43875.527071759258</v>
      </c>
      <c r="B30855" t="str">
        <f>HYPERLINK("https://twitter.com/wiji_sn","@wiji_sn")</f>
        <v>@wiji_sn</v>
      </c>
      <c r="C30855" t="s">
        <v>2444</v>
      </c>
      <c r="D30855">
        <v>698</v>
      </c>
      <c r="E30855">
        <v>0</v>
      </c>
      <c r="F30855">
        <v>84</v>
      </c>
    </row>
    <row r="30856" spans="1:6" ht="12.75">
      <c r="A30856" s="2">
        <v>43875.527013888888</v>
      </c>
      <c r="B30856" t="str">
        <f>HYPERLINK("https://twitter.com/rock_ryu","@rock_ryu")</f>
        <v>@rock_ryu</v>
      </c>
      <c r="C30856" t="s">
        <v>9746</v>
      </c>
      <c r="D30856">
        <v>96</v>
      </c>
      <c r="E30856">
        <v>0</v>
      </c>
      <c r="F30856">
        <v>49</v>
      </c>
    </row>
    <row r="30857" spans="1:6" ht="12.75">
      <c r="A30857" s="2">
        <v>43875.526979166665</v>
      </c>
      <c r="B30857" t="str">
        <f>HYPERLINK("https://twitter.com/wisnu2910","@wisnu2910")</f>
        <v>@wisnu2910</v>
      </c>
      <c r="C30857" t="s">
        <v>13057</v>
      </c>
      <c r="D30857">
        <v>0</v>
      </c>
      <c r="E30857">
        <v>0</v>
      </c>
      <c r="F30857">
        <v>210</v>
      </c>
    </row>
    <row r="30858" spans="1:6" ht="12.75">
      <c r="A30858" s="2">
        <v>43875.526956018519</v>
      </c>
      <c r="B30858" t="str">
        <f>HYPERLINK("https://twitter.com/unlockeed","@unlockeed")</f>
        <v>@unlockeed</v>
      </c>
      <c r="C30858" t="s">
        <v>2444</v>
      </c>
      <c r="D30858">
        <v>698</v>
      </c>
      <c r="E30858">
        <v>0</v>
      </c>
      <c r="F30858">
        <v>422</v>
      </c>
    </row>
    <row r="30859" spans="1:6" ht="12.75">
      <c r="A30859" s="2">
        <v>43875.526886574073</v>
      </c>
      <c r="B30859" t="str">
        <f>HYPERLINK("https://twitter.com/haluanghabang","@haluanghabang")</f>
        <v>@haluanghabang</v>
      </c>
      <c r="C30859" t="s">
        <v>11773</v>
      </c>
      <c r="D30859">
        <v>5</v>
      </c>
      <c r="E30859">
        <v>0</v>
      </c>
      <c r="F30859">
        <v>965</v>
      </c>
    </row>
    <row r="30860" spans="1:6" ht="12.75">
      <c r="A30860" s="2">
        <v>43875.526874999996</v>
      </c>
      <c r="B30860" t="str">
        <f>HYPERLINK("https://twitter.com/Naplepuf","@Naplepuf")</f>
        <v>@Naplepuf</v>
      </c>
      <c r="C30860" t="s">
        <v>2444</v>
      </c>
      <c r="D30860">
        <v>698</v>
      </c>
      <c r="E30860">
        <v>0</v>
      </c>
      <c r="F30860">
        <v>678</v>
      </c>
    </row>
    <row r="30861" spans="1:6" ht="12.75">
      <c r="A30861" s="2">
        <v>43875.526851851857</v>
      </c>
      <c r="B30861" t="str">
        <f>HYPERLINK("https://twitter.com/dhiny_natalie","@dhiny_natalie")</f>
        <v>@dhiny_natalie</v>
      </c>
      <c r="C30861" t="s">
        <v>13058</v>
      </c>
      <c r="D30861">
        <v>0</v>
      </c>
      <c r="E30861">
        <v>0</v>
      </c>
      <c r="F30861">
        <v>85</v>
      </c>
    </row>
    <row r="30862" spans="1:6" ht="12.75">
      <c r="A30862" s="2">
        <v>43875.526851851857</v>
      </c>
      <c r="B30862" t="str">
        <f>HYPERLINK("https://twitter.com/takeachanges","@takeachanges")</f>
        <v>@takeachanges</v>
      </c>
      <c r="C30862" t="s">
        <v>2444</v>
      </c>
      <c r="D30862">
        <v>698</v>
      </c>
      <c r="E30862">
        <v>0</v>
      </c>
      <c r="F30862">
        <v>92</v>
      </c>
    </row>
    <row r="30863" spans="1:6" ht="12.75">
      <c r="A30863" s="2">
        <v>43875.526828703703</v>
      </c>
      <c r="B30863" t="str">
        <f>HYPERLINK("https://twitter.com/inisialyss_","@inisialyss_")</f>
        <v>@inisialyss_</v>
      </c>
      <c r="C30863" t="s">
        <v>2444</v>
      </c>
      <c r="D30863">
        <v>698</v>
      </c>
      <c r="E30863">
        <v>0</v>
      </c>
      <c r="F30863">
        <v>94</v>
      </c>
    </row>
    <row r="30864" spans="1:6" ht="12.75">
      <c r="A30864" s="2">
        <v>43875.526689814811</v>
      </c>
      <c r="B30864" t="str">
        <f>HYPERLINK("https://twitter.com/prill__s","@prill__s")</f>
        <v>@prill__s</v>
      </c>
      <c r="C30864" t="s">
        <v>2444</v>
      </c>
      <c r="D30864">
        <v>698</v>
      </c>
      <c r="E30864">
        <v>0</v>
      </c>
      <c r="F30864">
        <v>154</v>
      </c>
    </row>
    <row r="30865" spans="1:6" ht="12.75">
      <c r="A30865" s="2">
        <v>43875.526655092588</v>
      </c>
      <c r="B30865" t="str">
        <f>HYPERLINK("https://twitter.com/radavarah","@radavarah")</f>
        <v>@radavarah</v>
      </c>
      <c r="C30865" t="s">
        <v>13059</v>
      </c>
      <c r="D30865">
        <v>0</v>
      </c>
      <c r="E30865">
        <v>1</v>
      </c>
      <c r="F30865">
        <v>163</v>
      </c>
    </row>
    <row r="30866" spans="1:6" ht="12.75">
      <c r="A30866" s="2">
        <v>43875.526631944449</v>
      </c>
      <c r="B30866" t="str">
        <f>HYPERLINK("https://twitter.com/rahel250193","@rahel250193")</f>
        <v>@rahel250193</v>
      </c>
      <c r="C30866" t="s">
        <v>8233</v>
      </c>
      <c r="D30866">
        <v>403</v>
      </c>
      <c r="E30866">
        <v>0</v>
      </c>
      <c r="F30866">
        <v>168</v>
      </c>
    </row>
    <row r="30867" spans="1:6" ht="12.75">
      <c r="A30867" s="2">
        <v>43875.526597222226</v>
      </c>
      <c r="B30867" t="str">
        <f>HYPERLINK("https://twitter.com/bunga___131","@bunga___131")</f>
        <v>@bunga___131</v>
      </c>
      <c r="C30867" t="s">
        <v>2444</v>
      </c>
      <c r="D30867">
        <v>698</v>
      </c>
      <c r="E30867">
        <v>0</v>
      </c>
      <c r="F30867">
        <v>161</v>
      </c>
    </row>
    <row r="30868" spans="1:6" ht="12.75">
      <c r="A30868" s="2">
        <v>43875.526597222226</v>
      </c>
      <c r="B30868" t="str">
        <f>HYPERLINK("https://twitter.com/Rm_lndr4one4587","@Rm_lndr4one4587")</f>
        <v>@Rm_lndr4one4587</v>
      </c>
      <c r="C30868" t="s">
        <v>13060</v>
      </c>
      <c r="D30868">
        <v>0</v>
      </c>
      <c r="E30868">
        <v>0</v>
      </c>
      <c r="F30868">
        <v>567</v>
      </c>
    </row>
    <row r="30869" spans="1:6" ht="12.75">
      <c r="A30869" s="2">
        <v>43875.526516203703</v>
      </c>
      <c r="B30869" t="str">
        <f>HYPERLINK("https://twitter.com/Ldr_Lstyd","@Ldr_Lstyd")</f>
        <v>@Ldr_Lstyd</v>
      </c>
      <c r="C30869" t="s">
        <v>2444</v>
      </c>
      <c r="D30869">
        <v>698</v>
      </c>
      <c r="E30869">
        <v>0</v>
      </c>
      <c r="F30869">
        <v>85</v>
      </c>
    </row>
    <row r="30870" spans="1:6" ht="12.75">
      <c r="A30870" s="2">
        <v>43875.526504629626</v>
      </c>
      <c r="B30870" t="str">
        <f>HYPERLINK("https://twitter.com/Nenkhani8","@Nenkhani8")</f>
        <v>@Nenkhani8</v>
      </c>
      <c r="C30870" t="s">
        <v>13061</v>
      </c>
      <c r="D30870">
        <v>2</v>
      </c>
      <c r="E30870">
        <v>0</v>
      </c>
      <c r="F30870">
        <v>175</v>
      </c>
    </row>
    <row r="30871" spans="1:6" ht="12.75">
      <c r="A30871" s="2">
        <v>43875.526469907403</v>
      </c>
      <c r="B30871" t="str">
        <f>HYPERLINK("https://twitter.com/litaaNp","@litaaNp")</f>
        <v>@litaaNp</v>
      </c>
      <c r="C30871" t="s">
        <v>2444</v>
      </c>
      <c r="D30871">
        <v>698</v>
      </c>
      <c r="E30871">
        <v>0</v>
      </c>
      <c r="F30871">
        <v>29</v>
      </c>
    </row>
    <row r="30872" spans="1:6" ht="12.75">
      <c r="A30872" s="2">
        <v>43875.526458333334</v>
      </c>
      <c r="B30872" t="str">
        <f>HYPERLINK("https://twitter.com/merygoldie","@merygoldie")</f>
        <v>@merygoldie</v>
      </c>
      <c r="C30872" t="s">
        <v>2444</v>
      </c>
      <c r="D30872">
        <v>698</v>
      </c>
      <c r="E30872">
        <v>0</v>
      </c>
      <c r="F30872">
        <v>698</v>
      </c>
    </row>
    <row r="30873" spans="1:6" ht="12.75">
      <c r="A30873" s="2">
        <v>43875.526446759264</v>
      </c>
      <c r="B30873" t="str">
        <f>HYPERLINK("https://twitter.com/wiseknj","@wiseknj")</f>
        <v>@wiseknj</v>
      </c>
      <c r="C30873" t="s">
        <v>2444</v>
      </c>
      <c r="D30873">
        <v>698</v>
      </c>
      <c r="E30873">
        <v>0</v>
      </c>
      <c r="F30873">
        <v>559</v>
      </c>
    </row>
    <row r="30874" spans="1:6" ht="12.75">
      <c r="A30874" s="2">
        <v>43875.52643518518</v>
      </c>
      <c r="B30874" t="str">
        <f>HYPERLINK("https://twitter.com/pastimenanggg","@pastimenanggg")</f>
        <v>@pastimenanggg</v>
      </c>
      <c r="C30874" t="s">
        <v>2444</v>
      </c>
      <c r="D30874">
        <v>698</v>
      </c>
      <c r="E30874">
        <v>0</v>
      </c>
      <c r="F30874">
        <v>76</v>
      </c>
    </row>
    <row r="30875" spans="1:6" ht="12.75">
      <c r="A30875" s="2">
        <v>43875.526412037041</v>
      </c>
      <c r="B30875" t="str">
        <f>HYPERLINK("https://twitter.com/LNababan2","@LNababan2")</f>
        <v>@LNababan2</v>
      </c>
      <c r="C30875" t="s">
        <v>2122</v>
      </c>
      <c r="D30875">
        <v>196</v>
      </c>
      <c r="E30875">
        <v>0</v>
      </c>
      <c r="F30875">
        <v>1786</v>
      </c>
    </row>
    <row r="30876" spans="1:6" ht="12.75">
      <c r="A30876" s="2">
        <v>43875.526296296295</v>
      </c>
      <c r="B30876" t="str">
        <f>HYPERLINK("https://twitter.com/arsazu_","@arsazu_")</f>
        <v>@arsazu_</v>
      </c>
      <c r="C30876" t="s">
        <v>2444</v>
      </c>
      <c r="D30876">
        <v>698</v>
      </c>
      <c r="E30876">
        <v>0</v>
      </c>
      <c r="F30876">
        <v>366</v>
      </c>
    </row>
    <row r="30877" spans="1:6" ht="12.75">
      <c r="A30877" s="2">
        <v>43875.526273148149</v>
      </c>
      <c r="B30877" t="str">
        <f>HYPERLINK("https://twitter.com/wisnu2910","@wisnu2910")</f>
        <v>@wisnu2910</v>
      </c>
      <c r="C30877" t="s">
        <v>2963</v>
      </c>
      <c r="D30877">
        <v>766</v>
      </c>
      <c r="E30877">
        <v>0</v>
      </c>
      <c r="F30877">
        <v>210</v>
      </c>
    </row>
    <row r="30878" spans="1:6" ht="12.75">
      <c r="A30878" s="2">
        <v>43875.526226851856</v>
      </c>
      <c r="B30878" t="str">
        <f>HYPERLINK("https://twitter.com/airtnuna","@airtnuna")</f>
        <v>@airtnuna</v>
      </c>
      <c r="C30878" t="s">
        <v>2444</v>
      </c>
      <c r="D30878">
        <v>698</v>
      </c>
      <c r="E30878">
        <v>0</v>
      </c>
      <c r="F30878">
        <v>21</v>
      </c>
    </row>
    <row r="30879" spans="1:6" ht="12.75">
      <c r="A30879" s="2">
        <v>43875.52616898148</v>
      </c>
      <c r="B30879" t="str">
        <f>HYPERLINK("https://twitter.com/SyafiqRamdhani","@SyafiqRamdhani")</f>
        <v>@SyafiqRamdhani</v>
      </c>
      <c r="C30879" t="s">
        <v>2110</v>
      </c>
      <c r="D30879">
        <v>30</v>
      </c>
      <c r="E30879">
        <v>0</v>
      </c>
      <c r="F30879">
        <v>187</v>
      </c>
    </row>
    <row r="30880" spans="1:6" ht="12.75">
      <c r="A30880" s="2">
        <v>43875.52616898148</v>
      </c>
      <c r="B30880" t="str">
        <f>HYPERLINK("https://twitter.com/misake89847474","@misake89847474")</f>
        <v>@misake89847474</v>
      </c>
      <c r="C30880" t="s">
        <v>13062</v>
      </c>
      <c r="D30880">
        <v>0</v>
      </c>
      <c r="E30880">
        <v>0</v>
      </c>
      <c r="F30880">
        <v>17</v>
      </c>
    </row>
    <row r="30881" spans="1:6" ht="12.75">
      <c r="A30881" s="2">
        <v>43875.526122685187</v>
      </c>
      <c r="B30881" t="str">
        <f>HYPERLINK("https://twitter.com/bahraini093","@bahraini093")</f>
        <v>@bahraini093</v>
      </c>
      <c r="C30881" t="s">
        <v>10237</v>
      </c>
      <c r="D30881">
        <v>38</v>
      </c>
      <c r="E30881">
        <v>0</v>
      </c>
      <c r="F30881">
        <v>2028</v>
      </c>
    </row>
    <row r="30882" spans="1:6" ht="12.75">
      <c r="A30882" s="2">
        <v>43875.526099537034</v>
      </c>
      <c r="B30882" t="str">
        <f>HYPERLINK("https://twitter.com/tyumee1","@tyumee1")</f>
        <v>@tyumee1</v>
      </c>
      <c r="C30882" t="s">
        <v>2444</v>
      </c>
      <c r="D30882">
        <v>698</v>
      </c>
      <c r="E30882">
        <v>0</v>
      </c>
      <c r="F30882">
        <v>213</v>
      </c>
    </row>
    <row r="30883" spans="1:6" ht="12.75">
      <c r="A30883" s="2">
        <v>43875.525995370372</v>
      </c>
      <c r="B30883" t="str">
        <f>HYPERLINK("https://twitter.com/Fajarnur94","@Fajarnur94")</f>
        <v>@Fajarnur94</v>
      </c>
      <c r="C30883" t="s">
        <v>2444</v>
      </c>
      <c r="D30883">
        <v>698</v>
      </c>
      <c r="E30883">
        <v>0</v>
      </c>
      <c r="F30883">
        <v>2251</v>
      </c>
    </row>
    <row r="30884" spans="1:6" ht="12.75">
      <c r="A30884" s="2">
        <v>43875.525902777779</v>
      </c>
      <c r="B30884" t="str">
        <f>HYPERLINK("https://twitter.com/kardusbox08","@kardusbox08")</f>
        <v>@kardusbox08</v>
      </c>
      <c r="C30884" t="s">
        <v>13063</v>
      </c>
      <c r="D30884">
        <v>0</v>
      </c>
      <c r="E30884">
        <v>1</v>
      </c>
      <c r="F30884">
        <v>1205</v>
      </c>
    </row>
    <row r="30885" spans="1:6" ht="12.75">
      <c r="A30885" s="2">
        <v>43875.525856481487</v>
      </c>
      <c r="B30885" t="str">
        <f>HYPERLINK("https://twitter.com/saepulSG8","@saepulSG8")</f>
        <v>@saepulSG8</v>
      </c>
      <c r="C30885" t="s">
        <v>2444</v>
      </c>
      <c r="D30885">
        <v>698</v>
      </c>
      <c r="E30885">
        <v>0</v>
      </c>
      <c r="F30885">
        <v>73</v>
      </c>
    </row>
    <row r="30886" spans="1:6" ht="12.75">
      <c r="A30886" s="2">
        <v>43875.525856481487</v>
      </c>
      <c r="B30886" t="str">
        <f>HYPERLINK("https://twitter.com/RaniOktavianH1","@RaniOktavianH1")</f>
        <v>@RaniOktavianH1</v>
      </c>
      <c r="C30886" t="s">
        <v>2444</v>
      </c>
      <c r="D30886">
        <v>698</v>
      </c>
      <c r="E30886">
        <v>0</v>
      </c>
      <c r="F30886">
        <v>2</v>
      </c>
    </row>
    <row r="30887" spans="1:6" ht="12.75">
      <c r="A30887" s="2">
        <v>43875.525833333333</v>
      </c>
      <c r="B30887" t="str">
        <f>HYPERLINK("https://twitter.com/pleasebmyFinale","@pleasebmyFinale")</f>
        <v>@pleasebmyFinale</v>
      </c>
      <c r="C30887" t="s">
        <v>2444</v>
      </c>
      <c r="D30887">
        <v>698</v>
      </c>
      <c r="E30887">
        <v>0</v>
      </c>
      <c r="F30887">
        <v>684</v>
      </c>
    </row>
    <row r="30888" spans="1:6" ht="12.75">
      <c r="A30888" s="2">
        <v>43875.525821759264</v>
      </c>
      <c r="B30888" t="str">
        <f>HYPERLINK("https://twitter.com/pejuangGA0","@pejuangGA0")</f>
        <v>@pejuangGA0</v>
      </c>
      <c r="C30888" t="s">
        <v>2444</v>
      </c>
      <c r="D30888">
        <v>698</v>
      </c>
      <c r="E30888">
        <v>0</v>
      </c>
      <c r="F30888">
        <v>240</v>
      </c>
    </row>
    <row r="30889" spans="1:6" ht="12.75">
      <c r="A30889" s="2">
        <v>43875.525775462964</v>
      </c>
      <c r="B30889" t="str">
        <f>HYPERLINK("https://twitter.com/wijaya_48","@wijaya_48")</f>
        <v>@wijaya_48</v>
      </c>
      <c r="C30889" t="s">
        <v>10330</v>
      </c>
      <c r="D30889">
        <v>205</v>
      </c>
      <c r="E30889">
        <v>0</v>
      </c>
      <c r="F30889">
        <v>379</v>
      </c>
    </row>
    <row r="30890" spans="1:6" ht="12.75">
      <c r="A30890" s="2">
        <v>43875.525729166664</v>
      </c>
      <c r="B30890" t="str">
        <f>HYPERLINK("https://twitter.com/firdauszumo","@firdauszumo")</f>
        <v>@firdauszumo</v>
      </c>
      <c r="C30890" t="s">
        <v>13064</v>
      </c>
      <c r="D30890">
        <v>0</v>
      </c>
      <c r="E30890">
        <v>0</v>
      </c>
      <c r="F30890">
        <v>378</v>
      </c>
    </row>
    <row r="30891" spans="1:6" ht="12.75">
      <c r="A30891" s="2">
        <v>43875.525717592594</v>
      </c>
      <c r="B30891" t="str">
        <f>HYPERLINK("https://twitter.com/blackmoon_hi","@blackmoon_hi")</f>
        <v>@blackmoon_hi</v>
      </c>
      <c r="C30891" t="s">
        <v>2444</v>
      </c>
      <c r="D30891">
        <v>698</v>
      </c>
      <c r="E30891">
        <v>0</v>
      </c>
      <c r="F30891">
        <v>449</v>
      </c>
    </row>
    <row r="30892" spans="1:6" ht="12.75">
      <c r="A30892" s="2">
        <v>43875.525717592594</v>
      </c>
      <c r="B30892" t="str">
        <f>HYPERLINK("https://twitter.com/orangebreezee","@orangebreezee")</f>
        <v>@orangebreezee</v>
      </c>
      <c r="C30892" t="s">
        <v>2444</v>
      </c>
      <c r="D30892">
        <v>698</v>
      </c>
      <c r="E30892">
        <v>0</v>
      </c>
      <c r="F30892">
        <v>178</v>
      </c>
    </row>
    <row r="30893" spans="1:6" ht="12.75">
      <c r="A30893" s="2">
        <v>43875.525671296295</v>
      </c>
      <c r="B30893" t="str">
        <f>HYPERLINK("https://twitter.com/anticapekk","@anticapekk")</f>
        <v>@anticapekk</v>
      </c>
      <c r="C30893" t="s">
        <v>2444</v>
      </c>
      <c r="D30893">
        <v>698</v>
      </c>
      <c r="E30893">
        <v>0</v>
      </c>
      <c r="F30893">
        <v>152</v>
      </c>
    </row>
    <row r="30894" spans="1:6" ht="12.75">
      <c r="A30894" s="2">
        <v>43875.525671296295</v>
      </c>
      <c r="B30894" t="str">
        <f>HYPERLINK("https://twitter.com/NegaraBerdaulat","@NegaraBerdaulat")</f>
        <v>@NegaraBerdaulat</v>
      </c>
      <c r="C30894" t="s">
        <v>13065</v>
      </c>
      <c r="D30894">
        <v>0</v>
      </c>
      <c r="E30894">
        <v>1</v>
      </c>
      <c r="F30894">
        <v>637</v>
      </c>
    </row>
    <row r="30895" spans="1:6" ht="12.75">
      <c r="A30895" s="2">
        <v>43875.525636574079</v>
      </c>
      <c r="B30895" t="str">
        <f>HYPERLINK("https://twitter.com/Nadnad_26","@Nadnad_26")</f>
        <v>@Nadnad_26</v>
      </c>
      <c r="C30895" t="s">
        <v>2444</v>
      </c>
      <c r="D30895">
        <v>698</v>
      </c>
      <c r="E30895">
        <v>0</v>
      </c>
      <c r="F30895">
        <v>516</v>
      </c>
    </row>
    <row r="30896" spans="1:6" ht="12.75">
      <c r="A30896" s="2">
        <v>43875.525624999995</v>
      </c>
      <c r="B30896" t="str">
        <f>HYPERLINK("https://twitter.com/EniTurmiasih","@EniTurmiasih")</f>
        <v>@EniTurmiasih</v>
      </c>
      <c r="C30896" t="s">
        <v>5168</v>
      </c>
      <c r="D30896">
        <v>576</v>
      </c>
      <c r="E30896">
        <v>0</v>
      </c>
      <c r="F30896">
        <v>6</v>
      </c>
    </row>
    <row r="30897" spans="1:6" ht="12.75">
      <c r="A30897" s="2">
        <v>43875.525624999995</v>
      </c>
      <c r="B30897" t="str">
        <f>HYPERLINK("https://twitter.com/ckltpthh","@ckltpthh")</f>
        <v>@ckltpthh</v>
      </c>
      <c r="C30897" t="s">
        <v>2444</v>
      </c>
      <c r="D30897">
        <v>698</v>
      </c>
      <c r="E30897">
        <v>0</v>
      </c>
      <c r="F30897">
        <v>1727</v>
      </c>
    </row>
    <row r="30898" spans="1:6" ht="12.75">
      <c r="A30898" s="2">
        <v>43875.525601851856</v>
      </c>
      <c r="B30898" t="str">
        <f>HYPERLINK("https://twitter.com/1504ers","@1504ers")</f>
        <v>@1504ers</v>
      </c>
      <c r="C30898" t="s">
        <v>2110</v>
      </c>
      <c r="D30898">
        <v>30</v>
      </c>
      <c r="E30898">
        <v>0</v>
      </c>
      <c r="F30898">
        <v>1709</v>
      </c>
    </row>
    <row r="30899" spans="1:6" ht="12.75">
      <c r="A30899" s="2">
        <v>43875.525497685187</v>
      </c>
      <c r="B30899" t="str">
        <f>HYPERLINK("https://twitter.com/wolwol","@wolwol")</f>
        <v>@wolwol</v>
      </c>
      <c r="C30899" t="s">
        <v>13066</v>
      </c>
      <c r="D30899">
        <v>0</v>
      </c>
      <c r="E30899">
        <v>0</v>
      </c>
      <c r="F30899">
        <v>2402</v>
      </c>
    </row>
    <row r="30900" spans="1:6" ht="12.75">
      <c r="A30900" s="2">
        <v>43875.52543981481</v>
      </c>
      <c r="B30900" t="str">
        <f>HYPERLINK("https://twitter.com/samuelkariono","@samuelkariono")</f>
        <v>@samuelkariono</v>
      </c>
      <c r="C30900" t="s">
        <v>2444</v>
      </c>
      <c r="D30900">
        <v>698</v>
      </c>
      <c r="E30900">
        <v>0</v>
      </c>
      <c r="F30900">
        <v>196</v>
      </c>
    </row>
    <row r="30901" spans="1:6" ht="12.75">
      <c r="A30901" s="2">
        <v>43875.525370370371</v>
      </c>
      <c r="B30901" t="str">
        <f>HYPERLINK("https://twitter.com/FadlyPradana","@FadlyPradana")</f>
        <v>@FadlyPradana</v>
      </c>
      <c r="C30901" t="s">
        <v>2444</v>
      </c>
      <c r="D30901">
        <v>698</v>
      </c>
      <c r="E30901">
        <v>0</v>
      </c>
      <c r="F30901">
        <v>515</v>
      </c>
    </row>
    <row r="30902" spans="1:6" ht="12.75">
      <c r="A30902" s="2">
        <v>43875.525358796294</v>
      </c>
      <c r="B30902" t="str">
        <f>HYPERLINK("https://twitter.com/CunhaChristian","@CunhaChristian")</f>
        <v>@CunhaChristian</v>
      </c>
      <c r="C30902" t="s">
        <v>9746</v>
      </c>
      <c r="D30902">
        <v>96</v>
      </c>
      <c r="E30902">
        <v>0</v>
      </c>
      <c r="F30902">
        <v>435</v>
      </c>
    </row>
    <row r="30903" spans="1:6" ht="12.75">
      <c r="A30903" s="2">
        <v>43875.525347222225</v>
      </c>
      <c r="B30903" t="str">
        <f>HYPERLINK("https://twitter.com/misake89847474","@misake89847474")</f>
        <v>@misake89847474</v>
      </c>
      <c r="C30903" t="s">
        <v>13067</v>
      </c>
      <c r="D30903">
        <v>0</v>
      </c>
      <c r="E30903">
        <v>1</v>
      </c>
      <c r="F30903">
        <v>17</v>
      </c>
    </row>
    <row r="30904" spans="1:6" ht="12.75">
      <c r="A30904" s="2">
        <v>43875.525335648148</v>
      </c>
      <c r="B30904" t="str">
        <f>HYPERLINK("https://twitter.com/Kehiidupan","@Kehiidupan")</f>
        <v>@Kehiidupan</v>
      </c>
      <c r="C30904" t="s">
        <v>2444</v>
      </c>
      <c r="D30904">
        <v>698</v>
      </c>
      <c r="E30904">
        <v>0</v>
      </c>
      <c r="F30904">
        <v>28</v>
      </c>
    </row>
    <row r="30905" spans="1:6" ht="12.75">
      <c r="A30905" s="2">
        <v>43875.525266203702</v>
      </c>
      <c r="B30905" t="str">
        <f>HYPERLINK("https://twitter.com/KimjeonChia","@KimjeonChia")</f>
        <v>@KimjeonChia</v>
      </c>
      <c r="C30905" t="s">
        <v>2444</v>
      </c>
      <c r="D30905">
        <v>698</v>
      </c>
      <c r="E30905">
        <v>0</v>
      </c>
      <c r="F30905">
        <v>1394</v>
      </c>
    </row>
    <row r="30906" spans="1:6" ht="12.75">
      <c r="A30906" s="2">
        <v>43875.525243055556</v>
      </c>
      <c r="B30906" t="str">
        <f>HYPERLINK("https://twitter.com/taebearinluv","@taebearinluv")</f>
        <v>@taebearinluv</v>
      </c>
      <c r="C30906" t="s">
        <v>2444</v>
      </c>
      <c r="D30906">
        <v>698</v>
      </c>
      <c r="E30906">
        <v>0</v>
      </c>
      <c r="F30906">
        <v>3368</v>
      </c>
    </row>
    <row r="30907" spans="1:6" ht="12.75">
      <c r="A30907" s="2">
        <v>43875.525231481486</v>
      </c>
      <c r="B30907" t="str">
        <f>HYPERLINK("https://twitter.com/PratiwiBillah","@PratiwiBillah")</f>
        <v>@PratiwiBillah</v>
      </c>
      <c r="C30907" t="s">
        <v>2110</v>
      </c>
      <c r="D30907">
        <v>30</v>
      </c>
      <c r="E30907">
        <v>0</v>
      </c>
      <c r="F30907">
        <v>65</v>
      </c>
    </row>
    <row r="30908" spans="1:6" ht="12.75">
      <c r="A30908" s="2">
        <v>43875.525219907402</v>
      </c>
      <c r="B30908" t="str">
        <f>HYPERLINK("https://twitter.com/yudhapati88","@yudhapati88")</f>
        <v>@yudhapati88</v>
      </c>
      <c r="C30908" t="s">
        <v>13068</v>
      </c>
      <c r="D30908">
        <v>1</v>
      </c>
      <c r="E30908">
        <v>0</v>
      </c>
      <c r="F30908">
        <v>3404</v>
      </c>
    </row>
    <row r="30909" spans="1:6" ht="12.75">
      <c r="A30909" s="2">
        <v>43875.525219907402</v>
      </c>
      <c r="B30909" t="str">
        <f>HYPERLINK("https://twitter.com/RJIshak","@RJIshak")</f>
        <v>@RJIshak</v>
      </c>
      <c r="C30909" t="s">
        <v>2444</v>
      </c>
      <c r="D30909">
        <v>698</v>
      </c>
      <c r="E30909">
        <v>0</v>
      </c>
      <c r="F30909">
        <v>761</v>
      </c>
    </row>
    <row r="30910" spans="1:6" ht="12.75">
      <c r="A30910" s="2">
        <v>43875.52516203704</v>
      </c>
      <c r="B30910" t="str">
        <f>HYPERLINK("https://twitter.com/dzaynttx","@dzaynttx")</f>
        <v>@dzaynttx</v>
      </c>
      <c r="C30910" t="s">
        <v>2444</v>
      </c>
      <c r="D30910">
        <v>698</v>
      </c>
      <c r="E30910">
        <v>0</v>
      </c>
      <c r="F30910">
        <v>736</v>
      </c>
    </row>
    <row r="30911" spans="1:6" ht="12.75">
      <c r="A30911" s="2">
        <v>43875.52516203704</v>
      </c>
      <c r="B30911" t="str">
        <f>HYPERLINK("https://twitter.com/mochivanili","@mochivanili")</f>
        <v>@mochivanili</v>
      </c>
      <c r="C30911" t="s">
        <v>2444</v>
      </c>
      <c r="D30911">
        <v>698</v>
      </c>
      <c r="E30911">
        <v>0</v>
      </c>
      <c r="F30911">
        <v>425</v>
      </c>
    </row>
    <row r="30912" spans="1:6" ht="12.75">
      <c r="A30912" s="2">
        <v>43875.525127314817</v>
      </c>
      <c r="B30912" t="str">
        <f>HYPERLINK("https://twitter.com/SafBella_","@SafBella_")</f>
        <v>@SafBella_</v>
      </c>
      <c r="C30912" t="s">
        <v>2444</v>
      </c>
      <c r="D30912">
        <v>698</v>
      </c>
      <c r="E30912">
        <v>0</v>
      </c>
      <c r="F30912">
        <v>64</v>
      </c>
    </row>
    <row r="30913" spans="1:6" ht="12.75">
      <c r="A30913" s="2">
        <v>43875.525127314817</v>
      </c>
      <c r="B30913" t="str">
        <f>HYPERLINK("https://twitter.com/sherlydarmali","@sherlydarmali")</f>
        <v>@sherlydarmali</v>
      </c>
      <c r="C30913" t="s">
        <v>2444</v>
      </c>
      <c r="D30913">
        <v>698</v>
      </c>
      <c r="E30913">
        <v>0</v>
      </c>
      <c r="F30913">
        <v>563</v>
      </c>
    </row>
    <row r="30914" spans="1:6" ht="12.75">
      <c r="A30914" s="2">
        <v>43875.52511574074</v>
      </c>
      <c r="B30914" t="str">
        <f>HYPERLINK("https://twitter.com/AgoestinusM","@AgoestinusM")</f>
        <v>@AgoestinusM</v>
      </c>
      <c r="C30914" t="s">
        <v>2122</v>
      </c>
      <c r="D30914">
        <v>196</v>
      </c>
      <c r="E30914">
        <v>0</v>
      </c>
      <c r="F30914">
        <v>134</v>
      </c>
    </row>
    <row r="30915" spans="1:6" ht="12.75">
      <c r="A30915" s="2">
        <v>43875.525081018517</v>
      </c>
      <c r="B30915" t="str">
        <f>HYPERLINK("https://twitter.com/regwullar","@regwullar")</f>
        <v>@regwullar</v>
      </c>
      <c r="C30915" t="s">
        <v>2444</v>
      </c>
      <c r="D30915">
        <v>698</v>
      </c>
      <c r="E30915">
        <v>0</v>
      </c>
      <c r="F30915">
        <v>686</v>
      </c>
    </row>
    <row r="30916" spans="1:6" ht="12.75">
      <c r="A30916" s="2">
        <v>43875.525023148148</v>
      </c>
      <c r="B30916" t="str">
        <f>HYPERLINK("https://twitter.com/lcitral","@lcitral")</f>
        <v>@lcitral</v>
      </c>
      <c r="C30916" t="s">
        <v>9021</v>
      </c>
      <c r="D30916">
        <v>177</v>
      </c>
      <c r="E30916">
        <v>0</v>
      </c>
      <c r="F30916">
        <v>232</v>
      </c>
    </row>
    <row r="30917" spans="1:6" ht="12.75">
      <c r="A30917" s="2">
        <v>43875.525023148148</v>
      </c>
      <c r="B30917" t="str">
        <f>HYPERLINK("https://twitter.com/deroy_sm","@deroy_sm")</f>
        <v>@deroy_sm</v>
      </c>
      <c r="C30917" t="s">
        <v>2144</v>
      </c>
      <c r="D30917">
        <v>65</v>
      </c>
      <c r="E30917">
        <v>0</v>
      </c>
      <c r="F30917">
        <v>191</v>
      </c>
    </row>
    <row r="30918" spans="1:6" ht="12.75">
      <c r="A30918" s="2">
        <v>43875.525011574078</v>
      </c>
      <c r="B30918" t="str">
        <f>HYPERLINK("https://twitter.com/Marif_real","@Marif_real")</f>
        <v>@Marif_real</v>
      </c>
      <c r="C30918" t="s">
        <v>10266</v>
      </c>
      <c r="D30918">
        <v>259</v>
      </c>
      <c r="E30918">
        <v>0</v>
      </c>
      <c r="F30918">
        <v>3</v>
      </c>
    </row>
    <row r="30919" spans="1:6" ht="12.75">
      <c r="A30919" s="2">
        <v>43875.525011574078</v>
      </c>
      <c r="B30919" t="str">
        <f>HYPERLINK("https://twitter.com/menari___","@menari___")</f>
        <v>@menari___</v>
      </c>
      <c r="C30919" t="s">
        <v>2444</v>
      </c>
      <c r="D30919">
        <v>698</v>
      </c>
      <c r="E30919">
        <v>0</v>
      </c>
      <c r="F30919">
        <v>281</v>
      </c>
    </row>
    <row r="30920" spans="1:6" ht="12.75">
      <c r="A30920" s="2">
        <v>43875.524976851855</v>
      </c>
      <c r="B30920" t="str">
        <f>HYPERLINK("https://twitter.com/rebahanforlaife","@rebahanforlaife")</f>
        <v>@rebahanforlaife</v>
      </c>
      <c r="C30920" t="s">
        <v>2444</v>
      </c>
      <c r="D30920">
        <v>698</v>
      </c>
      <c r="E30920">
        <v>0</v>
      </c>
      <c r="F30920">
        <v>1861</v>
      </c>
    </row>
    <row r="30921" spans="1:6" ht="12.75">
      <c r="A30921" s="2">
        <v>43875.524953703702</v>
      </c>
      <c r="B30921" t="str">
        <f>HYPERLINK("https://twitter.com/hujanturunnnn","@hujanturunnnn")</f>
        <v>@hujanturunnnn</v>
      </c>
      <c r="C30921" t="s">
        <v>2444</v>
      </c>
      <c r="D30921">
        <v>698</v>
      </c>
      <c r="E30921">
        <v>0</v>
      </c>
      <c r="F30921">
        <v>60</v>
      </c>
    </row>
    <row r="30922" spans="1:6" ht="12.75">
      <c r="A30922" s="2">
        <v>43875.524953703702</v>
      </c>
      <c r="B30922" t="str">
        <f>HYPERLINK("https://twitter.com/muhammad_ridhaa","@muhammad_ridhaa")</f>
        <v>@muhammad_ridhaa</v>
      </c>
      <c r="C30922" t="s">
        <v>13069</v>
      </c>
      <c r="D30922">
        <v>0</v>
      </c>
      <c r="E30922">
        <v>0</v>
      </c>
      <c r="F30922">
        <v>684</v>
      </c>
    </row>
    <row r="30923" spans="1:6" ht="12.75">
      <c r="A30923" s="2">
        <v>43875.524918981479</v>
      </c>
      <c r="B30923" t="str">
        <f>HYPERLINK("https://twitter.com/myyu9669","@myyu9669")</f>
        <v>@myyu9669</v>
      </c>
      <c r="C30923" t="s">
        <v>2444</v>
      </c>
      <c r="D30923">
        <v>698</v>
      </c>
      <c r="E30923">
        <v>0</v>
      </c>
      <c r="F30923">
        <v>405</v>
      </c>
    </row>
    <row r="30924" spans="1:6" ht="12.75">
      <c r="A30924" s="2">
        <v>43875.524895833332</v>
      </c>
      <c r="B30924" t="str">
        <f>HYPERLINK("https://twitter.com/AmazingRain_","@AmazingRain_")</f>
        <v>@AmazingRain_</v>
      </c>
      <c r="C30924" t="s">
        <v>2444</v>
      </c>
      <c r="D30924">
        <v>698</v>
      </c>
      <c r="E30924">
        <v>0</v>
      </c>
      <c r="F30924">
        <v>958</v>
      </c>
    </row>
    <row r="30925" spans="1:6" ht="12.75">
      <c r="A30925" s="2">
        <v>43875.524861111116</v>
      </c>
      <c r="B30925" t="str">
        <f>HYPERLINK("https://twitter.com/numpanglewad_","@numpanglewad_")</f>
        <v>@numpanglewad_</v>
      </c>
      <c r="C30925" t="s">
        <v>2444</v>
      </c>
      <c r="D30925">
        <v>698</v>
      </c>
      <c r="E30925">
        <v>0</v>
      </c>
      <c r="F30925">
        <v>16</v>
      </c>
    </row>
    <row r="30926" spans="1:6" ht="12.75">
      <c r="A30926" s="2">
        <v>43875.524826388893</v>
      </c>
      <c r="B30926" t="str">
        <f>HYPERLINK("https://twitter.com/LCimory","@LCimory")</f>
        <v>@LCimory</v>
      </c>
      <c r="C30926" t="s">
        <v>2444</v>
      </c>
      <c r="D30926">
        <v>698</v>
      </c>
      <c r="E30926">
        <v>0</v>
      </c>
      <c r="F30926">
        <v>136</v>
      </c>
    </row>
    <row r="30927" spans="1:6" ht="12.75">
      <c r="A30927" s="2">
        <v>43875.524826388893</v>
      </c>
      <c r="B30927" t="str">
        <f>HYPERLINK("https://twitter.com/kangenpapaku","@kangenpapaku")</f>
        <v>@kangenpapaku</v>
      </c>
      <c r="C30927" t="s">
        <v>2444</v>
      </c>
      <c r="D30927">
        <v>698</v>
      </c>
      <c r="E30927">
        <v>0</v>
      </c>
      <c r="F30927">
        <v>56</v>
      </c>
    </row>
    <row r="30928" spans="1:6" ht="12.75">
      <c r="A30928" s="2">
        <v>43875.524780092594</v>
      </c>
      <c r="B30928" t="str">
        <f>HYPERLINK("https://twitter.com/DodipM_Pangestu","@DodipM_Pangestu")</f>
        <v>@DodipM_Pangestu</v>
      </c>
      <c r="C30928" t="s">
        <v>9538</v>
      </c>
      <c r="D30928">
        <v>124</v>
      </c>
      <c r="E30928">
        <v>0</v>
      </c>
      <c r="F30928">
        <v>548</v>
      </c>
    </row>
    <row r="30929" spans="1:6" ht="12.75">
      <c r="A30929" s="2">
        <v>43875.524756944447</v>
      </c>
      <c r="B30929" t="str">
        <f>HYPERLINK("https://twitter.com/anggitarsin","@anggitarsin")</f>
        <v>@anggitarsin</v>
      </c>
      <c r="C30929" t="s">
        <v>2444</v>
      </c>
      <c r="D30929">
        <v>698</v>
      </c>
      <c r="E30929">
        <v>0</v>
      </c>
      <c r="F30929">
        <v>103</v>
      </c>
    </row>
    <row r="30930" spans="1:6" ht="12.75">
      <c r="A30930" s="2">
        <v>43875.524722222224</v>
      </c>
      <c r="B30930" t="str">
        <f>HYPERLINK("https://twitter.com/SKaspani_ong","@SKaspani_ong")</f>
        <v>@SKaspani_ong</v>
      </c>
      <c r="C30930" t="s">
        <v>2444</v>
      </c>
      <c r="D30930">
        <v>698</v>
      </c>
      <c r="E30930">
        <v>0</v>
      </c>
      <c r="F30930">
        <v>4405</v>
      </c>
    </row>
    <row r="30931" spans="1:6" ht="12.75">
      <c r="A30931" s="2">
        <v>43875.524687500001</v>
      </c>
      <c r="B30931" t="str">
        <f>HYPERLINK("https://twitter.com/pikiran_rakyat","@pikiran_rakyat")</f>
        <v>@pikiran_rakyat</v>
      </c>
      <c r="C30931" t="s">
        <v>13070</v>
      </c>
      <c r="D30931">
        <v>0</v>
      </c>
      <c r="E30931">
        <v>0</v>
      </c>
      <c r="F30931">
        <v>412506</v>
      </c>
    </row>
    <row r="30932" spans="1:6" ht="12.75">
      <c r="A30932" s="2">
        <v>43875.524675925924</v>
      </c>
      <c r="B30932" t="str">
        <f>HYPERLINK("https://twitter.com/iloedarsyad","@iloedarsyad")</f>
        <v>@iloedarsyad</v>
      </c>
      <c r="C30932" t="s">
        <v>2110</v>
      </c>
      <c r="D30932">
        <v>30</v>
      </c>
      <c r="E30932">
        <v>0</v>
      </c>
      <c r="F30932">
        <v>360</v>
      </c>
    </row>
    <row r="30933" spans="1:6" ht="12.75">
      <c r="A30933" s="2">
        <v>43875.524675925924</v>
      </c>
      <c r="B30933" t="str">
        <f>HYPERLINK("https://twitter.com/Rinapuspitass","@Rinapuspitass")</f>
        <v>@Rinapuspitass</v>
      </c>
      <c r="C30933" t="s">
        <v>2444</v>
      </c>
      <c r="D30933">
        <v>698</v>
      </c>
      <c r="E30933">
        <v>0</v>
      </c>
      <c r="F30933">
        <v>332</v>
      </c>
    </row>
    <row r="30934" spans="1:6" ht="12.75">
      <c r="A30934" s="2">
        <v>43875.524664351848</v>
      </c>
      <c r="B30934" t="str">
        <f>HYPERLINK("https://twitter.com/jonginmanis","@jonginmanis")</f>
        <v>@jonginmanis</v>
      </c>
      <c r="C30934" t="s">
        <v>2444</v>
      </c>
      <c r="D30934">
        <v>698</v>
      </c>
      <c r="E30934">
        <v>0</v>
      </c>
      <c r="F30934">
        <v>230</v>
      </c>
    </row>
    <row r="30935" spans="1:6" ht="12.75">
      <c r="A30935" s="2">
        <v>43875.524606481486</v>
      </c>
      <c r="B30935" t="str">
        <f>HYPERLINK("https://twitter.com/fawwaz_96","@fawwaz_96")</f>
        <v>@fawwaz_96</v>
      </c>
      <c r="C30935" t="s">
        <v>2444</v>
      </c>
      <c r="D30935">
        <v>698</v>
      </c>
      <c r="E30935">
        <v>0</v>
      </c>
      <c r="F30935">
        <v>1820</v>
      </c>
    </row>
    <row r="30936" spans="1:6" ht="12.75">
      <c r="A30936" s="2">
        <v>43875.524594907409</v>
      </c>
      <c r="B30936" t="str">
        <f>HYPERLINK("https://twitter.com/quantxmleap","@quantxmleap")</f>
        <v>@quantxmleap</v>
      </c>
      <c r="C30936" t="s">
        <v>2444</v>
      </c>
      <c r="D30936">
        <v>698</v>
      </c>
      <c r="E30936">
        <v>0</v>
      </c>
      <c r="F30936">
        <v>639</v>
      </c>
    </row>
    <row r="30937" spans="1:6" ht="12.75">
      <c r="A30937" s="2">
        <v>43875.524502314816</v>
      </c>
      <c r="B30937" t="str">
        <f>HYPERLINK("https://twitter.com/arjunosableng","@arjunosableng")</f>
        <v>@arjunosableng</v>
      </c>
      <c r="C30937" t="s">
        <v>2444</v>
      </c>
      <c r="D30937">
        <v>698</v>
      </c>
      <c r="E30937">
        <v>0</v>
      </c>
      <c r="F30937">
        <v>2225</v>
      </c>
    </row>
    <row r="30938" spans="1:6" ht="12.75">
      <c r="A30938" s="2">
        <v>43875.524479166663</v>
      </c>
      <c r="B30938" t="str">
        <f>HYPERLINK("https://twitter.com/sceneryqq","@sceneryqq")</f>
        <v>@sceneryqq</v>
      </c>
      <c r="C30938" t="s">
        <v>2444</v>
      </c>
      <c r="D30938">
        <v>698</v>
      </c>
      <c r="E30938">
        <v>0</v>
      </c>
      <c r="F30938">
        <v>529</v>
      </c>
    </row>
    <row r="30939" spans="1:6" ht="12.75">
      <c r="A30939" s="2">
        <v>43875.52444444444</v>
      </c>
      <c r="B30939" t="str">
        <f>HYPERLINK("https://twitter.com/PathologiCynic","@PathologiCynic")</f>
        <v>@PathologiCynic</v>
      </c>
      <c r="C30939" t="s">
        <v>13071</v>
      </c>
      <c r="D30939">
        <v>0</v>
      </c>
      <c r="E30939">
        <v>0</v>
      </c>
      <c r="F30939">
        <v>24</v>
      </c>
    </row>
    <row r="30940" spans="1:6" ht="12.75">
      <c r="A30940" s="2">
        <v>43875.52443287037</v>
      </c>
      <c r="B30940" t="str">
        <f>HYPERLINK("https://twitter.com/Chocolatoszs","@Chocolatoszs")</f>
        <v>@Chocolatoszs</v>
      </c>
      <c r="C30940" t="s">
        <v>2444</v>
      </c>
      <c r="D30940">
        <v>698</v>
      </c>
      <c r="E30940">
        <v>0</v>
      </c>
      <c r="F30940">
        <v>331</v>
      </c>
    </row>
    <row r="30941" spans="1:6" ht="12.75">
      <c r="A30941" s="2">
        <v>43875.524398148147</v>
      </c>
      <c r="B30941" t="str">
        <f>HYPERLINK("https://twitter.com/Nurhiday02","@Nurhiday02")</f>
        <v>@Nurhiday02</v>
      </c>
      <c r="C30941" t="s">
        <v>2444</v>
      </c>
      <c r="D30941">
        <v>698</v>
      </c>
      <c r="E30941">
        <v>0</v>
      </c>
      <c r="F30941">
        <v>1627</v>
      </c>
    </row>
    <row r="30942" spans="1:6" ht="12.75">
      <c r="A30942" s="2">
        <v>43875.524363425924</v>
      </c>
      <c r="B30942" t="str">
        <f>HYPERLINK("https://twitter.com/Alveraamelia_","@Alveraamelia_")</f>
        <v>@Alveraamelia_</v>
      </c>
      <c r="C30942" t="s">
        <v>2444</v>
      </c>
      <c r="D30942">
        <v>698</v>
      </c>
      <c r="E30942">
        <v>0</v>
      </c>
      <c r="F30942">
        <v>222</v>
      </c>
    </row>
    <row r="30943" spans="1:6" ht="12.75">
      <c r="A30943" s="2">
        <v>43875.524340277778</v>
      </c>
      <c r="B30943" t="str">
        <f>HYPERLINK("https://twitter.com/yeolse9294","@yeolse9294")</f>
        <v>@yeolse9294</v>
      </c>
      <c r="C30943" t="s">
        <v>2444</v>
      </c>
      <c r="D30943">
        <v>698</v>
      </c>
      <c r="E30943">
        <v>0</v>
      </c>
      <c r="F30943">
        <v>575</v>
      </c>
    </row>
    <row r="30944" spans="1:6" ht="12.75">
      <c r="A30944" s="2">
        <v>43875.524293981478</v>
      </c>
      <c r="B30944" t="str">
        <f>HYPERLINK("https://twitter.com/ephraym8","@ephraym8")</f>
        <v>@ephraym8</v>
      </c>
      <c r="C30944" t="s">
        <v>12707</v>
      </c>
      <c r="D30944">
        <v>1</v>
      </c>
      <c r="E30944">
        <v>0</v>
      </c>
      <c r="F30944">
        <v>1113</v>
      </c>
    </row>
    <row r="30945" spans="1:6" ht="12.75">
      <c r="A30945" s="2">
        <v>43875.524247685185</v>
      </c>
      <c r="B30945" t="str">
        <f>HYPERLINK("https://twitter.com/dysyani_","@dysyani_")</f>
        <v>@dysyani_</v>
      </c>
      <c r="C30945" t="s">
        <v>2444</v>
      </c>
      <c r="D30945">
        <v>698</v>
      </c>
      <c r="E30945">
        <v>0</v>
      </c>
      <c r="F30945">
        <v>4095</v>
      </c>
    </row>
    <row r="30946" spans="1:6" ht="12.75">
      <c r="A30946" s="2">
        <v>43875.524224537032</v>
      </c>
      <c r="B30946" t="str">
        <f>HYPERLINK("https://twitter.com/NegaraBerdaulat","@NegaraBerdaulat")</f>
        <v>@NegaraBerdaulat</v>
      </c>
      <c r="C30946" t="s">
        <v>13072</v>
      </c>
      <c r="D30946">
        <v>0</v>
      </c>
      <c r="E30946">
        <v>1</v>
      </c>
      <c r="F30946">
        <v>637</v>
      </c>
    </row>
    <row r="30947" spans="1:6" ht="12.75">
      <c r="A30947" s="2">
        <v>43875.524212962962</v>
      </c>
      <c r="B30947" t="str">
        <f>HYPERLINK("https://twitter.com/eajgurl","@eajgurl")</f>
        <v>@eajgurl</v>
      </c>
      <c r="C30947" t="s">
        <v>2444</v>
      </c>
      <c r="D30947">
        <v>698</v>
      </c>
      <c r="E30947">
        <v>0</v>
      </c>
      <c r="F30947">
        <v>2590</v>
      </c>
    </row>
    <row r="30948" spans="1:6" ht="12.75">
      <c r="A30948" s="2">
        <v>43875.524189814816</v>
      </c>
      <c r="B30948" t="str">
        <f>HYPERLINK("https://twitter.com/cecilliamu","@cecilliamu")</f>
        <v>@cecilliamu</v>
      </c>
      <c r="C30948" t="s">
        <v>13073</v>
      </c>
      <c r="D30948">
        <v>1</v>
      </c>
      <c r="E30948">
        <v>0</v>
      </c>
      <c r="F30948">
        <v>249</v>
      </c>
    </row>
    <row r="30949" spans="1:6" ht="12.75">
      <c r="A30949" s="2">
        <v>43875.52416666667</v>
      </c>
      <c r="B30949" t="str">
        <f>HYPERLINK("https://twitter.com/SpidyDuck12","@SpidyDuck12")</f>
        <v>@SpidyDuck12</v>
      </c>
      <c r="C30949" t="s">
        <v>2444</v>
      </c>
      <c r="D30949">
        <v>698</v>
      </c>
      <c r="E30949">
        <v>0</v>
      </c>
      <c r="F30949">
        <v>785</v>
      </c>
    </row>
    <row r="30950" spans="1:6" ht="12.75">
      <c r="A30950" s="2">
        <v>43875.52416666667</v>
      </c>
      <c r="B30950" t="str">
        <f>HYPERLINK("https://twitter.com/bintanglangittt","@bintanglangittt")</f>
        <v>@bintanglangittt</v>
      </c>
      <c r="C30950" t="s">
        <v>2444</v>
      </c>
      <c r="D30950">
        <v>698</v>
      </c>
      <c r="E30950">
        <v>0</v>
      </c>
      <c r="F30950">
        <v>65</v>
      </c>
    </row>
    <row r="30951" spans="1:6" ht="12.75">
      <c r="A30951" s="2">
        <v>43875.524143518516</v>
      </c>
      <c r="B30951" t="str">
        <f>HYPERLINK("https://twitter.com/daybpp","@daybpp")</f>
        <v>@daybpp</v>
      </c>
      <c r="C30951" t="s">
        <v>13074</v>
      </c>
      <c r="D30951">
        <v>0</v>
      </c>
      <c r="E30951">
        <v>0</v>
      </c>
      <c r="F30951">
        <v>3</v>
      </c>
    </row>
    <row r="30952" spans="1:6" ht="12.75">
      <c r="A30952" s="2">
        <v>43875.524143518516</v>
      </c>
      <c r="B30952" t="str">
        <f>HYPERLINK("https://twitter.com/yupootae","@yupootae")</f>
        <v>@yupootae</v>
      </c>
      <c r="C30952" t="s">
        <v>2444</v>
      </c>
      <c r="D30952">
        <v>698</v>
      </c>
      <c r="E30952">
        <v>0</v>
      </c>
      <c r="F30952">
        <v>3067</v>
      </c>
    </row>
    <row r="30953" spans="1:6" ht="12.75">
      <c r="A30953" s="2">
        <v>43875.524131944447</v>
      </c>
      <c r="B30953" t="str">
        <f>HYPERLINK("https://twitter.com/Alitingting2","@Alitingting2")</f>
        <v>@Alitingting2</v>
      </c>
      <c r="C30953" t="s">
        <v>2963</v>
      </c>
      <c r="D30953">
        <v>766</v>
      </c>
      <c r="E30953">
        <v>0</v>
      </c>
      <c r="F30953">
        <v>2894</v>
      </c>
    </row>
    <row r="30954" spans="1:6" ht="12.75">
      <c r="A30954" s="2">
        <v>43875.524097222224</v>
      </c>
      <c r="B30954" t="str">
        <f>HYPERLINK("https://twitter.com/blessmeahcho","@blessmeahcho")</f>
        <v>@blessmeahcho</v>
      </c>
      <c r="C30954" t="s">
        <v>2444</v>
      </c>
      <c r="D30954">
        <v>698</v>
      </c>
      <c r="E30954">
        <v>0</v>
      </c>
      <c r="F30954">
        <v>210</v>
      </c>
    </row>
    <row r="30955" spans="1:6" ht="12.75">
      <c r="A30955" s="2">
        <v>43875.523923611108</v>
      </c>
      <c r="B30955" t="str">
        <f>HYPERLINK("https://twitter.com/niniwopyo","@niniwopyo")</f>
        <v>@niniwopyo</v>
      </c>
      <c r="C30955" t="s">
        <v>2444</v>
      </c>
      <c r="D30955">
        <v>698</v>
      </c>
      <c r="E30955">
        <v>0</v>
      </c>
      <c r="F30955">
        <v>52</v>
      </c>
    </row>
    <row r="30956" spans="1:6" ht="12.75">
      <c r="A30956" s="2">
        <v>43875.523888888885</v>
      </c>
      <c r="B30956" t="str">
        <f>HYPERLINK("https://twitter.com/nyetoo","@nyetoo")</f>
        <v>@nyetoo</v>
      </c>
      <c r="C30956" t="s">
        <v>9964</v>
      </c>
      <c r="D30956">
        <v>552</v>
      </c>
      <c r="E30956">
        <v>0</v>
      </c>
      <c r="F30956">
        <v>544</v>
      </c>
    </row>
    <row r="30957" spans="1:6" ht="12.75">
      <c r="A30957" s="2">
        <v>43875.523831018523</v>
      </c>
      <c r="B30957" t="str">
        <f>HYPERLINK("https://twitter.com/IswantoBagaskar","@IswantoBagaskar")</f>
        <v>@IswantoBagaskar</v>
      </c>
      <c r="C30957" t="s">
        <v>2444</v>
      </c>
      <c r="D30957">
        <v>698</v>
      </c>
      <c r="E30957">
        <v>0</v>
      </c>
      <c r="F30957">
        <v>3983</v>
      </c>
    </row>
    <row r="30958" spans="1:6" ht="12.75">
      <c r="A30958" s="2">
        <v>43875.52380787037</v>
      </c>
      <c r="B30958" t="str">
        <f>HYPERLINK("https://twitter.com/Afnida18","@Afnida18")</f>
        <v>@Afnida18</v>
      </c>
      <c r="C30958" t="s">
        <v>513</v>
      </c>
      <c r="D30958">
        <v>23208</v>
      </c>
      <c r="E30958">
        <v>0</v>
      </c>
      <c r="F30958">
        <v>43</v>
      </c>
    </row>
    <row r="30959" spans="1:6" ht="12.75">
      <c r="A30959" s="2">
        <v>43875.5237962963</v>
      </c>
      <c r="B30959" t="str">
        <f>HYPERLINK("https://twitter.com/hybabysangsterr","@hybabysangsterr")</f>
        <v>@hybabysangsterr</v>
      </c>
      <c r="C30959" t="s">
        <v>2444</v>
      </c>
      <c r="D30959">
        <v>698</v>
      </c>
      <c r="E30959">
        <v>0</v>
      </c>
      <c r="F30959">
        <v>336</v>
      </c>
    </row>
    <row r="30960" spans="1:6" ht="12.75">
      <c r="A30960" s="2">
        <v>43875.523773148147</v>
      </c>
      <c r="B30960" t="str">
        <f>HYPERLINK("https://twitter.com/kumaidian","@kumaidian")</f>
        <v>@kumaidian</v>
      </c>
      <c r="C30960" t="s">
        <v>11425</v>
      </c>
      <c r="D30960">
        <v>218</v>
      </c>
      <c r="E30960">
        <v>0</v>
      </c>
      <c r="F30960">
        <v>46</v>
      </c>
    </row>
    <row r="30961" spans="1:6" ht="12.75">
      <c r="A30961" s="2">
        <v>43875.523634259254</v>
      </c>
      <c r="B30961" t="str">
        <f>HYPERLINK("https://twitter.com/VIVAcoid","@VIVAcoid")</f>
        <v>@VIVAcoid</v>
      </c>
      <c r="C30961" t="s">
        <v>13075</v>
      </c>
      <c r="D30961">
        <v>1</v>
      </c>
      <c r="E30961">
        <v>0</v>
      </c>
      <c r="F30961">
        <v>4169116</v>
      </c>
    </row>
    <row r="30962" spans="1:6" ht="12.75">
      <c r="A30962" s="2">
        <v>43875.523622685185</v>
      </c>
      <c r="B30962" t="str">
        <f>HYPERLINK("https://twitter.com/fvckingurlll","@fvckingurlll")</f>
        <v>@fvckingurlll</v>
      </c>
      <c r="C30962" t="s">
        <v>2444</v>
      </c>
      <c r="D30962">
        <v>698</v>
      </c>
      <c r="E30962">
        <v>0</v>
      </c>
      <c r="F30962">
        <v>1337</v>
      </c>
    </row>
    <row r="30963" spans="1:6" ht="12.75">
      <c r="A30963" s="2">
        <v>43875.523611111115</v>
      </c>
      <c r="B30963" t="str">
        <f>HYPERLINK("https://twitter.com/Lasupu_0472","@Lasupu_0472")</f>
        <v>@Lasupu_0472</v>
      </c>
      <c r="C30963" t="s">
        <v>10291</v>
      </c>
      <c r="D30963">
        <v>10</v>
      </c>
      <c r="E30963">
        <v>0</v>
      </c>
      <c r="F30963">
        <v>183</v>
      </c>
    </row>
    <row r="30964" spans="1:6" ht="12.75">
      <c r="A30964" s="2">
        <v>43875.523541666669</v>
      </c>
      <c r="B30964" t="str">
        <f>HYPERLINK("https://twitter.com/rocqsie","@rocqsie")</f>
        <v>@rocqsie</v>
      </c>
      <c r="C30964" t="s">
        <v>2444</v>
      </c>
      <c r="D30964">
        <v>698</v>
      </c>
      <c r="E30964">
        <v>0</v>
      </c>
      <c r="F30964">
        <v>134</v>
      </c>
    </row>
    <row r="30965" spans="1:6" ht="12.75">
      <c r="A30965" s="2">
        <v>43875.523541666669</v>
      </c>
      <c r="B30965" t="str">
        <f>HYPERLINK("https://twitter.com/pinkeulava_","@pinkeulava_")</f>
        <v>@pinkeulava_</v>
      </c>
      <c r="C30965" t="s">
        <v>2444</v>
      </c>
      <c r="D30965">
        <v>698</v>
      </c>
      <c r="E30965">
        <v>0</v>
      </c>
      <c r="F30965">
        <v>137</v>
      </c>
    </row>
    <row r="30966" spans="1:6" ht="12.75">
      <c r="A30966" s="2">
        <v>43875.523530092592</v>
      </c>
      <c r="B30966" t="str">
        <f>HYPERLINK("https://twitter.com/noniiruth","@noniiruth")</f>
        <v>@noniiruth</v>
      </c>
      <c r="C30966" t="s">
        <v>2444</v>
      </c>
      <c r="D30966">
        <v>698</v>
      </c>
      <c r="E30966">
        <v>0</v>
      </c>
      <c r="F30966">
        <v>206</v>
      </c>
    </row>
    <row r="30967" spans="1:6" ht="12.75">
      <c r="A30967" s="2">
        <v>43875.523495370369</v>
      </c>
      <c r="B30967" t="str">
        <f>HYPERLINK("https://twitter.com/namastaeeek","@namastaeeek")</f>
        <v>@namastaeeek</v>
      </c>
      <c r="C30967" t="s">
        <v>5168</v>
      </c>
      <c r="D30967">
        <v>576</v>
      </c>
      <c r="E30967">
        <v>0</v>
      </c>
      <c r="F30967">
        <v>11</v>
      </c>
    </row>
    <row r="30968" spans="1:6" ht="12.75">
      <c r="A30968" s="2">
        <v>43875.523472222223</v>
      </c>
      <c r="B30968" t="str">
        <f>HYPERLINK("https://twitter.com/boberwinn","@boberwinn")</f>
        <v>@boberwinn</v>
      </c>
      <c r="C30968" t="s">
        <v>9113</v>
      </c>
      <c r="D30968">
        <v>280</v>
      </c>
      <c r="E30968">
        <v>0</v>
      </c>
      <c r="F30968">
        <v>325</v>
      </c>
    </row>
    <row r="30969" spans="1:6" ht="12.75">
      <c r="A30969" s="2">
        <v>43875.5234375</v>
      </c>
      <c r="B30969" t="str">
        <f>HYPERLINK("https://twitter.com/aufaarizqiana96","@aufaarizqiana96")</f>
        <v>@aufaarizqiana96</v>
      </c>
      <c r="C30969" t="s">
        <v>2444</v>
      </c>
      <c r="D30969">
        <v>698</v>
      </c>
      <c r="E30969">
        <v>0</v>
      </c>
      <c r="F30969">
        <v>256</v>
      </c>
    </row>
    <row r="30970" spans="1:6" ht="12.75">
      <c r="A30970" s="2">
        <v>43875.523414351846</v>
      </c>
      <c r="B30970" t="str">
        <f>HYPERLINK("https://twitter.com/nicho0218","@nicho0218")</f>
        <v>@nicho0218</v>
      </c>
      <c r="C30970" t="s">
        <v>13076</v>
      </c>
      <c r="D30970">
        <v>0</v>
      </c>
      <c r="E30970">
        <v>0</v>
      </c>
      <c r="F30970">
        <v>392</v>
      </c>
    </row>
    <row r="30971" spans="1:6" ht="12.75">
      <c r="A30971" s="2">
        <v>43875.523391203707</v>
      </c>
      <c r="B30971" t="str">
        <f>HYPERLINK("https://twitter.com/gosahbacott","@gosahbacott")</f>
        <v>@gosahbacott</v>
      </c>
      <c r="C30971" t="s">
        <v>2444</v>
      </c>
      <c r="D30971">
        <v>698</v>
      </c>
      <c r="E30971">
        <v>0</v>
      </c>
      <c r="F30971">
        <v>558</v>
      </c>
    </row>
    <row r="30972" spans="1:6" ht="12.75">
      <c r="A30972" s="2">
        <v>43875.523368055554</v>
      </c>
      <c r="B30972" t="str">
        <f>HYPERLINK("https://twitter.com/Awaludinbox","@Awaludinbox")</f>
        <v>@Awaludinbox</v>
      </c>
      <c r="C30972" t="s">
        <v>2963</v>
      </c>
      <c r="D30972">
        <v>766</v>
      </c>
      <c r="E30972">
        <v>0</v>
      </c>
      <c r="F30972">
        <v>1555</v>
      </c>
    </row>
    <row r="30973" spans="1:6" ht="12.75">
      <c r="A30973" s="2">
        <v>43875.523356481484</v>
      </c>
      <c r="B30973" t="str">
        <f>HYPERLINK("https://twitter.com/rahmanita_","@rahmanita_")</f>
        <v>@rahmanita_</v>
      </c>
      <c r="C30973" t="s">
        <v>2444</v>
      </c>
      <c r="D30973">
        <v>698</v>
      </c>
      <c r="E30973">
        <v>0</v>
      </c>
      <c r="F30973">
        <v>1015</v>
      </c>
    </row>
    <row r="30974" spans="1:6" ht="12.75">
      <c r="A30974" s="2">
        <v>43875.523333333331</v>
      </c>
      <c r="B30974" t="str">
        <f>HYPERLINK("https://twitter.com/lautryy","@lautryy")</f>
        <v>@lautryy</v>
      </c>
      <c r="C30974" t="s">
        <v>2444</v>
      </c>
      <c r="D30974">
        <v>698</v>
      </c>
      <c r="E30974">
        <v>0</v>
      </c>
      <c r="F30974">
        <v>315</v>
      </c>
    </row>
    <row r="30975" spans="1:6" ht="12.75">
      <c r="A30975" s="2">
        <v>43875.523333333331</v>
      </c>
      <c r="B30975" t="str">
        <f>HYPERLINK("https://twitter.com/APIT_Aulia","@APIT_Aulia")</f>
        <v>@APIT_Aulia</v>
      </c>
      <c r="C30975" t="s">
        <v>9746</v>
      </c>
      <c r="D30975">
        <v>96</v>
      </c>
      <c r="E30975">
        <v>0</v>
      </c>
      <c r="F30975">
        <v>435</v>
      </c>
    </row>
    <row r="30976" spans="1:6" ht="12.75">
      <c r="A30976" s="2">
        <v>43875.523321759261</v>
      </c>
      <c r="B30976" t="str">
        <f>HYPERLINK("https://twitter.com/hujansenjaaaa","@hujansenjaaaa")</f>
        <v>@hujansenjaaaa</v>
      </c>
      <c r="C30976" t="s">
        <v>2444</v>
      </c>
      <c r="D30976">
        <v>698</v>
      </c>
      <c r="E30976">
        <v>0</v>
      </c>
      <c r="F30976">
        <v>66</v>
      </c>
    </row>
    <row r="30977" spans="1:6" ht="12.75">
      <c r="A30977" s="2">
        <v>43875.523321759261</v>
      </c>
      <c r="B30977" t="str">
        <f>HYPERLINK("https://twitter.com/bubibumiu","@bubibumiu")</f>
        <v>@bubibumiu</v>
      </c>
      <c r="C30977" t="s">
        <v>2444</v>
      </c>
      <c r="D30977">
        <v>698</v>
      </c>
      <c r="E30977">
        <v>0</v>
      </c>
      <c r="F30977">
        <v>613</v>
      </c>
    </row>
    <row r="30978" spans="1:6" ht="12.75">
      <c r="A30978" s="2">
        <v>43875.523298611108</v>
      </c>
      <c r="B30978" t="str">
        <f>HYPERLINK("https://twitter.com/ineznisasi","@ineznisasi")</f>
        <v>@ineznisasi</v>
      </c>
      <c r="C30978" t="s">
        <v>13077</v>
      </c>
      <c r="D30978">
        <v>0</v>
      </c>
      <c r="E30978">
        <v>1</v>
      </c>
      <c r="F30978">
        <v>1072</v>
      </c>
    </row>
    <row r="30979" spans="1:6" ht="12.75">
      <c r="A30979" s="2">
        <v>43875.523298611108</v>
      </c>
      <c r="B30979" t="str">
        <f>HYPERLINK("https://twitter.com/dhita_jumiati12","@dhita_jumiati12")</f>
        <v>@dhita_jumiati12</v>
      </c>
      <c r="C30979" t="s">
        <v>2444</v>
      </c>
      <c r="D30979">
        <v>698</v>
      </c>
      <c r="E30979">
        <v>0</v>
      </c>
      <c r="F30979">
        <v>495</v>
      </c>
    </row>
    <row r="30980" spans="1:6" ht="12.75">
      <c r="A30980" s="2">
        <v>43875.523287037038</v>
      </c>
      <c r="B30980" t="str">
        <f>HYPERLINK("https://twitter.com/vivanewscom","@vivanewscom")</f>
        <v>@vivanewscom</v>
      </c>
      <c r="C30980" t="s">
        <v>13078</v>
      </c>
      <c r="D30980">
        <v>1</v>
      </c>
      <c r="E30980">
        <v>2</v>
      </c>
      <c r="F30980">
        <v>4067</v>
      </c>
    </row>
    <row r="30981" spans="1:6" ht="12.75">
      <c r="A30981" s="2">
        <v>43875.523252314815</v>
      </c>
      <c r="B30981" t="str">
        <f>HYPERLINK("https://twitter.com/fierazor","@fierazor")</f>
        <v>@fierazor</v>
      </c>
      <c r="C30981" t="s">
        <v>2444</v>
      </c>
      <c r="D30981">
        <v>698</v>
      </c>
      <c r="E30981">
        <v>0</v>
      </c>
      <c r="F30981">
        <v>550</v>
      </c>
    </row>
    <row r="30982" spans="1:6" ht="12.75">
      <c r="A30982" s="2">
        <v>43875.523252314815</v>
      </c>
      <c r="B30982" t="str">
        <f>HYPERLINK("https://twitter.com/capriodefrian","@capriodefrian")</f>
        <v>@capriodefrian</v>
      </c>
      <c r="C30982" t="s">
        <v>2444</v>
      </c>
      <c r="D30982">
        <v>698</v>
      </c>
      <c r="E30982">
        <v>0</v>
      </c>
      <c r="F30982">
        <v>139</v>
      </c>
    </row>
    <row r="30983" spans="1:6" ht="12.75">
      <c r="A30983" s="2">
        <v>43875.523252314815</v>
      </c>
      <c r="B30983" t="str">
        <f>HYPERLINK("https://twitter.com/h1k4ru12","@h1k4ru12")</f>
        <v>@h1k4ru12</v>
      </c>
      <c r="C30983" t="s">
        <v>2444</v>
      </c>
      <c r="D30983">
        <v>698</v>
      </c>
      <c r="E30983">
        <v>0</v>
      </c>
      <c r="F30983">
        <v>241</v>
      </c>
    </row>
    <row r="30984" spans="1:6" ht="12.75">
      <c r="A30984" s="2">
        <v>43875.523229166662</v>
      </c>
      <c r="B30984" t="str">
        <f>HYPERLINK("https://twitter.com/FaGtng","@FaGtng")</f>
        <v>@FaGtng</v>
      </c>
      <c r="C30984" t="s">
        <v>12927</v>
      </c>
      <c r="D30984">
        <v>2</v>
      </c>
      <c r="E30984">
        <v>0</v>
      </c>
      <c r="F30984">
        <v>15965</v>
      </c>
    </row>
    <row r="30985" spans="1:6" ht="12.75">
      <c r="A30985" s="2">
        <v>43875.523206018523</v>
      </c>
      <c r="B30985" t="str">
        <f>HYPERLINK("https://twitter.com/LintangLesmanaa","@LintangLesmanaa")</f>
        <v>@LintangLesmanaa</v>
      </c>
      <c r="C30985" t="s">
        <v>2444</v>
      </c>
      <c r="D30985">
        <v>698</v>
      </c>
      <c r="E30985">
        <v>0</v>
      </c>
      <c r="F30985">
        <v>142</v>
      </c>
    </row>
    <row r="30986" spans="1:6" ht="12.75">
      <c r="A30986" s="2">
        <v>43875.523194444446</v>
      </c>
      <c r="B30986" t="str">
        <f>HYPERLINK("https://twitter.com/naaazzzs","@naaazzzs")</f>
        <v>@naaazzzs</v>
      </c>
      <c r="C30986" t="s">
        <v>2444</v>
      </c>
      <c r="D30986">
        <v>698</v>
      </c>
      <c r="E30986">
        <v>0</v>
      </c>
      <c r="F30986">
        <v>47719</v>
      </c>
    </row>
    <row r="30987" spans="1:6" ht="12.75">
      <c r="A30987" s="2">
        <v>43875.523194444446</v>
      </c>
      <c r="B30987" t="str">
        <f>HYPERLINK("https://twitter.com/qronoz","@qronoz")</f>
        <v>@qronoz</v>
      </c>
      <c r="C30987" t="s">
        <v>2444</v>
      </c>
      <c r="D30987">
        <v>698</v>
      </c>
      <c r="E30987">
        <v>0</v>
      </c>
      <c r="F30987">
        <v>16324</v>
      </c>
    </row>
    <row r="30988" spans="1:6" ht="12.75">
      <c r="A30988" s="2">
        <v>43875.5231712963</v>
      </c>
      <c r="B30988" t="str">
        <f>HYPERLINK("https://twitter.com/Rafibukanahmad","@Rafibukanahmad")</f>
        <v>@Rafibukanahmad</v>
      </c>
      <c r="C30988" t="s">
        <v>13079</v>
      </c>
      <c r="D30988">
        <v>0</v>
      </c>
      <c r="E30988">
        <v>0</v>
      </c>
      <c r="F30988">
        <v>388</v>
      </c>
    </row>
    <row r="30989" spans="1:6" ht="12.75">
      <c r="A30989" s="2">
        <v>43875.523125</v>
      </c>
      <c r="B30989" t="str">
        <f>HYPERLINK("https://twitter.com/kiyoran315","@kiyoran315")</f>
        <v>@kiyoran315</v>
      </c>
      <c r="C30989" t="s">
        <v>2444</v>
      </c>
      <c r="D30989">
        <v>698</v>
      </c>
      <c r="E30989">
        <v>0</v>
      </c>
      <c r="F30989">
        <v>245</v>
      </c>
    </row>
    <row r="30990" spans="1:6" ht="12.75">
      <c r="A30990" s="2">
        <v>43875.523043981477</v>
      </c>
      <c r="B30990" t="str">
        <f>HYPERLINK("https://twitter.com/fkgakin","@fkgakin")</f>
        <v>@fkgakin</v>
      </c>
      <c r="C30990" t="s">
        <v>2444</v>
      </c>
      <c r="D30990">
        <v>698</v>
      </c>
      <c r="E30990">
        <v>0</v>
      </c>
      <c r="F30990">
        <v>129</v>
      </c>
    </row>
    <row r="30991" spans="1:6" ht="12.75">
      <c r="A30991" s="2">
        <v>43875.522974537038</v>
      </c>
      <c r="B30991" t="str">
        <f>HYPERLINK("https://twitter.com/deardiarees","@deardiarees")</f>
        <v>@deardiarees</v>
      </c>
      <c r="C30991" t="s">
        <v>13080</v>
      </c>
      <c r="D30991">
        <v>0</v>
      </c>
      <c r="E30991">
        <v>0</v>
      </c>
      <c r="F30991">
        <v>4559</v>
      </c>
    </row>
    <row r="30992" spans="1:6" ht="12.75">
      <c r="A30992" s="2">
        <v>43875.522974537038</v>
      </c>
      <c r="B30992" t="str">
        <f>HYPERLINK("https://twitter.com/iamhikaa","@iamhikaa")</f>
        <v>@iamhikaa</v>
      </c>
      <c r="C30992" t="s">
        <v>5168</v>
      </c>
      <c r="D30992">
        <v>576</v>
      </c>
      <c r="E30992">
        <v>0</v>
      </c>
      <c r="F30992">
        <v>171</v>
      </c>
    </row>
    <row r="30993" spans="1:6" ht="12.75">
      <c r="A30993" s="2">
        <v>43875.522951388892</v>
      </c>
      <c r="B30993" t="str">
        <f>HYPERLINK("https://twitter.com/wassapges","@wassapges")</f>
        <v>@wassapges</v>
      </c>
      <c r="C30993" t="s">
        <v>2444</v>
      </c>
      <c r="D30993">
        <v>698</v>
      </c>
      <c r="E30993">
        <v>0</v>
      </c>
      <c r="F30993">
        <v>9</v>
      </c>
    </row>
    <row r="30994" spans="1:6" ht="12.75">
      <c r="A30994" s="2">
        <v>43875.522916666669</v>
      </c>
      <c r="B30994" t="str">
        <f>HYPERLINK("https://twitter.com/neonaekkeoya","@neonaekkeoya")</f>
        <v>@neonaekkeoya</v>
      </c>
      <c r="C30994" t="s">
        <v>2444</v>
      </c>
      <c r="D30994">
        <v>698</v>
      </c>
      <c r="E30994">
        <v>0</v>
      </c>
      <c r="F30994">
        <v>459</v>
      </c>
    </row>
    <row r="30995" spans="1:6" ht="12.75">
      <c r="A30995" s="2">
        <v>43875.522905092592</v>
      </c>
      <c r="B30995" t="str">
        <f>HYPERLINK("https://twitter.com/im_luckyyy","@im_luckyyy")</f>
        <v>@im_luckyyy</v>
      </c>
      <c r="C30995" t="s">
        <v>2444</v>
      </c>
      <c r="D30995">
        <v>698</v>
      </c>
      <c r="E30995">
        <v>0</v>
      </c>
      <c r="F30995">
        <v>40</v>
      </c>
    </row>
    <row r="30996" spans="1:6" ht="12.75">
      <c r="A30996" s="2">
        <v>43875.522881944446</v>
      </c>
      <c r="B30996" t="str">
        <f>HYPERLINK("https://twitter.com/hannyandriani61","@hannyandriani61")</f>
        <v>@hannyandriani61</v>
      </c>
      <c r="C30996" t="s">
        <v>5168</v>
      </c>
      <c r="D30996">
        <v>576</v>
      </c>
      <c r="E30996">
        <v>0</v>
      </c>
      <c r="F30996">
        <v>45</v>
      </c>
    </row>
    <row r="30997" spans="1:6" ht="12.75">
      <c r="A30997" s="2">
        <v>43875.522858796292</v>
      </c>
      <c r="B30997" t="str">
        <f>HYPERLINK("https://twitter.com/yumna_83","@yumna_83")</f>
        <v>@yumna_83</v>
      </c>
      <c r="C30997" t="s">
        <v>2444</v>
      </c>
      <c r="D30997">
        <v>698</v>
      </c>
      <c r="E30997">
        <v>0</v>
      </c>
      <c r="F30997">
        <v>67</v>
      </c>
    </row>
    <row r="30998" spans="1:6" ht="12.75">
      <c r="A30998" s="2">
        <v>43875.522847222222</v>
      </c>
      <c r="B30998" t="str">
        <f>HYPERLINK("https://twitter.com/jjkxca1","@jjkxca1")</f>
        <v>@jjkxca1</v>
      </c>
      <c r="C30998" t="s">
        <v>2444</v>
      </c>
      <c r="D30998">
        <v>698</v>
      </c>
      <c r="E30998">
        <v>0</v>
      </c>
      <c r="F30998">
        <v>2</v>
      </c>
    </row>
    <row r="30999" spans="1:6" ht="12.75">
      <c r="A30999" s="2">
        <v>43875.52270833333</v>
      </c>
      <c r="B30999" t="str">
        <f>HYPERLINK("https://twitter.com/sagirltariuss","@sagirltariuss")</f>
        <v>@sagirltariuss</v>
      </c>
      <c r="C30999" t="s">
        <v>2444</v>
      </c>
      <c r="D30999">
        <v>698</v>
      </c>
      <c r="E30999">
        <v>0</v>
      </c>
      <c r="F30999">
        <v>221</v>
      </c>
    </row>
    <row r="31000" spans="1:6" ht="12.75">
      <c r="A31000" s="2">
        <v>43875.52270833333</v>
      </c>
      <c r="B31000" t="str">
        <f>HYPERLINK("https://twitter.com/jaesixku","@jaesixku")</f>
        <v>@jaesixku</v>
      </c>
      <c r="C31000" t="s">
        <v>2444</v>
      </c>
      <c r="D31000">
        <v>698</v>
      </c>
      <c r="E31000">
        <v>0</v>
      </c>
      <c r="F31000">
        <v>1470</v>
      </c>
    </row>
    <row r="31001" spans="1:6" ht="12.75">
      <c r="A31001" s="2">
        <v>43875.522627314815</v>
      </c>
      <c r="B31001" t="str">
        <f>HYPERLINK("https://twitter.com/kakokaaa","@kakokaaa")</f>
        <v>@kakokaaa</v>
      </c>
      <c r="C31001" t="s">
        <v>2444</v>
      </c>
      <c r="D31001">
        <v>698</v>
      </c>
      <c r="E31001">
        <v>0</v>
      </c>
      <c r="F31001">
        <v>639</v>
      </c>
    </row>
    <row r="31002" spans="1:6" ht="12.75">
      <c r="A31002" s="2">
        <v>43875.522615740745</v>
      </c>
      <c r="B31002" t="str">
        <f>HYPERLINK("https://twitter.com/al_fakru","@al_fakru")</f>
        <v>@al_fakru</v>
      </c>
      <c r="C31002" t="s">
        <v>13081</v>
      </c>
      <c r="D31002">
        <v>0</v>
      </c>
      <c r="E31002">
        <v>4</v>
      </c>
      <c r="F31002">
        <v>2970</v>
      </c>
    </row>
    <row r="31003" spans="1:6" ht="12.75">
      <c r="A31003" s="2">
        <v>43875.522604166668</v>
      </c>
      <c r="B31003" t="str">
        <f>HYPERLINK("https://twitter.com/PCYLoey_61","@PCYLoey_61")</f>
        <v>@PCYLoey_61</v>
      </c>
      <c r="C31003" t="s">
        <v>2444</v>
      </c>
      <c r="D31003">
        <v>698</v>
      </c>
      <c r="E31003">
        <v>0</v>
      </c>
      <c r="F31003">
        <v>1924</v>
      </c>
    </row>
    <row r="31004" spans="1:6" ht="12.75">
      <c r="A31004" s="2">
        <v>43875.522592592592</v>
      </c>
      <c r="B31004" t="str">
        <f>HYPERLINK("https://twitter.com/arsymaulani","@arsymaulani")</f>
        <v>@arsymaulani</v>
      </c>
      <c r="C31004" t="s">
        <v>2444</v>
      </c>
      <c r="D31004">
        <v>698</v>
      </c>
      <c r="E31004">
        <v>0</v>
      </c>
      <c r="F31004">
        <v>579</v>
      </c>
    </row>
    <row r="31005" spans="1:6" ht="12.75">
      <c r="A31005" s="2">
        <v>43875.522592592592</v>
      </c>
      <c r="B31005" t="str">
        <f>HYPERLINK("https://twitter.com/tempodotco","@tempodotco")</f>
        <v>@tempodotco</v>
      </c>
      <c r="C31005" t="s">
        <v>13082</v>
      </c>
      <c r="D31005">
        <v>3</v>
      </c>
      <c r="E31005">
        <v>0</v>
      </c>
      <c r="F31005">
        <v>1702246</v>
      </c>
    </row>
    <row r="31006" spans="1:6" ht="12.75">
      <c r="A31006" s="2">
        <v>43875.522569444445</v>
      </c>
      <c r="B31006" t="str">
        <f>HYPERLINK("https://twitter.com/vlixid","@vlixid")</f>
        <v>@vlixid</v>
      </c>
      <c r="C31006" t="s">
        <v>13083</v>
      </c>
      <c r="D31006">
        <v>0</v>
      </c>
      <c r="E31006">
        <v>0</v>
      </c>
      <c r="F31006">
        <v>58</v>
      </c>
    </row>
    <row r="31007" spans="1:6" ht="12.75">
      <c r="A31007" s="2">
        <v>43875.522569444445</v>
      </c>
      <c r="B31007" t="str">
        <f>HYPERLINK("https://twitter.com/krstynfjr","@krstynfjr")</f>
        <v>@krstynfjr</v>
      </c>
      <c r="C31007" t="s">
        <v>2086</v>
      </c>
      <c r="D31007">
        <v>23</v>
      </c>
      <c r="E31007">
        <v>0</v>
      </c>
      <c r="F31007">
        <v>603</v>
      </c>
    </row>
    <row r="31008" spans="1:6" ht="12.75">
      <c r="A31008" s="2">
        <v>43875.522557870368</v>
      </c>
      <c r="B31008" t="str">
        <f>HYPERLINK("https://twitter.com/loeyxsnng","@loeyxsnng")</f>
        <v>@loeyxsnng</v>
      </c>
      <c r="C31008" t="s">
        <v>2444</v>
      </c>
      <c r="D31008">
        <v>698</v>
      </c>
      <c r="E31008">
        <v>0</v>
      </c>
      <c r="F31008">
        <v>934</v>
      </c>
    </row>
    <row r="31009" spans="1:6" ht="12.75">
      <c r="A31009" s="2">
        <v>43875.522534722222</v>
      </c>
      <c r="B31009" t="str">
        <f>HYPERLINK("https://twitter.com/O313v","@O313v")</f>
        <v>@O313v</v>
      </c>
      <c r="C31009" t="s">
        <v>2444</v>
      </c>
      <c r="D31009">
        <v>698</v>
      </c>
      <c r="E31009">
        <v>0</v>
      </c>
      <c r="F31009">
        <v>30</v>
      </c>
    </row>
    <row r="31010" spans="1:6" ht="12.75">
      <c r="A31010" s="2">
        <v>43875.522534722222</v>
      </c>
      <c r="B31010" t="str">
        <f>HYPERLINK("https://twitter.com/xydinzai","@xydinzai")</f>
        <v>@xydinzai</v>
      </c>
      <c r="C31010" t="s">
        <v>2444</v>
      </c>
      <c r="D31010">
        <v>698</v>
      </c>
      <c r="E31010">
        <v>0</v>
      </c>
      <c r="F31010">
        <v>12</v>
      </c>
    </row>
    <row r="31011" spans="1:6" ht="12.75">
      <c r="A31011" s="2">
        <v>43875.522511574076</v>
      </c>
      <c r="B31011" t="str">
        <f>HYPERLINK("https://twitter.com/call_chic","@call_chic")</f>
        <v>@call_chic</v>
      </c>
      <c r="C31011" t="s">
        <v>2444</v>
      </c>
      <c r="D31011">
        <v>698</v>
      </c>
      <c r="E31011">
        <v>0</v>
      </c>
      <c r="F31011">
        <v>39</v>
      </c>
    </row>
    <row r="31012" spans="1:6" ht="12.75">
      <c r="A31012" s="2">
        <v>43875.522499999999</v>
      </c>
      <c r="B31012" t="str">
        <f>HYPERLINK("https://twitter.com/alyanathasyaaa","@alyanathasyaaa")</f>
        <v>@alyanathasyaaa</v>
      </c>
      <c r="C31012" t="s">
        <v>2444</v>
      </c>
      <c r="D31012">
        <v>698</v>
      </c>
      <c r="E31012">
        <v>0</v>
      </c>
      <c r="F31012">
        <v>303</v>
      </c>
    </row>
    <row r="31013" spans="1:6" ht="12.75">
      <c r="A31013" s="2">
        <v>43875.522465277776</v>
      </c>
      <c r="B31013" t="str">
        <f>HYPERLINK("https://twitter.com/Fritiakiirey_","@Fritiakiirey_")</f>
        <v>@Fritiakiirey_</v>
      </c>
      <c r="C31013" t="s">
        <v>2444</v>
      </c>
      <c r="D31013">
        <v>698</v>
      </c>
      <c r="E31013">
        <v>0</v>
      </c>
      <c r="F31013">
        <v>1234</v>
      </c>
    </row>
    <row r="31014" spans="1:6" ht="12.75">
      <c r="A31014" s="2">
        <v>43875.522407407407</v>
      </c>
      <c r="B31014" t="str">
        <f>HYPERLINK("https://twitter.com/Sugarcandy99_","@Sugarcandy99_")</f>
        <v>@Sugarcandy99_</v>
      </c>
      <c r="C31014" t="s">
        <v>2444</v>
      </c>
      <c r="D31014">
        <v>698</v>
      </c>
      <c r="E31014">
        <v>0</v>
      </c>
      <c r="F31014">
        <v>16</v>
      </c>
    </row>
    <row r="31015" spans="1:6" ht="12.75">
      <c r="A31015" s="2">
        <v>43875.522372685184</v>
      </c>
      <c r="B31015" t="str">
        <f>HYPERLINK("https://twitter.com/catleyl","@catleyl")</f>
        <v>@catleyl</v>
      </c>
      <c r="C31015" t="s">
        <v>2444</v>
      </c>
      <c r="D31015">
        <v>698</v>
      </c>
      <c r="E31015">
        <v>0</v>
      </c>
      <c r="F31015">
        <v>523</v>
      </c>
    </row>
    <row r="31016" spans="1:6" ht="12.75">
      <c r="A31016" s="2">
        <v>43875.522337962961</v>
      </c>
      <c r="B31016" t="str">
        <f>HYPERLINK("https://twitter.com/mediaindonesia","@mediaindonesia")</f>
        <v>@mediaindonesia</v>
      </c>
      <c r="C31016" t="s">
        <v>13084</v>
      </c>
      <c r="D31016">
        <v>0</v>
      </c>
      <c r="E31016">
        <v>3</v>
      </c>
      <c r="F31016">
        <v>1415719</v>
      </c>
    </row>
    <row r="31017" spans="1:6" ht="12.75">
      <c r="A31017" s="2">
        <v>43875.522314814814</v>
      </c>
      <c r="B31017" t="str">
        <f>HYPERLINK("https://twitter.com/juwupandas","@juwupandas")</f>
        <v>@juwupandas</v>
      </c>
      <c r="C31017" t="s">
        <v>2444</v>
      </c>
      <c r="D31017">
        <v>698</v>
      </c>
      <c r="E31017">
        <v>0</v>
      </c>
      <c r="F31017">
        <v>1877</v>
      </c>
    </row>
    <row r="31018" spans="1:6" ht="12.75">
      <c r="A31018" s="2">
        <v>43875.522303240738</v>
      </c>
      <c r="B31018" t="str">
        <f>HYPERLINK("https://twitter.com/steingal_","@steingal_")</f>
        <v>@steingal_</v>
      </c>
      <c r="C31018" t="s">
        <v>2444</v>
      </c>
      <c r="D31018">
        <v>698</v>
      </c>
      <c r="E31018">
        <v>0</v>
      </c>
      <c r="F31018">
        <v>1247</v>
      </c>
    </row>
    <row r="31019" spans="1:6" ht="12.75">
      <c r="A31019" s="2">
        <v>43875.522280092591</v>
      </c>
      <c r="B31019" t="str">
        <f>HYPERLINK("https://twitter.com/hanum_10","@hanum_10")</f>
        <v>@hanum_10</v>
      </c>
      <c r="C31019" t="s">
        <v>2444</v>
      </c>
      <c r="D31019">
        <v>698</v>
      </c>
      <c r="E31019">
        <v>0</v>
      </c>
      <c r="F31019">
        <v>170</v>
      </c>
    </row>
    <row r="31020" spans="1:6" ht="12.75">
      <c r="A31020" s="2">
        <v>43875.522268518514</v>
      </c>
      <c r="B31020" t="str">
        <f>HYPERLINK("https://twitter.com/oshjulind","@oshjulind")</f>
        <v>@oshjulind</v>
      </c>
      <c r="C31020" t="s">
        <v>2444</v>
      </c>
      <c r="D31020">
        <v>698</v>
      </c>
      <c r="E31020">
        <v>0</v>
      </c>
      <c r="F31020">
        <v>622</v>
      </c>
    </row>
    <row r="31021" spans="1:6" ht="12.75">
      <c r="A31021" s="2">
        <v>43875.522222222222</v>
      </c>
      <c r="B31021" t="str">
        <f>HYPERLINK("https://twitter.com/yahyakeys","@yahyakeys")</f>
        <v>@yahyakeys</v>
      </c>
      <c r="C31021" t="s">
        <v>10032</v>
      </c>
      <c r="D31021">
        <v>32</v>
      </c>
      <c r="E31021">
        <v>0</v>
      </c>
      <c r="F31021">
        <v>692</v>
      </c>
    </row>
    <row r="31022" spans="1:6" ht="12.75">
      <c r="A31022" s="2">
        <v>43875.522210648152</v>
      </c>
      <c r="B31022" t="str">
        <f>HYPERLINK("https://twitter.com/FAndini92","@FAndini92")</f>
        <v>@FAndini92</v>
      </c>
      <c r="C31022" t="s">
        <v>5168</v>
      </c>
      <c r="D31022">
        <v>576</v>
      </c>
      <c r="E31022">
        <v>0</v>
      </c>
      <c r="F31022">
        <v>1514</v>
      </c>
    </row>
    <row r="31023" spans="1:6" ht="12.75">
      <c r="A31023" s="2">
        <v>43875.522199074076</v>
      </c>
      <c r="B31023" t="str">
        <f>HYPERLINK("https://twitter.com/nabillwoooyy","@nabillwoooyy")</f>
        <v>@nabillwoooyy</v>
      </c>
      <c r="C31023" t="s">
        <v>2444</v>
      </c>
      <c r="D31023">
        <v>698</v>
      </c>
      <c r="E31023">
        <v>0</v>
      </c>
      <c r="F31023">
        <v>249</v>
      </c>
    </row>
    <row r="31024" spans="1:6" ht="12.75">
      <c r="A31024" s="2">
        <v>43875.522164351853</v>
      </c>
      <c r="B31024" t="str">
        <f>HYPERLINK("https://twitter.com/pencarirezekii","@pencarirezekii")</f>
        <v>@pencarirezekii</v>
      </c>
      <c r="C31024" t="s">
        <v>2444</v>
      </c>
      <c r="D31024">
        <v>698</v>
      </c>
      <c r="E31024">
        <v>0</v>
      </c>
      <c r="F31024">
        <v>69</v>
      </c>
    </row>
    <row r="31025" spans="1:6" ht="12.75">
      <c r="A31025" s="2">
        <v>43875.522164351853</v>
      </c>
      <c r="B31025" t="str">
        <f>HYPERLINK("https://twitter.com/DivaNaff999","@DivaNaff999")</f>
        <v>@DivaNaff999</v>
      </c>
      <c r="C31025" t="s">
        <v>2444</v>
      </c>
      <c r="D31025">
        <v>698</v>
      </c>
      <c r="E31025">
        <v>0</v>
      </c>
      <c r="F31025">
        <v>331</v>
      </c>
    </row>
    <row r="31026" spans="1:6" ht="12.75">
      <c r="A31026" s="2">
        <v>43875.522152777776</v>
      </c>
      <c r="B31026" t="str">
        <f>HYPERLINK("https://twitter.com/sari_finata","@sari_finata")</f>
        <v>@sari_finata</v>
      </c>
      <c r="C31026" t="s">
        <v>2444</v>
      </c>
      <c r="D31026">
        <v>698</v>
      </c>
      <c r="E31026">
        <v>0</v>
      </c>
      <c r="F31026">
        <v>8</v>
      </c>
    </row>
    <row r="31027" spans="1:6" ht="12.75">
      <c r="A31027" s="2">
        <v>43875.52208333333</v>
      </c>
      <c r="B31027" t="str">
        <f>HYPERLINK("https://twitter.com/hwangtrack","@hwangtrack")</f>
        <v>@hwangtrack</v>
      </c>
      <c r="C31027" t="s">
        <v>13085</v>
      </c>
      <c r="D31027">
        <v>0</v>
      </c>
      <c r="E31027">
        <v>0</v>
      </c>
      <c r="F31027">
        <v>336</v>
      </c>
    </row>
    <row r="31028" spans="1:6" ht="12.75">
      <c r="A31028" s="2">
        <v>43875.522060185191</v>
      </c>
      <c r="B31028" t="str">
        <f>HYPERLINK("https://twitter.com/choccohazelnutt","@choccohazelnutt")</f>
        <v>@choccohazelnutt</v>
      </c>
      <c r="C31028" t="s">
        <v>2444</v>
      </c>
      <c r="D31028">
        <v>698</v>
      </c>
      <c r="E31028">
        <v>0</v>
      </c>
      <c r="F31028">
        <v>615</v>
      </c>
    </row>
    <row r="31029" spans="1:6" ht="12.75">
      <c r="A31029" s="2">
        <v>43875.522025462968</v>
      </c>
      <c r="B31029" t="str">
        <f>HYPERLINK("https://twitter.com/Araaaaaaa8","@Araaaaaaa8")</f>
        <v>@Araaaaaaa8</v>
      </c>
      <c r="C31029" t="s">
        <v>2444</v>
      </c>
      <c r="D31029">
        <v>698</v>
      </c>
      <c r="E31029">
        <v>0</v>
      </c>
      <c r="F31029">
        <v>88</v>
      </c>
    </row>
    <row r="31030" spans="1:6" ht="12.75">
      <c r="A31030" s="2">
        <v>43875.522013888884</v>
      </c>
      <c r="B31030" t="str">
        <f>HYPERLINK("https://twitter.com/silir_silir","@silir_silir")</f>
        <v>@silir_silir</v>
      </c>
      <c r="C31030" t="s">
        <v>4100</v>
      </c>
      <c r="D31030">
        <v>1</v>
      </c>
      <c r="E31030">
        <v>0</v>
      </c>
      <c r="F31030">
        <v>2147</v>
      </c>
    </row>
    <row r="31031" spans="1:6" ht="12.75">
      <c r="A31031" s="2">
        <v>43875.522013888884</v>
      </c>
      <c r="B31031" t="str">
        <f>HYPERLINK("https://twitter.com/kairocity22","@kairocity22")</f>
        <v>@kairocity22</v>
      </c>
      <c r="C31031" t="s">
        <v>13086</v>
      </c>
      <c r="D31031">
        <v>0</v>
      </c>
      <c r="E31031">
        <v>0</v>
      </c>
      <c r="F31031">
        <v>71</v>
      </c>
    </row>
    <row r="31032" spans="1:6" ht="12.75">
      <c r="A31032" s="2">
        <v>43875.521990740745</v>
      </c>
      <c r="B31032" t="str">
        <f>HYPERLINK("https://twitter.com/aquarzz","@aquarzz")</f>
        <v>@aquarzz</v>
      </c>
      <c r="C31032" t="s">
        <v>2444</v>
      </c>
      <c r="D31032">
        <v>698</v>
      </c>
      <c r="E31032">
        <v>0</v>
      </c>
      <c r="F31032">
        <v>48</v>
      </c>
    </row>
    <row r="31033" spans="1:6" ht="12.75">
      <c r="A31033" s="2">
        <v>43875.521979166668</v>
      </c>
      <c r="B31033" t="str">
        <f>HYPERLINK("https://twitter.com/zhu_dave","@zhu_dave")</f>
        <v>@zhu_dave</v>
      </c>
      <c r="C31033" t="s">
        <v>5168</v>
      </c>
      <c r="D31033">
        <v>576</v>
      </c>
      <c r="E31033">
        <v>0</v>
      </c>
      <c r="F31033">
        <v>1529</v>
      </c>
    </row>
    <row r="31034" spans="1:6" ht="12.75">
      <c r="A31034" s="2">
        <v>43875.521956018521</v>
      </c>
      <c r="B31034" t="str">
        <f>HYPERLINK("https://twitter.com/_thisgurllL","@_thisgurllL")</f>
        <v>@_thisgurllL</v>
      </c>
      <c r="C31034" t="s">
        <v>2444</v>
      </c>
      <c r="D31034">
        <v>698</v>
      </c>
      <c r="E31034">
        <v>0</v>
      </c>
      <c r="F31034">
        <v>50</v>
      </c>
    </row>
    <row r="31035" spans="1:6" ht="12.75">
      <c r="A31035" s="2">
        <v>43875.521909722222</v>
      </c>
      <c r="B31035" t="str">
        <f>HYPERLINK("https://twitter.com/Dedy_solin","@Dedy_solin")</f>
        <v>@Dedy_solin</v>
      </c>
      <c r="C31035" t="s">
        <v>9947</v>
      </c>
      <c r="D31035">
        <v>330</v>
      </c>
      <c r="E31035">
        <v>0</v>
      </c>
      <c r="F31035">
        <v>1207</v>
      </c>
    </row>
    <row r="31036" spans="1:6" ht="12.75">
      <c r="A31036" s="2">
        <v>43875.521898148145</v>
      </c>
      <c r="B31036" t="str">
        <f>HYPERLINK("https://twitter.com/catperson110","@catperson110")</f>
        <v>@catperson110</v>
      </c>
      <c r="C31036" t="s">
        <v>2444</v>
      </c>
      <c r="D31036">
        <v>698</v>
      </c>
      <c r="E31036">
        <v>0</v>
      </c>
      <c r="F31036">
        <v>6</v>
      </c>
    </row>
    <row r="31037" spans="1:6" ht="12.75">
      <c r="A31037" s="2">
        <v>43875.521863425922</v>
      </c>
      <c r="B31037" t="str">
        <f>HYPERLINK("https://twitter.com/TatangHonda","@TatangHonda")</f>
        <v>@TatangHonda</v>
      </c>
      <c r="C31037" t="s">
        <v>8233</v>
      </c>
      <c r="D31037">
        <v>403</v>
      </c>
      <c r="E31037">
        <v>0</v>
      </c>
      <c r="F31037">
        <v>296</v>
      </c>
    </row>
    <row r="31038" spans="1:6" ht="12.75">
      <c r="A31038" s="2">
        <v>43875.521851851852</v>
      </c>
      <c r="B31038" t="str">
        <f>HYPERLINK("https://twitter.com/Dahlahmboh","@Dahlahmboh")</f>
        <v>@Dahlahmboh</v>
      </c>
      <c r="C31038" t="s">
        <v>2444</v>
      </c>
      <c r="D31038">
        <v>698</v>
      </c>
      <c r="E31038">
        <v>0</v>
      </c>
      <c r="F31038">
        <v>44</v>
      </c>
    </row>
    <row r="31039" spans="1:6" ht="12.75">
      <c r="A31039" s="2">
        <v>43875.521851851852</v>
      </c>
      <c r="B31039" t="str">
        <f>HYPERLINK("https://twitter.com/badgaIdidi","@badgaIdidi")</f>
        <v>@badgaIdidi</v>
      </c>
      <c r="C31039" t="s">
        <v>2444</v>
      </c>
      <c r="D31039">
        <v>698</v>
      </c>
      <c r="E31039">
        <v>0</v>
      </c>
      <c r="F31039">
        <v>8542</v>
      </c>
    </row>
    <row r="31040" spans="1:6" ht="12.75">
      <c r="A31040" s="2">
        <v>43875.521782407406</v>
      </c>
      <c r="B31040" t="str">
        <f>HYPERLINK("https://twitter.com/dust_pain","@dust_pain")</f>
        <v>@dust_pain</v>
      </c>
      <c r="C31040" t="s">
        <v>2444</v>
      </c>
      <c r="D31040">
        <v>698</v>
      </c>
      <c r="E31040">
        <v>0</v>
      </c>
      <c r="F31040">
        <v>345</v>
      </c>
    </row>
    <row r="31041" spans="1:6" ht="12.75">
      <c r="A31041" s="2">
        <v>43875.521782407406</v>
      </c>
      <c r="B31041" t="str">
        <f>HYPERLINK("https://twitter.com/yenalmahyra","@yenalmahyra")</f>
        <v>@yenalmahyra</v>
      </c>
      <c r="C31041" t="s">
        <v>2444</v>
      </c>
      <c r="D31041">
        <v>698</v>
      </c>
      <c r="E31041">
        <v>0</v>
      </c>
      <c r="F31041">
        <v>339</v>
      </c>
    </row>
    <row r="31042" spans="1:6" ht="12.75">
      <c r="A31042" s="2">
        <v>43875.521770833337</v>
      </c>
      <c r="B31042" t="str">
        <f>HYPERLINK("https://twitter.com/chamomilos","@chamomilos")</f>
        <v>@chamomilos</v>
      </c>
      <c r="C31042" t="s">
        <v>2444</v>
      </c>
      <c r="D31042">
        <v>698</v>
      </c>
      <c r="E31042">
        <v>0</v>
      </c>
      <c r="F31042">
        <v>623</v>
      </c>
    </row>
    <row r="31043" spans="1:6" ht="12.75">
      <c r="A31043" s="2">
        <v>43875.521747685183</v>
      </c>
      <c r="B31043" t="str">
        <f>HYPERLINK("https://twitter.com/mygreentea_","@mygreentea_")</f>
        <v>@mygreentea_</v>
      </c>
      <c r="C31043" t="s">
        <v>2444</v>
      </c>
      <c r="D31043">
        <v>698</v>
      </c>
      <c r="E31043">
        <v>0</v>
      </c>
      <c r="F31043">
        <v>572</v>
      </c>
    </row>
    <row r="31044" spans="1:6" ht="12.75">
      <c r="A31044" s="2">
        <v>43875.521736111114</v>
      </c>
      <c r="B31044" t="str">
        <f>HYPERLINK("https://twitter.com/TimoSu1","@TimoSu1")</f>
        <v>@TimoSu1</v>
      </c>
      <c r="C31044" t="s">
        <v>13087</v>
      </c>
      <c r="D31044">
        <v>0</v>
      </c>
      <c r="E31044">
        <v>2</v>
      </c>
      <c r="F31044">
        <v>3163</v>
      </c>
    </row>
    <row r="31045" spans="1:6" ht="12.75">
      <c r="A31045" s="2">
        <v>43875.521736111114</v>
      </c>
      <c r="B31045" t="str">
        <f>HYPERLINK("https://twitter.com/nanaslagilagi","@nanaslagilagi")</f>
        <v>@nanaslagilagi</v>
      </c>
      <c r="C31045" t="s">
        <v>2444</v>
      </c>
      <c r="D31045">
        <v>698</v>
      </c>
      <c r="E31045">
        <v>0</v>
      </c>
      <c r="F31045">
        <v>4113</v>
      </c>
    </row>
    <row r="31046" spans="1:6" ht="12.75">
      <c r="A31046" s="2">
        <v>43875.521736111114</v>
      </c>
      <c r="B31046" t="str">
        <f>HYPERLINK("https://twitter.com/indrawbw","@indrawbw")</f>
        <v>@indrawbw</v>
      </c>
      <c r="C31046" t="s">
        <v>9096</v>
      </c>
      <c r="D31046">
        <v>182</v>
      </c>
      <c r="E31046">
        <v>0</v>
      </c>
      <c r="F31046">
        <v>267</v>
      </c>
    </row>
    <row r="31047" spans="1:6" ht="12.75">
      <c r="A31047" s="2">
        <v>43875.521724537037</v>
      </c>
      <c r="B31047" t="str">
        <f>HYPERLINK("https://twitter.com/mbakrezty","@mbakrezty")</f>
        <v>@mbakrezty</v>
      </c>
      <c r="C31047" t="s">
        <v>2963</v>
      </c>
      <c r="D31047">
        <v>766</v>
      </c>
      <c r="E31047">
        <v>0</v>
      </c>
      <c r="F31047">
        <v>2739</v>
      </c>
    </row>
    <row r="31048" spans="1:6" ht="12.75">
      <c r="A31048" s="2">
        <v>43875.521678240737</v>
      </c>
      <c r="B31048" t="str">
        <f>HYPERLINK("https://twitter.com/bucinkopiaren","@bucinkopiaren")</f>
        <v>@bucinkopiaren</v>
      </c>
      <c r="C31048" t="s">
        <v>2444</v>
      </c>
      <c r="D31048">
        <v>698</v>
      </c>
      <c r="E31048">
        <v>0</v>
      </c>
      <c r="F31048">
        <v>11</v>
      </c>
    </row>
    <row r="31049" spans="1:6" ht="12.75">
      <c r="A31049" s="2">
        <v>43875.521655092598</v>
      </c>
      <c r="B31049" t="str">
        <f>HYPERLINK("https://twitter.com/EkoSeputro13","@EkoSeputro13")</f>
        <v>@EkoSeputro13</v>
      </c>
      <c r="C31049" t="s">
        <v>13088</v>
      </c>
      <c r="D31049">
        <v>1</v>
      </c>
      <c r="E31049">
        <v>4</v>
      </c>
      <c r="F31049">
        <v>2131</v>
      </c>
    </row>
    <row r="31050" spans="1:6" ht="12.75">
      <c r="A31050" s="2">
        <v>43875.521631944444</v>
      </c>
      <c r="B31050" t="str">
        <f>HYPERLINK("https://twitter.com/itsrika07","@itsrika07")</f>
        <v>@itsrika07</v>
      </c>
      <c r="C31050" t="s">
        <v>2444</v>
      </c>
      <c r="D31050">
        <v>698</v>
      </c>
      <c r="E31050">
        <v>0</v>
      </c>
      <c r="F31050">
        <v>785</v>
      </c>
    </row>
    <row r="31051" spans="1:6" ht="12.75">
      <c r="A31051" s="2">
        <v>43875.521631944444</v>
      </c>
      <c r="B31051" t="str">
        <f>HYPERLINK("https://twitter.com/IphHHH","@IphHHH")</f>
        <v>@IphHHH</v>
      </c>
      <c r="C31051" t="s">
        <v>2444</v>
      </c>
      <c r="D31051">
        <v>698</v>
      </c>
      <c r="E31051">
        <v>0</v>
      </c>
      <c r="F31051">
        <v>315</v>
      </c>
    </row>
    <row r="31052" spans="1:6" ht="12.75">
      <c r="A31052" s="2">
        <v>43875.521608796298</v>
      </c>
      <c r="B31052" t="str">
        <f>HYPERLINK("https://twitter.com/jeonjkang","@jeonjkang")</f>
        <v>@jeonjkang</v>
      </c>
      <c r="C31052" t="s">
        <v>2444</v>
      </c>
      <c r="D31052">
        <v>698</v>
      </c>
      <c r="E31052">
        <v>0</v>
      </c>
      <c r="F31052">
        <v>98</v>
      </c>
    </row>
    <row r="31053" spans="1:6" ht="12.75">
      <c r="A31053" s="2">
        <v>43875.521597222221</v>
      </c>
      <c r="B31053" t="str">
        <f>HYPERLINK("https://twitter.com/enokibeef","@enokibeef")</f>
        <v>@enokibeef</v>
      </c>
      <c r="C31053" t="s">
        <v>2444</v>
      </c>
      <c r="D31053">
        <v>698</v>
      </c>
      <c r="E31053">
        <v>0</v>
      </c>
      <c r="F31053">
        <v>81</v>
      </c>
    </row>
    <row r="31054" spans="1:6" ht="12.75">
      <c r="A31054" s="2">
        <v>43875.521585648152</v>
      </c>
      <c r="B31054" t="str">
        <f>HYPERLINK("https://twitter.com/Kenaryaaaa","@Kenaryaaaa")</f>
        <v>@Kenaryaaaa</v>
      </c>
      <c r="C31054" t="s">
        <v>2444</v>
      </c>
      <c r="D31054">
        <v>698</v>
      </c>
      <c r="E31054">
        <v>0</v>
      </c>
      <c r="F31054">
        <v>28</v>
      </c>
    </row>
    <row r="31055" spans="1:6" ht="12.75">
      <c r="A31055" s="2">
        <v>43875.521527777775</v>
      </c>
      <c r="B31055" t="str">
        <f>HYPERLINK("https://twitter.com/eko_wi","@eko_wi")</f>
        <v>@eko_wi</v>
      </c>
      <c r="C31055" t="s">
        <v>10422</v>
      </c>
      <c r="D31055">
        <v>72</v>
      </c>
      <c r="E31055">
        <v>0</v>
      </c>
      <c r="F31055">
        <v>3375</v>
      </c>
    </row>
    <row r="31056" spans="1:6" ht="12.75">
      <c r="A31056" s="2">
        <v>43875.521481481483</v>
      </c>
      <c r="B31056" t="str">
        <f>HYPERLINK("https://twitter.com/MataJiwa6","@MataJiwa6")</f>
        <v>@MataJiwa6</v>
      </c>
      <c r="C31056" t="s">
        <v>2963</v>
      </c>
      <c r="D31056">
        <v>766</v>
      </c>
      <c r="E31056">
        <v>0</v>
      </c>
      <c r="F31056">
        <v>260</v>
      </c>
    </row>
    <row r="31057" spans="1:6" ht="12.75">
      <c r="A31057" s="2">
        <v>43875.521481481483</v>
      </c>
      <c r="B31057" t="str">
        <f>HYPERLINK("https://twitter.com/chinguvirda","@chinguvirda")</f>
        <v>@chinguvirda</v>
      </c>
      <c r="C31057" t="s">
        <v>2444</v>
      </c>
      <c r="D31057">
        <v>698</v>
      </c>
      <c r="E31057">
        <v>0</v>
      </c>
      <c r="F31057">
        <v>1183</v>
      </c>
    </row>
    <row r="31058" spans="1:6" ht="12.75">
      <c r="A31058" s="2">
        <v>43875.521481481483</v>
      </c>
      <c r="B31058" t="str">
        <f>HYPERLINK("https://twitter.com/bubblenilla","@bubblenilla")</f>
        <v>@bubblenilla</v>
      </c>
      <c r="C31058" t="s">
        <v>2444</v>
      </c>
      <c r="D31058">
        <v>698</v>
      </c>
      <c r="E31058">
        <v>0</v>
      </c>
      <c r="F31058">
        <v>372</v>
      </c>
    </row>
    <row r="31059" spans="1:6" ht="12.75">
      <c r="A31059" s="2">
        <v>43875.521458333329</v>
      </c>
      <c r="B31059" t="str">
        <f>HYPERLINK("https://twitter.com/25_pripitpit","@25_pripitpit")</f>
        <v>@25_pripitpit</v>
      </c>
      <c r="C31059" t="s">
        <v>2444</v>
      </c>
      <c r="D31059">
        <v>698</v>
      </c>
      <c r="E31059">
        <v>0</v>
      </c>
      <c r="F31059">
        <v>31</v>
      </c>
    </row>
    <row r="31060" spans="1:6" ht="12.75">
      <c r="A31060" s="2">
        <v>43875.521458333329</v>
      </c>
      <c r="B31060" t="str">
        <f>HYPERLINK("https://twitter.com/mamiagarislucu","@mamiagarislucu")</f>
        <v>@mamiagarislucu</v>
      </c>
      <c r="C31060" t="s">
        <v>2444</v>
      </c>
      <c r="D31060">
        <v>698</v>
      </c>
      <c r="E31060">
        <v>0</v>
      </c>
      <c r="F31060">
        <v>5146</v>
      </c>
    </row>
    <row r="31061" spans="1:6" ht="12.75">
      <c r="A31061" s="2">
        <v>43875.52143518519</v>
      </c>
      <c r="B31061" t="str">
        <f>HYPERLINK("https://twitter.com/AkbNouval","@AkbNouval")</f>
        <v>@AkbNouval</v>
      </c>
      <c r="C31061" t="s">
        <v>10096</v>
      </c>
      <c r="D31061">
        <v>105</v>
      </c>
      <c r="E31061">
        <v>0</v>
      </c>
      <c r="F31061">
        <v>1452</v>
      </c>
    </row>
    <row r="31062" spans="1:6" ht="12.75">
      <c r="A31062" s="2">
        <v>43875.521423611106</v>
      </c>
      <c r="B31062" t="str">
        <f>HYPERLINK("https://twitter.com/vernandawidya","@vernandawidya")</f>
        <v>@vernandawidya</v>
      </c>
      <c r="C31062" t="s">
        <v>2444</v>
      </c>
      <c r="D31062">
        <v>698</v>
      </c>
      <c r="E31062">
        <v>0</v>
      </c>
      <c r="F31062">
        <v>493</v>
      </c>
    </row>
    <row r="31063" spans="1:6" ht="12.75">
      <c r="A31063" s="2">
        <v>43875.52134259259</v>
      </c>
      <c r="B31063" t="str">
        <f>HYPERLINK("https://twitter.com/itstifahtea","@itstifahtea")</f>
        <v>@itstifahtea</v>
      </c>
      <c r="C31063" t="s">
        <v>2444</v>
      </c>
      <c r="D31063">
        <v>698</v>
      </c>
      <c r="E31063">
        <v>0</v>
      </c>
      <c r="F31063">
        <v>613</v>
      </c>
    </row>
    <row r="31064" spans="1:6" ht="12.75">
      <c r="A31064" s="2">
        <v>43875.521331018521</v>
      </c>
      <c r="B31064" t="str">
        <f>HYPERLINK("https://twitter.com/sunnysunpeach","@sunnysunpeach")</f>
        <v>@sunnysunpeach</v>
      </c>
      <c r="C31064" t="s">
        <v>2444</v>
      </c>
      <c r="D31064">
        <v>698</v>
      </c>
      <c r="E31064">
        <v>0</v>
      </c>
      <c r="F31064">
        <v>120</v>
      </c>
    </row>
    <row r="31065" spans="1:6" ht="12.75">
      <c r="A31065" s="2">
        <v>43875.521307870367</v>
      </c>
      <c r="B31065" t="str">
        <f>HYPERLINK("https://twitter.com/disorehari_","@disorehari_")</f>
        <v>@disorehari_</v>
      </c>
      <c r="C31065" t="s">
        <v>2444</v>
      </c>
      <c r="D31065">
        <v>698</v>
      </c>
      <c r="E31065">
        <v>0</v>
      </c>
      <c r="F31065">
        <v>164</v>
      </c>
    </row>
    <row r="31066" spans="1:6" ht="12.75">
      <c r="A31066" s="2">
        <v>43875.521273148144</v>
      </c>
      <c r="B31066" t="str">
        <f>HYPERLINK("https://twitter.com/nicho0218","@nicho0218")</f>
        <v>@nicho0218</v>
      </c>
      <c r="C31066" t="s">
        <v>13089</v>
      </c>
      <c r="D31066">
        <v>0</v>
      </c>
      <c r="E31066">
        <v>0</v>
      </c>
      <c r="F31066">
        <v>392</v>
      </c>
    </row>
    <row r="31067" spans="1:6" ht="12.75">
      <c r="A31067" s="2">
        <v>43875.521238425921</v>
      </c>
      <c r="B31067" t="str">
        <f>HYPERLINK("https://twitter.com/kamumaunyaapa_","@kamumaunyaapa_")</f>
        <v>@kamumaunyaapa_</v>
      </c>
      <c r="C31067" t="s">
        <v>2444</v>
      </c>
      <c r="D31067">
        <v>698</v>
      </c>
      <c r="E31067">
        <v>0</v>
      </c>
      <c r="F31067">
        <v>148</v>
      </c>
    </row>
    <row r="31068" spans="1:6" ht="12.75">
      <c r="A31068" s="2">
        <v>43875.521215277782</v>
      </c>
      <c r="B31068" t="str">
        <f>HYPERLINK("https://twitter.com/teajungie_","@teajungie_")</f>
        <v>@teajungie_</v>
      </c>
      <c r="C31068" t="s">
        <v>2444</v>
      </c>
      <c r="D31068">
        <v>698</v>
      </c>
      <c r="E31068">
        <v>0</v>
      </c>
      <c r="F31068">
        <v>1231</v>
      </c>
    </row>
    <row r="31069" spans="1:6" ht="12.75">
      <c r="A31069" s="2">
        <v>43875.521215277782</v>
      </c>
      <c r="B31069" t="str">
        <f>HYPERLINK("https://twitter.com/eomma_tata","@eomma_tata")</f>
        <v>@eomma_tata</v>
      </c>
      <c r="C31069" t="s">
        <v>2444</v>
      </c>
      <c r="D31069">
        <v>698</v>
      </c>
      <c r="E31069">
        <v>0</v>
      </c>
      <c r="F31069">
        <v>218</v>
      </c>
    </row>
    <row r="31070" spans="1:6" ht="12.75">
      <c r="A31070" s="2">
        <v>43875.521203703705</v>
      </c>
      <c r="B31070" t="str">
        <f>HYPERLINK("https://twitter.com/bobonaaaaaa","@bobonaaaaaa")</f>
        <v>@bobonaaaaaa</v>
      </c>
      <c r="C31070" t="s">
        <v>2444</v>
      </c>
      <c r="D31070">
        <v>698</v>
      </c>
      <c r="E31070">
        <v>0</v>
      </c>
      <c r="F31070">
        <v>244</v>
      </c>
    </row>
    <row r="31071" spans="1:6" ht="12.75">
      <c r="A31071" s="2">
        <v>43875.521192129629</v>
      </c>
      <c r="B31071" t="str">
        <f>HYPERLINK("https://twitter.com/naggrn","@naggrn")</f>
        <v>@naggrn</v>
      </c>
      <c r="C31071" t="s">
        <v>13090</v>
      </c>
      <c r="D31071">
        <v>6</v>
      </c>
      <c r="E31071">
        <v>0</v>
      </c>
      <c r="F31071">
        <v>545</v>
      </c>
    </row>
    <row r="31072" spans="1:6" ht="12.75">
      <c r="A31072" s="2">
        <v>43875.521157407406</v>
      </c>
      <c r="B31072" t="str">
        <f>HYPERLINK("https://twitter.com/adzit7","@adzit7")</f>
        <v>@adzit7</v>
      </c>
      <c r="C31072" t="s">
        <v>13091</v>
      </c>
      <c r="D31072">
        <v>0</v>
      </c>
      <c r="E31072">
        <v>0</v>
      </c>
      <c r="F31072">
        <v>330</v>
      </c>
    </row>
    <row r="31073" spans="1:6" ht="12.75">
      <c r="A31073" s="2">
        <v>43875.521145833336</v>
      </c>
      <c r="B31073" t="str">
        <f>HYPERLINK("https://twitter.com/BahlulMaman","@BahlulMaman")</f>
        <v>@BahlulMaman</v>
      </c>
      <c r="C31073" t="s">
        <v>13092</v>
      </c>
      <c r="D31073">
        <v>0</v>
      </c>
      <c r="E31073">
        <v>0</v>
      </c>
      <c r="F31073">
        <v>350</v>
      </c>
    </row>
    <row r="31074" spans="1:6" ht="12.75">
      <c r="A31074" s="2">
        <v>43875.521134259259</v>
      </c>
      <c r="B31074" t="str">
        <f>HYPERLINK("https://twitter.com/semangatselaluu","@semangatselaluu")</f>
        <v>@semangatselaluu</v>
      </c>
      <c r="C31074" t="s">
        <v>2444</v>
      </c>
      <c r="D31074">
        <v>698</v>
      </c>
      <c r="E31074">
        <v>0</v>
      </c>
      <c r="F31074">
        <v>64</v>
      </c>
    </row>
    <row r="31075" spans="1:6" ht="12.75">
      <c r="A31075" s="2">
        <v>43875.521111111113</v>
      </c>
      <c r="B31075" t="str">
        <f>HYPERLINK("https://twitter.com/NathPribady","@NathPribady")</f>
        <v>@NathPribady</v>
      </c>
      <c r="C31075" t="s">
        <v>8720</v>
      </c>
      <c r="D31075">
        <v>41</v>
      </c>
      <c r="E31075">
        <v>0</v>
      </c>
      <c r="F31075">
        <v>5419</v>
      </c>
    </row>
    <row r="31076" spans="1:6" ht="12.75">
      <c r="A31076" s="2">
        <v>43875.521111111113</v>
      </c>
      <c r="B31076" t="str">
        <f>HYPERLINK("https://twitter.com/rianabaaa","@rianabaaa")</f>
        <v>@rianabaaa</v>
      </c>
      <c r="C31076" t="s">
        <v>2444</v>
      </c>
      <c r="D31076">
        <v>698</v>
      </c>
      <c r="E31076">
        <v>0</v>
      </c>
      <c r="F31076">
        <v>91</v>
      </c>
    </row>
    <row r="31077" spans="1:6" ht="12.75">
      <c r="A31077" s="2">
        <v>43875.521111111113</v>
      </c>
      <c r="B31077" t="str">
        <f>HYPERLINK("https://twitter.com/luvelry","@luvelry")</f>
        <v>@luvelry</v>
      </c>
      <c r="C31077" t="s">
        <v>2444</v>
      </c>
      <c r="D31077">
        <v>698</v>
      </c>
      <c r="E31077">
        <v>0</v>
      </c>
      <c r="F31077">
        <v>425</v>
      </c>
    </row>
    <row r="31078" spans="1:6" ht="12.75">
      <c r="A31078" s="2">
        <v>43875.52107638889</v>
      </c>
      <c r="B31078" t="str">
        <f>HYPERLINK("https://twitter.com/christyo90","@christyo90")</f>
        <v>@christyo90</v>
      </c>
      <c r="C31078" t="s">
        <v>10173</v>
      </c>
      <c r="D31078">
        <v>3</v>
      </c>
      <c r="E31078">
        <v>0</v>
      </c>
      <c r="F31078">
        <v>564</v>
      </c>
    </row>
    <row r="31079" spans="1:6" ht="12.75">
      <c r="A31079" s="2">
        <v>43875.52107638889</v>
      </c>
      <c r="B31079" t="str">
        <f>HYPERLINK("https://twitter.com/TeddyRaptor","@TeddyRaptor")</f>
        <v>@TeddyRaptor</v>
      </c>
      <c r="C31079" t="s">
        <v>13093</v>
      </c>
      <c r="D31079">
        <v>7</v>
      </c>
      <c r="E31079">
        <v>0</v>
      </c>
      <c r="F31079">
        <v>109</v>
      </c>
    </row>
    <row r="31080" spans="1:6" ht="12.75">
      <c r="A31080" s="2">
        <v>43875.521053240736</v>
      </c>
      <c r="B31080" t="str">
        <f>HYPERLINK("https://twitter.com/Pinapelpen","@Pinapelpen")</f>
        <v>@Pinapelpen</v>
      </c>
      <c r="C31080" t="s">
        <v>2444</v>
      </c>
      <c r="D31080">
        <v>698</v>
      </c>
      <c r="E31080">
        <v>0</v>
      </c>
      <c r="F31080">
        <v>2045</v>
      </c>
    </row>
    <row r="31081" spans="1:6" ht="12.75">
      <c r="A31081" s="2">
        <v>43875.521041666667</v>
      </c>
      <c r="B31081" t="str">
        <f>HYPERLINK("https://twitter.com/zahira_muawiyah","@zahira_muawiyah")</f>
        <v>@zahira_muawiyah</v>
      </c>
      <c r="C31081" t="s">
        <v>2444</v>
      </c>
      <c r="D31081">
        <v>698</v>
      </c>
      <c r="E31081">
        <v>0</v>
      </c>
      <c r="F31081">
        <v>152</v>
      </c>
    </row>
    <row r="31082" spans="1:6" ht="12.75">
      <c r="A31082" s="2">
        <v>43875.521018518513</v>
      </c>
      <c r="B31082" t="str">
        <f>HYPERLINK("https://twitter.com/Jauhhhhhh","@Jauhhhhhh")</f>
        <v>@Jauhhhhhh</v>
      </c>
      <c r="C31082" t="s">
        <v>2444</v>
      </c>
      <c r="D31082">
        <v>698</v>
      </c>
      <c r="E31082">
        <v>0</v>
      </c>
      <c r="F31082">
        <v>1068</v>
      </c>
    </row>
    <row r="31083" spans="1:6" ht="12.75">
      <c r="A31083" s="2">
        <v>43875.520983796298</v>
      </c>
      <c r="B31083" t="str">
        <f>HYPERLINK("https://twitter.com/Septinurs1","@Septinurs1")</f>
        <v>@Septinurs1</v>
      </c>
      <c r="C31083" t="s">
        <v>2444</v>
      </c>
      <c r="D31083">
        <v>698</v>
      </c>
      <c r="E31083">
        <v>0</v>
      </c>
      <c r="F31083">
        <v>2094</v>
      </c>
    </row>
    <row r="31084" spans="1:6" ht="12.75">
      <c r="A31084" s="2">
        <v>43875.520972222221</v>
      </c>
      <c r="B31084" t="str">
        <f>HYPERLINK("https://twitter.com/Haepiyaa","@Haepiyaa")</f>
        <v>@Haepiyaa</v>
      </c>
      <c r="C31084" t="s">
        <v>2444</v>
      </c>
      <c r="D31084">
        <v>698</v>
      </c>
      <c r="E31084">
        <v>0</v>
      </c>
      <c r="F31084">
        <v>479</v>
      </c>
    </row>
    <row r="31085" spans="1:6" ht="12.75">
      <c r="A31085" s="2">
        <v>43875.520937499998</v>
      </c>
      <c r="B31085" t="str">
        <f>HYPERLINK("https://twitter.com/Septinurs1","@Septinurs1")</f>
        <v>@Septinurs1</v>
      </c>
      <c r="C31085" t="s">
        <v>13094</v>
      </c>
      <c r="D31085">
        <v>0</v>
      </c>
      <c r="E31085">
        <v>0</v>
      </c>
      <c r="F31085">
        <v>2094</v>
      </c>
    </row>
    <row r="31086" spans="1:6" ht="12.75">
      <c r="A31086" s="2">
        <v>43875.520914351851</v>
      </c>
      <c r="B31086" t="str">
        <f>HYPERLINK("https://twitter.com/armanwicaksono","@armanwicaksono")</f>
        <v>@armanwicaksono</v>
      </c>
      <c r="C31086" t="s">
        <v>2963</v>
      </c>
      <c r="D31086">
        <v>766</v>
      </c>
      <c r="E31086">
        <v>0</v>
      </c>
      <c r="F31086">
        <v>847</v>
      </c>
    </row>
    <row r="31087" spans="1:6" ht="12.75">
      <c r="A31087" s="2">
        <v>43875.520902777775</v>
      </c>
      <c r="B31087" t="str">
        <f>HYPERLINK("https://twitter.com/gangeous","@gangeous")</f>
        <v>@gangeous</v>
      </c>
      <c r="C31087" t="s">
        <v>2444</v>
      </c>
      <c r="D31087">
        <v>698</v>
      </c>
      <c r="E31087">
        <v>0</v>
      </c>
      <c r="F31087">
        <v>1284</v>
      </c>
    </row>
    <row r="31088" spans="1:6" ht="12.75">
      <c r="A31088" s="2">
        <v>43875.520891203705</v>
      </c>
      <c r="B31088" t="str">
        <f>HYPERLINK("https://twitter.com/wsnluvvmin","@wsnluvvmin")</f>
        <v>@wsnluvvmin</v>
      </c>
      <c r="C31088" t="s">
        <v>2444</v>
      </c>
      <c r="D31088">
        <v>698</v>
      </c>
      <c r="E31088">
        <v>0</v>
      </c>
      <c r="F31088">
        <v>314</v>
      </c>
    </row>
    <row r="31089" spans="1:6" ht="12.75">
      <c r="A31089" s="2">
        <v>43875.520868055552</v>
      </c>
      <c r="B31089" t="str">
        <f>HYPERLINK("https://twitter.com/stipenstrange","@stipenstrange")</f>
        <v>@stipenstrange</v>
      </c>
      <c r="C31089" t="s">
        <v>2444</v>
      </c>
      <c r="D31089">
        <v>698</v>
      </c>
      <c r="E31089">
        <v>0</v>
      </c>
      <c r="F31089">
        <v>1335</v>
      </c>
    </row>
    <row r="31090" spans="1:6" ht="12.75">
      <c r="A31090" s="2">
        <v>43875.520856481482</v>
      </c>
      <c r="B31090" t="str">
        <f>HYPERLINK("https://twitter.com/tifahrr","@tifahrr")</f>
        <v>@tifahrr</v>
      </c>
      <c r="C31090" t="s">
        <v>2444</v>
      </c>
      <c r="D31090">
        <v>698</v>
      </c>
      <c r="E31090">
        <v>0</v>
      </c>
      <c r="F31090">
        <v>97</v>
      </c>
    </row>
    <row r="31091" spans="1:6" ht="12.75">
      <c r="A31091" s="2">
        <v>43875.520844907413</v>
      </c>
      <c r="B31091" t="str">
        <f>HYPERLINK("https://twitter.com/islamlib","@islamlib")</f>
        <v>@islamlib</v>
      </c>
      <c r="C31091" t="s">
        <v>2132</v>
      </c>
      <c r="D31091">
        <v>0</v>
      </c>
      <c r="E31091">
        <v>0</v>
      </c>
      <c r="F31091">
        <v>14304</v>
      </c>
    </row>
    <row r="31092" spans="1:6" ht="12.75">
      <c r="A31092" s="2">
        <v>43875.520844907413</v>
      </c>
      <c r="B31092" t="str">
        <f>HYPERLINK("https://twitter.com/pinkdoui","@pinkdoui")</f>
        <v>@pinkdoui</v>
      </c>
      <c r="C31092" t="s">
        <v>13095</v>
      </c>
      <c r="D31092">
        <v>0</v>
      </c>
      <c r="E31092">
        <v>0</v>
      </c>
      <c r="F31092">
        <v>50</v>
      </c>
    </row>
    <row r="31093" spans="1:6" ht="12.75">
      <c r="A31093" s="2">
        <v>43875.520798611113</v>
      </c>
      <c r="B31093" t="str">
        <f>HYPERLINK("https://twitter.com/liatakusini","@liatakusini")</f>
        <v>@liatakusini</v>
      </c>
      <c r="C31093" t="s">
        <v>2444</v>
      </c>
      <c r="D31093">
        <v>698</v>
      </c>
      <c r="E31093">
        <v>0</v>
      </c>
      <c r="F31093">
        <v>84</v>
      </c>
    </row>
    <row r="31094" spans="1:6" ht="12.75">
      <c r="A31094" s="2">
        <v>43875.520752314813</v>
      </c>
      <c r="B31094" t="str">
        <f>HYPERLINK("https://twitter.com/Abidzar83049594","@Abidzar83049594")</f>
        <v>@Abidzar83049594</v>
      </c>
      <c r="C31094" t="s">
        <v>9746</v>
      </c>
      <c r="D31094">
        <v>96</v>
      </c>
      <c r="E31094">
        <v>0</v>
      </c>
      <c r="F31094">
        <v>1171</v>
      </c>
    </row>
    <row r="31095" spans="1:6" ht="12.75">
      <c r="A31095" s="2">
        <v>43875.52071759259</v>
      </c>
      <c r="B31095" t="str">
        <f>HYPERLINK("https://twitter.com/parpeltyy","@parpeltyy")</f>
        <v>@parpeltyy</v>
      </c>
      <c r="C31095" t="s">
        <v>2444</v>
      </c>
      <c r="D31095">
        <v>698</v>
      </c>
      <c r="E31095">
        <v>0</v>
      </c>
      <c r="F31095">
        <v>1812</v>
      </c>
    </row>
    <row r="31096" spans="1:6" ht="12.75">
      <c r="A31096" s="2">
        <v>43875.52070601852</v>
      </c>
      <c r="B31096" t="str">
        <f>HYPERLINK("https://twitter.com/Bi_Namjinie","@Bi_Namjinie")</f>
        <v>@Bi_Namjinie</v>
      </c>
      <c r="C31096" t="s">
        <v>13096</v>
      </c>
      <c r="D31096">
        <v>0</v>
      </c>
      <c r="E31096">
        <v>1</v>
      </c>
      <c r="F31096">
        <v>1560</v>
      </c>
    </row>
    <row r="31097" spans="1:6" ht="12.75">
      <c r="A31097" s="2">
        <v>43875.52065972222</v>
      </c>
      <c r="B31097" t="str">
        <f>HYPERLINK("https://twitter.com/salskzx1","@salskzx1")</f>
        <v>@salskzx1</v>
      </c>
      <c r="C31097" t="s">
        <v>2444</v>
      </c>
      <c r="D31097">
        <v>698</v>
      </c>
      <c r="E31097">
        <v>0</v>
      </c>
      <c r="F31097">
        <v>195</v>
      </c>
    </row>
    <row r="31098" spans="1:6" ht="12.75">
      <c r="A31098" s="2">
        <v>43875.52065972222</v>
      </c>
      <c r="B31098" t="str">
        <f>HYPERLINK("https://twitter.com/inditrnnd","@inditrnnd")</f>
        <v>@inditrnnd</v>
      </c>
      <c r="C31098" t="s">
        <v>2444</v>
      </c>
      <c r="D31098">
        <v>698</v>
      </c>
      <c r="E31098">
        <v>0</v>
      </c>
      <c r="F31098">
        <v>2429</v>
      </c>
    </row>
    <row r="31099" spans="1:6" ht="12.75">
      <c r="A31099" s="2">
        <v>43875.520613425921</v>
      </c>
      <c r="B31099" t="str">
        <f>HYPERLINK("https://twitter.com/itsmemwg","@itsmemwg")</f>
        <v>@itsmemwg</v>
      </c>
      <c r="C31099" t="s">
        <v>2444</v>
      </c>
      <c r="D31099">
        <v>698</v>
      </c>
      <c r="E31099">
        <v>0</v>
      </c>
      <c r="F31099">
        <v>168</v>
      </c>
    </row>
    <row r="31100" spans="1:6" ht="12.75">
      <c r="A31100" s="2">
        <v>43875.520601851851</v>
      </c>
      <c r="B31100" t="str">
        <f>HYPERLINK("https://twitter.com/ESputra95","@ESputra95")</f>
        <v>@ESputra95</v>
      </c>
      <c r="C31100" t="s">
        <v>9835</v>
      </c>
      <c r="D31100">
        <v>15</v>
      </c>
      <c r="E31100">
        <v>0</v>
      </c>
      <c r="F31100">
        <v>141</v>
      </c>
    </row>
    <row r="31101" spans="1:6" ht="12.75">
      <c r="A31101" s="2">
        <v>43875.520567129628</v>
      </c>
      <c r="B31101" t="str">
        <f>HYPERLINK("https://twitter.com/Rizkihadi","@Rizkihadi")</f>
        <v>@Rizkihadi</v>
      </c>
      <c r="C31101" t="s">
        <v>8233</v>
      </c>
      <c r="D31101">
        <v>403</v>
      </c>
      <c r="E31101">
        <v>0</v>
      </c>
      <c r="F31101">
        <v>1379</v>
      </c>
    </row>
    <row r="31102" spans="1:6" ht="12.75">
      <c r="A31102" s="2">
        <v>43875.520543981482</v>
      </c>
      <c r="B31102" t="str">
        <f>HYPERLINK("https://twitter.com/cesariyanto","@cesariyanto")</f>
        <v>@cesariyanto</v>
      </c>
      <c r="C31102" t="s">
        <v>5168</v>
      </c>
      <c r="D31102">
        <v>576</v>
      </c>
      <c r="E31102">
        <v>0</v>
      </c>
      <c r="F31102">
        <v>480</v>
      </c>
    </row>
    <row r="31103" spans="1:6" ht="12.75">
      <c r="A31103" s="2">
        <v>43875.520532407405</v>
      </c>
      <c r="B31103" t="str">
        <f>HYPERLINK("https://twitter.com/jinggaa_07","@jinggaa_07")</f>
        <v>@jinggaa_07</v>
      </c>
      <c r="C31103" t="s">
        <v>2444</v>
      </c>
      <c r="D31103">
        <v>698</v>
      </c>
      <c r="E31103">
        <v>0</v>
      </c>
      <c r="F31103">
        <v>858</v>
      </c>
    </row>
    <row r="31104" spans="1:6" ht="12.75">
      <c r="A31104" s="2">
        <v>43875.520532407405</v>
      </c>
      <c r="B31104" t="str">
        <f>HYPERLINK("https://twitter.com/cutiepiebaeksoo","@cutiepiebaeksoo")</f>
        <v>@cutiepiebaeksoo</v>
      </c>
      <c r="C31104" t="s">
        <v>2444</v>
      </c>
      <c r="D31104">
        <v>698</v>
      </c>
      <c r="E31104">
        <v>0</v>
      </c>
      <c r="F31104">
        <v>1641</v>
      </c>
    </row>
    <row r="31105" spans="1:6" ht="12.75">
      <c r="A31105" s="2">
        <v>43875.520520833335</v>
      </c>
      <c r="B31105" t="str">
        <f>HYPERLINK("https://twitter.com/Burungtwit3","@Burungtwit3")</f>
        <v>@Burungtwit3</v>
      </c>
      <c r="C31105" t="s">
        <v>2444</v>
      </c>
      <c r="D31105">
        <v>698</v>
      </c>
      <c r="E31105">
        <v>0</v>
      </c>
      <c r="F31105">
        <v>2</v>
      </c>
    </row>
    <row r="31106" spans="1:6" ht="12.75">
      <c r="A31106" s="2">
        <v>43875.520497685182</v>
      </c>
      <c r="B31106" t="str">
        <f>HYPERLINK("https://twitter.com/speallr","@speallr")</f>
        <v>@speallr</v>
      </c>
      <c r="C31106" t="s">
        <v>2444</v>
      </c>
      <c r="D31106">
        <v>698</v>
      </c>
      <c r="E31106">
        <v>0</v>
      </c>
      <c r="F31106">
        <v>973</v>
      </c>
    </row>
    <row r="31107" spans="1:6" ht="12.75">
      <c r="A31107" s="2">
        <v>43875.520486111112</v>
      </c>
      <c r="B31107" t="str">
        <f>HYPERLINK("https://twitter.com/aunty_wals","@aunty_wals")</f>
        <v>@aunty_wals</v>
      </c>
      <c r="C31107" t="s">
        <v>13097</v>
      </c>
      <c r="D31107">
        <v>0</v>
      </c>
      <c r="E31107">
        <v>0</v>
      </c>
      <c r="F31107">
        <v>12</v>
      </c>
    </row>
    <row r="31108" spans="1:6" ht="12.75">
      <c r="A31108" s="2">
        <v>43875.52043981482</v>
      </c>
      <c r="B31108" t="str">
        <f>HYPERLINK("https://twitter.com/NurfiantoGiar","@NurfiantoGiar")</f>
        <v>@NurfiantoGiar</v>
      </c>
      <c r="C31108" t="s">
        <v>8233</v>
      </c>
      <c r="D31108">
        <v>403</v>
      </c>
      <c r="E31108">
        <v>0</v>
      </c>
      <c r="F31108">
        <v>56</v>
      </c>
    </row>
    <row r="31109" spans="1:6" ht="12.75">
      <c r="A31109" s="2">
        <v>43875.520428240736</v>
      </c>
      <c r="B31109" t="str">
        <f>HYPERLINK("https://twitter.com/cookiess25","@cookiess25")</f>
        <v>@cookiess25</v>
      </c>
      <c r="C31109" t="s">
        <v>2444</v>
      </c>
      <c r="D31109">
        <v>698</v>
      </c>
      <c r="E31109">
        <v>0</v>
      </c>
      <c r="F31109">
        <v>12</v>
      </c>
    </row>
    <row r="31110" spans="1:6" ht="12.75">
      <c r="A31110" s="2">
        <v>43875.520428240736</v>
      </c>
      <c r="B31110" t="str">
        <f>HYPERLINK("https://twitter.com/cessayaaaaa","@cessayaaaaa")</f>
        <v>@cessayaaaaa</v>
      </c>
      <c r="C31110" t="s">
        <v>2444</v>
      </c>
      <c r="D31110">
        <v>698</v>
      </c>
      <c r="E31110">
        <v>0</v>
      </c>
      <c r="F31110">
        <v>8</v>
      </c>
    </row>
    <row r="31111" spans="1:6" ht="12.75">
      <c r="A31111" s="2">
        <v>43875.520416666666</v>
      </c>
      <c r="B31111" t="str">
        <f>HYPERLINK("https://twitter.com/nrlhkmhhhh","@nrlhkmhhhh")</f>
        <v>@nrlhkmhhhh</v>
      </c>
      <c r="C31111" t="s">
        <v>2444</v>
      </c>
      <c r="D31111">
        <v>698</v>
      </c>
      <c r="E31111">
        <v>0</v>
      </c>
      <c r="F31111">
        <v>195</v>
      </c>
    </row>
    <row r="31112" spans="1:6" ht="12.75">
      <c r="A31112" s="2">
        <v>43875.520335648151</v>
      </c>
      <c r="B31112" t="str">
        <f>HYPERLINK("https://twitter.com/suryadarma471","@suryadarma471")</f>
        <v>@suryadarma471</v>
      </c>
      <c r="C31112" t="s">
        <v>13098</v>
      </c>
      <c r="D31112">
        <v>3</v>
      </c>
      <c r="E31112">
        <v>0</v>
      </c>
      <c r="F31112">
        <v>704</v>
      </c>
    </row>
    <row r="31113" spans="1:6" ht="12.75">
      <c r="A31113" s="2">
        <v>43875.520312499997</v>
      </c>
      <c r="B31113" t="str">
        <f>HYPERLINK("https://twitter.com/slvakthvkook18","@slvakthvkook18")</f>
        <v>@slvakthvkook18</v>
      </c>
      <c r="C31113" t="s">
        <v>2444</v>
      </c>
      <c r="D31113">
        <v>698</v>
      </c>
      <c r="E31113">
        <v>0</v>
      </c>
      <c r="F31113">
        <v>89</v>
      </c>
    </row>
    <row r="31114" spans="1:6" ht="12.75">
      <c r="A31114" s="2">
        <v>43875.520300925928</v>
      </c>
      <c r="B31114" t="str">
        <f>HYPERLINK("https://twitter.com/ZainulA42038361","@ZainulA42038361")</f>
        <v>@ZainulA42038361</v>
      </c>
      <c r="C31114" t="s">
        <v>13099</v>
      </c>
      <c r="D31114">
        <v>0</v>
      </c>
      <c r="E31114">
        <v>0</v>
      </c>
      <c r="F31114">
        <v>280</v>
      </c>
    </row>
    <row r="31115" spans="1:6" ht="12.75">
      <c r="A31115" s="2">
        <v>43875.520300925928</v>
      </c>
      <c r="B31115" t="str">
        <f>HYPERLINK("https://twitter.com/iforgetmyself21","@iforgetmyself21")</f>
        <v>@iforgetmyself21</v>
      </c>
      <c r="C31115" t="s">
        <v>2444</v>
      </c>
      <c r="D31115">
        <v>698</v>
      </c>
      <c r="E31115">
        <v>0</v>
      </c>
      <c r="F31115">
        <v>160</v>
      </c>
    </row>
    <row r="31116" spans="1:6" ht="12.75">
      <c r="A31116" s="2">
        <v>43875.520254629635</v>
      </c>
      <c r="B31116" t="str">
        <f>HYPERLINK("https://twitter.com/kylejyner","@kylejyner")</f>
        <v>@kylejyner</v>
      </c>
      <c r="C31116" t="s">
        <v>2444</v>
      </c>
      <c r="D31116">
        <v>698</v>
      </c>
      <c r="E31116">
        <v>0</v>
      </c>
      <c r="F31116">
        <v>218</v>
      </c>
    </row>
    <row r="31117" spans="1:6" ht="12.75">
      <c r="A31117" s="2">
        <v>43875.520208333328</v>
      </c>
      <c r="B31117" t="str">
        <f>HYPERLINK("https://twitter.com/potatosweetz","@potatosweetz")</f>
        <v>@potatosweetz</v>
      </c>
      <c r="C31117" t="s">
        <v>2444</v>
      </c>
      <c r="D31117">
        <v>698</v>
      </c>
      <c r="E31117">
        <v>0</v>
      </c>
      <c r="F31117">
        <v>25</v>
      </c>
    </row>
    <row r="31118" spans="1:6" ht="12.75">
      <c r="A31118" s="2">
        <v>43875.520208333328</v>
      </c>
      <c r="B31118" t="str">
        <f>HYPERLINK("https://twitter.com/AlterHns","@AlterHns")</f>
        <v>@AlterHns</v>
      </c>
      <c r="C31118" t="s">
        <v>2444</v>
      </c>
      <c r="D31118">
        <v>698</v>
      </c>
      <c r="E31118">
        <v>0</v>
      </c>
      <c r="F31118">
        <v>4</v>
      </c>
    </row>
    <row r="31119" spans="1:6" ht="12.75">
      <c r="A31119" s="2">
        <v>43875.520208333328</v>
      </c>
      <c r="B31119" t="str">
        <f>HYPERLINK("https://twitter.com/charine_ine","@charine_ine")</f>
        <v>@charine_ine</v>
      </c>
      <c r="C31119" t="s">
        <v>2444</v>
      </c>
      <c r="D31119">
        <v>698</v>
      </c>
      <c r="E31119">
        <v>0</v>
      </c>
      <c r="F31119">
        <v>3105</v>
      </c>
    </row>
    <row r="31120" spans="1:6" ht="12.75">
      <c r="A31120" s="2">
        <v>43875.520162037035</v>
      </c>
      <c r="B31120" t="str">
        <f>HYPERLINK("https://twitter.com/messycribaale","@messycribaale")</f>
        <v>@messycribaale</v>
      </c>
      <c r="C31120" t="s">
        <v>2444</v>
      </c>
      <c r="D31120">
        <v>698</v>
      </c>
      <c r="E31120">
        <v>0</v>
      </c>
      <c r="F31120">
        <v>9699</v>
      </c>
    </row>
    <row r="31121" spans="1:6" ht="12.75">
      <c r="A31121" s="2">
        <v>43875.520162037035</v>
      </c>
      <c r="B31121" t="str">
        <f>HYPERLINK("https://twitter.com/ElSetiawati00","@ElSetiawati00")</f>
        <v>@ElSetiawati00</v>
      </c>
      <c r="C31121" t="s">
        <v>2444</v>
      </c>
      <c r="D31121">
        <v>698</v>
      </c>
      <c r="E31121">
        <v>0</v>
      </c>
      <c r="F31121">
        <v>243</v>
      </c>
    </row>
    <row r="31122" spans="1:6" ht="12.75">
      <c r="A31122" s="2">
        <v>43875.520150462966</v>
      </c>
      <c r="B31122" t="str">
        <f>HYPERLINK("https://twitter.com/luviejoyyi","@luviejoyyi")</f>
        <v>@luviejoyyi</v>
      </c>
      <c r="C31122" t="s">
        <v>2444</v>
      </c>
      <c r="D31122">
        <v>698</v>
      </c>
      <c r="E31122">
        <v>0</v>
      </c>
      <c r="F31122">
        <v>586</v>
      </c>
    </row>
    <row r="31123" spans="1:6" ht="12.75">
      <c r="A31123" s="2">
        <v>43875.520138888889</v>
      </c>
      <c r="B31123" t="str">
        <f>HYPERLINK("https://twitter.com/BORNEONEWS","@BORNEONEWS")</f>
        <v>@BORNEONEWS</v>
      </c>
      <c r="C31123" t="s">
        <v>13100</v>
      </c>
      <c r="D31123">
        <v>0</v>
      </c>
      <c r="E31123">
        <v>0</v>
      </c>
      <c r="F31123">
        <v>6846</v>
      </c>
    </row>
    <row r="31124" spans="1:6" ht="12.75">
      <c r="A31124" s="2">
        <v>43875.520127314812</v>
      </c>
      <c r="B31124" t="str">
        <f>HYPERLINK("https://twitter.com/dekyasurya","@dekyasurya")</f>
        <v>@dekyasurya</v>
      </c>
      <c r="C31124" t="s">
        <v>2444</v>
      </c>
      <c r="D31124">
        <v>698</v>
      </c>
      <c r="E31124">
        <v>0</v>
      </c>
      <c r="F31124">
        <v>285</v>
      </c>
    </row>
    <row r="31125" spans="1:6" ht="12.75">
      <c r="A31125" s="2">
        <v>43875.520127314812</v>
      </c>
      <c r="B31125" t="str">
        <f>HYPERLINK("https://twitter.com/minijaemss","@minijaemss")</f>
        <v>@minijaemss</v>
      </c>
      <c r="C31125" t="s">
        <v>2444</v>
      </c>
      <c r="D31125">
        <v>698</v>
      </c>
      <c r="E31125">
        <v>0</v>
      </c>
      <c r="F31125">
        <v>4939</v>
      </c>
    </row>
    <row r="31126" spans="1:6" ht="12.75">
      <c r="A31126" s="2">
        <v>43875.520127314812</v>
      </c>
      <c r="B31126" t="str">
        <f>HYPERLINK("https://twitter.com/Parkjimiiinnie","@Parkjimiiinnie")</f>
        <v>@Parkjimiiinnie</v>
      </c>
      <c r="C31126" t="s">
        <v>2444</v>
      </c>
      <c r="D31126">
        <v>698</v>
      </c>
      <c r="E31126">
        <v>0</v>
      </c>
      <c r="F31126">
        <v>319</v>
      </c>
    </row>
    <row r="31127" spans="1:6" ht="12.75">
      <c r="A31127" s="2">
        <v>43875.520127314812</v>
      </c>
      <c r="B31127" t="str">
        <f>HYPERLINK("https://twitter.com/dunhilitempride","@dunhilitempride")</f>
        <v>@dunhilitempride</v>
      </c>
      <c r="C31127" t="s">
        <v>175</v>
      </c>
      <c r="D31127">
        <v>5259</v>
      </c>
      <c r="E31127">
        <v>0</v>
      </c>
      <c r="F31127">
        <v>1612</v>
      </c>
    </row>
    <row r="31128" spans="1:6" ht="12.75">
      <c r="A31128" s="2">
        <v>43875.520104166666</v>
      </c>
      <c r="B31128" t="str">
        <f>HYPERLINK("https://twitter.com/bekicotcute","@bekicotcute")</f>
        <v>@bekicotcute</v>
      </c>
      <c r="C31128" t="s">
        <v>2444</v>
      </c>
      <c r="D31128">
        <v>698</v>
      </c>
      <c r="E31128">
        <v>0</v>
      </c>
      <c r="F31128">
        <v>2568</v>
      </c>
    </row>
    <row r="31129" spans="1:6" ht="12.75">
      <c r="A31129" s="2">
        <v>43875.520092592589</v>
      </c>
      <c r="B31129" t="str">
        <f>HYPERLINK("https://twitter.com/embunpagi_12","@embunpagi_12")</f>
        <v>@embunpagi_12</v>
      </c>
      <c r="C31129" t="s">
        <v>2444</v>
      </c>
      <c r="D31129">
        <v>698</v>
      </c>
      <c r="E31129">
        <v>0</v>
      </c>
      <c r="F31129">
        <v>94</v>
      </c>
    </row>
    <row r="31130" spans="1:6" ht="12.75">
      <c r="A31130" s="2">
        <v>43875.520092592589</v>
      </c>
      <c r="B31130" t="str">
        <f>HYPERLINK("https://twitter.com/jiminietyn","@jiminietyn")</f>
        <v>@jiminietyn</v>
      </c>
      <c r="C31130" t="s">
        <v>2444</v>
      </c>
      <c r="D31130">
        <v>698</v>
      </c>
      <c r="E31130">
        <v>0</v>
      </c>
      <c r="F31130">
        <v>480</v>
      </c>
    </row>
    <row r="31131" spans="1:6" ht="12.75">
      <c r="A31131" s="2">
        <v>43875.520057870366</v>
      </c>
      <c r="B31131" t="str">
        <f>HYPERLINK("https://twitter.com/07momocha","@07momocha")</f>
        <v>@07momocha</v>
      </c>
      <c r="C31131" t="s">
        <v>2444</v>
      </c>
      <c r="D31131">
        <v>698</v>
      </c>
      <c r="E31131">
        <v>0</v>
      </c>
      <c r="F31131">
        <v>505</v>
      </c>
    </row>
    <row r="31132" spans="1:6" ht="12.75">
      <c r="A31132" s="2">
        <v>43875.520046296297</v>
      </c>
      <c r="B31132" t="str">
        <f>HYPERLINK("https://twitter.com/liamey02","@liamey02")</f>
        <v>@liamey02</v>
      </c>
      <c r="C31132" t="s">
        <v>2444</v>
      </c>
      <c r="D31132">
        <v>698</v>
      </c>
      <c r="E31132">
        <v>0</v>
      </c>
      <c r="F31132">
        <v>373</v>
      </c>
    </row>
    <row r="31133" spans="1:6" ht="12.75">
      <c r="A31133" s="2">
        <v>43875.520011574074</v>
      </c>
      <c r="B31133" t="str">
        <f>HYPERLINK("https://twitter.com/putrynadeak_","@putrynadeak_")</f>
        <v>@putrynadeak_</v>
      </c>
      <c r="C31133" t="s">
        <v>2444</v>
      </c>
      <c r="D31133">
        <v>698</v>
      </c>
      <c r="E31133">
        <v>0</v>
      </c>
      <c r="F31133">
        <v>583</v>
      </c>
    </row>
    <row r="31134" spans="1:6" ht="12.75">
      <c r="A31134" s="2">
        <v>43875.520011574074</v>
      </c>
      <c r="B31134" t="str">
        <f>HYPERLINK("https://twitter.com/wild0na","@wild0na")</f>
        <v>@wild0na</v>
      </c>
      <c r="C31134" t="s">
        <v>2444</v>
      </c>
      <c r="D31134">
        <v>698</v>
      </c>
      <c r="E31134">
        <v>0</v>
      </c>
      <c r="F31134">
        <v>1632</v>
      </c>
    </row>
    <row r="31135" spans="1:6" ht="12.75">
      <c r="A31135" s="2">
        <v>43875.520000000004</v>
      </c>
      <c r="B31135" t="str">
        <f>HYPERLINK("https://twitter.com/cendoldawet09","@cendoldawet09")</f>
        <v>@cendoldawet09</v>
      </c>
      <c r="C31135" t="s">
        <v>2444</v>
      </c>
      <c r="D31135">
        <v>698</v>
      </c>
      <c r="E31135">
        <v>0</v>
      </c>
      <c r="F31135">
        <v>16</v>
      </c>
    </row>
    <row r="31136" spans="1:6" ht="12.75">
      <c r="A31136" s="2">
        <v>43875.519988425927</v>
      </c>
      <c r="B31136" t="str">
        <f>HYPERLINK("https://twitter.com/leewoochi","@leewoochi")</f>
        <v>@leewoochi</v>
      </c>
      <c r="C31136" t="s">
        <v>2444</v>
      </c>
      <c r="D31136">
        <v>698</v>
      </c>
      <c r="E31136">
        <v>0</v>
      </c>
      <c r="F31136">
        <v>1575</v>
      </c>
    </row>
    <row r="31137" spans="1:6" ht="12.75">
      <c r="A31137" s="2">
        <v>43875.519988425927</v>
      </c>
      <c r="B31137" t="str">
        <f>HYPERLINK("https://twitter.com/triwahyunisr","@triwahyunisr")</f>
        <v>@triwahyunisr</v>
      </c>
      <c r="C31137" t="s">
        <v>2444</v>
      </c>
      <c r="D31137">
        <v>698</v>
      </c>
      <c r="E31137">
        <v>0</v>
      </c>
      <c r="F31137">
        <v>3290</v>
      </c>
    </row>
    <row r="31138" spans="1:6" ht="12.75">
      <c r="A31138" s="2">
        <v>43875.519976851851</v>
      </c>
      <c r="B31138" t="str">
        <f>HYPERLINK("https://twitter.com/baeutybae","@baeutybae")</f>
        <v>@baeutybae</v>
      </c>
      <c r="C31138" t="s">
        <v>2444</v>
      </c>
      <c r="D31138">
        <v>698</v>
      </c>
      <c r="E31138">
        <v>0</v>
      </c>
      <c r="F31138">
        <v>533</v>
      </c>
    </row>
    <row r="31139" spans="1:6" ht="12.75">
      <c r="A31139" s="2">
        <v>43875.519942129627</v>
      </c>
      <c r="B31139" t="str">
        <f>HYPERLINK("https://twitter.com/Muarakasih_","@Muarakasih_")</f>
        <v>@Muarakasih_</v>
      </c>
      <c r="C31139" t="s">
        <v>2444</v>
      </c>
      <c r="D31139">
        <v>698</v>
      </c>
      <c r="E31139">
        <v>0</v>
      </c>
      <c r="F31139">
        <v>24</v>
      </c>
    </row>
    <row r="31140" spans="1:6" ht="12.75">
      <c r="A31140" s="2">
        <v>43875.519907407404</v>
      </c>
      <c r="B31140" t="str">
        <f>HYPERLINK("https://twitter.com/Gabbey_Stev_","@Gabbey_Stev_")</f>
        <v>@Gabbey_Stev_</v>
      </c>
      <c r="C31140" t="s">
        <v>9835</v>
      </c>
      <c r="D31140">
        <v>15</v>
      </c>
      <c r="E31140">
        <v>0</v>
      </c>
      <c r="F31140">
        <v>1171</v>
      </c>
    </row>
    <row r="31141" spans="1:6" ht="12.75">
      <c r="A31141" s="2">
        <v>43875.519907407404</v>
      </c>
      <c r="B31141" t="str">
        <f>HYPERLINK("https://twitter.com/pcybaechuu_","@pcybaechuu_")</f>
        <v>@pcybaechuu_</v>
      </c>
      <c r="C31141" t="s">
        <v>2444</v>
      </c>
      <c r="D31141">
        <v>698</v>
      </c>
      <c r="E31141">
        <v>0</v>
      </c>
      <c r="F31141">
        <v>994</v>
      </c>
    </row>
    <row r="31142" spans="1:6" ht="12.75">
      <c r="A31142" s="2">
        <v>43875.519895833335</v>
      </c>
      <c r="B31142" t="str">
        <f>HYPERLINK("https://twitter.com/y0urluv","@y0urluv")</f>
        <v>@y0urluv</v>
      </c>
      <c r="C31142" t="s">
        <v>2444</v>
      </c>
      <c r="D31142">
        <v>698</v>
      </c>
      <c r="E31142">
        <v>0</v>
      </c>
      <c r="F31142">
        <v>125</v>
      </c>
    </row>
    <row r="31143" spans="1:6" ht="12.75">
      <c r="A31143" s="2">
        <v>43875.519895833335</v>
      </c>
      <c r="B31143" t="str">
        <f>HYPERLINK("https://twitter.com/SilalahiIngan","@SilalahiIngan")</f>
        <v>@SilalahiIngan</v>
      </c>
      <c r="C31143" t="s">
        <v>13101</v>
      </c>
      <c r="D31143">
        <v>0</v>
      </c>
      <c r="E31143">
        <v>0</v>
      </c>
      <c r="F31143">
        <v>16</v>
      </c>
    </row>
    <row r="31144" spans="1:6" ht="12.75">
      <c r="A31144" s="2">
        <v>43875.519849537042</v>
      </c>
      <c r="B31144" t="str">
        <f>HYPERLINK("https://twitter.com/Princess_det","@Princess_det")</f>
        <v>@Princess_det</v>
      </c>
      <c r="C31144" t="s">
        <v>2444</v>
      </c>
      <c r="D31144">
        <v>698</v>
      </c>
      <c r="E31144">
        <v>0</v>
      </c>
      <c r="F31144">
        <v>206</v>
      </c>
    </row>
    <row r="31145" spans="1:6" ht="12.75">
      <c r="A31145" s="2">
        <v>43875.519849537042</v>
      </c>
      <c r="B31145" t="str">
        <f>HYPERLINK("https://twitter.com/Heynesss1","@Heynesss1")</f>
        <v>@Heynesss1</v>
      </c>
      <c r="C31145" t="s">
        <v>2444</v>
      </c>
      <c r="D31145">
        <v>698</v>
      </c>
      <c r="E31145">
        <v>0</v>
      </c>
      <c r="F31145">
        <v>12</v>
      </c>
    </row>
    <row r="31146" spans="1:6" ht="12.75">
      <c r="A31146" s="2">
        <v>43875.519826388889</v>
      </c>
      <c r="B31146" t="str">
        <f>HYPERLINK("https://twitter.com/Soli_1994","@Soli_1994")</f>
        <v>@Soli_1994</v>
      </c>
      <c r="C31146" t="s">
        <v>2444</v>
      </c>
      <c r="D31146">
        <v>698</v>
      </c>
      <c r="E31146">
        <v>0</v>
      </c>
      <c r="F31146">
        <v>320</v>
      </c>
    </row>
    <row r="31147" spans="1:6" ht="12.75">
      <c r="A31147" s="2">
        <v>43875.519826388889</v>
      </c>
      <c r="B31147" t="str">
        <f>HYPERLINK("https://twitter.com/kompascom","@kompascom")</f>
        <v>@kompascom</v>
      </c>
      <c r="C31147" t="s">
        <v>13102</v>
      </c>
      <c r="D31147">
        <v>1</v>
      </c>
      <c r="E31147">
        <v>2</v>
      </c>
      <c r="F31147">
        <v>7497434</v>
      </c>
    </row>
    <row r="31148" spans="1:6" ht="12.75">
      <c r="A31148" s="2">
        <v>43875.519814814819</v>
      </c>
      <c r="B31148" t="str">
        <f>HYPERLINK("https://twitter.com/msgisminsuga","@msgisminsuga")</f>
        <v>@msgisminsuga</v>
      </c>
      <c r="C31148" t="s">
        <v>2444</v>
      </c>
      <c r="D31148">
        <v>698</v>
      </c>
      <c r="E31148">
        <v>0</v>
      </c>
      <c r="F31148">
        <v>41</v>
      </c>
    </row>
    <row r="31149" spans="1:6" ht="12.75">
      <c r="A31149" s="2">
        <v>43875.519803240742</v>
      </c>
      <c r="B31149" t="str">
        <f>HYPERLINK("https://twitter.com/kkokummi","@kkokummi")</f>
        <v>@kkokummi</v>
      </c>
      <c r="C31149" t="s">
        <v>2444</v>
      </c>
      <c r="D31149">
        <v>698</v>
      </c>
      <c r="E31149">
        <v>0</v>
      </c>
      <c r="F31149">
        <v>872</v>
      </c>
    </row>
    <row r="31150" spans="1:6" ht="12.75">
      <c r="A31150" s="2">
        <v>43875.519803240742</v>
      </c>
      <c r="B31150" t="str">
        <f>HYPERLINK("https://twitter.com/jaehwan1267","@jaehwan1267")</f>
        <v>@jaehwan1267</v>
      </c>
      <c r="C31150" t="s">
        <v>2444</v>
      </c>
      <c r="D31150">
        <v>698</v>
      </c>
      <c r="E31150">
        <v>0</v>
      </c>
      <c r="F31150">
        <v>54</v>
      </c>
    </row>
    <row r="31151" spans="1:6" ht="12.75">
      <c r="A31151" s="2">
        <v>43875.519791666666</v>
      </c>
      <c r="B31151" t="str">
        <f>HYPERLINK("https://twitter.com/KBRI_Islamabad","@KBRI_Islamabad")</f>
        <v>@KBRI_Islamabad</v>
      </c>
      <c r="C31151" t="s">
        <v>2444</v>
      </c>
      <c r="D31151">
        <v>698</v>
      </c>
      <c r="E31151">
        <v>0</v>
      </c>
      <c r="F31151">
        <v>830</v>
      </c>
    </row>
    <row r="31152" spans="1:6" ht="12.75">
      <c r="A31152" s="2">
        <v>43875.519768518519</v>
      </c>
      <c r="B31152" t="str">
        <f>HYPERLINK("https://twitter.com/Prmdyap","@Prmdyap")</f>
        <v>@Prmdyap</v>
      </c>
      <c r="C31152" t="s">
        <v>5168</v>
      </c>
      <c r="D31152">
        <v>576</v>
      </c>
      <c r="E31152">
        <v>0</v>
      </c>
      <c r="F31152">
        <v>1641</v>
      </c>
    </row>
    <row r="31153" spans="1:6" ht="12.75">
      <c r="A31153" s="2">
        <v>43875.519756944443</v>
      </c>
      <c r="B31153" t="str">
        <f>HYPERLINK("https://twitter.com/Linda_Atikaa","@Linda_Atikaa")</f>
        <v>@Linda_Atikaa</v>
      </c>
      <c r="C31153" t="s">
        <v>2444</v>
      </c>
      <c r="D31153">
        <v>698</v>
      </c>
      <c r="E31153">
        <v>0</v>
      </c>
      <c r="F31153">
        <v>79</v>
      </c>
    </row>
    <row r="31154" spans="1:6" ht="12.75">
      <c r="A31154" s="2">
        <v>43875.519756944443</v>
      </c>
      <c r="B31154" t="str">
        <f>HYPERLINK("https://twitter.com/ifsleep_","@ifsleep_")</f>
        <v>@ifsleep_</v>
      </c>
      <c r="C31154" t="s">
        <v>2444</v>
      </c>
      <c r="D31154">
        <v>698</v>
      </c>
      <c r="E31154">
        <v>0</v>
      </c>
      <c r="F31154">
        <v>186</v>
      </c>
    </row>
    <row r="31155" spans="1:6" ht="12.75">
      <c r="A31155" s="2">
        <v>43875.519745370373</v>
      </c>
      <c r="B31155" t="str">
        <f>HYPERLINK("https://twitter.com/ilifiihisnimd","@ilifiihisnimd")</f>
        <v>@ilifiihisnimd</v>
      </c>
      <c r="C31155" t="s">
        <v>2444</v>
      </c>
      <c r="D31155">
        <v>698</v>
      </c>
      <c r="E31155">
        <v>0</v>
      </c>
      <c r="F31155">
        <v>720</v>
      </c>
    </row>
    <row r="31156" spans="1:6" ht="12.75">
      <c r="A31156" s="2">
        <v>43875.519699074073</v>
      </c>
      <c r="B31156" t="str">
        <f>HYPERLINK("https://twitter.com/Arni4224","@Arni4224")</f>
        <v>@Arni4224</v>
      </c>
      <c r="C31156" t="s">
        <v>2444</v>
      </c>
      <c r="D31156">
        <v>698</v>
      </c>
      <c r="E31156">
        <v>0</v>
      </c>
      <c r="F31156">
        <v>182</v>
      </c>
    </row>
    <row r="31157" spans="1:6" ht="12.75">
      <c r="A31157" s="2">
        <v>43875.519687499997</v>
      </c>
      <c r="B31157" t="str">
        <f>HYPERLINK("https://twitter.com/Bimabani13","@Bimabani13")</f>
        <v>@Bimabani13</v>
      </c>
      <c r="C31157" t="s">
        <v>13103</v>
      </c>
      <c r="D31157">
        <v>0</v>
      </c>
      <c r="E31157">
        <v>0</v>
      </c>
      <c r="F31157">
        <v>15</v>
      </c>
    </row>
    <row r="31158" spans="1:6" ht="12.75">
      <c r="A31158" s="2">
        <v>43875.519687499997</v>
      </c>
      <c r="B31158" t="str">
        <f>HYPERLINK("https://twitter.com/seblakpink","@seblakpink")</f>
        <v>@seblakpink</v>
      </c>
      <c r="C31158" t="s">
        <v>2444</v>
      </c>
      <c r="D31158">
        <v>698</v>
      </c>
      <c r="E31158">
        <v>0</v>
      </c>
      <c r="F31158">
        <v>122</v>
      </c>
    </row>
    <row r="31159" spans="1:6" ht="12.75">
      <c r="A31159" s="2">
        <v>43875.51966435185</v>
      </c>
      <c r="B31159" t="str">
        <f>HYPERLINK("https://twitter.com/aufayeya","@aufayeya")</f>
        <v>@aufayeya</v>
      </c>
      <c r="C31159" t="s">
        <v>2444</v>
      </c>
      <c r="D31159">
        <v>698</v>
      </c>
      <c r="E31159">
        <v>0</v>
      </c>
      <c r="F31159">
        <v>176</v>
      </c>
    </row>
    <row r="31160" spans="1:6" ht="12.75">
      <c r="A31160" s="2">
        <v>43875.51966435185</v>
      </c>
      <c r="B31160" t="str">
        <f>HYPERLINK("https://twitter.com/nandaw0625","@nandaw0625")</f>
        <v>@nandaw0625</v>
      </c>
      <c r="C31160" t="s">
        <v>2444</v>
      </c>
      <c r="D31160">
        <v>698</v>
      </c>
      <c r="E31160">
        <v>0</v>
      </c>
      <c r="F31160">
        <v>63</v>
      </c>
    </row>
    <row r="31161" spans="1:6" ht="12.75">
      <c r="A31161" s="2">
        <v>43875.519652777773</v>
      </c>
      <c r="B31161" t="str">
        <f>HYPERLINK("https://twitter.com/cilokwenak","@cilokwenak")</f>
        <v>@cilokwenak</v>
      </c>
      <c r="C31161" t="s">
        <v>2444</v>
      </c>
      <c r="D31161">
        <v>698</v>
      </c>
      <c r="E31161">
        <v>0</v>
      </c>
      <c r="F31161">
        <v>38</v>
      </c>
    </row>
    <row r="31162" spans="1:6" ht="12.75">
      <c r="A31162" s="2">
        <v>43875.519629629634</v>
      </c>
      <c r="B31162" t="str">
        <f>HYPERLINK("https://twitter.com/ky00ng_alliance","@ky00ng_alliance")</f>
        <v>@ky00ng_alliance</v>
      </c>
      <c r="C31162" t="s">
        <v>2444</v>
      </c>
      <c r="D31162">
        <v>698</v>
      </c>
      <c r="E31162">
        <v>0</v>
      </c>
      <c r="F31162">
        <v>1</v>
      </c>
    </row>
    <row r="31163" spans="1:6" ht="12.75">
      <c r="A31163" s="2">
        <v>43875.519629629634</v>
      </c>
      <c r="B31163" t="str">
        <f>HYPERLINK("https://twitter.com/bucintaehyungg","@bucintaehyungg")</f>
        <v>@bucintaehyungg</v>
      </c>
      <c r="C31163" t="s">
        <v>2444</v>
      </c>
      <c r="D31163">
        <v>698</v>
      </c>
      <c r="E31163">
        <v>0</v>
      </c>
      <c r="F31163">
        <v>545</v>
      </c>
    </row>
    <row r="31164" spans="1:6" ht="12.75">
      <c r="A31164" s="2">
        <v>43875.519629629634</v>
      </c>
      <c r="B31164" t="str">
        <f>HYPERLINK("https://twitter.com/IMulya77","@IMulya77")</f>
        <v>@IMulya77</v>
      </c>
      <c r="C31164" t="s">
        <v>2963</v>
      </c>
      <c r="D31164">
        <v>766</v>
      </c>
      <c r="E31164">
        <v>0</v>
      </c>
      <c r="F31164">
        <v>911</v>
      </c>
    </row>
    <row r="31165" spans="1:6" ht="12.75">
      <c r="A31165" s="2">
        <v>43875.51961805555</v>
      </c>
      <c r="B31165" t="str">
        <f>HYPERLINK("https://twitter.com/wandaucul","@wandaucul")</f>
        <v>@wandaucul</v>
      </c>
      <c r="C31165" t="s">
        <v>2444</v>
      </c>
      <c r="D31165">
        <v>698</v>
      </c>
      <c r="E31165">
        <v>0</v>
      </c>
      <c r="F31165">
        <v>55</v>
      </c>
    </row>
    <row r="31166" spans="1:6" ht="12.75">
      <c r="A31166" s="2">
        <v>43875.51961805555</v>
      </c>
      <c r="B31166" t="str">
        <f>HYPERLINK("https://twitter.com/grizlyyyyyyy","@grizlyyyyyyy")</f>
        <v>@grizlyyyyyyy</v>
      </c>
      <c r="C31166" t="s">
        <v>2444</v>
      </c>
      <c r="D31166">
        <v>698</v>
      </c>
      <c r="E31166">
        <v>0</v>
      </c>
      <c r="F31166">
        <v>2663</v>
      </c>
    </row>
    <row r="31167" spans="1:6" ht="12.75">
      <c r="A31167" s="2">
        <v>43875.51961805555</v>
      </c>
      <c r="B31167" t="str">
        <f>HYPERLINK("https://twitter.com/_finarla","@_finarla")</f>
        <v>@_finarla</v>
      </c>
      <c r="C31167" t="s">
        <v>2444</v>
      </c>
      <c r="D31167">
        <v>698</v>
      </c>
      <c r="E31167">
        <v>0</v>
      </c>
      <c r="F31167">
        <v>269</v>
      </c>
    </row>
    <row r="31168" spans="1:6" ht="12.75">
      <c r="A31168" s="2">
        <v>43875.519606481481</v>
      </c>
      <c r="B31168" t="str">
        <f>HYPERLINK("https://twitter.com/doyan_seblak","@doyan_seblak")</f>
        <v>@doyan_seblak</v>
      </c>
      <c r="C31168" t="s">
        <v>2444</v>
      </c>
      <c r="D31168">
        <v>698</v>
      </c>
      <c r="E31168">
        <v>0</v>
      </c>
      <c r="F31168">
        <v>104</v>
      </c>
    </row>
    <row r="31169" spans="1:6" ht="12.75">
      <c r="A31169" s="2">
        <v>43875.519583333335</v>
      </c>
      <c r="B31169" t="str">
        <f>HYPERLINK("https://twitter.com/nisaxyz_","@nisaxyz_")</f>
        <v>@nisaxyz_</v>
      </c>
      <c r="C31169" t="s">
        <v>2444</v>
      </c>
      <c r="D31169">
        <v>698</v>
      </c>
      <c r="E31169">
        <v>0</v>
      </c>
      <c r="F31169">
        <v>186</v>
      </c>
    </row>
    <row r="31170" spans="1:6" ht="12.75">
      <c r="A31170" s="2">
        <v>43875.519560185188</v>
      </c>
      <c r="B31170" t="str">
        <f>HYPERLINK("https://twitter.com/gusihadidd","@gusihadidd")</f>
        <v>@gusihadidd</v>
      </c>
      <c r="C31170" t="s">
        <v>2444</v>
      </c>
      <c r="D31170">
        <v>698</v>
      </c>
      <c r="E31170">
        <v>0</v>
      </c>
      <c r="F31170">
        <v>11</v>
      </c>
    </row>
    <row r="31171" spans="1:6" ht="12.75">
      <c r="A31171" s="2">
        <v>43875.519560185188</v>
      </c>
      <c r="B31171" t="str">
        <f>HYPERLINK("https://twitter.com/pitnapple","@pitnapple")</f>
        <v>@pitnapple</v>
      </c>
      <c r="C31171" t="s">
        <v>2444</v>
      </c>
      <c r="D31171">
        <v>698</v>
      </c>
      <c r="E31171">
        <v>0</v>
      </c>
      <c r="F31171">
        <v>917</v>
      </c>
    </row>
    <row r="31172" spans="1:6" ht="12.75">
      <c r="A31172" s="2">
        <v>43875.519548611112</v>
      </c>
      <c r="B31172" t="str">
        <f>HYPERLINK("https://twitter.com/kthxca","@kthxca")</f>
        <v>@kthxca</v>
      </c>
      <c r="C31172" t="s">
        <v>2444</v>
      </c>
      <c r="D31172">
        <v>698</v>
      </c>
      <c r="E31172">
        <v>0</v>
      </c>
      <c r="F31172">
        <v>99</v>
      </c>
    </row>
    <row r="31173" spans="1:6" ht="12.75">
      <c r="A31173" s="2">
        <v>43875.519548611112</v>
      </c>
      <c r="B31173" t="str">
        <f>HYPERLINK("https://twitter.com/oooyyuk","@oooyyuk")</f>
        <v>@oooyyuk</v>
      </c>
      <c r="C31173" t="s">
        <v>13104</v>
      </c>
      <c r="D31173">
        <v>0</v>
      </c>
      <c r="E31173">
        <v>0</v>
      </c>
      <c r="F31173">
        <v>8</v>
      </c>
    </row>
    <row r="31174" spans="1:6" ht="12.75">
      <c r="A31174" s="2">
        <v>43875.519537037035</v>
      </c>
      <c r="B31174" t="str">
        <f>HYPERLINK("https://twitter.com/hi_fiq","@hi_fiq")</f>
        <v>@hi_fiq</v>
      </c>
      <c r="C31174" t="s">
        <v>2110</v>
      </c>
      <c r="D31174">
        <v>30</v>
      </c>
      <c r="E31174">
        <v>0</v>
      </c>
      <c r="F31174">
        <v>927</v>
      </c>
    </row>
    <row r="31175" spans="1:6" ht="12.75">
      <c r="A31175" s="2">
        <v>43875.519513888888</v>
      </c>
      <c r="B31175" t="str">
        <f>HYPERLINK("https://twitter.com/pecintavans","@pecintavans")</f>
        <v>@pecintavans</v>
      </c>
      <c r="C31175" t="s">
        <v>2444</v>
      </c>
      <c r="D31175">
        <v>698</v>
      </c>
      <c r="E31175">
        <v>0</v>
      </c>
      <c r="F31175">
        <v>3771</v>
      </c>
    </row>
    <row r="31176" spans="1:6" ht="12.75">
      <c r="A31176" s="2">
        <v>43875.519479166665</v>
      </c>
      <c r="B31176" t="str">
        <f>HYPERLINK("https://twitter.com/DuChaLovers","@DuChaLovers")</f>
        <v>@DuChaLovers</v>
      </c>
      <c r="C31176" t="s">
        <v>2444</v>
      </c>
      <c r="D31176">
        <v>698</v>
      </c>
      <c r="E31176">
        <v>0</v>
      </c>
      <c r="F31176">
        <v>13489</v>
      </c>
    </row>
    <row r="31177" spans="1:6" ht="12.75">
      <c r="A31177" s="2">
        <v>43875.519467592589</v>
      </c>
      <c r="B31177" t="str">
        <f>HYPERLINK("https://twitter.com/itsyeolhun_","@itsyeolhun_")</f>
        <v>@itsyeolhun_</v>
      </c>
      <c r="C31177" t="s">
        <v>2444</v>
      </c>
      <c r="D31177">
        <v>698</v>
      </c>
      <c r="E31177">
        <v>0</v>
      </c>
      <c r="F31177">
        <v>32</v>
      </c>
    </row>
    <row r="31178" spans="1:6" ht="12.75">
      <c r="A31178" s="2">
        <v>43875.519456018519</v>
      </c>
      <c r="B31178" t="str">
        <f>HYPERLINK("https://twitter.com/wholeshitt","@wholeshitt")</f>
        <v>@wholeshitt</v>
      </c>
      <c r="C31178" t="s">
        <v>2444</v>
      </c>
      <c r="D31178">
        <v>698</v>
      </c>
      <c r="E31178">
        <v>0</v>
      </c>
      <c r="F31178">
        <v>1455</v>
      </c>
    </row>
    <row r="31179" spans="1:6" ht="12.75">
      <c r="A31179" s="2">
        <v>43875.519386574073</v>
      </c>
      <c r="B31179" t="str">
        <f>HYPERLINK("https://twitter.com/ndhrmnd","@ndhrmnd")</f>
        <v>@ndhrmnd</v>
      </c>
      <c r="C31179" t="s">
        <v>2444</v>
      </c>
      <c r="D31179">
        <v>698</v>
      </c>
      <c r="E31179">
        <v>0</v>
      </c>
      <c r="F31179">
        <v>600</v>
      </c>
    </row>
    <row r="31180" spans="1:6" ht="12.75">
      <c r="A31180" s="2">
        <v>43875.519363425927</v>
      </c>
      <c r="B31180" t="str">
        <f>HYPERLINK("https://twitter.com/JaehyunKiyuttt","@JaehyunKiyuttt")</f>
        <v>@JaehyunKiyuttt</v>
      </c>
      <c r="C31180" t="s">
        <v>2444</v>
      </c>
      <c r="D31180">
        <v>698</v>
      </c>
      <c r="E31180">
        <v>0</v>
      </c>
      <c r="F31180">
        <v>229</v>
      </c>
    </row>
    <row r="31181" spans="1:6" ht="12.75">
      <c r="A31181" s="2">
        <v>43875.51935185185</v>
      </c>
      <c r="B31181" t="str">
        <f>HYPERLINK("https://twitter.com/monoerant","@monoerant")</f>
        <v>@monoerant</v>
      </c>
      <c r="C31181" t="s">
        <v>2444</v>
      </c>
      <c r="D31181">
        <v>698</v>
      </c>
      <c r="E31181">
        <v>0</v>
      </c>
      <c r="F31181">
        <v>558</v>
      </c>
    </row>
    <row r="31182" spans="1:6" ht="12.75">
      <c r="A31182" s="2">
        <v>43875.519328703704</v>
      </c>
      <c r="B31182" t="str">
        <f>HYPERLINK("https://twitter.com/utiucntk","@utiucntk")</f>
        <v>@utiucntk</v>
      </c>
      <c r="C31182" t="s">
        <v>2444</v>
      </c>
      <c r="D31182">
        <v>698</v>
      </c>
      <c r="E31182">
        <v>0</v>
      </c>
      <c r="F31182">
        <v>181</v>
      </c>
    </row>
    <row r="31183" spans="1:6" ht="12.75">
      <c r="A31183" s="2">
        <v>43875.519317129627</v>
      </c>
      <c r="B31183" t="str">
        <f>HYPERLINK("https://twitter.com/Shelly_rnt","@Shelly_rnt")</f>
        <v>@Shelly_rnt</v>
      </c>
      <c r="C31183" t="s">
        <v>2444</v>
      </c>
      <c r="D31183">
        <v>698</v>
      </c>
      <c r="E31183">
        <v>0</v>
      </c>
      <c r="F31183">
        <v>191</v>
      </c>
    </row>
    <row r="31184" spans="1:6" ht="12.75">
      <c r="A31184" s="2">
        <v>43875.519317129627</v>
      </c>
      <c r="B31184" t="str">
        <f>HYPERLINK("https://twitter.com/AkubukanRatu","@AkubukanRatu")</f>
        <v>@AkubukanRatu</v>
      </c>
      <c r="C31184" t="s">
        <v>2444</v>
      </c>
      <c r="D31184">
        <v>698</v>
      </c>
      <c r="E31184">
        <v>0</v>
      </c>
      <c r="F31184">
        <v>254</v>
      </c>
    </row>
    <row r="31185" spans="1:6" ht="12.75">
      <c r="A31185" s="2">
        <v>43875.519305555557</v>
      </c>
      <c r="B31185" t="str">
        <f>HYPERLINK("https://twitter.com/rjkimm","@rjkimm")</f>
        <v>@rjkimm</v>
      </c>
      <c r="C31185" t="s">
        <v>2444</v>
      </c>
      <c r="D31185">
        <v>698</v>
      </c>
      <c r="E31185">
        <v>0</v>
      </c>
      <c r="F31185">
        <v>1531</v>
      </c>
    </row>
    <row r="31186" spans="1:6" ht="12.75">
      <c r="A31186" s="2">
        <v>43875.519305555557</v>
      </c>
      <c r="B31186" t="str">
        <f>HYPERLINK("https://twitter.com/platypaus","@platypaus")</f>
        <v>@platypaus</v>
      </c>
      <c r="C31186" t="s">
        <v>2444</v>
      </c>
      <c r="D31186">
        <v>698</v>
      </c>
      <c r="E31186">
        <v>0</v>
      </c>
      <c r="F31186">
        <v>1241</v>
      </c>
    </row>
    <row r="31187" spans="1:6" ht="12.75">
      <c r="A31187" s="2">
        <v>43875.519282407404</v>
      </c>
      <c r="B31187" t="str">
        <f>HYPERLINK("https://twitter.com/ZainulA42038361","@ZainulA42038361")</f>
        <v>@ZainulA42038361</v>
      </c>
      <c r="C31187" t="s">
        <v>7373</v>
      </c>
      <c r="D31187">
        <v>67</v>
      </c>
      <c r="E31187">
        <v>0</v>
      </c>
      <c r="F31187">
        <v>280</v>
      </c>
    </row>
    <row r="31188" spans="1:6" ht="12.75">
      <c r="A31188" s="2">
        <v>43875.519270833334</v>
      </c>
      <c r="B31188" t="str">
        <f>HYPERLINK("https://twitter.com/diahheyyy_","@diahheyyy_")</f>
        <v>@diahheyyy_</v>
      </c>
      <c r="C31188" t="s">
        <v>2444</v>
      </c>
      <c r="D31188">
        <v>698</v>
      </c>
      <c r="E31188">
        <v>0</v>
      </c>
      <c r="F31188">
        <v>87</v>
      </c>
    </row>
    <row r="31189" spans="1:6" ht="12.75">
      <c r="A31189" s="2">
        <v>43875.519224537042</v>
      </c>
      <c r="B31189" t="str">
        <f>HYPERLINK("https://twitter.com/jenoshk","@jenoshk")</f>
        <v>@jenoshk</v>
      </c>
      <c r="C31189" t="s">
        <v>2444</v>
      </c>
      <c r="D31189">
        <v>698</v>
      </c>
      <c r="E31189">
        <v>0</v>
      </c>
      <c r="F31189">
        <v>861</v>
      </c>
    </row>
    <row r="31190" spans="1:6" ht="12.75">
      <c r="A31190" s="2">
        <v>43875.519224537042</v>
      </c>
      <c r="B31190" t="str">
        <f>HYPERLINK("https://twitter.com/yudif36","@yudif36")</f>
        <v>@yudif36</v>
      </c>
      <c r="C31190" t="s">
        <v>9113</v>
      </c>
      <c r="D31190">
        <v>280</v>
      </c>
      <c r="E31190">
        <v>0</v>
      </c>
      <c r="F31190">
        <v>76</v>
      </c>
    </row>
    <row r="31191" spans="1:6" ht="12.75">
      <c r="A31191" s="2">
        <v>43875.519201388888</v>
      </c>
      <c r="B31191" t="str">
        <f>HYPERLINK("https://twitter.com/VeroMariaChris1","@VeroMariaChris1")</f>
        <v>@VeroMariaChris1</v>
      </c>
      <c r="C31191" t="s">
        <v>8470</v>
      </c>
      <c r="D31191">
        <v>134</v>
      </c>
      <c r="E31191">
        <v>0</v>
      </c>
      <c r="F31191">
        <v>1</v>
      </c>
    </row>
    <row r="31192" spans="1:6" ht="12.75">
      <c r="A31192" s="2">
        <v>43875.519189814819</v>
      </c>
      <c r="B31192" t="str">
        <f>HYPERLINK("https://twitter.com/ndyaprtw","@ndyaprtw")</f>
        <v>@ndyaprtw</v>
      </c>
      <c r="C31192" t="s">
        <v>2444</v>
      </c>
      <c r="D31192">
        <v>698</v>
      </c>
      <c r="E31192">
        <v>0</v>
      </c>
      <c r="F31192">
        <v>94</v>
      </c>
    </row>
    <row r="31193" spans="1:6" ht="12.75">
      <c r="A31193" s="2">
        <v>43875.519131944442</v>
      </c>
      <c r="B31193" t="str">
        <f>HYPERLINK("https://twitter.com/rinduuuh","@rinduuuh")</f>
        <v>@rinduuuh</v>
      </c>
      <c r="C31193" t="s">
        <v>9998</v>
      </c>
      <c r="D31193">
        <v>91</v>
      </c>
      <c r="E31193">
        <v>0</v>
      </c>
      <c r="F31193">
        <v>169</v>
      </c>
    </row>
    <row r="31194" spans="1:6" ht="12.75">
      <c r="A31194" s="2">
        <v>43875.518969907411</v>
      </c>
      <c r="B31194" t="str">
        <f>HYPERLINK("https://twitter.com/arrayagiuseppe_","@arrayagiuseppe_")</f>
        <v>@arrayagiuseppe_</v>
      </c>
      <c r="C31194" t="s">
        <v>13105</v>
      </c>
      <c r="D31194">
        <v>0</v>
      </c>
      <c r="E31194">
        <v>0</v>
      </c>
      <c r="F31194">
        <v>829</v>
      </c>
    </row>
    <row r="31195" spans="1:6" ht="12.75">
      <c r="A31195" s="2">
        <v>43875.518888888888</v>
      </c>
      <c r="B31195" t="str">
        <f>HYPERLINK("https://twitter.com/rus_herudin","@rus_herudin")</f>
        <v>@rus_herudin</v>
      </c>
      <c r="C31195" t="s">
        <v>9835</v>
      </c>
      <c r="D31195">
        <v>15</v>
      </c>
      <c r="E31195">
        <v>0</v>
      </c>
      <c r="F31195">
        <v>217</v>
      </c>
    </row>
    <row r="31196" spans="1:6" ht="12.75">
      <c r="A31196" s="2">
        <v>43875.518761574072</v>
      </c>
      <c r="B31196" t="str">
        <f>HYPERLINK("https://twitter.com/monasjunior","@monasjunior")</f>
        <v>@monasjunior</v>
      </c>
      <c r="C31196" t="s">
        <v>13106</v>
      </c>
      <c r="D31196">
        <v>1</v>
      </c>
      <c r="E31196">
        <v>0</v>
      </c>
      <c r="F31196">
        <v>1007</v>
      </c>
    </row>
    <row r="31197" spans="1:6" ht="12.75">
      <c r="A31197" s="2">
        <v>43875.518738425926</v>
      </c>
      <c r="B31197" t="str">
        <f>HYPERLINK("https://twitter.com/yaelahdre","@yaelahdre")</f>
        <v>@yaelahdre</v>
      </c>
      <c r="C31197" t="s">
        <v>2444</v>
      </c>
      <c r="D31197">
        <v>698</v>
      </c>
      <c r="E31197">
        <v>0</v>
      </c>
      <c r="F31197">
        <v>10811</v>
      </c>
    </row>
    <row r="31198" spans="1:6" ht="12.75">
      <c r="A31198" s="2">
        <v>43875.518657407403</v>
      </c>
      <c r="B31198" t="str">
        <f>HYPERLINK("https://twitter.com/alineadotid","@alineadotid")</f>
        <v>@alineadotid</v>
      </c>
      <c r="C31198" t="s">
        <v>13107</v>
      </c>
      <c r="D31198">
        <v>0</v>
      </c>
      <c r="E31198">
        <v>0</v>
      </c>
      <c r="F31198">
        <v>612016</v>
      </c>
    </row>
    <row r="31199" spans="1:6" ht="12.75">
      <c r="A31199" s="2">
        <v>43875.518634259264</v>
      </c>
      <c r="B31199" t="str">
        <f>HYPERLINK("https://twitter.com/vandy_46","@vandy_46")</f>
        <v>@vandy_46</v>
      </c>
      <c r="C31199" t="s">
        <v>2444</v>
      </c>
      <c r="D31199">
        <v>698</v>
      </c>
      <c r="E31199">
        <v>0</v>
      </c>
      <c r="F31199">
        <v>1198</v>
      </c>
    </row>
    <row r="31200" spans="1:6" ht="12.75">
      <c r="A31200" s="2">
        <v>43875.518553240741</v>
      </c>
      <c r="B31200" t="str">
        <f>HYPERLINK("https://twitter.com/herdiawan30_","@herdiawan30_")</f>
        <v>@herdiawan30_</v>
      </c>
      <c r="C31200" t="s">
        <v>8233</v>
      </c>
      <c r="D31200">
        <v>403</v>
      </c>
      <c r="E31200">
        <v>0</v>
      </c>
      <c r="F31200">
        <v>181</v>
      </c>
    </row>
    <row r="31201" spans="1:6" ht="12.75">
      <c r="A31201" s="2">
        <v>43875.518541666665</v>
      </c>
      <c r="B31201" t="str">
        <f>HYPERLINK("https://twitter.com/pridejoyandsin","@pridejoyandsin")</f>
        <v>@pridejoyandsin</v>
      </c>
      <c r="C31201" t="s">
        <v>8233</v>
      </c>
      <c r="D31201">
        <v>403</v>
      </c>
      <c r="E31201">
        <v>0</v>
      </c>
      <c r="F31201">
        <v>305</v>
      </c>
    </row>
    <row r="31202" spans="1:6" ht="12.75">
      <c r="A31202" s="2">
        <v>43875.51840277778</v>
      </c>
      <c r="B31202" t="str">
        <f>HYPERLINK("https://twitter.com/IzMe1415","@IzMe1415")</f>
        <v>@IzMe1415</v>
      </c>
      <c r="C31202" t="s">
        <v>2444</v>
      </c>
      <c r="D31202">
        <v>698</v>
      </c>
      <c r="E31202">
        <v>0</v>
      </c>
      <c r="F31202">
        <v>700</v>
      </c>
    </row>
    <row r="31203" spans="1:6" ht="12.75">
      <c r="A31203" s="2">
        <v>43875.518333333333</v>
      </c>
      <c r="B31203" t="str">
        <f>HYPERLINK("https://twitter.com/usirro","@usirro")</f>
        <v>@usirro</v>
      </c>
      <c r="C31203" t="s">
        <v>13108</v>
      </c>
      <c r="D31203">
        <v>1</v>
      </c>
      <c r="E31203">
        <v>0</v>
      </c>
      <c r="F31203">
        <v>1055</v>
      </c>
    </row>
    <row r="31204" spans="1:6" ht="12.75">
      <c r="A31204" s="2">
        <v>43875.51829861111</v>
      </c>
      <c r="B31204" t="str">
        <f>HYPERLINK("https://twitter.com/husenhutagalung","@husenhutagalung")</f>
        <v>@husenhutagalung</v>
      </c>
      <c r="C31204" t="s">
        <v>13109</v>
      </c>
      <c r="D31204">
        <v>0</v>
      </c>
      <c r="E31204">
        <v>0</v>
      </c>
      <c r="F31204">
        <v>434</v>
      </c>
    </row>
    <row r="31205" spans="1:6" ht="12.75">
      <c r="A31205" s="2">
        <v>43875.518275462964</v>
      </c>
      <c r="B31205" t="str">
        <f>HYPERLINK("https://twitter.com/oooyyuk","@oooyyuk")</f>
        <v>@oooyyuk</v>
      </c>
      <c r="C31205" t="s">
        <v>13110</v>
      </c>
      <c r="D31205">
        <v>0</v>
      </c>
      <c r="E31205">
        <v>0</v>
      </c>
      <c r="F31205">
        <v>8</v>
      </c>
    </row>
    <row r="31206" spans="1:6" ht="12.75">
      <c r="A31206" s="2">
        <v>43875.518263888887</v>
      </c>
      <c r="B31206" t="str">
        <f>HYPERLINK("https://twitter.com/TYORivera","@TYORivera")</f>
        <v>@TYORivera</v>
      </c>
      <c r="C31206" t="s">
        <v>2963</v>
      </c>
      <c r="D31206">
        <v>766</v>
      </c>
      <c r="E31206">
        <v>0</v>
      </c>
      <c r="F31206">
        <v>812</v>
      </c>
    </row>
    <row r="31207" spans="1:6" ht="12.75">
      <c r="A31207" s="2">
        <v>43875.518206018518</v>
      </c>
      <c r="B31207" t="str">
        <f>HYPERLINK("https://twitter.com/em_giri","@em_giri")</f>
        <v>@em_giri</v>
      </c>
      <c r="C31207" t="s">
        <v>13111</v>
      </c>
      <c r="D31207">
        <v>0</v>
      </c>
      <c r="E31207">
        <v>0</v>
      </c>
      <c r="F31207">
        <v>220</v>
      </c>
    </row>
    <row r="31208" spans="1:6" ht="12.75">
      <c r="A31208" s="2">
        <v>43875.518171296295</v>
      </c>
      <c r="B31208" t="str">
        <f>HYPERLINK("https://twitter.com/YayukWa01806028","@YayukWa01806028")</f>
        <v>@YayukWa01806028</v>
      </c>
      <c r="C31208" t="s">
        <v>13112</v>
      </c>
      <c r="D31208">
        <v>0</v>
      </c>
      <c r="E31208">
        <v>0</v>
      </c>
      <c r="F31208">
        <v>895</v>
      </c>
    </row>
    <row r="31209" spans="1:6" ht="12.75">
      <c r="A31209" s="2">
        <v>43875.518078703702</v>
      </c>
      <c r="B31209" t="str">
        <f>HYPERLINK("https://twitter.com/TasunPawanto507","@TasunPawanto507")</f>
        <v>@TasunPawanto507</v>
      </c>
      <c r="C31209" t="s">
        <v>2122</v>
      </c>
      <c r="D31209">
        <v>196</v>
      </c>
      <c r="E31209">
        <v>0</v>
      </c>
      <c r="F31209">
        <v>1634</v>
      </c>
    </row>
    <row r="31210" spans="1:6" ht="12.75">
      <c r="A31210" s="2">
        <v>43875.517881944441</v>
      </c>
      <c r="B31210" t="str">
        <f>HYPERLINK("https://twitter.com/nasiudukkampung","@nasiudukkampung")</f>
        <v>@nasiudukkampung</v>
      </c>
      <c r="C31210" t="s">
        <v>13113</v>
      </c>
      <c r="D31210">
        <v>4</v>
      </c>
      <c r="E31210">
        <v>0</v>
      </c>
      <c r="F31210">
        <v>15</v>
      </c>
    </row>
    <row r="31211" spans="1:6" ht="12.75">
      <c r="A31211" s="2">
        <v>43875.517858796295</v>
      </c>
      <c r="B31211" t="str">
        <f>HYPERLINK("https://twitter.com/ik_surya_negara","@ik_surya_negara")</f>
        <v>@ik_surya_negara</v>
      </c>
      <c r="C31211" t="s">
        <v>5168</v>
      </c>
      <c r="D31211">
        <v>576</v>
      </c>
      <c r="E31211">
        <v>0</v>
      </c>
      <c r="F31211">
        <v>403</v>
      </c>
    </row>
    <row r="31212" spans="1:6" ht="12.75">
      <c r="A31212" s="2">
        <v>43875.517847222218</v>
      </c>
      <c r="B31212" t="str">
        <f>HYPERLINK("https://twitter.com/madjodd","@madjodd")</f>
        <v>@madjodd</v>
      </c>
      <c r="C31212" t="s">
        <v>5168</v>
      </c>
      <c r="D31212">
        <v>576</v>
      </c>
      <c r="E31212">
        <v>0</v>
      </c>
      <c r="F31212">
        <v>151</v>
      </c>
    </row>
    <row r="31213" spans="1:6" ht="12.75">
      <c r="A31213" s="2">
        <v>43875.517777777779</v>
      </c>
      <c r="B31213" t="str">
        <f>HYPERLINK("https://twitter.com/popuri64","@popuri64")</f>
        <v>@popuri64</v>
      </c>
      <c r="C31213" t="s">
        <v>9964</v>
      </c>
      <c r="D31213">
        <v>552</v>
      </c>
      <c r="E31213">
        <v>0</v>
      </c>
      <c r="F31213">
        <v>425</v>
      </c>
    </row>
    <row r="31214" spans="1:6" ht="12.75">
      <c r="A31214" s="2">
        <v>43875.517766203702</v>
      </c>
      <c r="B31214" t="str">
        <f>HYPERLINK("https://twitter.com/FBrilliante","@FBrilliante")</f>
        <v>@FBrilliante</v>
      </c>
      <c r="C31214" t="s">
        <v>13114</v>
      </c>
      <c r="D31214">
        <v>0</v>
      </c>
      <c r="E31214">
        <v>0</v>
      </c>
      <c r="F31214">
        <v>7</v>
      </c>
    </row>
    <row r="31215" spans="1:6" ht="12.75">
      <c r="A31215" s="2">
        <v>43875.517604166671</v>
      </c>
      <c r="B31215" t="str">
        <f>HYPERLINK("https://twitter.com/Sumeryandi","@Sumeryandi")</f>
        <v>@Sumeryandi</v>
      </c>
      <c r="C31215" t="s">
        <v>10710</v>
      </c>
      <c r="D31215">
        <v>13</v>
      </c>
      <c r="E31215">
        <v>0</v>
      </c>
      <c r="F31215">
        <v>106</v>
      </c>
    </row>
    <row r="31216" spans="1:6" ht="12.75">
      <c r="A31216" s="2">
        <v>43875.517557870371</v>
      </c>
      <c r="B31216" t="str">
        <f>HYPERLINK("https://twitter.com/BoengNana","@BoengNana")</f>
        <v>@BoengNana</v>
      </c>
      <c r="C31216" t="s">
        <v>10542</v>
      </c>
      <c r="D31216">
        <v>138</v>
      </c>
      <c r="E31216">
        <v>0</v>
      </c>
      <c r="F31216">
        <v>227</v>
      </c>
    </row>
    <row r="31217" spans="1:6" ht="12.75">
      <c r="A31217" s="2">
        <v>43875.517453703702</v>
      </c>
      <c r="B31217" t="str">
        <f>HYPERLINK("https://twitter.com/milhamfird_","@milhamfird_")</f>
        <v>@milhamfird_</v>
      </c>
      <c r="C31217" t="s">
        <v>2963</v>
      </c>
      <c r="D31217">
        <v>766</v>
      </c>
      <c r="E31217">
        <v>0</v>
      </c>
      <c r="F31217">
        <v>1017</v>
      </c>
    </row>
    <row r="31218" spans="1:6" ht="12.75">
      <c r="A31218" s="2">
        <v>43875.517453703702</v>
      </c>
      <c r="B31218" t="str">
        <f>HYPERLINK("https://twitter.com/okezonenews","@okezonenews")</f>
        <v>@okezonenews</v>
      </c>
      <c r="C31218" t="s">
        <v>13115</v>
      </c>
      <c r="D31218">
        <v>1</v>
      </c>
      <c r="E31218">
        <v>0</v>
      </c>
      <c r="F31218">
        <v>1743730</v>
      </c>
    </row>
    <row r="31219" spans="1:6" ht="12.75">
      <c r="A31219" s="2">
        <v>43875.517442129625</v>
      </c>
      <c r="B31219" t="str">
        <f>HYPERLINK("https://twitter.com/kangnday","@kangnday")</f>
        <v>@kangnday</v>
      </c>
      <c r="C31219" t="s">
        <v>13116</v>
      </c>
      <c r="D31219">
        <v>1</v>
      </c>
      <c r="E31219">
        <v>0</v>
      </c>
      <c r="F31219">
        <v>81</v>
      </c>
    </row>
    <row r="31220" spans="1:6" ht="12.75">
      <c r="A31220" s="2">
        <v>43875.517372685186</v>
      </c>
      <c r="B31220" t="str">
        <f>HYPERLINK("https://twitter.com/AundreAfreda","@AundreAfreda")</f>
        <v>@AundreAfreda</v>
      </c>
      <c r="C31220" t="s">
        <v>12954</v>
      </c>
      <c r="D31220">
        <v>0</v>
      </c>
      <c r="E31220">
        <v>0</v>
      </c>
      <c r="F31220">
        <v>21008</v>
      </c>
    </row>
    <row r="31221" spans="1:6" ht="12.75">
      <c r="A31221" s="2">
        <v>43875.517245370371</v>
      </c>
      <c r="B31221" t="str">
        <f>HYPERLINK("https://twitter.com/AudryRibka","@AudryRibka")</f>
        <v>@AudryRibka</v>
      </c>
      <c r="C31221" t="s">
        <v>175</v>
      </c>
      <c r="D31221">
        <v>5259</v>
      </c>
      <c r="E31221">
        <v>0</v>
      </c>
      <c r="F31221">
        <v>108</v>
      </c>
    </row>
    <row r="31222" spans="1:6" ht="12.75">
      <c r="A31222" s="2">
        <v>43875.517187500001</v>
      </c>
      <c r="B31222" t="str">
        <f>HYPERLINK("https://twitter.com/simkkung","@simkkung")</f>
        <v>@simkkung</v>
      </c>
      <c r="C31222" t="s">
        <v>9964</v>
      </c>
      <c r="D31222">
        <v>552</v>
      </c>
      <c r="E31222">
        <v>0</v>
      </c>
      <c r="F31222">
        <v>1419</v>
      </c>
    </row>
    <row r="31223" spans="1:6" ht="12.75">
      <c r="A31223" s="2">
        <v>43875.517152777778</v>
      </c>
      <c r="B31223" t="str">
        <f>HYPERLINK("https://twitter.com/CallOfDutyRI","@CallOfDutyRI")</f>
        <v>@CallOfDutyRI</v>
      </c>
      <c r="C31223" t="s">
        <v>8881</v>
      </c>
      <c r="D31223">
        <v>269</v>
      </c>
      <c r="E31223">
        <v>0</v>
      </c>
      <c r="F31223">
        <v>393</v>
      </c>
    </row>
    <row r="31224" spans="1:6" ht="12.75">
      <c r="A31224" s="2">
        <v>43875.517037037032</v>
      </c>
      <c r="B31224" t="str">
        <f>HYPERLINK("https://twitter.com/karolvslvangga","@karolvslvangga")</f>
        <v>@karolvslvangga</v>
      </c>
      <c r="C31224" t="s">
        <v>13117</v>
      </c>
      <c r="D31224">
        <v>0</v>
      </c>
      <c r="E31224">
        <v>0</v>
      </c>
      <c r="F31224">
        <v>230</v>
      </c>
    </row>
    <row r="31225" spans="1:6" ht="12.75">
      <c r="A31225" s="2">
        <v>43875.516736111109</v>
      </c>
      <c r="B31225" t="str">
        <f>HYPERLINK("https://twitter.com/i_arseto","@i_arseto")</f>
        <v>@i_arseto</v>
      </c>
      <c r="C31225" t="s">
        <v>8233</v>
      </c>
      <c r="D31225">
        <v>403</v>
      </c>
      <c r="E31225">
        <v>0</v>
      </c>
      <c r="F31225">
        <v>125</v>
      </c>
    </row>
    <row r="31226" spans="1:6" ht="12.75">
      <c r="A31226" s="2">
        <v>43875.516655092593</v>
      </c>
      <c r="B31226" t="str">
        <f>HYPERLINK("https://twitter.com/satriacakti","@satriacakti")</f>
        <v>@satriacakti</v>
      </c>
      <c r="C31226" t="s">
        <v>13118</v>
      </c>
      <c r="D31226">
        <v>0</v>
      </c>
      <c r="E31226">
        <v>0</v>
      </c>
      <c r="F31226">
        <v>362</v>
      </c>
    </row>
    <row r="31227" spans="1:6" ht="12.75">
      <c r="A31227" s="2">
        <v>43875.516562500001</v>
      </c>
      <c r="B31227" t="str">
        <f>HYPERLINK("https://twitter.com/natasyes","@natasyes")</f>
        <v>@natasyes</v>
      </c>
      <c r="C31227" t="s">
        <v>2444</v>
      </c>
      <c r="D31227">
        <v>698</v>
      </c>
      <c r="E31227">
        <v>0</v>
      </c>
      <c r="F31227">
        <v>630</v>
      </c>
    </row>
    <row r="31228" spans="1:6" ht="12.75">
      <c r="A31228" s="2">
        <v>43875.516493055555</v>
      </c>
      <c r="B31228" t="str">
        <f>HYPERLINK("https://twitter.com/yogiAgu71393665","@yogiAgu71393665")</f>
        <v>@yogiAgu71393665</v>
      </c>
      <c r="C31228" t="s">
        <v>13119</v>
      </c>
      <c r="D31228">
        <v>0</v>
      </c>
      <c r="E31228">
        <v>0</v>
      </c>
      <c r="F31228">
        <v>1</v>
      </c>
    </row>
    <row r="31229" spans="1:6" ht="12.75">
      <c r="A31229" s="2">
        <v>43875.51630787037</v>
      </c>
      <c r="B31229" t="str">
        <f>HYPERLINK("https://twitter.com/MariawanDede","@MariawanDede")</f>
        <v>@MariawanDede</v>
      </c>
      <c r="C31229" t="s">
        <v>2144</v>
      </c>
      <c r="D31229">
        <v>65</v>
      </c>
      <c r="E31229">
        <v>0</v>
      </c>
      <c r="F31229">
        <v>1856</v>
      </c>
    </row>
    <row r="31230" spans="1:6" ht="12.75">
      <c r="A31230" s="2">
        <v>43875.516203703708</v>
      </c>
      <c r="B31230" t="str">
        <f>HYPERLINK("https://twitter.com/adityaaksani","@adityaaksani")</f>
        <v>@adityaaksani</v>
      </c>
      <c r="C31230" t="s">
        <v>13120</v>
      </c>
      <c r="D31230">
        <v>4</v>
      </c>
      <c r="E31230">
        <v>0</v>
      </c>
      <c r="F31230">
        <v>1280</v>
      </c>
    </row>
    <row r="31231" spans="1:6" ht="12.75">
      <c r="A31231" s="2">
        <v>43875.516087962962</v>
      </c>
      <c r="B31231" t="str">
        <f>HYPERLINK("https://twitter.com/elswdrsh","@elswdrsh")</f>
        <v>@elswdrsh</v>
      </c>
      <c r="C31231" t="s">
        <v>2444</v>
      </c>
      <c r="D31231">
        <v>698</v>
      </c>
      <c r="E31231">
        <v>0</v>
      </c>
      <c r="F31231">
        <v>125</v>
      </c>
    </row>
    <row r="31232" spans="1:6" ht="12.75">
      <c r="A31232" s="2">
        <v>43875.516064814816</v>
      </c>
      <c r="B31232" t="str">
        <f>HYPERLINK("https://twitter.com/achshivan","@achshivan")</f>
        <v>@achshivan</v>
      </c>
      <c r="C31232" t="s">
        <v>2444</v>
      </c>
      <c r="D31232">
        <v>698</v>
      </c>
      <c r="E31232">
        <v>0</v>
      </c>
      <c r="F31232">
        <v>278</v>
      </c>
    </row>
    <row r="31233" spans="1:6" ht="12.75">
      <c r="A31233" s="2">
        <v>43875.516053240739</v>
      </c>
      <c r="B31233" t="str">
        <f>HYPERLINK("https://twitter.com/ydhtwp","@ydhtwp")</f>
        <v>@ydhtwp</v>
      </c>
      <c r="C31233" t="s">
        <v>2444</v>
      </c>
      <c r="D31233">
        <v>698</v>
      </c>
      <c r="E31233">
        <v>0</v>
      </c>
      <c r="F31233">
        <v>1419</v>
      </c>
    </row>
    <row r="31234" spans="1:6" ht="12.75">
      <c r="A31234" s="2">
        <v>43875.516041666662</v>
      </c>
      <c r="B31234" t="str">
        <f>HYPERLINK("https://twitter.com/RecksiGalih","@RecksiGalih")</f>
        <v>@RecksiGalih</v>
      </c>
      <c r="C31234" t="s">
        <v>10801</v>
      </c>
      <c r="D31234">
        <v>1</v>
      </c>
      <c r="E31234">
        <v>0</v>
      </c>
      <c r="F31234">
        <v>84</v>
      </c>
    </row>
    <row r="31235" spans="1:6" ht="12.75">
      <c r="A31235" s="2">
        <v>43875.5159375</v>
      </c>
      <c r="B31235" t="str">
        <f>HYPERLINK("https://twitter.com/Nio174","@Nio174")</f>
        <v>@Nio174</v>
      </c>
      <c r="C31235" t="s">
        <v>12450</v>
      </c>
      <c r="D31235">
        <v>77</v>
      </c>
      <c r="E31235">
        <v>0</v>
      </c>
      <c r="F31235">
        <v>12</v>
      </c>
    </row>
    <row r="31236" spans="1:6" ht="12.75">
      <c r="A31236" s="2">
        <v>43875.515902777777</v>
      </c>
      <c r="B31236" t="str">
        <f>HYPERLINK("https://twitter.com/milla_anita","@milla_anita")</f>
        <v>@milla_anita</v>
      </c>
      <c r="C31236" t="s">
        <v>10237</v>
      </c>
      <c r="D31236">
        <v>38</v>
      </c>
      <c r="E31236">
        <v>0</v>
      </c>
      <c r="F31236">
        <v>477</v>
      </c>
    </row>
    <row r="31237" spans="1:6" ht="12.75">
      <c r="A31237" s="2">
        <v>43875.515879629631</v>
      </c>
      <c r="B31237" t="str">
        <f>HYPERLINK("https://twitter.com/slvanndfh","@slvanndfh")</f>
        <v>@slvanndfh</v>
      </c>
      <c r="C31237" t="s">
        <v>2444</v>
      </c>
      <c r="D31237">
        <v>698</v>
      </c>
      <c r="E31237">
        <v>0</v>
      </c>
      <c r="F31237">
        <v>79</v>
      </c>
    </row>
    <row r="31238" spans="1:6" ht="12.75">
      <c r="A31238" s="2">
        <v>43875.515763888892</v>
      </c>
      <c r="B31238" t="str">
        <f>HYPERLINK("https://twitter.com/Nio174","@Nio174")</f>
        <v>@Nio174</v>
      </c>
      <c r="C31238" t="s">
        <v>11390</v>
      </c>
      <c r="D31238">
        <v>76</v>
      </c>
      <c r="E31238">
        <v>0</v>
      </c>
      <c r="F31238">
        <v>12</v>
      </c>
    </row>
    <row r="31239" spans="1:6" ht="12.75">
      <c r="A31239" s="2">
        <v>43875.515752314815</v>
      </c>
      <c r="B31239" t="str">
        <f>HYPERLINK("https://twitter.com/SolihPopeye","@SolihPopeye")</f>
        <v>@SolihPopeye</v>
      </c>
      <c r="C31239" t="s">
        <v>8233</v>
      </c>
      <c r="D31239">
        <v>403</v>
      </c>
      <c r="E31239">
        <v>0</v>
      </c>
      <c r="F31239">
        <v>156</v>
      </c>
    </row>
    <row r="31240" spans="1:6" ht="12.75">
      <c r="A31240" s="2">
        <v>43875.515671296293</v>
      </c>
      <c r="B31240" t="str">
        <f>HYPERLINK("https://twitter.com/minmongmoyed","@minmongmoyed")</f>
        <v>@minmongmoyed</v>
      </c>
      <c r="C31240" t="s">
        <v>5168</v>
      </c>
      <c r="D31240">
        <v>576</v>
      </c>
      <c r="E31240">
        <v>0</v>
      </c>
      <c r="F31240">
        <v>350</v>
      </c>
    </row>
    <row r="31241" spans="1:6" ht="12.75">
      <c r="A31241" s="2">
        <v>43875.515532407408</v>
      </c>
      <c r="B31241" t="str">
        <f>HYPERLINK("https://twitter.com/deitysgiftia","@deitysgiftia")</f>
        <v>@deitysgiftia</v>
      </c>
      <c r="C31241" t="s">
        <v>13121</v>
      </c>
      <c r="D31241">
        <v>0</v>
      </c>
      <c r="E31241">
        <v>0</v>
      </c>
      <c r="F31241">
        <v>54</v>
      </c>
    </row>
    <row r="31242" spans="1:6" ht="12.75">
      <c r="A31242" s="2">
        <v>43875.515509259261</v>
      </c>
      <c r="B31242" t="str">
        <f>HYPERLINK("https://twitter.com/putihandrew","@putihandrew")</f>
        <v>@putihandrew</v>
      </c>
      <c r="C31242" t="s">
        <v>13122</v>
      </c>
      <c r="D31242">
        <v>0</v>
      </c>
      <c r="E31242">
        <v>0</v>
      </c>
      <c r="F31242">
        <v>531</v>
      </c>
    </row>
    <row r="31243" spans="1:6" ht="12.75">
      <c r="A31243" s="2">
        <v>43875.515393518523</v>
      </c>
      <c r="B31243" t="str">
        <f>HYPERLINK("https://twitter.com/xbrnaulia","@xbrnaulia")</f>
        <v>@xbrnaulia</v>
      </c>
      <c r="C31243" t="s">
        <v>2444</v>
      </c>
      <c r="D31243">
        <v>698</v>
      </c>
      <c r="E31243">
        <v>0</v>
      </c>
      <c r="F31243">
        <v>387</v>
      </c>
    </row>
    <row r="31244" spans="1:6" ht="12.75">
      <c r="A31244" s="2">
        <v>43875.515300925923</v>
      </c>
      <c r="B31244" t="str">
        <f>HYPERLINK("https://twitter.com/ngomongkotor","@ngomongkotor")</f>
        <v>@ngomongkotor</v>
      </c>
      <c r="C31244" t="s">
        <v>13123</v>
      </c>
      <c r="D31244">
        <v>0</v>
      </c>
      <c r="E31244">
        <v>0</v>
      </c>
      <c r="F31244">
        <v>20</v>
      </c>
    </row>
    <row r="31245" spans="1:6" ht="12.75">
      <c r="A31245" s="2">
        <v>43875.515219907407</v>
      </c>
      <c r="B31245" t="str">
        <f>HYPERLINK("https://twitter.com/dwin0276","@dwin0276")</f>
        <v>@dwin0276</v>
      </c>
      <c r="C31245" t="s">
        <v>13124</v>
      </c>
      <c r="D31245">
        <v>0</v>
      </c>
      <c r="E31245">
        <v>0</v>
      </c>
      <c r="F31245">
        <v>0</v>
      </c>
    </row>
    <row r="31246" spans="1:6" ht="12.75">
      <c r="A31246" s="2">
        <v>43875.515196759261</v>
      </c>
      <c r="B31246" t="str">
        <f>HYPERLINK("https://twitter.com/annacantique","@annacantique")</f>
        <v>@annacantique</v>
      </c>
      <c r="C31246" t="s">
        <v>13125</v>
      </c>
      <c r="D31246">
        <v>3</v>
      </c>
      <c r="E31246">
        <v>0</v>
      </c>
      <c r="F31246">
        <v>192</v>
      </c>
    </row>
    <row r="31247" spans="1:6" ht="12.75">
      <c r="A31247" s="2">
        <v>43875.515150462961</v>
      </c>
      <c r="B31247" t="str">
        <f>HYPERLINK("https://twitter.com/ayoonhoistic","@ayoonhoistic")</f>
        <v>@ayoonhoistic</v>
      </c>
      <c r="C31247" t="s">
        <v>2444</v>
      </c>
      <c r="D31247">
        <v>698</v>
      </c>
      <c r="E31247">
        <v>0</v>
      </c>
      <c r="F31247">
        <v>619</v>
      </c>
    </row>
    <row r="31248" spans="1:6" ht="12.75">
      <c r="A31248" s="2">
        <v>43875.515069444446</v>
      </c>
      <c r="B31248" t="str">
        <f>HYPERLINK("https://twitter.com/ariati_indriani","@ariati_indriani")</f>
        <v>@ariati_indriani</v>
      </c>
      <c r="C31248" t="s">
        <v>10526</v>
      </c>
      <c r="D31248">
        <v>128</v>
      </c>
      <c r="E31248">
        <v>0</v>
      </c>
      <c r="F31248">
        <v>83</v>
      </c>
    </row>
    <row r="31249" spans="1:6" ht="12.75">
      <c r="A31249" s="2">
        <v>43875.515011574069</v>
      </c>
      <c r="B31249" t="str">
        <f>HYPERLINK("https://twitter.com/HannafNurul","@HannafNurul")</f>
        <v>@HannafNurul</v>
      </c>
      <c r="C31249" t="s">
        <v>10710</v>
      </c>
      <c r="D31249">
        <v>13</v>
      </c>
      <c r="E31249">
        <v>0</v>
      </c>
      <c r="F31249">
        <v>213</v>
      </c>
    </row>
    <row r="31250" spans="1:6" ht="12.75">
      <c r="A31250" s="2">
        <v>43875.51498842593</v>
      </c>
      <c r="B31250" t="str">
        <f>HYPERLINK("https://twitter.com/elbynz","@elbynz")</f>
        <v>@elbynz</v>
      </c>
      <c r="C31250" t="s">
        <v>11841</v>
      </c>
      <c r="D31250">
        <v>1</v>
      </c>
      <c r="E31250">
        <v>0</v>
      </c>
      <c r="F31250">
        <v>1326</v>
      </c>
    </row>
    <row r="31251" spans="1:6" ht="12.75">
      <c r="A31251" s="2">
        <v>43875.514930555553</v>
      </c>
      <c r="B31251" t="str">
        <f>HYPERLINK("https://twitter.com/krupukikanasin","@krupukikanasin")</f>
        <v>@krupukikanasin</v>
      </c>
      <c r="C31251" t="s">
        <v>2444</v>
      </c>
      <c r="D31251">
        <v>698</v>
      </c>
      <c r="E31251">
        <v>0</v>
      </c>
      <c r="F31251">
        <v>207</v>
      </c>
    </row>
    <row r="31252" spans="1:6" ht="12.75">
      <c r="A31252" s="2">
        <v>43875.514814814815</v>
      </c>
      <c r="B31252" t="str">
        <f>HYPERLINK("https://twitter.com/sy_ahputra","@sy_ahputra")</f>
        <v>@sy_ahputra</v>
      </c>
      <c r="C31252" t="s">
        <v>2963</v>
      </c>
      <c r="D31252">
        <v>766</v>
      </c>
      <c r="E31252">
        <v>0</v>
      </c>
      <c r="F31252">
        <v>24</v>
      </c>
    </row>
    <row r="31253" spans="1:6" ht="12.75">
      <c r="A31253" s="2">
        <v>43875.514745370368</v>
      </c>
      <c r="B31253" t="str">
        <f>HYPERLINK("https://twitter.com/Cyehwi","@Cyehwi")</f>
        <v>@Cyehwi</v>
      </c>
      <c r="C31253" t="s">
        <v>2444</v>
      </c>
      <c r="D31253">
        <v>698</v>
      </c>
      <c r="E31253">
        <v>0</v>
      </c>
      <c r="F31253">
        <v>223</v>
      </c>
    </row>
    <row r="31254" spans="1:6" ht="12.75">
      <c r="A31254" s="2">
        <v>43875.514687499999</v>
      </c>
      <c r="B31254" t="str">
        <f>HYPERLINK("https://twitter.com/MrHartono2","@MrHartono2")</f>
        <v>@MrHartono2</v>
      </c>
      <c r="C31254" t="s">
        <v>13126</v>
      </c>
      <c r="D31254">
        <v>2</v>
      </c>
      <c r="E31254">
        <v>0</v>
      </c>
      <c r="F31254">
        <v>2191</v>
      </c>
    </row>
    <row r="31255" spans="1:6" ht="12.75">
      <c r="A31255" s="2">
        <v>43875.514675925922</v>
      </c>
      <c r="B31255" t="str">
        <f>HYPERLINK("https://twitter.com/real1ikaa_","@real1ikaa_")</f>
        <v>@real1ikaa_</v>
      </c>
      <c r="C31255" t="s">
        <v>9962</v>
      </c>
      <c r="D31255">
        <v>23</v>
      </c>
      <c r="E31255">
        <v>0</v>
      </c>
      <c r="F31255">
        <v>167</v>
      </c>
    </row>
    <row r="31256" spans="1:6" ht="12.75">
      <c r="A31256" s="2">
        <v>43875.514583333337</v>
      </c>
      <c r="B31256" t="str">
        <f>HYPERLINK("https://twitter.com/Midjan_La","@Midjan_La")</f>
        <v>@Midjan_La</v>
      </c>
      <c r="C31256" t="s">
        <v>2963</v>
      </c>
      <c r="D31256">
        <v>766</v>
      </c>
      <c r="E31256">
        <v>0</v>
      </c>
      <c r="F31256">
        <v>14900</v>
      </c>
    </row>
    <row r="31257" spans="1:6" ht="12.75">
      <c r="A31257" s="2">
        <v>43875.514432870375</v>
      </c>
      <c r="B31257" t="str">
        <f>HYPERLINK("https://twitter.com/ayoonhoistic","@ayoonhoistic")</f>
        <v>@ayoonhoistic</v>
      </c>
      <c r="C31257" t="s">
        <v>13127</v>
      </c>
      <c r="D31257">
        <v>3</v>
      </c>
      <c r="E31257">
        <v>7</v>
      </c>
      <c r="F31257">
        <v>619</v>
      </c>
    </row>
    <row r="31258" spans="1:6" ht="12.75">
      <c r="A31258" s="2">
        <v>43875.514340277776</v>
      </c>
      <c r="B31258" t="str">
        <f>HYPERLINK("https://twitter.com/Paltiwest","@Paltiwest")</f>
        <v>@Paltiwest</v>
      </c>
      <c r="C31258" t="s">
        <v>2963</v>
      </c>
      <c r="D31258">
        <v>766</v>
      </c>
      <c r="E31258">
        <v>0</v>
      </c>
      <c r="F31258">
        <v>10390</v>
      </c>
    </row>
    <row r="31259" spans="1:6" ht="12.75">
      <c r="A31259" s="2">
        <v>43875.514328703706</v>
      </c>
      <c r="B31259" t="str">
        <f>HYPERLINK("https://twitter.com/adityaaksani","@adityaaksani")</f>
        <v>@adityaaksani</v>
      </c>
      <c r="C31259" t="s">
        <v>13128</v>
      </c>
      <c r="D31259">
        <v>2</v>
      </c>
      <c r="E31259">
        <v>0</v>
      </c>
      <c r="F31259">
        <v>1280</v>
      </c>
    </row>
    <row r="31260" spans="1:6" ht="12.75">
      <c r="A31260" s="2">
        <v>43875.514317129629</v>
      </c>
      <c r="B31260" t="str">
        <f>HYPERLINK("https://twitter.com/KEZIAAM0UR","@KEZIAAM0UR")</f>
        <v>@KEZIAAM0UR</v>
      </c>
      <c r="C31260" t="s">
        <v>13129</v>
      </c>
      <c r="D31260">
        <v>0</v>
      </c>
      <c r="E31260">
        <v>0</v>
      </c>
      <c r="F31260">
        <v>99</v>
      </c>
    </row>
    <row r="31261" spans="1:6" ht="12.75">
      <c r="A31261" s="2">
        <v>43875.51427083333</v>
      </c>
      <c r="B31261" t="str">
        <f>HYPERLINK("https://twitter.com/DM_050718","@DM_050718")</f>
        <v>@DM_050718</v>
      </c>
      <c r="C31261" t="s">
        <v>9746</v>
      </c>
      <c r="D31261">
        <v>96</v>
      </c>
      <c r="E31261">
        <v>0</v>
      </c>
      <c r="F31261">
        <v>1882</v>
      </c>
    </row>
    <row r="31262" spans="1:6" ht="12.75">
      <c r="A31262" s="2">
        <v>43875.514201388884</v>
      </c>
      <c r="B31262" t="str">
        <f>HYPERLINK("https://twitter.com/natberkicau","@natberkicau")</f>
        <v>@natberkicau</v>
      </c>
      <c r="C31262" t="s">
        <v>175</v>
      </c>
      <c r="D31262">
        <v>5259</v>
      </c>
      <c r="E31262">
        <v>0</v>
      </c>
      <c r="F31262">
        <v>74</v>
      </c>
    </row>
    <row r="31263" spans="1:6" ht="12.75">
      <c r="A31263" s="2">
        <v>43875.514120370368</v>
      </c>
      <c r="B31263" t="str">
        <f>HYPERLINK("https://twitter.com/yogybenji","@yogybenji")</f>
        <v>@yogybenji</v>
      </c>
      <c r="C31263" t="s">
        <v>9998</v>
      </c>
      <c r="D31263">
        <v>91</v>
      </c>
      <c r="E31263">
        <v>0</v>
      </c>
      <c r="F31263">
        <v>582</v>
      </c>
    </row>
    <row r="31264" spans="1:6" ht="12.75">
      <c r="A31264" s="2">
        <v>43875.514085648145</v>
      </c>
      <c r="B31264" t="str">
        <f>HYPERLINK("https://twitter.com/ArySidauruk","@ArySidauruk")</f>
        <v>@ArySidauruk</v>
      </c>
      <c r="C31264" t="s">
        <v>13130</v>
      </c>
      <c r="D31264">
        <v>0</v>
      </c>
      <c r="E31264">
        <v>0</v>
      </c>
      <c r="F31264">
        <v>13</v>
      </c>
    </row>
    <row r="31265" spans="1:6" ht="12.75">
      <c r="A31265" s="2">
        <v>43875.514016203699</v>
      </c>
      <c r="B31265" t="str">
        <f>HYPERLINK("https://twitter.com/Minie66040749","@Minie66040749")</f>
        <v>@Minie66040749</v>
      </c>
      <c r="C31265" t="s">
        <v>9746</v>
      </c>
      <c r="D31265">
        <v>96</v>
      </c>
      <c r="E31265">
        <v>0</v>
      </c>
      <c r="F31265">
        <v>246</v>
      </c>
    </row>
    <row r="31266" spans="1:6" ht="12.75">
      <c r="A31266" s="2">
        <v>43875.513935185183</v>
      </c>
      <c r="B31266" t="str">
        <f>HYPERLINK("https://twitter.com/CNNIDdaily","@CNNIDdaily")</f>
        <v>@CNNIDdaily</v>
      </c>
      <c r="C31266" t="s">
        <v>13131</v>
      </c>
      <c r="D31266">
        <v>1</v>
      </c>
      <c r="E31266">
        <v>10</v>
      </c>
      <c r="F31266">
        <v>115874</v>
      </c>
    </row>
    <row r="31267" spans="1:6" ht="12.75">
      <c r="A31267" s="2">
        <v>43875.51390046296</v>
      </c>
      <c r="B31267" t="str">
        <f>HYPERLINK("https://twitter.com/DreamersRadioID","@DreamersRadioID")</f>
        <v>@DreamersRadioID</v>
      </c>
      <c r="C31267" t="s">
        <v>7958</v>
      </c>
      <c r="D31267">
        <v>0</v>
      </c>
      <c r="E31267">
        <v>0</v>
      </c>
      <c r="F31267">
        <v>75568</v>
      </c>
    </row>
    <row r="31268" spans="1:6" ht="12.75">
      <c r="A31268" s="2">
        <v>43875.51390046296</v>
      </c>
      <c r="B31268" t="str">
        <f>HYPERLINK("https://twitter.com/rmol_id","@rmol_id")</f>
        <v>@rmol_id</v>
      </c>
      <c r="C31268" t="s">
        <v>13132</v>
      </c>
      <c r="D31268">
        <v>1</v>
      </c>
      <c r="E31268">
        <v>1</v>
      </c>
      <c r="F31268">
        <v>160914</v>
      </c>
    </row>
    <row r="31269" spans="1:6" ht="12.75">
      <c r="A31269" s="2">
        <v>43875.513680555552</v>
      </c>
      <c r="B31269" t="str">
        <f>HYPERLINK("https://twitter.com/syafitri_l","@syafitri_l")</f>
        <v>@syafitri_l</v>
      </c>
      <c r="C31269" t="s">
        <v>11390</v>
      </c>
      <c r="D31269">
        <v>76</v>
      </c>
      <c r="E31269">
        <v>0</v>
      </c>
      <c r="F31269">
        <v>138</v>
      </c>
    </row>
    <row r="31270" spans="1:6" ht="12.75">
      <c r="A31270" s="2">
        <v>43875.513460648144</v>
      </c>
      <c r="B31270" t="str">
        <f>HYPERLINK("https://twitter.com/misake89847474","@misake89847474")</f>
        <v>@misake89847474</v>
      </c>
      <c r="C31270" t="s">
        <v>13133</v>
      </c>
      <c r="D31270">
        <v>0</v>
      </c>
      <c r="E31270">
        <v>0</v>
      </c>
      <c r="F31270">
        <v>17</v>
      </c>
    </row>
    <row r="31271" spans="1:6" ht="12.75">
      <c r="A31271" s="2">
        <v>43875.513379629629</v>
      </c>
      <c r="B31271" t="str">
        <f>HYPERLINK("https://twitter.com/togar_ra","@togar_ra")</f>
        <v>@togar_ra</v>
      </c>
      <c r="C31271" t="s">
        <v>9746</v>
      </c>
      <c r="D31271">
        <v>96</v>
      </c>
      <c r="E31271">
        <v>0</v>
      </c>
      <c r="F31271">
        <v>431</v>
      </c>
    </row>
    <row r="31272" spans="1:6" ht="12.75">
      <c r="A31272" s="2">
        <v>43875.513344907406</v>
      </c>
      <c r="B31272" t="str">
        <f>HYPERLINK("https://twitter.com/Vivas_1074","@Vivas_1074")</f>
        <v>@Vivas_1074</v>
      </c>
      <c r="C31272" t="s">
        <v>13134</v>
      </c>
      <c r="D31272">
        <v>0</v>
      </c>
      <c r="E31272">
        <v>0</v>
      </c>
      <c r="F31272">
        <v>1082</v>
      </c>
    </row>
    <row r="31273" spans="1:6" ht="12.75">
      <c r="A31273" s="2">
        <v>43875.51326388889</v>
      </c>
      <c r="B31273" t="str">
        <f>HYPERLINK("https://twitter.com/mdirhamw","@mdirhamw")</f>
        <v>@mdirhamw</v>
      </c>
      <c r="C31273" t="s">
        <v>5168</v>
      </c>
      <c r="D31273">
        <v>576</v>
      </c>
      <c r="E31273">
        <v>0</v>
      </c>
      <c r="F31273">
        <v>246</v>
      </c>
    </row>
    <row r="31274" spans="1:6" ht="12.75">
      <c r="A31274" s="2">
        <v>43875.513182870374</v>
      </c>
      <c r="B31274" t="str">
        <f>HYPERLINK("https://twitter.com/pinkindomie","@pinkindomie")</f>
        <v>@pinkindomie</v>
      </c>
      <c r="C31274" t="s">
        <v>10710</v>
      </c>
      <c r="D31274">
        <v>13</v>
      </c>
      <c r="E31274">
        <v>0</v>
      </c>
      <c r="F31274">
        <v>166</v>
      </c>
    </row>
    <row r="31275" spans="1:6" ht="12.75">
      <c r="A31275" s="2">
        <v>43875.513171296298</v>
      </c>
      <c r="B31275" t="str">
        <f>HYPERLINK("https://twitter.com/bepewe01","@bepewe01")</f>
        <v>@bepewe01</v>
      </c>
      <c r="C31275" t="s">
        <v>11087</v>
      </c>
      <c r="D31275">
        <v>9</v>
      </c>
      <c r="E31275">
        <v>0</v>
      </c>
      <c r="F31275">
        <v>74</v>
      </c>
    </row>
    <row r="31276" spans="1:6" ht="12.75">
      <c r="A31276" s="2">
        <v>43875.512974537036</v>
      </c>
      <c r="B31276" t="str">
        <f>HYPERLINK("https://twitter.com/DParSi1","@DParSi1")</f>
        <v>@DParSi1</v>
      </c>
      <c r="C31276" t="s">
        <v>13135</v>
      </c>
      <c r="D31276">
        <v>0</v>
      </c>
      <c r="E31276">
        <v>1</v>
      </c>
      <c r="F31276">
        <v>21</v>
      </c>
    </row>
    <row r="31277" spans="1:6" ht="12.75">
      <c r="A31277" s="2">
        <v>43875.51295138889</v>
      </c>
      <c r="B31277" t="str">
        <f>HYPERLINK("https://twitter.com/Suwarno906","@Suwarno906")</f>
        <v>@Suwarno906</v>
      </c>
      <c r="C31277" t="s">
        <v>2144</v>
      </c>
      <c r="D31277">
        <v>65</v>
      </c>
      <c r="E31277">
        <v>0</v>
      </c>
      <c r="F31277">
        <v>462</v>
      </c>
    </row>
    <row r="31278" spans="1:6" ht="12.75">
      <c r="A31278" s="2">
        <v>43875.51284722222</v>
      </c>
      <c r="B31278" t="str">
        <f>HYPERLINK("https://twitter.com/nicolaslkh","@nicolaslkh")</f>
        <v>@nicolaslkh</v>
      </c>
      <c r="C31278" t="s">
        <v>13136</v>
      </c>
      <c r="D31278">
        <v>0</v>
      </c>
      <c r="E31278">
        <v>0</v>
      </c>
      <c r="F31278">
        <v>384</v>
      </c>
    </row>
    <row r="31279" spans="1:6" ht="12.75">
      <c r="A31279" s="2">
        <v>43875.512812500005</v>
      </c>
      <c r="B31279" t="str">
        <f>HYPERLINK("https://twitter.com/akuikibutoijo","@akuikibutoijo")</f>
        <v>@akuikibutoijo</v>
      </c>
      <c r="C31279" t="s">
        <v>13137</v>
      </c>
      <c r="D31279">
        <v>0</v>
      </c>
      <c r="E31279">
        <v>0</v>
      </c>
      <c r="F31279">
        <v>106</v>
      </c>
    </row>
    <row r="31280" spans="1:6" ht="12.75">
      <c r="A31280" s="2">
        <v>43875.512800925921</v>
      </c>
      <c r="B31280" t="str">
        <f>HYPERLINK("https://twitter.com/BimoMangkulang1","@BimoMangkulang1")</f>
        <v>@BimoMangkulang1</v>
      </c>
      <c r="C31280" t="s">
        <v>11425</v>
      </c>
      <c r="D31280">
        <v>218</v>
      </c>
      <c r="E31280">
        <v>0</v>
      </c>
      <c r="F31280">
        <v>285</v>
      </c>
    </row>
    <row r="31281" spans="1:6" ht="12.75">
      <c r="A31281" s="2">
        <v>43875.512789351851</v>
      </c>
      <c r="B31281" t="str">
        <f>HYPERLINK("https://twitter.com/Ana_Ind","@Ana_Ind")</f>
        <v>@Ana_Ind</v>
      </c>
      <c r="C31281" t="s">
        <v>2963</v>
      </c>
      <c r="D31281">
        <v>766</v>
      </c>
      <c r="E31281">
        <v>0</v>
      </c>
      <c r="F31281">
        <v>32</v>
      </c>
    </row>
    <row r="31282" spans="1:6" ht="12.75">
      <c r="A31282" s="2">
        <v>43875.512789351851</v>
      </c>
      <c r="B31282" t="str">
        <f>HYPERLINK("https://twitter.com/oppie30560071","@oppie30560071")</f>
        <v>@oppie30560071</v>
      </c>
      <c r="C31282" t="s">
        <v>8233</v>
      </c>
      <c r="D31282">
        <v>403</v>
      </c>
      <c r="E31282">
        <v>0</v>
      </c>
      <c r="F31282">
        <v>341</v>
      </c>
    </row>
    <row r="31283" spans="1:6" ht="12.75">
      <c r="A31283" s="2">
        <v>43875.512766203705</v>
      </c>
      <c r="B31283" t="str">
        <f>HYPERLINK("https://twitter.com/misake89847474","@misake89847474")</f>
        <v>@misake89847474</v>
      </c>
      <c r="C31283" t="s">
        <v>13138</v>
      </c>
      <c r="D31283">
        <v>0</v>
      </c>
      <c r="E31283">
        <v>0</v>
      </c>
      <c r="F31283">
        <v>17</v>
      </c>
    </row>
    <row r="31284" spans="1:6" ht="12.75">
      <c r="A31284" s="2">
        <v>43875.512766203705</v>
      </c>
      <c r="B31284" t="str">
        <f>HYPERLINK("https://twitter.com/elvaeh","@elvaeh")</f>
        <v>@elvaeh</v>
      </c>
      <c r="C31284" t="s">
        <v>13139</v>
      </c>
      <c r="D31284">
        <v>2</v>
      </c>
      <c r="E31284">
        <v>0</v>
      </c>
      <c r="F31284">
        <v>586</v>
      </c>
    </row>
    <row r="31285" spans="1:6" ht="12.75">
      <c r="A31285" s="2">
        <v>43875.512719907405</v>
      </c>
      <c r="B31285" t="str">
        <f>HYPERLINK("https://twitter.com/abisatyaWS","@abisatyaWS")</f>
        <v>@abisatyaWS</v>
      </c>
      <c r="C31285" t="s">
        <v>13140</v>
      </c>
      <c r="D31285">
        <v>0</v>
      </c>
      <c r="E31285">
        <v>0</v>
      </c>
      <c r="F31285">
        <v>348</v>
      </c>
    </row>
    <row r="31286" spans="1:6" ht="12.75">
      <c r="A31286" s="2">
        <v>43875.512696759259</v>
      </c>
      <c r="B31286" t="str">
        <f>HYPERLINK("https://twitter.com/couldevy","@couldevy")</f>
        <v>@couldevy</v>
      </c>
      <c r="C31286" t="s">
        <v>2444</v>
      </c>
      <c r="D31286">
        <v>698</v>
      </c>
      <c r="E31286">
        <v>0</v>
      </c>
      <c r="F31286">
        <v>501</v>
      </c>
    </row>
    <row r="31287" spans="1:6" ht="12.75">
      <c r="A31287" s="2">
        <v>43875.512638888889</v>
      </c>
      <c r="B31287" t="str">
        <f>HYPERLINK("https://twitter.com/arinyNTA","@arinyNTA")</f>
        <v>@arinyNTA</v>
      </c>
      <c r="C31287" t="s">
        <v>13141</v>
      </c>
      <c r="D31287">
        <v>0</v>
      </c>
      <c r="E31287">
        <v>0</v>
      </c>
      <c r="F31287">
        <v>327</v>
      </c>
    </row>
    <row r="31288" spans="1:6" ht="12.75">
      <c r="A31288" s="2">
        <v>43875.51262731482</v>
      </c>
      <c r="B31288" t="str">
        <f>HYPERLINK("https://twitter.com/Trisborneo1982","@Trisborneo1982")</f>
        <v>@Trisborneo1982</v>
      </c>
      <c r="C31288" t="s">
        <v>13142</v>
      </c>
      <c r="D31288">
        <v>0</v>
      </c>
      <c r="E31288">
        <v>0</v>
      </c>
      <c r="F31288">
        <v>15</v>
      </c>
    </row>
    <row r="31289" spans="1:6" ht="12.75">
      <c r="A31289" s="2">
        <v>43875.51258101852</v>
      </c>
      <c r="B31289" t="str">
        <f>HYPERLINK("https://twitter.com/NormanAhmad6","@NormanAhmad6")</f>
        <v>@NormanAhmad6</v>
      </c>
      <c r="C31289" t="s">
        <v>10032</v>
      </c>
      <c r="D31289">
        <v>32</v>
      </c>
      <c r="E31289">
        <v>0</v>
      </c>
      <c r="F31289">
        <v>1141</v>
      </c>
    </row>
    <row r="31290" spans="1:6" ht="12.75">
      <c r="A31290" s="2">
        <v>43875.512372685189</v>
      </c>
      <c r="B31290" t="str">
        <f>HYPERLINK("https://twitter.com/attossssss","@attossssss")</f>
        <v>@attossssss</v>
      </c>
      <c r="C31290" t="s">
        <v>2122</v>
      </c>
      <c r="D31290">
        <v>196</v>
      </c>
      <c r="E31290">
        <v>0</v>
      </c>
      <c r="F31290">
        <v>86</v>
      </c>
    </row>
    <row r="31291" spans="1:6" ht="12.75">
      <c r="A31291" s="2">
        <v>43875.512303240743</v>
      </c>
      <c r="B31291" t="str">
        <f>HYPERLINK("https://twitter.com/deitysgiftia","@deitysgiftia")</f>
        <v>@deitysgiftia</v>
      </c>
      <c r="C31291" t="s">
        <v>13143</v>
      </c>
      <c r="D31291">
        <v>0</v>
      </c>
      <c r="E31291">
        <v>0</v>
      </c>
      <c r="F31291">
        <v>54</v>
      </c>
    </row>
    <row r="31292" spans="1:6" ht="12.75">
      <c r="A31292" s="2">
        <v>43875.512222222227</v>
      </c>
      <c r="B31292" t="str">
        <f>HYPERLINK("https://twitter.com/Metro_TV","@Metro_TV")</f>
        <v>@Metro_TV</v>
      </c>
      <c r="C31292" t="s">
        <v>9971</v>
      </c>
      <c r="D31292">
        <v>2</v>
      </c>
      <c r="E31292">
        <v>0</v>
      </c>
      <c r="F31292">
        <v>10509030</v>
      </c>
    </row>
    <row r="31293" spans="1:6" ht="12.75">
      <c r="A31293" s="2">
        <v>43875.512083333335</v>
      </c>
      <c r="B31293" t="str">
        <f>HYPERLINK("https://twitter.com/banjoool","@banjoool")</f>
        <v>@banjoool</v>
      </c>
      <c r="C31293" t="s">
        <v>13144</v>
      </c>
      <c r="D31293">
        <v>0</v>
      </c>
      <c r="E31293">
        <v>0</v>
      </c>
      <c r="F31293">
        <v>2</v>
      </c>
    </row>
    <row r="31294" spans="1:6" ht="12.75">
      <c r="A31294" s="2">
        <v>43875.512002314819</v>
      </c>
      <c r="B31294" t="str">
        <f>HYPERLINK("https://twitter.com/PRIHONGGO","@PRIHONGGO")</f>
        <v>@PRIHONGGO</v>
      </c>
      <c r="C31294" t="s">
        <v>13145</v>
      </c>
      <c r="D31294">
        <v>0</v>
      </c>
      <c r="E31294">
        <v>0</v>
      </c>
      <c r="F31294">
        <v>1025</v>
      </c>
    </row>
    <row r="31295" spans="1:6" ht="12.75">
      <c r="A31295" s="2">
        <v>43875.511979166666</v>
      </c>
      <c r="B31295" t="str">
        <f>HYPERLINK("https://twitter.com/innaIillahi","@innaIillahi")</f>
        <v>@innaIillahi</v>
      </c>
      <c r="C31295" t="s">
        <v>175</v>
      </c>
      <c r="D31295">
        <v>5259</v>
      </c>
      <c r="E31295">
        <v>0</v>
      </c>
      <c r="F31295">
        <v>10911</v>
      </c>
    </row>
    <row r="31296" spans="1:6" ht="12.75">
      <c r="A31296" s="2">
        <v>43875.51189814815</v>
      </c>
      <c r="B31296" t="str">
        <f>HYPERLINK("https://twitter.com/bertamasha","@bertamasha")</f>
        <v>@bertamasha</v>
      </c>
      <c r="C31296" t="s">
        <v>2444</v>
      </c>
      <c r="D31296">
        <v>698</v>
      </c>
      <c r="E31296">
        <v>0</v>
      </c>
      <c r="F31296">
        <v>45</v>
      </c>
    </row>
    <row r="31297" spans="1:6" ht="12.75">
      <c r="A31297" s="2">
        <v>43875.511863425927</v>
      </c>
      <c r="B31297" t="str">
        <f>HYPERLINK("https://twitter.com/misake89847474","@misake89847474")</f>
        <v>@misake89847474</v>
      </c>
      <c r="C31297" t="s">
        <v>13146</v>
      </c>
      <c r="D31297">
        <v>0</v>
      </c>
      <c r="E31297">
        <v>0</v>
      </c>
      <c r="F31297">
        <v>17</v>
      </c>
    </row>
    <row r="31298" spans="1:6" ht="12.75">
      <c r="A31298" s="2">
        <v>43875.511828703704</v>
      </c>
      <c r="B31298" t="str">
        <f>HYPERLINK("https://twitter.com/saddamaptr","@saddamaptr")</f>
        <v>@saddamaptr</v>
      </c>
      <c r="C31298" t="s">
        <v>9067</v>
      </c>
      <c r="D31298">
        <v>1</v>
      </c>
      <c r="E31298">
        <v>0</v>
      </c>
      <c r="F31298">
        <v>623</v>
      </c>
    </row>
    <row r="31299" spans="1:6" ht="12.75">
      <c r="A31299" s="2">
        <v>43875.511828703704</v>
      </c>
      <c r="B31299" t="str">
        <f>HYPERLINK("https://twitter.com/okezonenews","@okezonenews")</f>
        <v>@okezonenews</v>
      </c>
      <c r="C31299" t="s">
        <v>13147</v>
      </c>
      <c r="D31299">
        <v>0</v>
      </c>
      <c r="E31299">
        <v>0</v>
      </c>
      <c r="F31299">
        <v>1743730</v>
      </c>
    </row>
    <row r="31300" spans="1:6" ht="12.75">
      <c r="A31300" s="2">
        <v>43875.51153935185</v>
      </c>
      <c r="B31300" t="str">
        <f>HYPERLINK("https://twitter.com/kominfo_jtg","@kominfo_jtg")</f>
        <v>@kominfo_jtg</v>
      </c>
      <c r="C31300" t="s">
        <v>13148</v>
      </c>
      <c r="D31300">
        <v>0</v>
      </c>
      <c r="E31300">
        <v>1</v>
      </c>
      <c r="F31300">
        <v>27887</v>
      </c>
    </row>
    <row r="31301" spans="1:6" ht="12.75">
      <c r="A31301" s="2">
        <v>43875.511446759258</v>
      </c>
      <c r="B31301" t="str">
        <f>HYPERLINK("https://twitter.com/PrideIndonesia","@PrideIndonesia")</f>
        <v>@PrideIndonesia</v>
      </c>
      <c r="C31301" t="s">
        <v>12845</v>
      </c>
      <c r="D31301">
        <v>42</v>
      </c>
      <c r="E31301">
        <v>0</v>
      </c>
      <c r="F31301">
        <v>847</v>
      </c>
    </row>
    <row r="31302" spans="1:6" ht="12.75">
      <c r="A31302" s="2">
        <v>43875.511377314819</v>
      </c>
      <c r="B31302" t="str">
        <f>HYPERLINK("https://twitter.com/SDeanty","@SDeanty")</f>
        <v>@SDeanty</v>
      </c>
      <c r="C31302" t="s">
        <v>2110</v>
      </c>
      <c r="D31302">
        <v>30</v>
      </c>
      <c r="E31302">
        <v>0</v>
      </c>
      <c r="F31302">
        <v>241</v>
      </c>
    </row>
    <row r="31303" spans="1:6" ht="12.75">
      <c r="A31303" s="2">
        <v>43875.511284722219</v>
      </c>
      <c r="B31303" t="str">
        <f>HYPERLINK("https://twitter.com/szrbsz","@szrbsz")</f>
        <v>@szrbsz</v>
      </c>
      <c r="C31303" t="s">
        <v>13149</v>
      </c>
      <c r="D31303">
        <v>0</v>
      </c>
      <c r="E31303">
        <v>2</v>
      </c>
      <c r="F31303">
        <v>1548</v>
      </c>
    </row>
    <row r="31304" spans="1:6" ht="12.75">
      <c r="A31304" s="2">
        <v>43875.511226851857</v>
      </c>
      <c r="B31304" t="str">
        <f>HYPERLINK("https://twitter.com/KhudhaifahAhmad","@KhudhaifahAhmad")</f>
        <v>@KhudhaifahAhmad</v>
      </c>
      <c r="C31304" t="s">
        <v>10237</v>
      </c>
      <c r="D31304">
        <v>38</v>
      </c>
      <c r="E31304">
        <v>0</v>
      </c>
      <c r="F31304">
        <v>63</v>
      </c>
    </row>
    <row r="31305" spans="1:6" ht="12.75">
      <c r="A31305" s="2">
        <v>43875.511192129634</v>
      </c>
      <c r="B31305" t="str">
        <f>HYPERLINK("https://twitter.com/BGaber62","@BGaber62")</f>
        <v>@BGaber62</v>
      </c>
      <c r="C31305" t="s">
        <v>13150</v>
      </c>
      <c r="D31305">
        <v>0</v>
      </c>
      <c r="E31305">
        <v>0</v>
      </c>
      <c r="F31305">
        <v>158</v>
      </c>
    </row>
    <row r="31306" spans="1:6" ht="12.75">
      <c r="A31306" s="2">
        <v>43875.511145833334</v>
      </c>
      <c r="B31306" t="str">
        <f>HYPERLINK("https://twitter.com/primasari991","@primasari991")</f>
        <v>@primasari991</v>
      </c>
      <c r="C31306" t="s">
        <v>2122</v>
      </c>
      <c r="D31306">
        <v>196</v>
      </c>
      <c r="E31306">
        <v>0</v>
      </c>
      <c r="F31306">
        <v>222</v>
      </c>
    </row>
    <row r="31307" spans="1:6" ht="12.75">
      <c r="A31307" s="2">
        <v>43875.511134259257</v>
      </c>
      <c r="B31307" t="str">
        <f>HYPERLINK("https://twitter.com/republikaonline","@republikaonline")</f>
        <v>@republikaonline</v>
      </c>
      <c r="C31307" t="s">
        <v>13151</v>
      </c>
      <c r="D31307">
        <v>0</v>
      </c>
      <c r="E31307">
        <v>4</v>
      </c>
      <c r="F31307">
        <v>1210256</v>
      </c>
    </row>
    <row r="31308" spans="1:6" ht="12.75">
      <c r="A31308" s="2">
        <v>43875.510949074072</v>
      </c>
      <c r="B31308" t="str">
        <f>HYPERLINK("https://twitter.com/peachyyhun_","@peachyyhun_")</f>
        <v>@peachyyhun_</v>
      </c>
      <c r="C31308" t="s">
        <v>2444</v>
      </c>
      <c r="D31308">
        <v>698</v>
      </c>
      <c r="E31308">
        <v>0</v>
      </c>
      <c r="F31308">
        <v>89</v>
      </c>
    </row>
    <row r="31309" spans="1:6" ht="12.75">
      <c r="A31309" s="2">
        <v>43875.510949074072</v>
      </c>
      <c r="B31309" t="str">
        <f>HYPERLINK("https://twitter.com/bffb300aff02425","@bffb300aff02425")</f>
        <v>@bffb300aff02425</v>
      </c>
      <c r="C31309" t="s">
        <v>10462</v>
      </c>
      <c r="D31309">
        <v>231</v>
      </c>
      <c r="E31309">
        <v>0</v>
      </c>
      <c r="F31309">
        <v>513</v>
      </c>
    </row>
    <row r="31310" spans="1:6" ht="12.75">
      <c r="A31310" s="2">
        <v>43875.510937500003</v>
      </c>
      <c r="B31310" t="str">
        <f>HYPERLINK("https://twitter.com/marlonbrando__","@marlonbrando__")</f>
        <v>@marlonbrando__</v>
      </c>
      <c r="C31310" t="s">
        <v>13152</v>
      </c>
      <c r="D31310">
        <v>0</v>
      </c>
      <c r="E31310">
        <v>0</v>
      </c>
      <c r="F31310">
        <v>247</v>
      </c>
    </row>
    <row r="31311" spans="1:6" ht="12.75">
      <c r="A31311" s="2">
        <v>43875.510833333334</v>
      </c>
      <c r="B31311" t="str">
        <f>HYPERLINK("https://twitter.com/sniperalhambra1","@sniperalhambra1")</f>
        <v>@sniperalhambra1</v>
      </c>
      <c r="C31311" t="s">
        <v>13153</v>
      </c>
      <c r="D31311">
        <v>1</v>
      </c>
      <c r="E31311">
        <v>0</v>
      </c>
      <c r="F31311">
        <v>408</v>
      </c>
    </row>
    <row r="31312" spans="1:6" ht="12.75">
      <c r="A31312" s="2">
        <v>43875.510833333334</v>
      </c>
      <c r="B31312" t="str">
        <f>HYPERLINK("https://twitter.com/humairalifia","@humairalifia")</f>
        <v>@humairalifia</v>
      </c>
      <c r="C31312" t="s">
        <v>2444</v>
      </c>
      <c r="D31312">
        <v>698</v>
      </c>
      <c r="E31312">
        <v>0</v>
      </c>
      <c r="F31312">
        <v>388</v>
      </c>
    </row>
    <row r="31313" spans="1:6" ht="12.75">
      <c r="A31313" s="2">
        <v>43875.510833333334</v>
      </c>
      <c r="B31313" t="str">
        <f>HYPERLINK("https://twitter.com/misake89847474","@misake89847474")</f>
        <v>@misake89847474</v>
      </c>
      <c r="C31313" t="s">
        <v>13154</v>
      </c>
      <c r="D31313">
        <v>0</v>
      </c>
      <c r="E31313">
        <v>0</v>
      </c>
      <c r="F31313">
        <v>17</v>
      </c>
    </row>
    <row r="31314" spans="1:6" ht="12.75">
      <c r="A31314" s="2">
        <v>43875.510729166665</v>
      </c>
      <c r="B31314" t="str">
        <f>HYPERLINK("https://twitter.com/BimoMangkulang1","@BimoMangkulang1")</f>
        <v>@BimoMangkulang1</v>
      </c>
      <c r="C31314" t="s">
        <v>9947</v>
      </c>
      <c r="D31314">
        <v>330</v>
      </c>
      <c r="E31314">
        <v>0</v>
      </c>
      <c r="F31314">
        <v>285</v>
      </c>
    </row>
    <row r="31315" spans="1:6" ht="12.75">
      <c r="A31315" s="2">
        <v>43875.510717592595</v>
      </c>
      <c r="B31315" t="str">
        <f>HYPERLINK("https://twitter.com/bffb300aff02425","@bffb300aff02425")</f>
        <v>@bffb300aff02425</v>
      </c>
      <c r="C31315" t="s">
        <v>7411</v>
      </c>
      <c r="D31315">
        <v>140</v>
      </c>
      <c r="E31315">
        <v>0</v>
      </c>
      <c r="F31315">
        <v>513</v>
      </c>
    </row>
    <row r="31316" spans="1:6" ht="12.75">
      <c r="A31316" s="2">
        <v>43875.510636574079</v>
      </c>
      <c r="B31316" t="str">
        <f>HYPERLINK("https://twitter.com/rofiandika","@rofiandika")</f>
        <v>@rofiandika</v>
      </c>
      <c r="C31316" t="s">
        <v>13155</v>
      </c>
      <c r="D31316">
        <v>0</v>
      </c>
      <c r="E31316">
        <v>0</v>
      </c>
      <c r="F31316">
        <v>529</v>
      </c>
    </row>
    <row r="31317" spans="1:6" ht="12.75">
      <c r="A31317" s="2">
        <v>43875.51054398148</v>
      </c>
      <c r="B31317" t="str">
        <f>HYPERLINK("https://twitter.com/harakatuna","@harakatuna")</f>
        <v>@harakatuna</v>
      </c>
      <c r="C31317" t="s">
        <v>12063</v>
      </c>
      <c r="D31317">
        <v>0</v>
      </c>
      <c r="E31317">
        <v>0</v>
      </c>
      <c r="F31317">
        <v>409</v>
      </c>
    </row>
    <row r="31318" spans="1:6" ht="12.75">
      <c r="A31318" s="2">
        <v>43875.510497685187</v>
      </c>
      <c r="B31318" t="str">
        <f>HYPERLINK("https://twitter.com/sayangpenta9on","@sayangpenta9on")</f>
        <v>@sayangpenta9on</v>
      </c>
      <c r="C31318" t="s">
        <v>2444</v>
      </c>
      <c r="D31318">
        <v>698</v>
      </c>
      <c r="E31318">
        <v>0</v>
      </c>
      <c r="F31318">
        <v>290</v>
      </c>
    </row>
    <row r="31319" spans="1:6" ht="12.75">
      <c r="A31319" s="2">
        <v>43875.510462962964</v>
      </c>
      <c r="B31319" t="str">
        <f>HYPERLINK("https://twitter.com/orbitsemu","@orbitsemu")</f>
        <v>@orbitsemu</v>
      </c>
      <c r="C31319" t="s">
        <v>2444</v>
      </c>
      <c r="D31319">
        <v>698</v>
      </c>
      <c r="E31319">
        <v>0</v>
      </c>
      <c r="F31319">
        <v>30</v>
      </c>
    </row>
    <row r="31320" spans="1:6" ht="12.75">
      <c r="A31320" s="2">
        <v>43875.510462962964</v>
      </c>
      <c r="B31320" t="str">
        <f>HYPERLINK("https://twitter.com/vrilsnubia","@vrilsnubia")</f>
        <v>@vrilsnubia</v>
      </c>
      <c r="C31320" t="s">
        <v>8233</v>
      </c>
      <c r="D31320">
        <v>403</v>
      </c>
      <c r="E31320">
        <v>0</v>
      </c>
      <c r="F31320">
        <v>1597</v>
      </c>
    </row>
    <row r="31321" spans="1:6" ht="12.75">
      <c r="A31321" s="2">
        <v>43875.510428240741</v>
      </c>
      <c r="B31321" t="str">
        <f>HYPERLINK("https://twitter.com/misake89847474","@misake89847474")</f>
        <v>@misake89847474</v>
      </c>
      <c r="C31321" t="s">
        <v>13156</v>
      </c>
      <c r="D31321">
        <v>0</v>
      </c>
      <c r="E31321">
        <v>1</v>
      </c>
      <c r="F31321">
        <v>17</v>
      </c>
    </row>
    <row r="31322" spans="1:6" ht="12.75">
      <c r="A31322" s="2">
        <v>43875.510416666672</v>
      </c>
      <c r="B31322" t="str">
        <f>HYPERLINK("https://twitter.com/korantempo","@korantempo")</f>
        <v>@korantempo</v>
      </c>
      <c r="C31322" t="s">
        <v>13157</v>
      </c>
      <c r="D31322">
        <v>0</v>
      </c>
      <c r="E31322">
        <v>1</v>
      </c>
      <c r="F31322">
        <v>1745330</v>
      </c>
    </row>
    <row r="31323" spans="1:6" ht="12.75">
      <c r="A31323" s="2">
        <v>43875.510358796295</v>
      </c>
      <c r="B31323" t="str">
        <f>HYPERLINK("https://twitter.com/Sydney_whitee","@Sydney_whitee")</f>
        <v>@Sydney_whitee</v>
      </c>
      <c r="C31323" t="s">
        <v>13158</v>
      </c>
      <c r="D31323">
        <v>0</v>
      </c>
      <c r="E31323">
        <v>0</v>
      </c>
      <c r="F31323">
        <v>1062</v>
      </c>
    </row>
    <row r="31324" spans="1:6" ht="12.75">
      <c r="A31324" s="2">
        <v>43875.510324074072</v>
      </c>
      <c r="B31324" t="str">
        <f>HYPERLINK("https://twitter.com/woodznly","@woodznly")</f>
        <v>@woodznly</v>
      </c>
      <c r="C31324" t="s">
        <v>2444</v>
      </c>
      <c r="D31324">
        <v>698</v>
      </c>
      <c r="E31324">
        <v>0</v>
      </c>
      <c r="F31324">
        <v>1208</v>
      </c>
    </row>
    <row r="31325" spans="1:6" ht="12.75">
      <c r="A31325" s="2">
        <v>43875.510324074072</v>
      </c>
      <c r="B31325" t="str">
        <f>HYPERLINK("https://twitter.com/bolgem","@bolgem")</f>
        <v>@bolgem</v>
      </c>
      <c r="C31325" t="s">
        <v>8881</v>
      </c>
      <c r="D31325">
        <v>269</v>
      </c>
      <c r="E31325">
        <v>0</v>
      </c>
      <c r="F31325">
        <v>476</v>
      </c>
    </row>
    <row r="31326" spans="1:6" ht="12.75">
      <c r="A31326" s="2">
        <v>43875.510277777779</v>
      </c>
      <c r="B31326" t="str">
        <f>HYPERLINK("https://twitter.com/kominfo_jtg","@kominfo_jtg")</f>
        <v>@kominfo_jtg</v>
      </c>
      <c r="C31326" t="s">
        <v>13159</v>
      </c>
      <c r="D31326">
        <v>0</v>
      </c>
      <c r="E31326">
        <v>2</v>
      </c>
      <c r="F31326">
        <v>27887</v>
      </c>
    </row>
    <row r="31327" spans="1:6" ht="12.75">
      <c r="A31327" s="2">
        <v>43875.510219907403</v>
      </c>
      <c r="B31327" t="str">
        <f>HYPERLINK("https://twitter.com/Ben_smj","@Ben_smj")</f>
        <v>@Ben_smj</v>
      </c>
      <c r="C31327" t="s">
        <v>2444</v>
      </c>
      <c r="D31327">
        <v>698</v>
      </c>
      <c r="E31327">
        <v>0</v>
      </c>
      <c r="F31327">
        <v>98</v>
      </c>
    </row>
    <row r="31328" spans="1:6" ht="12.75">
      <c r="A31328" s="2">
        <v>43875.510208333333</v>
      </c>
      <c r="B31328" t="str">
        <f>HYPERLINK("https://twitter.com/herry_chyd","@herry_chyd")</f>
        <v>@herry_chyd</v>
      </c>
      <c r="C31328" t="s">
        <v>2963</v>
      </c>
      <c r="D31328">
        <v>766</v>
      </c>
      <c r="E31328">
        <v>0</v>
      </c>
      <c r="F31328">
        <v>303</v>
      </c>
    </row>
    <row r="31329" spans="1:6" ht="12.75">
      <c r="A31329" s="2">
        <v>43875.510185185187</v>
      </c>
      <c r="B31329" t="str">
        <f>HYPERLINK("https://twitter.com/dohbella","@dohbella")</f>
        <v>@dohbella</v>
      </c>
      <c r="C31329" t="s">
        <v>5168</v>
      </c>
      <c r="D31329">
        <v>576</v>
      </c>
      <c r="E31329">
        <v>0</v>
      </c>
      <c r="F31329">
        <v>873</v>
      </c>
    </row>
    <row r="31330" spans="1:6" ht="12.75">
      <c r="A31330" s="2">
        <v>43875.51017361111</v>
      </c>
      <c r="B31330" t="str">
        <f>HYPERLINK("https://twitter.com/iniTomcat","@iniTomcat")</f>
        <v>@iniTomcat</v>
      </c>
      <c r="C31330" t="s">
        <v>8233</v>
      </c>
      <c r="D31330">
        <v>404</v>
      </c>
      <c r="E31330">
        <v>0</v>
      </c>
      <c r="F31330">
        <v>232</v>
      </c>
    </row>
    <row r="31331" spans="1:6" ht="12.75">
      <c r="A31331" s="2">
        <v>43875.510057870371</v>
      </c>
      <c r="B31331" t="str">
        <f>HYPERLINK("https://twitter.com/mengushin","@mengushin")</f>
        <v>@mengushin</v>
      </c>
      <c r="C31331" t="s">
        <v>2444</v>
      </c>
      <c r="D31331">
        <v>698</v>
      </c>
      <c r="E31331">
        <v>0</v>
      </c>
      <c r="F31331">
        <v>537</v>
      </c>
    </row>
    <row r="31332" spans="1:6" ht="12.75">
      <c r="A31332" s="2">
        <v>43875.50981481481</v>
      </c>
      <c r="B31332" t="str">
        <f>HYPERLINK("https://twitter.com/derrypoerba","@derrypoerba")</f>
        <v>@derrypoerba</v>
      </c>
      <c r="C31332" t="s">
        <v>2444</v>
      </c>
      <c r="D31332">
        <v>698</v>
      </c>
      <c r="E31332">
        <v>0</v>
      </c>
      <c r="F31332">
        <v>696</v>
      </c>
    </row>
    <row r="31333" spans="1:6" ht="12.75">
      <c r="A31333" s="2">
        <v>43875.509710648148</v>
      </c>
      <c r="B31333" t="str">
        <f>HYPERLINK("https://twitter.com/LusiHQ","@LusiHQ")</f>
        <v>@LusiHQ</v>
      </c>
      <c r="C31333" t="s">
        <v>13160</v>
      </c>
      <c r="D31333">
        <v>0</v>
      </c>
      <c r="E31333">
        <v>4</v>
      </c>
      <c r="F31333">
        <v>17685</v>
      </c>
    </row>
    <row r="31334" spans="1:6" ht="12.75">
      <c r="A31334" s="2">
        <v>43875.509664351848</v>
      </c>
      <c r="B31334" t="str">
        <f>HYPERLINK("https://twitter.com/misake89847474","@misake89847474")</f>
        <v>@misake89847474</v>
      </c>
      <c r="C31334" t="s">
        <v>13161</v>
      </c>
      <c r="D31334">
        <v>0</v>
      </c>
      <c r="E31334">
        <v>0</v>
      </c>
      <c r="F31334">
        <v>17</v>
      </c>
    </row>
    <row r="31335" spans="1:6" ht="12.75">
      <c r="A31335" s="2">
        <v>43875.509664351848</v>
      </c>
      <c r="B31335" t="str">
        <f>HYPERLINK("https://twitter.com/Amalia_sint","@Amalia_sint")</f>
        <v>@Amalia_sint</v>
      </c>
      <c r="C31335" t="s">
        <v>10303</v>
      </c>
      <c r="D31335">
        <v>1</v>
      </c>
      <c r="E31335">
        <v>1</v>
      </c>
      <c r="F31335">
        <v>155</v>
      </c>
    </row>
    <row r="31336" spans="1:6" ht="12.75">
      <c r="A31336" s="2">
        <v>43875.509618055556</v>
      </c>
      <c r="B31336" t="str">
        <f>HYPERLINK("https://twitter.com/faini1017","@faini1017")</f>
        <v>@faini1017</v>
      </c>
      <c r="C31336" t="s">
        <v>10303</v>
      </c>
      <c r="D31336">
        <v>0</v>
      </c>
      <c r="E31336">
        <v>0</v>
      </c>
      <c r="F31336">
        <v>192</v>
      </c>
    </row>
    <row r="31337" spans="1:6" ht="12.75">
      <c r="A31337" s="2">
        <v>43875.509606481486</v>
      </c>
      <c r="B31337" t="str">
        <f>HYPERLINK("https://twitter.com/Supriad33704011","@Supriad33704011")</f>
        <v>@Supriad33704011</v>
      </c>
      <c r="C31337" t="s">
        <v>10303</v>
      </c>
      <c r="D31337">
        <v>0</v>
      </c>
      <c r="E31337">
        <v>0</v>
      </c>
      <c r="F31337">
        <v>10</v>
      </c>
    </row>
    <row r="31338" spans="1:6" ht="12.75">
      <c r="A31338" s="2">
        <v>43875.509548611109</v>
      </c>
      <c r="B31338" t="str">
        <f>HYPERLINK("https://twitter.com/nguyenengh","@nguyenengh")</f>
        <v>@nguyenengh</v>
      </c>
      <c r="C31338" t="s">
        <v>13162</v>
      </c>
      <c r="D31338">
        <v>0</v>
      </c>
      <c r="E31338">
        <v>0</v>
      </c>
      <c r="F31338">
        <v>1</v>
      </c>
    </row>
    <row r="31339" spans="1:6" ht="12.75">
      <c r="A31339" s="2">
        <v>43875.50953703704</v>
      </c>
      <c r="B31339" t="str">
        <f>HYPERLINK("https://twitter.com/tuxandbush2","@tuxandbush2")</f>
        <v>@tuxandbush2</v>
      </c>
      <c r="C31339" t="s">
        <v>9113</v>
      </c>
      <c r="D31339">
        <v>280</v>
      </c>
      <c r="E31339">
        <v>0</v>
      </c>
      <c r="F31339">
        <v>106</v>
      </c>
    </row>
    <row r="31340" spans="1:6" ht="12.75">
      <c r="A31340" s="2">
        <v>43875.509525462963</v>
      </c>
      <c r="B31340" t="str">
        <f>HYPERLINK("https://twitter.com/tephuindahouse","@tephuindahouse")</f>
        <v>@tephuindahouse</v>
      </c>
      <c r="C31340" t="s">
        <v>13163</v>
      </c>
      <c r="D31340">
        <v>0</v>
      </c>
      <c r="E31340">
        <v>0</v>
      </c>
      <c r="F31340">
        <v>148</v>
      </c>
    </row>
    <row r="31341" spans="1:6" ht="12.75">
      <c r="A31341" s="2">
        <v>43875.509351851855</v>
      </c>
      <c r="B31341" t="str">
        <f>HYPERLINK("https://twitter.com/Yhad61090993","@Yhad61090993")</f>
        <v>@Yhad61090993</v>
      </c>
      <c r="C31341" t="s">
        <v>2963</v>
      </c>
      <c r="D31341">
        <v>766</v>
      </c>
      <c r="E31341">
        <v>0</v>
      </c>
      <c r="F31341">
        <v>3327</v>
      </c>
    </row>
    <row r="31342" spans="1:6" ht="12.75">
      <c r="A31342" s="2">
        <v>43875.509351851855</v>
      </c>
      <c r="B31342" t="str">
        <f>HYPERLINK("https://twitter.com/AlvaroDeBazan2","@AlvaroDeBazan2")</f>
        <v>@AlvaroDeBazan2</v>
      </c>
      <c r="C31342" t="s">
        <v>12779</v>
      </c>
      <c r="D31342">
        <v>83</v>
      </c>
      <c r="E31342">
        <v>0</v>
      </c>
      <c r="F31342">
        <v>248</v>
      </c>
    </row>
    <row r="31343" spans="1:6" ht="12.75">
      <c r="A31343" s="2">
        <v>43875.509236111116</v>
      </c>
      <c r="B31343" t="str">
        <f>HYPERLINK("https://twitter.com/potatotie_","@potatotie_")</f>
        <v>@potatotie_</v>
      </c>
      <c r="C31343" t="s">
        <v>13164</v>
      </c>
      <c r="D31343">
        <v>0</v>
      </c>
      <c r="E31343">
        <v>0</v>
      </c>
      <c r="F31343">
        <v>657</v>
      </c>
    </row>
    <row r="31344" spans="1:6" ht="12.75">
      <c r="A31344" s="2">
        <v>43875.50916666667</v>
      </c>
      <c r="B31344" t="str">
        <f>HYPERLINK("https://twitter.com/AbdulRizal3793","@AbdulRizal3793")</f>
        <v>@AbdulRizal3793</v>
      </c>
      <c r="C31344" t="s">
        <v>5168</v>
      </c>
      <c r="D31344">
        <v>576</v>
      </c>
      <c r="E31344">
        <v>0</v>
      </c>
      <c r="F31344">
        <v>382</v>
      </c>
    </row>
    <row r="31345" spans="1:6" ht="12.75">
      <c r="A31345" s="2">
        <v>43875.509131944447</v>
      </c>
      <c r="B31345" t="str">
        <f>HYPERLINK("https://twitter.com/ObaiIdon","@ObaiIdon")</f>
        <v>@ObaiIdon</v>
      </c>
      <c r="C31345" t="s">
        <v>13165</v>
      </c>
      <c r="D31345">
        <v>1</v>
      </c>
      <c r="E31345">
        <v>0</v>
      </c>
      <c r="F31345">
        <v>181</v>
      </c>
    </row>
    <row r="31346" spans="1:6" ht="12.75">
      <c r="A31346" s="2">
        <v>43875.509004629625</v>
      </c>
      <c r="B31346" t="str">
        <f>HYPERLINK("https://twitter.com/btungka1997","@btungka1997")</f>
        <v>@btungka1997</v>
      </c>
      <c r="C31346" t="s">
        <v>8233</v>
      </c>
      <c r="D31346">
        <v>404</v>
      </c>
      <c r="E31346">
        <v>0</v>
      </c>
      <c r="F31346">
        <v>398</v>
      </c>
    </row>
    <row r="31347" spans="1:6" ht="12.75">
      <c r="A31347" s="2">
        <v>43875.508958333332</v>
      </c>
      <c r="B31347" t="str">
        <f>HYPERLINK("https://twitter.com/bungaboo","@bungaboo")</f>
        <v>@bungaboo</v>
      </c>
      <c r="C31347" t="s">
        <v>9964</v>
      </c>
      <c r="D31347">
        <v>552</v>
      </c>
      <c r="E31347">
        <v>0</v>
      </c>
      <c r="F31347">
        <v>466</v>
      </c>
    </row>
    <row r="31348" spans="1:6" ht="12.75">
      <c r="A31348" s="2">
        <v>43875.508935185186</v>
      </c>
      <c r="B31348" t="str">
        <f>HYPERLINK("https://twitter.com/ichasoe","@ichasoe")</f>
        <v>@ichasoe</v>
      </c>
      <c r="C31348" t="s">
        <v>5168</v>
      </c>
      <c r="D31348">
        <v>576</v>
      </c>
      <c r="E31348">
        <v>0</v>
      </c>
      <c r="F31348">
        <v>100</v>
      </c>
    </row>
    <row r="31349" spans="1:6" ht="12.75">
      <c r="A31349" s="2">
        <v>43875.508854166663</v>
      </c>
      <c r="B31349" t="str">
        <f>HYPERLINK("https://twitter.com/lans2610","@lans2610")</f>
        <v>@lans2610</v>
      </c>
      <c r="C31349" t="s">
        <v>10588</v>
      </c>
      <c r="D31349">
        <v>110</v>
      </c>
      <c r="E31349">
        <v>0</v>
      </c>
      <c r="F31349">
        <v>213</v>
      </c>
    </row>
    <row r="31350" spans="1:6" ht="12.75">
      <c r="A31350" s="2">
        <v>43875.508854166663</v>
      </c>
      <c r="B31350" t="str">
        <f>HYPERLINK("https://twitter.com/gadisresidu_b3","@gadisresidu_b3")</f>
        <v>@gadisresidu_b3</v>
      </c>
      <c r="C31350" t="s">
        <v>13166</v>
      </c>
      <c r="D31350">
        <v>0</v>
      </c>
      <c r="E31350">
        <v>1</v>
      </c>
      <c r="F31350">
        <v>1600</v>
      </c>
    </row>
    <row r="31351" spans="1:6" ht="12.75">
      <c r="A31351" s="2">
        <v>43875.508796296301</v>
      </c>
      <c r="B31351" t="str">
        <f>HYPERLINK("https://twitter.com/dayax_derossi","@dayax_derossi")</f>
        <v>@dayax_derossi</v>
      </c>
      <c r="C31351" t="s">
        <v>13167</v>
      </c>
      <c r="D31351">
        <v>7</v>
      </c>
      <c r="E31351">
        <v>0</v>
      </c>
      <c r="F31351">
        <v>294</v>
      </c>
    </row>
    <row r="31352" spans="1:6" ht="12.75">
      <c r="A31352" s="2">
        <v>43875.508692129632</v>
      </c>
      <c r="B31352" t="str">
        <f>HYPERLINK("https://twitter.com/oppie30560071","@oppie30560071")</f>
        <v>@oppie30560071</v>
      </c>
      <c r="C31352" t="s">
        <v>12793</v>
      </c>
      <c r="D31352">
        <v>93</v>
      </c>
      <c r="E31352">
        <v>0</v>
      </c>
      <c r="F31352">
        <v>341</v>
      </c>
    </row>
    <row r="31353" spans="1:6" ht="12.75">
      <c r="A31353" s="2">
        <v>43875.508622685185</v>
      </c>
      <c r="B31353" t="str">
        <f>HYPERLINK("https://twitter.com/Suryono46350704","@Suryono46350704")</f>
        <v>@Suryono46350704</v>
      </c>
      <c r="C31353" t="s">
        <v>10303</v>
      </c>
      <c r="D31353">
        <v>0</v>
      </c>
      <c r="E31353">
        <v>0</v>
      </c>
      <c r="F31353">
        <v>114</v>
      </c>
    </row>
    <row r="31354" spans="1:6" ht="12.75">
      <c r="A31354" s="2">
        <v>43875.508611111116</v>
      </c>
      <c r="B31354" t="str">
        <f>HYPERLINK("https://twitter.com/AliWafa0077","@AliWafa0077")</f>
        <v>@AliWafa0077</v>
      </c>
      <c r="C31354" t="s">
        <v>12312</v>
      </c>
      <c r="D31354">
        <v>12</v>
      </c>
      <c r="E31354">
        <v>0</v>
      </c>
      <c r="F31354">
        <v>55</v>
      </c>
    </row>
    <row r="31355" spans="1:6" ht="12.75">
      <c r="A31355" s="2">
        <v>43875.508611111116</v>
      </c>
      <c r="B31355" t="str">
        <f>HYPERLINK("https://twitter.com/ennyelf2","@ennyelf2")</f>
        <v>@ennyelf2</v>
      </c>
      <c r="C31355" t="s">
        <v>10291</v>
      </c>
      <c r="D31355">
        <v>10</v>
      </c>
      <c r="E31355">
        <v>0</v>
      </c>
      <c r="F31355">
        <v>304</v>
      </c>
    </row>
    <row r="31356" spans="1:6" ht="12.75">
      <c r="A31356" s="2">
        <v>43875.508587962962</v>
      </c>
      <c r="B31356" t="str">
        <f>HYPERLINK("https://twitter.com/zaenurridho","@zaenurridho")</f>
        <v>@zaenurridho</v>
      </c>
      <c r="C31356" t="s">
        <v>2144</v>
      </c>
      <c r="D31356">
        <v>65</v>
      </c>
      <c r="E31356">
        <v>0</v>
      </c>
      <c r="F31356">
        <v>131</v>
      </c>
    </row>
    <row r="31357" spans="1:6" ht="12.75">
      <c r="A31357" s="2">
        <v>43875.508576388893</v>
      </c>
      <c r="B31357" t="str">
        <f>HYPERLINK("https://twitter.com/ronagael","@ronagael")</f>
        <v>@ronagael</v>
      </c>
      <c r="C31357" t="s">
        <v>9113</v>
      </c>
      <c r="D31357">
        <v>280</v>
      </c>
      <c r="E31357">
        <v>0</v>
      </c>
      <c r="F31357">
        <v>808</v>
      </c>
    </row>
    <row r="31358" spans="1:6" ht="12.75">
      <c r="A31358" s="2">
        <v>43875.508564814816</v>
      </c>
      <c r="B31358" t="str">
        <f>HYPERLINK("https://twitter.com/tribunbatamku","@tribunbatamku")</f>
        <v>@tribunbatamku</v>
      </c>
      <c r="C31358" t="s">
        <v>13168</v>
      </c>
      <c r="D31358">
        <v>0</v>
      </c>
      <c r="E31358">
        <v>0</v>
      </c>
      <c r="F31358">
        <v>5267</v>
      </c>
    </row>
    <row r="31359" spans="1:6" ht="12.75">
      <c r="A31359" s="2">
        <v>43875.508530092593</v>
      </c>
      <c r="B31359" t="str">
        <f>HYPERLINK("https://twitter.com/bffb300aff02425","@bffb300aff02425")</f>
        <v>@bffb300aff02425</v>
      </c>
      <c r="C31359" t="s">
        <v>9947</v>
      </c>
      <c r="D31359">
        <v>330</v>
      </c>
      <c r="E31359">
        <v>0</v>
      </c>
      <c r="F31359">
        <v>513</v>
      </c>
    </row>
    <row r="31360" spans="1:6" ht="12.75">
      <c r="A31360" s="2">
        <v>43875.50849537037</v>
      </c>
      <c r="B31360" t="str">
        <f>HYPERLINK("https://twitter.com/hanamcho","@hanamcho")</f>
        <v>@hanamcho</v>
      </c>
      <c r="C31360" t="s">
        <v>2444</v>
      </c>
      <c r="D31360">
        <v>698</v>
      </c>
      <c r="E31360">
        <v>0</v>
      </c>
      <c r="F31360">
        <v>144</v>
      </c>
    </row>
    <row r="31361" spans="1:6" ht="12.75">
      <c r="A31361" s="2">
        <v>43875.508483796293</v>
      </c>
      <c r="B31361" t="str">
        <f>HYPERLINK("https://twitter.com/bpriady","@bpriady")</f>
        <v>@bpriady</v>
      </c>
      <c r="C31361" t="s">
        <v>2110</v>
      </c>
      <c r="D31361">
        <v>30</v>
      </c>
      <c r="E31361">
        <v>0</v>
      </c>
      <c r="F31361">
        <v>592</v>
      </c>
    </row>
    <row r="31362" spans="1:6" ht="12.75">
      <c r="A31362" s="2">
        <v>43875.508472222224</v>
      </c>
      <c r="B31362" t="str">
        <f>HYPERLINK("https://twitter.com/anonapostate","@anonapostate")</f>
        <v>@anonapostate</v>
      </c>
      <c r="C31362" t="s">
        <v>11394</v>
      </c>
      <c r="D31362">
        <v>23</v>
      </c>
      <c r="E31362">
        <v>0</v>
      </c>
      <c r="F31362">
        <v>278</v>
      </c>
    </row>
    <row r="31363" spans="1:6" ht="12.75">
      <c r="A31363" s="2">
        <v>43875.508460648147</v>
      </c>
      <c r="B31363" t="str">
        <f>HYPERLINK("https://twitter.com/mustofa_somad","@mustofa_somad")</f>
        <v>@mustofa_somad</v>
      </c>
      <c r="C31363" t="s">
        <v>10303</v>
      </c>
      <c r="D31363">
        <v>1</v>
      </c>
      <c r="E31363">
        <v>2</v>
      </c>
      <c r="F31363">
        <v>82</v>
      </c>
    </row>
    <row r="31364" spans="1:6" ht="12.75">
      <c r="A31364" s="2">
        <v>43875.508437500001</v>
      </c>
      <c r="B31364" t="str">
        <f>HYPERLINK("https://twitter.com/hay_yusse","@hay_yusse")</f>
        <v>@hay_yusse</v>
      </c>
      <c r="C31364" t="s">
        <v>2444</v>
      </c>
      <c r="D31364">
        <v>698</v>
      </c>
      <c r="E31364">
        <v>0</v>
      </c>
      <c r="F31364">
        <v>3156</v>
      </c>
    </row>
    <row r="31365" spans="1:6" ht="12.75">
      <c r="A31365" s="2">
        <v>43875.508425925931</v>
      </c>
      <c r="B31365" t="str">
        <f>HYPERLINK("https://twitter.com/kondekturbus_","@kondekturbus_")</f>
        <v>@kondekturbus_</v>
      </c>
      <c r="C31365" t="s">
        <v>5168</v>
      </c>
      <c r="D31365">
        <v>576</v>
      </c>
      <c r="E31365">
        <v>0</v>
      </c>
      <c r="F31365">
        <v>13846</v>
      </c>
    </row>
    <row r="31366" spans="1:6" ht="12.75">
      <c r="A31366" s="2">
        <v>43875.508391203708</v>
      </c>
      <c r="B31366" t="str">
        <f>HYPERLINK("https://twitter.com/amandagempita","@amandagempita")</f>
        <v>@amandagempita</v>
      </c>
      <c r="C31366" t="s">
        <v>13169</v>
      </c>
      <c r="D31366">
        <v>0</v>
      </c>
      <c r="E31366">
        <v>0</v>
      </c>
      <c r="F31366">
        <v>6396</v>
      </c>
    </row>
    <row r="31367" spans="1:6" ht="12.75">
      <c r="A31367" s="2">
        <v>43875.508287037039</v>
      </c>
      <c r="B31367" t="str">
        <f>HYPERLINK("https://twitter.com/Aininoer12","@Aininoer12")</f>
        <v>@Aininoer12</v>
      </c>
      <c r="C31367" t="s">
        <v>10588</v>
      </c>
      <c r="D31367">
        <v>110</v>
      </c>
      <c r="E31367">
        <v>0</v>
      </c>
      <c r="F31367">
        <v>5761</v>
      </c>
    </row>
    <row r="31368" spans="1:6" ht="12.75">
      <c r="A31368" s="2">
        <v>43875.508252314816</v>
      </c>
      <c r="B31368" t="str">
        <f>HYPERLINK("https://twitter.com/RezaMrc786","@RezaMrc786")</f>
        <v>@RezaMrc786</v>
      </c>
      <c r="C31368" t="s">
        <v>9835</v>
      </c>
      <c r="D31368">
        <v>15</v>
      </c>
      <c r="E31368">
        <v>0</v>
      </c>
      <c r="F31368">
        <v>284</v>
      </c>
    </row>
    <row r="31369" spans="1:6" ht="12.75">
      <c r="A31369" s="2">
        <v>43875.508252314816</v>
      </c>
      <c r="B31369" t="str">
        <f>HYPERLINK("https://twitter.com/voicexist","@voicexist")</f>
        <v>@voicexist</v>
      </c>
      <c r="C31369" t="s">
        <v>2444</v>
      </c>
      <c r="D31369">
        <v>698</v>
      </c>
      <c r="E31369">
        <v>0</v>
      </c>
      <c r="F31369">
        <v>983</v>
      </c>
    </row>
    <row r="31370" spans="1:6" ht="12.75">
      <c r="A31370" s="2">
        <v>43875.508206018523</v>
      </c>
      <c r="B31370" t="str">
        <f>HYPERLINK("https://twitter.com/NaraLoka1","@NaraLoka1")</f>
        <v>@NaraLoka1</v>
      </c>
      <c r="C31370" t="s">
        <v>9746</v>
      </c>
      <c r="D31370">
        <v>97</v>
      </c>
      <c r="E31370">
        <v>0</v>
      </c>
      <c r="F31370">
        <v>169</v>
      </c>
    </row>
    <row r="31371" spans="1:6" ht="12.75">
      <c r="A31371" s="2">
        <v>43875.508194444439</v>
      </c>
      <c r="B31371" t="str">
        <f>HYPERLINK("https://twitter.com/kondekturbus_","@kondekturbus_")</f>
        <v>@kondekturbus_</v>
      </c>
      <c r="C31371" t="s">
        <v>13170</v>
      </c>
      <c r="D31371">
        <v>1</v>
      </c>
      <c r="E31371">
        <v>2</v>
      </c>
      <c r="F31371">
        <v>13846</v>
      </c>
    </row>
    <row r="31372" spans="1:6" ht="12.75">
      <c r="A31372" s="2">
        <v>43875.508136574077</v>
      </c>
      <c r="B31372" t="str">
        <f>HYPERLINK("https://twitter.com/bobbyranggarez1","@bobbyranggarez1")</f>
        <v>@bobbyranggarez1</v>
      </c>
      <c r="C31372" t="s">
        <v>10462</v>
      </c>
      <c r="D31372">
        <v>231</v>
      </c>
      <c r="E31372">
        <v>0</v>
      </c>
      <c r="F31372">
        <v>22</v>
      </c>
    </row>
    <row r="31373" spans="1:6" ht="12.75">
      <c r="A31373" s="2">
        <v>43875.507986111115</v>
      </c>
      <c r="B31373" t="str">
        <f>HYPERLINK("https://twitter.com/AulindaFara","@AulindaFara")</f>
        <v>@AulindaFara</v>
      </c>
      <c r="C31373" t="s">
        <v>2110</v>
      </c>
      <c r="D31373">
        <v>30</v>
      </c>
      <c r="E31373">
        <v>0</v>
      </c>
      <c r="F31373">
        <v>225</v>
      </c>
    </row>
    <row r="31374" spans="1:6" ht="12.75">
      <c r="A31374" s="2">
        <v>43875.507986111115</v>
      </c>
      <c r="B31374" t="str">
        <f>HYPERLINK("https://twitter.com/kamilulloh","@kamilulloh")</f>
        <v>@kamilulloh</v>
      </c>
      <c r="C31374" t="s">
        <v>13171</v>
      </c>
      <c r="D31374">
        <v>1</v>
      </c>
      <c r="E31374">
        <v>0</v>
      </c>
      <c r="F31374">
        <v>228</v>
      </c>
    </row>
    <row r="31375" spans="1:6" ht="12.75">
      <c r="A31375" s="2">
        <v>43875.507951388892</v>
      </c>
      <c r="B31375" t="str">
        <f>HYPERLINK("https://twitter.com/supersyahrir","@supersyahrir")</f>
        <v>@supersyahrir</v>
      </c>
      <c r="C31375" t="s">
        <v>2444</v>
      </c>
      <c r="D31375">
        <v>698</v>
      </c>
      <c r="E31375">
        <v>0</v>
      </c>
      <c r="F31375">
        <v>729</v>
      </c>
    </row>
    <row r="31376" spans="1:6" ht="12.75">
      <c r="A31376" s="2">
        <v>43875.507951388892</v>
      </c>
      <c r="B31376" t="str">
        <f>HYPERLINK("https://twitter.com/attossssss","@attossssss")</f>
        <v>@attossssss</v>
      </c>
      <c r="C31376" t="s">
        <v>8881</v>
      </c>
      <c r="D31376">
        <v>269</v>
      </c>
      <c r="E31376">
        <v>0</v>
      </c>
      <c r="F31376">
        <v>86</v>
      </c>
    </row>
    <row r="31377" spans="1:6" ht="12.75">
      <c r="A31377" s="2">
        <v>43875.507905092592</v>
      </c>
      <c r="B31377" t="str">
        <f>HYPERLINK("https://twitter.com/annsmuti","@annsmuti")</f>
        <v>@annsmuti</v>
      </c>
      <c r="C31377" t="s">
        <v>2137</v>
      </c>
      <c r="D31377">
        <v>59</v>
      </c>
      <c r="E31377">
        <v>0</v>
      </c>
      <c r="F31377">
        <v>431</v>
      </c>
    </row>
    <row r="31378" spans="1:6" ht="12.75">
      <c r="A31378" s="2">
        <v>43875.507789351846</v>
      </c>
      <c r="B31378" t="str">
        <f>HYPERLINK("https://twitter.com/muhfebrianika_","@muhfebrianika_")</f>
        <v>@muhfebrianika_</v>
      </c>
      <c r="C31378" t="s">
        <v>9962</v>
      </c>
      <c r="D31378">
        <v>23</v>
      </c>
      <c r="E31378">
        <v>0</v>
      </c>
      <c r="F31378">
        <v>22</v>
      </c>
    </row>
    <row r="31379" spans="1:6" ht="12.75">
      <c r="A31379" s="2">
        <v>43875.507743055554</v>
      </c>
      <c r="B31379" t="str">
        <f>HYPERLINK("https://twitter.com/adjipurba","@adjipurba")</f>
        <v>@adjipurba</v>
      </c>
      <c r="C31379" t="s">
        <v>2110</v>
      </c>
      <c r="D31379">
        <v>30</v>
      </c>
      <c r="E31379">
        <v>0</v>
      </c>
      <c r="F31379">
        <v>425</v>
      </c>
    </row>
    <row r="31380" spans="1:6" ht="12.75">
      <c r="A31380" s="2">
        <v>43875.507696759261</v>
      </c>
      <c r="B31380" t="str">
        <f>HYPERLINK("https://twitter.com/Ronaldwan88","@Ronaldwan88")</f>
        <v>@Ronaldwan88</v>
      </c>
      <c r="C31380" t="s">
        <v>2110</v>
      </c>
      <c r="D31380">
        <v>30</v>
      </c>
      <c r="E31380">
        <v>0</v>
      </c>
      <c r="F31380">
        <v>681</v>
      </c>
    </row>
    <row r="31381" spans="1:6" ht="12.75">
      <c r="A31381" s="2">
        <v>43875.507592592592</v>
      </c>
      <c r="B31381" t="str">
        <f>HYPERLINK("https://twitter.com/xx_mg1997","@xx_mg1997")</f>
        <v>@xx_mg1997</v>
      </c>
      <c r="C31381" t="s">
        <v>2444</v>
      </c>
      <c r="D31381">
        <v>698</v>
      </c>
      <c r="E31381">
        <v>0</v>
      </c>
      <c r="F31381">
        <v>71</v>
      </c>
    </row>
    <row r="31382" spans="1:6" ht="12.75">
      <c r="A31382" s="2">
        <v>43875.507465277777</v>
      </c>
      <c r="B31382" t="str">
        <f>HYPERLINK("https://twitter.com/Samy12144601","@Samy12144601")</f>
        <v>@Samy12144601</v>
      </c>
      <c r="C31382" t="s">
        <v>13172</v>
      </c>
      <c r="D31382">
        <v>0</v>
      </c>
      <c r="E31382">
        <v>0</v>
      </c>
      <c r="F31382">
        <v>2</v>
      </c>
    </row>
    <row r="31383" spans="1:6" ht="12.75">
      <c r="A31383" s="2">
        <v>43875.507395833338</v>
      </c>
      <c r="B31383" t="str">
        <f>HYPERLINK("https://twitter.com/rahmatkuncoro88","@rahmatkuncoro88")</f>
        <v>@rahmatkuncoro88</v>
      </c>
      <c r="C31383" t="s">
        <v>13173</v>
      </c>
      <c r="D31383">
        <v>6</v>
      </c>
      <c r="E31383">
        <v>0</v>
      </c>
      <c r="F31383">
        <v>159</v>
      </c>
    </row>
    <row r="31384" spans="1:6" ht="12.75">
      <c r="A31384" s="2">
        <v>43875.507210648153</v>
      </c>
      <c r="B31384" t="str">
        <f>HYPERLINK("https://twitter.com/samacchiato","@samacchiato")</f>
        <v>@samacchiato</v>
      </c>
      <c r="C31384" t="s">
        <v>10710</v>
      </c>
      <c r="D31384">
        <v>13</v>
      </c>
      <c r="E31384">
        <v>0</v>
      </c>
      <c r="F31384">
        <v>202</v>
      </c>
    </row>
    <row r="31385" spans="1:6" ht="12.75">
      <c r="A31385" s="2">
        <v>43875.507199074069</v>
      </c>
      <c r="B31385" t="str">
        <f>HYPERLINK("https://twitter.com/bongol_satu","@bongol_satu")</f>
        <v>@bongol_satu</v>
      </c>
      <c r="C31385" t="s">
        <v>10121</v>
      </c>
      <c r="D31385">
        <v>171</v>
      </c>
      <c r="E31385">
        <v>0</v>
      </c>
      <c r="F31385">
        <v>247</v>
      </c>
    </row>
    <row r="31386" spans="1:6" ht="12.75">
      <c r="A31386" s="2">
        <v>43875.507106481484</v>
      </c>
      <c r="B31386" t="str">
        <f>HYPERLINK("https://twitter.com/Rayaramli","@Rayaramli")</f>
        <v>@Rayaramli</v>
      </c>
      <c r="C31386" t="s">
        <v>9998</v>
      </c>
      <c r="D31386">
        <v>91</v>
      </c>
      <c r="E31386">
        <v>0</v>
      </c>
      <c r="F31386">
        <v>116</v>
      </c>
    </row>
    <row r="31387" spans="1:6" ht="12.75">
      <c r="A31387" s="2">
        <v>43875.507060185184</v>
      </c>
      <c r="B31387" t="str">
        <f>HYPERLINK("https://twitter.com/ManitoSophia","@ManitoSophia")</f>
        <v>@ManitoSophia</v>
      </c>
      <c r="C31387" t="s">
        <v>13174</v>
      </c>
      <c r="D31387">
        <v>0</v>
      </c>
      <c r="E31387">
        <v>1</v>
      </c>
      <c r="F31387">
        <v>198</v>
      </c>
    </row>
    <row r="31388" spans="1:6" ht="12.75">
      <c r="A31388" s="2">
        <v>43875.507002314815</v>
      </c>
      <c r="B31388" t="str">
        <f>HYPERLINK("https://twitter.com/AlvaroDeBazan2","@AlvaroDeBazan2")</f>
        <v>@AlvaroDeBazan2</v>
      </c>
      <c r="C31388" t="s">
        <v>2110</v>
      </c>
      <c r="D31388">
        <v>30</v>
      </c>
      <c r="E31388">
        <v>0</v>
      </c>
      <c r="F31388">
        <v>248</v>
      </c>
    </row>
    <row r="31389" spans="1:6" ht="12.75">
      <c r="A31389" s="2">
        <v>43875.506967592592</v>
      </c>
      <c r="B31389" t="str">
        <f>HYPERLINK("https://twitter.com/bffb300aff02425","@bffb300aff02425")</f>
        <v>@bffb300aff02425</v>
      </c>
      <c r="C31389" t="s">
        <v>10330</v>
      </c>
      <c r="D31389">
        <v>205</v>
      </c>
      <c r="E31389">
        <v>0</v>
      </c>
      <c r="F31389">
        <v>513</v>
      </c>
    </row>
    <row r="31390" spans="1:6" ht="12.75">
      <c r="A31390" s="2">
        <v>43875.506944444445</v>
      </c>
      <c r="B31390" t="str">
        <f>HYPERLINK("https://twitter.com/da_MA_bee_YAH","@da_MA_bee_YAH")</f>
        <v>@da_MA_bee_YAH</v>
      </c>
      <c r="C31390" t="s">
        <v>12947</v>
      </c>
      <c r="D31390">
        <v>3</v>
      </c>
      <c r="E31390">
        <v>0</v>
      </c>
      <c r="F31390">
        <v>275</v>
      </c>
    </row>
    <row r="31391" spans="1:6" ht="12.75">
      <c r="A31391" s="2">
        <v>43875.506898148145</v>
      </c>
      <c r="B31391" t="str">
        <f>HYPERLINK("https://twitter.com/SetiaPadamu01","@SetiaPadamu01")</f>
        <v>@SetiaPadamu01</v>
      </c>
      <c r="C31391" t="s">
        <v>9186</v>
      </c>
      <c r="D31391">
        <v>98</v>
      </c>
      <c r="E31391">
        <v>0</v>
      </c>
      <c r="F31391">
        <v>576</v>
      </c>
    </row>
    <row r="31392" spans="1:6" ht="12.75">
      <c r="A31392" s="2">
        <v>43875.506539351853</v>
      </c>
      <c r="B31392" t="str">
        <f>HYPERLINK("https://twitter.com/Dproperty5","@Dproperty5")</f>
        <v>@Dproperty5</v>
      </c>
      <c r="C31392" t="s">
        <v>13175</v>
      </c>
      <c r="D31392">
        <v>0</v>
      </c>
      <c r="E31392">
        <v>0</v>
      </c>
      <c r="F31392">
        <v>6</v>
      </c>
    </row>
    <row r="31393" spans="1:6" ht="12.75">
      <c r="A31393" s="2">
        <v>43875.506504629629</v>
      </c>
      <c r="B31393" t="str">
        <f>HYPERLINK("https://twitter.com/andreasyulian","@andreasyulian")</f>
        <v>@andreasyulian</v>
      </c>
      <c r="C31393" t="s">
        <v>11425</v>
      </c>
      <c r="D31393">
        <v>218</v>
      </c>
      <c r="E31393">
        <v>0</v>
      </c>
      <c r="F31393">
        <v>383</v>
      </c>
    </row>
    <row r="31394" spans="1:6" ht="12.75">
      <c r="A31394" s="2">
        <v>43875.50644675926</v>
      </c>
      <c r="B31394" t="str">
        <f>HYPERLINK("https://twitter.com/SMBS_rio","@SMBS_rio")</f>
        <v>@SMBS_rio</v>
      </c>
      <c r="C31394" t="s">
        <v>13176</v>
      </c>
      <c r="D31394">
        <v>0</v>
      </c>
      <c r="E31394">
        <v>0</v>
      </c>
      <c r="F31394">
        <v>2149</v>
      </c>
    </row>
    <row r="31395" spans="1:6" ht="12.75">
      <c r="A31395" s="2">
        <v>43875.506412037037</v>
      </c>
      <c r="B31395" t="str">
        <f>HYPERLINK("https://twitter.com/FerdinandHaean2","@FerdinandHaean2")</f>
        <v>@FerdinandHaean2</v>
      </c>
      <c r="C31395" t="s">
        <v>13177</v>
      </c>
      <c r="D31395">
        <v>0</v>
      </c>
      <c r="E31395">
        <v>0</v>
      </c>
      <c r="F31395">
        <v>45842</v>
      </c>
    </row>
    <row r="31396" spans="1:6" ht="12.75">
      <c r="A31396" s="2">
        <v>43875.506412037037</v>
      </c>
      <c r="B31396" t="str">
        <f>HYPERLINK("https://twitter.com/AmoureliaP","@AmoureliaP")</f>
        <v>@AmoureliaP</v>
      </c>
      <c r="C31396" t="s">
        <v>2963</v>
      </c>
      <c r="D31396">
        <v>766</v>
      </c>
      <c r="E31396">
        <v>0</v>
      </c>
      <c r="F31396">
        <v>3</v>
      </c>
    </row>
    <row r="31397" spans="1:6" ht="12.75">
      <c r="A31397" s="2">
        <v>43875.506377314814</v>
      </c>
      <c r="B31397" t="str">
        <f>HYPERLINK("https://twitter.com/OmegaEzClap","@OmegaEzClap")</f>
        <v>@OmegaEzClap</v>
      </c>
      <c r="C31397" t="s">
        <v>13178</v>
      </c>
      <c r="D31397">
        <v>0</v>
      </c>
      <c r="E31397">
        <v>1</v>
      </c>
      <c r="F31397">
        <v>8</v>
      </c>
    </row>
    <row r="31398" spans="1:6" ht="12.75">
      <c r="A31398" s="2">
        <v>43875.506354166668</v>
      </c>
      <c r="B31398" t="str">
        <f>HYPERLINK("https://twitter.com/KBRI_Kuwait","@KBRI_Kuwait")</f>
        <v>@KBRI_Kuwait</v>
      </c>
      <c r="C31398" t="s">
        <v>13179</v>
      </c>
      <c r="D31398">
        <v>0</v>
      </c>
      <c r="E31398">
        <v>0</v>
      </c>
      <c r="F31398">
        <v>2522</v>
      </c>
    </row>
    <row r="31399" spans="1:6" ht="12.75">
      <c r="A31399" s="2">
        <v>43875.506354166668</v>
      </c>
      <c r="B31399" t="str">
        <f>HYPERLINK("https://twitter.com/HariMulyawan50","@HariMulyawan50")</f>
        <v>@HariMulyawan50</v>
      </c>
      <c r="C31399" t="s">
        <v>2963</v>
      </c>
      <c r="D31399">
        <v>766</v>
      </c>
      <c r="E31399">
        <v>0</v>
      </c>
      <c r="F31399">
        <v>47</v>
      </c>
    </row>
    <row r="31400" spans="1:6" ht="12.75">
      <c r="A31400" s="2">
        <v>43875.506354166668</v>
      </c>
      <c r="B31400" t="str">
        <f>HYPERLINK("https://twitter.com/KelinciPaskah","@KelinciPaskah")</f>
        <v>@KelinciPaskah</v>
      </c>
      <c r="C31400" t="s">
        <v>2444</v>
      </c>
      <c r="D31400">
        <v>698</v>
      </c>
      <c r="E31400">
        <v>0</v>
      </c>
      <c r="F31400">
        <v>5410</v>
      </c>
    </row>
    <row r="31401" spans="1:6" ht="12.75">
      <c r="A31401" s="2">
        <v>43875.506226851852</v>
      </c>
      <c r="B31401" t="str">
        <f>HYPERLINK("https://twitter.com/Denny50457565","@Denny50457565")</f>
        <v>@Denny50457565</v>
      </c>
      <c r="C31401" t="s">
        <v>13180</v>
      </c>
      <c r="D31401">
        <v>0</v>
      </c>
      <c r="E31401">
        <v>0</v>
      </c>
      <c r="F31401">
        <v>2</v>
      </c>
    </row>
    <row r="31402" spans="1:6" ht="12.75">
      <c r="A31402" s="2">
        <v>43875.506192129629</v>
      </c>
      <c r="B31402" t="str">
        <f>HYPERLINK("https://twitter.com/AkbNouval","@AkbNouval")</f>
        <v>@AkbNouval</v>
      </c>
      <c r="C31402" t="s">
        <v>12921</v>
      </c>
      <c r="D31402">
        <v>8</v>
      </c>
      <c r="E31402">
        <v>0</v>
      </c>
      <c r="F31402">
        <v>1452</v>
      </c>
    </row>
    <row r="31403" spans="1:6" ht="12.75">
      <c r="A31403" s="2">
        <v>43875.506168981483</v>
      </c>
      <c r="B31403" t="str">
        <f>HYPERLINK("https://twitter.com/IbebFebri","@IbebFebri")</f>
        <v>@IbebFebri</v>
      </c>
      <c r="C31403" t="s">
        <v>2110</v>
      </c>
      <c r="D31403">
        <v>30</v>
      </c>
      <c r="E31403">
        <v>0</v>
      </c>
      <c r="F31403">
        <v>751</v>
      </c>
    </row>
    <row r="31404" spans="1:6" ht="12.75">
      <c r="A31404" s="2">
        <v>43875.506099537037</v>
      </c>
      <c r="B31404" t="str">
        <f>HYPERLINK("https://twitter.com/HanaRaili","@HanaRaili")</f>
        <v>@HanaRaili</v>
      </c>
      <c r="C31404" t="s">
        <v>7803</v>
      </c>
      <c r="D31404">
        <v>307</v>
      </c>
      <c r="E31404">
        <v>0</v>
      </c>
      <c r="F31404">
        <v>11</v>
      </c>
    </row>
    <row r="31405" spans="1:6" ht="12.75">
      <c r="A31405" s="2">
        <v>43875.506053240737</v>
      </c>
      <c r="B31405" t="str">
        <f>HYPERLINK("https://twitter.com/kharisx_x","@kharisx_x")</f>
        <v>@kharisx_x</v>
      </c>
      <c r="C31405" t="s">
        <v>13181</v>
      </c>
      <c r="D31405">
        <v>0</v>
      </c>
      <c r="E31405">
        <v>0</v>
      </c>
      <c r="F31405">
        <v>237</v>
      </c>
    </row>
    <row r="31406" spans="1:6" ht="12.75">
      <c r="A31406" s="2">
        <v>43875.506041666667</v>
      </c>
      <c r="B31406" t="str">
        <f>HYPERLINK("https://twitter.com/tris_julian","@tris_julian")</f>
        <v>@tris_julian</v>
      </c>
      <c r="C31406" t="s">
        <v>5168</v>
      </c>
      <c r="D31406">
        <v>576</v>
      </c>
      <c r="E31406">
        <v>0</v>
      </c>
      <c r="F31406">
        <v>397</v>
      </c>
    </row>
    <row r="31407" spans="1:6" ht="12.75">
      <c r="A31407" s="2">
        <v>43875.505960648152</v>
      </c>
      <c r="B31407" t="str">
        <f>HYPERLINK("https://twitter.com/KompasTV","@KompasTV")</f>
        <v>@KompasTV</v>
      </c>
      <c r="C31407" t="s">
        <v>13182</v>
      </c>
      <c r="D31407">
        <v>1</v>
      </c>
      <c r="E31407">
        <v>8</v>
      </c>
      <c r="F31407">
        <v>2941082</v>
      </c>
    </row>
    <row r="31408" spans="1:6" ht="12.75">
      <c r="A31408" s="2">
        <v>43875.505937499998</v>
      </c>
      <c r="B31408" t="str">
        <f>HYPERLINK("https://twitter.com/kompascom","@kompascom")</f>
        <v>@kompascom</v>
      </c>
      <c r="C31408" t="s">
        <v>13183</v>
      </c>
      <c r="D31408">
        <v>0</v>
      </c>
      <c r="E31408">
        <v>1</v>
      </c>
      <c r="F31408">
        <v>7497434</v>
      </c>
    </row>
    <row r="31409" spans="1:6" ht="12.75">
      <c r="A31409" s="2">
        <v>43875.505914351852</v>
      </c>
      <c r="B31409" t="str">
        <f>HYPERLINK("https://twitter.com/diego_bay","@diego_bay")</f>
        <v>@diego_bay</v>
      </c>
      <c r="C31409" t="s">
        <v>9964</v>
      </c>
      <c r="D31409">
        <v>552</v>
      </c>
      <c r="E31409">
        <v>0</v>
      </c>
      <c r="F31409">
        <v>113</v>
      </c>
    </row>
    <row r="31410" spans="1:6" ht="12.75">
      <c r="A31410" s="2">
        <v>43875.505856481483</v>
      </c>
      <c r="B31410" t="str">
        <f>HYPERLINK("https://twitter.com/adindarizaa","@adindarizaa")</f>
        <v>@adindarizaa</v>
      </c>
      <c r="C31410" t="s">
        <v>2444</v>
      </c>
      <c r="D31410">
        <v>698</v>
      </c>
      <c r="E31410">
        <v>0</v>
      </c>
      <c r="F31410">
        <v>454</v>
      </c>
    </row>
    <row r="31411" spans="1:6" ht="12.75">
      <c r="A31411" s="2">
        <v>43875.505706018521</v>
      </c>
      <c r="B31411" t="str">
        <f>HYPERLINK("https://twitter.com/nadyanoer_","@nadyanoer_")</f>
        <v>@nadyanoer_</v>
      </c>
      <c r="C31411" t="s">
        <v>2444</v>
      </c>
      <c r="D31411">
        <v>698</v>
      </c>
      <c r="E31411">
        <v>0</v>
      </c>
      <c r="F31411">
        <v>147</v>
      </c>
    </row>
    <row r="31412" spans="1:6" ht="12.75">
      <c r="A31412" s="2">
        <v>43875.505671296298</v>
      </c>
      <c r="B31412" t="str">
        <f>HYPERLINK("https://twitter.com/MFikriZaki","@MFikriZaki")</f>
        <v>@MFikriZaki</v>
      </c>
      <c r="C31412" t="s">
        <v>13184</v>
      </c>
      <c r="D31412">
        <v>0</v>
      </c>
      <c r="E31412">
        <v>0</v>
      </c>
      <c r="F31412">
        <v>399</v>
      </c>
    </row>
    <row r="31413" spans="1:6" ht="12.75">
      <c r="A31413" s="2">
        <v>43875.505601851852</v>
      </c>
      <c r="B31413" t="str">
        <f>HYPERLINK("https://twitter.com/ObaiIdon","@ObaiIdon")</f>
        <v>@ObaiIdon</v>
      </c>
      <c r="C31413" t="s">
        <v>10032</v>
      </c>
      <c r="D31413">
        <v>32</v>
      </c>
      <c r="E31413">
        <v>0</v>
      </c>
      <c r="F31413">
        <v>181</v>
      </c>
    </row>
    <row r="31414" spans="1:6" ht="12.75">
      <c r="A31414" s="2">
        <v>43875.505543981482</v>
      </c>
      <c r="B31414" t="str">
        <f>HYPERLINK("https://twitter.com/___nasigoreng","@___nasigoreng")</f>
        <v>@___nasigoreng</v>
      </c>
      <c r="C31414" t="s">
        <v>2137</v>
      </c>
      <c r="D31414">
        <v>59</v>
      </c>
      <c r="E31414">
        <v>0</v>
      </c>
      <c r="F31414">
        <v>635</v>
      </c>
    </row>
    <row r="31415" spans="1:6" ht="12.75">
      <c r="A31415" s="2">
        <v>43875.505405092597</v>
      </c>
      <c r="B31415" t="str">
        <f>HYPERLINK("https://twitter.com/converelse","@converelse")</f>
        <v>@converelse</v>
      </c>
      <c r="C31415" t="s">
        <v>5168</v>
      </c>
      <c r="D31415">
        <v>576</v>
      </c>
      <c r="E31415">
        <v>0</v>
      </c>
      <c r="F31415">
        <v>446</v>
      </c>
    </row>
    <row r="31416" spans="1:6" ht="12.75">
      <c r="A31416" s="2">
        <v>43875.505381944444</v>
      </c>
      <c r="B31416" t="str">
        <f>HYPERLINK("https://twitter.com/IntanNu27007075","@IntanNu27007075")</f>
        <v>@IntanNu27007075</v>
      </c>
      <c r="C31416" t="s">
        <v>11390</v>
      </c>
      <c r="D31416">
        <v>76</v>
      </c>
      <c r="E31416">
        <v>0</v>
      </c>
      <c r="F31416">
        <v>100</v>
      </c>
    </row>
    <row r="31417" spans="1:6" ht="12.75">
      <c r="A31417" s="2">
        <v>43875.505347222221</v>
      </c>
      <c r="B31417" t="str">
        <f>HYPERLINK("https://twitter.com/AlthofGhulam","@AlthofGhulam")</f>
        <v>@AlthofGhulam</v>
      </c>
      <c r="C31417" t="s">
        <v>2963</v>
      </c>
      <c r="D31417">
        <v>766</v>
      </c>
      <c r="E31417">
        <v>0</v>
      </c>
      <c r="F31417">
        <v>91</v>
      </c>
    </row>
    <row r="31418" spans="1:6" ht="12.75">
      <c r="A31418" s="2">
        <v>43875.505254629628</v>
      </c>
      <c r="B31418" t="str">
        <f>HYPERLINK("https://twitter.com/prasetycio","@prasetycio")</f>
        <v>@prasetycio</v>
      </c>
      <c r="C31418" t="s">
        <v>12947</v>
      </c>
      <c r="D31418">
        <v>3</v>
      </c>
      <c r="E31418">
        <v>0</v>
      </c>
      <c r="F31418">
        <v>359</v>
      </c>
    </row>
    <row r="31419" spans="1:6" ht="12.75">
      <c r="A31419" s="2">
        <v>43875.505219907413</v>
      </c>
      <c r="B31419" t="str">
        <f>HYPERLINK("https://twitter.com/erniS1909","@erniS1909")</f>
        <v>@erniS1909</v>
      </c>
      <c r="C31419" t="s">
        <v>13185</v>
      </c>
      <c r="D31419">
        <v>0</v>
      </c>
      <c r="E31419">
        <v>0</v>
      </c>
      <c r="F31419">
        <v>503</v>
      </c>
    </row>
    <row r="31420" spans="1:6" ht="12.75">
      <c r="A31420" s="2">
        <v>43875.50513888889</v>
      </c>
      <c r="B31420" t="str">
        <f>HYPERLINK("https://twitter.com/EAEmeline","@EAEmeline")</f>
        <v>@EAEmeline</v>
      </c>
      <c r="C31420" t="s">
        <v>5168</v>
      </c>
      <c r="D31420">
        <v>576</v>
      </c>
      <c r="E31420">
        <v>0</v>
      </c>
      <c r="F31420">
        <v>686</v>
      </c>
    </row>
    <row r="31421" spans="1:6" ht="12.75">
      <c r="A31421" s="2">
        <v>43875.505127314813</v>
      </c>
      <c r="B31421" t="str">
        <f>HYPERLINK("https://twitter.com/Verbum_Ang","@Verbum_Ang")</f>
        <v>@Verbum_Ang</v>
      </c>
      <c r="C31421" t="s">
        <v>13186</v>
      </c>
      <c r="D31421">
        <v>0</v>
      </c>
      <c r="E31421">
        <v>0</v>
      </c>
      <c r="F31421">
        <v>1403</v>
      </c>
    </row>
    <row r="31422" spans="1:6" ht="12.75">
      <c r="A31422" s="2">
        <v>43875.505127314813</v>
      </c>
      <c r="B31422" t="str">
        <f>HYPERLINK("https://twitter.com/anggihee","@anggihee")</f>
        <v>@anggihee</v>
      </c>
      <c r="C31422" t="s">
        <v>10710</v>
      </c>
      <c r="D31422">
        <v>13</v>
      </c>
      <c r="E31422">
        <v>0</v>
      </c>
      <c r="F31422">
        <v>304</v>
      </c>
    </row>
    <row r="31423" spans="1:6" ht="12.75">
      <c r="A31423" s="2">
        <v>43875.50508101852</v>
      </c>
      <c r="B31423" t="str">
        <f>HYPERLINK("https://twitter.com/rizal_alfarouqy","@rizal_alfarouqy")</f>
        <v>@rizal_alfarouqy</v>
      </c>
      <c r="C31423" t="s">
        <v>13187</v>
      </c>
      <c r="D31423">
        <v>83</v>
      </c>
      <c r="E31423">
        <v>0</v>
      </c>
      <c r="F31423">
        <v>420</v>
      </c>
    </row>
    <row r="31424" spans="1:6" ht="12.75">
      <c r="A31424" s="2">
        <v>43875.50503472222</v>
      </c>
      <c r="B31424" t="str">
        <f>HYPERLINK("https://twitter.com/hemaviton99","@hemaviton99")</f>
        <v>@hemaviton99</v>
      </c>
      <c r="C31424" t="s">
        <v>10422</v>
      </c>
      <c r="D31424">
        <v>72</v>
      </c>
      <c r="E31424">
        <v>0</v>
      </c>
      <c r="F31424">
        <v>3461</v>
      </c>
    </row>
    <row r="31425" spans="1:6" ht="12.75">
      <c r="A31425" s="2">
        <v>43875.50503472222</v>
      </c>
      <c r="B31425" t="str">
        <f>HYPERLINK("https://twitter.com/insidensi","@insidensi")</f>
        <v>@insidensi</v>
      </c>
      <c r="C31425" t="s">
        <v>2444</v>
      </c>
      <c r="D31425">
        <v>698</v>
      </c>
      <c r="E31425">
        <v>0</v>
      </c>
      <c r="F31425">
        <v>153</v>
      </c>
    </row>
    <row r="31426" spans="1:6" ht="12.75">
      <c r="A31426" s="2">
        <v>43875.505011574074</v>
      </c>
      <c r="B31426" t="str">
        <f>HYPERLINK("https://twitter.com/prasetycio","@prasetycio")</f>
        <v>@prasetycio</v>
      </c>
      <c r="C31426" t="s">
        <v>12985</v>
      </c>
      <c r="D31426">
        <v>3</v>
      </c>
      <c r="E31426">
        <v>0</v>
      </c>
      <c r="F31426">
        <v>359</v>
      </c>
    </row>
    <row r="31427" spans="1:6" ht="12.75">
      <c r="A31427" s="2">
        <v>43875.504988425921</v>
      </c>
      <c r="B31427" t="str">
        <f>HYPERLINK("https://twitter.com/avia_noer","@avia_noer")</f>
        <v>@avia_noer</v>
      </c>
      <c r="C31427" t="s">
        <v>2144</v>
      </c>
      <c r="D31427">
        <v>65</v>
      </c>
      <c r="E31427">
        <v>0</v>
      </c>
      <c r="F31427">
        <v>539</v>
      </c>
    </row>
    <row r="31428" spans="1:6" ht="12.75">
      <c r="A31428" s="2">
        <v>43875.504930555559</v>
      </c>
      <c r="B31428" t="str">
        <f>HYPERLINK("https://twitter.com/RendyMoko","@RendyMoko")</f>
        <v>@RendyMoko</v>
      </c>
      <c r="C31428" t="s">
        <v>13188</v>
      </c>
      <c r="D31428">
        <v>0</v>
      </c>
      <c r="E31428">
        <v>0</v>
      </c>
      <c r="F31428">
        <v>438</v>
      </c>
    </row>
    <row r="31429" spans="1:6" ht="12.75">
      <c r="A31429" s="2">
        <v>43875.504872685182</v>
      </c>
      <c r="B31429" t="str">
        <f>HYPERLINK("https://twitter.com/kayyyiii13","@kayyyiii13")</f>
        <v>@kayyyiii13</v>
      </c>
      <c r="C31429" t="s">
        <v>2444</v>
      </c>
      <c r="D31429">
        <v>698</v>
      </c>
      <c r="E31429">
        <v>0</v>
      </c>
      <c r="F31429">
        <v>1</v>
      </c>
    </row>
    <row r="31430" spans="1:6" ht="12.75">
      <c r="A31430" s="2">
        <v>43875.504872685182</v>
      </c>
      <c r="B31430" t="str">
        <f>HYPERLINK("https://twitter.com/Koencreng","@Koencreng")</f>
        <v>@Koencreng</v>
      </c>
      <c r="C31430" t="s">
        <v>2963</v>
      </c>
      <c r="D31430">
        <v>766</v>
      </c>
      <c r="E31430">
        <v>0</v>
      </c>
      <c r="F31430">
        <v>224</v>
      </c>
    </row>
    <row r="31431" spans="1:6" ht="12.75">
      <c r="A31431" s="2">
        <v>43875.50481481482</v>
      </c>
      <c r="B31431" t="str">
        <f>HYPERLINK("https://twitter.com/Arya29449000","@Arya29449000")</f>
        <v>@Arya29449000</v>
      </c>
      <c r="C31431" t="s">
        <v>13189</v>
      </c>
      <c r="D31431">
        <v>2</v>
      </c>
      <c r="E31431">
        <v>0</v>
      </c>
      <c r="F31431">
        <v>1410</v>
      </c>
    </row>
    <row r="31432" spans="1:6" ht="12.75">
      <c r="A31432" s="2">
        <v>43875.504756944443</v>
      </c>
      <c r="B31432" t="str">
        <f>HYPERLINK("https://twitter.com/prasetycio","@prasetycio")</f>
        <v>@prasetycio</v>
      </c>
      <c r="C31432" t="s">
        <v>12989</v>
      </c>
      <c r="D31432">
        <v>2</v>
      </c>
      <c r="E31432">
        <v>0</v>
      </c>
      <c r="F31432">
        <v>359</v>
      </c>
    </row>
    <row r="31433" spans="1:6" ht="12.75">
      <c r="A31433" s="2">
        <v>43875.504687499997</v>
      </c>
      <c r="B31433" t="str">
        <f>HYPERLINK("https://twitter.com/Ahmad_hendars","@Ahmad_hendars")</f>
        <v>@Ahmad_hendars</v>
      </c>
      <c r="C31433" t="s">
        <v>2963</v>
      </c>
      <c r="D31433">
        <v>766</v>
      </c>
      <c r="E31433">
        <v>0</v>
      </c>
      <c r="F31433">
        <v>2023</v>
      </c>
    </row>
    <row r="31434" spans="1:6" ht="12.75">
      <c r="A31434" s="2">
        <v>43875.504664351851</v>
      </c>
      <c r="B31434" t="str">
        <f>HYPERLINK("https://twitter.com/Hamka_Kdz","@Hamka_Kdz")</f>
        <v>@Hamka_Kdz</v>
      </c>
      <c r="C31434" t="s">
        <v>9746</v>
      </c>
      <c r="D31434">
        <v>97</v>
      </c>
      <c r="E31434">
        <v>0</v>
      </c>
      <c r="F31434">
        <v>2946</v>
      </c>
    </row>
    <row r="31435" spans="1:6" ht="12.75">
      <c r="A31435" s="2">
        <v>43875.504641203705</v>
      </c>
      <c r="B31435" t="str">
        <f>HYPERLINK("https://twitter.com/DODDI_F","@DODDI_F")</f>
        <v>@DODDI_F</v>
      </c>
      <c r="C31435" t="s">
        <v>9746</v>
      </c>
      <c r="D31435">
        <v>97</v>
      </c>
      <c r="E31435">
        <v>0</v>
      </c>
      <c r="F31435">
        <v>2502</v>
      </c>
    </row>
    <row r="31436" spans="1:6" ht="12.75">
      <c r="A31436" s="2">
        <v>43875.504629629635</v>
      </c>
      <c r="B31436" t="str">
        <f>HYPERLINK("https://twitter.com/whdasw","@whdasw")</f>
        <v>@whdasw</v>
      </c>
      <c r="C31436" t="s">
        <v>2444</v>
      </c>
      <c r="D31436">
        <v>698</v>
      </c>
      <c r="E31436">
        <v>0</v>
      </c>
      <c r="F31436">
        <v>22</v>
      </c>
    </row>
    <row r="31437" spans="1:6" ht="12.75">
      <c r="A31437" s="2">
        <v>43875.504560185189</v>
      </c>
      <c r="B31437" t="str">
        <f>HYPERLINK("https://twitter.com/Denny50457565","@Denny50457565")</f>
        <v>@Denny50457565</v>
      </c>
      <c r="C31437" t="s">
        <v>13190</v>
      </c>
      <c r="D31437">
        <v>0</v>
      </c>
      <c r="E31437">
        <v>0</v>
      </c>
      <c r="F31437">
        <v>2</v>
      </c>
    </row>
    <row r="31438" spans="1:6" ht="12.75">
      <c r="A31438" s="2">
        <v>43875.504548611112</v>
      </c>
      <c r="B31438" t="str">
        <f>HYPERLINK("https://twitter.com/agadaru","@agadaru")</f>
        <v>@agadaru</v>
      </c>
      <c r="C31438" t="s">
        <v>9964</v>
      </c>
      <c r="D31438">
        <v>552</v>
      </c>
      <c r="E31438">
        <v>0</v>
      </c>
      <c r="F31438">
        <v>235</v>
      </c>
    </row>
    <row r="31439" spans="1:6" ht="12.75">
      <c r="A31439" s="2">
        <v>43875.504525462966</v>
      </c>
      <c r="B31439" t="str">
        <f>HYPERLINK("https://twitter.com/mureliyana","@mureliyana")</f>
        <v>@mureliyana</v>
      </c>
      <c r="C31439" t="s">
        <v>10109</v>
      </c>
      <c r="D31439">
        <v>17</v>
      </c>
      <c r="E31439">
        <v>0</v>
      </c>
      <c r="F31439">
        <v>332</v>
      </c>
    </row>
    <row r="31440" spans="1:6" ht="12.75">
      <c r="A31440" s="2">
        <v>43875.504479166666</v>
      </c>
      <c r="B31440" t="str">
        <f>HYPERLINK("https://twitter.com/Karyono65037831","@Karyono65037831")</f>
        <v>@Karyono65037831</v>
      </c>
      <c r="C31440" t="s">
        <v>13191</v>
      </c>
      <c r="D31440">
        <v>0</v>
      </c>
      <c r="E31440">
        <v>0</v>
      </c>
      <c r="F31440">
        <v>3</v>
      </c>
    </row>
    <row r="31441" spans="1:6" ht="12.75">
      <c r="A31441" s="2">
        <v>43875.504432870366</v>
      </c>
      <c r="B31441" t="str">
        <f>HYPERLINK("https://twitter.com/NoviarSbastian","@NoviarSbastian")</f>
        <v>@NoviarSbastian</v>
      </c>
      <c r="C31441" t="s">
        <v>10531</v>
      </c>
      <c r="D31441">
        <v>96</v>
      </c>
      <c r="E31441">
        <v>0</v>
      </c>
      <c r="F31441">
        <v>155</v>
      </c>
    </row>
    <row r="31442" spans="1:6" ht="12.75">
      <c r="A31442" s="2">
        <v>43875.504363425927</v>
      </c>
      <c r="B31442" t="str">
        <f>HYPERLINK("https://twitter.com/mplsk_nana","@mplsk_nana")</f>
        <v>@mplsk_nana</v>
      </c>
      <c r="C31442" t="s">
        <v>9746</v>
      </c>
      <c r="D31442">
        <v>97</v>
      </c>
      <c r="E31442">
        <v>0</v>
      </c>
      <c r="F31442">
        <v>116</v>
      </c>
    </row>
    <row r="31443" spans="1:6" ht="12.75">
      <c r="A31443" s="2">
        <v>43875.504317129627</v>
      </c>
      <c r="B31443" t="str">
        <f>HYPERLINK("https://twitter.com/Mirzaa","@Mirzaa")</f>
        <v>@Mirzaa</v>
      </c>
      <c r="C31443" t="s">
        <v>2444</v>
      </c>
      <c r="D31443">
        <v>698</v>
      </c>
      <c r="E31443">
        <v>0</v>
      </c>
      <c r="F31443">
        <v>367</v>
      </c>
    </row>
    <row r="31444" spans="1:6" ht="12.75">
      <c r="A31444" s="2">
        <v>43875.504305555558</v>
      </c>
      <c r="B31444" t="str">
        <f>HYPERLINK("https://twitter.com/menghanyurkan","@menghanyurkan")</f>
        <v>@menghanyurkan</v>
      </c>
      <c r="C31444" t="s">
        <v>10710</v>
      </c>
      <c r="D31444">
        <v>13</v>
      </c>
      <c r="E31444">
        <v>0</v>
      </c>
      <c r="F31444">
        <v>12465</v>
      </c>
    </row>
    <row r="31445" spans="1:6" ht="12.75">
      <c r="A31445" s="2">
        <v>43875.504201388889</v>
      </c>
      <c r="B31445" t="str">
        <f>HYPERLINK("https://twitter.com/bonan_ahmed","@bonan_ahmed")</f>
        <v>@bonan_ahmed</v>
      </c>
      <c r="C31445" t="s">
        <v>2110</v>
      </c>
      <c r="D31445">
        <v>30</v>
      </c>
      <c r="E31445">
        <v>0</v>
      </c>
      <c r="F31445">
        <v>397</v>
      </c>
    </row>
    <row r="31446" spans="1:6" ht="12.75">
      <c r="A31446" s="2">
        <v>43875.504189814819</v>
      </c>
      <c r="B31446" t="str">
        <f>HYPERLINK("https://twitter.com/toedjoetiga","@toedjoetiga")</f>
        <v>@toedjoetiga</v>
      </c>
      <c r="C31446" t="s">
        <v>10291</v>
      </c>
      <c r="D31446">
        <v>10</v>
      </c>
      <c r="E31446">
        <v>0</v>
      </c>
      <c r="F31446">
        <v>1199</v>
      </c>
    </row>
    <row r="31447" spans="1:6" ht="12.75">
      <c r="A31447" s="2">
        <v>43875.504155092596</v>
      </c>
      <c r="B31447" t="str">
        <f>HYPERLINK("https://twitter.com/icantikhehehe","@icantikhehehe")</f>
        <v>@icantikhehehe</v>
      </c>
      <c r="C31447" t="s">
        <v>2137</v>
      </c>
      <c r="D31447">
        <v>59</v>
      </c>
      <c r="E31447">
        <v>0</v>
      </c>
      <c r="F31447">
        <v>56</v>
      </c>
    </row>
    <row r="31448" spans="1:6" ht="12.75">
      <c r="A31448" s="2">
        <v>43875.504155092596</v>
      </c>
      <c r="B31448" t="str">
        <f>HYPERLINK("https://twitter.com/05panji2","@05panji2")</f>
        <v>@05panji2</v>
      </c>
      <c r="C31448" t="s">
        <v>8394</v>
      </c>
      <c r="D31448">
        <v>33</v>
      </c>
      <c r="E31448">
        <v>0</v>
      </c>
      <c r="F31448">
        <v>318</v>
      </c>
    </row>
    <row r="31449" spans="1:6" ht="12.75">
      <c r="A31449" s="2">
        <v>43875.504074074073</v>
      </c>
      <c r="B31449" t="str">
        <f>HYPERLINK("https://twitter.com/maxaghie","@maxaghie")</f>
        <v>@maxaghie</v>
      </c>
      <c r="C31449" t="s">
        <v>10096</v>
      </c>
      <c r="D31449">
        <v>105</v>
      </c>
      <c r="E31449">
        <v>0</v>
      </c>
      <c r="F31449">
        <v>57</v>
      </c>
    </row>
    <row r="31450" spans="1:6" ht="12.75">
      <c r="A31450" s="2">
        <v>43875.504050925927</v>
      </c>
      <c r="B31450" t="str">
        <f>HYPERLINK("https://twitter.com/uushmeida","@uushmeida")</f>
        <v>@uushmeida</v>
      </c>
      <c r="C31450" t="s">
        <v>12180</v>
      </c>
      <c r="D31450">
        <v>26</v>
      </c>
      <c r="E31450">
        <v>0</v>
      </c>
      <c r="F31450">
        <v>382</v>
      </c>
    </row>
    <row r="31451" spans="1:6" ht="12.75">
      <c r="A31451" s="2">
        <v>43875.504016203704</v>
      </c>
      <c r="B31451" t="str">
        <f>HYPERLINK("https://twitter.com/ariefshell","@ariefshell")</f>
        <v>@ariefshell</v>
      </c>
      <c r="C31451" t="s">
        <v>9835</v>
      </c>
      <c r="D31451">
        <v>15</v>
      </c>
      <c r="E31451">
        <v>0</v>
      </c>
      <c r="F31451">
        <v>26</v>
      </c>
    </row>
    <row r="31452" spans="1:6" ht="12.75">
      <c r="A31452" s="2">
        <v>43875.50399305555</v>
      </c>
      <c r="B31452" t="str">
        <f>HYPERLINK("https://twitter.com/CKhyoga","@CKhyoga")</f>
        <v>@CKhyoga</v>
      </c>
      <c r="C31452" t="s">
        <v>8233</v>
      </c>
      <c r="D31452">
        <v>404</v>
      </c>
      <c r="E31452">
        <v>0</v>
      </c>
      <c r="F31452">
        <v>14</v>
      </c>
    </row>
    <row r="31453" spans="1:6" ht="12.75">
      <c r="A31453" s="2">
        <v>43875.503807870366</v>
      </c>
      <c r="B31453" t="str">
        <f>HYPERLINK("https://twitter.com/NoviarSbastian","@NoviarSbastian")</f>
        <v>@NoviarSbastian</v>
      </c>
      <c r="C31453" t="s">
        <v>10121</v>
      </c>
      <c r="D31453">
        <v>171</v>
      </c>
      <c r="E31453">
        <v>0</v>
      </c>
      <c r="F31453">
        <v>155</v>
      </c>
    </row>
    <row r="31454" spans="1:6" ht="12.75">
      <c r="A31454" s="2">
        <v>43875.503761574073</v>
      </c>
      <c r="B31454" t="str">
        <f>HYPERLINK("https://twitter.com/threeratno","@threeratno")</f>
        <v>@threeratno</v>
      </c>
      <c r="C31454" t="s">
        <v>13192</v>
      </c>
      <c r="D31454">
        <v>0</v>
      </c>
      <c r="E31454">
        <v>0</v>
      </c>
      <c r="F31454">
        <v>161</v>
      </c>
    </row>
    <row r="31455" spans="1:6" ht="12.75">
      <c r="A31455" s="2">
        <v>43875.503622685181</v>
      </c>
      <c r="B31455" t="str">
        <f>HYPERLINK("https://twitter.com/fahriajii","@fahriajii")</f>
        <v>@fahriajii</v>
      </c>
      <c r="C31455" t="s">
        <v>12560</v>
      </c>
      <c r="D31455">
        <v>30</v>
      </c>
      <c r="E31455">
        <v>0</v>
      </c>
      <c r="F31455">
        <v>268</v>
      </c>
    </row>
    <row r="31456" spans="1:6" ht="12.75">
      <c r="A31456" s="2">
        <v>43875.503564814819</v>
      </c>
      <c r="B31456" t="str">
        <f>HYPERLINK("https://twitter.com/Red_Sky___","@Red_Sky___")</f>
        <v>@Red_Sky___</v>
      </c>
      <c r="C31456" t="s">
        <v>8233</v>
      </c>
      <c r="D31456">
        <v>404</v>
      </c>
      <c r="E31456">
        <v>0</v>
      </c>
      <c r="F31456">
        <v>91</v>
      </c>
    </row>
    <row r="31457" spans="1:6" ht="12.75">
      <c r="A31457" s="2">
        <v>43875.503495370373</v>
      </c>
      <c r="B31457" t="str">
        <f>HYPERLINK("https://twitter.com/Ryugie_Nufus_82","@Ryugie_Nufus_82")</f>
        <v>@Ryugie_Nufus_82</v>
      </c>
      <c r="C31457" t="s">
        <v>13193</v>
      </c>
      <c r="D31457">
        <v>0</v>
      </c>
      <c r="E31457">
        <v>0</v>
      </c>
      <c r="F31457">
        <v>65</v>
      </c>
    </row>
    <row r="31458" spans="1:6" ht="12.75">
      <c r="A31458" s="2">
        <v>43875.503472222219</v>
      </c>
      <c r="B31458" t="str">
        <f>HYPERLINK("https://twitter.com/hajidputra7","@hajidputra7")</f>
        <v>@hajidputra7</v>
      </c>
      <c r="C31458" t="s">
        <v>2110</v>
      </c>
      <c r="D31458">
        <v>30</v>
      </c>
      <c r="E31458">
        <v>0</v>
      </c>
      <c r="F31458">
        <v>86</v>
      </c>
    </row>
    <row r="31459" spans="1:6" ht="12.75">
      <c r="A31459" s="2">
        <v>43875.503460648149</v>
      </c>
      <c r="B31459" t="str">
        <f>HYPERLINK("https://twitter.com/DiumahM","@DiumahM")</f>
        <v>@DiumahM</v>
      </c>
      <c r="C31459" t="s">
        <v>10330</v>
      </c>
      <c r="D31459">
        <v>205</v>
      </c>
      <c r="E31459">
        <v>0</v>
      </c>
      <c r="F31459">
        <v>48</v>
      </c>
    </row>
    <row r="31460" spans="1:6" ht="12.75">
      <c r="A31460" s="2">
        <v>43875.503414351857</v>
      </c>
      <c r="B31460" t="str">
        <f>HYPERLINK("https://twitter.com/ade_3ana","@ade_3ana")</f>
        <v>@ade_3ana</v>
      </c>
      <c r="C31460" t="s">
        <v>13194</v>
      </c>
      <c r="D31460">
        <v>0</v>
      </c>
      <c r="E31460">
        <v>0</v>
      </c>
      <c r="F31460">
        <v>113</v>
      </c>
    </row>
    <row r="31461" spans="1:6" ht="12.75">
      <c r="A31461" s="2">
        <v>43875.503368055557</v>
      </c>
      <c r="B31461" t="str">
        <f>HYPERLINK("https://twitter.com/ifthrdn","@ifthrdn")</f>
        <v>@ifthrdn</v>
      </c>
      <c r="C31461" t="s">
        <v>2110</v>
      </c>
      <c r="D31461">
        <v>30</v>
      </c>
      <c r="E31461">
        <v>0</v>
      </c>
      <c r="F31461">
        <v>1611</v>
      </c>
    </row>
    <row r="31462" spans="1:6" ht="12.75">
      <c r="A31462" s="2">
        <v>43875.503333333334</v>
      </c>
      <c r="B31462" t="str">
        <f>HYPERLINK("https://twitter.com/naavyyk","@naavyyk")</f>
        <v>@naavyyk</v>
      </c>
      <c r="C31462" t="s">
        <v>2444</v>
      </c>
      <c r="D31462">
        <v>698</v>
      </c>
      <c r="E31462">
        <v>0</v>
      </c>
      <c r="F31462">
        <v>1151</v>
      </c>
    </row>
    <row r="31463" spans="1:6" ht="12.75">
      <c r="A31463" s="2">
        <v>43875.503321759257</v>
      </c>
      <c r="B31463" t="str">
        <f>HYPERLINK("https://twitter.com/Jameschris9","@Jameschris9")</f>
        <v>@Jameschris9</v>
      </c>
      <c r="C31463" t="s">
        <v>2444</v>
      </c>
      <c r="D31463">
        <v>698</v>
      </c>
      <c r="E31463">
        <v>0</v>
      </c>
      <c r="F31463">
        <v>554</v>
      </c>
    </row>
    <row r="31464" spans="1:6" ht="12.75">
      <c r="A31464" s="2">
        <v>43875.503321759257</v>
      </c>
      <c r="B31464" t="str">
        <f>HYPERLINK("https://twitter.com/adi_nufan","@adi_nufan")</f>
        <v>@adi_nufan</v>
      </c>
      <c r="C31464" t="s">
        <v>10422</v>
      </c>
      <c r="D31464">
        <v>72</v>
      </c>
      <c r="E31464">
        <v>0</v>
      </c>
      <c r="F31464">
        <v>120</v>
      </c>
    </row>
    <row r="31465" spans="1:6" ht="12.75">
      <c r="A31465" s="2">
        <v>43875.503206018519</v>
      </c>
      <c r="B31465" t="str">
        <f>HYPERLINK("https://twitter.com/joey_speed","@joey_speed")</f>
        <v>@joey_speed</v>
      </c>
      <c r="C31465" t="s">
        <v>8881</v>
      </c>
      <c r="D31465">
        <v>269</v>
      </c>
      <c r="E31465">
        <v>0</v>
      </c>
      <c r="F31465">
        <v>92</v>
      </c>
    </row>
    <row r="31466" spans="1:6" ht="12.75">
      <c r="A31466" s="2">
        <v>43875.503159722226</v>
      </c>
      <c r="B31466" t="str">
        <f>HYPERLINK("https://twitter.com/nh_dayat","@nh_dayat")</f>
        <v>@nh_dayat</v>
      </c>
      <c r="C31466" t="s">
        <v>10096</v>
      </c>
      <c r="D31466">
        <v>105</v>
      </c>
      <c r="E31466">
        <v>0</v>
      </c>
      <c r="F31466">
        <v>520</v>
      </c>
    </row>
    <row r="31467" spans="1:6" ht="12.75">
      <c r="A31467" s="2">
        <v>43875.503136574072</v>
      </c>
      <c r="B31467" t="str">
        <f>HYPERLINK("https://twitter.com/khairilbaskoro","@khairilbaskoro")</f>
        <v>@khairilbaskoro</v>
      </c>
      <c r="C31467" t="s">
        <v>5168</v>
      </c>
      <c r="D31467">
        <v>576</v>
      </c>
      <c r="E31467">
        <v>0</v>
      </c>
      <c r="F31467">
        <v>370</v>
      </c>
    </row>
    <row r="31468" spans="1:6" ht="12.75">
      <c r="A31468" s="2">
        <v>43875.503136574072</v>
      </c>
      <c r="B31468" t="str">
        <f>HYPERLINK("https://twitter.com/mutmutte","@mutmutte")</f>
        <v>@mutmutte</v>
      </c>
      <c r="C31468" t="s">
        <v>2444</v>
      </c>
      <c r="D31468">
        <v>698</v>
      </c>
      <c r="E31468">
        <v>0</v>
      </c>
      <c r="F31468">
        <v>99</v>
      </c>
    </row>
    <row r="31469" spans="1:6" ht="12.75">
      <c r="A31469" s="2">
        <v>43875.503125000003</v>
      </c>
      <c r="B31469" t="str">
        <f>HYPERLINK("https://twitter.com/fajar_ekoPras","@fajar_ekoPras")</f>
        <v>@fajar_ekoPras</v>
      </c>
      <c r="C31469" t="s">
        <v>13195</v>
      </c>
      <c r="D31469">
        <v>0</v>
      </c>
      <c r="E31469">
        <v>0</v>
      </c>
      <c r="F31469">
        <v>82</v>
      </c>
    </row>
    <row r="31470" spans="1:6" ht="12.75">
      <c r="A31470" s="2">
        <v>43875.50309027778</v>
      </c>
      <c r="B31470" t="str">
        <f>HYPERLINK("https://twitter.com/Samy12144601","@Samy12144601")</f>
        <v>@Samy12144601</v>
      </c>
      <c r="C31470" t="s">
        <v>9113</v>
      </c>
      <c r="D31470">
        <v>280</v>
      </c>
      <c r="E31470">
        <v>0</v>
      </c>
      <c r="F31470">
        <v>2</v>
      </c>
    </row>
    <row r="31471" spans="1:6" ht="12.75">
      <c r="A31471" s="2">
        <v>43875.50299768518</v>
      </c>
      <c r="B31471" t="str">
        <f>HYPERLINK("https://twitter.com/jundansatria","@jundansatria")</f>
        <v>@jundansatria</v>
      </c>
      <c r="C31471" t="s">
        <v>2444</v>
      </c>
      <c r="D31471">
        <v>698</v>
      </c>
      <c r="E31471">
        <v>0</v>
      </c>
      <c r="F31471">
        <v>190</v>
      </c>
    </row>
    <row r="31472" spans="1:6" ht="12.75">
      <c r="A31472" s="2">
        <v>43875.502951388888</v>
      </c>
      <c r="B31472" t="str">
        <f>HYPERLINK("https://twitter.com/yogi2506","@yogi2506")</f>
        <v>@yogi2506</v>
      </c>
      <c r="C31472" t="s">
        <v>2444</v>
      </c>
      <c r="D31472">
        <v>698</v>
      </c>
      <c r="E31472">
        <v>0</v>
      </c>
      <c r="F31472">
        <v>513</v>
      </c>
    </row>
    <row r="31473" spans="1:6" ht="12.75">
      <c r="A31473" s="2">
        <v>43875.502893518518</v>
      </c>
      <c r="B31473" t="str">
        <f>HYPERLINK("https://twitter.com/Lucky_L4k1","@Lucky_L4k1")</f>
        <v>@Lucky_L4k1</v>
      </c>
      <c r="C31473" t="s">
        <v>11666</v>
      </c>
      <c r="D31473">
        <v>1</v>
      </c>
      <c r="E31473">
        <v>0</v>
      </c>
      <c r="F31473">
        <v>185</v>
      </c>
    </row>
    <row r="31474" spans="1:6" ht="12.75">
      <c r="A31474" s="2">
        <v>43875.502847222218</v>
      </c>
      <c r="B31474" t="str">
        <f>HYPERLINK("https://twitter.com/SoniMsi07","@SoniMsi07")</f>
        <v>@SoniMsi07</v>
      </c>
      <c r="C31474" t="s">
        <v>12845</v>
      </c>
      <c r="D31474">
        <v>42</v>
      </c>
      <c r="E31474">
        <v>0</v>
      </c>
      <c r="F31474">
        <v>235</v>
      </c>
    </row>
    <row r="31475" spans="1:6" ht="12.75">
      <c r="A31475" s="2">
        <v>43875.502754629633</v>
      </c>
      <c r="B31475" t="str">
        <f>HYPERLINK("https://twitter.com/NannyAlexendry","@NannyAlexendry")</f>
        <v>@NannyAlexendry</v>
      </c>
      <c r="C31475" t="s">
        <v>2963</v>
      </c>
      <c r="D31475">
        <v>766</v>
      </c>
      <c r="E31475">
        <v>0</v>
      </c>
      <c r="F31475">
        <v>2879</v>
      </c>
    </row>
    <row r="31476" spans="1:6" ht="12.75">
      <c r="A31476" s="2">
        <v>43875.50273148148</v>
      </c>
      <c r="B31476" t="str">
        <f>HYPERLINK("https://twitter.com/tasya_sibuea","@tasya_sibuea")</f>
        <v>@tasya_sibuea</v>
      </c>
      <c r="C31476" t="s">
        <v>7803</v>
      </c>
      <c r="D31476">
        <v>307</v>
      </c>
      <c r="E31476">
        <v>0</v>
      </c>
      <c r="F31476">
        <v>237</v>
      </c>
    </row>
    <row r="31477" spans="1:6" ht="12.75">
      <c r="A31477" s="2">
        <v>43875.50267361111</v>
      </c>
      <c r="B31477" t="str">
        <f>HYPERLINK("https://twitter.com/Mirzaa","@Mirzaa")</f>
        <v>@Mirzaa</v>
      </c>
      <c r="C31477" t="s">
        <v>5168</v>
      </c>
      <c r="D31477">
        <v>576</v>
      </c>
      <c r="E31477">
        <v>0</v>
      </c>
      <c r="F31477">
        <v>367</v>
      </c>
    </row>
    <row r="31478" spans="1:6" ht="12.75">
      <c r="A31478" s="2">
        <v>43875.502592592587</v>
      </c>
      <c r="B31478" t="str">
        <f>HYPERLINK("https://twitter.com/nius77","@nius77")</f>
        <v>@nius77</v>
      </c>
      <c r="C31478" t="s">
        <v>7373</v>
      </c>
      <c r="D31478">
        <v>67</v>
      </c>
      <c r="E31478">
        <v>0</v>
      </c>
      <c r="F31478">
        <v>3180</v>
      </c>
    </row>
    <row r="31479" spans="1:6" ht="12.75">
      <c r="A31479" s="2">
        <v>43875.502569444448</v>
      </c>
      <c r="B31479" t="str">
        <f>HYPERLINK("https://twitter.com/KimasSinting","@KimasSinting")</f>
        <v>@KimasSinting</v>
      </c>
      <c r="C31479" t="s">
        <v>2444</v>
      </c>
      <c r="D31479">
        <v>698</v>
      </c>
      <c r="E31479">
        <v>0</v>
      </c>
      <c r="F31479">
        <v>464</v>
      </c>
    </row>
    <row r="31480" spans="1:6" ht="12.75">
      <c r="A31480" s="2">
        <v>43875.502557870372</v>
      </c>
      <c r="B31480" t="str">
        <f>HYPERLINK("https://twitter.com/Gitajunn2","@Gitajunn2")</f>
        <v>@Gitajunn2</v>
      </c>
      <c r="C31480" t="s">
        <v>13196</v>
      </c>
      <c r="D31480">
        <v>0</v>
      </c>
      <c r="E31480">
        <v>0</v>
      </c>
      <c r="F31480">
        <v>221</v>
      </c>
    </row>
    <row r="31481" spans="1:6" ht="12.75">
      <c r="A31481" s="2">
        <v>43875.502418981487</v>
      </c>
      <c r="B31481" t="str">
        <f>HYPERLINK("https://twitter.com/beatrice_health","@beatrice_health")</f>
        <v>@beatrice_health</v>
      </c>
      <c r="C31481" t="s">
        <v>9962</v>
      </c>
      <c r="D31481">
        <v>23</v>
      </c>
      <c r="E31481">
        <v>0</v>
      </c>
      <c r="F31481">
        <v>65</v>
      </c>
    </row>
    <row r="31482" spans="1:6" ht="12.75">
      <c r="A31482" s="2">
        <v>43875.502372685187</v>
      </c>
      <c r="B31482" t="str">
        <f>HYPERLINK("https://twitter.com/TiaSari_93","@TiaSari_93")</f>
        <v>@TiaSari_93</v>
      </c>
      <c r="C31482" t="s">
        <v>9962</v>
      </c>
      <c r="D31482">
        <v>23</v>
      </c>
      <c r="E31482">
        <v>0</v>
      </c>
      <c r="F31482">
        <v>362</v>
      </c>
    </row>
    <row r="31483" spans="1:6" ht="12.75">
      <c r="A31483" s="2">
        <v>43875.502349537041</v>
      </c>
      <c r="B31483" t="str">
        <f>HYPERLINK("https://twitter.com/Riski_EnG","@Riski_EnG")</f>
        <v>@Riski_EnG</v>
      </c>
      <c r="C31483" t="s">
        <v>10096</v>
      </c>
      <c r="D31483">
        <v>105</v>
      </c>
      <c r="E31483">
        <v>0</v>
      </c>
      <c r="F31483">
        <v>78</v>
      </c>
    </row>
    <row r="31484" spans="1:6" ht="12.75">
      <c r="A31484" s="2">
        <v>43875.502291666664</v>
      </c>
      <c r="B31484" t="str">
        <f>HYPERLINK("https://twitter.com/zbsanders","@zbsanders")</f>
        <v>@zbsanders</v>
      </c>
      <c r="C31484" t="s">
        <v>8131</v>
      </c>
      <c r="D31484">
        <v>2410</v>
      </c>
      <c r="E31484">
        <v>0</v>
      </c>
      <c r="F31484">
        <v>74</v>
      </c>
    </row>
    <row r="31485" spans="1:6" ht="12.75">
      <c r="A31485" s="2">
        <v>43875.502268518518</v>
      </c>
      <c r="B31485" t="str">
        <f>HYPERLINK("https://twitter.com/deathbyluck13th","@deathbyluck13th")</f>
        <v>@deathbyluck13th</v>
      </c>
      <c r="C31485" t="s">
        <v>10422</v>
      </c>
      <c r="D31485">
        <v>72</v>
      </c>
      <c r="E31485">
        <v>0</v>
      </c>
      <c r="F31485">
        <v>349</v>
      </c>
    </row>
    <row r="31486" spans="1:6" ht="12.75">
      <c r="A31486" s="2">
        <v>43875.502268518518</v>
      </c>
      <c r="B31486" t="str">
        <f>HYPERLINK("https://twitter.com/sagakom","@sagakom")</f>
        <v>@sagakom</v>
      </c>
      <c r="C31486" t="s">
        <v>11934</v>
      </c>
      <c r="D31486">
        <v>0</v>
      </c>
      <c r="E31486">
        <v>0</v>
      </c>
      <c r="F31486">
        <v>286</v>
      </c>
    </row>
    <row r="31487" spans="1:6" ht="12.75">
      <c r="A31487" s="2">
        <v>43875.50199074074</v>
      </c>
      <c r="B31487" t="str">
        <f>HYPERLINK("https://twitter.com/yheyheodhiet","@yheyheodhiet")</f>
        <v>@yheyheodhiet</v>
      </c>
      <c r="C31487" t="s">
        <v>13003</v>
      </c>
      <c r="D31487">
        <v>6</v>
      </c>
      <c r="E31487">
        <v>0</v>
      </c>
      <c r="F31487">
        <v>1</v>
      </c>
    </row>
    <row r="31488" spans="1:6" ht="12.75">
      <c r="A31488" s="2">
        <v>43875.501921296294</v>
      </c>
      <c r="B31488" t="str">
        <f>HYPERLINK("https://twitter.com/wirawan_me","@wirawan_me")</f>
        <v>@wirawan_me</v>
      </c>
      <c r="C31488" t="s">
        <v>13197</v>
      </c>
      <c r="D31488">
        <v>13</v>
      </c>
      <c r="E31488">
        <v>3</v>
      </c>
      <c r="F31488">
        <v>55</v>
      </c>
    </row>
    <row r="31489" spans="1:6" ht="12.75">
      <c r="A31489" s="2">
        <v>43875.501886574071</v>
      </c>
      <c r="B31489" t="str">
        <f>HYPERLINK("https://twitter.com/DiahOny","@DiahOny")</f>
        <v>@DiahOny</v>
      </c>
      <c r="C31489" t="s">
        <v>10237</v>
      </c>
      <c r="D31489">
        <v>38</v>
      </c>
      <c r="E31489">
        <v>0</v>
      </c>
      <c r="F31489">
        <v>87</v>
      </c>
    </row>
    <row r="31490" spans="1:6" ht="12.75">
      <c r="A31490" s="2">
        <v>43875.501840277779</v>
      </c>
      <c r="B31490" t="str">
        <f>HYPERLINK("https://twitter.com/JonsPowel","@JonsPowel")</f>
        <v>@JonsPowel</v>
      </c>
      <c r="C31490" t="s">
        <v>2110</v>
      </c>
      <c r="D31490">
        <v>30</v>
      </c>
      <c r="E31490">
        <v>0</v>
      </c>
      <c r="F31490">
        <v>169</v>
      </c>
    </row>
    <row r="31491" spans="1:6" ht="12.75">
      <c r="A31491" s="2">
        <v>43875.501805555556</v>
      </c>
      <c r="B31491" t="str">
        <f>HYPERLINK("https://twitter.com/Jossie_w15","@Jossie_w15")</f>
        <v>@Jossie_w15</v>
      </c>
      <c r="C31491" t="s">
        <v>13198</v>
      </c>
      <c r="D31491">
        <v>0</v>
      </c>
      <c r="E31491">
        <v>0</v>
      </c>
      <c r="F31491">
        <v>2</v>
      </c>
    </row>
    <row r="31492" spans="1:6" ht="12.75">
      <c r="A31492" s="2">
        <v>43875.501782407402</v>
      </c>
      <c r="B31492" t="str">
        <f>HYPERLINK("https://twitter.com/telormatasapi00","@telormatasapi00")</f>
        <v>@telormatasapi00</v>
      </c>
      <c r="C31492" t="s">
        <v>13199</v>
      </c>
      <c r="D31492">
        <v>1</v>
      </c>
      <c r="E31492">
        <v>0</v>
      </c>
      <c r="F31492">
        <v>49</v>
      </c>
    </row>
    <row r="31493" spans="1:6" ht="12.75">
      <c r="A31493" s="2">
        <v>43875.50172453704</v>
      </c>
      <c r="B31493" t="str">
        <f>HYPERLINK("https://twitter.com/Albert_Ega","@Albert_Ega")</f>
        <v>@Albert_Ega</v>
      </c>
      <c r="C31493" t="s">
        <v>2110</v>
      </c>
      <c r="D31493">
        <v>30</v>
      </c>
      <c r="E31493">
        <v>0</v>
      </c>
      <c r="F31493">
        <v>586</v>
      </c>
    </row>
    <row r="31494" spans="1:6" ht="12.75">
      <c r="A31494" s="2">
        <v>43875.501712962963</v>
      </c>
      <c r="B31494" t="str">
        <f>HYPERLINK("https://twitter.com/__syafiq","@__syafiq")</f>
        <v>@__syafiq</v>
      </c>
      <c r="C31494" t="s">
        <v>13200</v>
      </c>
      <c r="D31494">
        <v>0</v>
      </c>
      <c r="E31494">
        <v>0</v>
      </c>
      <c r="F31494">
        <v>444</v>
      </c>
    </row>
    <row r="31495" spans="1:6" ht="12.75">
      <c r="A31495" s="2">
        <v>43875.50167824074</v>
      </c>
      <c r="B31495" t="str">
        <f>HYPERLINK("https://twitter.com/Roma13054710","@Roma13054710")</f>
        <v>@Roma13054710</v>
      </c>
      <c r="C31495" t="s">
        <v>13201</v>
      </c>
      <c r="D31495">
        <v>0</v>
      </c>
      <c r="E31495">
        <v>1</v>
      </c>
      <c r="F31495">
        <v>49</v>
      </c>
    </row>
    <row r="31496" spans="1:6" ht="12.75">
      <c r="A31496" s="2">
        <v>43875.50167824074</v>
      </c>
      <c r="B31496" t="str">
        <f>HYPERLINK("https://twitter.com/ZaziedH","@ZaziedH")</f>
        <v>@ZaziedH</v>
      </c>
      <c r="C31496" t="s">
        <v>13202</v>
      </c>
      <c r="D31496">
        <v>0</v>
      </c>
      <c r="E31496">
        <v>0</v>
      </c>
      <c r="F31496">
        <v>118</v>
      </c>
    </row>
    <row r="31497" spans="1:6" ht="12.75">
      <c r="A31497" s="2">
        <v>43875.501666666663</v>
      </c>
      <c r="B31497" t="str">
        <f>HYPERLINK("https://twitter.com/Pseudo_silk","@Pseudo_silk")</f>
        <v>@Pseudo_silk</v>
      </c>
      <c r="C31497" t="s">
        <v>13203</v>
      </c>
      <c r="D31497">
        <v>0</v>
      </c>
      <c r="E31497">
        <v>0</v>
      </c>
      <c r="F31497">
        <v>1098</v>
      </c>
    </row>
    <row r="31498" spans="1:6" ht="12.75">
      <c r="A31498" s="2">
        <v>43875.501446759255</v>
      </c>
      <c r="B31498" t="str">
        <f>HYPERLINK("https://twitter.com/onyou98","@onyou98")</f>
        <v>@onyou98</v>
      </c>
      <c r="C31498" t="s">
        <v>13204</v>
      </c>
      <c r="D31498">
        <v>0</v>
      </c>
      <c r="E31498">
        <v>0</v>
      </c>
      <c r="F31498">
        <v>330</v>
      </c>
    </row>
    <row r="31499" spans="1:6" ht="12.75">
      <c r="A31499" s="2">
        <v>43875.501423611116</v>
      </c>
      <c r="B31499" t="str">
        <f>HYPERLINK("https://twitter.com/ErfanHardiyanto","@ErfanHardiyanto")</f>
        <v>@ErfanHardiyanto</v>
      </c>
      <c r="C31499" t="s">
        <v>9962</v>
      </c>
      <c r="D31499">
        <v>15</v>
      </c>
      <c r="E31499">
        <v>0</v>
      </c>
      <c r="F31499">
        <v>68</v>
      </c>
    </row>
    <row r="31500" spans="1:6" ht="12.75">
      <c r="A31500" s="2">
        <v>43875.501342592594</v>
      </c>
      <c r="B31500" t="str">
        <f>HYPERLINK("https://twitter.com/Pejuang__","@Pejuang__")</f>
        <v>@Pejuang__</v>
      </c>
      <c r="C31500" t="s">
        <v>13205</v>
      </c>
      <c r="D31500">
        <v>0</v>
      </c>
      <c r="E31500">
        <v>0</v>
      </c>
      <c r="F31500">
        <v>319</v>
      </c>
    </row>
    <row r="31501" spans="1:6" ht="12.75">
      <c r="A31501" s="2">
        <v>43875.501319444447</v>
      </c>
      <c r="B31501" t="str">
        <f>HYPERLINK("https://twitter.com/ratu_adil","@ratu_adil")</f>
        <v>@ratu_adil</v>
      </c>
      <c r="C31501" t="s">
        <v>13206</v>
      </c>
      <c r="D31501">
        <v>0</v>
      </c>
      <c r="E31501">
        <v>0</v>
      </c>
      <c r="F31501">
        <v>52877</v>
      </c>
    </row>
    <row r="31502" spans="1:6" ht="12.75">
      <c r="A31502" s="2">
        <v>43875.501296296294</v>
      </c>
      <c r="B31502" t="str">
        <f>HYPERLINK("https://twitter.com/kayenjenner","@kayenjenner")</f>
        <v>@kayenjenner</v>
      </c>
      <c r="C31502" t="s">
        <v>2444</v>
      </c>
      <c r="D31502">
        <v>206</v>
      </c>
      <c r="E31502">
        <v>0</v>
      </c>
      <c r="F31502">
        <v>361</v>
      </c>
    </row>
    <row r="31503" spans="1:6" ht="12.75">
      <c r="A31503" s="2">
        <v>43875.501250000001</v>
      </c>
      <c r="B31503" t="str">
        <f>HYPERLINK("https://twitter.com/blakejackharry","@blakejackharry")</f>
        <v>@blakejackharry</v>
      </c>
      <c r="C31503" t="s">
        <v>13207</v>
      </c>
      <c r="D31503">
        <v>0</v>
      </c>
      <c r="E31503">
        <v>0</v>
      </c>
      <c r="F31503">
        <v>304</v>
      </c>
    </row>
    <row r="31504" spans="1:6" ht="12.75">
      <c r="A31504" s="2">
        <v>43875.501226851848</v>
      </c>
      <c r="B31504" t="str">
        <f>HYPERLINK("https://twitter.com/BuyaNurfajar","@BuyaNurfajar")</f>
        <v>@BuyaNurfajar</v>
      </c>
      <c r="C31504" t="s">
        <v>13208</v>
      </c>
      <c r="D31504">
        <v>0</v>
      </c>
      <c r="E31504">
        <v>0</v>
      </c>
      <c r="F31504">
        <v>645</v>
      </c>
    </row>
    <row r="31505" spans="1:6" ht="12.75">
      <c r="A31505" s="2">
        <v>43875.501215277778</v>
      </c>
      <c r="B31505" t="str">
        <f>HYPERLINK("https://twitter.com/rndpratama_","@rndpratama_")</f>
        <v>@rndpratama_</v>
      </c>
      <c r="C31505" t="s">
        <v>2444</v>
      </c>
      <c r="D31505">
        <v>206</v>
      </c>
      <c r="E31505">
        <v>0</v>
      </c>
      <c r="F31505">
        <v>247</v>
      </c>
    </row>
    <row r="31506" spans="1:6" ht="12.75">
      <c r="A31506" s="2">
        <v>43875.500937500001</v>
      </c>
      <c r="B31506" t="str">
        <f>HYPERLINK("https://twitter.com/ariepbowo","@ariepbowo")</f>
        <v>@ariepbowo</v>
      </c>
      <c r="C31506" t="s">
        <v>2444</v>
      </c>
      <c r="D31506">
        <v>206</v>
      </c>
      <c r="E31506">
        <v>0</v>
      </c>
      <c r="F31506">
        <v>407</v>
      </c>
    </row>
    <row r="31507" spans="1:6" ht="12.75">
      <c r="A31507" s="2">
        <v>43875.500937500001</v>
      </c>
      <c r="B31507" t="str">
        <f>HYPERLINK("https://twitter.com/MonologeLLy_318","@MonologeLLy_318")</f>
        <v>@MonologeLLy_318</v>
      </c>
      <c r="C31507" t="s">
        <v>10422</v>
      </c>
      <c r="D31507">
        <v>64</v>
      </c>
      <c r="E31507">
        <v>0</v>
      </c>
      <c r="F31507">
        <v>1372</v>
      </c>
    </row>
    <row r="31508" spans="1:6" ht="12.75">
      <c r="A31508" s="2">
        <v>43875.500821759255</v>
      </c>
      <c r="B31508" t="str">
        <f>HYPERLINK("https://twitter.com/Herrreza","@Herrreza")</f>
        <v>@Herrreza</v>
      </c>
      <c r="C31508" t="s">
        <v>13209</v>
      </c>
      <c r="D31508">
        <v>0</v>
      </c>
      <c r="E31508">
        <v>0</v>
      </c>
      <c r="F31508">
        <v>29405</v>
      </c>
    </row>
    <row r="31509" spans="1:6" ht="12.75">
      <c r="A31509" s="2">
        <v>43875.500706018516</v>
      </c>
      <c r="B31509" t="str">
        <f>HYPERLINK("https://twitter.com/BayuJatiW","@BayuJatiW")</f>
        <v>@BayuJatiW</v>
      </c>
      <c r="C31509" t="s">
        <v>2110</v>
      </c>
      <c r="D31509">
        <v>4</v>
      </c>
      <c r="E31509">
        <v>0</v>
      </c>
      <c r="F31509">
        <v>335</v>
      </c>
    </row>
    <row r="31510" spans="1:6" ht="12.75">
      <c r="A31510" s="2">
        <v>43875.500590277778</v>
      </c>
      <c r="B31510" t="str">
        <f>HYPERLINK("https://twitter.com/dhannywij","@dhannywij")</f>
        <v>@dhannywij</v>
      </c>
      <c r="C31510" t="s">
        <v>13210</v>
      </c>
      <c r="D31510">
        <v>0</v>
      </c>
      <c r="E31510">
        <v>0</v>
      </c>
      <c r="F31510">
        <v>829</v>
      </c>
    </row>
    <row r="31511" spans="1:6" ht="12.75">
      <c r="A31511" s="2">
        <v>43875.500532407408</v>
      </c>
      <c r="B31511" t="str">
        <f>HYPERLINK("https://twitter.com/millions2k09","@millions2k09")</f>
        <v>@millions2k09</v>
      </c>
      <c r="C31511" t="s">
        <v>2444</v>
      </c>
      <c r="D31511">
        <v>206</v>
      </c>
      <c r="E31511">
        <v>0</v>
      </c>
      <c r="F31511">
        <v>517</v>
      </c>
    </row>
    <row r="31512" spans="1:6" ht="12.75">
      <c r="A31512" s="2">
        <v>43875.500520833331</v>
      </c>
      <c r="B31512" t="str">
        <f>HYPERLINK("https://twitter.com/kondekturbus_","@kondekturbus_")</f>
        <v>@kondekturbus_</v>
      </c>
      <c r="C31512" t="s">
        <v>13211</v>
      </c>
      <c r="D31512">
        <v>5</v>
      </c>
      <c r="E31512">
        <v>0</v>
      </c>
      <c r="F31512">
        <v>13813</v>
      </c>
    </row>
    <row r="31513" spans="1:6" ht="12.75">
      <c r="A31513" s="2">
        <v>43875.500509259262</v>
      </c>
      <c r="B31513" t="str">
        <f>HYPERLINK("https://twitter.com/youurheartbeat","@youurheartbeat")</f>
        <v>@youurheartbeat</v>
      </c>
      <c r="C31513" t="s">
        <v>11449</v>
      </c>
      <c r="D31513">
        <v>17</v>
      </c>
      <c r="E31513">
        <v>0</v>
      </c>
      <c r="F31513">
        <v>67</v>
      </c>
    </row>
    <row r="31514" spans="1:6" ht="12.75">
      <c r="A31514" s="2">
        <v>43875.500486111108</v>
      </c>
      <c r="B31514" t="str">
        <f>HYPERLINK("https://twitter.com/_gayahidup","@_gayahidup")</f>
        <v>@_gayahidup</v>
      </c>
      <c r="C31514" t="s">
        <v>13212</v>
      </c>
      <c r="D31514">
        <v>0</v>
      </c>
      <c r="E31514">
        <v>0</v>
      </c>
      <c r="F31514">
        <v>123</v>
      </c>
    </row>
    <row r="31515" spans="1:6" ht="12.75">
      <c r="A31515" s="2">
        <v>43875.500347222223</v>
      </c>
      <c r="B31515" t="str">
        <f>HYPERLINK("https://twitter.com/twolittlebunny","@twolittlebunny")</f>
        <v>@twolittlebunny</v>
      </c>
      <c r="C31515" t="s">
        <v>2444</v>
      </c>
      <c r="D31515">
        <v>206</v>
      </c>
      <c r="E31515">
        <v>0</v>
      </c>
      <c r="F31515">
        <v>1359</v>
      </c>
    </row>
    <row r="31516" spans="1:6" ht="12.75">
      <c r="A31516" s="2">
        <v>43875.5002662037</v>
      </c>
      <c r="B31516" t="str">
        <f>HYPERLINK("https://twitter.com/anggihawawi","@anggihawawi")</f>
        <v>@anggihawawi</v>
      </c>
      <c r="C31516" t="s">
        <v>2963</v>
      </c>
      <c r="D31516">
        <v>723</v>
      </c>
      <c r="E31516">
        <v>0</v>
      </c>
      <c r="F31516">
        <v>17</v>
      </c>
    </row>
    <row r="31517" spans="1:6" ht="12.75">
      <c r="A31517" s="2">
        <v>43875.500208333338</v>
      </c>
      <c r="B31517" t="str">
        <f>HYPERLINK("https://twitter.com/SoniMsi07","@SoniMsi07")</f>
        <v>@SoniMsi07</v>
      </c>
      <c r="C31517" t="s">
        <v>7390</v>
      </c>
      <c r="D31517">
        <v>86</v>
      </c>
      <c r="E31517">
        <v>0</v>
      </c>
      <c r="F31517">
        <v>235</v>
      </c>
    </row>
    <row r="31518" spans="1:6" ht="12.75">
      <c r="A31518" s="2">
        <v>43875.500173611115</v>
      </c>
      <c r="B31518" t="str">
        <f>HYPERLINK("https://twitter.com/Lilkilill","@Lilkilill")</f>
        <v>@Lilkilill</v>
      </c>
      <c r="C31518" t="s">
        <v>5168</v>
      </c>
      <c r="D31518">
        <v>540</v>
      </c>
      <c r="E31518">
        <v>0</v>
      </c>
      <c r="F31518">
        <v>684</v>
      </c>
    </row>
    <row r="31519" spans="1:6" ht="12.75">
      <c r="A31519" s="2">
        <v>43875.500081018516</v>
      </c>
      <c r="B31519" t="str">
        <f>HYPERLINK("https://twitter.com/DimasRendaK","@DimasRendaK")</f>
        <v>@DimasRendaK</v>
      </c>
      <c r="C31519" t="s">
        <v>2963</v>
      </c>
      <c r="D31519">
        <v>723</v>
      </c>
      <c r="E31519">
        <v>0</v>
      </c>
      <c r="F31519">
        <v>795</v>
      </c>
    </row>
    <row r="31520" spans="1:6" ht="12.75">
      <c r="A31520" s="2">
        <v>43875.500046296293</v>
      </c>
      <c r="B31520" t="str">
        <f>HYPERLINK("https://twitter.com/LaurensioAbram","@LaurensioAbram")</f>
        <v>@LaurensioAbram</v>
      </c>
      <c r="C31520" t="s">
        <v>13213</v>
      </c>
      <c r="D31520">
        <v>2</v>
      </c>
      <c r="E31520">
        <v>0</v>
      </c>
      <c r="F31520">
        <v>233</v>
      </c>
    </row>
    <row r="31521" spans="1:6" ht="12.75">
      <c r="A31521" s="2">
        <v>43875.499849537038</v>
      </c>
      <c r="B31521" t="str">
        <f>HYPERLINK("https://twitter.com/AhmadSutoyo9","@AhmadSutoyo9")</f>
        <v>@AhmadSutoyo9</v>
      </c>
      <c r="C31521" t="s">
        <v>12080</v>
      </c>
      <c r="D31521">
        <v>17</v>
      </c>
      <c r="E31521">
        <v>0</v>
      </c>
      <c r="F31521">
        <v>380</v>
      </c>
    </row>
    <row r="31522" spans="1:6" ht="12.75">
      <c r="A31522" s="2">
        <v>43875.499826388885</v>
      </c>
      <c r="B31522" t="str">
        <f>HYPERLINK("https://twitter.com/BatamPos","@BatamPos")</f>
        <v>@BatamPos</v>
      </c>
      <c r="C31522" t="s">
        <v>13214</v>
      </c>
      <c r="D31522">
        <v>0</v>
      </c>
      <c r="E31522">
        <v>0</v>
      </c>
      <c r="F31522">
        <v>67355</v>
      </c>
    </row>
    <row r="31523" spans="1:6" ht="12.75">
      <c r="A31523" s="2">
        <v>43875.499780092592</v>
      </c>
      <c r="B31523" t="str">
        <f>HYPERLINK("https://twitter.com/KresnaNurfi","@KresnaNurfi")</f>
        <v>@KresnaNurfi</v>
      </c>
      <c r="C31523" t="s">
        <v>11167</v>
      </c>
      <c r="D31523">
        <v>155</v>
      </c>
      <c r="E31523">
        <v>0</v>
      </c>
      <c r="F31523">
        <v>408</v>
      </c>
    </row>
    <row r="31524" spans="1:6" ht="12.75">
      <c r="A31524" s="2">
        <v>43875.4997337963</v>
      </c>
      <c r="B31524" t="str">
        <f>HYPERLINK("https://twitter.com/ahrahae","@ahrahae")</f>
        <v>@ahrahae</v>
      </c>
      <c r="C31524" t="s">
        <v>2444</v>
      </c>
      <c r="D31524">
        <v>206</v>
      </c>
      <c r="E31524">
        <v>0</v>
      </c>
      <c r="F31524">
        <v>25</v>
      </c>
    </row>
    <row r="31525" spans="1:6" ht="12.75">
      <c r="A31525" s="2">
        <v>43875.499699074076</v>
      </c>
      <c r="B31525" t="str">
        <f>HYPERLINK("https://twitter.com/tarararar1","@tarararar1")</f>
        <v>@tarararar1</v>
      </c>
      <c r="C31525" t="s">
        <v>13215</v>
      </c>
      <c r="D31525">
        <v>0</v>
      </c>
      <c r="E31525">
        <v>0</v>
      </c>
      <c r="F31525">
        <v>2</v>
      </c>
    </row>
    <row r="31526" spans="1:6" ht="12.75">
      <c r="A31526" s="2">
        <v>43875.4996875</v>
      </c>
      <c r="B31526" t="str">
        <f>HYPERLINK("https://twitter.com/MikirSok","@MikirSok")</f>
        <v>@MikirSok</v>
      </c>
      <c r="C31526" t="s">
        <v>13216</v>
      </c>
      <c r="D31526">
        <v>0</v>
      </c>
      <c r="E31526">
        <v>0</v>
      </c>
      <c r="F31526">
        <v>16</v>
      </c>
    </row>
    <row r="31527" spans="1:6" ht="12.75">
      <c r="A31527" s="2">
        <v>43875.499664351853</v>
      </c>
      <c r="B31527" t="str">
        <f>HYPERLINK("https://twitter.com/SoniMsi07","@SoniMsi07")</f>
        <v>@SoniMsi07</v>
      </c>
      <c r="C31527" t="s">
        <v>10196</v>
      </c>
      <c r="D31527">
        <v>140</v>
      </c>
      <c r="E31527">
        <v>0</v>
      </c>
      <c r="F31527">
        <v>235</v>
      </c>
    </row>
    <row r="31528" spans="1:6" ht="12.75">
      <c r="A31528" s="2">
        <v>43875.49962962963</v>
      </c>
      <c r="B31528" t="str">
        <f>HYPERLINK("https://twitter.com/Ryan_zipur","@Ryan_zipur")</f>
        <v>@Ryan_zipur</v>
      </c>
      <c r="C31528" t="s">
        <v>9746</v>
      </c>
      <c r="D31528">
        <v>66</v>
      </c>
      <c r="E31528">
        <v>0</v>
      </c>
      <c r="F31528">
        <v>316</v>
      </c>
    </row>
    <row r="31529" spans="1:6" ht="12.75">
      <c r="A31529" s="2">
        <v>43875.499606481477</v>
      </c>
      <c r="B31529" t="str">
        <f>HYPERLINK("https://twitter.com/febryumeko","@febryumeko")</f>
        <v>@febryumeko</v>
      </c>
      <c r="C31529" t="s">
        <v>2444</v>
      </c>
      <c r="D31529">
        <v>206</v>
      </c>
      <c r="E31529">
        <v>0</v>
      </c>
      <c r="F31529">
        <v>160</v>
      </c>
    </row>
    <row r="31530" spans="1:6" ht="12.75">
      <c r="A31530" s="2">
        <v>43875.499594907407</v>
      </c>
      <c r="B31530" t="str">
        <f>HYPERLINK("https://twitter.com/SriNeng70160486","@SriNeng70160486")</f>
        <v>@SriNeng70160486</v>
      </c>
      <c r="C31530" t="s">
        <v>10407</v>
      </c>
      <c r="D31530">
        <v>44</v>
      </c>
      <c r="E31530">
        <v>0</v>
      </c>
      <c r="F31530">
        <v>542</v>
      </c>
    </row>
    <row r="31531" spans="1:6" ht="12.75">
      <c r="A31531" s="2">
        <v>43875.499594907407</v>
      </c>
      <c r="B31531" t="str">
        <f>HYPERLINK("https://twitter.com/sulunoldi","@sulunoldi")</f>
        <v>@sulunoldi</v>
      </c>
      <c r="C31531" t="s">
        <v>13217</v>
      </c>
      <c r="D31531">
        <v>0</v>
      </c>
      <c r="E31531">
        <v>0</v>
      </c>
      <c r="F31531">
        <v>43</v>
      </c>
    </row>
    <row r="31532" spans="1:6" ht="12.75">
      <c r="A31532" s="2">
        <v>43875.499571759261</v>
      </c>
      <c r="B31532" t="str">
        <f>HYPERLINK("https://twitter.com/T_Jje","@T_Jje")</f>
        <v>@T_Jje</v>
      </c>
      <c r="C31532" t="s">
        <v>2110</v>
      </c>
      <c r="D31532">
        <v>4</v>
      </c>
      <c r="E31532">
        <v>0</v>
      </c>
      <c r="F31532">
        <v>846</v>
      </c>
    </row>
    <row r="31533" spans="1:6" ht="12.75">
      <c r="A31533" s="2">
        <v>43875.499502314815</v>
      </c>
      <c r="B31533" t="str">
        <f>HYPERLINK("https://twitter.com/adigunap","@adigunap")</f>
        <v>@adigunap</v>
      </c>
      <c r="C31533" t="s">
        <v>2963</v>
      </c>
      <c r="D31533">
        <v>723</v>
      </c>
      <c r="E31533">
        <v>0</v>
      </c>
      <c r="F31533">
        <v>881</v>
      </c>
    </row>
    <row r="31534" spans="1:6" ht="12.75">
      <c r="A31534" s="2">
        <v>43875.499386574069</v>
      </c>
      <c r="B31534" t="str">
        <f>HYPERLINK("https://twitter.com/yuzackjr","@yuzackjr")</f>
        <v>@yuzackjr</v>
      </c>
      <c r="C31534" t="s">
        <v>175</v>
      </c>
      <c r="D31534">
        <v>5256</v>
      </c>
      <c r="E31534">
        <v>0</v>
      </c>
      <c r="F31534">
        <v>333</v>
      </c>
    </row>
    <row r="31535" spans="1:6" ht="12.75">
      <c r="A31535" s="2">
        <v>43875.499351851853</v>
      </c>
      <c r="B31535" t="str">
        <f>HYPERLINK("https://twitter.com/M4Monaa","@M4Monaa")</f>
        <v>@M4Monaa</v>
      </c>
      <c r="C31535" t="s">
        <v>13218</v>
      </c>
      <c r="D31535">
        <v>0</v>
      </c>
      <c r="E31535">
        <v>0</v>
      </c>
      <c r="F31535">
        <v>4</v>
      </c>
    </row>
    <row r="31536" spans="1:6" ht="12.75">
      <c r="A31536" s="2">
        <v>43875.499340277776</v>
      </c>
      <c r="B31536" t="str">
        <f>HYPERLINK("https://twitter.com/heebum92","@heebum92")</f>
        <v>@heebum92</v>
      </c>
      <c r="C31536" t="s">
        <v>9962</v>
      </c>
      <c r="D31536">
        <v>15</v>
      </c>
      <c r="E31536">
        <v>0</v>
      </c>
      <c r="F31536">
        <v>441</v>
      </c>
    </row>
    <row r="31537" spans="1:6" ht="12.75">
      <c r="A31537" s="2">
        <v>43875.49931712963</v>
      </c>
      <c r="B31537" t="str">
        <f>HYPERLINK("https://twitter.com/Ainiarhmh","@Ainiarhmh")</f>
        <v>@Ainiarhmh</v>
      </c>
      <c r="C31537" t="s">
        <v>5168</v>
      </c>
      <c r="D31537">
        <v>540</v>
      </c>
      <c r="E31537">
        <v>0</v>
      </c>
      <c r="F31537">
        <v>184</v>
      </c>
    </row>
    <row r="31538" spans="1:6" ht="12.75">
      <c r="A31538" s="2">
        <v>43875.499282407407</v>
      </c>
      <c r="B31538" t="str">
        <f>HYPERLINK("https://twitter.com/myneukkim","@myneukkim")</f>
        <v>@myneukkim</v>
      </c>
      <c r="C31538" t="s">
        <v>9964</v>
      </c>
      <c r="D31538">
        <v>532</v>
      </c>
      <c r="E31538">
        <v>0</v>
      </c>
      <c r="F31538">
        <v>280</v>
      </c>
    </row>
    <row r="31539" spans="1:6" ht="12.75">
      <c r="A31539" s="2">
        <v>43875.499178240745</v>
      </c>
      <c r="B31539" t="str">
        <f>HYPERLINK("https://twitter.com/moesa_jp02","@moesa_jp02")</f>
        <v>@moesa_jp02</v>
      </c>
      <c r="C31539" t="s">
        <v>13219</v>
      </c>
      <c r="D31539">
        <v>0</v>
      </c>
      <c r="E31539">
        <v>0</v>
      </c>
      <c r="F31539">
        <v>1316</v>
      </c>
    </row>
    <row r="31540" spans="1:6" ht="12.75">
      <c r="A31540" s="2">
        <v>43875.499120370368</v>
      </c>
      <c r="B31540" t="str">
        <f>HYPERLINK("https://twitter.com/TjahjadiJudono","@TjahjadiJudono")</f>
        <v>@TjahjadiJudono</v>
      </c>
      <c r="C31540" t="s">
        <v>11797</v>
      </c>
      <c r="D31540">
        <v>5</v>
      </c>
      <c r="E31540">
        <v>0</v>
      </c>
      <c r="F31540">
        <v>1022</v>
      </c>
    </row>
    <row r="31541" spans="1:6" ht="12.75">
      <c r="A31541" s="2">
        <v>43875.499108796299</v>
      </c>
      <c r="B31541" t="str">
        <f>HYPERLINK("https://twitter.com/rajapeanutbuttr","@rajapeanutbuttr")</f>
        <v>@rajapeanutbuttr</v>
      </c>
      <c r="C31541" t="s">
        <v>13220</v>
      </c>
      <c r="D31541">
        <v>0</v>
      </c>
      <c r="E31541">
        <v>0</v>
      </c>
      <c r="F31541">
        <v>265</v>
      </c>
    </row>
    <row r="31542" spans="1:6" ht="12.75">
      <c r="A31542" s="2">
        <v>43875.499027777776</v>
      </c>
      <c r="B31542" t="str">
        <f>HYPERLINK("https://twitter.com/BakolGas","@BakolGas")</f>
        <v>@BakolGas</v>
      </c>
      <c r="C31542" t="s">
        <v>10237</v>
      </c>
      <c r="D31542">
        <v>29</v>
      </c>
      <c r="E31542">
        <v>0</v>
      </c>
      <c r="F31542">
        <v>257</v>
      </c>
    </row>
    <row r="31543" spans="1:6" ht="12.75">
      <c r="A31543" s="2">
        <v>43875.49900462963</v>
      </c>
      <c r="B31543" t="str">
        <f>HYPERLINK("https://twitter.com/ariefmpp","@ariefmpp")</f>
        <v>@ariefmpp</v>
      </c>
      <c r="C31543" t="s">
        <v>8349</v>
      </c>
      <c r="D31543">
        <v>9</v>
      </c>
      <c r="E31543">
        <v>0</v>
      </c>
      <c r="F31543">
        <v>624</v>
      </c>
    </row>
    <row r="31544" spans="1:6" ht="12.75">
      <c r="A31544" s="2">
        <v>43875.498981481476</v>
      </c>
      <c r="B31544" t="str">
        <f>HYPERLINK("https://twitter.com/moeslim_choice","@moeslim_choice")</f>
        <v>@moeslim_choice</v>
      </c>
      <c r="C31544" t="s">
        <v>13221</v>
      </c>
      <c r="D31544">
        <v>0</v>
      </c>
      <c r="E31544">
        <v>0</v>
      </c>
      <c r="F31544">
        <v>130</v>
      </c>
    </row>
    <row r="31545" spans="1:6" ht="12.75">
      <c r="A31545" s="2">
        <v>43875.498888888891</v>
      </c>
      <c r="B31545" t="str">
        <f>HYPERLINK("https://twitter.com/SuddenDildi","@SuddenDildi")</f>
        <v>@SuddenDildi</v>
      </c>
      <c r="C31545" t="s">
        <v>8233</v>
      </c>
      <c r="D31545">
        <v>377</v>
      </c>
      <c r="E31545">
        <v>0</v>
      </c>
      <c r="F31545">
        <v>138</v>
      </c>
    </row>
    <row r="31546" spans="1:6" ht="12.75">
      <c r="A31546" s="2">
        <v>43875.498831018514</v>
      </c>
      <c r="B31546" t="str">
        <f t="shared" ref="B31546:B31547" si="380">HYPERLINK("https://twitter.com/willy_perdana","@willy_perdana")</f>
        <v>@willy_perdana</v>
      </c>
      <c r="C31546" t="s">
        <v>13222</v>
      </c>
      <c r="D31546">
        <v>0</v>
      </c>
      <c r="E31546">
        <v>0</v>
      </c>
      <c r="F31546">
        <v>829</v>
      </c>
    </row>
    <row r="31547" spans="1:6" ht="12.75">
      <c r="A31547" s="2">
        <v>43875.498692129629</v>
      </c>
      <c r="B31547" t="str">
        <f t="shared" si="380"/>
        <v>@willy_perdana</v>
      </c>
      <c r="C31547" t="s">
        <v>13223</v>
      </c>
      <c r="D31547">
        <v>0</v>
      </c>
      <c r="E31547">
        <v>0</v>
      </c>
      <c r="F31547">
        <v>829</v>
      </c>
    </row>
    <row r="31548" spans="1:6" ht="12.75">
      <c r="A31548" s="2">
        <v>43875.49864583333</v>
      </c>
      <c r="B31548" t="str">
        <f>HYPERLINK("https://twitter.com/riskiapu","@riskiapu")</f>
        <v>@riskiapu</v>
      </c>
      <c r="C31548" t="s">
        <v>2963</v>
      </c>
      <c r="D31548">
        <v>723</v>
      </c>
      <c r="E31548">
        <v>0</v>
      </c>
      <c r="F31548">
        <v>109</v>
      </c>
    </row>
    <row r="31549" spans="1:6" ht="12.75">
      <c r="A31549" s="2">
        <v>43875.498611111107</v>
      </c>
      <c r="B31549" t="str">
        <f>HYPERLINK("https://twitter.com/BaleGile","@BaleGile")</f>
        <v>@BaleGile</v>
      </c>
      <c r="C31549" t="s">
        <v>175</v>
      </c>
      <c r="D31549">
        <v>5256</v>
      </c>
      <c r="E31549">
        <v>0</v>
      </c>
      <c r="F31549">
        <v>280</v>
      </c>
    </row>
    <row r="31550" spans="1:6" ht="12.75">
      <c r="A31550" s="2">
        <v>43875.498587962968</v>
      </c>
      <c r="B31550" t="str">
        <f>HYPERLINK("https://twitter.com/yutachu","@yutachu")</f>
        <v>@yutachu</v>
      </c>
      <c r="C31550" t="s">
        <v>5168</v>
      </c>
      <c r="D31550">
        <v>540</v>
      </c>
      <c r="E31550">
        <v>0</v>
      </c>
      <c r="F31550">
        <v>120</v>
      </c>
    </row>
    <row r="31551" spans="1:6" ht="12.75">
      <c r="A31551" s="2">
        <v>43875.498564814814</v>
      </c>
      <c r="B31551" t="str">
        <f>HYPERLINK("https://twitter.com/savorylament","@savorylament")</f>
        <v>@savorylament</v>
      </c>
      <c r="C31551" t="s">
        <v>2963</v>
      </c>
      <c r="D31551">
        <v>723</v>
      </c>
      <c r="E31551">
        <v>0</v>
      </c>
      <c r="F31551">
        <v>159</v>
      </c>
    </row>
    <row r="31552" spans="1:6" ht="12.75">
      <c r="A31552" s="2">
        <v>43875.498553240745</v>
      </c>
      <c r="B31552" t="str">
        <f>HYPERLINK("https://twitter.com/rendrawati","@rendrawati")</f>
        <v>@rendrawati</v>
      </c>
      <c r="C31552" t="s">
        <v>13224</v>
      </c>
      <c r="D31552">
        <v>0</v>
      </c>
      <c r="E31552">
        <v>0</v>
      </c>
      <c r="F31552">
        <v>413</v>
      </c>
    </row>
    <row r="31553" spans="1:6" ht="12.75">
      <c r="A31553" s="2">
        <v>43875.498530092591</v>
      </c>
      <c r="B31553" t="str">
        <f>HYPERLINK("https://twitter.com/ngeby","@ngeby")</f>
        <v>@ngeby</v>
      </c>
      <c r="C31553" t="s">
        <v>13225</v>
      </c>
      <c r="D31553">
        <v>0</v>
      </c>
      <c r="E31553">
        <v>0</v>
      </c>
      <c r="F31553">
        <v>526</v>
      </c>
    </row>
    <row r="31554" spans="1:6" ht="12.75">
      <c r="A31554" s="2">
        <v>43875.498506944445</v>
      </c>
      <c r="B31554" t="str">
        <f>HYPERLINK("https://twitter.com/isfari_507","@isfari_507")</f>
        <v>@isfari_507</v>
      </c>
      <c r="C31554" t="s">
        <v>13226</v>
      </c>
      <c r="D31554">
        <v>600</v>
      </c>
      <c r="E31554">
        <v>0</v>
      </c>
      <c r="F31554">
        <v>1499</v>
      </c>
    </row>
    <row r="31555" spans="1:6" ht="12.75">
      <c r="A31555" s="2">
        <v>43875.498414351852</v>
      </c>
      <c r="B31555" t="str">
        <f>HYPERLINK("https://twitter.com/coffeecream","@coffeecream")</f>
        <v>@coffeecream</v>
      </c>
      <c r="C31555" t="s">
        <v>12312</v>
      </c>
      <c r="D31555">
        <v>10</v>
      </c>
      <c r="E31555">
        <v>0</v>
      </c>
      <c r="F31555">
        <v>2434</v>
      </c>
    </row>
    <row r="31556" spans="1:6" ht="12.75">
      <c r="A31556" s="2">
        <v>43875.498391203699</v>
      </c>
      <c r="B31556" t="str">
        <f>HYPERLINK("https://twitter.com/doniyusra","@doniyusra")</f>
        <v>@doniyusra</v>
      </c>
      <c r="C31556" t="s">
        <v>10319</v>
      </c>
      <c r="D31556">
        <v>153</v>
      </c>
      <c r="E31556">
        <v>0</v>
      </c>
      <c r="F31556">
        <v>24</v>
      </c>
    </row>
    <row r="31557" spans="1:6" ht="12.75">
      <c r="A31557" s="2">
        <v>43875.498379629629</v>
      </c>
      <c r="B31557" t="str">
        <f>HYPERLINK("https://twitter.com/dergrosenjoe135","@dergrosenjoe135")</f>
        <v>@dergrosenjoe135</v>
      </c>
      <c r="C31557" t="s">
        <v>2963</v>
      </c>
      <c r="D31557">
        <v>723</v>
      </c>
      <c r="E31557">
        <v>0</v>
      </c>
      <c r="F31557">
        <v>2488</v>
      </c>
    </row>
    <row r="31558" spans="1:6" ht="12.75">
      <c r="A31558" s="2">
        <v>43875.498287037037</v>
      </c>
      <c r="B31558" t="str">
        <f>HYPERLINK("https://twitter.com/lucaslahpulang","@lucaslahpulang")</f>
        <v>@lucaslahpulang</v>
      </c>
      <c r="C31558" t="s">
        <v>13227</v>
      </c>
      <c r="D31558">
        <v>0</v>
      </c>
      <c r="E31558">
        <v>0</v>
      </c>
      <c r="F31558">
        <v>1057</v>
      </c>
    </row>
    <row r="31559" spans="1:6" ht="12.75">
      <c r="A31559" s="2">
        <v>43875.49827546296</v>
      </c>
      <c r="B31559" t="str">
        <f>HYPERLINK("https://twitter.com/semenjana_saja","@semenjana_saja")</f>
        <v>@semenjana_saja</v>
      </c>
      <c r="C31559" t="s">
        <v>2110</v>
      </c>
      <c r="D31559">
        <v>4</v>
      </c>
      <c r="E31559">
        <v>0</v>
      </c>
      <c r="F31559">
        <v>880</v>
      </c>
    </row>
    <row r="31560" spans="1:6" ht="12.75">
      <c r="A31560" s="2">
        <v>43875.498263888891</v>
      </c>
      <c r="B31560" t="str">
        <f>HYPERLINK("https://twitter.com/nunisyahid","@nunisyahid")</f>
        <v>@nunisyahid</v>
      </c>
      <c r="C31560" t="s">
        <v>2444</v>
      </c>
      <c r="D31560">
        <v>206</v>
      </c>
      <c r="E31560">
        <v>0</v>
      </c>
      <c r="F31560">
        <v>757</v>
      </c>
    </row>
    <row r="31561" spans="1:6" ht="12.75">
      <c r="A31561" s="2">
        <v>43875.498217592598</v>
      </c>
      <c r="B31561" t="str">
        <f>HYPERLINK("https://twitter.com/mrrafiofficial","@mrrafiofficial")</f>
        <v>@mrrafiofficial</v>
      </c>
      <c r="C31561" t="s">
        <v>12312</v>
      </c>
      <c r="D31561">
        <v>10</v>
      </c>
      <c r="E31561">
        <v>0</v>
      </c>
      <c r="F31561">
        <v>30</v>
      </c>
    </row>
    <row r="31562" spans="1:6" ht="12.75">
      <c r="A31562" s="2">
        <v>43875.498194444444</v>
      </c>
      <c r="B31562" t="str">
        <f>HYPERLINK("https://twitter.com/CikalJsp","@CikalJsp")</f>
        <v>@CikalJsp</v>
      </c>
      <c r="C31562" t="s">
        <v>9835</v>
      </c>
      <c r="D31562">
        <v>5</v>
      </c>
      <c r="E31562">
        <v>0</v>
      </c>
      <c r="F31562">
        <v>148</v>
      </c>
    </row>
    <row r="31563" spans="1:6" ht="12.75">
      <c r="A31563" s="2">
        <v>43875.498136574075</v>
      </c>
      <c r="B31563" t="str">
        <f>HYPERLINK("https://twitter.com/ridwan2474","@ridwan2474")</f>
        <v>@ridwan2474</v>
      </c>
      <c r="C31563" t="s">
        <v>13228</v>
      </c>
      <c r="D31563">
        <v>0</v>
      </c>
      <c r="E31563">
        <v>0</v>
      </c>
      <c r="F31563">
        <v>97</v>
      </c>
    </row>
    <row r="31564" spans="1:6" ht="12.75">
      <c r="A31564" s="2">
        <v>43875.498078703706</v>
      </c>
      <c r="B31564" t="str">
        <f>HYPERLINK("https://twitter.com/LaingenLisa","@LaingenLisa")</f>
        <v>@LaingenLisa</v>
      </c>
      <c r="C31564" t="s">
        <v>2963</v>
      </c>
      <c r="D31564">
        <v>723</v>
      </c>
      <c r="E31564">
        <v>0</v>
      </c>
      <c r="F31564">
        <v>2820</v>
      </c>
    </row>
    <row r="31565" spans="1:6" ht="12.75">
      <c r="A31565" s="2">
        <v>43875.498067129629</v>
      </c>
      <c r="B31565" t="str">
        <f>HYPERLINK("https://twitter.com/TjahjoLoet","@TjahjoLoet")</f>
        <v>@TjahjoLoet</v>
      </c>
      <c r="C31565" t="s">
        <v>13229</v>
      </c>
      <c r="D31565">
        <v>1</v>
      </c>
      <c r="E31565">
        <v>0</v>
      </c>
      <c r="F31565">
        <v>1663</v>
      </c>
    </row>
    <row r="31566" spans="1:6" ht="12.75">
      <c r="A31566" s="2">
        <v>43875.498067129629</v>
      </c>
      <c r="B31566" t="str">
        <f>HYPERLINK("https://twitter.com/talyaaa__","@talyaaa__")</f>
        <v>@talyaaa__</v>
      </c>
      <c r="C31566" t="s">
        <v>2444</v>
      </c>
      <c r="D31566">
        <v>206</v>
      </c>
      <c r="E31566">
        <v>0</v>
      </c>
      <c r="F31566">
        <v>1444</v>
      </c>
    </row>
    <row r="31567" spans="1:6" ht="12.75">
      <c r="A31567" s="2">
        <v>43875.498020833329</v>
      </c>
      <c r="B31567" t="str">
        <f>HYPERLINK("https://twitter.com/bidadarijatoh","@bidadarijatoh")</f>
        <v>@bidadarijatoh</v>
      </c>
      <c r="C31567" t="s">
        <v>2137</v>
      </c>
      <c r="D31567">
        <v>54</v>
      </c>
      <c r="E31567">
        <v>0</v>
      </c>
      <c r="F31567">
        <v>94</v>
      </c>
    </row>
    <row r="31568" spans="1:6" ht="12.75">
      <c r="A31568" s="2">
        <v>43875.498020833329</v>
      </c>
      <c r="B31568" t="str">
        <f>HYPERLINK("https://twitter.com/gdsuhendra","@gdsuhendra")</f>
        <v>@gdsuhendra</v>
      </c>
      <c r="C31568" t="s">
        <v>13230</v>
      </c>
      <c r="D31568">
        <v>0</v>
      </c>
      <c r="E31568">
        <v>0</v>
      </c>
      <c r="F31568">
        <v>498</v>
      </c>
    </row>
    <row r="31569" spans="1:6" ht="12.75">
      <c r="A31569" s="2">
        <v>43875.497974537036</v>
      </c>
      <c r="B31569" t="str">
        <f>HYPERLINK("https://twitter.com/indragiri313","@indragiri313")</f>
        <v>@indragiri313</v>
      </c>
      <c r="C31569" t="s">
        <v>9746</v>
      </c>
      <c r="D31569">
        <v>66</v>
      </c>
      <c r="E31569">
        <v>0</v>
      </c>
      <c r="F31569">
        <v>936</v>
      </c>
    </row>
    <row r="31570" spans="1:6" ht="12.75">
      <c r="A31570" s="2">
        <v>43875.497962962967</v>
      </c>
      <c r="B31570" t="str">
        <f>HYPERLINK("https://twitter.com/Faniicuni","@Faniicuni")</f>
        <v>@Faniicuni</v>
      </c>
      <c r="C31570" t="s">
        <v>9981</v>
      </c>
      <c r="D31570">
        <v>23</v>
      </c>
      <c r="E31570">
        <v>0</v>
      </c>
      <c r="F31570">
        <v>966</v>
      </c>
    </row>
    <row r="31571" spans="1:6" ht="12.75">
      <c r="A31571" s="2">
        <v>43875.497824074075</v>
      </c>
      <c r="B31571" t="str">
        <f>HYPERLINK("https://twitter.com/budimandjatmiko","@budimandjatmiko")</f>
        <v>@budimandjatmiko</v>
      </c>
      <c r="C31571" t="s">
        <v>13231</v>
      </c>
      <c r="D31571">
        <v>4</v>
      </c>
      <c r="E31571">
        <v>13</v>
      </c>
      <c r="F31571">
        <v>788604</v>
      </c>
    </row>
    <row r="31572" spans="1:6" ht="12.75">
      <c r="A31572" s="2">
        <v>43875.497824074075</v>
      </c>
      <c r="B31572" t="str">
        <f>HYPERLINK("https://twitter.com/Dee13431735","@Dee13431735")</f>
        <v>@Dee13431735</v>
      </c>
      <c r="C31572" t="s">
        <v>13232</v>
      </c>
      <c r="D31572">
        <v>0</v>
      </c>
      <c r="E31572">
        <v>0</v>
      </c>
      <c r="F31572">
        <v>88</v>
      </c>
    </row>
    <row r="31573" spans="1:6" ht="12.75">
      <c r="A31573" s="2">
        <v>43875.497766203705</v>
      </c>
      <c r="B31573" t="str">
        <f>HYPERLINK("https://twitter.com/_antaresh","@_antaresh")</f>
        <v>@_antaresh</v>
      </c>
      <c r="C31573" t="s">
        <v>11773</v>
      </c>
      <c r="D31573">
        <v>2</v>
      </c>
      <c r="E31573">
        <v>0</v>
      </c>
      <c r="F31573">
        <v>3347</v>
      </c>
    </row>
    <row r="31574" spans="1:6" ht="12.75">
      <c r="A31574" s="2">
        <v>43875.497754629629</v>
      </c>
      <c r="B31574" t="str">
        <f>HYPERLINK("https://twitter.com/AbdMuin87293941","@AbdMuin87293941")</f>
        <v>@AbdMuin87293941</v>
      </c>
      <c r="C31574" t="s">
        <v>12044</v>
      </c>
      <c r="D31574">
        <v>47</v>
      </c>
      <c r="E31574">
        <v>0</v>
      </c>
      <c r="F31574">
        <v>110</v>
      </c>
    </row>
    <row r="31575" spans="1:6" ht="12.75">
      <c r="A31575" s="2">
        <v>43875.497673611113</v>
      </c>
      <c r="B31575" t="str">
        <f>HYPERLINK("https://twitter.com/janu__ar","@janu__ar")</f>
        <v>@janu__ar</v>
      </c>
      <c r="C31575" t="s">
        <v>2444</v>
      </c>
      <c r="D31575">
        <v>206</v>
      </c>
      <c r="E31575">
        <v>0</v>
      </c>
      <c r="F31575">
        <v>143</v>
      </c>
    </row>
    <row r="31576" spans="1:6" ht="12.75">
      <c r="A31576" s="2">
        <v>43875.497627314813</v>
      </c>
      <c r="B31576" t="str">
        <f>HYPERLINK("https://twitter.com/CetakTukang","@CetakTukang")</f>
        <v>@CetakTukang</v>
      </c>
      <c r="C31576" t="s">
        <v>13003</v>
      </c>
      <c r="D31576">
        <v>4</v>
      </c>
      <c r="E31576">
        <v>0</v>
      </c>
      <c r="F31576">
        <v>570</v>
      </c>
    </row>
    <row r="31577" spans="1:6" ht="12.75">
      <c r="A31577" s="2">
        <v>43875.497604166667</v>
      </c>
      <c r="B31577" t="str">
        <f>HYPERLINK("https://twitter.com/Ninahusnia","@Ninahusnia")</f>
        <v>@Ninahusnia</v>
      </c>
      <c r="C31577" t="s">
        <v>5168</v>
      </c>
      <c r="D31577">
        <v>540</v>
      </c>
      <c r="E31577">
        <v>0</v>
      </c>
      <c r="F31577">
        <v>430</v>
      </c>
    </row>
    <row r="31578" spans="1:6" ht="12.75">
      <c r="A31578" s="2">
        <v>43875.497523148151</v>
      </c>
      <c r="B31578" t="str">
        <f>HYPERLINK("https://twitter.com/ophenk_7aK","@ophenk_7aK")</f>
        <v>@ophenk_7aK</v>
      </c>
      <c r="C31578" t="s">
        <v>10096</v>
      </c>
      <c r="D31578">
        <v>95</v>
      </c>
      <c r="E31578">
        <v>0</v>
      </c>
      <c r="F31578">
        <v>304</v>
      </c>
    </row>
    <row r="31579" spans="1:6" ht="12.75">
      <c r="A31579" s="2">
        <v>43875.497511574074</v>
      </c>
      <c r="B31579" t="str">
        <f>HYPERLINK("https://twitter.com/beatrice_health","@beatrice_health")</f>
        <v>@beatrice_health</v>
      </c>
      <c r="C31579" t="s">
        <v>10666</v>
      </c>
      <c r="D31579">
        <v>2</v>
      </c>
      <c r="E31579">
        <v>0</v>
      </c>
      <c r="F31579">
        <v>64</v>
      </c>
    </row>
    <row r="31580" spans="1:6" ht="12.75">
      <c r="A31580" s="2">
        <v>43875.497476851851</v>
      </c>
      <c r="B31580" t="str">
        <f>HYPERLINK("https://twitter.com/masPandhu","@masPandhu")</f>
        <v>@masPandhu</v>
      </c>
      <c r="C31580" t="s">
        <v>10666</v>
      </c>
      <c r="D31580">
        <v>2</v>
      </c>
      <c r="E31580">
        <v>0</v>
      </c>
      <c r="F31580">
        <v>282</v>
      </c>
    </row>
    <row r="31581" spans="1:6" ht="12.75">
      <c r="A31581" s="2">
        <v>43875.497476851851</v>
      </c>
      <c r="B31581" t="str">
        <f>HYPERLINK("https://twitter.com/bmatana1","@bmatana1")</f>
        <v>@bmatana1</v>
      </c>
      <c r="C31581" t="s">
        <v>13233</v>
      </c>
      <c r="D31581">
        <v>0</v>
      </c>
      <c r="E31581">
        <v>0</v>
      </c>
      <c r="F31581">
        <v>161</v>
      </c>
    </row>
    <row r="31582" spans="1:6" ht="12.75">
      <c r="A31582" s="2">
        <v>43875.497465277775</v>
      </c>
      <c r="B31582" t="str">
        <f>HYPERLINK("https://twitter.com/rinkakuna","@rinkakuna")</f>
        <v>@rinkakuna</v>
      </c>
      <c r="C31582" t="s">
        <v>9746</v>
      </c>
      <c r="D31582">
        <v>66</v>
      </c>
      <c r="E31582">
        <v>0</v>
      </c>
      <c r="F31582">
        <v>622</v>
      </c>
    </row>
    <row r="31583" spans="1:6" ht="12.75">
      <c r="A31583" s="2">
        <v>43875.497418981482</v>
      </c>
      <c r="B31583" t="str">
        <f>HYPERLINK("https://twitter.com/OldJoe771","@OldJoe771")</f>
        <v>@OldJoe771</v>
      </c>
      <c r="C31583" t="s">
        <v>9746</v>
      </c>
      <c r="D31583">
        <v>66</v>
      </c>
      <c r="E31583">
        <v>0</v>
      </c>
      <c r="F31583">
        <v>311</v>
      </c>
    </row>
    <row r="31584" spans="1:6" ht="12.75">
      <c r="A31584" s="2">
        <v>43875.497384259259</v>
      </c>
      <c r="B31584" t="str">
        <f>HYPERLINK("https://twitter.com/veva_nova","@veva_nova")</f>
        <v>@veva_nova</v>
      </c>
      <c r="C31584" t="s">
        <v>12964</v>
      </c>
      <c r="D31584">
        <v>3</v>
      </c>
      <c r="E31584">
        <v>0</v>
      </c>
      <c r="F31584">
        <v>155</v>
      </c>
    </row>
    <row r="31585" spans="1:6" ht="12.75">
      <c r="A31585" s="2">
        <v>43875.49726851852</v>
      </c>
      <c r="B31585" t="str">
        <f>HYPERLINK("https://twitter.com/Puteriswift_","@Puteriswift_")</f>
        <v>@Puteriswift_</v>
      </c>
      <c r="C31585" t="s">
        <v>13234</v>
      </c>
      <c r="D31585">
        <v>0</v>
      </c>
      <c r="E31585">
        <v>0</v>
      </c>
      <c r="F31585">
        <v>285</v>
      </c>
    </row>
    <row r="31586" spans="1:6" ht="12.75">
      <c r="A31586" s="2">
        <v>43875.497256944444</v>
      </c>
      <c r="B31586" t="str">
        <f>HYPERLINK("https://twitter.com/crushnctnee","@crushnctnee")</f>
        <v>@crushnctnee</v>
      </c>
      <c r="C31586" t="s">
        <v>13235</v>
      </c>
      <c r="D31586">
        <v>0</v>
      </c>
      <c r="E31586">
        <v>0</v>
      </c>
      <c r="F31586">
        <v>542</v>
      </c>
    </row>
    <row r="31587" spans="1:6" ht="12.75">
      <c r="A31587" s="2">
        <v>43875.497210648144</v>
      </c>
      <c r="B31587" t="str">
        <f>HYPERLINK("https://twitter.com/basictapiasic","@basictapiasic")</f>
        <v>@basictapiasic</v>
      </c>
      <c r="C31587" t="s">
        <v>5168</v>
      </c>
      <c r="D31587">
        <v>540</v>
      </c>
      <c r="E31587">
        <v>0</v>
      </c>
      <c r="F31587">
        <v>621</v>
      </c>
    </row>
    <row r="31588" spans="1:6" ht="12.75">
      <c r="A31588" s="2">
        <v>43875.497187500005</v>
      </c>
      <c r="B31588" t="str">
        <f>HYPERLINK("https://twitter.com/mieayam70407440","@mieayam70407440")</f>
        <v>@mieayam70407440</v>
      </c>
      <c r="C31588" t="s">
        <v>13236</v>
      </c>
      <c r="D31588">
        <v>0</v>
      </c>
      <c r="E31588">
        <v>0</v>
      </c>
      <c r="F31588">
        <v>4</v>
      </c>
    </row>
    <row r="31589" spans="1:6" ht="12.75">
      <c r="A31589" s="2">
        <v>43875.497141203705</v>
      </c>
      <c r="B31589" t="str">
        <f>HYPERLINK("https://twitter.com/toedjoetiga","@toedjoetiga")</f>
        <v>@toedjoetiga</v>
      </c>
      <c r="C31589" t="s">
        <v>12985</v>
      </c>
      <c r="D31589">
        <v>1</v>
      </c>
      <c r="E31589">
        <v>0</v>
      </c>
      <c r="F31589">
        <v>1199</v>
      </c>
    </row>
    <row r="31590" spans="1:6" ht="12.75">
      <c r="A31590" s="2">
        <v>43875.497083333335</v>
      </c>
      <c r="B31590" t="str">
        <f>HYPERLINK("https://twitter.com/OktadiaLM","@OktadiaLM")</f>
        <v>@OktadiaLM</v>
      </c>
      <c r="C31590" t="s">
        <v>13237</v>
      </c>
      <c r="D31590">
        <v>971</v>
      </c>
      <c r="E31590">
        <v>0</v>
      </c>
      <c r="F31590">
        <v>42</v>
      </c>
    </row>
    <row r="31591" spans="1:6" ht="12.75">
      <c r="A31591" s="2">
        <v>43875.496990740736</v>
      </c>
      <c r="B31591" t="str">
        <f>HYPERLINK("https://twitter.com/Prayogasandy64","@Prayogasandy64")</f>
        <v>@Prayogasandy64</v>
      </c>
      <c r="C31591" t="s">
        <v>13238</v>
      </c>
      <c r="D31591">
        <v>0</v>
      </c>
      <c r="E31591">
        <v>0</v>
      </c>
      <c r="F31591">
        <v>0</v>
      </c>
    </row>
    <row r="31592" spans="1:6" ht="12.75">
      <c r="A31592" s="2">
        <v>43875.49695601852</v>
      </c>
      <c r="B31592" t="str">
        <f>HYPERLINK("https://twitter.com/urehheru","@urehheru")</f>
        <v>@urehheru</v>
      </c>
      <c r="C31592" t="s">
        <v>8233</v>
      </c>
      <c r="D31592">
        <v>377</v>
      </c>
      <c r="E31592">
        <v>0</v>
      </c>
      <c r="F31592">
        <v>434</v>
      </c>
    </row>
    <row r="31593" spans="1:6" ht="12.75">
      <c r="A31593" s="2">
        <v>43875.496828703705</v>
      </c>
      <c r="B31593" t="str">
        <f>HYPERLINK("https://twitter.com/parsaulian128","@parsaulian128")</f>
        <v>@parsaulian128</v>
      </c>
      <c r="C31593" t="s">
        <v>13239</v>
      </c>
      <c r="D31593">
        <v>0</v>
      </c>
      <c r="E31593">
        <v>0</v>
      </c>
      <c r="F31593">
        <v>579</v>
      </c>
    </row>
    <row r="31594" spans="1:6" ht="12.75">
      <c r="A31594" s="2">
        <v>43875.496817129635</v>
      </c>
      <c r="B31594" t="str">
        <f>HYPERLINK("https://twitter.com/aanK_K11","@aanK_K11")</f>
        <v>@aanK_K11</v>
      </c>
      <c r="C31594" t="s">
        <v>9962</v>
      </c>
      <c r="D31594">
        <v>15</v>
      </c>
      <c r="E31594">
        <v>0</v>
      </c>
      <c r="F31594">
        <v>41</v>
      </c>
    </row>
    <row r="31595" spans="1:6" ht="12.75">
      <c r="A31595" s="2">
        <v>43875.496817129635</v>
      </c>
      <c r="B31595" t="str">
        <f>HYPERLINK("https://twitter.com/adiarthabudasi","@adiarthabudasi")</f>
        <v>@adiarthabudasi</v>
      </c>
      <c r="C31595" t="s">
        <v>9021</v>
      </c>
      <c r="D31595">
        <v>176</v>
      </c>
      <c r="E31595">
        <v>0</v>
      </c>
      <c r="F31595">
        <v>324</v>
      </c>
    </row>
    <row r="31596" spans="1:6" ht="12.75">
      <c r="A31596" s="2">
        <v>43875.496770833328</v>
      </c>
      <c r="B31596" t="str">
        <f>HYPERLINK("https://twitter.com/Jossie_w15","@Jossie_w15")</f>
        <v>@Jossie_w15</v>
      </c>
      <c r="C31596" t="s">
        <v>2963</v>
      </c>
      <c r="D31596">
        <v>723</v>
      </c>
      <c r="E31596">
        <v>0</v>
      </c>
      <c r="F31596">
        <v>2</v>
      </c>
    </row>
    <row r="31597" spans="1:6" ht="12.75">
      <c r="A31597" s="2">
        <v>43875.496759259258</v>
      </c>
      <c r="B31597" t="str">
        <f>HYPERLINK("https://twitter.com/amalial59210614","@amalial59210614")</f>
        <v>@amalial59210614</v>
      </c>
      <c r="C31597" t="s">
        <v>13240</v>
      </c>
      <c r="D31597">
        <v>0</v>
      </c>
      <c r="E31597">
        <v>0</v>
      </c>
      <c r="F31597">
        <v>265</v>
      </c>
    </row>
    <row r="31598" spans="1:6" ht="12.75">
      <c r="A31598" s="2">
        <v>43875.496689814812</v>
      </c>
      <c r="B31598" t="str">
        <f>HYPERLINK("https://twitter.com/alrcyd","@alrcyd")</f>
        <v>@alrcyd</v>
      </c>
      <c r="C31598" t="s">
        <v>2444</v>
      </c>
      <c r="D31598">
        <v>206</v>
      </c>
      <c r="E31598">
        <v>0</v>
      </c>
      <c r="F31598">
        <v>128</v>
      </c>
    </row>
    <row r="31599" spans="1:6" ht="12.75">
      <c r="A31599" s="2">
        <v>43875.496655092589</v>
      </c>
      <c r="B31599" t="str">
        <f>HYPERLINK("https://twitter.com/suherma90911292","@suherma90911292")</f>
        <v>@suherma90911292</v>
      </c>
      <c r="C31599" t="s">
        <v>2133</v>
      </c>
      <c r="D31599">
        <v>92</v>
      </c>
      <c r="E31599">
        <v>0</v>
      </c>
      <c r="F31599">
        <v>32</v>
      </c>
    </row>
    <row r="31600" spans="1:6" ht="12.75">
      <c r="A31600" s="2">
        <v>43875.49664351852</v>
      </c>
      <c r="B31600" t="str">
        <f>HYPERLINK("https://twitter.com/widiyanto952","@widiyanto952")</f>
        <v>@widiyanto952</v>
      </c>
      <c r="C31600" t="s">
        <v>175</v>
      </c>
      <c r="D31600">
        <v>5256</v>
      </c>
      <c r="E31600">
        <v>0</v>
      </c>
      <c r="F31600">
        <v>35</v>
      </c>
    </row>
    <row r="31601" spans="1:6" ht="12.75">
      <c r="A31601" s="2">
        <v>43875.496631944443</v>
      </c>
      <c r="B31601" t="str">
        <f>HYPERLINK("https://twitter.com/Shevaesque","@Shevaesque")</f>
        <v>@Shevaesque</v>
      </c>
      <c r="C31601" t="s">
        <v>2444</v>
      </c>
      <c r="D31601">
        <v>206</v>
      </c>
      <c r="E31601">
        <v>0</v>
      </c>
      <c r="F31601">
        <v>19</v>
      </c>
    </row>
    <row r="31602" spans="1:6" ht="12.75">
      <c r="A31602" s="2">
        <v>43875.496620370366</v>
      </c>
      <c r="B31602" t="str">
        <f>HYPERLINK("https://twitter.com/zainala66","@zainala66")</f>
        <v>@zainala66</v>
      </c>
      <c r="C31602" t="s">
        <v>2144</v>
      </c>
      <c r="D31602">
        <v>58</v>
      </c>
      <c r="E31602">
        <v>0</v>
      </c>
      <c r="F31602">
        <v>144</v>
      </c>
    </row>
    <row r="31603" spans="1:6" ht="12.75">
      <c r="A31603" s="2">
        <v>43875.496597222227</v>
      </c>
      <c r="B31603" t="str">
        <f>HYPERLINK("https://twitter.com/rohmah__29","@rohmah__29")</f>
        <v>@rohmah__29</v>
      </c>
      <c r="C31603" t="s">
        <v>2444</v>
      </c>
      <c r="D31603">
        <v>206</v>
      </c>
      <c r="E31603">
        <v>0</v>
      </c>
      <c r="F31603">
        <v>182</v>
      </c>
    </row>
    <row r="31604" spans="1:6" ht="12.75">
      <c r="A31604" s="2">
        <v>43875.496597222227</v>
      </c>
      <c r="B31604" t="str">
        <f>HYPERLINK("https://twitter.com/nightywonder","@nightywonder")</f>
        <v>@nightywonder</v>
      </c>
      <c r="C31604" t="s">
        <v>2444</v>
      </c>
      <c r="D31604">
        <v>206</v>
      </c>
      <c r="E31604">
        <v>0</v>
      </c>
      <c r="F31604">
        <v>1058</v>
      </c>
    </row>
    <row r="31605" spans="1:6" ht="12.75">
      <c r="A31605" s="2">
        <v>43875.496516203704</v>
      </c>
      <c r="B31605" t="str">
        <f>HYPERLINK("https://twitter.com/zainala66","@zainala66")</f>
        <v>@zainala66</v>
      </c>
      <c r="C31605" t="s">
        <v>2963</v>
      </c>
      <c r="D31605">
        <v>723</v>
      </c>
      <c r="E31605">
        <v>0</v>
      </c>
      <c r="F31605">
        <v>144</v>
      </c>
    </row>
    <row r="31606" spans="1:6" ht="12.75">
      <c r="A31606" s="2">
        <v>43875.496435185181</v>
      </c>
      <c r="B31606" t="str">
        <f>HYPERLINK("https://twitter.com/r36un","@r36un")</f>
        <v>@r36un</v>
      </c>
      <c r="C31606" t="s">
        <v>13241</v>
      </c>
      <c r="D31606">
        <v>0</v>
      </c>
      <c r="E31606">
        <v>0</v>
      </c>
      <c r="F31606">
        <v>6</v>
      </c>
    </row>
    <row r="31607" spans="1:6" ht="12.75">
      <c r="A31607" s="2">
        <v>43875.496377314819</v>
      </c>
      <c r="B31607" t="str">
        <f>HYPERLINK("https://twitter.com/Adriaranta1","@Adriaranta1")</f>
        <v>@Adriaranta1</v>
      </c>
      <c r="C31607" t="s">
        <v>13242</v>
      </c>
      <c r="D31607">
        <v>1</v>
      </c>
      <c r="E31607">
        <v>0</v>
      </c>
      <c r="F31607">
        <v>459</v>
      </c>
    </row>
    <row r="31608" spans="1:6" ht="12.75">
      <c r="A31608" s="2">
        <v>43875.496307870373</v>
      </c>
      <c r="B31608" t="str">
        <f>HYPERLINK("https://twitter.com/adi_nufan","@adi_nufan")</f>
        <v>@adi_nufan</v>
      </c>
      <c r="C31608" t="s">
        <v>9947</v>
      </c>
      <c r="D31608">
        <v>325</v>
      </c>
      <c r="E31608">
        <v>0</v>
      </c>
      <c r="F31608">
        <v>120</v>
      </c>
    </row>
    <row r="31609" spans="1:6" ht="12.75">
      <c r="A31609" s="2">
        <v>43875.496296296296</v>
      </c>
      <c r="B31609" t="str">
        <f>HYPERLINK("https://twitter.com/hudakalimullah","@hudakalimullah")</f>
        <v>@hudakalimullah</v>
      </c>
      <c r="C31609" t="s">
        <v>10410</v>
      </c>
      <c r="D31609">
        <v>2</v>
      </c>
      <c r="E31609">
        <v>0</v>
      </c>
      <c r="F31609">
        <v>2308</v>
      </c>
    </row>
    <row r="31610" spans="1:6" ht="12.75">
      <c r="A31610" s="2">
        <v>43875.496261574073</v>
      </c>
      <c r="B31610" t="str">
        <f>HYPERLINK("https://twitter.com/muhajir_tb","@muhajir_tb")</f>
        <v>@muhajir_tb</v>
      </c>
      <c r="C31610" t="s">
        <v>8881</v>
      </c>
      <c r="D31610">
        <v>264</v>
      </c>
      <c r="E31610">
        <v>0</v>
      </c>
      <c r="F31610">
        <v>16</v>
      </c>
    </row>
    <row r="31611" spans="1:6" ht="12.75">
      <c r="A31611" s="2">
        <v>43875.496261574073</v>
      </c>
      <c r="B31611" t="str">
        <f>HYPERLINK("https://twitter.com/yazid_fadhlan","@yazid_fadhlan")</f>
        <v>@yazid_fadhlan</v>
      </c>
      <c r="C31611" t="s">
        <v>13243</v>
      </c>
      <c r="D31611">
        <v>3</v>
      </c>
      <c r="E31611">
        <v>0</v>
      </c>
      <c r="F31611">
        <v>616</v>
      </c>
    </row>
    <row r="31612" spans="1:6" ht="12.75">
      <c r="A31612" s="2">
        <v>43875.496249999997</v>
      </c>
      <c r="B31612" t="str">
        <f>HYPERLINK("https://twitter.com/ratu_adil","@ratu_adil")</f>
        <v>@ratu_adil</v>
      </c>
      <c r="C31612" t="s">
        <v>13244</v>
      </c>
      <c r="D31612">
        <v>1</v>
      </c>
      <c r="E31612">
        <v>0</v>
      </c>
      <c r="F31612">
        <v>52877</v>
      </c>
    </row>
    <row r="31613" spans="1:6" ht="12.75">
      <c r="A31613" s="2">
        <v>43875.49618055555</v>
      </c>
      <c r="B31613" t="str">
        <f>HYPERLINK("https://twitter.com/windarto25017","@windarto25017")</f>
        <v>@windarto25017</v>
      </c>
      <c r="C31613" t="s">
        <v>9947</v>
      </c>
      <c r="D31613">
        <v>325</v>
      </c>
      <c r="E31613">
        <v>0</v>
      </c>
      <c r="F31613">
        <v>29</v>
      </c>
    </row>
    <row r="31614" spans="1:6" ht="12.75">
      <c r="A31614" s="2">
        <v>43875.496168981481</v>
      </c>
      <c r="B31614" t="str">
        <f>HYPERLINK("https://twitter.com/NannyAlexendry","@NannyAlexendry")</f>
        <v>@NannyAlexendry</v>
      </c>
      <c r="C31614" t="s">
        <v>13245</v>
      </c>
      <c r="D31614">
        <v>12</v>
      </c>
      <c r="E31614">
        <v>0</v>
      </c>
      <c r="F31614">
        <v>2878</v>
      </c>
    </row>
    <row r="31615" spans="1:6" ht="12.75">
      <c r="A31615" s="2">
        <v>43875.496145833335</v>
      </c>
      <c r="B31615" t="str">
        <f>HYPERLINK("https://twitter.com/Hichkai","@Hichkai")</f>
        <v>@Hichkai</v>
      </c>
      <c r="C31615" t="s">
        <v>13246</v>
      </c>
      <c r="D31615">
        <v>0</v>
      </c>
      <c r="E31615">
        <v>0</v>
      </c>
      <c r="F31615">
        <v>2678</v>
      </c>
    </row>
    <row r="31616" spans="1:6" ht="12.75">
      <c r="A31616" s="2">
        <v>43875.496041666665</v>
      </c>
      <c r="B31616" t="str">
        <f>HYPERLINK("https://twitter.com/gendro_kesesi","@gendro_kesesi")</f>
        <v>@gendro_kesesi</v>
      </c>
      <c r="C31616" t="s">
        <v>11044</v>
      </c>
      <c r="D31616">
        <v>4</v>
      </c>
      <c r="E31616">
        <v>0</v>
      </c>
      <c r="F31616">
        <v>948</v>
      </c>
    </row>
    <row r="31617" spans="1:6" ht="12.75">
      <c r="A31617" s="2">
        <v>43875.495983796296</v>
      </c>
      <c r="B31617" t="str">
        <f>HYPERLINK("https://twitter.com/127_MarkHyuck","@127_MarkHyuck")</f>
        <v>@127_MarkHyuck</v>
      </c>
      <c r="C31617" t="s">
        <v>2444</v>
      </c>
      <c r="D31617">
        <v>206</v>
      </c>
      <c r="E31617">
        <v>0</v>
      </c>
      <c r="F31617">
        <v>140</v>
      </c>
    </row>
    <row r="31618" spans="1:6" ht="12.75">
      <c r="A31618" s="2">
        <v>43875.495983796296</v>
      </c>
      <c r="B31618" t="str">
        <f>HYPERLINK("https://twitter.com/tariwian_","@tariwian_")</f>
        <v>@tariwian_</v>
      </c>
      <c r="C31618" t="s">
        <v>2444</v>
      </c>
      <c r="D31618">
        <v>206</v>
      </c>
      <c r="E31618">
        <v>0</v>
      </c>
      <c r="F31618">
        <v>254</v>
      </c>
    </row>
    <row r="31619" spans="1:6" ht="12.75">
      <c r="A31619" s="2">
        <v>43875.495972222227</v>
      </c>
      <c r="B31619" t="str">
        <f>HYPERLINK("https://twitter.com/retweeterer_","@retweeterer_")</f>
        <v>@retweeterer_</v>
      </c>
      <c r="C31619" t="s">
        <v>9538</v>
      </c>
      <c r="D31619">
        <v>122</v>
      </c>
      <c r="E31619">
        <v>0</v>
      </c>
      <c r="F31619">
        <v>360</v>
      </c>
    </row>
    <row r="31620" spans="1:6" ht="12.75">
      <c r="A31620" s="2">
        <v>43875.495925925927</v>
      </c>
      <c r="B31620" t="str">
        <f>HYPERLINK("https://twitter.com/elfrass","@elfrass")</f>
        <v>@elfrass</v>
      </c>
      <c r="C31620" t="s">
        <v>13247</v>
      </c>
      <c r="D31620">
        <v>0</v>
      </c>
      <c r="E31620">
        <v>0</v>
      </c>
      <c r="F31620">
        <v>334</v>
      </c>
    </row>
    <row r="31621" spans="1:6" ht="12.75">
      <c r="A31621" s="2">
        <v>43875.495856481481</v>
      </c>
      <c r="B31621" t="str">
        <f>HYPERLINK("https://twitter.com/ikhwan2a","@ikhwan2a")</f>
        <v>@ikhwan2a</v>
      </c>
      <c r="C31621" t="s">
        <v>12954</v>
      </c>
      <c r="D31621">
        <v>0</v>
      </c>
      <c r="E31621">
        <v>0</v>
      </c>
      <c r="F31621">
        <v>5602</v>
      </c>
    </row>
    <row r="31622" spans="1:6" ht="12.75">
      <c r="A31622" s="2">
        <v>43875.495856481481</v>
      </c>
      <c r="B31622" t="str">
        <f>HYPERLINK("https://twitter.com/abadikinicom","@abadikinicom")</f>
        <v>@abadikinicom</v>
      </c>
      <c r="C31622" t="s">
        <v>12307</v>
      </c>
      <c r="D31622">
        <v>0</v>
      </c>
      <c r="E31622">
        <v>0</v>
      </c>
      <c r="F31622">
        <v>5379</v>
      </c>
    </row>
    <row r="31623" spans="1:6" ht="12.75">
      <c r="A31623" s="2">
        <v>43875.495775462958</v>
      </c>
      <c r="B31623" t="str">
        <f>HYPERLINK("https://twitter.com/maria181166","@maria181166")</f>
        <v>@maria181166</v>
      </c>
      <c r="C31623" t="s">
        <v>10266</v>
      </c>
      <c r="D31623">
        <v>257</v>
      </c>
      <c r="E31623">
        <v>0</v>
      </c>
      <c r="F31623">
        <v>196</v>
      </c>
    </row>
    <row r="31624" spans="1:6" ht="12.75">
      <c r="A31624" s="2">
        <v>43875.495706018519</v>
      </c>
      <c r="B31624" t="str">
        <f>HYPERLINK("https://twitter.com/AsepIra44314224","@AsepIra44314224")</f>
        <v>@AsepIra44314224</v>
      </c>
      <c r="C31624" t="s">
        <v>9096</v>
      </c>
      <c r="D31624">
        <v>179</v>
      </c>
      <c r="E31624">
        <v>0</v>
      </c>
      <c r="F31624">
        <v>178</v>
      </c>
    </row>
    <row r="31625" spans="1:6" ht="12.75">
      <c r="A31625" s="2">
        <v>43875.49554398148</v>
      </c>
      <c r="B31625" t="str">
        <f>HYPERLINK("https://twitter.com/aulia2199","@aulia2199")</f>
        <v>@aulia2199</v>
      </c>
      <c r="C31625" t="s">
        <v>12468</v>
      </c>
      <c r="D31625">
        <v>4</v>
      </c>
      <c r="E31625">
        <v>0</v>
      </c>
      <c r="F31625">
        <v>121</v>
      </c>
    </row>
    <row r="31626" spans="1:6" ht="12.75">
      <c r="A31626" s="2">
        <v>43875.495532407411</v>
      </c>
      <c r="B31626" t="str">
        <f>HYPERLINK("https://twitter.com/ratu_adil","@ratu_adil")</f>
        <v>@ratu_adil</v>
      </c>
      <c r="C31626" t="s">
        <v>13248</v>
      </c>
      <c r="D31626">
        <v>0</v>
      </c>
      <c r="E31626">
        <v>0</v>
      </c>
      <c r="F31626">
        <v>52877</v>
      </c>
    </row>
    <row r="31627" spans="1:6" ht="12.75">
      <c r="A31627" s="2">
        <v>43875.495509259257</v>
      </c>
      <c r="B31627" t="str">
        <f>HYPERLINK("https://twitter.com/metrojambi","@metrojambi")</f>
        <v>@metrojambi</v>
      </c>
      <c r="C31627" t="s">
        <v>13249</v>
      </c>
      <c r="D31627">
        <v>0</v>
      </c>
      <c r="E31627">
        <v>0</v>
      </c>
      <c r="F31627">
        <v>4692</v>
      </c>
    </row>
    <row r="31628" spans="1:6" ht="12.75">
      <c r="A31628" s="2">
        <v>43875.495509259257</v>
      </c>
      <c r="B31628" t="str">
        <f>HYPERLINK("https://twitter.com/wisanggeni_084","@wisanggeni_084")</f>
        <v>@wisanggeni_084</v>
      </c>
      <c r="C31628" t="s">
        <v>2963</v>
      </c>
      <c r="D31628">
        <v>723</v>
      </c>
      <c r="E31628">
        <v>0</v>
      </c>
      <c r="F31628">
        <v>15818</v>
      </c>
    </row>
    <row r="31629" spans="1:6" ht="12.75">
      <c r="A31629" s="2">
        <v>43875.495474537034</v>
      </c>
      <c r="B31629" t="str">
        <f>HYPERLINK("https://twitter.com/hasrat_qalbu","@hasrat_qalbu")</f>
        <v>@hasrat_qalbu</v>
      </c>
      <c r="C31629" t="s">
        <v>2963</v>
      </c>
      <c r="D31629">
        <v>723</v>
      </c>
      <c r="E31629">
        <v>0</v>
      </c>
      <c r="F31629">
        <v>2287</v>
      </c>
    </row>
    <row r="31630" spans="1:6" ht="12.75">
      <c r="A31630" s="2">
        <v>43875.495416666672</v>
      </c>
      <c r="B31630" t="str">
        <f>HYPERLINK("https://twitter.com/Tricaesar4","@Tricaesar4")</f>
        <v>@Tricaesar4</v>
      </c>
      <c r="C31630" t="s">
        <v>8233</v>
      </c>
      <c r="D31630">
        <v>377</v>
      </c>
      <c r="E31630">
        <v>0</v>
      </c>
      <c r="F31630">
        <v>2</v>
      </c>
    </row>
    <row r="31631" spans="1:6" ht="12.75">
      <c r="A31631" s="2">
        <v>43875.495358796295</v>
      </c>
      <c r="B31631" t="str">
        <f>HYPERLINK("https://twitter.com/maria181166","@maria181166")</f>
        <v>@maria181166</v>
      </c>
      <c r="C31631" t="s">
        <v>12794</v>
      </c>
      <c r="D31631">
        <v>67</v>
      </c>
      <c r="E31631">
        <v>0</v>
      </c>
      <c r="F31631">
        <v>196</v>
      </c>
    </row>
    <row r="31632" spans="1:6" ht="12.75">
      <c r="A31632" s="2">
        <v>43875.495312500003</v>
      </c>
      <c r="B31632" t="str">
        <f>HYPERLINK("https://twitter.com/pmrizall","@pmrizall")</f>
        <v>@pmrizall</v>
      </c>
      <c r="C31632" t="s">
        <v>13250</v>
      </c>
      <c r="D31632">
        <v>0</v>
      </c>
      <c r="E31632">
        <v>0</v>
      </c>
      <c r="F31632">
        <v>106</v>
      </c>
    </row>
    <row r="31633" spans="1:6" ht="12.75">
      <c r="A31633" s="2">
        <v>43875.49527777778</v>
      </c>
      <c r="B31633" t="str">
        <f>HYPERLINK("https://twitter.com/Hantoro21","@Hantoro21")</f>
        <v>@Hantoro21</v>
      </c>
      <c r="C31633" t="s">
        <v>2444</v>
      </c>
      <c r="D31633">
        <v>206</v>
      </c>
      <c r="E31633">
        <v>0</v>
      </c>
      <c r="F31633">
        <v>336</v>
      </c>
    </row>
    <row r="31634" spans="1:6" ht="12.75">
      <c r="A31634" s="2">
        <v>43875.495243055557</v>
      </c>
      <c r="B31634" t="str">
        <f>HYPERLINK("https://twitter.com/Hidayat70850591","@Hidayat70850591")</f>
        <v>@Hidayat70850591</v>
      </c>
      <c r="C31634" t="s">
        <v>13251</v>
      </c>
      <c r="D31634">
        <v>0</v>
      </c>
      <c r="E31634">
        <v>0</v>
      </c>
      <c r="F31634">
        <v>3</v>
      </c>
    </row>
    <row r="31635" spans="1:6" ht="12.75">
      <c r="A31635" s="2">
        <v>43875.49523148148</v>
      </c>
      <c r="B31635" t="str">
        <f>HYPERLINK("https://twitter.com/potatobeasty","@potatobeasty")</f>
        <v>@potatobeasty</v>
      </c>
      <c r="C31635" t="s">
        <v>5168</v>
      </c>
      <c r="D31635">
        <v>540</v>
      </c>
      <c r="E31635">
        <v>0</v>
      </c>
      <c r="F31635">
        <v>882</v>
      </c>
    </row>
    <row r="31636" spans="1:6" ht="12.75">
      <c r="A31636" s="2">
        <v>43875.49518518518</v>
      </c>
      <c r="B31636" t="str">
        <f>HYPERLINK("https://twitter.com/HrPuspita","@HrPuspita")</f>
        <v>@HrPuspita</v>
      </c>
      <c r="C31636" t="s">
        <v>13252</v>
      </c>
      <c r="D31636">
        <v>0</v>
      </c>
      <c r="E31636">
        <v>0</v>
      </c>
      <c r="F31636">
        <v>110</v>
      </c>
    </row>
    <row r="31637" spans="1:6" ht="12.75">
      <c r="A31637" s="2">
        <v>43875.495115740741</v>
      </c>
      <c r="B31637" t="str">
        <f>HYPERLINK("https://twitter.com/muhajir_tb","@muhajir_tb")</f>
        <v>@muhajir_tb</v>
      </c>
      <c r="C31637" t="s">
        <v>2963</v>
      </c>
      <c r="D31637">
        <v>723</v>
      </c>
      <c r="E31637">
        <v>0</v>
      </c>
      <c r="F31637">
        <v>16</v>
      </c>
    </row>
    <row r="31638" spans="1:6" ht="12.75">
      <c r="A31638" s="2">
        <v>43875.495069444441</v>
      </c>
      <c r="B31638" t="str">
        <f>HYPERLINK("https://twitter.com/Deliana57939903","@Deliana57939903")</f>
        <v>@Deliana57939903</v>
      </c>
      <c r="C31638" t="s">
        <v>9096</v>
      </c>
      <c r="D31638">
        <v>179</v>
      </c>
      <c r="E31638">
        <v>0</v>
      </c>
      <c r="F31638">
        <v>8</v>
      </c>
    </row>
    <row r="31639" spans="1:6" ht="12.75">
      <c r="A31639" s="2">
        <v>43875.495046296295</v>
      </c>
      <c r="B31639" t="str">
        <f>HYPERLINK("https://twitter.com/ldfatho","@ldfatho")</f>
        <v>@ldfatho</v>
      </c>
      <c r="C31639" t="s">
        <v>9746</v>
      </c>
      <c r="D31639">
        <v>66</v>
      </c>
      <c r="E31639">
        <v>0</v>
      </c>
      <c r="F31639">
        <v>2369</v>
      </c>
    </row>
    <row r="31640" spans="1:6" ht="12.75">
      <c r="A31640" s="2">
        <v>43875.495023148149</v>
      </c>
      <c r="B31640" t="str">
        <f>HYPERLINK("https://twitter.com/nius77","@nius77")</f>
        <v>@nius77</v>
      </c>
      <c r="C31640" t="s">
        <v>8233</v>
      </c>
      <c r="D31640">
        <v>377</v>
      </c>
      <c r="E31640">
        <v>0</v>
      </c>
      <c r="F31640">
        <v>3180</v>
      </c>
    </row>
    <row r="31641" spans="1:6" ht="12.75">
      <c r="A31641" s="2">
        <v>43875.494999999995</v>
      </c>
      <c r="B31641" t="str">
        <f>HYPERLINK("https://twitter.com/astarisburn","@astarisburn")</f>
        <v>@astarisburn</v>
      </c>
      <c r="C31641" t="s">
        <v>2444</v>
      </c>
      <c r="D31641">
        <v>206</v>
      </c>
      <c r="E31641">
        <v>0</v>
      </c>
      <c r="F31641">
        <v>366</v>
      </c>
    </row>
    <row r="31642" spans="1:6" ht="12.75">
      <c r="A31642" s="2">
        <v>43875.49491898148</v>
      </c>
      <c r="B31642" t="str">
        <f>HYPERLINK("https://twitter.com/cloudydaff","@cloudydaff")</f>
        <v>@cloudydaff</v>
      </c>
      <c r="C31642" t="s">
        <v>2444</v>
      </c>
      <c r="D31642">
        <v>206</v>
      </c>
      <c r="E31642">
        <v>0</v>
      </c>
      <c r="F31642">
        <v>172</v>
      </c>
    </row>
    <row r="31643" spans="1:6" ht="12.75">
      <c r="A31643" s="2">
        <v>43875.494803240741</v>
      </c>
      <c r="B31643" t="str">
        <f>HYPERLINK("https://twitter.com/ratu_adil","@ratu_adil")</f>
        <v>@ratu_adil</v>
      </c>
      <c r="C31643" t="s">
        <v>13253</v>
      </c>
      <c r="D31643">
        <v>0</v>
      </c>
      <c r="E31643">
        <v>1</v>
      </c>
      <c r="F31643">
        <v>52877</v>
      </c>
    </row>
    <row r="31644" spans="1:6" ht="12.75">
      <c r="A31644" s="2">
        <v>43875.494664351849</v>
      </c>
      <c r="B31644" t="str">
        <f>HYPERLINK("https://twitter.com/SemaneiD","@SemaneiD")</f>
        <v>@SemaneiD</v>
      </c>
      <c r="C31644" t="s">
        <v>9835</v>
      </c>
      <c r="D31644">
        <v>5</v>
      </c>
      <c r="E31644">
        <v>0</v>
      </c>
      <c r="F31644">
        <v>49</v>
      </c>
    </row>
    <row r="31645" spans="1:6" ht="12.75">
      <c r="A31645" s="2">
        <v>43875.494664351849</v>
      </c>
      <c r="B31645" t="str">
        <f>HYPERLINK("https://twitter.com/ifrohasyim","@ifrohasyim")</f>
        <v>@ifrohasyim</v>
      </c>
      <c r="C31645" t="s">
        <v>2444</v>
      </c>
      <c r="D31645">
        <v>206</v>
      </c>
      <c r="E31645">
        <v>0</v>
      </c>
      <c r="F31645">
        <v>1297</v>
      </c>
    </row>
    <row r="31646" spans="1:6" ht="12.75">
      <c r="A31646" s="2">
        <v>43875.494652777779</v>
      </c>
      <c r="B31646" t="str">
        <f>HYPERLINK("https://twitter.com/SagaSantorini","@SagaSantorini")</f>
        <v>@SagaSantorini</v>
      </c>
      <c r="C31646" t="s">
        <v>10266</v>
      </c>
      <c r="D31646">
        <v>257</v>
      </c>
      <c r="E31646">
        <v>0</v>
      </c>
      <c r="F31646">
        <v>36</v>
      </c>
    </row>
    <row r="31647" spans="1:6" ht="12.75">
      <c r="A31647" s="2">
        <v>43875.494652777779</v>
      </c>
      <c r="B31647" t="str">
        <f>HYPERLINK("https://twitter.com/embah72","@embah72")</f>
        <v>@embah72</v>
      </c>
      <c r="C31647" t="s">
        <v>13254</v>
      </c>
      <c r="D31647">
        <v>0</v>
      </c>
      <c r="E31647">
        <v>2</v>
      </c>
      <c r="F31647">
        <v>14093</v>
      </c>
    </row>
    <row r="31648" spans="1:6" ht="12.75">
      <c r="A31648" s="2">
        <v>43875.494618055556</v>
      </c>
      <c r="B31648" t="str">
        <f>HYPERLINK("https://twitter.com/Java97505229","@Java97505229")</f>
        <v>@Java97505229</v>
      </c>
      <c r="C31648" t="s">
        <v>10410</v>
      </c>
      <c r="D31648">
        <v>2</v>
      </c>
      <c r="E31648">
        <v>0</v>
      </c>
      <c r="F31648">
        <v>42</v>
      </c>
    </row>
    <row r="31649" spans="1:6" ht="12.75">
      <c r="A31649" s="2">
        <v>43875.494606481487</v>
      </c>
      <c r="B31649" t="str">
        <f>HYPERLINK("https://twitter.com/wulnn","@wulnn")</f>
        <v>@wulnn</v>
      </c>
      <c r="C31649" t="s">
        <v>5168</v>
      </c>
      <c r="D31649">
        <v>540</v>
      </c>
      <c r="E31649">
        <v>0</v>
      </c>
      <c r="F31649">
        <v>757</v>
      </c>
    </row>
    <row r="31650" spans="1:6" ht="12.75">
      <c r="A31650" s="2">
        <v>43875.494594907403</v>
      </c>
      <c r="B31650" t="str">
        <f>HYPERLINK("https://twitter.com/aldipu","@aldipu")</f>
        <v>@aldipu</v>
      </c>
      <c r="C31650" t="s">
        <v>5761</v>
      </c>
      <c r="D31650">
        <v>44</v>
      </c>
      <c r="E31650">
        <v>0</v>
      </c>
      <c r="F31650">
        <v>536</v>
      </c>
    </row>
    <row r="31651" spans="1:6" ht="12.75">
      <c r="A31651" s="2">
        <v>43875.494560185187</v>
      </c>
      <c r="B31651" t="str">
        <f>HYPERLINK("https://twitter.com/Ono31269668","@Ono31269668")</f>
        <v>@Ono31269668</v>
      </c>
      <c r="C31651" t="s">
        <v>13255</v>
      </c>
      <c r="D31651">
        <v>0</v>
      </c>
      <c r="E31651">
        <v>0</v>
      </c>
      <c r="F31651">
        <v>3</v>
      </c>
    </row>
    <row r="31652" spans="1:6" ht="12.75">
      <c r="A31652" s="2">
        <v>43875.494513888887</v>
      </c>
      <c r="B31652" t="str">
        <f>HYPERLINK("https://twitter.com/iseemywallet","@iseemywallet")</f>
        <v>@iseemywallet</v>
      </c>
      <c r="C31652" t="s">
        <v>2963</v>
      </c>
      <c r="D31652">
        <v>723</v>
      </c>
      <c r="E31652">
        <v>0</v>
      </c>
      <c r="F31652">
        <v>44</v>
      </c>
    </row>
    <row r="31653" spans="1:6" ht="12.75">
      <c r="A31653" s="2">
        <v>43875.494502314818</v>
      </c>
      <c r="B31653" t="str">
        <f>HYPERLINK("https://twitter.com/bmatana1","@bmatana1")</f>
        <v>@bmatana1</v>
      </c>
      <c r="C31653" t="s">
        <v>2963</v>
      </c>
      <c r="D31653">
        <v>723</v>
      </c>
      <c r="E31653">
        <v>0</v>
      </c>
      <c r="F31653">
        <v>161</v>
      </c>
    </row>
    <row r="31654" spans="1:6" ht="12.75">
      <c r="A31654" s="2">
        <v>43875.494374999995</v>
      </c>
      <c r="B31654" t="str">
        <f>HYPERLINK("https://twitter.com/suripnorasum","@suripnorasum")</f>
        <v>@suripnorasum</v>
      </c>
      <c r="C31654" t="s">
        <v>11428</v>
      </c>
      <c r="D31654">
        <v>2</v>
      </c>
      <c r="E31654">
        <v>0</v>
      </c>
      <c r="F31654">
        <v>1638</v>
      </c>
    </row>
    <row r="31655" spans="1:6" ht="12.75">
      <c r="A31655" s="2">
        <v>43875.494340277779</v>
      </c>
      <c r="B31655" t="str">
        <f>HYPERLINK("https://twitter.com/ArdinalRais","@ArdinalRais")</f>
        <v>@ArdinalRais</v>
      </c>
      <c r="C31655" t="s">
        <v>13256</v>
      </c>
      <c r="D31655">
        <v>1</v>
      </c>
      <c r="E31655">
        <v>2</v>
      </c>
      <c r="F31655">
        <v>267</v>
      </c>
    </row>
    <row r="31656" spans="1:6" ht="12.75">
      <c r="A31656" s="2">
        <v>43875.494293981479</v>
      </c>
      <c r="B31656" t="str">
        <f>HYPERLINK("https://twitter.com/05panji2","@05panji2")</f>
        <v>@05panji2</v>
      </c>
      <c r="C31656" t="s">
        <v>2963</v>
      </c>
      <c r="D31656">
        <v>723</v>
      </c>
      <c r="E31656">
        <v>0</v>
      </c>
      <c r="F31656">
        <v>318</v>
      </c>
    </row>
    <row r="31657" spans="1:6" ht="12.75">
      <c r="A31657" s="2">
        <v>43875.494259259256</v>
      </c>
      <c r="B31657" t="str">
        <f>HYPERLINK("https://twitter.com/yutachu","@yutachu")</f>
        <v>@yutachu</v>
      </c>
      <c r="C31657" t="s">
        <v>2444</v>
      </c>
      <c r="D31657">
        <v>206</v>
      </c>
      <c r="E31657">
        <v>0</v>
      </c>
      <c r="F31657">
        <v>120</v>
      </c>
    </row>
    <row r="31658" spans="1:6" ht="12.75">
      <c r="A31658" s="2">
        <v>43875.494212962964</v>
      </c>
      <c r="B31658" t="str">
        <f>HYPERLINK("https://twitter.com/fardinaratri","@fardinaratri")</f>
        <v>@fardinaratri</v>
      </c>
      <c r="C31658" t="s">
        <v>13257</v>
      </c>
      <c r="D31658">
        <v>9</v>
      </c>
      <c r="E31658">
        <v>0</v>
      </c>
      <c r="F31658">
        <v>214</v>
      </c>
    </row>
    <row r="31659" spans="1:6" ht="12.75">
      <c r="A31659" s="2">
        <v>43875.494120370371</v>
      </c>
      <c r="B31659" t="str">
        <f>HYPERLINK("https://twitter.com/_ketuakelas","@_ketuakelas")</f>
        <v>@_ketuakelas</v>
      </c>
      <c r="C31659" t="s">
        <v>13258</v>
      </c>
      <c r="D31659">
        <v>0</v>
      </c>
      <c r="E31659">
        <v>0</v>
      </c>
      <c r="F31659">
        <v>687</v>
      </c>
    </row>
    <row r="31660" spans="1:6" ht="12.75">
      <c r="A31660" s="2">
        <v>43875.494097222225</v>
      </c>
      <c r="B31660" t="str">
        <f>HYPERLINK("https://twitter.com/kunenmanai","@kunenmanai")</f>
        <v>@kunenmanai</v>
      </c>
      <c r="C31660" t="s">
        <v>13259</v>
      </c>
      <c r="D31660">
        <v>3</v>
      </c>
      <c r="E31660">
        <v>0</v>
      </c>
      <c r="F31660">
        <v>2234</v>
      </c>
    </row>
    <row r="31661" spans="1:6" ht="12.75">
      <c r="A31661" s="2">
        <v>43875.494050925925</v>
      </c>
      <c r="B31661" t="str">
        <f>HYPERLINK("https://twitter.com/fadla","@fadla")</f>
        <v>@fadla</v>
      </c>
      <c r="C31661" t="s">
        <v>9746</v>
      </c>
      <c r="D31661">
        <v>66</v>
      </c>
      <c r="E31661">
        <v>0</v>
      </c>
      <c r="F31661">
        <v>193</v>
      </c>
    </row>
    <row r="31662" spans="1:6" ht="12.75">
      <c r="A31662" s="2">
        <v>43875.494027777779</v>
      </c>
      <c r="B31662" t="str">
        <f>HYPERLINK("https://twitter.com/ratu_adil","@ratu_adil")</f>
        <v>@ratu_adil</v>
      </c>
      <c r="C31662" t="s">
        <v>13260</v>
      </c>
      <c r="D31662">
        <v>0</v>
      </c>
      <c r="E31662">
        <v>0</v>
      </c>
      <c r="F31662">
        <v>52877</v>
      </c>
    </row>
    <row r="31663" spans="1:6" ht="12.75">
      <c r="A31663" s="2">
        <v>43875.493981481486</v>
      </c>
      <c r="B31663" t="str">
        <f>HYPERLINK("https://twitter.com/twitpos","@twitpos")</f>
        <v>@twitpos</v>
      </c>
      <c r="C31663" t="s">
        <v>13261</v>
      </c>
      <c r="D31663">
        <v>2</v>
      </c>
      <c r="E31663">
        <v>6</v>
      </c>
      <c r="F31663">
        <v>10582</v>
      </c>
    </row>
    <row r="31664" spans="1:6" ht="12.75">
      <c r="A31664" s="2">
        <v>43875.493946759263</v>
      </c>
      <c r="B31664" t="str">
        <f>HYPERLINK("https://twitter.com/andrifahrezii","@andrifahrezii")</f>
        <v>@andrifahrezii</v>
      </c>
      <c r="C31664" t="s">
        <v>9746</v>
      </c>
      <c r="D31664">
        <v>66</v>
      </c>
      <c r="E31664">
        <v>0</v>
      </c>
      <c r="F31664">
        <v>124</v>
      </c>
    </row>
    <row r="31665" spans="1:6" ht="12.75">
      <c r="A31665" s="2">
        <v>43875.493946759263</v>
      </c>
      <c r="B31665" t="str">
        <f>HYPERLINK("https://twitter.com/Jean_Aprilia97","@Jean_Aprilia97")</f>
        <v>@Jean_Aprilia97</v>
      </c>
      <c r="C31665" t="s">
        <v>13262</v>
      </c>
      <c r="D31665">
        <v>5</v>
      </c>
      <c r="E31665">
        <v>16</v>
      </c>
      <c r="F31665">
        <v>10744</v>
      </c>
    </row>
    <row r="31666" spans="1:6" ht="12.75">
      <c r="A31666" s="2">
        <v>43875.493923611109</v>
      </c>
      <c r="B31666" t="str">
        <f>HYPERLINK("https://twitter.com/incredibleber","@incredibleber")</f>
        <v>@incredibleber</v>
      </c>
      <c r="C31666" t="s">
        <v>11394</v>
      </c>
      <c r="D31666">
        <v>21</v>
      </c>
      <c r="E31666">
        <v>0</v>
      </c>
      <c r="F31666">
        <v>5474</v>
      </c>
    </row>
    <row r="31667" spans="1:6" ht="12.75">
      <c r="A31667" s="2">
        <v>43875.493923611109</v>
      </c>
      <c r="B31667" t="str">
        <f>HYPERLINK("https://twitter.com/HansOttawa2012","@HansOttawa2012")</f>
        <v>@HansOttawa2012</v>
      </c>
      <c r="C31667" t="s">
        <v>13263</v>
      </c>
      <c r="D31667">
        <v>0</v>
      </c>
      <c r="E31667">
        <v>0</v>
      </c>
      <c r="F31667">
        <v>185</v>
      </c>
    </row>
    <row r="31668" spans="1:6" ht="12.75">
      <c r="A31668" s="2">
        <v>43875.49386574074</v>
      </c>
      <c r="B31668" t="str">
        <f>HYPERLINK("https://twitter.com/akunaink","@akunaink")</f>
        <v>@akunaink</v>
      </c>
      <c r="C31668" t="s">
        <v>10096</v>
      </c>
      <c r="D31668">
        <v>95</v>
      </c>
      <c r="E31668">
        <v>0</v>
      </c>
      <c r="F31668">
        <v>324</v>
      </c>
    </row>
    <row r="31669" spans="1:6" ht="12.75">
      <c r="A31669" s="2">
        <v>43875.493796296301</v>
      </c>
      <c r="B31669" t="str">
        <f>HYPERLINK("https://twitter.com/InspiringByuti","@InspiringByuti")</f>
        <v>@InspiringByuti</v>
      </c>
      <c r="C31669" t="s">
        <v>13264</v>
      </c>
      <c r="D31669">
        <v>0</v>
      </c>
      <c r="E31669">
        <v>0</v>
      </c>
      <c r="F31669">
        <v>1230</v>
      </c>
    </row>
    <row r="31670" spans="1:6" ht="12.75">
      <c r="A31670" s="2">
        <v>43875.493680555555</v>
      </c>
      <c r="B31670" t="str">
        <f>HYPERLINK("https://twitter.com/diaanovitaaa","@diaanovitaaa")</f>
        <v>@diaanovitaaa</v>
      </c>
      <c r="C31670" t="s">
        <v>2444</v>
      </c>
      <c r="D31670">
        <v>206</v>
      </c>
      <c r="E31670">
        <v>0</v>
      </c>
      <c r="F31670">
        <v>331</v>
      </c>
    </row>
    <row r="31671" spans="1:6" ht="12.75">
      <c r="A31671" s="2">
        <v>43875.493634259255</v>
      </c>
      <c r="B31671" t="str">
        <f>HYPERLINK("https://twitter.com/sin_suit2","@sin_suit2")</f>
        <v>@sin_suit2</v>
      </c>
      <c r="C31671" t="s">
        <v>2963</v>
      </c>
      <c r="D31671">
        <v>723</v>
      </c>
      <c r="E31671">
        <v>0</v>
      </c>
      <c r="F31671">
        <v>139</v>
      </c>
    </row>
    <row r="31672" spans="1:6" ht="12.75">
      <c r="A31672" s="2">
        <v>43875.493587962963</v>
      </c>
      <c r="B31672" t="str">
        <f>HYPERLINK("https://twitter.com/dwiandhikarr","@dwiandhikarr")</f>
        <v>@dwiandhikarr</v>
      </c>
      <c r="C31672" t="s">
        <v>2444</v>
      </c>
      <c r="D31672">
        <v>206</v>
      </c>
      <c r="E31672">
        <v>0</v>
      </c>
      <c r="F31672">
        <v>475</v>
      </c>
    </row>
    <row r="31673" spans="1:6" ht="12.75">
      <c r="A31673" s="2">
        <v>43875.493483796294</v>
      </c>
      <c r="B31673" t="str">
        <f>HYPERLINK("https://twitter.com/ismail_irwan","@ismail_irwan")</f>
        <v>@ismail_irwan</v>
      </c>
      <c r="C31673" t="s">
        <v>13265</v>
      </c>
      <c r="D31673">
        <v>0</v>
      </c>
      <c r="E31673">
        <v>0</v>
      </c>
      <c r="F31673">
        <v>46</v>
      </c>
    </row>
    <row r="31674" spans="1:6" ht="12.75">
      <c r="A31674" s="2">
        <v>43875.493449074071</v>
      </c>
      <c r="B31674" t="str">
        <f>HYPERLINK("https://twitter.com/SoraBaltasar","@SoraBaltasar")</f>
        <v>@SoraBaltasar</v>
      </c>
      <c r="C31674" t="s">
        <v>11797</v>
      </c>
      <c r="D31674">
        <v>5</v>
      </c>
      <c r="E31674">
        <v>0</v>
      </c>
      <c r="F31674">
        <v>374</v>
      </c>
    </row>
    <row r="31675" spans="1:6" ht="12.75">
      <c r="A31675" s="2">
        <v>43875.493391203709</v>
      </c>
      <c r="B31675" t="str">
        <f>HYPERLINK("https://twitter.com/Rosandaa10","@Rosandaa10")</f>
        <v>@Rosandaa10</v>
      </c>
      <c r="C31675" t="s">
        <v>2963</v>
      </c>
      <c r="D31675">
        <v>723</v>
      </c>
      <c r="E31675">
        <v>0</v>
      </c>
      <c r="F31675">
        <v>74</v>
      </c>
    </row>
    <row r="31676" spans="1:6" ht="12.75">
      <c r="A31676" s="2">
        <v>43875.493333333332</v>
      </c>
      <c r="B31676" t="str">
        <f>HYPERLINK("https://twitter.com/dinnifitta","@dinnifitta")</f>
        <v>@dinnifitta</v>
      </c>
      <c r="C31676" t="s">
        <v>2444</v>
      </c>
      <c r="D31676">
        <v>206</v>
      </c>
      <c r="E31676">
        <v>0</v>
      </c>
      <c r="F31676">
        <v>624</v>
      </c>
    </row>
    <row r="31677" spans="1:6" ht="12.75">
      <c r="A31677" s="2">
        <v>43875.493333333332</v>
      </c>
      <c r="B31677" t="str">
        <f>HYPERLINK("https://twitter.com/naeli_faozah","@naeli_faozah")</f>
        <v>@naeli_faozah</v>
      </c>
      <c r="C31677" t="s">
        <v>2963</v>
      </c>
      <c r="D31677">
        <v>723</v>
      </c>
      <c r="E31677">
        <v>0</v>
      </c>
      <c r="F31677">
        <v>22</v>
      </c>
    </row>
    <row r="31678" spans="1:6" ht="12.75">
      <c r="A31678" s="2">
        <v>43875.493321759262</v>
      </c>
      <c r="B31678" t="str">
        <f>HYPERLINK("https://twitter.com/byinshagara","@byinshagara")</f>
        <v>@byinshagara</v>
      </c>
      <c r="C31678" t="s">
        <v>9096</v>
      </c>
      <c r="D31678">
        <v>179</v>
      </c>
      <c r="E31678">
        <v>0</v>
      </c>
      <c r="F31678">
        <v>84</v>
      </c>
    </row>
    <row r="31679" spans="1:6" ht="12.75">
      <c r="A31679" s="2">
        <v>43875.493287037039</v>
      </c>
      <c r="B31679" t="str">
        <f>HYPERLINK("https://twitter.com/ArdinalRais","@ArdinalRais")</f>
        <v>@ArdinalRais</v>
      </c>
      <c r="C31679" t="s">
        <v>13266</v>
      </c>
      <c r="D31679">
        <v>0</v>
      </c>
      <c r="E31679">
        <v>0</v>
      </c>
      <c r="F31679">
        <v>267</v>
      </c>
    </row>
    <row r="31680" spans="1:6" ht="12.75">
      <c r="A31680" s="2">
        <v>43875.493252314816</v>
      </c>
      <c r="B31680" t="str">
        <f>HYPERLINK("https://twitter.com/anggiarn","@anggiarn")</f>
        <v>@anggiarn</v>
      </c>
      <c r="C31680" t="s">
        <v>5168</v>
      </c>
      <c r="D31680">
        <v>540</v>
      </c>
      <c r="E31680">
        <v>0</v>
      </c>
      <c r="F31680">
        <v>383</v>
      </c>
    </row>
    <row r="31681" spans="1:6" ht="12.75">
      <c r="A31681" s="2">
        <v>43875.493229166663</v>
      </c>
      <c r="B31681" t="str">
        <f>HYPERLINK("https://twitter.com/EiffelLingga","@EiffelLingga")</f>
        <v>@EiffelLingga</v>
      </c>
      <c r="C31681" t="s">
        <v>8233</v>
      </c>
      <c r="D31681">
        <v>377</v>
      </c>
      <c r="E31681">
        <v>0</v>
      </c>
      <c r="F31681">
        <v>500</v>
      </c>
    </row>
    <row r="31682" spans="1:6" ht="12.75">
      <c r="A31682" s="2">
        <v>43875.493206018524</v>
      </c>
      <c r="B31682" t="str">
        <f>HYPERLINK("https://twitter.com/ansxtwn","@ansxtwn")</f>
        <v>@ansxtwn</v>
      </c>
      <c r="C31682" t="s">
        <v>2963</v>
      </c>
      <c r="D31682">
        <v>723</v>
      </c>
      <c r="E31682">
        <v>0</v>
      </c>
      <c r="F31682">
        <v>569</v>
      </c>
    </row>
    <row r="31683" spans="1:6" ht="12.75">
      <c r="A31683" s="2">
        <v>43875.49319444444</v>
      </c>
      <c r="B31683" t="str">
        <f>HYPERLINK("https://twitter.com/diaanovitaaa","@diaanovitaaa")</f>
        <v>@diaanovitaaa</v>
      </c>
      <c r="C31683" t="s">
        <v>2077</v>
      </c>
      <c r="D31683">
        <v>23</v>
      </c>
      <c r="E31683">
        <v>0</v>
      </c>
      <c r="F31683">
        <v>331</v>
      </c>
    </row>
    <row r="31684" spans="1:6" ht="12.75">
      <c r="A31684" s="2">
        <v>43875.493171296301</v>
      </c>
      <c r="B31684" t="str">
        <f>HYPERLINK("https://twitter.com/wniings","@wniings")</f>
        <v>@wniings</v>
      </c>
      <c r="C31684" t="s">
        <v>13267</v>
      </c>
      <c r="D31684">
        <v>0</v>
      </c>
      <c r="E31684">
        <v>0</v>
      </c>
      <c r="F31684">
        <v>366</v>
      </c>
    </row>
    <row r="31685" spans="1:6" ht="12.75">
      <c r="A31685" s="2">
        <v>43875.493136574078</v>
      </c>
      <c r="B31685" t="str">
        <f>HYPERLINK("https://twitter.com/alvino_marbun","@alvino_marbun")</f>
        <v>@alvino_marbun</v>
      </c>
      <c r="C31685" t="s">
        <v>10237</v>
      </c>
      <c r="D31685">
        <v>29</v>
      </c>
      <c r="E31685">
        <v>0</v>
      </c>
      <c r="F31685">
        <v>15</v>
      </c>
    </row>
    <row r="31686" spans="1:6" ht="12.75">
      <c r="A31686" s="2">
        <v>43875.493090277778</v>
      </c>
      <c r="B31686" t="str">
        <f>HYPERLINK("https://twitter.com/FaridPiyo","@FaridPiyo")</f>
        <v>@FaridPiyo</v>
      </c>
      <c r="C31686" t="s">
        <v>2963</v>
      </c>
      <c r="D31686">
        <v>723</v>
      </c>
      <c r="E31686">
        <v>0</v>
      </c>
      <c r="F31686">
        <v>2411</v>
      </c>
    </row>
    <row r="31687" spans="1:6" ht="12.75">
      <c r="A31687" s="2">
        <v>43875.493009259255</v>
      </c>
      <c r="B31687" t="str">
        <f>HYPERLINK("https://twitter.com/urip_murup","@urip_murup")</f>
        <v>@urip_murup</v>
      </c>
      <c r="C31687" t="s">
        <v>13268</v>
      </c>
      <c r="D31687">
        <v>1</v>
      </c>
      <c r="E31687">
        <v>0</v>
      </c>
      <c r="F31687">
        <v>228</v>
      </c>
    </row>
    <row r="31688" spans="1:6" ht="12.75">
      <c r="A31688" s="2">
        <v>43875.492997685185</v>
      </c>
      <c r="B31688" t="str">
        <f>HYPERLINK("https://twitter.com/Warrior764","@Warrior764")</f>
        <v>@Warrior764</v>
      </c>
      <c r="C31688" t="s">
        <v>13269</v>
      </c>
      <c r="D31688">
        <v>0</v>
      </c>
      <c r="E31688">
        <v>0</v>
      </c>
      <c r="F31688">
        <v>2385</v>
      </c>
    </row>
    <row r="31689" spans="1:6" ht="12.75">
      <c r="A31689" s="2">
        <v>43875.492974537032</v>
      </c>
      <c r="B31689" t="str">
        <f>HYPERLINK("https://twitter.com/HdAdjie","@HdAdjie")</f>
        <v>@HdAdjie</v>
      </c>
      <c r="C31689" t="s">
        <v>9021</v>
      </c>
      <c r="D31689">
        <v>176</v>
      </c>
      <c r="E31689">
        <v>0</v>
      </c>
      <c r="F31689">
        <v>1336</v>
      </c>
    </row>
    <row r="31690" spans="1:6" ht="12.75">
      <c r="A31690" s="2">
        <v>43875.492893518516</v>
      </c>
      <c r="B31690" t="str">
        <f>HYPERLINK("https://twitter.com/ipoel_mou","@ipoel_mou")</f>
        <v>@ipoel_mou</v>
      </c>
      <c r="C31690" t="s">
        <v>8233</v>
      </c>
      <c r="D31690">
        <v>377</v>
      </c>
      <c r="E31690">
        <v>0</v>
      </c>
      <c r="F31690">
        <v>110</v>
      </c>
    </row>
    <row r="31691" spans="1:6" ht="12.75">
      <c r="A31691" s="2">
        <v>43875.49287037037</v>
      </c>
      <c r="B31691" t="str">
        <f>HYPERLINK("https://twitter.com/rfkhnzm_","@rfkhnzm_")</f>
        <v>@rfkhnzm_</v>
      </c>
      <c r="C31691" t="s">
        <v>2444</v>
      </c>
      <c r="D31691">
        <v>206</v>
      </c>
      <c r="E31691">
        <v>0</v>
      </c>
      <c r="F31691">
        <v>215</v>
      </c>
    </row>
    <row r="31692" spans="1:6" ht="12.75">
      <c r="A31692" s="2">
        <v>43875.492777777778</v>
      </c>
      <c r="B31692" t="str">
        <f>HYPERLINK("https://twitter.com/hanzbndaudio","@hanzbndaudio")</f>
        <v>@hanzbndaudio</v>
      </c>
      <c r="C31692" t="s">
        <v>8233</v>
      </c>
      <c r="D31692">
        <v>377</v>
      </c>
      <c r="E31692">
        <v>0</v>
      </c>
      <c r="F31692">
        <v>208</v>
      </c>
    </row>
    <row r="31693" spans="1:6" ht="12.75">
      <c r="A31693" s="2">
        <v>43875.492777777778</v>
      </c>
      <c r="B31693" t="str">
        <f>HYPERLINK("https://twitter.com/SunarjoMrm","@SunarjoMrm")</f>
        <v>@SunarjoMrm</v>
      </c>
      <c r="C31693" t="s">
        <v>175</v>
      </c>
      <c r="D31693">
        <v>5256</v>
      </c>
      <c r="E31693">
        <v>0</v>
      </c>
      <c r="F31693">
        <v>241</v>
      </c>
    </row>
    <row r="31694" spans="1:6" ht="12.75">
      <c r="A31694" s="2">
        <v>43875.492731481485</v>
      </c>
      <c r="B31694" t="str">
        <f>HYPERLINK("https://twitter.com/basictapiasic","@basictapiasic")</f>
        <v>@basictapiasic</v>
      </c>
      <c r="C31694" t="s">
        <v>2444</v>
      </c>
      <c r="D31694">
        <v>206</v>
      </c>
      <c r="E31694">
        <v>0</v>
      </c>
      <c r="F31694">
        <v>621</v>
      </c>
    </row>
    <row r="31695" spans="1:6" ht="12.75">
      <c r="A31695" s="2">
        <v>43875.492696759262</v>
      </c>
      <c r="B31695" t="str">
        <f>HYPERLINK("https://twitter.com/Sanusi_A_Chiang","@Sanusi_A_Chiang")</f>
        <v>@Sanusi_A_Chiang</v>
      </c>
      <c r="C31695" t="s">
        <v>10291</v>
      </c>
      <c r="D31695">
        <v>5</v>
      </c>
      <c r="E31695">
        <v>0</v>
      </c>
      <c r="F31695">
        <v>42</v>
      </c>
    </row>
    <row r="31696" spans="1:6" ht="12.75">
      <c r="A31696" s="2">
        <v>43875.492696759262</v>
      </c>
      <c r="B31696" t="str">
        <f>HYPERLINK("https://twitter.com/marpaung913","@marpaung913")</f>
        <v>@marpaung913</v>
      </c>
      <c r="C31696" t="s">
        <v>13270</v>
      </c>
      <c r="D31696">
        <v>0</v>
      </c>
      <c r="E31696">
        <v>0</v>
      </c>
      <c r="F31696">
        <v>526</v>
      </c>
    </row>
    <row r="31697" spans="1:6" ht="12.75">
      <c r="A31697" s="2">
        <v>43875.492662037039</v>
      </c>
      <c r="B31697" t="str">
        <f>HYPERLINK("https://twitter.com/Karyono65037831","@Karyono65037831")</f>
        <v>@Karyono65037831</v>
      </c>
      <c r="C31697" t="s">
        <v>13271</v>
      </c>
      <c r="D31697">
        <v>0</v>
      </c>
      <c r="E31697">
        <v>0</v>
      </c>
      <c r="F31697">
        <v>3</v>
      </c>
    </row>
    <row r="31698" spans="1:6" ht="12.75">
      <c r="A31698" s="2">
        <v>43875.492395833338</v>
      </c>
      <c r="B31698" t="str">
        <f>HYPERLINK("https://twitter.com/aulia2199","@aulia2199")</f>
        <v>@aulia2199</v>
      </c>
      <c r="C31698" t="s">
        <v>8233</v>
      </c>
      <c r="D31698">
        <v>377</v>
      </c>
      <c r="E31698">
        <v>0</v>
      </c>
      <c r="F31698">
        <v>121</v>
      </c>
    </row>
    <row r="31699" spans="1:6" ht="12.75">
      <c r="A31699" s="2">
        <v>43875.492361111115</v>
      </c>
      <c r="B31699" t="str">
        <f>HYPERLINK("https://twitter.com/_Bakemono","@_Bakemono")</f>
        <v>@_Bakemono</v>
      </c>
      <c r="C31699" t="s">
        <v>13272</v>
      </c>
      <c r="D31699">
        <v>3</v>
      </c>
      <c r="E31699">
        <v>0</v>
      </c>
      <c r="F31699">
        <v>817</v>
      </c>
    </row>
    <row r="31700" spans="1:6" ht="12.75">
      <c r="A31700" s="2">
        <v>43875.492094907408</v>
      </c>
      <c r="B31700" t="str">
        <f>HYPERLINK("https://twitter.com/id_aksi","@id_aksi")</f>
        <v>@id_aksi</v>
      </c>
      <c r="C31700" t="s">
        <v>13273</v>
      </c>
      <c r="D31700">
        <v>0</v>
      </c>
      <c r="E31700">
        <v>0</v>
      </c>
      <c r="F31700">
        <v>78</v>
      </c>
    </row>
    <row r="31701" spans="1:6" ht="12.75">
      <c r="A31701" s="2">
        <v>43875.492013888885</v>
      </c>
      <c r="B31701" t="str">
        <f>HYPERLINK("https://twitter.com/aprilianixle","@aprilianixle")</f>
        <v>@aprilianixle</v>
      </c>
      <c r="C31701" t="s">
        <v>2444</v>
      </c>
      <c r="D31701">
        <v>206</v>
      </c>
      <c r="E31701">
        <v>0</v>
      </c>
      <c r="F31701">
        <v>192</v>
      </c>
    </row>
    <row r="31702" spans="1:6" ht="12.75">
      <c r="A31702" s="2">
        <v>43875.491979166662</v>
      </c>
      <c r="B31702" t="str">
        <f>HYPERLINK("https://twitter.com/bobaT_T","@bobaT_T")</f>
        <v>@bobaT_T</v>
      </c>
      <c r="C31702" t="s">
        <v>2444</v>
      </c>
      <c r="D31702">
        <v>206</v>
      </c>
      <c r="E31702">
        <v>0</v>
      </c>
      <c r="F31702">
        <v>24</v>
      </c>
    </row>
    <row r="31703" spans="1:6" ht="12.75">
      <c r="A31703" s="2">
        <v>43875.491932870369</v>
      </c>
      <c r="B31703" t="str">
        <f>HYPERLINK("https://twitter.com/_Bakemono","@_Bakemono")</f>
        <v>@_Bakemono</v>
      </c>
      <c r="C31703" t="s">
        <v>13274</v>
      </c>
      <c r="D31703">
        <v>2</v>
      </c>
      <c r="E31703">
        <v>0</v>
      </c>
      <c r="F31703">
        <v>817</v>
      </c>
    </row>
    <row r="31704" spans="1:6" ht="12.75">
      <c r="A31704" s="2">
        <v>43875.491909722223</v>
      </c>
      <c r="B31704" t="str">
        <f>HYPERLINK("https://twitter.com/Simarkuy","@Simarkuy")</f>
        <v>@Simarkuy</v>
      </c>
      <c r="C31704" t="s">
        <v>2444</v>
      </c>
      <c r="D31704">
        <v>206</v>
      </c>
      <c r="E31704">
        <v>0</v>
      </c>
      <c r="F31704">
        <v>538</v>
      </c>
    </row>
    <row r="31705" spans="1:6" ht="12.75">
      <c r="A31705" s="2">
        <v>43875.491909722223</v>
      </c>
      <c r="B31705" t="str">
        <f>HYPERLINK("https://twitter.com/Karyono65037831","@Karyono65037831")</f>
        <v>@Karyono65037831</v>
      </c>
      <c r="C31705" t="s">
        <v>13275</v>
      </c>
      <c r="D31705">
        <v>0</v>
      </c>
      <c r="E31705">
        <v>0</v>
      </c>
      <c r="F31705">
        <v>3</v>
      </c>
    </row>
    <row r="31706" spans="1:6" ht="12.75">
      <c r="A31706" s="2">
        <v>43875.491898148146</v>
      </c>
      <c r="B31706" t="str">
        <f t="shared" ref="B31706:B31707" si="381">HYPERLINK("https://twitter.com/_Bakemono","@_Bakemono")</f>
        <v>@_Bakemono</v>
      </c>
      <c r="C31706" t="s">
        <v>13276</v>
      </c>
      <c r="D31706">
        <v>2</v>
      </c>
      <c r="E31706">
        <v>0</v>
      </c>
      <c r="F31706">
        <v>817</v>
      </c>
    </row>
    <row r="31707" spans="1:6" ht="12.75">
      <c r="A31707" s="2">
        <v>43875.491759259261</v>
      </c>
      <c r="B31707" t="str">
        <f t="shared" si="381"/>
        <v>@_Bakemono</v>
      </c>
      <c r="C31707" t="s">
        <v>9648</v>
      </c>
      <c r="D31707">
        <v>6</v>
      </c>
      <c r="E31707">
        <v>0</v>
      </c>
      <c r="F31707">
        <v>817</v>
      </c>
    </row>
    <row r="31708" spans="1:6" ht="12.75">
      <c r="A31708" s="2">
        <v>43875.491701388892</v>
      </c>
      <c r="B31708" t="str">
        <f>HYPERLINK("https://twitter.com/kompascom","@kompascom")</f>
        <v>@kompascom</v>
      </c>
      <c r="C31708" t="s">
        <v>13277</v>
      </c>
      <c r="D31708">
        <v>0</v>
      </c>
      <c r="E31708">
        <v>0</v>
      </c>
      <c r="F31708">
        <v>7497369</v>
      </c>
    </row>
    <row r="31709" spans="1:6" ht="12.75">
      <c r="A31709" s="2">
        <v>43875.491620370369</v>
      </c>
      <c r="B31709" t="str">
        <f>HYPERLINK("https://twitter.com/iyyyooooo","@iyyyooooo")</f>
        <v>@iyyyooooo</v>
      </c>
      <c r="C31709" t="s">
        <v>2963</v>
      </c>
      <c r="D31709">
        <v>723</v>
      </c>
      <c r="E31709">
        <v>0</v>
      </c>
      <c r="F31709">
        <v>491</v>
      </c>
    </row>
    <row r="31710" spans="1:6" ht="12.75">
      <c r="A31710" s="2">
        <v>43875.491620370369</v>
      </c>
      <c r="B31710" t="str">
        <f>HYPERLINK("https://twitter.com/SuhudH1","@SuhudH1")</f>
        <v>@SuhudH1</v>
      </c>
      <c r="C31710" t="s">
        <v>12044</v>
      </c>
      <c r="D31710">
        <v>47</v>
      </c>
      <c r="E31710">
        <v>0</v>
      </c>
      <c r="F31710">
        <v>3</v>
      </c>
    </row>
    <row r="31711" spans="1:6" ht="12.75">
      <c r="A31711" s="2">
        <v>43875.491597222222</v>
      </c>
      <c r="B31711" t="str">
        <f>HYPERLINK("https://twitter.com/saintpooney","@saintpooney")</f>
        <v>@saintpooney</v>
      </c>
      <c r="C31711" t="s">
        <v>8233</v>
      </c>
      <c r="D31711">
        <v>377</v>
      </c>
      <c r="E31711">
        <v>0</v>
      </c>
      <c r="F31711">
        <v>507</v>
      </c>
    </row>
    <row r="31712" spans="1:6" ht="12.75">
      <c r="A31712" s="2">
        <v>43875.49155092593</v>
      </c>
      <c r="B31712" t="str">
        <f>HYPERLINK("https://twitter.com/mentalsubsidi","@mentalsubsidi")</f>
        <v>@mentalsubsidi</v>
      </c>
      <c r="C31712" t="s">
        <v>13278</v>
      </c>
      <c r="D31712">
        <v>0</v>
      </c>
      <c r="E31712">
        <v>0</v>
      </c>
      <c r="F31712">
        <v>834</v>
      </c>
    </row>
    <row r="31713" spans="1:6" ht="12.75">
      <c r="A31713" s="2">
        <v>43875.491481481484</v>
      </c>
      <c r="B31713" t="str">
        <f>HYPERLINK("https://twitter.com/MrsRachelIn","@MrsRachelIn")</f>
        <v>@MrsRachelIn</v>
      </c>
      <c r="C31713" t="s">
        <v>13279</v>
      </c>
      <c r="D31713">
        <v>0</v>
      </c>
      <c r="E31713">
        <v>0</v>
      </c>
      <c r="F31713">
        <v>3079</v>
      </c>
    </row>
    <row r="31714" spans="1:6" ht="12.75">
      <c r="A31714" s="2">
        <v>43875.491423611107</v>
      </c>
      <c r="B31714" t="str">
        <f>HYPERLINK("https://twitter.com/cancellllllllll","@cancellllllllll")</f>
        <v>@cancellllllllll</v>
      </c>
      <c r="C31714" t="s">
        <v>13280</v>
      </c>
      <c r="D31714">
        <v>0</v>
      </c>
      <c r="E31714">
        <v>0</v>
      </c>
      <c r="F31714">
        <v>317</v>
      </c>
    </row>
    <row r="31715" spans="1:6" ht="12.75">
      <c r="A31715" s="2">
        <v>43875.491388888884</v>
      </c>
      <c r="B31715" t="str">
        <f>HYPERLINK("https://twitter.com/desratobing","@desratobing")</f>
        <v>@desratobing</v>
      </c>
      <c r="C31715" t="s">
        <v>8233</v>
      </c>
      <c r="D31715">
        <v>377</v>
      </c>
      <c r="E31715">
        <v>0</v>
      </c>
      <c r="F31715">
        <v>439</v>
      </c>
    </row>
    <row r="31716" spans="1:6" ht="12.75">
      <c r="A31716" s="2">
        <v>43875.491377314815</v>
      </c>
      <c r="B31716" t="str">
        <f>HYPERLINK("https://twitter.com/SagaSantorini","@SagaSantorini")</f>
        <v>@SagaSantorini</v>
      </c>
      <c r="C31716" t="s">
        <v>10330</v>
      </c>
      <c r="D31716">
        <v>202</v>
      </c>
      <c r="E31716">
        <v>0</v>
      </c>
      <c r="F31716">
        <v>36</v>
      </c>
    </row>
    <row r="31717" spans="1:6" ht="12.75">
      <c r="A31717" s="2">
        <v>43875.491365740745</v>
      </c>
      <c r="B31717" t="str">
        <f>HYPERLINK("https://twitter.com/AlfaPendik","@AlfaPendik")</f>
        <v>@AlfaPendik</v>
      </c>
      <c r="C31717" t="s">
        <v>8233</v>
      </c>
      <c r="D31717">
        <v>377</v>
      </c>
      <c r="E31717">
        <v>0</v>
      </c>
      <c r="F31717">
        <v>2299</v>
      </c>
    </row>
    <row r="31718" spans="1:6" ht="12.75">
      <c r="A31718" s="2">
        <v>43875.491354166668</v>
      </c>
      <c r="B31718" t="str">
        <f>HYPERLINK("https://twitter.com/mayounsaroh","@mayounsaroh")</f>
        <v>@mayounsaroh</v>
      </c>
      <c r="C31718" t="s">
        <v>2444</v>
      </c>
      <c r="D31718">
        <v>206</v>
      </c>
      <c r="E31718">
        <v>0</v>
      </c>
      <c r="F31718">
        <v>429</v>
      </c>
    </row>
    <row r="31719" spans="1:6" ht="12.75">
      <c r="A31719" s="2">
        <v>43875.491331018522</v>
      </c>
      <c r="B31719" t="str">
        <f>HYPERLINK("https://twitter.com/mirazh_me","@mirazh_me")</f>
        <v>@mirazh_me</v>
      </c>
      <c r="C31719" t="s">
        <v>10096</v>
      </c>
      <c r="D31719">
        <v>95</v>
      </c>
      <c r="E31719">
        <v>0</v>
      </c>
      <c r="F31719">
        <v>6191</v>
      </c>
    </row>
    <row r="31720" spans="1:6" ht="12.75">
      <c r="A31720" s="2">
        <v>43875.491307870368</v>
      </c>
      <c r="B31720" t="str">
        <f>HYPERLINK("https://twitter.com/_UsbinDunda","@_UsbinDunda")</f>
        <v>@_UsbinDunda</v>
      </c>
      <c r="C31720" t="s">
        <v>10291</v>
      </c>
      <c r="D31720">
        <v>5</v>
      </c>
      <c r="E31720">
        <v>0</v>
      </c>
      <c r="F31720">
        <v>318</v>
      </c>
    </row>
    <row r="31721" spans="1:6" ht="12.75">
      <c r="A31721" s="2">
        <v>43875.491249999999</v>
      </c>
      <c r="B31721" t="str">
        <f>HYPERLINK("https://twitter.com/devinasagitania","@devinasagitania")</f>
        <v>@devinasagitania</v>
      </c>
      <c r="C31721" t="s">
        <v>12893</v>
      </c>
      <c r="D31721">
        <v>1</v>
      </c>
      <c r="E31721">
        <v>0</v>
      </c>
      <c r="F31721">
        <v>423</v>
      </c>
    </row>
    <row r="31722" spans="1:6" ht="12.75">
      <c r="A31722" s="2">
        <v>43875.491157407407</v>
      </c>
      <c r="B31722" t="str">
        <f>HYPERLINK("https://twitter.com/SunarjoMrm","@SunarjoMrm")</f>
        <v>@SunarjoMrm</v>
      </c>
      <c r="C31722" t="s">
        <v>10706</v>
      </c>
      <c r="D31722">
        <v>210</v>
      </c>
      <c r="E31722">
        <v>0</v>
      </c>
      <c r="F31722">
        <v>241</v>
      </c>
    </row>
    <row r="31723" spans="1:6" ht="12.75">
      <c r="A31723" s="2">
        <v>43875.491111111114</v>
      </c>
      <c r="B31723" t="str">
        <f>HYPERLINK("https://twitter.com/Gumanti95485609","@Gumanti95485609")</f>
        <v>@Gumanti95485609</v>
      </c>
      <c r="C31723" t="s">
        <v>13281</v>
      </c>
      <c r="D31723">
        <v>0</v>
      </c>
      <c r="E31723">
        <v>0</v>
      </c>
      <c r="F31723">
        <v>33</v>
      </c>
    </row>
    <row r="31724" spans="1:6" ht="12.75">
      <c r="A31724" s="2">
        <v>43875.491064814814</v>
      </c>
      <c r="B31724" t="str">
        <f>HYPERLINK("https://twitter.com/DIRAN91464376","@DIRAN91464376")</f>
        <v>@DIRAN91464376</v>
      </c>
      <c r="C31724" t="s">
        <v>13259</v>
      </c>
      <c r="D31724">
        <v>3</v>
      </c>
      <c r="E31724">
        <v>0</v>
      </c>
      <c r="F31724">
        <v>186</v>
      </c>
    </row>
    <row r="31725" spans="1:6" ht="12.75">
      <c r="A31725" s="2">
        <v>43875.491030092591</v>
      </c>
      <c r="B31725" t="str">
        <f>HYPERLINK("https://twitter.com/De_Es_We","@De_Es_We")</f>
        <v>@De_Es_We</v>
      </c>
      <c r="C31725" t="s">
        <v>8233</v>
      </c>
      <c r="D31725">
        <v>377</v>
      </c>
      <c r="E31725">
        <v>0</v>
      </c>
      <c r="F31725">
        <v>628</v>
      </c>
    </row>
    <row r="31726" spans="1:6" ht="12.75">
      <c r="A31726" s="2">
        <v>43875.490995370375</v>
      </c>
      <c r="B31726" t="str">
        <f>HYPERLINK("https://twitter.com/positive_values","@positive_values")</f>
        <v>@positive_values</v>
      </c>
      <c r="C31726" t="s">
        <v>10526</v>
      </c>
      <c r="D31726">
        <v>126</v>
      </c>
      <c r="E31726">
        <v>0</v>
      </c>
      <c r="F31726">
        <v>1838</v>
      </c>
    </row>
    <row r="31727" spans="1:6" ht="12.75">
      <c r="A31727" s="2">
        <v>43875.490856481483</v>
      </c>
      <c r="B31727" t="str">
        <f>HYPERLINK("https://twitter.com/pintu_thepan","@pintu_thepan")</f>
        <v>@pintu_thepan</v>
      </c>
      <c r="C31727" t="s">
        <v>8233</v>
      </c>
      <c r="D31727">
        <v>377</v>
      </c>
      <c r="E31727">
        <v>0</v>
      </c>
      <c r="F31727">
        <v>191</v>
      </c>
    </row>
    <row r="31728" spans="1:6" ht="12.75">
      <c r="A31728" s="2">
        <v>43875.490775462968</v>
      </c>
      <c r="B31728" t="str">
        <f>HYPERLINK("https://twitter.com/fattah_naufal","@fattah_naufal")</f>
        <v>@fattah_naufal</v>
      </c>
      <c r="C31728" t="s">
        <v>2963</v>
      </c>
      <c r="D31728">
        <v>723</v>
      </c>
      <c r="E31728">
        <v>0</v>
      </c>
      <c r="F31728">
        <v>74</v>
      </c>
    </row>
    <row r="31729" spans="1:6" ht="12.75">
      <c r="A31729" s="2">
        <v>43875.490740740745</v>
      </c>
      <c r="B31729" t="str">
        <f>HYPERLINK("https://twitter.com/Herrreza","@Herrreza")</f>
        <v>@Herrreza</v>
      </c>
      <c r="C31729" t="s">
        <v>8233</v>
      </c>
      <c r="D31729">
        <v>377</v>
      </c>
      <c r="E31729">
        <v>0</v>
      </c>
      <c r="F31729">
        <v>29405</v>
      </c>
    </row>
    <row r="31730" spans="1:6" ht="12.75">
      <c r="A31730" s="2">
        <v>43875.490740740745</v>
      </c>
      <c r="B31730" t="str">
        <f>HYPERLINK("https://twitter.com/ArdianZA_099","@ArdianZA_099")</f>
        <v>@ArdianZA_099</v>
      </c>
      <c r="C31730" t="s">
        <v>13259</v>
      </c>
      <c r="D31730">
        <v>3</v>
      </c>
      <c r="E31730">
        <v>0</v>
      </c>
      <c r="F31730">
        <v>1888</v>
      </c>
    </row>
    <row r="31731" spans="1:6" ht="12.75">
      <c r="A31731" s="2">
        <v>43875.490659722222</v>
      </c>
      <c r="B31731" t="str">
        <f>HYPERLINK("https://twitter.com/KompasTV","@KompasTV")</f>
        <v>@KompasTV</v>
      </c>
      <c r="C31731" t="s">
        <v>13282</v>
      </c>
      <c r="D31731">
        <v>1</v>
      </c>
      <c r="E31731">
        <v>3</v>
      </c>
      <c r="F31731">
        <v>2941076</v>
      </c>
    </row>
    <row r="31732" spans="1:6" ht="12.75">
      <c r="A31732" s="2">
        <v>43875.490636574075</v>
      </c>
      <c r="B31732" t="str">
        <f>HYPERLINK("https://twitter.com/_Bakemono","@_Bakemono")</f>
        <v>@_Bakemono</v>
      </c>
      <c r="C31732" t="s">
        <v>2444</v>
      </c>
      <c r="D31732">
        <v>206</v>
      </c>
      <c r="E31732">
        <v>0</v>
      </c>
      <c r="F31732">
        <v>817</v>
      </c>
    </row>
    <row r="31733" spans="1:6" ht="12.75">
      <c r="A31733" s="2">
        <v>43875.490636574075</v>
      </c>
      <c r="B31733" t="str">
        <f>HYPERLINK("https://twitter.com/cherrykalalo","@cherrykalalo")</f>
        <v>@cherrykalalo</v>
      </c>
      <c r="C31733" t="s">
        <v>8208</v>
      </c>
      <c r="D31733">
        <v>897</v>
      </c>
      <c r="E31733">
        <v>0</v>
      </c>
      <c r="F31733">
        <v>292</v>
      </c>
    </row>
    <row r="31734" spans="1:6" ht="12.75">
      <c r="A31734" s="2">
        <v>43875.490601851852</v>
      </c>
      <c r="B31734" t="str">
        <f>HYPERLINK("https://twitter.com/TjahjoLoet","@TjahjoLoet")</f>
        <v>@TjahjoLoet</v>
      </c>
      <c r="C31734" t="s">
        <v>13283</v>
      </c>
      <c r="D31734">
        <v>0</v>
      </c>
      <c r="E31734">
        <v>1</v>
      </c>
      <c r="F31734">
        <v>1663</v>
      </c>
    </row>
    <row r="31735" spans="1:6" ht="12.75">
      <c r="A31735" s="2">
        <v>43875.490567129629</v>
      </c>
      <c r="B31735" t="str">
        <f>HYPERLINK("https://twitter.com/marpaung913","@marpaung913")</f>
        <v>@marpaung913</v>
      </c>
      <c r="C31735" t="s">
        <v>13284</v>
      </c>
      <c r="D31735">
        <v>0</v>
      </c>
      <c r="E31735">
        <v>0</v>
      </c>
      <c r="F31735">
        <v>526</v>
      </c>
    </row>
    <row r="31736" spans="1:6" ht="12.75">
      <c r="A31736" s="2">
        <v>43875.490520833337</v>
      </c>
      <c r="B31736" t="str">
        <f>HYPERLINK("https://twitter.com/_butet_harahap","@_butet_harahap")</f>
        <v>@_butet_harahap</v>
      </c>
      <c r="C31736" t="s">
        <v>13285</v>
      </c>
      <c r="D31736">
        <v>0</v>
      </c>
      <c r="E31736">
        <v>0</v>
      </c>
      <c r="F31736">
        <v>119</v>
      </c>
    </row>
    <row r="31737" spans="1:6" ht="12.75">
      <c r="A31737" s="2">
        <v>43875.49050925926</v>
      </c>
      <c r="B31737" t="str">
        <f>HYPERLINK("https://twitter.com/edhy_dharman","@edhy_dharman")</f>
        <v>@edhy_dharman</v>
      </c>
      <c r="C31737" t="s">
        <v>13286</v>
      </c>
      <c r="D31737">
        <v>6</v>
      </c>
      <c r="E31737">
        <v>0</v>
      </c>
      <c r="F31737">
        <v>87</v>
      </c>
    </row>
    <row r="31738" spans="1:6" ht="12.75">
      <c r="A31738" s="2">
        <v>43875.49046296296</v>
      </c>
      <c r="B31738" t="str">
        <f>HYPERLINK("https://twitter.com/SagaSantorini","@SagaSantorini")</f>
        <v>@SagaSantorini</v>
      </c>
      <c r="C31738" t="s">
        <v>10196</v>
      </c>
      <c r="D31738">
        <v>140</v>
      </c>
      <c r="E31738">
        <v>0</v>
      </c>
      <c r="F31738">
        <v>36</v>
      </c>
    </row>
    <row r="31739" spans="1:6" ht="12.75">
      <c r="A31739" s="2">
        <v>43875.490405092598</v>
      </c>
      <c r="B31739" t="str">
        <f>HYPERLINK("https://twitter.com/SunarjoMrm","@SunarjoMrm")</f>
        <v>@SunarjoMrm</v>
      </c>
      <c r="C31739" t="s">
        <v>10032</v>
      </c>
      <c r="D31739">
        <v>28</v>
      </c>
      <c r="E31739">
        <v>0</v>
      </c>
      <c r="F31739">
        <v>241</v>
      </c>
    </row>
    <row r="31740" spans="1:6" ht="12.75">
      <c r="A31740" s="2">
        <v>43875.490347222221</v>
      </c>
      <c r="B31740" t="str">
        <f>HYPERLINK("https://twitter.com/sanada_james","@sanada_james")</f>
        <v>@sanada_james</v>
      </c>
      <c r="C31740" t="s">
        <v>13287</v>
      </c>
      <c r="D31740">
        <v>91</v>
      </c>
      <c r="E31740">
        <v>0</v>
      </c>
      <c r="F31740">
        <v>3</v>
      </c>
    </row>
    <row r="31741" spans="1:6" ht="12.75">
      <c r="A31741" s="2">
        <v>43875.490335648152</v>
      </c>
      <c r="B31741" t="str">
        <f>HYPERLINK("https://twitter.com/medcom_id","@medcom_id")</f>
        <v>@medcom_id</v>
      </c>
      <c r="C31741" t="s">
        <v>28</v>
      </c>
      <c r="D31741">
        <v>0</v>
      </c>
      <c r="E31741">
        <v>0</v>
      </c>
      <c r="F31741">
        <v>18106</v>
      </c>
    </row>
    <row r="31742" spans="1:6" ht="12.75">
      <c r="A31742" s="2">
        <v>43875.490254629629</v>
      </c>
      <c r="B31742" t="str">
        <f>HYPERLINK("https://twitter.com/gandung_dan","@gandung_dan")</f>
        <v>@gandung_dan</v>
      </c>
      <c r="C31742" t="s">
        <v>2963</v>
      </c>
      <c r="D31742">
        <v>723</v>
      </c>
      <c r="E31742">
        <v>0</v>
      </c>
      <c r="F31742">
        <v>154</v>
      </c>
    </row>
    <row r="31743" spans="1:6" ht="12.75">
      <c r="A31743" s="2">
        <v>43875.490069444444</v>
      </c>
      <c r="B31743" t="str">
        <f>HYPERLINK("https://twitter.com/SuhudH1","@SuhudH1")</f>
        <v>@SuhudH1</v>
      </c>
      <c r="C31743" t="s">
        <v>6837</v>
      </c>
      <c r="D31743">
        <v>7</v>
      </c>
      <c r="E31743">
        <v>0</v>
      </c>
      <c r="F31743">
        <v>3</v>
      </c>
    </row>
    <row r="31744" spans="1:6" ht="12.75">
      <c r="A31744" s="2">
        <v>43875.490034722221</v>
      </c>
      <c r="B31744" t="str">
        <f>HYPERLINK("https://twitter.com/infoajus","@infoajus")</f>
        <v>@infoajus</v>
      </c>
      <c r="C31744" t="s">
        <v>13090</v>
      </c>
      <c r="D31744">
        <v>5</v>
      </c>
      <c r="E31744">
        <v>0</v>
      </c>
      <c r="F31744">
        <v>742</v>
      </c>
    </row>
    <row r="31745" spans="1:6" ht="12.75">
      <c r="A31745" s="2">
        <v>43875.489953703705</v>
      </c>
      <c r="B31745" t="str">
        <f>HYPERLINK("https://twitter.com/RiyahAdzs","@RiyahAdzs")</f>
        <v>@RiyahAdzs</v>
      </c>
      <c r="C31745" t="s">
        <v>13288</v>
      </c>
      <c r="D31745">
        <v>0</v>
      </c>
      <c r="E31745">
        <v>0</v>
      </c>
      <c r="F31745">
        <v>15</v>
      </c>
    </row>
    <row r="31746" spans="1:6" ht="12.75">
      <c r="A31746" s="2">
        <v>43875.489837962959</v>
      </c>
      <c r="B31746" t="str">
        <f>HYPERLINK("https://twitter.com/sinaganasi","@sinaganasi")</f>
        <v>@sinaganasi</v>
      </c>
      <c r="C31746" t="s">
        <v>13289</v>
      </c>
      <c r="D31746">
        <v>0</v>
      </c>
      <c r="E31746">
        <v>0</v>
      </c>
      <c r="F31746">
        <v>2</v>
      </c>
    </row>
    <row r="31747" spans="1:6" ht="12.75">
      <c r="A31747" s="2">
        <v>43875.48982638889</v>
      </c>
      <c r="B31747" t="str">
        <f>HYPERLINK("https://twitter.com/ArdianZA_099","@ArdianZA_099")</f>
        <v>@ArdianZA_099</v>
      </c>
      <c r="C31747" t="s">
        <v>11425</v>
      </c>
      <c r="D31747">
        <v>214</v>
      </c>
      <c r="E31747">
        <v>0</v>
      </c>
      <c r="F31747">
        <v>1888</v>
      </c>
    </row>
    <row r="31748" spans="1:6" ht="12.75">
      <c r="A31748" s="2">
        <v>43875.489710648151</v>
      </c>
      <c r="B31748" t="str">
        <f>HYPERLINK("https://twitter.com/tornpul","@tornpul")</f>
        <v>@tornpul</v>
      </c>
      <c r="C31748" t="s">
        <v>9964</v>
      </c>
      <c r="D31748">
        <v>532</v>
      </c>
      <c r="E31748">
        <v>0</v>
      </c>
      <c r="F31748">
        <v>708</v>
      </c>
    </row>
    <row r="31749" spans="1:6" ht="12.75">
      <c r="A31749" s="2">
        <v>43875.489699074074</v>
      </c>
      <c r="B31749" t="str">
        <f>HYPERLINK("https://twitter.com/xoxoag","@xoxoag")</f>
        <v>@xoxoag</v>
      </c>
      <c r="C31749" t="s">
        <v>13290</v>
      </c>
      <c r="D31749">
        <v>0</v>
      </c>
      <c r="E31749">
        <v>0</v>
      </c>
      <c r="F31749">
        <v>709</v>
      </c>
    </row>
    <row r="31750" spans="1:6" ht="12.75">
      <c r="A31750" s="2">
        <v>43875.489351851851</v>
      </c>
      <c r="B31750" t="str">
        <f>HYPERLINK("https://twitter.com/__beritaterkini","@__beritaterkini")</f>
        <v>@__beritaterkini</v>
      </c>
      <c r="C31750" t="s">
        <v>13291</v>
      </c>
      <c r="D31750">
        <v>0</v>
      </c>
      <c r="E31750">
        <v>0</v>
      </c>
      <c r="F31750">
        <v>416</v>
      </c>
    </row>
    <row r="31751" spans="1:6" ht="12.75">
      <c r="A31751" s="2">
        <v>43875.489282407405</v>
      </c>
      <c r="B31751" t="str">
        <f>HYPERLINK("https://twitter.com/arga_dermawan","@arga_dermawan")</f>
        <v>@arga_dermawan</v>
      </c>
      <c r="C31751" t="s">
        <v>13201</v>
      </c>
      <c r="D31751">
        <v>0</v>
      </c>
      <c r="E31751">
        <v>0</v>
      </c>
      <c r="F31751">
        <v>6</v>
      </c>
    </row>
    <row r="31752" spans="1:6" ht="12.75">
      <c r="A31752" s="2">
        <v>43875.48914351852</v>
      </c>
      <c r="B31752" t="str">
        <f>HYPERLINK("https://twitter.com/limerence_do","@limerence_do")</f>
        <v>@limerence_do</v>
      </c>
      <c r="C31752" t="s">
        <v>9021</v>
      </c>
      <c r="D31752">
        <v>176</v>
      </c>
      <c r="E31752">
        <v>0</v>
      </c>
      <c r="F31752">
        <v>150</v>
      </c>
    </row>
    <row r="31753" spans="1:6" ht="12.75">
      <c r="A31753" s="2">
        <v>43875.489131944443</v>
      </c>
      <c r="B31753" t="str">
        <f>HYPERLINK("https://twitter.com/sany_maya","@sany_maya")</f>
        <v>@sany_maya</v>
      </c>
      <c r="C31753" t="s">
        <v>10237</v>
      </c>
      <c r="D31753">
        <v>29</v>
      </c>
      <c r="E31753">
        <v>0</v>
      </c>
      <c r="F31753">
        <v>1714</v>
      </c>
    </row>
    <row r="31754" spans="1:6" ht="12.75">
      <c r="A31754" s="2">
        <v>43875.489085648151</v>
      </c>
      <c r="B31754" t="str">
        <f>HYPERLINK("https://twitter.com/g0bell_78","@g0bell_78")</f>
        <v>@g0bell_78</v>
      </c>
      <c r="C31754" t="s">
        <v>2963</v>
      </c>
      <c r="D31754">
        <v>723</v>
      </c>
      <c r="E31754">
        <v>0</v>
      </c>
      <c r="F31754">
        <v>2759</v>
      </c>
    </row>
    <row r="31755" spans="1:6" ht="12.75">
      <c r="A31755" s="2">
        <v>43875.489085648151</v>
      </c>
      <c r="B31755" t="str">
        <f>HYPERLINK("https://twitter.com/SuhudH1","@SuhudH1")</f>
        <v>@SuhudH1</v>
      </c>
      <c r="C31755" t="s">
        <v>2122</v>
      </c>
      <c r="D31755">
        <v>191</v>
      </c>
      <c r="E31755">
        <v>0</v>
      </c>
      <c r="F31755">
        <v>3</v>
      </c>
    </row>
    <row r="31756" spans="1:6" ht="12.75">
      <c r="A31756" s="2">
        <v>43875.489062499997</v>
      </c>
      <c r="B31756" t="str">
        <f>HYPERLINK("https://twitter.com/Aryo82819046","@Aryo82819046")</f>
        <v>@Aryo82819046</v>
      </c>
      <c r="C31756" t="s">
        <v>9746</v>
      </c>
      <c r="D31756">
        <v>66</v>
      </c>
      <c r="E31756">
        <v>0</v>
      </c>
      <c r="F31756">
        <v>1150</v>
      </c>
    </row>
    <row r="31757" spans="1:6" ht="12.75">
      <c r="A31757" s="2">
        <v>43875.489004629635</v>
      </c>
      <c r="B31757" t="str">
        <f>HYPERLINK("https://twitter.com/ikadzikri16","@ikadzikri16")</f>
        <v>@ikadzikri16</v>
      </c>
      <c r="C31757" t="s">
        <v>13292</v>
      </c>
      <c r="D31757">
        <v>0</v>
      </c>
      <c r="E31757">
        <v>0</v>
      </c>
      <c r="F31757">
        <v>1086</v>
      </c>
    </row>
    <row r="31758" spans="1:6" ht="12.75">
      <c r="A31758" s="2">
        <v>43875.488993055551</v>
      </c>
      <c r="B31758" t="str">
        <f>HYPERLINK("https://twitter.com/geloraco","@geloraco")</f>
        <v>@geloraco</v>
      </c>
      <c r="C31758" t="s">
        <v>12086</v>
      </c>
      <c r="D31758">
        <v>5</v>
      </c>
      <c r="E31758">
        <v>6</v>
      </c>
      <c r="F31758">
        <v>99688</v>
      </c>
    </row>
    <row r="31759" spans="1:6" ht="12.75">
      <c r="A31759" s="2">
        <v>43875.488958333328</v>
      </c>
      <c r="B31759" t="str">
        <f>HYPERLINK("https://twitter.com/Ibnu67806138","@Ibnu67806138")</f>
        <v>@Ibnu67806138</v>
      </c>
      <c r="C31759" t="s">
        <v>10237</v>
      </c>
      <c r="D31759">
        <v>29</v>
      </c>
      <c r="E31759">
        <v>0</v>
      </c>
      <c r="F31759">
        <v>88</v>
      </c>
    </row>
    <row r="31760" spans="1:6" ht="12.75">
      <c r="A31760" s="2">
        <v>43875.488912037035</v>
      </c>
      <c r="B31760" t="str">
        <f>HYPERLINK("https://twitter.com/Wisnubrata6","@Wisnubrata6")</f>
        <v>@Wisnubrata6</v>
      </c>
      <c r="C31760" t="s">
        <v>13293</v>
      </c>
      <c r="D31760">
        <v>0</v>
      </c>
      <c r="E31760">
        <v>0</v>
      </c>
      <c r="F31760">
        <v>144</v>
      </c>
    </row>
    <row r="31761" spans="1:6" ht="12.75">
      <c r="A31761" s="2">
        <v>43875.488842592589</v>
      </c>
      <c r="B31761" t="str">
        <f>HYPERLINK("https://twitter.com/dinaravidi","@dinaravidi")</f>
        <v>@dinaravidi</v>
      </c>
      <c r="C31761" t="s">
        <v>5168</v>
      </c>
      <c r="D31761">
        <v>540</v>
      </c>
      <c r="E31761">
        <v>0</v>
      </c>
      <c r="F31761">
        <v>1092</v>
      </c>
    </row>
    <row r="31762" spans="1:6" ht="12.75">
      <c r="A31762" s="2">
        <v>43875.488819444443</v>
      </c>
      <c r="B31762" t="str">
        <f>HYPERLINK("https://twitter.com/Metro_TV","@Metro_TV")</f>
        <v>@Metro_TV</v>
      </c>
      <c r="C31762" t="s">
        <v>13294</v>
      </c>
      <c r="D31762">
        <v>0</v>
      </c>
      <c r="E31762">
        <v>1</v>
      </c>
      <c r="F31762">
        <v>10509010</v>
      </c>
    </row>
    <row r="31763" spans="1:6" ht="12.75">
      <c r="A31763" s="2">
        <v>43875.488796296297</v>
      </c>
      <c r="B31763" t="str">
        <f>HYPERLINK("https://twitter.com/sinaganasi","@sinaganasi")</f>
        <v>@sinaganasi</v>
      </c>
      <c r="C31763" t="s">
        <v>13295</v>
      </c>
      <c r="D31763">
        <v>0</v>
      </c>
      <c r="E31763">
        <v>0</v>
      </c>
      <c r="F31763">
        <v>2</v>
      </c>
    </row>
    <row r="31764" spans="1:6" ht="12.75">
      <c r="A31764" s="2">
        <v>43875.488634259258</v>
      </c>
      <c r="B31764" t="str">
        <f>HYPERLINK("https://twitter.com/SuhudH1","@SuhudH1")</f>
        <v>@SuhudH1</v>
      </c>
      <c r="C31764" t="s">
        <v>13296</v>
      </c>
      <c r="D31764">
        <v>3</v>
      </c>
      <c r="E31764">
        <v>0</v>
      </c>
      <c r="F31764">
        <v>3</v>
      </c>
    </row>
    <row r="31765" spans="1:6" ht="12.75">
      <c r="A31765" s="2">
        <v>43875.488599537042</v>
      </c>
      <c r="B31765" t="str">
        <f>HYPERLINK("https://twitter.com/ndrewwolf","@ndrewwolf")</f>
        <v>@ndrewwolf</v>
      </c>
      <c r="C31765" t="s">
        <v>13297</v>
      </c>
      <c r="D31765">
        <v>0</v>
      </c>
      <c r="E31765">
        <v>0</v>
      </c>
      <c r="F31765">
        <v>3811</v>
      </c>
    </row>
    <row r="31766" spans="1:6" ht="12.75">
      <c r="A31766" s="2">
        <v>43875.488553240742</v>
      </c>
      <c r="B31766" t="str">
        <f>HYPERLINK("https://twitter.com/younuizi","@younuizi")</f>
        <v>@younuizi</v>
      </c>
      <c r="C31766" t="s">
        <v>13298</v>
      </c>
      <c r="D31766">
        <v>1</v>
      </c>
      <c r="E31766">
        <v>0</v>
      </c>
      <c r="F31766">
        <v>417</v>
      </c>
    </row>
    <row r="31767" spans="1:6" ht="12.75">
      <c r="A31767" s="2">
        <v>43875.488483796296</v>
      </c>
      <c r="B31767" t="str">
        <f>HYPERLINK("https://twitter.com/ekosunyo18","@ekosunyo18")</f>
        <v>@ekosunyo18</v>
      </c>
      <c r="C31767" t="s">
        <v>13299</v>
      </c>
      <c r="D31767">
        <v>99</v>
      </c>
      <c r="E31767">
        <v>0</v>
      </c>
      <c r="F31767">
        <v>828</v>
      </c>
    </row>
    <row r="31768" spans="1:6" ht="12.75">
      <c r="A31768" s="2">
        <v>43875.488449074073</v>
      </c>
      <c r="B31768" t="str">
        <f>HYPERLINK("https://twitter.com/mustevb","@mustevb")</f>
        <v>@mustevb</v>
      </c>
      <c r="C31768" t="s">
        <v>13300</v>
      </c>
      <c r="D31768">
        <v>0</v>
      </c>
      <c r="E31768">
        <v>0</v>
      </c>
      <c r="F31768">
        <v>46</v>
      </c>
    </row>
    <row r="31769" spans="1:6" ht="12.75">
      <c r="A31769" s="2">
        <v>43875.488391203704</v>
      </c>
      <c r="B31769" t="str">
        <f>HYPERLINK("https://twitter.com/teatalua","@teatalua")</f>
        <v>@teatalua</v>
      </c>
      <c r="C31769" t="s">
        <v>13301</v>
      </c>
      <c r="D31769">
        <v>0</v>
      </c>
      <c r="E31769">
        <v>0</v>
      </c>
      <c r="F31769">
        <v>155</v>
      </c>
    </row>
    <row r="31770" spans="1:6" ht="12.75">
      <c r="A31770" s="2">
        <v>43875.488379629634</v>
      </c>
      <c r="B31770" t="str">
        <f>HYPERLINK("https://twitter.com/arianto_BJ","@arianto_BJ")</f>
        <v>@arianto_BJ</v>
      </c>
      <c r="C31770" t="s">
        <v>13302</v>
      </c>
      <c r="D31770">
        <v>0</v>
      </c>
      <c r="E31770">
        <v>0</v>
      </c>
      <c r="F31770">
        <v>966</v>
      </c>
    </row>
    <row r="31771" spans="1:6" ht="12.75">
      <c r="A31771" s="2">
        <v>43875.488333333335</v>
      </c>
      <c r="B31771" t="str">
        <f>HYPERLINK("https://twitter.com/aristinnn","@aristinnn")</f>
        <v>@aristinnn</v>
      </c>
      <c r="C31771" t="s">
        <v>13303</v>
      </c>
      <c r="D31771">
        <v>1</v>
      </c>
      <c r="E31771">
        <v>0</v>
      </c>
      <c r="F31771">
        <v>807</v>
      </c>
    </row>
    <row r="31772" spans="1:6" ht="12.75">
      <c r="A31772" s="2">
        <v>43875.48810185185</v>
      </c>
      <c r="B31772" t="str">
        <f>HYPERLINK("https://twitter.com/dahlanlubis_","@dahlanlubis_")</f>
        <v>@dahlanlubis_</v>
      </c>
      <c r="C31772" t="s">
        <v>9962</v>
      </c>
      <c r="D31772">
        <v>15</v>
      </c>
      <c r="E31772">
        <v>0</v>
      </c>
      <c r="F31772">
        <v>161</v>
      </c>
    </row>
    <row r="31773" spans="1:6" ht="12.75">
      <c r="A31773" s="2">
        <v>43875.48810185185</v>
      </c>
      <c r="B31773" t="str">
        <f>HYPERLINK("https://twitter.com/hendyaw","@hendyaw")</f>
        <v>@hendyaw</v>
      </c>
      <c r="C31773" t="s">
        <v>2444</v>
      </c>
      <c r="D31773">
        <v>206</v>
      </c>
      <c r="E31773">
        <v>0</v>
      </c>
      <c r="F31773">
        <v>3313</v>
      </c>
    </row>
    <row r="31774" spans="1:6" ht="12.75">
      <c r="A31774" s="2">
        <v>43875.488078703704</v>
      </c>
      <c r="B31774" t="str">
        <f>HYPERLINK("https://twitter.com/sunarko_suwito","@sunarko_suwito")</f>
        <v>@sunarko_suwito</v>
      </c>
      <c r="C31774" t="s">
        <v>13304</v>
      </c>
      <c r="D31774">
        <v>1</v>
      </c>
      <c r="E31774">
        <v>0</v>
      </c>
      <c r="F31774">
        <v>9</v>
      </c>
    </row>
    <row r="31775" spans="1:6" ht="12.75">
      <c r="A31775" s="2">
        <v>43875.488055555557</v>
      </c>
      <c r="B31775" t="str">
        <f>HYPERLINK("https://twitter.com/MonologeLLy_318","@MonologeLLy_318")</f>
        <v>@MonologeLLy_318</v>
      </c>
      <c r="C31775" t="s">
        <v>8233</v>
      </c>
      <c r="D31775">
        <v>377</v>
      </c>
      <c r="E31775">
        <v>0</v>
      </c>
      <c r="F31775">
        <v>1372</v>
      </c>
    </row>
    <row r="31776" spans="1:6" ht="12.75">
      <c r="A31776" s="2">
        <v>43875.488055555557</v>
      </c>
      <c r="B31776" t="str">
        <f>HYPERLINK("https://twitter.com/sunarko_suwito","@sunarko_suwito")</f>
        <v>@sunarko_suwito</v>
      </c>
      <c r="C31776" t="s">
        <v>13305</v>
      </c>
      <c r="D31776">
        <v>1</v>
      </c>
      <c r="E31776">
        <v>0</v>
      </c>
      <c r="F31776">
        <v>9</v>
      </c>
    </row>
    <row r="31777" spans="1:6" ht="12.75">
      <c r="A31777" s="2">
        <v>43875.487893518519</v>
      </c>
      <c r="B31777" t="str">
        <f>HYPERLINK("https://twitter.com/Erickblank","@Erickblank")</f>
        <v>@Erickblank</v>
      </c>
      <c r="C31777" t="s">
        <v>9096</v>
      </c>
      <c r="D31777">
        <v>179</v>
      </c>
      <c r="E31777">
        <v>0</v>
      </c>
      <c r="F31777">
        <v>195</v>
      </c>
    </row>
    <row r="31778" spans="1:6" ht="12.75">
      <c r="A31778" s="2">
        <v>43875.487638888888</v>
      </c>
      <c r="B31778" t="str">
        <f>HYPERLINK("https://twitter.com/hynugroho","@hynugroho")</f>
        <v>@hynugroho</v>
      </c>
      <c r="C31778" t="s">
        <v>9746</v>
      </c>
      <c r="D31778">
        <v>66</v>
      </c>
      <c r="E31778">
        <v>0</v>
      </c>
      <c r="F31778">
        <v>745</v>
      </c>
    </row>
    <row r="31779" spans="1:6" ht="12.75">
      <c r="A31779" s="2">
        <v>43875.487604166672</v>
      </c>
      <c r="B31779" t="str">
        <f>HYPERLINK("https://twitter.com/Astri_pranad","@Astri_pranad")</f>
        <v>@Astri_pranad</v>
      </c>
      <c r="C31779" t="s">
        <v>13306</v>
      </c>
      <c r="D31779">
        <v>0</v>
      </c>
      <c r="E31779">
        <v>0</v>
      </c>
      <c r="F31779">
        <v>6</v>
      </c>
    </row>
    <row r="31780" spans="1:6" ht="12.75">
      <c r="A31780" s="2">
        <v>43875.487534722226</v>
      </c>
      <c r="B31780" t="str">
        <f>HYPERLINK("https://twitter.com/Amalia_kiswah","@Amalia_kiswah")</f>
        <v>@Amalia_kiswah</v>
      </c>
      <c r="C31780" t="s">
        <v>2444</v>
      </c>
      <c r="D31780">
        <v>206</v>
      </c>
      <c r="E31780">
        <v>0</v>
      </c>
      <c r="F31780">
        <v>129</v>
      </c>
    </row>
    <row r="31781" spans="1:6" ht="12.75">
      <c r="A31781" s="2">
        <v>43875.487523148149</v>
      </c>
      <c r="B31781" t="str">
        <f>HYPERLINK("https://twitter.com/mohamad_bagir","@mohamad_bagir")</f>
        <v>@mohamad_bagir</v>
      </c>
      <c r="C31781" t="s">
        <v>13307</v>
      </c>
      <c r="D31781">
        <v>0</v>
      </c>
      <c r="E31781">
        <v>0</v>
      </c>
      <c r="F31781">
        <v>1519</v>
      </c>
    </row>
    <row r="31782" spans="1:6" ht="12.75">
      <c r="A31782" s="2">
        <v>43875.487488425926</v>
      </c>
      <c r="B31782" t="str">
        <f>HYPERLINK("https://twitter.com/AEPishere","@AEPishere")</f>
        <v>@AEPishere</v>
      </c>
      <c r="C31782" t="s">
        <v>13308</v>
      </c>
      <c r="D31782">
        <v>1</v>
      </c>
      <c r="E31782">
        <v>0</v>
      </c>
      <c r="F31782">
        <v>3010</v>
      </c>
    </row>
    <row r="31783" spans="1:6" ht="12.75">
      <c r="A31783" s="2">
        <v>43875.48746527778</v>
      </c>
      <c r="B31783" t="str">
        <f>HYPERLINK("https://twitter.com/Jelantik5","@Jelantik5")</f>
        <v>@Jelantik5</v>
      </c>
      <c r="C31783" t="s">
        <v>12612</v>
      </c>
      <c r="D31783">
        <v>14</v>
      </c>
      <c r="E31783">
        <v>0</v>
      </c>
      <c r="F31783">
        <v>6371</v>
      </c>
    </row>
    <row r="31784" spans="1:6" ht="12.75">
      <c r="A31784" s="2">
        <v>43875.48741898148</v>
      </c>
      <c r="B31784" t="str">
        <f>HYPERLINK("https://twitter.com/haiAjoy","@haiAjoy")</f>
        <v>@haiAjoy</v>
      </c>
      <c r="C31784" t="s">
        <v>9113</v>
      </c>
      <c r="D31784">
        <v>273</v>
      </c>
      <c r="E31784">
        <v>0</v>
      </c>
      <c r="F31784">
        <v>227</v>
      </c>
    </row>
    <row r="31785" spans="1:6" ht="12.75">
      <c r="A31785" s="2">
        <v>43875.48737268518</v>
      </c>
      <c r="B31785" t="str">
        <f>HYPERLINK("https://twitter.com/navitaputryy","@navitaputryy")</f>
        <v>@navitaputryy</v>
      </c>
      <c r="C31785" t="s">
        <v>9962</v>
      </c>
      <c r="D31785">
        <v>15</v>
      </c>
      <c r="E31785">
        <v>0</v>
      </c>
      <c r="F31785">
        <v>938</v>
      </c>
    </row>
    <row r="31786" spans="1:6" ht="12.75">
      <c r="A31786" s="2">
        <v>43875.487349537041</v>
      </c>
      <c r="B31786" t="str">
        <f>HYPERLINK("https://twitter.com/Triyaszoe","@Triyaszoe")</f>
        <v>@Triyaszoe</v>
      </c>
      <c r="C31786" t="s">
        <v>9962</v>
      </c>
      <c r="D31786">
        <v>15</v>
      </c>
      <c r="E31786">
        <v>0</v>
      </c>
      <c r="F31786">
        <v>574</v>
      </c>
    </row>
    <row r="31787" spans="1:6" ht="12.75">
      <c r="A31787" s="2">
        <v>43875.487129629633</v>
      </c>
      <c r="B31787" t="str">
        <f>HYPERLINK("https://twitter.com/AmerEurope","@AmerEurope")</f>
        <v>@AmerEurope</v>
      </c>
      <c r="C31787" t="s">
        <v>13309</v>
      </c>
      <c r="D31787">
        <v>1</v>
      </c>
      <c r="E31787">
        <v>0</v>
      </c>
      <c r="F31787">
        <v>645</v>
      </c>
    </row>
    <row r="31788" spans="1:6" ht="12.75">
      <c r="A31788" s="2">
        <v>43875.487118055556</v>
      </c>
      <c r="B31788" t="str">
        <f>HYPERLINK("https://twitter.com/Purwa_wicak","@Purwa_wicak")</f>
        <v>@Purwa_wicak</v>
      </c>
      <c r="C31788" t="s">
        <v>7411</v>
      </c>
      <c r="D31788">
        <v>138</v>
      </c>
      <c r="E31788">
        <v>0</v>
      </c>
      <c r="F31788">
        <v>269</v>
      </c>
    </row>
    <row r="31789" spans="1:6" ht="12.75">
      <c r="A31789" s="2">
        <v>43875.48710648148</v>
      </c>
      <c r="B31789" t="str">
        <f>HYPERLINK("https://twitter.com/gembira683101","@gembira683101")</f>
        <v>@gembira683101</v>
      </c>
      <c r="C31789" t="s">
        <v>3038</v>
      </c>
      <c r="D31789">
        <v>111</v>
      </c>
      <c r="E31789">
        <v>0</v>
      </c>
      <c r="F31789">
        <v>194</v>
      </c>
    </row>
    <row r="31790" spans="1:6" ht="12.75">
      <c r="A31790" s="2">
        <v>43875.487037037034</v>
      </c>
      <c r="B31790" t="str">
        <f>HYPERLINK("https://twitter.com/4nd103125330","@4nd103125330")</f>
        <v>@4nd103125330</v>
      </c>
      <c r="C31790" t="s">
        <v>13310</v>
      </c>
      <c r="D31790">
        <v>1</v>
      </c>
      <c r="E31790">
        <v>0</v>
      </c>
      <c r="F31790">
        <v>1398</v>
      </c>
    </row>
    <row r="31791" spans="1:6" ht="12.75">
      <c r="A31791" s="2">
        <v>43875.486967592587</v>
      </c>
      <c r="B31791" t="str">
        <f>HYPERLINK("https://twitter.com/VirgiliusAntus","@VirgiliusAntus")</f>
        <v>@VirgiliusAntus</v>
      </c>
      <c r="C31791" t="s">
        <v>8233</v>
      </c>
      <c r="D31791">
        <v>377</v>
      </c>
      <c r="E31791">
        <v>0</v>
      </c>
      <c r="F31791">
        <v>304</v>
      </c>
    </row>
    <row r="31792" spans="1:6" ht="12.75">
      <c r="A31792" s="2">
        <v>43875.486956018518</v>
      </c>
      <c r="B31792" t="str">
        <f>HYPERLINK("https://twitter.com/suherma90911292","@suherma90911292")</f>
        <v>@suherma90911292</v>
      </c>
      <c r="C31792" t="s">
        <v>5665</v>
      </c>
      <c r="D31792">
        <v>66</v>
      </c>
      <c r="E31792">
        <v>0</v>
      </c>
      <c r="F31792">
        <v>32</v>
      </c>
    </row>
    <row r="31793" spans="1:6" ht="12.75">
      <c r="A31793" s="2">
        <v>43875.486932870372</v>
      </c>
      <c r="B31793" t="str">
        <f>HYPERLINK("https://twitter.com/DitjenYankes","@DitjenYankes")</f>
        <v>@DitjenYankes</v>
      </c>
      <c r="C31793" t="s">
        <v>13311</v>
      </c>
      <c r="D31793">
        <v>0</v>
      </c>
      <c r="E31793">
        <v>1</v>
      </c>
      <c r="F31793">
        <v>5787</v>
      </c>
    </row>
    <row r="31794" spans="1:6" ht="12.75">
      <c r="A31794" s="2">
        <v>43875.486921296295</v>
      </c>
      <c r="B31794" t="str">
        <f>HYPERLINK("https://twitter.com/bucintiway","@bucintiway")</f>
        <v>@bucintiway</v>
      </c>
      <c r="C31794" t="s">
        <v>2444</v>
      </c>
      <c r="D31794">
        <v>206</v>
      </c>
      <c r="E31794">
        <v>0</v>
      </c>
      <c r="F31794">
        <v>542</v>
      </c>
    </row>
    <row r="31795" spans="1:6" ht="12.75">
      <c r="A31795" s="2">
        <v>43875.486805555556</v>
      </c>
      <c r="B31795" t="str">
        <f>HYPERLINK("https://twitter.com/nurazizpbw","@nurazizpbw")</f>
        <v>@nurazizpbw</v>
      </c>
      <c r="C31795" t="s">
        <v>13312</v>
      </c>
      <c r="D31795">
        <v>0</v>
      </c>
      <c r="E31795">
        <v>0</v>
      </c>
      <c r="F31795">
        <v>82</v>
      </c>
    </row>
    <row r="31796" spans="1:6" ht="12.75">
      <c r="A31796" s="2">
        <v>43875.486793981487</v>
      </c>
      <c r="B31796" t="str">
        <f>HYPERLINK("https://twitter.com/muhammad_ridhaa","@muhammad_ridhaa")</f>
        <v>@muhammad_ridhaa</v>
      </c>
      <c r="C31796" t="s">
        <v>13313</v>
      </c>
      <c r="D31796">
        <v>0</v>
      </c>
      <c r="E31796">
        <v>0</v>
      </c>
      <c r="F31796">
        <v>684</v>
      </c>
    </row>
    <row r="31797" spans="1:6" ht="12.75">
      <c r="A31797" s="2">
        <v>43875.486608796295</v>
      </c>
      <c r="B31797" t="str">
        <f>HYPERLINK("https://twitter.com/AritraPancing","@AritraPancing")</f>
        <v>@AritraPancing</v>
      </c>
      <c r="C31797" t="s">
        <v>13314</v>
      </c>
      <c r="D31797">
        <v>0</v>
      </c>
      <c r="E31797">
        <v>0</v>
      </c>
      <c r="F31797">
        <v>12</v>
      </c>
    </row>
    <row r="31798" spans="1:6" ht="12.75">
      <c r="A31798" s="2">
        <v>43875.486527777779</v>
      </c>
      <c r="B31798" t="str">
        <f>HYPERLINK("https://twitter.com/dennis2504m","@dennis2504m")</f>
        <v>@dennis2504m</v>
      </c>
      <c r="C31798" t="s">
        <v>2137</v>
      </c>
      <c r="D31798">
        <v>54</v>
      </c>
      <c r="E31798">
        <v>0</v>
      </c>
      <c r="F31798">
        <v>400</v>
      </c>
    </row>
    <row r="31799" spans="1:6" ht="12.75">
      <c r="A31799" s="2">
        <v>43875.486458333333</v>
      </c>
      <c r="B31799" t="str">
        <f>HYPERLINK("https://twitter.com/zeedn_a","@zeedn_a")</f>
        <v>@zeedn_a</v>
      </c>
      <c r="C31799" t="s">
        <v>5168</v>
      </c>
      <c r="D31799">
        <v>540</v>
      </c>
      <c r="E31799">
        <v>0</v>
      </c>
      <c r="F31799">
        <v>341</v>
      </c>
    </row>
    <row r="31800" spans="1:6" ht="12.75">
      <c r="A31800" s="2">
        <v>43875.486435185187</v>
      </c>
      <c r="B31800" t="str">
        <f>HYPERLINK("https://twitter.com/Andrias001","@Andrias001")</f>
        <v>@Andrias001</v>
      </c>
      <c r="C31800" t="s">
        <v>13315</v>
      </c>
      <c r="D31800">
        <v>52</v>
      </c>
      <c r="E31800">
        <v>0</v>
      </c>
      <c r="F31800">
        <v>36</v>
      </c>
    </row>
    <row r="31801" spans="1:6" ht="12.75">
      <c r="A31801" s="2">
        <v>43875.486134259263</v>
      </c>
      <c r="B31801" t="str">
        <f>HYPERLINK("https://twitter.com/GUSDURians","@GUSDURians")</f>
        <v>@GUSDURians</v>
      </c>
      <c r="C31801" t="s">
        <v>13316</v>
      </c>
      <c r="D31801">
        <v>2</v>
      </c>
      <c r="E31801">
        <v>4</v>
      </c>
      <c r="F31801">
        <v>189458</v>
      </c>
    </row>
    <row r="31802" spans="1:6" ht="12.75">
      <c r="A31802" s="2">
        <v>43875.486134259263</v>
      </c>
      <c r="B31802" t="str">
        <f>HYPERLINK("https://twitter.com/Jumatrisusanto","@Jumatrisusanto")</f>
        <v>@Jumatrisusanto</v>
      </c>
      <c r="C31802" t="s">
        <v>11460</v>
      </c>
      <c r="D31802">
        <v>16</v>
      </c>
      <c r="E31802">
        <v>0</v>
      </c>
      <c r="F31802">
        <v>402</v>
      </c>
    </row>
    <row r="31803" spans="1:6" ht="12.75">
      <c r="A31803" s="2">
        <v>43875.486122685186</v>
      </c>
      <c r="B31803" t="str">
        <f>HYPERLINK("https://twitter.com/tempodotco","@tempodotco")</f>
        <v>@tempodotco</v>
      </c>
      <c r="C31803" t="s">
        <v>13317</v>
      </c>
      <c r="D31803">
        <v>1</v>
      </c>
      <c r="E31803">
        <v>4</v>
      </c>
      <c r="F31803">
        <v>1702213</v>
      </c>
    </row>
    <row r="31804" spans="1:6" ht="12.75">
      <c r="A31804" s="2">
        <v>43875.485995370371</v>
      </c>
      <c r="B31804" t="str">
        <f>HYPERLINK("https://twitter.com/Luki34042540","@Luki34042540")</f>
        <v>@Luki34042540</v>
      </c>
      <c r="C31804" t="s">
        <v>10237</v>
      </c>
      <c r="D31804">
        <v>29</v>
      </c>
      <c r="E31804">
        <v>0</v>
      </c>
      <c r="F31804">
        <v>13</v>
      </c>
    </row>
    <row r="31805" spans="1:6" ht="12.75">
      <c r="A31805" s="2">
        <v>43875.485972222217</v>
      </c>
      <c r="B31805" t="str">
        <f>HYPERLINK("https://twitter.com/indra2601","@indra2601")</f>
        <v>@indra2601</v>
      </c>
      <c r="C31805" t="s">
        <v>13318</v>
      </c>
      <c r="D31805">
        <v>0</v>
      </c>
      <c r="E31805">
        <v>0</v>
      </c>
      <c r="F31805">
        <v>35</v>
      </c>
    </row>
    <row r="31806" spans="1:6" ht="12.75">
      <c r="A31806" s="2">
        <v>43875.485937500001</v>
      </c>
      <c r="B31806" t="str">
        <f>HYPERLINK("https://twitter.com/irvan_alkatiri","@irvan_alkatiri")</f>
        <v>@irvan_alkatiri</v>
      </c>
      <c r="C31806" t="s">
        <v>10237</v>
      </c>
      <c r="D31806">
        <v>29</v>
      </c>
      <c r="E31806">
        <v>0</v>
      </c>
      <c r="F31806">
        <v>85</v>
      </c>
    </row>
    <row r="31807" spans="1:6" ht="12.75">
      <c r="A31807" s="2">
        <v>43875.485844907409</v>
      </c>
      <c r="B31807" t="str">
        <f>HYPERLINK("https://twitter.com/PardomuanSaroha","@PardomuanSaroha")</f>
        <v>@PardomuanSaroha</v>
      </c>
      <c r="C31807" t="s">
        <v>13319</v>
      </c>
      <c r="D31807">
        <v>0</v>
      </c>
      <c r="E31807">
        <v>0</v>
      </c>
      <c r="F31807">
        <v>426</v>
      </c>
    </row>
    <row r="31808" spans="1:6" ht="12.75">
      <c r="A31808" s="2">
        <v>43875.485798611116</v>
      </c>
      <c r="B31808" t="str">
        <f>HYPERLINK("https://twitter.com/KompasTV","@KompasTV")</f>
        <v>@KompasTV</v>
      </c>
      <c r="C31808" t="s">
        <v>13320</v>
      </c>
      <c r="D31808">
        <v>1</v>
      </c>
      <c r="E31808">
        <v>0</v>
      </c>
      <c r="F31808">
        <v>2941075</v>
      </c>
    </row>
    <row r="31809" spans="1:6" ht="12.75">
      <c r="A31809" s="2">
        <v>43875.485682870371</v>
      </c>
      <c r="B31809" t="str">
        <f>HYPERLINK("https://twitter.com/pamungkas82","@pamungkas82")</f>
        <v>@pamungkas82</v>
      </c>
      <c r="C31809" t="s">
        <v>13321</v>
      </c>
      <c r="D31809">
        <v>6</v>
      </c>
      <c r="E31809">
        <v>0</v>
      </c>
      <c r="F31809">
        <v>1225</v>
      </c>
    </row>
    <row r="31810" spans="1:6" ht="12.75">
      <c r="A31810" s="2">
        <v>43875.485659722224</v>
      </c>
      <c r="B31810" t="str">
        <f>HYPERLINK("https://twitter.com/YogyakartaCity","@YogyakartaCity")</f>
        <v>@YogyakartaCity</v>
      </c>
      <c r="C31810" t="s">
        <v>9962</v>
      </c>
      <c r="D31810">
        <v>15</v>
      </c>
      <c r="E31810">
        <v>0</v>
      </c>
      <c r="F31810">
        <v>369931</v>
      </c>
    </row>
    <row r="31811" spans="1:6" ht="12.75">
      <c r="A31811" s="2">
        <v>43875.485613425924</v>
      </c>
      <c r="B31811" t="str">
        <f>HYPERLINK("https://twitter.com/rosniarike","@rosniarike")</f>
        <v>@rosniarike</v>
      </c>
      <c r="C31811" t="s">
        <v>8394</v>
      </c>
      <c r="D31811">
        <v>31</v>
      </c>
      <c r="E31811">
        <v>0</v>
      </c>
      <c r="F31811">
        <v>27</v>
      </c>
    </row>
    <row r="31812" spans="1:6" ht="12.75">
      <c r="A31812" s="2">
        <v>43875.485567129625</v>
      </c>
      <c r="B31812" t="str">
        <f>HYPERLINK("https://twitter.com/anonapostate","@anonapostate")</f>
        <v>@anonapostate</v>
      </c>
      <c r="C31812" t="s">
        <v>13322</v>
      </c>
      <c r="D31812">
        <v>0</v>
      </c>
      <c r="E31812">
        <v>1</v>
      </c>
      <c r="F31812">
        <v>278</v>
      </c>
    </row>
    <row r="31813" spans="1:6" ht="12.75">
      <c r="A31813" s="2">
        <v>43875.485462962963</v>
      </c>
      <c r="B31813" t="str">
        <f>HYPERLINK("https://twitter.com/KartelEgo","@KartelEgo")</f>
        <v>@KartelEgo</v>
      </c>
      <c r="C31813" t="s">
        <v>13323</v>
      </c>
      <c r="D31813">
        <v>0</v>
      </c>
      <c r="E31813">
        <v>0</v>
      </c>
      <c r="F31813">
        <v>1398</v>
      </c>
    </row>
    <row r="31814" spans="1:6" ht="12.75">
      <c r="A31814" s="2">
        <v>43875.48538194444</v>
      </c>
      <c r="B31814" t="str">
        <f>HYPERLINK("https://twitter.com/meyysiregar","@meyysiregar")</f>
        <v>@meyysiregar</v>
      </c>
      <c r="C31814" t="s">
        <v>2444</v>
      </c>
      <c r="D31814">
        <v>206</v>
      </c>
      <c r="E31814">
        <v>0</v>
      </c>
      <c r="F31814">
        <v>117</v>
      </c>
    </row>
    <row r="31815" spans="1:6" ht="12.75">
      <c r="A31815" s="2">
        <v>43875.485358796301</v>
      </c>
      <c r="B31815" t="str">
        <f>HYPERLINK("https://twitter.com/gunz_music","@gunz_music")</f>
        <v>@gunz_music</v>
      </c>
      <c r="C31815" t="s">
        <v>11425</v>
      </c>
      <c r="D31815">
        <v>214</v>
      </c>
      <c r="E31815">
        <v>0</v>
      </c>
      <c r="F31815">
        <v>87</v>
      </c>
    </row>
    <row r="31816" spans="1:6" ht="12.75">
      <c r="A31816" s="2">
        <v>43875.485324074078</v>
      </c>
      <c r="B31816" t="str">
        <f>HYPERLINK("https://twitter.com/Cahkuwut","@Cahkuwut")</f>
        <v>@Cahkuwut</v>
      </c>
      <c r="C31816" t="s">
        <v>10196</v>
      </c>
      <c r="D31816">
        <v>140</v>
      </c>
      <c r="E31816">
        <v>0</v>
      </c>
      <c r="F31816">
        <v>608</v>
      </c>
    </row>
    <row r="31817" spans="1:6" ht="12.75">
      <c r="A31817" s="2">
        <v>43875.485300925924</v>
      </c>
      <c r="B31817" t="str">
        <f>HYPERLINK("https://twitter.com/muhammadleo68","@muhammadleo68")</f>
        <v>@muhammadleo68</v>
      </c>
      <c r="C31817" t="s">
        <v>9746</v>
      </c>
      <c r="D31817">
        <v>66</v>
      </c>
      <c r="E31817">
        <v>0</v>
      </c>
      <c r="F31817">
        <v>1124</v>
      </c>
    </row>
    <row r="31818" spans="1:6" ht="12.75">
      <c r="A31818" s="2">
        <v>43875.485254629632</v>
      </c>
      <c r="B31818" t="str">
        <f>HYPERLINK("https://twitter.com/LarasParamita","@LarasParamita")</f>
        <v>@LarasParamita</v>
      </c>
      <c r="C31818" t="s">
        <v>2444</v>
      </c>
      <c r="D31818">
        <v>206</v>
      </c>
      <c r="E31818">
        <v>0</v>
      </c>
      <c r="F31818">
        <v>349</v>
      </c>
    </row>
    <row r="31819" spans="1:6" ht="12.75">
      <c r="A31819" s="2">
        <v>43875.485208333332</v>
      </c>
      <c r="B31819" t="str">
        <f>HYPERLINK("https://twitter.com/AsmaLiSaulung","@AsmaLiSaulung")</f>
        <v>@AsmaLiSaulung</v>
      </c>
      <c r="C31819" t="s">
        <v>10237</v>
      </c>
      <c r="D31819">
        <v>29</v>
      </c>
      <c r="E31819">
        <v>0</v>
      </c>
      <c r="F31819">
        <v>470</v>
      </c>
    </row>
    <row r="31820" spans="1:6" ht="12.75">
      <c r="A31820" s="2">
        <v>43875.485185185185</v>
      </c>
      <c r="B31820" t="str">
        <f>HYPERLINK("https://twitter.com/ind0wmie","@ind0wmie")</f>
        <v>@ind0wmie</v>
      </c>
      <c r="C31820" t="s">
        <v>2137</v>
      </c>
      <c r="D31820">
        <v>54</v>
      </c>
      <c r="E31820">
        <v>0</v>
      </c>
      <c r="F31820">
        <v>1625</v>
      </c>
    </row>
    <row r="31821" spans="1:6" ht="12.75">
      <c r="A31821" s="2">
        <v>43875.485138888893</v>
      </c>
      <c r="B31821" t="str">
        <f>HYPERLINK("https://twitter.com/sashafiraa","@sashafiraa")</f>
        <v>@sashafiraa</v>
      </c>
      <c r="C31821" t="s">
        <v>5168</v>
      </c>
      <c r="D31821">
        <v>540</v>
      </c>
      <c r="E31821">
        <v>0</v>
      </c>
      <c r="F31821">
        <v>624</v>
      </c>
    </row>
    <row r="31822" spans="1:6" ht="12.75">
      <c r="A31822" s="2">
        <v>43875.484872685185</v>
      </c>
      <c r="B31822" t="str">
        <f>HYPERLINK("https://twitter.com/bonymanroe","@bonymanroe")</f>
        <v>@bonymanroe</v>
      </c>
      <c r="C31822" t="s">
        <v>13324</v>
      </c>
      <c r="D31822">
        <v>0</v>
      </c>
      <c r="E31822">
        <v>0</v>
      </c>
      <c r="F31822">
        <v>0</v>
      </c>
    </row>
    <row r="31823" spans="1:6" ht="12.75">
      <c r="A31823" s="2">
        <v>43875.484872685185</v>
      </c>
      <c r="B31823" t="str">
        <f>HYPERLINK("https://twitter.com/Hendripoheng","@Hendripoheng")</f>
        <v>@Hendripoheng</v>
      </c>
      <c r="C31823" t="s">
        <v>10237</v>
      </c>
      <c r="D31823">
        <v>29</v>
      </c>
      <c r="E31823">
        <v>0</v>
      </c>
      <c r="F31823">
        <v>193</v>
      </c>
    </row>
    <row r="31824" spans="1:6" ht="12.75">
      <c r="A31824" s="2">
        <v>43875.484861111108</v>
      </c>
      <c r="B31824" t="str">
        <f>HYPERLINK("https://twitter.com/karinpuspit","@karinpuspit")</f>
        <v>@karinpuspit</v>
      </c>
      <c r="C31824" t="s">
        <v>13325</v>
      </c>
      <c r="D31824">
        <v>0</v>
      </c>
      <c r="E31824">
        <v>0</v>
      </c>
      <c r="F31824">
        <v>140</v>
      </c>
    </row>
    <row r="31825" spans="1:6" ht="12.75">
      <c r="A31825" s="2">
        <v>43875.484837962962</v>
      </c>
      <c r="B31825" t="str">
        <f>HYPERLINK("https://twitter.com/addi_an","@addi_an")</f>
        <v>@addi_an</v>
      </c>
      <c r="C31825" t="s">
        <v>9998</v>
      </c>
      <c r="D31825">
        <v>84</v>
      </c>
      <c r="E31825">
        <v>0</v>
      </c>
      <c r="F31825">
        <v>294</v>
      </c>
    </row>
    <row r="31826" spans="1:6" ht="12.75">
      <c r="A31826" s="2">
        <v>43875.484629629631</v>
      </c>
      <c r="B31826" t="str">
        <f>HYPERLINK("https://twitter.com/Anggrabella27","@Anggrabella27")</f>
        <v>@Anggrabella27</v>
      </c>
      <c r="C31826" t="s">
        <v>10237</v>
      </c>
      <c r="D31826">
        <v>29</v>
      </c>
      <c r="E31826">
        <v>0</v>
      </c>
      <c r="F31826">
        <v>190</v>
      </c>
    </row>
    <row r="31827" spans="1:6" ht="12.75">
      <c r="A31827" s="2">
        <v>43875.484606481477</v>
      </c>
      <c r="B31827" t="str">
        <f>HYPERLINK("https://twitter.com/Sulisty__","@Sulisty__")</f>
        <v>@Sulisty__</v>
      </c>
      <c r="C31827" t="s">
        <v>10237</v>
      </c>
      <c r="D31827">
        <v>29</v>
      </c>
      <c r="E31827">
        <v>0</v>
      </c>
      <c r="F31827">
        <v>224</v>
      </c>
    </row>
    <row r="31828" spans="1:6" ht="12.75">
      <c r="A31828" s="2">
        <v>43875.484502314815</v>
      </c>
      <c r="B31828" t="str">
        <f>HYPERLINK("https://twitter.com/eddies_song","@eddies_song")</f>
        <v>@eddies_song</v>
      </c>
      <c r="C31828" t="s">
        <v>13326</v>
      </c>
      <c r="D31828">
        <v>1</v>
      </c>
      <c r="E31828">
        <v>0</v>
      </c>
      <c r="F31828">
        <v>1233</v>
      </c>
    </row>
    <row r="31829" spans="1:6" ht="12.75">
      <c r="A31829" s="2">
        <v>43875.484456018516</v>
      </c>
      <c r="B31829" t="str">
        <f>HYPERLINK("https://twitter.com/Caleo68","@Caleo68")</f>
        <v>@Caleo68</v>
      </c>
      <c r="C31829" t="s">
        <v>5168</v>
      </c>
      <c r="D31829">
        <v>540</v>
      </c>
      <c r="E31829">
        <v>0</v>
      </c>
      <c r="F31829">
        <v>15</v>
      </c>
    </row>
    <row r="31830" spans="1:6" ht="12.75">
      <c r="A31830" s="2">
        <v>43875.484351851846</v>
      </c>
      <c r="B31830" t="str">
        <f>HYPERLINK("https://twitter.com/firdamar34","@firdamar34")</f>
        <v>@firdamar34</v>
      </c>
      <c r="C31830" t="s">
        <v>10109</v>
      </c>
      <c r="D31830">
        <v>12</v>
      </c>
      <c r="E31830">
        <v>0</v>
      </c>
      <c r="F31830">
        <v>3894</v>
      </c>
    </row>
    <row r="31831" spans="1:6" ht="12.75">
      <c r="A31831" s="2">
        <v>43875.484351851846</v>
      </c>
      <c r="B31831" t="str">
        <f>HYPERLINK("https://twitter.com/5Y5_one_70","@5Y5_one_70")</f>
        <v>@5Y5_one_70</v>
      </c>
      <c r="C31831" t="s">
        <v>2963</v>
      </c>
      <c r="D31831">
        <v>723</v>
      </c>
      <c r="E31831">
        <v>0</v>
      </c>
      <c r="F31831">
        <v>6625</v>
      </c>
    </row>
    <row r="31832" spans="1:6" ht="12.75">
      <c r="A31832" s="2">
        <v>43875.484317129631</v>
      </c>
      <c r="B31832" t="str">
        <f>HYPERLINK("https://twitter.com/pimamanggala","@pimamanggala")</f>
        <v>@pimamanggala</v>
      </c>
      <c r="C31832" t="s">
        <v>2444</v>
      </c>
      <c r="D31832">
        <v>206</v>
      </c>
      <c r="E31832">
        <v>0</v>
      </c>
      <c r="F31832">
        <v>1571</v>
      </c>
    </row>
    <row r="31833" spans="1:6" ht="12.75">
      <c r="A31833" s="2">
        <v>43875.484317129631</v>
      </c>
      <c r="B31833" t="str">
        <f>HYPERLINK("https://twitter.com/vinaila_","@vinaila_")</f>
        <v>@vinaila_</v>
      </c>
      <c r="C31833" t="s">
        <v>5168</v>
      </c>
      <c r="D31833">
        <v>540</v>
      </c>
      <c r="E31833">
        <v>0</v>
      </c>
      <c r="F31833">
        <v>910</v>
      </c>
    </row>
    <row r="31834" spans="1:6" ht="12.75">
      <c r="A31834" s="2">
        <v>43875.484305555554</v>
      </c>
      <c r="B31834" t="str">
        <f>HYPERLINK("https://twitter.com/_rindori_","@_rindori_")</f>
        <v>@_rindori_</v>
      </c>
      <c r="C31834" t="s">
        <v>9964</v>
      </c>
      <c r="D31834">
        <v>532</v>
      </c>
      <c r="E31834">
        <v>0</v>
      </c>
      <c r="F31834">
        <v>94</v>
      </c>
    </row>
    <row r="31835" spans="1:6" ht="12.75">
      <c r="A31835" s="2">
        <v>43875.484259259261</v>
      </c>
      <c r="B31835" t="str">
        <f>HYPERLINK("https://twitter.com/ap_perdana","@ap_perdana")</f>
        <v>@ap_perdana</v>
      </c>
      <c r="C31835" t="s">
        <v>2137</v>
      </c>
      <c r="D31835">
        <v>54</v>
      </c>
      <c r="E31835">
        <v>0</v>
      </c>
      <c r="F31835">
        <v>136</v>
      </c>
    </row>
    <row r="31836" spans="1:6" ht="12.75">
      <c r="A31836" s="2">
        <v>43875.484259259261</v>
      </c>
      <c r="B31836" t="str">
        <f>HYPERLINK("https://twitter.com/AgusKemal3","@AgusKemal3")</f>
        <v>@AgusKemal3</v>
      </c>
      <c r="C31836" t="s">
        <v>9096</v>
      </c>
      <c r="D31836">
        <v>179</v>
      </c>
      <c r="E31836">
        <v>0</v>
      </c>
      <c r="F31836">
        <v>53</v>
      </c>
    </row>
    <row r="31837" spans="1:6" ht="12.75">
      <c r="A31837" s="2">
        <v>43875.484259259261</v>
      </c>
      <c r="B31837" t="str">
        <f>HYPERLINK("https://twitter.com/NewsmakerMedcom","@NewsmakerMedcom")</f>
        <v>@NewsmakerMedcom</v>
      </c>
      <c r="C31837" t="s">
        <v>13327</v>
      </c>
      <c r="D31837">
        <v>0</v>
      </c>
      <c r="E31837">
        <v>0</v>
      </c>
      <c r="F31837">
        <v>1474</v>
      </c>
    </row>
    <row r="31838" spans="1:6" ht="12.75">
      <c r="A31838" s="2">
        <v>43875.484259259261</v>
      </c>
      <c r="B31838" t="str">
        <f>HYPERLINK("https://twitter.com/muhammad_ridhaa","@muhammad_ridhaa")</f>
        <v>@muhammad_ridhaa</v>
      </c>
      <c r="C31838" t="s">
        <v>10097</v>
      </c>
      <c r="D31838">
        <v>1</v>
      </c>
      <c r="E31838">
        <v>0</v>
      </c>
      <c r="F31838">
        <v>684</v>
      </c>
    </row>
    <row r="31839" spans="1:6" ht="12.75">
      <c r="A31839" s="2">
        <v>43875.484247685185</v>
      </c>
      <c r="B31839" t="str">
        <f>HYPERLINK("https://twitter.com/giant_","@giant_")</f>
        <v>@giant_</v>
      </c>
      <c r="C31839" t="s">
        <v>13328</v>
      </c>
      <c r="D31839">
        <v>0</v>
      </c>
      <c r="E31839">
        <v>0</v>
      </c>
      <c r="F31839">
        <v>538</v>
      </c>
    </row>
    <row r="31840" spans="1:6" ht="12.75">
      <c r="A31840" s="2">
        <v>43875.484189814815</v>
      </c>
      <c r="B31840" t="str">
        <f>HYPERLINK("https://twitter.com/r_adi1312","@r_adi1312")</f>
        <v>@r_adi1312</v>
      </c>
      <c r="C31840" t="s">
        <v>10237</v>
      </c>
      <c r="D31840">
        <v>29</v>
      </c>
      <c r="E31840">
        <v>0</v>
      </c>
      <c r="F31840">
        <v>225</v>
      </c>
    </row>
    <row r="31841" spans="1:6" ht="12.75">
      <c r="A31841" s="2">
        <v>43875.484120370369</v>
      </c>
      <c r="B31841" t="str">
        <f>HYPERLINK("https://twitter.com/regar_idris","@regar_idris")</f>
        <v>@regar_idris</v>
      </c>
      <c r="C31841" t="s">
        <v>2444</v>
      </c>
      <c r="D31841">
        <v>206</v>
      </c>
      <c r="E31841">
        <v>0</v>
      </c>
      <c r="F31841">
        <v>395</v>
      </c>
    </row>
    <row r="31842" spans="1:6" ht="12.75">
      <c r="A31842" s="2">
        <v>43875.484074074076</v>
      </c>
      <c r="B31842" t="str">
        <f>HYPERLINK("https://twitter.com/PolitikToday","@PolitikToday")</f>
        <v>@PolitikToday</v>
      </c>
      <c r="C31842" t="s">
        <v>13329</v>
      </c>
      <c r="D31842">
        <v>0</v>
      </c>
      <c r="E31842">
        <v>1</v>
      </c>
      <c r="F31842">
        <v>6855</v>
      </c>
    </row>
    <row r="31843" spans="1:6" ht="12.75">
      <c r="A31843" s="2">
        <v>43875.48400462963</v>
      </c>
      <c r="B31843" t="str">
        <f>HYPERLINK("https://twitter.com/MZianu","@MZianu")</f>
        <v>@MZianu</v>
      </c>
      <c r="C31843" t="s">
        <v>2963</v>
      </c>
      <c r="D31843">
        <v>723</v>
      </c>
      <c r="E31843">
        <v>0</v>
      </c>
      <c r="F31843">
        <v>452</v>
      </c>
    </row>
    <row r="31844" spans="1:6" ht="12.75">
      <c r="A31844" s="2">
        <v>43875.483981481477</v>
      </c>
      <c r="B31844" t="str">
        <f>HYPERLINK("https://twitter.com/iwanoccu","@iwanoccu")</f>
        <v>@iwanoccu</v>
      </c>
      <c r="C31844" t="s">
        <v>9746</v>
      </c>
      <c r="D31844">
        <v>66</v>
      </c>
      <c r="E31844">
        <v>0</v>
      </c>
      <c r="F31844">
        <v>379</v>
      </c>
    </row>
    <row r="31845" spans="1:6" ht="12.75">
      <c r="A31845" s="2">
        <v>43875.483946759261</v>
      </c>
      <c r="B31845" t="str">
        <f>HYPERLINK("https://twitter.com/dkusde","@dkusde")</f>
        <v>@dkusde</v>
      </c>
      <c r="C31845" t="s">
        <v>10237</v>
      </c>
      <c r="D31845">
        <v>29</v>
      </c>
      <c r="E31845">
        <v>0</v>
      </c>
      <c r="F31845">
        <v>396</v>
      </c>
    </row>
    <row r="31846" spans="1:6" ht="12.75">
      <c r="A31846" s="2">
        <v>43875.483946759261</v>
      </c>
      <c r="B31846" t="str">
        <f>HYPERLINK("https://twitter.com/dargemboel","@dargemboel")</f>
        <v>@dargemboel</v>
      </c>
      <c r="C31846" t="s">
        <v>10237</v>
      </c>
      <c r="D31846">
        <v>29</v>
      </c>
      <c r="E31846">
        <v>0</v>
      </c>
      <c r="F31846">
        <v>78</v>
      </c>
    </row>
    <row r="31847" spans="1:6" ht="12.75">
      <c r="A31847" s="2">
        <v>43875.483935185184</v>
      </c>
      <c r="B31847" t="str">
        <f>HYPERLINK("https://twitter.com/sirajapadoha","@sirajapadoha")</f>
        <v>@sirajapadoha</v>
      </c>
      <c r="C31847" t="s">
        <v>13330</v>
      </c>
      <c r="D31847">
        <v>1</v>
      </c>
      <c r="E31847">
        <v>0</v>
      </c>
      <c r="F31847">
        <v>2400</v>
      </c>
    </row>
    <row r="31848" spans="1:6" ht="12.75">
      <c r="A31848" s="2">
        <v>43875.483923611115</v>
      </c>
      <c r="B31848" t="str">
        <f>HYPERLINK("https://twitter.com/mltr_h","@mltr_h")</f>
        <v>@mltr_h</v>
      </c>
      <c r="C31848" t="s">
        <v>13331</v>
      </c>
      <c r="D31848">
        <v>0</v>
      </c>
      <c r="E31848">
        <v>0</v>
      </c>
      <c r="F31848">
        <v>27</v>
      </c>
    </row>
    <row r="31849" spans="1:6" ht="12.75">
      <c r="A31849" s="2">
        <v>43875.483900462961</v>
      </c>
      <c r="B31849" t="str">
        <f>HYPERLINK("https://twitter.com/nawangsarii_","@nawangsarii_")</f>
        <v>@nawangsarii_</v>
      </c>
      <c r="C31849" t="s">
        <v>2444</v>
      </c>
      <c r="D31849">
        <v>206</v>
      </c>
      <c r="E31849">
        <v>0</v>
      </c>
      <c r="F31849">
        <v>156</v>
      </c>
    </row>
    <row r="31850" spans="1:6" ht="12.75">
      <c r="A31850" s="2">
        <v>43875.483900462961</v>
      </c>
      <c r="B31850" t="str">
        <f>HYPERLINK("https://twitter.com/Zulkiflilubis71","@Zulkiflilubis71")</f>
        <v>@Zulkiflilubis71</v>
      </c>
      <c r="C31850" t="s">
        <v>13332</v>
      </c>
      <c r="D31850">
        <v>1</v>
      </c>
      <c r="E31850">
        <v>4</v>
      </c>
      <c r="F31850">
        <v>13519</v>
      </c>
    </row>
    <row r="31851" spans="1:6" ht="12.75">
      <c r="A31851" s="2">
        <v>43875.483807870369</v>
      </c>
      <c r="B31851" t="str">
        <f>HYPERLINK("https://twitter.com/medcom_id","@medcom_id")</f>
        <v>@medcom_id</v>
      </c>
      <c r="C31851" t="s">
        <v>13333</v>
      </c>
      <c r="D31851">
        <v>0</v>
      </c>
      <c r="E31851">
        <v>0</v>
      </c>
      <c r="F31851">
        <v>18106</v>
      </c>
    </row>
    <row r="31852" spans="1:6" ht="12.75">
      <c r="A31852" s="2">
        <v>43875.483761574069</v>
      </c>
      <c r="B31852" t="str">
        <f>HYPERLINK("https://twitter.com/nurfayeed","@nurfayeed")</f>
        <v>@nurfayeed</v>
      </c>
      <c r="C31852" t="s">
        <v>9964</v>
      </c>
      <c r="D31852">
        <v>532</v>
      </c>
      <c r="E31852">
        <v>0</v>
      </c>
      <c r="F31852">
        <v>177</v>
      </c>
    </row>
    <row r="31853" spans="1:6" ht="12.75">
      <c r="A31853" s="2">
        <v>43875.483715277776</v>
      </c>
      <c r="B31853" t="str">
        <f>HYPERLINK("https://twitter.com/Ayusaree","@Ayusaree")</f>
        <v>@Ayusaree</v>
      </c>
      <c r="C31853" t="s">
        <v>5168</v>
      </c>
      <c r="D31853">
        <v>540</v>
      </c>
      <c r="E31853">
        <v>0</v>
      </c>
      <c r="F31853">
        <v>679</v>
      </c>
    </row>
    <row r="31854" spans="1:6" ht="12.75">
      <c r="A31854" s="2">
        <v>43875.483703703707</v>
      </c>
      <c r="B31854" t="str">
        <f>HYPERLINK("https://twitter.com/snowpeachKD","@snowpeachKD")</f>
        <v>@snowpeachKD</v>
      </c>
      <c r="C31854" t="s">
        <v>2444</v>
      </c>
      <c r="D31854">
        <v>206</v>
      </c>
      <c r="E31854">
        <v>0</v>
      </c>
      <c r="F31854">
        <v>229</v>
      </c>
    </row>
    <row r="31855" spans="1:6" ht="12.75">
      <c r="A31855" s="2">
        <v>43875.483668981484</v>
      </c>
      <c r="B31855" t="str">
        <f>HYPERLINK("https://twitter.com/dnrwcksn","@dnrwcksn")</f>
        <v>@dnrwcksn</v>
      </c>
      <c r="C31855" t="s">
        <v>13334</v>
      </c>
      <c r="D31855">
        <v>2</v>
      </c>
      <c r="E31855">
        <v>0</v>
      </c>
      <c r="F31855">
        <v>301</v>
      </c>
    </row>
    <row r="31856" spans="1:6" ht="12.75">
      <c r="A31856" s="2">
        <v>43875.483553240745</v>
      </c>
      <c r="B31856" t="str">
        <f>HYPERLINK("https://twitter.com/MarlinBenyal","@MarlinBenyal")</f>
        <v>@MarlinBenyal</v>
      </c>
      <c r="C31856" t="s">
        <v>2963</v>
      </c>
      <c r="D31856">
        <v>723</v>
      </c>
      <c r="E31856">
        <v>0</v>
      </c>
      <c r="F31856">
        <v>448</v>
      </c>
    </row>
    <row r="31857" spans="1:6" ht="12.75">
      <c r="A31857" s="2">
        <v>43875.483541666668</v>
      </c>
      <c r="B31857" t="str">
        <f>HYPERLINK("https://twitter.com/jonopns","@jonopns")</f>
        <v>@jonopns</v>
      </c>
      <c r="C31857" t="s">
        <v>2963</v>
      </c>
      <c r="D31857">
        <v>723</v>
      </c>
      <c r="E31857">
        <v>0</v>
      </c>
      <c r="F31857">
        <v>116</v>
      </c>
    </row>
    <row r="31858" spans="1:6" ht="12.75">
      <c r="A31858" s="2">
        <v>43875.483472222222</v>
      </c>
      <c r="B31858" t="str">
        <f>HYPERLINK("https://twitter.com/cosmicryeow","@cosmicryeow")</f>
        <v>@cosmicryeow</v>
      </c>
      <c r="C31858" t="s">
        <v>2444</v>
      </c>
      <c r="D31858">
        <v>206</v>
      </c>
      <c r="E31858">
        <v>0</v>
      </c>
      <c r="F31858">
        <v>1080</v>
      </c>
    </row>
    <row r="31859" spans="1:6" ht="12.75">
      <c r="A31859" s="2">
        <v>43875.483391203699</v>
      </c>
      <c r="B31859" t="str">
        <f>HYPERLINK("https://twitter.com/BorneoMAX8000","@BorneoMAX8000")</f>
        <v>@BorneoMAX8000</v>
      </c>
      <c r="C31859" t="s">
        <v>2963</v>
      </c>
      <c r="D31859">
        <v>723</v>
      </c>
      <c r="E31859">
        <v>0</v>
      </c>
      <c r="F31859">
        <v>2915</v>
      </c>
    </row>
    <row r="31860" spans="1:6" ht="12.75">
      <c r="A31860" s="2">
        <v>43875.48336805556</v>
      </c>
      <c r="B31860" t="str">
        <f>HYPERLINK("https://twitter.com/Amistapri","@Amistapri")</f>
        <v>@Amistapri</v>
      </c>
      <c r="C31860" t="s">
        <v>13335</v>
      </c>
      <c r="D31860">
        <v>2</v>
      </c>
      <c r="E31860">
        <v>0</v>
      </c>
      <c r="F31860">
        <v>208</v>
      </c>
    </row>
    <row r="31861" spans="1:6" ht="12.75">
      <c r="A31861" s="2">
        <v>43875.483356481476</v>
      </c>
      <c r="B31861" t="str">
        <f>HYPERLINK("https://twitter.com/Salmwaaaa","@Salmwaaaa")</f>
        <v>@Salmwaaaa</v>
      </c>
      <c r="C31861" t="s">
        <v>2137</v>
      </c>
      <c r="D31861">
        <v>54</v>
      </c>
      <c r="E31861">
        <v>0</v>
      </c>
      <c r="F31861">
        <v>457</v>
      </c>
    </row>
    <row r="31862" spans="1:6" ht="12.75">
      <c r="A31862" s="2">
        <v>43875.483229166668</v>
      </c>
      <c r="B31862" t="str">
        <f>HYPERLINK("https://twitter.com/johanesjonaz","@johanesjonaz")</f>
        <v>@johanesjonaz</v>
      </c>
      <c r="C31862" t="s">
        <v>13336</v>
      </c>
      <c r="D31862">
        <v>0</v>
      </c>
      <c r="E31862">
        <v>0</v>
      </c>
      <c r="F31862">
        <v>1360</v>
      </c>
    </row>
    <row r="31863" spans="1:6" ht="12.75">
      <c r="A31863" s="2">
        <v>43875.483159722222</v>
      </c>
      <c r="B31863" t="str">
        <f>HYPERLINK("https://twitter.com/heru_rahmadhi","@heru_rahmadhi")</f>
        <v>@heru_rahmadhi</v>
      </c>
      <c r="C31863" t="s">
        <v>10237</v>
      </c>
      <c r="D31863">
        <v>29</v>
      </c>
      <c r="E31863">
        <v>0</v>
      </c>
      <c r="F31863">
        <v>220</v>
      </c>
    </row>
    <row r="31864" spans="1:6" ht="12.75">
      <c r="A31864" s="2">
        <v>43875.483159722222</v>
      </c>
      <c r="B31864" t="str">
        <f>HYPERLINK("https://twitter.com/pratamahardika","@pratamahardika")</f>
        <v>@pratamahardika</v>
      </c>
      <c r="C31864" t="s">
        <v>10237</v>
      </c>
      <c r="D31864">
        <v>29</v>
      </c>
      <c r="E31864">
        <v>0</v>
      </c>
      <c r="F31864">
        <v>445</v>
      </c>
    </row>
    <row r="31865" spans="1:6" ht="12.75">
      <c r="A31865" s="2">
        <v>43875.483136574076</v>
      </c>
      <c r="B31865" t="str">
        <f>HYPERLINK("https://twitter.com/syiqfa","@syiqfa")</f>
        <v>@syiqfa</v>
      </c>
      <c r="C31865" t="s">
        <v>2444</v>
      </c>
      <c r="D31865">
        <v>206</v>
      </c>
      <c r="E31865">
        <v>0</v>
      </c>
      <c r="F31865">
        <v>279</v>
      </c>
    </row>
    <row r="31866" spans="1:6" ht="12.75">
      <c r="A31866" s="2">
        <v>43875.483136574076</v>
      </c>
      <c r="B31866" t="str">
        <f>HYPERLINK("https://twitter.com/muhammad_ridhaa","@muhammad_ridhaa")</f>
        <v>@muhammad_ridhaa</v>
      </c>
      <c r="C31866" t="s">
        <v>10109</v>
      </c>
      <c r="D31866">
        <v>12</v>
      </c>
      <c r="E31866">
        <v>0</v>
      </c>
      <c r="F31866">
        <v>684</v>
      </c>
    </row>
    <row r="31867" spans="1:6" ht="12.75">
      <c r="A31867" s="2">
        <v>43875.482812499999</v>
      </c>
      <c r="B31867" t="str">
        <f>HYPERLINK("https://twitter.com/Sisouzuibrahim","@Sisouzuibrahim")</f>
        <v>@Sisouzuibrahim</v>
      </c>
      <c r="C31867" t="s">
        <v>12560</v>
      </c>
      <c r="D31867">
        <v>28</v>
      </c>
      <c r="E31867">
        <v>0</v>
      </c>
      <c r="F31867">
        <v>110</v>
      </c>
    </row>
    <row r="31868" spans="1:6" ht="12.75">
      <c r="A31868" s="2">
        <v>43875.482766203699</v>
      </c>
      <c r="B31868" t="str">
        <f>HYPERLINK("https://twitter.com/dgcolection","@dgcolection")</f>
        <v>@dgcolection</v>
      </c>
      <c r="C31868" t="s">
        <v>13337</v>
      </c>
      <c r="D31868">
        <v>0</v>
      </c>
      <c r="E31868">
        <v>0</v>
      </c>
      <c r="F31868">
        <v>1082</v>
      </c>
    </row>
    <row r="31869" spans="1:6" ht="12.75">
      <c r="A31869" s="2">
        <v>43875.482731481483</v>
      </c>
      <c r="B31869" t="str">
        <f>HYPERLINK("https://twitter.com/yudhanto41","@yudhanto41")</f>
        <v>@yudhanto41</v>
      </c>
      <c r="C31869" t="s">
        <v>10237</v>
      </c>
      <c r="D31869">
        <v>29</v>
      </c>
      <c r="E31869">
        <v>0</v>
      </c>
      <c r="F31869">
        <v>38</v>
      </c>
    </row>
    <row r="31870" spans="1:6" ht="12.75">
      <c r="A31870" s="2">
        <v>43875.48265046296</v>
      </c>
      <c r="B31870" t="str">
        <f>HYPERLINK("https://twitter.com/najaemjen","@najaemjen")</f>
        <v>@najaemjen</v>
      </c>
      <c r="C31870" t="s">
        <v>2137</v>
      </c>
      <c r="D31870">
        <v>54</v>
      </c>
      <c r="E31870">
        <v>0</v>
      </c>
      <c r="F31870">
        <v>248</v>
      </c>
    </row>
    <row r="31871" spans="1:6" ht="12.75">
      <c r="A31871" s="2">
        <v>43875.48265046296</v>
      </c>
      <c r="B31871" t="str">
        <f>HYPERLINK("https://twitter.com/bibtp","@bibtp")</f>
        <v>@bibtp</v>
      </c>
      <c r="C31871" t="s">
        <v>10237</v>
      </c>
      <c r="D31871">
        <v>29</v>
      </c>
      <c r="E31871">
        <v>0</v>
      </c>
      <c r="F31871">
        <v>6</v>
      </c>
    </row>
    <row r="31872" spans="1:6" ht="12.75">
      <c r="A31872" s="2">
        <v>43875.482534722221</v>
      </c>
      <c r="B31872" t="str">
        <f>HYPERLINK("https://twitter.com/Wongso_Soebali","@Wongso_Soebali")</f>
        <v>@Wongso_Soebali</v>
      </c>
      <c r="C31872" t="s">
        <v>13243</v>
      </c>
      <c r="D31872">
        <v>3</v>
      </c>
      <c r="E31872">
        <v>0</v>
      </c>
      <c r="F31872">
        <v>5760</v>
      </c>
    </row>
    <row r="31873" spans="1:6" ht="12.75">
      <c r="A31873" s="2">
        <v>43875.482488425929</v>
      </c>
      <c r="B31873" t="str">
        <f>HYPERLINK("https://twitter.com/EGpenk","@EGpenk")</f>
        <v>@EGpenk</v>
      </c>
      <c r="C31873" t="s">
        <v>2963</v>
      </c>
      <c r="D31873">
        <v>723</v>
      </c>
      <c r="E31873">
        <v>0</v>
      </c>
      <c r="F31873">
        <v>33</v>
      </c>
    </row>
    <row r="31874" spans="1:6" ht="12.75">
      <c r="A31874" s="2">
        <v>43875.482453703706</v>
      </c>
      <c r="B31874" t="str">
        <f>HYPERLINK("https://twitter.com/scentofzephyr","@scentofzephyr")</f>
        <v>@scentofzephyr</v>
      </c>
      <c r="C31874" t="s">
        <v>2444</v>
      </c>
      <c r="D31874">
        <v>206</v>
      </c>
      <c r="E31874">
        <v>0</v>
      </c>
      <c r="F31874">
        <v>330</v>
      </c>
    </row>
    <row r="31875" spans="1:6" ht="12.75">
      <c r="A31875" s="2">
        <v>43875.482291666667</v>
      </c>
      <c r="B31875" t="str">
        <f>HYPERLINK("https://twitter.com/oblivionerd","@oblivionerd")</f>
        <v>@oblivionerd</v>
      </c>
      <c r="C31875" t="s">
        <v>2444</v>
      </c>
      <c r="D31875">
        <v>206</v>
      </c>
      <c r="E31875">
        <v>0</v>
      </c>
      <c r="F31875">
        <v>492</v>
      </c>
    </row>
    <row r="31876" spans="1:6" ht="12.75">
      <c r="A31876" s="2">
        <v>43875.482141203705</v>
      </c>
      <c r="B31876" t="str">
        <f>HYPERLINK("https://twitter.com/Rudiambarita7","@Rudiambarita7")</f>
        <v>@Rudiambarita7</v>
      </c>
      <c r="C31876" t="s">
        <v>10422</v>
      </c>
      <c r="D31876">
        <v>64</v>
      </c>
      <c r="E31876">
        <v>0</v>
      </c>
      <c r="F31876">
        <v>2035</v>
      </c>
    </row>
    <row r="31877" spans="1:6" ht="12.75">
      <c r="A31877" s="2">
        <v>43875.482071759259</v>
      </c>
      <c r="B31877" t="str">
        <f>HYPERLINK("https://twitter.com/BagasYuniawan","@BagasYuniawan")</f>
        <v>@BagasYuniawan</v>
      </c>
      <c r="C31877" t="s">
        <v>10237</v>
      </c>
      <c r="D31877">
        <v>29</v>
      </c>
      <c r="E31877">
        <v>0</v>
      </c>
      <c r="F31877">
        <v>499</v>
      </c>
    </row>
    <row r="31878" spans="1:6" ht="12.75">
      <c r="A31878" s="2">
        <v>43875.482060185182</v>
      </c>
      <c r="B31878" t="str">
        <f>HYPERLINK("https://twitter.com/AbidinZnl","@AbidinZnl")</f>
        <v>@AbidinZnl</v>
      </c>
      <c r="C31878" t="s">
        <v>9993</v>
      </c>
      <c r="D31878">
        <v>6</v>
      </c>
      <c r="E31878">
        <v>0</v>
      </c>
      <c r="F31878">
        <v>1241</v>
      </c>
    </row>
    <row r="31879" spans="1:6" ht="12.75">
      <c r="A31879" s="2">
        <v>43875.481979166667</v>
      </c>
      <c r="B31879" t="str">
        <f>HYPERLINK("https://twitter.com/Dono_Colam","@Dono_Colam")</f>
        <v>@Dono_Colam</v>
      </c>
      <c r="C31879" t="s">
        <v>13338</v>
      </c>
      <c r="D31879">
        <v>14</v>
      </c>
      <c r="E31879">
        <v>0</v>
      </c>
      <c r="F31879">
        <v>2645</v>
      </c>
    </row>
    <row r="31880" spans="1:6" ht="12.75">
      <c r="A31880" s="2">
        <v>43875.481967592597</v>
      </c>
      <c r="B31880" t="str">
        <f t="shared" ref="B31880:B31881" si="382">HYPERLINK("https://twitter.com/suaradotcom","@suaradotcom")</f>
        <v>@suaradotcom</v>
      </c>
      <c r="C31880" t="s">
        <v>13339</v>
      </c>
      <c r="D31880">
        <v>0</v>
      </c>
      <c r="E31880">
        <v>0</v>
      </c>
      <c r="F31880">
        <v>24163</v>
      </c>
    </row>
    <row r="31881" spans="1:6" ht="12.75">
      <c r="A31881" s="2">
        <v>43875.481956018513</v>
      </c>
      <c r="B31881" t="str">
        <f t="shared" si="382"/>
        <v>@suaradotcom</v>
      </c>
      <c r="C31881" t="s">
        <v>13340</v>
      </c>
      <c r="D31881">
        <v>0</v>
      </c>
      <c r="E31881">
        <v>0</v>
      </c>
      <c r="F31881">
        <v>24163</v>
      </c>
    </row>
    <row r="31882" spans="1:6" ht="12.75">
      <c r="A31882" s="2">
        <v>43875.481956018513</v>
      </c>
      <c r="B31882" t="str">
        <f>HYPERLINK("https://twitter.com/angga_s_prabowo","@angga_s_prabowo")</f>
        <v>@angga_s_prabowo</v>
      </c>
      <c r="C31882" t="s">
        <v>2444</v>
      </c>
      <c r="D31882">
        <v>206</v>
      </c>
      <c r="E31882">
        <v>0</v>
      </c>
      <c r="F31882">
        <v>151</v>
      </c>
    </row>
    <row r="31883" spans="1:6" ht="12.75">
      <c r="A31883" s="2">
        <v>43875.481932870374</v>
      </c>
      <c r="B31883" t="str">
        <f>HYPERLINK("https://twitter.com/Dono_Colam","@Dono_Colam")</f>
        <v>@Dono_Colam</v>
      </c>
      <c r="C31883" t="s">
        <v>13341</v>
      </c>
      <c r="D31883">
        <v>11</v>
      </c>
      <c r="E31883">
        <v>0</v>
      </c>
      <c r="F31883">
        <v>2645</v>
      </c>
    </row>
    <row r="31884" spans="1:6" ht="12.75">
      <c r="A31884" s="2">
        <v>43875.481874999998</v>
      </c>
      <c r="B31884" t="str">
        <f>HYPERLINK("https://twitter.com/Mjohnsamosir","@Mjohnsamosir")</f>
        <v>@Mjohnsamosir</v>
      </c>
      <c r="C31884" t="s">
        <v>13342</v>
      </c>
      <c r="D31884">
        <v>0</v>
      </c>
      <c r="E31884">
        <v>0</v>
      </c>
      <c r="F31884">
        <v>141</v>
      </c>
    </row>
    <row r="31885" spans="1:6" ht="12.75">
      <c r="A31885" s="2">
        <v>43875.481828703705</v>
      </c>
      <c r="B31885" t="str">
        <f>HYPERLINK("https://twitter.com/Ganti_si_IDIOT","@Ganti_si_IDIOT")</f>
        <v>@Ganti_si_IDIOT</v>
      </c>
      <c r="C31885" t="s">
        <v>13343</v>
      </c>
      <c r="D31885">
        <v>0</v>
      </c>
      <c r="E31885">
        <v>0</v>
      </c>
      <c r="F31885">
        <v>855</v>
      </c>
    </row>
    <row r="31886" spans="1:6" ht="12.75">
      <c r="A31886" s="2">
        <v>43875.481805555552</v>
      </c>
      <c r="B31886" t="str">
        <f>HYPERLINK("https://twitter.com/RsRs26767107","@RsRs26767107")</f>
        <v>@RsRs26767107</v>
      </c>
      <c r="C31886" t="s">
        <v>13315</v>
      </c>
      <c r="D31886">
        <v>52</v>
      </c>
      <c r="E31886">
        <v>0</v>
      </c>
      <c r="F31886">
        <v>25</v>
      </c>
    </row>
    <row r="31887" spans="1:6" ht="12.75">
      <c r="A31887" s="2">
        <v>43875.481782407413</v>
      </c>
      <c r="B31887" t="str">
        <f>HYPERLINK("https://twitter.com/MbahOkik","@MbahOkik")</f>
        <v>@MbahOkik</v>
      </c>
      <c r="C31887" t="s">
        <v>10237</v>
      </c>
      <c r="D31887">
        <v>29</v>
      </c>
      <c r="E31887">
        <v>0</v>
      </c>
      <c r="F31887">
        <v>6</v>
      </c>
    </row>
    <row r="31888" spans="1:6" ht="12.75">
      <c r="A31888" s="2">
        <v>43875.481712962966</v>
      </c>
      <c r="B31888" t="str">
        <f>HYPERLINK("https://twitter.com/sirajapadoha","@sirajapadoha")</f>
        <v>@sirajapadoha</v>
      </c>
      <c r="C31888" t="s">
        <v>13344</v>
      </c>
      <c r="D31888">
        <v>0</v>
      </c>
      <c r="E31888">
        <v>0</v>
      </c>
      <c r="F31888">
        <v>2400</v>
      </c>
    </row>
    <row r="31889" spans="1:6" ht="12.75">
      <c r="A31889" s="2">
        <v>43875.481608796297</v>
      </c>
      <c r="B31889" t="str">
        <f>HYPERLINK("https://twitter.com/APA072316","@APA072316")</f>
        <v>@APA072316</v>
      </c>
      <c r="C31889" t="s">
        <v>10169</v>
      </c>
      <c r="D31889">
        <v>52</v>
      </c>
      <c r="E31889">
        <v>0</v>
      </c>
      <c r="F31889">
        <v>653</v>
      </c>
    </row>
    <row r="31890" spans="1:6" ht="12.75">
      <c r="A31890" s="2">
        <v>43875.481504629628</v>
      </c>
      <c r="B31890" t="str">
        <f>HYPERLINK("https://twitter.com/bungnetizen","@bungnetizen")</f>
        <v>@bungnetizen</v>
      </c>
      <c r="C31890" t="s">
        <v>10096</v>
      </c>
      <c r="D31890">
        <v>95</v>
      </c>
      <c r="E31890">
        <v>0</v>
      </c>
      <c r="F31890">
        <v>2755</v>
      </c>
    </row>
    <row r="31891" spans="1:6" ht="12.75">
      <c r="A31891" s="2">
        <v>43875.481493055559</v>
      </c>
      <c r="B31891" t="str">
        <f>HYPERLINK("https://twitter.com/jawapos","@jawapos")</f>
        <v>@jawapos</v>
      </c>
      <c r="C31891" t="s">
        <v>1014</v>
      </c>
      <c r="D31891">
        <v>2</v>
      </c>
      <c r="E31891">
        <v>1</v>
      </c>
      <c r="F31891">
        <v>116386</v>
      </c>
    </row>
    <row r="31892" spans="1:6" ht="12.75">
      <c r="A31892" s="2">
        <v>43875.481469907405</v>
      </c>
      <c r="B31892" t="str">
        <f>HYPERLINK("https://twitter.com/NKRI_NTBSasambo","@NKRI_NTBSasambo")</f>
        <v>@NKRI_NTBSasambo</v>
      </c>
      <c r="C31892" t="s">
        <v>12921</v>
      </c>
      <c r="D31892">
        <v>6</v>
      </c>
      <c r="E31892">
        <v>0</v>
      </c>
      <c r="F31892">
        <v>4243</v>
      </c>
    </row>
    <row r="31893" spans="1:6" ht="12.75">
      <c r="A31893" s="2">
        <v>43875.481342592597</v>
      </c>
      <c r="B31893" t="str">
        <f>HYPERLINK("https://twitter.com/Bjang99","@Bjang99")</f>
        <v>@Bjang99</v>
      </c>
      <c r="C31893" t="s">
        <v>13345</v>
      </c>
      <c r="D31893">
        <v>1</v>
      </c>
      <c r="E31893">
        <v>0</v>
      </c>
      <c r="F31893">
        <v>252</v>
      </c>
    </row>
    <row r="31894" spans="1:6" ht="12.75">
      <c r="A31894" s="2">
        <v>43875.481296296297</v>
      </c>
      <c r="B31894" t="str">
        <f>HYPERLINK("https://twitter.com/pamungkas_yudhy","@pamungkas_yudhy")</f>
        <v>@pamungkas_yudhy</v>
      </c>
      <c r="C31894" t="s">
        <v>10237</v>
      </c>
      <c r="D31894">
        <v>29</v>
      </c>
      <c r="E31894">
        <v>0</v>
      </c>
      <c r="F31894">
        <v>295</v>
      </c>
    </row>
    <row r="31895" spans="1:6" ht="12.75">
      <c r="A31895" s="2">
        <v>43875.481157407412</v>
      </c>
      <c r="B31895" t="str">
        <f>HYPERLINK("https://twitter.com/ernajww","@ernajww")</f>
        <v>@ernajww</v>
      </c>
      <c r="C31895" t="s">
        <v>2963</v>
      </c>
      <c r="D31895">
        <v>723</v>
      </c>
      <c r="E31895">
        <v>0</v>
      </c>
      <c r="F31895">
        <v>40</v>
      </c>
    </row>
    <row r="31896" spans="1:6" ht="12.75">
      <c r="A31896" s="2">
        <v>43875.481076388889</v>
      </c>
      <c r="B31896" t="str">
        <f>HYPERLINK("https://twitter.com/bfirmansyh76_","@bfirmansyh76_")</f>
        <v>@bfirmansyh76_</v>
      </c>
      <c r="C31896" t="s">
        <v>10237</v>
      </c>
      <c r="D31896">
        <v>29</v>
      </c>
      <c r="E31896">
        <v>0</v>
      </c>
      <c r="F31896">
        <v>176</v>
      </c>
    </row>
    <row r="31897" spans="1:6" ht="12.75">
      <c r="A31897" s="2">
        <v>43875.481041666666</v>
      </c>
      <c r="B31897" t="str">
        <f>HYPERLINK("https://twitter.com/S0T04Y4M","@S0T04Y4M")</f>
        <v>@S0T04Y4M</v>
      </c>
      <c r="C31897" t="s">
        <v>2137</v>
      </c>
      <c r="D31897">
        <v>54</v>
      </c>
      <c r="E31897">
        <v>0</v>
      </c>
      <c r="F31897">
        <v>1213</v>
      </c>
    </row>
    <row r="31898" spans="1:6" ht="12.75">
      <c r="A31898" s="2">
        <v>43875.48101851852</v>
      </c>
      <c r="B31898" t="str">
        <f>HYPERLINK("https://twitter.com/AfuwunGijel","@AfuwunGijel")</f>
        <v>@AfuwunGijel</v>
      </c>
      <c r="C31898" t="s">
        <v>10237</v>
      </c>
      <c r="D31898">
        <v>29</v>
      </c>
      <c r="E31898">
        <v>0</v>
      </c>
      <c r="F31898">
        <v>813</v>
      </c>
    </row>
    <row r="31899" spans="1:6" ht="12.75">
      <c r="A31899" s="2">
        <v>43875.481006944443</v>
      </c>
      <c r="B31899" t="str">
        <f>HYPERLINK("https://twitter.com/APA072316","@APA072316")</f>
        <v>@APA072316</v>
      </c>
      <c r="C31899" t="s">
        <v>12080</v>
      </c>
      <c r="D31899">
        <v>17</v>
      </c>
      <c r="E31899">
        <v>0</v>
      </c>
      <c r="F31899">
        <v>653</v>
      </c>
    </row>
    <row r="31900" spans="1:6" ht="12.75">
      <c r="A31900" s="2">
        <v>43875.480960648143</v>
      </c>
      <c r="B31900" t="str">
        <f>HYPERLINK("https://twitter.com/Bigbacot","@Bigbacot")</f>
        <v>@Bigbacot</v>
      </c>
      <c r="C31900" t="s">
        <v>13346</v>
      </c>
      <c r="D31900">
        <v>0</v>
      </c>
      <c r="E31900">
        <v>0</v>
      </c>
      <c r="F31900">
        <v>379</v>
      </c>
    </row>
    <row r="31901" spans="1:6" ht="12.75">
      <c r="A31901" s="2">
        <v>43875.480891203704</v>
      </c>
      <c r="B31901" t="str">
        <f>HYPERLINK("https://twitter.com/chuplizz","@chuplizz")</f>
        <v>@chuplizz</v>
      </c>
      <c r="C31901" t="s">
        <v>13347</v>
      </c>
      <c r="D31901">
        <v>0</v>
      </c>
      <c r="E31901">
        <v>0</v>
      </c>
      <c r="F31901">
        <v>238</v>
      </c>
    </row>
    <row r="31902" spans="1:6" ht="12.75">
      <c r="A31902" s="2">
        <v>43875.480833333335</v>
      </c>
      <c r="B31902" t="str">
        <f>HYPERLINK("https://twitter.com/YitroDaniel","@YitroDaniel")</f>
        <v>@YitroDaniel</v>
      </c>
      <c r="C31902" t="s">
        <v>8233</v>
      </c>
      <c r="D31902">
        <v>377</v>
      </c>
      <c r="E31902">
        <v>0</v>
      </c>
      <c r="F31902">
        <v>109</v>
      </c>
    </row>
    <row r="31903" spans="1:6" ht="12.75">
      <c r="A31903" s="2">
        <v>43875.480763888889</v>
      </c>
      <c r="B31903" t="str">
        <f>HYPERLINK("https://twitter.com/Maccan22l","@Maccan22l")</f>
        <v>@Maccan22l</v>
      </c>
      <c r="C31903" t="s">
        <v>2444</v>
      </c>
      <c r="D31903">
        <v>206</v>
      </c>
      <c r="E31903">
        <v>0</v>
      </c>
      <c r="F31903">
        <v>86</v>
      </c>
    </row>
    <row r="31904" spans="1:6" ht="12.75">
      <c r="A31904" s="2">
        <v>43875.480717592596</v>
      </c>
      <c r="B31904" t="str">
        <f>HYPERLINK("https://twitter.com/anaswongkamfung","@anaswongkamfung")</f>
        <v>@anaswongkamfung</v>
      </c>
      <c r="C31904" t="s">
        <v>12312</v>
      </c>
      <c r="D31904">
        <v>10</v>
      </c>
      <c r="E31904">
        <v>0</v>
      </c>
      <c r="F31904">
        <v>1177</v>
      </c>
    </row>
    <row r="31905" spans="1:6" ht="12.75">
      <c r="A31905" s="2">
        <v>43875.480682870373</v>
      </c>
      <c r="B31905" t="str">
        <f>HYPERLINK("https://twitter.com/ArvinTunas","@ArvinTunas")</f>
        <v>@ArvinTunas</v>
      </c>
      <c r="C31905" t="s">
        <v>13348</v>
      </c>
      <c r="D31905">
        <v>0</v>
      </c>
      <c r="E31905">
        <v>0</v>
      </c>
      <c r="F31905">
        <v>408</v>
      </c>
    </row>
    <row r="31906" spans="1:6" ht="12.75">
      <c r="A31906" s="2">
        <v>43875.48064814815</v>
      </c>
      <c r="B31906" t="str">
        <f>HYPERLINK("https://twitter.com/NewsArrahmah","@NewsArrahmah")</f>
        <v>@NewsArrahmah</v>
      </c>
      <c r="C31906" t="s">
        <v>13349</v>
      </c>
      <c r="D31906">
        <v>1</v>
      </c>
      <c r="E31906">
        <v>0</v>
      </c>
      <c r="F31906">
        <v>442</v>
      </c>
    </row>
    <row r="31907" spans="1:6" ht="12.75">
      <c r="A31907" s="2">
        <v>43875.48060185185</v>
      </c>
      <c r="B31907" t="str">
        <f>HYPERLINK("https://twitter.com/rifqiabidin","@rifqiabidin")</f>
        <v>@rifqiabidin</v>
      </c>
      <c r="C31907" t="s">
        <v>13090</v>
      </c>
      <c r="D31907">
        <v>5</v>
      </c>
      <c r="E31907">
        <v>0</v>
      </c>
      <c r="F31907">
        <v>812</v>
      </c>
    </row>
    <row r="31908" spans="1:6" ht="12.75">
      <c r="A31908" s="2">
        <v>43875.480590277773</v>
      </c>
      <c r="B31908" t="str">
        <f>HYPERLINK("https://twitter.com/faahakhododohya","@faahakhododohya")</f>
        <v>@faahakhododohya</v>
      </c>
      <c r="C31908" t="s">
        <v>175</v>
      </c>
      <c r="D31908">
        <v>5256</v>
      </c>
      <c r="E31908">
        <v>0</v>
      </c>
      <c r="F31908">
        <v>61</v>
      </c>
    </row>
    <row r="31909" spans="1:6" ht="12.75">
      <c r="A31909" s="2">
        <v>43875.480567129634</v>
      </c>
      <c r="B31909" t="str">
        <f>HYPERLINK("https://twitter.com/awe_azza","@awe_azza")</f>
        <v>@awe_azza</v>
      </c>
      <c r="C31909" t="s">
        <v>2963</v>
      </c>
      <c r="D31909">
        <v>723</v>
      </c>
      <c r="E31909">
        <v>0</v>
      </c>
      <c r="F31909">
        <v>390</v>
      </c>
    </row>
    <row r="31910" spans="1:6" ht="12.75">
      <c r="A31910" s="2">
        <v>43875.480405092589</v>
      </c>
      <c r="B31910" t="str">
        <f>HYPERLINK("https://twitter.com/RndyA20","@RndyA20")</f>
        <v>@RndyA20</v>
      </c>
      <c r="C31910" t="s">
        <v>8233</v>
      </c>
      <c r="D31910">
        <v>377</v>
      </c>
      <c r="E31910">
        <v>0</v>
      </c>
      <c r="F31910">
        <v>13</v>
      </c>
    </row>
    <row r="31911" spans="1:6" ht="12.75">
      <c r="A31911" s="2">
        <v>43875.480370370366</v>
      </c>
      <c r="B31911" t="str">
        <f>HYPERLINK("https://twitter.com/PurbaSiantar","@PurbaSiantar")</f>
        <v>@PurbaSiantar</v>
      </c>
      <c r="C31911" t="s">
        <v>4513</v>
      </c>
      <c r="D31911">
        <v>244</v>
      </c>
      <c r="E31911">
        <v>0</v>
      </c>
      <c r="F31911">
        <v>12</v>
      </c>
    </row>
    <row r="31912" spans="1:6" ht="12.75">
      <c r="A31912" s="2">
        <v>43875.480358796296</v>
      </c>
      <c r="B31912" t="str">
        <f>HYPERLINK("https://twitter.com/BebekKuntien87","@BebekKuntien87")</f>
        <v>@BebekKuntien87</v>
      </c>
      <c r="C31912" t="s">
        <v>2963</v>
      </c>
      <c r="D31912">
        <v>723</v>
      </c>
      <c r="E31912">
        <v>0</v>
      </c>
      <c r="F31912">
        <v>175</v>
      </c>
    </row>
    <row r="31913" spans="1:6" ht="12.75">
      <c r="A31913" s="2">
        <v>43875.480312500003</v>
      </c>
      <c r="B31913" t="str">
        <f>HYPERLINK("https://twitter.com/ZoneVenomWar","@ZoneVenomWar")</f>
        <v>@ZoneVenomWar</v>
      </c>
      <c r="C31913" t="s">
        <v>13350</v>
      </c>
      <c r="D31913">
        <v>0</v>
      </c>
      <c r="E31913">
        <v>0</v>
      </c>
      <c r="F31913">
        <v>1617</v>
      </c>
    </row>
    <row r="31914" spans="1:6" ht="12.75">
      <c r="A31914" s="2">
        <v>43875.480266203704</v>
      </c>
      <c r="B31914" t="str">
        <f>HYPERLINK("https://twitter.com/K_Ompu","@K_Ompu")</f>
        <v>@K_Ompu</v>
      </c>
      <c r="C31914" t="s">
        <v>11079</v>
      </c>
      <c r="D31914">
        <v>38</v>
      </c>
      <c r="E31914">
        <v>0</v>
      </c>
      <c r="F31914">
        <v>152</v>
      </c>
    </row>
    <row r="31915" spans="1:6" ht="12.75">
      <c r="A31915" s="2">
        <v>43875.480243055557</v>
      </c>
      <c r="B31915" t="str">
        <f>HYPERLINK("https://twitter.com/AdnanDasuki99","@AdnanDasuki99")</f>
        <v>@AdnanDasuki99</v>
      </c>
      <c r="C31915" t="s">
        <v>13351</v>
      </c>
      <c r="D31915">
        <v>0</v>
      </c>
      <c r="E31915">
        <v>0</v>
      </c>
      <c r="F31915">
        <v>132</v>
      </c>
    </row>
    <row r="31916" spans="1:6" ht="12.75">
      <c r="A31916" s="2">
        <v>43875.480219907404</v>
      </c>
      <c r="B31916" t="str">
        <f>HYPERLINK("https://twitter.com/maksiato","@maksiato")</f>
        <v>@maksiato</v>
      </c>
      <c r="C31916" t="s">
        <v>9021</v>
      </c>
      <c r="D31916">
        <v>176</v>
      </c>
      <c r="E31916">
        <v>0</v>
      </c>
      <c r="F31916">
        <v>694</v>
      </c>
    </row>
    <row r="31917" spans="1:6" ht="12.75">
      <c r="A31917" s="2">
        <v>43875.480185185181</v>
      </c>
      <c r="B31917" t="str">
        <f>HYPERLINK("https://twitter.com/z_naufal","@z_naufal")</f>
        <v>@z_naufal</v>
      </c>
      <c r="C31917" t="s">
        <v>13352</v>
      </c>
      <c r="D31917">
        <v>0</v>
      </c>
      <c r="E31917">
        <v>0</v>
      </c>
      <c r="F31917">
        <v>262</v>
      </c>
    </row>
    <row r="31918" spans="1:6" ht="12.75">
      <c r="A31918" s="2">
        <v>43875.480138888888</v>
      </c>
      <c r="B31918" t="str">
        <f>HYPERLINK("https://twitter.com/unicorn_wind","@unicorn_wind")</f>
        <v>@unicorn_wind</v>
      </c>
      <c r="C31918" t="s">
        <v>2444</v>
      </c>
      <c r="D31918">
        <v>206</v>
      </c>
      <c r="E31918">
        <v>0</v>
      </c>
      <c r="F31918">
        <v>233</v>
      </c>
    </row>
    <row r="31919" spans="1:6" ht="12.75">
      <c r="A31919" s="2">
        <v>43875.480138888888</v>
      </c>
      <c r="B31919" t="str">
        <f>HYPERLINK("https://twitter.com/waykileaks","@waykileaks")</f>
        <v>@waykileaks</v>
      </c>
      <c r="C31919" t="s">
        <v>2444</v>
      </c>
      <c r="D31919">
        <v>206</v>
      </c>
      <c r="E31919">
        <v>0</v>
      </c>
      <c r="F31919">
        <v>553</v>
      </c>
    </row>
    <row r="31920" spans="1:6" ht="12.75">
      <c r="A31920" s="2">
        <v>43875.480057870373</v>
      </c>
      <c r="B31920" t="str">
        <f>HYPERLINK("https://twitter.com/tito_prstyo","@tito_prstyo")</f>
        <v>@tito_prstyo</v>
      </c>
      <c r="C31920" t="s">
        <v>13353</v>
      </c>
      <c r="D31920">
        <v>0</v>
      </c>
      <c r="E31920">
        <v>0</v>
      </c>
      <c r="F31920">
        <v>584</v>
      </c>
    </row>
    <row r="31921" spans="1:6" ht="12.75">
      <c r="A31921" s="2">
        <v>43875.479999999996</v>
      </c>
      <c r="B31921" t="str">
        <f>HYPERLINK("https://twitter.com/SIntianto","@SIntianto")</f>
        <v>@SIntianto</v>
      </c>
      <c r="C31921" t="s">
        <v>2963</v>
      </c>
      <c r="D31921">
        <v>723</v>
      </c>
      <c r="E31921">
        <v>0</v>
      </c>
      <c r="F31921">
        <v>2624</v>
      </c>
    </row>
    <row r="31922" spans="1:6" ht="12.75">
      <c r="A31922" s="2">
        <v>43875.479999999996</v>
      </c>
      <c r="B31922" t="str">
        <f>HYPERLINK("https://twitter.com/AbidinZnl","@AbidinZnl")</f>
        <v>@AbidinZnl</v>
      </c>
      <c r="C31922" t="s">
        <v>8233</v>
      </c>
      <c r="D31922">
        <v>377</v>
      </c>
      <c r="E31922">
        <v>0</v>
      </c>
      <c r="F31922">
        <v>1241</v>
      </c>
    </row>
    <row r="31923" spans="1:6" ht="12.75">
      <c r="A31923" s="2">
        <v>43875.479988425926</v>
      </c>
      <c r="B31923" t="str">
        <f>HYPERLINK("https://twitter.com/DeltaFMBandung","@DeltaFMBandung")</f>
        <v>@DeltaFMBandung</v>
      </c>
      <c r="C31923" t="s">
        <v>13354</v>
      </c>
      <c r="D31923">
        <v>0</v>
      </c>
      <c r="E31923">
        <v>0</v>
      </c>
      <c r="F31923">
        <v>4434</v>
      </c>
    </row>
    <row r="31924" spans="1:6" ht="12.75">
      <c r="A31924" s="2">
        <v>43875.479953703703</v>
      </c>
      <c r="B31924" t="str">
        <f>HYPERLINK("https://twitter.com/ArtiAbuAbuHamza","@ArtiAbuAbuHamza")</f>
        <v>@ArtiAbuAbuHamza</v>
      </c>
      <c r="C31924" t="s">
        <v>13355</v>
      </c>
      <c r="D31924">
        <v>2</v>
      </c>
      <c r="E31924">
        <v>0</v>
      </c>
      <c r="F31924">
        <v>205</v>
      </c>
    </row>
    <row r="31925" spans="1:6" ht="12.75">
      <c r="A31925" s="2">
        <v>43875.479942129634</v>
      </c>
      <c r="B31925" t="str">
        <f>HYPERLINK("https://twitter.com/DSianida","@DSianida")</f>
        <v>@DSianida</v>
      </c>
      <c r="C31925" t="s">
        <v>8349</v>
      </c>
      <c r="D31925">
        <v>9</v>
      </c>
      <c r="E31925">
        <v>0</v>
      </c>
      <c r="F31925">
        <v>782</v>
      </c>
    </row>
    <row r="31926" spans="1:6" ht="12.75">
      <c r="A31926" s="2">
        <v>43875.479861111111</v>
      </c>
      <c r="B31926" t="str">
        <f>HYPERLINK("https://twitter.com/AlfaPendik","@AlfaPendik")</f>
        <v>@AlfaPendik</v>
      </c>
      <c r="C31926" t="s">
        <v>2963</v>
      </c>
      <c r="D31926">
        <v>723</v>
      </c>
      <c r="E31926">
        <v>0</v>
      </c>
      <c r="F31926">
        <v>2299</v>
      </c>
    </row>
    <row r="31927" spans="1:6" ht="12.75">
      <c r="A31927" s="2">
        <v>43875.479861111111</v>
      </c>
      <c r="B31927" t="str">
        <f>HYPERLINK("https://twitter.com/NinoGitar","@NinoGitar")</f>
        <v>@NinoGitar</v>
      </c>
      <c r="C31927" t="s">
        <v>10407</v>
      </c>
      <c r="D31927">
        <v>44</v>
      </c>
      <c r="E31927">
        <v>0</v>
      </c>
      <c r="F31927">
        <v>94</v>
      </c>
    </row>
    <row r="31928" spans="1:6" ht="12.75">
      <c r="A31928" s="2">
        <v>43875.479826388888</v>
      </c>
      <c r="B31928" t="str">
        <f>HYPERLINK("https://twitter.com/sndchrsmptr","@sndchrsmptr")</f>
        <v>@sndchrsmptr</v>
      </c>
      <c r="C31928" t="s">
        <v>9998</v>
      </c>
      <c r="D31928">
        <v>84</v>
      </c>
      <c r="E31928">
        <v>0</v>
      </c>
      <c r="F31928">
        <v>541</v>
      </c>
    </row>
    <row r="31929" spans="1:6" ht="12.75">
      <c r="A31929" s="2">
        <v>43875.479826388888</v>
      </c>
      <c r="B31929" t="str">
        <f>HYPERLINK("https://twitter.com/BatamPos","@BatamPos")</f>
        <v>@BatamPos</v>
      </c>
      <c r="C31929" t="s">
        <v>13356</v>
      </c>
      <c r="D31929">
        <v>0</v>
      </c>
      <c r="E31929">
        <v>0</v>
      </c>
      <c r="F31929">
        <v>67355</v>
      </c>
    </row>
    <row r="31930" spans="1:6" ht="12.75">
      <c r="A31930" s="2">
        <v>43875.479780092588</v>
      </c>
      <c r="B31930" t="str">
        <f>HYPERLINK("https://twitter.com/chira1218","@chira1218")</f>
        <v>@chira1218</v>
      </c>
      <c r="C31930" t="s">
        <v>13272</v>
      </c>
      <c r="D31930">
        <v>3</v>
      </c>
      <c r="E31930">
        <v>0</v>
      </c>
      <c r="F31930">
        <v>8</v>
      </c>
    </row>
    <row r="31931" spans="1:6" ht="12.75">
      <c r="A31931" s="2">
        <v>43875.479756944449</v>
      </c>
      <c r="B31931" t="str">
        <f>HYPERLINK("https://twitter.com/PHNCX","@PHNCX")</f>
        <v>@PHNCX</v>
      </c>
      <c r="C31931" t="s">
        <v>10237</v>
      </c>
      <c r="D31931">
        <v>29</v>
      </c>
      <c r="E31931">
        <v>0</v>
      </c>
      <c r="F31931">
        <v>417</v>
      </c>
    </row>
    <row r="31932" spans="1:6" ht="12.75">
      <c r="A31932" s="2">
        <v>43875.479687500003</v>
      </c>
      <c r="B31932" t="str">
        <f>HYPERLINK("https://twitter.com/ArtiAbuAbuHamza","@ArtiAbuAbuHamza")</f>
        <v>@ArtiAbuAbuHamza</v>
      </c>
      <c r="C31932" t="s">
        <v>2081</v>
      </c>
      <c r="D31932">
        <v>7</v>
      </c>
      <c r="E31932">
        <v>0</v>
      </c>
      <c r="F31932">
        <v>205</v>
      </c>
    </row>
    <row r="31933" spans="1:6" ht="12.75">
      <c r="A31933" s="2">
        <v>43875.47956018518</v>
      </c>
      <c r="B31933" t="str">
        <f>HYPERLINK("https://twitter.com/DesiArfisi","@DesiArfisi")</f>
        <v>@DesiArfisi</v>
      </c>
      <c r="C31933" t="s">
        <v>10169</v>
      </c>
      <c r="D31933">
        <v>52</v>
      </c>
      <c r="E31933">
        <v>0</v>
      </c>
      <c r="F31933">
        <v>2167</v>
      </c>
    </row>
    <row r="31934" spans="1:6" ht="12.75">
      <c r="A31934" s="2">
        <v>43875.479548611111</v>
      </c>
      <c r="B31934" t="str">
        <f>HYPERLINK("https://twitter.com/julianamaulida8","@julianamaulida8")</f>
        <v>@julianamaulida8</v>
      </c>
      <c r="C31934" t="s">
        <v>10237</v>
      </c>
      <c r="D31934">
        <v>29</v>
      </c>
      <c r="E31934">
        <v>0</v>
      </c>
      <c r="F31934">
        <v>323</v>
      </c>
    </row>
    <row r="31935" spans="1:6" ht="12.75">
      <c r="A31935" s="2">
        <v>43875.479421296295</v>
      </c>
      <c r="B31935" t="str">
        <f>HYPERLINK("https://twitter.com/nafarikha_","@nafarikha_")</f>
        <v>@nafarikha_</v>
      </c>
      <c r="C31935" t="s">
        <v>9964</v>
      </c>
      <c r="D31935">
        <v>532</v>
      </c>
      <c r="E31935">
        <v>0</v>
      </c>
      <c r="F31935">
        <v>1553</v>
      </c>
    </row>
    <row r="31936" spans="1:6" ht="12.75">
      <c r="A31936" s="2">
        <v>43875.479386574079</v>
      </c>
      <c r="B31936" t="str">
        <f>HYPERLINK("https://twitter.com/DadangRusian","@DadangRusian")</f>
        <v>@DadangRusian</v>
      </c>
      <c r="C31936" t="s">
        <v>9746</v>
      </c>
      <c r="D31936">
        <v>66</v>
      </c>
      <c r="E31936">
        <v>0</v>
      </c>
      <c r="F31936">
        <v>816</v>
      </c>
    </row>
    <row r="31937" spans="1:6" ht="12.75">
      <c r="A31937" s="2">
        <v>43875.47934027778</v>
      </c>
      <c r="B31937" t="str">
        <f>HYPERLINK("https://twitter.com/blackpink828","@blackpink828")</f>
        <v>@blackpink828</v>
      </c>
      <c r="C31937" t="s">
        <v>2444</v>
      </c>
      <c r="D31937">
        <v>206</v>
      </c>
      <c r="E31937">
        <v>0</v>
      </c>
      <c r="F31937">
        <v>2824</v>
      </c>
    </row>
    <row r="31938" spans="1:6" ht="12.75">
      <c r="A31938" s="2">
        <v>43875.47934027778</v>
      </c>
      <c r="B31938" t="str">
        <f>HYPERLINK("https://twitter.com/nshfarkn","@nshfarkn")</f>
        <v>@nshfarkn</v>
      </c>
      <c r="C31938" t="s">
        <v>13357</v>
      </c>
      <c r="D31938">
        <v>0</v>
      </c>
      <c r="E31938">
        <v>0</v>
      </c>
      <c r="F31938">
        <v>32</v>
      </c>
    </row>
    <row r="31939" spans="1:6" ht="12.75">
      <c r="A31939" s="2">
        <v>43875.47929398148</v>
      </c>
      <c r="B31939" t="str">
        <f>HYPERLINK("https://twitter.com/onetinyalice","@onetinyalice")</f>
        <v>@onetinyalice</v>
      </c>
      <c r="C31939" t="s">
        <v>2137</v>
      </c>
      <c r="D31939">
        <v>54</v>
      </c>
      <c r="E31939">
        <v>0</v>
      </c>
      <c r="F31939">
        <v>467</v>
      </c>
    </row>
    <row r="31940" spans="1:6" ht="12.75">
      <c r="A31940" s="2">
        <v>43875.479259259257</v>
      </c>
      <c r="B31940" t="str">
        <f>HYPERLINK("https://twitter.com/robbialmubarok","@robbialmubarok")</f>
        <v>@robbialmubarok</v>
      </c>
      <c r="C31940" t="s">
        <v>5168</v>
      </c>
      <c r="D31940">
        <v>540</v>
      </c>
      <c r="E31940">
        <v>0</v>
      </c>
      <c r="F31940">
        <v>42</v>
      </c>
    </row>
    <row r="31941" spans="1:6" ht="12.75">
      <c r="A31941" s="2">
        <v>43875.47923611111</v>
      </c>
      <c r="B31941" t="str">
        <f>HYPERLINK("https://twitter.com/beluandini","@beluandini")</f>
        <v>@beluandini</v>
      </c>
      <c r="C31941" t="s">
        <v>2444</v>
      </c>
      <c r="D31941">
        <v>206</v>
      </c>
      <c r="E31941">
        <v>0</v>
      </c>
      <c r="F31941">
        <v>320</v>
      </c>
    </row>
    <row r="31942" spans="1:6" ht="12.75">
      <c r="A31942" s="2">
        <v>43875.47923611111</v>
      </c>
      <c r="B31942" t="str">
        <f>HYPERLINK("https://twitter.com/AdnanDasuki99","@AdnanDasuki99")</f>
        <v>@AdnanDasuki99</v>
      </c>
      <c r="C31942" t="s">
        <v>13358</v>
      </c>
      <c r="D31942">
        <v>0</v>
      </c>
      <c r="E31942">
        <v>2</v>
      </c>
      <c r="F31942">
        <v>132</v>
      </c>
    </row>
    <row r="31943" spans="1:6" ht="12.75">
      <c r="A31943" s="2">
        <v>43875.479166666672</v>
      </c>
      <c r="B31943" t="str">
        <f>HYPERLINK("https://twitter.com/ElshintaTegal_","@ElshintaTegal_")</f>
        <v>@ElshintaTegal_</v>
      </c>
      <c r="C31943" t="s">
        <v>13359</v>
      </c>
      <c r="D31943">
        <v>0</v>
      </c>
      <c r="E31943">
        <v>0</v>
      </c>
      <c r="F31943">
        <v>29</v>
      </c>
    </row>
    <row r="31944" spans="1:6" ht="12.75">
      <c r="A31944" s="2">
        <v>43875.479143518518</v>
      </c>
      <c r="B31944" t="str">
        <f>HYPERLINK("https://twitter.com/zuriswanfajri","@zuriswanfajri")</f>
        <v>@zuriswanfajri</v>
      </c>
      <c r="C31944" t="s">
        <v>9746</v>
      </c>
      <c r="D31944">
        <v>66</v>
      </c>
      <c r="E31944">
        <v>0</v>
      </c>
      <c r="F31944">
        <v>4380</v>
      </c>
    </row>
    <row r="31945" spans="1:6" ht="12.75">
      <c r="A31945" s="2">
        <v>43875.479050925926</v>
      </c>
      <c r="B31945" t="str">
        <f>HYPERLINK("https://twitter.com/joahhamnida","@joahhamnida")</f>
        <v>@joahhamnida</v>
      </c>
      <c r="C31945" t="s">
        <v>10237</v>
      </c>
      <c r="D31945">
        <v>29</v>
      </c>
      <c r="E31945">
        <v>0</v>
      </c>
      <c r="F31945">
        <v>917</v>
      </c>
    </row>
    <row r="31946" spans="1:6" ht="12.75">
      <c r="A31946" s="2">
        <v>43875.479004629626</v>
      </c>
      <c r="B31946" t="str">
        <f>HYPERLINK("https://twitter.com/LidyaPatient","@LidyaPatient")</f>
        <v>@LidyaPatient</v>
      </c>
      <c r="C31946" t="s">
        <v>13090</v>
      </c>
      <c r="D31946">
        <v>5</v>
      </c>
      <c r="E31946">
        <v>0</v>
      </c>
      <c r="F31946">
        <v>720</v>
      </c>
    </row>
    <row r="31947" spans="1:6" ht="12.75">
      <c r="A31947" s="2">
        <v>43875.478969907403</v>
      </c>
      <c r="B31947" t="str">
        <f>HYPERLINK("https://twitter.com/__interlac_","@__interlac_")</f>
        <v>@__interlac_</v>
      </c>
      <c r="C31947" t="s">
        <v>13360</v>
      </c>
      <c r="D31947">
        <v>2</v>
      </c>
      <c r="E31947">
        <v>0</v>
      </c>
      <c r="F31947">
        <v>6594</v>
      </c>
    </row>
    <row r="31948" spans="1:6" ht="12.75">
      <c r="A31948" s="2">
        <v>43875.478819444441</v>
      </c>
      <c r="B31948" t="str">
        <f>HYPERLINK("https://twitter.com/dela_kim0309","@dela_kim0309")</f>
        <v>@dela_kim0309</v>
      </c>
      <c r="C31948" t="s">
        <v>9021</v>
      </c>
      <c r="D31948">
        <v>176</v>
      </c>
      <c r="E31948">
        <v>0</v>
      </c>
      <c r="F31948">
        <v>641</v>
      </c>
    </row>
    <row r="31949" spans="1:6" ht="12.75">
      <c r="A31949" s="2">
        <v>43875.478819444441</v>
      </c>
      <c r="B31949" t="str">
        <f>HYPERLINK("https://twitter.com/DeosPaulus1712","@DeosPaulus1712")</f>
        <v>@DeosPaulus1712</v>
      </c>
      <c r="C31949" t="s">
        <v>10237</v>
      </c>
      <c r="D31949">
        <v>29</v>
      </c>
      <c r="E31949">
        <v>0</v>
      </c>
      <c r="F31949">
        <v>100</v>
      </c>
    </row>
    <row r="31950" spans="1:6" ht="12.75">
      <c r="A31950" s="2">
        <v>43875.478807870371</v>
      </c>
      <c r="B31950" t="str">
        <f>HYPERLINK("https://twitter.com/Yeyen41020695","@Yeyen41020695")</f>
        <v>@Yeyen41020695</v>
      </c>
      <c r="C31950" t="s">
        <v>13361</v>
      </c>
      <c r="D31950">
        <v>0</v>
      </c>
      <c r="E31950">
        <v>0</v>
      </c>
      <c r="F31950">
        <v>1304</v>
      </c>
    </row>
    <row r="31951" spans="1:6" ht="12.75">
      <c r="A31951" s="2">
        <v>43875.478796296295</v>
      </c>
      <c r="B31951" t="str">
        <f>HYPERLINK("https://twitter.com/Ani7896","@Ani7896")</f>
        <v>@Ani7896</v>
      </c>
      <c r="C31951" t="s">
        <v>13362</v>
      </c>
      <c r="D31951">
        <v>0</v>
      </c>
      <c r="E31951">
        <v>0</v>
      </c>
      <c r="F31951">
        <v>29</v>
      </c>
    </row>
    <row r="31952" spans="1:6" ht="12.75">
      <c r="A31952" s="2">
        <v>43875.478726851856</v>
      </c>
      <c r="B31952" t="str">
        <f>HYPERLINK("https://twitter.com/UjKomar","@UjKomar")</f>
        <v>@UjKomar</v>
      </c>
      <c r="C31952" t="s">
        <v>2963</v>
      </c>
      <c r="D31952">
        <v>723</v>
      </c>
      <c r="E31952">
        <v>0</v>
      </c>
      <c r="F31952">
        <v>1158</v>
      </c>
    </row>
    <row r="31953" spans="1:6" ht="12.75">
      <c r="A31953" s="2">
        <v>43875.47865740741</v>
      </c>
      <c r="B31953" t="str">
        <f>HYPERLINK("https://twitter.com/hasni_ndini","@hasni_ndini")</f>
        <v>@hasni_ndini</v>
      </c>
      <c r="C31953" t="s">
        <v>10422</v>
      </c>
      <c r="D31953">
        <v>64</v>
      </c>
      <c r="E31953">
        <v>0</v>
      </c>
      <c r="F31953">
        <v>146</v>
      </c>
    </row>
    <row r="31954" spans="1:6" ht="12.75">
      <c r="A31954" s="2">
        <v>43875.47861111111</v>
      </c>
      <c r="B31954" t="str">
        <f>HYPERLINK("https://twitter.com/Bang_Nago","@Bang_Nago")</f>
        <v>@Bang_Nago</v>
      </c>
      <c r="C31954" t="s">
        <v>13363</v>
      </c>
      <c r="D31954">
        <v>0</v>
      </c>
      <c r="E31954">
        <v>0</v>
      </c>
      <c r="F31954">
        <v>289</v>
      </c>
    </row>
    <row r="31955" spans="1:6" ht="12.75">
      <c r="A31955" s="2">
        <v>43875.478576388894</v>
      </c>
      <c r="B31955" t="str">
        <f>HYPERLINK("https://twitter.com/merapi_news","@merapi_news")</f>
        <v>@merapi_news</v>
      </c>
      <c r="C31955" t="s">
        <v>13364</v>
      </c>
      <c r="D31955">
        <v>29</v>
      </c>
      <c r="E31955">
        <v>81</v>
      </c>
      <c r="F31955">
        <v>116637</v>
      </c>
    </row>
    <row r="31956" spans="1:6" ht="12.75">
      <c r="A31956" s="2">
        <v>43875.478506944448</v>
      </c>
      <c r="B31956" t="str">
        <f>HYPERLINK("https://twitter.com/Ciput84725571","@Ciput84725571")</f>
        <v>@Ciput84725571</v>
      </c>
      <c r="C31956" t="s">
        <v>2963</v>
      </c>
      <c r="D31956">
        <v>723</v>
      </c>
      <c r="E31956">
        <v>0</v>
      </c>
      <c r="F31956">
        <v>1723</v>
      </c>
    </row>
    <row r="31957" spans="1:6" ht="12.75">
      <c r="A31957" s="2">
        <v>43875.478472222225</v>
      </c>
      <c r="B31957" t="str">
        <f>HYPERLINK("https://twitter.com/donny4959","@donny4959")</f>
        <v>@donny4959</v>
      </c>
      <c r="C31957" t="s">
        <v>10407</v>
      </c>
      <c r="D31957">
        <v>3</v>
      </c>
      <c r="E31957">
        <v>0</v>
      </c>
      <c r="F31957">
        <v>42</v>
      </c>
    </row>
    <row r="31958" spans="1:6" ht="12.75">
      <c r="A31958" s="2">
        <v>43875.478414351848</v>
      </c>
      <c r="B31958" t="str">
        <f>HYPERLINK("https://twitter.com/liyahurwatul","@liyahurwatul")</f>
        <v>@liyahurwatul</v>
      </c>
      <c r="C31958" t="s">
        <v>8233</v>
      </c>
      <c r="D31958">
        <v>377</v>
      </c>
      <c r="E31958">
        <v>0</v>
      </c>
      <c r="F31958">
        <v>345</v>
      </c>
    </row>
    <row r="31959" spans="1:6" ht="12.75">
      <c r="A31959" s="2">
        <v>43875.478402777779</v>
      </c>
      <c r="B31959" t="str">
        <f>HYPERLINK("https://twitter.com/donny4959","@donny4959")</f>
        <v>@donny4959</v>
      </c>
      <c r="C31959" t="s">
        <v>10407</v>
      </c>
      <c r="D31959">
        <v>44</v>
      </c>
      <c r="E31959">
        <v>0</v>
      </c>
      <c r="F31959">
        <v>42</v>
      </c>
    </row>
    <row r="31960" spans="1:6" ht="12.75">
      <c r="A31960" s="2">
        <v>43875.478391203702</v>
      </c>
      <c r="B31960" t="str">
        <f>HYPERLINK("https://twitter.com/ALUNG_ASN","@ALUNG_ASN")</f>
        <v>@ALUNG_ASN</v>
      </c>
      <c r="C31960" t="s">
        <v>13365</v>
      </c>
      <c r="D31960">
        <v>0</v>
      </c>
      <c r="E31960">
        <v>0</v>
      </c>
      <c r="F31960">
        <v>258</v>
      </c>
    </row>
    <row r="31961" spans="1:6" ht="12.75">
      <c r="A31961" s="2">
        <v>43875.478391203702</v>
      </c>
      <c r="B31961" t="str">
        <f>HYPERLINK("https://twitter.com/robbialmubarok","@robbialmubarok")</f>
        <v>@robbialmubarok</v>
      </c>
      <c r="C31961" t="s">
        <v>2444</v>
      </c>
      <c r="D31961">
        <v>206</v>
      </c>
      <c r="E31961">
        <v>0</v>
      </c>
      <c r="F31961">
        <v>42</v>
      </c>
    </row>
    <row r="31962" spans="1:6" ht="12.75">
      <c r="A31962" s="2">
        <v>43875.478379629625</v>
      </c>
      <c r="B31962" t="str">
        <f>HYPERLINK("https://twitter.com/MencariBahagia5","@MencariBahagia5")</f>
        <v>@MencariBahagia5</v>
      </c>
      <c r="C31962" t="s">
        <v>2963</v>
      </c>
      <c r="D31962">
        <v>723</v>
      </c>
      <c r="E31962">
        <v>0</v>
      </c>
      <c r="F31962">
        <v>153</v>
      </c>
    </row>
    <row r="31963" spans="1:6" ht="12.75">
      <c r="A31963" s="2">
        <v>43875.478368055556</v>
      </c>
      <c r="B31963" t="str">
        <f>HYPERLINK("https://twitter.com/trianugraha_w","@trianugraha_w")</f>
        <v>@trianugraha_w</v>
      </c>
      <c r="C31963" t="s">
        <v>13366</v>
      </c>
      <c r="D31963">
        <v>0</v>
      </c>
      <c r="E31963">
        <v>0</v>
      </c>
      <c r="F31963">
        <v>33</v>
      </c>
    </row>
    <row r="31964" spans="1:6" ht="12.75">
      <c r="A31964" s="2">
        <v>43875.478368055556</v>
      </c>
      <c r="B31964" t="str">
        <f>HYPERLINK("https://twitter.com/dondihananto","@dondihananto")</f>
        <v>@dondihananto</v>
      </c>
      <c r="C31964" t="s">
        <v>13367</v>
      </c>
      <c r="D31964">
        <v>5</v>
      </c>
      <c r="E31964">
        <v>1</v>
      </c>
      <c r="F31964">
        <v>24905</v>
      </c>
    </row>
    <row r="31965" spans="1:6" ht="12.75">
      <c r="A31965" s="2">
        <v>43875.478333333333</v>
      </c>
      <c r="B31965" t="str">
        <f>HYPERLINK("https://twitter.com/kepriinfo","@kepriinfo")</f>
        <v>@kepriinfo</v>
      </c>
      <c r="C31965" t="s">
        <v>13368</v>
      </c>
      <c r="D31965">
        <v>0</v>
      </c>
      <c r="E31965">
        <v>0</v>
      </c>
      <c r="F31965">
        <v>18702</v>
      </c>
    </row>
    <row r="31966" spans="1:6" ht="12.75">
      <c r="A31966" s="2">
        <v>43875.478310185186</v>
      </c>
      <c r="B31966" t="str">
        <f>HYPERLINK("https://twitter.com/alkautsarderian","@alkautsarderian")</f>
        <v>@alkautsarderian</v>
      </c>
      <c r="C31966" t="s">
        <v>11086</v>
      </c>
      <c r="D31966">
        <v>84</v>
      </c>
      <c r="E31966">
        <v>0</v>
      </c>
      <c r="F31966">
        <v>89</v>
      </c>
    </row>
    <row r="31967" spans="1:6" ht="12.75">
      <c r="A31967" s="2">
        <v>43875.478298611109</v>
      </c>
      <c r="B31967" t="str">
        <f>HYPERLINK("https://twitter.com/PRESMEDIA_id","@PRESMEDIA_id")</f>
        <v>@PRESMEDIA_id</v>
      </c>
      <c r="C31967" t="s">
        <v>13368</v>
      </c>
      <c r="D31967">
        <v>0</v>
      </c>
      <c r="E31967">
        <v>0</v>
      </c>
      <c r="F31967">
        <v>12</v>
      </c>
    </row>
    <row r="31968" spans="1:6" ht="12.75">
      <c r="A31968" s="2">
        <v>43875.478263888886</v>
      </c>
      <c r="B31968" t="str">
        <f>HYPERLINK("https://twitter.com/bayudewantoro10","@bayudewantoro10")</f>
        <v>@bayudewantoro10</v>
      </c>
      <c r="C31968" t="s">
        <v>2444</v>
      </c>
      <c r="D31968">
        <v>206</v>
      </c>
      <c r="E31968">
        <v>0</v>
      </c>
      <c r="F31968">
        <v>153</v>
      </c>
    </row>
    <row r="31969" spans="1:6" ht="12.75">
      <c r="A31969" s="2">
        <v>43875.478136574078</v>
      </c>
      <c r="B31969" t="str">
        <f>HYPERLINK("https://twitter.com/kekeayul","@kekeayul")</f>
        <v>@kekeayul</v>
      </c>
      <c r="C31969" t="s">
        <v>8233</v>
      </c>
      <c r="D31969">
        <v>377</v>
      </c>
      <c r="E31969">
        <v>0</v>
      </c>
      <c r="F31969">
        <v>307</v>
      </c>
    </row>
    <row r="31970" spans="1:6" ht="12.75">
      <c r="A31970" s="2">
        <v>43875.478136574078</v>
      </c>
      <c r="B31970" t="str">
        <f>HYPERLINK("https://twitter.com/wiwidsuwid","@wiwidsuwid")</f>
        <v>@wiwidsuwid</v>
      </c>
      <c r="C31970" t="s">
        <v>2963</v>
      </c>
      <c r="D31970">
        <v>723</v>
      </c>
      <c r="E31970">
        <v>0</v>
      </c>
      <c r="F31970">
        <v>1814</v>
      </c>
    </row>
    <row r="31971" spans="1:6" ht="12.75">
      <c r="A31971" s="2">
        <v>43875.478113425925</v>
      </c>
      <c r="B31971" t="str">
        <f>HYPERLINK("https://twitter.com/rinto_do4nk","@rinto_do4nk")</f>
        <v>@rinto_do4nk</v>
      </c>
      <c r="C31971" t="s">
        <v>2963</v>
      </c>
      <c r="D31971">
        <v>723</v>
      </c>
      <c r="E31971">
        <v>0</v>
      </c>
      <c r="F31971">
        <v>155</v>
      </c>
    </row>
    <row r="31972" spans="1:6" ht="12.75">
      <c r="A31972" s="2">
        <v>43875.478090277778</v>
      </c>
      <c r="B31972" t="str">
        <f>HYPERLINK("https://twitter.com/Peeeengg","@Peeeengg")</f>
        <v>@Peeeengg</v>
      </c>
      <c r="C31972" t="s">
        <v>5168</v>
      </c>
      <c r="D31972">
        <v>540</v>
      </c>
      <c r="E31972">
        <v>0</v>
      </c>
      <c r="F31972">
        <v>977</v>
      </c>
    </row>
    <row r="31973" spans="1:6" ht="12.75">
      <c r="A31973" s="2">
        <v>43875.478055555555</v>
      </c>
      <c r="B31973" t="str">
        <f>HYPERLINK("https://twitter.com/SitompulYunus","@SitompulYunus")</f>
        <v>@SitompulYunus</v>
      </c>
      <c r="C31973" t="s">
        <v>13369</v>
      </c>
      <c r="D31973">
        <v>4</v>
      </c>
      <c r="E31973">
        <v>0</v>
      </c>
      <c r="F31973">
        <v>844</v>
      </c>
    </row>
    <row r="31974" spans="1:6" ht="12.75">
      <c r="A31974" s="2">
        <v>43875.478009259255</v>
      </c>
      <c r="B31974" t="str">
        <f>HYPERLINK("https://twitter.com/PembacaHening","@PembacaHening")</f>
        <v>@PembacaHening</v>
      </c>
      <c r="C31974" t="s">
        <v>13370</v>
      </c>
      <c r="D31974">
        <v>0</v>
      </c>
      <c r="E31974">
        <v>1</v>
      </c>
      <c r="F31974">
        <v>12441</v>
      </c>
    </row>
    <row r="31975" spans="1:6" ht="12.75">
      <c r="A31975" s="2">
        <v>43875.477997685186</v>
      </c>
      <c r="B31975" t="str">
        <f>HYPERLINK("https://twitter.com/wiena_kinasih","@wiena_kinasih")</f>
        <v>@wiena_kinasih</v>
      </c>
      <c r="C31975" t="s">
        <v>7411</v>
      </c>
      <c r="D31975">
        <v>138</v>
      </c>
      <c r="E31975">
        <v>0</v>
      </c>
      <c r="F31975">
        <v>2447</v>
      </c>
    </row>
    <row r="31976" spans="1:6" ht="12.75">
      <c r="A31976" s="2">
        <v>43875.477847222224</v>
      </c>
      <c r="B31976" t="str">
        <f>HYPERLINK("https://twitter.com/ariefhusein","@ariefhusein")</f>
        <v>@ariefhusein</v>
      </c>
      <c r="C31976" t="s">
        <v>9113</v>
      </c>
      <c r="D31976">
        <v>273</v>
      </c>
      <c r="E31976">
        <v>0</v>
      </c>
      <c r="F31976">
        <v>552</v>
      </c>
    </row>
    <row r="31977" spans="1:6" ht="12.75">
      <c r="A31977" s="2">
        <v>43875.477835648147</v>
      </c>
      <c r="B31977" t="str">
        <f>HYPERLINK("https://twitter.com/Tino_711003","@Tino_711003")</f>
        <v>@Tino_711003</v>
      </c>
      <c r="C31977" t="s">
        <v>9113</v>
      </c>
      <c r="D31977">
        <v>273</v>
      </c>
      <c r="E31977">
        <v>0</v>
      </c>
      <c r="F31977">
        <v>285</v>
      </c>
    </row>
    <row r="31978" spans="1:6" ht="12.75">
      <c r="A31978" s="2">
        <v>43875.477812500001</v>
      </c>
      <c r="B31978" t="str">
        <f>HYPERLINK("https://twitter.com/__interlac_","@__interlac_")</f>
        <v>@__interlac_</v>
      </c>
      <c r="C31978" t="s">
        <v>13371</v>
      </c>
      <c r="D31978">
        <v>2</v>
      </c>
      <c r="E31978">
        <v>4</v>
      </c>
      <c r="F31978">
        <v>6594</v>
      </c>
    </row>
    <row r="31979" spans="1:6" ht="12.75">
      <c r="A31979" s="2">
        <v>43875.477743055555</v>
      </c>
      <c r="B31979" t="str">
        <f>HYPERLINK("https://twitter.com/Aqimudin","@Aqimudin")</f>
        <v>@Aqimudin</v>
      </c>
      <c r="C31979" t="s">
        <v>2444</v>
      </c>
      <c r="D31979">
        <v>206</v>
      </c>
      <c r="E31979">
        <v>0</v>
      </c>
      <c r="F31979">
        <v>450</v>
      </c>
    </row>
    <row r="31980" spans="1:6" ht="12.75">
      <c r="A31980" s="2">
        <v>43875.47761574074</v>
      </c>
      <c r="B31980" t="str">
        <f>HYPERLINK("https://twitter.com/nado0ngi","@nado0ngi")</f>
        <v>@nado0ngi</v>
      </c>
      <c r="C31980" t="s">
        <v>2137</v>
      </c>
      <c r="D31980">
        <v>54</v>
      </c>
      <c r="E31980">
        <v>0</v>
      </c>
      <c r="F31980">
        <v>166</v>
      </c>
    </row>
    <row r="31981" spans="1:6" ht="12.75">
      <c r="A31981" s="2">
        <v>43875.477546296301</v>
      </c>
      <c r="B31981" t="str">
        <f>HYPERLINK("https://twitter.com/JacobM61439481","@JacobM61439481")</f>
        <v>@JacobM61439481</v>
      </c>
      <c r="C31981" t="s">
        <v>13372</v>
      </c>
      <c r="D31981">
        <v>0</v>
      </c>
      <c r="E31981">
        <v>0</v>
      </c>
      <c r="F31981">
        <v>2</v>
      </c>
    </row>
    <row r="31982" spans="1:6" ht="12.75">
      <c r="A31982" s="2">
        <v>43875.477152777778</v>
      </c>
      <c r="B31982" t="str">
        <f>HYPERLINK("https://twitter.com/tempodotco","@tempodotco")</f>
        <v>@tempodotco</v>
      </c>
      <c r="C31982" t="s">
        <v>13373</v>
      </c>
      <c r="D31982">
        <v>0</v>
      </c>
      <c r="E31982">
        <v>1</v>
      </c>
      <c r="F31982">
        <v>1702213</v>
      </c>
    </row>
    <row r="31983" spans="1:6" ht="12.75">
      <c r="A31983" s="2">
        <v>43875.476956018523</v>
      </c>
      <c r="B31983" t="str">
        <f>HYPERLINK("https://twitter.com/doni17_kemin","@doni17_kemin")</f>
        <v>@doni17_kemin</v>
      </c>
      <c r="C31983" t="s">
        <v>10096</v>
      </c>
      <c r="D31983">
        <v>95</v>
      </c>
      <c r="E31983">
        <v>0</v>
      </c>
      <c r="F31983">
        <v>3196</v>
      </c>
    </row>
    <row r="31984" spans="1:6" ht="12.75">
      <c r="A31984" s="2">
        <v>43875.476863425924</v>
      </c>
      <c r="B31984" t="str">
        <f>HYPERLINK("https://twitter.com/demokrasicoid","@demokrasicoid")</f>
        <v>@demokrasicoid</v>
      </c>
      <c r="C31984" t="s">
        <v>10720</v>
      </c>
      <c r="D31984">
        <v>0</v>
      </c>
      <c r="E31984">
        <v>1</v>
      </c>
      <c r="F31984">
        <v>22234</v>
      </c>
    </row>
    <row r="31985" spans="1:6" ht="12.75">
      <c r="A31985" s="2">
        <v>43875.476782407408</v>
      </c>
      <c r="B31985" t="str">
        <f>HYPERLINK("https://twitter.com/ohiyayaaa","@ohiyayaaa")</f>
        <v>@ohiyayaaa</v>
      </c>
      <c r="C31985" t="s">
        <v>2444</v>
      </c>
      <c r="D31985">
        <v>206</v>
      </c>
      <c r="E31985">
        <v>0</v>
      </c>
      <c r="F31985">
        <v>512</v>
      </c>
    </row>
    <row r="31986" spans="1:6" ht="12.75">
      <c r="A31986" s="2">
        <v>43875.476759259254</v>
      </c>
      <c r="B31986" t="str">
        <f>HYPERLINK("https://twitter.com/sibayan60","@sibayan60")</f>
        <v>@sibayan60</v>
      </c>
      <c r="C31986" t="s">
        <v>13374</v>
      </c>
      <c r="D31986">
        <v>0</v>
      </c>
      <c r="E31986">
        <v>0</v>
      </c>
      <c r="F31986">
        <v>200</v>
      </c>
    </row>
    <row r="31987" spans="1:6" ht="12.75">
      <c r="A31987" s="2">
        <v>43875.476643518516</v>
      </c>
      <c r="B31987" t="str">
        <f>HYPERLINK("https://twitter.com/RickyIrfandi","@RickyIrfandi")</f>
        <v>@RickyIrfandi</v>
      </c>
      <c r="C31987" t="s">
        <v>13375</v>
      </c>
      <c r="D31987">
        <v>0</v>
      </c>
      <c r="E31987">
        <v>0</v>
      </c>
      <c r="F31987">
        <v>332</v>
      </c>
    </row>
    <row r="31988" spans="1:6" ht="12.75">
      <c r="A31988" s="2">
        <v>43875.476620370369</v>
      </c>
      <c r="B31988" t="str">
        <f>HYPERLINK("https://twitter.com/abbass_ai","@abbass_ai")</f>
        <v>@abbass_ai</v>
      </c>
      <c r="C31988" t="s">
        <v>2963</v>
      </c>
      <c r="D31988">
        <v>723</v>
      </c>
      <c r="E31988">
        <v>0</v>
      </c>
      <c r="F31988">
        <v>260</v>
      </c>
    </row>
    <row r="31989" spans="1:6" ht="12.75">
      <c r="A31989" s="2">
        <v>43875.47657407407</v>
      </c>
      <c r="B31989" t="str">
        <f>HYPERLINK("https://twitter.com/DeosPaulus1712","@DeosPaulus1712")</f>
        <v>@DeosPaulus1712</v>
      </c>
      <c r="C31989" t="s">
        <v>9962</v>
      </c>
      <c r="D31989">
        <v>15</v>
      </c>
      <c r="E31989">
        <v>0</v>
      </c>
      <c r="F31989">
        <v>100</v>
      </c>
    </row>
    <row r="31990" spans="1:6" ht="12.75">
      <c r="A31990" s="2">
        <v>43875.47657407407</v>
      </c>
      <c r="B31990" t="str">
        <f>HYPERLINK("https://twitter.com/Luthfi_nasrul","@Luthfi_nasrul")</f>
        <v>@Luthfi_nasrul</v>
      </c>
      <c r="C31990" t="s">
        <v>10740</v>
      </c>
      <c r="D31990">
        <v>93</v>
      </c>
      <c r="E31990">
        <v>0</v>
      </c>
      <c r="F31990">
        <v>2740</v>
      </c>
    </row>
    <row r="31991" spans="1:6" ht="12.75">
      <c r="A31991" s="2">
        <v>43875.476446759261</v>
      </c>
      <c r="B31991" t="str">
        <f>HYPERLINK("https://twitter.com/zainala66","@zainala66")</f>
        <v>@zainala66</v>
      </c>
      <c r="C31991" t="s">
        <v>11322</v>
      </c>
      <c r="D31991">
        <v>70</v>
      </c>
      <c r="E31991">
        <v>0</v>
      </c>
      <c r="F31991">
        <v>144</v>
      </c>
    </row>
    <row r="31992" spans="1:6" ht="12.75">
      <c r="A31992" s="2">
        <v>43875.476423611108</v>
      </c>
      <c r="B31992" t="str">
        <f>HYPERLINK("https://twitter.com/Harian_Jogja","@Harian_Jogja")</f>
        <v>@Harian_Jogja</v>
      </c>
      <c r="C31992" t="s">
        <v>13376</v>
      </c>
      <c r="D31992">
        <v>1</v>
      </c>
      <c r="E31992">
        <v>4</v>
      </c>
      <c r="F31992">
        <v>153181</v>
      </c>
    </row>
    <row r="31993" spans="1:6" ht="12.75">
      <c r="A31993" s="2">
        <v>43875.476412037038</v>
      </c>
      <c r="B31993" t="str">
        <f>HYPERLINK("https://twitter.com/moeslim_choice","@moeslim_choice")</f>
        <v>@moeslim_choice</v>
      </c>
      <c r="C31993" t="s">
        <v>13377</v>
      </c>
      <c r="D31993">
        <v>0</v>
      </c>
      <c r="E31993">
        <v>0</v>
      </c>
      <c r="F31993">
        <v>130</v>
      </c>
    </row>
    <row r="31994" spans="1:6" ht="12.75">
      <c r="A31994" s="2">
        <v>43875.476412037038</v>
      </c>
      <c r="B31994" t="str">
        <f>HYPERLINK("https://twitter.com/SriDeilwa","@SriDeilwa")</f>
        <v>@SriDeilwa</v>
      </c>
      <c r="C31994" t="s">
        <v>12954</v>
      </c>
      <c r="D31994">
        <v>0</v>
      </c>
      <c r="E31994">
        <v>0</v>
      </c>
      <c r="F31994">
        <v>1</v>
      </c>
    </row>
    <row r="31995" spans="1:6" ht="12.75">
      <c r="A31995" s="2">
        <v>43875.476377314815</v>
      </c>
      <c r="B31995" t="str">
        <f>HYPERLINK("https://twitter.com/aku_isin","@aku_isin")</f>
        <v>@aku_isin</v>
      </c>
      <c r="C31995" t="s">
        <v>13378</v>
      </c>
      <c r="D31995">
        <v>0</v>
      </c>
      <c r="E31995">
        <v>0</v>
      </c>
      <c r="F31995">
        <v>10</v>
      </c>
    </row>
    <row r="31996" spans="1:6" ht="12.75">
      <c r="A31996" s="2">
        <v>43875.476331018523</v>
      </c>
      <c r="B31996" t="str">
        <f>HYPERLINK("https://twitter.com/mencuit","@mencuit")</f>
        <v>@mencuit</v>
      </c>
      <c r="C31996" t="s">
        <v>8349</v>
      </c>
      <c r="D31996">
        <v>9</v>
      </c>
      <c r="E31996">
        <v>0</v>
      </c>
      <c r="F31996">
        <v>1053</v>
      </c>
    </row>
    <row r="31997" spans="1:6" ht="12.75">
      <c r="A31997" s="2">
        <v>43875.476319444446</v>
      </c>
      <c r="B31997" t="str">
        <f>HYPERLINK("https://twitter.com/Jaya93180022","@Jaya93180022")</f>
        <v>@Jaya93180022</v>
      </c>
      <c r="C31997" t="s">
        <v>9746</v>
      </c>
      <c r="D31997">
        <v>66</v>
      </c>
      <c r="E31997">
        <v>0</v>
      </c>
      <c r="F31997">
        <v>539</v>
      </c>
    </row>
    <row r="31998" spans="1:6" ht="12.75">
      <c r="A31998" s="2">
        <v>43875.476261574076</v>
      </c>
      <c r="B31998" t="str">
        <f>HYPERLINK("https://twitter.com/laliluhalu","@laliluhalu")</f>
        <v>@laliluhalu</v>
      </c>
      <c r="C31998" t="s">
        <v>2444</v>
      </c>
      <c r="D31998">
        <v>206</v>
      </c>
      <c r="E31998">
        <v>0</v>
      </c>
      <c r="F31998">
        <v>760</v>
      </c>
    </row>
    <row r="31999" spans="1:6" ht="12.75">
      <c r="A31999" s="2">
        <v>43875.476226851853</v>
      </c>
      <c r="B31999" t="str">
        <f>HYPERLINK("https://twitter.com/lockmeupwithjoy","@lockmeupwithjoy")</f>
        <v>@lockmeupwithjoy</v>
      </c>
      <c r="C31999" t="s">
        <v>2444</v>
      </c>
      <c r="D31999">
        <v>206</v>
      </c>
      <c r="E31999">
        <v>0</v>
      </c>
      <c r="F31999">
        <v>695</v>
      </c>
    </row>
    <row r="32000" spans="1:6" ht="12.75">
      <c r="A32000" s="2">
        <v>43875.476215277777</v>
      </c>
      <c r="B32000" t="str">
        <f>HYPERLINK("https://twitter.com/juju_wandi","@juju_wandi")</f>
        <v>@juju_wandi</v>
      </c>
      <c r="C32000" t="s">
        <v>2963</v>
      </c>
      <c r="D32000">
        <v>723</v>
      </c>
      <c r="E32000">
        <v>0</v>
      </c>
      <c r="F32000">
        <v>370</v>
      </c>
    </row>
    <row r="32001" spans="1:6" ht="12.75">
      <c r="A32001" s="2">
        <v>43875.476087962961</v>
      </c>
      <c r="B32001" t="str">
        <f>HYPERLINK("https://twitter.com/edo_junior","@edo_junior")</f>
        <v>@edo_junior</v>
      </c>
      <c r="C32001" t="s">
        <v>13379</v>
      </c>
      <c r="D32001">
        <v>0</v>
      </c>
      <c r="E32001">
        <v>0</v>
      </c>
      <c r="F32001">
        <v>20</v>
      </c>
    </row>
    <row r="32002" spans="1:6" ht="12.75">
      <c r="A32002" s="2">
        <v>43875.476076388892</v>
      </c>
      <c r="B32002" t="str">
        <f>HYPERLINK("https://twitter.com/lesmana_sofyan","@lesmana_sofyan")</f>
        <v>@lesmana_sofyan</v>
      </c>
      <c r="C32002" t="s">
        <v>13380</v>
      </c>
      <c r="D32002">
        <v>0</v>
      </c>
      <c r="E32002">
        <v>0</v>
      </c>
      <c r="F32002">
        <v>1284</v>
      </c>
    </row>
    <row r="32003" spans="1:6" ht="12.75">
      <c r="A32003" s="2">
        <v>43875.476076388892</v>
      </c>
      <c r="B32003" t="str">
        <f>HYPERLINK("https://twitter.com/oooyyuk","@oooyyuk")</f>
        <v>@oooyyuk</v>
      </c>
      <c r="C32003" t="s">
        <v>13381</v>
      </c>
      <c r="D32003">
        <v>0</v>
      </c>
      <c r="E32003">
        <v>0</v>
      </c>
      <c r="F32003">
        <v>8</v>
      </c>
    </row>
    <row r="32004" spans="1:6" ht="12.75">
      <c r="A32004" s="2">
        <v>43875.476030092592</v>
      </c>
      <c r="B32004" t="str">
        <f>HYPERLINK("https://twitter.com/anashahputra","@anashahputra")</f>
        <v>@anashahputra</v>
      </c>
      <c r="C32004" t="s">
        <v>5168</v>
      </c>
      <c r="D32004">
        <v>540</v>
      </c>
      <c r="E32004">
        <v>0</v>
      </c>
      <c r="F32004">
        <v>105</v>
      </c>
    </row>
    <row r="32005" spans="1:6" ht="12.75">
      <c r="A32005" s="2">
        <v>43875.475972222222</v>
      </c>
      <c r="B32005" t="str">
        <f>HYPERLINK("https://twitter.com/daysforme","@daysforme")</f>
        <v>@daysforme</v>
      </c>
      <c r="C32005" t="s">
        <v>13382</v>
      </c>
      <c r="D32005">
        <v>0</v>
      </c>
      <c r="E32005">
        <v>0</v>
      </c>
      <c r="F32005">
        <v>808</v>
      </c>
    </row>
    <row r="32006" spans="1:6" ht="12.75">
      <c r="A32006" s="2">
        <v>43875.47592592593</v>
      </c>
      <c r="B32006" t="str">
        <f>HYPERLINK("https://twitter.com/rizkiramdan","@rizkiramdan")</f>
        <v>@rizkiramdan</v>
      </c>
      <c r="C32006" t="s">
        <v>13383</v>
      </c>
      <c r="D32006">
        <v>0</v>
      </c>
      <c r="E32006">
        <v>0</v>
      </c>
      <c r="F32006">
        <v>1450</v>
      </c>
    </row>
    <row r="32007" spans="1:6" ht="12.75">
      <c r="A32007" s="2">
        <v>43875.475914351853</v>
      </c>
      <c r="B32007" t="str">
        <f>HYPERLINK("https://twitter.com/Iman_Harda","@Iman_Harda")</f>
        <v>@Iman_Harda</v>
      </c>
      <c r="C32007" t="s">
        <v>2963</v>
      </c>
      <c r="D32007">
        <v>723</v>
      </c>
      <c r="E32007">
        <v>0</v>
      </c>
      <c r="F32007">
        <v>218</v>
      </c>
    </row>
    <row r="32008" spans="1:6" ht="12.75">
      <c r="A32008" s="2">
        <v>43875.47587962963</v>
      </c>
      <c r="B32008" t="str">
        <f>HYPERLINK("https://twitter.com/didienAZHAR","@didienAZHAR")</f>
        <v>@didienAZHAR</v>
      </c>
      <c r="C32008" t="s">
        <v>9746</v>
      </c>
      <c r="D32008">
        <v>66</v>
      </c>
      <c r="E32008">
        <v>0</v>
      </c>
      <c r="F32008">
        <v>22625</v>
      </c>
    </row>
    <row r="32009" spans="1:6" ht="12.75">
      <c r="A32009" s="2">
        <v>43875.475856481484</v>
      </c>
      <c r="B32009" t="str">
        <f>HYPERLINK("https://twitter.com/kellyrudi","@kellyrudi")</f>
        <v>@kellyrudi</v>
      </c>
      <c r="C32009" t="s">
        <v>12921</v>
      </c>
      <c r="D32009">
        <v>6</v>
      </c>
      <c r="E32009">
        <v>0</v>
      </c>
      <c r="F32009">
        <v>1246</v>
      </c>
    </row>
    <row r="32010" spans="1:6" ht="12.75">
      <c r="A32010" s="2">
        <v>43875.475810185184</v>
      </c>
      <c r="B32010" t="str">
        <f>HYPERLINK("https://twitter.com/johnsbhat234","@johnsbhat234")</f>
        <v>@johnsbhat234</v>
      </c>
      <c r="C32010" t="s">
        <v>2963</v>
      </c>
      <c r="D32010">
        <v>723</v>
      </c>
      <c r="E32010">
        <v>0</v>
      </c>
      <c r="F32010">
        <v>2221</v>
      </c>
    </row>
    <row r="32011" spans="1:6" ht="12.75">
      <c r="A32011" s="2">
        <v>43875.475798611107</v>
      </c>
      <c r="B32011" t="str">
        <f>HYPERLINK("https://twitter.com/mistersenpaikw","@mistersenpaikw")</f>
        <v>@mistersenpaikw</v>
      </c>
      <c r="C32011" t="s">
        <v>2137</v>
      </c>
      <c r="D32011">
        <v>54</v>
      </c>
      <c r="E32011">
        <v>0</v>
      </c>
      <c r="F32011">
        <v>2524</v>
      </c>
    </row>
    <row r="32012" spans="1:6" ht="12.75">
      <c r="A32012" s="2">
        <v>43875.475671296299</v>
      </c>
      <c r="B32012" t="str">
        <f>HYPERLINK("https://twitter.com/urgoodboiiii","@urgoodboiiii")</f>
        <v>@urgoodboiiii</v>
      </c>
      <c r="C32012" t="s">
        <v>13384</v>
      </c>
      <c r="D32012">
        <v>0</v>
      </c>
      <c r="E32012">
        <v>0</v>
      </c>
      <c r="F32012">
        <v>526</v>
      </c>
    </row>
    <row r="32013" spans="1:6" ht="12.75">
      <c r="A32013" s="2">
        <v>43875.47555555556</v>
      </c>
      <c r="B32013" t="str">
        <f>HYPERLINK("https://twitter.com/auranalar","@auranalar")</f>
        <v>@auranalar</v>
      </c>
      <c r="C32013" t="s">
        <v>13385</v>
      </c>
      <c r="D32013">
        <v>0</v>
      </c>
      <c r="E32013">
        <v>1</v>
      </c>
      <c r="F32013">
        <v>266</v>
      </c>
    </row>
    <row r="32014" spans="1:6" ht="12.75">
      <c r="A32014" s="2">
        <v>43875.475520833337</v>
      </c>
      <c r="B32014" t="str">
        <f>HYPERLINK("https://twitter.com/MarsVenuous","@MarsVenuous")</f>
        <v>@MarsVenuous</v>
      </c>
      <c r="C32014" t="s">
        <v>2444</v>
      </c>
      <c r="D32014">
        <v>206</v>
      </c>
      <c r="E32014">
        <v>0</v>
      </c>
      <c r="F32014">
        <v>579</v>
      </c>
    </row>
    <row r="32015" spans="1:6" ht="12.75">
      <c r="A32015" s="2">
        <v>43875.475497685184</v>
      </c>
      <c r="B32015" t="str">
        <f>HYPERLINK("https://twitter.com/yad1sun","@yad1sun")</f>
        <v>@yad1sun</v>
      </c>
      <c r="C32015" t="s">
        <v>10266</v>
      </c>
      <c r="D32015">
        <v>257</v>
      </c>
      <c r="E32015">
        <v>0</v>
      </c>
      <c r="F32015">
        <v>2841</v>
      </c>
    </row>
    <row r="32016" spans="1:6" ht="12.75">
      <c r="A32016" s="2">
        <v>43875.475486111114</v>
      </c>
      <c r="B32016" t="str">
        <f>HYPERLINK("https://twitter.com/butiranberas","@butiranberas")</f>
        <v>@butiranberas</v>
      </c>
      <c r="C32016" t="s">
        <v>2444</v>
      </c>
      <c r="D32016">
        <v>206</v>
      </c>
      <c r="E32016">
        <v>0</v>
      </c>
      <c r="F32016">
        <v>713</v>
      </c>
    </row>
    <row r="32017" spans="1:6" ht="12.75">
      <c r="A32017" s="2">
        <v>43875.475324074076</v>
      </c>
      <c r="B32017" t="str">
        <f>HYPERLINK("https://twitter.com/ArifSholikhin","@ArifSholikhin")</f>
        <v>@ArifSholikhin</v>
      </c>
      <c r="C32017" t="s">
        <v>2963</v>
      </c>
      <c r="D32017">
        <v>723</v>
      </c>
      <c r="E32017">
        <v>0</v>
      </c>
      <c r="F32017">
        <v>134</v>
      </c>
    </row>
    <row r="32018" spans="1:6" ht="12.75">
      <c r="A32018" s="2">
        <v>43875.475266203706</v>
      </c>
      <c r="B32018" t="str">
        <f>HYPERLINK("https://twitter.com/eddy6666666","@eddy6666666")</f>
        <v>@eddy6666666</v>
      </c>
      <c r="C32018" t="s">
        <v>13386</v>
      </c>
      <c r="D32018">
        <v>0</v>
      </c>
      <c r="E32018">
        <v>0</v>
      </c>
      <c r="F32018">
        <v>476</v>
      </c>
    </row>
    <row r="32019" spans="1:6" ht="12.75">
      <c r="A32019" s="2">
        <v>43875.475138888884</v>
      </c>
      <c r="B32019" t="str">
        <f>HYPERLINK("https://twitter.com/indriaardnsr","@indriaardnsr")</f>
        <v>@indriaardnsr</v>
      </c>
      <c r="C32019" t="s">
        <v>13387</v>
      </c>
      <c r="D32019">
        <v>0</v>
      </c>
      <c r="E32019">
        <v>0</v>
      </c>
      <c r="F32019">
        <v>170</v>
      </c>
    </row>
    <row r="32020" spans="1:6" ht="12.75">
      <c r="A32020" s="2">
        <v>43875.475092592591</v>
      </c>
      <c r="B32020" t="str">
        <f>HYPERLINK("https://twitter.com/kevinfadz","@kevinfadz")</f>
        <v>@kevinfadz</v>
      </c>
      <c r="C32020" t="s">
        <v>8233</v>
      </c>
      <c r="D32020">
        <v>377</v>
      </c>
      <c r="E32020">
        <v>0</v>
      </c>
      <c r="F32020">
        <v>428</v>
      </c>
    </row>
    <row r="32021" spans="1:6" ht="12.75">
      <c r="A32021" s="2">
        <v>43875.474965277783</v>
      </c>
      <c r="B32021" t="str">
        <f>HYPERLINK("https://twitter.com/nnsym17","@nnsym17")</f>
        <v>@nnsym17</v>
      </c>
      <c r="C32021" t="s">
        <v>2137</v>
      </c>
      <c r="D32021">
        <v>54</v>
      </c>
      <c r="E32021">
        <v>0</v>
      </c>
      <c r="F32021">
        <v>429</v>
      </c>
    </row>
    <row r="32022" spans="1:6" ht="12.75">
      <c r="A32022" s="2">
        <v>43875.474942129629</v>
      </c>
      <c r="B32022" t="str">
        <f>HYPERLINK("https://twitter.com/ordinary68","@ordinary68")</f>
        <v>@ordinary68</v>
      </c>
      <c r="C32022" t="s">
        <v>13388</v>
      </c>
      <c r="D32022">
        <v>0</v>
      </c>
      <c r="E32022">
        <v>0</v>
      </c>
      <c r="F32022">
        <v>158</v>
      </c>
    </row>
    <row r="32023" spans="1:6" ht="12.75">
      <c r="A32023" s="2">
        <v>43875.474895833337</v>
      </c>
      <c r="B32023" t="str">
        <f>HYPERLINK("https://twitter.com/kellyrudi","@kellyrudi")</f>
        <v>@kellyrudi</v>
      </c>
      <c r="C32023" t="s">
        <v>13243</v>
      </c>
      <c r="D32023">
        <v>3</v>
      </c>
      <c r="E32023">
        <v>0</v>
      </c>
      <c r="F32023">
        <v>1246</v>
      </c>
    </row>
    <row r="32024" spans="1:6" ht="12.75">
      <c r="A32024" s="2">
        <v>43875.474814814814</v>
      </c>
      <c r="B32024" t="str">
        <f>HYPERLINK("https://twitter.com/moneehitam","@moneehitam")</f>
        <v>@moneehitam</v>
      </c>
      <c r="C32024" t="s">
        <v>9746</v>
      </c>
      <c r="D32024">
        <v>66</v>
      </c>
      <c r="E32024">
        <v>0</v>
      </c>
      <c r="F32024">
        <v>639</v>
      </c>
    </row>
    <row r="32025" spans="1:6" ht="12.75">
      <c r="A32025" s="2">
        <v>43875.474803240737</v>
      </c>
      <c r="B32025" t="str">
        <f>HYPERLINK("https://twitter.com/djabrik_","@djabrik_")</f>
        <v>@djabrik_</v>
      </c>
      <c r="C32025" t="s">
        <v>12044</v>
      </c>
      <c r="D32025">
        <v>47</v>
      </c>
      <c r="E32025">
        <v>0</v>
      </c>
      <c r="F32025">
        <v>13</v>
      </c>
    </row>
    <row r="32026" spans="1:6" ht="12.75">
      <c r="A32026" s="2">
        <v>43875.474803240737</v>
      </c>
      <c r="B32026" t="str">
        <f>HYPERLINK("https://twitter.com/CFebtianti","@CFebtianti")</f>
        <v>@CFebtianti</v>
      </c>
      <c r="C32026" t="s">
        <v>9962</v>
      </c>
      <c r="D32026">
        <v>15</v>
      </c>
      <c r="E32026">
        <v>0</v>
      </c>
      <c r="F32026">
        <v>69</v>
      </c>
    </row>
    <row r="32027" spans="1:6" ht="12.75">
      <c r="A32027" s="2">
        <v>43875.474780092598</v>
      </c>
      <c r="B32027" t="str">
        <f>HYPERLINK("https://twitter.com/NKRI_NTBSasambo","@NKRI_NTBSasambo")</f>
        <v>@NKRI_NTBSasambo</v>
      </c>
      <c r="C32027" t="s">
        <v>10096</v>
      </c>
      <c r="D32027">
        <v>95</v>
      </c>
      <c r="E32027">
        <v>0</v>
      </c>
      <c r="F32027">
        <v>4243</v>
      </c>
    </row>
    <row r="32028" spans="1:6" ht="12.75">
      <c r="A32028" s="2">
        <v>43875.474664351852</v>
      </c>
      <c r="B32028" t="str">
        <f>HYPERLINK("https://twitter.com/karathitam","@karathitam")</f>
        <v>@karathitam</v>
      </c>
      <c r="C32028" t="s">
        <v>13389</v>
      </c>
      <c r="D32028">
        <v>0</v>
      </c>
      <c r="E32028">
        <v>0</v>
      </c>
      <c r="F32028">
        <v>560</v>
      </c>
    </row>
    <row r="32029" spans="1:6" ht="12.75">
      <c r="A32029" s="2">
        <v>43875.474606481483</v>
      </c>
      <c r="B32029" t="str">
        <f>HYPERLINK("https://twitter.com/alfatih_levi","@alfatih_levi")</f>
        <v>@alfatih_levi</v>
      </c>
      <c r="C32029" t="s">
        <v>13390</v>
      </c>
      <c r="D32029">
        <v>0</v>
      </c>
      <c r="E32029">
        <v>0</v>
      </c>
      <c r="F32029">
        <v>346</v>
      </c>
    </row>
    <row r="32030" spans="1:6" ht="12.75">
      <c r="A32030" s="2">
        <v>43875.474583333329</v>
      </c>
      <c r="B32030" t="str">
        <f>HYPERLINK("https://twitter.com/kellyrudi","@kellyrudi")</f>
        <v>@kellyrudi</v>
      </c>
      <c r="C32030" t="s">
        <v>10169</v>
      </c>
      <c r="D32030">
        <v>52</v>
      </c>
      <c r="E32030">
        <v>0</v>
      </c>
      <c r="F32030">
        <v>1246</v>
      </c>
    </row>
    <row r="32031" spans="1:6" ht="12.75">
      <c r="A32031" s="2">
        <v>43875.474490740744</v>
      </c>
      <c r="B32031" t="str">
        <f>HYPERLINK("https://twitter.com/EkaS45254216","@EkaS45254216")</f>
        <v>@EkaS45254216</v>
      </c>
      <c r="C32031" t="s">
        <v>2144</v>
      </c>
      <c r="D32031">
        <v>58</v>
      </c>
      <c r="E32031">
        <v>0</v>
      </c>
      <c r="F32031">
        <v>3</v>
      </c>
    </row>
    <row r="32032" spans="1:6" ht="12.75">
      <c r="A32032" s="2">
        <v>43875.47446759259</v>
      </c>
      <c r="B32032" t="str">
        <f>HYPERLINK("https://twitter.com/doomdume","@doomdume")</f>
        <v>@doomdume</v>
      </c>
      <c r="C32032" t="s">
        <v>9964</v>
      </c>
      <c r="D32032">
        <v>532</v>
      </c>
      <c r="E32032">
        <v>0</v>
      </c>
      <c r="F32032">
        <v>279</v>
      </c>
    </row>
    <row r="32033" spans="1:6" ht="12.75">
      <c r="A32033" s="2">
        <v>43875.47446759259</v>
      </c>
      <c r="B32033" t="str">
        <f>HYPERLINK("https://twitter.com/eddies_song","@eddies_song")</f>
        <v>@eddies_song</v>
      </c>
      <c r="C32033" t="s">
        <v>10526</v>
      </c>
      <c r="D32033">
        <v>126</v>
      </c>
      <c r="E32033">
        <v>0</v>
      </c>
      <c r="F32033">
        <v>1233</v>
      </c>
    </row>
    <row r="32034" spans="1:6" ht="12.75">
      <c r="A32034" s="2">
        <v>43875.474363425921</v>
      </c>
      <c r="B32034" t="str">
        <f>HYPERLINK("https://twitter.com/ragambud","@ragambud")</f>
        <v>@ragambud</v>
      </c>
      <c r="C32034" t="s">
        <v>12872</v>
      </c>
      <c r="D32034">
        <v>1</v>
      </c>
      <c r="E32034">
        <v>0</v>
      </c>
      <c r="F32034">
        <v>18</v>
      </c>
    </row>
    <row r="32035" spans="1:6" ht="12.75">
      <c r="A32035" s="2">
        <v>43875.474363425921</v>
      </c>
      <c r="B32035" t="str">
        <f>HYPERLINK("https://twitter.com/NKRI_NTBSasambo","@NKRI_NTBSasambo")</f>
        <v>@NKRI_NTBSasambo</v>
      </c>
      <c r="C32035" t="s">
        <v>13243</v>
      </c>
      <c r="D32035">
        <v>3</v>
      </c>
      <c r="E32035">
        <v>0</v>
      </c>
      <c r="F32035">
        <v>4243</v>
      </c>
    </row>
    <row r="32036" spans="1:6" ht="12.75">
      <c r="A32036" s="2">
        <v>43875.474340277782</v>
      </c>
      <c r="B32036" t="str">
        <f>HYPERLINK("https://twitter.com/peperounch","@peperounch")</f>
        <v>@peperounch</v>
      </c>
      <c r="C32036" t="s">
        <v>9964</v>
      </c>
      <c r="D32036">
        <v>532</v>
      </c>
      <c r="E32036">
        <v>0</v>
      </c>
      <c r="F32036">
        <v>125</v>
      </c>
    </row>
    <row r="32037" spans="1:6" ht="12.75">
      <c r="A32037" s="2">
        <v>43875.474293981482</v>
      </c>
      <c r="B32037" t="str">
        <f>HYPERLINK("https://twitter.com/Mataneakik","@Mataneakik")</f>
        <v>@Mataneakik</v>
      </c>
      <c r="C32037" t="s">
        <v>13391</v>
      </c>
      <c r="D32037">
        <v>0</v>
      </c>
      <c r="E32037">
        <v>0</v>
      </c>
      <c r="F32037">
        <v>45</v>
      </c>
    </row>
    <row r="32038" spans="1:6" ht="12.75">
      <c r="A32038" s="2">
        <v>43875.474282407406</v>
      </c>
      <c r="B32038" t="str">
        <f>HYPERLINK("https://twitter.com/garudaNKRI2019","@garudaNKRI2019")</f>
        <v>@garudaNKRI2019</v>
      </c>
      <c r="C32038" t="s">
        <v>13392</v>
      </c>
      <c r="D32038">
        <v>0</v>
      </c>
      <c r="E32038">
        <v>0</v>
      </c>
      <c r="F32038">
        <v>4</v>
      </c>
    </row>
    <row r="32039" spans="1:6" ht="12.75">
      <c r="A32039" s="2">
        <v>43875.474247685182</v>
      </c>
      <c r="B32039" t="str">
        <f>HYPERLINK("https://twitter.com/NKRI_NTBSasambo","@NKRI_NTBSasambo")</f>
        <v>@NKRI_NTBSasambo</v>
      </c>
      <c r="C32039" t="s">
        <v>10169</v>
      </c>
      <c r="D32039">
        <v>52</v>
      </c>
      <c r="E32039">
        <v>0</v>
      </c>
      <c r="F32039">
        <v>4243</v>
      </c>
    </row>
    <row r="32040" spans="1:6" ht="12.75">
      <c r="A32040" s="2">
        <v>43875.47420138889</v>
      </c>
      <c r="B32040" t="str">
        <f>HYPERLINK("https://twitter.com/Azazelzzz_","@Azazelzzz_")</f>
        <v>@Azazelzzz_</v>
      </c>
      <c r="C32040" t="s">
        <v>2963</v>
      </c>
      <c r="D32040">
        <v>723</v>
      </c>
      <c r="E32040">
        <v>0</v>
      </c>
      <c r="F32040">
        <v>25</v>
      </c>
    </row>
    <row r="32041" spans="1:6" ht="12.75">
      <c r="A32041" s="2">
        <v>43875.474155092597</v>
      </c>
      <c r="B32041" t="str">
        <f>HYPERLINK("https://twitter.com/babe_Ahmad","@babe_Ahmad")</f>
        <v>@babe_Ahmad</v>
      </c>
      <c r="C32041" t="s">
        <v>10096</v>
      </c>
      <c r="D32041">
        <v>95</v>
      </c>
      <c r="E32041">
        <v>0</v>
      </c>
      <c r="F32041">
        <v>1506</v>
      </c>
    </row>
    <row r="32042" spans="1:6" ht="12.75">
      <c r="A32042" s="2">
        <v>43875.474039351851</v>
      </c>
      <c r="B32042" t="str">
        <f>HYPERLINK("https://twitter.com/ariefbgwc","@ariefbgwc")</f>
        <v>@ariefbgwc</v>
      </c>
      <c r="C32042" t="s">
        <v>2137</v>
      </c>
      <c r="D32042">
        <v>54</v>
      </c>
      <c r="E32042">
        <v>0</v>
      </c>
      <c r="F32042">
        <v>318</v>
      </c>
    </row>
    <row r="32043" spans="1:6" ht="12.75">
      <c r="A32043" s="2">
        <v>43875.473981481482</v>
      </c>
      <c r="B32043" t="str">
        <f>HYPERLINK("https://twitter.com/JaySoetija","@JaySoetija")</f>
        <v>@JaySoetija</v>
      </c>
      <c r="C32043" t="s">
        <v>10096</v>
      </c>
      <c r="D32043">
        <v>95</v>
      </c>
      <c r="E32043">
        <v>0</v>
      </c>
      <c r="F32043">
        <v>1199</v>
      </c>
    </row>
    <row r="32044" spans="1:6" ht="12.75">
      <c r="A32044" s="2">
        <v>43875.473969907413</v>
      </c>
      <c r="B32044" t="str">
        <f>HYPERLINK("https://twitter.com/anthohar","@anthohar")</f>
        <v>@anthohar</v>
      </c>
      <c r="C32044" t="s">
        <v>8233</v>
      </c>
      <c r="D32044">
        <v>377</v>
      </c>
      <c r="E32044">
        <v>0</v>
      </c>
      <c r="F32044">
        <v>258</v>
      </c>
    </row>
    <row r="32045" spans="1:6" ht="12.75">
      <c r="A32045" s="2">
        <v>43875.473946759259</v>
      </c>
      <c r="B32045" t="str">
        <f>HYPERLINK("https://twitter.com/Miiruhappiness","@Miiruhappiness")</f>
        <v>@Miiruhappiness</v>
      </c>
      <c r="C32045" t="s">
        <v>2444</v>
      </c>
      <c r="D32045">
        <v>206</v>
      </c>
      <c r="E32045">
        <v>0</v>
      </c>
      <c r="F32045">
        <v>222</v>
      </c>
    </row>
    <row r="32046" spans="1:6" ht="12.75">
      <c r="A32046" s="2">
        <v>43875.473935185189</v>
      </c>
      <c r="B32046" t="str">
        <f>HYPERLINK("https://twitter.com/adi_nufan","@adi_nufan")</f>
        <v>@adi_nufan</v>
      </c>
      <c r="C32046" t="s">
        <v>10319</v>
      </c>
      <c r="D32046">
        <v>153</v>
      </c>
      <c r="E32046">
        <v>0</v>
      </c>
      <c r="F32046">
        <v>120</v>
      </c>
    </row>
    <row r="32047" spans="1:6" ht="12.75">
      <c r="A32047" s="2">
        <v>43875.47384259259</v>
      </c>
      <c r="B32047" t="str">
        <f>HYPERLINK("https://twitter.com/pmikotadpk","@pmikotadpk")</f>
        <v>@pmikotadpk</v>
      </c>
      <c r="C32047" t="s">
        <v>9962</v>
      </c>
      <c r="D32047">
        <v>15</v>
      </c>
      <c r="E32047">
        <v>0</v>
      </c>
      <c r="F32047">
        <v>542</v>
      </c>
    </row>
    <row r="32048" spans="1:6" ht="12.75">
      <c r="A32048" s="2">
        <v>43875.473761574074</v>
      </c>
      <c r="B32048" t="str">
        <f>HYPERLINK("https://twitter.com/Mataneakik","@Mataneakik")</f>
        <v>@Mataneakik</v>
      </c>
      <c r="C32048" t="s">
        <v>13393</v>
      </c>
      <c r="D32048">
        <v>0</v>
      </c>
      <c r="E32048">
        <v>0</v>
      </c>
      <c r="F32048">
        <v>45</v>
      </c>
    </row>
    <row r="32049" spans="1:6" ht="12.75">
      <c r="A32049" s="2">
        <v>43875.473692129628</v>
      </c>
      <c r="B32049" t="str">
        <f>HYPERLINK("https://twitter.com/PembacaHening","@PembacaHening")</f>
        <v>@PembacaHening</v>
      </c>
      <c r="C32049" t="s">
        <v>13394</v>
      </c>
      <c r="D32049">
        <v>1</v>
      </c>
      <c r="E32049">
        <v>0</v>
      </c>
      <c r="F32049">
        <v>12441</v>
      </c>
    </row>
    <row r="32050" spans="1:6" ht="12.75">
      <c r="A32050" s="2">
        <v>43875.473657407405</v>
      </c>
      <c r="B32050" t="str">
        <f>HYPERLINK("https://twitter.com/kompascom","@kompascom")</f>
        <v>@kompascom</v>
      </c>
      <c r="C32050" t="s">
        <v>13395</v>
      </c>
      <c r="D32050">
        <v>1</v>
      </c>
      <c r="E32050">
        <v>3</v>
      </c>
      <c r="F32050">
        <v>7497369</v>
      </c>
    </row>
    <row r="32051" spans="1:6" ht="12.75">
      <c r="A32051" s="2">
        <v>43875.473645833335</v>
      </c>
      <c r="B32051" t="str">
        <f>HYPERLINK("https://twitter.com/enggi_engineer","@enggi_engineer")</f>
        <v>@enggi_engineer</v>
      </c>
      <c r="C32051" t="s">
        <v>11449</v>
      </c>
      <c r="D32051">
        <v>17</v>
      </c>
      <c r="E32051">
        <v>0</v>
      </c>
      <c r="F32051">
        <v>193</v>
      </c>
    </row>
    <row r="32052" spans="1:6" ht="12.75">
      <c r="A32052" s="2">
        <v>43875.473587962959</v>
      </c>
      <c r="B32052" t="str">
        <f>HYPERLINK("https://twitter.com/KurniaPutri05","@KurniaPutri05")</f>
        <v>@KurniaPutri05</v>
      </c>
      <c r="C32052" t="s">
        <v>13396</v>
      </c>
      <c r="D32052">
        <v>129</v>
      </c>
      <c r="E32052">
        <v>0</v>
      </c>
      <c r="F32052">
        <v>683</v>
      </c>
    </row>
    <row r="32053" spans="1:6" ht="12.75">
      <c r="A32053" s="2">
        <v>43875.47347222222</v>
      </c>
      <c r="B32053" t="str">
        <f>HYPERLINK("https://twitter.com/rezasheva","@rezasheva")</f>
        <v>@rezasheva</v>
      </c>
      <c r="C32053" t="s">
        <v>8233</v>
      </c>
      <c r="D32053">
        <v>377</v>
      </c>
      <c r="E32053">
        <v>0</v>
      </c>
      <c r="F32053">
        <v>214</v>
      </c>
    </row>
    <row r="32054" spans="1:6" ht="12.75">
      <c r="A32054" s="2">
        <v>43875.473460648151</v>
      </c>
      <c r="B32054" t="str">
        <f t="shared" ref="B32054:B32055" si="383">HYPERLINK("https://twitter.com/bindunada","@bindunada")</f>
        <v>@bindunada</v>
      </c>
      <c r="C32054" t="s">
        <v>2444</v>
      </c>
      <c r="D32054">
        <v>206</v>
      </c>
      <c r="E32054">
        <v>0</v>
      </c>
      <c r="F32054">
        <v>1059</v>
      </c>
    </row>
    <row r="32055" spans="1:6" ht="12.75">
      <c r="A32055" s="2">
        <v>43875.473414351851</v>
      </c>
      <c r="B32055" t="str">
        <f t="shared" si="383"/>
        <v>@bindunada</v>
      </c>
      <c r="C32055" t="s">
        <v>5168</v>
      </c>
      <c r="D32055">
        <v>540</v>
      </c>
      <c r="E32055">
        <v>0</v>
      </c>
      <c r="F32055">
        <v>1059</v>
      </c>
    </row>
    <row r="32056" spans="1:6" ht="12.75">
      <c r="A32056" s="2">
        <v>43875.473298611112</v>
      </c>
      <c r="B32056" t="str">
        <f>HYPERLINK("https://twitter.com/chung_awl","@chung_awl")</f>
        <v>@chung_awl</v>
      </c>
      <c r="C32056" t="s">
        <v>2963</v>
      </c>
      <c r="D32056">
        <v>723</v>
      </c>
      <c r="E32056">
        <v>0</v>
      </c>
      <c r="F32056">
        <v>2221</v>
      </c>
    </row>
    <row r="32057" spans="1:6" ht="12.75">
      <c r="A32057" s="2">
        <v>43875.473171296297</v>
      </c>
      <c r="B32057" t="str">
        <f>HYPERLINK("https://twitter.com/Eduardsinaga4","@Eduardsinaga4")</f>
        <v>@Eduardsinaga4</v>
      </c>
      <c r="C32057" t="s">
        <v>13397</v>
      </c>
      <c r="D32057">
        <v>0</v>
      </c>
      <c r="E32057">
        <v>0</v>
      </c>
      <c r="F32057">
        <v>50</v>
      </c>
    </row>
    <row r="32058" spans="1:6" ht="12.75">
      <c r="A32058" s="2">
        <v>43875.473067129627</v>
      </c>
      <c r="B32058" t="str">
        <f>HYPERLINK("https://twitter.com/anashahputra","@anashahputra")</f>
        <v>@anashahputra</v>
      </c>
      <c r="C32058" t="s">
        <v>2444</v>
      </c>
      <c r="D32058">
        <v>206</v>
      </c>
      <c r="E32058">
        <v>0</v>
      </c>
      <c r="F32058">
        <v>105</v>
      </c>
    </row>
    <row r="32059" spans="1:6" ht="12.75">
      <c r="A32059" s="2">
        <v>43875.472974537042</v>
      </c>
      <c r="B32059" t="str">
        <f>HYPERLINK("https://twitter.com/hibyeblue","@hibyeblue")</f>
        <v>@hibyeblue</v>
      </c>
      <c r="C32059" t="s">
        <v>2444</v>
      </c>
      <c r="D32059">
        <v>206</v>
      </c>
      <c r="E32059">
        <v>0</v>
      </c>
      <c r="F32059">
        <v>198</v>
      </c>
    </row>
    <row r="32060" spans="1:6" ht="12.75">
      <c r="A32060" s="2">
        <v>43875.472916666666</v>
      </c>
      <c r="B32060" t="str">
        <f>HYPERLINK("https://twitter.com/TukangArea","@TukangArea")</f>
        <v>@TukangArea</v>
      </c>
      <c r="C32060" t="s">
        <v>10740</v>
      </c>
      <c r="D32060">
        <v>93</v>
      </c>
      <c r="E32060">
        <v>0</v>
      </c>
      <c r="F32060">
        <v>53</v>
      </c>
    </row>
    <row r="32061" spans="1:6" ht="12.75">
      <c r="A32061" s="2">
        <v>43875.472905092596</v>
      </c>
      <c r="B32061" t="str">
        <f>HYPERLINK("https://twitter.com/ngonowaelah","@ngonowaelah")</f>
        <v>@ngonowaelah</v>
      </c>
      <c r="C32061" t="s">
        <v>2963</v>
      </c>
      <c r="D32061">
        <v>723</v>
      </c>
      <c r="E32061">
        <v>0</v>
      </c>
      <c r="F32061">
        <v>1640</v>
      </c>
    </row>
    <row r="32062" spans="1:6" ht="12.75">
      <c r="A32062" s="2">
        <v>43875.472696759258</v>
      </c>
      <c r="B32062" t="str">
        <f>HYPERLINK("https://twitter.com/akuyangbosen","@akuyangbosen")</f>
        <v>@akuyangbosen</v>
      </c>
      <c r="C32062" t="s">
        <v>13398</v>
      </c>
      <c r="D32062">
        <v>0</v>
      </c>
      <c r="E32062">
        <v>0</v>
      </c>
      <c r="F32062">
        <v>13</v>
      </c>
    </row>
    <row r="32063" spans="1:6" ht="12.75">
      <c r="A32063" s="2">
        <v>43875.472696759258</v>
      </c>
      <c r="B32063" t="str">
        <f>HYPERLINK("https://twitter.com/trsfrawr","@trsfrawr")</f>
        <v>@trsfrawr</v>
      </c>
      <c r="C32063" t="s">
        <v>2444</v>
      </c>
      <c r="D32063">
        <v>206</v>
      </c>
      <c r="E32063">
        <v>0</v>
      </c>
      <c r="F32063">
        <v>147</v>
      </c>
    </row>
    <row r="32064" spans="1:6" ht="12.75">
      <c r="A32064" s="2">
        <v>43875.472627314812</v>
      </c>
      <c r="B32064" t="str">
        <f>HYPERLINK("https://twitter.com/BOBBY5EVER","@BOBBY5EVER")</f>
        <v>@BOBBY5EVER</v>
      </c>
      <c r="C32064" t="s">
        <v>2444</v>
      </c>
      <c r="D32064">
        <v>206</v>
      </c>
      <c r="E32064">
        <v>0</v>
      </c>
      <c r="F32064">
        <v>644</v>
      </c>
    </row>
    <row r="32065" spans="1:6" ht="12.75">
      <c r="A32065" s="2">
        <v>43875.472627314812</v>
      </c>
      <c r="B32065" t="str">
        <f>HYPERLINK("https://twitter.com/Ray78F","@Ray78F")</f>
        <v>@Ray78F</v>
      </c>
      <c r="C32065" t="s">
        <v>10126</v>
      </c>
      <c r="D32065">
        <v>59</v>
      </c>
      <c r="E32065">
        <v>0</v>
      </c>
      <c r="F32065">
        <v>186</v>
      </c>
    </row>
    <row r="32066" spans="1:6" ht="12.75">
      <c r="A32066" s="2">
        <v>43875.472534722227</v>
      </c>
      <c r="B32066" t="str">
        <f>HYPERLINK("https://twitter.com/JagoankuW","@JagoankuW")</f>
        <v>@JagoankuW</v>
      </c>
      <c r="C32066" t="s">
        <v>13399</v>
      </c>
      <c r="D32066">
        <v>0</v>
      </c>
      <c r="E32066">
        <v>0</v>
      </c>
      <c r="F32066">
        <v>4</v>
      </c>
    </row>
    <row r="32067" spans="1:6" ht="12.75">
      <c r="A32067" s="2">
        <v>43875.472418981481</v>
      </c>
      <c r="B32067" t="str">
        <f>HYPERLINK("https://twitter.com/absimor","@absimor")</f>
        <v>@absimor</v>
      </c>
      <c r="C32067" t="s">
        <v>13400</v>
      </c>
      <c r="D32067">
        <v>0</v>
      </c>
      <c r="E32067">
        <v>0</v>
      </c>
      <c r="F32067">
        <v>0</v>
      </c>
    </row>
    <row r="32068" spans="1:6" ht="12.75">
      <c r="A32068" s="2">
        <v>43875.472418981481</v>
      </c>
      <c r="B32068" t="str">
        <f>HYPERLINK("https://twitter.com/EmyPalayukan","@EmyPalayukan")</f>
        <v>@EmyPalayukan</v>
      </c>
      <c r="C32068" t="s">
        <v>13187</v>
      </c>
      <c r="D32068">
        <v>82</v>
      </c>
      <c r="E32068">
        <v>0</v>
      </c>
      <c r="F32068">
        <v>806</v>
      </c>
    </row>
    <row r="32069" spans="1:6" ht="12.75">
      <c r="A32069" s="2">
        <v>43875.472395833334</v>
      </c>
      <c r="B32069" t="str">
        <f>HYPERLINK("https://twitter.com/Khong_Beng","@Khong_Beng")</f>
        <v>@Khong_Beng</v>
      </c>
      <c r="C32069" t="s">
        <v>10542</v>
      </c>
      <c r="D32069">
        <v>135</v>
      </c>
      <c r="E32069">
        <v>0</v>
      </c>
      <c r="F32069">
        <v>160</v>
      </c>
    </row>
    <row r="32070" spans="1:6" ht="12.75">
      <c r="A32070" s="2">
        <v>43875.472222222219</v>
      </c>
      <c r="B32070" t="str">
        <f>HYPERLINK("https://twitter.com/findaryati","@findaryati")</f>
        <v>@findaryati</v>
      </c>
      <c r="C32070" t="s">
        <v>8233</v>
      </c>
      <c r="D32070">
        <v>377</v>
      </c>
      <c r="E32070">
        <v>0</v>
      </c>
      <c r="F32070">
        <v>5</v>
      </c>
    </row>
    <row r="32071" spans="1:6" ht="12.75">
      <c r="A32071" s="2">
        <v>43875.472164351857</v>
      </c>
      <c r="B32071" t="str">
        <f>HYPERLINK("https://twitter.com/Kidsilaen93","@Kidsilaen93")</f>
        <v>@Kidsilaen93</v>
      </c>
      <c r="C32071" t="s">
        <v>13401</v>
      </c>
      <c r="D32071">
        <v>0</v>
      </c>
      <c r="E32071">
        <v>0</v>
      </c>
      <c r="F32071">
        <v>10</v>
      </c>
    </row>
    <row r="32072" spans="1:6" ht="12.75">
      <c r="A32072" s="2">
        <v>43875.472129629634</v>
      </c>
      <c r="B32072" t="str">
        <f>HYPERLINK("https://twitter.com/pite_ishak","@pite_ishak")</f>
        <v>@pite_ishak</v>
      </c>
      <c r="C32072" t="s">
        <v>13402</v>
      </c>
      <c r="D32072">
        <v>0</v>
      </c>
      <c r="E32072">
        <v>0</v>
      </c>
      <c r="F32072">
        <v>110</v>
      </c>
    </row>
    <row r="32073" spans="1:6" ht="12.75">
      <c r="A32073" s="2">
        <v>43875.47210648148</v>
      </c>
      <c r="B32073" t="str">
        <f>HYPERLINK("https://twitter.com/dhosmuche","@dhosmuche")</f>
        <v>@dhosmuche</v>
      </c>
      <c r="C32073" t="s">
        <v>5761</v>
      </c>
      <c r="D32073">
        <v>44</v>
      </c>
      <c r="E32073">
        <v>0</v>
      </c>
      <c r="F32073">
        <v>1006</v>
      </c>
    </row>
    <row r="32074" spans="1:6" ht="12.75">
      <c r="A32074" s="2">
        <v>43875.472071759257</v>
      </c>
      <c r="B32074" t="str">
        <f>HYPERLINK("https://twitter.com/CimolDaniel","@CimolDaniel")</f>
        <v>@CimolDaniel</v>
      </c>
      <c r="C32074" t="s">
        <v>13403</v>
      </c>
      <c r="D32074">
        <v>0</v>
      </c>
      <c r="E32074">
        <v>0</v>
      </c>
      <c r="F32074">
        <v>315</v>
      </c>
    </row>
    <row r="32075" spans="1:6" ht="12.75">
      <c r="A32075" s="2">
        <v>43875.472025462965</v>
      </c>
      <c r="B32075" t="str">
        <f>HYPERLINK("https://twitter.com/srly05","@srly05")</f>
        <v>@srly05</v>
      </c>
      <c r="C32075" t="s">
        <v>2444</v>
      </c>
      <c r="D32075">
        <v>206</v>
      </c>
      <c r="E32075">
        <v>0</v>
      </c>
      <c r="F32075">
        <v>436</v>
      </c>
    </row>
    <row r="32076" spans="1:6" ht="12.75">
      <c r="A32076" s="2">
        <v>43875.472025462965</v>
      </c>
      <c r="B32076" t="str">
        <f>HYPERLINK("https://twitter.com/herlambang_tan","@herlambang_tan")</f>
        <v>@herlambang_tan</v>
      </c>
      <c r="C32076" t="s">
        <v>11773</v>
      </c>
      <c r="D32076">
        <v>2</v>
      </c>
      <c r="E32076">
        <v>0</v>
      </c>
      <c r="F32076">
        <v>2339</v>
      </c>
    </row>
    <row r="32077" spans="1:6" ht="12.75">
      <c r="A32077" s="2">
        <v>43875.471990740742</v>
      </c>
      <c r="B32077" t="str">
        <f>HYPERLINK("https://twitter.com/voicexist","@voicexist")</f>
        <v>@voicexist</v>
      </c>
      <c r="C32077" t="s">
        <v>13404</v>
      </c>
      <c r="D32077">
        <v>0</v>
      </c>
      <c r="E32077">
        <v>0</v>
      </c>
      <c r="F32077">
        <v>983</v>
      </c>
    </row>
    <row r="32078" spans="1:6" ht="12.75">
      <c r="A32078" s="2">
        <v>43875.471990740742</v>
      </c>
      <c r="B32078" t="str">
        <f>HYPERLINK("https://twitter.com/saluta_nia","@saluta_nia")</f>
        <v>@saluta_nia</v>
      </c>
      <c r="C32078" t="s">
        <v>13405</v>
      </c>
      <c r="D32078">
        <v>2</v>
      </c>
      <c r="E32078">
        <v>0</v>
      </c>
      <c r="F32078">
        <v>52</v>
      </c>
    </row>
    <row r="32079" spans="1:6" ht="12.75">
      <c r="A32079" s="2">
        <v>43875.471851851849</v>
      </c>
      <c r="B32079" t="str">
        <f>HYPERLINK("https://twitter.com/areksosmed","@areksosmed")</f>
        <v>@areksosmed</v>
      </c>
      <c r="C32079" t="s">
        <v>11785</v>
      </c>
      <c r="D32079">
        <v>45</v>
      </c>
      <c r="E32079">
        <v>0</v>
      </c>
      <c r="F32079">
        <v>1045</v>
      </c>
    </row>
    <row r="32080" spans="1:6" ht="12.75">
      <c r="A32080" s="2">
        <v>43875.471828703703</v>
      </c>
      <c r="B32080" t="str">
        <f>HYPERLINK("https://twitter.com/dhaniar_hank","@dhaniar_hank")</f>
        <v>@dhaniar_hank</v>
      </c>
      <c r="C32080" t="s">
        <v>5168</v>
      </c>
      <c r="D32080">
        <v>540</v>
      </c>
      <c r="E32080">
        <v>0</v>
      </c>
      <c r="F32080">
        <v>450</v>
      </c>
    </row>
    <row r="32081" spans="1:6" ht="12.75">
      <c r="A32081" s="2">
        <v>43875.471828703703</v>
      </c>
      <c r="B32081" t="str">
        <f>HYPERLINK("https://twitter.com/AAPurba1","@AAPurba1")</f>
        <v>@AAPurba1</v>
      </c>
      <c r="C32081" t="s">
        <v>13406</v>
      </c>
      <c r="D32081">
        <v>0</v>
      </c>
      <c r="E32081">
        <v>0</v>
      </c>
      <c r="F32081">
        <v>14</v>
      </c>
    </row>
    <row r="32082" spans="1:6" ht="12.75">
      <c r="A32082" s="2">
        <v>43875.471817129626</v>
      </c>
      <c r="B32082" t="str">
        <f>HYPERLINK("https://twitter.com/edward7011971","@edward7011971")</f>
        <v>@edward7011971</v>
      </c>
      <c r="C32082" t="s">
        <v>12964</v>
      </c>
      <c r="D32082">
        <v>3</v>
      </c>
      <c r="E32082">
        <v>0</v>
      </c>
      <c r="F32082">
        <v>137</v>
      </c>
    </row>
    <row r="32083" spans="1:6" ht="12.75">
      <c r="A32083" s="2">
        <v>43875.471805555557</v>
      </c>
      <c r="B32083" t="str">
        <f>HYPERLINK("https://twitter.com/senjaromantika","@senjaromantika")</f>
        <v>@senjaromantika</v>
      </c>
      <c r="C32083" t="s">
        <v>13407</v>
      </c>
      <c r="D32083">
        <v>0</v>
      </c>
      <c r="E32083">
        <v>1</v>
      </c>
      <c r="F32083">
        <v>243</v>
      </c>
    </row>
    <row r="32084" spans="1:6" ht="12.75">
      <c r="A32084" s="2">
        <v>43875.471689814818</v>
      </c>
      <c r="B32084" t="str">
        <f>HYPERLINK("https://twitter.com/pitunews","@pitunews")</f>
        <v>@pitunews</v>
      </c>
      <c r="C32084" t="s">
        <v>13408</v>
      </c>
      <c r="D32084">
        <v>0</v>
      </c>
      <c r="E32084">
        <v>0</v>
      </c>
      <c r="F32084">
        <v>270</v>
      </c>
    </row>
    <row r="32085" spans="1:6" ht="12.75">
      <c r="A32085" s="2">
        <v>43875.471666666665</v>
      </c>
      <c r="B32085" t="str">
        <f>HYPERLINK("https://twitter.com/marukonanachan","@marukonanachan")</f>
        <v>@marukonanachan</v>
      </c>
      <c r="C32085" t="s">
        <v>9964</v>
      </c>
      <c r="D32085">
        <v>532</v>
      </c>
      <c r="E32085">
        <v>0</v>
      </c>
      <c r="F32085">
        <v>329</v>
      </c>
    </row>
    <row r="32086" spans="1:6" ht="12.75">
      <c r="A32086" s="2">
        <v>43875.471655092595</v>
      </c>
      <c r="B32086" t="str">
        <f>HYPERLINK("https://twitter.com/urgoodboiiii","@urgoodboiiii")</f>
        <v>@urgoodboiiii</v>
      </c>
      <c r="C32086" t="s">
        <v>13409</v>
      </c>
      <c r="D32086">
        <v>1</v>
      </c>
      <c r="E32086">
        <v>3</v>
      </c>
      <c r="F32086">
        <v>526</v>
      </c>
    </row>
    <row r="32087" spans="1:6" ht="12.75">
      <c r="A32087" s="2">
        <v>43875.47152777778</v>
      </c>
      <c r="B32087" t="str">
        <f>HYPERLINK("https://twitter.com/Nio174","@Nio174")</f>
        <v>@Nio174</v>
      </c>
      <c r="C32087" t="s">
        <v>10319</v>
      </c>
      <c r="D32087">
        <v>153</v>
      </c>
      <c r="E32087">
        <v>0</v>
      </c>
      <c r="F32087">
        <v>12</v>
      </c>
    </row>
    <row r="32088" spans="1:6" ht="12.75">
      <c r="A32088" s="2">
        <v>43875.471516203703</v>
      </c>
      <c r="B32088" t="str">
        <f>HYPERLINK("https://twitter.com/anthohar","@anthohar")</f>
        <v>@anthohar</v>
      </c>
      <c r="C32088" t="s">
        <v>13410</v>
      </c>
      <c r="D32088">
        <v>0</v>
      </c>
      <c r="E32088">
        <v>1</v>
      </c>
      <c r="F32088">
        <v>258</v>
      </c>
    </row>
    <row r="32089" spans="1:6" ht="12.75">
      <c r="A32089" s="2">
        <v>43875.47142361111</v>
      </c>
      <c r="B32089" t="str">
        <f>HYPERLINK("https://twitter.com/yazid_fadhlan","@yazid_fadhlan")</f>
        <v>@yazid_fadhlan</v>
      </c>
      <c r="C32089" t="s">
        <v>9539</v>
      </c>
      <c r="D32089">
        <v>2</v>
      </c>
      <c r="E32089">
        <v>0</v>
      </c>
      <c r="F32089">
        <v>616</v>
      </c>
    </row>
    <row r="32090" spans="1:6" ht="12.75">
      <c r="A32090" s="2">
        <v>43875.471377314811</v>
      </c>
      <c r="B32090" t="str">
        <f>HYPERLINK("https://twitter.com/Nio174","@Nio174")</f>
        <v>@Nio174</v>
      </c>
      <c r="C32090" t="s">
        <v>10531</v>
      </c>
      <c r="D32090">
        <v>95</v>
      </c>
      <c r="E32090">
        <v>0</v>
      </c>
      <c r="F32090">
        <v>12</v>
      </c>
    </row>
    <row r="32091" spans="1:6" ht="12.75">
      <c r="A32091" s="2">
        <v>43875.471365740741</v>
      </c>
      <c r="B32091" t="str">
        <f>HYPERLINK("https://twitter.com/ags_irwansyah","@ags_irwansyah")</f>
        <v>@ags_irwansyah</v>
      </c>
      <c r="C32091" t="s">
        <v>9538</v>
      </c>
      <c r="D32091">
        <v>122</v>
      </c>
      <c r="E32091">
        <v>0</v>
      </c>
      <c r="F32091">
        <v>1184</v>
      </c>
    </row>
    <row r="32092" spans="1:6" ht="12.75">
      <c r="A32092" s="2">
        <v>43875.471331018518</v>
      </c>
      <c r="B32092" t="str">
        <f>HYPERLINK("https://twitter.com/Orangtimur17","@Orangtimur17")</f>
        <v>@Orangtimur17</v>
      </c>
      <c r="C32092" t="s">
        <v>11086</v>
      </c>
      <c r="D32092">
        <v>84</v>
      </c>
      <c r="E32092">
        <v>0</v>
      </c>
      <c r="F32092">
        <v>3</v>
      </c>
    </row>
    <row r="32093" spans="1:6" ht="12.75">
      <c r="A32093" s="2">
        <v>43875.471307870372</v>
      </c>
      <c r="B32093" t="str">
        <f>HYPERLINK("https://twitter.com/mnoor_ichsan","@mnoor_ichsan")</f>
        <v>@mnoor_ichsan</v>
      </c>
      <c r="C32093" t="s">
        <v>13411</v>
      </c>
      <c r="D32093">
        <v>0</v>
      </c>
      <c r="E32093">
        <v>0</v>
      </c>
      <c r="F32093">
        <v>1751</v>
      </c>
    </row>
    <row r="32094" spans="1:6" ht="12.75">
      <c r="A32094" s="2">
        <v>43875.471261574072</v>
      </c>
      <c r="B32094" t="str">
        <f>HYPERLINK("https://twitter.com/mingupuppys","@mingupuppys")</f>
        <v>@mingupuppys</v>
      </c>
      <c r="C32094" t="s">
        <v>9964</v>
      </c>
      <c r="D32094">
        <v>532</v>
      </c>
      <c r="E32094">
        <v>0</v>
      </c>
      <c r="F32094">
        <v>406</v>
      </c>
    </row>
    <row r="32095" spans="1:6" ht="12.75">
      <c r="A32095" s="2">
        <v>43875.471215277779</v>
      </c>
      <c r="B32095" t="str">
        <f>HYPERLINK("https://twitter.com/suaradotcom","@suaradotcom")</f>
        <v>@suaradotcom</v>
      </c>
      <c r="C32095" t="s">
        <v>13412</v>
      </c>
      <c r="D32095">
        <v>0</v>
      </c>
      <c r="E32095">
        <v>0</v>
      </c>
      <c r="F32095">
        <v>24163</v>
      </c>
    </row>
    <row r="32096" spans="1:6" ht="12.75">
      <c r="A32096" s="2">
        <v>43875.471168981487</v>
      </c>
      <c r="B32096" t="str">
        <f>HYPERLINK("https://twitter.com/sorotnews","@sorotnews")</f>
        <v>@sorotnews</v>
      </c>
      <c r="C32096" t="s">
        <v>10720</v>
      </c>
      <c r="D32096">
        <v>0</v>
      </c>
      <c r="E32096">
        <v>3</v>
      </c>
      <c r="F32096">
        <v>3409</v>
      </c>
    </row>
    <row r="32097" spans="1:6" ht="12.75">
      <c r="A32097" s="2">
        <v>43875.471134259264</v>
      </c>
      <c r="B32097" t="str">
        <f>HYPERLINK("https://twitter.com/godonggedang46","@godonggedang46")</f>
        <v>@godonggedang46</v>
      </c>
      <c r="C32097" t="s">
        <v>2963</v>
      </c>
      <c r="D32097">
        <v>723</v>
      </c>
      <c r="E32097">
        <v>0</v>
      </c>
      <c r="F32097">
        <v>629</v>
      </c>
    </row>
    <row r="32098" spans="1:6" ht="12.75">
      <c r="A32098" s="2">
        <v>43875.471122685187</v>
      </c>
      <c r="B32098" t="str">
        <f>HYPERLINK("https://twitter.com/martyn_kho","@martyn_kho")</f>
        <v>@martyn_kho</v>
      </c>
      <c r="C32098" t="s">
        <v>13413</v>
      </c>
      <c r="D32098">
        <v>0</v>
      </c>
      <c r="E32098">
        <v>0</v>
      </c>
      <c r="F32098">
        <v>897</v>
      </c>
    </row>
    <row r="32099" spans="1:6" ht="12.75">
      <c r="A32099" s="2">
        <v>43875.471087962964</v>
      </c>
      <c r="B32099" t="str">
        <f>HYPERLINK("https://twitter.com/yazid_fadhlan","@yazid_fadhlan")</f>
        <v>@yazid_fadhlan</v>
      </c>
      <c r="C32099" t="s">
        <v>5761</v>
      </c>
      <c r="D32099">
        <v>44</v>
      </c>
      <c r="E32099">
        <v>0</v>
      </c>
      <c r="F32099">
        <v>616</v>
      </c>
    </row>
    <row r="32100" spans="1:6" ht="12.75">
      <c r="A32100" s="2">
        <v>43875.471087962964</v>
      </c>
      <c r="B32100" t="str">
        <f>HYPERLINK("https://twitter.com/Sugiyan61442128","@Sugiyan61442128")</f>
        <v>@Sugiyan61442128</v>
      </c>
      <c r="C32100" t="s">
        <v>9962</v>
      </c>
      <c r="D32100">
        <v>15</v>
      </c>
      <c r="E32100">
        <v>0</v>
      </c>
      <c r="F32100">
        <v>233</v>
      </c>
    </row>
    <row r="32101" spans="1:6" ht="12.75">
      <c r="A32101" s="2">
        <v>43875.471076388887</v>
      </c>
      <c r="B32101" t="str">
        <f>HYPERLINK("https://twitter.com/baIgoreum","@baIgoreum")</f>
        <v>@baIgoreum</v>
      </c>
      <c r="C32101" t="s">
        <v>9964</v>
      </c>
      <c r="D32101">
        <v>532</v>
      </c>
      <c r="E32101">
        <v>0</v>
      </c>
      <c r="F32101">
        <v>710</v>
      </c>
    </row>
    <row r="32102" spans="1:6" ht="12.75">
      <c r="A32102" s="2">
        <v>43875.470995370371</v>
      </c>
      <c r="B32102" t="str">
        <f>HYPERLINK("https://twitter.com/YoyokSubandriy3","@YoyokSubandriy3")</f>
        <v>@YoyokSubandriy3</v>
      </c>
      <c r="C32102" t="s">
        <v>13414</v>
      </c>
      <c r="D32102">
        <v>5</v>
      </c>
      <c r="E32102">
        <v>0</v>
      </c>
      <c r="F32102">
        <v>1355</v>
      </c>
    </row>
    <row r="32103" spans="1:6" ht="12.75">
      <c r="A32103" s="2">
        <v>43875.470879629633</v>
      </c>
      <c r="B32103" t="str">
        <f>HYPERLINK("https://twitter.com/Warte_jak","@Warte_jak")</f>
        <v>@Warte_jak</v>
      </c>
      <c r="C32103" t="s">
        <v>5168</v>
      </c>
      <c r="D32103">
        <v>540</v>
      </c>
      <c r="E32103">
        <v>0</v>
      </c>
      <c r="F32103">
        <v>1829</v>
      </c>
    </row>
    <row r="32104" spans="1:6" ht="12.75">
      <c r="A32104" s="2">
        <v>43875.47084490741</v>
      </c>
      <c r="B32104" t="str">
        <f>HYPERLINK("https://twitter.com/doyokijay","@doyokijay")</f>
        <v>@doyokijay</v>
      </c>
      <c r="C32104" t="s">
        <v>13003</v>
      </c>
      <c r="D32104">
        <v>4</v>
      </c>
      <c r="E32104">
        <v>0</v>
      </c>
      <c r="F32104">
        <v>305</v>
      </c>
    </row>
    <row r="32105" spans="1:6" ht="12.75">
      <c r="A32105" s="2">
        <v>43875.470775462964</v>
      </c>
      <c r="B32105" t="str">
        <f>HYPERLINK("https://twitter.com/Nio174","@Nio174")</f>
        <v>@Nio174</v>
      </c>
      <c r="C32105" t="s">
        <v>9113</v>
      </c>
      <c r="D32105">
        <v>273</v>
      </c>
      <c r="E32105">
        <v>0</v>
      </c>
      <c r="F32105">
        <v>12</v>
      </c>
    </row>
    <row r="32106" spans="1:6" ht="12.75">
      <c r="A32106" s="2">
        <v>43875.470763888894</v>
      </c>
      <c r="B32106" t="str">
        <f>HYPERLINK("https://twitter.com/edo_junior","@edo_junior")</f>
        <v>@edo_junior</v>
      </c>
      <c r="C32106" t="s">
        <v>13415</v>
      </c>
      <c r="D32106">
        <v>0</v>
      </c>
      <c r="E32106">
        <v>0</v>
      </c>
      <c r="F32106">
        <v>20</v>
      </c>
    </row>
    <row r="32107" spans="1:6" ht="12.75">
      <c r="A32107" s="2">
        <v>43875.47075231481</v>
      </c>
      <c r="B32107" t="str">
        <f>HYPERLINK("https://twitter.com/SiTititBesarr","@SiTititBesarr")</f>
        <v>@SiTititBesarr</v>
      </c>
      <c r="C32107" t="s">
        <v>13416</v>
      </c>
      <c r="D32107">
        <v>2</v>
      </c>
      <c r="E32107">
        <v>0</v>
      </c>
      <c r="F32107">
        <v>726</v>
      </c>
    </row>
    <row r="32108" spans="1:6" ht="12.75">
      <c r="A32108" s="2">
        <v>43875.470717592594</v>
      </c>
      <c r="B32108" t="str">
        <f>HYPERLINK("https://twitter.com/hi_fiq","@hi_fiq")</f>
        <v>@hi_fiq</v>
      </c>
      <c r="C32108" t="s">
        <v>2444</v>
      </c>
      <c r="D32108">
        <v>206</v>
      </c>
      <c r="E32108">
        <v>0</v>
      </c>
      <c r="F32108">
        <v>927</v>
      </c>
    </row>
    <row r="32109" spans="1:6" ht="12.75">
      <c r="A32109" s="2">
        <v>43875.470717592594</v>
      </c>
      <c r="B32109" t="str">
        <f>HYPERLINK("https://twitter.com/nuharrmn","@nuharrmn")</f>
        <v>@nuharrmn</v>
      </c>
      <c r="C32109" t="s">
        <v>5168</v>
      </c>
      <c r="D32109">
        <v>540</v>
      </c>
      <c r="E32109">
        <v>0</v>
      </c>
      <c r="F32109">
        <v>197</v>
      </c>
    </row>
    <row r="32110" spans="1:6" ht="12.75">
      <c r="A32110" s="2">
        <v>43875.470694444448</v>
      </c>
      <c r="B32110" t="str">
        <f>HYPERLINK("https://twitter.com/kondekturbus_","@kondekturbus_")</f>
        <v>@kondekturbus_</v>
      </c>
      <c r="C32110" t="s">
        <v>9962</v>
      </c>
      <c r="D32110">
        <v>15</v>
      </c>
      <c r="E32110">
        <v>0</v>
      </c>
      <c r="F32110">
        <v>13813</v>
      </c>
    </row>
    <row r="32111" spans="1:6" ht="12.75">
      <c r="A32111" s="2">
        <v>43875.470671296294</v>
      </c>
      <c r="B32111" t="str">
        <f>HYPERLINK("https://twitter.com/hi_fiq","@hi_fiq")</f>
        <v>@hi_fiq</v>
      </c>
      <c r="C32111" t="s">
        <v>5168</v>
      </c>
      <c r="D32111">
        <v>540</v>
      </c>
      <c r="E32111">
        <v>0</v>
      </c>
      <c r="F32111">
        <v>927</v>
      </c>
    </row>
    <row r="32112" spans="1:6" ht="12.75">
      <c r="A32112" s="2">
        <v>43875.470648148148</v>
      </c>
      <c r="B32112" t="str">
        <f>HYPERLINK("https://twitter.com/tunbaek","@tunbaek")</f>
        <v>@tunbaek</v>
      </c>
      <c r="C32112" t="s">
        <v>9964</v>
      </c>
      <c r="D32112">
        <v>532</v>
      </c>
      <c r="E32112">
        <v>0</v>
      </c>
      <c r="F32112">
        <v>169</v>
      </c>
    </row>
    <row r="32113" spans="1:6" ht="12.75">
      <c r="A32113" s="2">
        <v>43875.470601851848</v>
      </c>
      <c r="B32113" t="str">
        <f>HYPERLINK("https://twitter.com/PratamaSispa","@PratamaSispa")</f>
        <v>@PratamaSispa</v>
      </c>
      <c r="C32113" t="s">
        <v>9962</v>
      </c>
      <c r="D32113">
        <v>15</v>
      </c>
      <c r="E32113">
        <v>0</v>
      </c>
      <c r="F32113">
        <v>368</v>
      </c>
    </row>
    <row r="32114" spans="1:6" ht="12.75">
      <c r="A32114" s="2">
        <v>43875.470590277779</v>
      </c>
      <c r="B32114" t="str">
        <f>HYPERLINK("https://twitter.com/myatharva","@myatharva")</f>
        <v>@myatharva</v>
      </c>
      <c r="C32114" t="s">
        <v>11176</v>
      </c>
      <c r="D32114">
        <v>3</v>
      </c>
      <c r="E32114">
        <v>0</v>
      </c>
      <c r="F32114">
        <v>4008</v>
      </c>
    </row>
    <row r="32115" spans="1:6" ht="12.75">
      <c r="A32115" s="2">
        <v>43875.470555555556</v>
      </c>
      <c r="B32115" t="str">
        <f>HYPERLINK("https://twitter.com/arif_tby","@arif_tby")</f>
        <v>@arif_tby</v>
      </c>
      <c r="C32115" t="s">
        <v>2963</v>
      </c>
      <c r="D32115">
        <v>723</v>
      </c>
      <c r="E32115">
        <v>0</v>
      </c>
      <c r="F32115">
        <v>514</v>
      </c>
    </row>
    <row r="32116" spans="1:6" ht="12.75">
      <c r="A32116" s="2">
        <v>43875.470520833333</v>
      </c>
      <c r="B32116" t="str">
        <f>HYPERLINK("https://twitter.com/doyokijay","@doyokijay")</f>
        <v>@doyokijay</v>
      </c>
      <c r="C32116" t="s">
        <v>13417</v>
      </c>
      <c r="D32116">
        <v>2</v>
      </c>
      <c r="E32116">
        <v>0</v>
      </c>
      <c r="F32116">
        <v>305</v>
      </c>
    </row>
    <row r="32117" spans="1:6" ht="12.75">
      <c r="A32117" s="2">
        <v>43875.470520833333</v>
      </c>
      <c r="B32117" t="str">
        <f>HYPERLINK("https://twitter.com/Abie_Setya","@Abie_Setya")</f>
        <v>@Abie_Setya</v>
      </c>
      <c r="C32117" t="s">
        <v>9998</v>
      </c>
      <c r="D32117">
        <v>84</v>
      </c>
      <c r="E32117">
        <v>0</v>
      </c>
      <c r="F32117">
        <v>124</v>
      </c>
    </row>
    <row r="32118" spans="1:6" ht="12.75">
      <c r="A32118" s="2">
        <v>43875.47047453704</v>
      </c>
      <c r="B32118" t="str">
        <f>HYPERLINK("https://twitter.com/irengajah","@irengajah")</f>
        <v>@irengajah</v>
      </c>
      <c r="C32118" t="s">
        <v>3038</v>
      </c>
      <c r="D32118">
        <v>111</v>
      </c>
      <c r="E32118">
        <v>0</v>
      </c>
      <c r="F32118">
        <v>167</v>
      </c>
    </row>
    <row r="32119" spans="1:6" ht="12.75">
      <c r="A32119" s="2">
        <v>43875.470439814817</v>
      </c>
      <c r="B32119" t="str">
        <f>HYPERLINK("https://twitter.com/upikq22","@upikq22")</f>
        <v>@upikq22</v>
      </c>
      <c r="C32119" t="s">
        <v>12964</v>
      </c>
      <c r="D32119">
        <v>3</v>
      </c>
      <c r="E32119">
        <v>0</v>
      </c>
      <c r="F32119">
        <v>867</v>
      </c>
    </row>
    <row r="32120" spans="1:6" ht="12.75">
      <c r="A32120" s="2">
        <v>43875.470405092594</v>
      </c>
      <c r="B32120" t="str">
        <f>HYPERLINK("https://twitter.com/adisetiya","@adisetiya")</f>
        <v>@adisetiya</v>
      </c>
      <c r="C32120" t="s">
        <v>5168</v>
      </c>
      <c r="D32120">
        <v>540</v>
      </c>
      <c r="E32120">
        <v>0</v>
      </c>
      <c r="F32120">
        <v>284</v>
      </c>
    </row>
    <row r="32121" spans="1:6" ht="12.75">
      <c r="A32121" s="2">
        <v>43875.470347222217</v>
      </c>
      <c r="B32121" t="str">
        <f>HYPERLINK("https://twitter.com/hadi_11bsk","@hadi_11bsk")</f>
        <v>@hadi_11bsk</v>
      </c>
      <c r="C32121" t="s">
        <v>8252</v>
      </c>
      <c r="D32121">
        <v>491</v>
      </c>
      <c r="E32121">
        <v>0</v>
      </c>
      <c r="F32121">
        <v>35</v>
      </c>
    </row>
    <row r="32122" spans="1:6" ht="12.75">
      <c r="A32122" s="2">
        <v>43875.470324074078</v>
      </c>
      <c r="B32122" t="str">
        <f>HYPERLINK("https://twitter.com/isminurfz","@isminurfz")</f>
        <v>@isminurfz</v>
      </c>
      <c r="C32122" t="s">
        <v>2444</v>
      </c>
      <c r="D32122">
        <v>206</v>
      </c>
      <c r="E32122">
        <v>0</v>
      </c>
      <c r="F32122">
        <v>715</v>
      </c>
    </row>
    <row r="32123" spans="1:6" ht="12.75">
      <c r="A32123" s="2">
        <v>43875.470289351855</v>
      </c>
      <c r="B32123" t="str">
        <f>HYPERLINK("https://twitter.com/DimasyFermana","@DimasyFermana")</f>
        <v>@DimasyFermana</v>
      </c>
      <c r="C32123" t="s">
        <v>13418</v>
      </c>
      <c r="D32123">
        <v>0</v>
      </c>
      <c r="E32123">
        <v>3</v>
      </c>
      <c r="F32123">
        <v>1444</v>
      </c>
    </row>
    <row r="32124" spans="1:6" ht="12.75">
      <c r="A32124" s="2">
        <v>43875.470231481479</v>
      </c>
      <c r="B32124" t="str">
        <f>HYPERLINK("https://twitter.com/Orangtimur17","@Orangtimur17")</f>
        <v>@Orangtimur17</v>
      </c>
      <c r="C32124" t="s">
        <v>13419</v>
      </c>
      <c r="D32124">
        <v>76</v>
      </c>
      <c r="E32124">
        <v>0</v>
      </c>
      <c r="F32124">
        <v>3</v>
      </c>
    </row>
    <row r="32125" spans="1:6" ht="12.75">
      <c r="A32125" s="2">
        <v>43875.470231481479</v>
      </c>
      <c r="B32125" t="str">
        <f>HYPERLINK("https://twitter.com/budihidayat20","@budihidayat20")</f>
        <v>@budihidayat20</v>
      </c>
      <c r="C32125" t="s">
        <v>10109</v>
      </c>
      <c r="D32125">
        <v>12</v>
      </c>
      <c r="E32125">
        <v>0</v>
      </c>
      <c r="F32125">
        <v>4383</v>
      </c>
    </row>
    <row r="32126" spans="1:6" ht="12.75">
      <c r="A32126" s="2">
        <v>43875.470069444447</v>
      </c>
      <c r="B32126" t="str">
        <f>HYPERLINK("https://twitter.com/riyandi","@riyandi")</f>
        <v>@riyandi</v>
      </c>
      <c r="C32126" t="s">
        <v>5168</v>
      </c>
      <c r="D32126">
        <v>540</v>
      </c>
      <c r="E32126">
        <v>0</v>
      </c>
      <c r="F32126">
        <v>969</v>
      </c>
    </row>
    <row r="32127" spans="1:6" ht="12.75">
      <c r="A32127" s="2">
        <v>43875.469965277778</v>
      </c>
      <c r="B32127" t="str">
        <f>HYPERLINK("https://twitter.com/rifanald","@rifanald")</f>
        <v>@rifanald</v>
      </c>
      <c r="C32127" t="s">
        <v>9962</v>
      </c>
      <c r="D32127">
        <v>15</v>
      </c>
      <c r="E32127">
        <v>0</v>
      </c>
      <c r="F32127">
        <v>299</v>
      </c>
    </row>
    <row r="32128" spans="1:6" ht="12.75">
      <c r="A32128" s="2">
        <v>43875.469930555555</v>
      </c>
      <c r="B32128" t="str">
        <f>HYPERLINK("https://twitter.com/Anggraowie","@Anggraowie")</f>
        <v>@Anggraowie</v>
      </c>
      <c r="C32128" t="s">
        <v>5168</v>
      </c>
      <c r="D32128">
        <v>540</v>
      </c>
      <c r="E32128">
        <v>0</v>
      </c>
      <c r="F32128">
        <v>1059</v>
      </c>
    </row>
    <row r="32129" spans="1:6" ht="12.75">
      <c r="A32129" s="2">
        <v>43875.469895833332</v>
      </c>
      <c r="B32129" t="str">
        <f>HYPERLINK("https://twitter.com/fallingforyoun","@fallingforyoun")</f>
        <v>@fallingforyoun</v>
      </c>
      <c r="C32129" t="s">
        <v>9964</v>
      </c>
      <c r="D32129">
        <v>532</v>
      </c>
      <c r="E32129">
        <v>0</v>
      </c>
      <c r="F32129">
        <v>329</v>
      </c>
    </row>
    <row r="32130" spans="1:6" ht="12.75">
      <c r="A32130" s="2">
        <v>43875.469791666663</v>
      </c>
      <c r="B32130" t="str">
        <f>HYPERLINK("https://twitter.com/BNPB_Indonesia","@BNPB_Indonesia")</f>
        <v>@BNPB_Indonesia</v>
      </c>
      <c r="C32130" t="s">
        <v>13420</v>
      </c>
      <c r="D32130">
        <v>15</v>
      </c>
      <c r="E32130">
        <v>28</v>
      </c>
      <c r="F32130">
        <v>226086</v>
      </c>
    </row>
    <row r="32131" spans="1:6" ht="12.75">
      <c r="A32131" s="2">
        <v>43875.46975694444</v>
      </c>
      <c r="B32131" t="str">
        <f>HYPERLINK("https://twitter.com/dimasparjo_","@dimasparjo_")</f>
        <v>@dimasparjo_</v>
      </c>
      <c r="C32131" t="s">
        <v>2137</v>
      </c>
      <c r="D32131">
        <v>54</v>
      </c>
      <c r="E32131">
        <v>0</v>
      </c>
      <c r="F32131">
        <v>1270</v>
      </c>
    </row>
    <row r="32132" spans="1:6" ht="12.75">
      <c r="A32132" s="2">
        <v>43875.46975694444</v>
      </c>
      <c r="B32132" t="str">
        <f>HYPERLINK("https://twitter.com/NadziftL","@NadziftL")</f>
        <v>@NadziftL</v>
      </c>
      <c r="C32132" t="s">
        <v>12044</v>
      </c>
      <c r="D32132">
        <v>47</v>
      </c>
      <c r="E32132">
        <v>0</v>
      </c>
      <c r="F32132">
        <v>169</v>
      </c>
    </row>
    <row r="32133" spans="1:6" ht="12.75">
      <c r="A32133" s="2">
        <v>43875.469687500001</v>
      </c>
      <c r="B32133" t="str">
        <f>HYPERLINK("https://twitter.com/misake89847474","@misake89847474")</f>
        <v>@misake89847474</v>
      </c>
      <c r="C32133" t="s">
        <v>13421</v>
      </c>
      <c r="D32133">
        <v>0</v>
      </c>
      <c r="E32133">
        <v>0</v>
      </c>
      <c r="F32133">
        <v>17</v>
      </c>
    </row>
    <row r="32134" spans="1:6" ht="12.75">
      <c r="A32134" s="2">
        <v>43875.469675925924</v>
      </c>
      <c r="B32134" t="str">
        <f>HYPERLINK("https://twitter.com/ISIS_Balik_NO","@ISIS_Balik_NO")</f>
        <v>@ISIS_Balik_NO</v>
      </c>
      <c r="C32134" t="s">
        <v>8233</v>
      </c>
      <c r="D32134">
        <v>377</v>
      </c>
      <c r="E32134">
        <v>0</v>
      </c>
      <c r="F32134">
        <v>5893</v>
      </c>
    </row>
    <row r="32135" spans="1:6" ht="12.75">
      <c r="A32135" s="2">
        <v>43875.469629629632</v>
      </c>
      <c r="B32135" t="str">
        <f>HYPERLINK("https://twitter.com/hadhmeant","@hadhmeant")</f>
        <v>@hadhmeant</v>
      </c>
      <c r="C32135" t="s">
        <v>2963</v>
      </c>
      <c r="D32135">
        <v>723</v>
      </c>
      <c r="E32135">
        <v>0</v>
      </c>
      <c r="F32135">
        <v>477</v>
      </c>
    </row>
    <row r="32136" spans="1:6" ht="12.75">
      <c r="A32136" s="2">
        <v>43875.469560185185</v>
      </c>
      <c r="B32136" t="str">
        <f>HYPERLINK("https://twitter.com/Listian08","@Listian08")</f>
        <v>@Listian08</v>
      </c>
      <c r="C32136" t="s">
        <v>13422</v>
      </c>
      <c r="D32136">
        <v>0</v>
      </c>
      <c r="E32136">
        <v>0</v>
      </c>
      <c r="F32136">
        <v>12</v>
      </c>
    </row>
    <row r="32137" spans="1:6" ht="12.75">
      <c r="A32137" s="2">
        <v>43875.46947916667</v>
      </c>
      <c r="B32137" t="str">
        <f>HYPERLINK("https://twitter.com/Yeyen41020695","@Yeyen41020695")</f>
        <v>@Yeyen41020695</v>
      </c>
      <c r="C32137" t="s">
        <v>13423</v>
      </c>
      <c r="D32137">
        <v>3</v>
      </c>
      <c r="E32137">
        <v>6</v>
      </c>
      <c r="F32137">
        <v>1304</v>
      </c>
    </row>
    <row r="32138" spans="1:6" ht="12.75">
      <c r="A32138" s="2">
        <v>43875.46947916667</v>
      </c>
      <c r="B32138" t="str">
        <f>HYPERLINK("https://twitter.com/DayaIndonesia","@DayaIndonesia")</f>
        <v>@DayaIndonesia</v>
      </c>
      <c r="C32138" t="s">
        <v>13424</v>
      </c>
      <c r="D32138">
        <v>0</v>
      </c>
      <c r="E32138">
        <v>0</v>
      </c>
      <c r="F32138">
        <v>211</v>
      </c>
    </row>
    <row r="32139" spans="1:6" ht="12.75">
      <c r="A32139" s="2">
        <v>43875.469456018516</v>
      </c>
      <c r="B32139" t="str">
        <f>HYPERLINK("https://twitter.com/indahasmantowi","@indahasmantowi")</f>
        <v>@indahasmantowi</v>
      </c>
      <c r="C32139" t="s">
        <v>13425</v>
      </c>
      <c r="D32139">
        <v>0</v>
      </c>
      <c r="E32139">
        <v>0</v>
      </c>
      <c r="F32139">
        <v>246</v>
      </c>
    </row>
    <row r="32140" spans="1:6" ht="12.75">
      <c r="A32140" s="2">
        <v>43875.469444444447</v>
      </c>
      <c r="B32140" t="str">
        <f>HYPERLINK("https://twitter.com/renaalasyifa1","@renaalasyifa1")</f>
        <v>@renaalasyifa1</v>
      </c>
      <c r="C32140" t="s">
        <v>10225</v>
      </c>
      <c r="D32140">
        <v>10</v>
      </c>
      <c r="E32140">
        <v>0</v>
      </c>
      <c r="F32140">
        <v>2340</v>
      </c>
    </row>
    <row r="32141" spans="1:6" ht="12.75">
      <c r="A32141" s="2">
        <v>43875.469409722224</v>
      </c>
      <c r="B32141" t="str">
        <f>HYPERLINK("https://twitter.com/DjanChoek","@DjanChoek")</f>
        <v>@DjanChoek</v>
      </c>
      <c r="C32141" t="s">
        <v>2963</v>
      </c>
      <c r="D32141">
        <v>723</v>
      </c>
      <c r="E32141">
        <v>0</v>
      </c>
      <c r="F32141">
        <v>24078</v>
      </c>
    </row>
    <row r="32142" spans="1:6" ht="12.75">
      <c r="A32142" s="2">
        <v>43875.469375000001</v>
      </c>
      <c r="B32142" t="str">
        <f>HYPERLINK("https://twitter.com/myatharva","@myatharva")</f>
        <v>@myatharva</v>
      </c>
      <c r="C32142" t="s">
        <v>13426</v>
      </c>
      <c r="D32142">
        <v>0</v>
      </c>
      <c r="E32142">
        <v>0</v>
      </c>
      <c r="F32142">
        <v>4008</v>
      </c>
    </row>
    <row r="32143" spans="1:6" ht="12.75">
      <c r="A32143" s="2">
        <v>43875.469166666662</v>
      </c>
      <c r="B32143" t="str">
        <f>HYPERLINK("https://twitter.com/Bennyboegiz","@Bennyboegiz")</f>
        <v>@Bennyboegiz</v>
      </c>
      <c r="C32143" t="s">
        <v>13427</v>
      </c>
      <c r="D32143">
        <v>0</v>
      </c>
      <c r="E32143">
        <v>0</v>
      </c>
      <c r="F32143">
        <v>817</v>
      </c>
    </row>
    <row r="32144" spans="1:6" ht="12.75">
      <c r="A32144" s="2">
        <v>43875.469155092593</v>
      </c>
      <c r="B32144" t="str">
        <f>HYPERLINK("https://twitter.com/Jongos_eSJe","@Jongos_eSJe")</f>
        <v>@Jongos_eSJe</v>
      </c>
      <c r="C32144" t="s">
        <v>11390</v>
      </c>
      <c r="D32144">
        <v>73</v>
      </c>
      <c r="E32144">
        <v>0</v>
      </c>
      <c r="F32144">
        <v>137</v>
      </c>
    </row>
    <row r="32145" spans="1:6" ht="12.75">
      <c r="A32145" s="2">
        <v>43875.469131944439</v>
      </c>
      <c r="B32145" t="str">
        <f>HYPERLINK("https://twitter.com/HeruHoe40393202","@HeruHoe40393202")</f>
        <v>@HeruHoe40393202</v>
      </c>
      <c r="C32145" t="s">
        <v>13428</v>
      </c>
      <c r="D32145">
        <v>0</v>
      </c>
      <c r="E32145">
        <v>0</v>
      </c>
      <c r="F32145">
        <v>0</v>
      </c>
    </row>
    <row r="32146" spans="1:6" ht="12.75">
      <c r="A32146" s="2">
        <v>43875.469097222223</v>
      </c>
      <c r="B32146" t="str">
        <f>HYPERLINK("https://twitter.com/Tharzenka","@Tharzenka")</f>
        <v>@Tharzenka</v>
      </c>
      <c r="C32146" t="s">
        <v>13429</v>
      </c>
      <c r="D32146">
        <v>0</v>
      </c>
      <c r="E32146">
        <v>0</v>
      </c>
      <c r="F32146">
        <v>9</v>
      </c>
    </row>
    <row r="32147" spans="1:6" ht="12.75">
      <c r="A32147" s="2">
        <v>43875.4690625</v>
      </c>
      <c r="B32147" t="str">
        <f>HYPERLINK("https://twitter.com/DearReAkSe","@DearReAkSe")</f>
        <v>@DearReAkSe</v>
      </c>
      <c r="C32147" t="s">
        <v>9538</v>
      </c>
      <c r="D32147">
        <v>122</v>
      </c>
      <c r="E32147">
        <v>0</v>
      </c>
      <c r="F32147">
        <v>326</v>
      </c>
    </row>
    <row r="32148" spans="1:6" ht="12.75">
      <c r="A32148" s="2">
        <v>43875.469004629631</v>
      </c>
      <c r="B32148" t="str">
        <f>HYPERLINK("https://twitter.com/ISIS_Balik_NO","@ISIS_Balik_NO")</f>
        <v>@ISIS_Balik_NO</v>
      </c>
      <c r="C32148" t="s">
        <v>13430</v>
      </c>
      <c r="D32148">
        <v>1243</v>
      </c>
      <c r="E32148">
        <v>0</v>
      </c>
      <c r="F32148">
        <v>5893</v>
      </c>
    </row>
    <row r="32149" spans="1:6" ht="12.75">
      <c r="A32149" s="2">
        <v>43875.468900462962</v>
      </c>
      <c r="B32149" t="str">
        <f>HYPERLINK("https://twitter.com/debolalaboo","@debolalaboo")</f>
        <v>@debolalaboo</v>
      </c>
      <c r="C32149" t="s">
        <v>5168</v>
      </c>
      <c r="D32149">
        <v>540</v>
      </c>
      <c r="E32149">
        <v>0</v>
      </c>
      <c r="F32149">
        <v>594</v>
      </c>
    </row>
    <row r="32150" spans="1:6" ht="12.75">
      <c r="A32150" s="2">
        <v>43875.468877314815</v>
      </c>
      <c r="B32150" t="str">
        <f>HYPERLINK("https://twitter.com/misake89847474","@misake89847474")</f>
        <v>@misake89847474</v>
      </c>
      <c r="C32150" t="s">
        <v>13431</v>
      </c>
      <c r="D32150">
        <v>0</v>
      </c>
      <c r="E32150">
        <v>2</v>
      </c>
      <c r="F32150">
        <v>17</v>
      </c>
    </row>
    <row r="32151" spans="1:6" ht="12.75">
      <c r="A32151" s="2">
        <v>43875.468703703707</v>
      </c>
      <c r="B32151" t="str">
        <f>HYPERLINK("https://twitter.com/JoniTan76654772","@JoniTan76654772")</f>
        <v>@JoniTan76654772</v>
      </c>
      <c r="C32151" t="s">
        <v>13432</v>
      </c>
      <c r="D32151">
        <v>0</v>
      </c>
      <c r="E32151">
        <v>1</v>
      </c>
      <c r="F32151">
        <v>0</v>
      </c>
    </row>
    <row r="32152" spans="1:6" ht="12.75">
      <c r="A32152" s="2">
        <v>43875.468680555554</v>
      </c>
      <c r="B32152" t="str">
        <f>HYPERLINK("https://twitter.com/Qiu912","@Qiu912")</f>
        <v>@Qiu912</v>
      </c>
      <c r="C32152" t="s">
        <v>13433</v>
      </c>
      <c r="D32152">
        <v>0</v>
      </c>
      <c r="E32152">
        <v>0</v>
      </c>
      <c r="F32152">
        <v>114</v>
      </c>
    </row>
    <row r="32153" spans="1:6" ht="12.75">
      <c r="A32153" s="2">
        <v>43875.468668981484</v>
      </c>
      <c r="B32153" t="str">
        <f>HYPERLINK("https://twitter.com/Abun77711971","@Abun77711971")</f>
        <v>@Abun77711971</v>
      </c>
      <c r="C32153" t="s">
        <v>13434</v>
      </c>
      <c r="D32153">
        <v>0</v>
      </c>
      <c r="E32153">
        <v>0</v>
      </c>
      <c r="F32153">
        <v>48</v>
      </c>
    </row>
    <row r="32154" spans="1:6" ht="12.75">
      <c r="A32154" s="2">
        <v>43875.468576388885</v>
      </c>
      <c r="B32154" t="str">
        <f>HYPERLINK("https://twitter.com/HANMAS19","@HANMAS19")</f>
        <v>@HANMAS19</v>
      </c>
      <c r="C32154" t="s">
        <v>12080</v>
      </c>
      <c r="D32154">
        <v>17</v>
      </c>
      <c r="E32154">
        <v>0</v>
      </c>
      <c r="F32154">
        <v>2583</v>
      </c>
    </row>
    <row r="32155" spans="1:6" ht="12.75">
      <c r="A32155" s="2">
        <v>43875.468564814815</v>
      </c>
      <c r="B32155" t="str">
        <f>HYPERLINK("https://twitter.com/southwestboyy","@southwestboyy")</f>
        <v>@southwestboyy</v>
      </c>
      <c r="C32155" t="s">
        <v>2444</v>
      </c>
      <c r="D32155">
        <v>206</v>
      </c>
      <c r="E32155">
        <v>0</v>
      </c>
      <c r="F32155">
        <v>93</v>
      </c>
    </row>
    <row r="32156" spans="1:6" ht="12.75">
      <c r="A32156" s="2">
        <v>43875.468553240746</v>
      </c>
      <c r="B32156" t="str">
        <f>HYPERLINK("https://twitter.com/nidandrh","@nidandrh")</f>
        <v>@nidandrh</v>
      </c>
      <c r="C32156" t="s">
        <v>2444</v>
      </c>
      <c r="D32156">
        <v>206</v>
      </c>
      <c r="E32156">
        <v>0</v>
      </c>
      <c r="F32156">
        <v>83</v>
      </c>
    </row>
    <row r="32157" spans="1:6" ht="12.75">
      <c r="A32157" s="2">
        <v>43875.468518518523</v>
      </c>
      <c r="B32157" t="str">
        <f>HYPERLINK("https://twitter.com/Tharzenka","@Tharzenka")</f>
        <v>@Tharzenka</v>
      </c>
      <c r="C32157" t="s">
        <v>13435</v>
      </c>
      <c r="D32157">
        <v>0</v>
      </c>
      <c r="E32157">
        <v>0</v>
      </c>
      <c r="F32157">
        <v>9</v>
      </c>
    </row>
    <row r="32158" spans="1:6" ht="12.75">
      <c r="A32158" s="2">
        <v>43875.468518518523</v>
      </c>
      <c r="B32158" t="str">
        <f>HYPERLINK("https://twitter.com/henishenixx","@henishenixx")</f>
        <v>@henishenixx</v>
      </c>
      <c r="C32158" t="s">
        <v>2444</v>
      </c>
      <c r="D32158">
        <v>206</v>
      </c>
      <c r="E32158">
        <v>0</v>
      </c>
      <c r="F32158">
        <v>50</v>
      </c>
    </row>
    <row r="32159" spans="1:6" ht="12.75">
      <c r="A32159" s="2">
        <v>43875.4684837963</v>
      </c>
      <c r="B32159" t="str">
        <f>HYPERLINK("https://twitter.com/nasrulhusni","@nasrulhusni")</f>
        <v>@nasrulhusni</v>
      </c>
      <c r="C32159" t="s">
        <v>10109</v>
      </c>
      <c r="D32159">
        <v>12</v>
      </c>
      <c r="E32159">
        <v>0</v>
      </c>
      <c r="F32159">
        <v>47</v>
      </c>
    </row>
    <row r="32160" spans="1:6" ht="12.75">
      <c r="A32160" s="2">
        <v>43875.468449074076</v>
      </c>
      <c r="B32160" t="str">
        <f>HYPERLINK("https://twitter.com/PTanswari","@PTanswari")</f>
        <v>@PTanswari</v>
      </c>
      <c r="C32160" t="s">
        <v>13436</v>
      </c>
      <c r="D32160">
        <v>0</v>
      </c>
      <c r="E32160">
        <v>0</v>
      </c>
      <c r="F32160">
        <v>2</v>
      </c>
    </row>
    <row r="32161" spans="1:6" ht="12.75">
      <c r="A32161" s="2">
        <v>43875.468356481477</v>
      </c>
      <c r="B32161" t="str">
        <f>HYPERLINK("https://twitter.com/luckmanarrasid","@luckmanarrasid")</f>
        <v>@luckmanarrasid</v>
      </c>
      <c r="C32161" t="s">
        <v>5168</v>
      </c>
      <c r="D32161">
        <v>540</v>
      </c>
      <c r="E32161">
        <v>0</v>
      </c>
      <c r="F32161">
        <v>141</v>
      </c>
    </row>
    <row r="32162" spans="1:6" ht="12.75">
      <c r="A32162" s="2">
        <v>43875.468298611115</v>
      </c>
      <c r="B32162" t="str">
        <f>HYPERLINK("https://twitter.com/amanidelm","@amanidelm")</f>
        <v>@amanidelm</v>
      </c>
      <c r="C32162" t="s">
        <v>10032</v>
      </c>
      <c r="D32162">
        <v>28</v>
      </c>
      <c r="E32162">
        <v>0</v>
      </c>
      <c r="F32162">
        <v>1631</v>
      </c>
    </row>
    <row r="32163" spans="1:6" ht="12.75">
      <c r="A32163" s="2">
        <v>43875.468287037038</v>
      </c>
      <c r="B32163" t="str">
        <f>HYPERLINK("https://twitter.com/icusmanuhutu","@icusmanuhutu")</f>
        <v>@icusmanuhutu</v>
      </c>
      <c r="C32163" t="s">
        <v>13437</v>
      </c>
      <c r="D32163">
        <v>4</v>
      </c>
      <c r="E32163">
        <v>0</v>
      </c>
      <c r="F32163">
        <v>409</v>
      </c>
    </row>
    <row r="32164" spans="1:6" ht="12.75">
      <c r="A32164" s="2">
        <v>43875.468252314815</v>
      </c>
      <c r="B32164" t="str">
        <f>HYPERLINK("https://twitter.com/GoblokMasBebas","@GoblokMasBebas")</f>
        <v>@GoblokMasBebas</v>
      </c>
      <c r="C32164" t="s">
        <v>2963</v>
      </c>
      <c r="D32164">
        <v>723</v>
      </c>
      <c r="E32164">
        <v>0</v>
      </c>
      <c r="F32164">
        <v>276</v>
      </c>
    </row>
    <row r="32165" spans="1:6" ht="12.75">
      <c r="A32165" s="2">
        <v>43875.468194444446</v>
      </c>
      <c r="B32165" t="str">
        <f>HYPERLINK("https://twitter.com/wonggelo10","@wonggelo10")</f>
        <v>@wonggelo10</v>
      </c>
      <c r="C32165" t="s">
        <v>2963</v>
      </c>
      <c r="D32165">
        <v>723</v>
      </c>
      <c r="E32165">
        <v>0</v>
      </c>
      <c r="F32165">
        <v>1111</v>
      </c>
    </row>
    <row r="32166" spans="1:6" ht="12.75">
      <c r="A32166" s="2">
        <v>43875.468136574069</v>
      </c>
      <c r="B32166" t="str">
        <f>HYPERLINK("https://twitter.com/bbwsix","@bbwsix")</f>
        <v>@bbwsix</v>
      </c>
      <c r="C32166" t="s">
        <v>9964</v>
      </c>
      <c r="D32166">
        <v>532</v>
      </c>
      <c r="E32166">
        <v>0</v>
      </c>
      <c r="F32166">
        <v>147</v>
      </c>
    </row>
    <row r="32167" spans="1:6" ht="12.75">
      <c r="A32167" s="2">
        <v>43875.468090277776</v>
      </c>
      <c r="B32167" t="str">
        <f>HYPERLINK("https://twitter.com/FerryArema","@FerryArema")</f>
        <v>@FerryArema</v>
      </c>
      <c r="C32167" t="s">
        <v>2144</v>
      </c>
      <c r="D32167">
        <v>58</v>
      </c>
      <c r="E32167">
        <v>0</v>
      </c>
      <c r="F32167">
        <v>169</v>
      </c>
    </row>
    <row r="32168" spans="1:6" ht="12.75">
      <c r="A32168" s="2">
        <v>43875.468055555553</v>
      </c>
      <c r="B32168" t="str">
        <f>HYPERLINK("https://twitter.com/isfari_507","@isfari_507")</f>
        <v>@isfari_507</v>
      </c>
      <c r="C32168" t="s">
        <v>12044</v>
      </c>
      <c r="D32168">
        <v>47</v>
      </c>
      <c r="E32168">
        <v>0</v>
      </c>
      <c r="F32168">
        <v>1499</v>
      </c>
    </row>
    <row r="32169" spans="1:6" ht="12.75">
      <c r="A32169" s="2">
        <v>43875.468032407407</v>
      </c>
      <c r="B32169" t="str">
        <f>HYPERLINK("https://twitter.com/Rachman19661","@Rachman19661")</f>
        <v>@Rachman19661</v>
      </c>
      <c r="C32169" t="s">
        <v>12367</v>
      </c>
      <c r="D32169">
        <v>16</v>
      </c>
      <c r="E32169">
        <v>0</v>
      </c>
      <c r="F32169">
        <v>1214</v>
      </c>
    </row>
    <row r="32170" spans="1:6" ht="12.75">
      <c r="A32170" s="2">
        <v>43875.468032407407</v>
      </c>
      <c r="B32170" t="str">
        <f>HYPERLINK("https://twitter.com/PurworOjek","@PurworOjek")</f>
        <v>@PurworOjek</v>
      </c>
      <c r="C32170" t="s">
        <v>13438</v>
      </c>
      <c r="D32170">
        <v>1</v>
      </c>
      <c r="E32170">
        <v>0</v>
      </c>
      <c r="F32170">
        <v>851</v>
      </c>
    </row>
    <row r="32171" spans="1:6" ht="12.75">
      <c r="A32171" s="2">
        <v>43875.467997685184</v>
      </c>
      <c r="B32171" t="str">
        <f>HYPERLINK("https://twitter.com/ai_1192","@ai_1192")</f>
        <v>@ai_1192</v>
      </c>
      <c r="C32171" t="s">
        <v>12080</v>
      </c>
      <c r="D32171">
        <v>17</v>
      </c>
      <c r="E32171">
        <v>0</v>
      </c>
      <c r="F32171">
        <v>21</v>
      </c>
    </row>
    <row r="32172" spans="1:6" ht="12.75">
      <c r="A32172" s="2">
        <v>43875.467951388884</v>
      </c>
      <c r="B32172" t="str">
        <f>HYPERLINK("https://twitter.com/SayaIndonesia07","@SayaIndonesia07")</f>
        <v>@SayaIndonesia07</v>
      </c>
      <c r="C32172" t="s">
        <v>13439</v>
      </c>
      <c r="D32172">
        <v>0</v>
      </c>
      <c r="E32172">
        <v>0</v>
      </c>
      <c r="F32172">
        <v>56</v>
      </c>
    </row>
    <row r="32173" spans="1:6" ht="12.75">
      <c r="A32173" s="2">
        <v>43875.467928240745</v>
      </c>
      <c r="B32173" t="str">
        <f>HYPERLINK("https://twitter.com/anantodn","@anantodn")</f>
        <v>@anantodn</v>
      </c>
      <c r="C32173" t="s">
        <v>2444</v>
      </c>
      <c r="D32173">
        <v>206</v>
      </c>
      <c r="E32173">
        <v>0</v>
      </c>
      <c r="F32173">
        <v>447</v>
      </c>
    </row>
    <row r="32174" spans="1:6" ht="12.75">
      <c r="A32174" s="2">
        <v>43875.467893518522</v>
      </c>
      <c r="B32174" t="str">
        <f>HYPERLINK("https://twitter.com/roland_mars","@roland_mars")</f>
        <v>@roland_mars</v>
      </c>
      <c r="C32174" t="s">
        <v>9021</v>
      </c>
      <c r="D32174">
        <v>176</v>
      </c>
      <c r="E32174">
        <v>0</v>
      </c>
      <c r="F32174">
        <v>396</v>
      </c>
    </row>
    <row r="32175" spans="1:6" ht="12.75">
      <c r="A32175" s="2">
        <v>43875.467835648145</v>
      </c>
      <c r="B32175" t="str">
        <f>HYPERLINK("https://twitter.com/Susanto13895819","@Susanto13895819")</f>
        <v>@Susanto13895819</v>
      </c>
      <c r="C32175" t="s">
        <v>2963</v>
      </c>
      <c r="D32175">
        <v>723</v>
      </c>
      <c r="E32175">
        <v>0</v>
      </c>
      <c r="F32175">
        <v>219</v>
      </c>
    </row>
    <row r="32176" spans="1:6" ht="12.75">
      <c r="A32176" s="2">
        <v>43875.46775462963</v>
      </c>
      <c r="B32176" t="str">
        <f>HYPERLINK("https://twitter.com/budihidayat20","@budihidayat20")</f>
        <v>@budihidayat20</v>
      </c>
      <c r="C32176" t="s">
        <v>9538</v>
      </c>
      <c r="D32176">
        <v>122</v>
      </c>
      <c r="E32176">
        <v>0</v>
      </c>
      <c r="F32176">
        <v>4383</v>
      </c>
    </row>
    <row r="32177" spans="1:6" ht="12.75">
      <c r="A32177" s="2">
        <v>43875.467673611114</v>
      </c>
      <c r="B32177" t="str">
        <f>HYPERLINK("https://twitter.com/marssunn","@marssunn")</f>
        <v>@marssunn</v>
      </c>
      <c r="C32177" t="s">
        <v>9964</v>
      </c>
      <c r="D32177">
        <v>532</v>
      </c>
      <c r="E32177">
        <v>0</v>
      </c>
      <c r="F32177">
        <v>63</v>
      </c>
    </row>
    <row r="32178" spans="1:6" ht="12.75">
      <c r="A32178" s="2">
        <v>43875.467627314814</v>
      </c>
      <c r="B32178" t="str">
        <f>HYPERLINK("https://twitter.com/SoraBaltasar","@SoraBaltasar")</f>
        <v>@SoraBaltasar</v>
      </c>
      <c r="C32178" t="s">
        <v>2963</v>
      </c>
      <c r="D32178">
        <v>723</v>
      </c>
      <c r="E32178">
        <v>0</v>
      </c>
      <c r="F32178">
        <v>374</v>
      </c>
    </row>
    <row r="32179" spans="1:6" ht="12.75">
      <c r="A32179" s="2">
        <v>43875.467615740738</v>
      </c>
      <c r="B32179" t="str">
        <f>HYPERLINK("https://twitter.com/AyubeeB","@AyubeeB")</f>
        <v>@AyubeeB</v>
      </c>
      <c r="C32179" t="s">
        <v>9746</v>
      </c>
      <c r="D32179">
        <v>66</v>
      </c>
      <c r="E32179">
        <v>0</v>
      </c>
      <c r="F32179">
        <v>1234</v>
      </c>
    </row>
    <row r="32180" spans="1:6" ht="12.75">
      <c r="A32180" s="2">
        <v>43875.467581018514</v>
      </c>
      <c r="B32180" t="str">
        <f>HYPERLINK("https://twitter.com/HenniMalika1","@HenniMalika1")</f>
        <v>@HenniMalika1</v>
      </c>
      <c r="C32180" t="s">
        <v>8252</v>
      </c>
      <c r="D32180">
        <v>491</v>
      </c>
      <c r="E32180">
        <v>0</v>
      </c>
      <c r="F32180">
        <v>18</v>
      </c>
    </row>
    <row r="32181" spans="1:6" ht="12.75">
      <c r="A32181" s="2">
        <v>43875.467418981483</v>
      </c>
      <c r="B32181" t="str">
        <f>HYPERLINK("https://twitter.com/ihzaulinn","@ihzaulinn")</f>
        <v>@ihzaulinn</v>
      </c>
      <c r="C32181" t="s">
        <v>5168</v>
      </c>
      <c r="D32181">
        <v>540</v>
      </c>
      <c r="E32181">
        <v>0</v>
      </c>
      <c r="F32181">
        <v>747</v>
      </c>
    </row>
    <row r="32182" spans="1:6" ht="12.75">
      <c r="A32182" s="2">
        <v>43875.467418981483</v>
      </c>
      <c r="B32182" t="str">
        <f>HYPERLINK("https://twitter.com/rianaamrita","@rianaamrita")</f>
        <v>@rianaamrita</v>
      </c>
      <c r="C32182" t="s">
        <v>8233</v>
      </c>
      <c r="D32182">
        <v>377</v>
      </c>
      <c r="E32182">
        <v>0</v>
      </c>
      <c r="F32182">
        <v>143</v>
      </c>
    </row>
    <row r="32183" spans="1:6" ht="12.75">
      <c r="A32183" s="2">
        <v>43875.467407407406</v>
      </c>
      <c r="B32183" t="str">
        <f>HYPERLINK("https://twitter.com/rumakso","@rumakso")</f>
        <v>@rumakso</v>
      </c>
      <c r="C32183" t="s">
        <v>8233</v>
      </c>
      <c r="D32183">
        <v>377</v>
      </c>
      <c r="E32183">
        <v>0</v>
      </c>
      <c r="F32183">
        <v>18</v>
      </c>
    </row>
    <row r="32184" spans="1:6" ht="12.75">
      <c r="A32184" s="2">
        <v>43875.467280092591</v>
      </c>
      <c r="B32184" t="str">
        <f>HYPERLINK("https://twitter.com/johhhnygudhel","@johhhnygudhel")</f>
        <v>@johhhnygudhel</v>
      </c>
      <c r="C32184" t="s">
        <v>8233</v>
      </c>
      <c r="D32184">
        <v>377</v>
      </c>
      <c r="E32184">
        <v>0</v>
      </c>
      <c r="F32184">
        <v>2423</v>
      </c>
    </row>
    <row r="32185" spans="1:6" ht="12.75">
      <c r="A32185" s="2">
        <v>43875.467256944445</v>
      </c>
      <c r="B32185" t="str">
        <f>HYPERLINK("https://twitter.com/JapNyedhe","@JapNyedhe")</f>
        <v>@JapNyedhe</v>
      </c>
      <c r="C32185" t="s">
        <v>13440</v>
      </c>
      <c r="D32185">
        <v>0</v>
      </c>
      <c r="E32185">
        <v>0</v>
      </c>
      <c r="F32185">
        <v>2939</v>
      </c>
    </row>
    <row r="32186" spans="1:6" ht="12.75">
      <c r="A32186" s="2">
        <v>43875.467256944445</v>
      </c>
      <c r="B32186" t="str">
        <f>HYPERLINK("https://twitter.com/aulia_mumtaza","@aulia_mumtaza")</f>
        <v>@aulia_mumtaza</v>
      </c>
      <c r="C32186" t="s">
        <v>13441</v>
      </c>
      <c r="D32186">
        <v>0</v>
      </c>
      <c r="E32186">
        <v>0</v>
      </c>
      <c r="F32186">
        <v>756</v>
      </c>
    </row>
    <row r="32187" spans="1:6" ht="12.75">
      <c r="A32187" s="2">
        <v>43875.467210648145</v>
      </c>
      <c r="B32187" t="str">
        <f>HYPERLINK("https://twitter.com/gw_neena","@gw_neena")</f>
        <v>@gw_neena</v>
      </c>
      <c r="C32187" t="s">
        <v>13442</v>
      </c>
      <c r="D32187">
        <v>0</v>
      </c>
      <c r="E32187">
        <v>0</v>
      </c>
      <c r="F32187">
        <v>33</v>
      </c>
    </row>
    <row r="32188" spans="1:6" ht="12.75">
      <c r="A32188" s="2">
        <v>43875.46711805556</v>
      </c>
      <c r="B32188" t="str">
        <f>HYPERLINK("https://twitter.com/ISIS_Balik_NO","@ISIS_Balik_NO")</f>
        <v>@ISIS_Balik_NO</v>
      </c>
      <c r="C32188" t="s">
        <v>13443</v>
      </c>
      <c r="D32188">
        <v>0</v>
      </c>
      <c r="E32188">
        <v>1</v>
      </c>
      <c r="F32188">
        <v>5893</v>
      </c>
    </row>
    <row r="32189" spans="1:6" ht="12.75">
      <c r="A32189" s="2">
        <v>43875.467106481483</v>
      </c>
      <c r="B32189" t="str">
        <f>HYPERLINK("https://twitter.com/BendrisSimon2","@BendrisSimon2")</f>
        <v>@BendrisSimon2</v>
      </c>
      <c r="C32189" t="s">
        <v>13444</v>
      </c>
      <c r="D32189">
        <v>0</v>
      </c>
      <c r="E32189">
        <v>1</v>
      </c>
      <c r="F32189">
        <v>0</v>
      </c>
    </row>
    <row r="32190" spans="1:6" ht="12.75">
      <c r="A32190" s="2">
        <v>43875.467094907406</v>
      </c>
      <c r="B32190" t="str">
        <f>HYPERLINK("https://twitter.com/Orangtimur17","@Orangtimur17")</f>
        <v>@Orangtimur17</v>
      </c>
      <c r="C32190" t="s">
        <v>13445</v>
      </c>
      <c r="D32190">
        <v>46</v>
      </c>
      <c r="E32190">
        <v>0</v>
      </c>
      <c r="F32190">
        <v>3</v>
      </c>
    </row>
    <row r="32191" spans="1:6" ht="12.75">
      <c r="A32191" s="2">
        <v>43875.467060185183</v>
      </c>
      <c r="B32191" t="str">
        <f>HYPERLINK("https://twitter.com/Antara_Kalteng","@Antara_Kalteng")</f>
        <v>@Antara_Kalteng</v>
      </c>
      <c r="C32191" t="s">
        <v>13446</v>
      </c>
      <c r="D32191">
        <v>0</v>
      </c>
      <c r="E32191">
        <v>0</v>
      </c>
      <c r="F32191">
        <v>4631</v>
      </c>
    </row>
    <row r="32192" spans="1:6" ht="12.75">
      <c r="A32192" s="2">
        <v>43875.467037037037</v>
      </c>
      <c r="B32192" t="str">
        <f>HYPERLINK("https://twitter.com/misake89847474","@misake89847474")</f>
        <v>@misake89847474</v>
      </c>
      <c r="C32192" t="s">
        <v>13447</v>
      </c>
      <c r="D32192">
        <v>0</v>
      </c>
      <c r="E32192">
        <v>0</v>
      </c>
      <c r="F32192">
        <v>17</v>
      </c>
    </row>
    <row r="32193" spans="1:6" ht="12.75">
      <c r="A32193" s="2">
        <v>43875.466979166667</v>
      </c>
      <c r="B32193" t="str">
        <f>HYPERLINK("https://twitter.com/t_nophdimana","@t_nophdimana")</f>
        <v>@t_nophdimana</v>
      </c>
      <c r="C32193" t="s">
        <v>8233</v>
      </c>
      <c r="D32193">
        <v>377</v>
      </c>
      <c r="E32193">
        <v>0</v>
      </c>
      <c r="F32193">
        <v>567</v>
      </c>
    </row>
    <row r="32194" spans="1:6" ht="12.75">
      <c r="A32194" s="2">
        <v>43875.466956018514</v>
      </c>
      <c r="B32194" t="str">
        <f>HYPERLINK("https://twitter.com/TeddyGusnaidi","@TeddyGusnaidi")</f>
        <v>@TeddyGusnaidi</v>
      </c>
      <c r="C32194" t="s">
        <v>13448</v>
      </c>
      <c r="D32194">
        <v>3</v>
      </c>
      <c r="E32194">
        <v>18</v>
      </c>
      <c r="F32194">
        <v>84344</v>
      </c>
    </row>
    <row r="32195" spans="1:6" ht="12.75">
      <c r="A32195" s="2">
        <v>43875.466909722221</v>
      </c>
      <c r="B32195" t="str">
        <f>HYPERLINK("https://twitter.com/dianajesau","@dianajesau")</f>
        <v>@dianajesau</v>
      </c>
      <c r="C32195" t="s">
        <v>13449</v>
      </c>
      <c r="D32195">
        <v>0</v>
      </c>
      <c r="E32195">
        <v>0</v>
      </c>
      <c r="F32195">
        <v>174</v>
      </c>
    </row>
    <row r="32196" spans="1:6" ht="12.75">
      <c r="A32196" s="2">
        <v>43875.466886574075</v>
      </c>
      <c r="B32196" t="str">
        <f>HYPERLINK("https://twitter.com/marni_marsum","@marni_marsum")</f>
        <v>@marni_marsum</v>
      </c>
      <c r="C32196" t="s">
        <v>13450</v>
      </c>
      <c r="D32196">
        <v>0</v>
      </c>
      <c r="E32196">
        <v>0</v>
      </c>
      <c r="F32196">
        <v>5</v>
      </c>
    </row>
    <row r="32197" spans="1:6" ht="12.75">
      <c r="A32197" s="2">
        <v>43875.466874999998</v>
      </c>
      <c r="B32197" t="str">
        <f>HYPERLINK("https://twitter.com/d_zinbawe","@d_zinbawe")</f>
        <v>@d_zinbawe</v>
      </c>
      <c r="C32197" t="s">
        <v>10397</v>
      </c>
      <c r="D32197">
        <v>69</v>
      </c>
      <c r="E32197">
        <v>0</v>
      </c>
      <c r="F32197">
        <v>144</v>
      </c>
    </row>
    <row r="32198" spans="1:6" ht="12.75">
      <c r="A32198" s="2">
        <v>43875.466504629629</v>
      </c>
      <c r="B32198" t="str">
        <f>HYPERLINK("https://twitter.com/SayaIndonesia07","@SayaIndonesia07")</f>
        <v>@SayaIndonesia07</v>
      </c>
      <c r="C32198" t="s">
        <v>13451</v>
      </c>
      <c r="D32198">
        <v>0</v>
      </c>
      <c r="E32198">
        <v>0</v>
      </c>
      <c r="F32198">
        <v>56</v>
      </c>
    </row>
    <row r="32199" spans="1:6" ht="12.75">
      <c r="A32199" s="2">
        <v>43875.466469907406</v>
      </c>
      <c r="B32199" t="str">
        <f>HYPERLINK("https://twitter.com/misake89847474","@misake89847474")</f>
        <v>@misake89847474</v>
      </c>
      <c r="C32199" t="s">
        <v>13452</v>
      </c>
      <c r="D32199">
        <v>0</v>
      </c>
      <c r="E32199">
        <v>0</v>
      </c>
      <c r="F32199">
        <v>17</v>
      </c>
    </row>
    <row r="32200" spans="1:6" ht="12.75">
      <c r="A32200" s="2">
        <v>43875.466400462959</v>
      </c>
      <c r="B32200" t="str">
        <f>HYPERLINK("https://twitter.com/firdauslaila07","@firdauslaila07")</f>
        <v>@firdauslaila07</v>
      </c>
      <c r="C32200" t="s">
        <v>13453</v>
      </c>
      <c r="D32200">
        <v>0</v>
      </c>
      <c r="E32200">
        <v>0</v>
      </c>
      <c r="F32200">
        <v>53</v>
      </c>
    </row>
    <row r="32201" spans="1:6" ht="12.75">
      <c r="A32201" s="2">
        <v>43875.46638888889</v>
      </c>
      <c r="B32201" t="str">
        <f>HYPERLINK("https://twitter.com/ipungkurnia","@ipungkurnia")</f>
        <v>@ipungkurnia</v>
      </c>
      <c r="C32201" t="s">
        <v>9113</v>
      </c>
      <c r="D32201">
        <v>273</v>
      </c>
      <c r="E32201">
        <v>0</v>
      </c>
      <c r="F32201">
        <v>95</v>
      </c>
    </row>
    <row r="32202" spans="1:6" ht="12.75">
      <c r="A32202" s="2">
        <v>43875.466377314813</v>
      </c>
      <c r="B32202" t="str">
        <f>HYPERLINK("https://twitter.com/Rachman19661","@Rachman19661")</f>
        <v>@Rachman19661</v>
      </c>
      <c r="C32202" t="s">
        <v>10859</v>
      </c>
      <c r="D32202">
        <v>29</v>
      </c>
      <c r="E32202">
        <v>0</v>
      </c>
      <c r="F32202">
        <v>1214</v>
      </c>
    </row>
    <row r="32203" spans="1:6" ht="12.75">
      <c r="A32203" s="2">
        <v>43875.466377314813</v>
      </c>
      <c r="B32203" t="str">
        <f>HYPERLINK("https://twitter.com/Nonameseri2","@Nonameseri2")</f>
        <v>@Nonameseri2</v>
      </c>
      <c r="C32203" t="s">
        <v>13454</v>
      </c>
      <c r="D32203">
        <v>0</v>
      </c>
      <c r="E32203">
        <v>0</v>
      </c>
      <c r="F32203">
        <v>10</v>
      </c>
    </row>
    <row r="32204" spans="1:6" ht="12.75">
      <c r="A32204" s="2">
        <v>43875.466342592597</v>
      </c>
      <c r="B32204" t="str">
        <f>HYPERLINK("https://twitter.com/Susanto13895819","@Susanto13895819")</f>
        <v>@Susanto13895819</v>
      </c>
      <c r="C32204" t="s">
        <v>2122</v>
      </c>
      <c r="D32204">
        <v>191</v>
      </c>
      <c r="E32204">
        <v>0</v>
      </c>
      <c r="F32204">
        <v>219</v>
      </c>
    </row>
    <row r="32205" spans="1:6" ht="12.75">
      <c r="A32205" s="2">
        <v>43875.466296296298</v>
      </c>
      <c r="B32205" t="str">
        <f>HYPERLINK("https://twitter.com/GerryMurlianda","@GerryMurlianda")</f>
        <v>@GerryMurlianda</v>
      </c>
      <c r="C32205" t="s">
        <v>10109</v>
      </c>
      <c r="D32205">
        <v>12</v>
      </c>
      <c r="E32205">
        <v>0</v>
      </c>
      <c r="F32205">
        <v>208</v>
      </c>
    </row>
    <row r="32206" spans="1:6" ht="12.75">
      <c r="A32206" s="2">
        <v>43875.466261574074</v>
      </c>
      <c r="B32206" t="str">
        <f>HYPERLINK("https://twitter.com/neolbichune","@neolbichune")</f>
        <v>@neolbichune</v>
      </c>
      <c r="C32206" t="s">
        <v>9964</v>
      </c>
      <c r="D32206">
        <v>532</v>
      </c>
      <c r="E32206">
        <v>0</v>
      </c>
      <c r="F32206">
        <v>3127</v>
      </c>
    </row>
    <row r="32207" spans="1:6" ht="12.75">
      <c r="A32207" s="2">
        <v>43875.466249999998</v>
      </c>
      <c r="B32207" t="str">
        <f>HYPERLINK("https://twitter.com/iamrhidayat","@iamrhidayat")</f>
        <v>@iamrhidayat</v>
      </c>
      <c r="C32207" t="s">
        <v>13455</v>
      </c>
      <c r="D32207">
        <v>0</v>
      </c>
      <c r="E32207">
        <v>1</v>
      </c>
      <c r="F32207">
        <v>229</v>
      </c>
    </row>
    <row r="32208" spans="1:6" ht="12.75">
      <c r="A32208" s="2">
        <v>43875.466238425928</v>
      </c>
      <c r="B32208" t="str">
        <f>HYPERLINK("https://twitter.com/batamtoday","@batamtoday")</f>
        <v>@batamtoday</v>
      </c>
      <c r="C32208" t="s">
        <v>13456</v>
      </c>
      <c r="D32208">
        <v>0</v>
      </c>
      <c r="E32208">
        <v>0</v>
      </c>
      <c r="F32208">
        <v>27063</v>
      </c>
    </row>
    <row r="32209" spans="1:6" ht="12.75">
      <c r="A32209" s="2">
        <v>43875.466226851851</v>
      </c>
      <c r="B32209" t="str">
        <f>HYPERLINK("https://twitter.com/bagaskara","@bagaskara")</f>
        <v>@bagaskara</v>
      </c>
      <c r="C32209" t="s">
        <v>5168</v>
      </c>
      <c r="D32209">
        <v>540</v>
      </c>
      <c r="E32209">
        <v>0</v>
      </c>
      <c r="F32209">
        <v>824</v>
      </c>
    </row>
    <row r="32210" spans="1:6" ht="12.75">
      <c r="A32210" s="2">
        <v>43875.466145833328</v>
      </c>
      <c r="B32210" t="str">
        <f>HYPERLINK("https://twitter.com/Rundhiana_Acenk","@Rundhiana_Acenk")</f>
        <v>@Rundhiana_Acenk</v>
      </c>
      <c r="C32210" t="s">
        <v>9021</v>
      </c>
      <c r="D32210">
        <v>176</v>
      </c>
      <c r="E32210">
        <v>0</v>
      </c>
      <c r="F32210">
        <v>458</v>
      </c>
    </row>
    <row r="32211" spans="1:6" ht="12.75">
      <c r="A32211" s="2">
        <v>43875.466122685189</v>
      </c>
      <c r="B32211" t="str">
        <f>HYPERLINK("https://twitter.com/feri4070","@feri4070")</f>
        <v>@feri4070</v>
      </c>
      <c r="C32211" t="s">
        <v>13457</v>
      </c>
      <c r="D32211">
        <v>0</v>
      </c>
      <c r="E32211">
        <v>0</v>
      </c>
      <c r="F32211">
        <v>13</v>
      </c>
    </row>
    <row r="32212" spans="1:6" ht="12.75">
      <c r="A32212" s="2">
        <v>43875.465995370367</v>
      </c>
      <c r="B32212" t="str">
        <f>HYPERLINK("https://twitter.com/suaradotcom","@suaradotcom")</f>
        <v>@suaradotcom</v>
      </c>
      <c r="C32212" t="s">
        <v>13458</v>
      </c>
      <c r="D32212">
        <v>0</v>
      </c>
      <c r="E32212">
        <v>0</v>
      </c>
      <c r="F32212">
        <v>24163</v>
      </c>
    </row>
    <row r="32213" spans="1:6" ht="12.75">
      <c r="A32213" s="2">
        <v>43875.465937500005</v>
      </c>
      <c r="B32213" t="str">
        <f>HYPERLINK("https://twitter.com/BebAyu28","@BebAyu28")</f>
        <v>@BebAyu28</v>
      </c>
      <c r="C32213" t="s">
        <v>10109</v>
      </c>
      <c r="D32213">
        <v>12</v>
      </c>
      <c r="E32213">
        <v>0</v>
      </c>
      <c r="F32213">
        <v>3100</v>
      </c>
    </row>
    <row r="32214" spans="1:6" ht="12.75">
      <c r="A32214" s="2">
        <v>43875.465902777782</v>
      </c>
      <c r="B32214" t="str">
        <f>HYPERLINK("https://twitter.com/misake89847474","@misake89847474")</f>
        <v>@misake89847474</v>
      </c>
      <c r="C32214" t="s">
        <v>13459</v>
      </c>
      <c r="D32214">
        <v>0</v>
      </c>
      <c r="E32214">
        <v>0</v>
      </c>
      <c r="F32214">
        <v>17</v>
      </c>
    </row>
    <row r="32215" spans="1:6" ht="12.75">
      <c r="A32215" s="2">
        <v>43875.465891203705</v>
      </c>
      <c r="B32215" t="str">
        <f>HYPERLINK("https://twitter.com/Niel2804","@Niel2804")</f>
        <v>@Niel2804</v>
      </c>
      <c r="C32215" t="s">
        <v>2444</v>
      </c>
      <c r="D32215">
        <v>206</v>
      </c>
      <c r="E32215">
        <v>0</v>
      </c>
      <c r="F32215">
        <v>108</v>
      </c>
    </row>
    <row r="32216" spans="1:6" ht="12.75">
      <c r="A32216" s="2">
        <v>43875.465868055559</v>
      </c>
      <c r="B32216" t="str">
        <f>HYPERLINK("https://twitter.com/1hsan","@1hsan")</f>
        <v>@1hsan</v>
      </c>
      <c r="C32216" t="s">
        <v>10407</v>
      </c>
      <c r="D32216">
        <v>44</v>
      </c>
      <c r="E32216">
        <v>0</v>
      </c>
      <c r="F32216">
        <v>234</v>
      </c>
    </row>
    <row r="32217" spans="1:6" ht="12.75">
      <c r="A32217" s="2">
        <v>43875.465833333335</v>
      </c>
      <c r="B32217" t="str">
        <f>HYPERLINK("https://twitter.com/AriePutraWijay1","@AriePutraWijay1")</f>
        <v>@AriePutraWijay1</v>
      </c>
      <c r="C32217" t="s">
        <v>2444</v>
      </c>
      <c r="D32217">
        <v>206</v>
      </c>
      <c r="E32217">
        <v>0</v>
      </c>
      <c r="F32217">
        <v>120</v>
      </c>
    </row>
    <row r="32218" spans="1:6" ht="12.75">
      <c r="A32218" s="2">
        <v>43875.465729166666</v>
      </c>
      <c r="B32218" t="str">
        <f>HYPERLINK("https://twitter.com/marSyaheedAS","@marSyaheedAS")</f>
        <v>@marSyaheedAS</v>
      </c>
      <c r="C32218" t="s">
        <v>10109</v>
      </c>
      <c r="D32218">
        <v>12</v>
      </c>
      <c r="E32218">
        <v>0</v>
      </c>
      <c r="F32218">
        <v>1935</v>
      </c>
    </row>
    <row r="32219" spans="1:6" ht="12.75">
      <c r="A32219" s="2">
        <v>43875.46570601852</v>
      </c>
      <c r="B32219" t="str">
        <f>HYPERLINK("https://twitter.com/sj_herry","@sj_herry")</f>
        <v>@sj_herry</v>
      </c>
      <c r="C32219" t="s">
        <v>13460</v>
      </c>
      <c r="D32219">
        <v>0</v>
      </c>
      <c r="E32219">
        <v>0</v>
      </c>
      <c r="F32219">
        <v>339</v>
      </c>
    </row>
    <row r="32220" spans="1:6" ht="12.75">
      <c r="A32220" s="2">
        <v>43875.465578703705</v>
      </c>
      <c r="B32220" t="str">
        <f>HYPERLINK("https://twitter.com/reganfarma","@reganfarma")</f>
        <v>@reganfarma</v>
      </c>
      <c r="C32220" t="s">
        <v>10109</v>
      </c>
      <c r="D32220">
        <v>12</v>
      </c>
      <c r="E32220">
        <v>0</v>
      </c>
      <c r="F32220">
        <v>472</v>
      </c>
    </row>
    <row r="32221" spans="1:6" ht="12.75">
      <c r="A32221" s="2">
        <v>43875.465486111112</v>
      </c>
      <c r="B32221" t="str">
        <f>HYPERLINK("https://twitter.com/Sayang_NKRI","@Sayang_NKRI")</f>
        <v>@Sayang_NKRI</v>
      </c>
      <c r="C32221" t="s">
        <v>10032</v>
      </c>
      <c r="D32221">
        <v>28</v>
      </c>
      <c r="E32221">
        <v>0</v>
      </c>
      <c r="F32221">
        <v>247</v>
      </c>
    </row>
    <row r="32222" spans="1:6" ht="12.75">
      <c r="A32222" s="2">
        <v>43875.46539351852</v>
      </c>
      <c r="B32222" t="str">
        <f>HYPERLINK("https://twitter.com/misake89847474","@misake89847474")</f>
        <v>@misake89847474</v>
      </c>
      <c r="C32222" t="s">
        <v>13461</v>
      </c>
      <c r="D32222">
        <v>0</v>
      </c>
      <c r="E32222">
        <v>0</v>
      </c>
      <c r="F32222">
        <v>17</v>
      </c>
    </row>
    <row r="32223" spans="1:6" ht="12.75">
      <c r="A32223" s="2">
        <v>43875.465300925927</v>
      </c>
      <c r="B32223" t="str">
        <f>HYPERLINK("https://twitter.com/jawapostv","@jawapostv")</f>
        <v>@jawapostv</v>
      </c>
      <c r="C32223" t="s">
        <v>13462</v>
      </c>
      <c r="D32223">
        <v>0</v>
      </c>
      <c r="E32223">
        <v>0</v>
      </c>
      <c r="F32223">
        <v>5305</v>
      </c>
    </row>
    <row r="32224" spans="1:6" ht="12.75">
      <c r="A32224" s="2">
        <v>43875.465277777781</v>
      </c>
      <c r="B32224" t="str">
        <f>HYPERLINK("https://twitter.com/BaskoroKata","@BaskoroKata")</f>
        <v>@BaskoroKata</v>
      </c>
      <c r="C32224" t="s">
        <v>13463</v>
      </c>
      <c r="D32224">
        <v>2</v>
      </c>
      <c r="E32224">
        <v>5</v>
      </c>
      <c r="F32224">
        <v>1101</v>
      </c>
    </row>
    <row r="32225" spans="1:6" ht="12.75">
      <c r="A32225" s="2">
        <v>43875.465115740742</v>
      </c>
      <c r="B32225" t="str">
        <f>HYPERLINK("https://twitter.com/arepanwar","@arepanwar")</f>
        <v>@arepanwar</v>
      </c>
      <c r="C32225" t="s">
        <v>5168</v>
      </c>
      <c r="D32225">
        <v>540</v>
      </c>
      <c r="E32225">
        <v>0</v>
      </c>
      <c r="F32225">
        <v>472</v>
      </c>
    </row>
    <row r="32226" spans="1:6" ht="12.75">
      <c r="A32226" s="2">
        <v>43875.46503472222</v>
      </c>
      <c r="B32226" t="str">
        <f>HYPERLINK("https://twitter.com/tama_tamaras","@tama_tamaras")</f>
        <v>@tama_tamaras</v>
      </c>
      <c r="C32226" t="s">
        <v>13464</v>
      </c>
      <c r="D32226">
        <v>0</v>
      </c>
      <c r="E32226">
        <v>0</v>
      </c>
      <c r="F32226">
        <v>538</v>
      </c>
    </row>
    <row r="32227" spans="1:6" ht="12.75">
      <c r="A32227" s="2">
        <v>43875.46497685185</v>
      </c>
      <c r="B32227" t="str">
        <f>HYPERLINK("https://twitter.com/feri4070","@feri4070")</f>
        <v>@feri4070</v>
      </c>
      <c r="C32227" t="s">
        <v>13465</v>
      </c>
      <c r="D32227">
        <v>0</v>
      </c>
      <c r="E32227">
        <v>0</v>
      </c>
      <c r="F32227">
        <v>13</v>
      </c>
    </row>
    <row r="32228" spans="1:6" ht="12.75">
      <c r="A32228" s="2">
        <v>43875.464895833335</v>
      </c>
      <c r="B32228" t="str">
        <f>HYPERLINK("https://twitter.com/jatmikoWwidodo","@jatmikoWwidodo")</f>
        <v>@jatmikoWwidodo</v>
      </c>
      <c r="C32228" t="s">
        <v>9096</v>
      </c>
      <c r="D32228">
        <v>179</v>
      </c>
      <c r="E32228">
        <v>0</v>
      </c>
      <c r="F32228">
        <v>1072</v>
      </c>
    </row>
    <row r="32229" spans="1:6" ht="12.75">
      <c r="A32229" s="2">
        <v>43875.464791666665</v>
      </c>
      <c r="B32229" t="str">
        <f>HYPERLINK("https://twitter.com/cutwies","@cutwies")</f>
        <v>@cutwies</v>
      </c>
      <c r="C32229" t="s">
        <v>13466</v>
      </c>
      <c r="D32229">
        <v>0</v>
      </c>
      <c r="E32229">
        <v>0</v>
      </c>
      <c r="F32229">
        <v>4402</v>
      </c>
    </row>
    <row r="32230" spans="1:6" ht="12.75">
      <c r="A32230" s="2">
        <v>43875.464675925927</v>
      </c>
      <c r="B32230" t="str">
        <f>HYPERLINK("https://twitter.com/idntimes","@idntimes")</f>
        <v>@idntimes</v>
      </c>
      <c r="C32230" t="s">
        <v>13467</v>
      </c>
      <c r="D32230">
        <v>0</v>
      </c>
      <c r="E32230">
        <v>0</v>
      </c>
      <c r="F32230">
        <v>392642</v>
      </c>
    </row>
    <row r="32231" spans="1:6" ht="12.75">
      <c r="A32231" s="2">
        <v>43875.464641203704</v>
      </c>
      <c r="B32231" t="str">
        <f>HYPERLINK("https://twitter.com/ISIS_Balik_NO","@ISIS_Balik_NO")</f>
        <v>@ISIS_Balik_NO</v>
      </c>
      <c r="C32231" t="s">
        <v>13468</v>
      </c>
      <c r="D32231">
        <v>0</v>
      </c>
      <c r="E32231">
        <v>0</v>
      </c>
      <c r="F32231">
        <v>5893</v>
      </c>
    </row>
    <row r="32232" spans="1:6" ht="12.75">
      <c r="A32232" s="2">
        <v>43875.464583333334</v>
      </c>
      <c r="B32232" t="str">
        <f>HYPERLINK("https://twitter.com/GinanjarMulia","@GinanjarMulia")</f>
        <v>@GinanjarMulia</v>
      </c>
      <c r="C32232" t="s">
        <v>13469</v>
      </c>
      <c r="D32232">
        <v>3</v>
      </c>
      <c r="E32232">
        <v>0</v>
      </c>
      <c r="F32232">
        <v>262</v>
      </c>
    </row>
    <row r="32233" spans="1:6" ht="12.75">
      <c r="A32233" s="2">
        <v>43875.464490740742</v>
      </c>
      <c r="B32233" t="str">
        <f>HYPERLINK("https://twitter.com/bysrn25","@bysrn25")</f>
        <v>@bysrn25</v>
      </c>
      <c r="C32233" t="s">
        <v>13405</v>
      </c>
      <c r="D32233">
        <v>2</v>
      </c>
      <c r="E32233">
        <v>0</v>
      </c>
      <c r="F32233">
        <v>123</v>
      </c>
    </row>
    <row r="32234" spans="1:6" ht="12.75">
      <c r="A32234" s="2">
        <v>43875.464490740742</v>
      </c>
      <c r="B32234" t="str">
        <f>HYPERLINK("https://twitter.com/jemijemiii","@jemijemiii")</f>
        <v>@jemijemiii</v>
      </c>
      <c r="C32234" t="s">
        <v>2444</v>
      </c>
      <c r="D32234">
        <v>206</v>
      </c>
      <c r="E32234">
        <v>0</v>
      </c>
      <c r="F32234">
        <v>466</v>
      </c>
    </row>
    <row r="32235" spans="1:6" ht="12.75">
      <c r="A32235" s="2">
        <v>43875.464456018519</v>
      </c>
      <c r="B32235" t="str">
        <f>HYPERLINK("https://twitter.com/AlisonCandi","@AlisonCandi")</f>
        <v>@AlisonCandi</v>
      </c>
      <c r="C32235" t="s">
        <v>2963</v>
      </c>
      <c r="D32235">
        <v>723</v>
      </c>
      <c r="E32235">
        <v>0</v>
      </c>
      <c r="F32235">
        <v>33</v>
      </c>
    </row>
    <row r="32236" spans="1:6" ht="12.75">
      <c r="A32236" s="2">
        <v>43875.464444444442</v>
      </c>
      <c r="B32236" t="str">
        <f>HYPERLINK("https://twitter.com/mutiarazn","@mutiarazn")</f>
        <v>@mutiarazn</v>
      </c>
      <c r="C32236" t="s">
        <v>2444</v>
      </c>
      <c r="D32236">
        <v>206</v>
      </c>
      <c r="E32236">
        <v>0</v>
      </c>
      <c r="F32236">
        <v>672</v>
      </c>
    </row>
    <row r="32237" spans="1:6" ht="12.75">
      <c r="A32237" s="2">
        <v>43875.464421296296</v>
      </c>
      <c r="B32237" t="str">
        <f>HYPERLINK("https://twitter.com/Rhino81380979","@Rhino81380979")</f>
        <v>@Rhino81380979</v>
      </c>
      <c r="C32237" t="s">
        <v>9113</v>
      </c>
      <c r="D32237">
        <v>273</v>
      </c>
      <c r="E32237">
        <v>0</v>
      </c>
      <c r="F32237">
        <v>56</v>
      </c>
    </row>
    <row r="32238" spans="1:6" ht="12.75">
      <c r="A32238" s="2">
        <v>43875.464340277773</v>
      </c>
      <c r="B32238" t="str">
        <f>HYPERLINK("https://twitter.com/Tju_Lee","@Tju_Lee")</f>
        <v>@Tju_Lee</v>
      </c>
      <c r="C32238" t="s">
        <v>10096</v>
      </c>
      <c r="D32238">
        <v>95</v>
      </c>
      <c r="E32238">
        <v>0</v>
      </c>
      <c r="F32238">
        <v>752</v>
      </c>
    </row>
    <row r="32239" spans="1:6" ht="12.75">
      <c r="A32239" s="2">
        <v>43875.464270833334</v>
      </c>
      <c r="B32239" t="str">
        <f>HYPERLINK("https://twitter.com/corona_karma","@corona_karma")</f>
        <v>@corona_karma</v>
      </c>
      <c r="C32239" t="s">
        <v>9746</v>
      </c>
      <c r="D32239">
        <v>66</v>
      </c>
      <c r="E32239">
        <v>0</v>
      </c>
      <c r="F32239">
        <v>685</v>
      </c>
    </row>
    <row r="32240" spans="1:6" ht="12.75">
      <c r="A32240" s="2">
        <v>43875.464247685188</v>
      </c>
      <c r="B32240" t="str">
        <f>HYPERLINK("https://twitter.com/teertaa","@teertaa")</f>
        <v>@teertaa</v>
      </c>
      <c r="C32240" t="s">
        <v>13470</v>
      </c>
      <c r="D32240">
        <v>0</v>
      </c>
      <c r="E32240">
        <v>0</v>
      </c>
      <c r="F32240">
        <v>314</v>
      </c>
    </row>
    <row r="32241" spans="1:6" ht="12.75">
      <c r="A32241" s="2">
        <v>43875.464236111111</v>
      </c>
      <c r="B32241" t="str">
        <f>HYPERLINK("https://twitter.com/excerpt999","@excerpt999")</f>
        <v>@excerpt999</v>
      </c>
      <c r="C32241" t="s">
        <v>2444</v>
      </c>
      <c r="D32241">
        <v>206</v>
      </c>
      <c r="E32241">
        <v>0</v>
      </c>
      <c r="F32241">
        <v>592</v>
      </c>
    </row>
    <row r="32242" spans="1:6" ht="12.75">
      <c r="A32242" s="2">
        <v>43875.464224537034</v>
      </c>
      <c r="B32242" t="str">
        <f>HYPERLINK("https://twitter.com/sihir_kopi","@sihir_kopi")</f>
        <v>@sihir_kopi</v>
      </c>
      <c r="C32242" t="s">
        <v>13471</v>
      </c>
      <c r="D32242">
        <v>5</v>
      </c>
      <c r="E32242">
        <v>0</v>
      </c>
      <c r="F32242">
        <v>89</v>
      </c>
    </row>
    <row r="32243" spans="1:6" ht="12.75">
      <c r="A32243" s="2">
        <v>43875.464097222226</v>
      </c>
      <c r="B32243" t="str">
        <f>HYPERLINK("https://twitter.com/JiuOppa","@JiuOppa")</f>
        <v>@JiuOppa</v>
      </c>
      <c r="C32243" t="s">
        <v>2963</v>
      </c>
      <c r="D32243">
        <v>723</v>
      </c>
      <c r="E32243">
        <v>0</v>
      </c>
      <c r="F32243">
        <v>748</v>
      </c>
    </row>
    <row r="32244" spans="1:6" ht="12.75">
      <c r="A32244" s="2">
        <v>43875.464062500003</v>
      </c>
      <c r="B32244" t="str">
        <f>HYPERLINK("https://twitter.com/kartini56","@kartini56")</f>
        <v>@kartini56</v>
      </c>
      <c r="C32244" t="s">
        <v>13472</v>
      </c>
      <c r="D32244">
        <v>0</v>
      </c>
      <c r="E32244">
        <v>0</v>
      </c>
      <c r="F32244">
        <v>1052</v>
      </c>
    </row>
    <row r="32245" spans="1:6" ht="12.75">
      <c r="A32245" s="2">
        <v>43875.464004629626</v>
      </c>
      <c r="B32245" t="str">
        <f>HYPERLINK("https://twitter.com/Jackelkotjo","@Jackelkotjo")</f>
        <v>@Jackelkotjo</v>
      </c>
      <c r="C32245" t="s">
        <v>2963</v>
      </c>
      <c r="D32245">
        <v>723</v>
      </c>
      <c r="E32245">
        <v>0</v>
      </c>
      <c r="F32245">
        <v>609</v>
      </c>
    </row>
    <row r="32246" spans="1:6" ht="12.75">
      <c r="A32246" s="2">
        <v>43875.463854166665</v>
      </c>
      <c r="B32246" t="str">
        <f>HYPERLINK("https://twitter.com/kusmansadik","@kusmansadik")</f>
        <v>@kusmansadik</v>
      </c>
      <c r="C32246" t="s">
        <v>9746</v>
      </c>
      <c r="D32246">
        <v>66</v>
      </c>
      <c r="E32246">
        <v>0</v>
      </c>
      <c r="F32246">
        <v>9724</v>
      </c>
    </row>
    <row r="32247" spans="1:6" ht="12.75">
      <c r="A32247" s="2">
        <v>43875.463807870372</v>
      </c>
      <c r="B32247" t="str">
        <f>HYPERLINK("https://twitter.com/duckuuu","@duckuuu")</f>
        <v>@duckuuu</v>
      </c>
      <c r="C32247" t="s">
        <v>9964</v>
      </c>
      <c r="D32247">
        <v>532</v>
      </c>
      <c r="E32247">
        <v>0</v>
      </c>
      <c r="F32247">
        <v>144</v>
      </c>
    </row>
    <row r="32248" spans="1:6" ht="12.75">
      <c r="A32248" s="2">
        <v>43875.463645833333</v>
      </c>
      <c r="B32248" t="str">
        <f>HYPERLINK("https://twitter.com/MataJiwa6","@MataJiwa6")</f>
        <v>@MataJiwa6</v>
      </c>
      <c r="C32248" t="s">
        <v>13473</v>
      </c>
      <c r="D32248">
        <v>4</v>
      </c>
      <c r="E32248">
        <v>0</v>
      </c>
      <c r="F32248">
        <v>260</v>
      </c>
    </row>
    <row r="32249" spans="1:6" ht="12.75">
      <c r="A32249" s="2">
        <v>43875.463622685187</v>
      </c>
      <c r="B32249" t="str">
        <f>HYPERLINK("https://twitter.com/heolhansol","@heolhansol")</f>
        <v>@heolhansol</v>
      </c>
      <c r="C32249" t="s">
        <v>9964</v>
      </c>
      <c r="D32249">
        <v>532</v>
      </c>
      <c r="E32249">
        <v>0</v>
      </c>
      <c r="F32249">
        <v>810</v>
      </c>
    </row>
    <row r="32250" spans="1:6" ht="12.75">
      <c r="A32250" s="2">
        <v>43875.46361111111</v>
      </c>
      <c r="B32250" t="str">
        <f>HYPERLINK("https://twitter.com/morgangerry","@morgangerry")</f>
        <v>@morgangerry</v>
      </c>
      <c r="C32250" t="s">
        <v>13474</v>
      </c>
      <c r="D32250">
        <v>0</v>
      </c>
      <c r="E32250">
        <v>0</v>
      </c>
      <c r="F32250">
        <v>447</v>
      </c>
    </row>
    <row r="32251" spans="1:6" ht="12.75">
      <c r="A32251" s="2">
        <v>43875.463599537034</v>
      </c>
      <c r="B32251" t="str">
        <f>HYPERLINK("https://twitter.com/jheavenhome","@jheavenhome")</f>
        <v>@jheavenhome</v>
      </c>
      <c r="C32251" t="s">
        <v>2963</v>
      </c>
      <c r="D32251">
        <v>723</v>
      </c>
      <c r="E32251">
        <v>0</v>
      </c>
      <c r="F32251">
        <v>2232</v>
      </c>
    </row>
    <row r="32252" spans="1:6" ht="12.75">
      <c r="A32252" s="2">
        <v>43875.463599537034</v>
      </c>
      <c r="B32252" t="str">
        <f>HYPERLINK("https://twitter.com/tama_tamaras","@tama_tamaras")</f>
        <v>@tama_tamaras</v>
      </c>
      <c r="C32252" t="s">
        <v>13475</v>
      </c>
      <c r="D32252">
        <v>0</v>
      </c>
      <c r="E32252">
        <v>0</v>
      </c>
      <c r="F32252">
        <v>538</v>
      </c>
    </row>
    <row r="32253" spans="1:6" ht="12.75">
      <c r="A32253" s="2">
        <v>43875.463576388887</v>
      </c>
      <c r="B32253" t="str">
        <f>HYPERLINK("https://twitter.com/concatenate_","@concatenate_")</f>
        <v>@concatenate_</v>
      </c>
      <c r="C32253" t="s">
        <v>13476</v>
      </c>
      <c r="D32253">
        <v>0</v>
      </c>
      <c r="E32253">
        <v>1</v>
      </c>
      <c r="F32253">
        <v>13</v>
      </c>
    </row>
    <row r="32254" spans="1:6" ht="12.75">
      <c r="A32254" s="2">
        <v>43875.463541666672</v>
      </c>
      <c r="B32254" t="str">
        <f>HYPERLINK("https://twitter.com/myatharva","@myatharva")</f>
        <v>@myatharva</v>
      </c>
      <c r="C32254" t="s">
        <v>13003</v>
      </c>
      <c r="D32254">
        <v>4</v>
      </c>
      <c r="E32254">
        <v>0</v>
      </c>
      <c r="F32254">
        <v>4008</v>
      </c>
    </row>
    <row r="32255" spans="1:6" ht="12.75">
      <c r="A32255" s="2">
        <v>43875.463506944448</v>
      </c>
      <c r="B32255" t="str">
        <f>HYPERLINK("https://twitter.com/tsintaniarsy","@tsintaniarsy")</f>
        <v>@tsintaniarsy</v>
      </c>
      <c r="C32255" t="s">
        <v>8233</v>
      </c>
      <c r="D32255">
        <v>377</v>
      </c>
      <c r="E32255">
        <v>0</v>
      </c>
      <c r="F32255">
        <v>363</v>
      </c>
    </row>
    <row r="32256" spans="1:6" ht="12.75">
      <c r="A32256" s="2">
        <v>43875.463368055556</v>
      </c>
      <c r="B32256" t="str">
        <f>HYPERLINK("https://twitter.com/feril_edwin","@feril_edwin")</f>
        <v>@feril_edwin</v>
      </c>
      <c r="C32256" t="s">
        <v>13477</v>
      </c>
      <c r="D32256">
        <v>20</v>
      </c>
      <c r="E32256">
        <v>0</v>
      </c>
      <c r="F32256">
        <v>141</v>
      </c>
    </row>
    <row r="32257" spans="1:6" ht="12.75">
      <c r="A32257" s="2">
        <v>43875.463368055556</v>
      </c>
      <c r="B32257" t="str">
        <f>HYPERLINK("https://twitter.com/bimasaktigtg","@bimasaktigtg")</f>
        <v>@bimasaktigtg</v>
      </c>
      <c r="C32257" t="s">
        <v>2963</v>
      </c>
      <c r="D32257">
        <v>723</v>
      </c>
      <c r="E32257">
        <v>0</v>
      </c>
      <c r="F32257">
        <v>71</v>
      </c>
    </row>
    <row r="32258" spans="1:6" ht="12.75">
      <c r="A32258" s="2">
        <v>43875.463333333333</v>
      </c>
      <c r="B32258" t="str">
        <f>HYPERLINK("https://twitter.com/Rachman19661","@Rachman19661")</f>
        <v>@Rachman19661</v>
      </c>
      <c r="C32258" t="s">
        <v>9096</v>
      </c>
      <c r="D32258">
        <v>179</v>
      </c>
      <c r="E32258">
        <v>0</v>
      </c>
      <c r="F32258">
        <v>1214</v>
      </c>
    </row>
    <row r="32259" spans="1:6" ht="12.75">
      <c r="A32259" s="2">
        <v>43875.463321759264</v>
      </c>
      <c r="B32259" t="str">
        <f>HYPERLINK("https://twitter.com/sigilipufredian","@sigilipufredian")</f>
        <v>@sigilipufredian</v>
      </c>
      <c r="C32259" t="s">
        <v>10526</v>
      </c>
      <c r="D32259">
        <v>126</v>
      </c>
      <c r="E32259">
        <v>0</v>
      </c>
      <c r="F32259">
        <v>247</v>
      </c>
    </row>
    <row r="32260" spans="1:6" ht="12.75">
      <c r="A32260" s="2">
        <v>43875.463321759264</v>
      </c>
      <c r="B32260" t="str">
        <f>HYPERLINK("https://twitter.com/ind017845","@ind017845")</f>
        <v>@ind017845</v>
      </c>
      <c r="C32260" t="s">
        <v>13478</v>
      </c>
      <c r="D32260">
        <v>0</v>
      </c>
      <c r="E32260">
        <v>0</v>
      </c>
      <c r="F32260">
        <v>46</v>
      </c>
    </row>
    <row r="32261" spans="1:6" ht="12.75">
      <c r="A32261" s="2">
        <v>43875.463263888887</v>
      </c>
      <c r="B32261" t="str">
        <f>HYPERLINK("https://twitter.com/DeniSuryadani","@DeniSuryadani")</f>
        <v>@DeniSuryadani</v>
      </c>
      <c r="C32261" t="s">
        <v>9096</v>
      </c>
      <c r="D32261">
        <v>179</v>
      </c>
      <c r="E32261">
        <v>0</v>
      </c>
      <c r="F32261">
        <v>768</v>
      </c>
    </row>
    <row r="32262" spans="1:6" ht="12.75">
      <c r="A32262" s="2">
        <v>43875.463252314818</v>
      </c>
      <c r="B32262" t="str">
        <f>HYPERLINK("https://twitter.com/takdelok","@takdelok")</f>
        <v>@takdelok</v>
      </c>
      <c r="C32262" t="s">
        <v>2963</v>
      </c>
      <c r="D32262">
        <v>723</v>
      </c>
      <c r="E32262">
        <v>0</v>
      </c>
      <c r="F32262">
        <v>751</v>
      </c>
    </row>
    <row r="32263" spans="1:6" ht="12.75">
      <c r="A32263" s="2">
        <v>43875.463182870371</v>
      </c>
      <c r="B32263" t="str">
        <f>HYPERLINK("https://twitter.com/HeriRiva75","@HeriRiva75")</f>
        <v>@HeriRiva75</v>
      </c>
      <c r="C32263" t="s">
        <v>9746</v>
      </c>
      <c r="D32263">
        <v>66</v>
      </c>
      <c r="E32263">
        <v>0</v>
      </c>
      <c r="F32263">
        <v>452</v>
      </c>
    </row>
    <row r="32264" spans="1:6" ht="12.75">
      <c r="A32264" s="2">
        <v>43875.463043981479</v>
      </c>
      <c r="B32264" t="str">
        <f>HYPERLINK("https://twitter.com/Marsose23","@Marsose23")</f>
        <v>@Marsose23</v>
      </c>
      <c r="C32264" t="s">
        <v>13479</v>
      </c>
      <c r="D32264">
        <v>0</v>
      </c>
      <c r="E32264">
        <v>0</v>
      </c>
      <c r="F32264">
        <v>242</v>
      </c>
    </row>
    <row r="32265" spans="1:6" ht="12.75">
      <c r="A32265" s="2">
        <v>43875.462974537033</v>
      </c>
      <c r="B32265" t="str">
        <f>HYPERLINK("https://twitter.com/berniemohammad","@berniemohammad")</f>
        <v>@berniemohammad</v>
      </c>
      <c r="C32265" t="s">
        <v>13480</v>
      </c>
      <c r="D32265">
        <v>0</v>
      </c>
      <c r="E32265">
        <v>0</v>
      </c>
      <c r="F32265">
        <v>1120</v>
      </c>
    </row>
    <row r="32266" spans="1:6" ht="12.75">
      <c r="A32266" s="2">
        <v>43875.462893518517</v>
      </c>
      <c r="B32266" t="str">
        <f>HYPERLINK("https://twitter.com/jawapos","@jawapos")</f>
        <v>@jawapos</v>
      </c>
      <c r="C32266" t="s">
        <v>13481</v>
      </c>
      <c r="D32266">
        <v>0</v>
      </c>
      <c r="E32266">
        <v>2</v>
      </c>
      <c r="F32266">
        <v>116386</v>
      </c>
    </row>
    <row r="32267" spans="1:6" ht="12.75">
      <c r="A32267" s="2">
        <v>43875.462893518517</v>
      </c>
      <c r="B32267" t="str">
        <f>HYPERLINK("https://twitter.com/salahsambungya","@salahsambungya")</f>
        <v>@salahsambungya</v>
      </c>
      <c r="C32267" t="s">
        <v>13482</v>
      </c>
      <c r="D32267">
        <v>2</v>
      </c>
      <c r="E32267">
        <v>0</v>
      </c>
      <c r="F32267">
        <v>5155</v>
      </c>
    </row>
    <row r="32268" spans="1:6" ht="12.75">
      <c r="A32268" s="2">
        <v>43875.462870370371</v>
      </c>
      <c r="B32268" t="str">
        <f>HYPERLINK("https://twitter.com/CNNIDdaily","@CNNIDdaily")</f>
        <v>@CNNIDdaily</v>
      </c>
      <c r="C32268" t="s">
        <v>13483</v>
      </c>
      <c r="D32268">
        <v>1</v>
      </c>
      <c r="E32268">
        <v>4</v>
      </c>
      <c r="F32268">
        <v>115862</v>
      </c>
    </row>
    <row r="32269" spans="1:6" ht="12.75">
      <c r="A32269" s="2">
        <v>43875.462824074071</v>
      </c>
      <c r="B32269" t="str">
        <f>HYPERLINK("https://twitter.com/kwonssy","@kwonssy")</f>
        <v>@kwonssy</v>
      </c>
      <c r="C32269" t="s">
        <v>9964</v>
      </c>
      <c r="D32269">
        <v>532</v>
      </c>
      <c r="E32269">
        <v>0</v>
      </c>
      <c r="F32269">
        <v>155</v>
      </c>
    </row>
    <row r="32270" spans="1:6" ht="12.75">
      <c r="A32270" s="2">
        <v>43875.462812500002</v>
      </c>
      <c r="B32270" t="str">
        <f>HYPERLINK("https://twitter.com/matchadang0","@matchadang0")</f>
        <v>@matchadang0</v>
      </c>
      <c r="C32270" t="s">
        <v>5168</v>
      </c>
      <c r="D32270">
        <v>540</v>
      </c>
      <c r="E32270">
        <v>0</v>
      </c>
      <c r="F32270">
        <v>125</v>
      </c>
    </row>
    <row r="32271" spans="1:6" ht="12.75">
      <c r="A32271" s="2">
        <v>43875.462812500002</v>
      </c>
      <c r="B32271" t="str">
        <f>HYPERLINK("https://twitter.com/FSyah1111","@FSyah1111")</f>
        <v>@FSyah1111</v>
      </c>
      <c r="C32271" t="s">
        <v>13484</v>
      </c>
      <c r="D32271">
        <v>0</v>
      </c>
      <c r="E32271">
        <v>0</v>
      </c>
      <c r="F32271">
        <v>294</v>
      </c>
    </row>
    <row r="32272" spans="1:6" ht="12.75">
      <c r="A32272" s="2">
        <v>43875.462777777779</v>
      </c>
      <c r="B32272" t="str">
        <f>HYPERLINK("https://twitter.com/mvhwmdaqil","@mvhwmdaqil")</f>
        <v>@mvhwmdaqil</v>
      </c>
      <c r="C32272" t="s">
        <v>11449</v>
      </c>
      <c r="D32272">
        <v>17</v>
      </c>
      <c r="E32272">
        <v>0</v>
      </c>
      <c r="F32272">
        <v>597</v>
      </c>
    </row>
    <row r="32273" spans="1:6" ht="12.75">
      <c r="A32273" s="2">
        <v>43875.462673611109</v>
      </c>
      <c r="B32273" t="str">
        <f>HYPERLINK("https://twitter.com/summersnackss","@summersnackss")</f>
        <v>@summersnackss</v>
      </c>
      <c r="C32273" t="s">
        <v>9964</v>
      </c>
      <c r="D32273">
        <v>532</v>
      </c>
      <c r="E32273">
        <v>0</v>
      </c>
      <c r="F32273">
        <v>1006</v>
      </c>
    </row>
    <row r="32274" spans="1:6" ht="12.75">
      <c r="A32274" s="2">
        <v>43875.462650462963</v>
      </c>
      <c r="B32274" t="str">
        <f>HYPERLINK("https://twitter.com/ratekajo","@ratekajo")</f>
        <v>@ratekajo</v>
      </c>
      <c r="C32274" t="s">
        <v>11330</v>
      </c>
      <c r="D32274">
        <v>112</v>
      </c>
      <c r="E32274">
        <v>0</v>
      </c>
      <c r="F32274">
        <v>260</v>
      </c>
    </row>
    <row r="32275" spans="1:6" ht="12.75">
      <c r="A32275" s="2">
        <v>43875.462581018517</v>
      </c>
      <c r="B32275" t="str">
        <f>HYPERLINK("https://twitter.com/Oromizz","@Oromizz")</f>
        <v>@Oromizz</v>
      </c>
      <c r="C32275" t="s">
        <v>2444</v>
      </c>
      <c r="D32275">
        <v>206</v>
      </c>
      <c r="E32275">
        <v>0</v>
      </c>
      <c r="F32275">
        <v>416</v>
      </c>
    </row>
    <row r="32276" spans="1:6" ht="12.75">
      <c r="A32276" s="2">
        <v>43875.462523148148</v>
      </c>
      <c r="B32276" t="str">
        <f>HYPERLINK("https://twitter.com/AnakKolong___","@AnakKolong___")</f>
        <v>@AnakKolong___</v>
      </c>
      <c r="C32276" t="s">
        <v>12965</v>
      </c>
      <c r="D32276">
        <v>1</v>
      </c>
      <c r="E32276">
        <v>0</v>
      </c>
      <c r="F32276">
        <v>5288</v>
      </c>
    </row>
    <row r="32277" spans="1:6" ht="12.75">
      <c r="A32277" s="2">
        <v>43875.462511574078</v>
      </c>
      <c r="B32277" t="str">
        <f>HYPERLINK("https://twitter.com/tama_tamaras","@tama_tamaras")</f>
        <v>@tama_tamaras</v>
      </c>
      <c r="C32277" t="s">
        <v>13485</v>
      </c>
      <c r="D32277">
        <v>0</v>
      </c>
      <c r="E32277">
        <v>0</v>
      </c>
      <c r="F32277">
        <v>538</v>
      </c>
    </row>
    <row r="32278" spans="1:6" ht="12.75">
      <c r="A32278" s="2">
        <v>43875.462442129632</v>
      </c>
      <c r="B32278" t="str">
        <f>HYPERLINK("https://twitter.com/gio03_ivan","@gio03_ivan")</f>
        <v>@gio03_ivan</v>
      </c>
      <c r="C32278" t="s">
        <v>12921</v>
      </c>
      <c r="D32278">
        <v>6</v>
      </c>
      <c r="E32278">
        <v>0</v>
      </c>
      <c r="F32278">
        <v>126</v>
      </c>
    </row>
    <row r="32279" spans="1:6" ht="12.75">
      <c r="A32279" s="2">
        <v>43875.462430555555</v>
      </c>
      <c r="B32279" t="str">
        <f>HYPERLINK("https://twitter.com/LumintangYanthy","@LumintangYanthy")</f>
        <v>@LumintangYanthy</v>
      </c>
      <c r="C32279" t="s">
        <v>2963</v>
      </c>
      <c r="D32279">
        <v>723</v>
      </c>
      <c r="E32279">
        <v>0</v>
      </c>
      <c r="F32279">
        <v>17</v>
      </c>
    </row>
    <row r="32280" spans="1:6" ht="12.75">
      <c r="A32280" s="2">
        <v>43875.462395833332</v>
      </c>
      <c r="B32280" t="str">
        <f>HYPERLINK("https://twitter.com/daegusoftboy_17","@daegusoftboy_17")</f>
        <v>@daegusoftboy_17</v>
      </c>
      <c r="C32280" t="s">
        <v>9964</v>
      </c>
      <c r="D32280">
        <v>532</v>
      </c>
      <c r="E32280">
        <v>0</v>
      </c>
      <c r="F32280">
        <v>299</v>
      </c>
    </row>
    <row r="32281" spans="1:6" ht="12.75">
      <c r="A32281" s="2">
        <v>43875.462361111116</v>
      </c>
      <c r="B32281" t="str">
        <f>HYPERLINK("https://twitter.com/Mcnsterkisses","@Mcnsterkisses")</f>
        <v>@Mcnsterkisses</v>
      </c>
      <c r="C32281" t="s">
        <v>2444</v>
      </c>
      <c r="D32281">
        <v>206</v>
      </c>
      <c r="E32281">
        <v>0</v>
      </c>
      <c r="F32281">
        <v>583</v>
      </c>
    </row>
    <row r="32282" spans="1:6" ht="12.75">
      <c r="A32282" s="2">
        <v>43875.462349537032</v>
      </c>
      <c r="B32282" t="str">
        <f>HYPERLINK("https://twitter.com/nadeesky","@nadeesky")</f>
        <v>@nadeesky</v>
      </c>
      <c r="C32282" t="s">
        <v>9964</v>
      </c>
      <c r="D32282">
        <v>532</v>
      </c>
      <c r="E32282">
        <v>0</v>
      </c>
      <c r="F32282">
        <v>151</v>
      </c>
    </row>
    <row r="32283" spans="1:6" ht="12.75">
      <c r="A32283" s="2">
        <v>43875.462245370371</v>
      </c>
      <c r="B32283" t="str">
        <f>HYPERLINK("https://twitter.com/Franky07133283","@Franky07133283")</f>
        <v>@Franky07133283</v>
      </c>
      <c r="C32283" t="s">
        <v>13486</v>
      </c>
      <c r="D32283">
        <v>0</v>
      </c>
      <c r="E32283">
        <v>0</v>
      </c>
      <c r="F32283">
        <v>511</v>
      </c>
    </row>
    <row r="32284" spans="1:6" ht="12.75">
      <c r="A32284" s="2">
        <v>43875.462233796294</v>
      </c>
      <c r="B32284" t="str">
        <f>HYPERLINK("https://twitter.com/kleirr_","@kleirr_")</f>
        <v>@kleirr_</v>
      </c>
      <c r="C32284" t="s">
        <v>9964</v>
      </c>
      <c r="D32284">
        <v>532</v>
      </c>
      <c r="E32284">
        <v>0</v>
      </c>
      <c r="F32284">
        <v>83</v>
      </c>
    </row>
    <row r="32285" spans="1:6" ht="12.75">
      <c r="A32285" s="2">
        <v>43875.462210648147</v>
      </c>
      <c r="B32285" t="str">
        <f>HYPERLINK("https://twitter.com/just_onoy","@just_onoy")</f>
        <v>@just_onoy</v>
      </c>
      <c r="C32285" t="s">
        <v>10859</v>
      </c>
      <c r="D32285">
        <v>29</v>
      </c>
      <c r="E32285">
        <v>0</v>
      </c>
      <c r="F32285">
        <v>522</v>
      </c>
    </row>
    <row r="32286" spans="1:6" ht="12.75">
      <c r="A32286" s="2">
        <v>43875.462118055555</v>
      </c>
      <c r="B32286" t="str">
        <f>HYPERLINK("https://twitter.com/WAbedego","@WAbedego")</f>
        <v>@WAbedego</v>
      </c>
      <c r="C32286" t="s">
        <v>12793</v>
      </c>
      <c r="D32286">
        <v>91</v>
      </c>
      <c r="E32286">
        <v>0</v>
      </c>
      <c r="F32286">
        <v>913</v>
      </c>
    </row>
    <row r="32287" spans="1:6" ht="12.75">
      <c r="A32287" s="2">
        <v>43875.462083333332</v>
      </c>
      <c r="B32287" t="str">
        <f>HYPERLINK("https://twitter.com/marSyaheedAS","@marSyaheedAS")</f>
        <v>@marSyaheedAS</v>
      </c>
      <c r="C32287" t="s">
        <v>12312</v>
      </c>
      <c r="D32287">
        <v>10</v>
      </c>
      <c r="E32287">
        <v>0</v>
      </c>
      <c r="F32287">
        <v>1935</v>
      </c>
    </row>
    <row r="32288" spans="1:6" ht="12.75">
      <c r="A32288" s="2">
        <v>43875.462048611109</v>
      </c>
      <c r="B32288" t="str">
        <f>HYPERLINK("https://twitter.com/Gulai_puyu","@Gulai_puyu")</f>
        <v>@Gulai_puyu</v>
      </c>
      <c r="C32288" t="s">
        <v>10588</v>
      </c>
      <c r="D32288">
        <v>107</v>
      </c>
      <c r="E32288">
        <v>0</v>
      </c>
      <c r="F32288">
        <v>451</v>
      </c>
    </row>
    <row r="32289" spans="1:6" ht="12.75">
      <c r="A32289" s="2">
        <v>43875.462037037039</v>
      </c>
      <c r="B32289" t="str">
        <f>HYPERLINK("https://twitter.com/ayuyayuyayuya","@ayuyayuyayuya")</f>
        <v>@ayuyayuyayuya</v>
      </c>
      <c r="C32289" t="s">
        <v>5168</v>
      </c>
      <c r="D32289">
        <v>540</v>
      </c>
      <c r="E32289">
        <v>0</v>
      </c>
      <c r="F32289">
        <v>243</v>
      </c>
    </row>
    <row r="32290" spans="1:6" ht="12.75">
      <c r="A32290" s="2">
        <v>43875.461898148147</v>
      </c>
      <c r="B32290" t="str">
        <f>HYPERLINK("https://twitter.com/sunankaliblanak","@sunankaliblanak")</f>
        <v>@sunankaliblanak</v>
      </c>
      <c r="C32290" t="s">
        <v>10462</v>
      </c>
      <c r="D32290">
        <v>229</v>
      </c>
      <c r="E32290">
        <v>0</v>
      </c>
      <c r="F32290">
        <v>388</v>
      </c>
    </row>
    <row r="32291" spans="1:6" ht="12.75">
      <c r="A32291" s="2">
        <v>43875.461875000001</v>
      </c>
      <c r="B32291" t="str">
        <f>HYPERLINK("https://twitter.com/DaveLao5","@DaveLao5")</f>
        <v>@DaveLao5</v>
      </c>
      <c r="C32291" t="s">
        <v>13487</v>
      </c>
      <c r="D32291">
        <v>0</v>
      </c>
      <c r="E32291">
        <v>0</v>
      </c>
      <c r="F32291">
        <v>52</v>
      </c>
    </row>
    <row r="32292" spans="1:6" ht="12.75">
      <c r="A32292" s="2">
        <v>43875.461840277778</v>
      </c>
      <c r="B32292" t="str">
        <f>HYPERLINK("https://twitter.com/p4pi11on","@p4pi11on")</f>
        <v>@p4pi11on</v>
      </c>
      <c r="C32292" t="s">
        <v>10109</v>
      </c>
      <c r="D32292">
        <v>12</v>
      </c>
      <c r="E32292">
        <v>0</v>
      </c>
      <c r="F32292">
        <v>1114</v>
      </c>
    </row>
    <row r="32293" spans="1:6" ht="12.75">
      <c r="A32293" s="2">
        <v>43875.461689814816</v>
      </c>
      <c r="B32293" t="str">
        <f>HYPERLINK("https://twitter.com/Dinda825","@Dinda825")</f>
        <v>@Dinda825</v>
      </c>
      <c r="C32293" t="s">
        <v>175</v>
      </c>
      <c r="D32293">
        <v>5256</v>
      </c>
      <c r="E32293">
        <v>0</v>
      </c>
      <c r="F32293">
        <v>16</v>
      </c>
    </row>
    <row r="32294" spans="1:6" ht="12.75">
      <c r="A32294" s="2">
        <v>43875.461631944447</v>
      </c>
      <c r="B32294" t="str">
        <f>HYPERLINK("https://twitter.com/adwibudiawati","@adwibudiawati")</f>
        <v>@adwibudiawati</v>
      </c>
      <c r="C32294" t="s">
        <v>2444</v>
      </c>
      <c r="D32294">
        <v>206</v>
      </c>
      <c r="E32294">
        <v>0</v>
      </c>
      <c r="F32294">
        <v>320</v>
      </c>
    </row>
    <row r="32295" spans="1:6" ht="12.75">
      <c r="A32295" s="2">
        <v>43875.461516203708</v>
      </c>
      <c r="B32295" t="str">
        <f>HYPERLINK("https://twitter.com/schweIIenangst","@schweIIenangst")</f>
        <v>@schweIIenangst</v>
      </c>
      <c r="C32295" t="s">
        <v>2444</v>
      </c>
      <c r="D32295">
        <v>206</v>
      </c>
      <c r="E32295">
        <v>0</v>
      </c>
      <c r="F32295">
        <v>59</v>
      </c>
    </row>
    <row r="32296" spans="1:6" ht="12.75">
      <c r="A32296" s="2">
        <v>43875.461516203708</v>
      </c>
      <c r="B32296" t="str">
        <f>HYPERLINK("https://twitter.com/theendlessmess","@theendlessmess")</f>
        <v>@theendlessmess</v>
      </c>
      <c r="C32296" t="s">
        <v>10109</v>
      </c>
      <c r="D32296">
        <v>12</v>
      </c>
      <c r="E32296">
        <v>0</v>
      </c>
      <c r="F32296">
        <v>573</v>
      </c>
    </row>
    <row r="32297" spans="1:6" ht="12.75">
      <c r="A32297" s="2">
        <v>43875.461493055554</v>
      </c>
      <c r="B32297" t="str">
        <f>HYPERLINK("https://twitter.com/matchadang0","@matchadang0")</f>
        <v>@matchadang0</v>
      </c>
      <c r="C32297" t="s">
        <v>2444</v>
      </c>
      <c r="D32297">
        <v>206</v>
      </c>
      <c r="E32297">
        <v>0</v>
      </c>
      <c r="F32297">
        <v>125</v>
      </c>
    </row>
    <row r="32298" spans="1:6" ht="12.75">
      <c r="A32298" s="2">
        <v>43875.461458333331</v>
      </c>
      <c r="B32298" t="str">
        <f>HYPERLINK("https://twitter.com/just_onoy","@just_onoy")</f>
        <v>@just_onoy</v>
      </c>
      <c r="C32298" t="s">
        <v>11425</v>
      </c>
      <c r="D32298">
        <v>214</v>
      </c>
      <c r="E32298">
        <v>0</v>
      </c>
      <c r="F32298">
        <v>522</v>
      </c>
    </row>
    <row r="32299" spans="1:6" ht="12.75">
      <c r="A32299" s="2">
        <v>43875.461284722223</v>
      </c>
      <c r="B32299" t="str">
        <f>HYPERLINK("https://twitter.com/iinoks","@iinoks")</f>
        <v>@iinoks</v>
      </c>
      <c r="C32299" t="s">
        <v>5168</v>
      </c>
      <c r="D32299">
        <v>540</v>
      </c>
      <c r="E32299">
        <v>0</v>
      </c>
      <c r="F32299">
        <v>568</v>
      </c>
    </row>
    <row r="32300" spans="1:6" ht="12.75">
      <c r="A32300" s="2">
        <v>43875.461261574077</v>
      </c>
      <c r="B32300" t="str">
        <f>HYPERLINK("https://twitter.com/hendribejo9","@hendribejo9")</f>
        <v>@hendribejo9</v>
      </c>
      <c r="C32300" t="s">
        <v>8233</v>
      </c>
      <c r="D32300">
        <v>377</v>
      </c>
      <c r="E32300">
        <v>0</v>
      </c>
      <c r="F32300">
        <v>9</v>
      </c>
    </row>
    <row r="32301" spans="1:6" ht="12.75">
      <c r="A32301" s="2">
        <v>43875.461122685185</v>
      </c>
      <c r="B32301" t="str">
        <f>HYPERLINK("https://twitter.com/ingzoen_y4y4","@ingzoen_y4y4")</f>
        <v>@ingzoen_y4y4</v>
      </c>
      <c r="C32301" t="s">
        <v>13488</v>
      </c>
      <c r="D32301">
        <v>0</v>
      </c>
      <c r="E32301">
        <v>0</v>
      </c>
      <c r="F32301">
        <v>193</v>
      </c>
    </row>
    <row r="32302" spans="1:6" ht="12.75">
      <c r="A32302" s="2">
        <v>43875.461076388892</v>
      </c>
      <c r="B32302" t="str">
        <f>HYPERLINK("https://twitter.com/concatenate_","@concatenate_")</f>
        <v>@concatenate_</v>
      </c>
      <c r="C32302" t="s">
        <v>13489</v>
      </c>
      <c r="D32302">
        <v>0</v>
      </c>
      <c r="E32302">
        <v>1</v>
      </c>
      <c r="F32302">
        <v>13</v>
      </c>
    </row>
    <row r="32303" spans="1:6" ht="12.75">
      <c r="A32303" s="2">
        <v>43875.460833333331</v>
      </c>
      <c r="B32303" t="str">
        <f>HYPERLINK("https://twitter.com/AlvhantJM","@AlvhantJM")</f>
        <v>@AlvhantJM</v>
      </c>
      <c r="C32303" t="s">
        <v>13490</v>
      </c>
      <c r="D32303">
        <v>0</v>
      </c>
      <c r="E32303">
        <v>0</v>
      </c>
      <c r="F32303">
        <v>4</v>
      </c>
    </row>
    <row r="32304" spans="1:6" ht="12.75">
      <c r="A32304" s="2">
        <v>43875.460763888885</v>
      </c>
      <c r="B32304" t="str">
        <f>HYPERLINK("https://twitter.com/tempodotco","@tempodotco")</f>
        <v>@tempodotco</v>
      </c>
      <c r="C32304" t="s">
        <v>13491</v>
      </c>
      <c r="D32304">
        <v>0</v>
      </c>
      <c r="E32304">
        <v>3</v>
      </c>
      <c r="F32304">
        <v>1702213</v>
      </c>
    </row>
    <row r="32305" spans="1:6" ht="12.75">
      <c r="A32305" s="2">
        <v>43875.4606712963</v>
      </c>
      <c r="B32305" t="str">
        <f>HYPERLINK("https://twitter.com/RamdhaniBrutus","@RamdhaniBrutus")</f>
        <v>@RamdhaniBrutus</v>
      </c>
      <c r="C32305" t="s">
        <v>13492</v>
      </c>
      <c r="D32305">
        <v>0</v>
      </c>
      <c r="E32305">
        <v>0</v>
      </c>
      <c r="F32305">
        <v>1261</v>
      </c>
    </row>
    <row r="32306" spans="1:6" ht="12.75">
      <c r="A32306" s="2">
        <v>43875.460601851853</v>
      </c>
      <c r="B32306" t="str">
        <f>HYPERLINK("https://twitter.com/CNNIDdaily","@CNNIDdaily")</f>
        <v>@CNNIDdaily</v>
      </c>
      <c r="C32306" t="s">
        <v>13493</v>
      </c>
      <c r="D32306">
        <v>1</v>
      </c>
      <c r="E32306">
        <v>1</v>
      </c>
      <c r="F32306">
        <v>115862</v>
      </c>
    </row>
    <row r="32307" spans="1:6" ht="12.75">
      <c r="A32307" s="2">
        <v>43875.460509259261</v>
      </c>
      <c r="B32307" t="str">
        <f>HYPERLINK("https://twitter.com/AzmiFaiqoh","@AzmiFaiqoh")</f>
        <v>@AzmiFaiqoh</v>
      </c>
      <c r="C32307" t="s">
        <v>2444</v>
      </c>
      <c r="D32307">
        <v>206</v>
      </c>
      <c r="E32307">
        <v>0</v>
      </c>
      <c r="F32307">
        <v>562</v>
      </c>
    </row>
    <row r="32308" spans="1:6" ht="12.75">
      <c r="A32308" s="2">
        <v>43875.460474537038</v>
      </c>
      <c r="B32308" t="str">
        <f>HYPERLINK("https://twitter.com/fahmi_rmd10","@fahmi_rmd10")</f>
        <v>@fahmi_rmd10</v>
      </c>
      <c r="C32308" t="s">
        <v>13494</v>
      </c>
      <c r="D32308">
        <v>0</v>
      </c>
      <c r="E32308">
        <v>0</v>
      </c>
      <c r="F32308">
        <v>115</v>
      </c>
    </row>
    <row r="32309" spans="1:6" ht="12.75">
      <c r="A32309" s="2">
        <v>43875.460474537038</v>
      </c>
      <c r="B32309" t="str">
        <f>HYPERLINK("https://twitter.com/margareitabeth","@margareitabeth")</f>
        <v>@margareitabeth</v>
      </c>
      <c r="C32309" t="s">
        <v>2963</v>
      </c>
      <c r="D32309">
        <v>723</v>
      </c>
      <c r="E32309">
        <v>0</v>
      </c>
      <c r="F32309">
        <v>303</v>
      </c>
    </row>
    <row r="32310" spans="1:6" ht="12.75">
      <c r="A32310" s="2">
        <v>43875.460451388892</v>
      </c>
      <c r="B32310" t="str">
        <f>HYPERLINK("https://twitter.com/_UsbinDunda","@_UsbinDunda")</f>
        <v>@_UsbinDunda</v>
      </c>
      <c r="C32310" t="s">
        <v>13495</v>
      </c>
      <c r="D32310">
        <v>0</v>
      </c>
      <c r="E32310">
        <v>0</v>
      </c>
      <c r="F32310">
        <v>318</v>
      </c>
    </row>
    <row r="32311" spans="1:6" ht="12.75">
      <c r="A32311" s="2">
        <v>43875.460439814815</v>
      </c>
      <c r="B32311" t="str">
        <f>HYPERLINK("https://twitter.com/fahmi_rmd10","@fahmi_rmd10")</f>
        <v>@fahmi_rmd10</v>
      </c>
      <c r="C32311" t="s">
        <v>13494</v>
      </c>
      <c r="D32311">
        <v>0</v>
      </c>
      <c r="E32311">
        <v>0</v>
      </c>
      <c r="F32311">
        <v>115</v>
      </c>
    </row>
    <row r="32312" spans="1:6" ht="12.75">
      <c r="A32312" s="2">
        <v>43875.460428240738</v>
      </c>
      <c r="B32312" t="str">
        <f>HYPERLINK("https://twitter.com/soffel84103944","@soffel84103944")</f>
        <v>@soffel84103944</v>
      </c>
      <c r="C32312" t="s">
        <v>2963</v>
      </c>
      <c r="D32312">
        <v>723</v>
      </c>
      <c r="E32312">
        <v>0</v>
      </c>
      <c r="F32312">
        <v>410</v>
      </c>
    </row>
    <row r="32313" spans="1:6" ht="12.75">
      <c r="A32313" s="2">
        <v>43875.460416666669</v>
      </c>
      <c r="B32313" t="str">
        <f>HYPERLINK("https://twitter.com/medaddocnug","@medaddocnug")</f>
        <v>@medaddocnug</v>
      </c>
      <c r="C32313" t="s">
        <v>2963</v>
      </c>
      <c r="D32313">
        <v>723</v>
      </c>
      <c r="E32313">
        <v>0</v>
      </c>
      <c r="F32313">
        <v>60</v>
      </c>
    </row>
    <row r="32314" spans="1:6" ht="12.75">
      <c r="A32314" s="2">
        <v>43875.460405092592</v>
      </c>
      <c r="B32314" t="str">
        <f>HYPERLINK("https://twitter.com/fahmi_rmd10","@fahmi_rmd10")</f>
        <v>@fahmi_rmd10</v>
      </c>
      <c r="C32314" t="s">
        <v>13494</v>
      </c>
      <c r="D32314">
        <v>0</v>
      </c>
      <c r="E32314">
        <v>0</v>
      </c>
      <c r="F32314">
        <v>115</v>
      </c>
    </row>
    <row r="32315" spans="1:6" ht="12.75">
      <c r="A32315" s="2">
        <v>43875.460393518515</v>
      </c>
      <c r="B32315" t="str">
        <f>HYPERLINK("https://twitter.com/SusilawatiSisi2","@SusilawatiSisi2")</f>
        <v>@SusilawatiSisi2</v>
      </c>
      <c r="C32315" t="s">
        <v>13496</v>
      </c>
      <c r="D32315">
        <v>0</v>
      </c>
      <c r="E32315">
        <v>0</v>
      </c>
      <c r="F32315">
        <v>3375</v>
      </c>
    </row>
    <row r="32316" spans="1:6" ht="12.75">
      <c r="A32316" s="2">
        <v>43875.460381944446</v>
      </c>
      <c r="B32316" t="str">
        <f>HYPERLINK("https://twitter.com/fahmi_rmd10","@fahmi_rmd10")</f>
        <v>@fahmi_rmd10</v>
      </c>
      <c r="C32316" t="s">
        <v>13494</v>
      </c>
      <c r="D32316">
        <v>0</v>
      </c>
      <c r="E32316">
        <v>0</v>
      </c>
      <c r="F32316">
        <v>115</v>
      </c>
    </row>
    <row r="32317" spans="1:6" ht="12.75">
      <c r="A32317" s="2">
        <v>43875.460370370369</v>
      </c>
      <c r="B32317" t="str">
        <f>HYPERLINK("https://twitter.com/RickyNSas","@RickyNSas")</f>
        <v>@RickyNSas</v>
      </c>
      <c r="C32317" t="s">
        <v>10109</v>
      </c>
      <c r="D32317">
        <v>12</v>
      </c>
      <c r="E32317">
        <v>0</v>
      </c>
      <c r="F32317">
        <v>3508</v>
      </c>
    </row>
    <row r="32318" spans="1:6" ht="12.75">
      <c r="A32318" s="2">
        <v>43875.460335648153</v>
      </c>
      <c r="B32318" t="str">
        <f>HYPERLINK("https://twitter.com/fahmi_rmd10","@fahmi_rmd10")</f>
        <v>@fahmi_rmd10</v>
      </c>
      <c r="C32318" t="s">
        <v>13494</v>
      </c>
      <c r="D32318">
        <v>0</v>
      </c>
      <c r="E32318">
        <v>0</v>
      </c>
      <c r="F32318">
        <v>115</v>
      </c>
    </row>
    <row r="32319" spans="1:6" ht="12.75">
      <c r="A32319" s="2">
        <v>43875.460219907407</v>
      </c>
      <c r="B32319" t="str">
        <f>HYPERLINK("https://twitter.com/adib_HK","@adib_HK")</f>
        <v>@adib_HK</v>
      </c>
      <c r="C32319" t="s">
        <v>13497</v>
      </c>
      <c r="D32319">
        <v>0</v>
      </c>
      <c r="E32319">
        <v>0</v>
      </c>
      <c r="F32319">
        <v>459</v>
      </c>
    </row>
    <row r="32320" spans="1:6" ht="12.75">
      <c r="A32320" s="2">
        <v>43875.460173611107</v>
      </c>
      <c r="B32320" t="str">
        <f>HYPERLINK("https://twitter.com/moesa_jp02","@moesa_jp02")</f>
        <v>@moesa_jp02</v>
      </c>
      <c r="C32320" t="s">
        <v>13498</v>
      </c>
      <c r="D32320">
        <v>0</v>
      </c>
      <c r="E32320">
        <v>0</v>
      </c>
      <c r="F32320">
        <v>1316</v>
      </c>
    </row>
    <row r="32321" spans="1:6" ht="12.75">
      <c r="A32321" s="2">
        <v>43875.460150462968</v>
      </c>
      <c r="B32321" t="str">
        <f>HYPERLINK("https://twitter.com/dalbitchu","@dalbitchu")</f>
        <v>@dalbitchu</v>
      </c>
      <c r="C32321" t="s">
        <v>9964</v>
      </c>
      <c r="D32321">
        <v>532</v>
      </c>
      <c r="E32321">
        <v>0</v>
      </c>
      <c r="F32321">
        <v>417</v>
      </c>
    </row>
    <row r="32322" spans="1:6" ht="12.75">
      <c r="A32322" s="2">
        <v>43875.460104166668</v>
      </c>
      <c r="B32322" t="str">
        <f>HYPERLINK("https://twitter.com/MazzShan","@MazzShan")</f>
        <v>@MazzShan</v>
      </c>
      <c r="C32322" t="s">
        <v>13499</v>
      </c>
      <c r="D32322">
        <v>0</v>
      </c>
      <c r="E32322">
        <v>0</v>
      </c>
      <c r="F32322">
        <v>630</v>
      </c>
    </row>
    <row r="32323" spans="1:6" ht="12.75">
      <c r="A32323" s="2">
        <v>43875.460046296299</v>
      </c>
      <c r="B32323" t="str">
        <f>HYPERLINK("https://twitter.com/genovaelits","@genovaelits")</f>
        <v>@genovaelits</v>
      </c>
      <c r="C32323" t="s">
        <v>2963</v>
      </c>
      <c r="D32323">
        <v>723</v>
      </c>
      <c r="E32323">
        <v>0</v>
      </c>
      <c r="F32323">
        <v>266</v>
      </c>
    </row>
    <row r="32324" spans="1:6" ht="12.75">
      <c r="A32324" s="2">
        <v>43875.459988425922</v>
      </c>
      <c r="B32324" t="str">
        <f>HYPERLINK("https://twitter.com/candevga","@candevga")</f>
        <v>@candevga</v>
      </c>
      <c r="C32324" t="s">
        <v>2444</v>
      </c>
      <c r="D32324">
        <v>206</v>
      </c>
      <c r="E32324">
        <v>0</v>
      </c>
      <c r="F32324">
        <v>871</v>
      </c>
    </row>
    <row r="32325" spans="1:6" ht="12.75">
      <c r="A32325" s="2">
        <v>43875.45988425926</v>
      </c>
      <c r="B32325" t="str">
        <f>HYPERLINK("https://twitter.com/dusrimulya","@dusrimulya")</f>
        <v>@dusrimulya</v>
      </c>
      <c r="C32325" t="s">
        <v>13500</v>
      </c>
      <c r="D32325">
        <v>0</v>
      </c>
      <c r="E32325">
        <v>0</v>
      </c>
      <c r="F32325">
        <v>22292</v>
      </c>
    </row>
    <row r="32326" spans="1:6" ht="12.75">
      <c r="A32326" s="2">
        <v>43875.459861111114</v>
      </c>
      <c r="B32326" t="str">
        <f>HYPERLINK("https://twitter.com/ragil_puja","@ragil_puja")</f>
        <v>@ragil_puja</v>
      </c>
      <c r="C32326" t="s">
        <v>13501</v>
      </c>
      <c r="D32326">
        <v>0</v>
      </c>
      <c r="E32326">
        <v>0</v>
      </c>
      <c r="F32326">
        <v>120</v>
      </c>
    </row>
    <row r="32327" spans="1:6" ht="12.75">
      <c r="A32327" s="2">
        <v>43875.459849537037</v>
      </c>
      <c r="B32327" t="str">
        <f>HYPERLINK("https://twitter.com/IbrahimHarahap3","@IbrahimHarahap3")</f>
        <v>@IbrahimHarahap3</v>
      </c>
      <c r="C32327" t="s">
        <v>13502</v>
      </c>
      <c r="D32327">
        <v>0</v>
      </c>
      <c r="E32327">
        <v>0</v>
      </c>
      <c r="F32327">
        <v>124</v>
      </c>
    </row>
    <row r="32328" spans="1:6" ht="12.75">
      <c r="A32328" s="2">
        <v>43875.459803240738</v>
      </c>
      <c r="B32328" t="str">
        <f>HYPERLINK("https://twitter.com/BoodeeSantos","@BoodeeSantos")</f>
        <v>@BoodeeSantos</v>
      </c>
      <c r="C32328" t="s">
        <v>13503</v>
      </c>
      <c r="D32328">
        <v>0</v>
      </c>
      <c r="E32328">
        <v>0</v>
      </c>
      <c r="F32328">
        <v>14</v>
      </c>
    </row>
    <row r="32329" spans="1:6" ht="12.75">
      <c r="A32329" s="2">
        <v>43875.459756944445</v>
      </c>
      <c r="B32329" t="str">
        <f>HYPERLINK("https://twitter.com/FelixWidiyanto","@FelixWidiyanto")</f>
        <v>@FelixWidiyanto</v>
      </c>
      <c r="C32329" t="s">
        <v>9947</v>
      </c>
      <c r="D32329">
        <v>323</v>
      </c>
      <c r="E32329">
        <v>0</v>
      </c>
      <c r="F32329">
        <v>55</v>
      </c>
    </row>
    <row r="32330" spans="1:6" ht="12.75">
      <c r="A32330" s="2">
        <v>43875.459733796291</v>
      </c>
      <c r="B32330" t="str">
        <f>HYPERLINK("https://twitter.com/AdexAd","@AdexAd")</f>
        <v>@AdexAd</v>
      </c>
      <c r="C32330" t="s">
        <v>9746</v>
      </c>
      <c r="D32330">
        <v>32</v>
      </c>
      <c r="E32330">
        <v>0</v>
      </c>
      <c r="F32330">
        <v>799</v>
      </c>
    </row>
    <row r="32331" spans="1:6" ht="12.75">
      <c r="A32331" s="2">
        <v>43875.459675925929</v>
      </c>
      <c r="B32331" t="str">
        <f>HYPERLINK("https://twitter.com/_UsbinDunda","@_UsbinDunda")</f>
        <v>@_UsbinDunda</v>
      </c>
      <c r="C32331" t="s">
        <v>13504</v>
      </c>
      <c r="D32331">
        <v>0</v>
      </c>
      <c r="E32331">
        <v>0</v>
      </c>
      <c r="F32331">
        <v>317</v>
      </c>
    </row>
    <row r="32332" spans="1:6" ht="12.75">
      <c r="A32332" s="2">
        <v>43875.459594907406</v>
      </c>
      <c r="B32332" t="str">
        <f>HYPERLINK("https://twitter.com/matalu_suuuu","@matalu_suuuu")</f>
        <v>@matalu_suuuu</v>
      </c>
      <c r="C32332" t="s">
        <v>13505</v>
      </c>
      <c r="D32332">
        <v>0</v>
      </c>
      <c r="E32332">
        <v>0</v>
      </c>
      <c r="F32332">
        <v>120</v>
      </c>
    </row>
    <row r="32333" spans="1:6" ht="12.75">
      <c r="A32333" s="2">
        <v>43875.459548611107</v>
      </c>
      <c r="B32333" t="str">
        <f>HYPERLINK("https://twitter.com/soffel84103944","@soffel84103944")</f>
        <v>@soffel84103944</v>
      </c>
      <c r="C32333" t="s">
        <v>10422</v>
      </c>
      <c r="D32333">
        <v>57</v>
      </c>
      <c r="E32333">
        <v>0</v>
      </c>
      <c r="F32333">
        <v>403</v>
      </c>
    </row>
    <row r="32334" spans="1:6" ht="12.75">
      <c r="A32334" s="2">
        <v>43875.459513888884</v>
      </c>
      <c r="B32334" t="str">
        <f>HYPERLINK("https://twitter.com/Hayik02","@Hayik02")</f>
        <v>@Hayik02</v>
      </c>
      <c r="C32334" t="s">
        <v>9113</v>
      </c>
      <c r="D32334">
        <v>264</v>
      </c>
      <c r="E32334">
        <v>0</v>
      </c>
      <c r="F32334">
        <v>274</v>
      </c>
    </row>
    <row r="32335" spans="1:6" ht="12.75">
      <c r="A32335" s="2">
        <v>43875.459432870368</v>
      </c>
      <c r="B32335" t="str">
        <f>HYPERLINK("https://twitter.com/IwanJuda","@IwanJuda")</f>
        <v>@IwanJuda</v>
      </c>
      <c r="C32335" t="s">
        <v>13506</v>
      </c>
      <c r="D32335">
        <v>0</v>
      </c>
      <c r="E32335">
        <v>0</v>
      </c>
      <c r="F32335">
        <v>34</v>
      </c>
    </row>
    <row r="32336" spans="1:6" ht="12.75">
      <c r="A32336" s="2">
        <v>43875.459432870368</v>
      </c>
      <c r="B32336" t="str">
        <f>HYPERLINK("https://twitter.com/SayaIndonesia07","@SayaIndonesia07")</f>
        <v>@SayaIndonesia07</v>
      </c>
      <c r="C32336" t="s">
        <v>13507</v>
      </c>
      <c r="D32336">
        <v>0</v>
      </c>
      <c r="E32336">
        <v>0</v>
      </c>
      <c r="F32336">
        <v>56</v>
      </c>
    </row>
    <row r="32337" spans="1:6" ht="12.75">
      <c r="A32337" s="2">
        <v>43875.459421296298</v>
      </c>
      <c r="B32337" t="str">
        <f>HYPERLINK("https://twitter.com/herubadala","@herubadala")</f>
        <v>@herubadala</v>
      </c>
      <c r="C32337" t="s">
        <v>10422</v>
      </c>
      <c r="D32337">
        <v>57</v>
      </c>
      <c r="E32337">
        <v>0</v>
      </c>
      <c r="F32337">
        <v>466</v>
      </c>
    </row>
    <row r="32338" spans="1:6" ht="12.75">
      <c r="A32338" s="2">
        <v>43875.459282407406</v>
      </c>
      <c r="B32338" t="str">
        <f>HYPERLINK("https://twitter.com/renseoneday","@renseoneday")</f>
        <v>@renseoneday</v>
      </c>
      <c r="C32338" t="s">
        <v>2444</v>
      </c>
      <c r="D32338">
        <v>110</v>
      </c>
      <c r="E32338">
        <v>0</v>
      </c>
      <c r="F32338">
        <v>354</v>
      </c>
    </row>
    <row r="32339" spans="1:6" ht="12.75">
      <c r="A32339" s="2">
        <v>43875.459282407406</v>
      </c>
      <c r="B32339" t="str">
        <f>HYPERLINK("https://twitter.com/concatenate_","@concatenate_")</f>
        <v>@concatenate_</v>
      </c>
      <c r="C32339" t="s">
        <v>13508</v>
      </c>
      <c r="D32339">
        <v>0</v>
      </c>
      <c r="E32339">
        <v>0</v>
      </c>
      <c r="F32339">
        <v>13</v>
      </c>
    </row>
    <row r="32340" spans="1:6" ht="12.75">
      <c r="A32340" s="2">
        <v>43875.459236111114</v>
      </c>
      <c r="B32340" t="str">
        <f>HYPERLINK("https://twitter.com/JacksQuevara","@JacksQuevara")</f>
        <v>@JacksQuevara</v>
      </c>
      <c r="C32340" t="s">
        <v>9538</v>
      </c>
      <c r="D32340">
        <v>115</v>
      </c>
      <c r="E32340">
        <v>0</v>
      </c>
      <c r="F32340">
        <v>1034</v>
      </c>
    </row>
    <row r="32341" spans="1:6" ht="12.75">
      <c r="A32341" s="2">
        <v>43875.459201388891</v>
      </c>
      <c r="B32341" t="str">
        <f>HYPERLINK("https://twitter.com/bennowidagda","@bennowidagda")</f>
        <v>@bennowidagda</v>
      </c>
      <c r="C32341" t="s">
        <v>13416</v>
      </c>
      <c r="D32341">
        <v>1</v>
      </c>
      <c r="E32341">
        <v>0</v>
      </c>
      <c r="F32341">
        <v>1597</v>
      </c>
    </row>
    <row r="32342" spans="1:6" ht="12.75">
      <c r="A32342" s="2">
        <v>43875.459143518514</v>
      </c>
      <c r="B32342" t="str">
        <f>HYPERLINK("https://twitter.com/CIIA_Ind","@CIIA_Ind")</f>
        <v>@CIIA_Ind</v>
      </c>
      <c r="C32342" t="s">
        <v>13509</v>
      </c>
      <c r="D32342">
        <v>0</v>
      </c>
      <c r="E32342">
        <v>0</v>
      </c>
      <c r="F32342">
        <v>180</v>
      </c>
    </row>
    <row r="32343" spans="1:6" ht="12.75">
      <c r="A32343" s="2">
        <v>43875.459143518514</v>
      </c>
      <c r="B32343" t="str">
        <f>HYPERLINK("https://twitter.com/RgwRudi","@RgwRudi")</f>
        <v>@RgwRudi</v>
      </c>
      <c r="C32343" t="s">
        <v>10325</v>
      </c>
      <c r="D32343">
        <v>540</v>
      </c>
      <c r="E32343">
        <v>0</v>
      </c>
      <c r="F32343">
        <v>178</v>
      </c>
    </row>
    <row r="32344" spans="1:6" ht="12.75">
      <c r="A32344" s="2">
        <v>43875.458923611106</v>
      </c>
      <c r="B32344" t="str">
        <f>HYPERLINK("https://twitter.com/LokadataID","@LokadataID")</f>
        <v>@LokadataID</v>
      </c>
      <c r="C32344" t="s">
        <v>13510</v>
      </c>
      <c r="D32344">
        <v>0</v>
      </c>
      <c r="E32344">
        <v>1</v>
      </c>
      <c r="F32344">
        <v>512707</v>
      </c>
    </row>
    <row r="32345" spans="1:6" ht="12.75">
      <c r="A32345" s="2">
        <v>43875.458865740744</v>
      </c>
      <c r="B32345" t="str">
        <f>HYPERLINK("https://twitter.com/bontang_post","@bontang_post")</f>
        <v>@bontang_post</v>
      </c>
      <c r="C32345" t="s">
        <v>13511</v>
      </c>
      <c r="D32345">
        <v>0</v>
      </c>
      <c r="E32345">
        <v>0</v>
      </c>
      <c r="F32345">
        <v>334</v>
      </c>
    </row>
    <row r="32346" spans="1:6" ht="12.75">
      <c r="A32346" s="2">
        <v>43875.45884259259</v>
      </c>
      <c r="B32346" t="str">
        <f>HYPERLINK("https://twitter.com/radjanabolon","@radjanabolon")</f>
        <v>@radjanabolon</v>
      </c>
      <c r="C32346" t="s">
        <v>13512</v>
      </c>
      <c r="D32346">
        <v>0</v>
      </c>
      <c r="E32346">
        <v>0</v>
      </c>
      <c r="F32346">
        <v>29</v>
      </c>
    </row>
    <row r="32347" spans="1:6" ht="12.75">
      <c r="A32347" s="2">
        <v>43875.458819444444</v>
      </c>
      <c r="B32347" t="str">
        <f>HYPERLINK("https://twitter.com/sarwonochris","@sarwonochris")</f>
        <v>@sarwonochris</v>
      </c>
      <c r="C32347" t="s">
        <v>2963</v>
      </c>
      <c r="D32347">
        <v>650</v>
      </c>
      <c r="E32347">
        <v>0</v>
      </c>
      <c r="F32347">
        <v>68</v>
      </c>
    </row>
    <row r="32348" spans="1:6" ht="12.75">
      <c r="A32348" s="2">
        <v>43875.458750000005</v>
      </c>
      <c r="B32348" t="str">
        <f>HYPERLINK("https://twitter.com/AnakKolong___","@AnakKolong___")</f>
        <v>@AnakKolong___</v>
      </c>
      <c r="C32348" t="s">
        <v>13513</v>
      </c>
      <c r="D32348">
        <v>1</v>
      </c>
      <c r="E32348">
        <v>0</v>
      </c>
      <c r="F32348">
        <v>5282</v>
      </c>
    </row>
    <row r="32349" spans="1:6" ht="12.75">
      <c r="A32349" s="2">
        <v>43875.458715277782</v>
      </c>
      <c r="B32349" t="str">
        <f>HYPERLINK("https://twitter.com/svargadrinks","@svargadrinks")</f>
        <v>@svargadrinks</v>
      </c>
      <c r="C32349" t="s">
        <v>11086</v>
      </c>
      <c r="D32349">
        <v>82</v>
      </c>
      <c r="E32349">
        <v>0</v>
      </c>
      <c r="F32349">
        <v>26</v>
      </c>
    </row>
    <row r="32350" spans="1:6" ht="12.75">
      <c r="A32350" s="2">
        <v>43875.458668981482</v>
      </c>
      <c r="B32350" t="str">
        <f>HYPERLINK("https://twitter.com/NormanAhmad6","@NormanAhmad6")</f>
        <v>@NormanAhmad6</v>
      </c>
      <c r="C32350" t="s">
        <v>2963</v>
      </c>
      <c r="D32350">
        <v>650</v>
      </c>
      <c r="E32350">
        <v>0</v>
      </c>
      <c r="F32350">
        <v>1141</v>
      </c>
    </row>
    <row r="32351" spans="1:6" ht="12.75">
      <c r="A32351" s="2">
        <v>43875.458645833336</v>
      </c>
      <c r="B32351" t="str">
        <f>HYPERLINK("https://twitter.com/Morningtyas","@Morningtyas")</f>
        <v>@Morningtyas</v>
      </c>
      <c r="C32351" t="s">
        <v>13514</v>
      </c>
      <c r="D32351">
        <v>0</v>
      </c>
      <c r="E32351">
        <v>0</v>
      </c>
      <c r="F32351">
        <v>30628</v>
      </c>
    </row>
    <row r="32352" spans="1:6" ht="12.75">
      <c r="A32352" s="2">
        <v>43875.458645833336</v>
      </c>
      <c r="B32352" t="str">
        <f>HYPERLINK("https://twitter.com/desainary","@desainary")</f>
        <v>@desainary</v>
      </c>
      <c r="C32352" t="s">
        <v>13515</v>
      </c>
      <c r="D32352">
        <v>0</v>
      </c>
      <c r="E32352">
        <v>0</v>
      </c>
      <c r="F32352">
        <v>362</v>
      </c>
    </row>
    <row r="32353" spans="1:6" ht="12.75">
      <c r="A32353" s="2">
        <v>43875.458564814813</v>
      </c>
      <c r="B32353" t="str">
        <f>HYPERLINK("https://twitter.com/puteripermata27","@puteripermata27")</f>
        <v>@puteripermata27</v>
      </c>
      <c r="C32353" t="s">
        <v>12044</v>
      </c>
      <c r="D32353">
        <v>41</v>
      </c>
      <c r="E32353">
        <v>0</v>
      </c>
      <c r="F32353">
        <v>36</v>
      </c>
    </row>
    <row r="32354" spans="1:6" ht="12.75">
      <c r="A32354" s="2">
        <v>43875.458506944444</v>
      </c>
      <c r="B32354" t="str">
        <f>HYPERLINK("https://twitter.com/EdhiLmg","@EdhiLmg")</f>
        <v>@EdhiLmg</v>
      </c>
      <c r="C32354" t="s">
        <v>13516</v>
      </c>
      <c r="D32354">
        <v>0</v>
      </c>
      <c r="E32354">
        <v>0</v>
      </c>
      <c r="F32354">
        <v>2131</v>
      </c>
    </row>
    <row r="32355" spans="1:6" ht="12.75">
      <c r="A32355" s="2">
        <v>43875.458495370374</v>
      </c>
      <c r="B32355" t="str">
        <f>HYPERLINK("https://twitter.com/mirzalialily","@mirzalialily")</f>
        <v>@mirzalialily</v>
      </c>
      <c r="C32355" t="s">
        <v>2963</v>
      </c>
      <c r="D32355">
        <v>650</v>
      </c>
      <c r="E32355">
        <v>0</v>
      </c>
      <c r="F32355">
        <v>577</v>
      </c>
    </row>
    <row r="32356" spans="1:6" ht="12.75">
      <c r="A32356" s="2">
        <v>43875.458414351851</v>
      </c>
      <c r="B32356" t="str">
        <f>HYPERLINK("https://twitter.com/sibilphal","@sibilphal")</f>
        <v>@sibilphal</v>
      </c>
      <c r="C32356" t="s">
        <v>9964</v>
      </c>
      <c r="D32356">
        <v>490</v>
      </c>
      <c r="E32356">
        <v>0</v>
      </c>
      <c r="F32356">
        <v>305</v>
      </c>
    </row>
    <row r="32357" spans="1:6" ht="12.75">
      <c r="A32357" s="2">
        <v>43875.458368055552</v>
      </c>
      <c r="B32357" t="str">
        <f>HYPERLINK("https://twitter.com/tsjokka","@tsjokka")</f>
        <v>@tsjokka</v>
      </c>
      <c r="C32357" t="s">
        <v>13517</v>
      </c>
      <c r="D32357">
        <v>1</v>
      </c>
      <c r="E32357">
        <v>1</v>
      </c>
      <c r="F32357">
        <v>524</v>
      </c>
    </row>
    <row r="32358" spans="1:6" ht="12.75">
      <c r="A32358" s="2">
        <v>43875.458344907413</v>
      </c>
      <c r="B32358" t="str">
        <f>HYPERLINK("https://twitter.com/SayHeiYu","@SayHeiYu")</f>
        <v>@SayHeiYu</v>
      </c>
      <c r="C32358" t="s">
        <v>7958</v>
      </c>
      <c r="D32358">
        <v>0</v>
      </c>
      <c r="E32358">
        <v>0</v>
      </c>
      <c r="F32358">
        <v>120178</v>
      </c>
    </row>
    <row r="32359" spans="1:6" ht="12.75">
      <c r="A32359" s="2">
        <v>43875.458240740743</v>
      </c>
      <c r="B32359" t="str">
        <f>HYPERLINK("https://twitter.com/soonwoonoona","@soonwoonoona")</f>
        <v>@soonwoonoona</v>
      </c>
      <c r="C32359" t="s">
        <v>9964</v>
      </c>
      <c r="D32359">
        <v>490</v>
      </c>
      <c r="E32359">
        <v>0</v>
      </c>
      <c r="F32359">
        <v>1001</v>
      </c>
    </row>
    <row r="32360" spans="1:6" ht="12.75">
      <c r="A32360" s="2">
        <v>43875.45820601852</v>
      </c>
      <c r="B32360" t="str">
        <f>HYPERLINK("https://twitter.com/erhan_agus","@erhan_agus")</f>
        <v>@erhan_agus</v>
      </c>
      <c r="C32360" t="s">
        <v>13518</v>
      </c>
      <c r="D32360">
        <v>0</v>
      </c>
      <c r="E32360">
        <v>0</v>
      </c>
      <c r="F32360">
        <v>321</v>
      </c>
    </row>
    <row r="32361" spans="1:6" ht="12.75">
      <c r="A32361" s="2">
        <v>43875.458182870367</v>
      </c>
      <c r="B32361" t="str">
        <f>HYPERLINK("https://twitter.com/John_Muhan","@John_Muhan")</f>
        <v>@John_Muhan</v>
      </c>
      <c r="C32361" t="s">
        <v>13519</v>
      </c>
      <c r="D32361">
        <v>0</v>
      </c>
      <c r="E32361">
        <v>0</v>
      </c>
      <c r="F32361">
        <v>796</v>
      </c>
    </row>
    <row r="32362" spans="1:6" ht="12.75">
      <c r="A32362" s="2">
        <v>43875.458171296297</v>
      </c>
      <c r="B32362" t="str">
        <f>HYPERLINK("https://twitter.com/dusrimulya","@dusrimulya")</f>
        <v>@dusrimulya</v>
      </c>
      <c r="C32362" t="s">
        <v>13520</v>
      </c>
      <c r="D32362">
        <v>0</v>
      </c>
      <c r="E32362">
        <v>0</v>
      </c>
      <c r="F32362">
        <v>22292</v>
      </c>
    </row>
    <row r="32363" spans="1:6" ht="12.75">
      <c r="A32363" s="2">
        <v>43875.458148148144</v>
      </c>
      <c r="B32363" t="str">
        <f>HYPERLINK("https://twitter.com/kiosngalam69","@kiosngalam69")</f>
        <v>@kiosngalam69</v>
      </c>
      <c r="C32363" t="s">
        <v>13521</v>
      </c>
      <c r="D32363">
        <v>0</v>
      </c>
      <c r="E32363">
        <v>0</v>
      </c>
      <c r="F32363">
        <v>0</v>
      </c>
    </row>
    <row r="32364" spans="1:6" ht="12.75">
      <c r="A32364" s="2">
        <v>43875.458113425921</v>
      </c>
      <c r="B32364" t="str">
        <f>HYPERLINK("https://twitter.com/udayana_agastya","@udayana_agastya")</f>
        <v>@udayana_agastya</v>
      </c>
      <c r="C32364" t="s">
        <v>9746</v>
      </c>
      <c r="D32364">
        <v>32</v>
      </c>
      <c r="E32364">
        <v>0</v>
      </c>
      <c r="F32364">
        <v>538</v>
      </c>
    </row>
    <row r="32365" spans="1:6" ht="12.75">
      <c r="A32365" s="2">
        <v>43875.458101851851</v>
      </c>
      <c r="B32365" t="str">
        <f>HYPERLINK("https://twitter.com/nununa_naa","@nununa_naa")</f>
        <v>@nununa_naa</v>
      </c>
      <c r="C32365" t="s">
        <v>9964</v>
      </c>
      <c r="D32365">
        <v>490</v>
      </c>
      <c r="E32365">
        <v>0</v>
      </c>
      <c r="F32365">
        <v>242</v>
      </c>
    </row>
    <row r="32366" spans="1:6" ht="12.75">
      <c r="A32366" s="2">
        <v>43875.458101851851</v>
      </c>
      <c r="B32366" t="str">
        <f>HYPERLINK("https://twitter.com/p4pi11on","@p4pi11on")</f>
        <v>@p4pi11on</v>
      </c>
      <c r="C32366" t="s">
        <v>9538</v>
      </c>
      <c r="D32366">
        <v>115</v>
      </c>
      <c r="E32366">
        <v>0</v>
      </c>
      <c r="F32366">
        <v>1114</v>
      </c>
    </row>
    <row r="32367" spans="1:6" ht="12.75">
      <c r="A32367" s="2">
        <v>43875.457962962959</v>
      </c>
      <c r="B32367" t="str">
        <f>HYPERLINK("https://twitter.com/ezararvi","@ezararvi")</f>
        <v>@ezararvi</v>
      </c>
      <c r="C32367" t="s">
        <v>2963</v>
      </c>
      <c r="D32367">
        <v>650</v>
      </c>
      <c r="E32367">
        <v>0</v>
      </c>
      <c r="F32367">
        <v>304</v>
      </c>
    </row>
    <row r="32368" spans="1:6" ht="12.75">
      <c r="A32368" s="2">
        <v>43875.457916666666</v>
      </c>
      <c r="B32368" t="str">
        <f>HYPERLINK("https://twitter.com/dana_suparta","@dana_suparta")</f>
        <v>@dana_suparta</v>
      </c>
      <c r="C32368" t="s">
        <v>13522</v>
      </c>
      <c r="D32368">
        <v>0</v>
      </c>
      <c r="E32368">
        <v>0</v>
      </c>
      <c r="F32368">
        <v>6</v>
      </c>
    </row>
    <row r="32369" spans="1:6" ht="12.75">
      <c r="A32369" s="2">
        <v>43875.457858796297</v>
      </c>
      <c r="B32369" t="str">
        <f>HYPERLINK("https://twitter.com/SitompulYunus","@SitompulYunus")</f>
        <v>@SitompulYunus</v>
      </c>
      <c r="C32369" t="s">
        <v>10032</v>
      </c>
      <c r="D32369">
        <v>24</v>
      </c>
      <c r="E32369">
        <v>0</v>
      </c>
      <c r="F32369">
        <v>844</v>
      </c>
    </row>
    <row r="32370" spans="1:6" ht="12.75">
      <c r="A32370" s="2">
        <v>43875.45784722222</v>
      </c>
      <c r="B32370" t="str">
        <f>HYPERLINK("https://twitter.com/aranabeel","@aranabeel")</f>
        <v>@aranabeel</v>
      </c>
      <c r="C32370" t="s">
        <v>13523</v>
      </c>
      <c r="D32370">
        <v>0</v>
      </c>
      <c r="E32370">
        <v>0</v>
      </c>
      <c r="F32370">
        <v>412</v>
      </c>
    </row>
    <row r="32371" spans="1:6" ht="12.75">
      <c r="A32371" s="2">
        <v>43875.457777777774</v>
      </c>
      <c r="B32371" t="str">
        <f>HYPERLINK("https://twitter.com/Cengkonek2","@Cengkonek2")</f>
        <v>@Cengkonek2</v>
      </c>
      <c r="C32371" t="s">
        <v>13524</v>
      </c>
      <c r="D32371">
        <v>4</v>
      </c>
      <c r="E32371">
        <v>0</v>
      </c>
      <c r="F32371">
        <v>1224</v>
      </c>
    </row>
    <row r="32372" spans="1:6" ht="12.75">
      <c r="A32372" s="2">
        <v>43875.457743055551</v>
      </c>
      <c r="B32372" t="str">
        <f>HYPERLINK("https://twitter.com/aris_rivai","@aris_rivai")</f>
        <v>@aris_rivai</v>
      </c>
      <c r="C32372" t="s">
        <v>13525</v>
      </c>
      <c r="D32372">
        <v>2</v>
      </c>
      <c r="E32372">
        <v>0</v>
      </c>
      <c r="F32372">
        <v>278</v>
      </c>
    </row>
    <row r="32373" spans="1:6" ht="12.75">
      <c r="A32373" s="2">
        <v>43875.457731481481</v>
      </c>
      <c r="B32373" t="str">
        <f>HYPERLINK("https://twitter.com/jeonghanstar","@jeonghanstar")</f>
        <v>@jeonghanstar</v>
      </c>
      <c r="C32373" t="s">
        <v>9964</v>
      </c>
      <c r="D32373">
        <v>490</v>
      </c>
      <c r="E32373">
        <v>0</v>
      </c>
      <c r="F32373">
        <v>294</v>
      </c>
    </row>
    <row r="32374" spans="1:6" ht="12.75">
      <c r="A32374" s="2">
        <v>43875.457604166666</v>
      </c>
      <c r="B32374" t="str">
        <f>HYPERLINK("https://twitter.com/xboripx","@xboripx")</f>
        <v>@xboripx</v>
      </c>
      <c r="C32374" t="s">
        <v>13526</v>
      </c>
      <c r="D32374">
        <v>0</v>
      </c>
      <c r="E32374">
        <v>0</v>
      </c>
      <c r="F32374">
        <v>539</v>
      </c>
    </row>
    <row r="32375" spans="1:6" ht="12.75">
      <c r="A32375" s="2">
        <v>43875.457326388889</v>
      </c>
      <c r="B32375" t="str">
        <f>HYPERLINK("https://twitter.com/ObatAsma","@ObatAsma")</f>
        <v>@ObatAsma</v>
      </c>
      <c r="C32375" t="s">
        <v>13527</v>
      </c>
      <c r="D32375">
        <v>0</v>
      </c>
      <c r="E32375">
        <v>0</v>
      </c>
      <c r="F32375">
        <v>67</v>
      </c>
    </row>
    <row r="32376" spans="1:6" ht="12.75">
      <c r="A32376" s="2">
        <v>43875.457326388889</v>
      </c>
      <c r="B32376" t="str">
        <f>HYPERLINK("https://twitter.com/BemPnm","@BemPnm")</f>
        <v>@BemPnm</v>
      </c>
      <c r="C32376" t="s">
        <v>2144</v>
      </c>
      <c r="D32376">
        <v>52</v>
      </c>
      <c r="E32376">
        <v>0</v>
      </c>
      <c r="F32376">
        <v>13</v>
      </c>
    </row>
    <row r="32377" spans="1:6" ht="12.75">
      <c r="A32377" s="2">
        <v>43875.457280092596</v>
      </c>
      <c r="B32377" t="str">
        <f>HYPERLINK("https://twitter.com/Dedy_313","@Dedy_313")</f>
        <v>@Dedy_313</v>
      </c>
      <c r="C32377" t="s">
        <v>2963</v>
      </c>
      <c r="D32377">
        <v>650</v>
      </c>
      <c r="E32377">
        <v>0</v>
      </c>
      <c r="F32377">
        <v>247</v>
      </c>
    </row>
    <row r="32378" spans="1:6" ht="12.75">
      <c r="A32378" s="2">
        <v>43875.457280092596</v>
      </c>
      <c r="B32378" t="str">
        <f>HYPERLINK("https://twitter.com/eklesiamrc","@eklesiamrc")</f>
        <v>@eklesiamrc</v>
      </c>
      <c r="C32378" t="s">
        <v>13528</v>
      </c>
      <c r="D32378">
        <v>1</v>
      </c>
      <c r="E32378">
        <v>0</v>
      </c>
      <c r="F32378">
        <v>0</v>
      </c>
    </row>
    <row r="32379" spans="1:6" ht="12.75">
      <c r="A32379" s="2">
        <v>43875.45722222222</v>
      </c>
      <c r="B32379" t="str">
        <f>HYPERLINK("https://twitter.com/EricssenWen","@EricssenWen")</f>
        <v>@EricssenWen</v>
      </c>
      <c r="C32379" t="s">
        <v>13529</v>
      </c>
      <c r="D32379">
        <v>0</v>
      </c>
      <c r="E32379">
        <v>0</v>
      </c>
      <c r="F32379">
        <v>1907</v>
      </c>
    </row>
    <row r="32380" spans="1:6" ht="12.75">
      <c r="A32380" s="2">
        <v>43875.457199074073</v>
      </c>
      <c r="B32380" t="str">
        <f>HYPERLINK("https://twitter.com/geanlutfi","@geanlutfi")</f>
        <v>@geanlutfi</v>
      </c>
      <c r="C32380" t="s">
        <v>13530</v>
      </c>
      <c r="D32380">
        <v>0</v>
      </c>
      <c r="E32380">
        <v>0</v>
      </c>
      <c r="F32380">
        <v>17</v>
      </c>
    </row>
    <row r="32381" spans="1:6" ht="12.75">
      <c r="A32381" s="2">
        <v>43875.457152777773</v>
      </c>
      <c r="B32381" t="str">
        <f>HYPERLINK("https://twitter.com/dorandae_il","@dorandae_il")</f>
        <v>@dorandae_il</v>
      </c>
      <c r="C32381" t="s">
        <v>2444</v>
      </c>
      <c r="D32381">
        <v>110</v>
      </c>
      <c r="E32381">
        <v>0</v>
      </c>
      <c r="F32381">
        <v>1396</v>
      </c>
    </row>
    <row r="32382" spans="1:6" ht="12.75">
      <c r="A32382" s="2">
        <v>43875.457141203704</v>
      </c>
      <c r="B32382" t="str">
        <f>HYPERLINK("https://twitter.com/almaaksela","@almaaksela")</f>
        <v>@almaaksela</v>
      </c>
      <c r="C32382" t="s">
        <v>8252</v>
      </c>
      <c r="D32382">
        <v>489</v>
      </c>
      <c r="E32382">
        <v>0</v>
      </c>
      <c r="F32382">
        <v>909</v>
      </c>
    </row>
    <row r="32383" spans="1:6" ht="12.75">
      <c r="A32383" s="2">
        <v>43875.45711805555</v>
      </c>
      <c r="B32383" t="str">
        <f>HYPERLINK("https://twitter.com/azam310110","@azam310110")</f>
        <v>@azam310110</v>
      </c>
      <c r="C32383" t="s">
        <v>12834</v>
      </c>
      <c r="D32383">
        <v>415</v>
      </c>
      <c r="E32383">
        <v>0</v>
      </c>
      <c r="F32383">
        <v>602</v>
      </c>
    </row>
    <row r="32384" spans="1:6" ht="12.75">
      <c r="A32384" s="2">
        <v>43875.457094907411</v>
      </c>
      <c r="B32384" t="str">
        <f>HYPERLINK("https://twitter.com/bpriady","@bpriady")</f>
        <v>@bpriady</v>
      </c>
      <c r="C32384" t="s">
        <v>13531</v>
      </c>
      <c r="D32384">
        <v>1</v>
      </c>
      <c r="E32384">
        <v>0</v>
      </c>
      <c r="F32384">
        <v>592</v>
      </c>
    </row>
    <row r="32385" spans="1:6" ht="12.75">
      <c r="A32385" s="2">
        <v>43875.456921296296</v>
      </c>
      <c r="B32385" t="str">
        <f>HYPERLINK("https://twitter.com/KangAzzev","@KangAzzev")</f>
        <v>@KangAzzev</v>
      </c>
      <c r="C32385" t="s">
        <v>5624</v>
      </c>
      <c r="D32385">
        <v>114</v>
      </c>
      <c r="E32385">
        <v>0</v>
      </c>
      <c r="F32385">
        <v>708</v>
      </c>
    </row>
    <row r="32386" spans="1:6" ht="12.75">
      <c r="A32386" s="2">
        <v>43875.456921296296</v>
      </c>
      <c r="B32386" t="str">
        <f>HYPERLINK("https://twitter.com/koecing_pasar","@koecing_pasar")</f>
        <v>@koecing_pasar</v>
      </c>
      <c r="C32386" t="s">
        <v>13532</v>
      </c>
      <c r="D32386">
        <v>6</v>
      </c>
      <c r="E32386">
        <v>0</v>
      </c>
      <c r="F32386">
        <v>1220</v>
      </c>
    </row>
    <row r="32387" spans="1:6" ht="12.75">
      <c r="A32387" s="2">
        <v>43875.456886574073</v>
      </c>
      <c r="B32387" t="str">
        <f>HYPERLINK("https://twitter.com/Ganjar6antira","@Ganjar6antira")</f>
        <v>@Ganjar6antira</v>
      </c>
      <c r="C32387" t="s">
        <v>13533</v>
      </c>
      <c r="D32387">
        <v>1</v>
      </c>
      <c r="E32387">
        <v>0</v>
      </c>
      <c r="F32387">
        <v>3642</v>
      </c>
    </row>
    <row r="32388" spans="1:6" ht="12.75">
      <c r="A32388" s="2">
        <v>43875.456782407404</v>
      </c>
      <c r="B32388" t="str">
        <f>HYPERLINK("https://twitter.com/pinginanu","@pinginanu")</f>
        <v>@pinginanu</v>
      </c>
      <c r="C32388" t="s">
        <v>2444</v>
      </c>
      <c r="D32388">
        <v>110</v>
      </c>
      <c r="E32388">
        <v>0</v>
      </c>
      <c r="F32388">
        <v>37</v>
      </c>
    </row>
    <row r="32389" spans="1:6" ht="12.75">
      <c r="A32389" s="2">
        <v>43875.456747685181</v>
      </c>
      <c r="B32389" t="str">
        <f>HYPERLINK("https://twitter.com/arkanarkanarkij","@arkanarkanarkij")</f>
        <v>@arkanarkanarkij</v>
      </c>
      <c r="C32389" t="s">
        <v>13534</v>
      </c>
      <c r="D32389">
        <v>0</v>
      </c>
      <c r="E32389">
        <v>0</v>
      </c>
      <c r="F32389">
        <v>525</v>
      </c>
    </row>
    <row r="32390" spans="1:6" ht="12.75">
      <c r="A32390" s="2">
        <v>43875.456712962958</v>
      </c>
      <c r="B32390" t="str">
        <f>HYPERLINK("https://twitter.com/ArethaAnggraini","@ArethaAnggraini")</f>
        <v>@ArethaAnggraini</v>
      </c>
      <c r="C32390" t="s">
        <v>11460</v>
      </c>
      <c r="D32390">
        <v>15</v>
      </c>
      <c r="E32390">
        <v>0</v>
      </c>
      <c r="F32390">
        <v>6</v>
      </c>
    </row>
    <row r="32391" spans="1:6" ht="12.75">
      <c r="A32391" s="2">
        <v>43875.456689814819</v>
      </c>
      <c r="B32391" t="str">
        <f>HYPERLINK("https://twitter.com/arie__saja","@arie__saja")</f>
        <v>@arie__saja</v>
      </c>
      <c r="C32391" t="s">
        <v>12612</v>
      </c>
      <c r="D32391">
        <v>13</v>
      </c>
      <c r="E32391">
        <v>0</v>
      </c>
      <c r="F32391">
        <v>2135</v>
      </c>
    </row>
    <row r="32392" spans="1:6" ht="12.75">
      <c r="A32392" s="2">
        <v>43875.456620370373</v>
      </c>
      <c r="B32392" t="str">
        <f>HYPERLINK("https://twitter.com/Michaelmeo3","@Michaelmeo3")</f>
        <v>@Michaelmeo3</v>
      </c>
      <c r="C32392" t="s">
        <v>13535</v>
      </c>
      <c r="D32392">
        <v>0</v>
      </c>
      <c r="E32392">
        <v>0</v>
      </c>
      <c r="F32392">
        <v>2</v>
      </c>
    </row>
    <row r="32393" spans="1:6" ht="12.75">
      <c r="A32393" s="2">
        <v>43875.45648148148</v>
      </c>
      <c r="B32393" t="str">
        <f>HYPERLINK("https://twitter.com/IFprawiradinata","@IFprawiradinata")</f>
        <v>@IFprawiradinata</v>
      </c>
      <c r="C32393" t="s">
        <v>11566</v>
      </c>
      <c r="D32393">
        <v>101</v>
      </c>
      <c r="E32393">
        <v>0</v>
      </c>
      <c r="F32393">
        <v>69</v>
      </c>
    </row>
    <row r="32394" spans="1:6" ht="12.75">
      <c r="A32394" s="2">
        <v>43875.45648148148</v>
      </c>
      <c r="B32394" t="str">
        <f>HYPERLINK("https://twitter.com/ezraputranda","@ezraputranda")</f>
        <v>@ezraputranda</v>
      </c>
      <c r="C32394" t="s">
        <v>13536</v>
      </c>
      <c r="D32394">
        <v>0</v>
      </c>
      <c r="E32394">
        <v>0</v>
      </c>
      <c r="F32394">
        <v>218</v>
      </c>
    </row>
    <row r="32395" spans="1:6" ht="12.75">
      <c r="A32395" s="2">
        <v>43875.456458333334</v>
      </c>
      <c r="B32395" t="str">
        <f>HYPERLINK("https://twitter.com/_albaiat","@_albaiat")</f>
        <v>@_albaiat</v>
      </c>
      <c r="C32395" t="s">
        <v>13537</v>
      </c>
      <c r="D32395">
        <v>1</v>
      </c>
      <c r="E32395">
        <v>0</v>
      </c>
      <c r="F32395">
        <v>850</v>
      </c>
    </row>
    <row r="32396" spans="1:6" ht="12.75">
      <c r="A32396" s="2">
        <v>43875.456435185188</v>
      </c>
      <c r="B32396" t="str">
        <f>HYPERLINK("https://twitter.com/abungunawan13","@abungunawan13")</f>
        <v>@abungunawan13</v>
      </c>
      <c r="C32396" t="s">
        <v>9947</v>
      </c>
      <c r="D32396">
        <v>323</v>
      </c>
      <c r="E32396">
        <v>0</v>
      </c>
      <c r="F32396">
        <v>169</v>
      </c>
    </row>
    <row r="32397" spans="1:6" ht="12.75">
      <c r="A32397" s="2">
        <v>43875.456435185188</v>
      </c>
      <c r="B32397" t="str">
        <f>HYPERLINK("https://twitter.com/DesiArfisi","@DesiArfisi")</f>
        <v>@DesiArfisi</v>
      </c>
      <c r="C32397" t="s">
        <v>12490</v>
      </c>
      <c r="D32397">
        <v>1</v>
      </c>
      <c r="E32397">
        <v>0</v>
      </c>
      <c r="F32397">
        <v>2167</v>
      </c>
    </row>
    <row r="32398" spans="1:6" ht="12.75">
      <c r="A32398" s="2">
        <v>43875.456423611111</v>
      </c>
      <c r="B32398" t="str">
        <f>HYPERLINK("https://twitter.com/2408_room","@2408_room")</f>
        <v>@2408_room</v>
      </c>
      <c r="C32398" t="s">
        <v>13538</v>
      </c>
      <c r="D32398">
        <v>0</v>
      </c>
      <c r="E32398">
        <v>0</v>
      </c>
      <c r="F32398">
        <v>2209</v>
      </c>
    </row>
    <row r="32399" spans="1:6" ht="12.75">
      <c r="A32399" s="2">
        <v>43875.456412037034</v>
      </c>
      <c r="B32399" t="str">
        <f>HYPERLINK("https://twitter.com/tiyo_suharto","@tiyo_suharto")</f>
        <v>@tiyo_suharto</v>
      </c>
      <c r="C32399" t="s">
        <v>2963</v>
      </c>
      <c r="D32399">
        <v>650</v>
      </c>
      <c r="E32399">
        <v>0</v>
      </c>
      <c r="F32399">
        <v>10</v>
      </c>
    </row>
    <row r="32400" spans="1:6" ht="12.75">
      <c r="A32400" s="2">
        <v>43875.456400462965</v>
      </c>
      <c r="B32400" t="str">
        <f>HYPERLINK("https://twitter.com/esgrimstroberi","@esgrimstroberi")</f>
        <v>@esgrimstroberi</v>
      </c>
      <c r="C32400" t="s">
        <v>2444</v>
      </c>
      <c r="D32400">
        <v>110</v>
      </c>
      <c r="E32400">
        <v>0</v>
      </c>
      <c r="F32400">
        <v>480</v>
      </c>
    </row>
    <row r="32401" spans="1:6" ht="12.75">
      <c r="A32401" s="2">
        <v>43875.456388888888</v>
      </c>
      <c r="B32401" t="str">
        <f>HYPERLINK("https://twitter.com/koecing_pasar","@koecing_pasar")</f>
        <v>@koecing_pasar</v>
      </c>
      <c r="C32401" t="s">
        <v>10121</v>
      </c>
      <c r="D32401">
        <v>168</v>
      </c>
      <c r="E32401">
        <v>0</v>
      </c>
      <c r="F32401">
        <v>1220</v>
      </c>
    </row>
    <row r="32402" spans="1:6" ht="12.75">
      <c r="A32402" s="2">
        <v>43875.456319444449</v>
      </c>
      <c r="B32402" t="str">
        <f>HYPERLINK("https://twitter.com/jongb0","@jongb0")</f>
        <v>@jongb0</v>
      </c>
      <c r="C32402" t="s">
        <v>9998</v>
      </c>
      <c r="D32402">
        <v>80</v>
      </c>
      <c r="E32402">
        <v>0</v>
      </c>
      <c r="F32402">
        <v>262</v>
      </c>
    </row>
    <row r="32403" spans="1:6" ht="12.75">
      <c r="A32403" s="2">
        <v>43875.456284722226</v>
      </c>
      <c r="B32403" t="str">
        <f>HYPERLINK("https://twitter.com/Haluan_","@Haluan_")</f>
        <v>@Haluan_</v>
      </c>
      <c r="C32403" t="s">
        <v>13539</v>
      </c>
      <c r="D32403">
        <v>0</v>
      </c>
      <c r="E32403">
        <v>0</v>
      </c>
      <c r="F32403">
        <v>1441</v>
      </c>
    </row>
    <row r="32404" spans="1:6" ht="12.75">
      <c r="A32404" s="2">
        <v>43875.456284722226</v>
      </c>
      <c r="B32404" t="str">
        <f>HYPERLINK("https://twitter.com/bayuwicakcana","@bayuwicakcana")</f>
        <v>@bayuwicakcana</v>
      </c>
      <c r="C32404" t="s">
        <v>2122</v>
      </c>
      <c r="D32404">
        <v>187</v>
      </c>
      <c r="E32404">
        <v>0</v>
      </c>
      <c r="F32404">
        <v>157</v>
      </c>
    </row>
    <row r="32405" spans="1:6" ht="12.75">
      <c r="A32405" s="2">
        <v>43875.456284722226</v>
      </c>
      <c r="B32405" t="str">
        <f>HYPERLINK("https://twitter.com/ipankgeo","@ipankgeo")</f>
        <v>@ipankgeo</v>
      </c>
      <c r="C32405" t="s">
        <v>13540</v>
      </c>
      <c r="D32405">
        <v>0</v>
      </c>
      <c r="E32405">
        <v>0</v>
      </c>
      <c r="F32405">
        <v>306</v>
      </c>
    </row>
    <row r="32406" spans="1:6" ht="12.75">
      <c r="A32406" s="2">
        <v>43875.456261574072</v>
      </c>
      <c r="B32406" t="str">
        <f>HYPERLINK("https://twitter.com/BahtiarIrfandi","@BahtiarIrfandi")</f>
        <v>@BahtiarIrfandi</v>
      </c>
      <c r="C32406" t="s">
        <v>2963</v>
      </c>
      <c r="D32406">
        <v>650</v>
      </c>
      <c r="E32406">
        <v>0</v>
      </c>
      <c r="F32406">
        <v>13</v>
      </c>
    </row>
    <row r="32407" spans="1:6" ht="12.75">
      <c r="A32407" s="2">
        <v>43875.456250000003</v>
      </c>
      <c r="B32407" t="str">
        <f>HYPERLINK("https://twitter.com/anwar45789","@anwar45789")</f>
        <v>@anwar45789</v>
      </c>
      <c r="C32407" t="s">
        <v>9746</v>
      </c>
      <c r="D32407">
        <v>32</v>
      </c>
      <c r="E32407">
        <v>0</v>
      </c>
      <c r="F32407">
        <v>79</v>
      </c>
    </row>
    <row r="32408" spans="1:6" ht="12.75">
      <c r="A32408" s="2">
        <v>43875.456238425926</v>
      </c>
      <c r="B32408" t="str">
        <f>HYPERLINK("https://twitter.com/bpriady","@bpriady")</f>
        <v>@bpriady</v>
      </c>
      <c r="C32408" t="s">
        <v>13272</v>
      </c>
      <c r="D32408">
        <v>1</v>
      </c>
      <c r="E32408">
        <v>0</v>
      </c>
      <c r="F32408">
        <v>592</v>
      </c>
    </row>
    <row r="32409" spans="1:6" ht="12.75">
      <c r="A32409" s="2">
        <v>43875.456180555557</v>
      </c>
      <c r="B32409" t="str">
        <f>HYPERLINK("https://twitter.com/yatsupriatnadwi","@yatsupriatnadwi")</f>
        <v>@yatsupriatnadwi</v>
      </c>
      <c r="C32409" t="s">
        <v>2963</v>
      </c>
      <c r="D32409">
        <v>650</v>
      </c>
      <c r="E32409">
        <v>0</v>
      </c>
      <c r="F32409">
        <v>2208</v>
      </c>
    </row>
    <row r="32410" spans="1:6" ht="12.75">
      <c r="A32410" s="2">
        <v>43875.456157407403</v>
      </c>
      <c r="B32410" t="str">
        <f>HYPERLINK("https://twitter.com/kikokumm","@kikokumm")</f>
        <v>@kikokumm</v>
      </c>
      <c r="C32410" t="s">
        <v>13541</v>
      </c>
      <c r="D32410">
        <v>0</v>
      </c>
      <c r="E32410">
        <v>0</v>
      </c>
      <c r="F32410">
        <v>40</v>
      </c>
    </row>
    <row r="32411" spans="1:6" ht="12.75">
      <c r="A32411" s="2">
        <v>43875.455972222218</v>
      </c>
      <c r="B32411" t="str">
        <f>HYPERLINK("https://twitter.com/MataJiwa6","@MataJiwa6")</f>
        <v>@MataJiwa6</v>
      </c>
      <c r="C32411" t="s">
        <v>13542</v>
      </c>
      <c r="D32411">
        <v>1</v>
      </c>
      <c r="E32411">
        <v>0</v>
      </c>
      <c r="F32411">
        <v>260</v>
      </c>
    </row>
    <row r="32412" spans="1:6" ht="12.75">
      <c r="A32412" s="2">
        <v>43875.455925925926</v>
      </c>
      <c r="B32412" t="str">
        <f>HYPERLINK("https://twitter.com/elbynz","@elbynz")</f>
        <v>@elbynz</v>
      </c>
      <c r="C32412" t="s">
        <v>13419</v>
      </c>
      <c r="D32412">
        <v>75</v>
      </c>
      <c r="E32412">
        <v>0</v>
      </c>
      <c r="F32412">
        <v>1323</v>
      </c>
    </row>
    <row r="32413" spans="1:6" ht="12.75">
      <c r="A32413" s="2">
        <v>43875.455914351856</v>
      </c>
      <c r="B32413" t="str">
        <f>HYPERLINK("https://twitter.com/S0ldier_God","@S0ldier_God")</f>
        <v>@S0ldier_God</v>
      </c>
      <c r="C32413" t="s">
        <v>13543</v>
      </c>
      <c r="D32413">
        <v>0</v>
      </c>
      <c r="E32413">
        <v>0</v>
      </c>
      <c r="F32413">
        <v>88</v>
      </c>
    </row>
    <row r="32414" spans="1:6" ht="12.75">
      <c r="A32414" s="2">
        <v>43875.455868055556</v>
      </c>
      <c r="B32414" t="str">
        <f t="shared" ref="B32414:B32415" si="384">HYPERLINK("https://twitter.com/MataJiwa6","@MataJiwa6")</f>
        <v>@MataJiwa6</v>
      </c>
      <c r="C32414" t="s">
        <v>13544</v>
      </c>
      <c r="D32414">
        <v>2</v>
      </c>
      <c r="E32414">
        <v>0</v>
      </c>
      <c r="F32414">
        <v>260</v>
      </c>
    </row>
    <row r="32415" spans="1:6" ht="12.75">
      <c r="A32415" s="2">
        <v>43875.455821759257</v>
      </c>
      <c r="B32415" t="str">
        <f t="shared" si="384"/>
        <v>@MataJiwa6</v>
      </c>
      <c r="C32415" t="s">
        <v>13113</v>
      </c>
      <c r="D32415">
        <v>3</v>
      </c>
      <c r="E32415">
        <v>0</v>
      </c>
      <c r="F32415">
        <v>260</v>
      </c>
    </row>
    <row r="32416" spans="1:6" ht="12.75">
      <c r="A32416" s="2">
        <v>43875.455821759257</v>
      </c>
      <c r="B32416" t="str">
        <f>HYPERLINK("https://twitter.com/_albaiat","@_albaiat")</f>
        <v>@_albaiat</v>
      </c>
      <c r="C32416" t="s">
        <v>13545</v>
      </c>
      <c r="D32416">
        <v>0</v>
      </c>
      <c r="E32416">
        <v>0</v>
      </c>
      <c r="F32416">
        <v>850</v>
      </c>
    </row>
    <row r="32417" spans="1:6" ht="12.75">
      <c r="A32417" s="2">
        <v>43875.45579861111</v>
      </c>
      <c r="B32417" t="str">
        <f>HYPERLINK("https://twitter.com/concatenate_","@concatenate_")</f>
        <v>@concatenate_</v>
      </c>
      <c r="C32417" t="s">
        <v>13546</v>
      </c>
      <c r="D32417">
        <v>0</v>
      </c>
      <c r="E32417">
        <v>0</v>
      </c>
      <c r="F32417">
        <v>13</v>
      </c>
    </row>
    <row r="32418" spans="1:6" ht="12.75">
      <c r="A32418" s="2">
        <v>43875.455787037034</v>
      </c>
      <c r="B32418" t="str">
        <f>HYPERLINK("https://twitter.com/MataJiwa6","@MataJiwa6")</f>
        <v>@MataJiwa6</v>
      </c>
      <c r="C32418" t="s">
        <v>10859</v>
      </c>
      <c r="D32418">
        <v>27</v>
      </c>
      <c r="E32418">
        <v>0</v>
      </c>
      <c r="F32418">
        <v>260</v>
      </c>
    </row>
    <row r="32419" spans="1:6" ht="12.75">
      <c r="A32419" s="2">
        <v>43875.455763888887</v>
      </c>
      <c r="B32419" t="str">
        <f>HYPERLINK("https://twitter.com/jeff_ikhlas","@jeff_ikhlas")</f>
        <v>@jeff_ikhlas</v>
      </c>
      <c r="C32419" t="s">
        <v>13547</v>
      </c>
      <c r="D32419">
        <v>0</v>
      </c>
      <c r="E32419">
        <v>0</v>
      </c>
      <c r="F32419">
        <v>602</v>
      </c>
    </row>
    <row r="32420" spans="1:6" ht="12.75">
      <c r="A32420" s="2">
        <v>43875.455729166672</v>
      </c>
      <c r="B32420" t="str">
        <f>HYPERLINK("https://twitter.com/ndrewwolf","@ndrewwolf")</f>
        <v>@ndrewwolf</v>
      </c>
      <c r="C32420" t="s">
        <v>9538</v>
      </c>
      <c r="D32420">
        <v>115</v>
      </c>
      <c r="E32420">
        <v>0</v>
      </c>
      <c r="F32420">
        <v>3811</v>
      </c>
    </row>
    <row r="32421" spans="1:6" ht="12.75">
      <c r="A32421" s="2">
        <v>43875.455706018518</v>
      </c>
      <c r="B32421" t="str">
        <f>HYPERLINK("https://twitter.com/saprie2020","@saprie2020")</f>
        <v>@saprie2020</v>
      </c>
      <c r="C32421" t="s">
        <v>2963</v>
      </c>
      <c r="D32421">
        <v>650</v>
      </c>
      <c r="E32421">
        <v>0</v>
      </c>
      <c r="F32421">
        <v>829</v>
      </c>
    </row>
    <row r="32422" spans="1:6" ht="12.75">
      <c r="A32422" s="2">
        <v>43875.455694444448</v>
      </c>
      <c r="B32422" t="str">
        <f>HYPERLINK("https://twitter.com/wildanmaarif","@wildanmaarif")</f>
        <v>@wildanmaarif</v>
      </c>
      <c r="C32422" t="s">
        <v>2963</v>
      </c>
      <c r="D32422">
        <v>650</v>
      </c>
      <c r="E32422">
        <v>0</v>
      </c>
      <c r="F32422">
        <v>1111</v>
      </c>
    </row>
    <row r="32423" spans="1:6" ht="12.75">
      <c r="A32423" s="2">
        <v>43875.455694444448</v>
      </c>
      <c r="B32423" t="str">
        <f>HYPERLINK("https://twitter.com/DesiArfisi","@DesiArfisi")</f>
        <v>@DesiArfisi</v>
      </c>
      <c r="C32423" t="s">
        <v>9746</v>
      </c>
      <c r="D32423">
        <v>32</v>
      </c>
      <c r="E32423">
        <v>0</v>
      </c>
      <c r="F32423">
        <v>2167</v>
      </c>
    </row>
    <row r="32424" spans="1:6" ht="12.75">
      <c r="A32424" s="2">
        <v>43875.455636574072</v>
      </c>
      <c r="B32424" t="str">
        <f>HYPERLINK("https://twitter.com/IbhamJ","@IbhamJ")</f>
        <v>@IbhamJ</v>
      </c>
      <c r="C32424" t="s">
        <v>12312</v>
      </c>
      <c r="D32424">
        <v>6</v>
      </c>
      <c r="E32424">
        <v>0</v>
      </c>
      <c r="F32424">
        <v>766</v>
      </c>
    </row>
    <row r="32425" spans="1:6" ht="12.75">
      <c r="A32425" s="2">
        <v>43875.455625000002</v>
      </c>
      <c r="B32425" t="str">
        <f>HYPERLINK("https://twitter.com/Zulkarn14056442","@Zulkarn14056442")</f>
        <v>@Zulkarn14056442</v>
      </c>
      <c r="C32425" t="s">
        <v>13548</v>
      </c>
      <c r="D32425">
        <v>0</v>
      </c>
      <c r="E32425">
        <v>0</v>
      </c>
      <c r="F32425">
        <v>3</v>
      </c>
    </row>
    <row r="32426" spans="1:6" ht="12.75">
      <c r="A32426" s="2">
        <v>43875.45548611111</v>
      </c>
      <c r="B32426" t="str">
        <f>HYPERLINK("https://twitter.com/nurilrofiq99","@nurilrofiq99")</f>
        <v>@nurilrofiq99</v>
      </c>
      <c r="C32426" t="s">
        <v>2963</v>
      </c>
      <c r="D32426">
        <v>650</v>
      </c>
      <c r="E32426">
        <v>0</v>
      </c>
      <c r="F32426">
        <v>21</v>
      </c>
    </row>
    <row r="32427" spans="1:6" ht="12.75">
      <c r="A32427" s="2">
        <v>43875.455416666664</v>
      </c>
      <c r="B32427" t="str">
        <f>HYPERLINK("https://twitter.com/Ross63634288","@Ross63634288")</f>
        <v>@Ross63634288</v>
      </c>
      <c r="C32427" t="s">
        <v>13549</v>
      </c>
      <c r="D32427">
        <v>0</v>
      </c>
      <c r="E32427">
        <v>0</v>
      </c>
      <c r="F32427">
        <v>6</v>
      </c>
    </row>
    <row r="32428" spans="1:6" ht="12.75">
      <c r="A32428" s="2">
        <v>43875.455370370371</v>
      </c>
      <c r="B32428" t="str">
        <f>HYPERLINK("https://twitter.com/soffel84103944","@soffel84103944")</f>
        <v>@soffel84103944</v>
      </c>
      <c r="C32428" t="s">
        <v>9113</v>
      </c>
      <c r="D32428">
        <v>264</v>
      </c>
      <c r="E32428">
        <v>0</v>
      </c>
      <c r="F32428">
        <v>403</v>
      </c>
    </row>
    <row r="32429" spans="1:6" ht="12.75">
      <c r="A32429" s="2">
        <v>43875.455335648148</v>
      </c>
      <c r="B32429" t="str">
        <f>HYPERLINK("https://twitter.com/JacksQuevara","@JacksQuevara")</f>
        <v>@JacksQuevara</v>
      </c>
      <c r="C32429" t="s">
        <v>13524</v>
      </c>
      <c r="D32429">
        <v>4</v>
      </c>
      <c r="E32429">
        <v>0</v>
      </c>
      <c r="F32429">
        <v>1034</v>
      </c>
    </row>
    <row r="32430" spans="1:6" ht="12.75">
      <c r="A32430" s="2">
        <v>43875.455324074079</v>
      </c>
      <c r="B32430" t="str">
        <f>HYPERLINK("https://twitter.com/MataJiwa6","@MataJiwa6")</f>
        <v>@MataJiwa6</v>
      </c>
      <c r="C32430" t="s">
        <v>11425</v>
      </c>
      <c r="D32430">
        <v>208</v>
      </c>
      <c r="E32430">
        <v>0</v>
      </c>
      <c r="F32430">
        <v>260</v>
      </c>
    </row>
    <row r="32431" spans="1:6" ht="12.75">
      <c r="A32431" s="2">
        <v>43875.455300925925</v>
      </c>
      <c r="B32431" t="str">
        <f>HYPERLINK("https://twitter.com/otephhh","@otephhh")</f>
        <v>@otephhh</v>
      </c>
      <c r="C32431" t="s">
        <v>9113</v>
      </c>
      <c r="D32431">
        <v>264</v>
      </c>
      <c r="E32431">
        <v>0</v>
      </c>
      <c r="F32431">
        <v>364</v>
      </c>
    </row>
    <row r="32432" spans="1:6" ht="12.75">
      <c r="A32432" s="2">
        <v>43875.455104166671</v>
      </c>
      <c r="B32432" t="str">
        <f>HYPERLINK("https://twitter.com/rlthingy","@rlthingy")</f>
        <v>@rlthingy</v>
      </c>
      <c r="C32432" t="s">
        <v>13550</v>
      </c>
      <c r="D32432">
        <v>0</v>
      </c>
      <c r="E32432">
        <v>7</v>
      </c>
      <c r="F32432">
        <v>261995</v>
      </c>
    </row>
    <row r="32433" spans="1:6" ht="12.75">
      <c r="A32433" s="2">
        <v>43875.455034722225</v>
      </c>
      <c r="B32433" t="str">
        <f>HYPERLINK("https://twitter.com/MataJiwa6","@MataJiwa6")</f>
        <v>@MataJiwa6</v>
      </c>
      <c r="C32433" t="s">
        <v>10330</v>
      </c>
      <c r="D32433">
        <v>201</v>
      </c>
      <c r="E32433">
        <v>0</v>
      </c>
      <c r="F32433">
        <v>260</v>
      </c>
    </row>
    <row r="32434" spans="1:6" ht="12.75">
      <c r="A32434" s="2">
        <v>43875.454930555556</v>
      </c>
      <c r="B32434" t="str">
        <f>HYPERLINK("https://twitter.com/TsTsp71","@TsTsp71")</f>
        <v>@TsTsp71</v>
      </c>
      <c r="C32434" t="s">
        <v>10096</v>
      </c>
      <c r="D32434">
        <v>86</v>
      </c>
      <c r="E32434">
        <v>0</v>
      </c>
      <c r="F32434">
        <v>556</v>
      </c>
    </row>
    <row r="32435" spans="1:6" ht="12.75">
      <c r="A32435" s="2">
        <v>43875.454918981486</v>
      </c>
      <c r="B32435" t="str">
        <f>HYPERLINK("https://twitter.com/ewin8923","@ewin8923")</f>
        <v>@ewin8923</v>
      </c>
      <c r="C32435" t="s">
        <v>13551</v>
      </c>
      <c r="D32435">
        <v>2</v>
      </c>
      <c r="E32435">
        <v>0</v>
      </c>
      <c r="F32435">
        <v>1003</v>
      </c>
    </row>
    <row r="32436" spans="1:6" ht="12.75">
      <c r="A32436" s="2">
        <v>43875.454884259263</v>
      </c>
      <c r="B32436" t="str">
        <f>HYPERLINK("https://twitter.com/VIVAcoid","@VIVAcoid")</f>
        <v>@VIVAcoid</v>
      </c>
      <c r="C32436" t="s">
        <v>13552</v>
      </c>
      <c r="D32436">
        <v>1</v>
      </c>
      <c r="E32436">
        <v>0</v>
      </c>
      <c r="F32436">
        <v>4169096</v>
      </c>
    </row>
    <row r="32437" spans="1:6" ht="12.75">
      <c r="A32437" s="2">
        <v>43875.454884259263</v>
      </c>
      <c r="B32437" t="str">
        <f>HYPERLINK("https://twitter.com/PsnIndra","@PsnIndra")</f>
        <v>@PsnIndra</v>
      </c>
      <c r="C32437" t="s">
        <v>10542</v>
      </c>
      <c r="D32437">
        <v>133</v>
      </c>
      <c r="E32437">
        <v>0</v>
      </c>
      <c r="F32437">
        <v>360</v>
      </c>
    </row>
    <row r="32438" spans="1:6" ht="12.75">
      <c r="A32438" s="2">
        <v>43875.454837962963</v>
      </c>
      <c r="B32438" t="str">
        <f>HYPERLINK("https://twitter.com/batamtoday","@batamtoday")</f>
        <v>@batamtoday</v>
      </c>
      <c r="C32438" t="s">
        <v>13553</v>
      </c>
      <c r="D32438">
        <v>0</v>
      </c>
      <c r="E32438">
        <v>0</v>
      </c>
      <c r="F32438">
        <v>27062</v>
      </c>
    </row>
    <row r="32439" spans="1:6" ht="12.75">
      <c r="A32439" s="2">
        <v>43875.454780092594</v>
      </c>
      <c r="B32439" t="str">
        <f>HYPERLINK("https://twitter.com/Alie_Fahnoor","@Alie_Fahnoor")</f>
        <v>@Alie_Fahnoor</v>
      </c>
      <c r="C32439" t="s">
        <v>13524</v>
      </c>
      <c r="D32439">
        <v>4</v>
      </c>
      <c r="E32439">
        <v>0</v>
      </c>
      <c r="F32439">
        <v>438</v>
      </c>
    </row>
    <row r="32440" spans="1:6" ht="12.75">
      <c r="A32440" s="2">
        <v>43875.454710648148</v>
      </c>
      <c r="B32440" t="str">
        <f>HYPERLINK("https://twitter.com/ewin8923","@ewin8923")</f>
        <v>@ewin8923</v>
      </c>
      <c r="C32440" t="s">
        <v>13554</v>
      </c>
      <c r="D32440">
        <v>48</v>
      </c>
      <c r="E32440">
        <v>0</v>
      </c>
      <c r="F32440">
        <v>1003</v>
      </c>
    </row>
    <row r="32441" spans="1:6" ht="12.75">
      <c r="A32441" s="2">
        <v>43875.454710648148</v>
      </c>
      <c r="B32441" t="str">
        <f>HYPERLINK("https://twitter.com/bpriady","@bpriady")</f>
        <v>@bpriady</v>
      </c>
      <c r="C32441" t="s">
        <v>8233</v>
      </c>
      <c r="D32441">
        <v>337</v>
      </c>
      <c r="E32441">
        <v>0</v>
      </c>
      <c r="F32441">
        <v>592</v>
      </c>
    </row>
    <row r="32442" spans="1:6" ht="12.75">
      <c r="A32442" s="2">
        <v>43875.454664351855</v>
      </c>
      <c r="B32442" t="str">
        <f>HYPERLINK("https://twitter.com/AndyJuliyanto22","@AndyJuliyanto22")</f>
        <v>@AndyJuliyanto22</v>
      </c>
      <c r="C32442" t="s">
        <v>13555</v>
      </c>
      <c r="D32442">
        <v>0</v>
      </c>
      <c r="E32442">
        <v>0</v>
      </c>
      <c r="F32442">
        <v>1912</v>
      </c>
    </row>
    <row r="32443" spans="1:6" ht="12.75">
      <c r="A32443" s="2">
        <v>43875.454629629632</v>
      </c>
      <c r="B32443" t="str">
        <f>HYPERLINK("https://twitter.com/adibagas1305","@adibagas1305")</f>
        <v>@adibagas1305</v>
      </c>
      <c r="C32443" t="s">
        <v>9998</v>
      </c>
      <c r="D32443">
        <v>80</v>
      </c>
      <c r="E32443">
        <v>0</v>
      </c>
      <c r="F32443">
        <v>5</v>
      </c>
    </row>
    <row r="32444" spans="1:6" ht="12.75">
      <c r="A32444" s="2">
        <v>43875.454583333332</v>
      </c>
      <c r="B32444" t="str">
        <f>HYPERLINK("https://twitter.com/chicajoven13","@chicajoven13")</f>
        <v>@chicajoven13</v>
      </c>
      <c r="C32444" t="s">
        <v>5168</v>
      </c>
      <c r="D32444">
        <v>498</v>
      </c>
      <c r="E32444">
        <v>0</v>
      </c>
      <c r="F32444">
        <v>302</v>
      </c>
    </row>
    <row r="32445" spans="1:6" ht="12.75">
      <c r="A32445" s="2">
        <v>43875.454583333332</v>
      </c>
      <c r="B32445" t="str">
        <f>HYPERLINK("https://twitter.com/jesostro","@jesostro")</f>
        <v>@jesostro</v>
      </c>
      <c r="C32445" t="s">
        <v>13556</v>
      </c>
      <c r="D32445">
        <v>0</v>
      </c>
      <c r="E32445">
        <v>0</v>
      </c>
      <c r="F32445">
        <v>15</v>
      </c>
    </row>
    <row r="32446" spans="1:6" ht="12.75">
      <c r="A32446" s="2">
        <v>43875.454571759255</v>
      </c>
      <c r="B32446" t="str">
        <f>HYPERLINK("https://twitter.com/p4pi11on","@p4pi11on")</f>
        <v>@p4pi11on</v>
      </c>
      <c r="C32446" t="s">
        <v>13557</v>
      </c>
      <c r="D32446">
        <v>1</v>
      </c>
      <c r="E32446">
        <v>0</v>
      </c>
      <c r="F32446">
        <v>1114</v>
      </c>
    </row>
    <row r="32447" spans="1:6" ht="12.75">
      <c r="A32447" s="2">
        <v>43875.454560185186</v>
      </c>
      <c r="B32447" t="str">
        <f>HYPERLINK("https://twitter.com/sirdrisss","@sirdrisss")</f>
        <v>@sirdrisss</v>
      </c>
      <c r="C32447" t="s">
        <v>2444</v>
      </c>
      <c r="D32447">
        <v>111</v>
      </c>
      <c r="E32447">
        <v>0</v>
      </c>
      <c r="F32447">
        <v>305</v>
      </c>
    </row>
    <row r="32448" spans="1:6" ht="12.75">
      <c r="A32448" s="2">
        <v>43875.454560185186</v>
      </c>
      <c r="B32448" t="str">
        <f>HYPERLINK("https://twitter.com/ThundershotMk","@ThundershotMk")</f>
        <v>@ThundershotMk</v>
      </c>
      <c r="C32448" t="s">
        <v>13477</v>
      </c>
      <c r="D32448">
        <v>19</v>
      </c>
      <c r="E32448">
        <v>0</v>
      </c>
      <c r="F32448">
        <v>272</v>
      </c>
    </row>
    <row r="32449" spans="1:6" ht="12.75">
      <c r="A32449" s="2">
        <v>43875.454548611116</v>
      </c>
      <c r="B32449" t="str">
        <f>HYPERLINK("https://twitter.com/vivanewscom","@vivanewscom")</f>
        <v>@vivanewscom</v>
      </c>
      <c r="C32449" t="s">
        <v>13558</v>
      </c>
      <c r="D32449">
        <v>1</v>
      </c>
      <c r="E32449">
        <v>0</v>
      </c>
      <c r="F32449">
        <v>4065</v>
      </c>
    </row>
    <row r="32450" spans="1:6" ht="12.75">
      <c r="A32450" s="2">
        <v>43875.454513888893</v>
      </c>
      <c r="B32450" t="str">
        <f>HYPERLINK("https://twitter.com/ukhrasm","@ukhrasm")</f>
        <v>@ukhrasm</v>
      </c>
      <c r="C32450" t="s">
        <v>5168</v>
      </c>
      <c r="D32450">
        <v>498</v>
      </c>
      <c r="E32450">
        <v>0</v>
      </c>
      <c r="F32450">
        <v>640</v>
      </c>
    </row>
    <row r="32451" spans="1:6" ht="12.75">
      <c r="A32451" s="2">
        <v>43875.454444444447</v>
      </c>
      <c r="B32451" t="str">
        <f>HYPERLINK("https://twitter.com/tempodotco","@tempodotco")</f>
        <v>@tempodotco</v>
      </c>
      <c r="C32451" t="s">
        <v>13559</v>
      </c>
      <c r="D32451">
        <v>1</v>
      </c>
      <c r="E32451">
        <v>4</v>
      </c>
      <c r="F32451">
        <v>1702169</v>
      </c>
    </row>
    <row r="32452" spans="1:6" ht="12.75">
      <c r="A32452" s="2">
        <v>43875.454432870371</v>
      </c>
      <c r="B32452" t="str">
        <f>HYPERLINK("https://twitter.com/p4pi11on","@p4pi11on")</f>
        <v>@p4pi11on</v>
      </c>
      <c r="C32452" t="s">
        <v>12312</v>
      </c>
      <c r="D32452">
        <v>6</v>
      </c>
      <c r="E32452">
        <v>0</v>
      </c>
      <c r="F32452">
        <v>1114</v>
      </c>
    </row>
    <row r="32453" spans="1:6" ht="12.75">
      <c r="A32453" s="2">
        <v>43875.454432870371</v>
      </c>
      <c r="B32453" t="str">
        <f>HYPERLINK("https://twitter.com/IDLearningHub","@IDLearningHub")</f>
        <v>@IDLearningHub</v>
      </c>
      <c r="C32453" t="s">
        <v>13560</v>
      </c>
      <c r="D32453">
        <v>0</v>
      </c>
      <c r="E32453">
        <v>1</v>
      </c>
      <c r="F32453">
        <v>744</v>
      </c>
    </row>
    <row r="32454" spans="1:6" ht="12.75">
      <c r="A32454" s="2">
        <v>43875.454409722224</v>
      </c>
      <c r="B32454" t="str">
        <f>HYPERLINK("https://twitter.com/ISIS_Balik_NO","@ISIS_Balik_NO")</f>
        <v>@ISIS_Balik_NO</v>
      </c>
      <c r="C32454" t="s">
        <v>13561</v>
      </c>
      <c r="D32454">
        <v>0</v>
      </c>
      <c r="E32454">
        <v>0</v>
      </c>
      <c r="F32454">
        <v>5893</v>
      </c>
    </row>
    <row r="32455" spans="1:6" ht="12.75">
      <c r="A32455" s="2">
        <v>43875.454398148147</v>
      </c>
      <c r="B32455" t="str">
        <f>HYPERLINK("https://twitter.com/dusrimulya","@dusrimulya")</f>
        <v>@dusrimulya</v>
      </c>
      <c r="C32455" t="s">
        <v>13562</v>
      </c>
      <c r="D32455">
        <v>0</v>
      </c>
      <c r="E32455">
        <v>0</v>
      </c>
      <c r="F32455">
        <v>22292</v>
      </c>
    </row>
    <row r="32456" spans="1:6" ht="12.75">
      <c r="A32456" s="2">
        <v>43875.454363425924</v>
      </c>
      <c r="B32456" t="str">
        <f>HYPERLINK("https://twitter.com/heryoga_m","@heryoga_m")</f>
        <v>@heryoga_m</v>
      </c>
      <c r="C32456" t="s">
        <v>5168</v>
      </c>
      <c r="D32456">
        <v>498</v>
      </c>
      <c r="E32456">
        <v>0</v>
      </c>
      <c r="F32456">
        <v>245</v>
      </c>
    </row>
    <row r="32457" spans="1:6" ht="12.75">
      <c r="A32457" s="2">
        <v>43875.454224537039</v>
      </c>
      <c r="B32457" t="str">
        <f>HYPERLINK("https://twitter.com/ewin8923","@ewin8923")</f>
        <v>@ewin8923</v>
      </c>
      <c r="C32457" t="s">
        <v>13563</v>
      </c>
      <c r="D32457">
        <v>62</v>
      </c>
      <c r="E32457">
        <v>0</v>
      </c>
      <c r="F32457">
        <v>1003</v>
      </c>
    </row>
    <row r="32458" spans="1:6" ht="12.75">
      <c r="A32458" s="2">
        <v>43875.45417824074</v>
      </c>
      <c r="B32458" t="str">
        <f>HYPERLINK("https://twitter.com/RamdhaniBrutus","@RamdhaniBrutus")</f>
        <v>@RamdhaniBrutus</v>
      </c>
      <c r="C32458" t="s">
        <v>10804</v>
      </c>
      <c r="D32458">
        <v>1</v>
      </c>
      <c r="E32458">
        <v>0</v>
      </c>
      <c r="F32458">
        <v>1261</v>
      </c>
    </row>
    <row r="32459" spans="1:6" ht="12.75">
      <c r="A32459" s="2">
        <v>43875.45413194444</v>
      </c>
      <c r="B32459" t="str">
        <f>HYPERLINK("https://twitter.com/CakMan70489610","@CakMan70489610")</f>
        <v>@CakMan70489610</v>
      </c>
      <c r="C32459" t="s">
        <v>12312</v>
      </c>
      <c r="D32459">
        <v>6</v>
      </c>
      <c r="E32459">
        <v>0</v>
      </c>
      <c r="F32459">
        <v>494</v>
      </c>
    </row>
    <row r="32460" spans="1:6" ht="12.75">
      <c r="A32460" s="2">
        <v>43875.453969907408</v>
      </c>
      <c r="B32460" t="str">
        <f>HYPERLINK("https://twitter.com/jamsmory","@jamsmory")</f>
        <v>@jamsmory</v>
      </c>
      <c r="C32460" t="s">
        <v>13564</v>
      </c>
      <c r="D32460">
        <v>0</v>
      </c>
      <c r="E32460">
        <v>0</v>
      </c>
      <c r="F32460">
        <v>49</v>
      </c>
    </row>
    <row r="32461" spans="1:6" ht="12.75">
      <c r="A32461" s="2">
        <v>43875.453958333332</v>
      </c>
      <c r="B32461" t="str">
        <f>HYPERLINK("https://twitter.com/AkunBotSampah","@AkunBotSampah")</f>
        <v>@AkunBotSampah</v>
      </c>
      <c r="C32461" t="s">
        <v>8252</v>
      </c>
      <c r="D32461">
        <v>489</v>
      </c>
      <c r="E32461">
        <v>0</v>
      </c>
      <c r="F32461">
        <v>3</v>
      </c>
    </row>
    <row r="32462" spans="1:6" ht="12.75">
      <c r="A32462" s="2">
        <v>43875.45385416667</v>
      </c>
      <c r="B32462" t="str">
        <f>HYPERLINK("https://twitter.com/JauryJss","@JauryJss")</f>
        <v>@JauryJss</v>
      </c>
      <c r="C32462" t="s">
        <v>10319</v>
      </c>
      <c r="D32462">
        <v>150</v>
      </c>
      <c r="E32462">
        <v>0</v>
      </c>
      <c r="F32462">
        <v>184</v>
      </c>
    </row>
    <row r="32463" spans="1:6" ht="12.75">
      <c r="A32463" s="2">
        <v>43875.45385416667</v>
      </c>
      <c r="B32463" t="str">
        <f>HYPERLINK("https://twitter.com/ayurishdiajeng","@ayurishdiajeng")</f>
        <v>@ayurishdiajeng</v>
      </c>
      <c r="C32463" t="s">
        <v>13335</v>
      </c>
      <c r="D32463">
        <v>1</v>
      </c>
      <c r="E32463">
        <v>0</v>
      </c>
      <c r="F32463">
        <v>1727</v>
      </c>
    </row>
    <row r="32464" spans="1:6" ht="12.75">
      <c r="A32464" s="2">
        <v>43875.453819444447</v>
      </c>
      <c r="B32464" t="str">
        <f>HYPERLINK("https://twitter.com/EkoSeputro13","@EkoSeputro13")</f>
        <v>@EkoSeputro13</v>
      </c>
      <c r="C32464" t="s">
        <v>13565</v>
      </c>
      <c r="D32464">
        <v>0</v>
      </c>
      <c r="E32464">
        <v>2</v>
      </c>
      <c r="F32464">
        <v>2128</v>
      </c>
    </row>
    <row r="32465" spans="1:6" ht="12.75">
      <c r="A32465" s="2">
        <v>43875.453796296293</v>
      </c>
      <c r="B32465" t="str">
        <f>HYPERLINK("https://twitter.com/srpsr2","@srpsr2")</f>
        <v>@srpsr2</v>
      </c>
      <c r="C32465" t="s">
        <v>10957</v>
      </c>
      <c r="D32465">
        <v>48</v>
      </c>
      <c r="E32465">
        <v>0</v>
      </c>
      <c r="F32465">
        <v>103</v>
      </c>
    </row>
    <row r="32466" spans="1:6" ht="12.75">
      <c r="A32466" s="2">
        <v>43875.453750000001</v>
      </c>
      <c r="B32466" t="str">
        <f>HYPERLINK("https://twitter.com/gnptri","@gnptri")</f>
        <v>@gnptri</v>
      </c>
      <c r="C32466" t="s">
        <v>11460</v>
      </c>
      <c r="D32466">
        <v>15</v>
      </c>
      <c r="E32466">
        <v>0</v>
      </c>
      <c r="F32466">
        <v>208</v>
      </c>
    </row>
    <row r="32467" spans="1:6" ht="12.75">
      <c r="A32467" s="2">
        <v>43875.453692129631</v>
      </c>
      <c r="B32467" t="str">
        <f>HYPERLINK("https://twitter.com/WanaGirie","@WanaGirie")</f>
        <v>@WanaGirie</v>
      </c>
      <c r="C32467" t="s">
        <v>10588</v>
      </c>
      <c r="D32467">
        <v>106</v>
      </c>
      <c r="E32467">
        <v>0</v>
      </c>
      <c r="F32467">
        <v>294</v>
      </c>
    </row>
    <row r="32468" spans="1:6" ht="12.75">
      <c r="A32468" s="2">
        <v>43875.45349537037</v>
      </c>
      <c r="B32468" t="str">
        <f>HYPERLINK("https://twitter.com/ewin8923","@ewin8923")</f>
        <v>@ewin8923</v>
      </c>
      <c r="C32468" t="s">
        <v>7411</v>
      </c>
      <c r="D32468">
        <v>136</v>
      </c>
      <c r="E32468">
        <v>0</v>
      </c>
      <c r="F32468">
        <v>1003</v>
      </c>
    </row>
    <row r="32469" spans="1:6" ht="12.75">
      <c r="A32469" s="2">
        <v>43875.453460648147</v>
      </c>
      <c r="B32469" t="str">
        <f>HYPERLINK("https://twitter.com/Nia_Kurniati77","@Nia_Kurniati77")</f>
        <v>@Nia_Kurniati77</v>
      </c>
      <c r="C32469" t="s">
        <v>13566</v>
      </c>
      <c r="D32469">
        <v>0</v>
      </c>
      <c r="E32469">
        <v>0</v>
      </c>
      <c r="F32469">
        <v>5</v>
      </c>
    </row>
    <row r="32470" spans="1:6" ht="12.75">
      <c r="A32470" s="2">
        <v>43875.453449074077</v>
      </c>
      <c r="B32470" t="str">
        <f>HYPERLINK("https://twitter.com/salahsambungya","@salahsambungya")</f>
        <v>@salahsambungya</v>
      </c>
      <c r="C32470" t="s">
        <v>13567</v>
      </c>
      <c r="D32470">
        <v>1</v>
      </c>
      <c r="E32470">
        <v>0</v>
      </c>
      <c r="F32470">
        <v>5140</v>
      </c>
    </row>
    <row r="32471" spans="1:6" ht="12.75">
      <c r="A32471" s="2">
        <v>43875.453356481477</v>
      </c>
      <c r="B32471" t="str">
        <f>HYPERLINK("https://twitter.com/PutraDewax","@PutraDewax")</f>
        <v>@PutraDewax</v>
      </c>
      <c r="C32471" t="s">
        <v>12044</v>
      </c>
      <c r="D32471">
        <v>41</v>
      </c>
      <c r="E32471">
        <v>0</v>
      </c>
      <c r="F32471">
        <v>81</v>
      </c>
    </row>
    <row r="32472" spans="1:6" ht="12.75">
      <c r="A32472" s="2">
        <v>43875.453321759254</v>
      </c>
      <c r="B32472" t="str">
        <f>HYPERLINK("https://twitter.com/salahsambungya","@salahsambungya")</f>
        <v>@salahsambungya</v>
      </c>
      <c r="C32472" t="s">
        <v>13568</v>
      </c>
      <c r="D32472">
        <v>1</v>
      </c>
      <c r="E32472">
        <v>0</v>
      </c>
      <c r="F32472">
        <v>5140</v>
      </c>
    </row>
    <row r="32473" spans="1:6" ht="12.75">
      <c r="A32473" s="2">
        <v>43875.453310185185</v>
      </c>
      <c r="B32473" t="str">
        <f>HYPERLINK("https://twitter.com/Daffa40770840","@Daffa40770840")</f>
        <v>@Daffa40770840</v>
      </c>
      <c r="C32473" t="s">
        <v>13569</v>
      </c>
      <c r="D32473">
        <v>1</v>
      </c>
      <c r="E32473">
        <v>1</v>
      </c>
      <c r="F32473">
        <v>110</v>
      </c>
    </row>
    <row r="32474" spans="1:6" ht="12.75">
      <c r="A32474" s="2">
        <v>43875.453240740739</v>
      </c>
      <c r="B32474" t="str">
        <f>HYPERLINK("https://twitter.com/Allegrocowo_","@Allegrocowo_")</f>
        <v>@Allegrocowo_</v>
      </c>
      <c r="C32474" t="s">
        <v>12921</v>
      </c>
      <c r="D32474">
        <v>1</v>
      </c>
      <c r="E32474">
        <v>0</v>
      </c>
      <c r="F32474">
        <v>241</v>
      </c>
    </row>
    <row r="32475" spans="1:6" ht="12.75">
      <c r="A32475" s="2">
        <v>43875.453101851846</v>
      </c>
      <c r="B32475" t="str">
        <f>HYPERLINK("https://twitter.com/MARIA36819304","@MARIA36819304")</f>
        <v>@MARIA36819304</v>
      </c>
      <c r="C32475" t="s">
        <v>13570</v>
      </c>
      <c r="D32475">
        <v>0</v>
      </c>
      <c r="E32475">
        <v>1</v>
      </c>
      <c r="F32475">
        <v>538</v>
      </c>
    </row>
    <row r="32476" spans="1:6" ht="12.75">
      <c r="A32476" s="2">
        <v>43875.452928240746</v>
      </c>
      <c r="B32476" t="str">
        <f>HYPERLINK("https://twitter.com/d_zinbawe","@d_zinbawe")</f>
        <v>@d_zinbawe</v>
      </c>
      <c r="C32476" t="s">
        <v>10462</v>
      </c>
      <c r="D32476">
        <v>228</v>
      </c>
      <c r="E32476">
        <v>0</v>
      </c>
      <c r="F32476">
        <v>144</v>
      </c>
    </row>
    <row r="32477" spans="1:6" ht="12.75">
      <c r="A32477" s="2">
        <v>43875.452928240746</v>
      </c>
      <c r="B32477" t="str">
        <f>HYPERLINK("https://twitter.com/genostlly","@genostlly")</f>
        <v>@genostlly</v>
      </c>
      <c r="C32477" t="s">
        <v>2963</v>
      </c>
      <c r="D32477">
        <v>650</v>
      </c>
      <c r="E32477">
        <v>0</v>
      </c>
      <c r="F32477">
        <v>704</v>
      </c>
    </row>
    <row r="32478" spans="1:6" ht="12.75">
      <c r="A32478" s="2">
        <v>43875.452928240746</v>
      </c>
      <c r="B32478" t="str">
        <f>HYPERLINK("https://twitter.com/Walzzs","@Walzzs")</f>
        <v>@Walzzs</v>
      </c>
      <c r="C32478" t="s">
        <v>9746</v>
      </c>
      <c r="D32478">
        <v>32</v>
      </c>
      <c r="E32478">
        <v>0</v>
      </c>
      <c r="F32478">
        <v>97</v>
      </c>
    </row>
    <row r="32479" spans="1:6" ht="12.75">
      <c r="A32479" s="2">
        <v>43875.4528125</v>
      </c>
      <c r="B32479" t="str">
        <f>HYPERLINK("https://twitter.com/MR__Ariansyah","@MR__Ariansyah")</f>
        <v>@MR__Ariansyah</v>
      </c>
      <c r="C32479" t="s">
        <v>2963</v>
      </c>
      <c r="D32479">
        <v>650</v>
      </c>
      <c r="E32479">
        <v>0</v>
      </c>
      <c r="F32479">
        <v>85</v>
      </c>
    </row>
    <row r="32480" spans="1:6" ht="12.75">
      <c r="A32480" s="2">
        <v>43875.452800925923</v>
      </c>
      <c r="B32480" t="str">
        <f>HYPERLINK("https://twitter.com/geanlutfi","@geanlutfi")</f>
        <v>@geanlutfi</v>
      </c>
      <c r="C32480" t="s">
        <v>2963</v>
      </c>
      <c r="D32480">
        <v>650</v>
      </c>
      <c r="E32480">
        <v>0</v>
      </c>
      <c r="F32480">
        <v>17</v>
      </c>
    </row>
    <row r="32481" spans="1:6" ht="12.75">
      <c r="A32481" s="2">
        <v>43875.452789351853</v>
      </c>
      <c r="B32481" t="str">
        <f>HYPERLINK("https://twitter.com/vvsimon","@vvsimon")</f>
        <v>@vvsimon</v>
      </c>
      <c r="C32481" t="s">
        <v>13571</v>
      </c>
      <c r="D32481">
        <v>0</v>
      </c>
      <c r="E32481">
        <v>0</v>
      </c>
      <c r="F32481">
        <v>204</v>
      </c>
    </row>
    <row r="32482" spans="1:6" ht="12.75">
      <c r="A32482" s="2">
        <v>43875.452777777777</v>
      </c>
      <c r="B32482" t="str">
        <f>HYPERLINK("https://twitter.com/CChotibulumam","@CChotibulumam")</f>
        <v>@CChotibulumam</v>
      </c>
      <c r="C32482" t="s">
        <v>2963</v>
      </c>
      <c r="D32482">
        <v>650</v>
      </c>
      <c r="E32482">
        <v>0</v>
      </c>
      <c r="F32482">
        <v>1060</v>
      </c>
    </row>
    <row r="32483" spans="1:6" ht="12.75">
      <c r="A32483" s="2">
        <v>43875.452743055561</v>
      </c>
      <c r="B32483" t="str">
        <f>HYPERLINK("https://twitter.com/fuad_marzuq","@fuad_marzuq")</f>
        <v>@fuad_marzuq</v>
      </c>
      <c r="C32483" t="s">
        <v>12312</v>
      </c>
      <c r="D32483">
        <v>6</v>
      </c>
      <c r="E32483">
        <v>0</v>
      </c>
      <c r="F32483">
        <v>152</v>
      </c>
    </row>
    <row r="32484" spans="1:6" ht="12.75">
      <c r="A32484" s="2">
        <v>43875.452650462961</v>
      </c>
      <c r="B32484" t="str">
        <f>HYPERLINK("https://twitter.com/NdaomanuCha","@NdaomanuCha")</f>
        <v>@NdaomanuCha</v>
      </c>
      <c r="C32484" t="s">
        <v>2963</v>
      </c>
      <c r="D32484">
        <v>650</v>
      </c>
      <c r="E32484">
        <v>0</v>
      </c>
      <c r="F32484">
        <v>5030</v>
      </c>
    </row>
    <row r="32485" spans="1:6" ht="12.75">
      <c r="A32485" s="2">
        <v>43875.452569444446</v>
      </c>
      <c r="B32485" t="str">
        <f>HYPERLINK("https://twitter.com/ipungkurnia","@ipungkurnia")</f>
        <v>@ipungkurnia</v>
      </c>
      <c r="C32485" t="s">
        <v>12702</v>
      </c>
      <c r="D32485">
        <v>36</v>
      </c>
      <c r="E32485">
        <v>0</v>
      </c>
      <c r="F32485">
        <v>95</v>
      </c>
    </row>
    <row r="32486" spans="1:6" ht="12.75">
      <c r="A32486" s="2">
        <v>43875.452569444446</v>
      </c>
      <c r="B32486" t="str">
        <f>HYPERLINK("https://twitter.com/seruyaaa","@seruyaaa")</f>
        <v>@seruyaaa</v>
      </c>
      <c r="C32486" t="s">
        <v>12044</v>
      </c>
      <c r="D32486">
        <v>41</v>
      </c>
      <c r="E32486">
        <v>0</v>
      </c>
      <c r="F32486">
        <v>890</v>
      </c>
    </row>
    <row r="32487" spans="1:6" ht="12.75">
      <c r="A32487" s="2">
        <v>43875.452557870369</v>
      </c>
      <c r="B32487" t="str">
        <f>HYPERLINK("https://twitter.com/alternarria","@alternarria")</f>
        <v>@alternarria</v>
      </c>
      <c r="C32487" t="s">
        <v>8233</v>
      </c>
      <c r="D32487">
        <v>337</v>
      </c>
      <c r="E32487">
        <v>0</v>
      </c>
      <c r="F32487">
        <v>37</v>
      </c>
    </row>
    <row r="32488" spans="1:6" ht="12.75">
      <c r="A32488" s="2">
        <v>43875.452546296292</v>
      </c>
      <c r="B32488" t="str">
        <f>HYPERLINK("https://twitter.com/mutajir_mohamat","@mutajir_mohamat")</f>
        <v>@mutajir_mohamat</v>
      </c>
      <c r="C32488" t="s">
        <v>13572</v>
      </c>
      <c r="D32488">
        <v>0</v>
      </c>
      <c r="E32488">
        <v>0</v>
      </c>
      <c r="F32488">
        <v>264</v>
      </c>
    </row>
    <row r="32489" spans="1:6" ht="12.75">
      <c r="A32489" s="2">
        <v>43875.452499999999</v>
      </c>
      <c r="B32489" t="str">
        <f>HYPERLINK("https://twitter.com/alfianisaps1","@alfianisaps1")</f>
        <v>@alfianisaps1</v>
      </c>
      <c r="C32489" t="s">
        <v>13573</v>
      </c>
      <c r="D32489">
        <v>7</v>
      </c>
      <c r="E32489">
        <v>0</v>
      </c>
      <c r="F32489">
        <v>62</v>
      </c>
    </row>
    <row r="32490" spans="1:6" ht="12.75">
      <c r="A32490" s="2">
        <v>43875.452499999999</v>
      </c>
      <c r="B32490" t="str">
        <f>HYPERLINK("https://twitter.com/twitpos","@twitpos")</f>
        <v>@twitpos</v>
      </c>
      <c r="C32490" t="s">
        <v>13574</v>
      </c>
      <c r="D32490">
        <v>1</v>
      </c>
      <c r="E32490">
        <v>2</v>
      </c>
      <c r="F32490">
        <v>10578</v>
      </c>
    </row>
    <row r="32491" spans="1:6" ht="12.75">
      <c r="A32491" s="2">
        <v>43875.452476851853</v>
      </c>
      <c r="B32491" t="str">
        <f>HYPERLINK("https://twitter.com/CDjanuar","@CDjanuar")</f>
        <v>@CDjanuar</v>
      </c>
      <c r="C32491" t="s">
        <v>8233</v>
      </c>
      <c r="D32491">
        <v>337</v>
      </c>
      <c r="E32491">
        <v>0</v>
      </c>
      <c r="F32491">
        <v>81</v>
      </c>
    </row>
    <row r="32492" spans="1:6" ht="12.75">
      <c r="A32492" s="2">
        <v>43875.45244212963</v>
      </c>
      <c r="B32492" t="str">
        <f>HYPERLINK("https://twitter.com/aulkikinasrudin","@aulkikinasrudin")</f>
        <v>@aulkikinasrudin</v>
      </c>
      <c r="C32492" t="s">
        <v>8233</v>
      </c>
      <c r="D32492">
        <v>337</v>
      </c>
      <c r="E32492">
        <v>0</v>
      </c>
      <c r="F32492">
        <v>387</v>
      </c>
    </row>
    <row r="32493" spans="1:6" ht="12.75">
      <c r="A32493" s="2">
        <v>43875.452418981484</v>
      </c>
      <c r="B32493" t="str">
        <f>HYPERLINK("https://twitter.com/johhhnygudhel","@johhhnygudhel")</f>
        <v>@johhhnygudhel</v>
      </c>
      <c r="C32493" t="s">
        <v>10330</v>
      </c>
      <c r="D32493">
        <v>201</v>
      </c>
      <c r="E32493">
        <v>0</v>
      </c>
      <c r="F32493">
        <v>2410</v>
      </c>
    </row>
    <row r="32494" spans="1:6" ht="12.75">
      <c r="A32494" s="2">
        <v>43875.45239583333</v>
      </c>
      <c r="B32494" t="str">
        <f>HYPERLINK("https://twitter.com/bysrn25","@bysrn25")</f>
        <v>@bysrn25</v>
      </c>
      <c r="C32494" t="s">
        <v>13575</v>
      </c>
      <c r="D32494">
        <v>0</v>
      </c>
      <c r="E32494">
        <v>0</v>
      </c>
      <c r="F32494">
        <v>123</v>
      </c>
    </row>
    <row r="32495" spans="1:6" ht="12.75">
      <c r="A32495" s="2">
        <v>43875.452384259261</v>
      </c>
      <c r="B32495" t="str">
        <f>HYPERLINK("https://twitter.com/BadjaNuswantara","@BadjaNuswantara")</f>
        <v>@BadjaNuswantara</v>
      </c>
      <c r="C32495" t="s">
        <v>13003</v>
      </c>
      <c r="D32495">
        <v>1</v>
      </c>
      <c r="E32495">
        <v>0</v>
      </c>
      <c r="F32495">
        <v>42277</v>
      </c>
    </row>
    <row r="32496" spans="1:6" ht="12.75">
      <c r="A32496" s="2">
        <v>43875.452384259261</v>
      </c>
      <c r="B32496" t="str">
        <f>HYPERLINK("https://twitter.com/polyjuiceptn","@polyjuiceptn")</f>
        <v>@polyjuiceptn</v>
      </c>
      <c r="C32496" t="s">
        <v>5168</v>
      </c>
      <c r="D32496">
        <v>498</v>
      </c>
      <c r="E32496">
        <v>0</v>
      </c>
      <c r="F32496">
        <v>106</v>
      </c>
    </row>
    <row r="32497" spans="1:6" ht="12.75">
      <c r="A32497" s="2">
        <v>43875.452326388884</v>
      </c>
      <c r="B32497" t="str">
        <f>HYPERLINK("https://twitter.com/AremaNita__","@AremaNita__")</f>
        <v>@AremaNita__</v>
      </c>
      <c r="C32497" t="s">
        <v>13576</v>
      </c>
      <c r="D32497">
        <v>1</v>
      </c>
      <c r="E32497">
        <v>0</v>
      </c>
      <c r="F32497">
        <v>8089</v>
      </c>
    </row>
    <row r="32498" spans="1:6" ht="12.75">
      <c r="A32498" s="2">
        <v>43875.452303240745</v>
      </c>
      <c r="B32498" t="str">
        <f>HYPERLINK("https://twitter.com/BitterBallance","@BitterBallance")</f>
        <v>@BitterBallance</v>
      </c>
      <c r="C32498" t="s">
        <v>13577</v>
      </c>
      <c r="D32498">
        <v>0</v>
      </c>
      <c r="E32498">
        <v>0</v>
      </c>
      <c r="F32498">
        <v>639</v>
      </c>
    </row>
    <row r="32499" spans="1:6" ht="12.75">
      <c r="A32499" s="2">
        <v>43875.452303240745</v>
      </c>
      <c r="B32499" t="str">
        <f>HYPERLINK("https://twitter.com/pubinform","@pubinform")</f>
        <v>@pubinform</v>
      </c>
      <c r="C32499" t="s">
        <v>13578</v>
      </c>
      <c r="D32499">
        <v>0</v>
      </c>
      <c r="E32499">
        <v>0</v>
      </c>
      <c r="F32499">
        <v>381</v>
      </c>
    </row>
    <row r="32500" spans="1:6" ht="12.75">
      <c r="A32500" s="2">
        <v>43875.452291666668</v>
      </c>
      <c r="B32500" t="str">
        <f>HYPERLINK("https://twitter.com/abespawnie","@abespawnie")</f>
        <v>@abespawnie</v>
      </c>
      <c r="C32500" t="s">
        <v>8233</v>
      </c>
      <c r="D32500">
        <v>337</v>
      </c>
      <c r="E32500">
        <v>0</v>
      </c>
      <c r="F32500">
        <v>301</v>
      </c>
    </row>
    <row r="32501" spans="1:6" ht="12.75">
      <c r="A32501" s="2">
        <v>43875.452280092592</v>
      </c>
      <c r="B32501" t="str">
        <f>HYPERLINK("https://twitter.com/SuksmaM","@SuksmaM")</f>
        <v>@SuksmaM</v>
      </c>
      <c r="C32501" t="s">
        <v>13579</v>
      </c>
      <c r="D32501">
        <v>0</v>
      </c>
      <c r="E32501">
        <v>0</v>
      </c>
      <c r="F32501">
        <v>1000</v>
      </c>
    </row>
    <row r="32502" spans="1:6" ht="12.75">
      <c r="A32502" s="2">
        <v>43875.452268518522</v>
      </c>
      <c r="B32502" t="str">
        <f>HYPERLINK("https://twitter.com/quietscent","@quietscent")</f>
        <v>@quietscent</v>
      </c>
      <c r="C32502" t="s">
        <v>2137</v>
      </c>
      <c r="D32502">
        <v>41</v>
      </c>
      <c r="E32502">
        <v>0</v>
      </c>
      <c r="F32502">
        <v>225</v>
      </c>
    </row>
    <row r="32503" spans="1:6" ht="12.75">
      <c r="A32503" s="2">
        <v>43875.452222222222</v>
      </c>
      <c r="B32503" t="str">
        <f>HYPERLINK("https://twitter.com/rasasvadasya","@rasasvadasya")</f>
        <v>@rasasvadasya</v>
      </c>
      <c r="C32503" t="s">
        <v>13580</v>
      </c>
      <c r="D32503">
        <v>0</v>
      </c>
      <c r="E32503">
        <v>0</v>
      </c>
      <c r="F32503">
        <v>2610</v>
      </c>
    </row>
    <row r="32504" spans="1:6" ht="12.75">
      <c r="A32504" s="2">
        <v>43875.452141203699</v>
      </c>
      <c r="B32504" t="str">
        <f t="shared" ref="B32504:B32505" si="385">HYPERLINK("https://twitter.com/dusrimulya","@dusrimulya")</f>
        <v>@dusrimulya</v>
      </c>
      <c r="C32504" t="s">
        <v>13581</v>
      </c>
      <c r="D32504">
        <v>1</v>
      </c>
      <c r="E32504">
        <v>1</v>
      </c>
      <c r="F32504">
        <v>22292</v>
      </c>
    </row>
    <row r="32505" spans="1:6" ht="12.75">
      <c r="A32505" s="2">
        <v>43875.45212962963</v>
      </c>
      <c r="B32505" t="str">
        <f t="shared" si="385"/>
        <v>@dusrimulya</v>
      </c>
      <c r="C32505" t="s">
        <v>13582</v>
      </c>
      <c r="D32505">
        <v>6</v>
      </c>
      <c r="E32505">
        <v>8</v>
      </c>
      <c r="F32505">
        <v>22292</v>
      </c>
    </row>
    <row r="32506" spans="1:6" ht="12.75">
      <c r="A32506" s="2">
        <v>43875.452060185184</v>
      </c>
      <c r="B32506" t="str">
        <f>HYPERLINK("https://twitter.com/notifindonesia","@notifindonesia")</f>
        <v>@notifindonesia</v>
      </c>
      <c r="C32506" t="s">
        <v>13583</v>
      </c>
      <c r="D32506">
        <v>0</v>
      </c>
      <c r="E32506">
        <v>0</v>
      </c>
      <c r="F32506">
        <v>1201</v>
      </c>
    </row>
    <row r="32507" spans="1:6" ht="12.75">
      <c r="A32507" s="2">
        <v>43875.451956018514</v>
      </c>
      <c r="B32507" t="str">
        <f>HYPERLINK("https://twitter.com/batamtoday","@batamtoday")</f>
        <v>@batamtoday</v>
      </c>
      <c r="C32507" t="s">
        <v>13584</v>
      </c>
      <c r="D32507">
        <v>0</v>
      </c>
      <c r="E32507">
        <v>0</v>
      </c>
      <c r="F32507">
        <v>27062</v>
      </c>
    </row>
    <row r="32508" spans="1:6" ht="12.75">
      <c r="A32508" s="2">
        <v>43875.451956018514</v>
      </c>
      <c r="B32508" t="str">
        <f>HYPERLINK("https://twitter.com/eDiwiroch","@eDiwiroch")</f>
        <v>@eDiwiroch</v>
      </c>
      <c r="C32508" t="s">
        <v>2444</v>
      </c>
      <c r="D32508">
        <v>111</v>
      </c>
      <c r="E32508">
        <v>0</v>
      </c>
      <c r="F32508">
        <v>373</v>
      </c>
    </row>
    <row r="32509" spans="1:6" ht="12.75">
      <c r="A32509" s="2">
        <v>43875.451932870375</v>
      </c>
      <c r="B32509" t="str">
        <f>HYPERLINK("https://twitter.com/suketi666","@suketi666")</f>
        <v>@suketi666</v>
      </c>
      <c r="C32509" t="s">
        <v>13585</v>
      </c>
      <c r="D32509">
        <v>0</v>
      </c>
      <c r="E32509">
        <v>0</v>
      </c>
      <c r="F32509">
        <v>470</v>
      </c>
    </row>
    <row r="32510" spans="1:6" ht="12.75">
      <c r="A32510" s="2">
        <v>43875.451909722222</v>
      </c>
      <c r="B32510" t="str">
        <f>HYPERLINK("https://twitter.com/dhiart","@dhiart")</f>
        <v>@dhiart</v>
      </c>
      <c r="C32510" t="s">
        <v>13586</v>
      </c>
      <c r="D32510">
        <v>0</v>
      </c>
      <c r="E32510">
        <v>0</v>
      </c>
      <c r="F32510">
        <v>439</v>
      </c>
    </row>
    <row r="32511" spans="1:6" ht="12.75">
      <c r="A32511" s="2">
        <v>43875.451863425929</v>
      </c>
      <c r="B32511" t="str">
        <f>HYPERLINK("https://twitter.com/umay_patria","@umay_patria")</f>
        <v>@umay_patria</v>
      </c>
      <c r="C32511" t="s">
        <v>9746</v>
      </c>
      <c r="D32511">
        <v>32</v>
      </c>
      <c r="E32511">
        <v>0</v>
      </c>
      <c r="F32511">
        <v>1138</v>
      </c>
    </row>
    <row r="32512" spans="1:6" ht="12.75">
      <c r="A32512" s="2">
        <v>43875.451828703706</v>
      </c>
      <c r="B32512" t="str">
        <f>HYPERLINK("https://twitter.com/embah72","@embah72")</f>
        <v>@embah72</v>
      </c>
      <c r="C32512" t="s">
        <v>13587</v>
      </c>
      <c r="D32512">
        <v>1</v>
      </c>
      <c r="E32512">
        <v>0</v>
      </c>
      <c r="F32512">
        <v>14092</v>
      </c>
    </row>
    <row r="32513" spans="1:6" ht="12.75">
      <c r="A32513" s="2">
        <v>43875.45177083333</v>
      </c>
      <c r="B32513" t="str">
        <f>HYPERLINK("https://twitter.com/IntiHarsojo","@IntiHarsojo")</f>
        <v>@IntiHarsojo</v>
      </c>
      <c r="C32513" t="s">
        <v>13588</v>
      </c>
      <c r="D32513">
        <v>0</v>
      </c>
      <c r="E32513">
        <v>0</v>
      </c>
      <c r="F32513">
        <v>199</v>
      </c>
    </row>
    <row r="32514" spans="1:6" ht="12.75">
      <c r="A32514" s="2">
        <v>43875.45175925926</v>
      </c>
      <c r="B32514" t="str">
        <f>HYPERLINK("https://twitter.com/fiveforlove","@fiveforlove")</f>
        <v>@fiveforlove</v>
      </c>
      <c r="C32514" t="s">
        <v>12044</v>
      </c>
      <c r="D32514">
        <v>41</v>
      </c>
      <c r="E32514">
        <v>0</v>
      </c>
      <c r="F32514">
        <v>59</v>
      </c>
    </row>
    <row r="32515" spans="1:6" ht="12.75">
      <c r="A32515" s="2">
        <v>43875.451747685191</v>
      </c>
      <c r="B32515" t="str">
        <f>HYPERLINK("https://twitter.com/nishaexcel","@nishaexcel")</f>
        <v>@nishaexcel</v>
      </c>
      <c r="C32515" t="s">
        <v>13589</v>
      </c>
      <c r="D32515">
        <v>0</v>
      </c>
      <c r="E32515">
        <v>0</v>
      </c>
      <c r="F32515">
        <v>175</v>
      </c>
    </row>
    <row r="32516" spans="1:6" ht="12.75">
      <c r="A32516" s="2">
        <v>43875.451724537037</v>
      </c>
      <c r="B32516" t="str">
        <f>HYPERLINK("https://twitter.com/abespawnie","@abespawnie")</f>
        <v>@abespawnie</v>
      </c>
      <c r="C32516" t="s">
        <v>7408</v>
      </c>
      <c r="D32516">
        <v>34</v>
      </c>
      <c r="E32516">
        <v>0</v>
      </c>
      <c r="F32516">
        <v>301</v>
      </c>
    </row>
    <row r="32517" spans="1:6" ht="12.75">
      <c r="A32517" s="2">
        <v>43875.451712962968</v>
      </c>
      <c r="B32517" t="str">
        <f>HYPERLINK("https://twitter.com/InvestigasiCom","@InvestigasiCom")</f>
        <v>@InvestigasiCom</v>
      </c>
      <c r="C32517" t="s">
        <v>13590</v>
      </c>
      <c r="D32517">
        <v>0</v>
      </c>
      <c r="E32517">
        <v>0</v>
      </c>
      <c r="F32517">
        <v>3</v>
      </c>
    </row>
    <row r="32518" spans="1:6" ht="12.75">
      <c r="A32518" s="2">
        <v>43875.451701388884</v>
      </c>
      <c r="B32518" t="str">
        <f>HYPERLINK("https://twitter.com/Riddo_plur","@Riddo_plur")</f>
        <v>@Riddo_plur</v>
      </c>
      <c r="C32518" t="s">
        <v>10121</v>
      </c>
      <c r="D32518">
        <v>168</v>
      </c>
      <c r="E32518">
        <v>0</v>
      </c>
      <c r="F32518">
        <v>205</v>
      </c>
    </row>
    <row r="32519" spans="1:6" ht="12.75">
      <c r="A32519" s="2">
        <v>43875.451597222222</v>
      </c>
      <c r="B32519" t="str">
        <f>HYPERLINK("https://twitter.com/davidd_txt","@davidd_txt")</f>
        <v>@davidd_txt</v>
      </c>
      <c r="C32519" t="s">
        <v>13591</v>
      </c>
      <c r="D32519">
        <v>0</v>
      </c>
      <c r="E32519">
        <v>0</v>
      </c>
      <c r="F32519">
        <v>244</v>
      </c>
    </row>
    <row r="32520" spans="1:6" ht="12.75">
      <c r="A32520" s="2">
        <v>43875.451458333337</v>
      </c>
      <c r="B32520" t="str">
        <f>HYPERLINK("https://twitter.com/ipungkurnia","@ipungkurnia")</f>
        <v>@ipungkurnia</v>
      </c>
      <c r="C32520" t="s">
        <v>11322</v>
      </c>
      <c r="D32520">
        <v>69</v>
      </c>
      <c r="E32520">
        <v>0</v>
      </c>
      <c r="F32520">
        <v>95</v>
      </c>
    </row>
    <row r="32521" spans="1:6" ht="12.75">
      <c r="A32521" s="2">
        <v>43875.451423611114</v>
      </c>
      <c r="B32521" t="str">
        <f>HYPERLINK("https://twitter.com/RickyNSas","@RickyNSas")</f>
        <v>@RickyNSas</v>
      </c>
      <c r="C32521" t="s">
        <v>10096</v>
      </c>
      <c r="D32521">
        <v>86</v>
      </c>
      <c r="E32521">
        <v>0</v>
      </c>
      <c r="F32521">
        <v>3507</v>
      </c>
    </row>
    <row r="32522" spans="1:6" ht="12.75">
      <c r="A32522" s="2">
        <v>43875.451377314814</v>
      </c>
      <c r="B32522" t="str">
        <f>HYPERLINK("https://twitter.com/NadaFajriyah2","@NadaFajriyah2")</f>
        <v>@NadaFajriyah2</v>
      </c>
      <c r="C32522" t="s">
        <v>9746</v>
      </c>
      <c r="D32522">
        <v>32</v>
      </c>
      <c r="E32522">
        <v>0</v>
      </c>
      <c r="F32522">
        <v>250</v>
      </c>
    </row>
    <row r="32523" spans="1:6" ht="12.75">
      <c r="A32523" s="2">
        <v>43875.451307870375</v>
      </c>
      <c r="B32523" t="str">
        <f>HYPERLINK("https://twitter.com/Gulai_puyu","@Gulai_puyu")</f>
        <v>@Gulai_puyu</v>
      </c>
      <c r="C32523" t="s">
        <v>2963</v>
      </c>
      <c r="D32523">
        <v>650</v>
      </c>
      <c r="E32523">
        <v>0</v>
      </c>
      <c r="F32523">
        <v>451</v>
      </c>
    </row>
    <row r="32524" spans="1:6" ht="12.75">
      <c r="A32524" s="2">
        <v>43875.451215277775</v>
      </c>
      <c r="B32524" t="str">
        <f>HYPERLINK("https://twitter.com/padangkitacom","@padangkitacom")</f>
        <v>@padangkitacom</v>
      </c>
      <c r="C32524" t="s">
        <v>13592</v>
      </c>
      <c r="D32524">
        <v>0</v>
      </c>
      <c r="E32524">
        <v>0</v>
      </c>
      <c r="F32524">
        <v>18651</v>
      </c>
    </row>
    <row r="32525" spans="1:6" ht="12.75">
      <c r="A32525" s="2">
        <v>43875.451168981483</v>
      </c>
      <c r="B32525" t="str">
        <f>HYPERLINK("https://twitter.com/mobilgp","@mobilgp")</f>
        <v>@mobilgp</v>
      </c>
      <c r="C32525" t="s">
        <v>13593</v>
      </c>
      <c r="D32525">
        <v>0</v>
      </c>
      <c r="E32525">
        <v>0</v>
      </c>
      <c r="F32525">
        <v>11</v>
      </c>
    </row>
    <row r="32526" spans="1:6" ht="12.75">
      <c r="A32526" s="2">
        <v>43875.451168981483</v>
      </c>
      <c r="B32526" t="str">
        <f>HYPERLINK("https://twitter.com/kembangIoyang","@kembangIoyang")</f>
        <v>@kembangIoyang</v>
      </c>
      <c r="C32526" t="s">
        <v>13594</v>
      </c>
      <c r="D32526">
        <v>1</v>
      </c>
      <c r="E32526">
        <v>0</v>
      </c>
      <c r="F32526">
        <v>5614</v>
      </c>
    </row>
    <row r="32527" spans="1:6" ht="12.75">
      <c r="A32527" s="2">
        <v>43875.451099537036</v>
      </c>
      <c r="B32527" t="str">
        <f>HYPERLINK("https://twitter.com/myatharva","@myatharva")</f>
        <v>@myatharva</v>
      </c>
      <c r="C32527" t="s">
        <v>13595</v>
      </c>
      <c r="D32527">
        <v>0</v>
      </c>
      <c r="E32527">
        <v>0</v>
      </c>
      <c r="F32527">
        <v>4009</v>
      </c>
    </row>
    <row r="32528" spans="1:6" ht="12.75">
      <c r="A32528" s="2">
        <v>43875.45107638889</v>
      </c>
      <c r="B32528" t="str">
        <f>HYPERLINK("https://twitter.com/syrahmaa288","@syrahmaa288")</f>
        <v>@syrahmaa288</v>
      </c>
      <c r="C32528" t="s">
        <v>2137</v>
      </c>
      <c r="D32528">
        <v>41</v>
      </c>
      <c r="E32528">
        <v>0</v>
      </c>
      <c r="F32528">
        <v>1418</v>
      </c>
    </row>
    <row r="32529" spans="1:6" ht="12.75">
      <c r="A32529" s="2">
        <v>43875.450925925921</v>
      </c>
      <c r="B32529" t="str">
        <f>HYPERLINK("https://twitter.com/_wni_","@_wni_")</f>
        <v>@_wni_</v>
      </c>
      <c r="C32529" t="s">
        <v>13596</v>
      </c>
      <c r="D32529">
        <v>0</v>
      </c>
      <c r="E32529">
        <v>0</v>
      </c>
      <c r="F32529">
        <v>8</v>
      </c>
    </row>
    <row r="32530" spans="1:6" ht="12.75">
      <c r="A32530" s="2">
        <v>43875.450856481482</v>
      </c>
      <c r="B32530" t="str">
        <f>HYPERLINK("https://twitter.com/zaky48a","@zaky48a")</f>
        <v>@zaky48a</v>
      </c>
      <c r="C32530" t="s">
        <v>9096</v>
      </c>
      <c r="D32530">
        <v>171</v>
      </c>
      <c r="E32530">
        <v>0</v>
      </c>
      <c r="F32530">
        <v>35</v>
      </c>
    </row>
    <row r="32531" spans="1:6" ht="12.75">
      <c r="A32531" s="2">
        <v>43875.450856481482</v>
      </c>
      <c r="B32531" t="str">
        <f>HYPERLINK("https://twitter.com/sunankaliblanak","@sunankaliblanak")</f>
        <v>@sunankaliblanak</v>
      </c>
      <c r="C32531" t="s">
        <v>13597</v>
      </c>
      <c r="D32531">
        <v>1</v>
      </c>
      <c r="E32531">
        <v>1</v>
      </c>
      <c r="F32531">
        <v>387</v>
      </c>
    </row>
    <row r="32532" spans="1:6" ht="12.75">
      <c r="A32532" s="2">
        <v>43875.450798611113</v>
      </c>
      <c r="B32532" t="str">
        <f>HYPERLINK("https://twitter.com/wiena_kinasih","@wiena_kinasih")</f>
        <v>@wiena_kinasih</v>
      </c>
      <c r="C32532" t="s">
        <v>2963</v>
      </c>
      <c r="D32532">
        <v>650</v>
      </c>
      <c r="E32532">
        <v>0</v>
      </c>
      <c r="F32532">
        <v>2446</v>
      </c>
    </row>
    <row r="32533" spans="1:6" ht="12.75">
      <c r="A32533" s="2">
        <v>43875.450717592597</v>
      </c>
      <c r="B32533" t="str">
        <f>HYPERLINK("https://twitter.com/ilhambudi95","@ilhambudi95")</f>
        <v>@ilhambudi95</v>
      </c>
      <c r="C32533" t="s">
        <v>12306</v>
      </c>
      <c r="D32533">
        <v>1</v>
      </c>
      <c r="E32533">
        <v>0</v>
      </c>
      <c r="F32533">
        <v>3680</v>
      </c>
    </row>
    <row r="32534" spans="1:6" ht="12.75">
      <c r="A32534" s="2">
        <v>43875.450590277775</v>
      </c>
      <c r="B32534" t="str">
        <f>HYPERLINK("https://twitter.com/christheo_owl","@christheo_owl")</f>
        <v>@christheo_owl</v>
      </c>
      <c r="C32534" t="s">
        <v>13598</v>
      </c>
      <c r="D32534">
        <v>1</v>
      </c>
      <c r="E32534">
        <v>0</v>
      </c>
      <c r="F32534">
        <v>300</v>
      </c>
    </row>
    <row r="32535" spans="1:6" ht="12.75">
      <c r="A32535" s="2">
        <v>43875.450555555552</v>
      </c>
      <c r="B32535" t="str">
        <f>HYPERLINK("https://twitter.com/gde_maman","@gde_maman")</f>
        <v>@gde_maman</v>
      </c>
      <c r="C32535" t="s">
        <v>13599</v>
      </c>
      <c r="D32535">
        <v>0</v>
      </c>
      <c r="E32535">
        <v>0</v>
      </c>
      <c r="F32535">
        <v>54</v>
      </c>
    </row>
    <row r="32536" spans="1:6" ht="12.75">
      <c r="A32536" s="2">
        <v>43875.450439814813</v>
      </c>
      <c r="B32536" t="str">
        <f>HYPERLINK("https://twitter.com/Januarjososusa1","@Januarjososusa1")</f>
        <v>@Januarjososusa1</v>
      </c>
      <c r="C32536" t="s">
        <v>10121</v>
      </c>
      <c r="D32536">
        <v>168</v>
      </c>
      <c r="E32536">
        <v>0</v>
      </c>
      <c r="F32536">
        <v>217</v>
      </c>
    </row>
    <row r="32537" spans="1:6" ht="12.75">
      <c r="A32537" s="2">
        <v>43875.450428240743</v>
      </c>
      <c r="B32537" t="str">
        <f>HYPERLINK("https://twitter.com/Qwinar","@Qwinar")</f>
        <v>@Qwinar</v>
      </c>
      <c r="C32537" t="s">
        <v>12044</v>
      </c>
      <c r="D32537">
        <v>41</v>
      </c>
      <c r="E32537">
        <v>0</v>
      </c>
      <c r="F32537">
        <v>51</v>
      </c>
    </row>
    <row r="32538" spans="1:6" ht="12.75">
      <c r="A32538" s="2">
        <v>43875.450266203705</v>
      </c>
      <c r="B32538" t="str">
        <f>HYPERLINK("https://twitter.com/Lukman88755658","@Lukman88755658")</f>
        <v>@Lukman88755658</v>
      </c>
      <c r="C32538" t="s">
        <v>7411</v>
      </c>
      <c r="D32538">
        <v>136</v>
      </c>
      <c r="E32538">
        <v>0</v>
      </c>
      <c r="F32538">
        <v>298</v>
      </c>
    </row>
    <row r="32539" spans="1:6" ht="12.75">
      <c r="A32539" s="2">
        <v>43875.450243055559</v>
      </c>
      <c r="B32539" t="str">
        <f>HYPERLINK("https://twitter.com/gadisresidu_b3","@gadisresidu_b3")</f>
        <v>@gadisresidu_b3</v>
      </c>
      <c r="C32539" t="s">
        <v>13417</v>
      </c>
      <c r="D32539">
        <v>1</v>
      </c>
      <c r="E32539">
        <v>0</v>
      </c>
      <c r="F32539">
        <v>1600</v>
      </c>
    </row>
    <row r="32540" spans="1:6" ht="12.75">
      <c r="A32540" s="2">
        <v>43875.450231481482</v>
      </c>
      <c r="B32540" t="str">
        <f>HYPERLINK("https://twitter.com/Geyelicius","@Geyelicius")</f>
        <v>@Geyelicius</v>
      </c>
      <c r="C32540" t="s">
        <v>13600</v>
      </c>
      <c r="D32540">
        <v>1</v>
      </c>
      <c r="E32540">
        <v>2</v>
      </c>
      <c r="F32540">
        <v>10484</v>
      </c>
    </row>
    <row r="32541" spans="1:6" ht="12.75">
      <c r="A32541" s="2">
        <v>43875.450196759259</v>
      </c>
      <c r="B32541" t="str">
        <f>HYPERLINK("https://twitter.com/waroengbranded","@waroengbranded")</f>
        <v>@waroengbranded</v>
      </c>
      <c r="C32541" t="s">
        <v>9746</v>
      </c>
      <c r="D32541">
        <v>32</v>
      </c>
      <c r="E32541">
        <v>0</v>
      </c>
      <c r="F32541">
        <v>396</v>
      </c>
    </row>
    <row r="32542" spans="1:6" ht="12.75">
      <c r="A32542" s="2">
        <v>43875.450185185182</v>
      </c>
      <c r="B32542" t="str">
        <f>HYPERLINK("https://twitter.com/anger_silent","@anger_silent")</f>
        <v>@anger_silent</v>
      </c>
      <c r="C32542" t="s">
        <v>12080</v>
      </c>
      <c r="D32542">
        <v>13</v>
      </c>
      <c r="E32542">
        <v>0</v>
      </c>
      <c r="F32542">
        <v>396</v>
      </c>
    </row>
    <row r="32543" spans="1:6" ht="12.75">
      <c r="A32543" s="2">
        <v>43875.450185185182</v>
      </c>
      <c r="B32543" t="str">
        <f t="shared" ref="B32543:B32544" si="386">HYPERLINK("https://twitter.com/_wni_","@_wni_")</f>
        <v>@_wni_</v>
      </c>
      <c r="C32543" t="s">
        <v>13601</v>
      </c>
      <c r="D32543">
        <v>933</v>
      </c>
      <c r="E32543">
        <v>0</v>
      </c>
      <c r="F32543">
        <v>8</v>
      </c>
    </row>
    <row r="32544" spans="1:6" ht="12.75">
      <c r="A32544" s="2">
        <v>43875.450138888889</v>
      </c>
      <c r="B32544" t="str">
        <f t="shared" si="386"/>
        <v>@_wni_</v>
      </c>
      <c r="C32544" t="s">
        <v>13602</v>
      </c>
      <c r="D32544">
        <v>3935</v>
      </c>
      <c r="E32544">
        <v>0</v>
      </c>
      <c r="F32544">
        <v>8</v>
      </c>
    </row>
    <row r="32545" spans="1:6" ht="12.75">
      <c r="A32545" s="2">
        <v>43875.449953703705</v>
      </c>
      <c r="B32545" t="str">
        <f>HYPERLINK("https://twitter.com/Aldiasman","@Aldiasman")</f>
        <v>@Aldiasman</v>
      </c>
      <c r="C32545" t="s">
        <v>13603</v>
      </c>
      <c r="D32545">
        <v>1</v>
      </c>
      <c r="E32545">
        <v>0</v>
      </c>
      <c r="F32545">
        <v>284</v>
      </c>
    </row>
    <row r="32546" spans="1:6" ht="12.75">
      <c r="A32546" s="2">
        <v>43875.449930555551</v>
      </c>
      <c r="B32546" t="str">
        <f>HYPERLINK("https://twitter.com/GardinaFN","@GardinaFN")</f>
        <v>@GardinaFN</v>
      </c>
      <c r="C32546" t="s">
        <v>13604</v>
      </c>
      <c r="D32546">
        <v>3</v>
      </c>
      <c r="E32546">
        <v>0</v>
      </c>
      <c r="F32546">
        <v>262</v>
      </c>
    </row>
    <row r="32547" spans="1:6" ht="12.75">
      <c r="A32547" s="2">
        <v>43875.449895833328</v>
      </c>
      <c r="B32547" t="str">
        <f>HYPERLINK("https://twitter.com/gadisresidu_b3","@gadisresidu_b3")</f>
        <v>@gadisresidu_b3</v>
      </c>
      <c r="C32547" t="s">
        <v>13605</v>
      </c>
      <c r="D32547">
        <v>1</v>
      </c>
      <c r="E32547">
        <v>2</v>
      </c>
      <c r="F32547">
        <v>1600</v>
      </c>
    </row>
    <row r="32548" spans="1:6" ht="12.75">
      <c r="A32548" s="2">
        <v>43875.449803240743</v>
      </c>
      <c r="B32548" t="str">
        <f>HYPERLINK("https://twitter.com/kembangIoyang","@kembangIoyang")</f>
        <v>@kembangIoyang</v>
      </c>
      <c r="C32548" t="s">
        <v>9021</v>
      </c>
      <c r="D32548">
        <v>168</v>
      </c>
      <c r="E32548">
        <v>0</v>
      </c>
      <c r="F32548">
        <v>5614</v>
      </c>
    </row>
    <row r="32549" spans="1:6" ht="12.75">
      <c r="A32549" s="2">
        <v>43875.449780092589</v>
      </c>
      <c r="B32549" t="str">
        <f>HYPERLINK("https://twitter.com/anto244342","@anto244342")</f>
        <v>@anto244342</v>
      </c>
      <c r="C32549" t="s">
        <v>13606</v>
      </c>
      <c r="D32549">
        <v>0</v>
      </c>
      <c r="E32549">
        <v>0</v>
      </c>
      <c r="F32549">
        <v>352</v>
      </c>
    </row>
    <row r="32550" spans="1:6" ht="12.75">
      <c r="A32550" s="2">
        <v>43875.449560185181</v>
      </c>
      <c r="B32550" t="str">
        <f>HYPERLINK("https://twitter.com/myatharva","@myatharva")</f>
        <v>@myatharva</v>
      </c>
      <c r="C32550" t="s">
        <v>13607</v>
      </c>
      <c r="D32550">
        <v>0</v>
      </c>
      <c r="E32550">
        <v>0</v>
      </c>
      <c r="F32550">
        <v>4009</v>
      </c>
    </row>
    <row r="32551" spans="1:6" ht="12.75">
      <c r="A32551" s="2">
        <v>43875.449490740742</v>
      </c>
      <c r="B32551" t="str">
        <f>HYPERLINK("https://twitter.com/yukenabila","@yukenabila")</f>
        <v>@yukenabila</v>
      </c>
      <c r="C32551" t="s">
        <v>2444</v>
      </c>
      <c r="D32551">
        <v>111</v>
      </c>
      <c r="E32551">
        <v>0</v>
      </c>
      <c r="F32551">
        <v>456</v>
      </c>
    </row>
    <row r="32552" spans="1:6" ht="12.75">
      <c r="A32552" s="2">
        <v>43875.449490740742</v>
      </c>
      <c r="B32552" t="str">
        <f>HYPERLINK("https://twitter.com/kuncipas58","@kuncipas58")</f>
        <v>@kuncipas58</v>
      </c>
      <c r="C32552" t="s">
        <v>13608</v>
      </c>
      <c r="D32552">
        <v>0</v>
      </c>
      <c r="E32552">
        <v>1</v>
      </c>
      <c r="F32552">
        <v>895</v>
      </c>
    </row>
    <row r="32553" spans="1:6" ht="12.75">
      <c r="A32553" s="2">
        <v>43875.449444444443</v>
      </c>
      <c r="B32553" t="str">
        <f>HYPERLINK("https://twitter.com/blue_facez","@blue_facez")</f>
        <v>@blue_facez</v>
      </c>
      <c r="C32553" t="s">
        <v>10096</v>
      </c>
      <c r="D32553">
        <v>86</v>
      </c>
      <c r="E32553">
        <v>0</v>
      </c>
      <c r="F32553">
        <v>1200</v>
      </c>
    </row>
    <row r="32554" spans="1:6" ht="12.75">
      <c r="A32554" s="2">
        <v>43875.449432870373</v>
      </c>
      <c r="B32554" t="str">
        <f>HYPERLINK("https://twitter.com/adwibudiawati","@adwibudiawati")</f>
        <v>@adwibudiawati</v>
      </c>
      <c r="C32554" t="s">
        <v>5168</v>
      </c>
      <c r="D32554">
        <v>498</v>
      </c>
      <c r="E32554">
        <v>0</v>
      </c>
      <c r="F32554">
        <v>320</v>
      </c>
    </row>
    <row r="32555" spans="1:6" ht="12.75">
      <c r="A32555" s="2">
        <v>43875.449374999997</v>
      </c>
      <c r="B32555" t="str">
        <f>HYPERLINK("https://twitter.com/ALUNG_ASN","@ALUNG_ASN")</f>
        <v>@ALUNG_ASN</v>
      </c>
      <c r="C32555" t="s">
        <v>7411</v>
      </c>
      <c r="D32555">
        <v>136</v>
      </c>
      <c r="E32555">
        <v>0</v>
      </c>
      <c r="F32555">
        <v>253</v>
      </c>
    </row>
    <row r="32556" spans="1:6" ht="12.75">
      <c r="A32556" s="2">
        <v>43875.449363425927</v>
      </c>
      <c r="B32556" t="str">
        <f>HYPERLINK("https://twitter.com/nessakeyy","@nessakeyy")</f>
        <v>@nessakeyy</v>
      </c>
      <c r="C32556" t="s">
        <v>175</v>
      </c>
      <c r="D32556">
        <v>5248</v>
      </c>
      <c r="E32556">
        <v>0</v>
      </c>
      <c r="F32556">
        <v>991</v>
      </c>
    </row>
    <row r="32557" spans="1:6" ht="12.75">
      <c r="A32557" s="2">
        <v>43875.449363425927</v>
      </c>
      <c r="B32557" t="str">
        <f>HYPERLINK("https://twitter.com/zefry1974","@zefry1974")</f>
        <v>@zefry1974</v>
      </c>
      <c r="C32557" t="s">
        <v>2963</v>
      </c>
      <c r="D32557">
        <v>650</v>
      </c>
      <c r="E32557">
        <v>0</v>
      </c>
      <c r="F32557">
        <v>136</v>
      </c>
    </row>
    <row r="32558" spans="1:6" ht="12.75">
      <c r="A32558" s="2">
        <v>43875.44935185185</v>
      </c>
      <c r="B32558" t="str">
        <f>HYPERLINK("https://twitter.com/Alissa_Qnada","@Alissa_Qnada")</f>
        <v>@Alissa_Qnada</v>
      </c>
      <c r="C32558" t="s">
        <v>13609</v>
      </c>
      <c r="D32558">
        <v>0</v>
      </c>
      <c r="E32558">
        <v>0</v>
      </c>
      <c r="F32558">
        <v>156</v>
      </c>
    </row>
    <row r="32559" spans="1:6" ht="12.75">
      <c r="A32559" s="2">
        <v>43875.449340277773</v>
      </c>
      <c r="B32559" t="str">
        <f>HYPERLINK("https://twitter.com/gamispendek","@gamispendek")</f>
        <v>@gamispendek</v>
      </c>
      <c r="C32559" t="s">
        <v>10196</v>
      </c>
      <c r="D32559">
        <v>136</v>
      </c>
      <c r="E32559">
        <v>0</v>
      </c>
      <c r="F32559">
        <v>26</v>
      </c>
    </row>
    <row r="32560" spans="1:6" ht="12.75">
      <c r="A32560" s="2">
        <v>43875.449293981481</v>
      </c>
      <c r="B32560" t="str">
        <f>HYPERLINK("https://twitter.com/Kadalgurun1990","@Kadalgurun1990")</f>
        <v>@Kadalgurun1990</v>
      </c>
      <c r="C32560" t="s">
        <v>13610</v>
      </c>
      <c r="D32560">
        <v>0</v>
      </c>
      <c r="E32560">
        <v>0</v>
      </c>
      <c r="F32560">
        <v>396</v>
      </c>
    </row>
    <row r="32561" spans="1:6" ht="12.75">
      <c r="A32561" s="2">
        <v>43875.449201388888</v>
      </c>
      <c r="B32561" t="str">
        <f>HYPERLINK("https://twitter.com/rifkadheas","@rifkadheas")</f>
        <v>@rifkadheas</v>
      </c>
      <c r="C32561" t="s">
        <v>2444</v>
      </c>
      <c r="D32561">
        <v>111</v>
      </c>
      <c r="E32561">
        <v>0</v>
      </c>
      <c r="F32561">
        <v>932</v>
      </c>
    </row>
    <row r="32562" spans="1:6" ht="12.75">
      <c r="A32562" s="2">
        <v>43875.449178240742</v>
      </c>
      <c r="B32562" t="str">
        <f>HYPERLINK("https://twitter.com/Stansyahalief_","@Stansyahalief_")</f>
        <v>@Stansyahalief_</v>
      </c>
      <c r="C32562" t="s">
        <v>9998</v>
      </c>
      <c r="D32562">
        <v>80</v>
      </c>
      <c r="E32562">
        <v>0</v>
      </c>
      <c r="F32562">
        <v>254</v>
      </c>
    </row>
    <row r="32563" spans="1:6" ht="12.75">
      <c r="A32563" s="2">
        <v>43875.44913194445</v>
      </c>
      <c r="B32563" t="str">
        <f>HYPERLINK("https://twitter.com/WPBergerak","@WPBergerak")</f>
        <v>@WPBergerak</v>
      </c>
      <c r="C32563" t="s">
        <v>13611</v>
      </c>
      <c r="D32563">
        <v>4</v>
      </c>
      <c r="E32563">
        <v>0</v>
      </c>
      <c r="F32563">
        <v>50</v>
      </c>
    </row>
    <row r="32564" spans="1:6" ht="12.75">
      <c r="A32564" s="2">
        <v>43875.44908564815</v>
      </c>
      <c r="B32564" t="str">
        <f>HYPERLINK("https://twitter.com/buluslg","@buluslg")</f>
        <v>@buluslg</v>
      </c>
      <c r="C32564" t="s">
        <v>13612</v>
      </c>
      <c r="D32564">
        <v>0</v>
      </c>
      <c r="E32564">
        <v>0</v>
      </c>
      <c r="F32564">
        <v>1074</v>
      </c>
    </row>
    <row r="32565" spans="1:6" ht="12.75">
      <c r="A32565" s="2">
        <v>43875.449016203704</v>
      </c>
      <c r="B32565" t="str">
        <f>HYPERLINK("https://twitter.com/aryopramudito2","@aryopramudito2")</f>
        <v>@aryopramudito2</v>
      </c>
      <c r="C32565" t="s">
        <v>10200</v>
      </c>
      <c r="D32565">
        <v>25</v>
      </c>
      <c r="E32565">
        <v>0</v>
      </c>
      <c r="F32565">
        <v>208</v>
      </c>
    </row>
    <row r="32566" spans="1:6" ht="12.75">
      <c r="A32566" s="2">
        <v>43875.449004629627</v>
      </c>
      <c r="B32566" t="str">
        <f>HYPERLINK("https://twitter.com/bayu0269136161","@bayu0269136161")</f>
        <v>@bayu0269136161</v>
      </c>
      <c r="C32566" t="s">
        <v>11637</v>
      </c>
      <c r="D32566">
        <v>1</v>
      </c>
      <c r="E32566">
        <v>0</v>
      </c>
      <c r="F32566">
        <v>192</v>
      </c>
    </row>
    <row r="32567" spans="1:6" ht="12.75">
      <c r="A32567" s="2">
        <v>43875.448993055557</v>
      </c>
      <c r="B32567" t="str">
        <f>HYPERLINK("https://twitter.com/IdNaluri","@IdNaluri")</f>
        <v>@IdNaluri</v>
      </c>
      <c r="C32567" t="s">
        <v>13613</v>
      </c>
      <c r="D32567">
        <v>0</v>
      </c>
      <c r="E32567">
        <v>0</v>
      </c>
      <c r="F32567">
        <v>5</v>
      </c>
    </row>
    <row r="32568" spans="1:6" ht="12.75">
      <c r="A32568" s="2">
        <v>43875.448969907404</v>
      </c>
      <c r="B32568" t="str">
        <f>HYPERLINK("https://twitter.com/PetanijemberNur","@PetanijemberNur")</f>
        <v>@PetanijemberNur</v>
      </c>
      <c r="C32568" t="s">
        <v>13614</v>
      </c>
      <c r="D32568">
        <v>0</v>
      </c>
      <c r="E32568">
        <v>1</v>
      </c>
      <c r="F32568">
        <v>214</v>
      </c>
    </row>
    <row r="32569" spans="1:6" ht="12.75">
      <c r="A32569" s="2">
        <v>43875.448935185181</v>
      </c>
      <c r="B32569" t="str">
        <f>HYPERLINK("https://twitter.com/bang_akbar84","@bang_akbar84")</f>
        <v>@bang_akbar84</v>
      </c>
      <c r="C32569" t="s">
        <v>13615</v>
      </c>
      <c r="D32569">
        <v>0</v>
      </c>
      <c r="E32569">
        <v>0</v>
      </c>
      <c r="F32569">
        <v>435</v>
      </c>
    </row>
    <row r="32570" spans="1:6" ht="12.75">
      <c r="A32570" s="2">
        <v>43875.448796296296</v>
      </c>
      <c r="B32570" t="str">
        <f>HYPERLINK("https://twitter.com/1hsan","@1hsan")</f>
        <v>@1hsan</v>
      </c>
      <c r="C32570" t="s">
        <v>13616</v>
      </c>
      <c r="D32570">
        <v>0</v>
      </c>
      <c r="E32570">
        <v>0</v>
      </c>
      <c r="F32570">
        <v>232</v>
      </c>
    </row>
    <row r="32571" spans="1:6" ht="12.75">
      <c r="A32571" s="2">
        <v>43875.448761574073</v>
      </c>
      <c r="B32571" t="str">
        <f>HYPERLINK("https://twitter.com/KangJokerr","@KangJokerr")</f>
        <v>@KangJokerr</v>
      </c>
      <c r="C32571" t="s">
        <v>13617</v>
      </c>
      <c r="D32571">
        <v>0</v>
      </c>
      <c r="E32571">
        <v>0</v>
      </c>
      <c r="F32571">
        <v>28</v>
      </c>
    </row>
    <row r="32572" spans="1:6" ht="12.75">
      <c r="A32572" s="2">
        <v>43875.448726851857</v>
      </c>
      <c r="B32572" t="str">
        <f>HYPERLINK("https://twitter.com/arjobardian","@arjobardian")</f>
        <v>@arjobardian</v>
      </c>
      <c r="C32572" t="s">
        <v>10552</v>
      </c>
      <c r="D32572">
        <v>478</v>
      </c>
      <c r="E32572">
        <v>0</v>
      </c>
      <c r="F32572">
        <v>2893</v>
      </c>
    </row>
    <row r="32573" spans="1:6" ht="12.75">
      <c r="A32573" s="2">
        <v>43875.44866898148</v>
      </c>
      <c r="B32573" t="str">
        <f>HYPERLINK("https://twitter.com/BobbyYoungkie","@BobbyYoungkie")</f>
        <v>@BobbyYoungkie</v>
      </c>
      <c r="C32573" t="s">
        <v>9096</v>
      </c>
      <c r="D32573">
        <v>171</v>
      </c>
      <c r="E32573">
        <v>0</v>
      </c>
      <c r="F32573">
        <v>811</v>
      </c>
    </row>
    <row r="32574" spans="1:6" ht="12.75">
      <c r="A32574" s="2">
        <v>43875.448587962965</v>
      </c>
      <c r="B32574" t="str">
        <f>HYPERLINK("https://twitter.com/ibnudona","@ibnudona")</f>
        <v>@ibnudona</v>
      </c>
      <c r="C32574" t="s">
        <v>9746</v>
      </c>
      <c r="D32574">
        <v>32</v>
      </c>
      <c r="E32574">
        <v>0</v>
      </c>
      <c r="F32574">
        <v>613</v>
      </c>
    </row>
    <row r="32575" spans="1:6" ht="12.75">
      <c r="A32575" s="2">
        <v>43875.448576388888</v>
      </c>
      <c r="B32575" t="str">
        <f>HYPERLINK("https://twitter.com/Puteriswift_","@Puteriswift_")</f>
        <v>@Puteriswift_</v>
      </c>
      <c r="C32575" t="s">
        <v>13618</v>
      </c>
      <c r="D32575">
        <v>0</v>
      </c>
      <c r="E32575">
        <v>0</v>
      </c>
      <c r="F32575">
        <v>285</v>
      </c>
    </row>
    <row r="32576" spans="1:6" ht="12.75">
      <c r="A32576" s="2">
        <v>43875.448564814811</v>
      </c>
      <c r="B32576" t="str">
        <f>HYPERLINK("https://twitter.com/FikiAma48480581","@FikiAma48480581")</f>
        <v>@FikiAma48480581</v>
      </c>
      <c r="C32576" t="s">
        <v>3412</v>
      </c>
      <c r="D32576">
        <v>1005</v>
      </c>
      <c r="E32576">
        <v>0</v>
      </c>
      <c r="F32576">
        <v>12</v>
      </c>
    </row>
    <row r="32577" spans="1:6" ht="12.75">
      <c r="A32577" s="2">
        <v>43875.448541666672</v>
      </c>
      <c r="B32577" t="str">
        <f>HYPERLINK("https://twitter.com/fadil_hs","@fadil_hs")</f>
        <v>@fadil_hs</v>
      </c>
      <c r="C32577" t="s">
        <v>2963</v>
      </c>
      <c r="D32577">
        <v>650</v>
      </c>
      <c r="E32577">
        <v>0</v>
      </c>
      <c r="F32577">
        <v>6</v>
      </c>
    </row>
    <row r="32578" spans="1:6" ht="12.75">
      <c r="A32578" s="2">
        <v>43875.448472222226</v>
      </c>
      <c r="B32578" t="str">
        <f>HYPERLINK("https://twitter.com/dusrimulya","@dusrimulya")</f>
        <v>@dusrimulya</v>
      </c>
      <c r="C32578" t="s">
        <v>13619</v>
      </c>
      <c r="D32578">
        <v>0</v>
      </c>
      <c r="E32578">
        <v>1</v>
      </c>
      <c r="F32578">
        <v>22292</v>
      </c>
    </row>
    <row r="32579" spans="1:6" ht="12.75">
      <c r="A32579" s="2">
        <v>43875.448437500003</v>
      </c>
      <c r="B32579" t="str">
        <f>HYPERLINK("https://twitter.com/SitompulYunus","@SitompulYunus")</f>
        <v>@SitompulYunus</v>
      </c>
      <c r="C32579" t="s">
        <v>13620</v>
      </c>
      <c r="D32579">
        <v>0</v>
      </c>
      <c r="E32579">
        <v>0</v>
      </c>
      <c r="F32579">
        <v>844</v>
      </c>
    </row>
    <row r="32580" spans="1:6" ht="12.75">
      <c r="A32580" s="2">
        <v>43875.448333333334</v>
      </c>
      <c r="B32580" t="str">
        <f>HYPERLINK("https://twitter.com/RizalNajib","@RizalNajib")</f>
        <v>@RizalNajib</v>
      </c>
      <c r="C32580" t="s">
        <v>2963</v>
      </c>
      <c r="D32580">
        <v>650</v>
      </c>
      <c r="E32580">
        <v>0</v>
      </c>
      <c r="F32580">
        <v>201</v>
      </c>
    </row>
    <row r="32581" spans="1:6" ht="12.75">
      <c r="A32581" s="2">
        <v>43875.44831018518</v>
      </c>
      <c r="B32581" t="str">
        <f>HYPERLINK("https://twitter.com/SuryoWijoyo5","@SuryoWijoyo5")</f>
        <v>@SuryoWijoyo5</v>
      </c>
      <c r="C32581" t="s">
        <v>11712</v>
      </c>
      <c r="D32581">
        <v>1</v>
      </c>
      <c r="E32581">
        <v>0</v>
      </c>
      <c r="F32581">
        <v>1426</v>
      </c>
    </row>
    <row r="32582" spans="1:6" ht="12.75">
      <c r="A32582" s="2">
        <v>43875.448229166665</v>
      </c>
      <c r="B32582" t="str">
        <f>HYPERLINK("https://twitter.com/iPrasojo","@iPrasojo")</f>
        <v>@iPrasojo</v>
      </c>
      <c r="C32582" t="s">
        <v>2444</v>
      </c>
      <c r="D32582">
        <v>111</v>
      </c>
      <c r="E32582">
        <v>0</v>
      </c>
      <c r="F32582">
        <v>498</v>
      </c>
    </row>
    <row r="32583" spans="1:6" ht="12.75">
      <c r="A32583" s="2">
        <v>43875.448171296295</v>
      </c>
      <c r="B32583" t="str">
        <f>HYPERLINK("https://twitter.com/rajinkuliah","@rajinkuliah")</f>
        <v>@rajinkuliah</v>
      </c>
      <c r="C32583" t="s">
        <v>5168</v>
      </c>
      <c r="D32583">
        <v>498</v>
      </c>
      <c r="E32583">
        <v>0</v>
      </c>
      <c r="F32583">
        <v>65</v>
      </c>
    </row>
    <row r="32584" spans="1:6" ht="12.75">
      <c r="A32584" s="2">
        <v>43875.448113425926</v>
      </c>
      <c r="B32584" t="str">
        <f>HYPERLINK("https://twitter.com/bagusadinatha","@bagusadinatha")</f>
        <v>@bagusadinatha</v>
      </c>
      <c r="C32584" t="s">
        <v>13621</v>
      </c>
      <c r="D32584">
        <v>0</v>
      </c>
      <c r="E32584">
        <v>0</v>
      </c>
      <c r="F32584">
        <v>688</v>
      </c>
    </row>
    <row r="32585" spans="1:6" ht="12.75">
      <c r="A32585" s="2">
        <v>43875.448009259257</v>
      </c>
      <c r="B32585" t="str">
        <f>HYPERLINK("https://twitter.com/DidinMu53631004","@DidinMu53631004")</f>
        <v>@DidinMu53631004</v>
      </c>
      <c r="C32585" t="s">
        <v>10422</v>
      </c>
      <c r="D32585">
        <v>57</v>
      </c>
      <c r="E32585">
        <v>0</v>
      </c>
      <c r="F32585">
        <v>94</v>
      </c>
    </row>
    <row r="32586" spans="1:6" ht="12.75">
      <c r="A32586" s="2">
        <v>43875.44798611111</v>
      </c>
      <c r="B32586" t="str">
        <f>HYPERLINK("https://twitter.com/EdwardMangelep","@EdwardMangelep")</f>
        <v>@EdwardMangelep</v>
      </c>
      <c r="C32586" t="s">
        <v>8233</v>
      </c>
      <c r="D32586">
        <v>337</v>
      </c>
      <c r="E32586">
        <v>0</v>
      </c>
      <c r="F32586">
        <v>16</v>
      </c>
    </row>
    <row r="32587" spans="1:6" ht="12.75">
      <c r="A32587" s="2">
        <v>43875.447835648149</v>
      </c>
      <c r="B32587" t="str">
        <f>HYPERLINK("https://twitter.com/Bjang99","@Bjang99")</f>
        <v>@Bjang99</v>
      </c>
      <c r="C32587" t="s">
        <v>2963</v>
      </c>
      <c r="D32587">
        <v>650</v>
      </c>
      <c r="E32587">
        <v>0</v>
      </c>
      <c r="F32587">
        <v>252</v>
      </c>
    </row>
    <row r="32588" spans="1:6" ht="12.75">
      <c r="A32588" s="2">
        <v>43875.447812500002</v>
      </c>
      <c r="B32588" t="str">
        <f>HYPERLINK("https://twitter.com/gerrych1","@gerrych1")</f>
        <v>@gerrych1</v>
      </c>
      <c r="C32588" t="s">
        <v>10802</v>
      </c>
      <c r="D32588">
        <v>485</v>
      </c>
      <c r="E32588">
        <v>0</v>
      </c>
      <c r="F32588">
        <v>10</v>
      </c>
    </row>
    <row r="32589" spans="1:6" ht="12.75">
      <c r="A32589" s="2">
        <v>43875.447766203702</v>
      </c>
      <c r="B32589" t="str">
        <f>HYPERLINK("https://twitter.com/fryahya","@fryahya")</f>
        <v>@fryahya</v>
      </c>
      <c r="C32589" t="s">
        <v>8252</v>
      </c>
      <c r="D32589">
        <v>489</v>
      </c>
      <c r="E32589">
        <v>0</v>
      </c>
      <c r="F32589">
        <v>1088</v>
      </c>
    </row>
    <row r="32590" spans="1:6" ht="12.75">
      <c r="A32590" s="2">
        <v>43875.447766203702</v>
      </c>
      <c r="B32590" t="str">
        <f>HYPERLINK("https://twitter.com/radiomercury96","@radiomercury96")</f>
        <v>@radiomercury96</v>
      </c>
      <c r="C32590" t="s">
        <v>13622</v>
      </c>
      <c r="D32590">
        <v>0</v>
      </c>
      <c r="E32590">
        <v>0</v>
      </c>
      <c r="F32590">
        <v>1139</v>
      </c>
    </row>
    <row r="32591" spans="1:6" ht="12.75">
      <c r="A32591" s="2">
        <v>43875.447743055556</v>
      </c>
      <c r="B32591" t="str">
        <f>HYPERLINK("https://twitter.com/jaehyonz","@jaehyonz")</f>
        <v>@jaehyonz</v>
      </c>
      <c r="C32591" t="s">
        <v>2444</v>
      </c>
      <c r="D32591">
        <v>111</v>
      </c>
      <c r="E32591">
        <v>0</v>
      </c>
      <c r="F32591">
        <v>403</v>
      </c>
    </row>
    <row r="32592" spans="1:6" ht="12.75">
      <c r="A32592" s="2">
        <v>43875.447708333333</v>
      </c>
      <c r="B32592" t="str">
        <f>HYPERLINK("https://twitter.com/angga_ramdhana","@angga_ramdhana")</f>
        <v>@angga_ramdhana</v>
      </c>
      <c r="C32592" t="s">
        <v>13623</v>
      </c>
      <c r="D32592">
        <v>0</v>
      </c>
      <c r="E32592">
        <v>0</v>
      </c>
      <c r="F32592">
        <v>334</v>
      </c>
    </row>
    <row r="32593" spans="1:6" ht="12.75">
      <c r="A32593" s="2">
        <v>43875.447662037041</v>
      </c>
      <c r="B32593" t="str">
        <f>HYPERLINK("https://twitter.com/adambutterman","@adambutterman")</f>
        <v>@adambutterman</v>
      </c>
      <c r="C32593" t="s">
        <v>2963</v>
      </c>
      <c r="D32593">
        <v>650</v>
      </c>
      <c r="E32593">
        <v>0</v>
      </c>
      <c r="F32593">
        <v>264</v>
      </c>
    </row>
    <row r="32594" spans="1:6" ht="12.75">
      <c r="A32594" s="2">
        <v>43875.447638888887</v>
      </c>
      <c r="B32594" t="str">
        <f>HYPERLINK("https://twitter.com/Widipooh","@Widipooh")</f>
        <v>@Widipooh</v>
      </c>
      <c r="C32594" t="s">
        <v>5168</v>
      </c>
      <c r="D32594">
        <v>498</v>
      </c>
      <c r="E32594">
        <v>0</v>
      </c>
      <c r="F32594">
        <v>528</v>
      </c>
    </row>
    <row r="32595" spans="1:6" ht="12.75">
      <c r="A32595" s="2">
        <v>43875.447604166664</v>
      </c>
      <c r="B32595" t="str">
        <f>HYPERLINK("https://twitter.com/__Ndaru__","@__Ndaru__")</f>
        <v>@__Ndaru__</v>
      </c>
      <c r="C32595" t="s">
        <v>13624</v>
      </c>
      <c r="D32595">
        <v>1</v>
      </c>
      <c r="E32595">
        <v>0</v>
      </c>
      <c r="F32595">
        <v>317</v>
      </c>
    </row>
    <row r="32596" spans="1:6" ht="12.75">
      <c r="A32596" s="2">
        <v>43875.447430555556</v>
      </c>
      <c r="B32596" t="str">
        <f t="shared" ref="B32596:B32597" si="387">HYPERLINK("https://twitter.com/OmGadunz","@OmGadunz")</f>
        <v>@OmGadunz</v>
      </c>
      <c r="C32596" t="s">
        <v>6771</v>
      </c>
      <c r="D32596">
        <v>77</v>
      </c>
      <c r="E32596">
        <v>0</v>
      </c>
      <c r="F32596">
        <v>344</v>
      </c>
    </row>
    <row r="32597" spans="1:6" ht="12.75">
      <c r="A32597" s="2">
        <v>43875.447395833333</v>
      </c>
      <c r="B32597" t="str">
        <f t="shared" si="387"/>
        <v>@OmGadunz</v>
      </c>
      <c r="C32597" t="s">
        <v>11368</v>
      </c>
      <c r="D32597">
        <v>74</v>
      </c>
      <c r="E32597">
        <v>0</v>
      </c>
      <c r="F32597">
        <v>344</v>
      </c>
    </row>
    <row r="32598" spans="1:6" ht="12.75">
      <c r="A32598" s="2">
        <v>43875.447349537033</v>
      </c>
      <c r="B32598" t="str">
        <f>HYPERLINK("https://twitter.com/nutabah05","@nutabah05")</f>
        <v>@nutabah05</v>
      </c>
      <c r="C32598" t="s">
        <v>13625</v>
      </c>
      <c r="D32598">
        <v>0</v>
      </c>
      <c r="E32598">
        <v>0</v>
      </c>
      <c r="F32598">
        <v>142</v>
      </c>
    </row>
    <row r="32599" spans="1:6" ht="12.75">
      <c r="A32599" s="2">
        <v>43875.44730324074</v>
      </c>
      <c r="B32599" t="str">
        <f>HYPERLINK("https://twitter.com/indradinisaput1","@indradinisaput1")</f>
        <v>@indradinisaput1</v>
      </c>
      <c r="C32599" t="s">
        <v>12044</v>
      </c>
      <c r="D32599">
        <v>41</v>
      </c>
      <c r="E32599">
        <v>0</v>
      </c>
      <c r="F32599">
        <v>12</v>
      </c>
    </row>
    <row r="32600" spans="1:6" ht="12.75">
      <c r="A32600" s="2">
        <v>43875.447222222225</v>
      </c>
      <c r="B32600" t="str">
        <f>HYPERLINK("https://twitter.com/newsmerahputih","@newsmerahputih")</f>
        <v>@newsmerahputih</v>
      </c>
      <c r="C32600" t="s">
        <v>13626</v>
      </c>
      <c r="D32600">
        <v>0</v>
      </c>
      <c r="E32600">
        <v>0</v>
      </c>
      <c r="F32600">
        <v>8746</v>
      </c>
    </row>
    <row r="32601" spans="1:6" ht="12.75">
      <c r="A32601" s="2">
        <v>43875.447210648148</v>
      </c>
      <c r="B32601" t="str">
        <f>HYPERLINK("https://twitter.com/dusrimulya","@dusrimulya")</f>
        <v>@dusrimulya</v>
      </c>
      <c r="C32601" t="s">
        <v>13627</v>
      </c>
      <c r="D32601">
        <v>1</v>
      </c>
      <c r="E32601">
        <v>1</v>
      </c>
      <c r="F32601">
        <v>22292</v>
      </c>
    </row>
    <row r="32602" spans="1:6" ht="12.75">
      <c r="A32602" s="2">
        <v>43875.447152777779</v>
      </c>
      <c r="B32602" t="str">
        <f>HYPERLINK("https://twitter.com/asamarpaung","@asamarpaung")</f>
        <v>@asamarpaung</v>
      </c>
      <c r="C32602" t="s">
        <v>2963</v>
      </c>
      <c r="D32602">
        <v>650</v>
      </c>
      <c r="E32602">
        <v>0</v>
      </c>
      <c r="F32602">
        <v>215</v>
      </c>
    </row>
    <row r="32603" spans="1:6" ht="12.75">
      <c r="A32603" s="2">
        <v>43875.447106481486</v>
      </c>
      <c r="B32603" t="str">
        <f>HYPERLINK("https://twitter.com/arinulet","@arinulet")</f>
        <v>@arinulet</v>
      </c>
      <c r="C32603" t="s">
        <v>2444</v>
      </c>
      <c r="D32603">
        <v>111</v>
      </c>
      <c r="E32603">
        <v>0</v>
      </c>
      <c r="F32603">
        <v>69</v>
      </c>
    </row>
    <row r="32604" spans="1:6" ht="12.75">
      <c r="A32604" s="2">
        <v>43875.447071759263</v>
      </c>
      <c r="B32604" t="str">
        <f>HYPERLINK("https://twitter.com/eotari50_","@eotari50_")</f>
        <v>@eotari50_</v>
      </c>
      <c r="C32604" t="s">
        <v>2963</v>
      </c>
      <c r="D32604">
        <v>650</v>
      </c>
      <c r="E32604">
        <v>0</v>
      </c>
      <c r="F32604">
        <v>92</v>
      </c>
    </row>
    <row r="32605" spans="1:6" ht="12.75">
      <c r="A32605" s="2">
        <v>43875.447071759263</v>
      </c>
      <c r="B32605" t="str">
        <f>HYPERLINK("https://twitter.com/imreadyfor7","@imreadyfor7")</f>
        <v>@imreadyfor7</v>
      </c>
      <c r="C32605" t="s">
        <v>2444</v>
      </c>
      <c r="D32605">
        <v>111</v>
      </c>
      <c r="E32605">
        <v>0</v>
      </c>
      <c r="F32605">
        <v>167</v>
      </c>
    </row>
    <row r="32606" spans="1:6" ht="12.75">
      <c r="A32606" s="2">
        <v>43875.447060185186</v>
      </c>
      <c r="B32606" t="str">
        <f>HYPERLINK("https://twitter.com/hidayatunacom","@hidayatunacom")</f>
        <v>@hidayatunacom</v>
      </c>
      <c r="C32606" t="s">
        <v>13628</v>
      </c>
      <c r="D32606">
        <v>0</v>
      </c>
      <c r="E32606">
        <v>0</v>
      </c>
      <c r="F32606">
        <v>466</v>
      </c>
    </row>
    <row r="32607" spans="1:6" ht="12.75">
      <c r="A32607" s="2">
        <v>43875.44703703704</v>
      </c>
      <c r="B32607" t="str">
        <f>HYPERLINK("https://twitter.com/narkobars","@narkobars")</f>
        <v>@narkobars</v>
      </c>
      <c r="C32607" t="s">
        <v>13629</v>
      </c>
      <c r="D32607">
        <v>0</v>
      </c>
      <c r="E32607">
        <v>0</v>
      </c>
      <c r="F32607">
        <v>2074</v>
      </c>
    </row>
    <row r="32608" spans="1:6" ht="12.75">
      <c r="A32608" s="2">
        <v>43875.447002314817</v>
      </c>
      <c r="B32608" t="str">
        <f>HYPERLINK("https://twitter.com/RadioElshinta","@RadioElshinta")</f>
        <v>@RadioElshinta</v>
      </c>
      <c r="C32608" t="s">
        <v>13630</v>
      </c>
      <c r="D32608">
        <v>1</v>
      </c>
      <c r="E32608">
        <v>1</v>
      </c>
      <c r="F32608">
        <v>3633715</v>
      </c>
    </row>
    <row r="32609" spans="1:6" ht="12.75">
      <c r="A32609" s="2">
        <v>43875.446782407409</v>
      </c>
      <c r="B32609" t="str">
        <f>HYPERLINK("https://twitter.com/frans_munthe29","@frans_munthe29")</f>
        <v>@frans_munthe29</v>
      </c>
      <c r="C32609" t="s">
        <v>12845</v>
      </c>
      <c r="D32609">
        <v>38</v>
      </c>
      <c r="E32609">
        <v>0</v>
      </c>
      <c r="F32609">
        <v>972</v>
      </c>
    </row>
    <row r="32610" spans="1:6" ht="12.75">
      <c r="A32610" s="2">
        <v>43875.446712962963</v>
      </c>
      <c r="B32610" t="str">
        <f>HYPERLINK("https://twitter.com/dhik_A_kihd","@dhik_A_kihd")</f>
        <v>@dhik_A_kihd</v>
      </c>
      <c r="C32610" t="s">
        <v>11460</v>
      </c>
      <c r="D32610">
        <v>15</v>
      </c>
      <c r="E32610">
        <v>0</v>
      </c>
      <c r="F32610">
        <v>226</v>
      </c>
    </row>
    <row r="32611" spans="1:6" ht="12.75">
      <c r="A32611" s="2">
        <v>43875.446701388893</v>
      </c>
      <c r="B32611" t="str">
        <f>HYPERLINK("https://twitter.com/abespawnie","@abespawnie")</f>
        <v>@abespawnie</v>
      </c>
      <c r="C32611" t="s">
        <v>10319</v>
      </c>
      <c r="D32611">
        <v>150</v>
      </c>
      <c r="E32611">
        <v>0</v>
      </c>
      <c r="F32611">
        <v>301</v>
      </c>
    </row>
    <row r="32612" spans="1:6" ht="12.75">
      <c r="A32612" s="2">
        <v>43875.446643518517</v>
      </c>
      <c r="B32612" t="str">
        <f>HYPERLINK("https://twitter.com/Aksphmm","@Aksphmm")</f>
        <v>@Aksphmm</v>
      </c>
      <c r="C32612" t="s">
        <v>13631</v>
      </c>
      <c r="D32612">
        <v>2</v>
      </c>
      <c r="E32612">
        <v>0</v>
      </c>
      <c r="F32612">
        <v>2143</v>
      </c>
    </row>
    <row r="32613" spans="1:6" ht="12.75">
      <c r="A32613" s="2">
        <v>43875.446597222224</v>
      </c>
      <c r="B32613" t="str">
        <f>HYPERLINK("https://twitter.com/masuksurga_","@masuksurga_")</f>
        <v>@masuksurga_</v>
      </c>
      <c r="C32613" t="s">
        <v>8233</v>
      </c>
      <c r="D32613">
        <v>337</v>
      </c>
      <c r="E32613">
        <v>0</v>
      </c>
      <c r="F32613">
        <v>96</v>
      </c>
    </row>
    <row r="32614" spans="1:6" ht="12.75">
      <c r="A32614" s="2">
        <v>43875.446539351848</v>
      </c>
      <c r="B32614" t="str">
        <f>HYPERLINK("https://twitter.com/dusrimulya","@dusrimulya")</f>
        <v>@dusrimulya</v>
      </c>
      <c r="C32614" t="s">
        <v>13632</v>
      </c>
      <c r="D32614">
        <v>0</v>
      </c>
      <c r="E32614">
        <v>1</v>
      </c>
      <c r="F32614">
        <v>22292</v>
      </c>
    </row>
    <row r="32615" spans="1:6" ht="12.75">
      <c r="A32615" s="2">
        <v>43875.446481481486</v>
      </c>
      <c r="B32615" t="str">
        <f>HYPERLINK("https://twitter.com/yozbaonk22","@yozbaonk22")</f>
        <v>@yozbaonk22</v>
      </c>
      <c r="C32615" t="s">
        <v>13532</v>
      </c>
      <c r="D32615">
        <v>6</v>
      </c>
      <c r="E32615">
        <v>0</v>
      </c>
      <c r="F32615">
        <v>637</v>
      </c>
    </row>
    <row r="32616" spans="1:6" ht="12.75">
      <c r="A32616" s="2">
        <v>43875.446400462963</v>
      </c>
      <c r="B32616" t="str">
        <f>HYPERLINK("https://twitter.com/jinscerely","@jinscerely")</f>
        <v>@jinscerely</v>
      </c>
      <c r="C32616" t="s">
        <v>13633</v>
      </c>
      <c r="D32616">
        <v>0</v>
      </c>
      <c r="E32616">
        <v>0</v>
      </c>
      <c r="F32616">
        <v>372</v>
      </c>
    </row>
    <row r="32617" spans="1:6" ht="12.75">
      <c r="A32617" s="2">
        <v>43875.446377314816</v>
      </c>
      <c r="B32617" t="str">
        <f>HYPERLINK("https://twitter.com/nessakeyy","@nessakeyy")</f>
        <v>@nessakeyy</v>
      </c>
      <c r="C32617" t="s">
        <v>13634</v>
      </c>
      <c r="D32617">
        <v>30</v>
      </c>
      <c r="E32617">
        <v>0</v>
      </c>
      <c r="F32617">
        <v>991</v>
      </c>
    </row>
    <row r="32618" spans="1:6" ht="12.75">
      <c r="A32618" s="2">
        <v>43875.44636574074</v>
      </c>
      <c r="B32618" t="str">
        <f>HYPERLINK("https://twitter.com/Nkrikuindonesi8","@Nkrikuindonesi8")</f>
        <v>@Nkrikuindonesi8</v>
      </c>
      <c r="C32618" t="s">
        <v>2963</v>
      </c>
      <c r="D32618">
        <v>650</v>
      </c>
      <c r="E32618">
        <v>0</v>
      </c>
      <c r="F32618">
        <v>131</v>
      </c>
    </row>
    <row r="32619" spans="1:6" ht="12.75">
      <c r="A32619" s="2">
        <v>43875.446180555555</v>
      </c>
      <c r="B32619" t="str">
        <f>HYPERLINK("https://twitter.com/sunankaliblanak","@sunankaliblanak")</f>
        <v>@sunankaliblanak</v>
      </c>
      <c r="C32619" t="s">
        <v>10295</v>
      </c>
      <c r="D32619">
        <v>88</v>
      </c>
      <c r="E32619">
        <v>0</v>
      </c>
      <c r="F32619">
        <v>387</v>
      </c>
    </row>
    <row r="32620" spans="1:6" ht="12.75">
      <c r="A32620" s="2">
        <v>43875.446122685185</v>
      </c>
      <c r="B32620" t="str">
        <f>HYPERLINK("https://twitter.com/Calpacl1","@Calpacl1")</f>
        <v>@Calpacl1</v>
      </c>
      <c r="C32620" t="s">
        <v>2963</v>
      </c>
      <c r="D32620">
        <v>650</v>
      </c>
      <c r="E32620">
        <v>0</v>
      </c>
      <c r="F32620">
        <v>0</v>
      </c>
    </row>
    <row r="32621" spans="1:6" ht="12.75">
      <c r="A32621" s="2">
        <v>43875.446087962962</v>
      </c>
      <c r="B32621" t="str">
        <f>HYPERLINK("https://twitter.com/UngeAgatha","@UngeAgatha")</f>
        <v>@UngeAgatha</v>
      </c>
      <c r="C32621" t="s">
        <v>13635</v>
      </c>
      <c r="D32621">
        <v>0</v>
      </c>
      <c r="E32621">
        <v>0</v>
      </c>
      <c r="F32621">
        <v>107</v>
      </c>
    </row>
    <row r="32622" spans="1:6" ht="12.75">
      <c r="A32622" s="2">
        <v>43875.446053240739</v>
      </c>
      <c r="B32622" t="str">
        <f>HYPERLINK("https://twitter.com/ZweiSusanto","@ZweiSusanto")</f>
        <v>@ZweiSusanto</v>
      </c>
      <c r="C32622" t="s">
        <v>11292</v>
      </c>
      <c r="D32622">
        <v>1</v>
      </c>
      <c r="E32622">
        <v>0</v>
      </c>
      <c r="F32622">
        <v>183</v>
      </c>
    </row>
    <row r="32623" spans="1:6" ht="12.75">
      <c r="A32623" s="2">
        <v>43875.445937500001</v>
      </c>
      <c r="B32623" t="str">
        <f>HYPERLINK("https://twitter.com/mustxco2470","@mustxco2470")</f>
        <v>@mustxco2470</v>
      </c>
      <c r="C32623" t="s">
        <v>7390</v>
      </c>
      <c r="D32623">
        <v>85</v>
      </c>
      <c r="E32623">
        <v>0</v>
      </c>
      <c r="F32623">
        <v>115</v>
      </c>
    </row>
    <row r="32624" spans="1:6" ht="12.75">
      <c r="A32624" s="2">
        <v>43875.445914351847</v>
      </c>
      <c r="B32624" t="str">
        <f>HYPERLINK("https://twitter.com/NKRIdiberkati","@NKRIdiberkati")</f>
        <v>@NKRIdiberkati</v>
      </c>
      <c r="C32624" t="s">
        <v>13636</v>
      </c>
      <c r="D32624">
        <v>0</v>
      </c>
      <c r="E32624">
        <v>0</v>
      </c>
      <c r="F32624">
        <v>240</v>
      </c>
    </row>
    <row r="32625" spans="1:6" ht="12.75">
      <c r="A32625" s="2">
        <v>43875.445879629631</v>
      </c>
      <c r="B32625" t="str">
        <f>HYPERLINK("https://twitter.com/_wni_","@_wni_")</f>
        <v>@_wni_</v>
      </c>
      <c r="C32625" t="s">
        <v>13637</v>
      </c>
      <c r="D32625">
        <v>0</v>
      </c>
      <c r="E32625">
        <v>0</v>
      </c>
      <c r="F32625">
        <v>8</v>
      </c>
    </row>
    <row r="32626" spans="1:6" ht="12.75">
      <c r="A32626" s="2">
        <v>43875.445868055554</v>
      </c>
      <c r="B32626" t="str">
        <f>HYPERLINK("https://twitter.com/angedespoir5","@angedespoir5")</f>
        <v>@angedespoir5</v>
      </c>
      <c r="C32626" t="s">
        <v>13638</v>
      </c>
      <c r="D32626">
        <v>1</v>
      </c>
      <c r="E32626">
        <v>0</v>
      </c>
      <c r="F32626">
        <v>4917</v>
      </c>
    </row>
    <row r="32627" spans="1:6" ht="12.75">
      <c r="A32627" s="2">
        <v>43875.445694444439</v>
      </c>
      <c r="B32627" t="str">
        <f>HYPERLINK("https://twitter.com/doyokijay","@doyokijay")</f>
        <v>@doyokijay</v>
      </c>
      <c r="C32627" t="s">
        <v>13639</v>
      </c>
      <c r="D32627">
        <v>4</v>
      </c>
      <c r="E32627">
        <v>0</v>
      </c>
      <c r="F32627">
        <v>305</v>
      </c>
    </row>
    <row r="32628" spans="1:6" ht="12.75">
      <c r="A32628" s="2">
        <v>43875.445659722223</v>
      </c>
      <c r="B32628" t="str">
        <f>HYPERLINK("https://twitter.com/TantePaku","@TantePaku")</f>
        <v>@TantePaku</v>
      </c>
      <c r="C32628" t="s">
        <v>13640</v>
      </c>
      <c r="D32628">
        <v>0</v>
      </c>
      <c r="E32628">
        <v>0</v>
      </c>
      <c r="F32628">
        <v>2520</v>
      </c>
    </row>
    <row r="32629" spans="1:6" ht="12.75">
      <c r="A32629" s="2">
        <v>43875.445567129631</v>
      </c>
      <c r="B32629" t="str">
        <f>HYPERLINK("https://twitter.com/nasyfahreza","@nasyfahreza")</f>
        <v>@nasyfahreza</v>
      </c>
      <c r="C32629" t="s">
        <v>13641</v>
      </c>
      <c r="D32629">
        <v>1</v>
      </c>
      <c r="E32629">
        <v>2</v>
      </c>
      <c r="F32629">
        <v>1075</v>
      </c>
    </row>
    <row r="32630" spans="1:6" ht="12.75">
      <c r="A32630" s="2">
        <v>43875.445543981477</v>
      </c>
      <c r="B32630" t="str">
        <f>HYPERLINK("https://twitter.com/Antara_Kalteng","@Antara_Kalteng")</f>
        <v>@Antara_Kalteng</v>
      </c>
      <c r="C32630" t="s">
        <v>13642</v>
      </c>
      <c r="D32630">
        <v>0</v>
      </c>
      <c r="E32630">
        <v>0</v>
      </c>
      <c r="F32630">
        <v>4631</v>
      </c>
    </row>
    <row r="32631" spans="1:6" ht="12.75">
      <c r="A32631" s="2">
        <v>43875.445532407408</v>
      </c>
      <c r="B32631" t="str">
        <f>HYPERLINK("https://twitter.com/sopansantun55","@sopansantun55")</f>
        <v>@sopansantun55</v>
      </c>
      <c r="C32631" t="s">
        <v>7390</v>
      </c>
      <c r="D32631">
        <v>85</v>
      </c>
      <c r="E32631">
        <v>0</v>
      </c>
      <c r="F32631">
        <v>510</v>
      </c>
    </row>
    <row r="32632" spans="1:6" ht="12.75">
      <c r="A32632" s="2">
        <v>43875.445509259254</v>
      </c>
      <c r="B32632" t="str">
        <f>HYPERLINK("https://twitter.com/AntyJust","@AntyJust")</f>
        <v>@AntyJust</v>
      </c>
      <c r="C32632" t="s">
        <v>10407</v>
      </c>
      <c r="D32632">
        <v>40</v>
      </c>
      <c r="E32632">
        <v>0</v>
      </c>
      <c r="F32632">
        <v>139</v>
      </c>
    </row>
    <row r="32633" spans="1:6" ht="12.75">
      <c r="A32633" s="2">
        <v>43875.445486111115</v>
      </c>
      <c r="B32633" t="str">
        <f>HYPERLINK("https://twitter.com/ErickJembi","@ErickJembi")</f>
        <v>@ErickJembi</v>
      </c>
      <c r="C32633" t="s">
        <v>13643</v>
      </c>
      <c r="D32633">
        <v>0</v>
      </c>
      <c r="E32633">
        <v>0</v>
      </c>
      <c r="F32633">
        <v>140</v>
      </c>
    </row>
    <row r="32634" spans="1:6" ht="12.75">
      <c r="A32634" s="2">
        <v>43875.445428240739</v>
      </c>
      <c r="B32634" t="str">
        <f>HYPERLINK("https://twitter.com/el2andi","@el2andi")</f>
        <v>@el2andi</v>
      </c>
      <c r="C32634" t="s">
        <v>9096</v>
      </c>
      <c r="D32634">
        <v>171</v>
      </c>
      <c r="E32634">
        <v>0</v>
      </c>
      <c r="F32634">
        <v>113</v>
      </c>
    </row>
    <row r="32635" spans="1:6" ht="12.75">
      <c r="A32635" s="2">
        <v>43875.44530092593</v>
      </c>
      <c r="B32635" t="str">
        <f>HYPERLINK("https://twitter.com/baejimeongi","@baejimeongi")</f>
        <v>@baejimeongi</v>
      </c>
      <c r="C32635" t="s">
        <v>5168</v>
      </c>
      <c r="D32635">
        <v>498</v>
      </c>
      <c r="E32635">
        <v>0</v>
      </c>
      <c r="F32635">
        <v>272</v>
      </c>
    </row>
    <row r="32636" spans="1:6" ht="12.75">
      <c r="A32636" s="2">
        <v>43875.44530092593</v>
      </c>
      <c r="B32636" t="str">
        <f>HYPERLINK("https://twitter.com/r_pranoto","@r_pranoto")</f>
        <v>@r_pranoto</v>
      </c>
      <c r="C32636" t="s">
        <v>2144</v>
      </c>
      <c r="D32636">
        <v>52</v>
      </c>
      <c r="E32636">
        <v>0</v>
      </c>
      <c r="F32636">
        <v>129</v>
      </c>
    </row>
    <row r="32637" spans="1:6" ht="12.75">
      <c r="A32637" s="2">
        <v>43875.445289351846</v>
      </c>
      <c r="B32637" t="str">
        <f>HYPERLINK("https://twitter.com/dusrimulya","@dusrimulya")</f>
        <v>@dusrimulya</v>
      </c>
      <c r="C32637" t="s">
        <v>13644</v>
      </c>
      <c r="D32637">
        <v>1</v>
      </c>
      <c r="E32637">
        <v>2</v>
      </c>
      <c r="F32637">
        <v>22292</v>
      </c>
    </row>
    <row r="32638" spans="1:6" ht="12.75">
      <c r="A32638" s="2">
        <v>43875.445289351846</v>
      </c>
      <c r="B32638" t="str">
        <f>HYPERLINK("https://twitter.com/dienaboo","@dienaboo")</f>
        <v>@dienaboo</v>
      </c>
      <c r="C32638" t="s">
        <v>5168</v>
      </c>
      <c r="D32638">
        <v>498</v>
      </c>
      <c r="E32638">
        <v>0</v>
      </c>
      <c r="F32638">
        <v>677</v>
      </c>
    </row>
    <row r="32639" spans="1:6" ht="12.75">
      <c r="A32639" s="2">
        <v>43875.445266203707</v>
      </c>
      <c r="B32639" t="str">
        <f>HYPERLINK("https://twitter.com/milesbark1","@milesbark1")</f>
        <v>@milesbark1</v>
      </c>
      <c r="C32639" t="s">
        <v>13645</v>
      </c>
      <c r="D32639">
        <v>0</v>
      </c>
      <c r="E32639">
        <v>0</v>
      </c>
      <c r="F32639">
        <v>82</v>
      </c>
    </row>
    <row r="32640" spans="1:6" ht="12.75">
      <c r="A32640" s="2">
        <v>43875.445196759261</v>
      </c>
      <c r="B32640" t="str">
        <f>HYPERLINK("https://twitter.com/HarrysHilbert","@HarrysHilbert")</f>
        <v>@HarrysHilbert</v>
      </c>
      <c r="C32640" t="s">
        <v>2963</v>
      </c>
      <c r="D32640">
        <v>651</v>
      </c>
      <c r="E32640">
        <v>0</v>
      </c>
      <c r="F32640">
        <v>410</v>
      </c>
    </row>
    <row r="32641" spans="1:6" ht="12.75">
      <c r="A32641" s="2">
        <v>43875.445104166662</v>
      </c>
      <c r="B32641" t="str">
        <f>HYPERLINK("https://twitter.com/kochengty99","@kochengty99")</f>
        <v>@kochengty99</v>
      </c>
      <c r="C32641" t="s">
        <v>13646</v>
      </c>
      <c r="D32641">
        <v>0</v>
      </c>
      <c r="E32641">
        <v>0</v>
      </c>
      <c r="F32641">
        <v>450</v>
      </c>
    </row>
    <row r="32642" spans="1:6" ht="12.75">
      <c r="A32642" s="2">
        <v>43875.44458333333</v>
      </c>
      <c r="B32642" t="str">
        <f>HYPERLINK("https://twitter.com/zlametabidin","@zlametabidin")</f>
        <v>@zlametabidin</v>
      </c>
      <c r="C32642" t="s">
        <v>13647</v>
      </c>
      <c r="D32642">
        <v>1</v>
      </c>
      <c r="E32642">
        <v>1</v>
      </c>
      <c r="F32642">
        <v>1769</v>
      </c>
    </row>
    <row r="32643" spans="1:6" ht="12.75">
      <c r="A32643" s="2">
        <v>43875.444571759261</v>
      </c>
      <c r="B32643" t="str">
        <f>HYPERLINK("https://twitter.com/arfibambani","@arfibambani")</f>
        <v>@arfibambani</v>
      </c>
      <c r="C32643" t="s">
        <v>13648</v>
      </c>
      <c r="D32643">
        <v>0</v>
      </c>
      <c r="E32643">
        <v>0</v>
      </c>
      <c r="F32643">
        <v>8002</v>
      </c>
    </row>
    <row r="32644" spans="1:6" ht="12.75">
      <c r="A32644" s="2">
        <v>43875.444513888884</v>
      </c>
      <c r="B32644" t="str">
        <f>HYPERLINK("https://twitter.com/esskriim","@esskriim")</f>
        <v>@esskriim</v>
      </c>
      <c r="C32644" t="s">
        <v>2963</v>
      </c>
      <c r="D32644">
        <v>651</v>
      </c>
      <c r="E32644">
        <v>0</v>
      </c>
      <c r="F32644">
        <v>558</v>
      </c>
    </row>
    <row r="32645" spans="1:6" ht="12.75">
      <c r="A32645" s="2">
        <v>43875.444467592592</v>
      </c>
      <c r="B32645" t="str">
        <f>HYPERLINK("https://twitter.com/hheralterego","@hheralterego")</f>
        <v>@hheralterego</v>
      </c>
      <c r="C32645" t="s">
        <v>2137</v>
      </c>
      <c r="D32645">
        <v>41</v>
      </c>
      <c r="E32645">
        <v>0</v>
      </c>
      <c r="F32645">
        <v>1185</v>
      </c>
    </row>
    <row r="32646" spans="1:6" ht="12.75">
      <c r="A32646" s="2">
        <v>43875.444456018522</v>
      </c>
      <c r="B32646" t="str">
        <f>HYPERLINK("https://twitter.com/Rahman_Nashir","@Rahman_Nashir")</f>
        <v>@Rahman_Nashir</v>
      </c>
      <c r="C32646" t="s">
        <v>74</v>
      </c>
      <c r="D32646">
        <v>0</v>
      </c>
      <c r="E32646">
        <v>0</v>
      </c>
      <c r="F32646">
        <v>2926</v>
      </c>
    </row>
    <row r="32647" spans="1:6" ht="12.75">
      <c r="A32647" s="2">
        <v>43875.44430555556</v>
      </c>
      <c r="B32647" t="str">
        <f>HYPERLINK("https://twitter.com/winarto_sarsidi","@winarto_sarsidi")</f>
        <v>@winarto_sarsidi</v>
      </c>
      <c r="C32647" t="s">
        <v>9538</v>
      </c>
      <c r="D32647">
        <v>115</v>
      </c>
      <c r="E32647">
        <v>0</v>
      </c>
      <c r="F32647">
        <v>4778</v>
      </c>
    </row>
    <row r="32648" spans="1:6" ht="12.75">
      <c r="A32648" s="2">
        <v>43875.44425925926</v>
      </c>
      <c r="B32648" t="str">
        <f>HYPERLINK("https://twitter.com/whysato2","@whysato2")</f>
        <v>@whysato2</v>
      </c>
      <c r="C32648" t="s">
        <v>9538</v>
      </c>
      <c r="D32648">
        <v>115</v>
      </c>
      <c r="E32648">
        <v>0</v>
      </c>
      <c r="F32648">
        <v>748</v>
      </c>
    </row>
    <row r="32649" spans="1:6" ht="12.75">
      <c r="A32649" s="2">
        <v>43875.444120370375</v>
      </c>
      <c r="B32649" t="str">
        <f>HYPERLINK("https://twitter.com/MuhamadLuchika2","@MuhamadLuchika2")</f>
        <v>@MuhamadLuchika2</v>
      </c>
      <c r="C32649" t="s">
        <v>13649</v>
      </c>
      <c r="D32649">
        <v>0</v>
      </c>
      <c r="E32649">
        <v>0</v>
      </c>
      <c r="F32649">
        <v>0</v>
      </c>
    </row>
    <row r="32650" spans="1:6" ht="12.75">
      <c r="A32650" s="2">
        <v>43875.444097222222</v>
      </c>
      <c r="B32650" t="str">
        <f>HYPERLINK("https://twitter.com/blackswan218","@blackswan218")</f>
        <v>@blackswan218</v>
      </c>
      <c r="C32650" t="s">
        <v>13650</v>
      </c>
      <c r="D32650">
        <v>0</v>
      </c>
      <c r="E32650">
        <v>0</v>
      </c>
      <c r="F32650">
        <v>761</v>
      </c>
    </row>
    <row r="32651" spans="1:6" ht="12.75">
      <c r="A32651" s="2">
        <v>43875.444050925929</v>
      </c>
      <c r="B32651" t="str">
        <f>HYPERLINK("https://twitter.com/aldotamaela","@aldotamaela")</f>
        <v>@aldotamaela</v>
      </c>
      <c r="C32651" t="s">
        <v>2444</v>
      </c>
      <c r="D32651">
        <v>111</v>
      </c>
      <c r="E32651">
        <v>0</v>
      </c>
      <c r="F32651">
        <v>51</v>
      </c>
    </row>
    <row r="32652" spans="1:6" ht="12.75">
      <c r="A32652" s="2">
        <v>43875.443831018521</v>
      </c>
      <c r="B32652" t="str">
        <f>HYPERLINK("https://twitter.com/madejyotama","@madejyotama")</f>
        <v>@madejyotama</v>
      </c>
      <c r="C32652" t="s">
        <v>2444</v>
      </c>
      <c r="D32652">
        <v>111</v>
      </c>
      <c r="E32652">
        <v>0</v>
      </c>
      <c r="F32652">
        <v>206</v>
      </c>
    </row>
    <row r="32653" spans="1:6" ht="12.75">
      <c r="A32653" s="2">
        <v>43875.443819444445</v>
      </c>
      <c r="B32653" t="str">
        <f>HYPERLINK("https://twitter.com/Vicky92836616","@Vicky92836616")</f>
        <v>@Vicky92836616</v>
      </c>
      <c r="C32653" t="s">
        <v>13651</v>
      </c>
      <c r="D32653">
        <v>0</v>
      </c>
      <c r="E32653">
        <v>0</v>
      </c>
      <c r="F32653">
        <v>5</v>
      </c>
    </row>
    <row r="32654" spans="1:6" ht="12.75">
      <c r="A32654" s="2">
        <v>43875.443784722222</v>
      </c>
      <c r="B32654" t="str">
        <f>HYPERLINK("https://twitter.com/ibnusagar","@ibnusagar")</f>
        <v>@ibnusagar</v>
      </c>
      <c r="C32654" t="s">
        <v>2963</v>
      </c>
      <c r="D32654">
        <v>651</v>
      </c>
      <c r="E32654">
        <v>0</v>
      </c>
      <c r="F32654">
        <v>840</v>
      </c>
    </row>
    <row r="32655" spans="1:6" ht="12.75">
      <c r="A32655" s="2">
        <v>43875.443784722222</v>
      </c>
      <c r="B32655" t="str">
        <f>HYPERLINK("https://twitter.com/ymaprdhh","@ymaprdhh")</f>
        <v>@ymaprdhh</v>
      </c>
      <c r="C32655" t="s">
        <v>2444</v>
      </c>
      <c r="D32655">
        <v>111</v>
      </c>
      <c r="E32655">
        <v>0</v>
      </c>
      <c r="F32655">
        <v>223</v>
      </c>
    </row>
    <row r="32656" spans="1:6" ht="12.75">
      <c r="A32656" s="2">
        <v>43875.443773148145</v>
      </c>
      <c r="B32656" t="str">
        <f>HYPERLINK("https://twitter.com/Faraprilio","@Faraprilio")</f>
        <v>@Faraprilio</v>
      </c>
      <c r="C32656" t="s">
        <v>5168</v>
      </c>
      <c r="D32656">
        <v>498</v>
      </c>
      <c r="E32656">
        <v>0</v>
      </c>
      <c r="F32656">
        <v>487</v>
      </c>
    </row>
    <row r="32657" spans="1:6" ht="12.75">
      <c r="A32657" s="2">
        <v>43875.443761574075</v>
      </c>
      <c r="B32657" t="str">
        <f>HYPERLINK("https://twitter.com/Masdjodi1","@Masdjodi1")</f>
        <v>@Masdjodi1</v>
      </c>
      <c r="C32657" t="s">
        <v>9746</v>
      </c>
      <c r="D32657">
        <v>32</v>
      </c>
      <c r="E32657">
        <v>0</v>
      </c>
      <c r="F32657">
        <v>684</v>
      </c>
    </row>
    <row r="32658" spans="1:6" ht="12.75">
      <c r="A32658" s="2">
        <v>43875.443668981483</v>
      </c>
      <c r="B32658" t="str">
        <f>HYPERLINK("https://twitter.com/ParthaSaderi","@ParthaSaderi")</f>
        <v>@ParthaSaderi</v>
      </c>
      <c r="C32658" t="s">
        <v>2963</v>
      </c>
      <c r="D32658">
        <v>651</v>
      </c>
      <c r="E32658">
        <v>0</v>
      </c>
      <c r="F32658">
        <v>4794</v>
      </c>
    </row>
    <row r="32659" spans="1:6" ht="12.75">
      <c r="A32659" s="2">
        <v>43875.443657407406</v>
      </c>
      <c r="B32659" t="str">
        <f>HYPERLINK("https://twitter.com/_khasmah","@_khasmah")</f>
        <v>@_khasmah</v>
      </c>
      <c r="C32659" t="s">
        <v>13652</v>
      </c>
      <c r="D32659">
        <v>0</v>
      </c>
      <c r="E32659">
        <v>1</v>
      </c>
      <c r="F32659">
        <v>690</v>
      </c>
    </row>
    <row r="32660" spans="1:6" ht="12.75">
      <c r="A32660" s="2">
        <v>43875.443657407406</v>
      </c>
      <c r="B32660" t="str">
        <f>HYPERLINK("https://twitter.com/Adonie4","@Adonie4")</f>
        <v>@Adonie4</v>
      </c>
      <c r="C32660" t="s">
        <v>10706</v>
      </c>
      <c r="D32660">
        <v>208</v>
      </c>
      <c r="E32660">
        <v>0</v>
      </c>
      <c r="F32660">
        <v>266</v>
      </c>
    </row>
    <row r="32661" spans="1:6" ht="12.75">
      <c r="A32661" s="2">
        <v>43875.443611111114</v>
      </c>
      <c r="B32661" t="str">
        <f>HYPERLINK("https://twitter.com/Gun4w4nAhokers","@Gun4w4nAhokers")</f>
        <v>@Gun4w4nAhokers</v>
      </c>
      <c r="C32661" t="s">
        <v>13653</v>
      </c>
      <c r="D32661">
        <v>0</v>
      </c>
      <c r="E32661">
        <v>0</v>
      </c>
      <c r="F32661">
        <v>4165</v>
      </c>
    </row>
    <row r="32662" spans="1:6" ht="12.75">
      <c r="A32662" s="2">
        <v>43875.443449074075</v>
      </c>
      <c r="B32662" t="str">
        <f>HYPERLINK("https://twitter.com/DangdutGondrong","@DangdutGondrong")</f>
        <v>@DangdutGondrong</v>
      </c>
      <c r="C32662" t="s">
        <v>13654</v>
      </c>
      <c r="D32662">
        <v>0</v>
      </c>
      <c r="E32662">
        <v>0</v>
      </c>
      <c r="F32662">
        <v>78</v>
      </c>
    </row>
    <row r="32663" spans="1:6" ht="12.75">
      <c r="A32663" s="2">
        <v>43875.443437499998</v>
      </c>
      <c r="B32663" t="str">
        <f>HYPERLINK("https://twitter.com/doyokijay","@doyokijay")</f>
        <v>@doyokijay</v>
      </c>
      <c r="C32663" t="s">
        <v>8394</v>
      </c>
      <c r="D32663">
        <v>30</v>
      </c>
      <c r="E32663">
        <v>0</v>
      </c>
      <c r="F32663">
        <v>305</v>
      </c>
    </row>
    <row r="32664" spans="1:6" ht="12.75">
      <c r="A32664" s="2">
        <v>43875.443298611106</v>
      </c>
      <c r="B32664" t="str">
        <f>HYPERLINK("https://twitter.com/Lembayung071","@Lembayung071")</f>
        <v>@Lembayung071</v>
      </c>
      <c r="C32664" t="s">
        <v>13655</v>
      </c>
      <c r="D32664">
        <v>0</v>
      </c>
      <c r="E32664">
        <v>0</v>
      </c>
      <c r="F32664">
        <v>305</v>
      </c>
    </row>
    <row r="32665" spans="1:6" ht="12.75">
      <c r="A32665" s="2">
        <v>43875.443275462967</v>
      </c>
      <c r="B32665" t="str">
        <f>HYPERLINK("https://twitter.com/bekascucian","@bekascucian")</f>
        <v>@bekascucian</v>
      </c>
      <c r="C32665" t="s">
        <v>13656</v>
      </c>
      <c r="D32665">
        <v>0</v>
      </c>
      <c r="E32665">
        <v>0</v>
      </c>
      <c r="F32665">
        <v>77</v>
      </c>
    </row>
    <row r="32666" spans="1:6" ht="12.75">
      <c r="A32666" s="2">
        <v>43875.44321759259</v>
      </c>
      <c r="B32666" t="str">
        <f>HYPERLINK("https://twitter.com/misaiba","@misaiba")</f>
        <v>@misaiba</v>
      </c>
      <c r="C32666" t="s">
        <v>5168</v>
      </c>
      <c r="D32666">
        <v>498</v>
      </c>
      <c r="E32666">
        <v>0</v>
      </c>
      <c r="F32666">
        <v>149</v>
      </c>
    </row>
    <row r="32667" spans="1:6" ht="12.75">
      <c r="A32667" s="2">
        <v>43875.443194444444</v>
      </c>
      <c r="B32667" t="str">
        <f>HYPERLINK("https://twitter.com/ssringo","@ssringo")</f>
        <v>@ssringo</v>
      </c>
      <c r="C32667" t="s">
        <v>13657</v>
      </c>
      <c r="D32667">
        <v>0</v>
      </c>
      <c r="E32667">
        <v>0</v>
      </c>
      <c r="F32667">
        <v>274</v>
      </c>
    </row>
    <row r="32668" spans="1:6" ht="12.75">
      <c r="A32668" s="2">
        <v>43875.443182870367</v>
      </c>
      <c r="B32668" t="str">
        <f>HYPERLINK("https://twitter.com/ayypermata_","@ayypermata_")</f>
        <v>@ayypermata_</v>
      </c>
      <c r="C32668" t="s">
        <v>11425</v>
      </c>
      <c r="D32668">
        <v>208</v>
      </c>
      <c r="E32668">
        <v>0</v>
      </c>
      <c r="F32668">
        <v>765</v>
      </c>
    </row>
    <row r="32669" spans="1:6" ht="12.75">
      <c r="A32669" s="2">
        <v>43875.443182870367</v>
      </c>
      <c r="B32669" t="str">
        <f>HYPERLINK("https://twitter.com/hapsareeyy","@hapsareeyy")</f>
        <v>@hapsareeyy</v>
      </c>
      <c r="C32669" t="s">
        <v>5168</v>
      </c>
      <c r="D32669">
        <v>498</v>
      </c>
      <c r="E32669">
        <v>0</v>
      </c>
      <c r="F32669">
        <v>211</v>
      </c>
    </row>
    <row r="32670" spans="1:6" ht="12.75">
      <c r="A32670" s="2">
        <v>43875.443159722221</v>
      </c>
      <c r="B32670" t="str">
        <f>HYPERLINK("https://twitter.com/misaiba","@misaiba")</f>
        <v>@misaiba</v>
      </c>
      <c r="C32670" t="s">
        <v>2444</v>
      </c>
      <c r="D32670">
        <v>111</v>
      </c>
      <c r="E32670">
        <v>0</v>
      </c>
      <c r="F32670">
        <v>149</v>
      </c>
    </row>
    <row r="32671" spans="1:6" ht="12.75">
      <c r="A32671" s="2">
        <v>43875.44295138889</v>
      </c>
      <c r="B32671" t="str">
        <f>HYPERLINK("https://twitter.com/ayypermata_","@ayypermata_")</f>
        <v>@ayypermata_</v>
      </c>
      <c r="C32671" t="s">
        <v>12367</v>
      </c>
      <c r="D32671">
        <v>15</v>
      </c>
      <c r="E32671">
        <v>0</v>
      </c>
      <c r="F32671">
        <v>765</v>
      </c>
    </row>
    <row r="32672" spans="1:6" ht="12.75">
      <c r="A32672" s="2">
        <v>43875.442870370374</v>
      </c>
      <c r="B32672" t="str">
        <f>HYPERLINK("https://twitter.com/WellyIndra","@WellyIndra")</f>
        <v>@WellyIndra</v>
      </c>
      <c r="C32672" t="s">
        <v>13658</v>
      </c>
      <c r="D32672">
        <v>0</v>
      </c>
      <c r="E32672">
        <v>0</v>
      </c>
      <c r="F32672">
        <v>46</v>
      </c>
    </row>
    <row r="32673" spans="1:6" ht="12.75">
      <c r="A32673" s="2">
        <v>43875.442835648151</v>
      </c>
      <c r="B32673" t="str">
        <f>HYPERLINK("https://twitter.com/peachyxcream","@peachyxcream")</f>
        <v>@peachyxcream</v>
      </c>
      <c r="C32673" t="s">
        <v>5168</v>
      </c>
      <c r="D32673">
        <v>498</v>
      </c>
      <c r="E32673">
        <v>0</v>
      </c>
      <c r="F32673">
        <v>240</v>
      </c>
    </row>
    <row r="32674" spans="1:6" ht="12.75">
      <c r="A32674" s="2">
        <v>43875.442777777775</v>
      </c>
      <c r="B32674" t="str">
        <f>HYPERLINK("https://twitter.com/sofyannew1","@sofyannew1")</f>
        <v>@sofyannew1</v>
      </c>
      <c r="C32674" t="s">
        <v>9746</v>
      </c>
      <c r="D32674">
        <v>32</v>
      </c>
      <c r="E32674">
        <v>0</v>
      </c>
      <c r="F32674">
        <v>233</v>
      </c>
    </row>
    <row r="32675" spans="1:6" ht="12.75">
      <c r="A32675" s="2">
        <v>43875.442696759259</v>
      </c>
      <c r="B32675" t="str">
        <f>HYPERLINK("https://twitter.com/kumbanqjantan","@kumbanqjantan")</f>
        <v>@kumbanqjantan</v>
      </c>
      <c r="C32675" t="s">
        <v>2963</v>
      </c>
      <c r="D32675">
        <v>651</v>
      </c>
      <c r="E32675">
        <v>0</v>
      </c>
      <c r="F32675">
        <v>545</v>
      </c>
    </row>
    <row r="32676" spans="1:6" ht="12.75">
      <c r="A32676" s="2">
        <v>43875.442627314813</v>
      </c>
      <c r="B32676" t="str">
        <f>HYPERLINK("https://twitter.com/elvirapc","@elvirapc")</f>
        <v>@elvirapc</v>
      </c>
      <c r="C32676" t="s">
        <v>13659</v>
      </c>
      <c r="D32676">
        <v>0</v>
      </c>
      <c r="E32676">
        <v>0</v>
      </c>
      <c r="F32676">
        <v>1619</v>
      </c>
    </row>
    <row r="32677" spans="1:6" ht="12.75">
      <c r="A32677" s="2">
        <v>43875.442627314813</v>
      </c>
      <c r="B32677" t="str">
        <f>HYPERLINK("https://twitter.com/KoBeloek","@KoBeloek")</f>
        <v>@KoBeloek</v>
      </c>
      <c r="C32677" t="s">
        <v>2963</v>
      </c>
      <c r="D32677">
        <v>651</v>
      </c>
      <c r="E32677">
        <v>0</v>
      </c>
      <c r="F32677">
        <v>1429</v>
      </c>
    </row>
    <row r="32678" spans="1:6" ht="12.75">
      <c r="A32678" s="2">
        <v>43875.442569444444</v>
      </c>
      <c r="B32678" t="str">
        <f>HYPERLINK("https://twitter.com/kuurnias","@kuurnias")</f>
        <v>@kuurnias</v>
      </c>
      <c r="C32678" t="s">
        <v>13660</v>
      </c>
      <c r="D32678">
        <v>0</v>
      </c>
      <c r="E32678">
        <v>0</v>
      </c>
      <c r="F32678">
        <v>158</v>
      </c>
    </row>
    <row r="32679" spans="1:6" ht="12.75">
      <c r="A32679" s="2">
        <v>43875.442523148144</v>
      </c>
      <c r="B32679" t="str">
        <f>HYPERLINK("https://twitter.com/MuhamadLuchika2","@MuhamadLuchika2")</f>
        <v>@MuhamadLuchika2</v>
      </c>
      <c r="C32679" t="s">
        <v>13661</v>
      </c>
      <c r="D32679">
        <v>0</v>
      </c>
      <c r="E32679">
        <v>0</v>
      </c>
      <c r="F32679">
        <v>0</v>
      </c>
    </row>
    <row r="32680" spans="1:6" ht="12.75">
      <c r="A32680" s="2">
        <v>43875.442488425921</v>
      </c>
      <c r="B32680" t="str">
        <f>HYPERLINK("https://twitter.com/FarsyahIyyans","@FarsyahIyyans")</f>
        <v>@FarsyahIyyans</v>
      </c>
      <c r="C32680" t="s">
        <v>12560</v>
      </c>
      <c r="D32680">
        <v>27</v>
      </c>
      <c r="E32680">
        <v>0</v>
      </c>
      <c r="F32680">
        <v>253</v>
      </c>
    </row>
    <row r="32681" spans="1:6" ht="12.75">
      <c r="A32681" s="2">
        <v>43875.442418981482</v>
      </c>
      <c r="B32681" t="str">
        <f>HYPERLINK("https://twitter.com/faisdzaky","@faisdzaky")</f>
        <v>@faisdzaky</v>
      </c>
      <c r="C32681" t="s">
        <v>5168</v>
      </c>
      <c r="D32681">
        <v>498</v>
      </c>
      <c r="E32681">
        <v>0</v>
      </c>
      <c r="F32681">
        <v>369</v>
      </c>
    </row>
    <row r="32682" spans="1:6" ht="12.75">
      <c r="A32682" s="2">
        <v>43875.442361111112</v>
      </c>
      <c r="B32682" t="str">
        <f>HYPERLINK("https://twitter.com/FeruziaJouska","@FeruziaJouska")</f>
        <v>@FeruziaJouska</v>
      </c>
      <c r="C32682" t="s">
        <v>13662</v>
      </c>
      <c r="D32682">
        <v>0</v>
      </c>
      <c r="E32682">
        <v>1</v>
      </c>
      <c r="F32682">
        <v>114</v>
      </c>
    </row>
    <row r="32683" spans="1:6" ht="12.75">
      <c r="A32683" s="2">
        <v>43875.442280092597</v>
      </c>
      <c r="B32683" t="str">
        <f>HYPERLINK("https://twitter.com/nutabah05","@nutabah05")</f>
        <v>@nutabah05</v>
      </c>
      <c r="C32683" t="s">
        <v>13663</v>
      </c>
      <c r="D32683">
        <v>0</v>
      </c>
      <c r="E32683">
        <v>0</v>
      </c>
      <c r="F32683">
        <v>142</v>
      </c>
    </row>
    <row r="32684" spans="1:6" ht="12.75">
      <c r="A32684" s="2">
        <v>43875.442037037035</v>
      </c>
      <c r="B32684" t="str">
        <f>HYPERLINK("https://twitter.com/dusrimulya","@dusrimulya")</f>
        <v>@dusrimulya</v>
      </c>
      <c r="C32684" t="s">
        <v>13524</v>
      </c>
      <c r="D32684">
        <v>4</v>
      </c>
      <c r="E32684">
        <v>0</v>
      </c>
      <c r="F32684">
        <v>22292</v>
      </c>
    </row>
    <row r="32685" spans="1:6" ht="12.75">
      <c r="A32685" s="2">
        <v>43875.441932870366</v>
      </c>
      <c r="B32685" t="str">
        <f>HYPERLINK("https://twitter.com/10KFlSTS","@10KFlSTS")</f>
        <v>@10KFlSTS</v>
      </c>
      <c r="C32685" t="s">
        <v>9964</v>
      </c>
      <c r="D32685">
        <v>490</v>
      </c>
      <c r="E32685">
        <v>0</v>
      </c>
      <c r="F32685">
        <v>147</v>
      </c>
    </row>
    <row r="32686" spans="1:6" ht="12.75">
      <c r="A32686" s="2">
        <v>43875.441655092596</v>
      </c>
      <c r="B32686" t="str">
        <f>HYPERLINK("https://twitter.com/KKelojotan","@KKelojotan")</f>
        <v>@KKelojotan</v>
      </c>
      <c r="C32686" t="s">
        <v>13664</v>
      </c>
      <c r="D32686">
        <v>0</v>
      </c>
      <c r="E32686">
        <v>0</v>
      </c>
      <c r="F32686">
        <v>631</v>
      </c>
    </row>
    <row r="32687" spans="1:6" ht="12.75">
      <c r="A32687" s="2">
        <v>43875.441643518519</v>
      </c>
      <c r="B32687" t="str">
        <f>HYPERLINK("https://twitter.com/Ihyaulumid_Dean","@Ihyaulumid_Dean")</f>
        <v>@Ihyaulumid_Dean</v>
      </c>
      <c r="C32687" t="s">
        <v>13665</v>
      </c>
      <c r="D32687">
        <v>0</v>
      </c>
      <c r="E32687">
        <v>0</v>
      </c>
      <c r="F32687">
        <v>8</v>
      </c>
    </row>
    <row r="32688" spans="1:6" ht="12.75">
      <c r="A32688" s="2">
        <v>43875.44159722222</v>
      </c>
      <c r="B32688" t="str">
        <f>HYPERLINK("https://twitter.com/budiira88","@budiira88")</f>
        <v>@budiira88</v>
      </c>
      <c r="C32688" t="s">
        <v>9746</v>
      </c>
      <c r="D32688">
        <v>32</v>
      </c>
      <c r="E32688">
        <v>0</v>
      </c>
      <c r="F32688">
        <v>135</v>
      </c>
    </row>
    <row r="32689" spans="1:6" ht="12.75">
      <c r="A32689" s="2">
        <v>43875.441550925927</v>
      </c>
      <c r="B32689" t="str">
        <f>HYPERLINK("https://twitter.com/Arifheriansyh","@Arifheriansyh")</f>
        <v>@Arifheriansyh</v>
      </c>
      <c r="C32689" t="s">
        <v>13666</v>
      </c>
      <c r="D32689">
        <v>0</v>
      </c>
      <c r="E32689">
        <v>0</v>
      </c>
      <c r="F32689">
        <v>645</v>
      </c>
    </row>
    <row r="32690" spans="1:6" ht="12.75">
      <c r="A32690" s="2">
        <v>43875.441469907411</v>
      </c>
      <c r="B32690" t="str">
        <f>HYPERLINK("https://twitter.com/MiftakhurRais","@MiftakhurRais")</f>
        <v>@MiftakhurRais</v>
      </c>
      <c r="C32690" t="s">
        <v>9021</v>
      </c>
      <c r="D32690">
        <v>168</v>
      </c>
      <c r="E32690">
        <v>0</v>
      </c>
      <c r="F32690">
        <v>173</v>
      </c>
    </row>
    <row r="32691" spans="1:6" ht="12.75">
      <c r="A32691" s="2">
        <v>43875.441446759258</v>
      </c>
      <c r="B32691" t="str">
        <f>HYPERLINK("https://twitter.com/r3nDYwJy","@r3nDYwJy")</f>
        <v>@r3nDYwJy</v>
      </c>
      <c r="C32691" t="s">
        <v>13667</v>
      </c>
      <c r="D32691">
        <v>0</v>
      </c>
      <c r="E32691">
        <v>2</v>
      </c>
      <c r="F32691">
        <v>1585</v>
      </c>
    </row>
    <row r="32692" spans="1:6" ht="12.75">
      <c r="A32692" s="2">
        <v>43875.441400462965</v>
      </c>
      <c r="B32692" t="str">
        <f>HYPERLINK("https://twitter.com/FarsyahIyyans","@FarsyahIyyans")</f>
        <v>@FarsyahIyyans</v>
      </c>
      <c r="C32692" t="s">
        <v>9998</v>
      </c>
      <c r="D32692">
        <v>80</v>
      </c>
      <c r="E32692">
        <v>0</v>
      </c>
      <c r="F32692">
        <v>253</v>
      </c>
    </row>
    <row r="32693" spans="1:6" ht="12.75">
      <c r="A32693" s="2">
        <v>43875.441342592589</v>
      </c>
      <c r="B32693" t="str">
        <f>HYPERLINK("https://twitter.com/dvbdwish","@dvbdwish")</f>
        <v>@dvbdwish</v>
      </c>
      <c r="C32693" t="s">
        <v>9113</v>
      </c>
      <c r="D32693">
        <v>264</v>
      </c>
      <c r="E32693">
        <v>0</v>
      </c>
      <c r="F32693">
        <v>640</v>
      </c>
    </row>
    <row r="32694" spans="1:6" ht="12.75">
      <c r="A32694" s="2">
        <v>43875.441307870366</v>
      </c>
      <c r="B32694" t="str">
        <f>HYPERLINK("https://twitter.com/sirodjudin01","@sirodjudin01")</f>
        <v>@sirodjudin01</v>
      </c>
      <c r="C32694" t="s">
        <v>2963</v>
      </c>
      <c r="D32694">
        <v>651</v>
      </c>
      <c r="E32694">
        <v>0</v>
      </c>
      <c r="F32694">
        <v>8019</v>
      </c>
    </row>
    <row r="32695" spans="1:6" ht="12.75">
      <c r="A32695" s="2">
        <v>43875.441284722227</v>
      </c>
      <c r="B32695" t="str">
        <f>HYPERLINK("https://twitter.com/herlambang_tan","@herlambang_tan")</f>
        <v>@herlambang_tan</v>
      </c>
      <c r="C32695" t="s">
        <v>10422</v>
      </c>
      <c r="D32695">
        <v>57</v>
      </c>
      <c r="E32695">
        <v>0</v>
      </c>
      <c r="F32695">
        <v>2339</v>
      </c>
    </row>
    <row r="32696" spans="1:6" ht="12.75">
      <c r="A32696" s="2">
        <v>43875.44127314815</v>
      </c>
      <c r="B32696" t="str">
        <f>HYPERLINK("https://twitter.com/elvirapc","@elvirapc")</f>
        <v>@elvirapc</v>
      </c>
      <c r="C32696" t="s">
        <v>5168</v>
      </c>
      <c r="D32696">
        <v>498</v>
      </c>
      <c r="E32696">
        <v>0</v>
      </c>
      <c r="F32696">
        <v>1619</v>
      </c>
    </row>
    <row r="32697" spans="1:6" ht="12.75">
      <c r="A32697" s="2">
        <v>43875.441250000003</v>
      </c>
      <c r="B32697" t="str">
        <f>HYPERLINK("https://twitter.com/ambilajaa","@ambilajaa")</f>
        <v>@ambilajaa</v>
      </c>
      <c r="C32697" t="s">
        <v>5168</v>
      </c>
      <c r="D32697">
        <v>498</v>
      </c>
      <c r="E32697">
        <v>0</v>
      </c>
      <c r="F32697">
        <v>31</v>
      </c>
    </row>
    <row r="32698" spans="1:6" ht="12.75">
      <c r="A32698" s="2">
        <v>43875.441157407404</v>
      </c>
      <c r="B32698" t="str">
        <f>HYPERLINK("https://twitter.com/faishal_djalil","@faishal_djalil")</f>
        <v>@faishal_djalil</v>
      </c>
      <c r="C32698" t="s">
        <v>13668</v>
      </c>
      <c r="D32698">
        <v>0</v>
      </c>
      <c r="E32698">
        <v>0</v>
      </c>
      <c r="F32698">
        <v>154</v>
      </c>
    </row>
    <row r="32699" spans="1:6" ht="12.75">
      <c r="A32699" s="2">
        <v>43875.441087962958</v>
      </c>
      <c r="B32699" t="str">
        <f>HYPERLINK("https://twitter.com/Gun4w4nAhokers","@Gun4w4nAhokers")</f>
        <v>@Gun4w4nAhokers</v>
      </c>
      <c r="C32699" t="s">
        <v>13669</v>
      </c>
      <c r="D32699">
        <v>0</v>
      </c>
      <c r="E32699">
        <v>1</v>
      </c>
      <c r="F32699">
        <v>4165</v>
      </c>
    </row>
    <row r="32700" spans="1:6" ht="12.75">
      <c r="A32700" s="2">
        <v>43875.440972222219</v>
      </c>
      <c r="B32700" t="str">
        <f>HYPERLINK("https://twitter.com/setiadjit","@setiadjit")</f>
        <v>@setiadjit</v>
      </c>
      <c r="C32700" t="s">
        <v>13670</v>
      </c>
      <c r="D32700">
        <v>0</v>
      </c>
      <c r="E32700">
        <v>0</v>
      </c>
      <c r="F32700">
        <v>238</v>
      </c>
    </row>
    <row r="32701" spans="1:6" ht="12.75">
      <c r="A32701" s="2">
        <v>43875.440821759257</v>
      </c>
      <c r="B32701" t="str">
        <f>HYPERLINK("https://twitter.com/niusthepotato","@niusthepotato")</f>
        <v>@niusthepotato</v>
      </c>
      <c r="C32701" t="s">
        <v>13671</v>
      </c>
      <c r="D32701">
        <v>48</v>
      </c>
      <c r="E32701">
        <v>0</v>
      </c>
      <c r="F32701">
        <v>17</v>
      </c>
    </row>
    <row r="32702" spans="1:6" ht="12.75">
      <c r="A32702" s="2">
        <v>43875.440810185188</v>
      </c>
      <c r="B32702" t="str">
        <f>HYPERLINK("https://twitter.com/chairulachir","@chairulachir")</f>
        <v>@chairulachir</v>
      </c>
      <c r="C32702" t="s">
        <v>10422</v>
      </c>
      <c r="D32702">
        <v>57</v>
      </c>
      <c r="E32702">
        <v>0</v>
      </c>
      <c r="F32702">
        <v>2421</v>
      </c>
    </row>
    <row r="32703" spans="1:6" ht="12.75">
      <c r="A32703" s="2">
        <v>43875.440763888888</v>
      </c>
      <c r="B32703" t="str">
        <f>HYPERLINK("https://twitter.com/em_fdhl","@em_fdhl")</f>
        <v>@em_fdhl</v>
      </c>
      <c r="C32703" t="s">
        <v>13672</v>
      </c>
      <c r="D32703">
        <v>0</v>
      </c>
      <c r="E32703">
        <v>0</v>
      </c>
      <c r="F32703">
        <v>17</v>
      </c>
    </row>
    <row r="32704" spans="1:6" ht="12.75">
      <c r="A32704" s="2">
        <v>43875.440763888888</v>
      </c>
      <c r="B32704" t="str">
        <f>HYPERLINK("https://twitter.com/Gun4w4nAhokers","@Gun4w4nAhokers")</f>
        <v>@Gun4w4nAhokers</v>
      </c>
      <c r="C32704" t="s">
        <v>13673</v>
      </c>
      <c r="D32704">
        <v>1</v>
      </c>
      <c r="E32704">
        <v>0</v>
      </c>
      <c r="F32704">
        <v>4165</v>
      </c>
    </row>
    <row r="32705" spans="1:6" ht="12.75">
      <c r="A32705" s="2">
        <v>43875.440729166672</v>
      </c>
      <c r="B32705" t="str">
        <f>HYPERLINK("https://twitter.com/nutabah05","@nutabah05")</f>
        <v>@nutabah05</v>
      </c>
      <c r="C32705" t="s">
        <v>13674</v>
      </c>
      <c r="D32705">
        <v>0</v>
      </c>
      <c r="E32705">
        <v>0</v>
      </c>
      <c r="F32705">
        <v>142</v>
      </c>
    </row>
    <row r="32706" spans="1:6" ht="12.75">
      <c r="A32706" s="2">
        <v>43875.440706018519</v>
      </c>
      <c r="B32706" t="str">
        <f>HYPERLINK("https://twitter.com/Dewie34292319","@Dewie34292319")</f>
        <v>@Dewie34292319</v>
      </c>
      <c r="C32706" t="s">
        <v>11044</v>
      </c>
      <c r="D32706">
        <v>3</v>
      </c>
      <c r="E32706">
        <v>0</v>
      </c>
      <c r="F32706">
        <v>1657</v>
      </c>
    </row>
    <row r="32707" spans="1:6" ht="12.75">
      <c r="A32707" s="2">
        <v>43875.440625000003</v>
      </c>
      <c r="B32707" t="str">
        <f>HYPERLINK("https://twitter.com/justtnoone_","@justtnoone_")</f>
        <v>@justtnoone_</v>
      </c>
      <c r="C32707" t="s">
        <v>9998</v>
      </c>
      <c r="D32707">
        <v>80</v>
      </c>
      <c r="E32707">
        <v>0</v>
      </c>
      <c r="F32707">
        <v>0</v>
      </c>
    </row>
    <row r="32708" spans="1:6" ht="12.75">
      <c r="A32708" s="2">
        <v>43875.44059027778</v>
      </c>
      <c r="B32708" t="str">
        <f>HYPERLINK("https://twitter.com/antojavas16","@antojavas16")</f>
        <v>@antojavas16</v>
      </c>
      <c r="C32708" t="s">
        <v>2963</v>
      </c>
      <c r="D32708">
        <v>651</v>
      </c>
      <c r="E32708">
        <v>0</v>
      </c>
      <c r="F32708">
        <v>817</v>
      </c>
    </row>
    <row r="32709" spans="1:6" ht="12.75">
      <c r="A32709" s="2">
        <v>43875.440555555557</v>
      </c>
      <c r="B32709" t="str">
        <f>HYPERLINK("https://twitter.com/Prmstd","@Prmstd")</f>
        <v>@Prmstd</v>
      </c>
      <c r="C32709" t="s">
        <v>5168</v>
      </c>
      <c r="D32709">
        <v>498</v>
      </c>
      <c r="E32709">
        <v>0</v>
      </c>
      <c r="F32709">
        <v>202</v>
      </c>
    </row>
    <row r="32710" spans="1:6" ht="12.75">
      <c r="A32710" s="2">
        <v>43875.44049768518</v>
      </c>
      <c r="B32710" t="str">
        <f>HYPERLINK("https://twitter.com/Soezoelas67","@Soezoelas67")</f>
        <v>@Soezoelas67</v>
      </c>
      <c r="C32710" t="s">
        <v>13675</v>
      </c>
      <c r="D32710">
        <v>0</v>
      </c>
      <c r="E32710">
        <v>0</v>
      </c>
      <c r="F32710">
        <v>3801</v>
      </c>
    </row>
    <row r="32711" spans="1:6" ht="12.75">
      <c r="A32711" s="2">
        <v>43875.440486111111</v>
      </c>
      <c r="B32711" t="str">
        <f>HYPERLINK("https://twitter.com/TheMornin9","@TheMornin9")</f>
        <v>@TheMornin9</v>
      </c>
      <c r="C32711" t="s">
        <v>13676</v>
      </c>
      <c r="D32711">
        <v>0</v>
      </c>
      <c r="E32711">
        <v>1</v>
      </c>
      <c r="F32711">
        <v>3446</v>
      </c>
    </row>
    <row r="32712" spans="1:6" ht="12.75">
      <c r="A32712" s="2">
        <v>43875.440405092595</v>
      </c>
      <c r="B32712" t="str">
        <f>HYPERLINK("https://twitter.com/ferguso_cat","@ferguso_cat")</f>
        <v>@ferguso_cat</v>
      </c>
      <c r="C32712" t="s">
        <v>9964</v>
      </c>
      <c r="D32712">
        <v>490</v>
      </c>
      <c r="E32712">
        <v>0</v>
      </c>
      <c r="F32712">
        <v>24</v>
      </c>
    </row>
    <row r="32713" spans="1:6" ht="12.75">
      <c r="A32713" s="2">
        <v>43875.440370370372</v>
      </c>
      <c r="B32713" t="str">
        <f>HYPERLINK("https://twitter.com/anggitwp8","@anggitwp8")</f>
        <v>@anggitwp8</v>
      </c>
      <c r="C32713" t="s">
        <v>13677</v>
      </c>
      <c r="D32713">
        <v>0</v>
      </c>
      <c r="E32713">
        <v>0</v>
      </c>
      <c r="F32713">
        <v>182</v>
      </c>
    </row>
    <row r="32714" spans="1:6" ht="12.75">
      <c r="A32714" s="2">
        <v>43875.440358796295</v>
      </c>
      <c r="B32714" t="str">
        <f>HYPERLINK("https://twitter.com/NapiPKS","@NapiPKS")</f>
        <v>@NapiPKS</v>
      </c>
      <c r="C32714" t="s">
        <v>2963</v>
      </c>
      <c r="D32714">
        <v>651</v>
      </c>
      <c r="E32714">
        <v>0</v>
      </c>
      <c r="F32714">
        <v>6110</v>
      </c>
    </row>
    <row r="32715" spans="1:6" ht="12.75">
      <c r="A32715" s="2">
        <v>43875.440347222218</v>
      </c>
      <c r="B32715" t="str">
        <f>HYPERLINK("https://twitter.com/Rakha_boumi","@Rakha_boumi")</f>
        <v>@Rakha_boumi</v>
      </c>
      <c r="C32715" t="s">
        <v>13678</v>
      </c>
      <c r="D32715">
        <v>1</v>
      </c>
      <c r="E32715">
        <v>1</v>
      </c>
      <c r="F32715">
        <v>1352</v>
      </c>
    </row>
    <row r="32716" spans="1:6" ht="12.75">
      <c r="A32716" s="2">
        <v>43875.440300925926</v>
      </c>
      <c r="B32716" t="str">
        <f>HYPERLINK("https://twitter.com/fxmario","@fxmario")</f>
        <v>@fxmario</v>
      </c>
      <c r="C32716" t="s">
        <v>11460</v>
      </c>
      <c r="D32716">
        <v>15</v>
      </c>
      <c r="E32716">
        <v>0</v>
      </c>
      <c r="F32716">
        <v>19431</v>
      </c>
    </row>
    <row r="32717" spans="1:6" ht="12.75">
      <c r="A32717" s="2">
        <v>43875.440243055556</v>
      </c>
      <c r="B32717" t="str">
        <f>HYPERLINK("https://twitter.com/rozirozuru","@rozirozuru")</f>
        <v>@rozirozuru</v>
      </c>
      <c r="C32717" t="s">
        <v>8233</v>
      </c>
      <c r="D32717">
        <v>337</v>
      </c>
      <c r="E32717">
        <v>0</v>
      </c>
      <c r="F32717">
        <v>721</v>
      </c>
    </row>
    <row r="32718" spans="1:6" ht="12.75">
      <c r="A32718" s="2">
        <v>43875.440150462964</v>
      </c>
      <c r="B32718" t="str">
        <f>HYPERLINK("https://twitter.com/benedictusyudha","@benedictusyudha")</f>
        <v>@benedictusyudha</v>
      </c>
      <c r="C32718" t="s">
        <v>5168</v>
      </c>
      <c r="D32718">
        <v>498</v>
      </c>
      <c r="E32718">
        <v>0</v>
      </c>
      <c r="F32718">
        <v>194</v>
      </c>
    </row>
    <row r="32719" spans="1:6" ht="12.75">
      <c r="A32719" s="2">
        <v>43875.440150462964</v>
      </c>
      <c r="B32719" t="str">
        <f>HYPERLINK("https://twitter.com/hanifwic","@hanifwic")</f>
        <v>@hanifwic</v>
      </c>
      <c r="C32719" t="s">
        <v>2963</v>
      </c>
      <c r="D32719">
        <v>651</v>
      </c>
      <c r="E32719">
        <v>0</v>
      </c>
      <c r="F32719">
        <v>769</v>
      </c>
    </row>
    <row r="32720" spans="1:6" ht="12.75">
      <c r="A32720" s="2">
        <v>43875.440046296295</v>
      </c>
      <c r="B32720" t="str">
        <f>HYPERLINK("https://twitter.com/FarsyahIyyans","@FarsyahIyyans")</f>
        <v>@FarsyahIyyans</v>
      </c>
      <c r="C32720" t="s">
        <v>12559</v>
      </c>
      <c r="D32720">
        <v>4</v>
      </c>
      <c r="E32720">
        <v>0</v>
      </c>
      <c r="F32720">
        <v>253</v>
      </c>
    </row>
    <row r="32721" spans="1:6" ht="12.75">
      <c r="A32721" s="2">
        <v>43875.439976851849</v>
      </c>
      <c r="B32721" t="str">
        <f>HYPERLINK("https://twitter.com/Radiculatus","@Radiculatus")</f>
        <v>@Radiculatus</v>
      </c>
      <c r="C32721" t="s">
        <v>8233</v>
      </c>
      <c r="D32721">
        <v>337</v>
      </c>
      <c r="E32721">
        <v>0</v>
      </c>
      <c r="F32721">
        <v>2633</v>
      </c>
    </row>
    <row r="32722" spans="1:6" ht="12.75">
      <c r="A32722" s="2">
        <v>43875.439930555556</v>
      </c>
      <c r="B32722" t="str">
        <f>HYPERLINK("https://twitter.com/nabilaaurelia28","@nabilaaurelia28")</f>
        <v>@nabilaaurelia28</v>
      </c>
      <c r="C32722" t="s">
        <v>2444</v>
      </c>
      <c r="D32722">
        <v>111</v>
      </c>
      <c r="E32722">
        <v>0</v>
      </c>
      <c r="F32722">
        <v>302</v>
      </c>
    </row>
    <row r="32723" spans="1:6" ht="12.75">
      <c r="A32723" s="2">
        <v>43875.439884259264</v>
      </c>
      <c r="B32723" t="str">
        <f>HYPERLINK("https://twitter.com/vantesight","@vantesight")</f>
        <v>@vantesight</v>
      </c>
      <c r="C32723" t="s">
        <v>2444</v>
      </c>
      <c r="D32723">
        <v>111</v>
      </c>
      <c r="E32723">
        <v>0</v>
      </c>
      <c r="F32723">
        <v>2243</v>
      </c>
    </row>
    <row r="32724" spans="1:6" ht="12.75">
      <c r="A32724" s="2">
        <v>43875.439872685187</v>
      </c>
      <c r="B32724" t="str">
        <f>HYPERLINK("https://twitter.com/Muttaqim22","@Muttaqim22")</f>
        <v>@Muttaqim22</v>
      </c>
      <c r="C32724" t="s">
        <v>13679</v>
      </c>
      <c r="D32724">
        <v>0</v>
      </c>
      <c r="E32724">
        <v>0</v>
      </c>
      <c r="F32724">
        <v>70</v>
      </c>
    </row>
    <row r="32725" spans="1:6" ht="12.75">
      <c r="A32725" s="2">
        <v>43875.439849537041</v>
      </c>
      <c r="B32725" t="str">
        <f>HYPERLINK("https://twitter.com/adita_zweima","@adita_zweima")</f>
        <v>@adita_zweima</v>
      </c>
      <c r="C32725" t="s">
        <v>2963</v>
      </c>
      <c r="D32725">
        <v>651</v>
      </c>
      <c r="E32725">
        <v>0</v>
      </c>
      <c r="F32725">
        <v>97</v>
      </c>
    </row>
    <row r="32726" spans="1:6" ht="12.75">
      <c r="A32726" s="2">
        <v>43875.439791666664</v>
      </c>
      <c r="B32726" t="str">
        <f>HYPERLINK("https://twitter.com/AlviskaGaN","@AlviskaGaN")</f>
        <v>@AlviskaGaN</v>
      </c>
      <c r="C32726" t="s">
        <v>2963</v>
      </c>
      <c r="D32726">
        <v>651</v>
      </c>
      <c r="E32726">
        <v>0</v>
      </c>
      <c r="F32726">
        <v>136</v>
      </c>
    </row>
    <row r="32727" spans="1:6" ht="12.75">
      <c r="A32727" s="2">
        <v>43875.439756944441</v>
      </c>
      <c r="B32727" t="str">
        <f>HYPERLINK("https://twitter.com/GYPrasetya","@GYPrasetya")</f>
        <v>@GYPrasetya</v>
      </c>
      <c r="C32727" t="s">
        <v>2134</v>
      </c>
      <c r="D32727">
        <v>980</v>
      </c>
      <c r="E32727">
        <v>0</v>
      </c>
      <c r="F32727">
        <v>3057</v>
      </c>
    </row>
    <row r="32728" spans="1:6" ht="12.75">
      <c r="A32728" s="2">
        <v>43875.439687499995</v>
      </c>
      <c r="B32728" t="str">
        <f>HYPERLINK("https://twitter.com/Abdurahman18981","@Abdurahman18981")</f>
        <v>@Abdurahman18981</v>
      </c>
      <c r="C32728" t="s">
        <v>10096</v>
      </c>
      <c r="D32728">
        <v>86</v>
      </c>
      <c r="E32728">
        <v>0</v>
      </c>
      <c r="F32728">
        <v>457</v>
      </c>
    </row>
    <row r="32729" spans="1:6" ht="12.75">
      <c r="A32729" s="2">
        <v>43875.43954861111</v>
      </c>
      <c r="B32729" t="str">
        <f>HYPERLINK("https://twitter.com/ZanstuyA","@ZanstuyA")</f>
        <v>@ZanstuyA</v>
      </c>
      <c r="C32729" t="s">
        <v>13680</v>
      </c>
      <c r="D32729">
        <v>0</v>
      </c>
      <c r="E32729">
        <v>1</v>
      </c>
      <c r="F32729">
        <v>14</v>
      </c>
    </row>
    <row r="32730" spans="1:6" ht="12.75">
      <c r="A32730" s="2">
        <v>43875.439537037033</v>
      </c>
      <c r="B32730" t="str">
        <f>HYPERLINK("https://twitter.com/angedespoir5","@angedespoir5")</f>
        <v>@angedespoir5</v>
      </c>
      <c r="C32730" t="s">
        <v>13681</v>
      </c>
      <c r="D32730">
        <v>1</v>
      </c>
      <c r="E32730">
        <v>0</v>
      </c>
      <c r="F32730">
        <v>4917</v>
      </c>
    </row>
    <row r="32731" spans="1:6" ht="12.75">
      <c r="A32731" s="2">
        <v>43875.43949074074</v>
      </c>
      <c r="B32731" t="str">
        <f>HYPERLINK("https://twitter.com/dvbdwish","@dvbdwish")</f>
        <v>@dvbdwish</v>
      </c>
      <c r="C32731" t="s">
        <v>11425</v>
      </c>
      <c r="D32731">
        <v>208</v>
      </c>
      <c r="E32731">
        <v>0</v>
      </c>
      <c r="F32731">
        <v>640</v>
      </c>
    </row>
    <row r="32732" spans="1:6" ht="12.75">
      <c r="A32732" s="2">
        <v>43875.439421296294</v>
      </c>
      <c r="B32732" t="str">
        <f>HYPERLINK("https://twitter.com/andy_nomicin","@andy_nomicin")</f>
        <v>@andy_nomicin</v>
      </c>
      <c r="C32732" t="s">
        <v>13682</v>
      </c>
      <c r="D32732">
        <v>1</v>
      </c>
      <c r="E32732">
        <v>0</v>
      </c>
      <c r="F32732">
        <v>7189</v>
      </c>
    </row>
    <row r="32733" spans="1:6" ht="12.75">
      <c r="A32733" s="2">
        <v>43875.439340277779</v>
      </c>
      <c r="B32733" t="str">
        <f>HYPERLINK("https://twitter.com/warta_lika","@warta_lika")</f>
        <v>@warta_lika</v>
      </c>
      <c r="C32733" t="s">
        <v>13683</v>
      </c>
      <c r="D32733">
        <v>0</v>
      </c>
      <c r="E32733">
        <v>0</v>
      </c>
      <c r="F32733">
        <v>75</v>
      </c>
    </row>
    <row r="32734" spans="1:6" ht="12.75">
      <c r="A32734" s="2">
        <v>43875.439259259263</v>
      </c>
      <c r="B32734" t="str">
        <f>HYPERLINK("https://twitter.com/NitaSellya","@NitaSellya")</f>
        <v>@NitaSellya</v>
      </c>
      <c r="C32734" t="s">
        <v>11460</v>
      </c>
      <c r="D32734">
        <v>15</v>
      </c>
      <c r="E32734">
        <v>0</v>
      </c>
      <c r="F32734">
        <v>44382</v>
      </c>
    </row>
    <row r="32735" spans="1:6" ht="12.75">
      <c r="A32735" s="2">
        <v>43875.439155092594</v>
      </c>
      <c r="B32735" t="str">
        <f>HYPERLINK("https://twitter.com/SutrisnoPradja","@SutrisnoPradja")</f>
        <v>@SutrisnoPradja</v>
      </c>
      <c r="C32735" t="s">
        <v>2963</v>
      </c>
      <c r="D32735">
        <v>651</v>
      </c>
      <c r="E32735">
        <v>0</v>
      </c>
      <c r="F32735">
        <v>254</v>
      </c>
    </row>
    <row r="32736" spans="1:6" ht="12.75">
      <c r="A32736" s="2">
        <v>43875.438888888893</v>
      </c>
      <c r="B32736" t="str">
        <f>HYPERLINK("https://twitter.com/mantugaul","@mantugaul")</f>
        <v>@mantugaul</v>
      </c>
      <c r="C32736" t="s">
        <v>13684</v>
      </c>
      <c r="D32736">
        <v>1</v>
      </c>
      <c r="E32736">
        <v>1</v>
      </c>
      <c r="F32736">
        <v>1370</v>
      </c>
    </row>
    <row r="32737" spans="1:6" ht="12.75">
      <c r="A32737" s="2">
        <v>43875.438715277778</v>
      </c>
      <c r="B32737" t="str">
        <f>HYPERLINK("https://twitter.com/Gun4w4nAhokers","@Gun4w4nAhokers")</f>
        <v>@Gun4w4nAhokers</v>
      </c>
      <c r="C32737" t="s">
        <v>13685</v>
      </c>
      <c r="D32737">
        <v>0</v>
      </c>
      <c r="E32737">
        <v>1</v>
      </c>
      <c r="F32737">
        <v>4165</v>
      </c>
    </row>
    <row r="32738" spans="1:6" ht="12.75">
      <c r="A32738" s="2">
        <v>43875.438668981486</v>
      </c>
      <c r="B32738" t="str">
        <f>HYPERLINK("https://twitter.com/AfriadiRosdi","@AfriadiRosdi")</f>
        <v>@AfriadiRosdi</v>
      </c>
      <c r="C32738" t="s">
        <v>13686</v>
      </c>
      <c r="D32738">
        <v>0</v>
      </c>
      <c r="E32738">
        <v>0</v>
      </c>
      <c r="F32738">
        <v>1238</v>
      </c>
    </row>
    <row r="32739" spans="1:6" ht="12.75">
      <c r="A32739" s="2">
        <v>43875.438634259262</v>
      </c>
      <c r="B32739" t="str">
        <f>HYPERLINK("https://twitter.com/PPutleeeee","@PPutleeeee")</f>
        <v>@PPutleeeee</v>
      </c>
      <c r="C32739" t="s">
        <v>12044</v>
      </c>
      <c r="D32739">
        <v>41</v>
      </c>
      <c r="E32739">
        <v>0</v>
      </c>
      <c r="F32739">
        <v>1036</v>
      </c>
    </row>
    <row r="32740" spans="1:6" ht="12.75">
      <c r="A32740" s="2">
        <v>43875.438622685186</v>
      </c>
      <c r="B32740" t="str">
        <f>HYPERLINK("https://twitter.com/maze2r","@maze2r")</f>
        <v>@maze2r</v>
      </c>
      <c r="C32740" t="s">
        <v>10330</v>
      </c>
      <c r="D32740">
        <v>201</v>
      </c>
      <c r="E32740">
        <v>0</v>
      </c>
      <c r="F32740">
        <v>402</v>
      </c>
    </row>
    <row r="32741" spans="1:6" ht="12.75">
      <c r="A32741" s="2">
        <v>43875.438587962963</v>
      </c>
      <c r="B32741" t="str">
        <f>HYPERLINK("https://twitter.com/jSancang","@jSancang")</f>
        <v>@jSancang</v>
      </c>
      <c r="C32741" t="s">
        <v>175</v>
      </c>
      <c r="D32741">
        <v>5248</v>
      </c>
      <c r="E32741">
        <v>0</v>
      </c>
      <c r="F32741">
        <v>23</v>
      </c>
    </row>
    <row r="32742" spans="1:6" ht="12.75">
      <c r="A32742" s="2">
        <v>43875.438541666663</v>
      </c>
      <c r="B32742" t="str">
        <f>HYPERLINK("https://twitter.com/SoundOfYogi","@SoundOfYogi")</f>
        <v>@SoundOfYogi</v>
      </c>
      <c r="C32742" t="s">
        <v>13687</v>
      </c>
      <c r="D32742">
        <v>0</v>
      </c>
      <c r="E32742">
        <v>0</v>
      </c>
      <c r="F32742">
        <v>37756</v>
      </c>
    </row>
    <row r="32743" spans="1:6" ht="12.75">
      <c r="A32743" s="2">
        <v>43875.438530092593</v>
      </c>
      <c r="B32743" t="str">
        <f>HYPERLINK("https://twitter.com/wasathiyyah","@wasathiyyah")</f>
        <v>@wasathiyyah</v>
      </c>
      <c r="C32743" t="s">
        <v>13578</v>
      </c>
      <c r="D32743">
        <v>0</v>
      </c>
      <c r="E32743">
        <v>0</v>
      </c>
      <c r="F32743">
        <v>129</v>
      </c>
    </row>
    <row r="32744" spans="1:6" ht="12.75">
      <c r="A32744" s="2">
        <v>43875.43850694444</v>
      </c>
      <c r="B32744" t="str">
        <f>HYPERLINK("https://twitter.com/bd6862","@bd6862")</f>
        <v>@bd6862</v>
      </c>
      <c r="C32744" t="s">
        <v>13688</v>
      </c>
      <c r="D32744">
        <v>0</v>
      </c>
      <c r="E32744">
        <v>0</v>
      </c>
      <c r="F32744">
        <v>1070</v>
      </c>
    </row>
    <row r="32745" spans="1:6" ht="12.75">
      <c r="A32745" s="2">
        <v>43875.438483796301</v>
      </c>
      <c r="B32745" t="str">
        <f>HYPERLINK("https://twitter.com/Pakdedy2","@Pakdedy2")</f>
        <v>@Pakdedy2</v>
      </c>
      <c r="C32745" t="s">
        <v>10422</v>
      </c>
      <c r="D32745">
        <v>57</v>
      </c>
      <c r="E32745">
        <v>0</v>
      </c>
      <c r="F32745">
        <v>268</v>
      </c>
    </row>
    <row r="32746" spans="1:6" ht="12.75">
      <c r="A32746" s="2">
        <v>43875.438437500001</v>
      </c>
      <c r="B32746" t="str">
        <f>HYPERLINK("https://twitter.com/muhyori","@muhyori")</f>
        <v>@muhyori</v>
      </c>
      <c r="C32746" t="s">
        <v>8233</v>
      </c>
      <c r="D32746">
        <v>337</v>
      </c>
      <c r="E32746">
        <v>0</v>
      </c>
      <c r="F32746">
        <v>636</v>
      </c>
    </row>
    <row r="32747" spans="1:6" ht="12.75">
      <c r="A32747" s="2">
        <v>43875.438425925924</v>
      </c>
      <c r="B32747" t="str">
        <f>HYPERLINK("https://twitter.com/genostlly","@genostlly")</f>
        <v>@genostlly</v>
      </c>
      <c r="C32747" t="s">
        <v>10032</v>
      </c>
      <c r="D32747">
        <v>24</v>
      </c>
      <c r="E32747">
        <v>0</v>
      </c>
      <c r="F32747">
        <v>704</v>
      </c>
    </row>
    <row r="32748" spans="1:6" ht="12.75">
      <c r="A32748" s="2">
        <v>43875.438414351855</v>
      </c>
      <c r="B32748" t="str">
        <f>HYPERLINK("https://twitter.com/bhaja27","@bhaja27")</f>
        <v>@bhaja27</v>
      </c>
      <c r="C32748" t="s">
        <v>9746</v>
      </c>
      <c r="D32748">
        <v>32</v>
      </c>
      <c r="E32748">
        <v>0</v>
      </c>
      <c r="F32748">
        <v>746</v>
      </c>
    </row>
    <row r="32749" spans="1:6" ht="12.75">
      <c r="A32749" s="2">
        <v>43875.438379629632</v>
      </c>
      <c r="B32749" t="str">
        <f>HYPERLINK("https://twitter.com/WellyIndra","@WellyIndra")</f>
        <v>@WellyIndra</v>
      </c>
      <c r="C32749" t="s">
        <v>13689</v>
      </c>
      <c r="D32749">
        <v>0</v>
      </c>
      <c r="E32749">
        <v>0</v>
      </c>
      <c r="F32749">
        <v>46</v>
      </c>
    </row>
    <row r="32750" spans="1:6" ht="12.75">
      <c r="A32750" s="2">
        <v>43875.438263888893</v>
      </c>
      <c r="B32750" t="str">
        <f>HYPERLINK("https://twitter.com/kazekage_sama","@kazekage_sama")</f>
        <v>@kazekage_sama</v>
      </c>
      <c r="C32750" t="s">
        <v>13690</v>
      </c>
      <c r="D32750">
        <v>0</v>
      </c>
      <c r="E32750">
        <v>0</v>
      </c>
      <c r="F32750">
        <v>40</v>
      </c>
    </row>
    <row r="32751" spans="1:6" ht="12.75">
      <c r="A32751" s="2">
        <v>43875.43822916667</v>
      </c>
      <c r="B32751" t="str">
        <f>HYPERLINK("https://twitter.com/Fm98Sonora","@Fm98Sonora")</f>
        <v>@Fm98Sonora</v>
      </c>
      <c r="C32751" t="s">
        <v>13604</v>
      </c>
      <c r="D32751">
        <v>3</v>
      </c>
      <c r="E32751">
        <v>0</v>
      </c>
      <c r="F32751">
        <v>18</v>
      </c>
    </row>
    <row r="32752" spans="1:6" ht="12.75">
      <c r="A32752" s="2">
        <v>43875.43813657407</v>
      </c>
      <c r="B32752" t="str">
        <f>HYPERLINK("https://twitter.com/Ngelmuco","@Ngelmuco")</f>
        <v>@Ngelmuco</v>
      </c>
      <c r="C32752" t="s">
        <v>13691</v>
      </c>
      <c r="D32752">
        <v>0</v>
      </c>
      <c r="E32752">
        <v>0</v>
      </c>
      <c r="F32752">
        <v>198</v>
      </c>
    </row>
    <row r="32753" spans="1:6" ht="12.75">
      <c r="A32753" s="2">
        <v>43875.438078703708</v>
      </c>
      <c r="B32753" t="str">
        <f>HYPERLINK("https://twitter.com/YohanesPatty2","@YohanesPatty2")</f>
        <v>@YohanesPatty2</v>
      </c>
      <c r="C32753" t="s">
        <v>13692</v>
      </c>
      <c r="D32753">
        <v>1</v>
      </c>
      <c r="E32753">
        <v>2</v>
      </c>
      <c r="F32753">
        <v>5540</v>
      </c>
    </row>
    <row r="32754" spans="1:6" ht="12.75">
      <c r="A32754" s="2">
        <v>43875.438067129631</v>
      </c>
      <c r="B32754" t="str">
        <f>HYPERLINK("https://twitter.com/iNewsID","@iNewsID")</f>
        <v>@iNewsID</v>
      </c>
      <c r="C32754" t="s">
        <v>13693</v>
      </c>
      <c r="D32754">
        <v>0</v>
      </c>
      <c r="E32754">
        <v>0</v>
      </c>
      <c r="F32754">
        <v>1252</v>
      </c>
    </row>
    <row r="32755" spans="1:6" ht="12.75">
      <c r="A32755" s="2">
        <v>43875.438067129631</v>
      </c>
      <c r="B32755" t="str">
        <f>HYPERLINK("https://twitter.com/19Bogy","@19Bogy")</f>
        <v>@19Bogy</v>
      </c>
      <c r="C32755" t="s">
        <v>13694</v>
      </c>
      <c r="D32755">
        <v>0</v>
      </c>
      <c r="E32755">
        <v>0</v>
      </c>
      <c r="F32755">
        <v>11</v>
      </c>
    </row>
    <row r="32756" spans="1:6" ht="12.75">
      <c r="A32756" s="2">
        <v>43875.438009259262</v>
      </c>
      <c r="B32756" t="str">
        <f>HYPERLINK("https://twitter.com/alexagung_","@alexagung_")</f>
        <v>@alexagung_</v>
      </c>
      <c r="C32756" t="s">
        <v>13695</v>
      </c>
      <c r="D32756">
        <v>0</v>
      </c>
      <c r="E32756">
        <v>0</v>
      </c>
      <c r="F32756">
        <v>5</v>
      </c>
    </row>
    <row r="32757" spans="1:6" ht="12.75">
      <c r="A32757" s="2">
        <v>43875.437997685185</v>
      </c>
      <c r="B32757" t="str">
        <f>HYPERLINK("https://twitter.com/maswisnu_","@maswisnu_")</f>
        <v>@maswisnu_</v>
      </c>
      <c r="C32757" t="s">
        <v>13696</v>
      </c>
      <c r="D32757">
        <v>3</v>
      </c>
      <c r="E32757">
        <v>0</v>
      </c>
      <c r="F32757">
        <v>390</v>
      </c>
    </row>
    <row r="32758" spans="1:6" ht="12.75">
      <c r="A32758" s="2">
        <v>43875.437974537039</v>
      </c>
      <c r="B32758" t="str">
        <f>HYPERLINK("https://twitter.com/budhartono","@budhartono")</f>
        <v>@budhartono</v>
      </c>
      <c r="C32758" t="s">
        <v>10196</v>
      </c>
      <c r="D32758">
        <v>136</v>
      </c>
      <c r="E32758">
        <v>0</v>
      </c>
      <c r="F32758">
        <v>548</v>
      </c>
    </row>
    <row r="32759" spans="1:6" ht="12.75">
      <c r="A32759" s="2">
        <v>43875.43787037037</v>
      </c>
      <c r="B32759" t="str">
        <f>HYPERLINK("https://twitter.com/nananey","@nananey")</f>
        <v>@nananey</v>
      </c>
      <c r="C32759" t="s">
        <v>13697</v>
      </c>
      <c r="D32759">
        <v>0</v>
      </c>
      <c r="E32759">
        <v>0</v>
      </c>
      <c r="F32759">
        <v>83</v>
      </c>
    </row>
    <row r="32760" spans="1:6" ht="12.75">
      <c r="A32760" s="2">
        <v>43875.437708333338</v>
      </c>
      <c r="B32760" t="str">
        <f>HYPERLINK("https://twitter.com/astra_jinggaa","@astra_jinggaa")</f>
        <v>@astra_jinggaa</v>
      </c>
      <c r="C32760" t="s">
        <v>175</v>
      </c>
      <c r="D32760">
        <v>5248</v>
      </c>
      <c r="E32760">
        <v>0</v>
      </c>
      <c r="F32760">
        <v>7</v>
      </c>
    </row>
    <row r="32761" spans="1:6" ht="12.75">
      <c r="A32761" s="2">
        <v>43875.437708333338</v>
      </c>
      <c r="B32761" t="str">
        <f>HYPERLINK("https://twitter.com/arny1011","@arny1011")</f>
        <v>@arny1011</v>
      </c>
      <c r="C32761" t="s">
        <v>7295</v>
      </c>
      <c r="D32761">
        <v>1803</v>
      </c>
      <c r="E32761">
        <v>0</v>
      </c>
      <c r="F32761">
        <v>895</v>
      </c>
    </row>
    <row r="32762" spans="1:6" ht="12.75">
      <c r="A32762" s="2">
        <v>43875.437650462962</v>
      </c>
      <c r="B32762" t="str">
        <f>HYPERLINK("https://twitter.com/1984Gobul","@1984Gobul")</f>
        <v>@1984Gobul</v>
      </c>
      <c r="C32762" t="s">
        <v>9998</v>
      </c>
      <c r="D32762">
        <v>80</v>
      </c>
      <c r="E32762">
        <v>0</v>
      </c>
      <c r="F32762">
        <v>5</v>
      </c>
    </row>
    <row r="32763" spans="1:6" ht="12.75">
      <c r="A32763" s="2">
        <v>43875.437604166669</v>
      </c>
      <c r="B32763" t="str">
        <f>HYPERLINK("https://twitter.com/hanafiwiro","@hanafiwiro")</f>
        <v>@hanafiwiro</v>
      </c>
      <c r="C32763" t="s">
        <v>13698</v>
      </c>
      <c r="D32763">
        <v>0</v>
      </c>
      <c r="E32763">
        <v>0</v>
      </c>
      <c r="F32763">
        <v>61</v>
      </c>
    </row>
    <row r="32764" spans="1:6" ht="12.75">
      <c r="A32764" s="2">
        <v>43875.437592592592</v>
      </c>
      <c r="B32764" t="str">
        <f>HYPERLINK("https://twitter.com/iNewsID","@iNewsID")</f>
        <v>@iNewsID</v>
      </c>
      <c r="C32764" t="s">
        <v>13699</v>
      </c>
      <c r="D32764">
        <v>0</v>
      </c>
      <c r="E32764">
        <v>0</v>
      </c>
      <c r="F32764">
        <v>1252</v>
      </c>
    </row>
    <row r="32765" spans="1:6" ht="12.75">
      <c r="A32765" s="2">
        <v>43875.437546296293</v>
      </c>
      <c r="B32765" t="str">
        <f>HYPERLINK("https://twitter.com/KontanNews","@KontanNews")</f>
        <v>@KontanNews</v>
      </c>
      <c r="C32765" t="s">
        <v>13700</v>
      </c>
      <c r="D32765">
        <v>3</v>
      </c>
      <c r="E32765">
        <v>2</v>
      </c>
      <c r="F32765">
        <v>316275</v>
      </c>
    </row>
    <row r="32766" spans="1:6" ht="12.75">
      <c r="A32766" s="2">
        <v>43875.4375</v>
      </c>
      <c r="B32766" t="str">
        <f>HYPERLINK("https://twitter.com/radarbogorID","@radarbogorID")</f>
        <v>@radarbogorID</v>
      </c>
      <c r="C32766" t="s">
        <v>13701</v>
      </c>
      <c r="D32766">
        <v>0</v>
      </c>
      <c r="E32766">
        <v>0</v>
      </c>
      <c r="F32766">
        <v>1580</v>
      </c>
    </row>
    <row r="32767" spans="1:6" ht="12.75">
      <c r="A32767" s="2">
        <v>43875.437476851846</v>
      </c>
      <c r="B32767" t="str">
        <f>HYPERLINK("https://twitter.com/ajikicu","@ajikicu")</f>
        <v>@ajikicu</v>
      </c>
      <c r="C32767" t="s">
        <v>8233</v>
      </c>
      <c r="D32767">
        <v>337</v>
      </c>
      <c r="E32767">
        <v>0</v>
      </c>
      <c r="F32767">
        <v>512</v>
      </c>
    </row>
    <row r="32768" spans="1:6" ht="12.75">
      <c r="A32768" s="2">
        <v>43875.437256944446</v>
      </c>
      <c r="B32768" t="str">
        <f>HYPERLINK("https://twitter.com/brotherkicay","@brotherkicay")</f>
        <v>@brotherkicay</v>
      </c>
      <c r="C32768" t="s">
        <v>2963</v>
      </c>
      <c r="D32768">
        <v>651</v>
      </c>
      <c r="E32768">
        <v>0</v>
      </c>
      <c r="F32768">
        <v>57</v>
      </c>
    </row>
    <row r="32769" spans="1:6" ht="12.75">
      <c r="A32769" s="2">
        <v>43875.4372337963</v>
      </c>
      <c r="B32769" t="str">
        <f>HYPERLINK("https://twitter.com/SatuLag06404419","@SatuLag06404419")</f>
        <v>@SatuLag06404419</v>
      </c>
      <c r="C32769" t="s">
        <v>7373</v>
      </c>
      <c r="D32769">
        <v>64</v>
      </c>
      <c r="E32769">
        <v>0</v>
      </c>
      <c r="F32769">
        <v>37</v>
      </c>
    </row>
    <row r="32770" spans="1:6" ht="12.75">
      <c r="A32770" s="2">
        <v>43875.437048611115</v>
      </c>
      <c r="B32770" t="str">
        <f>HYPERLINK("https://twitter.com/bbaaaaaaaaaaaal","@bbaaaaaaaaaaaal")</f>
        <v>@bbaaaaaaaaaaaal</v>
      </c>
      <c r="C32770" t="s">
        <v>2444</v>
      </c>
      <c r="D32770">
        <v>111</v>
      </c>
      <c r="E32770">
        <v>0</v>
      </c>
      <c r="F32770">
        <v>623</v>
      </c>
    </row>
    <row r="32771" spans="1:6" ht="12.75">
      <c r="A32771" s="2">
        <v>43875.436979166669</v>
      </c>
      <c r="B32771" t="str">
        <f>HYPERLINK("https://twitter.com/nananey","@nananey")</f>
        <v>@nananey</v>
      </c>
      <c r="C32771" t="s">
        <v>12088</v>
      </c>
      <c r="D32771">
        <v>7</v>
      </c>
      <c r="E32771">
        <v>0</v>
      </c>
      <c r="F32771">
        <v>83</v>
      </c>
    </row>
    <row r="32772" spans="1:6" ht="12.75">
      <c r="A32772" s="2">
        <v>43875.436944444446</v>
      </c>
      <c r="B32772" t="str">
        <f>HYPERLINK("https://twitter.com/mmendyy","@mmendyy")</f>
        <v>@mmendyy</v>
      </c>
      <c r="C32772" t="s">
        <v>13702</v>
      </c>
      <c r="D32772">
        <v>0</v>
      </c>
      <c r="E32772">
        <v>0</v>
      </c>
      <c r="F32772">
        <v>235</v>
      </c>
    </row>
    <row r="32773" spans="1:6" ht="12.75">
      <c r="A32773" s="2">
        <v>43875.436932870369</v>
      </c>
      <c r="B32773" t="str">
        <f>HYPERLINK("https://twitter.com/dutadamaisulsel","@dutadamaisulsel")</f>
        <v>@dutadamaisulsel</v>
      </c>
      <c r="C32773" t="s">
        <v>13703</v>
      </c>
      <c r="D32773">
        <v>69</v>
      </c>
      <c r="E32773">
        <v>0</v>
      </c>
      <c r="F32773">
        <v>23</v>
      </c>
    </row>
    <row r="32774" spans="1:6" ht="12.75">
      <c r="A32774" s="2">
        <v>43875.436909722222</v>
      </c>
      <c r="B32774" t="str">
        <f>HYPERLINK("https://twitter.com/cagubnyinyir2","@cagubnyinyir2")</f>
        <v>@cagubnyinyir2</v>
      </c>
      <c r="C32774" t="s">
        <v>13704</v>
      </c>
      <c r="D32774">
        <v>0</v>
      </c>
      <c r="E32774">
        <v>2</v>
      </c>
      <c r="F32774">
        <v>4234</v>
      </c>
    </row>
    <row r="32775" spans="1:6" ht="12.75">
      <c r="A32775" s="2">
        <v>43875.436874999999</v>
      </c>
      <c r="B32775" t="str">
        <f>HYPERLINK("https://twitter.com/husnulkhatimh","@husnulkhatimh")</f>
        <v>@husnulkhatimh</v>
      </c>
      <c r="C32775" t="s">
        <v>11425</v>
      </c>
      <c r="D32775">
        <v>208</v>
      </c>
      <c r="E32775">
        <v>0</v>
      </c>
      <c r="F32775">
        <v>668</v>
      </c>
    </row>
    <row r="32776" spans="1:6" ht="12.75">
      <c r="A32776" s="2">
        <v>43875.436620370368</v>
      </c>
      <c r="B32776" t="str">
        <f>HYPERLINK("https://twitter.com/ditaaabokin","@ditaaabokin")</f>
        <v>@ditaaabokin</v>
      </c>
      <c r="C32776" t="s">
        <v>13705</v>
      </c>
      <c r="D32776">
        <v>0</v>
      </c>
      <c r="E32776">
        <v>0</v>
      </c>
      <c r="F32776">
        <v>429</v>
      </c>
    </row>
    <row r="32777" spans="1:6" ht="12.75">
      <c r="A32777" s="2">
        <v>43875.436608796299</v>
      </c>
      <c r="B32777" t="str">
        <f>HYPERLINK("https://twitter.com/riza_ajir","@riza_ajir")</f>
        <v>@riza_ajir</v>
      </c>
      <c r="C32777" t="s">
        <v>11425</v>
      </c>
      <c r="D32777">
        <v>208</v>
      </c>
      <c r="E32777">
        <v>0</v>
      </c>
      <c r="F32777">
        <v>417</v>
      </c>
    </row>
    <row r="32778" spans="1:6" ht="12.75">
      <c r="A32778" s="2">
        <v>43875.436597222222</v>
      </c>
      <c r="B32778" t="str">
        <f>HYPERLINK("https://twitter.com/desratobing","@desratobing")</f>
        <v>@desratobing</v>
      </c>
      <c r="C32778" t="s">
        <v>2144</v>
      </c>
      <c r="D32778">
        <v>52</v>
      </c>
      <c r="E32778">
        <v>0</v>
      </c>
      <c r="F32778">
        <v>439</v>
      </c>
    </row>
    <row r="32779" spans="1:6" ht="12.75">
      <c r="A32779" s="2">
        <v>43875.436574074076</v>
      </c>
      <c r="B32779" t="str">
        <f>HYPERLINK("https://twitter.com/HeriFerdinand5","@HeriFerdinand5")</f>
        <v>@HeriFerdinand5</v>
      </c>
      <c r="C32779" t="s">
        <v>10795</v>
      </c>
      <c r="D32779">
        <v>1</v>
      </c>
      <c r="E32779">
        <v>0</v>
      </c>
      <c r="F32779">
        <v>2846</v>
      </c>
    </row>
    <row r="32780" spans="1:6" ht="12.75">
      <c r="A32780" s="2">
        <v>43875.436574074076</v>
      </c>
      <c r="B32780" t="str">
        <f>HYPERLINK("https://twitter.com/Ari3Pras","@Ari3Pras")</f>
        <v>@Ari3Pras</v>
      </c>
      <c r="C32780" t="s">
        <v>13639</v>
      </c>
      <c r="D32780">
        <v>4</v>
      </c>
      <c r="E32780">
        <v>0</v>
      </c>
      <c r="F32780">
        <v>7285</v>
      </c>
    </row>
    <row r="32781" spans="1:6" ht="12.75">
      <c r="A32781" s="2">
        <v>43875.436562499999</v>
      </c>
      <c r="B32781" t="str">
        <f>HYPERLINK("https://twitter.com/saygraita","@saygraita")</f>
        <v>@saygraita</v>
      </c>
      <c r="C32781" t="s">
        <v>9021</v>
      </c>
      <c r="D32781">
        <v>168</v>
      </c>
      <c r="E32781">
        <v>0</v>
      </c>
      <c r="F32781">
        <v>125</v>
      </c>
    </row>
    <row r="32782" spans="1:6" ht="12.75">
      <c r="A32782" s="2">
        <v>43875.436550925922</v>
      </c>
      <c r="B32782" t="str">
        <f>HYPERLINK("https://twitter.com/Fahmunab","@Fahmunab")</f>
        <v>@Fahmunab</v>
      </c>
      <c r="C32782" t="s">
        <v>5168</v>
      </c>
      <c r="D32782">
        <v>498</v>
      </c>
      <c r="E32782">
        <v>0</v>
      </c>
      <c r="F32782">
        <v>29</v>
      </c>
    </row>
    <row r="32783" spans="1:6" ht="12.75">
      <c r="A32783" s="2">
        <v>43875.436539351853</v>
      </c>
      <c r="B32783" t="str">
        <f>HYPERLINK("https://twitter.com/antar_kabar","@antar_kabar")</f>
        <v>@antar_kabar</v>
      </c>
      <c r="C32783" t="s">
        <v>13706</v>
      </c>
      <c r="D32783">
        <v>0</v>
      </c>
      <c r="E32783">
        <v>0</v>
      </c>
      <c r="F32783">
        <v>1128</v>
      </c>
    </row>
    <row r="32784" spans="1:6" ht="12.75">
      <c r="A32784" s="2">
        <v>43875.436527777776</v>
      </c>
      <c r="B32784" t="str">
        <f>HYPERLINK("https://twitter.com/Nocturnal_users","@Nocturnal_users")</f>
        <v>@Nocturnal_users</v>
      </c>
      <c r="C32784" t="s">
        <v>13477</v>
      </c>
      <c r="D32784">
        <v>19</v>
      </c>
      <c r="E32784">
        <v>0</v>
      </c>
      <c r="F32784">
        <v>426</v>
      </c>
    </row>
    <row r="32785" spans="1:6" ht="12.75">
      <c r="A32785" s="2">
        <v>43875.436388888891</v>
      </c>
      <c r="B32785" t="str">
        <f>HYPERLINK("https://twitter.com/budhartono","@budhartono")</f>
        <v>@budhartono</v>
      </c>
      <c r="C32785" t="s">
        <v>10319</v>
      </c>
      <c r="D32785">
        <v>150</v>
      </c>
      <c r="E32785">
        <v>0</v>
      </c>
      <c r="F32785">
        <v>548</v>
      </c>
    </row>
    <row r="32786" spans="1:6" ht="12.75">
      <c r="A32786" s="2">
        <v>43875.436365740738</v>
      </c>
      <c r="B32786" t="str">
        <f>HYPERLINK("https://twitter.com/Je_Ly","@Je_Ly")</f>
        <v>@Je_Ly</v>
      </c>
      <c r="C32786" t="s">
        <v>13639</v>
      </c>
      <c r="D32786">
        <v>4</v>
      </c>
      <c r="E32786">
        <v>0</v>
      </c>
      <c r="F32786">
        <v>16555</v>
      </c>
    </row>
    <row r="32787" spans="1:6" ht="12.75">
      <c r="A32787" s="2">
        <v>43875.436342592591</v>
      </c>
      <c r="B32787" t="str">
        <f>HYPERLINK("https://twitter.com/doyokijay","@doyokijay")</f>
        <v>@doyokijay</v>
      </c>
      <c r="C32787" t="s">
        <v>2963</v>
      </c>
      <c r="D32787">
        <v>651</v>
      </c>
      <c r="E32787">
        <v>0</v>
      </c>
      <c r="F32787">
        <v>305</v>
      </c>
    </row>
    <row r="32788" spans="1:6" ht="12.75">
      <c r="A32788" s="2">
        <v>43875.436307870375</v>
      </c>
      <c r="B32788" t="str">
        <f>HYPERLINK("https://twitter.com/yudiwijayaa","@yudiwijayaa")</f>
        <v>@yudiwijayaa</v>
      </c>
      <c r="C32788" t="s">
        <v>13707</v>
      </c>
      <c r="D32788">
        <v>0</v>
      </c>
      <c r="E32788">
        <v>0</v>
      </c>
      <c r="F32788">
        <v>276</v>
      </c>
    </row>
    <row r="32789" spans="1:6" ht="12.75">
      <c r="A32789" s="2">
        <v>43875.436238425929</v>
      </c>
      <c r="B32789" t="str">
        <f>HYPERLINK("https://twitter.com/frikarashi","@frikarashi")</f>
        <v>@frikarashi</v>
      </c>
      <c r="C32789" t="s">
        <v>2444</v>
      </c>
      <c r="D32789">
        <v>111</v>
      </c>
      <c r="E32789">
        <v>0</v>
      </c>
      <c r="F32789">
        <v>218</v>
      </c>
    </row>
    <row r="32790" spans="1:6" ht="12.75">
      <c r="A32790" s="2">
        <v>43875.436192129629</v>
      </c>
      <c r="B32790" t="str">
        <f>HYPERLINK("https://twitter.com/ndrewwolf","@ndrewwolf")</f>
        <v>@ndrewwolf</v>
      </c>
      <c r="C32790" t="s">
        <v>13708</v>
      </c>
      <c r="D32790">
        <v>0</v>
      </c>
      <c r="E32790">
        <v>0</v>
      </c>
      <c r="F32790">
        <v>3811</v>
      </c>
    </row>
    <row r="32791" spans="1:6" ht="12.75">
      <c r="A32791" s="2">
        <v>43875.43613425926</v>
      </c>
      <c r="B32791" t="str">
        <f>HYPERLINK("https://twitter.com/miho17972","@miho17972")</f>
        <v>@miho17972</v>
      </c>
      <c r="C32791" t="s">
        <v>2963</v>
      </c>
      <c r="D32791">
        <v>651</v>
      </c>
      <c r="E32791">
        <v>0</v>
      </c>
      <c r="F32791">
        <v>94</v>
      </c>
    </row>
    <row r="32792" spans="1:6" ht="12.75">
      <c r="A32792" s="2">
        <v>43875.436122685191</v>
      </c>
      <c r="B32792" t="str">
        <f>HYPERLINK("https://twitter.com/kentudoosh","@kentudoosh")</f>
        <v>@kentudoosh</v>
      </c>
      <c r="C32792" t="s">
        <v>5168</v>
      </c>
      <c r="D32792">
        <v>498</v>
      </c>
      <c r="E32792">
        <v>0</v>
      </c>
      <c r="F32792">
        <v>404</v>
      </c>
    </row>
    <row r="32793" spans="1:6" ht="12.75">
      <c r="A32793" s="2">
        <v>43875.436099537037</v>
      </c>
      <c r="B32793" t="str">
        <f>HYPERLINK("https://twitter.com/suryalesmaana","@suryalesmaana")</f>
        <v>@suryalesmaana</v>
      </c>
      <c r="C32793" t="s">
        <v>2963</v>
      </c>
      <c r="D32793">
        <v>651</v>
      </c>
      <c r="E32793">
        <v>0</v>
      </c>
      <c r="F32793">
        <v>279</v>
      </c>
    </row>
    <row r="32794" spans="1:6" ht="12.75">
      <c r="A32794" s="2">
        <v>43875.435844907406</v>
      </c>
      <c r="B32794" t="str">
        <f>HYPERLINK("https://twitter.com/mmendyy","@mmendyy")</f>
        <v>@mmendyy</v>
      </c>
      <c r="C32794" t="s">
        <v>13709</v>
      </c>
      <c r="D32794">
        <v>0</v>
      </c>
      <c r="E32794">
        <v>0</v>
      </c>
      <c r="F32794">
        <v>235</v>
      </c>
    </row>
    <row r="32795" spans="1:6" ht="12.75">
      <c r="A32795" s="2">
        <v>43875.435798611114</v>
      </c>
      <c r="B32795" t="str">
        <f>HYPERLINK("https://twitter.com/kangnday","@kangnday")</f>
        <v>@kangnday</v>
      </c>
      <c r="C32795" t="s">
        <v>11425</v>
      </c>
      <c r="D32795">
        <v>208</v>
      </c>
      <c r="E32795">
        <v>0</v>
      </c>
      <c r="F32795">
        <v>81</v>
      </c>
    </row>
    <row r="32796" spans="1:6" ht="12.75">
      <c r="A32796" s="2">
        <v>43875.435752314814</v>
      </c>
      <c r="B32796" t="str">
        <f>HYPERLINK("https://twitter.com/andy_nomicin","@andy_nomicin")</f>
        <v>@andy_nomicin</v>
      </c>
      <c r="C32796" t="s">
        <v>13710</v>
      </c>
      <c r="D32796">
        <v>2</v>
      </c>
      <c r="E32796">
        <v>0</v>
      </c>
      <c r="F32796">
        <v>7189</v>
      </c>
    </row>
    <row r="32797" spans="1:6" ht="12.75">
      <c r="A32797" s="2">
        <v>43875.435752314814</v>
      </c>
      <c r="B32797" t="str">
        <f>HYPERLINK("https://twitter.com/twmanado","@twmanado")</f>
        <v>@twmanado</v>
      </c>
      <c r="C32797" t="s">
        <v>8881</v>
      </c>
      <c r="D32797">
        <v>262</v>
      </c>
      <c r="E32797">
        <v>0</v>
      </c>
      <c r="F32797">
        <v>197</v>
      </c>
    </row>
    <row r="32798" spans="1:6" ht="12.75">
      <c r="A32798" s="2">
        <v>43875.435659722221</v>
      </c>
      <c r="B32798" t="str">
        <f>HYPERLINK("https://twitter.com/ssringo","@ssringo")</f>
        <v>@ssringo</v>
      </c>
      <c r="C32798" t="s">
        <v>13711</v>
      </c>
      <c r="D32798">
        <v>0</v>
      </c>
      <c r="E32798">
        <v>1</v>
      </c>
      <c r="F32798">
        <v>274</v>
      </c>
    </row>
    <row r="32799" spans="1:6" ht="12.75">
      <c r="A32799" s="2">
        <v>43875.435590277775</v>
      </c>
      <c r="B32799" t="str">
        <f>HYPERLINK("https://twitter.com/SatuLag06404419","@SatuLag06404419")</f>
        <v>@SatuLag06404419</v>
      </c>
      <c r="C32799" t="s">
        <v>9113</v>
      </c>
      <c r="D32799">
        <v>264</v>
      </c>
      <c r="E32799">
        <v>0</v>
      </c>
      <c r="F32799">
        <v>37</v>
      </c>
    </row>
    <row r="32800" spans="1:6" ht="12.75">
      <c r="A32800" s="2">
        <v>43875.435567129629</v>
      </c>
      <c r="B32800" t="str">
        <f>HYPERLINK("https://twitter.com/DadiPujiadiReza","@DadiPujiadiReza")</f>
        <v>@DadiPujiadiReza</v>
      </c>
      <c r="C32800" t="s">
        <v>2963</v>
      </c>
      <c r="D32800">
        <v>651</v>
      </c>
      <c r="E32800">
        <v>0</v>
      </c>
      <c r="F32800">
        <v>1751</v>
      </c>
    </row>
    <row r="32801" spans="1:6" ht="12.75">
      <c r="A32801" s="2">
        <v>43875.435532407406</v>
      </c>
      <c r="B32801" t="str">
        <f>HYPERLINK("https://twitter.com/elbynz","@elbynz")</f>
        <v>@elbynz</v>
      </c>
      <c r="C32801" t="s">
        <v>9211</v>
      </c>
      <c r="D32801">
        <v>22</v>
      </c>
      <c r="E32801">
        <v>0</v>
      </c>
      <c r="F32801">
        <v>1323</v>
      </c>
    </row>
    <row r="32802" spans="1:6" ht="12.75">
      <c r="A32802" s="2">
        <v>43875.435370370367</v>
      </c>
      <c r="B32802" t="str">
        <f>HYPERLINK("https://twitter.com/randualit","@randualit")</f>
        <v>@randualit</v>
      </c>
      <c r="C32802" t="s">
        <v>2963</v>
      </c>
      <c r="D32802">
        <v>651</v>
      </c>
      <c r="E32802">
        <v>0</v>
      </c>
      <c r="F32802">
        <v>7554</v>
      </c>
    </row>
    <row r="32803" spans="1:6" ht="12.75">
      <c r="A32803" s="2">
        <v>43875.435347222221</v>
      </c>
      <c r="B32803" t="str">
        <f>HYPERLINK("https://twitter.com/akhmaaddri_","@akhmaaddri_")</f>
        <v>@akhmaaddri_</v>
      </c>
      <c r="C32803" t="s">
        <v>13712</v>
      </c>
      <c r="D32803">
        <v>30</v>
      </c>
      <c r="E32803">
        <v>0</v>
      </c>
      <c r="F32803">
        <v>540</v>
      </c>
    </row>
    <row r="32804" spans="1:6" ht="12.75">
      <c r="A32804" s="2">
        <v>43875.435312500005</v>
      </c>
      <c r="B32804" t="str">
        <f>HYPERLINK("https://twitter.com/RonaldLampard8","@RonaldLampard8")</f>
        <v>@RonaldLampard8</v>
      </c>
      <c r="C32804" t="s">
        <v>2963</v>
      </c>
      <c r="D32804">
        <v>651</v>
      </c>
      <c r="E32804">
        <v>0</v>
      </c>
      <c r="F32804">
        <v>2999</v>
      </c>
    </row>
    <row r="32805" spans="1:6" ht="12.75">
      <c r="A32805" s="2">
        <v>43875.435266203705</v>
      </c>
      <c r="B32805" t="str">
        <f>HYPERLINK("https://twitter.com/jeff_ikhlas","@jeff_ikhlas")</f>
        <v>@jeff_ikhlas</v>
      </c>
      <c r="C32805" t="s">
        <v>10096</v>
      </c>
      <c r="D32805">
        <v>86</v>
      </c>
      <c r="E32805">
        <v>0</v>
      </c>
      <c r="F32805">
        <v>602</v>
      </c>
    </row>
    <row r="32806" spans="1:6" ht="12.75">
      <c r="A32806" s="2">
        <v>43875.435243055559</v>
      </c>
      <c r="B32806" t="str">
        <f>HYPERLINK("https://twitter.com/mmendyy","@mmendyy")</f>
        <v>@mmendyy</v>
      </c>
      <c r="C32806" t="s">
        <v>13713</v>
      </c>
      <c r="D32806">
        <v>0</v>
      </c>
      <c r="E32806">
        <v>0</v>
      </c>
      <c r="F32806">
        <v>235</v>
      </c>
    </row>
    <row r="32807" spans="1:6" ht="12.75">
      <c r="A32807" s="2">
        <v>43875.43513888889</v>
      </c>
      <c r="B32807" t="str">
        <f>HYPERLINK("https://twitter.com/Prabowobhp","@Prabowobhp")</f>
        <v>@Prabowobhp</v>
      </c>
      <c r="C32807" t="s">
        <v>2963</v>
      </c>
      <c r="D32807">
        <v>651</v>
      </c>
      <c r="E32807">
        <v>0</v>
      </c>
      <c r="F32807">
        <v>702</v>
      </c>
    </row>
    <row r="32808" spans="1:6" ht="12.75">
      <c r="A32808" s="2">
        <v>43875.434965277775</v>
      </c>
      <c r="B32808" t="str">
        <f>HYPERLINK("https://twitter.com/della_nl","@della_nl")</f>
        <v>@della_nl</v>
      </c>
      <c r="C32808" t="s">
        <v>13714</v>
      </c>
      <c r="D32808">
        <v>5</v>
      </c>
      <c r="E32808">
        <v>0</v>
      </c>
      <c r="F32808">
        <v>615</v>
      </c>
    </row>
    <row r="32809" spans="1:6" ht="12.75">
      <c r="A32809" s="2">
        <v>43875.434953703705</v>
      </c>
      <c r="B32809" t="str">
        <f>HYPERLINK("https://twitter.com/Boyzneboyzone","@Boyzneboyzone")</f>
        <v>@Boyzneboyzone</v>
      </c>
      <c r="C32809" t="s">
        <v>13715</v>
      </c>
      <c r="D32809">
        <v>0</v>
      </c>
      <c r="E32809">
        <v>1</v>
      </c>
      <c r="F32809">
        <v>1738</v>
      </c>
    </row>
    <row r="32810" spans="1:6" ht="12.75">
      <c r="A32810" s="2">
        <v>43875.434942129628</v>
      </c>
      <c r="B32810" t="str">
        <f>HYPERLINK("https://twitter.com/hiz_nidaulhaq","@hiz_nidaulhaq")</f>
        <v>@hiz_nidaulhaq</v>
      </c>
      <c r="C32810" t="s">
        <v>9998</v>
      </c>
      <c r="D32810">
        <v>80</v>
      </c>
      <c r="E32810">
        <v>0</v>
      </c>
      <c r="F32810">
        <v>236</v>
      </c>
    </row>
    <row r="32811" spans="1:6" ht="12.75">
      <c r="A32811" s="2">
        <v>43875.434837962966</v>
      </c>
      <c r="B32811" t="str">
        <f>HYPERLINK("https://twitter.com/ewin8923","@ewin8923")</f>
        <v>@ewin8923</v>
      </c>
      <c r="C32811" t="s">
        <v>2122</v>
      </c>
      <c r="D32811">
        <v>187</v>
      </c>
      <c r="E32811">
        <v>0</v>
      </c>
      <c r="F32811">
        <v>1003</v>
      </c>
    </row>
    <row r="32812" spans="1:6" ht="12.75">
      <c r="A32812" s="2">
        <v>43875.434652777782</v>
      </c>
      <c r="B32812" t="str">
        <f>HYPERLINK("https://twitter.com/Eyang_Abiyoso","@Eyang_Abiyoso")</f>
        <v>@Eyang_Abiyoso</v>
      </c>
      <c r="C32812" t="s">
        <v>13716</v>
      </c>
      <c r="D32812">
        <v>0</v>
      </c>
      <c r="E32812">
        <v>0</v>
      </c>
      <c r="F32812">
        <v>564</v>
      </c>
    </row>
    <row r="32813" spans="1:6" ht="12.75">
      <c r="A32813" s="2">
        <v>43875.434548611112</v>
      </c>
      <c r="B32813" t="str">
        <f>HYPERLINK("https://twitter.com/gumbiraty","@gumbiraty")</f>
        <v>@gumbiraty</v>
      </c>
      <c r="C32813" t="s">
        <v>175</v>
      </c>
      <c r="D32813">
        <v>5248</v>
      </c>
      <c r="E32813">
        <v>0</v>
      </c>
      <c r="F32813">
        <v>9</v>
      </c>
    </row>
    <row r="32814" spans="1:6" ht="12.75">
      <c r="A32814" s="2">
        <v>43875.434398148151</v>
      </c>
      <c r="B32814" t="str">
        <f>HYPERLINK("https://twitter.com/infoPKC","@infoPKC")</f>
        <v>@infoPKC</v>
      </c>
      <c r="C32814" t="s">
        <v>13717</v>
      </c>
      <c r="D32814">
        <v>0</v>
      </c>
      <c r="E32814">
        <v>0</v>
      </c>
      <c r="F32814">
        <v>2173</v>
      </c>
    </row>
    <row r="32815" spans="1:6" ht="12.75">
      <c r="A32815" s="2">
        <v>43875.434351851851</v>
      </c>
      <c r="B32815" t="str">
        <f>HYPERLINK("https://twitter.com/Oookurr","@Oookurr")</f>
        <v>@Oookurr</v>
      </c>
      <c r="C32815" t="s">
        <v>2137</v>
      </c>
      <c r="D32815">
        <v>41</v>
      </c>
      <c r="E32815">
        <v>0</v>
      </c>
      <c r="F32815">
        <v>33</v>
      </c>
    </row>
    <row r="32816" spans="1:6" ht="12.75">
      <c r="A32816" s="2">
        <v>43875.434236111112</v>
      </c>
      <c r="B32816" t="str">
        <f>HYPERLINK("https://twitter.com/fahmieoracle","@fahmieoracle")</f>
        <v>@fahmieoracle</v>
      </c>
      <c r="C32816" t="s">
        <v>13718</v>
      </c>
      <c r="D32816">
        <v>0</v>
      </c>
      <c r="E32816">
        <v>1</v>
      </c>
      <c r="F32816">
        <v>188</v>
      </c>
    </row>
    <row r="32817" spans="1:6" ht="12.75">
      <c r="A32817" s="2">
        <v>43875.434097222227</v>
      </c>
      <c r="B32817" t="str">
        <f>HYPERLINK("https://twitter.com/mtreriz","@mtreriz")</f>
        <v>@mtreriz</v>
      </c>
      <c r="C32817" t="s">
        <v>2444</v>
      </c>
      <c r="D32817">
        <v>111</v>
      </c>
      <c r="E32817">
        <v>0</v>
      </c>
      <c r="F32817">
        <v>857</v>
      </c>
    </row>
    <row r="32818" spans="1:6" ht="12.75">
      <c r="A32818" s="2">
        <v>43875.434039351851</v>
      </c>
      <c r="B32818" t="str">
        <f>HYPERLINK("https://twitter.com/primandanii","@primandanii")</f>
        <v>@primandanii</v>
      </c>
      <c r="C32818" t="s">
        <v>175</v>
      </c>
      <c r="D32818">
        <v>5248</v>
      </c>
      <c r="E32818">
        <v>0</v>
      </c>
      <c r="F32818">
        <v>25</v>
      </c>
    </row>
    <row r="32819" spans="1:6" ht="12.75">
      <c r="A32819" s="2">
        <v>43875.433935185181</v>
      </c>
      <c r="B32819" t="str">
        <f>HYPERLINK("https://twitter.com/Ahmaddgafar","@Ahmaddgafar")</f>
        <v>@Ahmaddgafar</v>
      </c>
      <c r="C32819" t="s">
        <v>13719</v>
      </c>
      <c r="D32819">
        <v>0</v>
      </c>
      <c r="E32819">
        <v>0</v>
      </c>
      <c r="F32819">
        <v>56</v>
      </c>
    </row>
    <row r="32820" spans="1:6" ht="12.75">
      <c r="A32820" s="2">
        <v>43875.433923611112</v>
      </c>
      <c r="B32820" t="str">
        <f>HYPERLINK("https://twitter.com/lanazebeth","@lanazebeth")</f>
        <v>@lanazebeth</v>
      </c>
      <c r="C32820" t="s">
        <v>175</v>
      </c>
      <c r="D32820">
        <v>5248</v>
      </c>
      <c r="E32820">
        <v>0</v>
      </c>
      <c r="F32820">
        <v>626</v>
      </c>
    </row>
    <row r="32821" spans="1:6" ht="12.75">
      <c r="A32821" s="2">
        <v>43875.433819444443</v>
      </c>
      <c r="B32821" t="str">
        <f>HYPERLINK("https://twitter.com/Apriliaclaudia5","@Apriliaclaudia5")</f>
        <v>@Apriliaclaudia5</v>
      </c>
      <c r="C32821" t="s">
        <v>2963</v>
      </c>
      <c r="D32821">
        <v>651</v>
      </c>
      <c r="E32821">
        <v>0</v>
      </c>
      <c r="F32821">
        <v>27</v>
      </c>
    </row>
    <row r="32822" spans="1:6" ht="12.75">
      <c r="A32822" s="2">
        <v>43875.433807870373</v>
      </c>
      <c r="B32822" t="str">
        <f>HYPERLINK("https://twitter.com/EsJorong","@EsJorong")</f>
        <v>@EsJorong</v>
      </c>
      <c r="C32822" t="s">
        <v>2963</v>
      </c>
      <c r="D32822">
        <v>651</v>
      </c>
      <c r="E32822">
        <v>0</v>
      </c>
      <c r="F32822">
        <v>193</v>
      </c>
    </row>
    <row r="32823" spans="1:6" ht="12.75">
      <c r="A32823" s="2">
        <v>43875.433703703704</v>
      </c>
      <c r="B32823" t="str">
        <f>HYPERLINK("https://twitter.com/Apriliaclaudia5","@Apriliaclaudia5")</f>
        <v>@Apriliaclaudia5</v>
      </c>
      <c r="C32823" t="s">
        <v>8233</v>
      </c>
      <c r="D32823">
        <v>337</v>
      </c>
      <c r="E32823">
        <v>0</v>
      </c>
      <c r="F32823">
        <v>27</v>
      </c>
    </row>
    <row r="32824" spans="1:6" ht="12.75">
      <c r="A32824" s="2">
        <v>43875.433622685188</v>
      </c>
      <c r="B32824" t="str">
        <f>HYPERLINK("https://twitter.com/zarawaw","@zarawaw")</f>
        <v>@zarawaw</v>
      </c>
      <c r="C32824" t="s">
        <v>9964</v>
      </c>
      <c r="D32824">
        <v>490</v>
      </c>
      <c r="E32824">
        <v>0</v>
      </c>
      <c r="F32824">
        <v>775</v>
      </c>
    </row>
    <row r="32825" spans="1:6" ht="12.75">
      <c r="A32825" s="2">
        <v>43875.43346064815</v>
      </c>
      <c r="B32825" t="str">
        <f>HYPERLINK("https://twitter.com/bbg_ied","@bbg_ied")</f>
        <v>@bbg_ied</v>
      </c>
      <c r="C32825" t="s">
        <v>13720</v>
      </c>
      <c r="D32825">
        <v>0</v>
      </c>
      <c r="E32825">
        <v>0</v>
      </c>
      <c r="F32825">
        <v>15</v>
      </c>
    </row>
    <row r="32826" spans="1:6" ht="12.75">
      <c r="A32826" s="2">
        <v>43875.433449074073</v>
      </c>
      <c r="B32826" t="str">
        <f>HYPERLINK("https://twitter.com/ricson_sibarani","@ricson_sibarani")</f>
        <v>@ricson_sibarani</v>
      </c>
      <c r="C32826" t="s">
        <v>2963</v>
      </c>
      <c r="D32826">
        <v>651</v>
      </c>
      <c r="E32826">
        <v>0</v>
      </c>
      <c r="F32826">
        <v>196</v>
      </c>
    </row>
    <row r="32827" spans="1:6" ht="12.75">
      <c r="A32827" s="2">
        <v>43875.433449074073</v>
      </c>
      <c r="B32827" t="str">
        <f>HYPERLINK("https://twitter.com/San_can","@San_can")</f>
        <v>@San_can</v>
      </c>
      <c r="C32827" t="s">
        <v>9746</v>
      </c>
      <c r="D32827">
        <v>32</v>
      </c>
      <c r="E32827">
        <v>0</v>
      </c>
      <c r="F32827">
        <v>134</v>
      </c>
    </row>
    <row r="32828" spans="1:6" ht="12.75">
      <c r="A32828" s="2">
        <v>43875.433425925927</v>
      </c>
      <c r="B32828" t="str">
        <f>HYPERLINK("https://twitter.com/destiwie8","@destiwie8")</f>
        <v>@destiwie8</v>
      </c>
      <c r="C32828" t="s">
        <v>9119</v>
      </c>
      <c r="D32828">
        <v>45</v>
      </c>
      <c r="E32828">
        <v>0</v>
      </c>
      <c r="F32828">
        <v>159</v>
      </c>
    </row>
    <row r="32829" spans="1:6" ht="12.75">
      <c r="A32829" s="2">
        <v>43875.433379629627</v>
      </c>
      <c r="B32829" t="str">
        <f>HYPERLINK("https://twitter.com/EvaMoa","@EvaMoa")</f>
        <v>@EvaMoa</v>
      </c>
      <c r="C32829" t="s">
        <v>12560</v>
      </c>
      <c r="D32829">
        <v>27</v>
      </c>
      <c r="E32829">
        <v>0</v>
      </c>
      <c r="F32829">
        <v>1883</v>
      </c>
    </row>
    <row r="32830" spans="1:6" ht="12.75">
      <c r="A32830" s="2">
        <v>43875.433356481481</v>
      </c>
      <c r="B32830" t="str">
        <f>HYPERLINK("https://twitter.com/denchinta","@denchinta")</f>
        <v>@denchinta</v>
      </c>
      <c r="C32830" t="s">
        <v>12044</v>
      </c>
      <c r="D32830">
        <v>41</v>
      </c>
      <c r="E32830">
        <v>0</v>
      </c>
      <c r="F32830">
        <v>618</v>
      </c>
    </row>
    <row r="32831" spans="1:6" ht="12.75">
      <c r="A32831" s="2">
        <v>43875.433344907404</v>
      </c>
      <c r="B32831" t="str">
        <f>HYPERLINK("https://twitter.com/kidkateu","@kidkateu")</f>
        <v>@kidkateu</v>
      </c>
      <c r="C32831" t="s">
        <v>13721</v>
      </c>
      <c r="D32831">
        <v>0</v>
      </c>
      <c r="E32831">
        <v>0</v>
      </c>
      <c r="F32831">
        <v>649</v>
      </c>
    </row>
    <row r="32832" spans="1:6" ht="12.75">
      <c r="A32832" s="2">
        <v>43875.433229166665</v>
      </c>
      <c r="B32832" t="str">
        <f>HYPERLINK("https://twitter.com/waterandviolet","@waterandviolet")</f>
        <v>@waterandviolet</v>
      </c>
      <c r="C32832" t="s">
        <v>12044</v>
      </c>
      <c r="D32832">
        <v>41</v>
      </c>
      <c r="E32832">
        <v>0</v>
      </c>
      <c r="F32832">
        <v>124</v>
      </c>
    </row>
    <row r="32833" spans="1:6" ht="12.75">
      <c r="A32833" s="2">
        <v>43875.433206018519</v>
      </c>
      <c r="B32833" t="str">
        <f>HYPERLINK("https://twitter.com/embah72","@embah72")</f>
        <v>@embah72</v>
      </c>
      <c r="C32833" t="s">
        <v>11425</v>
      </c>
      <c r="D32833">
        <v>208</v>
      </c>
      <c r="E32833">
        <v>0</v>
      </c>
      <c r="F32833">
        <v>14092</v>
      </c>
    </row>
    <row r="32834" spans="1:6" ht="12.75">
      <c r="A32834" s="2">
        <v>43875.433171296296</v>
      </c>
      <c r="B32834" t="str">
        <f>HYPERLINK("https://twitter.com/SemaneiD","@SemaneiD")</f>
        <v>@SemaneiD</v>
      </c>
      <c r="C32834" t="s">
        <v>11044</v>
      </c>
      <c r="D32834">
        <v>3</v>
      </c>
      <c r="E32834">
        <v>0</v>
      </c>
      <c r="F32834">
        <v>46</v>
      </c>
    </row>
    <row r="32835" spans="1:6" ht="12.75">
      <c r="A32835" s="2">
        <v>43875.432997685188</v>
      </c>
      <c r="B32835" t="str">
        <f>HYPERLINK("https://twitter.com/BucinnyaJulianC","@BucinnyaJulianC")</f>
        <v>@BucinnyaJulianC</v>
      </c>
      <c r="C32835" t="s">
        <v>9964</v>
      </c>
      <c r="D32835">
        <v>490</v>
      </c>
      <c r="E32835">
        <v>0</v>
      </c>
      <c r="F32835">
        <v>575</v>
      </c>
    </row>
    <row r="32836" spans="1:6" ht="12.75">
      <c r="A32836" s="2">
        <v>43875.432905092588</v>
      </c>
      <c r="B32836" t="str">
        <f>HYPERLINK("https://twitter.com/Rendyasraf","@Rendyasraf")</f>
        <v>@Rendyasraf</v>
      </c>
      <c r="C32836" t="s">
        <v>2963</v>
      </c>
      <c r="D32836">
        <v>651</v>
      </c>
      <c r="E32836">
        <v>0</v>
      </c>
      <c r="F32836">
        <v>542</v>
      </c>
    </row>
    <row r="32837" spans="1:6" ht="12.75">
      <c r="A32837" s="2">
        <v>43875.43277777778</v>
      </c>
      <c r="B32837" t="str">
        <f>HYPERLINK("https://twitter.com/dusrimulya","@dusrimulya")</f>
        <v>@dusrimulya</v>
      </c>
      <c r="C32837" t="s">
        <v>13722</v>
      </c>
      <c r="D32837">
        <v>0</v>
      </c>
      <c r="E32837">
        <v>1</v>
      </c>
      <c r="F32837">
        <v>22292</v>
      </c>
    </row>
    <row r="32838" spans="1:6" ht="12.75">
      <c r="A32838" s="2">
        <v>43875.432766203703</v>
      </c>
      <c r="B32838" t="str">
        <f>HYPERLINK("https://twitter.com/cirtbuleleng","@cirtbuleleng")</f>
        <v>@cirtbuleleng</v>
      </c>
      <c r="C32838" t="s">
        <v>13723</v>
      </c>
      <c r="D32838">
        <v>0</v>
      </c>
      <c r="E32838">
        <v>0</v>
      </c>
      <c r="F32838">
        <v>16</v>
      </c>
    </row>
    <row r="32839" spans="1:6" ht="12.75">
      <c r="A32839" s="2">
        <v>43875.432754629626</v>
      </c>
      <c r="B32839" t="str">
        <f>HYPERLINK("https://twitter.com/aslandjie","@aslandjie")</f>
        <v>@aslandjie</v>
      </c>
      <c r="C32839" t="s">
        <v>13724</v>
      </c>
      <c r="D32839">
        <v>0</v>
      </c>
      <c r="E32839">
        <v>0</v>
      </c>
      <c r="F32839">
        <v>43</v>
      </c>
    </row>
    <row r="32840" spans="1:6" ht="12.75">
      <c r="A32840" s="2">
        <v>43875.432743055557</v>
      </c>
      <c r="B32840" t="str">
        <f>HYPERLINK("https://twitter.com/Fariyantogmail1","@Fariyantogmail1")</f>
        <v>@Fariyantogmail1</v>
      </c>
      <c r="C32840" t="s">
        <v>9538</v>
      </c>
      <c r="D32840">
        <v>115</v>
      </c>
      <c r="E32840">
        <v>0</v>
      </c>
      <c r="F32840">
        <v>607</v>
      </c>
    </row>
    <row r="32841" spans="1:6" ht="12.75">
      <c r="A32841" s="2">
        <v>43875.432696759264</v>
      </c>
      <c r="B32841" t="str">
        <f>HYPERLINK("https://twitter.com/HenkMizell","@HenkMizell")</f>
        <v>@HenkMizell</v>
      </c>
      <c r="C32841" t="s">
        <v>13725</v>
      </c>
      <c r="D32841">
        <v>0</v>
      </c>
      <c r="E32841">
        <v>0</v>
      </c>
      <c r="F32841">
        <v>16</v>
      </c>
    </row>
    <row r="32842" spans="1:6" ht="12.75">
      <c r="A32842" s="2">
        <v>43875.432615740741</v>
      </c>
      <c r="B32842" t="str">
        <f>HYPERLINK("https://twitter.com/_doshigatai__","@_doshigatai__")</f>
        <v>@_doshigatai__</v>
      </c>
      <c r="C32842" t="s">
        <v>9964</v>
      </c>
      <c r="D32842">
        <v>490</v>
      </c>
      <c r="E32842">
        <v>0</v>
      </c>
      <c r="F32842">
        <v>405</v>
      </c>
    </row>
    <row r="32843" spans="1:6" ht="12.75">
      <c r="A32843" s="2">
        <v>43875.432523148149</v>
      </c>
      <c r="B32843" t="str">
        <f>HYPERLINK("https://twitter.com/Eyang_Abiyoso","@Eyang_Abiyoso")</f>
        <v>@Eyang_Abiyoso</v>
      </c>
      <c r="C32843" t="s">
        <v>12560</v>
      </c>
      <c r="D32843">
        <v>27</v>
      </c>
      <c r="E32843">
        <v>0</v>
      </c>
      <c r="F32843">
        <v>564</v>
      </c>
    </row>
    <row r="32844" spans="1:6" ht="12.75">
      <c r="A32844" s="2">
        <v>43875.432511574079</v>
      </c>
      <c r="B32844" t="str">
        <f>HYPERLINK("https://twitter.com/caccann","@caccann")</f>
        <v>@caccann</v>
      </c>
      <c r="C32844" t="s">
        <v>2963</v>
      </c>
      <c r="D32844">
        <v>651</v>
      </c>
      <c r="E32844">
        <v>0</v>
      </c>
      <c r="F32844">
        <v>365</v>
      </c>
    </row>
    <row r="32845" spans="1:6" ht="12.75">
      <c r="A32845" s="2">
        <v>43875.432233796295</v>
      </c>
      <c r="B32845" t="str">
        <f>HYPERLINK("https://twitter.com/sikecilmarmut","@sikecilmarmut")</f>
        <v>@sikecilmarmut</v>
      </c>
      <c r="C32845" t="s">
        <v>13726</v>
      </c>
      <c r="D32845">
        <v>482</v>
      </c>
      <c r="E32845">
        <v>0</v>
      </c>
      <c r="F32845">
        <v>2208</v>
      </c>
    </row>
    <row r="32846" spans="1:6" ht="12.75">
      <c r="A32846" s="2">
        <v>43875.432175925926</v>
      </c>
      <c r="B32846" t="str">
        <f>HYPERLINK("https://twitter.com/ManaoFlorius","@ManaoFlorius")</f>
        <v>@ManaoFlorius</v>
      </c>
      <c r="C32846" t="s">
        <v>2963</v>
      </c>
      <c r="D32846">
        <v>651</v>
      </c>
      <c r="E32846">
        <v>0</v>
      </c>
      <c r="F32846">
        <v>164</v>
      </c>
    </row>
    <row r="32847" spans="1:6" ht="12.75">
      <c r="A32847" s="2">
        <v>43875.432152777779</v>
      </c>
      <c r="B32847" t="str">
        <f>HYPERLINK("https://twitter.com/sukisno_anton","@sukisno_anton")</f>
        <v>@sukisno_anton</v>
      </c>
      <c r="C32847" t="s">
        <v>13727</v>
      </c>
      <c r="D32847">
        <v>0</v>
      </c>
      <c r="E32847">
        <v>0</v>
      </c>
      <c r="F32847">
        <v>5</v>
      </c>
    </row>
    <row r="32848" spans="1:6" ht="12.75">
      <c r="A32848" s="2">
        <v>43875.432141203702</v>
      </c>
      <c r="B32848" t="str">
        <f>HYPERLINK("https://twitter.com/heniunique","@heniunique")</f>
        <v>@heniunique</v>
      </c>
      <c r="C32848" t="s">
        <v>13728</v>
      </c>
      <c r="D32848">
        <v>0</v>
      </c>
      <c r="E32848">
        <v>0</v>
      </c>
      <c r="F32848">
        <v>9729</v>
      </c>
    </row>
    <row r="32849" spans="1:6" ht="12.75">
      <c r="A32849" s="2">
        <v>43875.432083333333</v>
      </c>
      <c r="B32849" t="str">
        <f t="shared" ref="B32849:B32850" si="388">HYPERLINK("https://twitter.com/pour71","@pour71")</f>
        <v>@pour71</v>
      </c>
      <c r="C32849" t="s">
        <v>2963</v>
      </c>
      <c r="D32849">
        <v>651</v>
      </c>
      <c r="E32849">
        <v>0</v>
      </c>
      <c r="F32849">
        <v>409</v>
      </c>
    </row>
    <row r="32850" spans="1:6" ht="12.75">
      <c r="A32850" s="2">
        <v>43875.432002314818</v>
      </c>
      <c r="B32850" t="str">
        <f t="shared" si="388"/>
        <v>@pour71</v>
      </c>
      <c r="C32850" t="s">
        <v>12468</v>
      </c>
      <c r="D32850">
        <v>3</v>
      </c>
      <c r="E32850">
        <v>0</v>
      </c>
      <c r="F32850">
        <v>409</v>
      </c>
    </row>
    <row r="32851" spans="1:6" ht="12.75">
      <c r="A32851" s="2">
        <v>43875.431944444441</v>
      </c>
      <c r="B32851" t="str">
        <f>HYPERLINK("https://twitter.com/Tio7Willy","@Tio7Willy")</f>
        <v>@Tio7Willy</v>
      </c>
      <c r="C32851" t="s">
        <v>13729</v>
      </c>
      <c r="D32851">
        <v>0</v>
      </c>
      <c r="E32851">
        <v>0</v>
      </c>
      <c r="F32851">
        <v>249</v>
      </c>
    </row>
    <row r="32852" spans="1:6" ht="12.75">
      <c r="A32852" s="2">
        <v>43875.431944444441</v>
      </c>
      <c r="B32852" t="str">
        <f>HYPERLINK("https://twitter.com/enrianmaulana","@enrianmaulana")</f>
        <v>@enrianmaulana</v>
      </c>
      <c r="C32852" t="s">
        <v>2137</v>
      </c>
      <c r="D32852">
        <v>41</v>
      </c>
      <c r="E32852">
        <v>0</v>
      </c>
      <c r="F32852">
        <v>383</v>
      </c>
    </row>
    <row r="32853" spans="1:6" ht="12.75">
      <c r="A32853" s="2">
        <v>43875.431932870371</v>
      </c>
      <c r="B32853" t="str">
        <f>HYPERLINK("https://twitter.com/DadangRusian","@DadangRusian")</f>
        <v>@DadangRusian</v>
      </c>
      <c r="C32853" t="s">
        <v>13730</v>
      </c>
      <c r="D32853">
        <v>0</v>
      </c>
      <c r="E32853">
        <v>1</v>
      </c>
      <c r="F32853">
        <v>815</v>
      </c>
    </row>
    <row r="32854" spans="1:6" ht="12.75">
      <c r="A32854" s="2">
        <v>43875.431921296295</v>
      </c>
      <c r="B32854" t="str">
        <f>HYPERLINK("https://twitter.com/__aiek_esthreem","@__aiek_esthreem")</f>
        <v>@__aiek_esthreem</v>
      </c>
      <c r="C32854" t="s">
        <v>13731</v>
      </c>
      <c r="D32854">
        <v>3</v>
      </c>
      <c r="E32854">
        <v>4</v>
      </c>
      <c r="F32854">
        <v>16724</v>
      </c>
    </row>
    <row r="32855" spans="1:6" ht="12.75">
      <c r="A32855" s="2">
        <v>43875.431909722218</v>
      </c>
      <c r="B32855" t="str">
        <f>HYPERLINK("https://twitter.com/heztya","@heztya")</f>
        <v>@heztya</v>
      </c>
      <c r="C32855" t="s">
        <v>13732</v>
      </c>
      <c r="D32855">
        <v>0</v>
      </c>
      <c r="E32855">
        <v>0</v>
      </c>
      <c r="F32855">
        <v>116</v>
      </c>
    </row>
    <row r="32856" spans="1:6" ht="12.75">
      <c r="A32856" s="2">
        <v>43875.431840277779</v>
      </c>
      <c r="B32856" t="str">
        <f>HYPERLINK("https://twitter.com/adelrhms","@adelrhms")</f>
        <v>@adelrhms</v>
      </c>
      <c r="C32856" t="s">
        <v>13733</v>
      </c>
      <c r="D32856">
        <v>0</v>
      </c>
      <c r="E32856">
        <v>0</v>
      </c>
      <c r="F32856">
        <v>193</v>
      </c>
    </row>
    <row r="32857" spans="1:6" ht="12.75">
      <c r="A32857" s="2">
        <v>43875.431817129633</v>
      </c>
      <c r="B32857" t="str">
        <f>HYPERLINK("https://twitter.com/RedWineMalbec","@RedWineMalbec")</f>
        <v>@RedWineMalbec</v>
      </c>
      <c r="C32857" t="s">
        <v>2963</v>
      </c>
      <c r="D32857">
        <v>651</v>
      </c>
      <c r="E32857">
        <v>0</v>
      </c>
      <c r="F32857">
        <v>506</v>
      </c>
    </row>
    <row r="32858" spans="1:6" ht="12.75">
      <c r="A32858" s="2">
        <v>43875.431805555556</v>
      </c>
      <c r="B32858" t="str">
        <f>HYPERLINK("https://twitter.com/apri_jhon","@apri_jhon")</f>
        <v>@apri_jhon</v>
      </c>
      <c r="C32858" t="s">
        <v>8881</v>
      </c>
      <c r="D32858">
        <v>262</v>
      </c>
      <c r="E32858">
        <v>0</v>
      </c>
      <c r="F32858">
        <v>143</v>
      </c>
    </row>
    <row r="32859" spans="1:6" ht="12.75">
      <c r="A32859" s="2">
        <v>43875.43178240741</v>
      </c>
      <c r="B32859" t="str">
        <f>HYPERLINK("https://twitter.com/aftara_","@aftara_")</f>
        <v>@aftara_</v>
      </c>
      <c r="C32859" t="s">
        <v>13734</v>
      </c>
      <c r="D32859">
        <v>0</v>
      </c>
      <c r="E32859">
        <v>0</v>
      </c>
      <c r="F32859">
        <v>2246</v>
      </c>
    </row>
    <row r="32860" spans="1:6" ht="12.75">
      <c r="A32860" s="2">
        <v>43875.431712962964</v>
      </c>
      <c r="B32860" t="str">
        <f>HYPERLINK("https://twitter.com/raja_sonny","@raja_sonny")</f>
        <v>@raja_sonny</v>
      </c>
      <c r="C32860" t="s">
        <v>8571</v>
      </c>
      <c r="D32860">
        <v>36</v>
      </c>
      <c r="E32860">
        <v>0</v>
      </c>
      <c r="F32860">
        <v>23</v>
      </c>
    </row>
    <row r="32861" spans="1:6" ht="12.75">
      <c r="A32861" s="2">
        <v>43875.431608796294</v>
      </c>
      <c r="B32861" t="str">
        <f>HYPERLINK("https://twitter.com/AzisSulton","@AzisSulton")</f>
        <v>@AzisSulton</v>
      </c>
      <c r="C32861" t="s">
        <v>13735</v>
      </c>
      <c r="D32861">
        <v>0</v>
      </c>
      <c r="E32861">
        <v>0</v>
      </c>
      <c r="F32861">
        <v>324</v>
      </c>
    </row>
    <row r="32862" spans="1:6" ht="12.75">
      <c r="A32862" s="2">
        <v>43875.431481481486</v>
      </c>
      <c r="B32862" t="str">
        <f>HYPERLINK("https://twitter.com/Hamjawi1","@Hamjawi1")</f>
        <v>@Hamjawi1</v>
      </c>
      <c r="C32862" t="s">
        <v>9539</v>
      </c>
      <c r="D32862">
        <v>1</v>
      </c>
      <c r="E32862">
        <v>0</v>
      </c>
      <c r="F32862">
        <v>1485</v>
      </c>
    </row>
    <row r="32863" spans="1:6" ht="12.75">
      <c r="A32863" s="2">
        <v>43875.431469907402</v>
      </c>
      <c r="B32863" t="str">
        <f>HYPERLINK("https://twitter.com/beungeut_jorang","@beungeut_jorang")</f>
        <v>@beungeut_jorang</v>
      </c>
      <c r="C32863" t="s">
        <v>7803</v>
      </c>
      <c r="D32863">
        <v>305</v>
      </c>
      <c r="E32863">
        <v>0</v>
      </c>
      <c r="F32863">
        <v>40</v>
      </c>
    </row>
    <row r="32864" spans="1:6" ht="12.75">
      <c r="A32864" s="2">
        <v>43875.431400462963</v>
      </c>
      <c r="B32864" t="str">
        <f>HYPERLINK("https://twitter.com/demokrasicoid","@demokrasicoid")</f>
        <v>@demokrasicoid</v>
      </c>
      <c r="C32864" t="s">
        <v>16</v>
      </c>
      <c r="D32864">
        <v>0</v>
      </c>
      <c r="E32864">
        <v>0</v>
      </c>
      <c r="F32864">
        <v>22233</v>
      </c>
    </row>
    <row r="32865" spans="1:6" ht="12.75">
      <c r="A32865" s="2">
        <v>43875.431388888886</v>
      </c>
      <c r="B32865" t="str">
        <f>HYPERLINK("https://twitter.com/BoodeeSantos","@BoodeeSantos")</f>
        <v>@BoodeeSantos</v>
      </c>
      <c r="C32865" t="s">
        <v>13736</v>
      </c>
      <c r="D32865">
        <v>0</v>
      </c>
      <c r="E32865">
        <v>0</v>
      </c>
      <c r="F32865">
        <v>14</v>
      </c>
    </row>
    <row r="32866" spans="1:6" ht="12.75">
      <c r="A32866" s="2">
        <v>43875.431388888886</v>
      </c>
      <c r="B32866" t="str">
        <f>HYPERLINK("https://twitter.com/pour71","@pour71")</f>
        <v>@pour71</v>
      </c>
      <c r="C32866" t="s">
        <v>10121</v>
      </c>
      <c r="D32866">
        <v>168</v>
      </c>
      <c r="E32866">
        <v>0</v>
      </c>
      <c r="F32866">
        <v>409</v>
      </c>
    </row>
    <row r="32867" spans="1:6" ht="12.75">
      <c r="A32867" s="2">
        <v>43875.43136574074</v>
      </c>
      <c r="B32867" t="str">
        <f>HYPERLINK("https://twitter.com/priyoaremania","@priyoaremania")</f>
        <v>@priyoaremania</v>
      </c>
      <c r="C32867" t="s">
        <v>13737</v>
      </c>
      <c r="D32867">
        <v>0</v>
      </c>
      <c r="E32867">
        <v>1</v>
      </c>
      <c r="F32867">
        <v>246</v>
      </c>
    </row>
    <row r="32868" spans="1:6" ht="12.75">
      <c r="A32868" s="2">
        <v>43875.431342592594</v>
      </c>
      <c r="B32868" t="str">
        <f>HYPERLINK("https://twitter.com/Satyam_Wisnu","@Satyam_Wisnu")</f>
        <v>@Satyam_Wisnu</v>
      </c>
      <c r="C32868" t="s">
        <v>5168</v>
      </c>
      <c r="D32868">
        <v>498</v>
      </c>
      <c r="E32868">
        <v>0</v>
      </c>
      <c r="F32868">
        <v>327</v>
      </c>
    </row>
    <row r="32869" spans="1:6" ht="12.75">
      <c r="A32869" s="2">
        <v>43875.431331018517</v>
      </c>
      <c r="B32869" t="str">
        <f>HYPERLINK("https://twitter.com/ferry_888","@ferry_888")</f>
        <v>@ferry_888</v>
      </c>
      <c r="C32869" t="s">
        <v>175</v>
      </c>
      <c r="D32869">
        <v>5248</v>
      </c>
      <c r="E32869">
        <v>0</v>
      </c>
      <c r="F32869">
        <v>34</v>
      </c>
    </row>
    <row r="32870" spans="1:6" ht="12.75">
      <c r="A32870" s="2">
        <v>43875.43131944444</v>
      </c>
      <c r="B32870" t="str">
        <f>HYPERLINK("https://twitter.com/AisSyariif","@AisSyariif")</f>
        <v>@AisSyariif</v>
      </c>
      <c r="C32870" t="s">
        <v>2444</v>
      </c>
      <c r="D32870">
        <v>111</v>
      </c>
      <c r="E32870">
        <v>0</v>
      </c>
      <c r="F32870">
        <v>873</v>
      </c>
    </row>
    <row r="32871" spans="1:6" ht="12.75">
      <c r="A32871" s="2">
        <v>43875.431296296301</v>
      </c>
      <c r="B32871" t="str">
        <f>HYPERLINK("https://twitter.com/Lenlen_218","@Lenlen_218")</f>
        <v>@Lenlen_218</v>
      </c>
      <c r="C32871" t="s">
        <v>12044</v>
      </c>
      <c r="D32871">
        <v>41</v>
      </c>
      <c r="E32871">
        <v>0</v>
      </c>
      <c r="F32871">
        <v>1354</v>
      </c>
    </row>
    <row r="32872" spans="1:6" ht="12.75">
      <c r="A32872" s="2">
        <v>43875.431284722217</v>
      </c>
      <c r="B32872" t="str">
        <f>HYPERLINK("https://twitter.com/Ari3Pras","@Ari3Pras")</f>
        <v>@Ari3Pras</v>
      </c>
      <c r="C32872" t="s">
        <v>13738</v>
      </c>
      <c r="D32872">
        <v>1</v>
      </c>
      <c r="E32872">
        <v>0</v>
      </c>
      <c r="F32872">
        <v>7285</v>
      </c>
    </row>
    <row r="32873" spans="1:6" ht="12.75">
      <c r="A32873" s="2">
        <v>43875.431226851855</v>
      </c>
      <c r="B32873" t="str">
        <f>HYPERLINK("https://twitter.com/syaikhulazis","@syaikhulazis")</f>
        <v>@syaikhulazis</v>
      </c>
      <c r="C32873" t="s">
        <v>2963</v>
      </c>
      <c r="D32873">
        <v>651</v>
      </c>
      <c r="E32873">
        <v>0</v>
      </c>
      <c r="F32873">
        <v>4</v>
      </c>
    </row>
    <row r="32874" spans="1:6" ht="12.75">
      <c r="A32874" s="2">
        <v>43875.431192129632</v>
      </c>
      <c r="B32874" t="str">
        <f>HYPERLINK("https://twitter.com/ellenrie1","@ellenrie1")</f>
        <v>@ellenrie1</v>
      </c>
      <c r="C32874" t="s">
        <v>2963</v>
      </c>
      <c r="D32874">
        <v>651</v>
      </c>
      <c r="E32874">
        <v>0</v>
      </c>
      <c r="F32874">
        <v>1665</v>
      </c>
    </row>
    <row r="32875" spans="1:6" ht="12.75">
      <c r="A32875" s="2">
        <v>43875.431157407409</v>
      </c>
      <c r="B32875" t="str">
        <f>HYPERLINK("https://twitter.com/Hamjawi1","@Hamjawi1")</f>
        <v>@Hamjawi1</v>
      </c>
      <c r="C32875" t="s">
        <v>5761</v>
      </c>
      <c r="D32875">
        <v>41</v>
      </c>
      <c r="E32875">
        <v>0</v>
      </c>
      <c r="F32875">
        <v>1485</v>
      </c>
    </row>
    <row r="32876" spans="1:6" ht="12.75">
      <c r="A32876" s="2">
        <v>43875.431145833332</v>
      </c>
      <c r="B32876" t="str">
        <f>HYPERLINK("https://twitter.com/stunendra","@stunendra")</f>
        <v>@stunendra</v>
      </c>
      <c r="C32876" t="s">
        <v>13739</v>
      </c>
      <c r="D32876">
        <v>0</v>
      </c>
      <c r="E32876">
        <v>1</v>
      </c>
      <c r="F32876">
        <v>126</v>
      </c>
    </row>
    <row r="32877" spans="1:6" ht="12.75">
      <c r="A32877" s="2">
        <v>43875.431122685186</v>
      </c>
      <c r="B32877" t="str">
        <f>HYPERLINK("https://twitter.com/xNrvnqsrx","@xNrvnqsrx")</f>
        <v>@xNrvnqsrx</v>
      </c>
      <c r="C32877" t="s">
        <v>2444</v>
      </c>
      <c r="D32877">
        <v>111</v>
      </c>
      <c r="E32877">
        <v>0</v>
      </c>
      <c r="F32877">
        <v>508</v>
      </c>
    </row>
    <row r="32878" spans="1:6" ht="12.75">
      <c r="A32878" s="2">
        <v>43875.431064814809</v>
      </c>
      <c r="B32878" t="str">
        <f>HYPERLINK("https://twitter.com/AvanovaBR","@AvanovaBR")</f>
        <v>@AvanovaBR</v>
      </c>
      <c r="C32878" t="s">
        <v>9998</v>
      </c>
      <c r="D32878">
        <v>80</v>
      </c>
      <c r="E32878">
        <v>0</v>
      </c>
      <c r="F32878">
        <v>464</v>
      </c>
    </row>
    <row r="32879" spans="1:6" ht="12.75">
      <c r="A32879" s="2">
        <v>43875.430960648147</v>
      </c>
      <c r="B32879" t="str">
        <f>HYPERLINK("https://twitter.com/edipradha","@edipradha")</f>
        <v>@edipradha</v>
      </c>
      <c r="C32879" t="s">
        <v>2963</v>
      </c>
      <c r="D32879">
        <v>651</v>
      </c>
      <c r="E32879">
        <v>0</v>
      </c>
      <c r="F32879">
        <v>1</v>
      </c>
    </row>
    <row r="32880" spans="1:6" ht="12.75">
      <c r="A32880" s="2">
        <v>43875.430937500001</v>
      </c>
      <c r="B32880" t="str">
        <f>HYPERLINK("https://twitter.com/Arifin2Zainal","@Arifin2Zainal")</f>
        <v>@Arifin2Zainal</v>
      </c>
      <c r="C32880" t="s">
        <v>13740</v>
      </c>
      <c r="D32880">
        <v>0</v>
      </c>
      <c r="E32880">
        <v>2</v>
      </c>
      <c r="F32880">
        <v>1852</v>
      </c>
    </row>
    <row r="32881" spans="1:6" ht="12.75">
      <c r="A32881" s="2">
        <v>43875.430925925924</v>
      </c>
      <c r="B32881" t="str">
        <f>HYPERLINK("https://twitter.com/sumutco","@sumutco")</f>
        <v>@sumutco</v>
      </c>
      <c r="C32881" t="s">
        <v>13741</v>
      </c>
      <c r="D32881">
        <v>0</v>
      </c>
      <c r="E32881">
        <v>0</v>
      </c>
      <c r="F32881">
        <v>93</v>
      </c>
    </row>
    <row r="32882" spans="1:6" ht="12.75">
      <c r="A32882" s="2">
        <v>43875.430902777778</v>
      </c>
      <c r="B32882" t="str">
        <f>HYPERLINK("https://twitter.com/psychosaligia","@psychosaligia")</f>
        <v>@psychosaligia</v>
      </c>
      <c r="C32882" t="s">
        <v>8233</v>
      </c>
      <c r="D32882">
        <v>337</v>
      </c>
      <c r="E32882">
        <v>0</v>
      </c>
      <c r="F32882">
        <v>70</v>
      </c>
    </row>
    <row r="32883" spans="1:6" ht="12.75">
      <c r="A32883" s="2">
        <v>43875.430868055555</v>
      </c>
      <c r="B32883" t="str">
        <f>HYPERLINK("https://twitter.com/Lindyus","@Lindyus")</f>
        <v>@Lindyus</v>
      </c>
      <c r="C32883" t="s">
        <v>175</v>
      </c>
      <c r="D32883">
        <v>5248</v>
      </c>
      <c r="E32883">
        <v>0</v>
      </c>
      <c r="F32883">
        <v>344</v>
      </c>
    </row>
    <row r="32884" spans="1:6" ht="12.75">
      <c r="A32884" s="2">
        <v>43875.430833333332</v>
      </c>
      <c r="B32884" t="str">
        <f>HYPERLINK("https://twitter.com/Gendorowo3","@Gendorowo3")</f>
        <v>@Gendorowo3</v>
      </c>
      <c r="C32884" t="s">
        <v>13742</v>
      </c>
      <c r="D32884">
        <v>0</v>
      </c>
      <c r="E32884">
        <v>1</v>
      </c>
      <c r="F32884">
        <v>91</v>
      </c>
    </row>
    <row r="32885" spans="1:6" ht="12.75">
      <c r="A32885" s="2">
        <v>43875.430717592593</v>
      </c>
      <c r="B32885" t="str">
        <f>HYPERLINK("https://twitter.com/wdttsuga","@wdttsuga")</f>
        <v>@wdttsuga</v>
      </c>
      <c r="C32885" t="s">
        <v>2444</v>
      </c>
      <c r="D32885">
        <v>111</v>
      </c>
      <c r="E32885">
        <v>0</v>
      </c>
      <c r="F32885">
        <v>59</v>
      </c>
    </row>
    <row r="32886" spans="1:6" ht="12.75">
      <c r="A32886" s="2">
        <v>43875.430717592593</v>
      </c>
      <c r="B32886" t="str">
        <f>HYPERLINK("https://twitter.com/pringgolakseno","@pringgolakseno")</f>
        <v>@pringgolakseno</v>
      </c>
      <c r="C32886" t="s">
        <v>13743</v>
      </c>
      <c r="D32886">
        <v>0</v>
      </c>
      <c r="E32886">
        <v>0</v>
      </c>
      <c r="F32886">
        <v>24</v>
      </c>
    </row>
    <row r="32887" spans="1:6" ht="12.75">
      <c r="A32887" s="2">
        <v>43875.430613425924</v>
      </c>
      <c r="B32887" t="str">
        <f>HYPERLINK("https://twitter.com/arm25202949","@arm25202949")</f>
        <v>@arm25202949</v>
      </c>
      <c r="C32887" t="s">
        <v>12679</v>
      </c>
      <c r="D32887">
        <v>727</v>
      </c>
      <c r="E32887">
        <v>0</v>
      </c>
      <c r="F32887">
        <v>426</v>
      </c>
    </row>
    <row r="32888" spans="1:6" ht="12.75">
      <c r="A32888" s="2">
        <v>43875.430543981478</v>
      </c>
      <c r="B32888" t="str">
        <f>HYPERLINK("https://twitter.com/jungkookwifeuwu","@jungkookwifeuwu")</f>
        <v>@jungkookwifeuwu</v>
      </c>
      <c r="C32888" t="s">
        <v>12083</v>
      </c>
      <c r="D32888">
        <v>10</v>
      </c>
      <c r="E32888">
        <v>0</v>
      </c>
      <c r="F32888">
        <v>68</v>
      </c>
    </row>
    <row r="32889" spans="1:6" ht="12.75">
      <c r="A32889" s="2">
        <v>43875.430405092593</v>
      </c>
      <c r="B32889" t="str">
        <f>HYPERLINK("https://twitter.com/tikodwiantoro","@tikodwiantoro")</f>
        <v>@tikodwiantoro</v>
      </c>
      <c r="C32889" t="s">
        <v>5168</v>
      </c>
      <c r="D32889">
        <v>498</v>
      </c>
      <c r="E32889">
        <v>0</v>
      </c>
      <c r="F32889">
        <v>610</v>
      </c>
    </row>
    <row r="32890" spans="1:6" ht="12.75">
      <c r="A32890" s="2">
        <v>43875.430300925931</v>
      </c>
      <c r="B32890" t="str">
        <f>HYPERLINK("https://twitter.com/dusrimulya","@dusrimulya")</f>
        <v>@dusrimulya</v>
      </c>
      <c r="C32890" t="s">
        <v>13744</v>
      </c>
      <c r="D32890">
        <v>0</v>
      </c>
      <c r="E32890">
        <v>0</v>
      </c>
      <c r="F32890">
        <v>22292</v>
      </c>
    </row>
    <row r="32891" spans="1:6" ht="12.75">
      <c r="A32891" s="2">
        <v>43875.430289351847</v>
      </c>
      <c r="B32891" t="str">
        <f>HYPERLINK("https://twitter.com/Febryzio99","@Febryzio99")</f>
        <v>@Febryzio99</v>
      </c>
      <c r="C32891" t="s">
        <v>5168</v>
      </c>
      <c r="D32891">
        <v>498</v>
      </c>
      <c r="E32891">
        <v>0</v>
      </c>
      <c r="F32891">
        <v>119</v>
      </c>
    </row>
    <row r="32892" spans="1:6" ht="12.75">
      <c r="A32892" s="2">
        <v>43875.430173611108</v>
      </c>
      <c r="B32892" t="str">
        <f>HYPERLINK("https://twitter.com/Ronny_Tjen","@Ronny_Tjen")</f>
        <v>@Ronny_Tjen</v>
      </c>
      <c r="C32892" t="s">
        <v>10330</v>
      </c>
      <c r="D32892">
        <v>201</v>
      </c>
      <c r="E32892">
        <v>0</v>
      </c>
      <c r="F32892">
        <v>58</v>
      </c>
    </row>
    <row r="32893" spans="1:6" ht="12.75">
      <c r="A32893" s="2">
        <v>43875.430069444439</v>
      </c>
      <c r="B32893" t="str">
        <f>HYPERLINK("https://twitter.com/BosKecil1996","@BosKecil1996")</f>
        <v>@BosKecil1996</v>
      </c>
      <c r="C32893" t="s">
        <v>9998</v>
      </c>
      <c r="D32893">
        <v>80</v>
      </c>
      <c r="E32893">
        <v>0</v>
      </c>
      <c r="F32893">
        <v>107</v>
      </c>
    </row>
    <row r="32894" spans="1:6" ht="12.75">
      <c r="A32894" s="2">
        <v>43875.43005787037</v>
      </c>
      <c r="B32894" t="str">
        <f>HYPERLINK("https://twitter.com/raja_sonny","@raja_sonny")</f>
        <v>@raja_sonny</v>
      </c>
      <c r="C32894" t="s">
        <v>175</v>
      </c>
      <c r="D32894">
        <v>5248</v>
      </c>
      <c r="E32894">
        <v>0</v>
      </c>
      <c r="F32894">
        <v>23</v>
      </c>
    </row>
    <row r="32895" spans="1:6" ht="12.75">
      <c r="A32895" s="2">
        <v>43875.429976851854</v>
      </c>
      <c r="B32895" t="str">
        <f>HYPERLINK("https://twitter.com/Je_Abdullahh","@Je_Abdullahh")</f>
        <v>@Je_Abdullahh</v>
      </c>
      <c r="C32895" t="s">
        <v>3038</v>
      </c>
      <c r="D32895">
        <v>109</v>
      </c>
      <c r="E32895">
        <v>0</v>
      </c>
      <c r="F32895">
        <v>3838</v>
      </c>
    </row>
    <row r="32896" spans="1:6" ht="12.75">
      <c r="A32896" s="2">
        <v>43875.429930555554</v>
      </c>
      <c r="B32896" t="str">
        <f>HYPERLINK("https://twitter.com/xcuseboii","@xcuseboii")</f>
        <v>@xcuseboii</v>
      </c>
      <c r="C32896" t="s">
        <v>13745</v>
      </c>
      <c r="D32896">
        <v>0</v>
      </c>
      <c r="E32896">
        <v>0</v>
      </c>
      <c r="F32896">
        <v>320</v>
      </c>
    </row>
    <row r="32897" spans="1:6" ht="12.75">
      <c r="A32897" s="2">
        <v>43875.429895833338</v>
      </c>
      <c r="B32897" t="str">
        <f>HYPERLINK("https://twitter.com/muhammad_ridhaa","@muhammad_ridhaa")</f>
        <v>@muhammad_ridhaa</v>
      </c>
      <c r="C32897" t="s">
        <v>5761</v>
      </c>
      <c r="D32897">
        <v>41</v>
      </c>
      <c r="E32897">
        <v>0</v>
      </c>
      <c r="F32897">
        <v>684</v>
      </c>
    </row>
    <row r="32898" spans="1:6" ht="12.75">
      <c r="A32898" s="2">
        <v>43875.429895833338</v>
      </c>
      <c r="B32898" t="str">
        <f>HYPERLINK("https://twitter.com/MBaroes1","@MBaroes1")</f>
        <v>@MBaroes1</v>
      </c>
      <c r="C32898" t="s">
        <v>11368</v>
      </c>
      <c r="D32898">
        <v>74</v>
      </c>
      <c r="E32898">
        <v>0</v>
      </c>
      <c r="F32898">
        <v>0</v>
      </c>
    </row>
    <row r="32899" spans="1:6" ht="12.75">
      <c r="A32899" s="2">
        <v>43875.429884259254</v>
      </c>
      <c r="B32899" t="str">
        <f>HYPERLINK("https://twitter.com/kangopek","@kangopek")</f>
        <v>@kangopek</v>
      </c>
      <c r="C32899" t="s">
        <v>13746</v>
      </c>
      <c r="D32899">
        <v>0</v>
      </c>
      <c r="E32899">
        <v>0</v>
      </c>
      <c r="F32899">
        <v>416</v>
      </c>
    </row>
    <row r="32900" spans="1:6" ht="12.75">
      <c r="A32900" s="2">
        <v>43875.429710648154</v>
      </c>
      <c r="B32900" t="str">
        <f>HYPERLINK("https://twitter.com/GalaxurO","@GalaxurO")</f>
        <v>@GalaxurO</v>
      </c>
      <c r="C32900" t="s">
        <v>8233</v>
      </c>
      <c r="D32900">
        <v>337</v>
      </c>
      <c r="E32900">
        <v>0</v>
      </c>
      <c r="F32900">
        <v>11</v>
      </c>
    </row>
    <row r="32901" spans="1:6" ht="12.75">
      <c r="A32901" s="2">
        <v>43875.429652777777</v>
      </c>
      <c r="B32901" t="str">
        <f>HYPERLINK("https://twitter.com/hell0itsm3h","@hell0itsm3h")</f>
        <v>@hell0itsm3h</v>
      </c>
      <c r="C32901" t="s">
        <v>2137</v>
      </c>
      <c r="D32901">
        <v>41</v>
      </c>
      <c r="E32901">
        <v>0</v>
      </c>
      <c r="F32901">
        <v>626</v>
      </c>
    </row>
    <row r="32902" spans="1:6" ht="12.75">
      <c r="A32902" s="2">
        <v>43875.429629629631</v>
      </c>
      <c r="B32902" t="str">
        <f>HYPERLINK("https://twitter.com/666ninetale","@666ninetale")</f>
        <v>@666ninetale</v>
      </c>
      <c r="C32902" t="s">
        <v>2963</v>
      </c>
      <c r="D32902">
        <v>651</v>
      </c>
      <c r="E32902">
        <v>0</v>
      </c>
      <c r="F32902">
        <v>834</v>
      </c>
    </row>
    <row r="32903" spans="1:6" ht="12.75">
      <c r="A32903" s="2">
        <v>43875.429618055554</v>
      </c>
      <c r="B32903" t="str">
        <f>HYPERLINK("https://twitter.com/AddamRhmt_","@AddamRhmt_")</f>
        <v>@AddamRhmt_</v>
      </c>
      <c r="C32903" t="s">
        <v>9113</v>
      </c>
      <c r="D32903">
        <v>264</v>
      </c>
      <c r="E32903">
        <v>0</v>
      </c>
      <c r="F32903">
        <v>5</v>
      </c>
    </row>
    <row r="32904" spans="1:6" ht="12.75">
      <c r="A32904" s="2">
        <v>43875.429594907408</v>
      </c>
      <c r="B32904" t="str">
        <f>HYPERLINK("https://twitter.com/Roni64831039","@Roni64831039")</f>
        <v>@Roni64831039</v>
      </c>
      <c r="C32904" t="s">
        <v>10032</v>
      </c>
      <c r="D32904">
        <v>24</v>
      </c>
      <c r="E32904">
        <v>0</v>
      </c>
      <c r="F32904">
        <v>166</v>
      </c>
    </row>
    <row r="32905" spans="1:6" ht="12.75">
      <c r="A32905" s="2">
        <v>43875.429560185185</v>
      </c>
      <c r="B32905" t="str">
        <f>HYPERLINK("https://twitter.com/Febriyantiii5","@Febriyantiii5")</f>
        <v>@Febriyantiii5</v>
      </c>
      <c r="C32905" t="s">
        <v>175</v>
      </c>
      <c r="D32905">
        <v>5248</v>
      </c>
      <c r="E32905">
        <v>0</v>
      </c>
      <c r="F32905">
        <v>41</v>
      </c>
    </row>
    <row r="32906" spans="1:6" ht="12.75">
      <c r="A32906" s="2">
        <v>43875.429537037038</v>
      </c>
      <c r="B32906" t="str">
        <f>HYPERLINK("https://twitter.com/QBAY_suqi","@QBAY_suqi")</f>
        <v>@QBAY_suqi</v>
      </c>
      <c r="C32906" t="s">
        <v>13747</v>
      </c>
      <c r="D32906">
        <v>0</v>
      </c>
      <c r="E32906">
        <v>0</v>
      </c>
      <c r="F32906">
        <v>1148</v>
      </c>
    </row>
    <row r="32907" spans="1:6" ht="12.75">
      <c r="A32907" s="2">
        <v>43875.429432870369</v>
      </c>
      <c r="B32907" t="str">
        <f>HYPERLINK("https://twitter.com/BudiAri2","@BudiAri2")</f>
        <v>@BudiAri2</v>
      </c>
      <c r="C32907" t="s">
        <v>13748</v>
      </c>
      <c r="D32907">
        <v>0</v>
      </c>
      <c r="E32907">
        <v>0</v>
      </c>
      <c r="F32907">
        <v>232</v>
      </c>
    </row>
    <row r="32908" spans="1:6" ht="12.75">
      <c r="A32908" s="2">
        <v>43875.429432870369</v>
      </c>
      <c r="B32908" t="str">
        <f>HYPERLINK("https://twitter.com/mentoK2priode","@mentoK2priode")</f>
        <v>@mentoK2priode</v>
      </c>
      <c r="C32908" t="s">
        <v>10196</v>
      </c>
      <c r="D32908">
        <v>136</v>
      </c>
      <c r="E32908">
        <v>0</v>
      </c>
      <c r="F32908">
        <v>41</v>
      </c>
    </row>
    <row r="32909" spans="1:6" ht="12.75">
      <c r="A32909" s="2">
        <v>43875.429409722223</v>
      </c>
      <c r="B32909" t="str">
        <f>HYPERLINK("https://twitter.com/sukuh","@sukuh")</f>
        <v>@sukuh</v>
      </c>
      <c r="C32909" t="s">
        <v>13749</v>
      </c>
      <c r="D32909">
        <v>0</v>
      </c>
      <c r="E32909">
        <v>0</v>
      </c>
      <c r="F32909">
        <v>27</v>
      </c>
    </row>
    <row r="32910" spans="1:6" ht="12.75">
      <c r="A32910" s="2">
        <v>43875.429178240738</v>
      </c>
      <c r="B32910" t="str">
        <f>HYPERLINK("https://twitter.com/Gendorowo3","@Gendorowo3")</f>
        <v>@Gendorowo3</v>
      </c>
      <c r="C32910" t="s">
        <v>13750</v>
      </c>
      <c r="D32910">
        <v>0</v>
      </c>
      <c r="E32910">
        <v>1</v>
      </c>
      <c r="F32910">
        <v>91</v>
      </c>
    </row>
    <row r="32911" spans="1:6" ht="12.75">
      <c r="A32911" s="2">
        <v>43875.429178240738</v>
      </c>
      <c r="B32911" t="str">
        <f>HYPERLINK("https://twitter.com/mentoK2priode","@mentoK2priode")</f>
        <v>@mentoK2priode</v>
      </c>
      <c r="C32911" t="s">
        <v>9096</v>
      </c>
      <c r="D32911">
        <v>171</v>
      </c>
      <c r="E32911">
        <v>0</v>
      </c>
      <c r="F32911">
        <v>41</v>
      </c>
    </row>
    <row r="32912" spans="1:6" ht="12.75">
      <c r="A32912" s="2">
        <v>43875.429178240738</v>
      </c>
      <c r="B32912" t="str">
        <f>HYPERLINK("https://twitter.com/__MV_llestari__","@__MV_llestari__")</f>
        <v>@__MV_llestari__</v>
      </c>
      <c r="C32912" t="s">
        <v>13414</v>
      </c>
      <c r="D32912">
        <v>3</v>
      </c>
      <c r="E32912">
        <v>0</v>
      </c>
      <c r="F32912">
        <v>7920</v>
      </c>
    </row>
    <row r="32913" spans="1:6" ht="12.75">
      <c r="A32913" s="2">
        <v>43875.429143518515</v>
      </c>
      <c r="B32913" t="str">
        <f>HYPERLINK("https://twitter.com/arisaijaz","@arisaijaz")</f>
        <v>@arisaijaz</v>
      </c>
      <c r="C32913" t="s">
        <v>13751</v>
      </c>
      <c r="D32913">
        <v>0</v>
      </c>
      <c r="E32913">
        <v>0</v>
      </c>
      <c r="F32913">
        <v>471</v>
      </c>
    </row>
    <row r="32914" spans="1:6" ht="12.75">
      <c r="A32914" s="2">
        <v>43875.428981481484</v>
      </c>
      <c r="B32914" t="str">
        <f>HYPERLINK("https://twitter.com/rejananaala","@rejananaala")</f>
        <v>@rejananaala</v>
      </c>
      <c r="C32914" t="s">
        <v>13752</v>
      </c>
      <c r="D32914">
        <v>1</v>
      </c>
      <c r="E32914">
        <v>0</v>
      </c>
      <c r="F32914">
        <v>458</v>
      </c>
    </row>
    <row r="32915" spans="1:6" ht="12.75">
      <c r="A32915" s="2">
        <v>43875.428912037038</v>
      </c>
      <c r="B32915" t="str">
        <f>HYPERLINK("https://twitter.com/asdatown82","@asdatown82")</f>
        <v>@asdatown82</v>
      </c>
      <c r="C32915" t="s">
        <v>2963</v>
      </c>
      <c r="D32915">
        <v>651</v>
      </c>
      <c r="E32915">
        <v>0</v>
      </c>
      <c r="F32915">
        <v>74</v>
      </c>
    </row>
    <row r="32916" spans="1:6" ht="12.75">
      <c r="A32916" s="2">
        <v>43875.428877314815</v>
      </c>
      <c r="B32916" t="str">
        <f>HYPERLINK("https://twitter.com/regfa","@regfa")</f>
        <v>@regfa</v>
      </c>
      <c r="C32916" t="s">
        <v>2444</v>
      </c>
      <c r="D32916">
        <v>111</v>
      </c>
      <c r="E32916">
        <v>0</v>
      </c>
      <c r="F32916">
        <v>630</v>
      </c>
    </row>
    <row r="32917" spans="1:6" ht="12.75">
      <c r="A32917" s="2">
        <v>43875.428842592592</v>
      </c>
      <c r="B32917" t="str">
        <f>HYPERLINK("https://twitter.com/tempodotco","@tempodotco")</f>
        <v>@tempodotco</v>
      </c>
      <c r="C32917" t="s">
        <v>13753</v>
      </c>
      <c r="D32917">
        <v>0</v>
      </c>
      <c r="E32917">
        <v>14</v>
      </c>
      <c r="F32917">
        <v>1702169</v>
      </c>
    </row>
    <row r="32918" spans="1:6" ht="12.75">
      <c r="A32918" s="2">
        <v>43875.428831018522</v>
      </c>
      <c r="B32918" t="str">
        <f>HYPERLINK("https://twitter.com/HonorerPejuang","@HonorerPejuang")</f>
        <v>@HonorerPejuang</v>
      </c>
      <c r="C32918" t="s">
        <v>8881</v>
      </c>
      <c r="D32918">
        <v>262</v>
      </c>
      <c r="E32918">
        <v>0</v>
      </c>
      <c r="F32918">
        <v>46</v>
      </c>
    </row>
    <row r="32919" spans="1:6" ht="12.75">
      <c r="A32919" s="2">
        <v>43875.428761574076</v>
      </c>
      <c r="B32919" t="str">
        <f>HYPERLINK("https://twitter.com/Arifin2Zainal","@Arifin2Zainal")</f>
        <v>@Arifin2Zainal</v>
      </c>
      <c r="C32919" t="s">
        <v>9746</v>
      </c>
      <c r="D32919">
        <v>32</v>
      </c>
      <c r="E32919">
        <v>0</v>
      </c>
      <c r="F32919">
        <v>1852</v>
      </c>
    </row>
    <row r="32920" spans="1:6" ht="12.75">
      <c r="A32920" s="2">
        <v>43875.428576388891</v>
      </c>
      <c r="B32920" t="str">
        <f>HYPERLINK("https://twitter.com/em_fdhl","@em_fdhl")</f>
        <v>@em_fdhl</v>
      </c>
      <c r="C32920" t="s">
        <v>13754</v>
      </c>
      <c r="D32920">
        <v>0</v>
      </c>
      <c r="E32920">
        <v>0</v>
      </c>
      <c r="F32920">
        <v>17</v>
      </c>
    </row>
    <row r="32921" spans="1:6" ht="12.75">
      <c r="A32921" s="2">
        <v>43875.428506944445</v>
      </c>
      <c r="B32921" t="str">
        <f>HYPERLINK("https://twitter.com/titiktitikblank","@titiktitikblank")</f>
        <v>@titiktitikblank</v>
      </c>
      <c r="C32921" t="s">
        <v>13755</v>
      </c>
      <c r="D32921">
        <v>1</v>
      </c>
      <c r="E32921">
        <v>0</v>
      </c>
      <c r="F32921">
        <v>368</v>
      </c>
    </row>
    <row r="32922" spans="1:6" ht="12.75">
      <c r="A32922" s="2">
        <v>43875.428425925929</v>
      </c>
      <c r="B32922" t="str">
        <f>HYPERLINK("https://twitter.com/parmabar","@parmabar")</f>
        <v>@parmabar</v>
      </c>
      <c r="C32922" t="s">
        <v>13756</v>
      </c>
      <c r="D32922">
        <v>4</v>
      </c>
      <c r="E32922">
        <v>3</v>
      </c>
      <c r="F32922">
        <v>1392</v>
      </c>
    </row>
    <row r="32923" spans="1:6" ht="12.75">
      <c r="A32923" s="2">
        <v>43875.428287037037</v>
      </c>
      <c r="B32923" t="str">
        <f>HYPERLINK("https://twitter.com/Eko_S_O_SKom","@Eko_S_O_SKom")</f>
        <v>@Eko_S_O_SKom</v>
      </c>
      <c r="C32923" t="s">
        <v>9096</v>
      </c>
      <c r="D32923">
        <v>171</v>
      </c>
      <c r="E32923">
        <v>0</v>
      </c>
      <c r="F32923">
        <v>55</v>
      </c>
    </row>
    <row r="32924" spans="1:6" ht="12.75">
      <c r="A32924" s="2">
        <v>43875.428275462968</v>
      </c>
      <c r="B32924" t="str">
        <f>HYPERLINK("https://twitter.com/Cengkonek2","@Cengkonek2")</f>
        <v>@Cengkonek2</v>
      </c>
      <c r="C32924" t="s">
        <v>13757</v>
      </c>
      <c r="D32924">
        <v>39</v>
      </c>
      <c r="E32924">
        <v>0</v>
      </c>
      <c r="F32924">
        <v>1224</v>
      </c>
    </row>
    <row r="32925" spans="1:6" ht="12.75">
      <c r="A32925" s="2">
        <v>43875.428275462968</v>
      </c>
      <c r="B32925" t="str">
        <f>HYPERLINK("https://twitter.com/C_AjiMahameru52","@C_AjiMahameru52")</f>
        <v>@C_AjiMahameru52</v>
      </c>
      <c r="C32925" t="s">
        <v>13414</v>
      </c>
      <c r="D32925">
        <v>3</v>
      </c>
      <c r="E32925">
        <v>0</v>
      </c>
      <c r="F32925">
        <v>3000</v>
      </c>
    </row>
    <row r="32926" spans="1:6" ht="12.75">
      <c r="A32926" s="2">
        <v>43875.428240740745</v>
      </c>
      <c r="B32926" t="str">
        <f>HYPERLINK("https://twitter.com/elbynz","@elbynz")</f>
        <v>@elbynz</v>
      </c>
      <c r="C32926" t="s">
        <v>11865</v>
      </c>
      <c r="D32926">
        <v>2</v>
      </c>
      <c r="E32926">
        <v>0</v>
      </c>
      <c r="F32926">
        <v>1323</v>
      </c>
    </row>
    <row r="32927" spans="1:6" ht="12.75">
      <c r="A32927" s="2">
        <v>43875.428159722222</v>
      </c>
      <c r="B32927" t="str">
        <f>HYPERLINK("https://twitter.com/kompascom","@kompascom")</f>
        <v>@kompascom</v>
      </c>
      <c r="C32927" t="s">
        <v>13758</v>
      </c>
      <c r="D32927">
        <v>1</v>
      </c>
      <c r="E32927">
        <v>3</v>
      </c>
      <c r="F32927">
        <v>7497309</v>
      </c>
    </row>
    <row r="32928" spans="1:6" ht="12.75">
      <c r="A32928" s="2">
        <v>43875.428136574075</v>
      </c>
      <c r="B32928" t="str">
        <f>HYPERLINK("https://twitter.com/DivHumas_Polri","@DivHumas_Polri")</f>
        <v>@DivHumas_Polri</v>
      </c>
      <c r="C32928" t="s">
        <v>13759</v>
      </c>
      <c r="D32928">
        <v>3</v>
      </c>
      <c r="E32928">
        <v>7</v>
      </c>
      <c r="F32928">
        <v>1322156</v>
      </c>
    </row>
    <row r="32929" spans="1:6" ht="12.75">
      <c r="A32929" s="2">
        <v>43875.428124999999</v>
      </c>
      <c r="B32929" t="str">
        <f>HYPERLINK("https://twitter.com/carloshdezh","@carloshdezh")</f>
        <v>@carloshdezh</v>
      </c>
      <c r="C32929" t="s">
        <v>13760</v>
      </c>
      <c r="D32929">
        <v>0</v>
      </c>
      <c r="E32929">
        <v>1</v>
      </c>
      <c r="F32929">
        <v>135</v>
      </c>
    </row>
    <row r="32930" spans="1:6" ht="12.75">
      <c r="A32930" s="2">
        <v>43875.428078703699</v>
      </c>
      <c r="B32930" t="str">
        <f>HYPERLINK("https://twitter.com/Dnugroho11","@Dnugroho11")</f>
        <v>@Dnugroho11</v>
      </c>
      <c r="C32930" t="s">
        <v>13761</v>
      </c>
      <c r="D32930">
        <v>2</v>
      </c>
      <c r="E32930">
        <v>0</v>
      </c>
      <c r="F32930">
        <v>722</v>
      </c>
    </row>
    <row r="32931" spans="1:6" ht="12.75">
      <c r="A32931" s="2">
        <v>43875.428067129629</v>
      </c>
      <c r="B32931" t="str">
        <f>HYPERLINK("https://twitter.com/ferryirawanac","@ferryirawanac")</f>
        <v>@ferryirawanac</v>
      </c>
      <c r="C32931" t="s">
        <v>9538</v>
      </c>
      <c r="D32931">
        <v>115</v>
      </c>
      <c r="E32931">
        <v>0</v>
      </c>
      <c r="F32931">
        <v>169</v>
      </c>
    </row>
    <row r="32932" spans="1:6" ht="12.75">
      <c r="A32932" s="2">
        <v>43875.428032407406</v>
      </c>
      <c r="B32932" t="str">
        <f>HYPERLINK("https://twitter.com/dusrimulya","@dusrimulya")</f>
        <v>@dusrimulya</v>
      </c>
      <c r="C32932" t="s">
        <v>13762</v>
      </c>
      <c r="D32932">
        <v>0</v>
      </c>
      <c r="E32932">
        <v>1</v>
      </c>
      <c r="F32932">
        <v>22292</v>
      </c>
    </row>
    <row r="32933" spans="1:6" ht="12.75">
      <c r="A32933" s="2">
        <v>43875.42796296296</v>
      </c>
      <c r="B32933" t="str">
        <f>HYPERLINK("https://twitter.com/penk_windasmara","@penk_windasmara")</f>
        <v>@penk_windasmara</v>
      </c>
      <c r="C32933" t="s">
        <v>2963</v>
      </c>
      <c r="D32933">
        <v>651</v>
      </c>
      <c r="E32933">
        <v>0</v>
      </c>
      <c r="F32933">
        <v>479</v>
      </c>
    </row>
    <row r="32934" spans="1:6" ht="12.75">
      <c r="A32934" s="2">
        <v>43875.427951388891</v>
      </c>
      <c r="B32934" t="str">
        <f>HYPERLINK("https://twitter.com/kikikembuan","@kikikembuan")</f>
        <v>@kikikembuan</v>
      </c>
      <c r="C32934" t="s">
        <v>2144</v>
      </c>
      <c r="D32934">
        <v>52</v>
      </c>
      <c r="E32934">
        <v>0</v>
      </c>
      <c r="F32934">
        <v>157</v>
      </c>
    </row>
    <row r="32935" spans="1:6" ht="12.75">
      <c r="A32935" s="2">
        <v>43875.427928240737</v>
      </c>
      <c r="B32935" t="str">
        <f>HYPERLINK("https://twitter.com/PolitikToday","@PolitikToday")</f>
        <v>@PolitikToday</v>
      </c>
      <c r="C32935" t="s">
        <v>13763</v>
      </c>
      <c r="D32935">
        <v>14</v>
      </c>
      <c r="E32935">
        <v>15</v>
      </c>
      <c r="F32935">
        <v>6851</v>
      </c>
    </row>
    <row r="32936" spans="1:6" ht="12.75">
      <c r="A32936" s="2">
        <v>43875.427870370375</v>
      </c>
      <c r="B32936" t="str">
        <f>HYPERLINK("https://twitter.com/goentoerss","@goentoerss")</f>
        <v>@goentoerss</v>
      </c>
      <c r="C32936" t="s">
        <v>8233</v>
      </c>
      <c r="D32936">
        <v>337</v>
      </c>
      <c r="E32936">
        <v>0</v>
      </c>
      <c r="F32936">
        <v>72</v>
      </c>
    </row>
    <row r="32937" spans="1:6" ht="12.75">
      <c r="A32937" s="2">
        <v>43875.427835648152</v>
      </c>
      <c r="B32937" t="str">
        <f>HYPERLINK("https://twitter.com/EddySugama","@EddySugama")</f>
        <v>@EddySugama</v>
      </c>
      <c r="C32937" t="s">
        <v>13764</v>
      </c>
      <c r="D32937">
        <v>0</v>
      </c>
      <c r="E32937">
        <v>1</v>
      </c>
      <c r="F32937">
        <v>59</v>
      </c>
    </row>
    <row r="32938" spans="1:6" ht="12.75">
      <c r="A32938" s="2">
        <v>43875.427708333329</v>
      </c>
      <c r="B32938" t="str">
        <f>HYPERLINK("https://twitter.com/RatihNyi","@RatihNyi")</f>
        <v>@RatihNyi</v>
      </c>
      <c r="C32938" t="s">
        <v>175</v>
      </c>
      <c r="D32938">
        <v>5248</v>
      </c>
      <c r="E32938">
        <v>0</v>
      </c>
      <c r="F32938">
        <v>24</v>
      </c>
    </row>
    <row r="32939" spans="1:6" ht="12.75">
      <c r="A32939" s="2">
        <v>43875.42769675926</v>
      </c>
      <c r="B32939" t="str">
        <f>HYPERLINK("https://twitter.com/agnes_tika","@agnes_tika")</f>
        <v>@agnes_tika</v>
      </c>
      <c r="C32939" t="s">
        <v>13765</v>
      </c>
      <c r="D32939">
        <v>0</v>
      </c>
      <c r="E32939">
        <v>0</v>
      </c>
      <c r="F32939">
        <v>401</v>
      </c>
    </row>
    <row r="32940" spans="1:6" ht="12.75">
      <c r="A32940" s="2">
        <v>43875.42769675926</v>
      </c>
      <c r="B32940" t="str">
        <f>HYPERLINK("https://twitter.com/Bond74Diek","@Bond74Diek")</f>
        <v>@Bond74Diek</v>
      </c>
      <c r="C32940" t="s">
        <v>13766</v>
      </c>
      <c r="D32940">
        <v>0</v>
      </c>
      <c r="E32940">
        <v>0</v>
      </c>
      <c r="F32940">
        <v>3</v>
      </c>
    </row>
    <row r="32941" spans="1:6" ht="12.75">
      <c r="A32941" s="2">
        <v>43875.42768518519</v>
      </c>
      <c r="B32941" t="str">
        <f>HYPERLINK("https://twitter.com/Gendorowo3","@Gendorowo3")</f>
        <v>@Gendorowo3</v>
      </c>
      <c r="C32941" t="s">
        <v>13767</v>
      </c>
      <c r="D32941">
        <v>0</v>
      </c>
      <c r="E32941">
        <v>1</v>
      </c>
      <c r="F32941">
        <v>91</v>
      </c>
    </row>
    <row r="32942" spans="1:6" ht="12.75">
      <c r="A32942" s="2">
        <v>43875.427673611106</v>
      </c>
      <c r="B32942" t="str">
        <f>HYPERLINK("https://twitter.com/aliframadhani37","@aliframadhani37")</f>
        <v>@aliframadhani37</v>
      </c>
      <c r="C32942" t="s">
        <v>2086</v>
      </c>
      <c r="D32942">
        <v>22</v>
      </c>
      <c r="E32942">
        <v>0</v>
      </c>
      <c r="F32942">
        <v>229</v>
      </c>
    </row>
    <row r="32943" spans="1:6" ht="12.75">
      <c r="A32943" s="2">
        <v>43875.427627314813</v>
      </c>
      <c r="B32943" t="str">
        <f>HYPERLINK("https://twitter.com/bolabolakeju26","@bolabolakeju26")</f>
        <v>@bolabolakeju26</v>
      </c>
      <c r="C32943" t="s">
        <v>9021</v>
      </c>
      <c r="D32943">
        <v>168</v>
      </c>
      <c r="E32943">
        <v>0</v>
      </c>
      <c r="F32943">
        <v>659</v>
      </c>
    </row>
    <row r="32944" spans="1:6" ht="12.75">
      <c r="A32944" s="2">
        <v>43875.427581018521</v>
      </c>
      <c r="B32944" t="str">
        <f>HYPERLINK("https://twitter.com/dusrimulya","@dusrimulya")</f>
        <v>@dusrimulya</v>
      </c>
      <c r="C32944" t="s">
        <v>13768</v>
      </c>
      <c r="D32944">
        <v>1</v>
      </c>
      <c r="E32944">
        <v>10</v>
      </c>
      <c r="F32944">
        <v>22292</v>
      </c>
    </row>
    <row r="32945" spans="1:6" ht="12.75">
      <c r="A32945" s="2">
        <v>43875.427511574075</v>
      </c>
      <c r="B32945" t="str">
        <f>HYPERLINK("https://twitter.com/sikeadilan","@sikeadilan")</f>
        <v>@sikeadilan</v>
      </c>
      <c r="C32945" t="s">
        <v>5168</v>
      </c>
      <c r="D32945">
        <v>498</v>
      </c>
      <c r="E32945">
        <v>0</v>
      </c>
      <c r="F32945">
        <v>66</v>
      </c>
    </row>
    <row r="32946" spans="1:6" ht="12.75">
      <c r="A32946" s="2">
        <v>43875.427476851852</v>
      </c>
      <c r="B32946" t="str">
        <f>HYPERLINK("https://twitter.com/hafizh19adnan","@hafizh19adnan")</f>
        <v>@hafizh19adnan</v>
      </c>
      <c r="C32946" t="s">
        <v>13769</v>
      </c>
      <c r="D32946">
        <v>0</v>
      </c>
      <c r="E32946">
        <v>0</v>
      </c>
      <c r="F32946">
        <v>185</v>
      </c>
    </row>
    <row r="32947" spans="1:6" ht="12.75">
      <c r="A32947" s="2">
        <v>43875.427476851852</v>
      </c>
      <c r="B32947" t="str">
        <f>HYPERLINK("https://twitter.com/herman1702","@herman1702")</f>
        <v>@herman1702</v>
      </c>
      <c r="C32947" t="s">
        <v>9998</v>
      </c>
      <c r="D32947">
        <v>80</v>
      </c>
      <c r="E32947">
        <v>0</v>
      </c>
      <c r="F32947">
        <v>190</v>
      </c>
    </row>
    <row r="32948" spans="1:6" ht="12.75">
      <c r="A32948" s="2">
        <v>43875.427442129629</v>
      </c>
      <c r="B32948" t="str">
        <f>HYPERLINK("https://twitter.com/4re_bie","@4re_bie")</f>
        <v>@4re_bie</v>
      </c>
      <c r="C32948" t="s">
        <v>13770</v>
      </c>
      <c r="D32948">
        <v>3</v>
      </c>
      <c r="E32948">
        <v>0</v>
      </c>
      <c r="F32948">
        <v>346</v>
      </c>
    </row>
    <row r="32949" spans="1:6" ht="12.75">
      <c r="A32949" s="2">
        <v>43875.427361111113</v>
      </c>
      <c r="B32949" t="str">
        <f>HYPERLINK("https://twitter.com/okkiardianto","@okkiardianto")</f>
        <v>@okkiardianto</v>
      </c>
      <c r="C32949" t="s">
        <v>13771</v>
      </c>
      <c r="D32949">
        <v>0</v>
      </c>
      <c r="E32949">
        <v>0</v>
      </c>
      <c r="F32949">
        <v>3405</v>
      </c>
    </row>
    <row r="32950" spans="1:6" ht="12.75">
      <c r="A32950" s="2">
        <v>43875.427268518513</v>
      </c>
      <c r="B32950" t="str">
        <f>HYPERLINK("https://twitter.com/Mustafid9","@Mustafid9")</f>
        <v>@Mustafid9</v>
      </c>
      <c r="C32950" t="s">
        <v>13772</v>
      </c>
      <c r="D32950">
        <v>29</v>
      </c>
      <c r="E32950">
        <v>0</v>
      </c>
      <c r="F32950">
        <v>312</v>
      </c>
    </row>
    <row r="32951" spans="1:6" ht="12.75">
      <c r="A32951" s="2">
        <v>43875.427256944444</v>
      </c>
      <c r="B32951" t="str">
        <f>HYPERLINK("https://twitter.com/Anissa_Mega","@Anissa_Mega")</f>
        <v>@Anissa_Mega</v>
      </c>
      <c r="C32951" t="s">
        <v>5168</v>
      </c>
      <c r="D32951">
        <v>498</v>
      </c>
      <c r="E32951">
        <v>0</v>
      </c>
      <c r="F32951">
        <v>259</v>
      </c>
    </row>
    <row r="32952" spans="1:6" ht="12.75">
      <c r="A32952" s="2">
        <v>43875.427245370374</v>
      </c>
      <c r="B32952" t="str">
        <f>HYPERLINK("https://twitter.com/aldidesri","@aldidesri")</f>
        <v>@aldidesri</v>
      </c>
      <c r="C32952" t="s">
        <v>13773</v>
      </c>
      <c r="D32952">
        <v>0</v>
      </c>
      <c r="E32952">
        <v>2</v>
      </c>
      <c r="F32952">
        <v>2316</v>
      </c>
    </row>
    <row r="32953" spans="1:6" ht="12.75">
      <c r="A32953" s="2">
        <v>43875.427199074074</v>
      </c>
      <c r="B32953" t="str">
        <f>HYPERLINK("https://twitter.com/tasya_4black","@tasya_4black")</f>
        <v>@tasya_4black</v>
      </c>
      <c r="C32953" t="s">
        <v>11425</v>
      </c>
      <c r="D32953">
        <v>208</v>
      </c>
      <c r="E32953">
        <v>0</v>
      </c>
      <c r="F32953">
        <v>85</v>
      </c>
    </row>
    <row r="32954" spans="1:6" ht="12.75">
      <c r="A32954" s="2">
        <v>43875.427187499998</v>
      </c>
      <c r="B32954" t="str">
        <f>HYPERLINK("https://twitter.com/K_Ompu","@K_Ompu")</f>
        <v>@K_Ompu</v>
      </c>
      <c r="C32954" t="s">
        <v>10422</v>
      </c>
      <c r="D32954">
        <v>57</v>
      </c>
      <c r="E32954">
        <v>0</v>
      </c>
      <c r="F32954">
        <v>152</v>
      </c>
    </row>
    <row r="32955" spans="1:6" ht="12.75">
      <c r="A32955" s="2">
        <v>43875.427129629628</v>
      </c>
      <c r="B32955" t="str">
        <f>HYPERLINK("https://twitter.com/Geyelicius","@Geyelicius")</f>
        <v>@Geyelicius</v>
      </c>
      <c r="C32955" t="s">
        <v>13774</v>
      </c>
      <c r="D32955">
        <v>0</v>
      </c>
      <c r="E32955">
        <v>0</v>
      </c>
      <c r="F32955">
        <v>10484</v>
      </c>
    </row>
    <row r="32956" spans="1:6" ht="12.75">
      <c r="A32956" s="2">
        <v>43875.427060185189</v>
      </c>
      <c r="B32956" t="str">
        <f>HYPERLINK("https://twitter.com/AriePutraWijay1","@AriePutraWijay1")</f>
        <v>@AriePutraWijay1</v>
      </c>
      <c r="C32956" t="s">
        <v>2963</v>
      </c>
      <c r="D32956">
        <v>651</v>
      </c>
      <c r="E32956">
        <v>0</v>
      </c>
      <c r="F32956">
        <v>119</v>
      </c>
    </row>
    <row r="32957" spans="1:6" ht="12.75">
      <c r="A32957" s="2">
        <v>43875.427048611113</v>
      </c>
      <c r="B32957" t="str">
        <f>HYPERLINK("https://twitter.com/selenophile29_","@selenophile29_")</f>
        <v>@selenophile29_</v>
      </c>
      <c r="C32957" t="s">
        <v>2137</v>
      </c>
      <c r="D32957">
        <v>41</v>
      </c>
      <c r="E32957">
        <v>0</v>
      </c>
      <c r="F32957">
        <v>84</v>
      </c>
    </row>
    <row r="32958" spans="1:6" ht="12.75">
      <c r="A32958" s="2">
        <v>43875.427037037036</v>
      </c>
      <c r="B32958" t="str">
        <f>HYPERLINK("https://twitter.com/lena_vilian","@lena_vilian")</f>
        <v>@lena_vilian</v>
      </c>
      <c r="C32958" t="s">
        <v>13775</v>
      </c>
      <c r="D32958">
        <v>0</v>
      </c>
      <c r="E32958">
        <v>1</v>
      </c>
      <c r="F32958">
        <v>151</v>
      </c>
    </row>
    <row r="32959" spans="1:6" ht="12.75">
      <c r="A32959" s="2">
        <v>43875.427037037036</v>
      </c>
      <c r="B32959" t="str">
        <f>HYPERLINK("https://twitter.com/Dolwahab86","@Dolwahab86")</f>
        <v>@Dolwahab86</v>
      </c>
      <c r="C32959" t="s">
        <v>13776</v>
      </c>
      <c r="D32959">
        <v>0</v>
      </c>
      <c r="E32959">
        <v>0</v>
      </c>
      <c r="F32959">
        <v>369</v>
      </c>
    </row>
    <row r="32960" spans="1:6" ht="12.75">
      <c r="A32960" s="2">
        <v>43875.427025462966</v>
      </c>
      <c r="B32960" t="str">
        <f>HYPERLINK("https://twitter.com/hasrat_qalbu","@hasrat_qalbu")</f>
        <v>@hasrat_qalbu</v>
      </c>
      <c r="C32960" t="s">
        <v>13777</v>
      </c>
      <c r="D32960">
        <v>0</v>
      </c>
      <c r="E32960">
        <v>0</v>
      </c>
      <c r="F32960">
        <v>2286</v>
      </c>
    </row>
    <row r="32961" spans="1:6" ht="12.75">
      <c r="A32961" s="2">
        <v>43875.427025462966</v>
      </c>
      <c r="B32961" t="str">
        <f>HYPERLINK("https://twitter.com/Sonya_JKT48","@Sonya_JKT48")</f>
        <v>@Sonya_JKT48</v>
      </c>
      <c r="C32961" t="s">
        <v>13778</v>
      </c>
      <c r="D32961">
        <v>0</v>
      </c>
      <c r="E32961">
        <v>0</v>
      </c>
      <c r="F32961">
        <v>956</v>
      </c>
    </row>
    <row r="32962" spans="1:6" ht="12.75">
      <c r="A32962" s="2">
        <v>43875.427025462966</v>
      </c>
      <c r="B32962" t="str">
        <f>HYPERLINK("https://twitter.com/K_Ompu","@K_Ompu")</f>
        <v>@K_Ompu</v>
      </c>
      <c r="C32962" t="s">
        <v>10079</v>
      </c>
      <c r="D32962">
        <v>3</v>
      </c>
      <c r="E32962">
        <v>0</v>
      </c>
      <c r="F32962">
        <v>152</v>
      </c>
    </row>
    <row r="32963" spans="1:6" ht="12.75">
      <c r="A32963" s="2">
        <v>43875.426990740743</v>
      </c>
      <c r="B32963" t="str">
        <f>HYPERLINK("https://twitter.com/Josef_Han","@Josef_Han")</f>
        <v>@Josef_Han</v>
      </c>
      <c r="C32963" t="s">
        <v>8208</v>
      </c>
      <c r="D32963">
        <v>896</v>
      </c>
      <c r="E32963">
        <v>0</v>
      </c>
      <c r="F32963">
        <v>265</v>
      </c>
    </row>
    <row r="32964" spans="1:6" ht="12.75">
      <c r="A32964" s="2">
        <v>43875.426932870367</v>
      </c>
      <c r="B32964" t="str">
        <f>HYPERLINK("https://twitter.com/ANUnnu","@ANUnnu")</f>
        <v>@ANUnnu</v>
      </c>
      <c r="C32964" t="s">
        <v>11425</v>
      </c>
      <c r="D32964">
        <v>208</v>
      </c>
      <c r="E32964">
        <v>0</v>
      </c>
      <c r="F32964">
        <v>440</v>
      </c>
    </row>
    <row r="32965" spans="1:6" ht="12.75">
      <c r="A32965" s="2">
        <v>43875.42690972222</v>
      </c>
      <c r="B32965" t="str">
        <f>HYPERLINK("https://twitter.com/sarbudinjebung","@sarbudinjebung")</f>
        <v>@sarbudinjebung</v>
      </c>
      <c r="C32965" t="s">
        <v>8233</v>
      </c>
      <c r="D32965">
        <v>337</v>
      </c>
      <c r="E32965">
        <v>0</v>
      </c>
      <c r="F32965">
        <v>59</v>
      </c>
    </row>
    <row r="32966" spans="1:6" ht="12.75">
      <c r="A32966" s="2">
        <v>43875.426863425921</v>
      </c>
      <c r="B32966" t="str">
        <f>HYPERLINK("https://twitter.com/lindaltu","@lindaltu")</f>
        <v>@lindaltu</v>
      </c>
      <c r="C32966" t="s">
        <v>175</v>
      </c>
      <c r="D32966">
        <v>5248</v>
      </c>
      <c r="E32966">
        <v>0</v>
      </c>
      <c r="F32966">
        <v>271</v>
      </c>
    </row>
    <row r="32967" spans="1:6" ht="12.75">
      <c r="A32967" s="2">
        <v>43875.426840277782</v>
      </c>
      <c r="B32967" t="str">
        <f>HYPERLINK("https://twitter.com/aniiiiiiiinn","@aniiiiiiiinn")</f>
        <v>@aniiiiiiiinn</v>
      </c>
      <c r="C32967" t="s">
        <v>2137</v>
      </c>
      <c r="D32967">
        <v>41</v>
      </c>
      <c r="E32967">
        <v>0</v>
      </c>
      <c r="F32967">
        <v>203</v>
      </c>
    </row>
    <row r="32968" spans="1:6" ht="12.75">
      <c r="A32968" s="2">
        <v>43875.426759259259</v>
      </c>
      <c r="B32968" t="str">
        <f>HYPERLINK("https://twitter.com/purwoto_sugeng","@purwoto_sugeng")</f>
        <v>@purwoto_sugeng</v>
      </c>
      <c r="C32968" t="s">
        <v>12044</v>
      </c>
      <c r="D32968">
        <v>41</v>
      </c>
      <c r="E32968">
        <v>0</v>
      </c>
      <c r="F32968">
        <v>145</v>
      </c>
    </row>
    <row r="32969" spans="1:6" ht="12.75">
      <c r="A32969" s="2">
        <v>43875.426712962959</v>
      </c>
      <c r="B32969" t="str">
        <f>HYPERLINK("https://twitter.com/Fm98Sonora","@Fm98Sonora")</f>
        <v>@Fm98Sonora</v>
      </c>
      <c r="C32969" t="s">
        <v>11024</v>
      </c>
      <c r="D32969">
        <v>11</v>
      </c>
      <c r="E32969">
        <v>0</v>
      </c>
      <c r="F32969">
        <v>18</v>
      </c>
    </row>
    <row r="32970" spans="1:6" ht="12.75">
      <c r="A32970" s="2">
        <v>43875.426701388889</v>
      </c>
      <c r="B32970" t="str">
        <f>HYPERLINK("https://twitter.com/AntaresHamzah","@AntaresHamzah")</f>
        <v>@AntaresHamzah</v>
      </c>
      <c r="C32970" t="s">
        <v>13779</v>
      </c>
      <c r="D32970">
        <v>4</v>
      </c>
      <c r="E32970">
        <v>0</v>
      </c>
      <c r="F32970">
        <v>434</v>
      </c>
    </row>
    <row r="32971" spans="1:6" ht="12.75">
      <c r="A32971" s="2">
        <v>43875.426446759258</v>
      </c>
      <c r="B32971" t="str">
        <f>HYPERLINK("https://twitter.com/Arkana64900335","@Arkana64900335")</f>
        <v>@Arkana64900335</v>
      </c>
      <c r="C32971" t="s">
        <v>13780</v>
      </c>
      <c r="D32971">
        <v>0</v>
      </c>
      <c r="E32971">
        <v>1</v>
      </c>
      <c r="F32971">
        <v>0</v>
      </c>
    </row>
    <row r="32972" spans="1:6" ht="12.75">
      <c r="A32972" s="2">
        <v>43875.426377314812</v>
      </c>
      <c r="B32972" t="str">
        <f>HYPERLINK("https://twitter.com/notsorichnow","@notsorichnow")</f>
        <v>@notsorichnow</v>
      </c>
      <c r="C32972" t="s">
        <v>13781</v>
      </c>
      <c r="D32972">
        <v>0</v>
      </c>
      <c r="E32972">
        <v>0</v>
      </c>
      <c r="F32972">
        <v>31</v>
      </c>
    </row>
    <row r="32973" spans="1:6" ht="12.75">
      <c r="A32973" s="2">
        <v>43875.426365740743</v>
      </c>
      <c r="B32973" t="str">
        <f>HYPERLINK("https://twitter.com/madsimad","@madsimad")</f>
        <v>@madsimad</v>
      </c>
      <c r="C32973" t="s">
        <v>13782</v>
      </c>
      <c r="D32973">
        <v>0</v>
      </c>
      <c r="E32973">
        <v>0</v>
      </c>
      <c r="F32973">
        <v>731</v>
      </c>
    </row>
    <row r="32974" spans="1:6" ht="12.75">
      <c r="A32974" s="2">
        <v>43875.426319444443</v>
      </c>
      <c r="B32974" t="str">
        <f>HYPERLINK("https://twitter.com/zhu_dave","@zhu_dave")</f>
        <v>@zhu_dave</v>
      </c>
      <c r="C32974" t="s">
        <v>2963</v>
      </c>
      <c r="D32974">
        <v>651</v>
      </c>
      <c r="E32974">
        <v>0</v>
      </c>
      <c r="F32974">
        <v>1530</v>
      </c>
    </row>
    <row r="32975" spans="1:6" ht="12.75">
      <c r="A32975" s="2">
        <v>43875.426261574074</v>
      </c>
      <c r="B32975" t="str">
        <f>HYPERLINK("https://twitter.com/derwustenfuchss","@derwustenfuchss")</f>
        <v>@derwustenfuchss</v>
      </c>
      <c r="C32975" t="s">
        <v>13783</v>
      </c>
      <c r="D32975">
        <v>1</v>
      </c>
      <c r="E32975">
        <v>0</v>
      </c>
      <c r="F32975">
        <v>124</v>
      </c>
    </row>
    <row r="32976" spans="1:6" ht="12.75">
      <c r="A32976" s="2">
        <v>43875.426226851851</v>
      </c>
      <c r="B32976" t="str">
        <f>HYPERLINK("https://twitter.com/BlorengTheCat","@BlorengTheCat")</f>
        <v>@BlorengTheCat</v>
      </c>
      <c r="C32976" t="s">
        <v>13784</v>
      </c>
      <c r="D32976">
        <v>0</v>
      </c>
      <c r="E32976">
        <v>0</v>
      </c>
      <c r="F32976">
        <v>395</v>
      </c>
    </row>
    <row r="32977" spans="1:6" ht="12.75">
      <c r="A32977" s="2">
        <v>43875.426203703704</v>
      </c>
      <c r="B32977" t="str">
        <f>HYPERLINK("https://twitter.com/andrialfians","@andrialfians")</f>
        <v>@andrialfians</v>
      </c>
      <c r="C32977" t="s">
        <v>3412</v>
      </c>
      <c r="D32977">
        <v>1005</v>
      </c>
      <c r="E32977">
        <v>0</v>
      </c>
      <c r="F32977">
        <v>402</v>
      </c>
    </row>
    <row r="32978" spans="1:6" ht="12.75">
      <c r="A32978" s="2">
        <v>43875.426168981481</v>
      </c>
      <c r="B32978" t="str">
        <f>HYPERLINK("https://twitter.com/Sundana_Papua","@Sundana_Papua")</f>
        <v>@Sundana_Papua</v>
      </c>
      <c r="C32978" t="s">
        <v>10096</v>
      </c>
      <c r="D32978">
        <v>86</v>
      </c>
      <c r="E32978">
        <v>0</v>
      </c>
      <c r="F32978">
        <v>1042</v>
      </c>
    </row>
    <row r="32979" spans="1:6" ht="12.75">
      <c r="A32979" s="2">
        <v>43875.426041666666</v>
      </c>
      <c r="B32979" t="str">
        <f>HYPERLINK("https://twitter.com/Del_tahta","@Del_tahta")</f>
        <v>@Del_tahta</v>
      </c>
      <c r="C32979" t="s">
        <v>10319</v>
      </c>
      <c r="D32979">
        <v>150</v>
      </c>
      <c r="E32979">
        <v>0</v>
      </c>
      <c r="F32979">
        <v>431</v>
      </c>
    </row>
    <row r="32980" spans="1:6" ht="12.75">
      <c r="A32980" s="2">
        <v>43875.426030092596</v>
      </c>
      <c r="B32980" t="str">
        <f>HYPERLINK("https://twitter.com/PengabdiTantan","@PengabdiTantan")</f>
        <v>@PengabdiTantan</v>
      </c>
      <c r="C32980" t="s">
        <v>13785</v>
      </c>
      <c r="D32980">
        <v>0</v>
      </c>
      <c r="E32980">
        <v>1</v>
      </c>
      <c r="F32980">
        <v>1</v>
      </c>
    </row>
    <row r="32981" spans="1:6" ht="12.75">
      <c r="A32981" s="2">
        <v>43875.426006944443</v>
      </c>
      <c r="B32981" t="str">
        <f>HYPERLINK("https://twitter.com/Yadie050977","@Yadie050977")</f>
        <v>@Yadie050977</v>
      </c>
      <c r="C32981" t="s">
        <v>2963</v>
      </c>
      <c r="D32981">
        <v>651</v>
      </c>
      <c r="E32981">
        <v>0</v>
      </c>
      <c r="F32981">
        <v>1165</v>
      </c>
    </row>
    <row r="32982" spans="1:6" ht="12.75">
      <c r="A32982" s="2">
        <v>43875.426006944443</v>
      </c>
      <c r="B32982" t="str">
        <f>HYPERLINK("https://twitter.com/faatihadiy","@faatihadiy")</f>
        <v>@faatihadiy</v>
      </c>
      <c r="C32982" t="s">
        <v>13786</v>
      </c>
      <c r="D32982">
        <v>0</v>
      </c>
      <c r="E32982">
        <v>0</v>
      </c>
      <c r="F32982">
        <v>76</v>
      </c>
    </row>
    <row r="32983" spans="1:6" ht="12.75">
      <c r="A32983" s="2">
        <v>43875.426006944443</v>
      </c>
      <c r="B32983" t="str">
        <f>HYPERLINK("https://twitter.com/Dolwahab86","@Dolwahab86")</f>
        <v>@Dolwahab86</v>
      </c>
      <c r="C32983" t="s">
        <v>10032</v>
      </c>
      <c r="D32983">
        <v>24</v>
      </c>
      <c r="E32983">
        <v>0</v>
      </c>
      <c r="F32983">
        <v>369</v>
      </c>
    </row>
    <row r="32984" spans="1:6" ht="12.75">
      <c r="A32984" s="2">
        <v>43875.425752314812</v>
      </c>
      <c r="B32984" t="str">
        <f>HYPERLINK("https://twitter.com/kangsio42509757","@kangsio42509757")</f>
        <v>@kangsio42509757</v>
      </c>
      <c r="C32984" t="s">
        <v>13787</v>
      </c>
      <c r="D32984">
        <v>0</v>
      </c>
      <c r="E32984">
        <v>0</v>
      </c>
      <c r="F32984">
        <v>52</v>
      </c>
    </row>
    <row r="32985" spans="1:6" ht="12.75">
      <c r="A32985" s="2">
        <v>43875.425520833334</v>
      </c>
      <c r="B32985" t="str">
        <f>HYPERLINK("https://twitter.com/ronny_forever","@ronny_forever")</f>
        <v>@ronny_forever</v>
      </c>
      <c r="C32985" t="s">
        <v>5761</v>
      </c>
      <c r="D32985">
        <v>41</v>
      </c>
      <c r="E32985">
        <v>0</v>
      </c>
      <c r="F32985">
        <v>3730</v>
      </c>
    </row>
    <row r="32986" spans="1:6" ht="12.75">
      <c r="A32986" s="2">
        <v>43875.425509259258</v>
      </c>
      <c r="B32986" t="str">
        <f>HYPERLINK("https://twitter.com/hell0itsm3h","@hell0itsm3h")</f>
        <v>@hell0itsm3h</v>
      </c>
      <c r="C32986" t="s">
        <v>5168</v>
      </c>
      <c r="D32986">
        <v>498</v>
      </c>
      <c r="E32986">
        <v>0</v>
      </c>
      <c r="F32986">
        <v>626</v>
      </c>
    </row>
    <row r="32987" spans="1:6" ht="12.75">
      <c r="A32987" s="2">
        <v>43875.425486111111</v>
      </c>
      <c r="B32987" t="str">
        <f>HYPERLINK("https://twitter.com/_n_1_7_","@_n_1_7_")</f>
        <v>@_n_1_7_</v>
      </c>
      <c r="C32987" t="s">
        <v>13788</v>
      </c>
      <c r="D32987">
        <v>0</v>
      </c>
      <c r="E32987">
        <v>0</v>
      </c>
      <c r="F32987">
        <v>298</v>
      </c>
    </row>
    <row r="32988" spans="1:6" ht="12.75">
      <c r="A32988" s="2">
        <v>43875.425277777773</v>
      </c>
      <c r="B32988" t="str">
        <f>HYPERLINK("https://twitter.com/AndriTardy","@AndriTardy")</f>
        <v>@AndriTardy</v>
      </c>
      <c r="C32988" t="s">
        <v>13789</v>
      </c>
      <c r="D32988">
        <v>0</v>
      </c>
      <c r="E32988">
        <v>0</v>
      </c>
      <c r="F32988">
        <v>68</v>
      </c>
    </row>
    <row r="32989" spans="1:6" ht="12.75">
      <c r="A32989" s="2">
        <v>43875.425243055557</v>
      </c>
      <c r="B32989" t="str">
        <f>HYPERLINK("https://twitter.com/AriePutraWijay1","@AriePutraWijay1")</f>
        <v>@AriePutraWijay1</v>
      </c>
      <c r="C32989" t="s">
        <v>11071</v>
      </c>
      <c r="D32989">
        <v>58</v>
      </c>
      <c r="E32989">
        <v>0</v>
      </c>
      <c r="F32989">
        <v>119</v>
      </c>
    </row>
    <row r="32990" spans="1:6" ht="12.75">
      <c r="A32990" s="2">
        <v>43875.425243055557</v>
      </c>
      <c r="B32990" t="str">
        <f>HYPERLINK("https://twitter.com/alimuqorrobiyn","@alimuqorrobiyn")</f>
        <v>@alimuqorrobiyn</v>
      </c>
      <c r="C32990" t="s">
        <v>2963</v>
      </c>
      <c r="D32990">
        <v>651</v>
      </c>
      <c r="E32990">
        <v>0</v>
      </c>
      <c r="F32990">
        <v>635</v>
      </c>
    </row>
    <row r="32991" spans="1:6" ht="12.75">
      <c r="A32991" s="2">
        <v>43875.425219907411</v>
      </c>
      <c r="B32991" t="str">
        <f>HYPERLINK("https://twitter.com/yudhinulis","@yudhinulis")</f>
        <v>@yudhinulis</v>
      </c>
      <c r="C32991" t="s">
        <v>13790</v>
      </c>
      <c r="D32991">
        <v>0</v>
      </c>
      <c r="E32991">
        <v>0</v>
      </c>
      <c r="F32991">
        <v>83</v>
      </c>
    </row>
    <row r="32992" spans="1:6" ht="12.75">
      <c r="A32992" s="2">
        <v>43875.425196759257</v>
      </c>
      <c r="B32992" t="str">
        <f>HYPERLINK("https://twitter.com/dusrimulya","@dusrimulya")</f>
        <v>@dusrimulya</v>
      </c>
      <c r="C32992" t="s">
        <v>13791</v>
      </c>
      <c r="D32992">
        <v>0</v>
      </c>
      <c r="E32992">
        <v>3</v>
      </c>
      <c r="F32992">
        <v>22292</v>
      </c>
    </row>
    <row r="32993" spans="1:6" ht="12.75">
      <c r="A32993" s="2">
        <v>43875.425173611111</v>
      </c>
      <c r="B32993" t="str">
        <f>HYPERLINK("https://twitter.com/soffel84103944","@soffel84103944")</f>
        <v>@soffel84103944</v>
      </c>
      <c r="C32993" t="s">
        <v>10307</v>
      </c>
      <c r="D32993">
        <v>57</v>
      </c>
      <c r="E32993">
        <v>0</v>
      </c>
      <c r="F32993">
        <v>403</v>
      </c>
    </row>
    <row r="32994" spans="1:6" ht="12.75">
      <c r="A32994" s="2">
        <v>43875.425115740742</v>
      </c>
      <c r="B32994" t="str">
        <f>HYPERLINK("https://twitter.com/santuuykupi","@santuuykupi")</f>
        <v>@santuuykupi</v>
      </c>
      <c r="C32994" t="s">
        <v>2963</v>
      </c>
      <c r="D32994">
        <v>651</v>
      </c>
      <c r="E32994">
        <v>0</v>
      </c>
      <c r="F32994">
        <v>1641</v>
      </c>
    </row>
    <row r="32995" spans="1:6" ht="12.75">
      <c r="A32995" s="2">
        <v>43875.425034722226</v>
      </c>
      <c r="B32995" t="str">
        <f>HYPERLINK("https://twitter.com/Radar_Cirebon","@Radar_Cirebon")</f>
        <v>@Radar_Cirebon</v>
      </c>
      <c r="C32995" t="s">
        <v>13792</v>
      </c>
      <c r="D32995">
        <v>0</v>
      </c>
      <c r="E32995">
        <v>0</v>
      </c>
      <c r="F32995">
        <v>21748</v>
      </c>
    </row>
    <row r="32996" spans="1:6" ht="12.75">
      <c r="A32996" s="2">
        <v>43875.425023148149</v>
      </c>
      <c r="B32996" t="str">
        <f>HYPERLINK("https://twitter.com/ghinautami","@ghinautami")</f>
        <v>@ghinautami</v>
      </c>
      <c r="C32996" t="s">
        <v>13793</v>
      </c>
      <c r="D32996">
        <v>1</v>
      </c>
      <c r="E32996">
        <v>0</v>
      </c>
      <c r="F32996">
        <v>200</v>
      </c>
    </row>
    <row r="32997" spans="1:6" ht="12.75">
      <c r="A32997" s="2">
        <v>43875.424953703703</v>
      </c>
      <c r="B32997" t="str">
        <f>HYPERLINK("https://twitter.com/EddySugama","@EddySugama")</f>
        <v>@EddySugama</v>
      </c>
      <c r="C32997" t="s">
        <v>13794</v>
      </c>
      <c r="D32997">
        <v>0</v>
      </c>
      <c r="E32997">
        <v>0</v>
      </c>
      <c r="F32997">
        <v>59</v>
      </c>
    </row>
    <row r="32998" spans="1:6" ht="12.75">
      <c r="A32998" s="2">
        <v>43875.424953703703</v>
      </c>
      <c r="B32998" t="str">
        <f>HYPERLINK("https://twitter.com/last_car_jadul","@last_car_jadul")</f>
        <v>@last_car_jadul</v>
      </c>
      <c r="C32998" t="s">
        <v>13795</v>
      </c>
      <c r="D32998">
        <v>0</v>
      </c>
      <c r="E32998">
        <v>0</v>
      </c>
      <c r="F32998">
        <v>695</v>
      </c>
    </row>
    <row r="32999" spans="1:6" ht="12.75">
      <c r="A32999" s="2">
        <v>43875.424861111111</v>
      </c>
      <c r="B32999" t="str">
        <f>HYPERLINK("https://twitter.com/IlfanIlyas","@IlfanIlyas")</f>
        <v>@IlfanIlyas</v>
      </c>
      <c r="C32999" t="s">
        <v>2963</v>
      </c>
      <c r="D32999">
        <v>651</v>
      </c>
      <c r="E32999">
        <v>0</v>
      </c>
      <c r="F32999">
        <v>152</v>
      </c>
    </row>
    <row r="33000" spans="1:6" ht="12.75">
      <c r="A33000" s="2">
        <v>43875.424849537041</v>
      </c>
      <c r="B33000" t="str">
        <f>HYPERLINK("https://twitter.com/Iwan_Kapuk","@Iwan_Kapuk")</f>
        <v>@Iwan_Kapuk</v>
      </c>
      <c r="C33000" t="s">
        <v>2963</v>
      </c>
      <c r="D33000">
        <v>651</v>
      </c>
      <c r="E33000">
        <v>0</v>
      </c>
      <c r="F33000">
        <v>2724</v>
      </c>
    </row>
    <row r="33001" spans="1:6" ht="12.75">
      <c r="A33001" s="2">
        <v>43875.424803240741</v>
      </c>
      <c r="B33001" t="str">
        <f>HYPERLINK("https://twitter.com/CakMan70489610","@CakMan70489610")</f>
        <v>@CakMan70489610</v>
      </c>
      <c r="C33001" t="s">
        <v>9998</v>
      </c>
      <c r="D33001">
        <v>80</v>
      </c>
      <c r="E33001">
        <v>0</v>
      </c>
      <c r="F33001">
        <v>494</v>
      </c>
    </row>
    <row r="33002" spans="1:6" ht="12.75">
      <c r="A33002" s="2">
        <v>43875.424756944441</v>
      </c>
      <c r="B33002" t="str">
        <f>HYPERLINK("https://twitter.com/diandh93","@diandh93")</f>
        <v>@diandh93</v>
      </c>
      <c r="C33002" t="s">
        <v>8252</v>
      </c>
      <c r="D33002">
        <v>489</v>
      </c>
      <c r="E33002">
        <v>0</v>
      </c>
      <c r="F33002">
        <v>153</v>
      </c>
    </row>
    <row r="33003" spans="1:6" ht="12.75">
      <c r="A33003" s="2">
        <v>43875.424710648149</v>
      </c>
      <c r="B33003" t="str">
        <f>HYPERLINK("https://twitter.com/PengabdiTantan","@PengabdiTantan")</f>
        <v>@PengabdiTantan</v>
      </c>
      <c r="C33003" t="s">
        <v>13796</v>
      </c>
      <c r="D33003">
        <v>0</v>
      </c>
      <c r="E33003">
        <v>0</v>
      </c>
      <c r="F33003">
        <v>1</v>
      </c>
    </row>
    <row r="33004" spans="1:6" ht="12.75">
      <c r="A33004" s="2">
        <v>43875.424687499995</v>
      </c>
      <c r="B33004" t="str">
        <f>HYPERLINK("https://twitter.com/pandagemash","@pandagemash")</f>
        <v>@pandagemash</v>
      </c>
      <c r="C33004" t="s">
        <v>5168</v>
      </c>
      <c r="D33004">
        <v>498</v>
      </c>
      <c r="E33004">
        <v>0</v>
      </c>
      <c r="F33004">
        <v>968</v>
      </c>
    </row>
    <row r="33005" spans="1:6" ht="12.75">
      <c r="A33005" s="2">
        <v>43875.42460648148</v>
      </c>
      <c r="B33005" t="str">
        <f>HYPERLINK("https://twitter.com/Hudakhoerul11","@Hudakhoerul11")</f>
        <v>@Hudakhoerul11</v>
      </c>
      <c r="C33005" t="s">
        <v>9998</v>
      </c>
      <c r="D33005">
        <v>80</v>
      </c>
      <c r="E33005">
        <v>0</v>
      </c>
      <c r="F33005">
        <v>46</v>
      </c>
    </row>
    <row r="33006" spans="1:6" ht="12.75">
      <c r="A33006" s="2">
        <v>43875.424525462964</v>
      </c>
      <c r="B33006" t="str">
        <f>HYPERLINK("https://twitter.com/WartaKotaTribun","@WartaKotaTribun")</f>
        <v>@WartaKotaTribun</v>
      </c>
      <c r="C33006" t="s">
        <v>13797</v>
      </c>
      <c r="D33006">
        <v>0</v>
      </c>
      <c r="E33006">
        <v>0</v>
      </c>
      <c r="F33006">
        <v>783</v>
      </c>
    </row>
    <row r="33007" spans="1:6" ht="12.75">
      <c r="A33007" s="2">
        <v>43875.424444444448</v>
      </c>
      <c r="B33007" t="str">
        <f>HYPERLINK("https://twitter.com/kitsiangfreddy","@kitsiangfreddy")</f>
        <v>@kitsiangfreddy</v>
      </c>
      <c r="C33007" t="s">
        <v>10526</v>
      </c>
      <c r="D33007">
        <v>123</v>
      </c>
      <c r="E33007">
        <v>0</v>
      </c>
      <c r="F33007">
        <v>1148</v>
      </c>
    </row>
    <row r="33008" spans="1:6" ht="12.75">
      <c r="A33008" s="2">
        <v>43875.424398148149</v>
      </c>
      <c r="B33008" t="str">
        <f t="shared" ref="B33008:B33009" si="389">HYPERLINK("https://twitter.com/purwoto_sugeng","@purwoto_sugeng")</f>
        <v>@purwoto_sugeng</v>
      </c>
      <c r="C33008" t="s">
        <v>9538</v>
      </c>
      <c r="D33008">
        <v>115</v>
      </c>
      <c r="E33008">
        <v>0</v>
      </c>
      <c r="F33008">
        <v>145</v>
      </c>
    </row>
    <row r="33009" spans="1:6" ht="12.75">
      <c r="A33009" s="2">
        <v>43875.424375000002</v>
      </c>
      <c r="B33009" t="str">
        <f t="shared" si="389"/>
        <v>@purwoto_sugeng</v>
      </c>
      <c r="C33009" t="s">
        <v>9746</v>
      </c>
      <c r="D33009">
        <v>32</v>
      </c>
      <c r="E33009">
        <v>0</v>
      </c>
      <c r="F33009">
        <v>145</v>
      </c>
    </row>
    <row r="33010" spans="1:6" ht="12.75">
      <c r="A33010" s="2">
        <v>43875.424189814818</v>
      </c>
      <c r="B33010" t="str">
        <f>HYPERLINK("https://twitter.com/peni_me","@peni_me")</f>
        <v>@peni_me</v>
      </c>
      <c r="C33010" t="s">
        <v>13798</v>
      </c>
      <c r="D33010">
        <v>0</v>
      </c>
      <c r="E33010">
        <v>2</v>
      </c>
      <c r="F33010">
        <v>14254</v>
      </c>
    </row>
    <row r="33011" spans="1:6" ht="12.75">
      <c r="A33011" s="2">
        <v>43875.424131944441</v>
      </c>
      <c r="B33011" t="str">
        <f>HYPERLINK("https://twitter.com/CakL1571","@CakL1571")</f>
        <v>@CakL1571</v>
      </c>
      <c r="C33011" t="s">
        <v>13799</v>
      </c>
      <c r="D33011">
        <v>0</v>
      </c>
      <c r="E33011">
        <v>0</v>
      </c>
      <c r="F33011">
        <v>63</v>
      </c>
    </row>
    <row r="33012" spans="1:6" ht="12.75">
      <c r="A33012" s="2">
        <v>43875.424120370371</v>
      </c>
      <c r="B33012" t="str">
        <f>HYPERLINK("https://twitter.com/mury_eko","@mury_eko")</f>
        <v>@mury_eko</v>
      </c>
      <c r="C33012" t="s">
        <v>2963</v>
      </c>
      <c r="D33012">
        <v>651</v>
      </c>
      <c r="E33012">
        <v>0</v>
      </c>
      <c r="F33012">
        <v>1531</v>
      </c>
    </row>
    <row r="33013" spans="1:6" ht="12.75">
      <c r="A33013" s="2">
        <v>43875.424027777779</v>
      </c>
      <c r="B33013" t="str">
        <f>HYPERLINK("https://twitter.com/arm4di0n","@arm4di0n")</f>
        <v>@arm4di0n</v>
      </c>
      <c r="C33013" t="s">
        <v>10096</v>
      </c>
      <c r="D33013">
        <v>86</v>
      </c>
      <c r="E33013">
        <v>0</v>
      </c>
      <c r="F33013">
        <v>572</v>
      </c>
    </row>
    <row r="33014" spans="1:6" ht="12.75">
      <c r="A33014" s="2">
        <v>43875.424004629633</v>
      </c>
      <c r="B33014" t="str">
        <f>HYPERLINK("https://twitter.com/KompasTV","@KompasTV")</f>
        <v>@KompasTV</v>
      </c>
      <c r="C33014" t="s">
        <v>13800</v>
      </c>
      <c r="D33014">
        <v>0</v>
      </c>
      <c r="E33014">
        <v>1</v>
      </c>
      <c r="F33014">
        <v>2941042</v>
      </c>
    </row>
    <row r="33015" spans="1:6" ht="12.75">
      <c r="A33015" s="2">
        <v>43875.423912037033</v>
      </c>
      <c r="B33015" t="str">
        <f>HYPERLINK("https://twitter.com/tiapharion","@tiapharion")</f>
        <v>@tiapharion</v>
      </c>
      <c r="C33015" t="s">
        <v>11449</v>
      </c>
      <c r="D33015">
        <v>14</v>
      </c>
      <c r="E33015">
        <v>0</v>
      </c>
      <c r="F33015">
        <v>15</v>
      </c>
    </row>
    <row r="33016" spans="1:6" ht="12.75">
      <c r="A33016" s="2">
        <v>43875.423888888894</v>
      </c>
      <c r="B33016" t="str">
        <f>HYPERLINK("https://twitter.com/3rnyyy","@3rnyyy")</f>
        <v>@3rnyyy</v>
      </c>
      <c r="C33016" t="s">
        <v>10422</v>
      </c>
      <c r="D33016">
        <v>57</v>
      </c>
      <c r="E33016">
        <v>0</v>
      </c>
      <c r="F33016">
        <v>166</v>
      </c>
    </row>
    <row r="33017" spans="1:6" ht="12.75">
      <c r="A33017" s="2">
        <v>43875.42386574074</v>
      </c>
      <c r="B33017" t="str">
        <f>HYPERLINK("https://twitter.com/jenk_kelinn","@jenk_kelinn")</f>
        <v>@jenk_kelinn</v>
      </c>
      <c r="C33017" t="s">
        <v>13801</v>
      </c>
      <c r="D33017">
        <v>0</v>
      </c>
      <c r="E33017">
        <v>0</v>
      </c>
      <c r="F33017">
        <v>7616</v>
      </c>
    </row>
    <row r="33018" spans="1:6" ht="12.75">
      <c r="A33018" s="2">
        <v>43875.423854166671</v>
      </c>
      <c r="B33018" t="str">
        <f>HYPERLINK("https://twitter.com/Fayla_16","@Fayla_16")</f>
        <v>@Fayla_16</v>
      </c>
      <c r="C33018" t="s">
        <v>13802</v>
      </c>
      <c r="D33018">
        <v>17</v>
      </c>
      <c r="E33018">
        <v>0</v>
      </c>
      <c r="F33018">
        <v>323</v>
      </c>
    </row>
    <row r="33019" spans="1:6" ht="12.75">
      <c r="A33019" s="2">
        <v>43875.423831018517</v>
      </c>
      <c r="B33019" t="str">
        <f>HYPERLINK("https://twitter.com/eko_alaya","@eko_alaya")</f>
        <v>@eko_alaya</v>
      </c>
      <c r="C33019" t="s">
        <v>2963</v>
      </c>
      <c r="D33019">
        <v>651</v>
      </c>
      <c r="E33019">
        <v>0</v>
      </c>
      <c r="F33019">
        <v>750</v>
      </c>
    </row>
    <row r="33020" spans="1:6" ht="12.75">
      <c r="A33020" s="2">
        <v>43875.423831018517</v>
      </c>
      <c r="B33020" t="str">
        <f>HYPERLINK("https://twitter.com/BasukiBae","@BasukiBae")</f>
        <v>@BasukiBae</v>
      </c>
      <c r="C33020" t="s">
        <v>13803</v>
      </c>
      <c r="D33020">
        <v>0</v>
      </c>
      <c r="E33020">
        <v>1</v>
      </c>
      <c r="F33020">
        <v>3386</v>
      </c>
    </row>
    <row r="33021" spans="1:6" ht="12.75">
      <c r="A33021" s="2">
        <v>43875.423796296294</v>
      </c>
      <c r="B33021" t="str">
        <f>HYPERLINK("https://twitter.com/abbiekoes","@abbiekoes")</f>
        <v>@abbiekoes</v>
      </c>
      <c r="C33021" t="s">
        <v>13274</v>
      </c>
      <c r="D33021">
        <v>1</v>
      </c>
      <c r="E33021">
        <v>0</v>
      </c>
      <c r="F33021">
        <v>409</v>
      </c>
    </row>
    <row r="33022" spans="1:6" ht="12.75">
      <c r="A33022" s="2">
        <v>43875.423726851848</v>
      </c>
      <c r="B33022" t="str">
        <f>HYPERLINK("https://twitter.com/Didin_dos","@Didin_dos")</f>
        <v>@Didin_dos</v>
      </c>
      <c r="C33022" t="s">
        <v>2963</v>
      </c>
      <c r="D33022">
        <v>651</v>
      </c>
      <c r="E33022">
        <v>0</v>
      </c>
      <c r="F33022">
        <v>8</v>
      </c>
    </row>
    <row r="33023" spans="1:6" ht="12.75">
      <c r="A33023" s="2">
        <v>43875.423715277779</v>
      </c>
      <c r="B33023" t="str">
        <f>HYPERLINK("https://twitter.com/justinus_b","@justinus_b")</f>
        <v>@justinus_b</v>
      </c>
      <c r="C33023" t="s">
        <v>8233</v>
      </c>
      <c r="D33023">
        <v>337</v>
      </c>
      <c r="E33023">
        <v>0</v>
      </c>
      <c r="F33023">
        <v>117</v>
      </c>
    </row>
    <row r="33024" spans="1:6" ht="12.75">
      <c r="A33024" s="2">
        <v>43875.423703703702</v>
      </c>
      <c r="B33024" t="str">
        <f>HYPERLINK("https://twitter.com/sudirmansyah","@sudirmansyah")</f>
        <v>@sudirmansyah</v>
      </c>
      <c r="C33024" t="s">
        <v>9746</v>
      </c>
      <c r="D33024">
        <v>32</v>
      </c>
      <c r="E33024">
        <v>0</v>
      </c>
      <c r="F33024">
        <v>25</v>
      </c>
    </row>
    <row r="33025" spans="1:6" ht="12.75">
      <c r="A33025" s="2">
        <v>43875.423634259263</v>
      </c>
      <c r="B33025" t="str">
        <f t="shared" ref="B33025:B33026" si="390">HYPERLINK("https://twitter.com/kompascom","@kompascom")</f>
        <v>@kompascom</v>
      </c>
      <c r="C33025" t="s">
        <v>13804</v>
      </c>
      <c r="D33025">
        <v>1</v>
      </c>
      <c r="E33025">
        <v>1</v>
      </c>
      <c r="F33025">
        <v>7497309</v>
      </c>
    </row>
    <row r="33026" spans="1:6" ht="12.75">
      <c r="A33026" s="2">
        <v>43875.423622685186</v>
      </c>
      <c r="B33026" t="str">
        <f t="shared" si="390"/>
        <v>@kompascom</v>
      </c>
      <c r="C33026" t="s">
        <v>13805</v>
      </c>
      <c r="D33026">
        <v>1</v>
      </c>
      <c r="E33026">
        <v>18</v>
      </c>
      <c r="F33026">
        <v>7497309</v>
      </c>
    </row>
    <row r="33027" spans="1:6" ht="12.75">
      <c r="A33027" s="2">
        <v>43875.423541666663</v>
      </c>
      <c r="B33027" t="str">
        <f>HYPERLINK("https://twitter.com/gobalgabul2","@gobalgabul2")</f>
        <v>@gobalgabul2</v>
      </c>
      <c r="C33027" t="s">
        <v>2963</v>
      </c>
      <c r="D33027">
        <v>651</v>
      </c>
      <c r="E33027">
        <v>0</v>
      </c>
      <c r="F33027">
        <v>2199</v>
      </c>
    </row>
    <row r="33028" spans="1:6" ht="12.75">
      <c r="A33028" s="2">
        <v>43875.423518518517</v>
      </c>
      <c r="B33028" t="str">
        <f>HYPERLINK("https://twitter.com/eko_wi","@eko_wi")</f>
        <v>@eko_wi</v>
      </c>
      <c r="C33028" t="s">
        <v>7803</v>
      </c>
      <c r="D33028">
        <v>305</v>
      </c>
      <c r="E33028">
        <v>0</v>
      </c>
      <c r="F33028">
        <v>3374</v>
      </c>
    </row>
    <row r="33029" spans="1:6" ht="12.75">
      <c r="A33029" s="2">
        <v>43875.423437500001</v>
      </c>
      <c r="B33029" t="str">
        <f>HYPERLINK("https://twitter.com/AwangSancaka","@AwangSancaka")</f>
        <v>@AwangSancaka</v>
      </c>
      <c r="C33029" t="s">
        <v>13806</v>
      </c>
      <c r="D33029">
        <v>0</v>
      </c>
      <c r="E33029">
        <v>0</v>
      </c>
      <c r="F33029">
        <v>2378</v>
      </c>
    </row>
    <row r="33030" spans="1:6" ht="12.75">
      <c r="A33030" s="2">
        <v>43875.423321759255</v>
      </c>
      <c r="B33030" t="str">
        <f>HYPERLINK("https://twitter.com/CakL1571","@CakL1571")</f>
        <v>@CakL1571</v>
      </c>
      <c r="C33030" t="s">
        <v>13807</v>
      </c>
      <c r="D33030">
        <v>0</v>
      </c>
      <c r="E33030">
        <v>0</v>
      </c>
      <c r="F33030">
        <v>63</v>
      </c>
    </row>
    <row r="33031" spans="1:6" ht="12.75">
      <c r="A33031" s="2">
        <v>43875.423310185186</v>
      </c>
      <c r="B33031" t="str">
        <f>HYPERLINK("https://twitter.com/Aboriginandind1","@Aboriginandind1")</f>
        <v>@Aboriginandind1</v>
      </c>
      <c r="C33031" t="s">
        <v>13808</v>
      </c>
      <c r="D33031">
        <v>0</v>
      </c>
      <c r="E33031">
        <v>0</v>
      </c>
      <c r="F33031">
        <v>12</v>
      </c>
    </row>
    <row r="33032" spans="1:6" ht="12.75">
      <c r="A33032" s="2">
        <v>43875.423136574071</v>
      </c>
      <c r="B33032" t="str">
        <f>HYPERLINK("https://twitter.com/kitsiangfreddy","@kitsiangfreddy")</f>
        <v>@kitsiangfreddy</v>
      </c>
      <c r="C33032" t="s">
        <v>11071</v>
      </c>
      <c r="D33032">
        <v>58</v>
      </c>
      <c r="E33032">
        <v>0</v>
      </c>
      <c r="F33032">
        <v>1148</v>
      </c>
    </row>
    <row r="33033" spans="1:6" ht="12.75">
      <c r="A33033" s="2">
        <v>43875.422939814816</v>
      </c>
      <c r="B33033" t="str">
        <f>HYPERLINK("https://twitter.com/Bronktho","@Bronktho")</f>
        <v>@Bronktho</v>
      </c>
      <c r="C33033" t="s">
        <v>13809</v>
      </c>
      <c r="D33033">
        <v>0</v>
      </c>
      <c r="E33033">
        <v>0</v>
      </c>
      <c r="F33033">
        <v>595</v>
      </c>
    </row>
    <row r="33034" spans="1:6" ht="12.75">
      <c r="A33034" s="2">
        <v>43875.422858796301</v>
      </c>
      <c r="B33034" t="str">
        <f>HYPERLINK("https://twitter.com/rakyatrukun_","@rakyatrukun_")</f>
        <v>@rakyatrukun_</v>
      </c>
      <c r="C33034" t="s">
        <v>13810</v>
      </c>
      <c r="D33034">
        <v>0</v>
      </c>
      <c r="E33034">
        <v>0</v>
      </c>
      <c r="F33034">
        <v>1899</v>
      </c>
    </row>
    <row r="33035" spans="1:6" ht="12.75">
      <c r="A33035" s="2">
        <v>43875.422824074078</v>
      </c>
      <c r="B33035" t="str">
        <f>HYPERLINK("https://twitter.com/Je_Ly","@Je_Ly")</f>
        <v>@Je_Ly</v>
      </c>
      <c r="C33035" t="s">
        <v>13811</v>
      </c>
      <c r="D33035">
        <v>1</v>
      </c>
      <c r="E33035">
        <v>0</v>
      </c>
      <c r="F33035">
        <v>16555</v>
      </c>
    </row>
    <row r="33036" spans="1:6" ht="12.75">
      <c r="A33036" s="2">
        <v>43875.422673611116</v>
      </c>
      <c r="B33036" t="str">
        <f>HYPERLINK("https://twitter.com/_n_1_7_","@_n_1_7_")</f>
        <v>@_n_1_7_</v>
      </c>
      <c r="C33036" t="s">
        <v>13812</v>
      </c>
      <c r="D33036">
        <v>1</v>
      </c>
      <c r="E33036">
        <v>0</v>
      </c>
      <c r="F33036">
        <v>298</v>
      </c>
    </row>
    <row r="33037" spans="1:6" ht="12.75">
      <c r="A33037" s="2">
        <v>43875.422581018516</v>
      </c>
      <c r="B33037" t="str">
        <f>HYPERLINK("https://twitter.com/BasukiBae","@BasukiBae")</f>
        <v>@BasukiBae</v>
      </c>
      <c r="C33037" t="s">
        <v>2963</v>
      </c>
      <c r="D33037">
        <v>651</v>
      </c>
      <c r="E33037">
        <v>0</v>
      </c>
      <c r="F33037">
        <v>3386</v>
      </c>
    </row>
    <row r="33038" spans="1:6" ht="12.75">
      <c r="A33038" s="2">
        <v>43875.422546296293</v>
      </c>
      <c r="B33038" t="str">
        <f>HYPERLINK("https://twitter.com/anggarasbagas","@anggarasbagas")</f>
        <v>@anggarasbagas</v>
      </c>
      <c r="C33038" t="s">
        <v>10032</v>
      </c>
      <c r="D33038">
        <v>24</v>
      </c>
      <c r="E33038">
        <v>0</v>
      </c>
      <c r="F33038">
        <v>286</v>
      </c>
    </row>
    <row r="33039" spans="1:6" ht="12.75">
      <c r="A33039" s="2">
        <v>43875.422534722224</v>
      </c>
      <c r="B33039" t="str">
        <f>HYPERLINK("https://twitter.com/kevin_inJC","@kevin_inJC")</f>
        <v>@kevin_inJC</v>
      </c>
      <c r="C33039" t="s">
        <v>13813</v>
      </c>
      <c r="D33039">
        <v>2</v>
      </c>
      <c r="E33039">
        <v>0</v>
      </c>
      <c r="F33039">
        <v>98</v>
      </c>
    </row>
    <row r="33040" spans="1:6" ht="12.75">
      <c r="A33040" s="2">
        <v>43875.422476851847</v>
      </c>
      <c r="B33040" t="str">
        <f>HYPERLINK("https://twitter.com/upikq22","@upikq22")</f>
        <v>@upikq22</v>
      </c>
      <c r="C33040" t="s">
        <v>13814</v>
      </c>
      <c r="D33040">
        <v>7</v>
      </c>
      <c r="E33040">
        <v>0</v>
      </c>
      <c r="F33040">
        <v>860</v>
      </c>
    </row>
    <row r="33041" spans="1:6" ht="12.75">
      <c r="A33041" s="2">
        <v>43875.422476851847</v>
      </c>
      <c r="B33041" t="str">
        <f>HYPERLINK("https://twitter.com/AwangSancaka","@AwangSancaka")</f>
        <v>@AwangSancaka</v>
      </c>
      <c r="C33041" t="s">
        <v>2963</v>
      </c>
      <c r="D33041">
        <v>651</v>
      </c>
      <c r="E33041">
        <v>0</v>
      </c>
      <c r="F33041">
        <v>2378</v>
      </c>
    </row>
    <row r="33042" spans="1:6" ht="12.75">
      <c r="A33042" s="2">
        <v>43875.422395833331</v>
      </c>
      <c r="B33042" t="str">
        <f>HYPERLINK("https://twitter.com/aldinalsya","@aldinalsya")</f>
        <v>@aldinalsya</v>
      </c>
      <c r="C33042" t="s">
        <v>13815</v>
      </c>
      <c r="D33042">
        <v>0</v>
      </c>
      <c r="E33042">
        <v>0</v>
      </c>
      <c r="F33042">
        <v>104</v>
      </c>
    </row>
    <row r="33043" spans="1:6" ht="12.75">
      <c r="A33043" s="2">
        <v>43875.422384259262</v>
      </c>
      <c r="B33043" t="str">
        <f>HYPERLINK("https://twitter.com/ISIS_Balik_NO","@ISIS_Balik_NO")</f>
        <v>@ISIS_Balik_NO</v>
      </c>
      <c r="C33043" t="s">
        <v>13816</v>
      </c>
      <c r="D33043">
        <v>20</v>
      </c>
      <c r="E33043">
        <v>0</v>
      </c>
      <c r="F33043">
        <v>5893</v>
      </c>
    </row>
    <row r="33044" spans="1:6" ht="12.75">
      <c r="A33044" s="2">
        <v>43875.422372685185</v>
      </c>
      <c r="B33044" t="str">
        <f>HYPERLINK("https://twitter.com/anggraenyanggi_","@anggraenyanggi_")</f>
        <v>@anggraenyanggi_</v>
      </c>
      <c r="C33044" t="s">
        <v>2126</v>
      </c>
      <c r="D33044">
        <v>2798</v>
      </c>
      <c r="E33044">
        <v>0</v>
      </c>
      <c r="F33044">
        <v>504</v>
      </c>
    </row>
    <row r="33045" spans="1:6" ht="12.75">
      <c r="A33045" s="2">
        <v>43875.422280092593</v>
      </c>
      <c r="B33045" t="str">
        <f>HYPERLINK("https://twitter.com/Yadie050977","@Yadie050977")</f>
        <v>@Yadie050977</v>
      </c>
      <c r="C33045" t="s">
        <v>10319</v>
      </c>
      <c r="D33045">
        <v>150</v>
      </c>
      <c r="E33045">
        <v>0</v>
      </c>
      <c r="F33045">
        <v>1165</v>
      </c>
    </row>
    <row r="33046" spans="1:6" ht="12.75">
      <c r="A33046" s="2">
        <v>43875.422256944439</v>
      </c>
      <c r="B33046" t="str">
        <f>HYPERLINK("https://twitter.com/youliyoud","@youliyoud")</f>
        <v>@youliyoud</v>
      </c>
      <c r="C33046" t="s">
        <v>13817</v>
      </c>
      <c r="D33046">
        <v>0</v>
      </c>
      <c r="E33046">
        <v>0</v>
      </c>
      <c r="F33046">
        <v>21</v>
      </c>
    </row>
    <row r="33047" spans="1:6" ht="12.75">
      <c r="A33047" s="2">
        <v>43875.4222337963</v>
      </c>
      <c r="B33047" t="str">
        <f>HYPERLINK("https://twitter.com/Harinnll","@Harinnll")</f>
        <v>@Harinnll</v>
      </c>
      <c r="C33047" t="s">
        <v>11728</v>
      </c>
      <c r="D33047">
        <v>59</v>
      </c>
      <c r="E33047">
        <v>0</v>
      </c>
      <c r="F33047">
        <v>23</v>
      </c>
    </row>
    <row r="33048" spans="1:6" ht="12.75">
      <c r="A33048" s="2">
        <v>43875.422129629631</v>
      </c>
      <c r="B33048" t="str">
        <f>HYPERLINK("https://twitter.com/zankcika","@zankcika")</f>
        <v>@zankcika</v>
      </c>
      <c r="C33048" t="s">
        <v>13818</v>
      </c>
      <c r="D33048">
        <v>2</v>
      </c>
      <c r="E33048">
        <v>0</v>
      </c>
      <c r="F33048">
        <v>238</v>
      </c>
    </row>
    <row r="33049" spans="1:6" ht="12.75">
      <c r="A33049" s="2">
        <v>43875.422013888892</v>
      </c>
      <c r="B33049" t="str">
        <f>HYPERLINK("https://twitter.com/Rita8213","@Rita8213")</f>
        <v>@Rita8213</v>
      </c>
      <c r="C33049" t="s">
        <v>13819</v>
      </c>
      <c r="D33049">
        <v>0</v>
      </c>
      <c r="E33049">
        <v>0</v>
      </c>
      <c r="F33049">
        <v>107</v>
      </c>
    </row>
    <row r="33050" spans="1:6" ht="12.75">
      <c r="A33050" s="2">
        <v>43875.422002314815</v>
      </c>
      <c r="B33050" t="str">
        <f>HYPERLINK("https://twitter.com/youliyoud","@youliyoud")</f>
        <v>@youliyoud</v>
      </c>
      <c r="C33050" t="s">
        <v>13820</v>
      </c>
      <c r="D33050">
        <v>1</v>
      </c>
      <c r="E33050">
        <v>0</v>
      </c>
      <c r="F33050">
        <v>21</v>
      </c>
    </row>
    <row r="33051" spans="1:6" ht="12.75">
      <c r="A33051" s="2">
        <v>43875.421817129631</v>
      </c>
      <c r="B33051" t="str">
        <f>HYPERLINK("https://twitter.com/justatoem","@justatoem")</f>
        <v>@justatoem</v>
      </c>
      <c r="C33051" t="s">
        <v>13821</v>
      </c>
      <c r="D33051">
        <v>0</v>
      </c>
      <c r="E33051">
        <v>0</v>
      </c>
      <c r="F33051">
        <v>33</v>
      </c>
    </row>
    <row r="33052" spans="1:6" ht="12.75">
      <c r="A33052" s="2">
        <v>43875.421793981484</v>
      </c>
      <c r="B33052" t="str">
        <f>HYPERLINK("https://twitter.com/Popopokarimu","@Popopokarimu")</f>
        <v>@Popopokarimu</v>
      </c>
      <c r="C33052" t="s">
        <v>13822</v>
      </c>
      <c r="D33052">
        <v>0</v>
      </c>
      <c r="E33052">
        <v>0</v>
      </c>
      <c r="F33052">
        <v>10</v>
      </c>
    </row>
    <row r="33053" spans="1:6" ht="12.75">
      <c r="A33053" s="2">
        <v>43875.421782407408</v>
      </c>
      <c r="B33053" t="str">
        <f>HYPERLINK("https://twitter.com/Adhi_Faiz","@Adhi_Faiz")</f>
        <v>@Adhi_Faiz</v>
      </c>
      <c r="C33053" t="s">
        <v>2963</v>
      </c>
      <c r="D33053">
        <v>651</v>
      </c>
      <c r="E33053">
        <v>0</v>
      </c>
      <c r="F33053">
        <v>1294</v>
      </c>
    </row>
    <row r="33054" spans="1:6" ht="12.75">
      <c r="A33054" s="2">
        <v>43875.4216087963</v>
      </c>
      <c r="B33054" t="str">
        <f>HYPERLINK("https://twitter.com/filosofiksi","@filosofiksi")</f>
        <v>@filosofiksi</v>
      </c>
      <c r="C33054" t="s">
        <v>13823</v>
      </c>
      <c r="D33054">
        <v>0</v>
      </c>
      <c r="E33054">
        <v>0</v>
      </c>
      <c r="F33054">
        <v>2228</v>
      </c>
    </row>
    <row r="33055" spans="1:6" ht="12.75">
      <c r="A33055" s="2">
        <v>43875.4215162037</v>
      </c>
      <c r="B33055" t="str">
        <f>HYPERLINK("https://twitter.com/Heras_24","@Heras_24")</f>
        <v>@Heras_24</v>
      </c>
      <c r="C33055" t="s">
        <v>13824</v>
      </c>
      <c r="D33055">
        <v>0</v>
      </c>
      <c r="E33055">
        <v>0</v>
      </c>
      <c r="F33055">
        <v>59</v>
      </c>
    </row>
    <row r="33056" spans="1:6" ht="12.75">
      <c r="A33056" s="2">
        <v>43875.4215162037</v>
      </c>
      <c r="B33056" t="str">
        <f>HYPERLINK("https://twitter.com/Santoso26166908","@Santoso26166908")</f>
        <v>@Santoso26166908</v>
      </c>
      <c r="C33056" t="s">
        <v>11728</v>
      </c>
      <c r="D33056">
        <v>59</v>
      </c>
      <c r="E33056">
        <v>0</v>
      </c>
      <c r="F33056">
        <v>442</v>
      </c>
    </row>
    <row r="33057" spans="1:6" ht="12.75">
      <c r="A33057" s="2">
        <v>43875.42150462963</v>
      </c>
      <c r="B33057" t="str">
        <f>HYPERLINK("https://twitter.com/ZheeOmega","@ZheeOmega")</f>
        <v>@ZheeOmega</v>
      </c>
      <c r="C33057" t="s">
        <v>13825</v>
      </c>
      <c r="D33057">
        <v>0</v>
      </c>
      <c r="E33057">
        <v>0</v>
      </c>
      <c r="F33057">
        <v>17782</v>
      </c>
    </row>
    <row r="33058" spans="1:6" ht="12.75">
      <c r="A33058" s="2">
        <v>43875.42150462963</v>
      </c>
      <c r="B33058" t="str">
        <f>HYPERLINK("https://twitter.com/Hesdried","@Hesdried")</f>
        <v>@Hesdried</v>
      </c>
      <c r="C33058" t="s">
        <v>5168</v>
      </c>
      <c r="D33058">
        <v>498</v>
      </c>
      <c r="E33058">
        <v>0</v>
      </c>
      <c r="F33058">
        <v>256</v>
      </c>
    </row>
    <row r="33059" spans="1:6" ht="12.75">
      <c r="A33059" s="2">
        <v>43875.42150462963</v>
      </c>
      <c r="B33059" t="str">
        <f>HYPERLINK("https://twitter.com/hengkitjhai","@hengkitjhai")</f>
        <v>@hengkitjhai</v>
      </c>
      <c r="C33059" t="s">
        <v>13826</v>
      </c>
      <c r="D33059">
        <v>0</v>
      </c>
      <c r="E33059">
        <v>0</v>
      </c>
      <c r="F33059">
        <v>11</v>
      </c>
    </row>
    <row r="33060" spans="1:6" ht="12.75">
      <c r="A33060" s="2">
        <v>43875.421377314815</v>
      </c>
      <c r="B33060" t="str">
        <f>HYPERLINK("https://twitter.com/EddySugama","@EddySugama")</f>
        <v>@EddySugama</v>
      </c>
      <c r="C33060" t="s">
        <v>13827</v>
      </c>
      <c r="D33060">
        <v>0</v>
      </c>
      <c r="E33060">
        <v>1</v>
      </c>
      <c r="F33060">
        <v>59</v>
      </c>
    </row>
    <row r="33061" spans="1:6" ht="12.75">
      <c r="A33061" s="2">
        <v>43875.421354166669</v>
      </c>
      <c r="B33061" t="str">
        <f>HYPERLINK("https://twitter.com/anak_anakafir","@anak_anakafir")</f>
        <v>@anak_anakafir</v>
      </c>
      <c r="C33061" t="s">
        <v>13828</v>
      </c>
      <c r="D33061">
        <v>3</v>
      </c>
      <c r="E33061">
        <v>0</v>
      </c>
      <c r="F33061">
        <v>4122</v>
      </c>
    </row>
    <row r="33062" spans="1:6" ht="12.75">
      <c r="A33062" s="2">
        <v>43875.421342592592</v>
      </c>
      <c r="B33062" t="str">
        <f>HYPERLINK("https://twitter.com/_n_1_7_","@_n_1_7_")</f>
        <v>@_n_1_7_</v>
      </c>
      <c r="C33062" t="s">
        <v>13829</v>
      </c>
      <c r="D33062">
        <v>1</v>
      </c>
      <c r="E33062">
        <v>0</v>
      </c>
      <c r="F33062">
        <v>298</v>
      </c>
    </row>
    <row r="33063" spans="1:6" ht="12.75">
      <c r="A33063" s="2">
        <v>43875.421215277776</v>
      </c>
      <c r="B33063" t="str">
        <f>HYPERLINK("https://twitter.com/CakL1571","@CakL1571")</f>
        <v>@CakL1571</v>
      </c>
      <c r="C33063" t="s">
        <v>13830</v>
      </c>
      <c r="D33063">
        <v>0</v>
      </c>
      <c r="E33063">
        <v>0</v>
      </c>
      <c r="F33063">
        <v>63</v>
      </c>
    </row>
    <row r="33064" spans="1:6" ht="12.75">
      <c r="A33064" s="2">
        <v>43875.42119212963</v>
      </c>
      <c r="B33064" t="str">
        <f>HYPERLINK("https://twitter.com/Mytrip19","@Mytrip19")</f>
        <v>@Mytrip19</v>
      </c>
      <c r="C33064" t="s">
        <v>12845</v>
      </c>
      <c r="D33064">
        <v>38</v>
      </c>
      <c r="E33064">
        <v>0</v>
      </c>
      <c r="F33064">
        <v>1720</v>
      </c>
    </row>
    <row r="33065" spans="1:6" ht="12.75">
      <c r="A33065" s="2">
        <v>43875.421180555553</v>
      </c>
      <c r="B33065" t="str">
        <f>HYPERLINK("https://twitter.com/Santoso26166908","@Santoso26166908")</f>
        <v>@Santoso26166908</v>
      </c>
      <c r="C33065" t="s">
        <v>2122</v>
      </c>
      <c r="D33065">
        <v>187</v>
      </c>
      <c r="E33065">
        <v>0</v>
      </c>
      <c r="F33065">
        <v>442</v>
      </c>
    </row>
    <row r="33066" spans="1:6" ht="12.75">
      <c r="A33066" s="2">
        <v>43875.421134259261</v>
      </c>
      <c r="B33066" t="str">
        <f>HYPERLINK("https://twitter.com/Anarachyo","@Anarachyo")</f>
        <v>@Anarachyo</v>
      </c>
      <c r="C33066" t="s">
        <v>12044</v>
      </c>
      <c r="D33066">
        <v>41</v>
      </c>
      <c r="E33066">
        <v>0</v>
      </c>
      <c r="F33066">
        <v>98</v>
      </c>
    </row>
    <row r="33067" spans="1:6" ht="12.75">
      <c r="A33067" s="2">
        <v>43875.421030092592</v>
      </c>
      <c r="B33067" t="str">
        <f>HYPERLINK("https://twitter.com/innovesian","@innovesian")</f>
        <v>@innovesian</v>
      </c>
      <c r="C33067" t="s">
        <v>13831</v>
      </c>
      <c r="D33067">
        <v>0</v>
      </c>
      <c r="E33067">
        <v>2</v>
      </c>
      <c r="F33067">
        <v>31978</v>
      </c>
    </row>
    <row r="33068" spans="1:6" ht="12.75">
      <c r="A33068" s="2">
        <v>43875.421018518522</v>
      </c>
      <c r="B33068" t="str">
        <f>HYPERLINK("https://twitter.com/Alfon369","@Alfon369")</f>
        <v>@Alfon369</v>
      </c>
      <c r="C33068" t="s">
        <v>13832</v>
      </c>
      <c r="D33068">
        <v>0</v>
      </c>
      <c r="E33068">
        <v>0</v>
      </c>
      <c r="F33068">
        <v>1384</v>
      </c>
    </row>
    <row r="33069" spans="1:6" ht="12.75">
      <c r="A33069" s="2">
        <v>43875.421006944445</v>
      </c>
      <c r="B33069" t="str">
        <f>HYPERLINK("https://twitter.com/_n_1_7_","@_n_1_7_")</f>
        <v>@_n_1_7_</v>
      </c>
      <c r="C33069" t="s">
        <v>13833</v>
      </c>
      <c r="D33069">
        <v>1</v>
      </c>
      <c r="E33069">
        <v>0</v>
      </c>
      <c r="F33069">
        <v>298</v>
      </c>
    </row>
    <row r="33070" spans="1:6" ht="12.75">
      <c r="A33070" s="2">
        <v>43875.421006944445</v>
      </c>
      <c r="B33070" t="str">
        <f>HYPERLINK("https://twitter.com/Santoso26166908","@Santoso26166908")</f>
        <v>@Santoso26166908</v>
      </c>
      <c r="C33070" t="s">
        <v>12287</v>
      </c>
      <c r="D33070">
        <v>35</v>
      </c>
      <c r="E33070">
        <v>0</v>
      </c>
      <c r="F33070">
        <v>442</v>
      </c>
    </row>
    <row r="33071" spans="1:6" ht="12.75">
      <c r="A33071" s="2">
        <v>43875.420983796299</v>
      </c>
      <c r="B33071" t="str">
        <f>HYPERLINK("https://twitter.com/hadi_poernomo","@hadi_poernomo")</f>
        <v>@hadi_poernomo</v>
      </c>
      <c r="C33071" t="s">
        <v>9531</v>
      </c>
      <c r="D33071">
        <v>2</v>
      </c>
      <c r="E33071">
        <v>0</v>
      </c>
      <c r="F33071">
        <v>920</v>
      </c>
    </row>
    <row r="33072" spans="1:6" ht="12.75">
      <c r="A33072" s="2">
        <v>43875.420983796299</v>
      </c>
      <c r="B33072" t="str">
        <f>HYPERLINK("https://twitter.com/Budy_1977","@Budy_1977")</f>
        <v>@Budy_1977</v>
      </c>
      <c r="C33072" t="s">
        <v>2963</v>
      </c>
      <c r="D33072">
        <v>651</v>
      </c>
      <c r="E33072">
        <v>0</v>
      </c>
      <c r="F33072">
        <v>186</v>
      </c>
    </row>
    <row r="33073" spans="1:6" ht="12.75">
      <c r="A33073" s="2">
        <v>43875.420775462961</v>
      </c>
      <c r="B33073" t="str">
        <f>HYPERLINK("https://twitter.com/adie_masihhidup","@adie_masihhidup")</f>
        <v>@adie_masihhidup</v>
      </c>
      <c r="C33073" t="s">
        <v>13834</v>
      </c>
      <c r="D33073">
        <v>0</v>
      </c>
      <c r="E33073">
        <v>0</v>
      </c>
      <c r="F33073">
        <v>1557</v>
      </c>
    </row>
    <row r="33074" spans="1:6" ht="12.75">
      <c r="A33074" s="2">
        <v>43875.420682870375</v>
      </c>
      <c r="B33074" t="str">
        <f>HYPERLINK("https://twitter.com/youliyoud","@youliyoud")</f>
        <v>@youliyoud</v>
      </c>
      <c r="C33074" t="s">
        <v>13835</v>
      </c>
      <c r="D33074">
        <v>2</v>
      </c>
      <c r="E33074">
        <v>0</v>
      </c>
      <c r="F33074">
        <v>21</v>
      </c>
    </row>
    <row r="33075" spans="1:6" ht="12.75">
      <c r="A33075" s="2">
        <v>43875.420613425929</v>
      </c>
      <c r="B33075" t="str">
        <f>HYPERLINK("https://twitter.com/kholil78","@kholil78")</f>
        <v>@kholil78</v>
      </c>
      <c r="C33075" t="s">
        <v>13836</v>
      </c>
      <c r="D33075">
        <v>1</v>
      </c>
      <c r="E33075">
        <v>0</v>
      </c>
      <c r="F33075">
        <v>3280</v>
      </c>
    </row>
    <row r="33076" spans="1:6" ht="12.75">
      <c r="A33076" s="2">
        <v>43875.420555555553</v>
      </c>
      <c r="B33076" t="str">
        <f>HYPERLINK("https://twitter.com/parmabar","@parmabar")</f>
        <v>@parmabar</v>
      </c>
      <c r="C33076" t="s">
        <v>2963</v>
      </c>
      <c r="D33076">
        <v>651</v>
      </c>
      <c r="E33076">
        <v>0</v>
      </c>
      <c r="F33076">
        <v>1392</v>
      </c>
    </row>
    <row r="33077" spans="1:6" ht="12.75">
      <c r="A33077" s="2">
        <v>43875.420555555553</v>
      </c>
      <c r="B33077" t="str">
        <f>HYPERLINK("https://twitter.com/bukanirsyad","@bukanirsyad")</f>
        <v>@bukanirsyad</v>
      </c>
      <c r="C33077" t="s">
        <v>9746</v>
      </c>
      <c r="D33077">
        <v>32</v>
      </c>
      <c r="E33077">
        <v>0</v>
      </c>
      <c r="F33077">
        <v>366</v>
      </c>
    </row>
    <row r="33078" spans="1:6" ht="12.75">
      <c r="A33078" s="2">
        <v>43875.420451388884</v>
      </c>
      <c r="B33078" t="str">
        <f>HYPERLINK("https://twitter.com/RomyMeteor","@RomyMeteor")</f>
        <v>@RomyMeteor</v>
      </c>
      <c r="C33078" t="s">
        <v>13837</v>
      </c>
      <c r="D33078">
        <v>0</v>
      </c>
      <c r="E33078">
        <v>0</v>
      </c>
      <c r="F33078">
        <v>2</v>
      </c>
    </row>
    <row r="33079" spans="1:6" ht="12.75">
      <c r="A33079" s="2">
        <v>43875.420439814814</v>
      </c>
      <c r="B33079" t="str">
        <f>HYPERLINK("https://twitter.com/SatrReformasi","@SatrReformasi")</f>
        <v>@SatrReformasi</v>
      </c>
      <c r="C33079" t="s">
        <v>5168</v>
      </c>
      <c r="D33079">
        <v>498</v>
      </c>
      <c r="E33079">
        <v>0</v>
      </c>
      <c r="F33079">
        <v>136</v>
      </c>
    </row>
    <row r="33080" spans="1:6" ht="12.75">
      <c r="A33080" s="2">
        <v>43875.420347222222</v>
      </c>
      <c r="B33080" t="str">
        <f>HYPERLINK("https://twitter.com/DinamikaRemaja","@DinamikaRemaja")</f>
        <v>@DinamikaRemaja</v>
      </c>
      <c r="C33080" t="s">
        <v>9119</v>
      </c>
      <c r="D33080">
        <v>45</v>
      </c>
      <c r="E33080">
        <v>0</v>
      </c>
      <c r="F33080">
        <v>47</v>
      </c>
    </row>
    <row r="33081" spans="1:6" ht="12.75">
      <c r="A33081" s="2">
        <v>43875.420254629629</v>
      </c>
      <c r="B33081" t="str">
        <f>HYPERLINK("https://twitter.com/Harinnll","@Harinnll")</f>
        <v>@Harinnll</v>
      </c>
      <c r="C33081" t="s">
        <v>10266</v>
      </c>
      <c r="D33081">
        <v>254</v>
      </c>
      <c r="E33081">
        <v>0</v>
      </c>
      <c r="F33081">
        <v>23</v>
      </c>
    </row>
    <row r="33082" spans="1:6" ht="12.75">
      <c r="A33082" s="2">
        <v>43875.420231481483</v>
      </c>
      <c r="B33082" t="str">
        <f>HYPERLINK("https://twitter.com/Santoso26166908","@Santoso26166908")</f>
        <v>@Santoso26166908</v>
      </c>
      <c r="C33082" t="s">
        <v>12849</v>
      </c>
      <c r="D33082">
        <v>64</v>
      </c>
      <c r="E33082">
        <v>0</v>
      </c>
      <c r="F33082">
        <v>442</v>
      </c>
    </row>
    <row r="33083" spans="1:6" ht="12.75">
      <c r="A33083" s="2">
        <v>43875.420219907406</v>
      </c>
      <c r="B33083" t="str">
        <f>HYPERLINK("https://twitter.com/pubinform","@pubinform")</f>
        <v>@pubinform</v>
      </c>
      <c r="C33083" t="s">
        <v>13838</v>
      </c>
      <c r="D33083">
        <v>0</v>
      </c>
      <c r="E33083">
        <v>0</v>
      </c>
      <c r="F33083">
        <v>381</v>
      </c>
    </row>
    <row r="33084" spans="1:6" ht="12.75">
      <c r="A33084" s="2">
        <v>43875.420208333337</v>
      </c>
      <c r="B33084" t="str">
        <f>HYPERLINK("https://twitter.com/Fey46260988","@Fey46260988")</f>
        <v>@Fey46260988</v>
      </c>
      <c r="C33084" t="s">
        <v>9096</v>
      </c>
      <c r="D33084">
        <v>171</v>
      </c>
      <c r="E33084">
        <v>0</v>
      </c>
      <c r="F33084">
        <v>55</v>
      </c>
    </row>
    <row r="33085" spans="1:6" ht="12.75">
      <c r="A33085" s="2">
        <v>43875.42019675926</v>
      </c>
      <c r="B33085" t="str">
        <f>HYPERLINK("https://twitter.com/afdhaldy","@afdhaldy")</f>
        <v>@afdhaldy</v>
      </c>
      <c r="C33085" t="s">
        <v>12044</v>
      </c>
      <c r="D33085">
        <v>41</v>
      </c>
      <c r="E33085">
        <v>0</v>
      </c>
      <c r="F33085">
        <v>4</v>
      </c>
    </row>
    <row r="33086" spans="1:6" ht="12.75">
      <c r="A33086" s="2">
        <v>43875.420185185183</v>
      </c>
      <c r="B33086" t="str">
        <f>HYPERLINK("https://twitter.com/kawak02","@kawak02")</f>
        <v>@kawak02</v>
      </c>
      <c r="C33086" t="s">
        <v>5761</v>
      </c>
      <c r="D33086">
        <v>41</v>
      </c>
      <c r="E33086">
        <v>0</v>
      </c>
      <c r="F33086">
        <v>1974</v>
      </c>
    </row>
    <row r="33087" spans="1:6" ht="12.75">
      <c r="A33087" s="2">
        <v>43875.420138888891</v>
      </c>
      <c r="B33087" t="str">
        <f>HYPERLINK("https://twitter.com/malespakenick","@malespakenick")</f>
        <v>@malespakenick</v>
      </c>
      <c r="C33087" t="s">
        <v>12044</v>
      </c>
      <c r="D33087">
        <v>41</v>
      </c>
      <c r="E33087">
        <v>0</v>
      </c>
      <c r="F33087">
        <v>204</v>
      </c>
    </row>
    <row r="33088" spans="1:6" ht="12.75">
      <c r="A33088" s="2">
        <v>43875.420127314814</v>
      </c>
      <c r="B33088" t="str">
        <f>HYPERLINK("https://twitter.com/illamediani","@illamediani")</f>
        <v>@illamediani</v>
      </c>
      <c r="C33088" t="s">
        <v>9964</v>
      </c>
      <c r="D33088">
        <v>491</v>
      </c>
      <c r="E33088">
        <v>0</v>
      </c>
      <c r="F33088">
        <v>372</v>
      </c>
    </row>
    <row r="33089" spans="1:6" ht="12.75">
      <c r="A33089" s="2">
        <v>43875.420115740737</v>
      </c>
      <c r="B33089" t="str">
        <f>HYPERLINK("https://twitter.com/youliyoud","@youliyoud")</f>
        <v>@youliyoud</v>
      </c>
      <c r="C33089" t="s">
        <v>13839</v>
      </c>
      <c r="D33089">
        <v>0</v>
      </c>
      <c r="E33089">
        <v>0</v>
      </c>
      <c r="F33089">
        <v>21</v>
      </c>
    </row>
    <row r="33090" spans="1:6" ht="12.75">
      <c r="A33090" s="2">
        <v>43875.420104166667</v>
      </c>
      <c r="B33090" t="str">
        <f>HYPERLINK("https://twitter.com/yukbels","@yukbels")</f>
        <v>@yukbels</v>
      </c>
      <c r="C33090" t="s">
        <v>13840</v>
      </c>
      <c r="D33090">
        <v>0</v>
      </c>
      <c r="E33090">
        <v>2</v>
      </c>
      <c r="F33090">
        <v>37</v>
      </c>
    </row>
    <row r="33091" spans="1:6" ht="12.75">
      <c r="A33091" s="2">
        <v>43875.420104166667</v>
      </c>
      <c r="B33091" t="str">
        <f>HYPERLINK("https://twitter.com/HensenMawang","@HensenMawang")</f>
        <v>@HensenMawang</v>
      </c>
      <c r="C33091" t="s">
        <v>10407</v>
      </c>
      <c r="D33091">
        <v>40</v>
      </c>
      <c r="E33091">
        <v>0</v>
      </c>
      <c r="F33091">
        <v>86</v>
      </c>
    </row>
    <row r="33092" spans="1:6" ht="12.75">
      <c r="A33092" s="2">
        <v>43875.420057870375</v>
      </c>
      <c r="B33092" t="str">
        <f>HYPERLINK("https://twitter.com/AhlisWae","@AhlisWae")</f>
        <v>@AhlisWae</v>
      </c>
      <c r="C33092" t="s">
        <v>9211</v>
      </c>
      <c r="D33092">
        <v>22</v>
      </c>
      <c r="E33092">
        <v>0</v>
      </c>
      <c r="F33092">
        <v>2400</v>
      </c>
    </row>
    <row r="33093" spans="1:6" ht="12.75">
      <c r="A33093" s="2">
        <v>43875.42</v>
      </c>
      <c r="B33093" t="str">
        <f>HYPERLINK("https://twitter.com/senjaraku","@senjaraku")</f>
        <v>@senjaraku</v>
      </c>
      <c r="C33093" t="s">
        <v>9119</v>
      </c>
      <c r="D33093">
        <v>45</v>
      </c>
      <c r="E33093">
        <v>0</v>
      </c>
      <c r="F33093">
        <v>335</v>
      </c>
    </row>
    <row r="33094" spans="1:6" ht="12.75">
      <c r="A33094" s="2">
        <v>43875.419976851852</v>
      </c>
      <c r="B33094" t="str">
        <f>HYPERLINK("https://twitter.com/pubinform","@pubinform")</f>
        <v>@pubinform</v>
      </c>
      <c r="C33094" t="s">
        <v>13841</v>
      </c>
      <c r="D33094">
        <v>0</v>
      </c>
      <c r="E33094">
        <v>0</v>
      </c>
      <c r="F33094">
        <v>381</v>
      </c>
    </row>
    <row r="33095" spans="1:6" ht="12.75">
      <c r="A33095" s="2">
        <v>43875.419918981483</v>
      </c>
      <c r="B33095" t="str">
        <f>HYPERLINK("https://twitter.com/anwaroviic","@anwaroviic")</f>
        <v>@anwaroviic</v>
      </c>
      <c r="C33095" t="s">
        <v>9096</v>
      </c>
      <c r="D33095">
        <v>171</v>
      </c>
      <c r="E33095">
        <v>0</v>
      </c>
      <c r="F33095">
        <v>144</v>
      </c>
    </row>
    <row r="33096" spans="1:6" ht="12.75">
      <c r="A33096" s="2">
        <v>43875.41987268519</v>
      </c>
      <c r="B33096" t="str">
        <f>HYPERLINK("https://twitter.com/Dewisusanto7","@Dewisusanto7")</f>
        <v>@Dewisusanto7</v>
      </c>
      <c r="C33096" t="s">
        <v>13842</v>
      </c>
      <c r="D33096">
        <v>32</v>
      </c>
      <c r="E33096">
        <v>0</v>
      </c>
      <c r="F33096">
        <v>527</v>
      </c>
    </row>
    <row r="33097" spans="1:6" ht="12.75">
      <c r="A33097" s="2">
        <v>43875.419861111106</v>
      </c>
      <c r="B33097" t="str">
        <f>HYPERLINK("https://twitter.com/pubinform","@pubinform")</f>
        <v>@pubinform</v>
      </c>
      <c r="C33097" t="s">
        <v>13843</v>
      </c>
      <c r="D33097">
        <v>0</v>
      </c>
      <c r="E33097">
        <v>0</v>
      </c>
      <c r="F33097">
        <v>381</v>
      </c>
    </row>
    <row r="33098" spans="1:6" ht="12.75">
      <c r="A33098" s="2">
        <v>43875.419837962967</v>
      </c>
      <c r="B33098" t="str">
        <f>HYPERLINK("https://twitter.com/ZheeOmega","@ZheeOmega")</f>
        <v>@ZheeOmega</v>
      </c>
      <c r="C33098" t="s">
        <v>13844</v>
      </c>
      <c r="D33098">
        <v>0</v>
      </c>
      <c r="E33098">
        <v>0</v>
      </c>
      <c r="F33098">
        <v>17782</v>
      </c>
    </row>
    <row r="33099" spans="1:6" ht="12.75">
      <c r="A33099" s="2">
        <v>43875.41982638889</v>
      </c>
      <c r="B33099" t="str">
        <f>HYPERLINK("https://twitter.com/Dewisusanto7","@Dewisusanto7")</f>
        <v>@Dewisusanto7</v>
      </c>
      <c r="C33099" t="s">
        <v>10397</v>
      </c>
      <c r="D33099">
        <v>67</v>
      </c>
      <c r="E33099">
        <v>0</v>
      </c>
      <c r="F33099">
        <v>527</v>
      </c>
    </row>
    <row r="33100" spans="1:6" ht="12.75">
      <c r="A33100" s="2">
        <v>43875.419594907406</v>
      </c>
      <c r="B33100" t="str">
        <f>HYPERLINK("https://twitter.com/Harinnll","@Harinnll")</f>
        <v>@Harinnll</v>
      </c>
      <c r="C33100" t="s">
        <v>9113</v>
      </c>
      <c r="D33100">
        <v>264</v>
      </c>
      <c r="E33100">
        <v>0</v>
      </c>
      <c r="F33100">
        <v>23</v>
      </c>
    </row>
    <row r="33101" spans="1:6" ht="12.75">
      <c r="A33101" s="2">
        <v>43875.419583333336</v>
      </c>
      <c r="B33101" t="str">
        <f>HYPERLINK("https://twitter.com/info4marwan","@info4marwan")</f>
        <v>@info4marwan</v>
      </c>
      <c r="C33101" t="s">
        <v>13845</v>
      </c>
      <c r="D33101">
        <v>0</v>
      </c>
      <c r="E33101">
        <v>0</v>
      </c>
      <c r="F33101">
        <v>592</v>
      </c>
    </row>
    <row r="33102" spans="1:6" ht="12.75">
      <c r="A33102" s="2">
        <v>43875.419525462959</v>
      </c>
      <c r="B33102" t="str">
        <f>HYPERLINK("https://twitter.com/Yurika01326264","@Yurika01326264")</f>
        <v>@Yurika01326264</v>
      </c>
      <c r="C33102" t="s">
        <v>12044</v>
      </c>
      <c r="D33102">
        <v>41</v>
      </c>
      <c r="E33102">
        <v>0</v>
      </c>
      <c r="F33102">
        <v>1</v>
      </c>
    </row>
    <row r="33103" spans="1:6" ht="12.75">
      <c r="A33103" s="2">
        <v>43875.419502314813</v>
      </c>
      <c r="B33103" t="str">
        <f>HYPERLINK("https://twitter.com/Harinnll","@Harinnll")</f>
        <v>@Harinnll</v>
      </c>
      <c r="C33103" t="s">
        <v>10462</v>
      </c>
      <c r="D33103">
        <v>228</v>
      </c>
      <c r="E33103">
        <v>0</v>
      </c>
      <c r="F33103">
        <v>23</v>
      </c>
    </row>
    <row r="33104" spans="1:6" ht="12.75">
      <c r="A33104" s="2">
        <v>43875.419421296298</v>
      </c>
      <c r="B33104" t="str">
        <f>HYPERLINK("https://twitter.com/Brigbuzz","@Brigbuzz")</f>
        <v>@Brigbuzz</v>
      </c>
      <c r="C33104" t="s">
        <v>2963</v>
      </c>
      <c r="D33104">
        <v>651</v>
      </c>
      <c r="E33104">
        <v>0</v>
      </c>
      <c r="F33104">
        <v>142</v>
      </c>
    </row>
    <row r="33105" spans="1:6" ht="12.75">
      <c r="A33105" s="2">
        <v>43875.419293981482</v>
      </c>
      <c r="B33105" t="str">
        <f>HYPERLINK("https://twitter.com/FatonyMas","@FatonyMas")</f>
        <v>@FatonyMas</v>
      </c>
      <c r="C33105" t="s">
        <v>2963</v>
      </c>
      <c r="D33105">
        <v>651</v>
      </c>
      <c r="E33105">
        <v>0</v>
      </c>
      <c r="F33105">
        <v>56</v>
      </c>
    </row>
    <row r="33106" spans="1:6" ht="12.75">
      <c r="A33106" s="2">
        <v>43875.419282407413</v>
      </c>
      <c r="B33106" t="str">
        <f>HYPERLINK("https://twitter.com/Mustafid9","@Mustafid9")</f>
        <v>@Mustafid9</v>
      </c>
      <c r="C33106" t="s">
        <v>12450</v>
      </c>
      <c r="D33106">
        <v>76</v>
      </c>
      <c r="E33106">
        <v>0</v>
      </c>
      <c r="F33106">
        <v>312</v>
      </c>
    </row>
    <row r="33107" spans="1:6" ht="12.75">
      <c r="A33107" s="2">
        <v>43875.419270833328</v>
      </c>
      <c r="B33107" t="str">
        <f>HYPERLINK("https://twitter.com/tasya_4black","@tasya_4black")</f>
        <v>@tasya_4black</v>
      </c>
      <c r="C33107" t="s">
        <v>10706</v>
      </c>
      <c r="D33107">
        <v>208</v>
      </c>
      <c r="E33107">
        <v>0</v>
      </c>
      <c r="F33107">
        <v>85</v>
      </c>
    </row>
    <row r="33108" spans="1:6" ht="12.75">
      <c r="A33108" s="2">
        <v>43875.419120370367</v>
      </c>
      <c r="B33108" t="str">
        <f>HYPERLINK("https://twitter.com/VIVAcoid","@VIVAcoid")</f>
        <v>@VIVAcoid</v>
      </c>
      <c r="C33108" t="s">
        <v>13846</v>
      </c>
      <c r="D33108">
        <v>1</v>
      </c>
      <c r="E33108">
        <v>0</v>
      </c>
      <c r="F33108">
        <v>4169096</v>
      </c>
    </row>
    <row r="33109" spans="1:6" ht="12.75">
      <c r="A33109" s="2">
        <v>43875.41909722222</v>
      </c>
      <c r="B33109" t="str">
        <f>HYPERLINK("https://twitter.com/DolinSimbolon","@DolinSimbolon")</f>
        <v>@DolinSimbolon</v>
      </c>
      <c r="C33109" t="s">
        <v>13847</v>
      </c>
      <c r="D33109">
        <v>0</v>
      </c>
      <c r="E33109">
        <v>0</v>
      </c>
      <c r="F33109">
        <v>42</v>
      </c>
    </row>
    <row r="33110" spans="1:6" ht="12.75">
      <c r="A33110" s="2">
        <v>43875.419050925921</v>
      </c>
      <c r="B33110" t="str">
        <f>HYPERLINK("https://twitter.com/Santoso26166908","@Santoso26166908")</f>
        <v>@Santoso26166908</v>
      </c>
      <c r="C33110" t="s">
        <v>12332</v>
      </c>
      <c r="D33110">
        <v>51</v>
      </c>
      <c r="E33110">
        <v>0</v>
      </c>
      <c r="F33110">
        <v>442</v>
      </c>
    </row>
    <row r="33111" spans="1:6" ht="12.75">
      <c r="A33111" s="2">
        <v>43875.419039351851</v>
      </c>
      <c r="B33111" t="str">
        <f>HYPERLINK("https://twitter.com/youliyoud","@youliyoud")</f>
        <v>@youliyoud</v>
      </c>
      <c r="C33111" t="s">
        <v>13848</v>
      </c>
      <c r="D33111">
        <v>1</v>
      </c>
      <c r="E33111">
        <v>0</v>
      </c>
      <c r="F33111">
        <v>21</v>
      </c>
    </row>
    <row r="33112" spans="1:6" ht="12.75">
      <c r="A33112" s="2">
        <v>43875.419004629628</v>
      </c>
      <c r="B33112" t="str">
        <f>HYPERLINK("https://twitter.com/__beritaterkini","@__beritaterkini")</f>
        <v>@__beritaterkini</v>
      </c>
      <c r="C33112" t="s">
        <v>13849</v>
      </c>
      <c r="D33112">
        <v>0</v>
      </c>
      <c r="E33112">
        <v>1</v>
      </c>
      <c r="F33112">
        <v>416</v>
      </c>
    </row>
    <row r="33113" spans="1:6" ht="12.75">
      <c r="A33113" s="2">
        <v>43875.418958333335</v>
      </c>
      <c r="B33113" t="str">
        <f>HYPERLINK("https://twitter.com/77bayoe","@77bayoe")</f>
        <v>@77bayoe</v>
      </c>
      <c r="C33113" t="s">
        <v>2963</v>
      </c>
      <c r="D33113">
        <v>651</v>
      </c>
      <c r="E33113">
        <v>0</v>
      </c>
      <c r="F33113">
        <v>2200</v>
      </c>
    </row>
    <row r="33114" spans="1:6" ht="12.75">
      <c r="A33114" s="2">
        <v>43875.418796296297</v>
      </c>
      <c r="B33114" t="str">
        <f>HYPERLINK("https://twitter.com/vivanewscom","@vivanewscom")</f>
        <v>@vivanewscom</v>
      </c>
      <c r="C33114" t="s">
        <v>13850</v>
      </c>
      <c r="D33114">
        <v>1</v>
      </c>
      <c r="E33114">
        <v>1</v>
      </c>
      <c r="F33114">
        <v>4065</v>
      </c>
    </row>
    <row r="33115" spans="1:6" ht="12.75">
      <c r="A33115" s="2">
        <v>43875.418761574074</v>
      </c>
      <c r="B33115" t="str">
        <f>HYPERLINK("https://twitter.com/tengkoeferry","@tengkoeferry")</f>
        <v>@tengkoeferry</v>
      </c>
      <c r="C33115" t="s">
        <v>8252</v>
      </c>
      <c r="D33115">
        <v>489</v>
      </c>
      <c r="E33115">
        <v>0</v>
      </c>
      <c r="F33115">
        <v>225</v>
      </c>
    </row>
    <row r="33116" spans="1:6" ht="12.75">
      <c r="A33116" s="2">
        <v>43875.418668981481</v>
      </c>
      <c r="B33116" t="str">
        <f>HYPERLINK("https://twitter.com/Arul_Laros","@Arul_Laros")</f>
        <v>@Arul_Laros</v>
      </c>
      <c r="C33116" t="s">
        <v>13851</v>
      </c>
      <c r="D33116">
        <v>0</v>
      </c>
      <c r="E33116">
        <v>0</v>
      </c>
      <c r="F33116">
        <v>357</v>
      </c>
    </row>
    <row r="33117" spans="1:6" ht="12.75">
      <c r="A33117" s="2">
        <v>43875.418564814812</v>
      </c>
      <c r="B33117" t="str">
        <f>HYPERLINK("https://twitter.com/weborntodiet","@weborntodiet")</f>
        <v>@weborntodiet</v>
      </c>
      <c r="C33117" t="s">
        <v>13852</v>
      </c>
      <c r="D33117">
        <v>0</v>
      </c>
      <c r="E33117">
        <v>0</v>
      </c>
      <c r="F33117">
        <v>24</v>
      </c>
    </row>
    <row r="33118" spans="1:6" ht="12.75">
      <c r="A33118" s="2">
        <v>43875.418506944443</v>
      </c>
      <c r="B33118" t="str">
        <f>HYPERLINK("https://twitter.com/Eko_toh","@Eko_toh")</f>
        <v>@Eko_toh</v>
      </c>
      <c r="C33118" t="s">
        <v>13853</v>
      </c>
      <c r="D33118">
        <v>0</v>
      </c>
      <c r="E33118">
        <v>0</v>
      </c>
      <c r="F33118">
        <v>3752</v>
      </c>
    </row>
    <row r="33119" spans="1:6" ht="12.75">
      <c r="A33119" s="2">
        <v>43875.418414351851</v>
      </c>
      <c r="B33119" t="str">
        <f>HYPERLINK("https://twitter.com/Slatfarli","@Slatfarli")</f>
        <v>@Slatfarli</v>
      </c>
      <c r="C33119" t="s">
        <v>2963</v>
      </c>
      <c r="D33119">
        <v>651</v>
      </c>
      <c r="E33119">
        <v>0</v>
      </c>
      <c r="F33119">
        <v>3</v>
      </c>
    </row>
    <row r="33120" spans="1:6" ht="12.75">
      <c r="A33120" s="2">
        <v>43875.418368055558</v>
      </c>
      <c r="B33120" t="str">
        <f>HYPERLINK("https://twitter.com/renjana181","@renjana181")</f>
        <v>@renjana181</v>
      </c>
      <c r="C33120" t="s">
        <v>5168</v>
      </c>
      <c r="D33120">
        <v>498</v>
      </c>
      <c r="E33120">
        <v>0</v>
      </c>
      <c r="F33120">
        <v>13</v>
      </c>
    </row>
    <row r="33121" spans="1:6" ht="12.75">
      <c r="A33121" s="2">
        <v>43875.418206018519</v>
      </c>
      <c r="B33121" t="str">
        <f>HYPERLINK("https://twitter.com/lena_vilian","@lena_vilian")</f>
        <v>@lena_vilian</v>
      </c>
      <c r="C33121" t="s">
        <v>13854</v>
      </c>
      <c r="D33121">
        <v>0</v>
      </c>
      <c r="E33121">
        <v>0</v>
      </c>
      <c r="F33121">
        <v>151</v>
      </c>
    </row>
    <row r="33122" spans="1:6" ht="12.75">
      <c r="A33122" s="2">
        <v>43875.418194444443</v>
      </c>
      <c r="B33122" t="str">
        <f>HYPERLINK("https://twitter.com/TahtehKw","@TahtehKw")</f>
        <v>@TahtehKw</v>
      </c>
      <c r="C33122" t="s">
        <v>2122</v>
      </c>
      <c r="D33122">
        <v>183</v>
      </c>
      <c r="E33122">
        <v>0</v>
      </c>
      <c r="F33122">
        <v>1340</v>
      </c>
    </row>
    <row r="33123" spans="1:6" ht="12.75">
      <c r="A33123" s="2">
        <v>43875.41810185185</v>
      </c>
      <c r="B33123" t="str">
        <f>HYPERLINK("https://twitter.com/nggers","@nggers")</f>
        <v>@nggers</v>
      </c>
      <c r="C33123" t="s">
        <v>13855</v>
      </c>
      <c r="D33123">
        <v>0</v>
      </c>
      <c r="E33123">
        <v>0</v>
      </c>
      <c r="F33123">
        <v>364</v>
      </c>
    </row>
    <row r="33124" spans="1:6" ht="12.75">
      <c r="A33124" s="2">
        <v>43875.418090277773</v>
      </c>
      <c r="B33124" t="str">
        <f>HYPERLINK("https://twitter.com/DianaJPatty1","@DianaJPatty1")</f>
        <v>@DianaJPatty1</v>
      </c>
      <c r="C33124" t="s">
        <v>2963</v>
      </c>
      <c r="D33124">
        <v>563</v>
      </c>
      <c r="E33124">
        <v>0</v>
      </c>
      <c r="F33124">
        <v>11</v>
      </c>
    </row>
    <row r="33125" spans="1:6" ht="12.75">
      <c r="A33125" s="2">
        <v>43875.41805555555</v>
      </c>
      <c r="B33125" t="str">
        <f t="shared" ref="B33125:B33126" si="391">HYPERLINK("https://twitter.com/hgberry","@hgberry")</f>
        <v>@hgberry</v>
      </c>
      <c r="C33125" t="s">
        <v>12886</v>
      </c>
      <c r="D33125">
        <v>4</v>
      </c>
      <c r="E33125">
        <v>0</v>
      </c>
      <c r="F33125">
        <v>1645</v>
      </c>
    </row>
    <row r="33126" spans="1:6" ht="12.75">
      <c r="A33126" s="2">
        <v>43875.418032407411</v>
      </c>
      <c r="B33126" t="str">
        <f t="shared" si="391"/>
        <v>@hgberry</v>
      </c>
      <c r="C33126" t="s">
        <v>2963</v>
      </c>
      <c r="D33126">
        <v>563</v>
      </c>
      <c r="E33126">
        <v>0</v>
      </c>
      <c r="F33126">
        <v>1645</v>
      </c>
    </row>
    <row r="33127" spans="1:6" ht="12.75">
      <c r="A33127" s="2">
        <v>43875.417893518519</v>
      </c>
      <c r="B33127" t="str">
        <f>HYPERLINK("https://twitter.com/wahyuharda","@wahyuharda")</f>
        <v>@wahyuharda</v>
      </c>
      <c r="C33127" t="s">
        <v>2963</v>
      </c>
      <c r="D33127">
        <v>563</v>
      </c>
      <c r="E33127">
        <v>0</v>
      </c>
      <c r="F33127">
        <v>7</v>
      </c>
    </row>
    <row r="33128" spans="1:6" ht="12.75">
      <c r="A33128" s="2">
        <v>43875.41777777778</v>
      </c>
      <c r="B33128" t="str">
        <f>HYPERLINK("https://twitter.com/Callmehardy_","@Callmehardy_")</f>
        <v>@Callmehardy_</v>
      </c>
      <c r="C33128" t="s">
        <v>13856</v>
      </c>
      <c r="D33128">
        <v>0</v>
      </c>
      <c r="E33128">
        <v>0</v>
      </c>
      <c r="F33128">
        <v>3</v>
      </c>
    </row>
    <row r="33129" spans="1:6" ht="12.75">
      <c r="A33129" s="2">
        <v>43875.417696759258</v>
      </c>
      <c r="B33129" t="str">
        <f>HYPERLINK("https://twitter.com/yusufaka","@yusufaka")</f>
        <v>@yusufaka</v>
      </c>
      <c r="C33129" t="s">
        <v>5168</v>
      </c>
      <c r="D33129">
        <v>460</v>
      </c>
      <c r="E33129">
        <v>0</v>
      </c>
      <c r="F33129">
        <v>444</v>
      </c>
    </row>
    <row r="33130" spans="1:6" ht="12.75">
      <c r="A33130" s="2">
        <v>43875.417696759258</v>
      </c>
      <c r="B33130" t="str">
        <f>HYPERLINK("https://twitter.com/B0SQ","@B0SQ")</f>
        <v>@B0SQ</v>
      </c>
      <c r="C33130" t="s">
        <v>13857</v>
      </c>
      <c r="D33130">
        <v>0</v>
      </c>
      <c r="E33130">
        <v>0</v>
      </c>
      <c r="F33130">
        <v>195</v>
      </c>
    </row>
    <row r="33131" spans="1:6" ht="12.75">
      <c r="A33131" s="2">
        <v>43875.417696759258</v>
      </c>
      <c r="B33131" t="str">
        <f>HYPERLINK("https://twitter.com/joshi47196103","@joshi47196103")</f>
        <v>@joshi47196103</v>
      </c>
      <c r="C33131" t="s">
        <v>13858</v>
      </c>
      <c r="D33131">
        <v>0</v>
      </c>
      <c r="E33131">
        <v>0</v>
      </c>
      <c r="F33131">
        <v>0</v>
      </c>
    </row>
    <row r="33132" spans="1:6" ht="12.75">
      <c r="A33132" s="2">
        <v>43875.417685185181</v>
      </c>
      <c r="B33132" t="str">
        <f>HYPERLINK("https://twitter.com/radishasliindo","@radishasliindo")</f>
        <v>@radishasliindo</v>
      </c>
      <c r="C33132" t="s">
        <v>2137</v>
      </c>
      <c r="D33132">
        <v>33</v>
      </c>
      <c r="E33132">
        <v>0</v>
      </c>
      <c r="F33132">
        <v>131</v>
      </c>
    </row>
    <row r="33133" spans="1:6" ht="12.75">
      <c r="A33133" s="2">
        <v>43875.417673611111</v>
      </c>
      <c r="B33133" t="str">
        <f>HYPERLINK("https://twitter.com/KomikPolitik","@KomikPolitik")</f>
        <v>@KomikPolitik</v>
      </c>
      <c r="C33133" t="s">
        <v>13859</v>
      </c>
      <c r="D33133">
        <v>0</v>
      </c>
      <c r="E33133">
        <v>0</v>
      </c>
      <c r="F33133">
        <v>182</v>
      </c>
    </row>
    <row r="33134" spans="1:6" ht="12.75">
      <c r="A33134" s="2">
        <v>43875.417592592596</v>
      </c>
      <c r="B33134" t="str">
        <f>HYPERLINK("https://twitter.com/Donal_golan","@Donal_golan")</f>
        <v>@Donal_golan</v>
      </c>
      <c r="C33134" t="s">
        <v>13860</v>
      </c>
      <c r="D33134">
        <v>0</v>
      </c>
      <c r="E33134">
        <v>0</v>
      </c>
      <c r="F33134">
        <v>708</v>
      </c>
    </row>
    <row r="33135" spans="1:6" ht="12.75">
      <c r="A33135" s="2">
        <v>43875.417453703703</v>
      </c>
      <c r="B33135" t="str">
        <f>HYPERLINK("https://twitter.com/hefrycmyk","@hefrycmyk")</f>
        <v>@hefrycmyk</v>
      </c>
      <c r="C33135" t="s">
        <v>13828</v>
      </c>
      <c r="D33135">
        <v>2</v>
      </c>
      <c r="E33135">
        <v>0</v>
      </c>
      <c r="F33135">
        <v>1102</v>
      </c>
    </row>
    <row r="33136" spans="1:6" ht="12.75">
      <c r="A33136" s="2">
        <v>43875.417453703703</v>
      </c>
      <c r="B33136" t="str">
        <f>HYPERLINK("https://twitter.com/ISIS_Balik_NO","@ISIS_Balik_NO")</f>
        <v>@ISIS_Balik_NO</v>
      </c>
      <c r="C33136" t="s">
        <v>13861</v>
      </c>
      <c r="D33136">
        <v>1</v>
      </c>
      <c r="E33136">
        <v>0</v>
      </c>
      <c r="F33136">
        <v>5890</v>
      </c>
    </row>
    <row r="33137" spans="1:6" ht="12.75">
      <c r="A33137" s="2">
        <v>43875.417395833334</v>
      </c>
      <c r="B33137" t="str">
        <f>HYPERLINK("https://twitter.com/YOHOYOLOYOLO","@YOHOYOLOYOLO")</f>
        <v>@YOHOYOLOYOLO</v>
      </c>
      <c r="C33137" t="s">
        <v>2137</v>
      </c>
      <c r="D33137">
        <v>33</v>
      </c>
      <c r="E33137">
        <v>0</v>
      </c>
      <c r="F33137">
        <v>204</v>
      </c>
    </row>
    <row r="33138" spans="1:6" ht="12.75">
      <c r="A33138" s="2">
        <v>43875.417395833334</v>
      </c>
      <c r="B33138" t="str">
        <f>HYPERLINK("https://twitter.com/ari_ap","@ari_ap")</f>
        <v>@ari_ap</v>
      </c>
      <c r="C33138" t="s">
        <v>13862</v>
      </c>
      <c r="D33138">
        <v>0</v>
      </c>
      <c r="E33138">
        <v>0</v>
      </c>
      <c r="F33138">
        <v>20417</v>
      </c>
    </row>
    <row r="33139" spans="1:6" ht="12.75">
      <c r="A33139" s="2">
        <v>43875.417303240742</v>
      </c>
      <c r="B33139" t="str">
        <f>HYPERLINK("https://twitter.com/yanahaudy","@yanahaudy")</f>
        <v>@yanahaudy</v>
      </c>
      <c r="C33139" t="s">
        <v>13863</v>
      </c>
      <c r="D33139">
        <v>0</v>
      </c>
      <c r="E33139">
        <v>0</v>
      </c>
      <c r="F33139">
        <v>686</v>
      </c>
    </row>
    <row r="33140" spans="1:6" ht="12.75">
      <c r="A33140" s="2">
        <v>43875.417210648149</v>
      </c>
      <c r="B33140" t="str">
        <f>HYPERLINK("https://twitter.com/ianhutomo","@ianhutomo")</f>
        <v>@ianhutomo</v>
      </c>
      <c r="C33140" t="s">
        <v>5168</v>
      </c>
      <c r="D33140">
        <v>460</v>
      </c>
      <c r="E33140">
        <v>0</v>
      </c>
      <c r="F33140">
        <v>989</v>
      </c>
    </row>
    <row r="33141" spans="1:6" ht="12.75">
      <c r="A33141" s="2">
        <v>43875.417199074072</v>
      </c>
      <c r="B33141" t="str">
        <f>HYPERLINK("https://twitter.com/vioand","@vioand")</f>
        <v>@vioand</v>
      </c>
      <c r="C33141" t="s">
        <v>175</v>
      </c>
      <c r="D33141">
        <v>5235</v>
      </c>
      <c r="E33141">
        <v>0</v>
      </c>
      <c r="F33141">
        <v>612</v>
      </c>
    </row>
    <row r="33142" spans="1:6" ht="12.75">
      <c r="A33142" s="2">
        <v>43875.417187500003</v>
      </c>
      <c r="B33142" t="str">
        <f>HYPERLINK("https://twitter.com/bangmis","@bangmis")</f>
        <v>@bangmis</v>
      </c>
      <c r="C33142" t="s">
        <v>12560</v>
      </c>
      <c r="D33142">
        <v>25</v>
      </c>
      <c r="E33142">
        <v>0</v>
      </c>
      <c r="F33142">
        <v>1257</v>
      </c>
    </row>
    <row r="33143" spans="1:6" ht="12.75">
      <c r="A33143" s="2">
        <v>43875.417118055557</v>
      </c>
      <c r="B33143" t="str">
        <f>HYPERLINK("https://twitter.com/debyrimba_","@debyrimba_")</f>
        <v>@debyrimba_</v>
      </c>
      <c r="C33143" t="s">
        <v>12088</v>
      </c>
      <c r="D33143">
        <v>6</v>
      </c>
      <c r="E33143">
        <v>0</v>
      </c>
      <c r="F33143">
        <v>475</v>
      </c>
    </row>
    <row r="33144" spans="1:6" ht="12.75">
      <c r="A33144" s="2">
        <v>43875.417002314818</v>
      </c>
      <c r="B33144" t="str">
        <f>HYPERLINK("https://twitter.com/Sutrisn22965703","@Sutrisn22965703")</f>
        <v>@Sutrisn22965703</v>
      </c>
      <c r="C33144" t="s">
        <v>13864</v>
      </c>
      <c r="D33144">
        <v>0</v>
      </c>
      <c r="E33144">
        <v>0</v>
      </c>
      <c r="F33144">
        <v>19</v>
      </c>
    </row>
    <row r="33145" spans="1:6" ht="12.75">
      <c r="A33145" s="2">
        <v>43875.41679398148</v>
      </c>
      <c r="B33145" t="str">
        <f>HYPERLINK("https://twitter.com/ooviiiio","@ooviiiio")</f>
        <v>@ooviiiio</v>
      </c>
      <c r="C33145" t="s">
        <v>5168</v>
      </c>
      <c r="D33145">
        <v>460</v>
      </c>
      <c r="E33145">
        <v>0</v>
      </c>
      <c r="F33145">
        <v>300</v>
      </c>
    </row>
    <row r="33146" spans="1:6" ht="12.75">
      <c r="A33146" s="2">
        <v>43875.416701388887</v>
      </c>
      <c r="B33146" t="str">
        <f>HYPERLINK("https://twitter.com/Prolink_85","@Prolink_85")</f>
        <v>@Prolink_85</v>
      </c>
      <c r="C33146" t="s">
        <v>13865</v>
      </c>
      <c r="D33146">
        <v>0</v>
      </c>
      <c r="E33146">
        <v>1</v>
      </c>
      <c r="F33146">
        <v>163</v>
      </c>
    </row>
    <row r="33147" spans="1:6" ht="12.75">
      <c r="A33147" s="2">
        <v>43875.416701388887</v>
      </c>
      <c r="B33147" t="str">
        <f>HYPERLINK("https://twitter.com/ChannelVy","@ChannelVy")</f>
        <v>@ChannelVy</v>
      </c>
      <c r="C33147" t="s">
        <v>13866</v>
      </c>
      <c r="D33147">
        <v>0</v>
      </c>
      <c r="E33147">
        <v>0</v>
      </c>
      <c r="F33147">
        <v>2247</v>
      </c>
    </row>
    <row r="33148" spans="1:6" ht="12.75">
      <c r="A33148" s="2">
        <v>43875.416574074072</v>
      </c>
      <c r="B33148" t="str">
        <f>HYPERLINK("https://twitter.com/FranzHaloho1","@FranzHaloho1")</f>
        <v>@FranzHaloho1</v>
      </c>
      <c r="C33148" t="s">
        <v>8233</v>
      </c>
      <c r="D33148">
        <v>316</v>
      </c>
      <c r="E33148">
        <v>0</v>
      </c>
      <c r="F33148">
        <v>4</v>
      </c>
    </row>
    <row r="33149" spans="1:6" ht="12.75">
      <c r="A33149" s="2">
        <v>43875.416516203702</v>
      </c>
      <c r="B33149" t="str">
        <f>HYPERLINK("https://twitter.com/ummurasyidx","@ummurasyidx")</f>
        <v>@ummurasyidx</v>
      </c>
      <c r="C33149" t="s">
        <v>13867</v>
      </c>
      <c r="D33149">
        <v>0</v>
      </c>
      <c r="E33149">
        <v>0</v>
      </c>
      <c r="F33149">
        <v>33</v>
      </c>
    </row>
    <row r="33150" spans="1:6" ht="12.75">
      <c r="A33150" s="2">
        <v>43875.416481481487</v>
      </c>
      <c r="B33150" t="str">
        <f>HYPERLINK("https://twitter.com/zainal78142749","@zainal78142749")</f>
        <v>@zainal78142749</v>
      </c>
      <c r="C33150" t="s">
        <v>9096</v>
      </c>
      <c r="D33150">
        <v>162</v>
      </c>
      <c r="E33150">
        <v>0</v>
      </c>
      <c r="F33150">
        <v>413</v>
      </c>
    </row>
    <row r="33151" spans="1:6" ht="12.75">
      <c r="A33151" s="2">
        <v>43875.416365740741</v>
      </c>
      <c r="B33151" t="str">
        <f>HYPERLINK("https://twitter.com/KhilafahKw","@KhilafahKw")</f>
        <v>@KhilafahKw</v>
      </c>
      <c r="C33151" t="s">
        <v>13868</v>
      </c>
      <c r="D33151">
        <v>0</v>
      </c>
      <c r="E33151">
        <v>0</v>
      </c>
      <c r="F33151">
        <v>1839</v>
      </c>
    </row>
    <row r="33152" spans="1:6" ht="12.75">
      <c r="A33152" s="2">
        <v>43875.416331018518</v>
      </c>
      <c r="B33152" t="str">
        <f>HYPERLINK("https://twitter.com/adeartie","@adeartie")</f>
        <v>@adeartie</v>
      </c>
      <c r="C33152" t="s">
        <v>2086</v>
      </c>
      <c r="D33152">
        <v>21</v>
      </c>
      <c r="E33152">
        <v>0</v>
      </c>
      <c r="F33152">
        <v>99</v>
      </c>
    </row>
    <row r="33153" spans="1:6" ht="12.75">
      <c r="A33153" s="2">
        <v>43875.416284722218</v>
      </c>
      <c r="B33153" t="str">
        <f>HYPERLINK("https://twitter.com/SukhendroPragul","@SukhendroPragul")</f>
        <v>@SukhendroPragul</v>
      </c>
      <c r="C33153" t="s">
        <v>2963</v>
      </c>
      <c r="D33153">
        <v>563</v>
      </c>
      <c r="E33153">
        <v>0</v>
      </c>
      <c r="F33153">
        <v>1998</v>
      </c>
    </row>
    <row r="33154" spans="1:6" ht="12.75">
      <c r="A33154" s="2">
        <v>43875.416249999995</v>
      </c>
      <c r="B33154" t="str">
        <f>HYPERLINK("https://twitter.com/permen_suguss","@permen_suguss")</f>
        <v>@permen_suguss</v>
      </c>
      <c r="C33154" t="s">
        <v>10200</v>
      </c>
      <c r="D33154">
        <v>24</v>
      </c>
      <c r="E33154">
        <v>0</v>
      </c>
      <c r="F33154">
        <v>1389</v>
      </c>
    </row>
    <row r="33155" spans="1:6" ht="12.75">
      <c r="A33155" s="2">
        <v>43875.416215277779</v>
      </c>
      <c r="B33155" t="str">
        <f>HYPERLINK("https://twitter.com/michaelyoungsoe","@michaelyoungsoe")</f>
        <v>@michaelyoungsoe</v>
      </c>
      <c r="C33155" t="s">
        <v>13869</v>
      </c>
      <c r="D33155">
        <v>0</v>
      </c>
      <c r="E33155">
        <v>0</v>
      </c>
      <c r="F33155">
        <v>5</v>
      </c>
    </row>
    <row r="33156" spans="1:6" ht="12.75">
      <c r="A33156" s="2">
        <v>43875.416168981479</v>
      </c>
      <c r="B33156" t="str">
        <f>HYPERLINK("https://twitter.com/3rnyyy","@3rnyyy")</f>
        <v>@3rnyyy</v>
      </c>
      <c r="C33156" t="s">
        <v>2963</v>
      </c>
      <c r="D33156">
        <v>563</v>
      </c>
      <c r="E33156">
        <v>0</v>
      </c>
      <c r="F33156">
        <v>166</v>
      </c>
    </row>
    <row r="33157" spans="1:6" ht="12.75">
      <c r="A33157" s="2">
        <v>43875.416041666671</v>
      </c>
      <c r="B33157" t="str">
        <f>HYPERLINK("https://twitter.com/PranotoHendrik","@PranotoHendrik")</f>
        <v>@PranotoHendrik</v>
      </c>
      <c r="C33157" t="s">
        <v>12044</v>
      </c>
      <c r="D33157">
        <v>24</v>
      </c>
      <c r="E33157">
        <v>0</v>
      </c>
      <c r="F33157">
        <v>99</v>
      </c>
    </row>
    <row r="33158" spans="1:6" ht="12.75">
      <c r="A33158" s="2">
        <v>43875.415925925925</v>
      </c>
      <c r="B33158" t="str">
        <f>HYPERLINK("https://twitter.com/ssuryoseptono","@ssuryoseptono")</f>
        <v>@ssuryoseptono</v>
      </c>
      <c r="C33158" t="s">
        <v>10121</v>
      </c>
      <c r="D33158">
        <v>160</v>
      </c>
      <c r="E33158">
        <v>0</v>
      </c>
      <c r="F33158">
        <v>1379</v>
      </c>
    </row>
    <row r="33159" spans="1:6" ht="12.75">
      <c r="A33159" s="2">
        <v>43875.415844907402</v>
      </c>
      <c r="B33159" t="str">
        <f>HYPERLINK("https://twitter.com/escoklatfmlymrt","@escoklatfmlymrt")</f>
        <v>@escoklatfmlymrt</v>
      </c>
      <c r="C33159" t="s">
        <v>5168</v>
      </c>
      <c r="D33159">
        <v>460</v>
      </c>
      <c r="E33159">
        <v>0</v>
      </c>
      <c r="F33159">
        <v>242</v>
      </c>
    </row>
    <row r="33160" spans="1:6" ht="12.75">
      <c r="A33160" s="2">
        <v>43875.415775462963</v>
      </c>
      <c r="B33160" t="str">
        <f>HYPERLINK("https://twitter.com/teapocii","@teapocii")</f>
        <v>@teapocii</v>
      </c>
      <c r="C33160" t="s">
        <v>2963</v>
      </c>
      <c r="D33160">
        <v>563</v>
      </c>
      <c r="E33160">
        <v>0</v>
      </c>
      <c r="F33160">
        <v>497</v>
      </c>
    </row>
    <row r="33161" spans="1:6" ht="12.75">
      <c r="A33161" s="2">
        <v>43875.415752314817</v>
      </c>
      <c r="B33161" t="str">
        <f>HYPERLINK("https://twitter.com/DadangRusian","@DadangRusian")</f>
        <v>@DadangRusian</v>
      </c>
      <c r="C33161" t="s">
        <v>13870</v>
      </c>
      <c r="D33161">
        <v>0</v>
      </c>
      <c r="E33161">
        <v>1</v>
      </c>
      <c r="F33161">
        <v>813</v>
      </c>
    </row>
    <row r="33162" spans="1:6" ht="12.75">
      <c r="A33162" s="2">
        <v>43875.41574074074</v>
      </c>
      <c r="B33162" t="str">
        <f>HYPERLINK("https://twitter.com/Dewisusanto7","@Dewisusanto7")</f>
        <v>@Dewisusanto7</v>
      </c>
      <c r="C33162" t="s">
        <v>10462</v>
      </c>
      <c r="D33162">
        <v>226</v>
      </c>
      <c r="E33162">
        <v>0</v>
      </c>
      <c r="F33162">
        <v>527</v>
      </c>
    </row>
    <row r="33163" spans="1:6" ht="12.75">
      <c r="A33163" s="2">
        <v>43875.415706018517</v>
      </c>
      <c r="B33163" t="str">
        <f>HYPERLINK("https://twitter.com/WongAgung1987","@WongAgung1987")</f>
        <v>@WongAgung1987</v>
      </c>
      <c r="C33163" t="s">
        <v>2963</v>
      </c>
      <c r="D33163">
        <v>563</v>
      </c>
      <c r="E33163">
        <v>0</v>
      </c>
      <c r="F33163">
        <v>250</v>
      </c>
    </row>
    <row r="33164" spans="1:6" ht="12.75">
      <c r="A33164" s="2">
        <v>43875.415659722217</v>
      </c>
      <c r="B33164" t="str">
        <f>HYPERLINK("https://twitter.com/nengherba","@nengherba")</f>
        <v>@nengherba</v>
      </c>
      <c r="C33164" t="s">
        <v>13871</v>
      </c>
      <c r="D33164">
        <v>0</v>
      </c>
      <c r="E33164">
        <v>1</v>
      </c>
      <c r="F33164">
        <v>11182</v>
      </c>
    </row>
    <row r="33165" spans="1:6" ht="12.75">
      <c r="A33165" s="2">
        <v>43875.415543981479</v>
      </c>
      <c r="B33165" t="str">
        <f>HYPERLINK("https://twitter.com/koekinekoneko","@koekinekoneko")</f>
        <v>@koekinekoneko</v>
      </c>
      <c r="C33165" t="s">
        <v>13872</v>
      </c>
      <c r="D33165">
        <v>0</v>
      </c>
      <c r="E33165">
        <v>0</v>
      </c>
      <c r="F33165">
        <v>424</v>
      </c>
    </row>
    <row r="33166" spans="1:6" ht="12.75">
      <c r="A33166" s="2">
        <v>43875.415474537032</v>
      </c>
      <c r="B33166" t="str">
        <f>HYPERLINK("https://twitter.com/LaRose78992426","@LaRose78992426")</f>
        <v>@LaRose78992426</v>
      </c>
      <c r="C33166" t="s">
        <v>8881</v>
      </c>
      <c r="D33166">
        <v>258</v>
      </c>
      <c r="E33166">
        <v>0</v>
      </c>
      <c r="F33166">
        <v>258</v>
      </c>
    </row>
    <row r="33167" spans="1:6" ht="12.75">
      <c r="A33167" s="2">
        <v>43875.415451388893</v>
      </c>
      <c r="B33167" t="str">
        <f>HYPERLINK("https://twitter.com/daenoonaa","@daenoonaa")</f>
        <v>@daenoonaa</v>
      </c>
      <c r="C33167" t="s">
        <v>2137</v>
      </c>
      <c r="D33167">
        <v>33</v>
      </c>
      <c r="E33167">
        <v>0</v>
      </c>
      <c r="F33167">
        <v>125</v>
      </c>
    </row>
    <row r="33168" spans="1:6" ht="12.75">
      <c r="A33168" s="2">
        <v>43875.415347222224</v>
      </c>
      <c r="B33168" t="str">
        <f>HYPERLINK("https://twitter.com/Dewisusanto7","@Dewisusanto7")</f>
        <v>@Dewisusanto7</v>
      </c>
      <c r="C33168" t="s">
        <v>10121</v>
      </c>
      <c r="D33168">
        <v>160</v>
      </c>
      <c r="E33168">
        <v>0</v>
      </c>
      <c r="F33168">
        <v>527</v>
      </c>
    </row>
    <row r="33169" spans="1:6" ht="12.75">
      <c r="A33169" s="2">
        <v>43875.415324074071</v>
      </c>
      <c r="B33169" t="str">
        <f>HYPERLINK("https://twitter.com/pieterpitojo","@pieterpitojo")</f>
        <v>@pieterpitojo</v>
      </c>
      <c r="C33169" t="s">
        <v>13873</v>
      </c>
      <c r="D33169">
        <v>0</v>
      </c>
      <c r="E33169">
        <v>0</v>
      </c>
      <c r="F33169">
        <v>328</v>
      </c>
    </row>
    <row r="33170" spans="1:6" ht="12.75">
      <c r="A33170" s="2">
        <v>43875.415324074071</v>
      </c>
      <c r="B33170" t="str">
        <f>HYPERLINK("https://twitter.com/SutamayasaI","@SutamayasaI")</f>
        <v>@SutamayasaI</v>
      </c>
      <c r="C33170" t="s">
        <v>13874</v>
      </c>
      <c r="D33170">
        <v>1</v>
      </c>
      <c r="E33170">
        <v>0</v>
      </c>
      <c r="F33170">
        <v>325</v>
      </c>
    </row>
    <row r="33171" spans="1:6" ht="12.75">
      <c r="A33171" s="2">
        <v>43875.415277777778</v>
      </c>
      <c r="B33171" t="str">
        <f>HYPERLINK("https://twitter.com/harrysasongko","@harrysasongko")</f>
        <v>@harrysasongko</v>
      </c>
      <c r="C33171" t="s">
        <v>13875</v>
      </c>
      <c r="D33171">
        <v>0</v>
      </c>
      <c r="E33171">
        <v>0</v>
      </c>
      <c r="F33171">
        <v>3</v>
      </c>
    </row>
    <row r="33172" spans="1:6" ht="12.75">
      <c r="A33172" s="2">
        <v>43875.415208333332</v>
      </c>
      <c r="B33172" t="str">
        <f>HYPERLINK("https://twitter.com/ZheeOmega","@ZheeOmega")</f>
        <v>@ZheeOmega</v>
      </c>
      <c r="C33172" t="s">
        <v>13876</v>
      </c>
      <c r="D33172">
        <v>0</v>
      </c>
      <c r="E33172">
        <v>0</v>
      </c>
      <c r="F33172">
        <v>17788</v>
      </c>
    </row>
    <row r="33173" spans="1:6" ht="12.75">
      <c r="A33173" s="2">
        <v>43875.415185185186</v>
      </c>
      <c r="B33173" t="str">
        <f>HYPERLINK("https://twitter.com/88_ZaraHuyen","@88_ZaraHuyen")</f>
        <v>@88_ZaraHuyen</v>
      </c>
      <c r="C33173" t="s">
        <v>7295</v>
      </c>
      <c r="D33173">
        <v>1801</v>
      </c>
      <c r="E33173">
        <v>0</v>
      </c>
      <c r="F33173">
        <v>159</v>
      </c>
    </row>
    <row r="33174" spans="1:6" ht="12.75">
      <c r="A33174" s="2">
        <v>43875.415162037039</v>
      </c>
      <c r="B33174" t="str">
        <f>HYPERLINK("https://twitter.com/Dewisusanto7","@Dewisusanto7")</f>
        <v>@Dewisusanto7</v>
      </c>
      <c r="C33174" t="s">
        <v>8470</v>
      </c>
      <c r="D33174">
        <v>131</v>
      </c>
      <c r="E33174">
        <v>0</v>
      </c>
      <c r="F33174">
        <v>527</v>
      </c>
    </row>
    <row r="33175" spans="1:6" ht="12.75">
      <c r="A33175" s="2">
        <v>43875.415127314816</v>
      </c>
      <c r="B33175" t="str">
        <f>HYPERLINK("https://twitter.com/doughchoco","@doughchoco")</f>
        <v>@doughchoco</v>
      </c>
      <c r="C33175" t="s">
        <v>9964</v>
      </c>
      <c r="D33175">
        <v>476</v>
      </c>
      <c r="E33175">
        <v>0</v>
      </c>
      <c r="F33175">
        <v>697</v>
      </c>
    </row>
    <row r="33176" spans="1:6" ht="12.75">
      <c r="A33176" s="2">
        <v>43875.414976851855</v>
      </c>
      <c r="B33176" t="str">
        <f>HYPERLINK("https://twitter.com/Ismi_Sulastri","@Ismi_Sulastri")</f>
        <v>@Ismi_Sulastri</v>
      </c>
      <c r="C33176" t="s">
        <v>2963</v>
      </c>
      <c r="D33176">
        <v>563</v>
      </c>
      <c r="E33176">
        <v>0</v>
      </c>
      <c r="F33176">
        <v>616</v>
      </c>
    </row>
    <row r="33177" spans="1:6" ht="12.75">
      <c r="A33177" s="2">
        <v>43875.414942129632</v>
      </c>
      <c r="B33177" t="str">
        <f>HYPERLINK("https://twitter.com/edwards_bee","@edwards_bee")</f>
        <v>@edwards_bee</v>
      </c>
      <c r="C33177" t="s">
        <v>13877</v>
      </c>
      <c r="D33177">
        <v>1</v>
      </c>
      <c r="E33177">
        <v>1</v>
      </c>
      <c r="F33177">
        <v>651</v>
      </c>
    </row>
    <row r="33178" spans="1:6" ht="12.75">
      <c r="A33178" s="2">
        <v>43875.414895833332</v>
      </c>
      <c r="B33178" t="str">
        <f>HYPERLINK("https://twitter.com/BORAHAEBTS_07","@BORAHAEBTS_07")</f>
        <v>@BORAHAEBTS_07</v>
      </c>
      <c r="C33178" t="s">
        <v>13878</v>
      </c>
      <c r="D33178">
        <v>0</v>
      </c>
      <c r="E33178">
        <v>0</v>
      </c>
      <c r="F33178">
        <v>8866</v>
      </c>
    </row>
    <row r="33179" spans="1:6" ht="12.75">
      <c r="A33179" s="2">
        <v>43875.414780092593</v>
      </c>
      <c r="B33179" t="str">
        <f>HYPERLINK("https://twitter.com/apien_k19","@apien_k19")</f>
        <v>@apien_k19</v>
      </c>
      <c r="C33179" t="s">
        <v>13879</v>
      </c>
      <c r="D33179">
        <v>3</v>
      </c>
      <c r="E33179">
        <v>0</v>
      </c>
      <c r="F33179">
        <v>511</v>
      </c>
    </row>
    <row r="33180" spans="1:6" ht="12.75">
      <c r="A33180" s="2">
        <v>43875.414768518516</v>
      </c>
      <c r="B33180" t="str">
        <f>HYPERLINK("https://twitter.com/gadisresidu_b3","@gadisresidu_b3")</f>
        <v>@gadisresidu_b3</v>
      </c>
      <c r="C33180" t="s">
        <v>13880</v>
      </c>
      <c r="D33180">
        <v>2</v>
      </c>
      <c r="E33180">
        <v>0</v>
      </c>
      <c r="F33180">
        <v>1600</v>
      </c>
    </row>
    <row r="33181" spans="1:6" ht="12.75">
      <c r="A33181" s="2">
        <v>43875.414664351847</v>
      </c>
      <c r="B33181" t="str">
        <f>HYPERLINK("https://twitter.com/sunflobae","@sunflobae")</f>
        <v>@sunflobae</v>
      </c>
      <c r="C33181" t="s">
        <v>2137</v>
      </c>
      <c r="D33181">
        <v>33</v>
      </c>
      <c r="E33181">
        <v>0</v>
      </c>
      <c r="F33181">
        <v>195</v>
      </c>
    </row>
    <row r="33182" spans="1:6" ht="12.75">
      <c r="A33182" s="2">
        <v>43875.414641203708</v>
      </c>
      <c r="B33182" t="str">
        <f>HYPERLINK("https://twitter.com/gadisresidu_b3","@gadisresidu_b3")</f>
        <v>@gadisresidu_b3</v>
      </c>
      <c r="C33182" t="s">
        <v>10713</v>
      </c>
      <c r="D33182">
        <v>1</v>
      </c>
      <c r="E33182">
        <v>0</v>
      </c>
      <c r="F33182">
        <v>1600</v>
      </c>
    </row>
    <row r="33183" spans="1:6" ht="12.75">
      <c r="A33183" s="2">
        <v>43875.414525462962</v>
      </c>
      <c r="B33183" t="str">
        <f>HYPERLINK("https://twitter.com/garrytk14","@garrytk14")</f>
        <v>@garrytk14</v>
      </c>
      <c r="C33183" t="s">
        <v>13881</v>
      </c>
      <c r="D33183">
        <v>2</v>
      </c>
      <c r="E33183">
        <v>0</v>
      </c>
      <c r="F33183">
        <v>452</v>
      </c>
    </row>
    <row r="33184" spans="1:6" ht="12.75">
      <c r="A33184" s="2">
        <v>43875.414502314816</v>
      </c>
      <c r="B33184" t="str">
        <f>HYPERLINK("https://twitter.com/gembira683101","@gembira683101")</f>
        <v>@gembira683101</v>
      </c>
      <c r="C33184" t="s">
        <v>9096</v>
      </c>
      <c r="D33184">
        <v>162</v>
      </c>
      <c r="E33184">
        <v>0</v>
      </c>
      <c r="F33184">
        <v>194</v>
      </c>
    </row>
    <row r="33185" spans="1:6" ht="12.75">
      <c r="A33185" s="2">
        <v>43875.414467592593</v>
      </c>
      <c r="B33185" t="str">
        <f>HYPERLINK("https://twitter.com/isis_dom2","@isis_dom2")</f>
        <v>@isis_dom2</v>
      </c>
      <c r="C33185" t="s">
        <v>13882</v>
      </c>
      <c r="D33185">
        <v>465</v>
      </c>
      <c r="E33185">
        <v>0</v>
      </c>
      <c r="F33185">
        <v>1192</v>
      </c>
    </row>
    <row r="33186" spans="1:6" ht="12.75">
      <c r="A33186" s="2">
        <v>43875.414456018523</v>
      </c>
      <c r="B33186" t="str">
        <f>HYPERLINK("https://twitter.com/Santoso26166908","@Santoso26166908")</f>
        <v>@Santoso26166908</v>
      </c>
      <c r="C33186" t="s">
        <v>7411</v>
      </c>
      <c r="D33186">
        <v>133</v>
      </c>
      <c r="E33186">
        <v>0</v>
      </c>
      <c r="F33186">
        <v>440</v>
      </c>
    </row>
    <row r="33187" spans="1:6" ht="12.75">
      <c r="A33187" s="2">
        <v>43875.4144212963</v>
      </c>
      <c r="B33187" t="str">
        <f>HYPERLINK("https://twitter.com/Bronktho","@Bronktho")</f>
        <v>@Bronktho</v>
      </c>
      <c r="C33187" t="s">
        <v>13883</v>
      </c>
      <c r="D33187">
        <v>0</v>
      </c>
      <c r="E33187">
        <v>0</v>
      </c>
      <c r="F33187">
        <v>594</v>
      </c>
    </row>
    <row r="33188" spans="1:6" ht="12.75">
      <c r="A33188" s="2">
        <v>43875.414398148147</v>
      </c>
      <c r="B33188" t="str">
        <f>HYPERLINK("https://twitter.com/tutiekso","@tutiekso")</f>
        <v>@tutiekso</v>
      </c>
      <c r="C33188" t="s">
        <v>13884</v>
      </c>
      <c r="D33188">
        <v>0</v>
      </c>
      <c r="E33188">
        <v>0</v>
      </c>
      <c r="F33188">
        <v>1162</v>
      </c>
    </row>
    <row r="33189" spans="1:6" ht="12.75">
      <c r="A33189" s="2">
        <v>43875.414363425924</v>
      </c>
      <c r="B33189" t="str">
        <f>HYPERLINK("https://twitter.com/PemaenLamo_","@PemaenLamo_")</f>
        <v>@PemaenLamo_</v>
      </c>
      <c r="C33189" t="s">
        <v>12044</v>
      </c>
      <c r="D33189">
        <v>24</v>
      </c>
      <c r="E33189">
        <v>0</v>
      </c>
      <c r="F33189">
        <v>846</v>
      </c>
    </row>
    <row r="33190" spans="1:6" ht="12.75">
      <c r="A33190" s="2">
        <v>43875.414363425924</v>
      </c>
      <c r="B33190" t="str">
        <f>HYPERLINK("https://twitter.com/Satriooo_","@Satriooo_")</f>
        <v>@Satriooo_</v>
      </c>
      <c r="C33190" t="s">
        <v>13885</v>
      </c>
      <c r="D33190">
        <v>0</v>
      </c>
      <c r="E33190">
        <v>0</v>
      </c>
      <c r="F33190">
        <v>2</v>
      </c>
    </row>
    <row r="33191" spans="1:6" ht="12.75">
      <c r="A33191" s="2">
        <v>43875.4143287037</v>
      </c>
      <c r="B33191" t="str">
        <f>HYPERLINK("https://twitter.com/Dewisusanto7","@Dewisusanto7")</f>
        <v>@Dewisusanto7</v>
      </c>
      <c r="C33191" t="s">
        <v>11086</v>
      </c>
      <c r="D33191">
        <v>81</v>
      </c>
      <c r="E33191">
        <v>0</v>
      </c>
      <c r="F33191">
        <v>527</v>
      </c>
    </row>
    <row r="33192" spans="1:6" ht="12.75">
      <c r="A33192" s="2">
        <v>43875.414317129631</v>
      </c>
      <c r="B33192" t="str">
        <f>HYPERLINK("https://twitter.com/Santoso26166908","@Santoso26166908")</f>
        <v>@Santoso26166908</v>
      </c>
      <c r="C33192" t="s">
        <v>12279</v>
      </c>
      <c r="D33192">
        <v>54</v>
      </c>
      <c r="E33192">
        <v>0</v>
      </c>
      <c r="F33192">
        <v>440</v>
      </c>
    </row>
    <row r="33193" spans="1:6" ht="12.75">
      <c r="A33193" s="2">
        <v>43875.414305555554</v>
      </c>
      <c r="B33193" t="str">
        <f>HYPERLINK("https://twitter.com/abayoek","@abayoek")</f>
        <v>@abayoek</v>
      </c>
      <c r="C33193" t="s">
        <v>10915</v>
      </c>
      <c r="D33193">
        <v>2</v>
      </c>
      <c r="E33193">
        <v>0</v>
      </c>
      <c r="F33193">
        <v>938</v>
      </c>
    </row>
    <row r="33194" spans="1:6" ht="12.75">
      <c r="A33194" s="2">
        <v>43875.414247685185</v>
      </c>
      <c r="B33194" t="str">
        <f>HYPERLINK("https://twitter.com/yuliahariyanti","@yuliahariyanti")</f>
        <v>@yuliahariyanti</v>
      </c>
      <c r="C33194" t="s">
        <v>13886</v>
      </c>
      <c r="D33194">
        <v>0</v>
      </c>
      <c r="E33194">
        <v>0</v>
      </c>
      <c r="F33194">
        <v>18</v>
      </c>
    </row>
    <row r="33195" spans="1:6" ht="12.75">
      <c r="A33195" s="2">
        <v>43875.414212962962</v>
      </c>
      <c r="B33195" t="str">
        <f>HYPERLINK("https://twitter.com/ZheeOmega","@ZheeOmega")</f>
        <v>@ZheeOmega</v>
      </c>
      <c r="C33195" t="s">
        <v>13887</v>
      </c>
      <c r="D33195">
        <v>0</v>
      </c>
      <c r="E33195">
        <v>0</v>
      </c>
      <c r="F33195">
        <v>17788</v>
      </c>
    </row>
    <row r="33196" spans="1:6" ht="12.75">
      <c r="A33196" s="2">
        <v>43875.414166666669</v>
      </c>
      <c r="B33196" t="str">
        <f>HYPERLINK("https://twitter.com/fayezhilmi","@fayezhilmi")</f>
        <v>@fayezhilmi</v>
      </c>
      <c r="C33196" t="s">
        <v>13888</v>
      </c>
      <c r="D33196">
        <v>0</v>
      </c>
      <c r="E33196">
        <v>0</v>
      </c>
      <c r="F33196">
        <v>0</v>
      </c>
    </row>
    <row r="33197" spans="1:6" ht="12.75">
      <c r="A33197" s="2">
        <v>43875.414166666669</v>
      </c>
      <c r="B33197" t="str">
        <f>HYPERLINK("https://twitter.com/gembira683101","@gembira683101")</f>
        <v>@gembira683101</v>
      </c>
      <c r="C33197" t="s">
        <v>10196</v>
      </c>
      <c r="D33197">
        <v>132</v>
      </c>
      <c r="E33197">
        <v>0</v>
      </c>
      <c r="F33197">
        <v>194</v>
      </c>
    </row>
    <row r="33198" spans="1:6" ht="12.75">
      <c r="A33198" s="2">
        <v>43875.414155092592</v>
      </c>
      <c r="B33198" t="str">
        <f>HYPERLINK("https://twitter.com/Santoso26166908","@Santoso26166908")</f>
        <v>@Santoso26166908</v>
      </c>
      <c r="C33198" t="s">
        <v>13889</v>
      </c>
      <c r="D33198">
        <v>61</v>
      </c>
      <c r="E33198">
        <v>0</v>
      </c>
      <c r="F33198">
        <v>440</v>
      </c>
    </row>
    <row r="33199" spans="1:6" ht="12.75">
      <c r="A33199" s="2">
        <v>43875.414120370369</v>
      </c>
      <c r="B33199" t="str">
        <f>HYPERLINK("https://twitter.com/Dewisusanto7","@Dewisusanto7")</f>
        <v>@Dewisusanto7</v>
      </c>
      <c r="C33199" t="s">
        <v>10330</v>
      </c>
      <c r="D33199">
        <v>197</v>
      </c>
      <c r="E33199">
        <v>0</v>
      </c>
      <c r="F33199">
        <v>527</v>
      </c>
    </row>
    <row r="33200" spans="1:6" ht="12.75">
      <c r="A33200" s="2">
        <v>43875.414097222223</v>
      </c>
      <c r="B33200" t="str">
        <f>HYPERLINK("https://twitter.com/Jono_Fortunate","@Jono_Fortunate")</f>
        <v>@Jono_Fortunate</v>
      </c>
      <c r="C33200" t="s">
        <v>13890</v>
      </c>
      <c r="D33200">
        <v>0</v>
      </c>
      <c r="E33200">
        <v>0</v>
      </c>
      <c r="F33200">
        <v>526</v>
      </c>
    </row>
    <row r="33201" spans="1:6" ht="12.75">
      <c r="A33201" s="2">
        <v>43875.413981481484</v>
      </c>
      <c r="B33201" t="str">
        <f>HYPERLINK("https://twitter.com/kaisarpart","@kaisarpart")</f>
        <v>@kaisarpart</v>
      </c>
      <c r="C33201" t="s">
        <v>9021</v>
      </c>
      <c r="D33201">
        <v>160</v>
      </c>
      <c r="E33201">
        <v>0</v>
      </c>
      <c r="F33201">
        <v>544</v>
      </c>
    </row>
    <row r="33202" spans="1:6" ht="12.75">
      <c r="A33202" s="2">
        <v>43875.413946759261</v>
      </c>
      <c r="B33202" t="str">
        <f>HYPERLINK("https://twitter.com/utakutik","@utakutik")</f>
        <v>@utakutik</v>
      </c>
      <c r="C33202" t="s">
        <v>5168</v>
      </c>
      <c r="D33202">
        <v>460</v>
      </c>
      <c r="E33202">
        <v>0</v>
      </c>
      <c r="F33202">
        <v>291</v>
      </c>
    </row>
    <row r="33203" spans="1:6" ht="12.75">
      <c r="A33203" s="2">
        <v>43875.413923611108</v>
      </c>
      <c r="B33203" t="str">
        <f>HYPERLINK("https://twitter.com/ErvineKiddies","@ErvineKiddies")</f>
        <v>@ErvineKiddies</v>
      </c>
      <c r="C33203" t="s">
        <v>13891</v>
      </c>
      <c r="D33203">
        <v>1</v>
      </c>
      <c r="E33203">
        <v>0</v>
      </c>
      <c r="F33203">
        <v>740</v>
      </c>
    </row>
    <row r="33204" spans="1:6" ht="12.75">
      <c r="A33204" s="2">
        <v>43875.413923611108</v>
      </c>
      <c r="B33204" t="str">
        <f>HYPERLINK("https://twitter.com/cnmelia","@cnmelia")</f>
        <v>@cnmelia</v>
      </c>
      <c r="C33204" t="s">
        <v>2963</v>
      </c>
      <c r="D33204">
        <v>563</v>
      </c>
      <c r="E33204">
        <v>0</v>
      </c>
      <c r="F33204">
        <v>4208</v>
      </c>
    </row>
    <row r="33205" spans="1:6" ht="12.75">
      <c r="A33205" s="2">
        <v>43875.413865740746</v>
      </c>
      <c r="B33205" t="str">
        <f>HYPERLINK("https://twitter.com/bayu_atanasius","@bayu_atanasius")</f>
        <v>@bayu_atanasius</v>
      </c>
      <c r="C33205" t="s">
        <v>13892</v>
      </c>
      <c r="D33205">
        <v>0</v>
      </c>
      <c r="E33205">
        <v>0</v>
      </c>
      <c r="F33205">
        <v>298</v>
      </c>
    </row>
    <row r="33206" spans="1:6" ht="12.75">
      <c r="A33206" s="2">
        <v>43875.413819444446</v>
      </c>
      <c r="B33206" t="str">
        <f>HYPERLINK("https://twitter.com/BudiPra78779216","@BudiPra78779216")</f>
        <v>@BudiPra78779216</v>
      </c>
      <c r="C33206" t="s">
        <v>8233</v>
      </c>
      <c r="D33206">
        <v>316</v>
      </c>
      <c r="E33206">
        <v>0</v>
      </c>
      <c r="F33206">
        <v>1605</v>
      </c>
    </row>
    <row r="33207" spans="1:6" ht="12.75">
      <c r="A33207" s="2">
        <v>43875.413819444446</v>
      </c>
      <c r="B33207" t="str">
        <f>HYPERLINK("https://twitter.com/YusufNusantara1","@YusufNusantara1")</f>
        <v>@YusufNusantara1</v>
      </c>
      <c r="C33207" t="s">
        <v>2963</v>
      </c>
      <c r="D33207">
        <v>563</v>
      </c>
      <c r="E33207">
        <v>0</v>
      </c>
      <c r="F33207">
        <v>690</v>
      </c>
    </row>
    <row r="33208" spans="1:6" ht="12.75">
      <c r="A33208" s="2">
        <v>43875.413819444446</v>
      </c>
      <c r="B33208" t="str">
        <f>HYPERLINK("https://twitter.com/Fusianto","@Fusianto")</f>
        <v>@Fusianto</v>
      </c>
      <c r="C33208" t="s">
        <v>13893</v>
      </c>
      <c r="D33208">
        <v>0</v>
      </c>
      <c r="E33208">
        <v>0</v>
      </c>
      <c r="F33208">
        <v>112</v>
      </c>
    </row>
    <row r="33209" spans="1:6" ht="12.75">
      <c r="A33209" s="2">
        <v>43875.413738425923</v>
      </c>
      <c r="B33209" t="str">
        <f>HYPERLINK("https://twitter.com/TorquiseBlues","@TorquiseBlues")</f>
        <v>@TorquiseBlues</v>
      </c>
      <c r="C33209" t="s">
        <v>5168</v>
      </c>
      <c r="D33209">
        <v>460</v>
      </c>
      <c r="E33209">
        <v>0</v>
      </c>
      <c r="F33209">
        <v>85</v>
      </c>
    </row>
    <row r="33210" spans="1:6" ht="12.75">
      <c r="A33210" s="2">
        <v>43875.4137037037</v>
      </c>
      <c r="B33210" t="str">
        <f>HYPERLINK("https://twitter.com/vbeat5","@vbeat5")</f>
        <v>@vbeat5</v>
      </c>
      <c r="C33210" t="s">
        <v>5168</v>
      </c>
      <c r="D33210">
        <v>460</v>
      </c>
      <c r="E33210">
        <v>0</v>
      </c>
      <c r="F33210">
        <v>677</v>
      </c>
    </row>
    <row r="33211" spans="1:6" ht="12.75">
      <c r="A33211" s="2">
        <v>43875.41369212963</v>
      </c>
      <c r="B33211" t="str">
        <f>HYPERLINK("https://twitter.com/PuryantiL","@PuryantiL")</f>
        <v>@PuryantiL</v>
      </c>
      <c r="C33211" t="s">
        <v>513</v>
      </c>
      <c r="D33211">
        <v>23206</v>
      </c>
      <c r="E33211">
        <v>0</v>
      </c>
      <c r="F33211">
        <v>27</v>
      </c>
    </row>
    <row r="33212" spans="1:6" ht="12.75">
      <c r="A33212" s="2">
        <v>43875.413553240738</v>
      </c>
      <c r="B33212" t="str">
        <f>HYPERLINK("https://twitter.com/saidika29","@saidika29")</f>
        <v>@saidika29</v>
      </c>
      <c r="C33212" t="s">
        <v>13894</v>
      </c>
      <c r="D33212">
        <v>0</v>
      </c>
      <c r="E33212">
        <v>0</v>
      </c>
      <c r="F33212">
        <v>121</v>
      </c>
    </row>
    <row r="33213" spans="1:6" ht="12.75">
      <c r="A33213" s="2">
        <v>43875.413530092592</v>
      </c>
      <c r="B33213" t="str">
        <f>HYPERLINK("https://twitter.com/imamhidayatt2","@imamhidayatt2")</f>
        <v>@imamhidayatt2</v>
      </c>
      <c r="C33213" t="s">
        <v>11566</v>
      </c>
      <c r="D33213">
        <v>99</v>
      </c>
      <c r="E33213">
        <v>0</v>
      </c>
      <c r="F33213">
        <v>1704</v>
      </c>
    </row>
    <row r="33214" spans="1:6" ht="12.75">
      <c r="A33214" s="2">
        <v>43875.413506944446</v>
      </c>
      <c r="B33214" t="str">
        <f>HYPERLINK("https://twitter.com/hokialways40","@hokialways40")</f>
        <v>@hokialways40</v>
      </c>
      <c r="C33214" t="s">
        <v>2963</v>
      </c>
      <c r="D33214">
        <v>563</v>
      </c>
      <c r="E33214">
        <v>0</v>
      </c>
      <c r="F33214">
        <v>174</v>
      </c>
    </row>
    <row r="33215" spans="1:6" ht="12.75">
      <c r="A33215" s="2">
        <v>43875.413495370369</v>
      </c>
      <c r="B33215" t="str">
        <f>HYPERLINK("https://twitter.com/yogascitra83","@yogascitra83")</f>
        <v>@yogascitra83</v>
      </c>
      <c r="C33215" t="s">
        <v>13895</v>
      </c>
      <c r="D33215">
        <v>0</v>
      </c>
      <c r="E33215">
        <v>0</v>
      </c>
      <c r="F33215">
        <v>155</v>
      </c>
    </row>
    <row r="33216" spans="1:6" ht="12.75">
      <c r="A33216" s="2">
        <v>43875.413495370369</v>
      </c>
      <c r="B33216" t="str">
        <f>HYPERLINK("https://twitter.com/a4f87bdda1c54c0","@a4f87bdda1c54c0")</f>
        <v>@a4f87bdda1c54c0</v>
      </c>
      <c r="C33216" t="s">
        <v>9096</v>
      </c>
      <c r="D33216">
        <v>162</v>
      </c>
      <c r="E33216">
        <v>0</v>
      </c>
      <c r="F33216">
        <v>1197</v>
      </c>
    </row>
    <row r="33217" spans="1:6" ht="12.75">
      <c r="A33217" s="2">
        <v>43875.41342592593</v>
      </c>
      <c r="B33217" t="str">
        <f>HYPERLINK("https://twitter.com/davidshagler","@davidshagler")</f>
        <v>@davidshagler</v>
      </c>
      <c r="C33217" t="s">
        <v>5168</v>
      </c>
      <c r="D33217">
        <v>460</v>
      </c>
      <c r="E33217">
        <v>0</v>
      </c>
      <c r="F33217">
        <v>1302</v>
      </c>
    </row>
    <row r="33218" spans="1:6" ht="12.75">
      <c r="A33218" s="2">
        <v>43875.41342592593</v>
      </c>
      <c r="B33218" t="str">
        <f>HYPERLINK("https://twitter.com/bambang78225581","@bambang78225581")</f>
        <v>@bambang78225581</v>
      </c>
      <c r="C33218" t="s">
        <v>12044</v>
      </c>
      <c r="D33218">
        <v>24</v>
      </c>
      <c r="E33218">
        <v>0</v>
      </c>
      <c r="F33218">
        <v>7</v>
      </c>
    </row>
    <row r="33219" spans="1:6" ht="12.75">
      <c r="A33219" s="2">
        <v>43875.413414351853</v>
      </c>
      <c r="B33219" t="str">
        <f>HYPERLINK("https://twitter.com/alfridoWH","@alfridoWH")</f>
        <v>@alfridoWH</v>
      </c>
      <c r="C33219" t="s">
        <v>2963</v>
      </c>
      <c r="D33219">
        <v>563</v>
      </c>
      <c r="E33219">
        <v>0</v>
      </c>
      <c r="F33219">
        <v>272</v>
      </c>
    </row>
    <row r="33220" spans="1:6" ht="12.75">
      <c r="A33220" s="2">
        <v>43875.413356481484</v>
      </c>
      <c r="B33220" t="str">
        <f>HYPERLINK("https://twitter.com/dewylast","@dewylast")</f>
        <v>@dewylast</v>
      </c>
      <c r="C33220" t="s">
        <v>13896</v>
      </c>
      <c r="D33220">
        <v>0</v>
      </c>
      <c r="E33220">
        <v>0</v>
      </c>
      <c r="F33220">
        <v>713</v>
      </c>
    </row>
    <row r="33221" spans="1:6" ht="12.75">
      <c r="A33221" s="2">
        <v>43875.41333333333</v>
      </c>
      <c r="B33221" t="str">
        <f>HYPERLINK("https://twitter.com/koekinekoneko","@koekinekoneko")</f>
        <v>@koekinekoneko</v>
      </c>
      <c r="C33221" t="s">
        <v>13897</v>
      </c>
      <c r="D33221">
        <v>0</v>
      </c>
      <c r="E33221">
        <v>0</v>
      </c>
      <c r="F33221">
        <v>424</v>
      </c>
    </row>
    <row r="33222" spans="1:6" ht="12.75">
      <c r="A33222" s="2">
        <v>43875.413321759261</v>
      </c>
      <c r="B33222" t="str">
        <f>HYPERLINK("https://twitter.com/HerdjiW","@HerdjiW")</f>
        <v>@HerdjiW</v>
      </c>
      <c r="C33222" t="s">
        <v>13898</v>
      </c>
      <c r="D33222">
        <v>0</v>
      </c>
      <c r="E33222">
        <v>0</v>
      </c>
      <c r="F33222">
        <v>1</v>
      </c>
    </row>
    <row r="33223" spans="1:6" ht="12.75">
      <c r="A33223" s="2">
        <v>43875.413298611107</v>
      </c>
      <c r="B33223" t="str">
        <f>HYPERLINK("https://twitter.com/SashaGreimas","@SashaGreimas")</f>
        <v>@SashaGreimas</v>
      </c>
      <c r="C33223" t="s">
        <v>5168</v>
      </c>
      <c r="D33223">
        <v>460</v>
      </c>
      <c r="E33223">
        <v>0</v>
      </c>
      <c r="F33223">
        <v>810</v>
      </c>
    </row>
    <row r="33224" spans="1:6" ht="12.75">
      <c r="A33224" s="2">
        <v>43875.413298611107</v>
      </c>
      <c r="B33224" t="str">
        <f>HYPERLINK("https://twitter.com/gamispendek","@gamispendek")</f>
        <v>@gamispendek</v>
      </c>
      <c r="C33224" t="s">
        <v>13899</v>
      </c>
      <c r="D33224">
        <v>0</v>
      </c>
      <c r="E33224">
        <v>0</v>
      </c>
      <c r="F33224">
        <v>26</v>
      </c>
    </row>
    <row r="33225" spans="1:6" ht="12.75">
      <c r="A33225" s="2">
        <v>43875.413287037038</v>
      </c>
      <c r="B33225" t="str">
        <f>HYPERLINK("https://twitter.com/Dewisusanto7","@Dewisusanto7")</f>
        <v>@Dewisusanto7</v>
      </c>
      <c r="C33225" t="s">
        <v>10196</v>
      </c>
      <c r="D33225">
        <v>132</v>
      </c>
      <c r="E33225">
        <v>0</v>
      </c>
      <c r="F33225">
        <v>527</v>
      </c>
    </row>
    <row r="33226" spans="1:6" ht="12.75">
      <c r="A33226" s="2">
        <v>43875.413252314815</v>
      </c>
      <c r="B33226" t="str">
        <f>HYPERLINK("https://twitter.com/reyharlan","@reyharlan")</f>
        <v>@reyharlan</v>
      </c>
      <c r="C33226" t="s">
        <v>9119</v>
      </c>
      <c r="D33226">
        <v>42</v>
      </c>
      <c r="E33226">
        <v>0</v>
      </c>
      <c r="F33226">
        <v>586</v>
      </c>
    </row>
    <row r="33227" spans="1:6" ht="12.75">
      <c r="A33227" s="2">
        <v>43875.413206018522</v>
      </c>
      <c r="B33227" t="str">
        <f>HYPERLINK("https://twitter.com/VIVAcoid","@VIVAcoid")</f>
        <v>@VIVAcoid</v>
      </c>
      <c r="C33227" t="s">
        <v>13813</v>
      </c>
      <c r="D33227">
        <v>1</v>
      </c>
      <c r="E33227">
        <v>0</v>
      </c>
      <c r="F33227">
        <v>4169119</v>
      </c>
    </row>
    <row r="33228" spans="1:6" ht="12.75">
      <c r="A33228" s="2">
        <v>43875.413194444445</v>
      </c>
      <c r="B33228" t="str">
        <f>HYPERLINK("https://twitter.com/Selvi28281","@Selvi28281")</f>
        <v>@Selvi28281</v>
      </c>
      <c r="C33228" t="s">
        <v>9746</v>
      </c>
      <c r="D33228">
        <v>3</v>
      </c>
      <c r="E33228">
        <v>0</v>
      </c>
      <c r="F33228">
        <v>20</v>
      </c>
    </row>
    <row r="33229" spans="1:6" ht="12.75">
      <c r="A33229" s="2">
        <v>43875.413113425922</v>
      </c>
      <c r="B33229" t="str">
        <f>HYPERLINK("https://twitter.com/RedWineMalbec","@RedWineMalbec")</f>
        <v>@RedWineMalbec</v>
      </c>
      <c r="C33229" t="s">
        <v>2144</v>
      </c>
      <c r="D33229">
        <v>46</v>
      </c>
      <c r="E33229">
        <v>0</v>
      </c>
      <c r="F33229">
        <v>506</v>
      </c>
    </row>
    <row r="33230" spans="1:6" ht="12.75">
      <c r="A33230" s="2">
        <v>43875.413101851853</v>
      </c>
      <c r="B33230" t="str">
        <f>HYPERLINK("https://twitter.com/omklimiz","@omklimiz")</f>
        <v>@omklimiz</v>
      </c>
      <c r="C33230" t="s">
        <v>13900</v>
      </c>
      <c r="D33230">
        <v>0</v>
      </c>
      <c r="E33230">
        <v>0</v>
      </c>
      <c r="F33230">
        <v>1</v>
      </c>
    </row>
    <row r="33231" spans="1:6" ht="12.75">
      <c r="A33231" s="2">
        <v>43875.413090277776</v>
      </c>
      <c r="B33231" t="str">
        <f>HYPERLINK("https://twitter.com/AldinoPasha","@AldinoPasha")</f>
        <v>@AldinoPasha</v>
      </c>
      <c r="C33231" t="s">
        <v>11322</v>
      </c>
      <c r="D33231">
        <v>68</v>
      </c>
      <c r="E33231">
        <v>0</v>
      </c>
      <c r="F33231">
        <v>32</v>
      </c>
    </row>
    <row r="33232" spans="1:6" ht="12.75">
      <c r="A33232" s="2">
        <v>43875.413020833337</v>
      </c>
      <c r="B33232" t="str">
        <f>HYPERLINK("https://twitter.com/BeritaCenter","@BeritaCenter")</f>
        <v>@BeritaCenter</v>
      </c>
      <c r="C33232" t="s">
        <v>13901</v>
      </c>
      <c r="D33232">
        <v>1</v>
      </c>
      <c r="E33232">
        <v>0</v>
      </c>
      <c r="F33232">
        <v>9430</v>
      </c>
    </row>
    <row r="33233" spans="1:6" ht="12.75">
      <c r="A33233" s="2">
        <v>43875.412905092591</v>
      </c>
      <c r="B33233" t="str">
        <f>HYPERLINK("https://twitter.com/Tano_Maske","@Tano_Maske")</f>
        <v>@Tano_Maske</v>
      </c>
      <c r="C33233" t="s">
        <v>13902</v>
      </c>
      <c r="D33233">
        <v>0</v>
      </c>
      <c r="E33233">
        <v>0</v>
      </c>
      <c r="F33233">
        <v>30</v>
      </c>
    </row>
    <row r="33234" spans="1:6" ht="12.75">
      <c r="A33234" s="2">
        <v>43875.412905092591</v>
      </c>
      <c r="B33234" t="str">
        <f>HYPERLINK("https://twitter.com/_sky_tree","@_sky_tree")</f>
        <v>@_sky_tree</v>
      </c>
      <c r="C33234" t="s">
        <v>12530</v>
      </c>
      <c r="D33234">
        <v>28</v>
      </c>
      <c r="E33234">
        <v>0</v>
      </c>
      <c r="F33234">
        <v>5148</v>
      </c>
    </row>
    <row r="33235" spans="1:6" ht="12.75">
      <c r="A33235" s="2">
        <v>43875.412893518514</v>
      </c>
      <c r="B33235" t="str">
        <f>HYPERLINK("https://twitter.com/yaagitudehh","@yaagitudehh")</f>
        <v>@yaagitudehh</v>
      </c>
      <c r="C33235" t="s">
        <v>2137</v>
      </c>
      <c r="D33235">
        <v>33</v>
      </c>
      <c r="E33235">
        <v>0</v>
      </c>
      <c r="F33235">
        <v>391</v>
      </c>
    </row>
    <row r="33236" spans="1:6" ht="12.75">
      <c r="A33236" s="2">
        <v>43875.412881944445</v>
      </c>
      <c r="B33236" t="str">
        <f>HYPERLINK("https://twitter.com/vivanewscom","@vivanewscom")</f>
        <v>@vivanewscom</v>
      </c>
      <c r="C33236" t="s">
        <v>13903</v>
      </c>
      <c r="D33236">
        <v>1</v>
      </c>
      <c r="E33236">
        <v>1</v>
      </c>
      <c r="F33236">
        <v>4064</v>
      </c>
    </row>
    <row r="33237" spans="1:6" ht="12.75">
      <c r="A33237" s="2">
        <v>43875.41269675926</v>
      </c>
      <c r="B33237" t="str">
        <f>HYPERLINK("https://twitter.com/proveca69","@proveca69")</f>
        <v>@proveca69</v>
      </c>
      <c r="C33237" t="s">
        <v>8233</v>
      </c>
      <c r="D33237">
        <v>316</v>
      </c>
      <c r="E33237">
        <v>0</v>
      </c>
      <c r="F33237">
        <v>24</v>
      </c>
    </row>
    <row r="33238" spans="1:6" ht="12.75">
      <c r="A33238" s="2">
        <v>43875.412650462968</v>
      </c>
      <c r="B33238" t="str">
        <f>HYPERLINK("https://twitter.com/VettiOctaviana","@VettiOctaviana")</f>
        <v>@VettiOctaviana</v>
      </c>
      <c r="C33238" t="s">
        <v>5168</v>
      </c>
      <c r="D33238">
        <v>460</v>
      </c>
      <c r="E33238">
        <v>0</v>
      </c>
      <c r="F33238">
        <v>232</v>
      </c>
    </row>
    <row r="33239" spans="1:6" ht="12.75">
      <c r="A33239" s="2">
        <v>43875.412546296298</v>
      </c>
      <c r="B33239" t="str">
        <f>HYPERLINK("https://twitter.com/Desty_NNN","@Desty_NNN")</f>
        <v>@Desty_NNN</v>
      </c>
      <c r="C33239" t="s">
        <v>2963</v>
      </c>
      <c r="D33239">
        <v>563</v>
      </c>
      <c r="E33239">
        <v>0</v>
      </c>
      <c r="F33239">
        <v>1057</v>
      </c>
    </row>
    <row r="33240" spans="1:6" ht="12.75">
      <c r="A33240" s="2">
        <v>43875.412546296298</v>
      </c>
      <c r="B33240" t="str">
        <f>HYPERLINK("https://twitter.com/tasya_4black","@tasya_4black")</f>
        <v>@tasya_4black</v>
      </c>
      <c r="C33240" t="s">
        <v>2086</v>
      </c>
      <c r="D33240">
        <v>21</v>
      </c>
      <c r="E33240">
        <v>0</v>
      </c>
      <c r="F33240">
        <v>85</v>
      </c>
    </row>
    <row r="33241" spans="1:6" ht="12.75">
      <c r="A33241" s="2">
        <v>43875.412453703699</v>
      </c>
      <c r="B33241" t="str">
        <f>HYPERLINK("https://twitter.com/D_tyow","@D_tyow")</f>
        <v>@D_tyow</v>
      </c>
      <c r="C33241" t="s">
        <v>2963</v>
      </c>
      <c r="D33241">
        <v>563</v>
      </c>
      <c r="E33241">
        <v>0</v>
      </c>
      <c r="F33241">
        <v>960</v>
      </c>
    </row>
    <row r="33242" spans="1:6" ht="12.75">
      <c r="A33242" s="2">
        <v>43875.412453703699</v>
      </c>
      <c r="B33242" t="str">
        <f>HYPERLINK("https://twitter.com/coachdjperes","@coachdjperes")</f>
        <v>@coachdjperes</v>
      </c>
      <c r="C33242" t="s">
        <v>2144</v>
      </c>
      <c r="D33242">
        <v>46</v>
      </c>
      <c r="E33242">
        <v>0</v>
      </c>
      <c r="F33242">
        <v>126</v>
      </c>
    </row>
    <row r="33243" spans="1:6" ht="12.75">
      <c r="A33243" s="2">
        <v>43875.412349537037</v>
      </c>
      <c r="B33243" t="str">
        <f>HYPERLINK("https://twitter.com/zenoldgonzalez","@zenoldgonzalez")</f>
        <v>@zenoldgonzalez</v>
      </c>
      <c r="C33243" t="s">
        <v>9538</v>
      </c>
      <c r="D33243">
        <v>106</v>
      </c>
      <c r="E33243">
        <v>0</v>
      </c>
      <c r="F33243">
        <v>1881</v>
      </c>
    </row>
    <row r="33244" spans="1:6" ht="12.75">
      <c r="A33244" s="2">
        <v>43875.412349537037</v>
      </c>
      <c r="B33244" t="str">
        <f>HYPERLINK("https://twitter.com/republikaonline","@republikaonline")</f>
        <v>@republikaonline</v>
      </c>
      <c r="C33244" t="s">
        <v>13904</v>
      </c>
      <c r="D33244">
        <v>0</v>
      </c>
      <c r="E33244">
        <v>2</v>
      </c>
      <c r="F33244">
        <v>1210239</v>
      </c>
    </row>
    <row r="33245" spans="1:6" ht="12.75">
      <c r="A33245" s="2">
        <v>43875.412314814814</v>
      </c>
      <c r="B33245" t="str">
        <f>HYPERLINK("https://twitter.com/arifinsyarif13","@arifinsyarif13")</f>
        <v>@arifinsyarif13</v>
      </c>
      <c r="C33245" t="s">
        <v>2963</v>
      </c>
      <c r="D33245">
        <v>563</v>
      </c>
      <c r="E33245">
        <v>0</v>
      </c>
      <c r="F33245">
        <v>1416</v>
      </c>
    </row>
    <row r="33246" spans="1:6" ht="12.75">
      <c r="A33246" s="2">
        <v>43875.412256944444</v>
      </c>
      <c r="B33246" t="str">
        <f>HYPERLINK("https://twitter.com/HariMulyawan50","@HariMulyawan50")</f>
        <v>@HariMulyawan50</v>
      </c>
      <c r="C33246" t="s">
        <v>9377</v>
      </c>
      <c r="D33246">
        <v>10</v>
      </c>
      <c r="E33246">
        <v>0</v>
      </c>
      <c r="F33246">
        <v>47</v>
      </c>
    </row>
    <row r="33247" spans="1:6" ht="12.75">
      <c r="A33247" s="2">
        <v>43875.412187499998</v>
      </c>
      <c r="B33247" t="str">
        <f>HYPERLINK("https://twitter.com/farid_nstn","@farid_nstn")</f>
        <v>@farid_nstn</v>
      </c>
      <c r="C33247" t="s">
        <v>9998</v>
      </c>
      <c r="D33247">
        <v>67</v>
      </c>
      <c r="E33247">
        <v>0</v>
      </c>
      <c r="F33247">
        <v>152</v>
      </c>
    </row>
    <row r="33248" spans="1:6" ht="12.75">
      <c r="A33248" s="2">
        <v>43875.412175925929</v>
      </c>
      <c r="B33248" t="str">
        <f>HYPERLINK("https://twitter.com/Bagus_Isnain","@Bagus_Isnain")</f>
        <v>@Bagus_Isnain</v>
      </c>
      <c r="C33248" t="s">
        <v>2963</v>
      </c>
      <c r="D33248">
        <v>563</v>
      </c>
      <c r="E33248">
        <v>0</v>
      </c>
      <c r="F33248">
        <v>336</v>
      </c>
    </row>
    <row r="33249" spans="1:6" ht="12.75">
      <c r="A33249" s="2">
        <v>43875.412129629629</v>
      </c>
      <c r="B33249" t="str">
        <f>HYPERLINK("https://twitter.com/iPrasojo","@iPrasojo")</f>
        <v>@iPrasojo</v>
      </c>
      <c r="C33249" t="s">
        <v>5168</v>
      </c>
      <c r="D33249">
        <v>460</v>
      </c>
      <c r="E33249">
        <v>0</v>
      </c>
      <c r="F33249">
        <v>498</v>
      </c>
    </row>
    <row r="33250" spans="1:6" ht="12.75">
      <c r="A33250" s="2">
        <v>43875.41201388889</v>
      </c>
      <c r="B33250" t="str">
        <f>HYPERLINK("https://twitter.com/ewin8923","@ewin8923")</f>
        <v>@ewin8923</v>
      </c>
      <c r="C33250" t="s">
        <v>13889</v>
      </c>
      <c r="D33250">
        <v>61</v>
      </c>
      <c r="E33250">
        <v>0</v>
      </c>
      <c r="F33250">
        <v>1002</v>
      </c>
    </row>
    <row r="33251" spans="1:6" ht="12.75">
      <c r="A33251" s="2">
        <v>43875.411944444444</v>
      </c>
      <c r="B33251" t="str">
        <f>HYPERLINK("https://twitter.com/Sang_Abdi10","@Sang_Abdi10")</f>
        <v>@Sang_Abdi10</v>
      </c>
      <c r="C33251" t="s">
        <v>2144</v>
      </c>
      <c r="D33251">
        <v>46</v>
      </c>
      <c r="E33251">
        <v>0</v>
      </c>
      <c r="F33251">
        <v>17</v>
      </c>
    </row>
    <row r="33252" spans="1:6" ht="12.75">
      <c r="A33252" s="2">
        <v>43875.411932870367</v>
      </c>
      <c r="B33252" t="str">
        <f>HYPERLINK("https://twitter.com/farhnfa","@farhnfa")</f>
        <v>@farhnfa</v>
      </c>
      <c r="C33252" t="s">
        <v>13905</v>
      </c>
      <c r="D33252">
        <v>0</v>
      </c>
      <c r="E33252">
        <v>0</v>
      </c>
      <c r="F33252">
        <v>402</v>
      </c>
    </row>
    <row r="33253" spans="1:6" ht="12.75">
      <c r="A33253" s="2">
        <v>43875.411932870367</v>
      </c>
      <c r="B33253" t="str">
        <f>HYPERLINK("https://twitter.com/nanascientifiq","@nanascientifiq")</f>
        <v>@nanascientifiq</v>
      </c>
      <c r="C33253" t="s">
        <v>2144</v>
      </c>
      <c r="D33253">
        <v>46</v>
      </c>
      <c r="E33253">
        <v>0</v>
      </c>
      <c r="F33253">
        <v>122</v>
      </c>
    </row>
    <row r="33254" spans="1:6" ht="12.75">
      <c r="A33254" s="2">
        <v>43875.41170138889</v>
      </c>
      <c r="B33254" t="str">
        <f>HYPERLINK("https://twitter.com/MiraAnjelita","@MiraAnjelita")</f>
        <v>@MiraAnjelita</v>
      </c>
      <c r="C33254" t="s">
        <v>9113</v>
      </c>
      <c r="D33254">
        <v>257</v>
      </c>
      <c r="E33254">
        <v>0</v>
      </c>
      <c r="F33254">
        <v>1973</v>
      </c>
    </row>
    <row r="33255" spans="1:6" ht="12.75">
      <c r="A33255" s="2">
        <v>43875.411608796298</v>
      </c>
      <c r="B33255" t="str">
        <f>HYPERLINK("https://twitter.com/mautahungga","@mautahungga")</f>
        <v>@mautahungga</v>
      </c>
      <c r="C33255" t="s">
        <v>13906</v>
      </c>
      <c r="D33255">
        <v>0</v>
      </c>
      <c r="E33255">
        <v>0</v>
      </c>
      <c r="F33255">
        <v>186</v>
      </c>
    </row>
    <row r="33256" spans="1:6" ht="12.75">
      <c r="A33256" s="2">
        <v>43875.411597222221</v>
      </c>
      <c r="B33256" t="str">
        <f>HYPERLINK("https://twitter.com/hasyim_x","@hasyim_x")</f>
        <v>@hasyim_x</v>
      </c>
      <c r="C33256" t="s">
        <v>8233</v>
      </c>
      <c r="D33256">
        <v>316</v>
      </c>
      <c r="E33256">
        <v>0</v>
      </c>
      <c r="F33256">
        <v>167</v>
      </c>
    </row>
    <row r="33257" spans="1:6" ht="12.75">
      <c r="A33257" s="2">
        <v>43875.411597222221</v>
      </c>
      <c r="B33257" t="str">
        <f>HYPERLINK("https://twitter.com/yuliahariyanti","@yuliahariyanti")</f>
        <v>@yuliahariyanti</v>
      </c>
      <c r="C33257" t="s">
        <v>13907</v>
      </c>
      <c r="D33257">
        <v>0</v>
      </c>
      <c r="E33257">
        <v>0</v>
      </c>
      <c r="F33257">
        <v>18</v>
      </c>
    </row>
    <row r="33258" spans="1:6" ht="12.75">
      <c r="A33258" s="2">
        <v>43875.411597222221</v>
      </c>
      <c r="B33258" t="str">
        <f>HYPERLINK("https://twitter.com/HematangFrizal","@HematangFrizal")</f>
        <v>@HematangFrizal</v>
      </c>
      <c r="C33258" t="s">
        <v>175</v>
      </c>
      <c r="D33258">
        <v>5235</v>
      </c>
      <c r="E33258">
        <v>0</v>
      </c>
      <c r="F33258">
        <v>90</v>
      </c>
    </row>
    <row r="33259" spans="1:6" ht="12.75">
      <c r="A33259" s="2">
        <v>43875.411550925928</v>
      </c>
      <c r="B33259" t="str">
        <f>HYPERLINK("https://twitter.com/OliviaCath1540","@OliviaCath1540")</f>
        <v>@OliviaCath1540</v>
      </c>
      <c r="C33259" t="s">
        <v>8233</v>
      </c>
      <c r="D33259">
        <v>316</v>
      </c>
      <c r="E33259">
        <v>0</v>
      </c>
      <c r="F33259">
        <v>1246</v>
      </c>
    </row>
    <row r="33260" spans="1:6" ht="12.75">
      <c r="A33260" s="2">
        <v>43875.411412037036</v>
      </c>
      <c r="B33260" t="str">
        <f>HYPERLINK("https://twitter.com/tasya_4black","@tasya_4black")</f>
        <v>@tasya_4black</v>
      </c>
      <c r="C33260" t="s">
        <v>9263</v>
      </c>
      <c r="D33260">
        <v>72</v>
      </c>
      <c r="E33260">
        <v>0</v>
      </c>
      <c r="F33260">
        <v>85</v>
      </c>
    </row>
    <row r="33261" spans="1:6" ht="12.75">
      <c r="A33261" s="2">
        <v>43875.411412037036</v>
      </c>
      <c r="B33261" t="str">
        <f>HYPERLINK("https://twitter.com/cosmicryeow","@cosmicryeow")</f>
        <v>@cosmicryeow</v>
      </c>
      <c r="C33261" t="s">
        <v>5168</v>
      </c>
      <c r="D33261">
        <v>460</v>
      </c>
      <c r="E33261">
        <v>0</v>
      </c>
      <c r="F33261">
        <v>1081</v>
      </c>
    </row>
    <row r="33262" spans="1:6" ht="12.75">
      <c r="A33262" s="2">
        <v>43875.411365740743</v>
      </c>
      <c r="B33262" t="str">
        <f>HYPERLINK("https://twitter.com/_ghinaamalia","@_ghinaamalia")</f>
        <v>@_ghinaamalia</v>
      </c>
      <c r="C33262" t="s">
        <v>12044</v>
      </c>
      <c r="D33262">
        <v>24</v>
      </c>
      <c r="E33262">
        <v>0</v>
      </c>
      <c r="F33262">
        <v>50</v>
      </c>
    </row>
    <row r="33263" spans="1:6" ht="12.75">
      <c r="A33263" s="2">
        <v>43875.411319444444</v>
      </c>
      <c r="B33263" t="str">
        <f>HYPERLINK("https://twitter.com/krisnawan45","@krisnawan45")</f>
        <v>@krisnawan45</v>
      </c>
      <c r="C33263" t="s">
        <v>13908</v>
      </c>
      <c r="D33263">
        <v>0</v>
      </c>
      <c r="E33263">
        <v>0</v>
      </c>
      <c r="F33263">
        <v>32</v>
      </c>
    </row>
    <row r="33264" spans="1:6" ht="12.75">
      <c r="A33264" s="2">
        <v>43875.411273148144</v>
      </c>
      <c r="B33264" t="str">
        <f>HYPERLINK("https://twitter.com/ISIS_Balik_NO","@ISIS_Balik_NO")</f>
        <v>@ISIS_Balik_NO</v>
      </c>
      <c r="C33264" t="s">
        <v>13909</v>
      </c>
      <c r="D33264">
        <v>0</v>
      </c>
      <c r="E33264">
        <v>0</v>
      </c>
      <c r="F33264">
        <v>5890</v>
      </c>
    </row>
    <row r="33265" spans="1:6" ht="12.75">
      <c r="A33265" s="2">
        <v>43875.411238425921</v>
      </c>
      <c r="B33265" t="str">
        <f>HYPERLINK("https://twitter.com/ALUNG_ASN","@ALUNG_ASN")</f>
        <v>@ALUNG_ASN</v>
      </c>
      <c r="C33265" t="s">
        <v>13910</v>
      </c>
      <c r="D33265">
        <v>0</v>
      </c>
      <c r="E33265">
        <v>0</v>
      </c>
      <c r="F33265">
        <v>247</v>
      </c>
    </row>
    <row r="33266" spans="1:6" ht="12.75">
      <c r="A33266" s="2">
        <v>43875.411180555559</v>
      </c>
      <c r="B33266" t="str">
        <f>HYPERLINK("https://twitter.com/roysahadoen","@roysahadoen")</f>
        <v>@roysahadoen</v>
      </c>
      <c r="C33266" t="s">
        <v>8233</v>
      </c>
      <c r="D33266">
        <v>316</v>
      </c>
      <c r="E33266">
        <v>0</v>
      </c>
      <c r="F33266">
        <v>346</v>
      </c>
    </row>
    <row r="33267" spans="1:6" ht="12.75">
      <c r="A33267" s="2">
        <v>43875.411134259259</v>
      </c>
      <c r="B33267" t="str">
        <f>HYPERLINK("https://twitter.com/JanganMerusak","@JanganMerusak")</f>
        <v>@JanganMerusak</v>
      </c>
      <c r="C33267" t="s">
        <v>13911</v>
      </c>
      <c r="D33267">
        <v>1</v>
      </c>
      <c r="E33267">
        <v>0</v>
      </c>
      <c r="F33267">
        <v>3104</v>
      </c>
    </row>
    <row r="33268" spans="1:6" ht="12.75">
      <c r="A33268" s="2">
        <v>43875.411099537036</v>
      </c>
      <c r="B33268" t="str">
        <f>HYPERLINK("https://twitter.com/ZulfaArdani","@ZulfaArdani")</f>
        <v>@ZulfaArdani</v>
      </c>
      <c r="C33268" t="s">
        <v>2144</v>
      </c>
      <c r="D33268">
        <v>46</v>
      </c>
      <c r="E33268">
        <v>0</v>
      </c>
      <c r="F33268">
        <v>627</v>
      </c>
    </row>
    <row r="33269" spans="1:6" ht="12.75">
      <c r="A33269" s="2">
        <v>43875.41106481482</v>
      </c>
      <c r="B33269" t="str">
        <f>HYPERLINK("https://twitter.com/andywesley27","@andywesley27")</f>
        <v>@andywesley27</v>
      </c>
      <c r="C33269" t="s">
        <v>13912</v>
      </c>
      <c r="D33269">
        <v>0</v>
      </c>
      <c r="E33269">
        <v>0</v>
      </c>
      <c r="F33269">
        <v>115</v>
      </c>
    </row>
    <row r="33270" spans="1:6" ht="12.75">
      <c r="A33270" s="2">
        <v>43875.41097222222</v>
      </c>
      <c r="B33270" t="str">
        <f>HYPERLINK("https://twitter.com/babliey","@babliey")</f>
        <v>@babliey</v>
      </c>
      <c r="C33270" t="s">
        <v>5168</v>
      </c>
      <c r="D33270">
        <v>460</v>
      </c>
      <c r="E33270">
        <v>0</v>
      </c>
      <c r="F33270">
        <v>752</v>
      </c>
    </row>
    <row r="33271" spans="1:6" ht="12.75">
      <c r="A33271" s="2">
        <v>43875.410914351851</v>
      </c>
      <c r="B33271" t="str">
        <f>HYPERLINK("https://twitter.com/peni_me","@peni_me")</f>
        <v>@peni_me</v>
      </c>
      <c r="C33271" t="s">
        <v>13913</v>
      </c>
      <c r="D33271">
        <v>0</v>
      </c>
      <c r="E33271">
        <v>1</v>
      </c>
      <c r="F33271">
        <v>14258</v>
      </c>
    </row>
    <row r="33272" spans="1:6" ht="12.75">
      <c r="A33272" s="2">
        <v>43875.410729166666</v>
      </c>
      <c r="B33272" t="str">
        <f>HYPERLINK("https://twitter.com/DadanRa21974965","@DadanRa21974965")</f>
        <v>@DadanRa21974965</v>
      </c>
      <c r="C33272" t="s">
        <v>2144</v>
      </c>
      <c r="D33272">
        <v>46</v>
      </c>
      <c r="E33272">
        <v>0</v>
      </c>
      <c r="F33272">
        <v>17</v>
      </c>
    </row>
    <row r="33273" spans="1:6" ht="12.75">
      <c r="A33273" s="2">
        <v>43875.410717592589</v>
      </c>
      <c r="B33273" t="str">
        <f>HYPERLINK("https://twitter.com/RedWineMalbec","@RedWineMalbec")</f>
        <v>@RedWineMalbec</v>
      </c>
      <c r="C33273" t="s">
        <v>2086</v>
      </c>
      <c r="D33273">
        <v>21</v>
      </c>
      <c r="E33273">
        <v>0</v>
      </c>
      <c r="F33273">
        <v>506</v>
      </c>
    </row>
    <row r="33274" spans="1:6" ht="12.75">
      <c r="A33274" s="2">
        <v>43875.410567129627</v>
      </c>
      <c r="B33274" t="str">
        <f>HYPERLINK("https://twitter.com/AldinoPasha","@AldinoPasha")</f>
        <v>@AldinoPasha</v>
      </c>
      <c r="C33274" t="s">
        <v>10266</v>
      </c>
      <c r="D33274">
        <v>253</v>
      </c>
      <c r="E33274">
        <v>0</v>
      </c>
      <c r="F33274">
        <v>32</v>
      </c>
    </row>
    <row r="33275" spans="1:6" ht="12.75">
      <c r="A33275" s="2">
        <v>43875.410486111112</v>
      </c>
      <c r="B33275" t="str">
        <f>HYPERLINK("https://twitter.com/wow_keren","@wow_keren")</f>
        <v>@wow_keren</v>
      </c>
      <c r="C33275" t="s">
        <v>13914</v>
      </c>
      <c r="D33275">
        <v>0</v>
      </c>
      <c r="E33275">
        <v>0</v>
      </c>
      <c r="F33275">
        <v>32003</v>
      </c>
    </row>
    <row r="33276" spans="1:6" ht="12.75">
      <c r="A33276" s="2">
        <v>43875.410462962958</v>
      </c>
      <c r="B33276" t="str">
        <f>HYPERLINK("https://twitter.com/kompascom","@kompascom")</f>
        <v>@kompascom</v>
      </c>
      <c r="C33276" t="s">
        <v>13881</v>
      </c>
      <c r="D33276">
        <v>2</v>
      </c>
      <c r="E33276">
        <v>0</v>
      </c>
      <c r="F33276">
        <v>7497153</v>
      </c>
    </row>
    <row r="33277" spans="1:6" ht="12.75">
      <c r="A33277" s="2">
        <v>43875.410451388889</v>
      </c>
      <c r="B33277" t="str">
        <f>HYPERLINK("https://twitter.com/yogascitra83","@yogascitra83")</f>
        <v>@yogascitra83</v>
      </c>
      <c r="C33277" t="s">
        <v>13915</v>
      </c>
      <c r="D33277">
        <v>0</v>
      </c>
      <c r="E33277">
        <v>0</v>
      </c>
      <c r="F33277">
        <v>155</v>
      </c>
    </row>
    <row r="33278" spans="1:6" ht="12.75">
      <c r="A33278" s="2">
        <v>43875.410405092596</v>
      </c>
      <c r="B33278" t="str">
        <f>HYPERLINK("https://twitter.com/netz_ID","@netz_ID")</f>
        <v>@netz_ID</v>
      </c>
      <c r="C33278" t="s">
        <v>13916</v>
      </c>
      <c r="D33278">
        <v>0</v>
      </c>
      <c r="E33278">
        <v>0</v>
      </c>
      <c r="F33278">
        <v>5923</v>
      </c>
    </row>
    <row r="33279" spans="1:6" ht="12.75">
      <c r="A33279" s="2">
        <v>43875.410393518519</v>
      </c>
      <c r="B33279" t="str">
        <f>HYPERLINK("https://twitter.com/IvandiPm","@IvandiPm")</f>
        <v>@IvandiPm</v>
      </c>
      <c r="C33279" t="s">
        <v>13917</v>
      </c>
      <c r="D33279">
        <v>0</v>
      </c>
      <c r="E33279">
        <v>1</v>
      </c>
      <c r="F33279">
        <v>11</v>
      </c>
    </row>
    <row r="33280" spans="1:6" ht="12.75">
      <c r="A33280" s="2">
        <v>43875.410381944443</v>
      </c>
      <c r="B33280" t="str">
        <f>HYPERLINK("https://twitter.com/srpsr2","@srpsr2")</f>
        <v>@srpsr2</v>
      </c>
      <c r="C33280" t="s">
        <v>2963</v>
      </c>
      <c r="D33280">
        <v>563</v>
      </c>
      <c r="E33280">
        <v>0</v>
      </c>
      <c r="F33280">
        <v>103</v>
      </c>
    </row>
    <row r="33281" spans="1:6" ht="12.75">
      <c r="A33281" s="2">
        <v>43875.410277777773</v>
      </c>
      <c r="B33281" t="str">
        <f>HYPERLINK("https://twitter.com/edwards_bee","@edwards_bee")</f>
        <v>@edwards_bee</v>
      </c>
      <c r="C33281" t="s">
        <v>13918</v>
      </c>
      <c r="D33281">
        <v>0</v>
      </c>
      <c r="E33281">
        <v>0</v>
      </c>
      <c r="F33281">
        <v>651</v>
      </c>
    </row>
    <row r="33282" spans="1:6" ht="12.75">
      <c r="A33282" s="2">
        <v>43875.410266203704</v>
      </c>
      <c r="B33282" t="str">
        <f>HYPERLINK("https://twitter.com/santuuykupi","@santuuykupi")</f>
        <v>@santuuykupi</v>
      </c>
      <c r="C33282" t="s">
        <v>13919</v>
      </c>
      <c r="D33282">
        <v>0</v>
      </c>
      <c r="E33282">
        <v>0</v>
      </c>
      <c r="F33282">
        <v>1640</v>
      </c>
    </row>
    <row r="33283" spans="1:6" ht="12.75">
      <c r="A33283" s="2">
        <v>43875.410173611112</v>
      </c>
      <c r="B33283" t="str">
        <f>HYPERLINK("https://twitter.com/perdanacy","@perdanacy")</f>
        <v>@perdanacy</v>
      </c>
      <c r="C33283" t="s">
        <v>2963</v>
      </c>
      <c r="D33283">
        <v>563</v>
      </c>
      <c r="E33283">
        <v>0</v>
      </c>
      <c r="F33283">
        <v>756</v>
      </c>
    </row>
    <row r="33284" spans="1:6" ht="12.75">
      <c r="A33284" s="2">
        <v>43875.410092592589</v>
      </c>
      <c r="B33284" t="str">
        <f>HYPERLINK("https://twitter.com/kompasiana","@kompasiana")</f>
        <v>@kompasiana</v>
      </c>
      <c r="C33284" t="s">
        <v>13920</v>
      </c>
      <c r="D33284">
        <v>2</v>
      </c>
      <c r="E33284">
        <v>2</v>
      </c>
      <c r="F33284">
        <v>927826</v>
      </c>
    </row>
    <row r="33285" spans="1:6" ht="12.75">
      <c r="A33285" s="2">
        <v>43875.41006944445</v>
      </c>
      <c r="B33285" t="str">
        <f>HYPERLINK("https://twitter.com/rfnfjrt","@rfnfjrt")</f>
        <v>@rfnfjrt</v>
      </c>
      <c r="C33285" t="s">
        <v>5168</v>
      </c>
      <c r="D33285">
        <v>460</v>
      </c>
      <c r="E33285">
        <v>0</v>
      </c>
      <c r="F33285">
        <v>319</v>
      </c>
    </row>
    <row r="33286" spans="1:6" ht="12.75">
      <c r="A33286" s="2">
        <v>43875.409872685181</v>
      </c>
      <c r="B33286" t="str">
        <f>HYPERLINK("https://twitter.com/Bond74Diek","@Bond74Diek")</f>
        <v>@Bond74Diek</v>
      </c>
      <c r="C33286" t="s">
        <v>13921</v>
      </c>
      <c r="D33286">
        <v>0</v>
      </c>
      <c r="E33286">
        <v>0</v>
      </c>
      <c r="F33286">
        <v>3</v>
      </c>
    </row>
    <row r="33287" spans="1:6" ht="12.75">
      <c r="A33287" s="2">
        <v>43875.409849537042</v>
      </c>
      <c r="B33287" t="str">
        <f>HYPERLINK("https://twitter.com/cheolrin","@cheolrin")</f>
        <v>@cheolrin</v>
      </c>
      <c r="C33287" t="s">
        <v>13922</v>
      </c>
      <c r="D33287">
        <v>0</v>
      </c>
      <c r="E33287">
        <v>0</v>
      </c>
      <c r="F33287">
        <v>1265</v>
      </c>
    </row>
    <row r="33288" spans="1:6" ht="12.75">
      <c r="A33288" s="2">
        <v>43875.409814814819</v>
      </c>
      <c r="B33288" t="str">
        <f>HYPERLINK("https://twitter.com/PriskilaHesty","@PriskilaHesty")</f>
        <v>@PriskilaHesty</v>
      </c>
      <c r="C33288" t="s">
        <v>9113</v>
      </c>
      <c r="D33288">
        <v>257</v>
      </c>
      <c r="E33288">
        <v>0</v>
      </c>
      <c r="F33288">
        <v>100</v>
      </c>
    </row>
    <row r="33289" spans="1:6" ht="12.75">
      <c r="A33289" s="2">
        <v>43875.409803240742</v>
      </c>
      <c r="B33289" t="str">
        <f>HYPERLINK("https://twitter.com/kristinagustina","@kristinagustina")</f>
        <v>@kristinagustina</v>
      </c>
      <c r="C33289" t="s">
        <v>8233</v>
      </c>
      <c r="D33289">
        <v>316</v>
      </c>
      <c r="E33289">
        <v>0</v>
      </c>
      <c r="F33289">
        <v>672</v>
      </c>
    </row>
    <row r="33290" spans="1:6" ht="12.75">
      <c r="A33290" s="2">
        <v>43875.409756944442</v>
      </c>
      <c r="B33290" t="str">
        <f>HYPERLINK("https://twitter.com/anggipwr","@anggipwr")</f>
        <v>@anggipwr</v>
      </c>
      <c r="C33290" t="s">
        <v>8233</v>
      </c>
      <c r="D33290">
        <v>316</v>
      </c>
      <c r="E33290">
        <v>0</v>
      </c>
      <c r="F33290">
        <v>382</v>
      </c>
    </row>
    <row r="33291" spans="1:6" ht="12.75">
      <c r="A33291" s="2">
        <v>43875.409699074073</v>
      </c>
      <c r="B33291" t="str">
        <f>HYPERLINK("https://twitter.com/kanzakanzol","@kanzakanzol")</f>
        <v>@kanzakanzol</v>
      </c>
      <c r="C33291" t="s">
        <v>5168</v>
      </c>
      <c r="D33291">
        <v>460</v>
      </c>
      <c r="E33291">
        <v>0</v>
      </c>
      <c r="F33291">
        <v>383</v>
      </c>
    </row>
    <row r="33292" spans="1:6" ht="12.75">
      <c r="A33292" s="2">
        <v>43875.409456018519</v>
      </c>
      <c r="B33292" t="str">
        <f>HYPERLINK("https://twitter.com/netz_ID","@netz_ID")</f>
        <v>@netz_ID</v>
      </c>
      <c r="C33292" t="s">
        <v>13923</v>
      </c>
      <c r="D33292">
        <v>0</v>
      </c>
      <c r="E33292">
        <v>0</v>
      </c>
      <c r="F33292">
        <v>5923</v>
      </c>
    </row>
    <row r="33293" spans="1:6" ht="12.75">
      <c r="A33293" s="2">
        <v>43875.409351851849</v>
      </c>
      <c r="B33293" t="str">
        <f>HYPERLINK("https://twitter.com/dzulkarnains","@dzulkarnains")</f>
        <v>@dzulkarnains</v>
      </c>
      <c r="C33293" t="s">
        <v>2963</v>
      </c>
      <c r="D33293">
        <v>563</v>
      </c>
      <c r="E33293">
        <v>0</v>
      </c>
      <c r="F33293">
        <v>879</v>
      </c>
    </row>
    <row r="33294" spans="1:6" ht="12.75">
      <c r="A33294" s="2">
        <v>43875.409259259264</v>
      </c>
      <c r="B33294" t="str">
        <f>HYPERLINK("https://twitter.com/noDUB3","@noDUB3")</f>
        <v>@noDUB3</v>
      </c>
      <c r="C33294" t="s">
        <v>10407</v>
      </c>
      <c r="D33294">
        <v>38</v>
      </c>
      <c r="E33294">
        <v>0</v>
      </c>
      <c r="F33294">
        <v>115</v>
      </c>
    </row>
    <row r="33295" spans="1:6" ht="12.75">
      <c r="A33295" s="2">
        <v>43875.409259259264</v>
      </c>
      <c r="B33295" t="str">
        <f>HYPERLINK("https://twitter.com/nuninu9","@nuninu9")</f>
        <v>@nuninu9</v>
      </c>
      <c r="C33295" t="s">
        <v>9998</v>
      </c>
      <c r="D33295">
        <v>67</v>
      </c>
      <c r="E33295">
        <v>0</v>
      </c>
      <c r="F33295">
        <v>1195</v>
      </c>
    </row>
    <row r="33296" spans="1:6" ht="12.75">
      <c r="A33296" s="2">
        <v>43875.409212962964</v>
      </c>
      <c r="B33296" t="str">
        <f>HYPERLINK("https://twitter.com/republikaonline","@republikaonline")</f>
        <v>@republikaonline</v>
      </c>
      <c r="C33296" t="s">
        <v>13924</v>
      </c>
      <c r="D33296">
        <v>1</v>
      </c>
      <c r="E33296">
        <v>0</v>
      </c>
      <c r="F33296">
        <v>1210239</v>
      </c>
    </row>
    <row r="33297" spans="1:6" ht="12.75">
      <c r="A33297" s="2">
        <v>43875.409004629633</v>
      </c>
      <c r="B33297" t="str">
        <f>HYPERLINK("https://twitter.com/carolin8810","@carolin8810")</f>
        <v>@carolin8810</v>
      </c>
      <c r="C33297" t="s">
        <v>11394</v>
      </c>
      <c r="D33297">
        <v>21</v>
      </c>
      <c r="E33297">
        <v>0</v>
      </c>
      <c r="F33297">
        <v>1512</v>
      </c>
    </row>
    <row r="33298" spans="1:6" ht="12.75">
      <c r="A33298" s="2">
        <v>43875.408993055556</v>
      </c>
      <c r="B33298" t="str">
        <f>HYPERLINK("https://twitter.com/Okiegun","@Okiegun")</f>
        <v>@Okiegun</v>
      </c>
      <c r="C33298" t="s">
        <v>9113</v>
      </c>
      <c r="D33298">
        <v>257</v>
      </c>
      <c r="E33298">
        <v>0</v>
      </c>
      <c r="F33298">
        <v>573</v>
      </c>
    </row>
    <row r="33299" spans="1:6" ht="12.75">
      <c r="A33299" s="2">
        <v>43875.408888888887</v>
      </c>
      <c r="B33299" t="str">
        <f>HYPERLINK("https://twitter.com/sunankaliblanak","@sunankaliblanak")</f>
        <v>@sunankaliblanak</v>
      </c>
      <c r="C33299" t="s">
        <v>10915</v>
      </c>
      <c r="D33299">
        <v>2</v>
      </c>
      <c r="E33299">
        <v>0</v>
      </c>
      <c r="F33299">
        <v>386</v>
      </c>
    </row>
    <row r="33300" spans="1:6" ht="12.75">
      <c r="A33300" s="2">
        <v>43875.408877314811</v>
      </c>
      <c r="B33300" t="str">
        <f>HYPERLINK("https://twitter.com/Sutrisn22965703","@Sutrisn22965703")</f>
        <v>@Sutrisn22965703</v>
      </c>
      <c r="C33300" t="s">
        <v>6982</v>
      </c>
      <c r="D33300">
        <v>84</v>
      </c>
      <c r="E33300">
        <v>0</v>
      </c>
      <c r="F33300">
        <v>19</v>
      </c>
    </row>
    <row r="33301" spans="1:6" ht="12.75">
      <c r="A33301" s="2">
        <v>43875.408865740741</v>
      </c>
      <c r="B33301" t="str">
        <f>HYPERLINK("https://twitter.com/anak_cilincing","@anak_cilincing")</f>
        <v>@anak_cilincing</v>
      </c>
      <c r="C33301" t="s">
        <v>9998</v>
      </c>
      <c r="D33301">
        <v>67</v>
      </c>
      <c r="E33301">
        <v>0</v>
      </c>
      <c r="F33301">
        <v>306</v>
      </c>
    </row>
    <row r="33302" spans="1:6" ht="12.75">
      <c r="A33302" s="2">
        <v>43875.408865740741</v>
      </c>
      <c r="B33302" t="str">
        <f>HYPERLINK("https://twitter.com/TheOtherLiLoh","@TheOtherLiLoh")</f>
        <v>@TheOtherLiLoh</v>
      </c>
      <c r="C33302" t="s">
        <v>5168</v>
      </c>
      <c r="D33302">
        <v>460</v>
      </c>
      <c r="E33302">
        <v>0</v>
      </c>
      <c r="F33302">
        <v>34</v>
      </c>
    </row>
    <row r="33303" spans="1:6" ht="12.75">
      <c r="A33303" s="2">
        <v>43875.408819444448</v>
      </c>
      <c r="B33303" t="str">
        <f>HYPERLINK("https://twitter.com/yuliahariyanti","@yuliahariyanti")</f>
        <v>@yuliahariyanti</v>
      </c>
      <c r="C33303" t="s">
        <v>13925</v>
      </c>
      <c r="D33303">
        <v>0</v>
      </c>
      <c r="E33303">
        <v>0</v>
      </c>
      <c r="F33303">
        <v>18</v>
      </c>
    </row>
    <row r="33304" spans="1:6" ht="12.75">
      <c r="A33304" s="2">
        <v>43875.408657407403</v>
      </c>
      <c r="B33304" t="str">
        <f>HYPERLINK("https://twitter.com/WilliamgnoW","@WilliamgnoW")</f>
        <v>@WilliamgnoW</v>
      </c>
      <c r="C33304" t="s">
        <v>13926</v>
      </c>
      <c r="D33304">
        <v>0</v>
      </c>
      <c r="E33304">
        <v>0</v>
      </c>
      <c r="F33304">
        <v>71</v>
      </c>
    </row>
    <row r="33305" spans="1:6" ht="12.75">
      <c r="A33305" s="2">
        <v>43875.408645833333</v>
      </c>
      <c r="B33305" t="str">
        <f>HYPERLINK("https://twitter.com/SeputariNews","@SeputariNews")</f>
        <v>@SeputariNews</v>
      </c>
      <c r="C33305" t="s">
        <v>13927</v>
      </c>
      <c r="D33305">
        <v>0</v>
      </c>
      <c r="E33305">
        <v>0</v>
      </c>
      <c r="F33305">
        <v>438672</v>
      </c>
    </row>
    <row r="33306" spans="1:6" ht="12.75">
      <c r="A33306" s="2">
        <v>43875.40861111111</v>
      </c>
      <c r="B33306" t="str">
        <f>HYPERLINK("https://twitter.com/yogascitra83","@yogascitra83")</f>
        <v>@yogascitra83</v>
      </c>
      <c r="C33306" t="s">
        <v>13928</v>
      </c>
      <c r="D33306">
        <v>0</v>
      </c>
      <c r="E33306">
        <v>0</v>
      </c>
      <c r="F33306">
        <v>155</v>
      </c>
    </row>
    <row r="33307" spans="1:6" ht="12.75">
      <c r="A33307" s="2">
        <v>43875.408599537041</v>
      </c>
      <c r="B33307" t="str">
        <f>HYPERLINK("https://twitter.com/Lintas_MNCTV","@Lintas_MNCTV")</f>
        <v>@Lintas_MNCTV</v>
      </c>
      <c r="C33307" t="s">
        <v>13927</v>
      </c>
      <c r="D33307">
        <v>0</v>
      </c>
      <c r="E33307">
        <v>0</v>
      </c>
      <c r="F33307">
        <v>35904</v>
      </c>
    </row>
    <row r="33308" spans="1:6" ht="12.75">
      <c r="A33308" s="2">
        <v>43875.408437499995</v>
      </c>
      <c r="B33308" t="str">
        <f>HYPERLINK("https://twitter.com/itsjanice00","@itsjanice00")</f>
        <v>@itsjanice00</v>
      </c>
      <c r="C33308" t="s">
        <v>8233</v>
      </c>
      <c r="D33308">
        <v>316</v>
      </c>
      <c r="E33308">
        <v>0</v>
      </c>
      <c r="F33308">
        <v>77</v>
      </c>
    </row>
    <row r="33309" spans="1:6" ht="12.75">
      <c r="A33309" s="2">
        <v>43875.408402777779</v>
      </c>
      <c r="B33309" t="str">
        <f>HYPERLINK("https://twitter.com/dhemoko","@dhemoko")</f>
        <v>@dhemoko</v>
      </c>
      <c r="C33309" t="s">
        <v>13929</v>
      </c>
      <c r="D33309">
        <v>0</v>
      </c>
      <c r="E33309">
        <v>0</v>
      </c>
      <c r="F33309">
        <v>79</v>
      </c>
    </row>
    <row r="33310" spans="1:6" ht="12.75">
      <c r="A33310" s="2">
        <v>43875.408333333333</v>
      </c>
      <c r="B33310" t="str">
        <f>HYPERLINK("https://twitter.com/YudaHermawan_A","@YudaHermawan_A")</f>
        <v>@YudaHermawan_A</v>
      </c>
      <c r="C33310" t="s">
        <v>8571</v>
      </c>
      <c r="D33310">
        <v>35</v>
      </c>
      <c r="E33310">
        <v>0</v>
      </c>
      <c r="F33310">
        <v>332</v>
      </c>
    </row>
    <row r="33311" spans="1:6" ht="12.75">
      <c r="A33311" s="2">
        <v>43875.408217592594</v>
      </c>
      <c r="B33311" t="str">
        <f>HYPERLINK("https://twitter.com/BodobodoMusafir","@BodobodoMusafir")</f>
        <v>@BodobodoMusafir</v>
      </c>
      <c r="C33311" t="s">
        <v>13930</v>
      </c>
      <c r="D33311">
        <v>0</v>
      </c>
      <c r="E33311">
        <v>1</v>
      </c>
      <c r="F33311">
        <v>552</v>
      </c>
    </row>
    <row r="33312" spans="1:6" ht="12.75">
      <c r="A33312" s="2">
        <v>43875.408194444448</v>
      </c>
      <c r="B33312" t="str">
        <f>HYPERLINK("https://twitter.com/_williamcg","@_williamcg")</f>
        <v>@_williamcg</v>
      </c>
      <c r="C33312" t="s">
        <v>13931</v>
      </c>
      <c r="D33312">
        <v>0</v>
      </c>
      <c r="E33312">
        <v>0</v>
      </c>
      <c r="F33312">
        <v>44</v>
      </c>
    </row>
    <row r="33313" spans="1:6" ht="12.75">
      <c r="A33313" s="2">
        <v>43875.408171296294</v>
      </c>
      <c r="B33313" t="str">
        <f>HYPERLINK("https://twitter.com/InaMajoe","@InaMajoe")</f>
        <v>@InaMajoe</v>
      </c>
      <c r="C33313" t="s">
        <v>9538</v>
      </c>
      <c r="D33313">
        <v>106</v>
      </c>
      <c r="E33313">
        <v>0</v>
      </c>
      <c r="F33313">
        <v>230</v>
      </c>
    </row>
    <row r="33314" spans="1:6" ht="12.75">
      <c r="A33314" s="2">
        <v>43875.408136574071</v>
      </c>
      <c r="B33314" t="str">
        <f>HYPERLINK("https://twitter.com/rakhafarizii","@rakhafarizii")</f>
        <v>@rakhafarizii</v>
      </c>
      <c r="C33314" t="s">
        <v>9998</v>
      </c>
      <c r="D33314">
        <v>67</v>
      </c>
      <c r="E33314">
        <v>0</v>
      </c>
      <c r="F33314">
        <v>586</v>
      </c>
    </row>
    <row r="33315" spans="1:6" ht="12.75">
      <c r="A33315" s="2">
        <v>43875.408101851848</v>
      </c>
      <c r="B33315" t="str">
        <f>HYPERLINK("https://twitter.com/LusiSuryani2","@LusiSuryani2")</f>
        <v>@LusiSuryani2</v>
      </c>
      <c r="C33315" t="s">
        <v>13932</v>
      </c>
      <c r="D33315">
        <v>0</v>
      </c>
      <c r="E33315">
        <v>0</v>
      </c>
      <c r="F33315">
        <v>5</v>
      </c>
    </row>
    <row r="33316" spans="1:6" ht="12.75">
      <c r="A33316" s="2">
        <v>43875.408090277779</v>
      </c>
      <c r="B33316" t="str">
        <f>HYPERLINK("https://twitter.com/AttarisSoul","@AttarisSoul")</f>
        <v>@AttarisSoul</v>
      </c>
      <c r="C33316" t="s">
        <v>13933</v>
      </c>
      <c r="D33316">
        <v>0</v>
      </c>
      <c r="E33316">
        <v>0</v>
      </c>
      <c r="F33316">
        <v>4</v>
      </c>
    </row>
    <row r="33317" spans="1:6" ht="12.75">
      <c r="A33317" s="2">
        <v>43875.408067129625</v>
      </c>
      <c r="B33317" t="str">
        <f>HYPERLINK("https://twitter.com/ghazaliafiff","@ghazaliafiff")</f>
        <v>@ghazaliafiff</v>
      </c>
      <c r="C33317" t="s">
        <v>9096</v>
      </c>
      <c r="D33317">
        <v>162</v>
      </c>
      <c r="E33317">
        <v>0</v>
      </c>
      <c r="F33317">
        <v>6</v>
      </c>
    </row>
    <row r="33318" spans="1:6" ht="12.75">
      <c r="A33318" s="2">
        <v>43875.408055555556</v>
      </c>
      <c r="B33318" t="str">
        <f>HYPERLINK("https://twitter.com/anoe_freelance","@anoe_freelance")</f>
        <v>@anoe_freelance</v>
      </c>
      <c r="C33318" t="s">
        <v>13934</v>
      </c>
      <c r="D33318">
        <v>0</v>
      </c>
      <c r="E33318">
        <v>0</v>
      </c>
      <c r="F33318">
        <v>840</v>
      </c>
    </row>
    <row r="33319" spans="1:6" ht="12.75">
      <c r="A33319" s="2">
        <v>43875.408043981486</v>
      </c>
      <c r="B33319" t="str">
        <f>HYPERLINK("https://twitter.com/RMusrod","@RMusrod")</f>
        <v>@RMusrod</v>
      </c>
      <c r="C33319" t="s">
        <v>8233</v>
      </c>
      <c r="D33319">
        <v>316</v>
      </c>
      <c r="E33319">
        <v>0</v>
      </c>
      <c r="F33319">
        <v>1060</v>
      </c>
    </row>
    <row r="33320" spans="1:6" ht="12.75">
      <c r="A33320" s="2">
        <v>43875.408009259263</v>
      </c>
      <c r="B33320" t="str">
        <f>HYPERLINK("https://twitter.com/OldboyzamanNow","@OldboyzamanNow")</f>
        <v>@OldboyzamanNow</v>
      </c>
      <c r="C33320" t="s">
        <v>13935</v>
      </c>
      <c r="D33320">
        <v>5</v>
      </c>
      <c r="E33320">
        <v>0</v>
      </c>
      <c r="F33320">
        <v>937</v>
      </c>
    </row>
    <row r="33321" spans="1:6" ht="12.75">
      <c r="A33321" s="2">
        <v>43875.407905092594</v>
      </c>
      <c r="B33321" t="str">
        <f>HYPERLINK("https://twitter.com/endahoctaviani","@endahoctaviani")</f>
        <v>@endahoctaviani</v>
      </c>
      <c r="C33321" t="s">
        <v>5168</v>
      </c>
      <c r="D33321">
        <v>460</v>
      </c>
      <c r="E33321">
        <v>0</v>
      </c>
      <c r="F33321">
        <v>1842</v>
      </c>
    </row>
    <row r="33322" spans="1:6" ht="12.75">
      <c r="A33322" s="2">
        <v>43875.407835648148</v>
      </c>
      <c r="B33322" t="str">
        <f>HYPERLINK("https://twitter.com/IkhlasSajadeh","@IkhlasSajadeh")</f>
        <v>@IkhlasSajadeh</v>
      </c>
      <c r="C33322" t="s">
        <v>13936</v>
      </c>
      <c r="D33322">
        <v>0</v>
      </c>
      <c r="E33322">
        <v>0</v>
      </c>
      <c r="F33322">
        <v>78</v>
      </c>
    </row>
    <row r="33323" spans="1:6" ht="12.75">
      <c r="A33323" s="2">
        <v>43875.407800925925</v>
      </c>
      <c r="B33323" t="str">
        <f>HYPERLINK("https://twitter.com/randualit","@randualit")</f>
        <v>@randualit</v>
      </c>
      <c r="C33323" t="s">
        <v>10422</v>
      </c>
      <c r="D33323">
        <v>47</v>
      </c>
      <c r="E33323">
        <v>0</v>
      </c>
      <c r="F33323">
        <v>7554</v>
      </c>
    </row>
    <row r="33324" spans="1:6" ht="12.75">
      <c r="A33324" s="2">
        <v>43875.407754629632</v>
      </c>
      <c r="B33324" t="str">
        <f>HYPERLINK("https://twitter.com/fafamlwo","@fafamlwo")</f>
        <v>@fafamlwo</v>
      </c>
      <c r="C33324" t="s">
        <v>12044</v>
      </c>
      <c r="D33324">
        <v>24</v>
      </c>
      <c r="E33324">
        <v>0</v>
      </c>
      <c r="F33324">
        <v>262</v>
      </c>
    </row>
    <row r="33325" spans="1:6" ht="12.75">
      <c r="A33325" s="2">
        <v>43875.407743055555</v>
      </c>
      <c r="B33325" t="str">
        <f>HYPERLINK("https://twitter.com/ewin8923","@ewin8923")</f>
        <v>@ewin8923</v>
      </c>
      <c r="C33325" t="s">
        <v>5624</v>
      </c>
      <c r="D33325">
        <v>113</v>
      </c>
      <c r="E33325">
        <v>0</v>
      </c>
      <c r="F33325">
        <v>1002</v>
      </c>
    </row>
    <row r="33326" spans="1:6" ht="12.75">
      <c r="A33326" s="2">
        <v>43875.407708333332</v>
      </c>
      <c r="B33326" t="str">
        <f>HYPERLINK("https://twitter.com/pamangoberbebek","@pamangoberbebek")</f>
        <v>@pamangoberbebek</v>
      </c>
      <c r="C33326" t="s">
        <v>13334</v>
      </c>
      <c r="D33326">
        <v>1</v>
      </c>
      <c r="E33326">
        <v>0</v>
      </c>
      <c r="F33326">
        <v>1780</v>
      </c>
    </row>
    <row r="33327" spans="1:6" ht="12.75">
      <c r="A33327" s="2">
        <v>43875.407673611116</v>
      </c>
      <c r="B33327" t="str">
        <f>HYPERLINK("https://twitter.com/rizkiasra","@rizkiasra")</f>
        <v>@rizkiasra</v>
      </c>
      <c r="C33327" t="s">
        <v>8233</v>
      </c>
      <c r="D33327">
        <v>316</v>
      </c>
      <c r="E33327">
        <v>0</v>
      </c>
      <c r="F33327">
        <v>834</v>
      </c>
    </row>
    <row r="33328" spans="1:6" ht="12.75">
      <c r="A33328" s="2">
        <v>43875.407662037032</v>
      </c>
      <c r="B33328" t="str">
        <f>HYPERLINK("https://twitter.com/wisnu2910","@wisnu2910")</f>
        <v>@wisnu2910</v>
      </c>
      <c r="C33328" t="s">
        <v>10526</v>
      </c>
      <c r="D33328">
        <v>121</v>
      </c>
      <c r="E33328">
        <v>0</v>
      </c>
      <c r="F33328">
        <v>211</v>
      </c>
    </row>
    <row r="33329" spans="1:6" ht="12.75">
      <c r="A33329" s="2">
        <v>43875.40760416667</v>
      </c>
      <c r="B33329" t="str">
        <f>HYPERLINK("https://twitter.com/hestinafatma","@hestinafatma")</f>
        <v>@hestinafatma</v>
      </c>
      <c r="C33329" t="s">
        <v>2963</v>
      </c>
      <c r="D33329">
        <v>563</v>
      </c>
      <c r="E33329">
        <v>0</v>
      </c>
      <c r="F33329">
        <v>367</v>
      </c>
    </row>
    <row r="33330" spans="1:6" ht="12.75">
      <c r="A33330" s="2">
        <v>43875.407546296294</v>
      </c>
      <c r="B33330" t="str">
        <f>HYPERLINK("https://twitter.com/ZheeOmega","@ZheeOmega")</f>
        <v>@ZheeOmega</v>
      </c>
      <c r="C33330" t="s">
        <v>13880</v>
      </c>
      <c r="D33330">
        <v>2</v>
      </c>
      <c r="E33330">
        <v>0</v>
      </c>
      <c r="F33330">
        <v>17788</v>
      </c>
    </row>
    <row r="33331" spans="1:6" ht="12.75">
      <c r="A33331" s="2">
        <v>43875.407500000001</v>
      </c>
      <c r="B33331" t="str">
        <f>HYPERLINK("https://twitter.com/azis_83","@azis_83")</f>
        <v>@azis_83</v>
      </c>
      <c r="C33331" t="s">
        <v>2122</v>
      </c>
      <c r="D33331">
        <v>183</v>
      </c>
      <c r="E33331">
        <v>0</v>
      </c>
      <c r="F33331">
        <v>77</v>
      </c>
    </row>
    <row r="33332" spans="1:6" ht="12.75">
      <c r="A33332" s="2">
        <v>43875.407453703709</v>
      </c>
      <c r="B33332" t="str">
        <f>HYPERLINK("https://twitter.com/ArsomEria","@ArsomEria")</f>
        <v>@ArsomEria</v>
      </c>
      <c r="C33332" t="s">
        <v>13937</v>
      </c>
      <c r="D33332">
        <v>0</v>
      </c>
      <c r="E33332">
        <v>0</v>
      </c>
      <c r="F33332">
        <v>29</v>
      </c>
    </row>
    <row r="33333" spans="1:6" ht="12.75">
      <c r="A33333" s="2">
        <v>43875.407314814816</v>
      </c>
      <c r="B33333" t="str">
        <f>HYPERLINK("https://twitter.com/moesa_jp02","@moesa_jp02")</f>
        <v>@moesa_jp02</v>
      </c>
      <c r="C33333" t="s">
        <v>13938</v>
      </c>
      <c r="D33333">
        <v>0</v>
      </c>
      <c r="E33333">
        <v>0</v>
      </c>
      <c r="F33333">
        <v>1316</v>
      </c>
    </row>
    <row r="33334" spans="1:6" ht="12.75">
      <c r="A33334" s="2">
        <v>43875.407291666663</v>
      </c>
      <c r="B33334" t="str">
        <f>HYPERLINK("https://twitter.com/AgungBa56235692","@AgungBa56235692")</f>
        <v>@AgungBa56235692</v>
      </c>
      <c r="C33334" t="s">
        <v>13939</v>
      </c>
      <c r="D33334">
        <v>0</v>
      </c>
      <c r="E33334">
        <v>0</v>
      </c>
      <c r="F33334">
        <v>0</v>
      </c>
    </row>
    <row r="33335" spans="1:6" ht="12.75">
      <c r="A33335" s="2">
        <v>43875.40724537037</v>
      </c>
      <c r="B33335" t="str">
        <f>HYPERLINK("https://twitter.com/SyailendraHafiz","@SyailendraHafiz")</f>
        <v>@SyailendraHafiz</v>
      </c>
      <c r="C33335" t="s">
        <v>12044</v>
      </c>
      <c r="D33335">
        <v>24</v>
      </c>
      <c r="E33335">
        <v>0</v>
      </c>
      <c r="F33335">
        <v>246</v>
      </c>
    </row>
    <row r="33336" spans="1:6" ht="12.75">
      <c r="A33336" s="2">
        <v>43875.407187500001</v>
      </c>
      <c r="B33336" t="str">
        <f>HYPERLINK("https://twitter.com/sanctuary7_","@sanctuary7_")</f>
        <v>@sanctuary7_</v>
      </c>
      <c r="C33336" t="s">
        <v>12044</v>
      </c>
      <c r="D33336">
        <v>24</v>
      </c>
      <c r="E33336">
        <v>0</v>
      </c>
      <c r="F33336">
        <v>729</v>
      </c>
    </row>
    <row r="33337" spans="1:6" ht="12.75">
      <c r="A33337" s="2">
        <v>43875.407106481478</v>
      </c>
      <c r="B33337" t="str">
        <f>HYPERLINK("https://twitter.com/zlametabidin","@zlametabidin")</f>
        <v>@zlametabidin</v>
      </c>
      <c r="C33337" t="s">
        <v>13940</v>
      </c>
      <c r="D33337">
        <v>1</v>
      </c>
      <c r="E33337">
        <v>0</v>
      </c>
      <c r="F33337">
        <v>1769</v>
      </c>
    </row>
    <row r="33338" spans="1:6" ht="12.75">
      <c r="A33338" s="2">
        <v>43875.407048611116</v>
      </c>
      <c r="B33338" t="str">
        <f>HYPERLINK("https://twitter.com/Lahagu_OL","@Lahagu_OL")</f>
        <v>@Lahagu_OL</v>
      </c>
      <c r="C33338" t="s">
        <v>13941</v>
      </c>
      <c r="D33338">
        <v>0</v>
      </c>
      <c r="E33338">
        <v>0</v>
      </c>
      <c r="F33338">
        <v>158</v>
      </c>
    </row>
    <row r="33339" spans="1:6" ht="12.75">
      <c r="A33339" s="2">
        <v>43875.407048611116</v>
      </c>
      <c r="B33339" t="str">
        <f>HYPERLINK("https://twitter.com/Firmanbudianap2","@Firmanbudianap2")</f>
        <v>@Firmanbudianap2</v>
      </c>
      <c r="C33339" t="s">
        <v>12044</v>
      </c>
      <c r="D33339">
        <v>24</v>
      </c>
      <c r="E33339">
        <v>0</v>
      </c>
      <c r="F33339">
        <v>152</v>
      </c>
    </row>
    <row r="33340" spans="1:6" ht="12.75">
      <c r="A33340" s="2">
        <v>43875.407048611116</v>
      </c>
      <c r="B33340" t="str">
        <f>HYPERLINK("https://twitter.com/riyadh_kbri","@riyadh_kbri")</f>
        <v>@riyadh_kbri</v>
      </c>
      <c r="C33340" t="s">
        <v>5168</v>
      </c>
      <c r="D33340">
        <v>460</v>
      </c>
      <c r="E33340">
        <v>0</v>
      </c>
      <c r="F33340">
        <v>2249</v>
      </c>
    </row>
    <row r="33341" spans="1:6" ht="12.75">
      <c r="A33341" s="2">
        <v>43875.406990740739</v>
      </c>
      <c r="B33341" t="str">
        <f>HYPERLINK("https://twitter.com/IFatoniah","@IFatoniah")</f>
        <v>@IFatoniah</v>
      </c>
      <c r="C33341" t="s">
        <v>13942</v>
      </c>
      <c r="D33341">
        <v>0</v>
      </c>
      <c r="E33341">
        <v>0</v>
      </c>
      <c r="F33341">
        <v>14</v>
      </c>
    </row>
    <row r="33342" spans="1:6" ht="12.75">
      <c r="A33342" s="2">
        <v>43875.406875000001</v>
      </c>
      <c r="B33342" t="str">
        <f>HYPERLINK("https://twitter.com/ar66169092","@ar66169092")</f>
        <v>@ar66169092</v>
      </c>
      <c r="C33342" t="s">
        <v>2963</v>
      </c>
      <c r="D33342">
        <v>563</v>
      </c>
      <c r="E33342">
        <v>0</v>
      </c>
      <c r="F33342">
        <v>6</v>
      </c>
    </row>
    <row r="33343" spans="1:6" ht="12.75">
      <c r="A33343" s="2">
        <v>43875.406828703708</v>
      </c>
      <c r="B33343" t="str">
        <f>HYPERLINK("https://twitter.com/BadjaNuswantara","@BadjaNuswantara")</f>
        <v>@BadjaNuswantara</v>
      </c>
      <c r="C33343" t="s">
        <v>13943</v>
      </c>
      <c r="D33343">
        <v>2</v>
      </c>
      <c r="E33343">
        <v>2</v>
      </c>
      <c r="F33343">
        <v>42272</v>
      </c>
    </row>
    <row r="33344" spans="1:6" ht="12.75">
      <c r="A33344" s="2">
        <v>43875.406793981485</v>
      </c>
      <c r="B33344" t="str">
        <f>HYPERLINK("https://twitter.com/InaMajoe","@InaMajoe")</f>
        <v>@InaMajoe</v>
      </c>
      <c r="C33344" t="s">
        <v>10096</v>
      </c>
      <c r="D33344">
        <v>77</v>
      </c>
      <c r="E33344">
        <v>0</v>
      </c>
      <c r="F33344">
        <v>230</v>
      </c>
    </row>
    <row r="33345" spans="1:6" ht="12.75">
      <c r="A33345" s="2">
        <v>43875.406724537039</v>
      </c>
      <c r="B33345" t="str">
        <f>HYPERLINK("https://twitter.com/ferrychow90","@ferrychow90")</f>
        <v>@ferrychow90</v>
      </c>
      <c r="C33345" t="s">
        <v>2963</v>
      </c>
      <c r="D33345">
        <v>563</v>
      </c>
      <c r="E33345">
        <v>0</v>
      </c>
      <c r="F33345">
        <v>837</v>
      </c>
    </row>
    <row r="33346" spans="1:6" ht="12.75">
      <c r="A33346" s="2">
        <v>43875.406574074077</v>
      </c>
      <c r="B33346" t="str">
        <f>HYPERLINK("https://twitter.com/KavindraOemar","@KavindraOemar")</f>
        <v>@KavindraOemar</v>
      </c>
      <c r="C33346" t="s">
        <v>13935</v>
      </c>
      <c r="D33346">
        <v>5</v>
      </c>
      <c r="E33346">
        <v>0</v>
      </c>
      <c r="F33346">
        <v>3668</v>
      </c>
    </row>
    <row r="33347" spans="1:6" ht="12.75">
      <c r="A33347" s="2">
        <v>43875.406550925924</v>
      </c>
      <c r="B33347" t="str">
        <f>HYPERLINK("https://twitter.com/GunawanTHENEXT","@GunawanTHENEXT")</f>
        <v>@GunawanTHENEXT</v>
      </c>
      <c r="C33347" t="s">
        <v>2963</v>
      </c>
      <c r="D33347">
        <v>563</v>
      </c>
      <c r="E33347">
        <v>0</v>
      </c>
      <c r="F33347">
        <v>1271</v>
      </c>
    </row>
    <row r="33348" spans="1:6" ht="12.75">
      <c r="A33348" s="2">
        <v>43875.406446759254</v>
      </c>
      <c r="B33348" t="str">
        <f>HYPERLINK("https://twitter.com/geraldineventi","@geraldineventi")</f>
        <v>@geraldineventi</v>
      </c>
      <c r="C33348" t="s">
        <v>13944</v>
      </c>
      <c r="D33348">
        <v>0</v>
      </c>
      <c r="E33348">
        <v>1</v>
      </c>
      <c r="F33348">
        <v>4036</v>
      </c>
    </row>
    <row r="33349" spans="1:6" ht="12.75">
      <c r="A33349" s="2">
        <v>43875.406435185185</v>
      </c>
      <c r="B33349" t="str">
        <f>HYPERLINK("https://twitter.com/3rnyyy","@3rnyyy")</f>
        <v>@3rnyyy</v>
      </c>
      <c r="C33349" t="s">
        <v>8470</v>
      </c>
      <c r="D33349">
        <v>131</v>
      </c>
      <c r="E33349">
        <v>0</v>
      </c>
      <c r="F33349">
        <v>166</v>
      </c>
    </row>
    <row r="33350" spans="1:6" ht="12.75">
      <c r="A33350" s="2">
        <v>43875.406215277777</v>
      </c>
      <c r="B33350" t="str">
        <f>HYPERLINK("https://twitter.com/djonibee","@djonibee")</f>
        <v>@djonibee</v>
      </c>
      <c r="C33350" t="s">
        <v>2963</v>
      </c>
      <c r="D33350">
        <v>563</v>
      </c>
      <c r="E33350">
        <v>0</v>
      </c>
      <c r="F33350">
        <v>707</v>
      </c>
    </row>
    <row r="33351" spans="1:6" ht="12.75">
      <c r="A33351" s="2">
        <v>43875.406192129631</v>
      </c>
      <c r="B33351" t="str">
        <f>HYPERLINK("https://twitter.com/Fandisopan_SRG","@Fandisopan_SRG")</f>
        <v>@Fandisopan_SRG</v>
      </c>
      <c r="C33351" t="s">
        <v>2963</v>
      </c>
      <c r="D33351">
        <v>563</v>
      </c>
      <c r="E33351">
        <v>0</v>
      </c>
      <c r="F33351">
        <v>352</v>
      </c>
    </row>
    <row r="33352" spans="1:6" ht="12.75">
      <c r="A33352" s="2">
        <v>43875.406180555554</v>
      </c>
      <c r="B33352" t="str">
        <f>HYPERLINK("https://twitter.com/Kancil8817","@Kancil8817")</f>
        <v>@Kancil8817</v>
      </c>
      <c r="C33352" t="s">
        <v>13945</v>
      </c>
      <c r="D33352">
        <v>1</v>
      </c>
      <c r="E33352">
        <v>0</v>
      </c>
      <c r="F33352">
        <v>566</v>
      </c>
    </row>
    <row r="33353" spans="1:6" ht="12.75">
      <c r="A33353" s="2">
        <v>43875.406111111108</v>
      </c>
      <c r="B33353" t="str">
        <f>HYPERLINK("https://twitter.com/shoban_mantiq","@shoban_mantiq")</f>
        <v>@shoban_mantiq</v>
      </c>
      <c r="C33353" t="s">
        <v>9998</v>
      </c>
      <c r="D33353">
        <v>67</v>
      </c>
      <c r="E33353">
        <v>0</v>
      </c>
      <c r="F33353">
        <v>56</v>
      </c>
    </row>
    <row r="33354" spans="1:6" ht="12.75">
      <c r="A33354" s="2">
        <v>43875.406087962961</v>
      </c>
      <c r="B33354" t="str">
        <f>HYPERLINK("https://twitter.com/yoxvin","@yoxvin")</f>
        <v>@yoxvin</v>
      </c>
      <c r="C33354" t="s">
        <v>13946</v>
      </c>
      <c r="D33354">
        <v>0</v>
      </c>
      <c r="E33354">
        <v>0</v>
      </c>
      <c r="F33354">
        <v>273</v>
      </c>
    </row>
    <row r="33355" spans="1:6" ht="12.75">
      <c r="A33355" s="2">
        <v>43875.406041666662</v>
      </c>
      <c r="B33355" t="str">
        <f>HYPERLINK("https://twitter.com/Santoso26166908","@Santoso26166908")</f>
        <v>@Santoso26166908</v>
      </c>
      <c r="C33355" t="s">
        <v>10422</v>
      </c>
      <c r="D33355">
        <v>47</v>
      </c>
      <c r="E33355">
        <v>0</v>
      </c>
      <c r="F33355">
        <v>440</v>
      </c>
    </row>
    <row r="33356" spans="1:6" ht="12.75">
      <c r="A33356" s="2">
        <v>43875.405972222223</v>
      </c>
      <c r="B33356" t="str">
        <f>HYPERLINK("https://twitter.com/AbdMuin87293941","@AbdMuin87293941")</f>
        <v>@AbdMuin87293941</v>
      </c>
      <c r="C33356" t="s">
        <v>2963</v>
      </c>
      <c r="D33356">
        <v>563</v>
      </c>
      <c r="E33356">
        <v>0</v>
      </c>
      <c r="F33356">
        <v>109</v>
      </c>
    </row>
    <row r="33357" spans="1:6" ht="12.75">
      <c r="A33357" s="2">
        <v>43875.405821759261</v>
      </c>
      <c r="B33357" t="str">
        <f>HYPERLINK("https://twitter.com/alfidinnn","@alfidinnn")</f>
        <v>@alfidinnn</v>
      </c>
      <c r="C33357" t="s">
        <v>10200</v>
      </c>
      <c r="D33357">
        <v>24</v>
      </c>
      <c r="E33357">
        <v>0</v>
      </c>
      <c r="F33357">
        <v>254</v>
      </c>
    </row>
    <row r="33358" spans="1:6" ht="12.75">
      <c r="A33358" s="2">
        <v>43875.405787037038</v>
      </c>
      <c r="B33358" t="str">
        <f>HYPERLINK("https://twitter.com/Dhan61152962","@Dhan61152962")</f>
        <v>@Dhan61152962</v>
      </c>
      <c r="C33358" t="s">
        <v>9309</v>
      </c>
      <c r="D33358">
        <v>445</v>
      </c>
      <c r="E33358">
        <v>0</v>
      </c>
      <c r="F33358">
        <v>332</v>
      </c>
    </row>
    <row r="33359" spans="1:6" ht="12.75">
      <c r="A33359" s="2">
        <v>43875.405775462961</v>
      </c>
      <c r="B33359" t="str">
        <f>HYPERLINK("https://twitter.com/mysecondPOV","@mysecondPOV")</f>
        <v>@mysecondPOV</v>
      </c>
      <c r="C33359" t="s">
        <v>5168</v>
      </c>
      <c r="D33359">
        <v>460</v>
      </c>
      <c r="E33359">
        <v>0</v>
      </c>
      <c r="F33359">
        <v>420</v>
      </c>
    </row>
    <row r="33360" spans="1:6" ht="12.75">
      <c r="A33360" s="2">
        <v>43875.405752314815</v>
      </c>
      <c r="B33360" t="str">
        <f>HYPERLINK("https://twitter.com/paradigmadidik","@paradigmadidik")</f>
        <v>@paradigmadidik</v>
      </c>
      <c r="C33360" t="s">
        <v>13947</v>
      </c>
      <c r="D33360">
        <v>0</v>
      </c>
      <c r="E33360">
        <v>0</v>
      </c>
      <c r="F33360">
        <v>107</v>
      </c>
    </row>
    <row r="33361" spans="1:6" ht="12.75">
      <c r="A33361" s="2">
        <v>43875.405706018515</v>
      </c>
      <c r="B33361" t="str">
        <f>HYPERLINK("https://twitter.com/haidir_setiawan","@haidir_setiawan")</f>
        <v>@haidir_setiawan</v>
      </c>
      <c r="C33361" t="s">
        <v>12080</v>
      </c>
      <c r="D33361">
        <v>12</v>
      </c>
      <c r="E33361">
        <v>0</v>
      </c>
      <c r="F33361">
        <v>2297</v>
      </c>
    </row>
    <row r="33362" spans="1:6" ht="12.75">
      <c r="A33362" s="2">
        <v>43875.405706018515</v>
      </c>
      <c r="B33362" t="str">
        <f>HYPERLINK("https://twitter.com/Fusianto","@Fusianto")</f>
        <v>@Fusianto</v>
      </c>
      <c r="C33362" t="s">
        <v>13948</v>
      </c>
      <c r="D33362">
        <v>0</v>
      </c>
      <c r="E33362">
        <v>0</v>
      </c>
      <c r="F33362">
        <v>112</v>
      </c>
    </row>
    <row r="33363" spans="1:6" ht="12.75">
      <c r="A33363" s="2">
        <v>43875.405590277776</v>
      </c>
      <c r="B33363" t="str">
        <f>HYPERLINK("https://twitter.com/edwards_bee","@edwards_bee")</f>
        <v>@edwards_bee</v>
      </c>
      <c r="C33363" t="s">
        <v>2963</v>
      </c>
      <c r="D33363">
        <v>563</v>
      </c>
      <c r="E33363">
        <v>0</v>
      </c>
      <c r="F33363">
        <v>651</v>
      </c>
    </row>
    <row r="33364" spans="1:6" ht="12.75">
      <c r="A33364" s="2">
        <v>43875.405543981484</v>
      </c>
      <c r="B33364" t="str">
        <f>HYPERLINK("https://twitter.com/dean3th","@dean3th")</f>
        <v>@dean3th</v>
      </c>
      <c r="C33364" t="s">
        <v>13949</v>
      </c>
      <c r="D33364">
        <v>34</v>
      </c>
      <c r="E33364">
        <v>0</v>
      </c>
      <c r="F33364">
        <v>387</v>
      </c>
    </row>
    <row r="33365" spans="1:6" ht="12.75">
      <c r="A33365" s="2">
        <v>43875.405543981484</v>
      </c>
      <c r="B33365" t="str">
        <f>HYPERLINK("https://twitter.com/haidir_setiawan","@haidir_setiawan")</f>
        <v>@haidir_setiawan</v>
      </c>
      <c r="C33365" t="s">
        <v>12843</v>
      </c>
      <c r="D33365">
        <v>2</v>
      </c>
      <c r="E33365">
        <v>0</v>
      </c>
      <c r="F33365">
        <v>2297</v>
      </c>
    </row>
    <row r="33366" spans="1:6" ht="12.75">
      <c r="A33366" s="2">
        <v>43875.405370370368</v>
      </c>
      <c r="B33366" t="str">
        <f>HYPERLINK("https://twitter.com/SindirDgnSarkas","@SindirDgnSarkas")</f>
        <v>@SindirDgnSarkas</v>
      </c>
      <c r="C33366" t="s">
        <v>13950</v>
      </c>
      <c r="D33366">
        <v>0</v>
      </c>
      <c r="E33366">
        <v>0</v>
      </c>
      <c r="F33366">
        <v>1472</v>
      </c>
    </row>
    <row r="33367" spans="1:6" ht="12.75">
      <c r="A33367" s="2">
        <v>43875.405358796299</v>
      </c>
      <c r="B33367" t="str">
        <f>HYPERLINK("https://twitter.com/GerrySe09078465","@GerrySe09078465")</f>
        <v>@GerrySe09078465</v>
      </c>
      <c r="C33367" t="s">
        <v>13951</v>
      </c>
      <c r="D33367">
        <v>0</v>
      </c>
      <c r="E33367">
        <v>0</v>
      </c>
      <c r="F33367">
        <v>4</v>
      </c>
    </row>
    <row r="33368" spans="1:6" ht="12.75">
      <c r="A33368" s="2">
        <v>43875.405335648145</v>
      </c>
      <c r="B33368" t="str">
        <f>HYPERLINK("https://twitter.com/novemberena","@novemberena")</f>
        <v>@novemberena</v>
      </c>
      <c r="C33368" t="s">
        <v>13714</v>
      </c>
      <c r="D33368">
        <v>4</v>
      </c>
      <c r="E33368">
        <v>0</v>
      </c>
      <c r="F33368">
        <v>44</v>
      </c>
    </row>
    <row r="33369" spans="1:6" ht="12.75">
      <c r="A33369" s="2">
        <v>43875.405127314814</v>
      </c>
      <c r="B33369" t="str">
        <f>HYPERLINK("https://twitter.com/Muhammadanggik","@Muhammadanggik")</f>
        <v>@Muhammadanggik</v>
      </c>
      <c r="C33369" t="s">
        <v>10542</v>
      </c>
      <c r="D33369">
        <v>129</v>
      </c>
      <c r="E33369">
        <v>0</v>
      </c>
      <c r="F33369">
        <v>824</v>
      </c>
    </row>
    <row r="33370" spans="1:6" ht="12.75">
      <c r="A33370" s="2">
        <v>43875.405057870375</v>
      </c>
      <c r="B33370" t="str">
        <f>HYPERLINK("https://twitter.com/PardosiVoller","@PardosiVoller")</f>
        <v>@PardosiVoller</v>
      </c>
      <c r="C33370" t="s">
        <v>8233</v>
      </c>
      <c r="D33370">
        <v>316</v>
      </c>
      <c r="E33370">
        <v>0</v>
      </c>
      <c r="F33370">
        <v>4</v>
      </c>
    </row>
    <row r="33371" spans="1:6" ht="12.75">
      <c r="A33371" s="2">
        <v>43875.405034722222</v>
      </c>
      <c r="B33371" t="str">
        <f>HYPERLINK("https://twitter.com/Santoso26166908","@Santoso26166908")</f>
        <v>@Santoso26166908</v>
      </c>
      <c r="C33371" t="s">
        <v>2963</v>
      </c>
      <c r="D33371">
        <v>563</v>
      </c>
      <c r="E33371">
        <v>0</v>
      </c>
      <c r="F33371">
        <v>440</v>
      </c>
    </row>
    <row r="33372" spans="1:6" ht="12.75">
      <c r="A33372" s="2">
        <v>43875.404999999999</v>
      </c>
      <c r="B33372" t="str">
        <f>HYPERLINK("https://twitter.com/agielalalili","@agielalalili")</f>
        <v>@agielalalili</v>
      </c>
      <c r="C33372" t="s">
        <v>10330</v>
      </c>
      <c r="D33372">
        <v>197</v>
      </c>
      <c r="E33372">
        <v>0</v>
      </c>
      <c r="F33372">
        <v>554</v>
      </c>
    </row>
    <row r="33373" spans="1:6" ht="12.75">
      <c r="A33373" s="2">
        <v>43875.404930555553</v>
      </c>
      <c r="B33373" t="str">
        <f>HYPERLINK("https://twitter.com/yogiAgu71393665","@yogiAgu71393665")</f>
        <v>@yogiAgu71393665</v>
      </c>
      <c r="C33373" t="s">
        <v>13952</v>
      </c>
      <c r="D33373">
        <v>0</v>
      </c>
      <c r="E33373">
        <v>0</v>
      </c>
      <c r="F33373">
        <v>1</v>
      </c>
    </row>
    <row r="33374" spans="1:6" ht="12.75">
      <c r="A33374" s="2">
        <v>43875.404918981483</v>
      </c>
      <c r="B33374" t="str">
        <f>HYPERLINK("https://twitter.com/EmdeAlv","@EmdeAlv")</f>
        <v>@EmdeAlv</v>
      </c>
      <c r="C33374" t="s">
        <v>2134</v>
      </c>
      <c r="D33374">
        <v>979</v>
      </c>
      <c r="E33374">
        <v>0</v>
      </c>
      <c r="F33374">
        <v>0</v>
      </c>
    </row>
    <row r="33375" spans="1:6" ht="12.75">
      <c r="A33375" s="2">
        <v>43875.404791666668</v>
      </c>
      <c r="B33375" t="str">
        <f>HYPERLINK("https://twitter.com/aldinalsya","@aldinalsya")</f>
        <v>@aldinalsya</v>
      </c>
      <c r="C33375" t="s">
        <v>13953</v>
      </c>
      <c r="D33375">
        <v>0</v>
      </c>
      <c r="E33375">
        <v>1</v>
      </c>
      <c r="F33375">
        <v>104</v>
      </c>
    </row>
    <row r="33376" spans="1:6" ht="12.75">
      <c r="A33376" s="2">
        <v>43875.404722222222</v>
      </c>
      <c r="B33376" t="str">
        <f>HYPERLINK("https://twitter.com/3rnyyy","@3rnyyy")</f>
        <v>@3rnyyy</v>
      </c>
      <c r="C33376" t="s">
        <v>10196</v>
      </c>
      <c r="D33376">
        <v>132</v>
      </c>
      <c r="E33376">
        <v>0</v>
      </c>
      <c r="F33376">
        <v>166</v>
      </c>
    </row>
    <row r="33377" spans="1:6" ht="12.75">
      <c r="A33377" s="2">
        <v>43875.404710648145</v>
      </c>
      <c r="B33377" t="str">
        <f>HYPERLINK("https://twitter.com/aciljogja","@aciljogja")</f>
        <v>@aciljogja</v>
      </c>
      <c r="C33377" t="s">
        <v>9998</v>
      </c>
      <c r="D33377">
        <v>67</v>
      </c>
      <c r="E33377">
        <v>0</v>
      </c>
      <c r="F33377">
        <v>108</v>
      </c>
    </row>
    <row r="33378" spans="1:6" ht="12.75">
      <c r="A33378" s="2">
        <v>43875.404687499999</v>
      </c>
      <c r="B33378" t="str">
        <f>HYPERLINK("https://twitter.com/bibin_bey","@bibin_bey")</f>
        <v>@bibin_bey</v>
      </c>
      <c r="C33378" t="s">
        <v>9538</v>
      </c>
      <c r="D33378">
        <v>106</v>
      </c>
      <c r="E33378">
        <v>0</v>
      </c>
      <c r="F33378">
        <v>1604</v>
      </c>
    </row>
    <row r="33379" spans="1:6" ht="12.75">
      <c r="A33379" s="2">
        <v>43875.404583333337</v>
      </c>
      <c r="B33379" t="str">
        <f>HYPERLINK("https://twitter.com/hadi_poernomo","@hadi_poernomo")</f>
        <v>@hadi_poernomo</v>
      </c>
      <c r="C33379" t="s">
        <v>13954</v>
      </c>
      <c r="D33379">
        <v>0</v>
      </c>
      <c r="E33379">
        <v>0</v>
      </c>
      <c r="F33379">
        <v>920</v>
      </c>
    </row>
    <row r="33380" spans="1:6" ht="12.75">
      <c r="A33380" s="2">
        <v>43875.404340277775</v>
      </c>
      <c r="B33380" t="str">
        <f>HYPERLINK("https://twitter.com/nius77","@nius77")</f>
        <v>@nius77</v>
      </c>
      <c r="C33380" t="s">
        <v>2963</v>
      </c>
      <c r="D33380">
        <v>563</v>
      </c>
      <c r="E33380">
        <v>0</v>
      </c>
      <c r="F33380">
        <v>3180</v>
      </c>
    </row>
    <row r="33381" spans="1:6" ht="12.75">
      <c r="A33381" s="2">
        <v>43875.404340277775</v>
      </c>
      <c r="B33381" t="str">
        <f>HYPERLINK("https://twitter.com/amaliaak303","@amaliaak303")</f>
        <v>@amaliaak303</v>
      </c>
      <c r="C33381" t="s">
        <v>12044</v>
      </c>
      <c r="D33381">
        <v>24</v>
      </c>
      <c r="E33381">
        <v>0</v>
      </c>
      <c r="F33381">
        <v>87</v>
      </c>
    </row>
    <row r="33382" spans="1:6" ht="12.75">
      <c r="A33382" s="2">
        <v>43875.404305555552</v>
      </c>
      <c r="B33382" t="str">
        <f>HYPERLINK("https://twitter.com/hadi_poernomo","@hadi_poernomo")</f>
        <v>@hadi_poernomo</v>
      </c>
      <c r="C33382" t="s">
        <v>13935</v>
      </c>
      <c r="D33382">
        <v>5</v>
      </c>
      <c r="E33382">
        <v>0</v>
      </c>
      <c r="F33382">
        <v>920</v>
      </c>
    </row>
    <row r="33383" spans="1:6" ht="12.75">
      <c r="A33383" s="2">
        <v>43875.40424768519</v>
      </c>
      <c r="B33383" t="str">
        <f>HYPERLINK("https://twitter.com/MulyadiMade","@MulyadiMade")</f>
        <v>@MulyadiMade</v>
      </c>
      <c r="C33383" t="s">
        <v>2963</v>
      </c>
      <c r="D33383">
        <v>563</v>
      </c>
      <c r="E33383">
        <v>0</v>
      </c>
      <c r="F33383">
        <v>422</v>
      </c>
    </row>
    <row r="33384" spans="1:6" ht="12.75">
      <c r="A33384" s="2">
        <v>43875.404224537036</v>
      </c>
      <c r="B33384" t="str">
        <f>HYPERLINK("https://twitter.com/Hira68337052","@Hira68337052")</f>
        <v>@Hira68337052</v>
      </c>
      <c r="C33384" t="s">
        <v>9998</v>
      </c>
      <c r="D33384">
        <v>67</v>
      </c>
      <c r="E33384">
        <v>0</v>
      </c>
      <c r="F33384">
        <v>247</v>
      </c>
    </row>
    <row r="33385" spans="1:6" ht="12.75">
      <c r="A33385" s="2">
        <v>43875.40420138889</v>
      </c>
      <c r="B33385" t="str">
        <f>HYPERLINK("https://twitter.com/ghafuran_abduh","@ghafuran_abduh")</f>
        <v>@ghafuran_abduh</v>
      </c>
      <c r="C33385" t="s">
        <v>8233</v>
      </c>
      <c r="D33385">
        <v>316</v>
      </c>
      <c r="E33385">
        <v>0</v>
      </c>
      <c r="F33385">
        <v>42</v>
      </c>
    </row>
    <row r="33386" spans="1:6" ht="12.75">
      <c r="A33386" s="2">
        <v>43875.404178240744</v>
      </c>
      <c r="B33386" t="str">
        <f>HYPERLINK("https://twitter.com/HidayatRaid","@HidayatRaid")</f>
        <v>@HidayatRaid</v>
      </c>
      <c r="C33386" t="s">
        <v>13757</v>
      </c>
      <c r="D33386">
        <v>38</v>
      </c>
      <c r="E33386">
        <v>0</v>
      </c>
      <c r="F33386">
        <v>937</v>
      </c>
    </row>
    <row r="33387" spans="1:6" ht="12.75">
      <c r="A33387" s="2">
        <v>43875.404166666667</v>
      </c>
      <c r="B33387" t="str">
        <f>HYPERLINK("https://twitter.com/geloraco","@geloraco")</f>
        <v>@geloraco</v>
      </c>
      <c r="C33387" t="s">
        <v>13955</v>
      </c>
      <c r="D33387">
        <v>1</v>
      </c>
      <c r="E33387">
        <v>3</v>
      </c>
      <c r="F33387">
        <v>99669</v>
      </c>
    </row>
    <row r="33388" spans="1:6" ht="12.75">
      <c r="A33388" s="2">
        <v>43875.404097222221</v>
      </c>
      <c r="B33388" t="str">
        <f>HYPERLINK("https://twitter.com/edaarini","@edaarini")</f>
        <v>@edaarini</v>
      </c>
      <c r="C33388" t="s">
        <v>12044</v>
      </c>
      <c r="D33388">
        <v>24</v>
      </c>
      <c r="E33388">
        <v>0</v>
      </c>
      <c r="F33388">
        <v>748</v>
      </c>
    </row>
    <row r="33389" spans="1:6" ht="12.75">
      <c r="A33389" s="2">
        <v>43875.404027777782</v>
      </c>
      <c r="B33389" t="str">
        <f>HYPERLINK("https://twitter.com/Mi17001","@Mi17001")</f>
        <v>@Mi17001</v>
      </c>
      <c r="C33389" t="s">
        <v>12044</v>
      </c>
      <c r="D33389">
        <v>24</v>
      </c>
      <c r="E33389">
        <v>0</v>
      </c>
      <c r="F33389">
        <v>4</v>
      </c>
    </row>
    <row r="33390" spans="1:6" ht="12.75">
      <c r="A33390" s="2">
        <v>43875.403981481482</v>
      </c>
      <c r="B33390" t="str">
        <f>HYPERLINK("https://twitter.com/ameliapsr","@ameliapsr")</f>
        <v>@ameliapsr</v>
      </c>
      <c r="C33390" t="s">
        <v>12044</v>
      </c>
      <c r="D33390">
        <v>24</v>
      </c>
      <c r="E33390">
        <v>0</v>
      </c>
      <c r="F33390">
        <v>213</v>
      </c>
    </row>
    <row r="33391" spans="1:6" ht="12.75">
      <c r="A33391" s="2">
        <v>43875.40388888889</v>
      </c>
      <c r="B33391" t="str">
        <f>HYPERLINK("https://twitter.com/puspa_riyadi","@puspa_riyadi")</f>
        <v>@puspa_riyadi</v>
      </c>
      <c r="C33391" t="s">
        <v>13956</v>
      </c>
      <c r="D33391">
        <v>0</v>
      </c>
      <c r="E33391">
        <v>1</v>
      </c>
      <c r="F33391">
        <v>995</v>
      </c>
    </row>
    <row r="33392" spans="1:6" ht="12.75">
      <c r="A33392" s="2">
        <v>43875.403877314813</v>
      </c>
      <c r="B33392" t="str">
        <f>HYPERLINK("https://twitter.com/_sky_tree","@_sky_tree")</f>
        <v>@_sky_tree</v>
      </c>
      <c r="C33392" t="s">
        <v>2963</v>
      </c>
      <c r="D33392">
        <v>563</v>
      </c>
      <c r="E33392">
        <v>0</v>
      </c>
      <c r="F33392">
        <v>5148</v>
      </c>
    </row>
    <row r="33393" spans="1:6" ht="12.75">
      <c r="A33393" s="2">
        <v>43875.403865740736</v>
      </c>
      <c r="B33393" t="str">
        <f>HYPERLINK("https://twitter.com/anumadatea","@anumadatea")</f>
        <v>@anumadatea</v>
      </c>
      <c r="C33393" t="s">
        <v>10169</v>
      </c>
      <c r="D33393">
        <v>48</v>
      </c>
      <c r="E33393">
        <v>0</v>
      </c>
      <c r="F33393">
        <v>286</v>
      </c>
    </row>
    <row r="33394" spans="1:6" ht="12.75">
      <c r="A33394" s="2">
        <v>43875.403819444444</v>
      </c>
      <c r="B33394" t="str">
        <f>HYPERLINK("https://twitter.com/Hayuningrat7","@Hayuningrat7")</f>
        <v>@Hayuningrat7</v>
      </c>
      <c r="C33394" t="s">
        <v>13957</v>
      </c>
      <c r="D33394">
        <v>2</v>
      </c>
      <c r="E33394">
        <v>1</v>
      </c>
      <c r="F33394">
        <v>82</v>
      </c>
    </row>
    <row r="33395" spans="1:6" ht="12.75">
      <c r="A33395" s="2">
        <v>43875.403796296298</v>
      </c>
      <c r="B33395" t="str">
        <f>HYPERLINK("https://twitter.com/harisdmazhar77","@harisdmazhar77")</f>
        <v>@harisdmazhar77</v>
      </c>
      <c r="C33395" t="s">
        <v>10739</v>
      </c>
      <c r="D33395">
        <v>229</v>
      </c>
      <c r="E33395">
        <v>0</v>
      </c>
      <c r="F33395">
        <v>325</v>
      </c>
    </row>
    <row r="33396" spans="1:6" ht="12.75">
      <c r="A33396" s="2">
        <v>43875.403715277775</v>
      </c>
      <c r="B33396" t="str">
        <f>HYPERLINK("https://twitter.com/delkusuk","@delkusuk")</f>
        <v>@delkusuk</v>
      </c>
      <c r="C33396" t="s">
        <v>9644</v>
      </c>
      <c r="D33396">
        <v>1</v>
      </c>
      <c r="E33396">
        <v>0</v>
      </c>
      <c r="F33396">
        <v>209</v>
      </c>
    </row>
    <row r="33397" spans="1:6" ht="12.75">
      <c r="A33397" s="2">
        <v>43875.403645833328</v>
      </c>
      <c r="B33397" t="str">
        <f>HYPERLINK("https://twitter.com/freddyths","@freddyths")</f>
        <v>@freddyths</v>
      </c>
      <c r="C33397" t="s">
        <v>13958</v>
      </c>
      <c r="D33397">
        <v>0</v>
      </c>
      <c r="E33397">
        <v>0</v>
      </c>
      <c r="F33397">
        <v>394</v>
      </c>
    </row>
    <row r="33398" spans="1:6" ht="12.75">
      <c r="A33398" s="2">
        <v>43875.403460648144</v>
      </c>
      <c r="B33398" t="str">
        <f>HYPERLINK("https://twitter.com/guruntala","@guruntala")</f>
        <v>@guruntala</v>
      </c>
      <c r="C33398" t="s">
        <v>12468</v>
      </c>
      <c r="D33398">
        <v>2</v>
      </c>
      <c r="E33398">
        <v>0</v>
      </c>
      <c r="F33398">
        <v>399</v>
      </c>
    </row>
    <row r="33399" spans="1:6" ht="12.75">
      <c r="A33399" s="2">
        <v>43875.403460648144</v>
      </c>
      <c r="B33399" t="str">
        <f>HYPERLINK("https://twitter.com/bpriady","@bpriady")</f>
        <v>@bpriady</v>
      </c>
      <c r="C33399" t="s">
        <v>7373</v>
      </c>
      <c r="D33399">
        <v>63</v>
      </c>
      <c r="E33399">
        <v>0</v>
      </c>
      <c r="F33399">
        <v>593</v>
      </c>
    </row>
    <row r="33400" spans="1:6" ht="12.75">
      <c r="A33400" s="2">
        <v>43875.403287037036</v>
      </c>
      <c r="B33400" t="str">
        <f>HYPERLINK("https://twitter.com/humaira979","@humaira979")</f>
        <v>@humaira979</v>
      </c>
      <c r="C33400" t="s">
        <v>13959</v>
      </c>
      <c r="D33400">
        <v>0</v>
      </c>
      <c r="E33400">
        <v>0</v>
      </c>
      <c r="F33400">
        <v>10996</v>
      </c>
    </row>
    <row r="33401" spans="1:6" ht="12.75">
      <c r="A33401" s="2">
        <v>43875.403275462959</v>
      </c>
      <c r="B33401" t="str">
        <f>HYPERLINK("https://twitter.com/ice_crystalrose","@ice_crystalrose")</f>
        <v>@ice_crystalrose</v>
      </c>
      <c r="C33401" t="s">
        <v>5168</v>
      </c>
      <c r="D33401">
        <v>460</v>
      </c>
      <c r="E33401">
        <v>0</v>
      </c>
      <c r="F33401">
        <v>6</v>
      </c>
    </row>
    <row r="33402" spans="1:6" ht="12.75">
      <c r="A33402" s="2">
        <v>43875.403113425928</v>
      </c>
      <c r="B33402" t="str">
        <f>HYPERLINK("https://twitter.com/akwhyts","@akwhyts")</f>
        <v>@akwhyts</v>
      </c>
      <c r="C33402" t="s">
        <v>8233</v>
      </c>
      <c r="D33402">
        <v>316</v>
      </c>
      <c r="E33402">
        <v>0</v>
      </c>
      <c r="F33402">
        <v>13</v>
      </c>
    </row>
    <row r="33403" spans="1:6" ht="12.75">
      <c r="A33403" s="2">
        <v>43875.403078703705</v>
      </c>
      <c r="B33403" t="str">
        <f>HYPERLINK("https://twitter.com/mmmumuw","@mmmumuw")</f>
        <v>@mmmumuw</v>
      </c>
      <c r="C33403" t="s">
        <v>10096</v>
      </c>
      <c r="D33403">
        <v>77</v>
      </c>
      <c r="E33403">
        <v>0</v>
      </c>
      <c r="F33403">
        <v>263</v>
      </c>
    </row>
    <row r="33404" spans="1:6" ht="12.75">
      <c r="A33404" s="2">
        <v>43875.403078703705</v>
      </c>
      <c r="B33404" t="str">
        <f>HYPERLINK("https://twitter.com/yudhavrokado","@yudhavrokado")</f>
        <v>@yudhavrokado</v>
      </c>
      <c r="C33404" t="s">
        <v>11167</v>
      </c>
      <c r="D33404">
        <v>153</v>
      </c>
      <c r="E33404">
        <v>0</v>
      </c>
      <c r="F33404">
        <v>202</v>
      </c>
    </row>
    <row r="33405" spans="1:6" ht="12.75">
      <c r="A33405" s="2">
        <v>43875.403055555551</v>
      </c>
      <c r="B33405" t="str">
        <f>HYPERLINK("https://twitter.com/baperancok","@baperancok")</f>
        <v>@baperancok</v>
      </c>
      <c r="C33405" t="s">
        <v>13960</v>
      </c>
      <c r="D33405">
        <v>1</v>
      </c>
      <c r="E33405">
        <v>0</v>
      </c>
      <c r="F33405">
        <v>84</v>
      </c>
    </row>
    <row r="33406" spans="1:6" ht="12.75">
      <c r="A33406" s="2">
        <v>43875.403055555551</v>
      </c>
      <c r="B33406" t="str">
        <f>HYPERLINK("https://twitter.com/dhemoko","@dhemoko")</f>
        <v>@dhemoko</v>
      </c>
      <c r="C33406" t="s">
        <v>13961</v>
      </c>
      <c r="D33406">
        <v>0</v>
      </c>
      <c r="E33406">
        <v>0</v>
      </c>
      <c r="F33406">
        <v>79</v>
      </c>
    </row>
    <row r="33407" spans="1:6" ht="12.75">
      <c r="A33407" s="2">
        <v>43875.403032407412</v>
      </c>
      <c r="B33407" t="str">
        <f>HYPERLINK("https://twitter.com/guruntala","@guruntala")</f>
        <v>@guruntala</v>
      </c>
      <c r="C33407" t="s">
        <v>10422</v>
      </c>
      <c r="D33407">
        <v>47</v>
      </c>
      <c r="E33407">
        <v>0</v>
      </c>
      <c r="F33407">
        <v>399</v>
      </c>
    </row>
    <row r="33408" spans="1:6" ht="12.75">
      <c r="A33408" s="2">
        <v>43875.403009259258</v>
      </c>
      <c r="B33408" t="str">
        <f>HYPERLINK("https://twitter.com/geloraco","@geloraco")</f>
        <v>@geloraco</v>
      </c>
      <c r="C33408" t="s">
        <v>10279</v>
      </c>
      <c r="D33408">
        <v>5</v>
      </c>
      <c r="E33408">
        <v>3</v>
      </c>
      <c r="F33408">
        <v>99669</v>
      </c>
    </row>
    <row r="33409" spans="1:6" ht="12.75">
      <c r="A33409" s="2">
        <v>43875.402939814812</v>
      </c>
      <c r="B33409" t="str">
        <f>HYPERLINK("https://twitter.com/555masteng","@555masteng")</f>
        <v>@555masteng</v>
      </c>
      <c r="C33409" t="s">
        <v>2963</v>
      </c>
      <c r="D33409">
        <v>563</v>
      </c>
      <c r="E33409">
        <v>0</v>
      </c>
      <c r="F33409">
        <v>5187</v>
      </c>
    </row>
    <row r="33410" spans="1:6" ht="12.75">
      <c r="A33410" s="2">
        <v>43875.402858796297</v>
      </c>
      <c r="B33410" t="str">
        <f>HYPERLINK("https://twitter.com/dimzy101","@dimzy101")</f>
        <v>@dimzy101</v>
      </c>
      <c r="C33410" t="s">
        <v>12044</v>
      </c>
      <c r="D33410">
        <v>24</v>
      </c>
      <c r="E33410">
        <v>0</v>
      </c>
      <c r="F33410">
        <v>79</v>
      </c>
    </row>
    <row r="33411" spans="1:6" ht="12.75">
      <c r="A33411" s="2">
        <v>43875.402754629627</v>
      </c>
      <c r="B33411" t="str">
        <f>HYPERLINK("https://twitter.com/Benoe_Adja","@Benoe_Adja")</f>
        <v>@Benoe_Adja</v>
      </c>
      <c r="C33411" t="s">
        <v>13962</v>
      </c>
      <c r="D33411">
        <v>0</v>
      </c>
      <c r="E33411">
        <v>0</v>
      </c>
      <c r="F33411">
        <v>1151</v>
      </c>
    </row>
    <row r="33412" spans="1:6" ht="12.75">
      <c r="A33412" s="2">
        <v>43875.402673611112</v>
      </c>
      <c r="B33412" t="str">
        <f>HYPERLINK("https://twitter.com/Oktav_Kendar","@Oktav_Kendar")</f>
        <v>@Oktav_Kendar</v>
      </c>
      <c r="C33412" t="s">
        <v>9998</v>
      </c>
      <c r="D33412">
        <v>67</v>
      </c>
      <c r="E33412">
        <v>0</v>
      </c>
      <c r="F33412">
        <v>227</v>
      </c>
    </row>
    <row r="33413" spans="1:6" ht="12.75">
      <c r="A33413" s="2">
        <v>43875.402650462958</v>
      </c>
      <c r="B33413" t="str">
        <f>HYPERLINK("https://twitter.com/sonyferryYK","@sonyferryYK")</f>
        <v>@sonyferryYK</v>
      </c>
      <c r="C33413" t="s">
        <v>13963</v>
      </c>
      <c r="D33413">
        <v>0</v>
      </c>
      <c r="E33413">
        <v>1</v>
      </c>
      <c r="F33413">
        <v>383</v>
      </c>
    </row>
    <row r="33414" spans="1:6" ht="12.75">
      <c r="A33414" s="2">
        <v>43875.402569444443</v>
      </c>
      <c r="B33414" t="str">
        <f>HYPERLINK("https://twitter.com/geloraco","@geloraco")</f>
        <v>@geloraco</v>
      </c>
      <c r="C33414" t="s">
        <v>11587</v>
      </c>
      <c r="D33414">
        <v>0</v>
      </c>
      <c r="E33414">
        <v>1</v>
      </c>
      <c r="F33414">
        <v>99669</v>
      </c>
    </row>
    <row r="33415" spans="1:6" ht="12.75">
      <c r="A33415" s="2">
        <v>43875.402546296296</v>
      </c>
      <c r="B33415" t="str">
        <f>HYPERLINK("https://twitter.com/BudiPra78779216","@BudiPra78779216")</f>
        <v>@BudiPra78779216</v>
      </c>
      <c r="C33415" t="s">
        <v>2963</v>
      </c>
      <c r="D33415">
        <v>563</v>
      </c>
      <c r="E33415">
        <v>0</v>
      </c>
      <c r="F33415">
        <v>1605</v>
      </c>
    </row>
    <row r="33416" spans="1:6" ht="12.75">
      <c r="A33416" s="2">
        <v>43875.402511574073</v>
      </c>
      <c r="B33416" t="str">
        <f>HYPERLINK("https://twitter.com/filosofiksi","@filosofiksi")</f>
        <v>@filosofiksi</v>
      </c>
      <c r="C33416" t="s">
        <v>10422</v>
      </c>
      <c r="D33416">
        <v>47</v>
      </c>
      <c r="E33416">
        <v>0</v>
      </c>
      <c r="F33416">
        <v>2227</v>
      </c>
    </row>
    <row r="33417" spans="1:6" ht="12.75">
      <c r="A33417" s="2">
        <v>43875.402488425927</v>
      </c>
      <c r="B33417" t="str">
        <f>HYPERLINK("https://twitter.com/Gusguns2","@Gusguns2")</f>
        <v>@Gusguns2</v>
      </c>
      <c r="C33417" t="s">
        <v>9746</v>
      </c>
      <c r="D33417">
        <v>3</v>
      </c>
      <c r="E33417">
        <v>0</v>
      </c>
      <c r="F33417">
        <v>263</v>
      </c>
    </row>
    <row r="33418" spans="1:6" ht="12.75">
      <c r="A33418" s="2">
        <v>43875.402453703704</v>
      </c>
      <c r="B33418" t="str">
        <f>HYPERLINK("https://twitter.com/AmstrongBiring","@AmstrongBiring")</f>
        <v>@AmstrongBiring</v>
      </c>
      <c r="C33418" t="s">
        <v>2963</v>
      </c>
      <c r="D33418">
        <v>563</v>
      </c>
      <c r="E33418">
        <v>0</v>
      </c>
      <c r="F33418">
        <v>1971</v>
      </c>
    </row>
    <row r="33419" spans="1:6" ht="12.75">
      <c r="A33419" s="2">
        <v>43875.402418981481</v>
      </c>
      <c r="B33419" t="str">
        <f>HYPERLINK("https://twitter.com/sandra_le90","@sandra_le90")</f>
        <v>@sandra_le90</v>
      </c>
      <c r="C33419" t="s">
        <v>12044</v>
      </c>
      <c r="D33419">
        <v>24</v>
      </c>
      <c r="E33419">
        <v>0</v>
      </c>
      <c r="F33419">
        <v>1189</v>
      </c>
    </row>
    <row r="33420" spans="1:6" ht="12.75">
      <c r="A33420" s="2">
        <v>43875.402303240742</v>
      </c>
      <c r="B33420" t="str">
        <f>HYPERLINK("https://twitter.com/frosyadi","@frosyadi")</f>
        <v>@frosyadi</v>
      </c>
      <c r="C33420" t="s">
        <v>11425</v>
      </c>
      <c r="D33420">
        <v>199</v>
      </c>
      <c r="E33420">
        <v>0</v>
      </c>
      <c r="F33420">
        <v>18</v>
      </c>
    </row>
    <row r="33421" spans="1:6" ht="12.75">
      <c r="A33421" s="2">
        <v>43875.402245370366</v>
      </c>
      <c r="B33421" t="str">
        <f>HYPERLINK("https://twitter.com/NugrahaAprianta","@NugrahaAprianta")</f>
        <v>@NugrahaAprianta</v>
      </c>
      <c r="C33421" t="s">
        <v>3604</v>
      </c>
      <c r="D33421">
        <v>424</v>
      </c>
      <c r="E33421">
        <v>0</v>
      </c>
      <c r="F33421">
        <v>640</v>
      </c>
    </row>
    <row r="33422" spans="1:6" ht="12.75">
      <c r="A33422" s="2">
        <v>43875.402106481481</v>
      </c>
      <c r="B33422" t="str">
        <f>HYPERLINK("https://twitter.com/voaislam","@voaislam")</f>
        <v>@voaislam</v>
      </c>
      <c r="C33422" t="s">
        <v>11753</v>
      </c>
      <c r="D33422">
        <v>0</v>
      </c>
      <c r="E33422">
        <v>2</v>
      </c>
      <c r="F33422">
        <v>87879</v>
      </c>
    </row>
    <row r="33423" spans="1:6" ht="12.75">
      <c r="A33423" s="2">
        <v>43875.401967592596</v>
      </c>
      <c r="B33423" t="str">
        <f>HYPERLINK("https://twitter.com/kerupvk","@kerupvk")</f>
        <v>@kerupvk</v>
      </c>
      <c r="C33423" t="s">
        <v>13964</v>
      </c>
      <c r="D33423">
        <v>0</v>
      </c>
      <c r="E33423">
        <v>0</v>
      </c>
      <c r="F33423">
        <v>11051</v>
      </c>
    </row>
    <row r="33424" spans="1:6" ht="12.75">
      <c r="A33424" s="2">
        <v>43875.401967592596</v>
      </c>
      <c r="B33424" t="str">
        <f>HYPERLINK("https://twitter.com/3rnyyy","@3rnyyy")</f>
        <v>@3rnyyy</v>
      </c>
      <c r="C33424" t="s">
        <v>8881</v>
      </c>
      <c r="D33424">
        <v>258</v>
      </c>
      <c r="E33424">
        <v>0</v>
      </c>
      <c r="F33424">
        <v>166</v>
      </c>
    </row>
    <row r="33425" spans="1:6" ht="12.75">
      <c r="A33425" s="2">
        <v>43875.401944444442</v>
      </c>
      <c r="B33425" t="str">
        <f>HYPERLINK("https://twitter.com/bowomanggala","@bowomanggala")</f>
        <v>@bowomanggala</v>
      </c>
      <c r="C33425" t="s">
        <v>2963</v>
      </c>
      <c r="D33425">
        <v>563</v>
      </c>
      <c r="E33425">
        <v>0</v>
      </c>
      <c r="F33425">
        <v>1115</v>
      </c>
    </row>
    <row r="33426" spans="1:6" ht="12.75">
      <c r="A33426" s="2">
        <v>43875.401944444442</v>
      </c>
      <c r="B33426" t="str">
        <f>HYPERLINK("https://twitter.com/wowthingggg","@wowthingggg")</f>
        <v>@wowthingggg</v>
      </c>
      <c r="C33426" t="s">
        <v>5168</v>
      </c>
      <c r="D33426">
        <v>461</v>
      </c>
      <c r="E33426">
        <v>0</v>
      </c>
      <c r="F33426">
        <v>46</v>
      </c>
    </row>
    <row r="33427" spans="1:6" ht="12.75">
      <c r="A33427" s="2">
        <v>43875.401898148149</v>
      </c>
      <c r="B33427" t="str">
        <f>HYPERLINK("https://twitter.com/lieashabrilla","@lieashabrilla")</f>
        <v>@lieashabrilla</v>
      </c>
      <c r="C33427" t="s">
        <v>175</v>
      </c>
      <c r="D33427">
        <v>5235</v>
      </c>
      <c r="E33427">
        <v>0</v>
      </c>
      <c r="F33427">
        <v>174</v>
      </c>
    </row>
    <row r="33428" spans="1:6" ht="12.75">
      <c r="A33428" s="2">
        <v>43875.401863425926</v>
      </c>
      <c r="B33428" t="str">
        <f>HYPERLINK("https://twitter.com/gunturraharjo3","@gunturraharjo3")</f>
        <v>@gunturraharjo3</v>
      </c>
      <c r="C33428" t="s">
        <v>13965</v>
      </c>
      <c r="D33428">
        <v>0</v>
      </c>
      <c r="E33428">
        <v>0</v>
      </c>
      <c r="F33428">
        <v>60</v>
      </c>
    </row>
    <row r="33429" spans="1:6" ht="12.75">
      <c r="A33429" s="2">
        <v>43875.401701388888</v>
      </c>
      <c r="B33429" t="str">
        <f>HYPERLINK("https://twitter.com/lisamelyana","@lisamelyana")</f>
        <v>@lisamelyana</v>
      </c>
      <c r="C33429" t="s">
        <v>12044</v>
      </c>
      <c r="D33429">
        <v>24</v>
      </c>
      <c r="E33429">
        <v>0</v>
      </c>
      <c r="F33429">
        <v>380</v>
      </c>
    </row>
    <row r="33430" spans="1:6" ht="12.75">
      <c r="A33430" s="2">
        <v>43875.401655092588</v>
      </c>
      <c r="B33430" t="str">
        <f>HYPERLINK("https://twitter.com/ACEHBISNISco","@ACEHBISNISco")</f>
        <v>@ACEHBISNISco</v>
      </c>
      <c r="C33430" t="s">
        <v>13966</v>
      </c>
      <c r="D33430">
        <v>0</v>
      </c>
      <c r="E33430">
        <v>0</v>
      </c>
      <c r="F33430">
        <v>147</v>
      </c>
    </row>
    <row r="33431" spans="1:6" ht="12.75">
      <c r="A33431" s="2">
        <v>43875.401585648149</v>
      </c>
      <c r="B33431" t="str">
        <f>HYPERLINK("https://twitter.com/thenameisdaw","@thenameisdaw")</f>
        <v>@thenameisdaw</v>
      </c>
      <c r="C33431" t="s">
        <v>9021</v>
      </c>
      <c r="D33431">
        <v>160</v>
      </c>
      <c r="E33431">
        <v>0</v>
      </c>
      <c r="F33431">
        <v>150</v>
      </c>
    </row>
    <row r="33432" spans="1:6" ht="12.75">
      <c r="A33432" s="2">
        <v>43875.401446759264</v>
      </c>
      <c r="B33432" t="str">
        <f>HYPERLINK("https://twitter.com/nia_wonnieELF","@nia_wonnieELF")</f>
        <v>@nia_wonnieELF</v>
      </c>
      <c r="C33432" t="s">
        <v>13967</v>
      </c>
      <c r="D33432">
        <v>5</v>
      </c>
      <c r="E33432">
        <v>0</v>
      </c>
      <c r="F33432">
        <v>255</v>
      </c>
    </row>
    <row r="33433" spans="1:6" ht="12.75">
      <c r="A33433" s="2">
        <v>43875.40143518518</v>
      </c>
      <c r="B33433" t="str">
        <f>HYPERLINK("https://twitter.com/zhr_hls","@zhr_hls")</f>
        <v>@zhr_hls</v>
      </c>
      <c r="C33433" t="s">
        <v>2444</v>
      </c>
      <c r="D33433">
        <v>76</v>
      </c>
      <c r="E33433">
        <v>0</v>
      </c>
      <c r="F33433">
        <v>42</v>
      </c>
    </row>
    <row r="33434" spans="1:6" ht="12.75">
      <c r="A33434" s="2">
        <v>43875.401412037041</v>
      </c>
      <c r="B33434" t="str">
        <f>HYPERLINK("https://twitter.com/IdaAyuMadeOkaA1","@IdaAyuMadeOkaA1")</f>
        <v>@IdaAyuMadeOkaA1</v>
      </c>
      <c r="C33434" t="s">
        <v>10032</v>
      </c>
      <c r="D33434">
        <v>19</v>
      </c>
      <c r="E33434">
        <v>0</v>
      </c>
      <c r="F33434">
        <v>235</v>
      </c>
    </row>
    <row r="33435" spans="1:6" ht="12.75">
      <c r="A33435" s="2">
        <v>43875.401388888888</v>
      </c>
      <c r="B33435" t="str">
        <f>HYPERLINK("https://twitter.com/udapilliang","@udapilliang")</f>
        <v>@udapilliang</v>
      </c>
      <c r="C33435" t="s">
        <v>10793</v>
      </c>
      <c r="D33435">
        <v>16</v>
      </c>
      <c r="E33435">
        <v>0</v>
      </c>
      <c r="F33435">
        <v>560</v>
      </c>
    </row>
    <row r="33436" spans="1:6" ht="12.75">
      <c r="A33436" s="2">
        <v>43875.401342592595</v>
      </c>
      <c r="B33436" t="str">
        <f>HYPERLINK("https://twitter.com/HudzaifahWalid","@HudzaifahWalid")</f>
        <v>@HudzaifahWalid</v>
      </c>
      <c r="C33436" t="s">
        <v>13968</v>
      </c>
      <c r="D33436">
        <v>2</v>
      </c>
      <c r="E33436">
        <v>0</v>
      </c>
      <c r="F33436">
        <v>140</v>
      </c>
    </row>
    <row r="33437" spans="1:6" ht="12.75">
      <c r="A33437" s="2">
        <v>43875.401284722218</v>
      </c>
      <c r="B33437" t="str">
        <f>HYPERLINK("https://twitter.com/sabdopalon77","@sabdopalon77")</f>
        <v>@sabdopalon77</v>
      </c>
      <c r="C33437" t="s">
        <v>13969</v>
      </c>
      <c r="D33437">
        <v>0</v>
      </c>
      <c r="E33437">
        <v>0</v>
      </c>
      <c r="F33437">
        <v>681</v>
      </c>
    </row>
    <row r="33438" spans="1:6" ht="12.75">
      <c r="A33438" s="2">
        <v>43875.401238425926</v>
      </c>
      <c r="B33438" t="str">
        <f>HYPERLINK("https://twitter.com/devfolder","@devfolder")</f>
        <v>@devfolder</v>
      </c>
      <c r="C33438" t="s">
        <v>12044</v>
      </c>
      <c r="D33438">
        <v>24</v>
      </c>
      <c r="E33438">
        <v>0</v>
      </c>
      <c r="F33438">
        <v>237</v>
      </c>
    </row>
    <row r="33439" spans="1:6" ht="12.75">
      <c r="A33439" s="2">
        <v>43875.401087962964</v>
      </c>
      <c r="B33439" t="str">
        <f>HYPERLINK("https://twitter.com/rijaltakanmen2","@rijaltakanmen2")</f>
        <v>@rijaltakanmen2</v>
      </c>
      <c r="C33439" t="s">
        <v>2963</v>
      </c>
      <c r="D33439">
        <v>563</v>
      </c>
      <c r="E33439">
        <v>0</v>
      </c>
      <c r="F33439">
        <v>10</v>
      </c>
    </row>
    <row r="33440" spans="1:6" ht="12.75">
      <c r="A33440" s="2">
        <v>43875.401018518518</v>
      </c>
      <c r="B33440" t="str">
        <f>HYPERLINK("https://twitter.com/alkautsarderian","@alkautsarderian")</f>
        <v>@alkautsarderian</v>
      </c>
      <c r="C33440" t="s">
        <v>13445</v>
      </c>
      <c r="D33440">
        <v>45</v>
      </c>
      <c r="E33440">
        <v>0</v>
      </c>
      <c r="F33440">
        <v>89</v>
      </c>
    </row>
    <row r="33441" spans="1:6" ht="12.75">
      <c r="A33441" s="2">
        <v>43875.400902777779</v>
      </c>
      <c r="B33441" t="str">
        <f>HYPERLINK("https://twitter.com/prast_catur12","@prast_catur12")</f>
        <v>@prast_catur12</v>
      </c>
      <c r="C33441" t="s">
        <v>13970</v>
      </c>
      <c r="D33441">
        <v>0</v>
      </c>
      <c r="E33441">
        <v>0</v>
      </c>
      <c r="F33441">
        <v>16</v>
      </c>
    </row>
    <row r="33442" spans="1:6" ht="12.75">
      <c r="A33442" s="2">
        <v>43875.400844907403</v>
      </c>
      <c r="B33442" t="str">
        <f>HYPERLINK("https://twitter.com/prima_indria","@prima_indria")</f>
        <v>@prima_indria</v>
      </c>
      <c r="C33442" t="s">
        <v>13971</v>
      </c>
      <c r="D33442">
        <v>0</v>
      </c>
      <c r="E33442">
        <v>1</v>
      </c>
      <c r="F33442">
        <v>567</v>
      </c>
    </row>
    <row r="33443" spans="1:6" ht="12.75">
      <c r="A33443" s="2">
        <v>43875.400821759264</v>
      </c>
      <c r="B33443" t="str">
        <f>HYPERLINK("https://twitter.com/hennyindah1404","@hennyindah1404")</f>
        <v>@hennyindah1404</v>
      </c>
      <c r="C33443" t="s">
        <v>2963</v>
      </c>
      <c r="D33443">
        <v>563</v>
      </c>
      <c r="E33443">
        <v>0</v>
      </c>
      <c r="F33443">
        <v>1177</v>
      </c>
    </row>
    <row r="33444" spans="1:6" ht="12.75">
      <c r="A33444" s="2">
        <v>43875.400787037041</v>
      </c>
      <c r="B33444" t="str">
        <f>HYPERLINK("https://twitter.com/N1ngW4ng1","@N1ngW4ng1")</f>
        <v>@N1ngW4ng1</v>
      </c>
      <c r="C33444" t="s">
        <v>13972</v>
      </c>
      <c r="D33444">
        <v>1</v>
      </c>
      <c r="E33444">
        <v>0</v>
      </c>
      <c r="F33444">
        <v>3264</v>
      </c>
    </row>
    <row r="33445" spans="1:6" ht="12.75">
      <c r="A33445" s="2">
        <v>43875.400752314818</v>
      </c>
      <c r="B33445" t="str">
        <f>HYPERLINK("https://twitter.com/ewin8923","@ewin8923")</f>
        <v>@ewin8923</v>
      </c>
      <c r="C33445" t="s">
        <v>11390</v>
      </c>
      <c r="D33445">
        <v>72</v>
      </c>
      <c r="E33445">
        <v>0</v>
      </c>
      <c r="F33445">
        <v>1002</v>
      </c>
    </row>
    <row r="33446" spans="1:6" ht="12.75">
      <c r="A33446" s="2">
        <v>43875.400752314818</v>
      </c>
      <c r="B33446" t="str">
        <f>HYPERLINK("https://twitter.com/syarif_forblues","@syarif_forblues")</f>
        <v>@syarif_forblues</v>
      </c>
      <c r="C33446" t="s">
        <v>9998</v>
      </c>
      <c r="D33446">
        <v>67</v>
      </c>
      <c r="E33446">
        <v>0</v>
      </c>
      <c r="F33446">
        <v>188</v>
      </c>
    </row>
    <row r="33447" spans="1:6" ht="12.75">
      <c r="A33447" s="2">
        <v>43875.400682870371</v>
      </c>
      <c r="B33447" t="str">
        <f>HYPERLINK("https://twitter.com/ciuzo","@ciuzo")</f>
        <v>@ciuzo</v>
      </c>
      <c r="C33447" t="s">
        <v>13973</v>
      </c>
      <c r="D33447">
        <v>0</v>
      </c>
      <c r="E33447">
        <v>0</v>
      </c>
      <c r="F33447">
        <v>56</v>
      </c>
    </row>
    <row r="33448" spans="1:6" ht="12.75">
      <c r="A33448" s="2">
        <v>43875.400624999995</v>
      </c>
      <c r="B33448" t="str">
        <f>HYPERLINK("https://twitter.com/hazanzan2","@hazanzan2")</f>
        <v>@hazanzan2</v>
      </c>
      <c r="C33448" t="s">
        <v>9947</v>
      </c>
      <c r="D33448">
        <v>322</v>
      </c>
      <c r="E33448">
        <v>0</v>
      </c>
      <c r="F33448">
        <v>4</v>
      </c>
    </row>
    <row r="33449" spans="1:6" ht="12.75">
      <c r="A33449" s="2">
        <v>43875.40053240741</v>
      </c>
      <c r="B33449" t="str">
        <f>HYPERLINK("https://twitter.com/yyn_wy","@yyn_wy")</f>
        <v>@yyn_wy</v>
      </c>
      <c r="C33449" t="s">
        <v>12044</v>
      </c>
      <c r="D33449">
        <v>24</v>
      </c>
      <c r="E33449">
        <v>0</v>
      </c>
      <c r="F33449">
        <v>11</v>
      </c>
    </row>
    <row r="33450" spans="1:6" ht="12.75">
      <c r="A33450" s="2">
        <v>43875.400520833333</v>
      </c>
      <c r="B33450" t="str">
        <f>HYPERLINK("https://twitter.com/kalebfrans_","@kalebfrans_")</f>
        <v>@kalebfrans_</v>
      </c>
      <c r="C33450" t="s">
        <v>13974</v>
      </c>
      <c r="D33450">
        <v>0</v>
      </c>
      <c r="E33450">
        <v>0</v>
      </c>
      <c r="F33450">
        <v>34</v>
      </c>
    </row>
    <row r="33451" spans="1:6" ht="12.75">
      <c r="A33451" s="2">
        <v>43875.400509259256</v>
      </c>
      <c r="B33451" t="str">
        <f>HYPERLINK("https://twitter.com/usirro","@usirro")</f>
        <v>@usirro</v>
      </c>
      <c r="C33451" t="s">
        <v>12044</v>
      </c>
      <c r="D33451">
        <v>24</v>
      </c>
      <c r="E33451">
        <v>0</v>
      </c>
      <c r="F33451">
        <v>1055</v>
      </c>
    </row>
    <row r="33452" spans="1:6" ht="12.75">
      <c r="A33452" s="2">
        <v>43875.400462962964</v>
      </c>
      <c r="B33452" t="str">
        <f>HYPERLINK("https://twitter.com/ewin8923","@ewin8923")</f>
        <v>@ewin8923</v>
      </c>
      <c r="C33452" t="s">
        <v>6834</v>
      </c>
      <c r="D33452">
        <v>21</v>
      </c>
      <c r="E33452">
        <v>0</v>
      </c>
      <c r="F33452">
        <v>1002</v>
      </c>
    </row>
    <row r="33453" spans="1:6" ht="12.75">
      <c r="A33453" s="2">
        <v>43875.400405092594</v>
      </c>
      <c r="B33453" t="str">
        <f>HYPERLINK("https://twitter.com/amm_rizal","@amm_rizal")</f>
        <v>@amm_rizal</v>
      </c>
      <c r="C33453" t="s">
        <v>2963</v>
      </c>
      <c r="D33453">
        <v>563</v>
      </c>
      <c r="E33453">
        <v>0</v>
      </c>
      <c r="F33453">
        <v>256</v>
      </c>
    </row>
    <row r="33454" spans="1:6" ht="12.75">
      <c r="A33454" s="2">
        <v>43875.400393518517</v>
      </c>
      <c r="B33454" t="str">
        <f>HYPERLINK("https://twitter.com/Ryhan____","@Ryhan____")</f>
        <v>@Ryhan____</v>
      </c>
      <c r="C33454" t="s">
        <v>13975</v>
      </c>
      <c r="D33454">
        <v>0</v>
      </c>
      <c r="E33454">
        <v>0</v>
      </c>
      <c r="F33454">
        <v>225</v>
      </c>
    </row>
    <row r="33455" spans="1:6" ht="12.75">
      <c r="A33455" s="2">
        <v>43875.400381944448</v>
      </c>
      <c r="B33455" t="str">
        <f>HYPERLINK("https://twitter.com/ewin8923","@ewin8923")</f>
        <v>@ewin8923</v>
      </c>
      <c r="C33455" t="s">
        <v>13976</v>
      </c>
      <c r="D33455">
        <v>2</v>
      </c>
      <c r="E33455">
        <v>0</v>
      </c>
      <c r="F33455">
        <v>1002</v>
      </c>
    </row>
    <row r="33456" spans="1:6" ht="12.75">
      <c r="A33456" s="2">
        <v>43875.400370370371</v>
      </c>
      <c r="B33456" t="str">
        <f>HYPERLINK("https://twitter.com/Fusianto","@Fusianto")</f>
        <v>@Fusianto</v>
      </c>
      <c r="C33456" t="s">
        <v>13977</v>
      </c>
      <c r="D33456">
        <v>0</v>
      </c>
      <c r="E33456">
        <v>0</v>
      </c>
      <c r="F33456">
        <v>112</v>
      </c>
    </row>
    <row r="33457" spans="1:6" ht="12.75">
      <c r="A33457" s="2">
        <v>43875.400254629625</v>
      </c>
      <c r="B33457" t="str">
        <f>HYPERLINK("https://twitter.com/apaini1111","@apaini1111")</f>
        <v>@apaini1111</v>
      </c>
      <c r="C33457" t="s">
        <v>13978</v>
      </c>
      <c r="D33457">
        <v>1</v>
      </c>
      <c r="E33457">
        <v>1</v>
      </c>
      <c r="F33457">
        <v>331</v>
      </c>
    </row>
    <row r="33458" spans="1:6" ht="12.75">
      <c r="A33458" s="2">
        <v>43875.400231481486</v>
      </c>
      <c r="B33458" t="str">
        <f>HYPERLINK("https://twitter.com/KudaKontrol","@KudaKontrol")</f>
        <v>@KudaKontrol</v>
      </c>
      <c r="C33458" t="s">
        <v>2963</v>
      </c>
      <c r="D33458">
        <v>563</v>
      </c>
      <c r="E33458">
        <v>0</v>
      </c>
      <c r="F33458">
        <v>3</v>
      </c>
    </row>
    <row r="33459" spans="1:6" ht="12.75">
      <c r="A33459" s="2">
        <v>43875.400173611109</v>
      </c>
      <c r="B33459" t="str">
        <f>HYPERLINK("https://twitter.com/bang_saaaaaaaat","@bang_saaaaaaaat")</f>
        <v>@bang_saaaaaaaat</v>
      </c>
      <c r="C33459" t="s">
        <v>11449</v>
      </c>
      <c r="D33459">
        <v>11</v>
      </c>
      <c r="E33459">
        <v>0</v>
      </c>
      <c r="F33459">
        <v>195</v>
      </c>
    </row>
    <row r="33460" spans="1:6" ht="12.75">
      <c r="A33460" s="2">
        <v>43875.40011574074</v>
      </c>
      <c r="B33460" t="str">
        <f>HYPERLINK("https://twitter.com/KBRI_Islamabad","@KBRI_Islamabad")</f>
        <v>@KBRI_Islamabad</v>
      </c>
      <c r="C33460" t="s">
        <v>2078</v>
      </c>
      <c r="D33460">
        <v>17</v>
      </c>
      <c r="E33460">
        <v>0</v>
      </c>
      <c r="F33460">
        <v>830</v>
      </c>
    </row>
    <row r="33461" spans="1:6" ht="12.75">
      <c r="A33461" s="2">
        <v>43875.400092592594</v>
      </c>
      <c r="B33461" t="str">
        <f>HYPERLINK("https://twitter.com/alkautsarderian","@alkautsarderian")</f>
        <v>@alkautsarderian</v>
      </c>
      <c r="C33461" t="s">
        <v>13419</v>
      </c>
      <c r="D33461">
        <v>74</v>
      </c>
      <c r="E33461">
        <v>0</v>
      </c>
      <c r="F33461">
        <v>89</v>
      </c>
    </row>
    <row r="33462" spans="1:6" ht="12.75">
      <c r="A33462" s="2">
        <v>43875.40006944444</v>
      </c>
      <c r="B33462" t="str">
        <f>HYPERLINK("https://twitter.com/_jabangtutuko_","@_jabangtutuko_")</f>
        <v>@_jabangtutuko_</v>
      </c>
      <c r="C33462" t="s">
        <v>12906</v>
      </c>
      <c r="D33462">
        <v>60</v>
      </c>
      <c r="E33462">
        <v>0</v>
      </c>
      <c r="F33462">
        <v>414</v>
      </c>
    </row>
    <row r="33463" spans="1:6" ht="12.75">
      <c r="A33463" s="2">
        <v>43875.40006944444</v>
      </c>
      <c r="B33463" t="str">
        <f>HYPERLINK("https://twitter.com/SonjayaTian","@SonjayaTian")</f>
        <v>@SonjayaTian</v>
      </c>
      <c r="C33463" t="s">
        <v>9998</v>
      </c>
      <c r="D33463">
        <v>67</v>
      </c>
      <c r="E33463">
        <v>0</v>
      </c>
      <c r="F33463">
        <v>225</v>
      </c>
    </row>
    <row r="33464" spans="1:6" ht="12.75">
      <c r="A33464" s="2">
        <v>43875.400023148148</v>
      </c>
      <c r="B33464" t="str">
        <f>HYPERLINK("https://twitter.com/febrilia_17","@febrilia_17")</f>
        <v>@febrilia_17</v>
      </c>
      <c r="C33464" t="s">
        <v>10526</v>
      </c>
      <c r="D33464">
        <v>121</v>
      </c>
      <c r="E33464">
        <v>0</v>
      </c>
      <c r="F33464">
        <v>115</v>
      </c>
    </row>
    <row r="33465" spans="1:6" ht="12.75">
      <c r="A33465" s="2">
        <v>43875.4</v>
      </c>
      <c r="B33465" t="str">
        <f>HYPERLINK("https://twitter.com/hempry","@hempry")</f>
        <v>@hempry</v>
      </c>
      <c r="C33465" t="s">
        <v>13979</v>
      </c>
      <c r="D33465">
        <v>0</v>
      </c>
      <c r="E33465">
        <v>0</v>
      </c>
      <c r="F33465">
        <v>266</v>
      </c>
    </row>
    <row r="33466" spans="1:6" ht="12.75">
      <c r="A33466" s="2">
        <v>43875.399965277778</v>
      </c>
      <c r="B33466" t="str">
        <f>HYPERLINK("https://twitter.com/DavidM27510593","@DavidM27510593")</f>
        <v>@DavidM27510593</v>
      </c>
      <c r="C33466" t="s">
        <v>12044</v>
      </c>
      <c r="D33466">
        <v>24</v>
      </c>
      <c r="E33466">
        <v>0</v>
      </c>
      <c r="F33466">
        <v>33</v>
      </c>
    </row>
    <row r="33467" spans="1:6" ht="12.75">
      <c r="A33467" s="2">
        <v>43875.399872685186</v>
      </c>
      <c r="B33467" t="str">
        <f>HYPERLINK("https://twitter.com/SlazBlade","@SlazBlade")</f>
        <v>@SlazBlade</v>
      </c>
      <c r="C33467" t="s">
        <v>13980</v>
      </c>
      <c r="D33467">
        <v>0</v>
      </c>
      <c r="E33467">
        <v>0</v>
      </c>
      <c r="F33467">
        <v>5</v>
      </c>
    </row>
    <row r="33468" spans="1:6" ht="12.75">
      <c r="A33468" s="2">
        <v>43875.399861111116</v>
      </c>
      <c r="B33468" t="str">
        <f>HYPERLINK("https://twitter.com/KBRI_Islamabad","@KBRI_Islamabad")</f>
        <v>@KBRI_Islamabad</v>
      </c>
      <c r="C33468" t="s">
        <v>2077</v>
      </c>
      <c r="D33468">
        <v>22</v>
      </c>
      <c r="E33468">
        <v>0</v>
      </c>
      <c r="F33468">
        <v>830</v>
      </c>
    </row>
    <row r="33469" spans="1:6" ht="12.75">
      <c r="A33469" s="2">
        <v>43875.399826388893</v>
      </c>
      <c r="B33469" t="str">
        <f>HYPERLINK("https://twitter.com/ewin8923","@ewin8923")</f>
        <v>@ewin8923</v>
      </c>
      <c r="C33469" t="s">
        <v>3038</v>
      </c>
      <c r="D33469">
        <v>107</v>
      </c>
      <c r="E33469">
        <v>0</v>
      </c>
      <c r="F33469">
        <v>1002</v>
      </c>
    </row>
    <row r="33470" spans="1:6" ht="12.75">
      <c r="A33470" s="2">
        <v>43875.399814814809</v>
      </c>
      <c r="B33470" t="str">
        <f>HYPERLINK("https://twitter.com/arasdafk","@arasdafk")</f>
        <v>@arasdafk</v>
      </c>
      <c r="C33470" t="s">
        <v>5168</v>
      </c>
      <c r="D33470">
        <v>461</v>
      </c>
      <c r="E33470">
        <v>0</v>
      </c>
      <c r="F33470">
        <v>665</v>
      </c>
    </row>
    <row r="33471" spans="1:6" ht="12.75">
      <c r="A33471" s="2">
        <v>43875.39980324074</v>
      </c>
      <c r="B33471" t="str">
        <f>HYPERLINK("https://twitter.com/hennyindah1404","@hennyindah1404")</f>
        <v>@hennyindah1404</v>
      </c>
      <c r="C33471" t="s">
        <v>10121</v>
      </c>
      <c r="D33471">
        <v>160</v>
      </c>
      <c r="E33471">
        <v>0</v>
      </c>
      <c r="F33471">
        <v>1177</v>
      </c>
    </row>
    <row r="33472" spans="1:6" ht="12.75">
      <c r="A33472" s="2">
        <v>43875.399745370371</v>
      </c>
      <c r="B33472" t="str">
        <f>HYPERLINK("https://twitter.com/geloraco","@geloraco")</f>
        <v>@geloraco</v>
      </c>
      <c r="C33472" t="s">
        <v>10720</v>
      </c>
      <c r="D33472">
        <v>3</v>
      </c>
      <c r="E33472">
        <v>18</v>
      </c>
      <c r="F33472">
        <v>99669</v>
      </c>
    </row>
    <row r="33473" spans="1:6" ht="12.75">
      <c r="A33473" s="2">
        <v>43875.399745370371</v>
      </c>
      <c r="B33473" t="str">
        <f>HYPERLINK("https://twitter.com/azmifauziah04","@azmifauziah04")</f>
        <v>@azmifauziah04</v>
      </c>
      <c r="C33473" t="s">
        <v>13981</v>
      </c>
      <c r="D33473">
        <v>1</v>
      </c>
      <c r="E33473">
        <v>0</v>
      </c>
      <c r="F33473">
        <v>393</v>
      </c>
    </row>
    <row r="33474" spans="1:6" ht="12.75">
      <c r="A33474" s="2">
        <v>43875.399733796294</v>
      </c>
      <c r="B33474" t="str">
        <f>HYPERLINK("https://twitter.com/rizki_57","@rizki_57")</f>
        <v>@rizki_57</v>
      </c>
      <c r="C33474" t="s">
        <v>13982</v>
      </c>
      <c r="D33474">
        <v>0</v>
      </c>
      <c r="E33474">
        <v>0</v>
      </c>
      <c r="F33474">
        <v>146</v>
      </c>
    </row>
    <row r="33475" spans="1:6" ht="12.75">
      <c r="A33475" s="2">
        <v>43875.399606481486</v>
      </c>
      <c r="B33475" t="str">
        <f>HYPERLINK("https://twitter.com/wwwiniestehcom","@wwwiniestehcom")</f>
        <v>@wwwiniestehcom</v>
      </c>
      <c r="C33475" t="s">
        <v>12044</v>
      </c>
      <c r="D33475">
        <v>24</v>
      </c>
      <c r="E33475">
        <v>0</v>
      </c>
      <c r="F33475">
        <v>53</v>
      </c>
    </row>
    <row r="33476" spans="1:6" ht="12.75">
      <c r="A33476" s="2">
        <v>43875.399594907409</v>
      </c>
      <c r="B33476" t="str">
        <f>HYPERLINK("https://twitter.com/kantah_ambon","@kantah_ambon")</f>
        <v>@kantah_ambon</v>
      </c>
      <c r="C33476" t="s">
        <v>2086</v>
      </c>
      <c r="D33476">
        <v>21</v>
      </c>
      <c r="E33476">
        <v>0</v>
      </c>
      <c r="F33476">
        <v>26</v>
      </c>
    </row>
    <row r="33477" spans="1:6" ht="12.75">
      <c r="A33477" s="2">
        <v>43875.399583333332</v>
      </c>
      <c r="B33477" t="str">
        <f>HYPERLINK("https://twitter.com/nrachmaa97","@nrachmaa97")</f>
        <v>@nrachmaa97</v>
      </c>
      <c r="C33477" t="s">
        <v>2137</v>
      </c>
      <c r="D33477">
        <v>33</v>
      </c>
      <c r="E33477">
        <v>0</v>
      </c>
      <c r="F33477">
        <v>660</v>
      </c>
    </row>
    <row r="33478" spans="1:6" ht="12.75">
      <c r="A33478" s="2">
        <v>43875.399513888886</v>
      </c>
      <c r="B33478" t="str">
        <f>HYPERLINK("https://twitter.com/SahlanAmin4","@SahlanAmin4")</f>
        <v>@SahlanAmin4</v>
      </c>
      <c r="C33478" t="s">
        <v>10739</v>
      </c>
      <c r="D33478">
        <v>229</v>
      </c>
      <c r="E33478">
        <v>0</v>
      </c>
      <c r="F33478">
        <v>614</v>
      </c>
    </row>
    <row r="33479" spans="1:6" ht="12.75">
      <c r="A33479" s="2">
        <v>43875.399351851855</v>
      </c>
      <c r="B33479" t="str">
        <f>HYPERLINK("https://twitter.com/ewin8923","@ewin8923")</f>
        <v>@ewin8923</v>
      </c>
      <c r="C33479" t="s">
        <v>8881</v>
      </c>
      <c r="D33479">
        <v>258</v>
      </c>
      <c r="E33479">
        <v>0</v>
      </c>
      <c r="F33479">
        <v>1002</v>
      </c>
    </row>
    <row r="33480" spans="1:6" ht="12.75">
      <c r="A33480" s="2">
        <v>43875.399259259255</v>
      </c>
      <c r="B33480" t="str">
        <f>HYPERLINK("https://twitter.com/KLVNW","@KLVNW")</f>
        <v>@KLVNW</v>
      </c>
      <c r="C33480" t="s">
        <v>5168</v>
      </c>
      <c r="D33480">
        <v>461</v>
      </c>
      <c r="E33480">
        <v>0</v>
      </c>
      <c r="F33480">
        <v>268</v>
      </c>
    </row>
    <row r="33481" spans="1:6" ht="12.75">
      <c r="A33481" s="2">
        <v>43875.399247685185</v>
      </c>
      <c r="B33481" t="str">
        <f>HYPERLINK("https://twitter.com/GunGunG49169853","@GunGunG49169853")</f>
        <v>@GunGunG49169853</v>
      </c>
      <c r="C33481" t="s">
        <v>10407</v>
      </c>
      <c r="D33481">
        <v>38</v>
      </c>
      <c r="E33481">
        <v>0</v>
      </c>
      <c r="F33481">
        <v>996</v>
      </c>
    </row>
    <row r="33482" spans="1:6" ht="12.75">
      <c r="A33482" s="2">
        <v>43875.399212962962</v>
      </c>
      <c r="B33482" t="str">
        <f>HYPERLINK("https://twitter.com/Ln1885","@Ln1885")</f>
        <v>@Ln1885</v>
      </c>
      <c r="C33482" t="s">
        <v>2444</v>
      </c>
      <c r="D33482">
        <v>76</v>
      </c>
      <c r="E33482">
        <v>0</v>
      </c>
      <c r="F33482">
        <v>859</v>
      </c>
    </row>
    <row r="33483" spans="1:6" ht="12.75">
      <c r="A33483" s="2">
        <v>43875.399201388893</v>
      </c>
      <c r="B33483" t="str">
        <f>HYPERLINK("https://twitter.com/w4nw4e","@w4nw4e")</f>
        <v>@w4nw4e</v>
      </c>
      <c r="C33483" t="s">
        <v>10032</v>
      </c>
      <c r="D33483">
        <v>19</v>
      </c>
      <c r="E33483">
        <v>0</v>
      </c>
      <c r="F33483">
        <v>7589</v>
      </c>
    </row>
    <row r="33484" spans="1:6" ht="12.75">
      <c r="A33484" s="2">
        <v>43875.399131944447</v>
      </c>
      <c r="B33484" t="str">
        <f>HYPERLINK("https://twitter.com/vvnts_","@vvnts_")</f>
        <v>@vvnts_</v>
      </c>
      <c r="C33484" t="s">
        <v>12044</v>
      </c>
      <c r="D33484">
        <v>24</v>
      </c>
      <c r="E33484">
        <v>0</v>
      </c>
      <c r="F33484">
        <v>1079</v>
      </c>
    </row>
    <row r="33485" spans="1:6" ht="12.75">
      <c r="A33485" s="2">
        <v>43875.39912037037</v>
      </c>
      <c r="B33485" t="str">
        <f>HYPERLINK("https://twitter.com/Sidin79901699","@Sidin79901699")</f>
        <v>@Sidin79901699</v>
      </c>
      <c r="C33485" t="s">
        <v>2963</v>
      </c>
      <c r="D33485">
        <v>563</v>
      </c>
      <c r="E33485">
        <v>0</v>
      </c>
      <c r="F33485">
        <v>826</v>
      </c>
    </row>
    <row r="33486" spans="1:6" ht="12.75">
      <c r="A33486" s="2">
        <v>43875.399108796293</v>
      </c>
      <c r="B33486" t="str">
        <f>HYPERLINK("https://twitter.com/Rissa70199680","@Rissa70199680")</f>
        <v>@Rissa70199680</v>
      </c>
      <c r="C33486" t="s">
        <v>9998</v>
      </c>
      <c r="D33486">
        <v>67</v>
      </c>
      <c r="E33486">
        <v>0</v>
      </c>
      <c r="F33486">
        <v>22</v>
      </c>
    </row>
    <row r="33487" spans="1:6" ht="12.75">
      <c r="A33487" s="2">
        <v>43875.399062500001</v>
      </c>
      <c r="B33487" t="str">
        <f>HYPERLINK("https://twitter.com/bamsuryadi","@bamsuryadi")</f>
        <v>@bamsuryadi</v>
      </c>
      <c r="C33487" t="s">
        <v>13983</v>
      </c>
      <c r="D33487">
        <v>0</v>
      </c>
      <c r="E33487">
        <v>0</v>
      </c>
      <c r="F33487">
        <v>50</v>
      </c>
    </row>
    <row r="33488" spans="1:6" ht="12.75">
      <c r="A33488" s="2">
        <v>43875.398993055554</v>
      </c>
      <c r="B33488" t="str">
        <f>HYPERLINK("https://twitter.com/stunendra","@stunendra")</f>
        <v>@stunendra</v>
      </c>
      <c r="C33488" t="s">
        <v>13984</v>
      </c>
      <c r="D33488">
        <v>0</v>
      </c>
      <c r="E33488">
        <v>0</v>
      </c>
      <c r="F33488">
        <v>125</v>
      </c>
    </row>
    <row r="33489" spans="1:6" ht="12.75">
      <c r="A33489" s="2">
        <v>43875.398935185185</v>
      </c>
      <c r="B33489" t="str">
        <f>HYPERLINK("https://twitter.com/erwandi2345","@erwandi2345")</f>
        <v>@erwandi2345</v>
      </c>
      <c r="C33489" t="s">
        <v>2444</v>
      </c>
      <c r="D33489">
        <v>76</v>
      </c>
      <c r="E33489">
        <v>0</v>
      </c>
      <c r="F33489">
        <v>112</v>
      </c>
    </row>
    <row r="33490" spans="1:6" ht="12.75">
      <c r="A33490" s="2">
        <v>43875.398888888885</v>
      </c>
      <c r="B33490" t="str">
        <f>HYPERLINK("https://twitter.com/detikcom","@detikcom")</f>
        <v>@detikcom</v>
      </c>
      <c r="C33490" t="s">
        <v>13973</v>
      </c>
      <c r="D33490">
        <v>24</v>
      </c>
      <c r="E33490">
        <v>67</v>
      </c>
      <c r="F33490">
        <v>15664386</v>
      </c>
    </row>
    <row r="33491" spans="1:6" ht="12.75">
      <c r="A33491" s="2">
        <v>43875.39880787037</v>
      </c>
      <c r="B33491" t="str">
        <f>HYPERLINK("https://twitter.com/seishirou99","@seishirou99")</f>
        <v>@seishirou99</v>
      </c>
      <c r="C33491" t="s">
        <v>2444</v>
      </c>
      <c r="D33491">
        <v>76</v>
      </c>
      <c r="E33491">
        <v>0</v>
      </c>
      <c r="F33491">
        <v>572</v>
      </c>
    </row>
    <row r="33492" spans="1:6" ht="12.75">
      <c r="A33492" s="2">
        <v>43875.398564814815</v>
      </c>
      <c r="B33492" t="str">
        <f>HYPERLINK("https://twitter.com/LaRose78992426","@LaRose78992426")</f>
        <v>@LaRose78992426</v>
      </c>
      <c r="C33492" t="s">
        <v>13985</v>
      </c>
      <c r="D33492">
        <v>12</v>
      </c>
      <c r="E33492">
        <v>0</v>
      </c>
      <c r="F33492">
        <v>258</v>
      </c>
    </row>
    <row r="33493" spans="1:6" ht="12.75">
      <c r="A33493" s="2">
        <v>43875.398518518516</v>
      </c>
      <c r="B33493" t="str">
        <f>HYPERLINK("https://twitter.com/sj_herry","@sj_herry")</f>
        <v>@sj_herry</v>
      </c>
      <c r="C33493" t="s">
        <v>13986</v>
      </c>
      <c r="D33493">
        <v>0</v>
      </c>
      <c r="E33493">
        <v>0</v>
      </c>
      <c r="F33493">
        <v>339</v>
      </c>
    </row>
    <row r="33494" spans="1:6" ht="12.75">
      <c r="A33494" s="2">
        <v>43875.398483796293</v>
      </c>
      <c r="B33494" t="str">
        <f>HYPERLINK("https://twitter.com/irwnysf","@irwnysf")</f>
        <v>@irwnysf</v>
      </c>
      <c r="C33494" t="s">
        <v>8233</v>
      </c>
      <c r="D33494">
        <v>316</v>
      </c>
      <c r="E33494">
        <v>0</v>
      </c>
      <c r="F33494">
        <v>455</v>
      </c>
    </row>
    <row r="33495" spans="1:6" ht="12.75">
      <c r="A33495" s="2">
        <v>43875.3984375</v>
      </c>
      <c r="B33495" t="str">
        <f>HYPERLINK("https://twitter.com/adriansyahnaite","@adriansyahnaite")</f>
        <v>@adriansyahnaite</v>
      </c>
      <c r="C33495" t="s">
        <v>13987</v>
      </c>
      <c r="D33495">
        <v>1</v>
      </c>
      <c r="E33495">
        <v>0</v>
      </c>
      <c r="F33495">
        <v>313</v>
      </c>
    </row>
    <row r="33496" spans="1:6" ht="12.75">
      <c r="A33496" s="2">
        <v>43875.398356481484</v>
      </c>
      <c r="B33496" t="str">
        <f>HYPERLINK("https://twitter.com/SyenWoo","@SyenWoo")</f>
        <v>@SyenWoo</v>
      </c>
      <c r="C33496" t="s">
        <v>2963</v>
      </c>
      <c r="D33496">
        <v>563</v>
      </c>
      <c r="E33496">
        <v>0</v>
      </c>
      <c r="F33496">
        <v>800</v>
      </c>
    </row>
    <row r="33497" spans="1:6" ht="12.75">
      <c r="A33497" s="2">
        <v>43875.398310185185</v>
      </c>
      <c r="B33497" t="str">
        <f>HYPERLINK("https://twitter.com/_jabangtutuko_","@_jabangtutuko_")</f>
        <v>@_jabangtutuko_</v>
      </c>
      <c r="C33497" t="s">
        <v>11424</v>
      </c>
      <c r="D33497">
        <v>44</v>
      </c>
      <c r="E33497">
        <v>0</v>
      </c>
      <c r="F33497">
        <v>414</v>
      </c>
    </row>
    <row r="33498" spans="1:6" ht="12.75">
      <c r="A33498" s="2">
        <v>43875.398298611108</v>
      </c>
      <c r="B33498" t="str">
        <f>HYPERLINK("https://twitter.com/amm_rizal","@amm_rizal")</f>
        <v>@amm_rizal</v>
      </c>
      <c r="C33498" t="s">
        <v>10319</v>
      </c>
      <c r="D33498">
        <v>144</v>
      </c>
      <c r="E33498">
        <v>0</v>
      </c>
      <c r="F33498">
        <v>256</v>
      </c>
    </row>
    <row r="33499" spans="1:6" ht="12.75">
      <c r="A33499" s="2">
        <v>43875.398263888885</v>
      </c>
      <c r="B33499" t="str">
        <f>HYPERLINK("https://twitter.com/N1ngW4ng1","@N1ngW4ng1")</f>
        <v>@N1ngW4ng1</v>
      </c>
      <c r="C33499" t="s">
        <v>13551</v>
      </c>
      <c r="D33499">
        <v>1</v>
      </c>
      <c r="E33499">
        <v>0</v>
      </c>
      <c r="F33499">
        <v>3264</v>
      </c>
    </row>
    <row r="33500" spans="1:6" ht="12.75">
      <c r="A33500" s="2">
        <v>43875.398217592592</v>
      </c>
      <c r="B33500" t="str">
        <f>HYPERLINK("https://twitter.com/Netizenial","@Netizenial")</f>
        <v>@Netizenial</v>
      </c>
      <c r="C33500" t="s">
        <v>13988</v>
      </c>
      <c r="D33500">
        <v>0</v>
      </c>
      <c r="E33500">
        <v>0</v>
      </c>
      <c r="F33500">
        <v>1106</v>
      </c>
    </row>
    <row r="33501" spans="1:6" ht="12.75">
      <c r="A33501" s="2">
        <v>43875.398206018523</v>
      </c>
      <c r="B33501" t="str">
        <f>HYPERLINK("https://twitter.com/FaGtng","@FaGtng")</f>
        <v>@FaGtng</v>
      </c>
      <c r="C33501" t="s">
        <v>10032</v>
      </c>
      <c r="D33501">
        <v>19</v>
      </c>
      <c r="E33501">
        <v>0</v>
      </c>
      <c r="F33501">
        <v>15957</v>
      </c>
    </row>
    <row r="33502" spans="1:6" ht="12.75">
      <c r="A33502" s="2">
        <v>43875.398090277777</v>
      </c>
      <c r="B33502" t="str">
        <f>HYPERLINK("https://twitter.com/Dicky_fa","@Dicky_fa")</f>
        <v>@Dicky_fa</v>
      </c>
      <c r="C33502" t="s">
        <v>5168</v>
      </c>
      <c r="D33502">
        <v>461</v>
      </c>
      <c r="E33502">
        <v>0</v>
      </c>
      <c r="F33502">
        <v>449</v>
      </c>
    </row>
    <row r="33503" spans="1:6" ht="12.75">
      <c r="A33503" s="2">
        <v>43875.398055555561</v>
      </c>
      <c r="B33503" t="str">
        <f>HYPERLINK("https://twitter.com/Indrasurya_D","@Indrasurya_D")</f>
        <v>@Indrasurya_D</v>
      </c>
      <c r="C33503" t="s">
        <v>13989</v>
      </c>
      <c r="D33503">
        <v>0</v>
      </c>
      <c r="E33503">
        <v>0</v>
      </c>
      <c r="F33503">
        <v>2020</v>
      </c>
    </row>
    <row r="33504" spans="1:6" ht="12.75">
      <c r="A33504" s="2">
        <v>43875.398043981477</v>
      </c>
      <c r="B33504" t="str">
        <f>HYPERLINK("https://twitter.com/N1ngW4ng1","@N1ngW4ng1")</f>
        <v>@N1ngW4ng1</v>
      </c>
      <c r="C33504" t="s">
        <v>13990</v>
      </c>
      <c r="D33504">
        <v>1</v>
      </c>
      <c r="E33504">
        <v>0</v>
      </c>
      <c r="F33504">
        <v>3264</v>
      </c>
    </row>
    <row r="33505" spans="1:6" ht="12.75">
      <c r="A33505" s="2">
        <v>43875.397986111115</v>
      </c>
      <c r="B33505" t="str">
        <f>HYPERLINK("https://twitter.com/mediaindonesia","@mediaindonesia")</f>
        <v>@mediaindonesia</v>
      </c>
      <c r="C33505" t="s">
        <v>13991</v>
      </c>
      <c r="D33505">
        <v>1</v>
      </c>
      <c r="E33505">
        <v>4</v>
      </c>
      <c r="F33505">
        <v>1415689</v>
      </c>
    </row>
    <row r="33506" spans="1:6" ht="12.75">
      <c r="A33506" s="2">
        <v>43875.397962962961</v>
      </c>
      <c r="B33506" t="str">
        <f>HYPERLINK("https://twitter.com/Popopokarimu","@Popopokarimu")</f>
        <v>@Popopokarimu</v>
      </c>
      <c r="C33506" t="s">
        <v>13992</v>
      </c>
      <c r="D33506">
        <v>0</v>
      </c>
      <c r="E33506">
        <v>0</v>
      </c>
      <c r="F33506">
        <v>10</v>
      </c>
    </row>
    <row r="33507" spans="1:6" ht="12.75">
      <c r="A33507" s="2">
        <v>43875.397939814815</v>
      </c>
      <c r="B33507" t="str">
        <f>HYPERLINK("https://twitter.com/VIVAcoid","@VIVAcoid")</f>
        <v>@VIVAcoid</v>
      </c>
      <c r="C33507" t="s">
        <v>13993</v>
      </c>
      <c r="D33507">
        <v>1</v>
      </c>
      <c r="E33507">
        <v>0</v>
      </c>
      <c r="F33507">
        <v>4169119</v>
      </c>
    </row>
    <row r="33508" spans="1:6" ht="12.75">
      <c r="A33508" s="2">
        <v>43875.397858796292</v>
      </c>
      <c r="B33508" t="str">
        <f>HYPERLINK("https://twitter.com/IGBagus07","@IGBagus07")</f>
        <v>@IGBagus07</v>
      </c>
      <c r="C33508" t="s">
        <v>10957</v>
      </c>
      <c r="D33508">
        <v>47</v>
      </c>
      <c r="E33508">
        <v>0</v>
      </c>
      <c r="F33508">
        <v>2157</v>
      </c>
    </row>
    <row r="33509" spans="1:6" ht="12.75">
      <c r="A33509" s="2">
        <v>43875.397847222222</v>
      </c>
      <c r="B33509" t="str">
        <f>HYPERLINK("https://twitter.com/Pakdhe_Didi","@Pakdhe_Didi")</f>
        <v>@Pakdhe_Didi</v>
      </c>
      <c r="C33509" t="s">
        <v>13994</v>
      </c>
      <c r="D33509">
        <v>0</v>
      </c>
      <c r="E33509">
        <v>0</v>
      </c>
      <c r="F33509">
        <v>194</v>
      </c>
    </row>
    <row r="33510" spans="1:6" ht="12.75">
      <c r="A33510" s="2">
        <v>43875.397627314815</v>
      </c>
      <c r="B33510" t="str">
        <f>HYPERLINK("https://twitter.com/LaRose78992426","@LaRose78992426")</f>
        <v>@LaRose78992426</v>
      </c>
      <c r="C33510" t="s">
        <v>10295</v>
      </c>
      <c r="D33510">
        <v>87</v>
      </c>
      <c r="E33510">
        <v>0</v>
      </c>
      <c r="F33510">
        <v>258</v>
      </c>
    </row>
    <row r="33511" spans="1:6" ht="12.75">
      <c r="A33511" s="2">
        <v>43875.397604166668</v>
      </c>
      <c r="B33511" t="str">
        <f>HYPERLINK("https://twitter.com/InfokomPMK","@InfokomPMK")</f>
        <v>@InfokomPMK</v>
      </c>
      <c r="C33511" t="s">
        <v>13995</v>
      </c>
      <c r="D33511">
        <v>0</v>
      </c>
      <c r="E33511">
        <v>0</v>
      </c>
      <c r="F33511">
        <v>250</v>
      </c>
    </row>
    <row r="33512" spans="1:6" ht="12.75">
      <c r="A33512" s="2">
        <v>43875.397604166668</v>
      </c>
      <c r="B33512" t="str">
        <f>HYPERLINK("https://twitter.com/rizki_57","@rizki_57")</f>
        <v>@rizki_57</v>
      </c>
      <c r="C33512" t="s">
        <v>13996</v>
      </c>
      <c r="D33512">
        <v>0</v>
      </c>
      <c r="E33512">
        <v>0</v>
      </c>
      <c r="F33512">
        <v>146</v>
      </c>
    </row>
    <row r="33513" spans="1:6" ht="12.75">
      <c r="A33513" s="2">
        <v>43875.397592592592</v>
      </c>
      <c r="B33513" t="str">
        <f>HYPERLINK("https://twitter.com/vivanewscom","@vivanewscom")</f>
        <v>@vivanewscom</v>
      </c>
      <c r="C33513" t="s">
        <v>13997</v>
      </c>
      <c r="D33513">
        <v>1</v>
      </c>
      <c r="E33513">
        <v>1</v>
      </c>
      <c r="F33513">
        <v>4064</v>
      </c>
    </row>
    <row r="33514" spans="1:6" ht="12.75">
      <c r="A33514" s="2">
        <v>43875.397569444445</v>
      </c>
      <c r="B33514" t="str">
        <f>HYPERLINK("https://twitter.com/BantenSrikandi","@BantenSrikandi")</f>
        <v>@BantenSrikandi</v>
      </c>
      <c r="C33514" t="s">
        <v>13998</v>
      </c>
      <c r="D33514">
        <v>0</v>
      </c>
      <c r="E33514">
        <v>0</v>
      </c>
      <c r="F33514">
        <v>1744</v>
      </c>
    </row>
    <row r="33515" spans="1:6" ht="12.75">
      <c r="A33515" s="2">
        <v>43875.397453703699</v>
      </c>
      <c r="B33515" t="str">
        <f>HYPERLINK("https://twitter.com/Salim_Semm","@Salim_Semm")</f>
        <v>@Salim_Semm</v>
      </c>
      <c r="C33515" t="s">
        <v>2963</v>
      </c>
      <c r="D33515">
        <v>563</v>
      </c>
      <c r="E33515">
        <v>0</v>
      </c>
      <c r="F33515">
        <v>2075</v>
      </c>
    </row>
    <row r="33516" spans="1:6" ht="12.75">
      <c r="A33516" s="2">
        <v>43875.397372685184</v>
      </c>
      <c r="B33516" t="str">
        <f>HYPERLINK("https://twitter.com/ruangobrol_id","@ruangobrol_id")</f>
        <v>@ruangobrol_id</v>
      </c>
      <c r="C33516" t="s">
        <v>13999</v>
      </c>
      <c r="D33516">
        <v>0</v>
      </c>
      <c r="E33516">
        <v>0</v>
      </c>
      <c r="F33516">
        <v>160</v>
      </c>
    </row>
    <row r="33517" spans="1:6" ht="12.75">
      <c r="A33517" s="2">
        <v>43875.397268518514</v>
      </c>
      <c r="B33517" t="str">
        <f>HYPERLINK("https://twitter.com/KabarBeritaIND1","@KabarBeritaIND1")</f>
        <v>@KabarBeritaIND1</v>
      </c>
      <c r="C33517" t="s">
        <v>9947</v>
      </c>
      <c r="D33517">
        <v>322</v>
      </c>
      <c r="E33517">
        <v>0</v>
      </c>
      <c r="F33517">
        <v>16</v>
      </c>
    </row>
    <row r="33518" spans="1:6" ht="12.75">
      <c r="A33518" s="2">
        <v>43875.397129629629</v>
      </c>
      <c r="B33518" t="str">
        <f>HYPERLINK("https://twitter.com/santuuykupi","@santuuykupi")</f>
        <v>@santuuykupi</v>
      </c>
      <c r="C33518" t="s">
        <v>8233</v>
      </c>
      <c r="D33518">
        <v>316</v>
      </c>
      <c r="E33518">
        <v>0</v>
      </c>
      <c r="F33518">
        <v>1640</v>
      </c>
    </row>
    <row r="33519" spans="1:6" ht="12.75">
      <c r="A33519" s="2">
        <v>43875.397037037037</v>
      </c>
      <c r="B33519" t="str">
        <f>HYPERLINK("https://twitter.com/hendra235","@hendra235")</f>
        <v>@hendra235</v>
      </c>
      <c r="C33519" t="s">
        <v>7408</v>
      </c>
      <c r="D33519">
        <v>33</v>
      </c>
      <c r="E33519">
        <v>0</v>
      </c>
      <c r="F33519">
        <v>292</v>
      </c>
    </row>
    <row r="33520" spans="1:6" ht="12.75">
      <c r="A33520" s="2">
        <v>43875.397013888884</v>
      </c>
      <c r="B33520" t="str">
        <f>HYPERLINK("https://twitter.com/NuKultural","@NuKultural")</f>
        <v>@NuKultural</v>
      </c>
      <c r="C33520" t="s">
        <v>14000</v>
      </c>
      <c r="D33520">
        <v>0</v>
      </c>
      <c r="E33520">
        <v>1</v>
      </c>
      <c r="F33520">
        <v>243</v>
      </c>
    </row>
    <row r="33521" spans="1:6" ht="12.75">
      <c r="A33521" s="2">
        <v>43875.396956018521</v>
      </c>
      <c r="B33521" t="str">
        <f>HYPERLINK("https://twitter.com/Sultan_ALghi","@Sultan_ALghi")</f>
        <v>@Sultan_ALghi</v>
      </c>
      <c r="C33521" t="s">
        <v>14001</v>
      </c>
      <c r="D33521">
        <v>0</v>
      </c>
      <c r="E33521">
        <v>0</v>
      </c>
      <c r="F33521">
        <v>329</v>
      </c>
    </row>
    <row r="33522" spans="1:6" ht="12.75">
      <c r="A33522" s="2">
        <v>43875.396956018521</v>
      </c>
      <c r="B33522" t="str">
        <f>HYPERLINK("https://twitter.com/tribunjabar","@tribunjabar")</f>
        <v>@tribunjabar</v>
      </c>
      <c r="C33522" t="s">
        <v>14002</v>
      </c>
      <c r="D33522">
        <v>0</v>
      </c>
      <c r="E33522">
        <v>0</v>
      </c>
      <c r="F33522">
        <v>63048</v>
      </c>
    </row>
    <row r="33523" spans="1:6" ht="12.75">
      <c r="A33523" s="2">
        <v>43875.396921296298</v>
      </c>
      <c r="B33523" t="str">
        <f>HYPERLINK("https://twitter.com/a_onepray","@a_onepray")</f>
        <v>@a_onepray</v>
      </c>
      <c r="C33523" t="s">
        <v>14003</v>
      </c>
      <c r="D33523">
        <v>0</v>
      </c>
      <c r="E33523">
        <v>0</v>
      </c>
      <c r="F33523">
        <v>159</v>
      </c>
    </row>
    <row r="33524" spans="1:6" ht="12.75">
      <c r="A33524" s="2">
        <v>43875.396747685183</v>
      </c>
      <c r="B33524" t="str">
        <f>HYPERLINK("https://twitter.com/sumsel_update","@sumsel_update")</f>
        <v>@sumsel_update</v>
      </c>
      <c r="C33524" t="s">
        <v>14004</v>
      </c>
      <c r="D33524">
        <v>0</v>
      </c>
      <c r="E33524">
        <v>0</v>
      </c>
      <c r="F33524">
        <v>996</v>
      </c>
    </row>
    <row r="33525" spans="1:6" ht="12.75">
      <c r="A33525" s="2">
        <v>43875.396666666667</v>
      </c>
      <c r="B33525" t="str">
        <f>HYPERLINK("https://twitter.com/AldinoPasha","@AldinoPasha")</f>
        <v>@AldinoPasha</v>
      </c>
      <c r="C33525" t="s">
        <v>14005</v>
      </c>
      <c r="D33525">
        <v>87</v>
      </c>
      <c r="E33525">
        <v>0</v>
      </c>
      <c r="F33525">
        <v>32</v>
      </c>
    </row>
    <row r="33526" spans="1:6" ht="12.75">
      <c r="A33526" s="2">
        <v>43875.396458333329</v>
      </c>
      <c r="B33526" t="str">
        <f>HYPERLINK("https://twitter.com/iwannoeg","@iwannoeg")</f>
        <v>@iwannoeg</v>
      </c>
      <c r="C33526" t="s">
        <v>10542</v>
      </c>
      <c r="D33526">
        <v>129</v>
      </c>
      <c r="E33526">
        <v>0</v>
      </c>
      <c r="F33526">
        <v>205</v>
      </c>
    </row>
    <row r="33527" spans="1:6" ht="12.75">
      <c r="A33527" s="2">
        <v>43875.396296296298</v>
      </c>
      <c r="B33527" t="str">
        <f>HYPERLINK("https://twitter.com/triandrik","@triandrik")</f>
        <v>@triandrik</v>
      </c>
      <c r="C33527" t="s">
        <v>7803</v>
      </c>
      <c r="D33527">
        <v>303</v>
      </c>
      <c r="E33527">
        <v>0</v>
      </c>
      <c r="F33527">
        <v>747</v>
      </c>
    </row>
    <row r="33528" spans="1:6" ht="12.75">
      <c r="A33528" s="2">
        <v>43875.396180555559</v>
      </c>
      <c r="B33528" t="str">
        <f>HYPERLINK("https://twitter.com/AlbertusPrabono","@AlbertusPrabono")</f>
        <v>@AlbertusPrabono</v>
      </c>
      <c r="C33528" t="s">
        <v>14006</v>
      </c>
      <c r="D33528">
        <v>0</v>
      </c>
      <c r="E33528">
        <v>0</v>
      </c>
      <c r="F33528">
        <v>94</v>
      </c>
    </row>
    <row r="33529" spans="1:6" ht="12.75">
      <c r="A33529" s="2">
        <v>43875.396122685182</v>
      </c>
      <c r="B33529" t="str">
        <f>HYPERLINK("https://twitter.com/tutsalfabet","@tutsalfabet")</f>
        <v>@tutsalfabet</v>
      </c>
      <c r="C33529" t="s">
        <v>12560</v>
      </c>
      <c r="D33529">
        <v>25</v>
      </c>
      <c r="E33529">
        <v>0</v>
      </c>
      <c r="F33529">
        <v>190</v>
      </c>
    </row>
    <row r="33530" spans="1:6" ht="12.75">
      <c r="A33530" s="2">
        <v>43875.396111111113</v>
      </c>
      <c r="B33530" t="str">
        <f>HYPERLINK("https://twitter.com/gusary","@gusary")</f>
        <v>@gusary</v>
      </c>
      <c r="C33530" t="s">
        <v>10307</v>
      </c>
      <c r="D33530">
        <v>55</v>
      </c>
      <c r="E33530">
        <v>0</v>
      </c>
      <c r="F33530">
        <v>277</v>
      </c>
    </row>
    <row r="33531" spans="1:6" ht="12.75">
      <c r="A33531" s="2">
        <v>43875.396041666667</v>
      </c>
      <c r="B33531" t="str">
        <f>HYPERLINK("https://twitter.com/fasyifauzia","@fasyifauzia")</f>
        <v>@fasyifauzia</v>
      </c>
      <c r="C33531" t="s">
        <v>14007</v>
      </c>
      <c r="D33531">
        <v>1</v>
      </c>
      <c r="E33531">
        <v>1</v>
      </c>
      <c r="F33531">
        <v>135</v>
      </c>
    </row>
    <row r="33532" spans="1:6" ht="12.75">
      <c r="A33532" s="2">
        <v>43875.395983796298</v>
      </c>
      <c r="B33532" t="str">
        <f>HYPERLINK("https://twitter.com/Wenseokjin_","@Wenseokjin_")</f>
        <v>@Wenseokjin_</v>
      </c>
      <c r="C33532" t="s">
        <v>14008</v>
      </c>
      <c r="D33532">
        <v>0</v>
      </c>
      <c r="E33532">
        <v>0</v>
      </c>
      <c r="F33532">
        <v>1086</v>
      </c>
    </row>
    <row r="33533" spans="1:6" ht="12.75">
      <c r="A33533" s="2">
        <v>43875.395972222221</v>
      </c>
      <c r="B33533" t="str">
        <f>HYPERLINK("https://twitter.com/AbAbdiq","@AbAbdiq")</f>
        <v>@AbAbdiq</v>
      </c>
      <c r="C33533" t="s">
        <v>14009</v>
      </c>
      <c r="D33533">
        <v>0</v>
      </c>
      <c r="E33533">
        <v>1</v>
      </c>
      <c r="F33533">
        <v>2</v>
      </c>
    </row>
    <row r="33534" spans="1:6" ht="12.75">
      <c r="A33534" s="2">
        <v>43875.395879629628</v>
      </c>
      <c r="B33534" t="str">
        <f>HYPERLINK("https://twitter.com/KontanNews","@KontanNews")</f>
        <v>@KontanNews</v>
      </c>
      <c r="C33534" t="s">
        <v>14010</v>
      </c>
      <c r="D33534">
        <v>0</v>
      </c>
      <c r="E33534">
        <v>1</v>
      </c>
      <c r="F33534">
        <v>316269</v>
      </c>
    </row>
    <row r="33535" spans="1:6" ht="12.75">
      <c r="A33535" s="2">
        <v>43875.395844907413</v>
      </c>
      <c r="B33535" t="str">
        <f>HYPERLINK("https://twitter.com/DreamersRadioID","@DreamersRadioID")</f>
        <v>@DreamersRadioID</v>
      </c>
      <c r="C33535" t="s">
        <v>708</v>
      </c>
      <c r="D33535">
        <v>0</v>
      </c>
      <c r="E33535">
        <v>0</v>
      </c>
      <c r="F33535">
        <v>75549</v>
      </c>
    </row>
    <row r="33536" spans="1:6" ht="12.75">
      <c r="A33536" s="2">
        <v>43875.395833333328</v>
      </c>
      <c r="B33536" t="str">
        <f>HYPERLINK("https://twitter.com/temponewsroom","@temponewsroom")</f>
        <v>@temponewsroom</v>
      </c>
      <c r="C33536" t="s">
        <v>11067</v>
      </c>
      <c r="D33536">
        <v>8</v>
      </c>
      <c r="E33536">
        <v>0</v>
      </c>
      <c r="F33536">
        <v>739555</v>
      </c>
    </row>
    <row r="33537" spans="1:6" ht="12.75">
      <c r="A33537" s="2">
        <v>43875.395787037036</v>
      </c>
      <c r="B33537" t="str">
        <f>HYPERLINK("https://twitter.com/jeremy75005798","@jeremy75005798")</f>
        <v>@jeremy75005798</v>
      </c>
      <c r="C33537" t="s">
        <v>14011</v>
      </c>
      <c r="D33537">
        <v>0</v>
      </c>
      <c r="E33537">
        <v>0</v>
      </c>
      <c r="F33537">
        <v>4</v>
      </c>
    </row>
    <row r="33538" spans="1:6" ht="12.75">
      <c r="A33538" s="2">
        <v>43875.395787037036</v>
      </c>
      <c r="B33538" t="str">
        <f>HYPERLINK("https://twitter.com/Budyono77","@Budyono77")</f>
        <v>@Budyono77</v>
      </c>
      <c r="C33538" t="s">
        <v>14012</v>
      </c>
      <c r="D33538">
        <v>0</v>
      </c>
      <c r="E33538">
        <v>0</v>
      </c>
      <c r="F33538">
        <v>52</v>
      </c>
    </row>
    <row r="33539" spans="1:6" ht="12.75">
      <c r="A33539" s="2">
        <v>43875.395740740743</v>
      </c>
      <c r="B33539" t="str">
        <f>HYPERLINK("https://twitter.com/kotakabu2","@kotakabu2")</f>
        <v>@kotakabu2</v>
      </c>
      <c r="C33539" t="s">
        <v>14013</v>
      </c>
      <c r="D33539">
        <v>1</v>
      </c>
      <c r="E33539">
        <v>0</v>
      </c>
      <c r="F33539">
        <v>139</v>
      </c>
    </row>
    <row r="33540" spans="1:6" ht="12.75">
      <c r="A33540" s="2">
        <v>43875.39570601852</v>
      </c>
      <c r="B33540" t="str">
        <f>HYPERLINK("https://twitter.com/IkhlasSajadeh","@IkhlasSajadeh")</f>
        <v>@IkhlasSajadeh</v>
      </c>
      <c r="C33540" t="s">
        <v>14014</v>
      </c>
      <c r="D33540">
        <v>0</v>
      </c>
      <c r="E33540">
        <v>0</v>
      </c>
      <c r="F33540">
        <v>78</v>
      </c>
    </row>
    <row r="33541" spans="1:6" ht="12.75">
      <c r="A33541" s="2">
        <v>43875.395671296297</v>
      </c>
      <c r="B33541" t="str">
        <f>HYPERLINK("https://twitter.com/bungamuda","@bungamuda")</f>
        <v>@bungamuda</v>
      </c>
      <c r="C33541" t="s">
        <v>14015</v>
      </c>
      <c r="D33541">
        <v>0</v>
      </c>
      <c r="E33541">
        <v>0</v>
      </c>
      <c r="F33541">
        <v>13</v>
      </c>
    </row>
    <row r="33542" spans="1:6" ht="12.75">
      <c r="A33542" s="2">
        <v>43875.395648148144</v>
      </c>
      <c r="B33542" t="str">
        <f>HYPERLINK("https://twitter.com/moustazle","@moustazle")</f>
        <v>@moustazle</v>
      </c>
      <c r="C33542" t="s">
        <v>9021</v>
      </c>
      <c r="D33542">
        <v>160</v>
      </c>
      <c r="E33542">
        <v>0</v>
      </c>
      <c r="F33542">
        <v>477</v>
      </c>
    </row>
    <row r="33543" spans="1:6" ht="12.75">
      <c r="A33543" s="2">
        <v>43875.395625000005</v>
      </c>
      <c r="B33543" t="str">
        <f>HYPERLINK("https://twitter.com/AEPishere","@AEPishere")</f>
        <v>@AEPishere</v>
      </c>
      <c r="C33543" t="s">
        <v>12468</v>
      </c>
      <c r="D33543">
        <v>2</v>
      </c>
      <c r="E33543">
        <v>0</v>
      </c>
      <c r="F33543">
        <v>3010</v>
      </c>
    </row>
    <row r="33544" spans="1:6" ht="12.75">
      <c r="A33544" s="2">
        <v>43875.395613425921</v>
      </c>
      <c r="B33544" t="str">
        <f>HYPERLINK("https://twitter.com/f_purwatmo","@f_purwatmo")</f>
        <v>@f_purwatmo</v>
      </c>
      <c r="C33544" t="s">
        <v>6982</v>
      </c>
      <c r="D33544">
        <v>84</v>
      </c>
      <c r="E33544">
        <v>0</v>
      </c>
      <c r="F33544">
        <v>398</v>
      </c>
    </row>
    <row r="33545" spans="1:6" ht="12.75">
      <c r="A33545" s="2">
        <v>43875.395613425921</v>
      </c>
      <c r="B33545" t="str">
        <f>HYPERLINK("https://twitter.com/GracesikaO","@GracesikaO")</f>
        <v>@GracesikaO</v>
      </c>
      <c r="C33545" t="s">
        <v>14016</v>
      </c>
      <c r="D33545">
        <v>0</v>
      </c>
      <c r="E33545">
        <v>0</v>
      </c>
      <c r="F33545">
        <v>23</v>
      </c>
    </row>
    <row r="33546" spans="1:6" ht="12.75">
      <c r="A33546" s="2">
        <v>43875.395520833335</v>
      </c>
      <c r="B33546" t="str">
        <f>HYPERLINK("https://twitter.com/PuryantiL","@PuryantiL")</f>
        <v>@PuryantiL</v>
      </c>
      <c r="C33546" t="s">
        <v>2126</v>
      </c>
      <c r="D33546">
        <v>2797</v>
      </c>
      <c r="E33546">
        <v>0</v>
      </c>
      <c r="F33546">
        <v>27</v>
      </c>
    </row>
    <row r="33547" spans="1:6" ht="12.75">
      <c r="A33547" s="2">
        <v>43875.395509259259</v>
      </c>
      <c r="B33547" t="str">
        <f>HYPERLINK("https://twitter.com/DanteKoonan","@DanteKoonan")</f>
        <v>@DanteKoonan</v>
      </c>
      <c r="C33547" t="s">
        <v>12560</v>
      </c>
      <c r="D33547">
        <v>25</v>
      </c>
      <c r="E33547">
        <v>0</v>
      </c>
      <c r="F33547">
        <v>189</v>
      </c>
    </row>
    <row r="33548" spans="1:6" ht="12.75">
      <c r="A33548" s="2">
        <v>43875.395405092597</v>
      </c>
      <c r="B33548" t="str">
        <f>HYPERLINK("https://twitter.com/Mr_Rofer","@Mr_Rofer")</f>
        <v>@Mr_Rofer</v>
      </c>
      <c r="C33548" t="s">
        <v>12845</v>
      </c>
      <c r="D33548">
        <v>36</v>
      </c>
      <c r="E33548">
        <v>0</v>
      </c>
      <c r="F33548">
        <v>136</v>
      </c>
    </row>
    <row r="33549" spans="1:6" ht="12.75">
      <c r="A33549" s="2">
        <v>43875.39534722222</v>
      </c>
      <c r="B33549" t="str">
        <f>HYPERLINK("https://twitter.com/temukonco","@temukonco")</f>
        <v>@temukonco</v>
      </c>
      <c r="C33549" t="s">
        <v>8233</v>
      </c>
      <c r="D33549">
        <v>316</v>
      </c>
      <c r="E33549">
        <v>0</v>
      </c>
      <c r="F33549">
        <v>3343</v>
      </c>
    </row>
    <row r="33550" spans="1:6" ht="12.75">
      <c r="A33550" s="2">
        <v>43875.39534722222</v>
      </c>
      <c r="B33550" t="str">
        <f>HYPERLINK("https://twitter.com/IlfanIlyas","@IlfanIlyas")</f>
        <v>@IlfanIlyas</v>
      </c>
      <c r="C33550" t="s">
        <v>10121</v>
      </c>
      <c r="D33550">
        <v>160</v>
      </c>
      <c r="E33550">
        <v>0</v>
      </c>
      <c r="F33550">
        <v>152</v>
      </c>
    </row>
    <row r="33551" spans="1:6" ht="12.75">
      <c r="A33551" s="2">
        <v>43875.395277777774</v>
      </c>
      <c r="B33551" t="str">
        <f>HYPERLINK("https://twitter.com/izharchaniago","@izharchaniago")</f>
        <v>@izharchaniago</v>
      </c>
      <c r="C33551" t="s">
        <v>14017</v>
      </c>
      <c r="D33551">
        <v>0</v>
      </c>
      <c r="E33551">
        <v>0</v>
      </c>
      <c r="F33551">
        <v>1455</v>
      </c>
    </row>
    <row r="33552" spans="1:6" ht="12.75">
      <c r="A33552" s="2">
        <v>43875.395243055551</v>
      </c>
      <c r="B33552" t="str">
        <f>HYPERLINK("https://twitter.com/H4_Be","@H4_Be")</f>
        <v>@H4_Be</v>
      </c>
      <c r="C33552" t="s">
        <v>14018</v>
      </c>
      <c r="D33552">
        <v>1</v>
      </c>
      <c r="E33552">
        <v>0</v>
      </c>
      <c r="F33552">
        <v>191</v>
      </c>
    </row>
    <row r="33553" spans="1:6" ht="12.75">
      <c r="A33553" s="2">
        <v>43875.395231481481</v>
      </c>
      <c r="B33553" t="str">
        <f>HYPERLINK("https://twitter.com/TKupat","@TKupat")</f>
        <v>@TKupat</v>
      </c>
      <c r="C33553" t="s">
        <v>14019</v>
      </c>
      <c r="D33553">
        <v>0</v>
      </c>
      <c r="E33553">
        <v>1</v>
      </c>
      <c r="F33553">
        <v>74</v>
      </c>
    </row>
    <row r="33554" spans="1:6" ht="12.75">
      <c r="A33554" s="2">
        <v>43875.395115740743</v>
      </c>
      <c r="B33554" t="str">
        <f>HYPERLINK("https://twitter.com/ephraym8","@ephraym8")</f>
        <v>@ephraym8</v>
      </c>
      <c r="C33554" t="s">
        <v>10422</v>
      </c>
      <c r="D33554">
        <v>47</v>
      </c>
      <c r="E33554">
        <v>0</v>
      </c>
      <c r="F33554">
        <v>1111</v>
      </c>
    </row>
    <row r="33555" spans="1:6" ht="12.75">
      <c r="A33555" s="2">
        <v>43875.395104166666</v>
      </c>
      <c r="B33555" t="str">
        <f>HYPERLINK("https://twitter.com/galihsatr","@galihsatr")</f>
        <v>@galihsatr</v>
      </c>
      <c r="C33555" t="s">
        <v>9021</v>
      </c>
      <c r="D33555">
        <v>160</v>
      </c>
      <c r="E33555">
        <v>0</v>
      </c>
      <c r="F33555">
        <v>2081</v>
      </c>
    </row>
    <row r="33556" spans="1:6" ht="12.75">
      <c r="A33556" s="2">
        <v>43875.395046296297</v>
      </c>
      <c r="B33556" t="str">
        <f>HYPERLINK("https://twitter.com/f_purwatmo","@f_purwatmo")</f>
        <v>@f_purwatmo</v>
      </c>
      <c r="C33556" t="s">
        <v>9096</v>
      </c>
      <c r="D33556">
        <v>162</v>
      </c>
      <c r="E33556">
        <v>0</v>
      </c>
      <c r="F33556">
        <v>398</v>
      </c>
    </row>
    <row r="33557" spans="1:6" ht="12.75">
      <c r="A33557" s="2">
        <v>43875.395023148143</v>
      </c>
      <c r="B33557" t="str">
        <f>HYPERLINK("https://twitter.com/resafahlevi14","@resafahlevi14")</f>
        <v>@resafahlevi14</v>
      </c>
      <c r="C33557" t="s">
        <v>2963</v>
      </c>
      <c r="D33557">
        <v>564</v>
      </c>
      <c r="E33557">
        <v>0</v>
      </c>
      <c r="F33557">
        <v>361</v>
      </c>
    </row>
    <row r="33558" spans="1:6" ht="12.75">
      <c r="A33558" s="2">
        <v>43875.394988425927</v>
      </c>
      <c r="B33558" t="str">
        <f>HYPERLINK("https://twitter.com/koekinekoneko","@koekinekoneko")</f>
        <v>@koekinekoneko</v>
      </c>
      <c r="C33558" t="s">
        <v>14020</v>
      </c>
      <c r="D33558">
        <v>0</v>
      </c>
      <c r="E33558">
        <v>0</v>
      </c>
      <c r="F33558">
        <v>424</v>
      </c>
    </row>
    <row r="33559" spans="1:6" ht="12.75">
      <c r="A33559" s="2">
        <v>43875.394976851851</v>
      </c>
      <c r="B33559" t="str">
        <f>HYPERLINK("https://twitter.com/LaRose78992426","@LaRose78992426")</f>
        <v>@LaRose78992426</v>
      </c>
      <c r="C33559" t="s">
        <v>12794</v>
      </c>
      <c r="D33559">
        <v>66</v>
      </c>
      <c r="E33559">
        <v>0</v>
      </c>
      <c r="F33559">
        <v>258</v>
      </c>
    </row>
    <row r="33560" spans="1:6" ht="12.75">
      <c r="A33560" s="2">
        <v>43875.394895833335</v>
      </c>
      <c r="B33560" t="str">
        <f>HYPERLINK("https://twitter.com/atiqohaja","@atiqohaja")</f>
        <v>@atiqohaja</v>
      </c>
      <c r="C33560" t="s">
        <v>2963</v>
      </c>
      <c r="D33560">
        <v>564</v>
      </c>
      <c r="E33560">
        <v>0</v>
      </c>
      <c r="F33560">
        <v>79</v>
      </c>
    </row>
    <row r="33561" spans="1:6" ht="12.75">
      <c r="A33561" s="2">
        <v>43875.394837962958</v>
      </c>
      <c r="B33561" t="str">
        <f>HYPERLINK("https://twitter.com/FDerKanzler","@FDerKanzler")</f>
        <v>@FDerKanzler</v>
      </c>
      <c r="C33561" t="s">
        <v>9186</v>
      </c>
      <c r="D33561">
        <v>97</v>
      </c>
      <c r="E33561">
        <v>0</v>
      </c>
      <c r="F33561">
        <v>2009</v>
      </c>
    </row>
    <row r="33562" spans="1:6" ht="12.75">
      <c r="A33562" s="2">
        <v>43875.394675925927</v>
      </c>
      <c r="B33562" t="str">
        <f>HYPERLINK("https://twitter.com/kafara666","@kafara666")</f>
        <v>@kafara666</v>
      </c>
      <c r="C33562" t="s">
        <v>14021</v>
      </c>
      <c r="D33562">
        <v>1</v>
      </c>
      <c r="E33562">
        <v>0</v>
      </c>
      <c r="F33562">
        <v>66</v>
      </c>
    </row>
    <row r="33563" spans="1:6" ht="12.75">
      <c r="A33563" s="2">
        <v>43875.394629629634</v>
      </c>
      <c r="B33563" t="str">
        <f>HYPERLINK("https://twitter.com/RadioDakta","@RadioDakta")</f>
        <v>@RadioDakta</v>
      </c>
      <c r="C33563" t="s">
        <v>14022</v>
      </c>
      <c r="D33563">
        <v>0</v>
      </c>
      <c r="E33563">
        <v>0</v>
      </c>
      <c r="F33563">
        <v>33770</v>
      </c>
    </row>
    <row r="33564" spans="1:6" ht="12.75">
      <c r="A33564" s="2">
        <v>43875.394606481481</v>
      </c>
      <c r="B33564" t="str">
        <f>HYPERLINK("https://twitter.com/findoppa","@findoppa")</f>
        <v>@findoppa</v>
      </c>
      <c r="C33564" t="s">
        <v>5168</v>
      </c>
      <c r="D33564">
        <v>461</v>
      </c>
      <c r="E33564">
        <v>0</v>
      </c>
      <c r="F33564">
        <v>255</v>
      </c>
    </row>
    <row r="33565" spans="1:6" ht="12.75">
      <c r="A33565" s="2">
        <v>43875.394490740742</v>
      </c>
      <c r="B33565" t="str">
        <f>HYPERLINK("https://twitter.com/delkusuk","@delkusuk")</f>
        <v>@delkusuk</v>
      </c>
      <c r="C33565" t="s">
        <v>14023</v>
      </c>
      <c r="D33565">
        <v>1</v>
      </c>
      <c r="E33565">
        <v>0</v>
      </c>
      <c r="F33565">
        <v>209</v>
      </c>
    </row>
    <row r="33566" spans="1:6" ht="12.75">
      <c r="A33566" s="2">
        <v>43875.394479166665</v>
      </c>
      <c r="B33566" t="str">
        <f>HYPERLINK("https://twitter.com/kafara666","@kafara666")</f>
        <v>@kafara666</v>
      </c>
      <c r="C33566" t="s">
        <v>14024</v>
      </c>
      <c r="D33566">
        <v>0</v>
      </c>
      <c r="E33566">
        <v>0</v>
      </c>
      <c r="F33566">
        <v>66</v>
      </c>
    </row>
    <row r="33567" spans="1:6" ht="12.75">
      <c r="A33567" s="2">
        <v>43875.39444444445</v>
      </c>
      <c r="B33567" t="str">
        <f>HYPERLINK("https://twitter.com/Brainstorming61","@Brainstorming61")</f>
        <v>@Brainstorming61</v>
      </c>
      <c r="C33567" t="s">
        <v>14025</v>
      </c>
      <c r="D33567">
        <v>0</v>
      </c>
      <c r="E33567">
        <v>0</v>
      </c>
      <c r="F33567">
        <v>0</v>
      </c>
    </row>
    <row r="33568" spans="1:6" ht="12.75">
      <c r="A33568" s="2">
        <v>43875.394409722227</v>
      </c>
      <c r="B33568" t="str">
        <f>HYPERLINK("https://twitter.com/SiaLeisHitam","@SiaLeisHitam")</f>
        <v>@SiaLeisHitam</v>
      </c>
      <c r="C33568" t="s">
        <v>11167</v>
      </c>
      <c r="D33568">
        <v>153</v>
      </c>
      <c r="E33568">
        <v>0</v>
      </c>
      <c r="F33568">
        <v>14</v>
      </c>
    </row>
    <row r="33569" spans="1:6" ht="12.75">
      <c r="A33569" s="2">
        <v>43875.394386574073</v>
      </c>
      <c r="B33569" t="str">
        <f>HYPERLINK("https://twitter.com/yaqinchoirul","@yaqinchoirul")</f>
        <v>@yaqinchoirul</v>
      </c>
      <c r="C33569" t="s">
        <v>2086</v>
      </c>
      <c r="D33569">
        <v>21</v>
      </c>
      <c r="E33569">
        <v>0</v>
      </c>
      <c r="F33569">
        <v>339</v>
      </c>
    </row>
    <row r="33570" spans="1:6" ht="12.75">
      <c r="A33570" s="2">
        <v>43875.394363425927</v>
      </c>
      <c r="B33570" t="str">
        <f>HYPERLINK("https://twitter.com/naruto31002259","@naruto31002259")</f>
        <v>@naruto31002259</v>
      </c>
      <c r="C33570" t="s">
        <v>9998</v>
      </c>
      <c r="D33570">
        <v>67</v>
      </c>
      <c r="E33570">
        <v>0</v>
      </c>
      <c r="F33570">
        <v>1600</v>
      </c>
    </row>
    <row r="33571" spans="1:6" ht="12.75">
      <c r="A33571" s="2">
        <v>43875.394201388888</v>
      </c>
      <c r="B33571" t="str">
        <f>HYPERLINK("https://twitter.com/btungka1997","@btungka1997")</f>
        <v>@btungka1997</v>
      </c>
      <c r="C33571" t="s">
        <v>11394</v>
      </c>
      <c r="D33571">
        <v>21</v>
      </c>
      <c r="E33571">
        <v>0</v>
      </c>
      <c r="F33571">
        <v>398</v>
      </c>
    </row>
    <row r="33572" spans="1:6" ht="12.75">
      <c r="A33572" s="2">
        <v>43875.394085648149</v>
      </c>
      <c r="B33572" t="str">
        <f>HYPERLINK("https://twitter.com/visitortwt1","@visitortwt1")</f>
        <v>@visitortwt1</v>
      </c>
      <c r="C33572" t="s">
        <v>10032</v>
      </c>
      <c r="D33572">
        <v>19</v>
      </c>
      <c r="E33572">
        <v>0</v>
      </c>
      <c r="F33572">
        <v>358</v>
      </c>
    </row>
    <row r="33573" spans="1:6" ht="12.75">
      <c r="A33573" s="2">
        <v>43875.39398148148</v>
      </c>
      <c r="B33573" t="str">
        <f>HYPERLINK("https://twitter.com/yolpratama","@yolpratama")</f>
        <v>@yolpratama</v>
      </c>
      <c r="C33573" t="s">
        <v>14026</v>
      </c>
      <c r="D33573">
        <v>1</v>
      </c>
      <c r="E33573">
        <v>0</v>
      </c>
      <c r="F33573">
        <v>296</v>
      </c>
    </row>
    <row r="33574" spans="1:6" ht="12.75">
      <c r="A33574" s="2">
        <v>43875.393935185188</v>
      </c>
      <c r="B33574" t="str">
        <f>HYPERLINK("https://twitter.com/anissanuruul","@anissanuruul")</f>
        <v>@anissanuruul</v>
      </c>
      <c r="C33574" t="s">
        <v>2137</v>
      </c>
      <c r="D33574">
        <v>33</v>
      </c>
      <c r="E33574">
        <v>0</v>
      </c>
      <c r="F33574">
        <v>610</v>
      </c>
    </row>
    <row r="33575" spans="1:6" ht="12.75">
      <c r="A33575" s="2">
        <v>43875.393923611111</v>
      </c>
      <c r="B33575" t="str">
        <f>HYPERLINK("https://twitter.com/jadedmeidinah","@jadedmeidinah")</f>
        <v>@jadedmeidinah</v>
      </c>
      <c r="C33575" t="s">
        <v>5168</v>
      </c>
      <c r="D33575">
        <v>461</v>
      </c>
      <c r="E33575">
        <v>0</v>
      </c>
      <c r="F33575">
        <v>140</v>
      </c>
    </row>
    <row r="33576" spans="1:6" ht="12.75">
      <c r="A33576" s="2">
        <v>43875.393900462965</v>
      </c>
      <c r="B33576" t="str">
        <f>HYPERLINK("https://twitter.com/dabenone2","@dabenone2")</f>
        <v>@dabenone2</v>
      </c>
      <c r="C33576" t="s">
        <v>10407</v>
      </c>
      <c r="D33576">
        <v>38</v>
      </c>
      <c r="E33576">
        <v>0</v>
      </c>
      <c r="F33576">
        <v>43</v>
      </c>
    </row>
    <row r="33577" spans="1:6" ht="12.75">
      <c r="A33577" s="2">
        <v>43875.393888888888</v>
      </c>
      <c r="B33577" t="str">
        <f>HYPERLINK("https://twitter.com/Hendry_VAAN","@Hendry_VAAN")</f>
        <v>@Hendry_VAAN</v>
      </c>
      <c r="C33577" t="s">
        <v>10407</v>
      </c>
      <c r="D33577">
        <v>38</v>
      </c>
      <c r="E33577">
        <v>0</v>
      </c>
      <c r="F33577">
        <v>552</v>
      </c>
    </row>
    <row r="33578" spans="1:6" ht="12.75">
      <c r="A33578" s="2">
        <v>43875.393831018519</v>
      </c>
      <c r="B33578" t="str">
        <f>HYPERLINK("https://twitter.com/AmadL","@AmadL")</f>
        <v>@AmadL</v>
      </c>
      <c r="C33578" t="s">
        <v>14027</v>
      </c>
      <c r="D33578">
        <v>0</v>
      </c>
      <c r="E33578">
        <v>0</v>
      </c>
      <c r="F33578">
        <v>253</v>
      </c>
    </row>
    <row r="33579" spans="1:6" ht="12.75">
      <c r="A33579" s="2">
        <v>43875.393819444449</v>
      </c>
      <c r="B33579" t="str">
        <f>HYPERLINK("https://twitter.com/Kawanowo_Budi_S","@Kawanowo_Budi_S")</f>
        <v>@Kawanowo_Budi_S</v>
      </c>
      <c r="C33579" t="s">
        <v>12560</v>
      </c>
      <c r="D33579">
        <v>25</v>
      </c>
      <c r="E33579">
        <v>0</v>
      </c>
      <c r="F33579">
        <v>149</v>
      </c>
    </row>
    <row r="33580" spans="1:6" ht="12.75">
      <c r="A33580" s="2">
        <v>43875.393726851849</v>
      </c>
      <c r="B33580" t="str">
        <f>HYPERLINK("https://twitter.com/taufikaboe","@taufikaboe")</f>
        <v>@taufikaboe</v>
      </c>
      <c r="C33580" t="s">
        <v>10096</v>
      </c>
      <c r="D33580">
        <v>77</v>
      </c>
      <c r="E33580">
        <v>0</v>
      </c>
      <c r="F33580">
        <v>50</v>
      </c>
    </row>
    <row r="33581" spans="1:6" ht="12.75">
      <c r="A33581" s="2">
        <v>43875.39366898148</v>
      </c>
      <c r="B33581" t="str">
        <f>HYPERLINK("https://twitter.com/Kakaknyabaekho","@Kakaknyabaekho")</f>
        <v>@Kakaknyabaekho</v>
      </c>
      <c r="C33581" t="s">
        <v>5168</v>
      </c>
      <c r="D33581">
        <v>461</v>
      </c>
      <c r="E33581">
        <v>0</v>
      </c>
      <c r="F33581">
        <v>24</v>
      </c>
    </row>
    <row r="33582" spans="1:6" ht="12.75">
      <c r="A33582" s="2">
        <v>43875.393495370372</v>
      </c>
      <c r="B33582" t="str">
        <f>HYPERLINK("https://twitter.com/GondoL48705996","@GondoL48705996")</f>
        <v>@GondoL48705996</v>
      </c>
      <c r="C33582" t="s">
        <v>14028</v>
      </c>
      <c r="D33582">
        <v>0</v>
      </c>
      <c r="E33582">
        <v>0</v>
      </c>
      <c r="F33582">
        <v>5</v>
      </c>
    </row>
    <row r="33583" spans="1:6" ht="12.75">
      <c r="A33583" s="2">
        <v>43875.393472222218</v>
      </c>
      <c r="B33583" t="str">
        <f>HYPERLINK("https://twitter.com/izharchaniago","@izharchaniago")</f>
        <v>@izharchaniago</v>
      </c>
      <c r="C33583" t="s">
        <v>14029</v>
      </c>
      <c r="D33583">
        <v>1</v>
      </c>
      <c r="E33583">
        <v>0</v>
      </c>
      <c r="F33583">
        <v>1455</v>
      </c>
    </row>
    <row r="33584" spans="1:6" ht="12.75">
      <c r="A33584" s="2">
        <v>43875.393263888887</v>
      </c>
      <c r="B33584" t="str">
        <f>HYPERLINK("https://twitter.com/abdulha81873381","@abdulha81873381")</f>
        <v>@abdulha81873381</v>
      </c>
      <c r="C33584" t="s">
        <v>2122</v>
      </c>
      <c r="D33584">
        <v>183</v>
      </c>
      <c r="E33584">
        <v>0</v>
      </c>
      <c r="F33584">
        <v>323</v>
      </c>
    </row>
    <row r="33585" spans="1:6" ht="12.75">
      <c r="A33585" s="2">
        <v>43875.393090277779</v>
      </c>
      <c r="B33585" t="str">
        <f>HYPERLINK("https://twitter.com/rommy_analyst","@rommy_analyst")</f>
        <v>@rommy_analyst</v>
      </c>
      <c r="C33585" t="s">
        <v>9998</v>
      </c>
      <c r="D33585">
        <v>67</v>
      </c>
      <c r="E33585">
        <v>0</v>
      </c>
      <c r="F33585">
        <v>92</v>
      </c>
    </row>
    <row r="33586" spans="1:6" ht="12.75">
      <c r="A33586" s="2">
        <v>43875.393032407403</v>
      </c>
      <c r="B33586" t="str">
        <f>HYPERLINK("https://twitter.com/jay_arsilombok","@jay_arsilombok")</f>
        <v>@jay_arsilombok</v>
      </c>
      <c r="C33586" t="s">
        <v>14030</v>
      </c>
      <c r="D33586">
        <v>1</v>
      </c>
      <c r="E33586">
        <v>0</v>
      </c>
      <c r="F33586">
        <v>68</v>
      </c>
    </row>
    <row r="33587" spans="1:6" ht="12.75">
      <c r="A33587" s="2">
        <v>43875.393020833333</v>
      </c>
      <c r="B33587" t="str">
        <f>HYPERLINK("https://twitter.com/AzharFa62491419","@AzharFa62491419")</f>
        <v>@AzharFa62491419</v>
      </c>
      <c r="C33587" t="s">
        <v>12559</v>
      </c>
      <c r="D33587">
        <v>3</v>
      </c>
      <c r="E33587">
        <v>0</v>
      </c>
      <c r="F33587">
        <v>234</v>
      </c>
    </row>
    <row r="33588" spans="1:6" ht="12.75">
      <c r="A33588" s="2">
        <v>43875.392962962964</v>
      </c>
      <c r="B33588" t="str">
        <f>HYPERLINK("https://twitter.com/2103_R4CHM4","@2103_R4CHM4")</f>
        <v>@2103_R4CHM4</v>
      </c>
      <c r="C33588" t="s">
        <v>12273</v>
      </c>
      <c r="D33588">
        <v>4</v>
      </c>
      <c r="E33588">
        <v>0</v>
      </c>
      <c r="F33588">
        <v>2305</v>
      </c>
    </row>
    <row r="33589" spans="1:6" ht="12.75">
      <c r="A33589" s="2">
        <v>43875.392928240741</v>
      </c>
      <c r="B33589" t="str">
        <f>HYPERLINK("https://twitter.com/adnmip","@adnmip")</f>
        <v>@adnmip</v>
      </c>
      <c r="C33589" t="s">
        <v>14031</v>
      </c>
      <c r="D33589">
        <v>0</v>
      </c>
      <c r="E33589">
        <v>0</v>
      </c>
      <c r="F33589">
        <v>20</v>
      </c>
    </row>
    <row r="33590" spans="1:6" ht="12.75">
      <c r="A33590" s="2">
        <v>43875.392928240741</v>
      </c>
      <c r="B33590" t="str">
        <f>HYPERLINK("https://twitter.com/btungka1997","@btungka1997")</f>
        <v>@btungka1997</v>
      </c>
      <c r="C33590" t="s">
        <v>2963</v>
      </c>
      <c r="D33590">
        <v>564</v>
      </c>
      <c r="E33590">
        <v>0</v>
      </c>
      <c r="F33590">
        <v>398</v>
      </c>
    </row>
    <row r="33591" spans="1:6" ht="12.75">
      <c r="A33591" s="2">
        <v>43875.392870370371</v>
      </c>
      <c r="B33591" t="str">
        <f>HYPERLINK("https://twitter.com/rahma_agun","@rahma_agun")</f>
        <v>@rahma_agun</v>
      </c>
      <c r="C33591" t="s">
        <v>5168</v>
      </c>
      <c r="D33591">
        <v>461</v>
      </c>
      <c r="E33591">
        <v>0</v>
      </c>
      <c r="F33591">
        <v>4141</v>
      </c>
    </row>
    <row r="33592" spans="1:6" ht="12.75">
      <c r="A33592" s="2">
        <v>43875.392812499995</v>
      </c>
      <c r="B33592" t="str">
        <f>HYPERLINK("https://twitter.com/Chocooty","@Chocooty")</f>
        <v>@Chocooty</v>
      </c>
      <c r="C33592" t="s">
        <v>8349</v>
      </c>
      <c r="D33592">
        <v>6</v>
      </c>
      <c r="E33592">
        <v>0</v>
      </c>
      <c r="F33592">
        <v>344</v>
      </c>
    </row>
    <row r="33593" spans="1:6" ht="12.75">
      <c r="A33593" s="2">
        <v>43875.392812499995</v>
      </c>
      <c r="B33593" t="str">
        <f>HYPERLINK("https://twitter.com/rtnmbr","@rtnmbr")</f>
        <v>@rtnmbr</v>
      </c>
      <c r="C33593" t="s">
        <v>9998</v>
      </c>
      <c r="D33593">
        <v>67</v>
      </c>
      <c r="E33593">
        <v>0</v>
      </c>
      <c r="F33593">
        <v>109</v>
      </c>
    </row>
    <row r="33594" spans="1:6" ht="12.75">
      <c r="A33594" s="2">
        <v>43875.392731481479</v>
      </c>
      <c r="B33594" t="str">
        <f>HYPERLINK("https://twitter.com/pikiran_rakyat","@pikiran_rakyat")</f>
        <v>@pikiran_rakyat</v>
      </c>
      <c r="C33594" t="s">
        <v>14032</v>
      </c>
      <c r="D33594">
        <v>0</v>
      </c>
      <c r="E33594">
        <v>1</v>
      </c>
      <c r="F33594">
        <v>412444</v>
      </c>
    </row>
    <row r="33595" spans="1:6" ht="12.75">
      <c r="A33595" s="2">
        <v>43875.39271990741</v>
      </c>
      <c r="B33595" t="str">
        <f>HYPERLINK("https://twitter.com/gusary","@gusary")</f>
        <v>@gusary</v>
      </c>
      <c r="C33595" t="s">
        <v>2963</v>
      </c>
      <c r="D33595">
        <v>564</v>
      </c>
      <c r="E33595">
        <v>0</v>
      </c>
      <c r="F33595">
        <v>277</v>
      </c>
    </row>
    <row r="33596" spans="1:6" ht="12.75">
      <c r="A33596" s="2">
        <v>43875.392685185187</v>
      </c>
      <c r="B33596" t="str">
        <f>HYPERLINK("https://twitter.com/halim_calm","@halim_calm")</f>
        <v>@halim_calm</v>
      </c>
      <c r="C33596" t="s">
        <v>2963</v>
      </c>
      <c r="D33596">
        <v>564</v>
      </c>
      <c r="E33596">
        <v>0</v>
      </c>
      <c r="F33596">
        <v>283</v>
      </c>
    </row>
    <row r="33597" spans="1:6" ht="12.75">
      <c r="A33597" s="2">
        <v>43875.39267361111</v>
      </c>
      <c r="B33597" t="str">
        <f>HYPERLINK("https://twitter.com/AEPishere","@AEPishere")</f>
        <v>@AEPishere</v>
      </c>
      <c r="C33597" t="s">
        <v>14033</v>
      </c>
      <c r="D33597">
        <v>1</v>
      </c>
      <c r="E33597">
        <v>0</v>
      </c>
      <c r="F33597">
        <v>3010</v>
      </c>
    </row>
    <row r="33598" spans="1:6" ht="12.75">
      <c r="A33598" s="2">
        <v>43875.39262731481</v>
      </c>
      <c r="B33598" t="str">
        <f>HYPERLINK("https://twitter.com/mbahwasisbanser","@mbahwasisbanser")</f>
        <v>@mbahwasisbanser</v>
      </c>
      <c r="C33598" t="s">
        <v>14034</v>
      </c>
      <c r="D33598">
        <v>288</v>
      </c>
      <c r="E33598">
        <v>0</v>
      </c>
      <c r="F33598">
        <v>2192</v>
      </c>
    </row>
    <row r="33599" spans="1:6" ht="12.75">
      <c r="A33599" s="2">
        <v>43875.392523148148</v>
      </c>
      <c r="B33599" t="str">
        <f>HYPERLINK("https://twitter.com/nm_tjahnadi","@nm_tjahnadi")</f>
        <v>@nm_tjahnadi</v>
      </c>
      <c r="C33599" t="s">
        <v>5168</v>
      </c>
      <c r="D33599">
        <v>461</v>
      </c>
      <c r="E33599">
        <v>0</v>
      </c>
      <c r="F33599">
        <v>315</v>
      </c>
    </row>
    <row r="33600" spans="1:6" ht="12.75">
      <c r="A33600" s="2">
        <v>43875.392488425925</v>
      </c>
      <c r="B33600" t="str">
        <f>HYPERLINK("https://twitter.com/PJustitia7","@PJustitia7")</f>
        <v>@PJustitia7</v>
      </c>
      <c r="C33600" t="s">
        <v>14035</v>
      </c>
      <c r="D33600">
        <v>2</v>
      </c>
      <c r="E33600">
        <v>0</v>
      </c>
      <c r="F33600">
        <v>650</v>
      </c>
    </row>
    <row r="33601" spans="1:6" ht="12.75">
      <c r="A33601" s="2">
        <v>43875.392442129625</v>
      </c>
      <c r="B33601" t="str">
        <f>HYPERLINK("https://twitter.com/triandrik","@triandrik")</f>
        <v>@triandrik</v>
      </c>
      <c r="C33601" t="s">
        <v>6771</v>
      </c>
      <c r="D33601">
        <v>76</v>
      </c>
      <c r="E33601">
        <v>0</v>
      </c>
      <c r="F33601">
        <v>747</v>
      </c>
    </row>
    <row r="33602" spans="1:6" ht="12.75">
      <c r="A33602" s="2">
        <v>43875.392418981486</v>
      </c>
      <c r="B33602" t="str">
        <f>HYPERLINK("https://twitter.com/izharchaniago","@izharchaniago")</f>
        <v>@izharchaniago</v>
      </c>
      <c r="C33602" t="s">
        <v>13968</v>
      </c>
      <c r="D33602">
        <v>2</v>
      </c>
      <c r="E33602">
        <v>0</v>
      </c>
      <c r="F33602">
        <v>1455</v>
      </c>
    </row>
    <row r="33603" spans="1:6" ht="12.75">
      <c r="A33603" s="2">
        <v>43875.392395833333</v>
      </c>
      <c r="B33603" t="str">
        <f>HYPERLINK("https://twitter.com/irfanbinmansyur","@irfanbinmansyur")</f>
        <v>@irfanbinmansyur</v>
      </c>
      <c r="C33603" t="s">
        <v>14036</v>
      </c>
      <c r="D33603">
        <v>0</v>
      </c>
      <c r="E33603">
        <v>0</v>
      </c>
      <c r="F33603">
        <v>221</v>
      </c>
    </row>
    <row r="33604" spans="1:6" ht="12.75">
      <c r="A33604" s="2">
        <v>43875.392337962963</v>
      </c>
      <c r="B33604" t="str">
        <f>HYPERLINK("https://twitter.com/GondoL48705996","@GondoL48705996")</f>
        <v>@GondoL48705996</v>
      </c>
      <c r="C33604" t="s">
        <v>2963</v>
      </c>
      <c r="D33604">
        <v>564</v>
      </c>
      <c r="E33604">
        <v>0</v>
      </c>
      <c r="F33604">
        <v>5</v>
      </c>
    </row>
    <row r="33605" spans="1:6" ht="12.75">
      <c r="A33605" s="2">
        <v>43875.392291666663</v>
      </c>
      <c r="B33605" t="str">
        <f>HYPERLINK("https://twitter.com/musashi_masabi","@musashi_masabi")</f>
        <v>@musashi_masabi</v>
      </c>
      <c r="C33605" t="s">
        <v>14037</v>
      </c>
      <c r="D33605">
        <v>0</v>
      </c>
      <c r="E33605">
        <v>0</v>
      </c>
      <c r="F33605">
        <v>1073</v>
      </c>
    </row>
    <row r="33606" spans="1:6" ht="12.75">
      <c r="A33606" s="2">
        <v>43875.39225694444</v>
      </c>
      <c r="B33606" t="str">
        <f>HYPERLINK("https://twitter.com/sebonguwu","@sebonguwu")</f>
        <v>@sebonguwu</v>
      </c>
      <c r="C33606" t="s">
        <v>9021</v>
      </c>
      <c r="D33606">
        <v>160</v>
      </c>
      <c r="E33606">
        <v>0</v>
      </c>
      <c r="F33606">
        <v>100</v>
      </c>
    </row>
    <row r="33607" spans="1:6" ht="12.75">
      <c r="A33607" s="2">
        <v>43875.39225694444</v>
      </c>
      <c r="B33607" t="str">
        <f>HYPERLINK("https://twitter.com/mail_tenri","@mail_tenri")</f>
        <v>@mail_tenri</v>
      </c>
      <c r="C33607" t="s">
        <v>2444</v>
      </c>
      <c r="D33607">
        <v>76</v>
      </c>
      <c r="E33607">
        <v>0</v>
      </c>
      <c r="F33607">
        <v>1176</v>
      </c>
    </row>
    <row r="33608" spans="1:6" ht="12.75">
      <c r="A33608" s="2">
        <v>43875.392199074078</v>
      </c>
      <c r="B33608" t="str">
        <f>HYPERLINK("https://twitter.com/Sesa_Opas","@Sesa_Opas")</f>
        <v>@Sesa_Opas</v>
      </c>
      <c r="C33608" t="s">
        <v>5168</v>
      </c>
      <c r="D33608">
        <v>461</v>
      </c>
      <c r="E33608">
        <v>0</v>
      </c>
      <c r="F33608">
        <v>7574</v>
      </c>
    </row>
    <row r="33609" spans="1:6" ht="12.75">
      <c r="A33609" s="2">
        <v>43875.392164351855</v>
      </c>
      <c r="B33609" t="str">
        <f>HYPERLINK("https://twitter.com/jafarash13","@jafarash13")</f>
        <v>@jafarash13</v>
      </c>
      <c r="C33609" t="s">
        <v>14038</v>
      </c>
      <c r="D33609">
        <v>0</v>
      </c>
      <c r="E33609">
        <v>0</v>
      </c>
      <c r="F33609">
        <v>40</v>
      </c>
    </row>
    <row r="33610" spans="1:6" ht="12.75">
      <c r="A33610" s="2">
        <v>43875.392141203702</v>
      </c>
      <c r="B33610" t="str">
        <f>HYPERLINK("https://twitter.com/zulfan8","@zulfan8")</f>
        <v>@zulfan8</v>
      </c>
      <c r="C33610" t="s">
        <v>9998</v>
      </c>
      <c r="D33610">
        <v>67</v>
      </c>
      <c r="E33610">
        <v>0</v>
      </c>
      <c r="F33610">
        <v>265</v>
      </c>
    </row>
    <row r="33611" spans="1:6" ht="12.75">
      <c r="A33611" s="2">
        <v>43875.392106481479</v>
      </c>
      <c r="B33611" t="str">
        <f>HYPERLINK("https://twitter.com/Manurung1D","@Manurung1D")</f>
        <v>@Manurung1D</v>
      </c>
      <c r="C33611" t="s">
        <v>14039</v>
      </c>
      <c r="D33611">
        <v>0</v>
      </c>
      <c r="E33611">
        <v>2</v>
      </c>
      <c r="F33611">
        <v>587</v>
      </c>
    </row>
    <row r="33612" spans="1:6" ht="12.75">
      <c r="A33612" s="2">
        <v>43875.392060185186</v>
      </c>
      <c r="B33612" t="str">
        <f>HYPERLINK("https://twitter.com/izharchaniago","@izharchaniago")</f>
        <v>@izharchaniago</v>
      </c>
      <c r="C33612" t="s">
        <v>14040</v>
      </c>
      <c r="D33612">
        <v>3</v>
      </c>
      <c r="E33612">
        <v>0</v>
      </c>
      <c r="F33612">
        <v>1455</v>
      </c>
    </row>
    <row r="33613" spans="1:6" ht="12.75">
      <c r="A33613" s="2">
        <v>43875.39199074074</v>
      </c>
      <c r="B33613" t="str">
        <f>HYPERLINK("https://twitter.com/WartaKotaTribun","@WartaKotaTribun")</f>
        <v>@WartaKotaTribun</v>
      </c>
      <c r="C33613" t="s">
        <v>14041</v>
      </c>
      <c r="D33613">
        <v>0</v>
      </c>
      <c r="E33613">
        <v>0</v>
      </c>
      <c r="F33613">
        <v>783</v>
      </c>
    </row>
    <row r="33614" spans="1:6" ht="12.75">
      <c r="A33614" s="2">
        <v>43875.39197916667</v>
      </c>
      <c r="B33614" t="str">
        <f>HYPERLINK("https://twitter.com/2103_R4CHM4","@2103_R4CHM4")</f>
        <v>@2103_R4CHM4</v>
      </c>
      <c r="C33614" t="s">
        <v>14042</v>
      </c>
      <c r="D33614">
        <v>4</v>
      </c>
      <c r="E33614">
        <v>0</v>
      </c>
      <c r="F33614">
        <v>2305</v>
      </c>
    </row>
    <row r="33615" spans="1:6" ht="12.75">
      <c r="A33615" s="2">
        <v>43875.391782407409</v>
      </c>
      <c r="B33615" t="str">
        <f>HYPERLINK("https://twitter.com/EfendiAfik","@EfendiAfik")</f>
        <v>@EfendiAfik</v>
      </c>
      <c r="C33615" t="s">
        <v>14043</v>
      </c>
      <c r="D33615">
        <v>0</v>
      </c>
      <c r="E33615">
        <v>0</v>
      </c>
      <c r="F33615">
        <v>12</v>
      </c>
    </row>
    <row r="33616" spans="1:6" ht="12.75">
      <c r="A33616" s="2">
        <v>43875.391736111109</v>
      </c>
      <c r="B33616" t="str">
        <f>HYPERLINK("https://twitter.com/Sutrisn75924101","@Sutrisn75924101")</f>
        <v>@Sutrisn75924101</v>
      </c>
      <c r="C33616" t="s">
        <v>14044</v>
      </c>
      <c r="D33616">
        <v>3</v>
      </c>
      <c r="E33616">
        <v>0</v>
      </c>
      <c r="F33616">
        <v>434</v>
      </c>
    </row>
    <row r="33617" spans="1:6" ht="12.75">
      <c r="A33617" s="2">
        <v>43875.391724537039</v>
      </c>
      <c r="B33617" t="str">
        <f>HYPERLINK("https://twitter.com/Rita8213","@Rita8213")</f>
        <v>@Rita8213</v>
      </c>
      <c r="C33617" t="s">
        <v>14045</v>
      </c>
      <c r="D33617">
        <v>0</v>
      </c>
      <c r="E33617">
        <v>1</v>
      </c>
      <c r="F33617">
        <v>107</v>
      </c>
    </row>
    <row r="33618" spans="1:6" ht="12.75">
      <c r="A33618" s="2">
        <v>43875.391689814816</v>
      </c>
      <c r="B33618" t="str">
        <f>HYPERLINK("https://twitter.com/chivalerouze","@chivalerouze")</f>
        <v>@chivalerouze</v>
      </c>
      <c r="C33618" t="s">
        <v>2137</v>
      </c>
      <c r="D33618">
        <v>33</v>
      </c>
      <c r="E33618">
        <v>0</v>
      </c>
      <c r="F33618">
        <v>471</v>
      </c>
    </row>
    <row r="33619" spans="1:6" ht="12.75">
      <c r="A33619" s="2">
        <v>43875.391666666663</v>
      </c>
      <c r="B33619" t="str">
        <f>HYPERLINK("https://twitter.com/iqbaalfuadi","@iqbaalfuadi")</f>
        <v>@iqbaalfuadi</v>
      </c>
      <c r="C33619" t="s">
        <v>9998</v>
      </c>
      <c r="D33619">
        <v>67</v>
      </c>
      <c r="E33619">
        <v>0</v>
      </c>
      <c r="F33619">
        <v>684</v>
      </c>
    </row>
    <row r="33620" spans="1:6" ht="12.75">
      <c r="A33620" s="2">
        <v>43875.391493055555</v>
      </c>
      <c r="B33620" t="str">
        <f>HYPERLINK("https://twitter.com/tazi_12345","@tazi_12345")</f>
        <v>@tazi_12345</v>
      </c>
      <c r="C33620" t="s">
        <v>5761</v>
      </c>
      <c r="D33620">
        <v>37</v>
      </c>
      <c r="E33620">
        <v>0</v>
      </c>
      <c r="F33620">
        <v>176</v>
      </c>
    </row>
    <row r="33621" spans="1:6" ht="12.75">
      <c r="A33621" s="2">
        <v>43875.391493055555</v>
      </c>
      <c r="B33621" t="str">
        <f>HYPERLINK("https://twitter.com/Simey03332820","@Simey03332820")</f>
        <v>@Simey03332820</v>
      </c>
      <c r="C33621" t="s">
        <v>14046</v>
      </c>
      <c r="D33621">
        <v>0</v>
      </c>
      <c r="E33621">
        <v>0</v>
      </c>
      <c r="F33621">
        <v>6</v>
      </c>
    </row>
    <row r="33622" spans="1:6" ht="12.75">
      <c r="A33622" s="2">
        <v>43875.391458333332</v>
      </c>
      <c r="B33622" t="str">
        <f>HYPERLINK("https://twitter.com/teguhbiyanto","@teguhbiyanto")</f>
        <v>@teguhbiyanto</v>
      </c>
      <c r="C33622" t="s">
        <v>9538</v>
      </c>
      <c r="D33622">
        <v>106</v>
      </c>
      <c r="E33622">
        <v>0</v>
      </c>
      <c r="F33622">
        <v>478</v>
      </c>
    </row>
    <row r="33623" spans="1:6" ht="12.75">
      <c r="A33623" s="2">
        <v>43875.391446759255</v>
      </c>
      <c r="B33623" t="str">
        <f>HYPERLINK("https://twitter.com/Popopokarimu","@Popopokarimu")</f>
        <v>@Popopokarimu</v>
      </c>
      <c r="C33623" t="s">
        <v>14047</v>
      </c>
      <c r="D33623">
        <v>0</v>
      </c>
      <c r="E33623">
        <v>0</v>
      </c>
      <c r="F33623">
        <v>10</v>
      </c>
    </row>
    <row r="33624" spans="1:6" ht="12.75">
      <c r="A33624" s="2">
        <v>43875.391423611116</v>
      </c>
      <c r="B33624" t="str">
        <f>HYPERLINK("https://twitter.com/GateJannah","@GateJannah")</f>
        <v>@GateJannah</v>
      </c>
      <c r="C33624" t="s">
        <v>2963</v>
      </c>
      <c r="D33624">
        <v>564</v>
      </c>
      <c r="E33624">
        <v>0</v>
      </c>
      <c r="F33624">
        <v>781</v>
      </c>
    </row>
    <row r="33625" spans="1:6" ht="12.75">
      <c r="A33625" s="2">
        <v>43875.391423611116</v>
      </c>
      <c r="B33625" t="str">
        <f>HYPERLINK("https://twitter.com/dvidchris30","@dvidchris30")</f>
        <v>@dvidchris30</v>
      </c>
      <c r="C33625" t="s">
        <v>14048</v>
      </c>
      <c r="D33625">
        <v>0</v>
      </c>
      <c r="E33625">
        <v>0</v>
      </c>
      <c r="F33625">
        <v>491</v>
      </c>
    </row>
    <row r="33626" spans="1:6" ht="12.75">
      <c r="A33626" s="2">
        <v>43875.391423611116</v>
      </c>
      <c r="B33626" t="str">
        <f>HYPERLINK("https://twitter.com/icanARM","@icanARM")</f>
        <v>@icanARM</v>
      </c>
      <c r="C33626" t="s">
        <v>5168</v>
      </c>
      <c r="D33626">
        <v>461</v>
      </c>
      <c r="E33626">
        <v>0</v>
      </c>
      <c r="F33626">
        <v>633</v>
      </c>
    </row>
    <row r="33627" spans="1:6" ht="12.75">
      <c r="A33627" s="2">
        <v>43875.391377314816</v>
      </c>
      <c r="B33627" t="str">
        <f>HYPERLINK("https://twitter.com/ZheeOmega","@ZheeOmega")</f>
        <v>@ZheeOmega</v>
      </c>
      <c r="C33627" t="s">
        <v>14049</v>
      </c>
      <c r="D33627">
        <v>0</v>
      </c>
      <c r="E33627">
        <v>0</v>
      </c>
      <c r="F33627">
        <v>17788</v>
      </c>
    </row>
    <row r="33628" spans="1:6" ht="12.75">
      <c r="A33628" s="2">
        <v>43875.391365740739</v>
      </c>
      <c r="B33628" t="str">
        <f>HYPERLINK("https://twitter.com/mailiagn","@mailiagn")</f>
        <v>@mailiagn</v>
      </c>
      <c r="C33628" t="s">
        <v>5168</v>
      </c>
      <c r="D33628">
        <v>461</v>
      </c>
      <c r="E33628">
        <v>0</v>
      </c>
      <c r="F33628">
        <v>188</v>
      </c>
    </row>
    <row r="33629" spans="1:6" ht="12.75">
      <c r="A33629" s="2">
        <v>43875.39135416667</v>
      </c>
      <c r="B33629" t="str">
        <f>HYPERLINK("https://twitter.com/onedheeis","@onedheeis")</f>
        <v>@onedheeis</v>
      </c>
      <c r="C33629" t="s">
        <v>9538</v>
      </c>
      <c r="D33629">
        <v>106</v>
      </c>
      <c r="E33629">
        <v>0</v>
      </c>
      <c r="F33629">
        <v>946</v>
      </c>
    </row>
    <row r="33630" spans="1:6" ht="12.75">
      <c r="A33630" s="2">
        <v>43875.391342592593</v>
      </c>
      <c r="B33630" t="str">
        <f>HYPERLINK("https://twitter.com/just_onoy","@just_onoy")</f>
        <v>@just_onoy</v>
      </c>
      <c r="C33630" t="s">
        <v>2963</v>
      </c>
      <c r="D33630">
        <v>564</v>
      </c>
      <c r="E33630">
        <v>0</v>
      </c>
      <c r="F33630">
        <v>522</v>
      </c>
    </row>
    <row r="33631" spans="1:6" ht="12.75">
      <c r="A33631" s="2">
        <v>43875.39130787037</v>
      </c>
      <c r="B33631" t="str">
        <f>HYPERLINK("https://twitter.com/cadarmerah","@cadarmerah")</f>
        <v>@cadarmerah</v>
      </c>
      <c r="C33631" t="s">
        <v>14050</v>
      </c>
      <c r="D33631">
        <v>61</v>
      </c>
      <c r="E33631">
        <v>0</v>
      </c>
      <c r="F33631">
        <v>5652</v>
      </c>
    </row>
    <row r="33632" spans="1:6" ht="12.75">
      <c r="A33632" s="2">
        <v>43875.39130787037</v>
      </c>
      <c r="B33632" t="str">
        <f>HYPERLINK("https://twitter.com/megslodon","@megslodon")</f>
        <v>@megslodon</v>
      </c>
      <c r="C33632" t="s">
        <v>2963</v>
      </c>
      <c r="D33632">
        <v>564</v>
      </c>
      <c r="E33632">
        <v>0</v>
      </c>
      <c r="F33632">
        <v>18</v>
      </c>
    </row>
    <row r="33633" spans="1:6" ht="12.75">
      <c r="A33633" s="2">
        <v>43875.391296296293</v>
      </c>
      <c r="B33633" t="str">
        <f>HYPERLINK("https://twitter.com/guswp731","@guswp731")</f>
        <v>@guswp731</v>
      </c>
      <c r="C33633" t="s">
        <v>2963</v>
      </c>
      <c r="D33633">
        <v>564</v>
      </c>
      <c r="E33633">
        <v>0</v>
      </c>
      <c r="F33633">
        <v>156</v>
      </c>
    </row>
    <row r="33634" spans="1:6" ht="12.75">
      <c r="A33634" s="2">
        <v>43875.391273148147</v>
      </c>
      <c r="B33634" t="str">
        <f>HYPERLINK("https://twitter.com/buceenmarjan","@buceenmarjan")</f>
        <v>@buceenmarjan</v>
      </c>
      <c r="C33634" t="s">
        <v>2137</v>
      </c>
      <c r="D33634">
        <v>33</v>
      </c>
      <c r="E33634">
        <v>0</v>
      </c>
      <c r="F33634">
        <v>596</v>
      </c>
    </row>
    <row r="33635" spans="1:6" ht="12.75">
      <c r="A33635" s="2">
        <v>43875.391250000001</v>
      </c>
      <c r="B33635" t="str">
        <f>HYPERLINK("https://twitter.com/dartsick","@dartsick")</f>
        <v>@dartsick</v>
      </c>
      <c r="C33635" t="s">
        <v>12834</v>
      </c>
      <c r="D33635">
        <v>415</v>
      </c>
      <c r="E33635">
        <v>0</v>
      </c>
      <c r="F33635">
        <v>64</v>
      </c>
    </row>
    <row r="33636" spans="1:6" ht="12.75">
      <c r="A33636" s="2">
        <v>43875.391145833331</v>
      </c>
      <c r="B33636" t="str">
        <f>HYPERLINK("https://twitter.com/ElshintaDotcom","@ElshintaDotcom")</f>
        <v>@ElshintaDotcom</v>
      </c>
      <c r="C33636" t="s">
        <v>14051</v>
      </c>
      <c r="D33636">
        <v>0</v>
      </c>
      <c r="E33636">
        <v>0</v>
      </c>
      <c r="F33636">
        <v>27866</v>
      </c>
    </row>
    <row r="33637" spans="1:6" ht="12.75">
      <c r="A33637" s="2">
        <v>43875.391134259262</v>
      </c>
      <c r="B33637" t="str">
        <f>HYPERLINK("https://twitter.com/bakmiaceh","@bakmiaceh")</f>
        <v>@bakmiaceh</v>
      </c>
      <c r="C33637" t="s">
        <v>14052</v>
      </c>
      <c r="D33637">
        <v>0</v>
      </c>
      <c r="E33637">
        <v>0</v>
      </c>
      <c r="F33637">
        <v>57</v>
      </c>
    </row>
    <row r="33638" spans="1:6" ht="12.75">
      <c r="A33638" s="2">
        <v>43875.391134259262</v>
      </c>
      <c r="B33638" t="str">
        <f>HYPERLINK("https://twitter.com/WahabiLucu","@WahabiLucu")</f>
        <v>@WahabiLucu</v>
      </c>
      <c r="C33638" t="s">
        <v>14053</v>
      </c>
      <c r="D33638">
        <v>2</v>
      </c>
      <c r="E33638">
        <v>0</v>
      </c>
      <c r="F33638">
        <v>24477</v>
      </c>
    </row>
    <row r="33639" spans="1:6" ht="12.75">
      <c r="A33639" s="2">
        <v>43875.391099537039</v>
      </c>
      <c r="B33639" t="str">
        <f>HYPERLINK("https://twitter.com/aliayayah","@aliayayah")</f>
        <v>@aliayayah</v>
      </c>
      <c r="C33639" t="s">
        <v>14054</v>
      </c>
      <c r="D33639">
        <v>0</v>
      </c>
      <c r="E33639">
        <v>0</v>
      </c>
      <c r="F33639">
        <v>172</v>
      </c>
    </row>
    <row r="33640" spans="1:6" ht="12.75">
      <c r="A33640" s="2">
        <v>43875.391076388885</v>
      </c>
      <c r="B33640" t="str">
        <f>HYPERLINK("https://twitter.com/STRATEGICASSES2","@STRATEGICASSES2")</f>
        <v>@STRATEGICASSES2</v>
      </c>
      <c r="C33640" t="s">
        <v>14055</v>
      </c>
      <c r="D33640">
        <v>1</v>
      </c>
      <c r="E33640">
        <v>0</v>
      </c>
      <c r="F33640">
        <v>616</v>
      </c>
    </row>
    <row r="33641" spans="1:6" ht="12.75">
      <c r="A33641" s="2">
        <v>43875.391018518523</v>
      </c>
      <c r="B33641" t="str">
        <f>HYPERLINK("https://twitter.com/Rheykel1","@Rheykel1")</f>
        <v>@Rheykel1</v>
      </c>
      <c r="C33641" t="s">
        <v>9998</v>
      </c>
      <c r="D33641">
        <v>67</v>
      </c>
      <c r="E33641">
        <v>0</v>
      </c>
      <c r="F33641">
        <v>272</v>
      </c>
    </row>
    <row r="33642" spans="1:6" ht="12.75">
      <c r="A33642" s="2">
        <v>43875.390902777777</v>
      </c>
      <c r="B33642" t="str">
        <f>HYPERLINK("https://twitter.com/Usep210","@Usep210")</f>
        <v>@Usep210</v>
      </c>
      <c r="C33642" t="s">
        <v>14056</v>
      </c>
      <c r="D33642">
        <v>0</v>
      </c>
      <c r="E33642">
        <v>0</v>
      </c>
      <c r="F33642">
        <v>4765</v>
      </c>
    </row>
    <row r="33643" spans="1:6" ht="12.75">
      <c r="A33643" s="2">
        <v>43875.390868055554</v>
      </c>
      <c r="B33643" t="str">
        <f>HYPERLINK("https://twitter.com/3rnyyy","@3rnyyy")</f>
        <v>@3rnyyy</v>
      </c>
      <c r="C33643" t="s">
        <v>14057</v>
      </c>
      <c r="D33643">
        <v>3</v>
      </c>
      <c r="E33643">
        <v>0</v>
      </c>
      <c r="F33643">
        <v>166</v>
      </c>
    </row>
    <row r="33644" spans="1:6" ht="12.75">
      <c r="A33644" s="2">
        <v>43875.390810185185</v>
      </c>
      <c r="B33644" t="str">
        <f>HYPERLINK("https://twitter.com/AnjasKaTrok","@AnjasKaTrok")</f>
        <v>@AnjasKaTrok</v>
      </c>
      <c r="C33644" t="s">
        <v>11024</v>
      </c>
      <c r="D33644">
        <v>10</v>
      </c>
      <c r="E33644">
        <v>0</v>
      </c>
      <c r="F33644">
        <v>385</v>
      </c>
    </row>
    <row r="33645" spans="1:6" ht="12.75">
      <c r="A33645" s="2">
        <v>43875.3903587963</v>
      </c>
      <c r="B33645" t="str">
        <f>HYPERLINK("https://twitter.com/ranugerahidayat","@ranugerahidayat")</f>
        <v>@ranugerahidayat</v>
      </c>
      <c r="C33645" t="s">
        <v>9998</v>
      </c>
      <c r="D33645">
        <v>67</v>
      </c>
      <c r="E33645">
        <v>0</v>
      </c>
      <c r="F33645">
        <v>79</v>
      </c>
    </row>
    <row r="33646" spans="1:6" ht="12.75">
      <c r="A33646" s="2">
        <v>43875.3903587963</v>
      </c>
      <c r="B33646" t="str">
        <f>HYPERLINK("https://twitter.com/fathan1453","@fathan1453")</f>
        <v>@fathan1453</v>
      </c>
      <c r="C33646" t="s">
        <v>9998</v>
      </c>
      <c r="D33646">
        <v>67</v>
      </c>
      <c r="E33646">
        <v>0</v>
      </c>
      <c r="F33646">
        <v>439</v>
      </c>
    </row>
    <row r="33647" spans="1:6" ht="12.75">
      <c r="A33647" s="2">
        <v>43875.390277777777</v>
      </c>
      <c r="B33647" t="str">
        <f>HYPERLINK("https://twitter.com/tu_laundry","@tu_laundry")</f>
        <v>@tu_laundry</v>
      </c>
      <c r="C33647" t="s">
        <v>10407</v>
      </c>
      <c r="D33647">
        <v>38</v>
      </c>
      <c r="E33647">
        <v>0</v>
      </c>
      <c r="F33647">
        <v>450</v>
      </c>
    </row>
    <row r="33648" spans="1:6" ht="12.75">
      <c r="A33648" s="2">
        <v>43875.390162037038</v>
      </c>
      <c r="B33648" t="str">
        <f>HYPERLINK("https://twitter.com/jafarash13","@jafarash13")</f>
        <v>@jafarash13</v>
      </c>
      <c r="C33648" t="s">
        <v>14058</v>
      </c>
      <c r="D33648">
        <v>0</v>
      </c>
      <c r="E33648">
        <v>1</v>
      </c>
      <c r="F33648">
        <v>40</v>
      </c>
    </row>
    <row r="33649" spans="1:6" ht="12.75">
      <c r="A33649" s="2">
        <v>43875.390138888892</v>
      </c>
      <c r="B33649" t="str">
        <f>HYPERLINK("https://twitter.com/kardusbox08","@kardusbox08")</f>
        <v>@kardusbox08</v>
      </c>
      <c r="C33649" t="s">
        <v>14059</v>
      </c>
      <c r="D33649">
        <v>0</v>
      </c>
      <c r="E33649">
        <v>0</v>
      </c>
      <c r="F33649">
        <v>1198</v>
      </c>
    </row>
    <row r="33650" spans="1:6" ht="12.75">
      <c r="A33650" s="2">
        <v>43875.390127314815</v>
      </c>
      <c r="B33650" t="str">
        <f>HYPERLINK("https://twitter.com/jessica_puri","@jessica_puri")</f>
        <v>@jessica_puri</v>
      </c>
      <c r="C33650" t="s">
        <v>2963</v>
      </c>
      <c r="D33650">
        <v>564</v>
      </c>
      <c r="E33650">
        <v>0</v>
      </c>
      <c r="F33650">
        <v>221</v>
      </c>
    </row>
    <row r="33651" spans="1:6" ht="12.75">
      <c r="A33651" s="2">
        <v>43875.389930555553</v>
      </c>
      <c r="B33651" t="str">
        <f>HYPERLINK("https://twitter.com/VioArs","@VioArs")</f>
        <v>@VioArs</v>
      </c>
      <c r="C33651" t="s">
        <v>2963</v>
      </c>
      <c r="D33651">
        <v>564</v>
      </c>
      <c r="E33651">
        <v>0</v>
      </c>
      <c r="F33651">
        <v>463</v>
      </c>
    </row>
    <row r="33652" spans="1:6" ht="12.75">
      <c r="A33652" s="2">
        <v>43875.38989583333</v>
      </c>
      <c r="B33652" t="str">
        <f>HYPERLINK("https://twitter.com/xorazuma","@xorazuma")</f>
        <v>@xorazuma</v>
      </c>
      <c r="C33652" t="s">
        <v>14060</v>
      </c>
      <c r="D33652">
        <v>0</v>
      </c>
      <c r="E33652">
        <v>0</v>
      </c>
      <c r="F33652">
        <v>215</v>
      </c>
    </row>
    <row r="33653" spans="1:6" ht="12.75">
      <c r="A33653" s="2">
        <v>43875.389837962968</v>
      </c>
      <c r="B33653" t="str">
        <f>HYPERLINK("https://twitter.com/AaHermawan16","@AaHermawan16")</f>
        <v>@AaHermawan16</v>
      </c>
      <c r="C33653" t="s">
        <v>14061</v>
      </c>
      <c r="D33653">
        <v>0</v>
      </c>
      <c r="E33653">
        <v>0</v>
      </c>
      <c r="F33653">
        <v>2464</v>
      </c>
    </row>
    <row r="33654" spans="1:6" ht="12.75">
      <c r="A33654" s="2">
        <v>43875.389756944445</v>
      </c>
      <c r="B33654" t="str">
        <f>HYPERLINK("https://twitter.com/Suket_T3k1","@Suket_T3k1")</f>
        <v>@Suket_T3k1</v>
      </c>
      <c r="C33654" t="s">
        <v>10096</v>
      </c>
      <c r="D33654">
        <v>77</v>
      </c>
      <c r="E33654">
        <v>0</v>
      </c>
      <c r="F33654">
        <v>1034</v>
      </c>
    </row>
    <row r="33655" spans="1:6" ht="12.75">
      <c r="A33655" s="2">
        <v>43875.389687499999</v>
      </c>
      <c r="B33655" t="str">
        <f>HYPERLINK("https://twitter.com/AliTarsono1","@AliTarsono1")</f>
        <v>@AliTarsono1</v>
      </c>
      <c r="C33655" t="s">
        <v>14062</v>
      </c>
      <c r="D33655">
        <v>0</v>
      </c>
      <c r="E33655">
        <v>0</v>
      </c>
      <c r="F33655">
        <v>26</v>
      </c>
    </row>
    <row r="33656" spans="1:6" ht="12.75">
      <c r="A33656" s="2">
        <v>43875.389664351853</v>
      </c>
      <c r="B33656" t="str">
        <f>HYPERLINK("https://twitter.com/milikkenzi","@milikkenzi")</f>
        <v>@milikkenzi</v>
      </c>
      <c r="C33656" t="s">
        <v>14063</v>
      </c>
      <c r="D33656">
        <v>0</v>
      </c>
      <c r="E33656">
        <v>0</v>
      </c>
      <c r="F33656">
        <v>631</v>
      </c>
    </row>
    <row r="33657" spans="1:6" ht="12.75">
      <c r="A33657" s="2">
        <v>43875.389652777776</v>
      </c>
      <c r="B33657" t="str">
        <f>HYPERLINK("https://twitter.com/wow_keren","@wow_keren")</f>
        <v>@wow_keren</v>
      </c>
      <c r="C33657" t="s">
        <v>14064</v>
      </c>
      <c r="D33657">
        <v>0</v>
      </c>
      <c r="E33657">
        <v>0</v>
      </c>
      <c r="F33657">
        <v>32003</v>
      </c>
    </row>
    <row r="33658" spans="1:6" ht="12.75">
      <c r="A33658" s="2">
        <v>43875.389502314814</v>
      </c>
      <c r="B33658" t="str">
        <f>HYPERLINK("https://twitter.com/azharbtm","@azharbtm")</f>
        <v>@azharbtm</v>
      </c>
      <c r="C33658" t="s">
        <v>14065</v>
      </c>
      <c r="D33658">
        <v>0</v>
      </c>
      <c r="E33658">
        <v>0</v>
      </c>
      <c r="F33658">
        <v>279</v>
      </c>
    </row>
    <row r="33659" spans="1:6" ht="12.75">
      <c r="A33659" s="2">
        <v>43875.389386574076</v>
      </c>
      <c r="B33659" t="str">
        <f>HYPERLINK("https://twitter.com/Simey03332820","@Simey03332820")</f>
        <v>@Simey03332820</v>
      </c>
      <c r="C33659" t="s">
        <v>14066</v>
      </c>
      <c r="D33659">
        <v>0</v>
      </c>
      <c r="E33659">
        <v>2</v>
      </c>
      <c r="F33659">
        <v>6</v>
      </c>
    </row>
    <row r="33660" spans="1:6" ht="12.75">
      <c r="A33660" s="2">
        <v>43875.389363425929</v>
      </c>
      <c r="B33660" t="str">
        <f>HYPERLINK("https://twitter.com/WahabiLucu","@WahabiLucu")</f>
        <v>@WahabiLucu</v>
      </c>
      <c r="C33660" t="s">
        <v>14067</v>
      </c>
      <c r="D33660">
        <v>2</v>
      </c>
      <c r="E33660">
        <v>5</v>
      </c>
      <c r="F33660">
        <v>24477</v>
      </c>
    </row>
    <row r="33661" spans="1:6" ht="12.75">
      <c r="A33661" s="2">
        <v>43875.38927083333</v>
      </c>
      <c r="B33661" t="str">
        <f>HYPERLINK("https://twitter.com/kimingdekil","@kimingdekil")</f>
        <v>@kimingdekil</v>
      </c>
      <c r="C33661" t="s">
        <v>14068</v>
      </c>
      <c r="D33661">
        <v>0</v>
      </c>
      <c r="E33661">
        <v>0</v>
      </c>
      <c r="F33661">
        <v>246</v>
      </c>
    </row>
    <row r="33662" spans="1:6" ht="12.75">
      <c r="A33662" s="2">
        <v>43875.389201388884</v>
      </c>
      <c r="B33662" t="str">
        <f>HYPERLINK("https://twitter.com/Morningtyas","@Morningtyas")</f>
        <v>@Morningtyas</v>
      </c>
      <c r="C33662" t="s">
        <v>14069</v>
      </c>
      <c r="D33662">
        <v>0</v>
      </c>
      <c r="E33662">
        <v>0</v>
      </c>
      <c r="F33662">
        <v>30622</v>
      </c>
    </row>
    <row r="33663" spans="1:6" ht="12.75">
      <c r="A33663" s="2">
        <v>43875.389131944445</v>
      </c>
      <c r="B33663" t="str">
        <f>HYPERLINK("https://twitter.com/agungelsastra","@agungelsastra")</f>
        <v>@agungelsastra</v>
      </c>
      <c r="C33663" t="s">
        <v>9538</v>
      </c>
      <c r="D33663">
        <v>106</v>
      </c>
      <c r="E33663">
        <v>0</v>
      </c>
      <c r="F33663">
        <v>767</v>
      </c>
    </row>
    <row r="33664" spans="1:6" ht="12.75">
      <c r="A33664" s="2">
        <v>43875.389131944445</v>
      </c>
      <c r="B33664" t="str">
        <f>HYPERLINK("https://twitter.com/aliayayah","@aliayayah")</f>
        <v>@aliayayah</v>
      </c>
      <c r="C33664" t="s">
        <v>14070</v>
      </c>
      <c r="D33664">
        <v>0</v>
      </c>
      <c r="E33664">
        <v>0</v>
      </c>
      <c r="F33664">
        <v>172</v>
      </c>
    </row>
    <row r="33665" spans="1:6" ht="12.75">
      <c r="A33665" s="2">
        <v>43875.389085648145</v>
      </c>
      <c r="B33665" t="str">
        <f>HYPERLINK("https://twitter.com/abdulha81873381","@abdulha81873381")</f>
        <v>@abdulha81873381</v>
      </c>
      <c r="C33665" t="s">
        <v>3038</v>
      </c>
      <c r="D33665">
        <v>107</v>
      </c>
      <c r="E33665">
        <v>0</v>
      </c>
      <c r="F33665">
        <v>323</v>
      </c>
    </row>
    <row r="33666" spans="1:6" ht="12.75">
      <c r="A33666" s="2">
        <v>43875.389004629629</v>
      </c>
      <c r="B33666" t="str">
        <f>HYPERLINK("https://twitter.com/ArtaniRay","@ArtaniRay")</f>
        <v>@ArtaniRay</v>
      </c>
      <c r="C33666" t="s">
        <v>10330</v>
      </c>
      <c r="D33666">
        <v>197</v>
      </c>
      <c r="E33666">
        <v>0</v>
      </c>
      <c r="F33666">
        <v>93</v>
      </c>
    </row>
    <row r="33667" spans="1:6" ht="12.75">
      <c r="A33667" s="2">
        <v>43875.38899305556</v>
      </c>
      <c r="B33667" t="str">
        <f>HYPERLINK("https://twitter.com/3rnyyy","@3rnyyy")</f>
        <v>@3rnyyy</v>
      </c>
      <c r="C33667" t="s">
        <v>10330</v>
      </c>
      <c r="D33667">
        <v>197</v>
      </c>
      <c r="E33667">
        <v>0</v>
      </c>
      <c r="F33667">
        <v>166</v>
      </c>
    </row>
    <row r="33668" spans="1:6" ht="12.75">
      <c r="A33668" s="2">
        <v>43875.388969907406</v>
      </c>
      <c r="B33668" t="str">
        <f>HYPERLINK("https://twitter.com/TriMarlia","@TriMarlia")</f>
        <v>@TriMarlia</v>
      </c>
      <c r="C33668" t="s">
        <v>2963</v>
      </c>
      <c r="D33668">
        <v>564</v>
      </c>
      <c r="E33668">
        <v>0</v>
      </c>
      <c r="F33668">
        <v>529</v>
      </c>
    </row>
    <row r="33669" spans="1:6" ht="12.75">
      <c r="A33669" s="2">
        <v>43875.388958333337</v>
      </c>
      <c r="B33669" t="str">
        <f>HYPERLINK("https://twitter.com/Amingladisyahoo","@Amingladisyahoo")</f>
        <v>@Amingladisyahoo</v>
      </c>
      <c r="C33669" t="s">
        <v>2144</v>
      </c>
      <c r="D33669">
        <v>46</v>
      </c>
      <c r="E33669">
        <v>0</v>
      </c>
      <c r="F33669">
        <v>104</v>
      </c>
    </row>
    <row r="33670" spans="1:6" ht="12.75">
      <c r="A33670" s="2">
        <v>43875.38894675926</v>
      </c>
      <c r="B33670" t="str">
        <f>HYPERLINK("https://twitter.com/emizarrr","@emizarrr")</f>
        <v>@emizarrr</v>
      </c>
      <c r="C33670" t="s">
        <v>2088</v>
      </c>
      <c r="D33670">
        <v>16117</v>
      </c>
      <c r="E33670">
        <v>0</v>
      </c>
      <c r="F33670">
        <v>383</v>
      </c>
    </row>
    <row r="33671" spans="1:6" ht="12.75">
      <c r="A33671" s="2">
        <v>43875.388912037037</v>
      </c>
      <c r="B33671" t="str">
        <f>HYPERLINK("https://twitter.com/fairusizzudin","@fairusizzudin")</f>
        <v>@fairusizzudin</v>
      </c>
      <c r="C33671" t="s">
        <v>14071</v>
      </c>
      <c r="D33671">
        <v>0</v>
      </c>
      <c r="E33671">
        <v>0</v>
      </c>
      <c r="F33671">
        <v>154</v>
      </c>
    </row>
    <row r="33672" spans="1:6" ht="12.75">
      <c r="A33672" s="2">
        <v>43875.38890046296</v>
      </c>
      <c r="B33672" t="str">
        <f>HYPERLINK("https://twitter.com/BayuSet26765246","@BayuSet26765246")</f>
        <v>@BayuSet26765246</v>
      </c>
      <c r="C33672" t="s">
        <v>2963</v>
      </c>
      <c r="D33672">
        <v>564</v>
      </c>
      <c r="E33672">
        <v>0</v>
      </c>
      <c r="F33672">
        <v>1382</v>
      </c>
    </row>
    <row r="33673" spans="1:6" ht="12.75">
      <c r="A33673" s="2">
        <v>43875.38890046296</v>
      </c>
      <c r="B33673" t="str">
        <f>HYPERLINK("https://twitter.com/yandhias","@yandhias")</f>
        <v>@yandhias</v>
      </c>
      <c r="C33673" t="s">
        <v>9998</v>
      </c>
      <c r="D33673">
        <v>67</v>
      </c>
      <c r="E33673">
        <v>0</v>
      </c>
      <c r="F33673">
        <v>367</v>
      </c>
    </row>
    <row r="33674" spans="1:6" ht="12.75">
      <c r="A33674" s="2">
        <v>43875.388888888891</v>
      </c>
      <c r="B33674" t="str">
        <f>HYPERLINK("https://twitter.com/hemaviton99","@hemaviton99")</f>
        <v>@hemaviton99</v>
      </c>
      <c r="C33674" t="s">
        <v>2963</v>
      </c>
      <c r="D33674">
        <v>564</v>
      </c>
      <c r="E33674">
        <v>0</v>
      </c>
      <c r="F33674">
        <v>3460</v>
      </c>
    </row>
    <row r="33675" spans="1:6" ht="12.75">
      <c r="A33675" s="2">
        <v>43875.388888888891</v>
      </c>
      <c r="B33675" t="str">
        <f>HYPERLINK("https://twitter.com/arsenio0607","@arsenio0607")</f>
        <v>@arsenio0607</v>
      </c>
      <c r="C33675" t="s">
        <v>9998</v>
      </c>
      <c r="D33675">
        <v>67</v>
      </c>
      <c r="E33675">
        <v>0</v>
      </c>
      <c r="F33675">
        <v>13</v>
      </c>
    </row>
    <row r="33676" spans="1:6" ht="12.75">
      <c r="A33676" s="2">
        <v>43875.388877314814</v>
      </c>
      <c r="B33676" t="str">
        <f>HYPERLINK("https://twitter.com/hadibonerz","@hadibonerz")</f>
        <v>@hadibonerz</v>
      </c>
      <c r="C33676" t="s">
        <v>9998</v>
      </c>
      <c r="D33676">
        <v>67</v>
      </c>
      <c r="E33676">
        <v>0</v>
      </c>
      <c r="F33676">
        <v>418</v>
      </c>
    </row>
    <row r="33677" spans="1:6" ht="12.75">
      <c r="A33677" s="2">
        <v>43875.388738425929</v>
      </c>
      <c r="B33677" t="str">
        <f>HYPERLINK("https://twitter.com/BauMattawang","@BauMattawang")</f>
        <v>@BauMattawang</v>
      </c>
      <c r="C33677" t="s">
        <v>9377</v>
      </c>
      <c r="D33677">
        <v>10</v>
      </c>
      <c r="E33677">
        <v>0</v>
      </c>
      <c r="F33677">
        <v>49</v>
      </c>
    </row>
    <row r="33678" spans="1:6" ht="12.75">
      <c r="A33678" s="2">
        <v>43875.388726851852</v>
      </c>
      <c r="B33678" t="str">
        <f>HYPERLINK("https://twitter.com/bukanpelawak12","@bukanpelawak12")</f>
        <v>@bukanpelawak12</v>
      </c>
      <c r="C33678" t="s">
        <v>10121</v>
      </c>
      <c r="D33678">
        <v>160</v>
      </c>
      <c r="E33678">
        <v>0</v>
      </c>
      <c r="F33678">
        <v>15</v>
      </c>
    </row>
    <row r="33679" spans="1:6" ht="12.75">
      <c r="A33679" s="2">
        <v>43875.388657407406</v>
      </c>
      <c r="B33679" t="str">
        <f>HYPERLINK("https://twitter.com/sudjiwotedjo","@sudjiwotedjo")</f>
        <v>@sudjiwotedjo</v>
      </c>
      <c r="C33679" t="s">
        <v>14072</v>
      </c>
      <c r="D33679">
        <v>3</v>
      </c>
      <c r="E33679">
        <v>22</v>
      </c>
      <c r="F33679">
        <v>1762159</v>
      </c>
    </row>
    <row r="33680" spans="1:6" ht="12.75">
      <c r="A33680" s="2">
        <v>43875.388541666667</v>
      </c>
      <c r="B33680" t="str">
        <f>HYPERLINK("https://twitter.com/3rnyyy","@3rnyyy")</f>
        <v>@3rnyyy</v>
      </c>
      <c r="C33680" t="s">
        <v>10319</v>
      </c>
      <c r="D33680">
        <v>144</v>
      </c>
      <c r="E33680">
        <v>0</v>
      </c>
      <c r="F33680">
        <v>166</v>
      </c>
    </row>
    <row r="33681" spans="1:6" ht="12.75">
      <c r="A33681" s="2">
        <v>43875.388425925921</v>
      </c>
      <c r="B33681" t="str">
        <f>HYPERLINK("https://twitter.com/AisSyariif","@AisSyariif")</f>
        <v>@AisSyariif</v>
      </c>
      <c r="C33681" t="s">
        <v>2086</v>
      </c>
      <c r="D33681">
        <v>21</v>
      </c>
      <c r="E33681">
        <v>0</v>
      </c>
      <c r="F33681">
        <v>873</v>
      </c>
    </row>
    <row r="33682" spans="1:6" ht="12.75">
      <c r="A33682" s="2">
        <v>43875.388321759259</v>
      </c>
      <c r="B33682" t="str">
        <f>HYPERLINK("https://twitter.com/HamdaniAbdulla6","@HamdaniAbdulla6")</f>
        <v>@HamdaniAbdulla6</v>
      </c>
      <c r="C33682" t="s">
        <v>10096</v>
      </c>
      <c r="D33682">
        <v>77</v>
      </c>
      <c r="E33682">
        <v>0</v>
      </c>
      <c r="F33682">
        <v>886</v>
      </c>
    </row>
    <row r="33683" spans="1:6" ht="12.75">
      <c r="A33683" s="2">
        <v>43875.388287037036</v>
      </c>
      <c r="B33683" t="str">
        <f>HYPERLINK("https://twitter.com/arintonur","@arintonur")</f>
        <v>@arintonur</v>
      </c>
      <c r="C33683" t="s">
        <v>14073</v>
      </c>
      <c r="D33683">
        <v>0</v>
      </c>
      <c r="E33683">
        <v>0</v>
      </c>
      <c r="F33683">
        <v>32</v>
      </c>
    </row>
    <row r="33684" spans="1:6" ht="12.75">
      <c r="A33684" s="2">
        <v>43875.388287037036</v>
      </c>
      <c r="B33684" t="str">
        <f>HYPERLINK("https://twitter.com/gadisresidu_b3","@gadisresidu_b3")</f>
        <v>@gadisresidu_b3</v>
      </c>
      <c r="C33684" t="s">
        <v>14074</v>
      </c>
      <c r="D33684">
        <v>1</v>
      </c>
      <c r="E33684">
        <v>0</v>
      </c>
      <c r="F33684">
        <v>1600</v>
      </c>
    </row>
    <row r="33685" spans="1:6" ht="12.75">
      <c r="A33685" s="2">
        <v>43875.388275462959</v>
      </c>
      <c r="B33685" t="str">
        <f>HYPERLINK("https://twitter.com/indragiri313","@indragiri313")</f>
        <v>@indragiri313</v>
      </c>
      <c r="C33685" t="s">
        <v>10096</v>
      </c>
      <c r="D33685">
        <v>77</v>
      </c>
      <c r="E33685">
        <v>0</v>
      </c>
      <c r="F33685">
        <v>935</v>
      </c>
    </row>
    <row r="33686" spans="1:6" ht="12.75">
      <c r="A33686" s="2">
        <v>43875.388182870374</v>
      </c>
      <c r="B33686" t="str">
        <f>HYPERLINK("https://twitter.com/mds_amboina","@mds_amboina")</f>
        <v>@mds_amboina</v>
      </c>
      <c r="C33686" t="s">
        <v>13125</v>
      </c>
      <c r="D33686">
        <v>2</v>
      </c>
      <c r="E33686">
        <v>0</v>
      </c>
      <c r="F33686">
        <v>1585</v>
      </c>
    </row>
    <row r="33687" spans="1:6" ht="12.75">
      <c r="A33687" s="2">
        <v>43875.388136574074</v>
      </c>
      <c r="B33687" t="str">
        <f>HYPERLINK("https://twitter.com/Sutrisn75924101","@Sutrisn75924101")</f>
        <v>@Sutrisn75924101</v>
      </c>
      <c r="C33687" t="s">
        <v>11566</v>
      </c>
      <c r="D33687">
        <v>99</v>
      </c>
      <c r="E33687">
        <v>0</v>
      </c>
      <c r="F33687">
        <v>434</v>
      </c>
    </row>
    <row r="33688" spans="1:6" ht="12.75">
      <c r="A33688" s="2">
        <v>43875.388113425928</v>
      </c>
      <c r="B33688" t="str">
        <f>HYPERLINK("https://twitter.com/henrisalim1","@henrisalim1")</f>
        <v>@henrisalim1</v>
      </c>
      <c r="C33688" t="s">
        <v>14075</v>
      </c>
      <c r="D33688">
        <v>0</v>
      </c>
      <c r="E33688">
        <v>1</v>
      </c>
      <c r="F33688">
        <v>714</v>
      </c>
    </row>
    <row r="33689" spans="1:6" ht="12.75">
      <c r="A33689" s="2">
        <v>43875.388113425928</v>
      </c>
      <c r="B33689" t="str">
        <f>HYPERLINK("https://twitter.com/adc1408","@adc1408")</f>
        <v>@adc1408</v>
      </c>
      <c r="C33689" t="s">
        <v>9998</v>
      </c>
      <c r="D33689">
        <v>67</v>
      </c>
      <c r="E33689">
        <v>0</v>
      </c>
      <c r="F33689">
        <v>90</v>
      </c>
    </row>
    <row r="33690" spans="1:6" ht="12.75">
      <c r="A33690" s="2">
        <v>43875.388101851851</v>
      </c>
      <c r="B33690" t="str">
        <f>HYPERLINK("https://twitter.com/Ndrews1162011","@Ndrews1162011")</f>
        <v>@Ndrews1162011</v>
      </c>
      <c r="C33690" t="s">
        <v>14076</v>
      </c>
      <c r="D33690">
        <v>0</v>
      </c>
      <c r="E33690">
        <v>0</v>
      </c>
      <c r="F33690">
        <v>1140</v>
      </c>
    </row>
    <row r="33691" spans="1:6" ht="12.75">
      <c r="A33691" s="2">
        <v>43875.387858796297</v>
      </c>
      <c r="B33691" t="str">
        <f>HYPERLINK("https://twitter.com/FSuryawijaya","@FSuryawijaya")</f>
        <v>@FSuryawijaya</v>
      </c>
      <c r="C33691" t="s">
        <v>14077</v>
      </c>
      <c r="D33691">
        <v>0</v>
      </c>
      <c r="E33691">
        <v>0</v>
      </c>
      <c r="F33691">
        <v>138</v>
      </c>
    </row>
    <row r="33692" spans="1:6" ht="12.75">
      <c r="A33692" s="2">
        <v>43875.387766203705</v>
      </c>
      <c r="B33692" t="str">
        <f>HYPERLINK("https://twitter.com/adc1408","@adc1408")</f>
        <v>@adc1408</v>
      </c>
      <c r="C33692" t="s">
        <v>14078</v>
      </c>
      <c r="D33692">
        <v>1</v>
      </c>
      <c r="E33692">
        <v>0</v>
      </c>
      <c r="F33692">
        <v>90</v>
      </c>
    </row>
    <row r="33693" spans="1:6" ht="12.75">
      <c r="A33693" s="2">
        <v>43875.387719907405</v>
      </c>
      <c r="B33693" t="str">
        <f>HYPERLINK("https://twitter.com/MrsRachelIn","@MrsRachelIn")</f>
        <v>@MrsRachelIn</v>
      </c>
      <c r="C33693" t="s">
        <v>14079</v>
      </c>
      <c r="D33693">
        <v>0</v>
      </c>
      <c r="E33693">
        <v>0</v>
      </c>
      <c r="F33693">
        <v>3079</v>
      </c>
    </row>
    <row r="33694" spans="1:6" ht="12.75">
      <c r="A33694" s="2">
        <v>43875.387696759259</v>
      </c>
      <c r="B33694" t="str">
        <f>HYPERLINK("https://twitter.com/menjadijoseph","@menjadijoseph")</f>
        <v>@menjadijoseph</v>
      </c>
      <c r="C33694" t="s">
        <v>14080</v>
      </c>
      <c r="D33694">
        <v>0</v>
      </c>
      <c r="E33694">
        <v>1</v>
      </c>
      <c r="F33694">
        <v>300</v>
      </c>
    </row>
    <row r="33695" spans="1:6" ht="12.75">
      <c r="A33695" s="2">
        <v>43875.387696759259</v>
      </c>
      <c r="B33695" t="str">
        <f>HYPERLINK("https://twitter.com/alafuu","@alafuu")</f>
        <v>@alafuu</v>
      </c>
      <c r="C33695" t="s">
        <v>2137</v>
      </c>
      <c r="D33695">
        <v>33</v>
      </c>
      <c r="E33695">
        <v>0</v>
      </c>
      <c r="F33695">
        <v>1226</v>
      </c>
    </row>
    <row r="33696" spans="1:6" ht="12.75">
      <c r="A33696" s="2">
        <v>43875.387673611112</v>
      </c>
      <c r="B33696" t="str">
        <f>HYPERLINK("https://twitter.com/RizkyWardana","@RizkyWardana")</f>
        <v>@RizkyWardana</v>
      </c>
      <c r="C33696" t="s">
        <v>9998</v>
      </c>
      <c r="D33696">
        <v>67</v>
      </c>
      <c r="E33696">
        <v>0</v>
      </c>
      <c r="F33696">
        <v>170</v>
      </c>
    </row>
    <row r="33697" spans="1:6" ht="12.75">
      <c r="A33697" s="2">
        <v>43875.387604166666</v>
      </c>
      <c r="B33697" t="str">
        <f>HYPERLINK("https://twitter.com/kafara666","@kafara666")</f>
        <v>@kafara666</v>
      </c>
      <c r="C33697" t="s">
        <v>14081</v>
      </c>
      <c r="D33697">
        <v>0</v>
      </c>
      <c r="E33697">
        <v>0</v>
      </c>
      <c r="F33697">
        <v>66</v>
      </c>
    </row>
    <row r="33698" spans="1:6" ht="12.75">
      <c r="A33698" s="2">
        <v>43875.38758101852</v>
      </c>
      <c r="B33698" t="str">
        <f>HYPERLINK("https://twitter.com/Usep210","@Usep210")</f>
        <v>@Usep210</v>
      </c>
      <c r="C33698" t="s">
        <v>14082</v>
      </c>
      <c r="D33698">
        <v>0</v>
      </c>
      <c r="E33698">
        <v>0</v>
      </c>
      <c r="F33698">
        <v>4765</v>
      </c>
    </row>
    <row r="33699" spans="1:6" ht="12.75">
      <c r="A33699" s="2">
        <v>43875.387442129635</v>
      </c>
      <c r="B33699" t="str">
        <f>HYPERLINK("https://twitter.com/MahinFatavit","@MahinFatavit")</f>
        <v>@MahinFatavit</v>
      </c>
      <c r="C33699" t="s">
        <v>2963</v>
      </c>
      <c r="D33699">
        <v>564</v>
      </c>
      <c r="E33699">
        <v>0</v>
      </c>
      <c r="F33699">
        <v>5835</v>
      </c>
    </row>
    <row r="33700" spans="1:6" ht="12.75">
      <c r="A33700" s="2">
        <v>43875.387395833328</v>
      </c>
      <c r="B33700" t="str">
        <f>HYPERLINK("https://twitter.com/habibi_ridlo","@habibi_ridlo")</f>
        <v>@habibi_ridlo</v>
      </c>
      <c r="C33700" t="s">
        <v>9998</v>
      </c>
      <c r="D33700">
        <v>67</v>
      </c>
      <c r="E33700">
        <v>0</v>
      </c>
      <c r="F33700">
        <v>326</v>
      </c>
    </row>
    <row r="33701" spans="1:6" ht="12.75">
      <c r="A33701" s="2">
        <v>43875.387361111112</v>
      </c>
      <c r="B33701" t="str">
        <f>HYPERLINK("https://twitter.com/darklord823","@darklord823")</f>
        <v>@darklord823</v>
      </c>
      <c r="C33701" t="s">
        <v>14083</v>
      </c>
      <c r="D33701">
        <v>0</v>
      </c>
      <c r="E33701">
        <v>0</v>
      </c>
      <c r="F33701">
        <v>1</v>
      </c>
    </row>
    <row r="33702" spans="1:6" ht="12.75">
      <c r="A33702" s="2">
        <v>43875.387337962966</v>
      </c>
      <c r="B33702" t="str">
        <f>HYPERLINK("https://twitter.com/adrianSP75","@adrianSP75")</f>
        <v>@adrianSP75</v>
      </c>
      <c r="C33702" t="s">
        <v>11079</v>
      </c>
      <c r="D33702">
        <v>37</v>
      </c>
      <c r="E33702">
        <v>0</v>
      </c>
      <c r="F33702">
        <v>4991</v>
      </c>
    </row>
    <row r="33703" spans="1:6" ht="12.75">
      <c r="A33703" s="2">
        <v>43875.38726851852</v>
      </c>
      <c r="B33703" t="str">
        <f>HYPERLINK("https://twitter.com/IhsanRizki_48","@IhsanRizki_48")</f>
        <v>@IhsanRizki_48</v>
      </c>
      <c r="C33703" t="s">
        <v>5168</v>
      </c>
      <c r="D33703">
        <v>461</v>
      </c>
      <c r="E33703">
        <v>0</v>
      </c>
      <c r="F33703">
        <v>607</v>
      </c>
    </row>
    <row r="33704" spans="1:6" ht="12.75">
      <c r="A33704" s="2">
        <v>43875.387210648143</v>
      </c>
      <c r="B33704" t="str">
        <f>HYPERLINK("https://twitter.com/nashlive","@nashlive")</f>
        <v>@nashlive</v>
      </c>
      <c r="C33704" t="s">
        <v>14084</v>
      </c>
      <c r="D33704">
        <v>0</v>
      </c>
      <c r="E33704">
        <v>0</v>
      </c>
      <c r="F33704">
        <v>3790</v>
      </c>
    </row>
    <row r="33705" spans="1:6" ht="12.75">
      <c r="A33705" s="2">
        <v>43875.387187500004</v>
      </c>
      <c r="B33705" t="str">
        <f>HYPERLINK("https://twitter.com/boedi_wie","@boedi_wie")</f>
        <v>@boedi_wie</v>
      </c>
      <c r="C33705" t="s">
        <v>14085</v>
      </c>
      <c r="D33705">
        <v>1</v>
      </c>
      <c r="E33705">
        <v>1</v>
      </c>
      <c r="F33705">
        <v>2346</v>
      </c>
    </row>
    <row r="33706" spans="1:6" ht="12.75">
      <c r="A33706" s="2">
        <v>43875.387187500004</v>
      </c>
      <c r="B33706" t="str">
        <f>HYPERLINK("https://twitter.com/generasi_api","@generasi_api")</f>
        <v>@generasi_api</v>
      </c>
      <c r="C33706" t="s">
        <v>2963</v>
      </c>
      <c r="D33706">
        <v>564</v>
      </c>
      <c r="E33706">
        <v>0</v>
      </c>
      <c r="F33706">
        <v>62</v>
      </c>
    </row>
    <row r="33707" spans="1:6" ht="12.75">
      <c r="A33707" s="2">
        <v>43875.387083333335</v>
      </c>
      <c r="B33707" t="str">
        <f>HYPERLINK("https://twitter.com/DavidM27510593","@DavidM27510593")</f>
        <v>@DavidM27510593</v>
      </c>
      <c r="C33707" t="s">
        <v>14086</v>
      </c>
      <c r="D33707">
        <v>0</v>
      </c>
      <c r="E33707">
        <v>0</v>
      </c>
      <c r="F33707">
        <v>33</v>
      </c>
    </row>
    <row r="33708" spans="1:6" ht="12.75">
      <c r="A33708" s="2">
        <v>43875.387013888889</v>
      </c>
      <c r="B33708" t="str">
        <f>HYPERLINK("https://twitter.com/naldileo","@naldileo")</f>
        <v>@naldileo</v>
      </c>
      <c r="C33708" t="s">
        <v>9998</v>
      </c>
      <c r="D33708">
        <v>67</v>
      </c>
      <c r="E33708">
        <v>0</v>
      </c>
      <c r="F33708">
        <v>133</v>
      </c>
    </row>
    <row r="33709" spans="1:6" ht="12.75">
      <c r="A33709" s="2">
        <v>43875.387002314819</v>
      </c>
      <c r="B33709" t="str">
        <f>HYPERLINK("https://twitter.com/GabbyGabee","@GabbyGabee")</f>
        <v>@GabbyGabee</v>
      </c>
      <c r="C33709" t="s">
        <v>2963</v>
      </c>
      <c r="D33709">
        <v>564</v>
      </c>
      <c r="E33709">
        <v>0</v>
      </c>
      <c r="F33709">
        <v>617</v>
      </c>
    </row>
    <row r="33710" spans="1:6" ht="12.75">
      <c r="A33710" s="2">
        <v>43875.386990740742</v>
      </c>
      <c r="B33710" t="str">
        <f>HYPERLINK("https://twitter.com/FSyah1111","@FSyah1111")</f>
        <v>@FSyah1111</v>
      </c>
      <c r="C33710" t="s">
        <v>14087</v>
      </c>
      <c r="D33710">
        <v>0</v>
      </c>
      <c r="E33710">
        <v>0</v>
      </c>
      <c r="F33710">
        <v>294</v>
      </c>
    </row>
    <row r="33711" spans="1:6" ht="12.75">
      <c r="A33711" s="2">
        <v>43875.386944444443</v>
      </c>
      <c r="B33711" t="str">
        <f>HYPERLINK("https://twitter.com/__Aiek__Channel","@__Aiek__Channel")</f>
        <v>@__Aiek__Channel</v>
      </c>
      <c r="C33711" t="s">
        <v>14042</v>
      </c>
      <c r="D33711">
        <v>4</v>
      </c>
      <c r="E33711">
        <v>0</v>
      </c>
      <c r="F33711">
        <v>8719</v>
      </c>
    </row>
    <row r="33712" spans="1:6" ht="12.75">
      <c r="A33712" s="2">
        <v>43875.386828703704</v>
      </c>
      <c r="B33712" t="str">
        <f>HYPERLINK("https://twitter.com/ajojuki","@ajojuki")</f>
        <v>@ajojuki</v>
      </c>
      <c r="C33712" t="s">
        <v>13757</v>
      </c>
      <c r="D33712">
        <v>38</v>
      </c>
      <c r="E33712">
        <v>0</v>
      </c>
      <c r="F33712">
        <v>1726</v>
      </c>
    </row>
    <row r="33713" spans="1:6" ht="12.75">
      <c r="A33713" s="2">
        <v>43875.386817129634</v>
      </c>
      <c r="B33713" t="str">
        <f>HYPERLINK("https://twitter.com/Rizky0220421439","@Rizky0220421439")</f>
        <v>@Rizky0220421439</v>
      </c>
      <c r="C33713" t="s">
        <v>11425</v>
      </c>
      <c r="D33713">
        <v>199</v>
      </c>
      <c r="E33713">
        <v>0</v>
      </c>
      <c r="F33713">
        <v>1378</v>
      </c>
    </row>
    <row r="33714" spans="1:6" ht="12.75">
      <c r="A33714" s="2">
        <v>43875.386793981481</v>
      </c>
      <c r="B33714" t="str">
        <f>HYPERLINK("https://twitter.com/akunretweetttt","@akunretweetttt")</f>
        <v>@akunretweetttt</v>
      </c>
      <c r="C33714" t="s">
        <v>5835</v>
      </c>
      <c r="D33714">
        <v>13</v>
      </c>
      <c r="E33714">
        <v>0</v>
      </c>
      <c r="F33714">
        <v>141</v>
      </c>
    </row>
    <row r="33715" spans="1:6" ht="12.75">
      <c r="A33715" s="2">
        <v>43875.386701388888</v>
      </c>
      <c r="B33715" t="str">
        <f>HYPERLINK("https://twitter.com/ParmonanganRaja","@ParmonanganRaja")</f>
        <v>@ParmonanganRaja</v>
      </c>
      <c r="C33715" t="s">
        <v>14088</v>
      </c>
      <c r="D33715">
        <v>0</v>
      </c>
      <c r="E33715">
        <v>0</v>
      </c>
      <c r="F33715">
        <v>182</v>
      </c>
    </row>
    <row r="33716" spans="1:6" ht="12.75">
      <c r="A33716" s="2">
        <v>43875.386701388888</v>
      </c>
      <c r="B33716" t="str">
        <f>HYPERLINK("https://twitter.com/nubic_","@nubic_")</f>
        <v>@nubic_</v>
      </c>
      <c r="C33716" t="s">
        <v>14089</v>
      </c>
      <c r="D33716">
        <v>0</v>
      </c>
      <c r="E33716">
        <v>0</v>
      </c>
      <c r="F33716">
        <v>803</v>
      </c>
    </row>
    <row r="33717" spans="1:6" ht="12.75">
      <c r="A33717" s="2">
        <v>43875.386689814812</v>
      </c>
      <c r="B33717" t="str">
        <f>HYPERLINK("https://twitter.com/camumpuni","@camumpuni")</f>
        <v>@camumpuni</v>
      </c>
      <c r="C33717" t="s">
        <v>7390</v>
      </c>
      <c r="D33717">
        <v>82</v>
      </c>
      <c r="E33717">
        <v>0</v>
      </c>
      <c r="F33717">
        <v>100</v>
      </c>
    </row>
    <row r="33718" spans="1:6" ht="12.75">
      <c r="A33718" s="2">
        <v>43875.386550925927</v>
      </c>
      <c r="B33718" t="str">
        <f>HYPERLINK("https://twitter.com/Bima_BPamungkas","@Bima_BPamungkas")</f>
        <v>@Bima_BPamungkas</v>
      </c>
      <c r="C33718" t="s">
        <v>9998</v>
      </c>
      <c r="D33718">
        <v>67</v>
      </c>
      <c r="E33718">
        <v>0</v>
      </c>
      <c r="F33718">
        <v>208</v>
      </c>
    </row>
    <row r="33719" spans="1:6" ht="12.75">
      <c r="A33719" s="2">
        <v>43875.38653935185</v>
      </c>
      <c r="B33719" t="str">
        <f>HYPERLINK("https://twitter.com/Abdul_tpc","@Abdul_tpc")</f>
        <v>@Abdul_tpc</v>
      </c>
      <c r="C33719" t="s">
        <v>5761</v>
      </c>
      <c r="D33719">
        <v>37</v>
      </c>
      <c r="E33719">
        <v>0</v>
      </c>
      <c r="F33719">
        <v>849</v>
      </c>
    </row>
    <row r="33720" spans="1:6" ht="12.75">
      <c r="A33720" s="2">
        <v>43875.38653935185</v>
      </c>
      <c r="B33720" t="str">
        <f>HYPERLINK("https://twitter.com/jengsri_ss","@jengsri_ss")</f>
        <v>@jengsri_ss</v>
      </c>
      <c r="C33720" t="s">
        <v>2963</v>
      </c>
      <c r="D33720">
        <v>564</v>
      </c>
      <c r="E33720">
        <v>0</v>
      </c>
      <c r="F33720">
        <v>350</v>
      </c>
    </row>
    <row r="33721" spans="1:6" ht="12.75">
      <c r="A33721" s="2">
        <v>43875.386469907404</v>
      </c>
      <c r="B33721" t="str">
        <f>HYPERLINK("https://twitter.com/bestprofitsby","@bestprofitsby")</f>
        <v>@bestprofitsby</v>
      </c>
      <c r="C33721" t="s">
        <v>14090</v>
      </c>
      <c r="D33721">
        <v>0</v>
      </c>
      <c r="E33721">
        <v>0</v>
      </c>
      <c r="F33721">
        <v>83</v>
      </c>
    </row>
    <row r="33722" spans="1:6" ht="12.75">
      <c r="A33722" s="2">
        <v>43875.386412037042</v>
      </c>
      <c r="B33722" t="str">
        <f>HYPERLINK("https://twitter.com/MohammadShaleh4","@MohammadShaleh4")</f>
        <v>@MohammadShaleh4</v>
      </c>
      <c r="C33722" t="s">
        <v>14091</v>
      </c>
      <c r="D33722">
        <v>0</v>
      </c>
      <c r="E33722">
        <v>0</v>
      </c>
      <c r="F33722">
        <v>2306</v>
      </c>
    </row>
    <row r="33723" spans="1:6" ht="12.75">
      <c r="A33723" s="2">
        <v>43875.386388888888</v>
      </c>
      <c r="B33723" t="str">
        <f>HYPERLINK("https://twitter.com/I5H4K","@I5H4K")</f>
        <v>@I5H4K</v>
      </c>
      <c r="C33723" t="s">
        <v>10330</v>
      </c>
      <c r="D33723">
        <v>197</v>
      </c>
      <c r="E33723">
        <v>0</v>
      </c>
      <c r="F33723">
        <v>226</v>
      </c>
    </row>
    <row r="33724" spans="1:6" ht="12.75">
      <c r="A33724" s="2">
        <v>43875.386296296296</v>
      </c>
      <c r="B33724" t="str">
        <f>HYPERLINK("https://twitter.com/Abdurahman18981","@Abdurahman18981")</f>
        <v>@Abdurahman18981</v>
      </c>
      <c r="C33724" t="s">
        <v>12834</v>
      </c>
      <c r="D33724">
        <v>415</v>
      </c>
      <c r="E33724">
        <v>0</v>
      </c>
      <c r="F33724">
        <v>455</v>
      </c>
    </row>
    <row r="33725" spans="1:6" ht="12.75">
      <c r="A33725" s="2">
        <v>43875.386273148149</v>
      </c>
      <c r="B33725" t="str">
        <f>HYPERLINK("https://twitter.com/Marangkusumah","@Marangkusumah")</f>
        <v>@Marangkusumah</v>
      </c>
      <c r="C33725" t="s">
        <v>14092</v>
      </c>
      <c r="D33725">
        <v>0</v>
      </c>
      <c r="E33725">
        <v>0</v>
      </c>
      <c r="F33725">
        <v>0</v>
      </c>
    </row>
    <row r="33726" spans="1:6" ht="12.75">
      <c r="A33726" s="2">
        <v>43875.386273148149</v>
      </c>
      <c r="B33726" t="str">
        <f>HYPERLINK("https://twitter.com/N1ngW4ng1","@N1ngW4ng1")</f>
        <v>@N1ngW4ng1</v>
      </c>
      <c r="C33726" t="s">
        <v>14093</v>
      </c>
      <c r="D33726">
        <v>1</v>
      </c>
      <c r="E33726">
        <v>0</v>
      </c>
      <c r="F33726">
        <v>3264</v>
      </c>
    </row>
    <row r="33727" spans="1:6" ht="12.75">
      <c r="A33727" s="2">
        <v>43875.386273148149</v>
      </c>
      <c r="B33727" t="str">
        <f>HYPERLINK("https://twitter.com/Dandu_BDH","@Dandu_BDH")</f>
        <v>@Dandu_BDH</v>
      </c>
      <c r="C33727" t="s">
        <v>9998</v>
      </c>
      <c r="D33727">
        <v>67</v>
      </c>
      <c r="E33727">
        <v>0</v>
      </c>
      <c r="F33727">
        <v>1</v>
      </c>
    </row>
    <row r="33728" spans="1:6" ht="12.75">
      <c r="A33728" s="2">
        <v>43875.386273148149</v>
      </c>
      <c r="B33728" t="str">
        <f>HYPERLINK("https://twitter.com/Pratama_Prime","@Pratama_Prime")</f>
        <v>@Pratama_Prime</v>
      </c>
      <c r="C33728" t="s">
        <v>9998</v>
      </c>
      <c r="D33728">
        <v>67</v>
      </c>
      <c r="E33728">
        <v>0</v>
      </c>
      <c r="F33728">
        <v>163</v>
      </c>
    </row>
    <row r="33729" spans="1:6" ht="12.75">
      <c r="A33729" s="2">
        <v>43875.386203703703</v>
      </c>
      <c r="B33729" t="str">
        <f>HYPERLINK("https://twitter.com/AnugrahArgaS6","@AnugrahArgaS6")</f>
        <v>@AnugrahArgaS6</v>
      </c>
      <c r="C33729" t="s">
        <v>11425</v>
      </c>
      <c r="D33729">
        <v>199</v>
      </c>
      <c r="E33729">
        <v>0</v>
      </c>
      <c r="F33729">
        <v>127</v>
      </c>
    </row>
    <row r="33730" spans="1:6" ht="12.75">
      <c r="A33730" s="2">
        <v>43875.386192129634</v>
      </c>
      <c r="B33730" t="str">
        <f>HYPERLINK("https://twitter.com/nugrohosudarso1","@nugrohosudarso1")</f>
        <v>@nugrohosudarso1</v>
      </c>
      <c r="C33730" t="s">
        <v>10096</v>
      </c>
      <c r="D33730">
        <v>77</v>
      </c>
      <c r="E33730">
        <v>0</v>
      </c>
      <c r="F33730">
        <v>318</v>
      </c>
    </row>
    <row r="33731" spans="1:6" ht="12.75">
      <c r="A33731" s="2">
        <v>43875.386122685188</v>
      </c>
      <c r="B33731" t="str">
        <f>HYPERLINK("https://twitter.com/Edisonalmageki","@Edisonalmageki")</f>
        <v>@Edisonalmageki</v>
      </c>
      <c r="C33731" t="s">
        <v>5761</v>
      </c>
      <c r="D33731">
        <v>37</v>
      </c>
      <c r="E33731">
        <v>0</v>
      </c>
      <c r="F33731">
        <v>1615</v>
      </c>
    </row>
    <row r="33732" spans="1:6" ht="12.75">
      <c r="A33732" s="2">
        <v>43875.386041666672</v>
      </c>
      <c r="B33732" t="str">
        <f>HYPERLINK("https://twitter.com/Peni_Asih","@Peni_Asih")</f>
        <v>@Peni_Asih</v>
      </c>
      <c r="C33732" t="s">
        <v>14094</v>
      </c>
      <c r="D33732">
        <v>0</v>
      </c>
      <c r="E33732">
        <v>0</v>
      </c>
      <c r="F33732">
        <v>2289</v>
      </c>
    </row>
    <row r="33733" spans="1:6" ht="12.75">
      <c r="A33733" s="2">
        <v>43875.386006944449</v>
      </c>
      <c r="B33733" t="str">
        <f>HYPERLINK("https://twitter.com/Rizky0220421439","@Rizky0220421439")</f>
        <v>@Rizky0220421439</v>
      </c>
      <c r="C33733" t="s">
        <v>9096</v>
      </c>
      <c r="D33733">
        <v>162</v>
      </c>
      <c r="E33733">
        <v>0</v>
      </c>
      <c r="F33733">
        <v>1378</v>
      </c>
    </row>
    <row r="33734" spans="1:6" ht="12.75">
      <c r="A33734" s="2">
        <v>43875.385983796295</v>
      </c>
      <c r="B33734" t="str">
        <f>HYPERLINK("https://twitter.com/AbiyyuAdaam","@AbiyyuAdaam")</f>
        <v>@AbiyyuAdaam</v>
      </c>
      <c r="C33734" t="s">
        <v>9998</v>
      </c>
      <c r="D33734">
        <v>67</v>
      </c>
      <c r="E33734">
        <v>0</v>
      </c>
      <c r="F33734">
        <v>5</v>
      </c>
    </row>
    <row r="33735" spans="1:6" ht="12.75">
      <c r="A33735" s="2">
        <v>43875.385833333334</v>
      </c>
      <c r="B33735" t="str">
        <f>HYPERLINK("https://twitter.com/rudolfok","@rudolfok")</f>
        <v>@rudolfok</v>
      </c>
      <c r="C33735" t="s">
        <v>2963</v>
      </c>
      <c r="D33735">
        <v>564</v>
      </c>
      <c r="E33735">
        <v>0</v>
      </c>
      <c r="F33735">
        <v>111</v>
      </c>
    </row>
    <row r="33736" spans="1:6" ht="12.75">
      <c r="A33736" s="2">
        <v>43875.385821759264</v>
      </c>
      <c r="B33736" t="str">
        <f>HYPERLINK("https://twitter.com/andy_nomicin","@andy_nomicin")</f>
        <v>@andy_nomicin</v>
      </c>
      <c r="C33736" t="s">
        <v>11094</v>
      </c>
      <c r="D33736">
        <v>1</v>
      </c>
      <c r="E33736">
        <v>0</v>
      </c>
      <c r="F33736">
        <v>7190</v>
      </c>
    </row>
    <row r="33737" spans="1:6" ht="12.75">
      <c r="A33737" s="2">
        <v>43875.385763888888</v>
      </c>
      <c r="B33737" t="str">
        <f>HYPERLINK("https://twitter.com/BangkitU57","@BangkitU57")</f>
        <v>@BangkitU57</v>
      </c>
      <c r="C33737" t="s">
        <v>6982</v>
      </c>
      <c r="D33737">
        <v>84</v>
      </c>
      <c r="E33737">
        <v>0</v>
      </c>
      <c r="F33737">
        <v>9</v>
      </c>
    </row>
    <row r="33738" spans="1:6" ht="12.75">
      <c r="A33738" s="2">
        <v>43875.385682870372</v>
      </c>
      <c r="B33738" t="str">
        <f>HYPERLINK("https://twitter.com/siimisfil","@siimisfil")</f>
        <v>@siimisfil</v>
      </c>
      <c r="C33738" t="s">
        <v>5168</v>
      </c>
      <c r="D33738">
        <v>461</v>
      </c>
      <c r="E33738">
        <v>0</v>
      </c>
      <c r="F33738">
        <v>1304</v>
      </c>
    </row>
    <row r="33739" spans="1:6" ht="12.75">
      <c r="A33739" s="2">
        <v>43875.385671296295</v>
      </c>
      <c r="B33739" t="str">
        <f>HYPERLINK("https://twitter.com/Uki_Muhibullah","@Uki_Muhibullah")</f>
        <v>@Uki_Muhibullah</v>
      </c>
      <c r="C33739" t="s">
        <v>9998</v>
      </c>
      <c r="D33739">
        <v>67</v>
      </c>
      <c r="E33739">
        <v>0</v>
      </c>
      <c r="F33739">
        <v>547</v>
      </c>
    </row>
    <row r="33740" spans="1:6" ht="12.75">
      <c r="A33740" s="2">
        <v>43875.385659722218</v>
      </c>
      <c r="B33740" t="str">
        <f>HYPERLINK("https://twitter.com/Manurung1D","@Manurung1D")</f>
        <v>@Manurung1D</v>
      </c>
      <c r="C33740" t="s">
        <v>14095</v>
      </c>
      <c r="D33740">
        <v>1</v>
      </c>
      <c r="E33740">
        <v>1</v>
      </c>
      <c r="F33740">
        <v>587</v>
      </c>
    </row>
    <row r="33741" spans="1:6" ht="12.75">
      <c r="A33741" s="2">
        <v>43875.385624999995</v>
      </c>
      <c r="B33741" t="str">
        <f>HYPERLINK("https://twitter.com/Cengkonek2","@Cengkonek2")</f>
        <v>@Cengkonek2</v>
      </c>
      <c r="C33741" t="s">
        <v>5761</v>
      </c>
      <c r="D33741">
        <v>37</v>
      </c>
      <c r="E33741">
        <v>0</v>
      </c>
      <c r="F33741">
        <v>1215</v>
      </c>
    </row>
    <row r="33742" spans="1:6" ht="12.75">
      <c r="A33742" s="2">
        <v>43875.385613425926</v>
      </c>
      <c r="B33742" t="str">
        <f>HYPERLINK("https://twitter.com/anggyy90","@anggyy90")</f>
        <v>@anggyy90</v>
      </c>
      <c r="C33742" t="s">
        <v>5168</v>
      </c>
      <c r="D33742">
        <v>461</v>
      </c>
      <c r="E33742">
        <v>0</v>
      </c>
      <c r="F33742">
        <v>1847</v>
      </c>
    </row>
    <row r="33743" spans="1:6" ht="12.75">
      <c r="A33743" s="2">
        <v>43875.385439814811</v>
      </c>
      <c r="B33743" t="str">
        <f>HYPERLINK("https://twitter.com/RMusrod","@RMusrod")</f>
        <v>@RMusrod</v>
      </c>
      <c r="C33743" t="s">
        <v>14096</v>
      </c>
      <c r="D33743">
        <v>0</v>
      </c>
      <c r="E33743">
        <v>0</v>
      </c>
      <c r="F33743">
        <v>1060</v>
      </c>
    </row>
    <row r="33744" spans="1:6" ht="12.75">
      <c r="A33744" s="2">
        <v>43875.385370370372</v>
      </c>
      <c r="B33744" t="str">
        <f>HYPERLINK("https://twitter.com/AisSyariif","@AisSyariif")</f>
        <v>@AisSyariif</v>
      </c>
      <c r="C33744" t="s">
        <v>14005</v>
      </c>
      <c r="D33744">
        <v>87</v>
      </c>
      <c r="E33744">
        <v>0</v>
      </c>
      <c r="F33744">
        <v>873</v>
      </c>
    </row>
    <row r="33745" spans="1:6" ht="12.75">
      <c r="A33745" s="2">
        <v>43875.385289351849</v>
      </c>
      <c r="B33745" t="str">
        <f>HYPERLINK("https://twitter.com/azzamputra","@azzamputra")</f>
        <v>@azzamputra</v>
      </c>
      <c r="C33745" t="s">
        <v>9998</v>
      </c>
      <c r="D33745">
        <v>67</v>
      </c>
      <c r="E33745">
        <v>0</v>
      </c>
      <c r="F33745">
        <v>267</v>
      </c>
    </row>
    <row r="33746" spans="1:6" ht="12.75">
      <c r="A33746" s="2">
        <v>43875.385150462964</v>
      </c>
      <c r="B33746" t="str">
        <f>HYPERLINK("https://twitter.com/adi05818244","@adi05818244")</f>
        <v>@adi05818244</v>
      </c>
      <c r="C33746" t="s">
        <v>175</v>
      </c>
      <c r="D33746">
        <v>5235</v>
      </c>
      <c r="E33746">
        <v>0</v>
      </c>
      <c r="F33746">
        <v>4</v>
      </c>
    </row>
    <row r="33747" spans="1:6" ht="12.75">
      <c r="A33747" s="2">
        <v>43875.385150462964</v>
      </c>
      <c r="B33747" t="str">
        <f>HYPERLINK("https://twitter.com/didie_soeharto","@didie_soeharto")</f>
        <v>@didie_soeharto</v>
      </c>
      <c r="C33747" t="s">
        <v>14097</v>
      </c>
      <c r="D33747">
        <v>0</v>
      </c>
      <c r="E33747">
        <v>2</v>
      </c>
      <c r="F33747">
        <v>1208</v>
      </c>
    </row>
    <row r="33748" spans="1:6" ht="12.75">
      <c r="A33748" s="2">
        <v>43875.385092592594</v>
      </c>
      <c r="B33748" t="str">
        <f>HYPERLINK("https://twitter.com/BSiswanto1986","@BSiswanto1986")</f>
        <v>@BSiswanto1986</v>
      </c>
      <c r="C33748" t="s">
        <v>9947</v>
      </c>
      <c r="D33748">
        <v>322</v>
      </c>
      <c r="E33748">
        <v>0</v>
      </c>
      <c r="F33748">
        <v>324</v>
      </c>
    </row>
    <row r="33749" spans="1:6" ht="12.75">
      <c r="A33749" s="2">
        <v>43875.385069444441</v>
      </c>
      <c r="B33749" t="str">
        <f>HYPERLINK("https://twitter.com/2i_es","@2i_es")</f>
        <v>@2i_es</v>
      </c>
      <c r="C33749" t="s">
        <v>10096</v>
      </c>
      <c r="D33749">
        <v>77</v>
      </c>
      <c r="E33749">
        <v>0</v>
      </c>
      <c r="F33749">
        <v>208</v>
      </c>
    </row>
    <row r="33750" spans="1:6" ht="12.75">
      <c r="A33750" s="2">
        <v>43875.385034722218</v>
      </c>
      <c r="B33750" t="str">
        <f>HYPERLINK("https://twitter.com/hariadhi84","@hariadhi84")</f>
        <v>@hariadhi84</v>
      </c>
      <c r="C33750" t="s">
        <v>14098</v>
      </c>
      <c r="D33750">
        <v>1</v>
      </c>
      <c r="E33750">
        <v>3</v>
      </c>
      <c r="F33750">
        <v>10844</v>
      </c>
    </row>
    <row r="33751" spans="1:6" ht="12.75">
      <c r="A33751" s="2">
        <v>43875.384895833333</v>
      </c>
      <c r="B33751" t="str">
        <f>HYPERLINK("https://twitter.com/retoinggg","@retoinggg")</f>
        <v>@retoinggg</v>
      </c>
      <c r="C33751" t="s">
        <v>9998</v>
      </c>
      <c r="D33751">
        <v>67</v>
      </c>
      <c r="E33751">
        <v>0</v>
      </c>
      <c r="F33751">
        <v>292</v>
      </c>
    </row>
    <row r="33752" spans="1:6" ht="12.75">
      <c r="A33752" s="2">
        <v>43875.384895833333</v>
      </c>
      <c r="B33752" t="str">
        <f>HYPERLINK("https://twitter.com/kopiKaffah","@kopiKaffah")</f>
        <v>@kopiKaffah</v>
      </c>
      <c r="C33752" t="s">
        <v>9998</v>
      </c>
      <c r="D33752">
        <v>67</v>
      </c>
      <c r="E33752">
        <v>0</v>
      </c>
      <c r="F33752">
        <v>283</v>
      </c>
    </row>
    <row r="33753" spans="1:6" ht="12.75">
      <c r="A33753" s="2">
        <v>43875.384895833333</v>
      </c>
      <c r="B33753" t="str">
        <f>HYPERLINK("https://twitter.com/ChaChepi","@ChaChepi")</f>
        <v>@ChaChepi</v>
      </c>
      <c r="C33753" t="s">
        <v>14099</v>
      </c>
      <c r="D33753">
        <v>0</v>
      </c>
      <c r="E33753">
        <v>0</v>
      </c>
      <c r="F33753">
        <v>0</v>
      </c>
    </row>
    <row r="33754" spans="1:6" ht="12.75">
      <c r="A33754" s="2">
        <v>43875.384895833333</v>
      </c>
      <c r="B33754" t="str">
        <f>HYPERLINK("https://twitter.com/DIKA_GPANSOR","@DIKA_GPANSOR")</f>
        <v>@DIKA_GPANSOR</v>
      </c>
      <c r="C33754" t="s">
        <v>13712</v>
      </c>
      <c r="D33754">
        <v>29</v>
      </c>
      <c r="E33754">
        <v>0</v>
      </c>
      <c r="F33754">
        <v>19</v>
      </c>
    </row>
    <row r="33755" spans="1:6" ht="12.75">
      <c r="A33755" s="2">
        <v>43875.384849537033</v>
      </c>
      <c r="B33755" t="str">
        <f>HYPERLINK("https://twitter.com/asyhadi01","@asyhadi01")</f>
        <v>@asyhadi01</v>
      </c>
      <c r="C33755" t="s">
        <v>14100</v>
      </c>
      <c r="D33755">
        <v>0</v>
      </c>
      <c r="E33755">
        <v>0</v>
      </c>
      <c r="F33755">
        <v>185</v>
      </c>
    </row>
    <row r="33756" spans="1:6" ht="12.75">
      <c r="A33756" s="2">
        <v>43875.384826388894</v>
      </c>
      <c r="B33756" t="str">
        <f>HYPERLINK("https://twitter.com/BantenSrikandi","@BantenSrikandi")</f>
        <v>@BantenSrikandi</v>
      </c>
      <c r="C33756" t="s">
        <v>14101</v>
      </c>
      <c r="D33756">
        <v>0</v>
      </c>
      <c r="E33756">
        <v>0</v>
      </c>
      <c r="F33756">
        <v>1744</v>
      </c>
    </row>
    <row r="33757" spans="1:6" ht="12.75">
      <c r="A33757" s="2">
        <v>43875.384768518517</v>
      </c>
      <c r="B33757" t="str">
        <f>HYPERLINK("https://twitter.com/ferryfahrial","@ferryfahrial")</f>
        <v>@ferryfahrial</v>
      </c>
      <c r="C33757" t="s">
        <v>14102</v>
      </c>
      <c r="D33757">
        <v>1</v>
      </c>
      <c r="E33757">
        <v>0</v>
      </c>
      <c r="F33757">
        <v>52</v>
      </c>
    </row>
    <row r="33758" spans="1:6" ht="12.75">
      <c r="A33758" s="2">
        <v>43875.384756944448</v>
      </c>
      <c r="B33758" t="str">
        <f>HYPERLINK("https://twitter.com/yeobooseo","@yeobooseo")</f>
        <v>@yeobooseo</v>
      </c>
      <c r="C33758" t="s">
        <v>9021</v>
      </c>
      <c r="D33758">
        <v>160</v>
      </c>
      <c r="E33758">
        <v>0</v>
      </c>
      <c r="F33758">
        <v>1504</v>
      </c>
    </row>
    <row r="33759" spans="1:6" ht="12.75">
      <c r="A33759" s="2">
        <v>43875.384756944448</v>
      </c>
      <c r="B33759" t="str">
        <f>HYPERLINK("https://twitter.com/asyhadi01","@asyhadi01")</f>
        <v>@asyhadi01</v>
      </c>
      <c r="C33759" t="s">
        <v>14103</v>
      </c>
      <c r="D33759">
        <v>0</v>
      </c>
      <c r="E33759">
        <v>0</v>
      </c>
      <c r="F33759">
        <v>185</v>
      </c>
    </row>
    <row r="33760" spans="1:6" ht="12.75">
      <c r="A33760" s="2">
        <v>43875.384710648148</v>
      </c>
      <c r="B33760" t="str">
        <f>HYPERLINK("https://twitter.com/wadimors","@wadimors")</f>
        <v>@wadimors</v>
      </c>
      <c r="C33760" t="s">
        <v>2963</v>
      </c>
      <c r="D33760">
        <v>564</v>
      </c>
      <c r="E33760">
        <v>0</v>
      </c>
      <c r="F33760">
        <v>227</v>
      </c>
    </row>
    <row r="33761" spans="1:6" ht="12.75">
      <c r="A33761" s="2">
        <v>43875.384699074071</v>
      </c>
      <c r="B33761" t="str">
        <f>HYPERLINK("https://twitter.com/zustamjeporo","@zustamjeporo")</f>
        <v>@zustamjeporo</v>
      </c>
      <c r="C33761" t="s">
        <v>2963</v>
      </c>
      <c r="D33761">
        <v>564</v>
      </c>
      <c r="E33761">
        <v>0</v>
      </c>
      <c r="F33761">
        <v>351</v>
      </c>
    </row>
    <row r="33762" spans="1:6" ht="12.75">
      <c r="A33762" s="2">
        <v>43875.384675925925</v>
      </c>
      <c r="B33762" t="str">
        <f>HYPERLINK("https://twitter.com/asyhadi01","@asyhadi01")</f>
        <v>@asyhadi01</v>
      </c>
      <c r="C33762" t="s">
        <v>14104</v>
      </c>
      <c r="D33762">
        <v>0</v>
      </c>
      <c r="E33762">
        <v>0</v>
      </c>
      <c r="F33762">
        <v>185</v>
      </c>
    </row>
    <row r="33763" spans="1:6" ht="12.75">
      <c r="A33763" s="2">
        <v>43875.384664351848</v>
      </c>
      <c r="B33763" t="str">
        <f>HYPERLINK("https://twitter.com/rizkydottay","@rizkydottay")</f>
        <v>@rizkydottay</v>
      </c>
      <c r="C33763" t="s">
        <v>9998</v>
      </c>
      <c r="D33763">
        <v>67</v>
      </c>
      <c r="E33763">
        <v>0</v>
      </c>
      <c r="F33763">
        <v>84</v>
      </c>
    </row>
    <row r="33764" spans="1:6" ht="12.75">
      <c r="A33764" s="2">
        <v>43875.384594907402</v>
      </c>
      <c r="B33764" t="str">
        <f>HYPERLINK("https://twitter.com/Adit_yaWS","@Adit_yaWS")</f>
        <v>@Adit_yaWS</v>
      </c>
      <c r="C33764" t="s">
        <v>9998</v>
      </c>
      <c r="D33764">
        <v>67</v>
      </c>
      <c r="E33764">
        <v>0</v>
      </c>
      <c r="F33764">
        <v>262</v>
      </c>
    </row>
    <row r="33765" spans="1:6" ht="12.75">
      <c r="A33765" s="2">
        <v>43875.384548611109</v>
      </c>
      <c r="B33765" t="str">
        <f>HYPERLINK("https://twitter.com/GlaudiusDomini","@GlaudiusDomini")</f>
        <v>@GlaudiusDomini</v>
      </c>
      <c r="C33765" t="s">
        <v>9113</v>
      </c>
      <c r="D33765">
        <v>257</v>
      </c>
      <c r="E33765">
        <v>0</v>
      </c>
      <c r="F33765">
        <v>50</v>
      </c>
    </row>
    <row r="33766" spans="1:6" ht="12.75">
      <c r="A33766" s="2">
        <v>43875.384479166663</v>
      </c>
      <c r="B33766" t="str">
        <f>HYPERLINK("https://twitter.com/heniunique","@heniunique")</f>
        <v>@heniunique</v>
      </c>
      <c r="C33766" t="s">
        <v>10196</v>
      </c>
      <c r="D33766">
        <v>132</v>
      </c>
      <c r="E33766">
        <v>0</v>
      </c>
      <c r="F33766">
        <v>9727</v>
      </c>
    </row>
    <row r="33767" spans="1:6" ht="12.75">
      <c r="A33767" s="2">
        <v>43875.384456018517</v>
      </c>
      <c r="B33767" t="str">
        <f>HYPERLINK("https://twitter.com/BentenkNKRI","@BentenkNKRI")</f>
        <v>@BentenkNKRI</v>
      </c>
      <c r="C33767" t="s">
        <v>2963</v>
      </c>
      <c r="D33767">
        <v>564</v>
      </c>
      <c r="E33767">
        <v>0</v>
      </c>
      <c r="F33767">
        <v>1364</v>
      </c>
    </row>
    <row r="33768" spans="1:6" ht="12.75">
      <c r="A33768" s="2">
        <v>43875.38444444444</v>
      </c>
      <c r="B33768" t="str">
        <f>HYPERLINK("https://twitter.com/ChaChepi","@ChaChepi")</f>
        <v>@ChaChepi</v>
      </c>
      <c r="C33768" t="s">
        <v>14105</v>
      </c>
      <c r="D33768">
        <v>0</v>
      </c>
      <c r="E33768">
        <v>0</v>
      </c>
      <c r="F33768">
        <v>0</v>
      </c>
    </row>
    <row r="33769" spans="1:6" ht="12.75">
      <c r="A33769" s="2">
        <v>43875.384340277778</v>
      </c>
      <c r="B33769" t="str">
        <f>HYPERLINK("https://twitter.com/__aiek_esthreem","@__aiek_esthreem")</f>
        <v>@__aiek_esthreem</v>
      </c>
      <c r="C33769" t="s">
        <v>12273</v>
      </c>
      <c r="D33769">
        <v>4</v>
      </c>
      <c r="E33769">
        <v>0</v>
      </c>
      <c r="F33769">
        <v>16722</v>
      </c>
    </row>
    <row r="33770" spans="1:6" ht="12.75">
      <c r="A33770" s="2">
        <v>43875.384340277778</v>
      </c>
      <c r="B33770" t="str">
        <f>HYPERLINK("https://twitter.com/Popopokarimu","@Popopokarimu")</f>
        <v>@Popopokarimu</v>
      </c>
      <c r="C33770" t="s">
        <v>14106</v>
      </c>
      <c r="D33770">
        <v>0</v>
      </c>
      <c r="E33770">
        <v>3</v>
      </c>
      <c r="F33770">
        <v>10</v>
      </c>
    </row>
    <row r="33771" spans="1:6" ht="12.75">
      <c r="A33771" s="2">
        <v>43875.384259259255</v>
      </c>
      <c r="B33771" t="str">
        <f>HYPERLINK("https://twitter.com/Je_Abdullahh","@Je_Abdullahh")</f>
        <v>@Je_Abdullahh</v>
      </c>
      <c r="C33771" t="s">
        <v>2963</v>
      </c>
      <c r="D33771">
        <v>564</v>
      </c>
      <c r="E33771">
        <v>0</v>
      </c>
      <c r="F33771">
        <v>3828</v>
      </c>
    </row>
    <row r="33772" spans="1:6" ht="12.75">
      <c r="A33772" s="2">
        <v>43875.384212962963</v>
      </c>
      <c r="B33772" t="str">
        <f>HYPERLINK("https://twitter.com/wabun91","@wabun91")</f>
        <v>@wabun91</v>
      </c>
      <c r="C33772" t="s">
        <v>9998</v>
      </c>
      <c r="D33772">
        <v>67</v>
      </c>
      <c r="E33772">
        <v>0</v>
      </c>
      <c r="F33772">
        <v>119</v>
      </c>
    </row>
    <row r="33773" spans="1:6" ht="12.75">
      <c r="A33773" s="2">
        <v>43875.384097222224</v>
      </c>
      <c r="B33773" t="str">
        <f>HYPERLINK("https://twitter.com/alkautsarderian","@alkautsarderian")</f>
        <v>@alkautsarderian</v>
      </c>
      <c r="C33773" t="s">
        <v>10319</v>
      </c>
      <c r="D33773">
        <v>144</v>
      </c>
      <c r="E33773">
        <v>0</v>
      </c>
      <c r="F33773">
        <v>89</v>
      </c>
    </row>
    <row r="33774" spans="1:6" ht="12.75">
      <c r="A33774" s="2">
        <v>43875.384050925924</v>
      </c>
      <c r="B33774" t="str">
        <f>HYPERLINK("https://twitter.com/haro_arnold","@haro_arnold")</f>
        <v>@haro_arnold</v>
      </c>
      <c r="C33774" t="s">
        <v>2086</v>
      </c>
      <c r="D33774">
        <v>21</v>
      </c>
      <c r="E33774">
        <v>0</v>
      </c>
      <c r="F33774">
        <v>4485</v>
      </c>
    </row>
    <row r="33775" spans="1:6" ht="12.75">
      <c r="A33775" s="2">
        <v>43875.384039351848</v>
      </c>
      <c r="B33775" t="str">
        <f>HYPERLINK("https://twitter.com/ivanmanutd97","@ivanmanutd97")</f>
        <v>@ivanmanutd97</v>
      </c>
      <c r="C33775" t="s">
        <v>9998</v>
      </c>
      <c r="D33775">
        <v>67</v>
      </c>
      <c r="E33775">
        <v>0</v>
      </c>
      <c r="F33775">
        <v>23</v>
      </c>
    </row>
    <row r="33776" spans="1:6" ht="12.75">
      <c r="A33776" s="2">
        <v>43875.384016203709</v>
      </c>
      <c r="B33776" t="str">
        <f>HYPERLINK("https://twitter.com/egitn","@egitn")</f>
        <v>@egitn</v>
      </c>
      <c r="C33776" t="s">
        <v>9998</v>
      </c>
      <c r="D33776">
        <v>67</v>
      </c>
      <c r="E33776">
        <v>0</v>
      </c>
      <c r="F33776">
        <v>109</v>
      </c>
    </row>
    <row r="33777" spans="1:6" ht="12.75">
      <c r="A33777" s="2">
        <v>43875.383969907409</v>
      </c>
      <c r="B33777" t="str">
        <f>HYPERLINK("https://twitter.com/datfoxyy","@datfoxyy")</f>
        <v>@datfoxyy</v>
      </c>
      <c r="C33777" t="s">
        <v>9964</v>
      </c>
      <c r="D33777">
        <v>476</v>
      </c>
      <c r="E33777">
        <v>0</v>
      </c>
      <c r="F33777">
        <v>531</v>
      </c>
    </row>
    <row r="33778" spans="1:6" ht="12.75">
      <c r="A33778" s="2">
        <v>43875.383958333332</v>
      </c>
      <c r="B33778" t="str">
        <f>HYPERLINK("https://twitter.com/kafara666","@kafara666")</f>
        <v>@kafara666</v>
      </c>
      <c r="C33778" t="s">
        <v>14107</v>
      </c>
      <c r="D33778">
        <v>0</v>
      </c>
      <c r="E33778">
        <v>2</v>
      </c>
      <c r="F33778">
        <v>66</v>
      </c>
    </row>
    <row r="33779" spans="1:6" ht="12.75">
      <c r="A33779" s="2">
        <v>43875.38386574074</v>
      </c>
      <c r="B33779" t="str">
        <f>HYPERLINK("https://twitter.com/Ety67569221","@Ety67569221")</f>
        <v>@Ety67569221</v>
      </c>
      <c r="C33779" t="s">
        <v>10407</v>
      </c>
      <c r="D33779">
        <v>38</v>
      </c>
      <c r="E33779">
        <v>0</v>
      </c>
      <c r="F33779">
        <v>61</v>
      </c>
    </row>
    <row r="33780" spans="1:6" ht="12.75">
      <c r="A33780" s="2">
        <v>43875.383796296301</v>
      </c>
      <c r="B33780" t="str">
        <f>HYPERLINK("https://twitter.com/salendra18","@salendra18")</f>
        <v>@salendra18</v>
      </c>
      <c r="C33780" t="s">
        <v>14108</v>
      </c>
      <c r="D33780">
        <v>0</v>
      </c>
      <c r="E33780">
        <v>1</v>
      </c>
      <c r="F33780">
        <v>2461</v>
      </c>
    </row>
    <row r="33781" spans="1:6" ht="12.75">
      <c r="A33781" s="2">
        <v>43875.383715277778</v>
      </c>
      <c r="B33781" t="str">
        <f>HYPERLINK("https://twitter.com/AmstrongBiring","@AmstrongBiring")</f>
        <v>@AmstrongBiring</v>
      </c>
      <c r="C33781" t="s">
        <v>13842</v>
      </c>
      <c r="D33781">
        <v>31</v>
      </c>
      <c r="E33781">
        <v>0</v>
      </c>
      <c r="F33781">
        <v>1971</v>
      </c>
    </row>
    <row r="33782" spans="1:6" ht="12.75">
      <c r="A33782" s="2">
        <v>43875.383703703701</v>
      </c>
      <c r="B33782" t="str">
        <f>HYPERLINK("https://twitter.com/irfanlesmana6","@irfanlesmana6")</f>
        <v>@irfanlesmana6</v>
      </c>
      <c r="C33782" t="s">
        <v>9998</v>
      </c>
      <c r="D33782">
        <v>67</v>
      </c>
      <c r="E33782">
        <v>0</v>
      </c>
      <c r="F33782">
        <v>231</v>
      </c>
    </row>
    <row r="33783" spans="1:6" ht="12.75">
      <c r="A33783" s="2">
        <v>43875.383692129632</v>
      </c>
      <c r="B33783" t="str">
        <f>HYPERLINK("https://twitter.com/cuitankoirul","@cuitankoirul")</f>
        <v>@cuitankoirul</v>
      </c>
      <c r="C33783" t="s">
        <v>9998</v>
      </c>
      <c r="D33783">
        <v>67</v>
      </c>
      <c r="E33783">
        <v>0</v>
      </c>
      <c r="F33783">
        <v>207</v>
      </c>
    </row>
    <row r="33784" spans="1:6" ht="12.75">
      <c r="A33784" s="2">
        <v>43875.383680555555</v>
      </c>
      <c r="B33784" t="str">
        <f>HYPERLINK("https://twitter.com/pacarkamunih","@pacarkamunih")</f>
        <v>@pacarkamunih</v>
      </c>
      <c r="C33784" t="s">
        <v>5168</v>
      </c>
      <c r="D33784">
        <v>461</v>
      </c>
      <c r="E33784">
        <v>0</v>
      </c>
      <c r="F33784">
        <v>291</v>
      </c>
    </row>
    <row r="33785" spans="1:6" ht="12.75">
      <c r="A33785" s="2">
        <v>43875.383645833332</v>
      </c>
      <c r="B33785" t="str">
        <f>HYPERLINK("https://twitter.com/MrAce2200","@MrAce2200")</f>
        <v>@MrAce2200</v>
      </c>
      <c r="C33785" t="s">
        <v>9998</v>
      </c>
      <c r="D33785">
        <v>67</v>
      </c>
      <c r="E33785">
        <v>0</v>
      </c>
      <c r="F33785">
        <v>32</v>
      </c>
    </row>
    <row r="33786" spans="1:6" ht="12.75">
      <c r="A33786" s="2">
        <v>43875.383634259255</v>
      </c>
      <c r="B33786" t="str">
        <f>HYPERLINK("https://twitter.com/Mkhudzary_","@Mkhudzary_")</f>
        <v>@Mkhudzary_</v>
      </c>
      <c r="C33786" t="s">
        <v>9998</v>
      </c>
      <c r="D33786">
        <v>67</v>
      </c>
      <c r="E33786">
        <v>0</v>
      </c>
      <c r="F33786">
        <v>205</v>
      </c>
    </row>
    <row r="33787" spans="1:6" ht="12.75">
      <c r="A33787" s="2">
        <v>43875.383622685185</v>
      </c>
      <c r="B33787" t="str">
        <f>HYPERLINK("https://twitter.com/chiiasurbakti","@chiiasurbakti")</f>
        <v>@chiiasurbakti</v>
      </c>
      <c r="C33787" t="s">
        <v>2963</v>
      </c>
      <c r="D33787">
        <v>564</v>
      </c>
      <c r="E33787">
        <v>0</v>
      </c>
      <c r="F33787">
        <v>191</v>
      </c>
    </row>
    <row r="33788" spans="1:6" ht="12.75">
      <c r="A33788" s="2">
        <v>43875.383599537032</v>
      </c>
      <c r="B33788" t="str">
        <f>HYPERLINK("https://twitter.com/GoposId","@GoposId")</f>
        <v>@GoposId</v>
      </c>
      <c r="C33788" t="s">
        <v>14109</v>
      </c>
      <c r="D33788">
        <v>0</v>
      </c>
      <c r="E33788">
        <v>0</v>
      </c>
      <c r="F33788">
        <v>72</v>
      </c>
    </row>
    <row r="33789" spans="1:6" ht="12.75">
      <c r="A33789" s="2">
        <v>43875.383564814816</v>
      </c>
      <c r="B33789" t="str">
        <f>HYPERLINK("https://twitter.com/AzisEffendi","@AzisEffendi")</f>
        <v>@AzisEffendi</v>
      </c>
      <c r="C33789" t="s">
        <v>11425</v>
      </c>
      <c r="D33789">
        <v>199</v>
      </c>
      <c r="E33789">
        <v>0</v>
      </c>
      <c r="F33789">
        <v>255</v>
      </c>
    </row>
    <row r="33790" spans="1:6" ht="12.75">
      <c r="A33790" s="2">
        <v>43875.383333333331</v>
      </c>
      <c r="B33790" t="str">
        <f>HYPERLINK("https://twitter.com/doriel_jaya","@doriel_jaya")</f>
        <v>@doriel_jaya</v>
      </c>
      <c r="C33790" t="s">
        <v>9998</v>
      </c>
      <c r="D33790">
        <v>67</v>
      </c>
      <c r="E33790">
        <v>0</v>
      </c>
      <c r="F33790">
        <v>143</v>
      </c>
    </row>
    <row r="33791" spans="1:6" ht="12.75">
      <c r="A33791" s="2">
        <v>43875.383333333331</v>
      </c>
      <c r="B33791" t="str">
        <f>HYPERLINK("https://twitter.com/ker_asa","@ker_asa")</f>
        <v>@ker_asa</v>
      </c>
      <c r="C33791" t="s">
        <v>9538</v>
      </c>
      <c r="D33791">
        <v>106</v>
      </c>
      <c r="E33791">
        <v>0</v>
      </c>
      <c r="F33791">
        <v>214</v>
      </c>
    </row>
    <row r="33792" spans="1:6" ht="12.75">
      <c r="A33792" s="2">
        <v>43875.383298611108</v>
      </c>
      <c r="B33792" t="str">
        <f>HYPERLINK("https://twitter.com/bmatana1","@bmatana1")</f>
        <v>@bmatana1</v>
      </c>
      <c r="C33792" t="s">
        <v>14110</v>
      </c>
      <c r="D33792">
        <v>0</v>
      </c>
      <c r="E33792">
        <v>0</v>
      </c>
      <c r="F33792">
        <v>161</v>
      </c>
    </row>
    <row r="33793" spans="1:6" ht="12.75">
      <c r="A33793" s="2">
        <v>43875.383298611108</v>
      </c>
      <c r="B33793" t="str">
        <f>HYPERLINK("https://twitter.com/Dr_Moulin","@Dr_Moulin")</f>
        <v>@Dr_Moulin</v>
      </c>
      <c r="C33793" t="s">
        <v>11425</v>
      </c>
      <c r="D33793">
        <v>199</v>
      </c>
      <c r="E33793">
        <v>0</v>
      </c>
      <c r="F33793">
        <v>177</v>
      </c>
    </row>
    <row r="33794" spans="1:6" ht="12.75">
      <c r="A33794" s="2">
        <v>43875.383240740739</v>
      </c>
      <c r="B33794" t="str">
        <f>HYPERLINK("https://twitter.com/heejinttokiii","@heejinttokiii")</f>
        <v>@heejinttokiii</v>
      </c>
      <c r="C33794" t="s">
        <v>9998</v>
      </c>
      <c r="D33794">
        <v>67</v>
      </c>
      <c r="E33794">
        <v>0</v>
      </c>
      <c r="F33794">
        <v>232</v>
      </c>
    </row>
    <row r="33795" spans="1:6" ht="12.75">
      <c r="A33795" s="2">
        <v>43875.383229166662</v>
      </c>
      <c r="B33795" t="str">
        <f>HYPERLINK("https://twitter.com/Popopokarimu","@Popopokarimu")</f>
        <v>@Popopokarimu</v>
      </c>
      <c r="C33795" t="s">
        <v>14111</v>
      </c>
      <c r="D33795">
        <v>0</v>
      </c>
      <c r="E33795">
        <v>4</v>
      </c>
      <c r="F33795">
        <v>10</v>
      </c>
    </row>
    <row r="33796" spans="1:6" ht="12.75">
      <c r="A33796" s="2">
        <v>43875.383194444439</v>
      </c>
      <c r="B33796" t="str">
        <f>HYPERLINK("https://twitter.com/faqihaddien","@faqihaddien")</f>
        <v>@faqihaddien</v>
      </c>
      <c r="C33796" t="s">
        <v>9998</v>
      </c>
      <c r="D33796">
        <v>67</v>
      </c>
      <c r="E33796">
        <v>0</v>
      </c>
      <c r="F33796">
        <v>879</v>
      </c>
    </row>
    <row r="33797" spans="1:6" ht="12.75">
      <c r="A33797" s="2">
        <v>43875.38318287037</v>
      </c>
      <c r="B33797" t="str">
        <f>HYPERLINK("https://twitter.com/vickysimatupang","@vickysimatupang")</f>
        <v>@vickysimatupang</v>
      </c>
      <c r="C33797" t="s">
        <v>10526</v>
      </c>
      <c r="D33797">
        <v>121</v>
      </c>
      <c r="E33797">
        <v>0</v>
      </c>
      <c r="F33797">
        <v>402</v>
      </c>
    </row>
    <row r="33798" spans="1:6" ht="12.75">
      <c r="A33798" s="2">
        <v>43875.3828125</v>
      </c>
      <c r="B33798" t="str">
        <f>HYPERLINK("https://twitter.com/sarwonobs","@sarwonobs")</f>
        <v>@sarwonobs</v>
      </c>
      <c r="C33798" t="s">
        <v>14112</v>
      </c>
      <c r="D33798">
        <v>0</v>
      </c>
      <c r="E33798">
        <v>0</v>
      </c>
      <c r="F33798">
        <v>203</v>
      </c>
    </row>
    <row r="33799" spans="1:6" ht="12.75">
      <c r="A33799" s="2">
        <v>43875.3828125</v>
      </c>
      <c r="B33799" t="str">
        <f>HYPERLINK("https://twitter.com/Rang_Hoki","@Rang_Hoki")</f>
        <v>@Rang_Hoki</v>
      </c>
      <c r="C33799" t="s">
        <v>2963</v>
      </c>
      <c r="D33799">
        <v>564</v>
      </c>
      <c r="E33799">
        <v>0</v>
      </c>
      <c r="F33799">
        <v>199</v>
      </c>
    </row>
    <row r="33800" spans="1:6" ht="12.75">
      <c r="A33800" s="2">
        <v>43875.382789351846</v>
      </c>
      <c r="B33800" t="str">
        <f>HYPERLINK("https://twitter.com/ade091d1c4bf4a4","@ade091d1c4bf4a4")</f>
        <v>@ade091d1c4bf4a4</v>
      </c>
      <c r="C33800" t="s">
        <v>9947</v>
      </c>
      <c r="D33800">
        <v>322</v>
      </c>
      <c r="E33800">
        <v>0</v>
      </c>
      <c r="F33800">
        <v>13</v>
      </c>
    </row>
    <row r="33801" spans="1:6" ht="12.75">
      <c r="A33801" s="2">
        <v>43875.382766203707</v>
      </c>
      <c r="B33801" t="str">
        <f>HYPERLINK("https://twitter.com/RahmatTran","@RahmatTran")</f>
        <v>@RahmatTran</v>
      </c>
      <c r="C33801" t="s">
        <v>14113</v>
      </c>
      <c r="D33801">
        <v>0</v>
      </c>
      <c r="E33801">
        <v>1</v>
      </c>
      <c r="F33801">
        <v>66</v>
      </c>
    </row>
    <row r="33802" spans="1:6" ht="12.75">
      <c r="A33802" s="2">
        <v>43875.382696759261</v>
      </c>
      <c r="B33802" t="str">
        <f>HYPERLINK("https://twitter.com/mitaalviona24","@mitaalviona24")</f>
        <v>@mitaalviona24</v>
      </c>
      <c r="C33802" t="s">
        <v>5168</v>
      </c>
      <c r="D33802">
        <v>461</v>
      </c>
      <c r="E33802">
        <v>0</v>
      </c>
      <c r="F33802">
        <v>203</v>
      </c>
    </row>
    <row r="33803" spans="1:6" ht="12.75">
      <c r="A33803" s="2">
        <v>43875.382627314815</v>
      </c>
      <c r="B33803" t="str">
        <f>HYPERLINK("https://twitter.com/Rita8213","@Rita8213")</f>
        <v>@Rita8213</v>
      </c>
      <c r="C33803" t="s">
        <v>14114</v>
      </c>
      <c r="D33803">
        <v>0</v>
      </c>
      <c r="E33803">
        <v>0</v>
      </c>
      <c r="F33803">
        <v>107</v>
      </c>
    </row>
    <row r="33804" spans="1:6" ht="12.75">
      <c r="A33804" s="2">
        <v>43875.382627314815</v>
      </c>
      <c r="B33804" t="str">
        <f>HYPERLINK("https://twitter.com/TengkarSeputro","@TengkarSeputro")</f>
        <v>@TengkarSeputro</v>
      </c>
      <c r="C33804" t="s">
        <v>10266</v>
      </c>
      <c r="D33804">
        <v>253</v>
      </c>
      <c r="E33804">
        <v>0</v>
      </c>
      <c r="F33804">
        <v>187</v>
      </c>
    </row>
    <row r="33805" spans="1:6" ht="12.75">
      <c r="A33805" s="2">
        <v>43875.382604166662</v>
      </c>
      <c r="B33805" t="str">
        <f>HYPERLINK("https://twitter.com/T14503NG","@T14503NG")</f>
        <v>@T14503NG</v>
      </c>
      <c r="C33805" t="s">
        <v>13437</v>
      </c>
      <c r="D33805">
        <v>3</v>
      </c>
      <c r="E33805">
        <v>0</v>
      </c>
      <c r="F33805">
        <v>842</v>
      </c>
    </row>
    <row r="33806" spans="1:6" ht="12.75">
      <c r="A33806" s="2">
        <v>43875.382569444446</v>
      </c>
      <c r="B33806" t="str">
        <f>HYPERLINK("https://twitter.com/albertisii77","@albertisii77")</f>
        <v>@albertisii77</v>
      </c>
      <c r="C33806" t="s">
        <v>14115</v>
      </c>
      <c r="D33806">
        <v>1</v>
      </c>
      <c r="E33806">
        <v>0</v>
      </c>
      <c r="F33806">
        <v>313</v>
      </c>
    </row>
    <row r="33807" spans="1:6" ht="12.75">
      <c r="A33807" s="2">
        <v>43875.382407407407</v>
      </c>
      <c r="B33807" t="str">
        <f>HYPERLINK("https://twitter.com/ariel_heryanto","@ariel_heryanto")</f>
        <v>@ariel_heryanto</v>
      </c>
      <c r="C33807" t="s">
        <v>14116</v>
      </c>
      <c r="D33807">
        <v>0</v>
      </c>
      <c r="E33807">
        <v>0</v>
      </c>
      <c r="F33807">
        <v>55906</v>
      </c>
    </row>
    <row r="33808" spans="1:6" ht="12.75">
      <c r="A33808" s="2">
        <v>43875.382372685184</v>
      </c>
      <c r="B33808" t="str">
        <f>HYPERLINK("https://twitter.com/pamungkas22","@pamungkas22")</f>
        <v>@pamungkas22</v>
      </c>
      <c r="C33808" t="s">
        <v>12560</v>
      </c>
      <c r="D33808">
        <v>25</v>
      </c>
      <c r="E33808">
        <v>0</v>
      </c>
      <c r="F33808">
        <v>248</v>
      </c>
    </row>
    <row r="33809" spans="1:6" ht="12.75">
      <c r="A33809" s="2">
        <v>43875.382361111115</v>
      </c>
      <c r="B33809" t="str">
        <f>HYPERLINK("https://twitter.com/andy_nomicin","@andy_nomicin")</f>
        <v>@andy_nomicin</v>
      </c>
      <c r="C33809" t="s">
        <v>11093</v>
      </c>
      <c r="D33809">
        <v>1</v>
      </c>
      <c r="E33809">
        <v>0</v>
      </c>
      <c r="F33809">
        <v>7190</v>
      </c>
    </row>
    <row r="33810" spans="1:6" ht="12.75">
      <c r="A33810" s="2">
        <v>43875.382361111115</v>
      </c>
      <c r="B33810" t="str">
        <f>HYPERLINK("https://twitter.com/jafarash13","@jafarash13")</f>
        <v>@jafarash13</v>
      </c>
      <c r="C33810" t="s">
        <v>14117</v>
      </c>
      <c r="D33810">
        <v>0</v>
      </c>
      <c r="E33810">
        <v>0</v>
      </c>
      <c r="F33810">
        <v>40</v>
      </c>
    </row>
    <row r="33811" spans="1:6" ht="12.75">
      <c r="A33811" s="2">
        <v>43875.382303240738</v>
      </c>
      <c r="B33811" t="str">
        <f>HYPERLINK("https://twitter.com/I_nyOnk19","@I_nyOnk19")</f>
        <v>@I_nyOnk19</v>
      </c>
      <c r="C33811" t="s">
        <v>9998</v>
      </c>
      <c r="D33811">
        <v>67</v>
      </c>
      <c r="E33811">
        <v>0</v>
      </c>
      <c r="F33811">
        <v>105</v>
      </c>
    </row>
    <row r="33812" spans="1:6" ht="12.75">
      <c r="A33812" s="2">
        <v>43875.382268518515</v>
      </c>
      <c r="B33812" t="str">
        <f>HYPERLINK("https://twitter.com/K_Muslim_UNRAM","@K_Muslim_UNRAM")</f>
        <v>@K_Muslim_UNRAM</v>
      </c>
      <c r="C33812" t="s">
        <v>8394</v>
      </c>
      <c r="D33812">
        <v>29</v>
      </c>
      <c r="E33812">
        <v>0</v>
      </c>
      <c r="F33812">
        <v>1445</v>
      </c>
    </row>
    <row r="33813" spans="1:6" ht="12.75">
      <c r="A33813" s="2">
        <v>43875.382245370369</v>
      </c>
      <c r="B33813" t="str">
        <f>HYPERLINK("https://twitter.com/semporjawa","@semporjawa")</f>
        <v>@semporjawa</v>
      </c>
      <c r="C33813" t="s">
        <v>2963</v>
      </c>
      <c r="D33813">
        <v>564</v>
      </c>
      <c r="E33813">
        <v>0</v>
      </c>
      <c r="F33813">
        <v>801</v>
      </c>
    </row>
    <row r="33814" spans="1:6" ht="12.75">
      <c r="A33814" s="2">
        <v>43875.382222222222</v>
      </c>
      <c r="B33814" t="str">
        <f>HYPERLINK("https://twitter.com/jeremy75005798","@jeremy75005798")</f>
        <v>@jeremy75005798</v>
      </c>
      <c r="C33814" t="s">
        <v>14118</v>
      </c>
      <c r="D33814">
        <v>0</v>
      </c>
      <c r="E33814">
        <v>0</v>
      </c>
      <c r="F33814">
        <v>4</v>
      </c>
    </row>
    <row r="33815" spans="1:6" ht="12.75">
      <c r="A33815" s="2">
        <v>43875.382210648153</v>
      </c>
      <c r="B33815" t="str">
        <f>HYPERLINK("https://twitter.com/Ndrews1162011","@Ndrews1162011")</f>
        <v>@Ndrews1162011</v>
      </c>
      <c r="C33815" t="s">
        <v>14119</v>
      </c>
      <c r="D33815">
        <v>0</v>
      </c>
      <c r="E33815">
        <v>0</v>
      </c>
      <c r="F33815">
        <v>1140</v>
      </c>
    </row>
    <row r="33816" spans="1:6" ht="12.75">
      <c r="A33816" s="2">
        <v>43875.38217592593</v>
      </c>
      <c r="B33816" t="str">
        <f>HYPERLINK("https://twitter.com/nagara_inst","@nagara_inst")</f>
        <v>@nagara_inst</v>
      </c>
      <c r="C33816" t="s">
        <v>14120</v>
      </c>
      <c r="D33816">
        <v>0</v>
      </c>
      <c r="E33816">
        <v>0</v>
      </c>
      <c r="F33816">
        <v>30</v>
      </c>
    </row>
    <row r="33817" spans="1:6" ht="12.75">
      <c r="A33817" s="2">
        <v>43875.38217592593</v>
      </c>
      <c r="B33817" t="str">
        <f>HYPERLINK("https://twitter.com/afiefolks","@afiefolks")</f>
        <v>@afiefolks</v>
      </c>
      <c r="C33817" t="s">
        <v>9998</v>
      </c>
      <c r="D33817">
        <v>67</v>
      </c>
      <c r="E33817">
        <v>0</v>
      </c>
      <c r="F33817">
        <v>662</v>
      </c>
    </row>
    <row r="33818" spans="1:6" ht="12.75">
      <c r="A33818" s="2">
        <v>43875.38217592593</v>
      </c>
      <c r="B33818" t="str">
        <f t="shared" ref="B33818:B33824" si="392">HYPERLINK("https://twitter.com/nagara_inst","@nagara_inst")</f>
        <v>@nagara_inst</v>
      </c>
      <c r="C33818" t="s">
        <v>14121</v>
      </c>
      <c r="D33818">
        <v>0</v>
      </c>
      <c r="E33818">
        <v>0</v>
      </c>
      <c r="F33818">
        <v>30</v>
      </c>
    </row>
    <row r="33819" spans="1:6" ht="12.75">
      <c r="A33819" s="2">
        <v>43875.382164351853</v>
      </c>
      <c r="B33819" t="str">
        <f t="shared" si="392"/>
        <v>@nagara_inst</v>
      </c>
      <c r="C33819" t="s">
        <v>14122</v>
      </c>
      <c r="D33819">
        <v>0</v>
      </c>
      <c r="E33819">
        <v>0</v>
      </c>
      <c r="F33819">
        <v>30</v>
      </c>
    </row>
    <row r="33820" spans="1:6" ht="12.75">
      <c r="A33820" s="2">
        <v>43875.382152777776</v>
      </c>
      <c r="B33820" t="str">
        <f t="shared" si="392"/>
        <v>@nagara_inst</v>
      </c>
      <c r="C33820" t="s">
        <v>14123</v>
      </c>
      <c r="D33820">
        <v>0</v>
      </c>
      <c r="E33820">
        <v>0</v>
      </c>
      <c r="F33820">
        <v>30</v>
      </c>
    </row>
    <row r="33821" spans="1:6" ht="12.75">
      <c r="A33821" s="2">
        <v>43875.382152777776</v>
      </c>
      <c r="B33821" t="str">
        <f t="shared" si="392"/>
        <v>@nagara_inst</v>
      </c>
      <c r="C33821" t="s">
        <v>14124</v>
      </c>
      <c r="D33821">
        <v>0</v>
      </c>
      <c r="E33821">
        <v>0</v>
      </c>
      <c r="F33821">
        <v>30</v>
      </c>
    </row>
    <row r="33822" spans="1:6" ht="12.75">
      <c r="A33822" s="2">
        <v>43875.382141203707</v>
      </c>
      <c r="B33822" t="str">
        <f t="shared" si="392"/>
        <v>@nagara_inst</v>
      </c>
      <c r="C33822" t="s">
        <v>14125</v>
      </c>
      <c r="D33822">
        <v>0</v>
      </c>
      <c r="E33822">
        <v>0</v>
      </c>
      <c r="F33822">
        <v>30</v>
      </c>
    </row>
    <row r="33823" spans="1:6" ht="12.75">
      <c r="A33823" s="2">
        <v>43875.382141203707</v>
      </c>
      <c r="B33823" t="str">
        <f t="shared" si="392"/>
        <v>@nagara_inst</v>
      </c>
      <c r="C33823" t="s">
        <v>14126</v>
      </c>
      <c r="D33823">
        <v>0</v>
      </c>
      <c r="E33823">
        <v>0</v>
      </c>
      <c r="F33823">
        <v>30</v>
      </c>
    </row>
    <row r="33824" spans="1:6" ht="12.75">
      <c r="A33824" s="2">
        <v>43875.382141203707</v>
      </c>
      <c r="B33824" t="str">
        <f t="shared" si="392"/>
        <v>@nagara_inst</v>
      </c>
      <c r="C33824" t="s">
        <v>14127</v>
      </c>
      <c r="D33824">
        <v>0</v>
      </c>
      <c r="E33824">
        <v>0</v>
      </c>
      <c r="F33824">
        <v>30</v>
      </c>
    </row>
    <row r="33825" spans="1:6" ht="12.75">
      <c r="A33825" s="2">
        <v>43875.38212962963</v>
      </c>
      <c r="B33825" t="str">
        <f>HYPERLINK("https://twitter.com/faatihadiy","@faatihadiy")</f>
        <v>@faatihadiy</v>
      </c>
      <c r="C33825" t="s">
        <v>14128</v>
      </c>
      <c r="D33825">
        <v>0</v>
      </c>
      <c r="E33825">
        <v>1</v>
      </c>
      <c r="F33825">
        <v>76</v>
      </c>
    </row>
    <row r="33826" spans="1:6" ht="12.75">
      <c r="A33826" s="2">
        <v>43875.38212962963</v>
      </c>
      <c r="B33826" t="str">
        <f>HYPERLINK("https://twitter.com/holyystyx","@holyystyx")</f>
        <v>@holyystyx</v>
      </c>
      <c r="C33826" t="s">
        <v>11024</v>
      </c>
      <c r="D33826">
        <v>10</v>
      </c>
      <c r="E33826">
        <v>0</v>
      </c>
      <c r="F33826">
        <v>411</v>
      </c>
    </row>
    <row r="33827" spans="1:6" ht="12.75">
      <c r="A33827" s="2">
        <v>43875.38212962963</v>
      </c>
      <c r="B33827" t="str">
        <f t="shared" ref="B33827:B33836" si="393">HYPERLINK("https://twitter.com/nagara_inst","@nagara_inst")</f>
        <v>@nagara_inst</v>
      </c>
      <c r="C33827" t="s">
        <v>14129</v>
      </c>
      <c r="D33827">
        <v>0</v>
      </c>
      <c r="E33827">
        <v>0</v>
      </c>
      <c r="F33827">
        <v>30</v>
      </c>
    </row>
    <row r="33828" spans="1:6" ht="12.75">
      <c r="A33828" s="2">
        <v>43875.38212962963</v>
      </c>
      <c r="B33828" t="str">
        <f t="shared" si="393"/>
        <v>@nagara_inst</v>
      </c>
      <c r="C33828" t="s">
        <v>14130</v>
      </c>
      <c r="D33828">
        <v>0</v>
      </c>
      <c r="E33828">
        <v>0</v>
      </c>
      <c r="F33828">
        <v>30</v>
      </c>
    </row>
    <row r="33829" spans="1:6" ht="12.75">
      <c r="A33829" s="2">
        <v>43875.382118055553</v>
      </c>
      <c r="B33829" t="str">
        <f t="shared" si="393"/>
        <v>@nagara_inst</v>
      </c>
      <c r="C33829" t="s">
        <v>14131</v>
      </c>
      <c r="D33829">
        <v>0</v>
      </c>
      <c r="E33829">
        <v>0</v>
      </c>
      <c r="F33829">
        <v>30</v>
      </c>
    </row>
    <row r="33830" spans="1:6" ht="12.75">
      <c r="A33830" s="2">
        <v>43875.382106481484</v>
      </c>
      <c r="B33830" t="str">
        <f t="shared" si="393"/>
        <v>@nagara_inst</v>
      </c>
      <c r="C33830" t="s">
        <v>14132</v>
      </c>
      <c r="D33830">
        <v>0</v>
      </c>
      <c r="E33830">
        <v>0</v>
      </c>
      <c r="F33830">
        <v>30</v>
      </c>
    </row>
    <row r="33831" spans="1:6" ht="12.75">
      <c r="A33831" s="2">
        <v>43875.382106481484</v>
      </c>
      <c r="B33831" t="str">
        <f t="shared" si="393"/>
        <v>@nagara_inst</v>
      </c>
      <c r="C33831" t="s">
        <v>14133</v>
      </c>
      <c r="D33831">
        <v>0</v>
      </c>
      <c r="E33831">
        <v>0</v>
      </c>
      <c r="F33831">
        <v>30</v>
      </c>
    </row>
    <row r="33832" spans="1:6" ht="12.75">
      <c r="A33832" s="2">
        <v>43875.382094907407</v>
      </c>
      <c r="B33832" t="str">
        <f t="shared" si="393"/>
        <v>@nagara_inst</v>
      </c>
      <c r="C33832" t="s">
        <v>14134</v>
      </c>
      <c r="D33832">
        <v>0</v>
      </c>
      <c r="E33832">
        <v>0</v>
      </c>
      <c r="F33832">
        <v>30</v>
      </c>
    </row>
    <row r="33833" spans="1:6" ht="12.75">
      <c r="A33833" s="2">
        <v>43875.382094907407</v>
      </c>
      <c r="B33833" t="str">
        <f t="shared" si="393"/>
        <v>@nagara_inst</v>
      </c>
      <c r="C33833" t="s">
        <v>14135</v>
      </c>
      <c r="D33833">
        <v>0</v>
      </c>
      <c r="E33833">
        <v>0</v>
      </c>
      <c r="F33833">
        <v>30</v>
      </c>
    </row>
    <row r="33834" spans="1:6" ht="12.75">
      <c r="A33834" s="2">
        <v>43875.38208333333</v>
      </c>
      <c r="B33834" t="str">
        <f t="shared" si="393"/>
        <v>@nagara_inst</v>
      </c>
      <c r="C33834" t="s">
        <v>14136</v>
      </c>
      <c r="D33834">
        <v>0</v>
      </c>
      <c r="E33834">
        <v>0</v>
      </c>
      <c r="F33834">
        <v>30</v>
      </c>
    </row>
    <row r="33835" spans="1:6" ht="12.75">
      <c r="A33835" s="2">
        <v>43875.38208333333</v>
      </c>
      <c r="B33835" t="str">
        <f t="shared" si="393"/>
        <v>@nagara_inst</v>
      </c>
      <c r="C33835" t="s">
        <v>14137</v>
      </c>
      <c r="D33835">
        <v>0</v>
      </c>
      <c r="E33835">
        <v>0</v>
      </c>
      <c r="F33835">
        <v>30</v>
      </c>
    </row>
    <row r="33836" spans="1:6" ht="12.75">
      <c r="A33836" s="2">
        <v>43875.382071759261</v>
      </c>
      <c r="B33836" t="str">
        <f t="shared" si="393"/>
        <v>@nagara_inst</v>
      </c>
      <c r="C33836" t="s">
        <v>14138</v>
      </c>
      <c r="D33836">
        <v>0</v>
      </c>
      <c r="E33836">
        <v>0</v>
      </c>
      <c r="F33836">
        <v>30</v>
      </c>
    </row>
    <row r="33837" spans="1:6" ht="12.75">
      <c r="A33837" s="2">
        <v>43875.382025462968</v>
      </c>
      <c r="B33837" t="str">
        <f>HYPERLINK("https://twitter.com/Lam_Sijan","@Lam_Sijan")</f>
        <v>@Lam_Sijan</v>
      </c>
      <c r="C33837" t="s">
        <v>14139</v>
      </c>
      <c r="D33837">
        <v>0</v>
      </c>
      <c r="E33837">
        <v>0</v>
      </c>
      <c r="F33837">
        <v>460</v>
      </c>
    </row>
    <row r="33838" spans="1:6" ht="12.75">
      <c r="A33838" s="2">
        <v>43875.382002314815</v>
      </c>
      <c r="B33838" t="str">
        <f>HYPERLINK("https://twitter.com/obby_dhuha","@obby_dhuha")</f>
        <v>@obby_dhuha</v>
      </c>
      <c r="C33838" t="s">
        <v>9998</v>
      </c>
      <c r="D33838">
        <v>67</v>
      </c>
      <c r="E33838">
        <v>0</v>
      </c>
      <c r="F33838">
        <v>1936</v>
      </c>
    </row>
    <row r="33839" spans="1:6" ht="12.75">
      <c r="A33839" s="2">
        <v>43875.381956018522</v>
      </c>
      <c r="B33839" t="str">
        <f>HYPERLINK("https://twitter.com/EkoCahyoYuliant","@EkoCahyoYuliant")</f>
        <v>@EkoCahyoYuliant</v>
      </c>
      <c r="C33839" t="s">
        <v>2086</v>
      </c>
      <c r="D33839">
        <v>21</v>
      </c>
      <c r="E33839">
        <v>0</v>
      </c>
      <c r="F33839">
        <v>137</v>
      </c>
    </row>
    <row r="33840" spans="1:6" ht="12.75">
      <c r="A33840" s="2">
        <v>43875.381944444445</v>
      </c>
      <c r="B33840" t="str">
        <f>HYPERLINK("https://twitter.com/edosuryaaaa","@edosuryaaaa")</f>
        <v>@edosuryaaaa</v>
      </c>
      <c r="C33840" t="s">
        <v>14140</v>
      </c>
      <c r="D33840">
        <v>0</v>
      </c>
      <c r="E33840">
        <v>0</v>
      </c>
      <c r="F33840">
        <v>953</v>
      </c>
    </row>
    <row r="33841" spans="1:6" ht="12.75">
      <c r="A33841" s="2">
        <v>43875.381898148145</v>
      </c>
      <c r="B33841" t="str">
        <f>HYPERLINK("https://twitter.com/CelahPeron","@CelahPeron")</f>
        <v>@CelahPeron</v>
      </c>
      <c r="C33841" t="s">
        <v>9998</v>
      </c>
      <c r="D33841">
        <v>67</v>
      </c>
      <c r="E33841">
        <v>0</v>
      </c>
      <c r="F33841">
        <v>2</v>
      </c>
    </row>
    <row r="33842" spans="1:6" ht="12.75">
      <c r="A33842" s="2">
        <v>43875.381863425922</v>
      </c>
      <c r="B33842" t="str">
        <f>HYPERLINK("https://twitter.com/tedi_pirmansyah","@tedi_pirmansyah")</f>
        <v>@tedi_pirmansyah</v>
      </c>
      <c r="C33842" t="s">
        <v>10957</v>
      </c>
      <c r="D33842">
        <v>47</v>
      </c>
      <c r="E33842">
        <v>0</v>
      </c>
      <c r="F33842">
        <v>427</v>
      </c>
    </row>
    <row r="33843" spans="1:6" ht="12.75">
      <c r="A33843" s="2">
        <v>43875.381840277776</v>
      </c>
      <c r="B33843" t="str">
        <f>HYPERLINK("https://twitter.com/bondanvarianto","@bondanvarianto")</f>
        <v>@bondanvarianto</v>
      </c>
      <c r="C33843" t="s">
        <v>9998</v>
      </c>
      <c r="D33843">
        <v>67</v>
      </c>
      <c r="E33843">
        <v>0</v>
      </c>
      <c r="F33843">
        <v>800</v>
      </c>
    </row>
    <row r="33844" spans="1:6" ht="12.75">
      <c r="A33844" s="2">
        <v>43875.381782407407</v>
      </c>
      <c r="B33844" t="str">
        <f>HYPERLINK("https://twitter.com/hellowflo","@hellowflo")</f>
        <v>@hellowflo</v>
      </c>
      <c r="C33844" t="s">
        <v>8233</v>
      </c>
      <c r="D33844">
        <v>316</v>
      </c>
      <c r="E33844">
        <v>0</v>
      </c>
      <c r="F33844">
        <v>1639</v>
      </c>
    </row>
    <row r="33845" spans="1:6" ht="12.75">
      <c r="A33845" s="2">
        <v>43875.38175925926</v>
      </c>
      <c r="B33845" t="str">
        <f>HYPERLINK("https://twitter.com/SujiwaKrisna","@SujiwaKrisna")</f>
        <v>@SujiwaKrisna</v>
      </c>
      <c r="C33845" t="s">
        <v>9998</v>
      </c>
      <c r="D33845">
        <v>67</v>
      </c>
      <c r="E33845">
        <v>0</v>
      </c>
      <c r="F33845">
        <v>15</v>
      </c>
    </row>
    <row r="33846" spans="1:6" ht="12.75">
      <c r="A33846" s="2">
        <v>43875.381701388891</v>
      </c>
      <c r="B33846" t="str">
        <f>HYPERLINK("https://twitter.com/bmatana1","@bmatana1")</f>
        <v>@bmatana1</v>
      </c>
      <c r="C33846" t="s">
        <v>14141</v>
      </c>
      <c r="D33846">
        <v>0</v>
      </c>
      <c r="E33846">
        <v>0</v>
      </c>
      <c r="F33846">
        <v>161</v>
      </c>
    </row>
    <row r="33847" spans="1:6" ht="12.75">
      <c r="A33847" s="2">
        <v>43875.381666666668</v>
      </c>
      <c r="B33847" t="str">
        <f>HYPERLINK("https://twitter.com/HaryoKu39228386","@HaryoKu39228386")</f>
        <v>@HaryoKu39228386</v>
      </c>
      <c r="C33847" t="s">
        <v>14142</v>
      </c>
      <c r="D33847">
        <v>0</v>
      </c>
      <c r="E33847">
        <v>0</v>
      </c>
      <c r="F33847">
        <v>3</v>
      </c>
    </row>
    <row r="33848" spans="1:6" ht="12.75">
      <c r="A33848" s="2">
        <v>43875.381655092591</v>
      </c>
      <c r="B33848" t="str">
        <f>HYPERLINK("https://twitter.com/Yadi_nih","@Yadi_nih")</f>
        <v>@Yadi_nih</v>
      </c>
      <c r="C33848" t="s">
        <v>2086</v>
      </c>
      <c r="D33848">
        <v>21</v>
      </c>
      <c r="E33848">
        <v>0</v>
      </c>
      <c r="F33848">
        <v>262</v>
      </c>
    </row>
    <row r="33849" spans="1:6" ht="12.75">
      <c r="A33849" s="2">
        <v>43875.381585648152</v>
      </c>
      <c r="B33849" t="str">
        <f>HYPERLINK("https://twitter.com/danyeldsyh","@danyeldsyh")</f>
        <v>@danyeldsyh</v>
      </c>
      <c r="C33849" t="s">
        <v>2963</v>
      </c>
      <c r="D33849">
        <v>564</v>
      </c>
      <c r="E33849">
        <v>0</v>
      </c>
      <c r="F33849">
        <v>464</v>
      </c>
    </row>
    <row r="33850" spans="1:6" ht="12.75">
      <c r="A33850" s="2">
        <v>43875.381435185191</v>
      </c>
      <c r="B33850" t="str">
        <f>HYPERLINK("https://twitter.com/faldyadhoez","@faldyadhoez")</f>
        <v>@faldyadhoez</v>
      </c>
      <c r="C33850" t="s">
        <v>9998</v>
      </c>
      <c r="D33850">
        <v>67</v>
      </c>
      <c r="E33850">
        <v>0</v>
      </c>
      <c r="F33850">
        <v>176</v>
      </c>
    </row>
    <row r="33851" spans="1:6" ht="12.75">
      <c r="A33851" s="2">
        <v>43875.381307870368</v>
      </c>
      <c r="B33851" t="str">
        <f>HYPERLINK("https://twitter.com/cathelyapardede","@cathelyapardede")</f>
        <v>@cathelyapardede</v>
      </c>
      <c r="C33851" t="s">
        <v>2444</v>
      </c>
      <c r="D33851">
        <v>76</v>
      </c>
      <c r="E33851">
        <v>0</v>
      </c>
      <c r="F33851">
        <v>910</v>
      </c>
    </row>
    <row r="33852" spans="1:6" ht="12.75">
      <c r="A33852" s="2">
        <v>43875.381284722222</v>
      </c>
      <c r="B33852" t="str">
        <f>HYPERLINK("https://twitter.com/Bubut871","@Bubut871")</f>
        <v>@Bubut871</v>
      </c>
      <c r="C33852" t="s">
        <v>2963</v>
      </c>
      <c r="D33852">
        <v>564</v>
      </c>
      <c r="E33852">
        <v>0</v>
      </c>
      <c r="F33852">
        <v>1617</v>
      </c>
    </row>
    <row r="33853" spans="1:6" ht="12.75">
      <c r="A33853" s="2">
        <v>43875.381284722222</v>
      </c>
      <c r="B33853" t="str">
        <f>HYPERLINK("https://twitter.com/SetyoAjii","@SetyoAjii")</f>
        <v>@SetyoAjii</v>
      </c>
      <c r="C33853" t="s">
        <v>9998</v>
      </c>
      <c r="D33853">
        <v>67</v>
      </c>
      <c r="E33853">
        <v>0</v>
      </c>
      <c r="F33853">
        <v>314</v>
      </c>
    </row>
    <row r="33854" spans="1:6" ht="12.75">
      <c r="A33854" s="2">
        <v>43875.381273148145</v>
      </c>
      <c r="B33854" t="str">
        <f>HYPERLINK("https://twitter.com/KaumBumiLucu","@KaumBumiLucu")</f>
        <v>@KaumBumiLucu</v>
      </c>
      <c r="C33854" t="s">
        <v>14143</v>
      </c>
      <c r="D33854">
        <v>1</v>
      </c>
      <c r="E33854">
        <v>0</v>
      </c>
      <c r="F33854">
        <v>14365</v>
      </c>
    </row>
    <row r="33855" spans="1:6" ht="12.75">
      <c r="A33855" s="2">
        <v>43875.381203703699</v>
      </c>
      <c r="B33855" t="str">
        <f>HYPERLINK("https://twitter.com/marleenmars","@marleenmars")</f>
        <v>@marleenmars</v>
      </c>
      <c r="C33855" t="s">
        <v>11425</v>
      </c>
      <c r="D33855">
        <v>199</v>
      </c>
      <c r="E33855">
        <v>0</v>
      </c>
      <c r="F33855">
        <v>417</v>
      </c>
    </row>
    <row r="33856" spans="1:6" ht="12.75">
      <c r="A33856" s="2">
        <v>43875.381168981483</v>
      </c>
      <c r="B33856" t="str">
        <f>HYPERLINK("https://twitter.com/04_prieslo","@04_prieslo")</f>
        <v>@04_prieslo</v>
      </c>
      <c r="C33856" t="s">
        <v>14144</v>
      </c>
      <c r="D33856">
        <v>0</v>
      </c>
      <c r="E33856">
        <v>4</v>
      </c>
      <c r="F33856">
        <v>1164</v>
      </c>
    </row>
    <row r="33857" spans="1:6" ht="12.75">
      <c r="A33857" s="2">
        <v>43875.380949074075</v>
      </c>
      <c r="B33857" t="str">
        <f>HYPERLINK("https://twitter.com/daniairwansyah","@daniairwansyah")</f>
        <v>@daniairwansyah</v>
      </c>
      <c r="C33857" t="s">
        <v>14145</v>
      </c>
      <c r="D33857">
        <v>0</v>
      </c>
      <c r="E33857">
        <v>0</v>
      </c>
      <c r="F33857">
        <v>500</v>
      </c>
    </row>
    <row r="33858" spans="1:6" ht="12.75">
      <c r="A33858" s="2">
        <v>43875.380925925929</v>
      </c>
      <c r="B33858" t="str">
        <f>HYPERLINK("https://twitter.com/ibnukowalski","@ibnukowalski")</f>
        <v>@ibnukowalski</v>
      </c>
      <c r="C33858" t="s">
        <v>9998</v>
      </c>
      <c r="D33858">
        <v>67</v>
      </c>
      <c r="E33858">
        <v>0</v>
      </c>
      <c r="F33858">
        <v>433</v>
      </c>
    </row>
    <row r="33859" spans="1:6" ht="12.75">
      <c r="A33859" s="2">
        <v>43875.38081018519</v>
      </c>
      <c r="B33859" t="str">
        <f>HYPERLINK("https://twitter.com/Gentar_Alam","@Gentar_Alam")</f>
        <v>@Gentar_Alam</v>
      </c>
      <c r="C33859" t="s">
        <v>5168</v>
      </c>
      <c r="D33859">
        <v>461</v>
      </c>
      <c r="E33859">
        <v>0</v>
      </c>
      <c r="F33859">
        <v>619</v>
      </c>
    </row>
    <row r="33860" spans="1:6" ht="12.75">
      <c r="A33860" s="2">
        <v>43875.38076388889</v>
      </c>
      <c r="B33860" t="str">
        <f>HYPERLINK("https://twitter.com/jafarash13","@jafarash13")</f>
        <v>@jafarash13</v>
      </c>
      <c r="C33860" t="s">
        <v>14146</v>
      </c>
      <c r="D33860">
        <v>0</v>
      </c>
      <c r="E33860">
        <v>0</v>
      </c>
      <c r="F33860">
        <v>40</v>
      </c>
    </row>
    <row r="33861" spans="1:6" ht="12.75">
      <c r="A33861" s="2">
        <v>43875.380740740744</v>
      </c>
      <c r="B33861" t="str">
        <f>HYPERLINK("https://twitter.com/JanganMerusak","@JanganMerusak")</f>
        <v>@JanganMerusak</v>
      </c>
      <c r="C33861" t="s">
        <v>14147</v>
      </c>
      <c r="D33861">
        <v>0</v>
      </c>
      <c r="E33861">
        <v>2</v>
      </c>
      <c r="F33861">
        <v>3104</v>
      </c>
    </row>
    <row r="33862" spans="1:6" ht="12.75">
      <c r="A33862" s="2">
        <v>43875.380706018521</v>
      </c>
      <c r="B33862" t="str">
        <f>HYPERLINK("https://twitter.com/sudjiwotedjo","@sudjiwotedjo")</f>
        <v>@sudjiwotedjo</v>
      </c>
      <c r="C33862" t="s">
        <v>14148</v>
      </c>
      <c r="D33862">
        <v>67</v>
      </c>
      <c r="E33862">
        <v>228</v>
      </c>
      <c r="F33862">
        <v>1762159</v>
      </c>
    </row>
    <row r="33863" spans="1:6" ht="12.75">
      <c r="A33863" s="2">
        <v>43875.380671296298</v>
      </c>
      <c r="B33863" t="str">
        <f>HYPERLINK("https://twitter.com/LaRose78992426","@LaRose78992426")</f>
        <v>@LaRose78992426</v>
      </c>
      <c r="C33863" t="s">
        <v>14149</v>
      </c>
      <c r="D33863">
        <v>2</v>
      </c>
      <c r="E33863">
        <v>0</v>
      </c>
      <c r="F33863">
        <v>258</v>
      </c>
    </row>
    <row r="33864" spans="1:6" ht="12.75">
      <c r="A33864" s="2">
        <v>43875.380625000005</v>
      </c>
      <c r="B33864" t="str">
        <f>HYPERLINK("https://twitter.com/devy215","@devy215")</f>
        <v>@devy215</v>
      </c>
      <c r="C33864" t="s">
        <v>14150</v>
      </c>
      <c r="D33864">
        <v>0</v>
      </c>
      <c r="E33864">
        <v>0</v>
      </c>
      <c r="F33864">
        <v>2865</v>
      </c>
    </row>
    <row r="33865" spans="1:6" ht="12.75">
      <c r="A33865" s="2">
        <v>43875.380613425921</v>
      </c>
      <c r="B33865" t="str">
        <f>HYPERLINK("https://twitter.com/vidalavidah","@vidalavidah")</f>
        <v>@vidalavidah</v>
      </c>
      <c r="C33865" t="s">
        <v>14151</v>
      </c>
      <c r="D33865">
        <v>0</v>
      </c>
      <c r="E33865">
        <v>0</v>
      </c>
      <c r="F33865">
        <v>167</v>
      </c>
    </row>
    <row r="33866" spans="1:6" ht="12.75">
      <c r="A33866" s="2">
        <v>43875.380613425921</v>
      </c>
      <c r="B33866" t="str">
        <f>HYPERLINK("https://twitter.com/sanuri118","@sanuri118")</f>
        <v>@sanuri118</v>
      </c>
      <c r="C33866" t="s">
        <v>2963</v>
      </c>
      <c r="D33866">
        <v>564</v>
      </c>
      <c r="E33866">
        <v>0</v>
      </c>
      <c r="F33866">
        <v>1435</v>
      </c>
    </row>
    <row r="33867" spans="1:6" ht="12.75">
      <c r="A33867" s="2">
        <v>43875.380578703705</v>
      </c>
      <c r="B33867" t="str">
        <f>HYPERLINK("https://twitter.com/JohnIrwan4","@JohnIrwan4")</f>
        <v>@JohnIrwan4</v>
      </c>
      <c r="C33867" t="s">
        <v>14152</v>
      </c>
      <c r="D33867">
        <v>1</v>
      </c>
      <c r="E33867">
        <v>0</v>
      </c>
      <c r="F33867">
        <v>2108</v>
      </c>
    </row>
    <row r="33868" spans="1:6" ht="12.75">
      <c r="A33868" s="2">
        <v>43875.380567129629</v>
      </c>
      <c r="B33868" t="str">
        <f>HYPERLINK("https://twitter.com/Hoshiruuu","@Hoshiruuu")</f>
        <v>@Hoshiruuu</v>
      </c>
      <c r="C33868" t="s">
        <v>2137</v>
      </c>
      <c r="D33868">
        <v>33</v>
      </c>
      <c r="E33868">
        <v>0</v>
      </c>
      <c r="F33868">
        <v>684</v>
      </c>
    </row>
    <row r="33869" spans="1:6" ht="12.75">
      <c r="A33869" s="2">
        <v>43875.380439814813</v>
      </c>
      <c r="B33869" t="str">
        <f>HYPERLINK("https://twitter.com/Fikarydhstra1","@Fikarydhstra1")</f>
        <v>@Fikarydhstra1</v>
      </c>
      <c r="C33869" t="s">
        <v>8233</v>
      </c>
      <c r="D33869">
        <v>316</v>
      </c>
      <c r="E33869">
        <v>0</v>
      </c>
      <c r="F33869">
        <v>25</v>
      </c>
    </row>
    <row r="33870" spans="1:6" ht="12.75">
      <c r="A33870" s="2">
        <v>43875.380393518513</v>
      </c>
      <c r="B33870" t="str">
        <f>HYPERLINK("https://twitter.com/TetepHensemCuk","@TetepHensemCuk")</f>
        <v>@TetepHensemCuk</v>
      </c>
      <c r="C33870" t="s">
        <v>14153</v>
      </c>
      <c r="D33870">
        <v>0</v>
      </c>
      <c r="E33870">
        <v>0</v>
      </c>
      <c r="F33870">
        <v>44</v>
      </c>
    </row>
    <row r="33871" spans="1:6" ht="12.75">
      <c r="A33871" s="2">
        <v>43875.380312499998</v>
      </c>
      <c r="B33871" t="str">
        <f>HYPERLINK("https://twitter.com/AtikahZahidah_","@AtikahZahidah_")</f>
        <v>@AtikahZahidah_</v>
      </c>
      <c r="C33871" t="s">
        <v>14154</v>
      </c>
      <c r="D33871">
        <v>3</v>
      </c>
      <c r="E33871">
        <v>0</v>
      </c>
      <c r="F33871">
        <v>3150</v>
      </c>
    </row>
    <row r="33872" spans="1:6" ht="12.75">
      <c r="A33872" s="2">
        <v>43875.380150462966</v>
      </c>
      <c r="B33872" t="str">
        <f>HYPERLINK("https://twitter.com/HrPuspita","@HrPuspita")</f>
        <v>@HrPuspita</v>
      </c>
      <c r="C33872" t="s">
        <v>14155</v>
      </c>
      <c r="D33872">
        <v>0</v>
      </c>
      <c r="E33872">
        <v>0</v>
      </c>
      <c r="F33872">
        <v>109</v>
      </c>
    </row>
    <row r="33873" spans="1:6" ht="12.75">
      <c r="A33873" s="2">
        <v>43875.380115740743</v>
      </c>
      <c r="B33873" t="str">
        <f>HYPERLINK("https://twitter.com/robbyhg31","@robbyhg31")</f>
        <v>@robbyhg31</v>
      </c>
      <c r="C33873" t="s">
        <v>2444</v>
      </c>
      <c r="D33873">
        <v>76</v>
      </c>
      <c r="E33873">
        <v>0</v>
      </c>
      <c r="F33873">
        <v>2</v>
      </c>
    </row>
    <row r="33874" spans="1:6" ht="12.75">
      <c r="A33874" s="2">
        <v>43875.380069444444</v>
      </c>
      <c r="B33874" t="str">
        <f>HYPERLINK("https://twitter.com/suryakepricom","@suryakepricom")</f>
        <v>@suryakepricom</v>
      </c>
      <c r="C33874" t="s">
        <v>14156</v>
      </c>
      <c r="D33874">
        <v>0</v>
      </c>
      <c r="E33874">
        <v>0</v>
      </c>
      <c r="F33874">
        <v>12</v>
      </c>
    </row>
    <row r="33875" spans="1:6" ht="12.75">
      <c r="A33875" s="2">
        <v>43875.380046296297</v>
      </c>
      <c r="B33875" t="str">
        <f>HYPERLINK("https://twitter.com/eddymesakh","@eddymesakh")</f>
        <v>@eddymesakh</v>
      </c>
      <c r="C33875" t="s">
        <v>14156</v>
      </c>
      <c r="D33875">
        <v>0</v>
      </c>
      <c r="E33875">
        <v>0</v>
      </c>
      <c r="F33875">
        <v>186</v>
      </c>
    </row>
    <row r="33876" spans="1:6" ht="12.75">
      <c r="A33876" s="2">
        <v>43875.38003472222</v>
      </c>
      <c r="B33876" t="str">
        <f>HYPERLINK("https://twitter.com/Klan_indira","@Klan_indira")</f>
        <v>@Klan_indira</v>
      </c>
      <c r="C33876" t="s">
        <v>5168</v>
      </c>
      <c r="D33876">
        <v>461</v>
      </c>
      <c r="E33876">
        <v>0</v>
      </c>
      <c r="F33876">
        <v>332</v>
      </c>
    </row>
    <row r="33877" spans="1:6" ht="12.75">
      <c r="A33877" s="2">
        <v>43875.379976851851</v>
      </c>
      <c r="B33877" t="str">
        <f>HYPERLINK("https://twitter.com/ferryfahrial","@ferryfahrial")</f>
        <v>@ferryfahrial</v>
      </c>
      <c r="C33877" t="s">
        <v>14157</v>
      </c>
      <c r="D33877">
        <v>0</v>
      </c>
      <c r="E33877">
        <v>0</v>
      </c>
      <c r="F33877">
        <v>52</v>
      </c>
    </row>
    <row r="33878" spans="1:6" ht="12.75">
      <c r="A33878" s="2">
        <v>43875.379976851851</v>
      </c>
      <c r="B33878" t="str">
        <f>HYPERLINK("https://twitter.com/AzzamMuhammad97","@AzzamMuhammad97")</f>
        <v>@AzzamMuhammad97</v>
      </c>
      <c r="C33878" t="s">
        <v>8117</v>
      </c>
      <c r="D33878">
        <v>87</v>
      </c>
      <c r="E33878">
        <v>0</v>
      </c>
      <c r="F33878">
        <v>23</v>
      </c>
    </row>
    <row r="33879" spans="1:6" ht="12.75">
      <c r="A33879" s="2">
        <v>43875.379895833335</v>
      </c>
      <c r="B33879" t="str">
        <f>HYPERLINK("https://twitter.com/LelyArrianie","@LelyArrianie")</f>
        <v>@LelyArrianie</v>
      </c>
      <c r="C33879" t="s">
        <v>14158</v>
      </c>
      <c r="D33879">
        <v>0</v>
      </c>
      <c r="E33879">
        <v>0</v>
      </c>
      <c r="F33879">
        <v>482</v>
      </c>
    </row>
    <row r="33880" spans="1:6" ht="12.75">
      <c r="A33880" s="2">
        <v>43875.379826388889</v>
      </c>
      <c r="B33880" t="str">
        <f>HYPERLINK("https://twitter.com/PanglimaElang20","@PanglimaElang20")</f>
        <v>@PanglimaElang20</v>
      </c>
      <c r="C33880" t="s">
        <v>8252</v>
      </c>
      <c r="D33880">
        <v>483</v>
      </c>
      <c r="E33880">
        <v>0</v>
      </c>
      <c r="F33880">
        <v>49</v>
      </c>
    </row>
    <row r="33881" spans="1:6" ht="12.75">
      <c r="A33881" s="2">
        <v>43875.379826388889</v>
      </c>
      <c r="B33881" t="str">
        <f>HYPERLINK("https://twitter.com/ambilajaa","@ambilajaa")</f>
        <v>@ambilajaa</v>
      </c>
      <c r="C33881" t="s">
        <v>7406</v>
      </c>
      <c r="D33881">
        <v>21</v>
      </c>
      <c r="E33881">
        <v>0</v>
      </c>
      <c r="F33881">
        <v>31</v>
      </c>
    </row>
    <row r="33882" spans="1:6" ht="12.75">
      <c r="A33882" s="2">
        <v>43875.379780092597</v>
      </c>
      <c r="B33882" t="str">
        <f>HYPERLINK("https://twitter.com/sittaisyaa","@sittaisyaa")</f>
        <v>@sittaisyaa</v>
      </c>
      <c r="C33882" t="s">
        <v>2963</v>
      </c>
      <c r="D33882">
        <v>564</v>
      </c>
      <c r="E33882">
        <v>0</v>
      </c>
      <c r="F33882">
        <v>169</v>
      </c>
    </row>
    <row r="33883" spans="1:6" ht="12.75">
      <c r="A33883" s="2">
        <v>43875.379756944443</v>
      </c>
      <c r="B33883" t="str">
        <f>HYPERLINK("https://twitter.com/okezonenews","@okezonenews")</f>
        <v>@okezonenews</v>
      </c>
      <c r="C33883" t="s">
        <v>14159</v>
      </c>
      <c r="D33883">
        <v>1</v>
      </c>
      <c r="E33883">
        <v>0</v>
      </c>
      <c r="F33883">
        <v>1743727</v>
      </c>
    </row>
    <row r="33884" spans="1:6" ht="12.75">
      <c r="A33884" s="2">
        <v>43875.379745370374</v>
      </c>
      <c r="B33884" t="str">
        <f>HYPERLINK("https://twitter.com/bantengnusa","@bantengnusa")</f>
        <v>@bantengnusa</v>
      </c>
      <c r="C33884" t="s">
        <v>14160</v>
      </c>
      <c r="D33884">
        <v>0</v>
      </c>
      <c r="E33884">
        <v>1</v>
      </c>
      <c r="F33884">
        <v>306</v>
      </c>
    </row>
    <row r="33885" spans="1:6" ht="12.75">
      <c r="A33885" s="2">
        <v>43875.37945601852</v>
      </c>
      <c r="B33885" t="str">
        <f>HYPERLINK("https://twitter.com/syamsulhadi_ae","@syamsulhadi_ae")</f>
        <v>@syamsulhadi_ae</v>
      </c>
      <c r="C33885" t="s">
        <v>2963</v>
      </c>
      <c r="D33885">
        <v>564</v>
      </c>
      <c r="E33885">
        <v>0</v>
      </c>
      <c r="F33885">
        <v>235</v>
      </c>
    </row>
    <row r="33886" spans="1:6" ht="12.75">
      <c r="A33886" s="2">
        <v>43875.379328703704</v>
      </c>
      <c r="B33886" t="str">
        <f>HYPERLINK("https://twitter.com/04_prieslo","@04_prieslo")</f>
        <v>@04_prieslo</v>
      </c>
      <c r="C33886" t="s">
        <v>12250</v>
      </c>
      <c r="D33886">
        <v>2</v>
      </c>
      <c r="E33886">
        <v>0</v>
      </c>
      <c r="F33886">
        <v>1164</v>
      </c>
    </row>
    <row r="33887" spans="1:6" ht="12.75">
      <c r="A33887" s="2">
        <v>43875.379074074073</v>
      </c>
      <c r="B33887" t="str">
        <f>HYPERLINK("https://twitter.com/renjunpure","@renjunpure")</f>
        <v>@renjunpure</v>
      </c>
      <c r="C33887" t="s">
        <v>14048</v>
      </c>
      <c r="D33887">
        <v>0</v>
      </c>
      <c r="E33887">
        <v>0</v>
      </c>
      <c r="F33887">
        <v>813</v>
      </c>
    </row>
    <row r="33888" spans="1:6" ht="12.75">
      <c r="A33888" s="2">
        <v>43875.37903935185</v>
      </c>
      <c r="B33888" t="str">
        <f>HYPERLINK("https://twitter.com/GoTotheJek","@GoTotheJek")</f>
        <v>@GoTotheJek</v>
      </c>
      <c r="C33888" t="s">
        <v>8394</v>
      </c>
      <c r="D33888">
        <v>29</v>
      </c>
      <c r="E33888">
        <v>0</v>
      </c>
      <c r="F33888">
        <v>773</v>
      </c>
    </row>
    <row r="33889" spans="1:6" ht="12.75">
      <c r="A33889" s="2">
        <v>43875.379027777773</v>
      </c>
      <c r="B33889" t="str">
        <f>HYPERLINK("https://twitter.com/__nanara__","@__nanara__")</f>
        <v>@__nanara__</v>
      </c>
      <c r="C33889" t="s">
        <v>8349</v>
      </c>
      <c r="D33889">
        <v>6</v>
      </c>
      <c r="E33889">
        <v>0</v>
      </c>
      <c r="F33889">
        <v>491</v>
      </c>
    </row>
    <row r="33890" spans="1:6" ht="12.75">
      <c r="A33890" s="2">
        <v>43875.379004629634</v>
      </c>
      <c r="B33890" t="str">
        <f>HYPERLINK("https://twitter.com/Gennome2","@Gennome2")</f>
        <v>@Gennome2</v>
      </c>
      <c r="C33890" t="s">
        <v>8349</v>
      </c>
      <c r="D33890">
        <v>6</v>
      </c>
      <c r="E33890">
        <v>0</v>
      </c>
      <c r="F33890">
        <v>1627</v>
      </c>
    </row>
    <row r="33891" spans="1:6" ht="12.75">
      <c r="A33891" s="2">
        <v>43875.378958333335</v>
      </c>
      <c r="B33891" t="str">
        <f>HYPERLINK("https://twitter.com/AAPurba1","@AAPurba1")</f>
        <v>@AAPurba1</v>
      </c>
      <c r="C33891" t="s">
        <v>14161</v>
      </c>
      <c r="D33891">
        <v>0</v>
      </c>
      <c r="E33891">
        <v>1</v>
      </c>
      <c r="F33891">
        <v>14</v>
      </c>
    </row>
    <row r="33892" spans="1:6" ht="12.75">
      <c r="A33892" s="2">
        <v>43875.378877314812</v>
      </c>
      <c r="B33892" t="str">
        <f>HYPERLINK("https://twitter.com/el_lewe","@el_lewe")</f>
        <v>@el_lewe</v>
      </c>
      <c r="C33892" t="s">
        <v>2144</v>
      </c>
      <c r="D33892">
        <v>46</v>
      </c>
      <c r="E33892">
        <v>0</v>
      </c>
      <c r="F33892">
        <v>640</v>
      </c>
    </row>
    <row r="33893" spans="1:6" ht="12.75">
      <c r="A33893" s="2">
        <v>43875.378761574073</v>
      </c>
      <c r="B33893" t="str">
        <f>HYPERLINK("https://twitter.com/MBRPutra_art","@MBRPutra_art")</f>
        <v>@MBRPutra_art</v>
      </c>
      <c r="C33893" t="s">
        <v>8349</v>
      </c>
      <c r="D33893">
        <v>6</v>
      </c>
      <c r="E33893">
        <v>0</v>
      </c>
      <c r="F33893">
        <v>2042</v>
      </c>
    </row>
    <row r="33894" spans="1:6" ht="12.75">
      <c r="A33894" s="2">
        <v>43875.378761574073</v>
      </c>
      <c r="B33894" t="str">
        <f>HYPERLINK("https://twitter.com/Manurung1D","@Manurung1D")</f>
        <v>@Manurung1D</v>
      </c>
      <c r="C33894" t="s">
        <v>2963</v>
      </c>
      <c r="D33894">
        <v>564</v>
      </c>
      <c r="E33894">
        <v>0</v>
      </c>
      <c r="F33894">
        <v>587</v>
      </c>
    </row>
    <row r="33895" spans="1:6" ht="12.75">
      <c r="A33895" s="2">
        <v>43875.378761574073</v>
      </c>
      <c r="B33895" t="str">
        <f>HYPERLINK("https://twitter.com/04_prieslo","@04_prieslo")</f>
        <v>@04_prieslo</v>
      </c>
      <c r="C33895" t="s">
        <v>14162</v>
      </c>
      <c r="D33895">
        <v>1</v>
      </c>
      <c r="E33895">
        <v>0</v>
      </c>
      <c r="F33895">
        <v>1164</v>
      </c>
    </row>
    <row r="33896" spans="1:6" ht="12.75">
      <c r="A33896" s="2">
        <v>43875.378738425927</v>
      </c>
      <c r="B33896" t="str">
        <f>HYPERLINK("https://twitter.com/adigunap","@adigunap")</f>
        <v>@adigunap</v>
      </c>
      <c r="C33896" t="s">
        <v>11024</v>
      </c>
      <c r="D33896">
        <v>10</v>
      </c>
      <c r="E33896">
        <v>0</v>
      </c>
      <c r="F33896">
        <v>882</v>
      </c>
    </row>
    <row r="33897" spans="1:6" ht="12.75">
      <c r="A33897" s="2">
        <v>43875.378738425927</v>
      </c>
      <c r="B33897" t="str">
        <f>HYPERLINK("https://twitter.com/5angkan","@5angkan")</f>
        <v>@5angkan</v>
      </c>
      <c r="C33897" t="s">
        <v>10121</v>
      </c>
      <c r="D33897">
        <v>160</v>
      </c>
      <c r="E33897">
        <v>0</v>
      </c>
      <c r="F33897">
        <v>139</v>
      </c>
    </row>
    <row r="33898" spans="1:6" ht="12.75">
      <c r="A33898" s="2">
        <v>43875.378692129627</v>
      </c>
      <c r="B33898" t="str">
        <f>HYPERLINK("https://twitter.com/AAPurba1","@AAPurba1")</f>
        <v>@AAPurba1</v>
      </c>
      <c r="C33898" t="s">
        <v>14163</v>
      </c>
      <c r="D33898">
        <v>0</v>
      </c>
      <c r="E33898">
        <v>0</v>
      </c>
      <c r="F33898">
        <v>14</v>
      </c>
    </row>
    <row r="33899" spans="1:6" ht="12.75">
      <c r="A33899" s="2">
        <v>43875.378680555557</v>
      </c>
      <c r="B33899" t="str">
        <f>HYPERLINK("https://twitter.com/ZanstuyA","@ZanstuyA")</f>
        <v>@ZanstuyA</v>
      </c>
      <c r="C33899" t="s">
        <v>14164</v>
      </c>
      <c r="D33899">
        <v>0</v>
      </c>
      <c r="E33899">
        <v>0</v>
      </c>
      <c r="F33899">
        <v>13</v>
      </c>
    </row>
    <row r="33900" spans="1:6" ht="12.75">
      <c r="A33900" s="2">
        <v>43875.378518518519</v>
      </c>
      <c r="B33900" t="str">
        <f>HYPERLINK("https://twitter.com/Leni_M_S","@Leni_M_S")</f>
        <v>@Leni_M_S</v>
      </c>
      <c r="C33900" t="s">
        <v>10121</v>
      </c>
      <c r="D33900">
        <v>160</v>
      </c>
      <c r="E33900">
        <v>0</v>
      </c>
      <c r="F33900">
        <v>121</v>
      </c>
    </row>
    <row r="33901" spans="1:6" ht="12.75">
      <c r="A33901" s="2">
        <v>43875.378472222219</v>
      </c>
      <c r="B33901" t="str">
        <f>HYPERLINK("https://twitter.com/5angkan","@5angkan")</f>
        <v>@5angkan</v>
      </c>
      <c r="C33901" t="s">
        <v>14165</v>
      </c>
      <c r="D33901">
        <v>3</v>
      </c>
      <c r="E33901">
        <v>0</v>
      </c>
      <c r="F33901">
        <v>139</v>
      </c>
    </row>
    <row r="33902" spans="1:6" ht="12.75">
      <c r="A33902" s="2">
        <v>43875.378298611111</v>
      </c>
      <c r="B33902" t="str">
        <f>HYPERLINK("https://twitter.com/TukangNy1ny1r","@TukangNy1ny1r")</f>
        <v>@TukangNy1ny1r</v>
      </c>
      <c r="C33902" t="s">
        <v>14166</v>
      </c>
      <c r="D33902">
        <v>0</v>
      </c>
      <c r="E33902">
        <v>0</v>
      </c>
      <c r="F33902">
        <v>76</v>
      </c>
    </row>
    <row r="33903" spans="1:6" ht="12.75">
      <c r="A33903" s="2">
        <v>43875.378252314811</v>
      </c>
      <c r="B33903" t="str">
        <f>HYPERLINK("https://twitter.com/el_lewe","@el_lewe")</f>
        <v>@el_lewe</v>
      </c>
      <c r="C33903" t="s">
        <v>2086</v>
      </c>
      <c r="D33903">
        <v>21</v>
      </c>
      <c r="E33903">
        <v>0</v>
      </c>
      <c r="F33903">
        <v>640</v>
      </c>
    </row>
    <row r="33904" spans="1:6" ht="12.75">
      <c r="A33904" s="2">
        <v>43875.378194444449</v>
      </c>
      <c r="B33904" t="str">
        <f>HYPERLINK("https://twitter.com/ffdelaf","@ffdelaf")</f>
        <v>@ffdelaf</v>
      </c>
      <c r="C33904" t="s">
        <v>2963</v>
      </c>
      <c r="D33904">
        <v>564</v>
      </c>
      <c r="E33904">
        <v>0</v>
      </c>
      <c r="F33904">
        <v>243</v>
      </c>
    </row>
    <row r="33905" spans="1:6" ht="12.75">
      <c r="A33905" s="2">
        <v>43875.378182870365</v>
      </c>
      <c r="B33905" t="str">
        <f>HYPERLINK("https://twitter.com/adirizaldito","@adirizaldito")</f>
        <v>@adirizaldito</v>
      </c>
      <c r="C33905" t="s">
        <v>14167</v>
      </c>
      <c r="D33905">
        <v>1</v>
      </c>
      <c r="E33905">
        <v>0</v>
      </c>
      <c r="F33905">
        <v>554</v>
      </c>
    </row>
    <row r="33906" spans="1:6" ht="12.75">
      <c r="A33906" s="2">
        <v>43875.378125000003</v>
      </c>
      <c r="B33906" t="str">
        <f>HYPERLINK("https://twitter.com/LaRose78992426","@LaRose78992426")</f>
        <v>@LaRose78992426</v>
      </c>
      <c r="C33906" t="s">
        <v>12671</v>
      </c>
      <c r="D33906">
        <v>40</v>
      </c>
      <c r="E33906">
        <v>0</v>
      </c>
      <c r="F33906">
        <v>258</v>
      </c>
    </row>
    <row r="33907" spans="1:6" ht="12.75">
      <c r="A33907" s="2">
        <v>43875.378078703703</v>
      </c>
      <c r="B33907" t="str">
        <f>HYPERLINK("https://twitter.com/AnthonySigalin1","@AnthonySigalin1")</f>
        <v>@AnthonySigalin1</v>
      </c>
      <c r="C33907" t="s">
        <v>2963</v>
      </c>
      <c r="D33907">
        <v>564</v>
      </c>
      <c r="E33907">
        <v>0</v>
      </c>
      <c r="F33907">
        <v>243</v>
      </c>
    </row>
    <row r="33908" spans="1:6" ht="12.75">
      <c r="A33908" s="2">
        <v>43875.378067129626</v>
      </c>
      <c r="B33908" t="str">
        <f>HYPERLINK("https://twitter.com/Mantisone2","@Mantisone2")</f>
        <v>@Mantisone2</v>
      </c>
      <c r="C33908" t="s">
        <v>2963</v>
      </c>
      <c r="D33908">
        <v>564</v>
      </c>
      <c r="E33908">
        <v>0</v>
      </c>
      <c r="F33908">
        <v>44</v>
      </c>
    </row>
    <row r="33909" spans="1:6" ht="12.75">
      <c r="A33909" s="2">
        <v>43875.37804398148</v>
      </c>
      <c r="B33909" t="str">
        <f>HYPERLINK("https://twitter.com/Kanjeng38614031","@Kanjeng38614031")</f>
        <v>@Kanjeng38614031</v>
      </c>
      <c r="C33909" t="s">
        <v>12560</v>
      </c>
      <c r="D33909">
        <v>25</v>
      </c>
      <c r="E33909">
        <v>0</v>
      </c>
      <c r="F33909">
        <v>1</v>
      </c>
    </row>
    <row r="33910" spans="1:6" ht="12.75">
      <c r="A33910" s="2">
        <v>43875.378032407403</v>
      </c>
      <c r="B33910" t="str">
        <f>HYPERLINK("https://twitter.com/el_lewe","@el_lewe")</f>
        <v>@el_lewe</v>
      </c>
      <c r="C33910" t="s">
        <v>14168</v>
      </c>
      <c r="D33910">
        <v>0</v>
      </c>
      <c r="E33910">
        <v>0</v>
      </c>
      <c r="F33910">
        <v>640</v>
      </c>
    </row>
    <row r="33911" spans="1:6" ht="12.75">
      <c r="A33911" s="2">
        <v>43875.377986111111</v>
      </c>
      <c r="B33911" t="str">
        <f>HYPERLINK("https://twitter.com/BlackBl72513987","@BlackBl72513987")</f>
        <v>@BlackBl72513987</v>
      </c>
      <c r="C33911" t="s">
        <v>14169</v>
      </c>
      <c r="D33911">
        <v>1</v>
      </c>
      <c r="E33911">
        <v>3</v>
      </c>
      <c r="F33911">
        <v>331</v>
      </c>
    </row>
    <row r="33912" spans="1:6" ht="12.75">
      <c r="A33912" s="2">
        <v>43875.377951388888</v>
      </c>
      <c r="B33912" t="str">
        <f>HYPERLINK("https://twitter.com/ulan_marbun","@ulan_marbun")</f>
        <v>@ulan_marbun</v>
      </c>
      <c r="C33912" t="s">
        <v>2963</v>
      </c>
      <c r="D33912">
        <v>564</v>
      </c>
      <c r="E33912">
        <v>0</v>
      </c>
      <c r="F33912">
        <v>540</v>
      </c>
    </row>
    <row r="33913" spans="1:6" ht="12.75">
      <c r="A33913" s="2">
        <v>43875.377881944441</v>
      </c>
      <c r="B33913" t="str">
        <f>HYPERLINK("https://twitter.com/AzzizzahNur","@AzzizzahNur")</f>
        <v>@AzzizzahNur</v>
      </c>
      <c r="C33913" t="s">
        <v>8349</v>
      </c>
      <c r="D33913">
        <v>6</v>
      </c>
      <c r="E33913">
        <v>0</v>
      </c>
      <c r="F33913">
        <v>2616</v>
      </c>
    </row>
    <row r="33914" spans="1:6" ht="12.75">
      <c r="A33914" s="2">
        <v>43875.377870370372</v>
      </c>
      <c r="B33914" t="str">
        <f>HYPERLINK("https://twitter.com/xoxoperth","@xoxoperth")</f>
        <v>@xoxoperth</v>
      </c>
      <c r="C33914" t="s">
        <v>10526</v>
      </c>
      <c r="D33914">
        <v>121</v>
      </c>
      <c r="E33914">
        <v>0</v>
      </c>
      <c r="F33914">
        <v>183</v>
      </c>
    </row>
    <row r="33915" spans="1:6" ht="12.75">
      <c r="A33915" s="2">
        <v>43875.37773148148</v>
      </c>
      <c r="B33915" t="str">
        <f>HYPERLINK("https://twitter.com/Pratama_Prime","@Pratama_Prime")</f>
        <v>@Pratama_Prime</v>
      </c>
      <c r="C33915" t="s">
        <v>12560</v>
      </c>
      <c r="D33915">
        <v>25</v>
      </c>
      <c r="E33915">
        <v>0</v>
      </c>
      <c r="F33915">
        <v>163</v>
      </c>
    </row>
    <row r="33916" spans="1:6" ht="12.75">
      <c r="A33916" s="2">
        <v>43875.37771990741</v>
      </c>
      <c r="B33916" t="str">
        <f>HYPERLINK("https://twitter.com/Stansyahalief_","@Stansyahalief_")</f>
        <v>@Stansyahalief_</v>
      </c>
      <c r="C33916" t="s">
        <v>12560</v>
      </c>
      <c r="D33916">
        <v>25</v>
      </c>
      <c r="E33916">
        <v>0</v>
      </c>
      <c r="F33916">
        <v>254</v>
      </c>
    </row>
    <row r="33917" spans="1:6" ht="12.75">
      <c r="A33917" s="2">
        <v>43875.37771990741</v>
      </c>
      <c r="B33917" t="str">
        <f>HYPERLINK("https://twitter.com/Isis_Guedes3","@Isis_Guedes3")</f>
        <v>@Isis_Guedes3</v>
      </c>
      <c r="C33917" t="s">
        <v>14170</v>
      </c>
      <c r="D33917">
        <v>0</v>
      </c>
      <c r="E33917">
        <v>1</v>
      </c>
      <c r="F33917">
        <v>277</v>
      </c>
    </row>
    <row r="33918" spans="1:6" ht="12.75">
      <c r="A33918" s="2">
        <v>43875.37767361111</v>
      </c>
      <c r="B33918" t="str">
        <f>HYPERLINK("https://twitter.com/cadarmerah","@cadarmerah")</f>
        <v>@cadarmerah</v>
      </c>
      <c r="C33918" t="s">
        <v>10121</v>
      </c>
      <c r="D33918">
        <v>160</v>
      </c>
      <c r="E33918">
        <v>0</v>
      </c>
      <c r="F33918">
        <v>5652</v>
      </c>
    </row>
    <row r="33919" spans="1:6" ht="12.75">
      <c r="A33919" s="2">
        <v>43875.377650462964</v>
      </c>
      <c r="B33919" t="str">
        <f>HYPERLINK("https://twitter.com/Tio7Willy","@Tio7Willy")</f>
        <v>@Tio7Willy</v>
      </c>
      <c r="C33919" t="s">
        <v>14171</v>
      </c>
      <c r="D33919">
        <v>1</v>
      </c>
      <c r="E33919">
        <v>3</v>
      </c>
      <c r="F33919">
        <v>249</v>
      </c>
    </row>
    <row r="33920" spans="1:6" ht="12.75">
      <c r="A33920" s="2">
        <v>43875.377615740741</v>
      </c>
      <c r="B33920" t="str">
        <f>HYPERLINK("https://twitter.com/Zhie_03_namaku","@Zhie_03_namaku")</f>
        <v>@Zhie_03_namaku</v>
      </c>
      <c r="C33920" t="s">
        <v>14172</v>
      </c>
      <c r="D33920">
        <v>0</v>
      </c>
      <c r="E33920">
        <v>0</v>
      </c>
      <c r="F33920">
        <v>29</v>
      </c>
    </row>
    <row r="33921" spans="1:6" ht="12.75">
      <c r="A33921" s="2">
        <v>43875.377534722225</v>
      </c>
      <c r="B33921" t="str">
        <f>HYPERLINK("https://twitter.com/B3rvboo","@B3rvboo")</f>
        <v>@B3rvboo</v>
      </c>
      <c r="C33921" t="s">
        <v>5168</v>
      </c>
      <c r="D33921">
        <v>461</v>
      </c>
      <c r="E33921">
        <v>0</v>
      </c>
      <c r="F33921">
        <v>625</v>
      </c>
    </row>
    <row r="33922" spans="1:6" ht="12.75">
      <c r="A33922" s="2">
        <v>43875.377430555556</v>
      </c>
      <c r="B33922" t="str">
        <f>HYPERLINK("https://twitter.com/chaeyeonjogja","@chaeyeonjogja")</f>
        <v>@chaeyeonjogja</v>
      </c>
      <c r="C33922" t="s">
        <v>9021</v>
      </c>
      <c r="D33922">
        <v>160</v>
      </c>
      <c r="E33922">
        <v>0</v>
      </c>
      <c r="F33922">
        <v>356</v>
      </c>
    </row>
    <row r="33923" spans="1:6" ht="12.75">
      <c r="A33923" s="2">
        <v>43875.377407407403</v>
      </c>
      <c r="B33923" t="str">
        <f>HYPERLINK("https://twitter.com/StandbehindTrue","@StandbehindTrue")</f>
        <v>@StandbehindTrue</v>
      </c>
      <c r="C33923" t="s">
        <v>2963</v>
      </c>
      <c r="D33923">
        <v>564</v>
      </c>
      <c r="E33923">
        <v>0</v>
      </c>
      <c r="F33923">
        <v>263</v>
      </c>
    </row>
    <row r="33924" spans="1:6" ht="12.75">
      <c r="A33924" s="2">
        <v>43875.377280092594</v>
      </c>
      <c r="B33924" t="str">
        <f>HYPERLINK("https://twitter.com/KelianBanjar_GK","@KelianBanjar_GK")</f>
        <v>@KelianBanjar_GK</v>
      </c>
      <c r="C33924" t="s">
        <v>14173</v>
      </c>
      <c r="D33924">
        <v>1</v>
      </c>
      <c r="E33924">
        <v>0</v>
      </c>
      <c r="F33924">
        <v>8430</v>
      </c>
    </row>
    <row r="33925" spans="1:6" ht="12.75">
      <c r="A33925" s="2">
        <v>43875.377256944441</v>
      </c>
      <c r="B33925" t="str">
        <f>HYPERLINK("https://twitter.com/udapilliang","@udapilliang")</f>
        <v>@udapilliang</v>
      </c>
      <c r="C33925" t="s">
        <v>11076</v>
      </c>
      <c r="D33925">
        <v>1</v>
      </c>
      <c r="E33925">
        <v>0</v>
      </c>
      <c r="F33925">
        <v>560</v>
      </c>
    </row>
    <row r="33926" spans="1:6" ht="12.75">
      <c r="A33926" s="2">
        <v>43875.377256944441</v>
      </c>
      <c r="B33926" t="str">
        <f>HYPERLINK("https://twitter.com/RandyTulak","@RandyTulak")</f>
        <v>@RandyTulak</v>
      </c>
      <c r="C33926" t="s">
        <v>10588</v>
      </c>
      <c r="D33926">
        <v>105</v>
      </c>
      <c r="E33926">
        <v>0</v>
      </c>
      <c r="F33926">
        <v>406</v>
      </c>
    </row>
    <row r="33927" spans="1:6" ht="12.75">
      <c r="A33927" s="2">
        <v>43875.377187499995</v>
      </c>
      <c r="B33927" t="str">
        <f>HYPERLINK("https://twitter.com/kamilulloh","@kamilulloh")</f>
        <v>@kamilulloh</v>
      </c>
      <c r="C33927" t="s">
        <v>14174</v>
      </c>
      <c r="D33927">
        <v>4</v>
      </c>
      <c r="E33927">
        <v>0</v>
      </c>
      <c r="F33927">
        <v>204</v>
      </c>
    </row>
    <row r="33928" spans="1:6" ht="12.75">
      <c r="A33928" s="2">
        <v>43875.377129629633</v>
      </c>
      <c r="B33928" t="str">
        <f>HYPERLINK("https://twitter.com/udapilliang","@udapilliang")</f>
        <v>@udapilliang</v>
      </c>
      <c r="C33928" t="s">
        <v>14175</v>
      </c>
      <c r="D33928">
        <v>1</v>
      </c>
      <c r="E33928">
        <v>0</v>
      </c>
      <c r="F33928">
        <v>560</v>
      </c>
    </row>
    <row r="33929" spans="1:6" ht="12.75">
      <c r="A33929" s="2">
        <v>43875.377106481479</v>
      </c>
      <c r="B33929" t="str">
        <f>HYPERLINK("https://twitter.com/cooll04","@cooll04")</f>
        <v>@cooll04</v>
      </c>
      <c r="C33929" t="s">
        <v>2144</v>
      </c>
      <c r="D33929">
        <v>46</v>
      </c>
      <c r="E33929">
        <v>0</v>
      </c>
      <c r="F33929">
        <v>4499</v>
      </c>
    </row>
    <row r="33930" spans="1:6" ht="12.75">
      <c r="A33930" s="2">
        <v>43875.377106481479</v>
      </c>
      <c r="B33930" t="str">
        <f>HYPERLINK("https://twitter.com/AbiyyuAdaam","@AbiyyuAdaam")</f>
        <v>@AbiyyuAdaam</v>
      </c>
      <c r="C33930" t="s">
        <v>9648</v>
      </c>
      <c r="D33930">
        <v>5</v>
      </c>
      <c r="E33930">
        <v>0</v>
      </c>
      <c r="F33930">
        <v>5</v>
      </c>
    </row>
    <row r="33931" spans="1:6" ht="12.75">
      <c r="A33931" s="2">
        <v>43875.37704861111</v>
      </c>
      <c r="B33931" t="str">
        <f>HYPERLINK("https://twitter.com/baru_kaya","@baru_kaya")</f>
        <v>@baru_kaya</v>
      </c>
      <c r="C33931" t="s">
        <v>14176</v>
      </c>
      <c r="D33931">
        <v>6</v>
      </c>
      <c r="E33931">
        <v>6</v>
      </c>
      <c r="F33931">
        <v>2283</v>
      </c>
    </row>
    <row r="33932" spans="1:6" ht="12.75">
      <c r="A33932" s="2">
        <v>43875.37704861111</v>
      </c>
      <c r="B33932" t="str">
        <f>HYPERLINK("https://twitter.com/Nostalgi87","@Nostalgi87")</f>
        <v>@Nostalgi87</v>
      </c>
      <c r="C33932" t="s">
        <v>2963</v>
      </c>
      <c r="D33932">
        <v>564</v>
      </c>
      <c r="E33932">
        <v>0</v>
      </c>
      <c r="F33932">
        <v>28</v>
      </c>
    </row>
    <row r="33933" spans="1:6" ht="12.75">
      <c r="A33933" s="2">
        <v>43875.376979166671</v>
      </c>
      <c r="B33933" t="str">
        <f>HYPERLINK("https://twitter.com/Anugrahbboy","@Anugrahbboy")</f>
        <v>@Anugrahbboy</v>
      </c>
      <c r="C33933" t="s">
        <v>14177</v>
      </c>
      <c r="D33933">
        <v>0</v>
      </c>
      <c r="E33933">
        <v>0</v>
      </c>
      <c r="F33933">
        <v>288</v>
      </c>
    </row>
    <row r="33934" spans="1:6" ht="12.75">
      <c r="A33934" s="2">
        <v>43875.376944444448</v>
      </c>
      <c r="B33934" t="str">
        <f>HYPERLINK("https://twitter.com/Nostalgi87","@Nostalgi87")</f>
        <v>@Nostalgi87</v>
      </c>
      <c r="C33934" t="s">
        <v>8233</v>
      </c>
      <c r="D33934">
        <v>316</v>
      </c>
      <c r="E33934">
        <v>0</v>
      </c>
      <c r="F33934">
        <v>28</v>
      </c>
    </row>
    <row r="33935" spans="1:6" ht="12.75">
      <c r="A33935" s="2">
        <v>43875.376747685186</v>
      </c>
      <c r="B33935" t="str">
        <f>HYPERLINK("https://twitter.com/suka011","@suka011")</f>
        <v>@suka011</v>
      </c>
      <c r="C33935" t="s">
        <v>13189</v>
      </c>
      <c r="D33935">
        <v>1</v>
      </c>
      <c r="E33935">
        <v>0</v>
      </c>
      <c r="F33935">
        <v>1912</v>
      </c>
    </row>
    <row r="33936" spans="1:6" ht="12.75">
      <c r="A33936" s="2">
        <v>43875.376701388886</v>
      </c>
      <c r="B33936" t="str">
        <f>HYPERLINK("https://twitter.com/kapeneott79","@kapeneott79")</f>
        <v>@kapeneott79</v>
      </c>
      <c r="C33936" t="s">
        <v>14178</v>
      </c>
      <c r="D33936">
        <v>1</v>
      </c>
      <c r="E33936">
        <v>2</v>
      </c>
      <c r="F33936">
        <v>1610</v>
      </c>
    </row>
    <row r="33937" spans="1:6" ht="12.75">
      <c r="A33937" s="2">
        <v>43875.376493055555</v>
      </c>
      <c r="B33937" t="str">
        <f>HYPERLINK("https://twitter.com/Dioovalingga","@Dioovalingga")</f>
        <v>@Dioovalingga</v>
      </c>
      <c r="C33937" t="s">
        <v>12560</v>
      </c>
      <c r="D33937">
        <v>13</v>
      </c>
      <c r="E33937">
        <v>0</v>
      </c>
      <c r="F33937">
        <v>104</v>
      </c>
    </row>
    <row r="33938" spans="1:6" ht="12.75">
      <c r="A33938" s="2">
        <v>43875.37635416667</v>
      </c>
      <c r="B33938" t="str">
        <f>HYPERLINK("https://twitter.com/ronagael","@ronagael")</f>
        <v>@ronagael</v>
      </c>
      <c r="C33938" t="s">
        <v>2963</v>
      </c>
      <c r="D33938">
        <v>471</v>
      </c>
      <c r="E33938">
        <v>0</v>
      </c>
      <c r="F33938">
        <v>808</v>
      </c>
    </row>
    <row r="33939" spans="1:6" ht="12.75">
      <c r="A33939" s="2">
        <v>43875.376331018517</v>
      </c>
      <c r="B33939" t="str">
        <f>HYPERLINK("https://twitter.com/CetakTukang","@CetakTukang")</f>
        <v>@CetakTukang</v>
      </c>
      <c r="C33939" t="s">
        <v>14179</v>
      </c>
      <c r="D33939">
        <v>0</v>
      </c>
      <c r="E33939">
        <v>0</v>
      </c>
      <c r="F33939">
        <v>570</v>
      </c>
    </row>
    <row r="33940" spans="1:6" ht="12.75">
      <c r="A33940" s="2">
        <v>43875.376307870371</v>
      </c>
      <c r="B33940" t="str">
        <f>HYPERLINK("https://twitter.com/hokinov","@hokinov")</f>
        <v>@hokinov</v>
      </c>
      <c r="C33940" t="s">
        <v>14180</v>
      </c>
      <c r="D33940">
        <v>9</v>
      </c>
      <c r="E33940">
        <v>0</v>
      </c>
      <c r="F33940">
        <v>155</v>
      </c>
    </row>
    <row r="33941" spans="1:6" ht="12.75">
      <c r="A33941" s="2">
        <v>43875.376273148147</v>
      </c>
      <c r="B33941" t="str">
        <f>HYPERLINK("https://twitter.com/andi_saja","@andi_saja")</f>
        <v>@andi_saja</v>
      </c>
      <c r="C33941" t="s">
        <v>2122</v>
      </c>
      <c r="D33941">
        <v>180</v>
      </c>
      <c r="E33941">
        <v>0</v>
      </c>
      <c r="F33941">
        <v>1643</v>
      </c>
    </row>
    <row r="33942" spans="1:6" ht="12.75">
      <c r="A33942" s="2">
        <v>43875.376261574071</v>
      </c>
      <c r="B33942" t="str">
        <f>HYPERLINK("https://twitter.com/__beritaterkini","@__beritaterkini")</f>
        <v>@__beritaterkini</v>
      </c>
      <c r="C33942" t="s">
        <v>14181</v>
      </c>
      <c r="D33942">
        <v>0</v>
      </c>
      <c r="E33942">
        <v>0</v>
      </c>
      <c r="F33942">
        <v>415</v>
      </c>
    </row>
    <row r="33943" spans="1:6" ht="12.75">
      <c r="A33943" s="2">
        <v>43875.376226851848</v>
      </c>
      <c r="B33943" t="str">
        <f>HYPERLINK("https://twitter.com/mahdifaishal","@mahdifaishal")</f>
        <v>@mahdifaishal</v>
      </c>
      <c r="C33943" t="s">
        <v>2963</v>
      </c>
      <c r="D33943">
        <v>471</v>
      </c>
      <c r="E33943">
        <v>0</v>
      </c>
      <c r="F33943">
        <v>784</v>
      </c>
    </row>
    <row r="33944" spans="1:6" ht="12.75">
      <c r="A33944" s="2">
        <v>43875.376203703709</v>
      </c>
      <c r="B33944" t="str">
        <f>HYPERLINK("https://twitter.com/HendraLaurensi_","@HendraLaurensi_")</f>
        <v>@HendraLaurensi_</v>
      </c>
      <c r="C33944" t="s">
        <v>175</v>
      </c>
      <c r="D33944">
        <v>5228</v>
      </c>
      <c r="E33944">
        <v>0</v>
      </c>
      <c r="F33944">
        <v>2185</v>
      </c>
    </row>
    <row r="33945" spans="1:6" ht="12.75">
      <c r="A33945" s="2">
        <v>43875.376180555555</v>
      </c>
      <c r="B33945" t="str">
        <f>HYPERLINK("https://twitter.com/pherasim","@pherasim")</f>
        <v>@pherasim</v>
      </c>
      <c r="C33945" t="s">
        <v>2963</v>
      </c>
      <c r="D33945">
        <v>471</v>
      </c>
      <c r="E33945">
        <v>0</v>
      </c>
      <c r="F33945">
        <v>225</v>
      </c>
    </row>
    <row r="33946" spans="1:6" ht="12.75">
      <c r="A33946" s="2">
        <v>43875.376168981486</v>
      </c>
      <c r="B33946" t="str">
        <f>HYPERLINK("https://twitter.com/UndecidedGuys","@UndecidedGuys")</f>
        <v>@UndecidedGuys</v>
      </c>
      <c r="C33946" t="s">
        <v>2963</v>
      </c>
      <c r="D33946">
        <v>471</v>
      </c>
      <c r="E33946">
        <v>0</v>
      </c>
      <c r="F33946">
        <v>982</v>
      </c>
    </row>
    <row r="33947" spans="1:6" ht="12.75">
      <c r="A33947" s="2">
        <v>43875.376041666663</v>
      </c>
      <c r="B33947" t="str">
        <f>HYPERLINK("https://twitter.com/lawanprovokator","@lawanprovokator")</f>
        <v>@lawanprovokator</v>
      </c>
      <c r="C33947" t="s">
        <v>13299</v>
      </c>
      <c r="D33947">
        <v>99</v>
      </c>
      <c r="E33947">
        <v>0</v>
      </c>
      <c r="F33947">
        <v>219</v>
      </c>
    </row>
    <row r="33948" spans="1:6" ht="12.75">
      <c r="A33948" s="2">
        <v>43875.375856481478</v>
      </c>
      <c r="B33948" t="str">
        <f>HYPERLINK("https://twitter.com/kafara666","@kafara666")</f>
        <v>@kafara666</v>
      </c>
      <c r="C33948" t="s">
        <v>14182</v>
      </c>
      <c r="D33948">
        <v>0</v>
      </c>
      <c r="E33948">
        <v>0</v>
      </c>
      <c r="F33948">
        <v>66</v>
      </c>
    </row>
    <row r="33949" spans="1:6" ht="12.75">
      <c r="A33949" s="2">
        <v>43875.375844907408</v>
      </c>
      <c r="B33949" t="str">
        <f>HYPERLINK("https://twitter.com/eleven_light","@eleven_light")</f>
        <v>@eleven_light</v>
      </c>
      <c r="C33949" t="s">
        <v>14183</v>
      </c>
      <c r="D33949">
        <v>0</v>
      </c>
      <c r="E33949">
        <v>0</v>
      </c>
      <c r="F33949">
        <v>860</v>
      </c>
    </row>
    <row r="33950" spans="1:6" ht="12.75">
      <c r="A33950" s="2">
        <v>43875.375740740739</v>
      </c>
      <c r="B33950" t="str">
        <f>HYPERLINK("https://twitter.com/lawanprovokator","@lawanprovokator")</f>
        <v>@lawanprovokator</v>
      </c>
      <c r="C33950" t="s">
        <v>14184</v>
      </c>
      <c r="D33950">
        <v>46</v>
      </c>
      <c r="E33950">
        <v>0</v>
      </c>
      <c r="F33950">
        <v>219</v>
      </c>
    </row>
    <row r="33951" spans="1:6" ht="12.75">
      <c r="A33951" s="2">
        <v>43875.375694444447</v>
      </c>
      <c r="B33951" t="str">
        <f>HYPERLINK("https://twitter.com/MataMataPolitik","@MataMataPolitik")</f>
        <v>@MataMataPolitik</v>
      </c>
      <c r="C33951" t="s">
        <v>14185</v>
      </c>
      <c r="D33951">
        <v>0</v>
      </c>
      <c r="E33951">
        <v>0</v>
      </c>
      <c r="F33951">
        <v>3734</v>
      </c>
    </row>
    <row r="33952" spans="1:6" ht="12.75">
      <c r="A33952" s="2">
        <v>43875.375648148147</v>
      </c>
      <c r="B33952" t="str">
        <f>HYPERLINK("https://twitter.com/lawanprovokator","@lawanprovokator")</f>
        <v>@lawanprovokator</v>
      </c>
      <c r="C33952" t="s">
        <v>10295</v>
      </c>
      <c r="D33952">
        <v>86</v>
      </c>
      <c r="E33952">
        <v>0</v>
      </c>
      <c r="F33952">
        <v>219</v>
      </c>
    </row>
    <row r="33953" spans="1:6" ht="12.75">
      <c r="A33953" s="2">
        <v>43875.375497685185</v>
      </c>
      <c r="B33953" t="str">
        <f t="shared" ref="B33953:B33954" si="394">HYPERLINK("https://twitter.com/saktindra85","@saktindra85")</f>
        <v>@saktindra85</v>
      </c>
      <c r="C33953" t="s">
        <v>2963</v>
      </c>
      <c r="D33953">
        <v>471</v>
      </c>
      <c r="E33953">
        <v>0</v>
      </c>
      <c r="F33953">
        <v>448</v>
      </c>
    </row>
    <row r="33954" spans="1:6" ht="12.75">
      <c r="A33954" s="2">
        <v>43875.375428240739</v>
      </c>
      <c r="B33954" t="str">
        <f t="shared" si="394"/>
        <v>@saktindra85</v>
      </c>
      <c r="C33954" t="s">
        <v>9096</v>
      </c>
      <c r="D33954">
        <v>155</v>
      </c>
      <c r="E33954">
        <v>0</v>
      </c>
      <c r="F33954">
        <v>448</v>
      </c>
    </row>
    <row r="33955" spans="1:6" ht="12.75">
      <c r="A33955" s="2">
        <v>43875.375416666662</v>
      </c>
      <c r="B33955" t="str">
        <f>HYPERLINK("https://twitter.com/SalehRahayaan","@SalehRahayaan")</f>
        <v>@SalehRahayaan</v>
      </c>
      <c r="C33955" t="s">
        <v>10295</v>
      </c>
      <c r="D33955">
        <v>86</v>
      </c>
      <c r="E33955">
        <v>0</v>
      </c>
      <c r="F33955">
        <v>258</v>
      </c>
    </row>
    <row r="33956" spans="1:6" ht="12.75">
      <c r="A33956" s="2">
        <v>43875.375405092593</v>
      </c>
      <c r="B33956" t="str">
        <f>HYPERLINK("https://twitter.com/heistdeep","@heistdeep")</f>
        <v>@heistdeep</v>
      </c>
      <c r="C33956" t="s">
        <v>12560</v>
      </c>
      <c r="D33956">
        <v>13</v>
      </c>
      <c r="E33956">
        <v>0</v>
      </c>
      <c r="F33956">
        <v>471</v>
      </c>
    </row>
    <row r="33957" spans="1:6" ht="12.75">
      <c r="A33957" s="2">
        <v>43875.375393518523</v>
      </c>
      <c r="B33957" t="str">
        <f>HYPERLINK("https://twitter.com/miqa0912","@miqa0912")</f>
        <v>@miqa0912</v>
      </c>
      <c r="C33957" t="s">
        <v>14186</v>
      </c>
      <c r="D33957">
        <v>0</v>
      </c>
      <c r="E33957">
        <v>0</v>
      </c>
      <c r="F33957">
        <v>995</v>
      </c>
    </row>
    <row r="33958" spans="1:6" ht="12.75">
      <c r="A33958" s="2">
        <v>43875.37537037037</v>
      </c>
      <c r="B33958" t="str">
        <f>HYPERLINK("https://twitter.com/firmanaldiy_","@firmanaldiy_")</f>
        <v>@firmanaldiy_</v>
      </c>
      <c r="C33958" t="s">
        <v>9648</v>
      </c>
      <c r="D33958">
        <v>4</v>
      </c>
      <c r="E33958">
        <v>0</v>
      </c>
      <c r="F33958">
        <v>3</v>
      </c>
    </row>
    <row r="33959" spans="1:6" ht="12.75">
      <c r="A33959" s="2">
        <v>43875.375289351854</v>
      </c>
      <c r="B33959" t="str">
        <f>HYPERLINK("https://twitter.com/LailyShey","@LailyShey")</f>
        <v>@LailyShey</v>
      </c>
      <c r="C33959" t="s">
        <v>8252</v>
      </c>
      <c r="D33959">
        <v>481</v>
      </c>
      <c r="E33959">
        <v>0</v>
      </c>
      <c r="F33959">
        <v>799</v>
      </c>
    </row>
    <row r="33960" spans="1:6" ht="12.75">
      <c r="A33960" s="2">
        <v>43875.375196759254</v>
      </c>
      <c r="B33960" t="str">
        <f>HYPERLINK("https://twitter.com/sixpyi","@sixpyi")</f>
        <v>@sixpyi</v>
      </c>
      <c r="C33960" t="s">
        <v>2137</v>
      </c>
      <c r="D33960">
        <v>22</v>
      </c>
      <c r="E33960">
        <v>0</v>
      </c>
      <c r="F33960">
        <v>845</v>
      </c>
    </row>
    <row r="33961" spans="1:6" ht="12.75">
      <c r="A33961" s="2">
        <v>43875.375185185185</v>
      </c>
      <c r="B33961" t="str">
        <f>HYPERLINK("https://twitter.com/andysetyau","@andysetyau")</f>
        <v>@andysetyau</v>
      </c>
      <c r="C33961" t="s">
        <v>2963</v>
      </c>
      <c r="D33961">
        <v>471</v>
      </c>
      <c r="E33961">
        <v>0</v>
      </c>
      <c r="F33961">
        <v>356</v>
      </c>
    </row>
    <row r="33962" spans="1:6" ht="12.75">
      <c r="A33962" s="2">
        <v>43875.375046296293</v>
      </c>
      <c r="B33962" t="str">
        <f>HYPERLINK("https://twitter.com/alccpops","@alccpops")</f>
        <v>@alccpops</v>
      </c>
      <c r="C33962" t="s">
        <v>9021</v>
      </c>
      <c r="D33962">
        <v>151</v>
      </c>
      <c r="E33962">
        <v>0</v>
      </c>
      <c r="F33962">
        <v>480</v>
      </c>
    </row>
    <row r="33963" spans="1:6" ht="12.75">
      <c r="A33963" s="2">
        <v>43875.375034722223</v>
      </c>
      <c r="B33963" t="str">
        <f>HYPERLINK("https://twitter.com/Mushendra5","@Mushendra5")</f>
        <v>@Mushendra5</v>
      </c>
      <c r="C33963" t="s">
        <v>2134</v>
      </c>
      <c r="D33963">
        <v>978</v>
      </c>
      <c r="E33963">
        <v>0</v>
      </c>
      <c r="F33963">
        <v>19</v>
      </c>
    </row>
    <row r="33964" spans="1:6" ht="12.75">
      <c r="A33964" s="2">
        <v>43875.375</v>
      </c>
      <c r="B33964" t="str">
        <f>HYPERLINK("https://twitter.com/tempodotco","@tempodotco")</f>
        <v>@tempodotco</v>
      </c>
      <c r="C33964" t="s">
        <v>14187</v>
      </c>
      <c r="D33964">
        <v>0</v>
      </c>
      <c r="E33964">
        <v>1</v>
      </c>
      <c r="F33964">
        <v>1702116</v>
      </c>
    </row>
    <row r="33965" spans="1:6" ht="12.75">
      <c r="A33965" s="2">
        <v>43875.374965277777</v>
      </c>
      <c r="B33965" t="str">
        <f>HYPERLINK("https://twitter.com/mudha_satriya","@mudha_satriya")</f>
        <v>@mudha_satriya</v>
      </c>
      <c r="C33965" t="s">
        <v>10121</v>
      </c>
      <c r="D33965">
        <v>151</v>
      </c>
      <c r="E33965">
        <v>0</v>
      </c>
      <c r="F33965">
        <v>1878</v>
      </c>
    </row>
    <row r="33966" spans="1:6" ht="12.75">
      <c r="A33966" s="2">
        <v>43875.374849537038</v>
      </c>
      <c r="B33966" t="str">
        <f>HYPERLINK("https://twitter.com/tribunpontianak","@tribunpontianak")</f>
        <v>@tribunpontianak</v>
      </c>
      <c r="C33966" t="s">
        <v>14188</v>
      </c>
      <c r="D33966">
        <v>0</v>
      </c>
      <c r="E33966">
        <v>0</v>
      </c>
      <c r="F33966">
        <v>83946</v>
      </c>
    </row>
    <row r="33967" spans="1:6" ht="12.75">
      <c r="A33967" s="2">
        <v>43875.374826388885</v>
      </c>
      <c r="B33967" t="str">
        <f>HYPERLINK("https://twitter.com/YostevaF","@YostevaF")</f>
        <v>@YostevaF</v>
      </c>
      <c r="C33967" t="s">
        <v>8252</v>
      </c>
      <c r="D33967">
        <v>481</v>
      </c>
      <c r="E33967">
        <v>0</v>
      </c>
      <c r="F33967">
        <v>3</v>
      </c>
    </row>
    <row r="33968" spans="1:6" ht="12.75">
      <c r="A33968" s="2">
        <v>43875.374791666662</v>
      </c>
      <c r="B33968" t="str">
        <f>HYPERLINK("https://twitter.com/lawanprovokator","@lawanprovokator")</f>
        <v>@lawanprovokator</v>
      </c>
      <c r="C33968" t="s">
        <v>11322</v>
      </c>
      <c r="D33968">
        <v>67</v>
      </c>
      <c r="E33968">
        <v>0</v>
      </c>
      <c r="F33968">
        <v>219</v>
      </c>
    </row>
    <row r="33969" spans="1:6" ht="12.75">
      <c r="A33969" s="2">
        <v>43875.374722222223</v>
      </c>
      <c r="B33969" t="str">
        <f>HYPERLINK("https://twitter.com/amaliaaafm","@amaliaaafm")</f>
        <v>@amaliaaafm</v>
      </c>
      <c r="C33969" t="s">
        <v>2963</v>
      </c>
      <c r="D33969">
        <v>471</v>
      </c>
      <c r="E33969">
        <v>0</v>
      </c>
      <c r="F33969">
        <v>57</v>
      </c>
    </row>
    <row r="33970" spans="1:6" ht="12.75">
      <c r="A33970" s="2">
        <v>43875.374710648146</v>
      </c>
      <c r="B33970" t="str">
        <f>HYPERLINK("https://twitter.com/mudha_satriya","@mudha_satriya")</f>
        <v>@mudha_satriya</v>
      </c>
      <c r="C33970" t="s">
        <v>9113</v>
      </c>
      <c r="D33970">
        <v>251</v>
      </c>
      <c r="E33970">
        <v>0</v>
      </c>
      <c r="F33970">
        <v>1878</v>
      </c>
    </row>
    <row r="33971" spans="1:6" ht="12.75">
      <c r="A33971" s="2">
        <v>43875.374710648146</v>
      </c>
      <c r="B33971" t="str">
        <f>HYPERLINK("https://twitter.com/jazzy867","@jazzy867")</f>
        <v>@jazzy867</v>
      </c>
      <c r="C33971" t="s">
        <v>12250</v>
      </c>
      <c r="D33971">
        <v>1</v>
      </c>
      <c r="E33971">
        <v>0</v>
      </c>
      <c r="F33971">
        <v>95</v>
      </c>
    </row>
    <row r="33972" spans="1:6" ht="12.75">
      <c r="A33972" s="2">
        <v>43875.374699074076</v>
      </c>
      <c r="B33972" t="str">
        <f>HYPERLINK("https://twitter.com/fdsferry_","@fdsferry_")</f>
        <v>@fdsferry_</v>
      </c>
      <c r="C33972" t="s">
        <v>9021</v>
      </c>
      <c r="D33972">
        <v>151</v>
      </c>
      <c r="E33972">
        <v>0</v>
      </c>
      <c r="F33972">
        <v>335</v>
      </c>
    </row>
    <row r="33973" spans="1:6" ht="12.75">
      <c r="A33973" s="2">
        <v>43875.374699074076</v>
      </c>
      <c r="B33973" t="str">
        <f>HYPERLINK("https://twitter.com/dengan_e","@dengan_e")</f>
        <v>@dengan_e</v>
      </c>
      <c r="C33973" t="s">
        <v>5168</v>
      </c>
      <c r="D33973">
        <v>411</v>
      </c>
      <c r="E33973">
        <v>0</v>
      </c>
      <c r="F33973">
        <v>98</v>
      </c>
    </row>
    <row r="33974" spans="1:6" ht="12.75">
      <c r="A33974" s="2">
        <v>43875.374699074076</v>
      </c>
      <c r="B33974" t="str">
        <f>HYPERLINK("https://twitter.com/bucintahuaci","@bucintahuaci")</f>
        <v>@bucintahuaci</v>
      </c>
      <c r="C33974" t="s">
        <v>12560</v>
      </c>
      <c r="D33974">
        <v>13</v>
      </c>
      <c r="E33974">
        <v>0</v>
      </c>
      <c r="F33974">
        <v>445</v>
      </c>
    </row>
    <row r="33975" spans="1:6" ht="12.75">
      <c r="A33975" s="2">
        <v>43875.374664351853</v>
      </c>
      <c r="B33975" t="str">
        <f>HYPERLINK("https://twitter.com/ratu_adil","@ratu_adil")</f>
        <v>@ratu_adil</v>
      </c>
      <c r="C33975" t="s">
        <v>13879</v>
      </c>
      <c r="D33975">
        <v>2</v>
      </c>
      <c r="E33975">
        <v>0</v>
      </c>
      <c r="F33975">
        <v>52877</v>
      </c>
    </row>
    <row r="33976" spans="1:6" ht="12.75">
      <c r="A33976" s="2">
        <v>43875.3746412037</v>
      </c>
      <c r="B33976" t="str">
        <f>HYPERLINK("https://twitter.com/indra_gugunbae","@indra_gugunbae")</f>
        <v>@indra_gugunbae</v>
      </c>
      <c r="C33976" t="s">
        <v>9648</v>
      </c>
      <c r="D33976">
        <v>4</v>
      </c>
      <c r="E33976">
        <v>0</v>
      </c>
      <c r="F33976">
        <v>403</v>
      </c>
    </row>
    <row r="33977" spans="1:6" ht="12.75">
      <c r="A33977" s="2">
        <v>43875.374606481477</v>
      </c>
      <c r="B33977" t="str">
        <f>HYPERLINK("https://twitter.com/nyamnyamm95","@nyamnyamm95")</f>
        <v>@nyamnyamm95</v>
      </c>
      <c r="C33977" t="s">
        <v>9964</v>
      </c>
      <c r="D33977">
        <v>473</v>
      </c>
      <c r="E33977">
        <v>0</v>
      </c>
      <c r="F33977">
        <v>426</v>
      </c>
    </row>
    <row r="33978" spans="1:6" ht="12.75">
      <c r="A33978" s="2">
        <v>43875.374560185184</v>
      </c>
      <c r="B33978" t="str">
        <f>HYPERLINK("https://twitter.com/lawanprovokator","@lawanprovokator")</f>
        <v>@lawanprovokator</v>
      </c>
      <c r="C33978" t="s">
        <v>10526</v>
      </c>
      <c r="D33978">
        <v>115</v>
      </c>
      <c r="E33978">
        <v>0</v>
      </c>
      <c r="F33978">
        <v>219</v>
      </c>
    </row>
    <row r="33979" spans="1:6" ht="12.75">
      <c r="A33979" s="2">
        <v>43875.374525462961</v>
      </c>
      <c r="B33979" t="str">
        <f>HYPERLINK("https://twitter.com/MariawanDede","@MariawanDede")</f>
        <v>@MariawanDede</v>
      </c>
      <c r="C33979" t="s">
        <v>10121</v>
      </c>
      <c r="D33979">
        <v>151</v>
      </c>
      <c r="E33979">
        <v>0</v>
      </c>
      <c r="F33979">
        <v>1855</v>
      </c>
    </row>
    <row r="33980" spans="1:6" ht="12.75">
      <c r="A33980" s="2">
        <v>43875.374490740738</v>
      </c>
      <c r="B33980" t="str">
        <f>HYPERLINK("https://twitter.com/alexiovs","@alexiovs")</f>
        <v>@alexiovs</v>
      </c>
      <c r="C33980" t="s">
        <v>9648</v>
      </c>
      <c r="D33980">
        <v>4</v>
      </c>
      <c r="E33980">
        <v>0</v>
      </c>
      <c r="F33980">
        <v>529</v>
      </c>
    </row>
    <row r="33981" spans="1:6" ht="12.75">
      <c r="A33981" s="2">
        <v>43875.374444444446</v>
      </c>
      <c r="B33981" t="str">
        <f>HYPERLINK("https://twitter.com/samienz","@samienz")</f>
        <v>@samienz</v>
      </c>
      <c r="C33981" t="s">
        <v>9538</v>
      </c>
      <c r="D33981">
        <v>96</v>
      </c>
      <c r="E33981">
        <v>0</v>
      </c>
      <c r="F33981">
        <v>972</v>
      </c>
    </row>
    <row r="33982" spans="1:6" ht="12.75">
      <c r="A33982" s="2">
        <v>43875.374421296292</v>
      </c>
      <c r="B33982" t="str">
        <f>HYPERLINK("https://twitter.com/Trico_Saputro","@Trico_Saputro")</f>
        <v>@Trico_Saputro</v>
      </c>
      <c r="C33982" t="s">
        <v>12560</v>
      </c>
      <c r="D33982">
        <v>13</v>
      </c>
      <c r="E33982">
        <v>0</v>
      </c>
      <c r="F33982">
        <v>476</v>
      </c>
    </row>
    <row r="33983" spans="1:6" ht="12.75">
      <c r="A33983" s="2">
        <v>43875.374421296292</v>
      </c>
      <c r="B33983" t="str">
        <f>HYPERLINK("https://twitter.com/Rien_Harbani","@Rien_Harbani")</f>
        <v>@Rien_Harbani</v>
      </c>
      <c r="C33983" t="s">
        <v>14189</v>
      </c>
      <c r="D33983">
        <v>0</v>
      </c>
      <c r="E33983">
        <v>0</v>
      </c>
      <c r="F33983">
        <v>333</v>
      </c>
    </row>
    <row r="33984" spans="1:6" ht="12.75">
      <c r="A33984" s="2">
        <v>43875.374386574069</v>
      </c>
      <c r="B33984" t="str">
        <f>HYPERLINK("https://twitter.com/mdualet","@mdualet")</f>
        <v>@mdualet</v>
      </c>
      <c r="C33984" t="s">
        <v>14190</v>
      </c>
      <c r="D33984">
        <v>0</v>
      </c>
      <c r="E33984">
        <v>0</v>
      </c>
      <c r="F33984">
        <v>155</v>
      </c>
    </row>
    <row r="33985" spans="1:6" ht="12.75">
      <c r="A33985" s="2">
        <v>43875.374374999999</v>
      </c>
      <c r="B33985" t="str">
        <f>HYPERLINK("https://twitter.com/ItemYopi","@ItemYopi")</f>
        <v>@ItemYopi</v>
      </c>
      <c r="C33985" t="s">
        <v>10526</v>
      </c>
      <c r="D33985">
        <v>115</v>
      </c>
      <c r="E33985">
        <v>0</v>
      </c>
      <c r="F33985">
        <v>1103</v>
      </c>
    </row>
    <row r="33986" spans="1:6" ht="12.75">
      <c r="A33986" s="2">
        <v>43875.374351851853</v>
      </c>
      <c r="B33986" t="str">
        <f>HYPERLINK("https://twitter.com/PrabhuRakka","@PrabhuRakka")</f>
        <v>@PrabhuRakka</v>
      </c>
      <c r="C33986" t="s">
        <v>14191</v>
      </c>
      <c r="D33986">
        <v>0</v>
      </c>
      <c r="E33986">
        <v>0</v>
      </c>
      <c r="F33986">
        <v>104</v>
      </c>
    </row>
    <row r="33987" spans="1:6" ht="12.75">
      <c r="A33987" s="2">
        <v>43875.374340277776</v>
      </c>
      <c r="B33987" t="str">
        <f>HYPERLINK("https://twitter.com/FDerKanzler","@FDerKanzler")</f>
        <v>@FDerKanzler</v>
      </c>
      <c r="C33987" t="s">
        <v>11425</v>
      </c>
      <c r="D33987">
        <v>192</v>
      </c>
      <c r="E33987">
        <v>0</v>
      </c>
      <c r="F33987">
        <v>2009</v>
      </c>
    </row>
    <row r="33988" spans="1:6" ht="12.75">
      <c r="A33988" s="2">
        <v>43875.374340277776</v>
      </c>
      <c r="B33988" t="str">
        <f>HYPERLINK("https://twitter.com/dwiputrandi","@dwiputrandi")</f>
        <v>@dwiputrandi</v>
      </c>
      <c r="C33988" t="s">
        <v>12560</v>
      </c>
      <c r="D33988">
        <v>13</v>
      </c>
      <c r="E33988">
        <v>0</v>
      </c>
      <c r="F33988">
        <v>224</v>
      </c>
    </row>
    <row r="33989" spans="1:6" ht="12.75">
      <c r="A33989" s="2">
        <v>43875.374293981484</v>
      </c>
      <c r="B33989" t="str">
        <f>HYPERLINK("https://twitter.com/sjimmyps","@sjimmyps")</f>
        <v>@sjimmyps</v>
      </c>
      <c r="C33989" t="s">
        <v>2963</v>
      </c>
      <c r="D33989">
        <v>471</v>
      </c>
      <c r="E33989">
        <v>0</v>
      </c>
      <c r="F33989">
        <v>28</v>
      </c>
    </row>
    <row r="33990" spans="1:6" ht="12.75">
      <c r="A33990" s="2">
        <v>43875.374236111107</v>
      </c>
      <c r="B33990" t="str">
        <f>HYPERLINK("https://twitter.com/boim_blackpearl","@boim_blackpearl")</f>
        <v>@boim_blackpearl</v>
      </c>
      <c r="C33990" t="s">
        <v>9648</v>
      </c>
      <c r="D33990">
        <v>4</v>
      </c>
      <c r="E33990">
        <v>0</v>
      </c>
      <c r="F33990">
        <v>589</v>
      </c>
    </row>
    <row r="33991" spans="1:6" ht="12.75">
      <c r="A33991" s="2">
        <v>43875.374178240745</v>
      </c>
      <c r="B33991" t="str">
        <f>HYPERLINK("https://twitter.com/peni_me","@peni_me")</f>
        <v>@peni_me</v>
      </c>
      <c r="C33991" t="s">
        <v>14192</v>
      </c>
      <c r="D33991">
        <v>0</v>
      </c>
      <c r="E33991">
        <v>0</v>
      </c>
      <c r="F33991">
        <v>14255</v>
      </c>
    </row>
    <row r="33992" spans="1:6" ht="12.75">
      <c r="A33992" s="2">
        <v>43875.374143518522</v>
      </c>
      <c r="B33992" t="str">
        <f>HYPERLINK("https://twitter.com/Bakibuun","@Bakibuun")</f>
        <v>@Bakibuun</v>
      </c>
      <c r="C33992" t="s">
        <v>11425</v>
      </c>
      <c r="D33992">
        <v>192</v>
      </c>
      <c r="E33992">
        <v>0</v>
      </c>
      <c r="F33992">
        <v>389</v>
      </c>
    </row>
    <row r="33993" spans="1:6" ht="12.75">
      <c r="A33993" s="2">
        <v>43875.374131944445</v>
      </c>
      <c r="B33993" t="str">
        <f>HYPERLINK("https://twitter.com/maulidioangger","@maulidioangger")</f>
        <v>@maulidioangger</v>
      </c>
      <c r="C33993" t="s">
        <v>2963</v>
      </c>
      <c r="D33993">
        <v>471</v>
      </c>
      <c r="E33993">
        <v>0</v>
      </c>
      <c r="F33993">
        <v>372</v>
      </c>
    </row>
    <row r="33994" spans="1:6" ht="12.75">
      <c r="A33994" s="2">
        <v>43875.374120370368</v>
      </c>
      <c r="B33994" t="str">
        <f>HYPERLINK("https://twitter.com/sinyovandlahom","@sinyovandlahom")</f>
        <v>@sinyovandlahom</v>
      </c>
      <c r="C33994" t="s">
        <v>10422</v>
      </c>
      <c r="D33994">
        <v>40</v>
      </c>
      <c r="E33994">
        <v>0</v>
      </c>
      <c r="F33994">
        <v>1282</v>
      </c>
    </row>
    <row r="33995" spans="1:6" ht="12.75">
      <c r="A33995" s="2">
        <v>43875.374062499999</v>
      </c>
      <c r="B33995" t="str">
        <f>HYPERLINK("https://twitter.com/Nuril_ZJ","@Nuril_ZJ")</f>
        <v>@Nuril_ZJ</v>
      </c>
      <c r="C33995" t="s">
        <v>2963</v>
      </c>
      <c r="D33995">
        <v>471</v>
      </c>
      <c r="E33995">
        <v>0</v>
      </c>
      <c r="F33995">
        <v>534</v>
      </c>
    </row>
    <row r="33996" spans="1:6" ht="12.75">
      <c r="A33996" s="2">
        <v>43875.373981481476</v>
      </c>
      <c r="B33996" t="str">
        <f>HYPERLINK("https://twitter.com/garasigrace","@garasigrace")</f>
        <v>@garasigrace</v>
      </c>
      <c r="C33996" t="s">
        <v>2963</v>
      </c>
      <c r="D33996">
        <v>471</v>
      </c>
      <c r="E33996">
        <v>0</v>
      </c>
      <c r="F33996">
        <v>3</v>
      </c>
    </row>
    <row r="33997" spans="1:6" ht="12.75">
      <c r="A33997" s="2">
        <v>43875.37394675926</v>
      </c>
      <c r="B33997" t="str">
        <f>HYPERLINK("https://twitter.com/MoeslimWay","@MoeslimWay")</f>
        <v>@MoeslimWay</v>
      </c>
      <c r="C33997" t="s">
        <v>9538</v>
      </c>
      <c r="D33997">
        <v>96</v>
      </c>
      <c r="E33997">
        <v>0</v>
      </c>
      <c r="F33997">
        <v>142061</v>
      </c>
    </row>
    <row r="33998" spans="1:6" ht="12.75">
      <c r="A33998" s="2">
        <v>43875.373935185184</v>
      </c>
      <c r="B33998" t="str">
        <f>HYPERLINK("https://twitter.com/mudha_satriya","@mudha_satriya")</f>
        <v>@mudha_satriya</v>
      </c>
      <c r="C33998" t="s">
        <v>2086</v>
      </c>
      <c r="D33998">
        <v>11</v>
      </c>
      <c r="E33998">
        <v>0</v>
      </c>
      <c r="F33998">
        <v>1878</v>
      </c>
    </row>
    <row r="33999" spans="1:6" ht="12.75">
      <c r="A33999" s="2">
        <v>43875.373888888891</v>
      </c>
      <c r="B33999" t="str">
        <f>HYPERLINK("https://twitter.com/henzneh_","@henzneh_")</f>
        <v>@henzneh_</v>
      </c>
      <c r="C33999" t="s">
        <v>14193</v>
      </c>
      <c r="D33999">
        <v>0</v>
      </c>
      <c r="E33999">
        <v>0</v>
      </c>
      <c r="F33999">
        <v>5</v>
      </c>
    </row>
    <row r="34000" spans="1:6" ht="12.75">
      <c r="A34000" s="2">
        <v>43875.373877314814</v>
      </c>
      <c r="B34000" t="str">
        <f>HYPERLINK("https://twitter.com/FadllunMAF","@FadllunMAF")</f>
        <v>@FadllunMAF</v>
      </c>
      <c r="C34000" t="s">
        <v>12560</v>
      </c>
      <c r="D34000">
        <v>13</v>
      </c>
      <c r="E34000">
        <v>0</v>
      </c>
      <c r="F34000">
        <v>19</v>
      </c>
    </row>
    <row r="34001" spans="1:6" ht="12.75">
      <c r="A34001" s="2">
        <v>43875.373865740738</v>
      </c>
      <c r="B34001" t="str">
        <f>HYPERLINK("https://twitter.com/anna_bawati","@anna_bawati")</f>
        <v>@anna_bawati</v>
      </c>
      <c r="C34001" t="s">
        <v>14194</v>
      </c>
      <c r="D34001">
        <v>0</v>
      </c>
      <c r="E34001">
        <v>0</v>
      </c>
      <c r="F34001">
        <v>253</v>
      </c>
    </row>
    <row r="34002" spans="1:6" ht="12.75">
      <c r="A34002" s="2">
        <v>43875.373854166668</v>
      </c>
      <c r="B34002" t="str">
        <f>HYPERLINK("https://twitter.com/elHurryKoRn","@elHurryKoRn")</f>
        <v>@elHurryKoRn</v>
      </c>
      <c r="C34002" t="s">
        <v>14195</v>
      </c>
      <c r="D34002">
        <v>1</v>
      </c>
      <c r="E34002">
        <v>0</v>
      </c>
      <c r="F34002">
        <v>19184</v>
      </c>
    </row>
    <row r="34003" spans="1:6" ht="12.75">
      <c r="A34003" s="2">
        <v>43875.373842592591</v>
      </c>
      <c r="B34003" t="str">
        <f>HYPERLINK("https://twitter.com/baveto","@baveto")</f>
        <v>@baveto</v>
      </c>
      <c r="C34003" t="s">
        <v>14196</v>
      </c>
      <c r="D34003">
        <v>0</v>
      </c>
      <c r="E34003">
        <v>0</v>
      </c>
      <c r="F34003">
        <v>662</v>
      </c>
    </row>
    <row r="34004" spans="1:6" ht="12.75">
      <c r="A34004" s="2">
        <v>43875.373784722222</v>
      </c>
      <c r="B34004" t="str">
        <f>HYPERLINK("https://twitter.com/Farid_sky","@Farid_sky")</f>
        <v>@Farid_sky</v>
      </c>
      <c r="C34004" t="s">
        <v>12560</v>
      </c>
      <c r="D34004">
        <v>13</v>
      </c>
      <c r="E34004">
        <v>0</v>
      </c>
      <c r="F34004">
        <v>254</v>
      </c>
    </row>
    <row r="34005" spans="1:6" ht="12.75">
      <c r="A34005" s="2">
        <v>43875.373668981483</v>
      </c>
      <c r="B34005" t="str">
        <f>HYPERLINK("https://twitter.com/MAliSubhan2","@MAliSubhan2")</f>
        <v>@MAliSubhan2</v>
      </c>
      <c r="C34005" t="s">
        <v>10793</v>
      </c>
      <c r="D34005">
        <v>15</v>
      </c>
      <c r="E34005">
        <v>0</v>
      </c>
      <c r="F34005">
        <v>1113</v>
      </c>
    </row>
    <row r="34006" spans="1:6" ht="12.75">
      <c r="A34006" s="2">
        <v>43875.373506944445</v>
      </c>
      <c r="B34006" t="str">
        <f>HYPERLINK("https://twitter.com/EvlyMasi","@EvlyMasi")</f>
        <v>@EvlyMasi</v>
      </c>
      <c r="C34006" t="s">
        <v>14197</v>
      </c>
      <c r="D34006">
        <v>0</v>
      </c>
      <c r="E34006">
        <v>0</v>
      </c>
      <c r="F34006">
        <v>2</v>
      </c>
    </row>
    <row r="34007" spans="1:6" ht="12.75">
      <c r="A34007" s="2">
        <v>43875.373449074075</v>
      </c>
      <c r="B34007" t="str">
        <f>HYPERLINK("https://twitter.com/mangkunegaranX","@mangkunegaranX")</f>
        <v>@mangkunegaranX</v>
      </c>
      <c r="C34007" t="s">
        <v>2963</v>
      </c>
      <c r="D34007">
        <v>471</v>
      </c>
      <c r="E34007">
        <v>0</v>
      </c>
      <c r="F34007">
        <v>148</v>
      </c>
    </row>
    <row r="34008" spans="1:6" ht="12.75">
      <c r="A34008" s="2">
        <v>43875.373449074075</v>
      </c>
      <c r="B34008" t="str">
        <f>HYPERLINK("https://twitter.com/ariel_heryanto","@ariel_heryanto")</f>
        <v>@ariel_heryanto</v>
      </c>
      <c r="C34008" t="s">
        <v>14198</v>
      </c>
      <c r="D34008">
        <v>4</v>
      </c>
      <c r="E34008">
        <v>7</v>
      </c>
      <c r="F34008">
        <v>55896</v>
      </c>
    </row>
    <row r="34009" spans="1:6" ht="12.75">
      <c r="A34009" s="2">
        <v>43875.373240740737</v>
      </c>
      <c r="B34009" t="str">
        <f>HYPERLINK("https://twitter.com/agoes1229","@agoes1229")</f>
        <v>@agoes1229</v>
      </c>
      <c r="C34009" t="s">
        <v>14199</v>
      </c>
      <c r="D34009">
        <v>0</v>
      </c>
      <c r="E34009">
        <v>0</v>
      </c>
      <c r="F34009">
        <v>35</v>
      </c>
    </row>
    <row r="34010" spans="1:6" ht="12.75">
      <c r="A34010" s="2">
        <v>43875.373229166667</v>
      </c>
      <c r="B34010" t="str">
        <f>HYPERLINK("https://twitter.com/Rezqi_CL","@Rezqi_CL")</f>
        <v>@Rezqi_CL</v>
      </c>
      <c r="C34010" t="s">
        <v>12560</v>
      </c>
      <c r="D34010">
        <v>13</v>
      </c>
      <c r="E34010">
        <v>0</v>
      </c>
      <c r="F34010">
        <v>164</v>
      </c>
    </row>
    <row r="34011" spans="1:6" ht="12.75">
      <c r="A34011" s="2">
        <v>43875.373182870375</v>
      </c>
      <c r="B34011" t="str">
        <f>HYPERLINK("https://twitter.com/AdityaD07596861","@AdityaD07596861")</f>
        <v>@AdityaD07596861</v>
      </c>
      <c r="C34011" t="s">
        <v>14200</v>
      </c>
      <c r="D34011">
        <v>0</v>
      </c>
      <c r="E34011">
        <v>0</v>
      </c>
      <c r="F34011">
        <v>6</v>
      </c>
    </row>
    <row r="34012" spans="1:6" ht="12.75">
      <c r="A34012" s="2">
        <v>43875.373101851852</v>
      </c>
      <c r="B34012" t="str">
        <f>HYPERLINK("https://twitter.com/vidalavidah","@vidalavidah")</f>
        <v>@vidalavidah</v>
      </c>
      <c r="C34012" t="s">
        <v>14201</v>
      </c>
      <c r="D34012">
        <v>0</v>
      </c>
      <c r="E34012">
        <v>0</v>
      </c>
      <c r="F34012">
        <v>167</v>
      </c>
    </row>
    <row r="34013" spans="1:6" ht="12.75">
      <c r="A34013" s="2">
        <v>43875.372824074075</v>
      </c>
      <c r="B34013" t="str">
        <f>HYPERLINK("https://twitter.com/ryanabrhms","@ryanabrhms")</f>
        <v>@ryanabrhms</v>
      </c>
      <c r="C34013" t="s">
        <v>12560</v>
      </c>
      <c r="D34013">
        <v>13</v>
      </c>
      <c r="E34013">
        <v>0</v>
      </c>
      <c r="F34013">
        <v>282</v>
      </c>
    </row>
    <row r="34014" spans="1:6" ht="12.75">
      <c r="A34014" s="2">
        <v>43875.372824074075</v>
      </c>
      <c r="B34014" t="str">
        <f>HYPERLINK("https://twitter.com/lawanprovokator","@lawanprovokator")</f>
        <v>@lawanprovokator</v>
      </c>
      <c r="C34014" t="s">
        <v>3038</v>
      </c>
      <c r="D34014">
        <v>105</v>
      </c>
      <c r="E34014">
        <v>0</v>
      </c>
      <c r="F34014">
        <v>219</v>
      </c>
    </row>
    <row r="34015" spans="1:6" ht="12.75">
      <c r="A34015" s="2">
        <v>43875.372812500005</v>
      </c>
      <c r="B34015" t="str">
        <f>HYPERLINK("https://twitter.com/aryabasan","@aryabasan")</f>
        <v>@aryabasan</v>
      </c>
      <c r="C34015" t="s">
        <v>9538</v>
      </c>
      <c r="D34015">
        <v>96</v>
      </c>
      <c r="E34015">
        <v>0</v>
      </c>
      <c r="F34015">
        <v>536</v>
      </c>
    </row>
    <row r="34016" spans="1:6" ht="12.75">
      <c r="A34016" s="2">
        <v>43875.372777777782</v>
      </c>
      <c r="B34016" t="str">
        <f>HYPERLINK("https://twitter.com/prsetiadi","@prsetiadi")</f>
        <v>@prsetiadi</v>
      </c>
      <c r="C34016" t="s">
        <v>2963</v>
      </c>
      <c r="D34016">
        <v>471</v>
      </c>
      <c r="E34016">
        <v>0</v>
      </c>
      <c r="F34016">
        <v>1356</v>
      </c>
    </row>
    <row r="34017" spans="1:6" ht="12.75">
      <c r="A34017" s="2">
        <v>43875.372754629629</v>
      </c>
      <c r="B34017" t="str">
        <f>HYPERLINK("https://twitter.com/AnakKolong___","@AnakKolong___")</f>
        <v>@AnakKolong___</v>
      </c>
      <c r="C34017" t="s">
        <v>14202</v>
      </c>
      <c r="D34017">
        <v>1</v>
      </c>
      <c r="E34017">
        <v>0</v>
      </c>
      <c r="F34017">
        <v>5279</v>
      </c>
    </row>
    <row r="34018" spans="1:6" ht="12.75">
      <c r="A34018" s="2">
        <v>43875.372743055559</v>
      </c>
      <c r="B34018" t="str">
        <f>HYPERLINK("https://twitter.com/lawanprovokator","@lawanprovokator")</f>
        <v>@lawanprovokator</v>
      </c>
      <c r="C34018" t="s">
        <v>10422</v>
      </c>
      <c r="D34018">
        <v>40</v>
      </c>
      <c r="E34018">
        <v>0</v>
      </c>
      <c r="F34018">
        <v>219</v>
      </c>
    </row>
    <row r="34019" spans="1:6" ht="12.75">
      <c r="A34019" s="2">
        <v>43875.372743055559</v>
      </c>
      <c r="B34019" t="str">
        <f>HYPERLINK("https://twitter.com/abrahamsehat","@abrahamsehat")</f>
        <v>@abrahamsehat</v>
      </c>
      <c r="C34019" t="s">
        <v>12560</v>
      </c>
      <c r="D34019">
        <v>13</v>
      </c>
      <c r="E34019">
        <v>0</v>
      </c>
      <c r="F34019">
        <v>58</v>
      </c>
    </row>
    <row r="34020" spans="1:6" ht="12.75">
      <c r="A34020" s="2">
        <v>43875.372673611113</v>
      </c>
      <c r="B34020" t="str">
        <f>HYPERLINK("https://twitter.com/akbaryusa","@akbaryusa")</f>
        <v>@akbaryusa</v>
      </c>
      <c r="C34020" t="s">
        <v>12560</v>
      </c>
      <c r="D34020">
        <v>13</v>
      </c>
      <c r="E34020">
        <v>0</v>
      </c>
      <c r="F34020">
        <v>494</v>
      </c>
    </row>
    <row r="34021" spans="1:6" ht="12.75">
      <c r="A34021" s="2">
        <v>43875.372650462959</v>
      </c>
      <c r="B34021" t="str">
        <f>HYPERLINK("https://twitter.com/cakra_byuha","@cakra_byuha")</f>
        <v>@cakra_byuha</v>
      </c>
      <c r="C34021" t="s">
        <v>9538</v>
      </c>
      <c r="D34021">
        <v>96</v>
      </c>
      <c r="E34021">
        <v>0</v>
      </c>
      <c r="F34021">
        <v>354</v>
      </c>
    </row>
    <row r="34022" spans="1:6" ht="12.75">
      <c r="A34022" s="2">
        <v>43875.372476851851</v>
      </c>
      <c r="B34022" t="str">
        <f>HYPERLINK("https://twitter.com/Rizky0220421439","@Rizky0220421439")</f>
        <v>@Rizky0220421439</v>
      </c>
      <c r="C34022" t="s">
        <v>10422</v>
      </c>
      <c r="D34022">
        <v>40</v>
      </c>
      <c r="E34022">
        <v>0</v>
      </c>
      <c r="F34022">
        <v>1378</v>
      </c>
    </row>
    <row r="34023" spans="1:6" ht="12.75">
      <c r="A34023" s="2">
        <v>43875.372418981482</v>
      </c>
      <c r="B34023" t="str">
        <f>HYPERLINK("https://twitter.com/klelur028","@klelur028")</f>
        <v>@klelur028</v>
      </c>
      <c r="C34023" t="s">
        <v>14174</v>
      </c>
      <c r="D34023">
        <v>3</v>
      </c>
      <c r="E34023">
        <v>0</v>
      </c>
      <c r="F34023">
        <v>3484</v>
      </c>
    </row>
    <row r="34024" spans="1:6" ht="12.75">
      <c r="A34024" s="2">
        <v>43875.372372685189</v>
      </c>
      <c r="B34024" t="str">
        <f>HYPERLINK("https://twitter.com/hijabisheshulk","@hijabisheshulk")</f>
        <v>@hijabisheshulk</v>
      </c>
      <c r="C34024" t="s">
        <v>14203</v>
      </c>
      <c r="D34024">
        <v>0</v>
      </c>
      <c r="E34024">
        <v>0</v>
      </c>
      <c r="F34024">
        <v>121</v>
      </c>
    </row>
    <row r="34025" spans="1:6" ht="12.75">
      <c r="A34025" s="2">
        <v>43875.372337962966</v>
      </c>
      <c r="B34025" t="str">
        <f>HYPERLINK("https://twitter.com/LanaayahFayFio","@LanaayahFayFio")</f>
        <v>@LanaayahFayFio</v>
      </c>
      <c r="C34025" t="s">
        <v>14204</v>
      </c>
      <c r="D34025">
        <v>0</v>
      </c>
      <c r="E34025">
        <v>0</v>
      </c>
      <c r="F34025">
        <v>118</v>
      </c>
    </row>
    <row r="34026" spans="1:6" ht="12.75">
      <c r="A34026" s="2">
        <v>43875.372337962966</v>
      </c>
      <c r="B34026" t="str">
        <f>HYPERLINK("https://twitter.com/SyaBelLynJoeybd","@SyaBelLynJoeybd")</f>
        <v>@SyaBelLynJoeybd</v>
      </c>
      <c r="C34026" t="s">
        <v>10307</v>
      </c>
      <c r="D34026">
        <v>54</v>
      </c>
      <c r="E34026">
        <v>0</v>
      </c>
      <c r="F34026">
        <v>862</v>
      </c>
    </row>
    <row r="34027" spans="1:6" ht="12.75">
      <c r="A34027" s="2">
        <v>43875.37226851852</v>
      </c>
      <c r="B34027" t="str">
        <f>HYPERLINK("https://twitter.com/KelianBanjar_GK","@KelianBanjar_GK")</f>
        <v>@KelianBanjar_GK</v>
      </c>
      <c r="C34027" t="s">
        <v>13125</v>
      </c>
      <c r="D34027">
        <v>1</v>
      </c>
      <c r="E34027">
        <v>0</v>
      </c>
      <c r="F34027">
        <v>8427</v>
      </c>
    </row>
    <row r="34028" spans="1:6" ht="12.75">
      <c r="A34028" s="2">
        <v>43875.372210648144</v>
      </c>
      <c r="B34028" t="str">
        <f>HYPERLINK("https://twitter.com/IrwanRafiie","@IrwanRafiie")</f>
        <v>@IrwanRafiie</v>
      </c>
      <c r="C34028" t="s">
        <v>14205</v>
      </c>
      <c r="D34028">
        <v>0</v>
      </c>
      <c r="E34028">
        <v>0</v>
      </c>
      <c r="F34028">
        <v>10</v>
      </c>
    </row>
    <row r="34029" spans="1:6" ht="12.75">
      <c r="A34029" s="2">
        <v>43875.372175925921</v>
      </c>
      <c r="B34029" t="str">
        <f>HYPERLINK("https://twitter.com/nonierni","@nonierni")</f>
        <v>@nonierni</v>
      </c>
      <c r="C34029" t="s">
        <v>14206</v>
      </c>
      <c r="D34029">
        <v>0</v>
      </c>
      <c r="E34029">
        <v>0</v>
      </c>
      <c r="F34029">
        <v>12</v>
      </c>
    </row>
    <row r="34030" spans="1:6" ht="12.75">
      <c r="A34030" s="2">
        <v>43875.372164351851</v>
      </c>
      <c r="B34030" t="str">
        <f>HYPERLINK("https://twitter.com/krismaturker","@krismaturker")</f>
        <v>@krismaturker</v>
      </c>
      <c r="C34030" t="s">
        <v>5168</v>
      </c>
      <c r="D34030">
        <v>411</v>
      </c>
      <c r="E34030">
        <v>0</v>
      </c>
      <c r="F34030">
        <v>173</v>
      </c>
    </row>
    <row r="34031" spans="1:6" ht="12.75">
      <c r="A34031" s="2">
        <v>43875.372164351851</v>
      </c>
      <c r="B34031" t="str">
        <f>HYPERLINK("https://twitter.com/BatamPos","@BatamPos")</f>
        <v>@BatamPos</v>
      </c>
      <c r="C34031" t="s">
        <v>14207</v>
      </c>
      <c r="D34031">
        <v>0</v>
      </c>
      <c r="E34031">
        <v>0</v>
      </c>
      <c r="F34031">
        <v>67354</v>
      </c>
    </row>
    <row r="34032" spans="1:6" ht="12.75">
      <c r="A34032" s="2">
        <v>43875.372141203705</v>
      </c>
      <c r="B34032" t="str">
        <f>HYPERLINK("https://twitter.com/bibin_bey","@bibin_bey")</f>
        <v>@bibin_bey</v>
      </c>
      <c r="C34032" t="s">
        <v>10096</v>
      </c>
      <c r="D34032">
        <v>67</v>
      </c>
      <c r="E34032">
        <v>0</v>
      </c>
      <c r="F34032">
        <v>1605</v>
      </c>
    </row>
    <row r="34033" spans="1:6" ht="12.75">
      <c r="A34033" s="2">
        <v>43875.372129629628</v>
      </c>
      <c r="B34033" t="str">
        <f>HYPERLINK("https://twitter.com/lawanprovokator","@lawanprovokator")</f>
        <v>@lawanprovokator</v>
      </c>
      <c r="C34033" t="s">
        <v>11425</v>
      </c>
      <c r="D34033">
        <v>192</v>
      </c>
      <c r="E34033">
        <v>0</v>
      </c>
      <c r="F34033">
        <v>219</v>
      </c>
    </row>
    <row r="34034" spans="1:6" ht="12.75">
      <c r="A34034" s="2">
        <v>43875.372083333335</v>
      </c>
      <c r="B34034" t="str">
        <f>HYPERLINK("https://twitter.com/freddyths","@freddyths")</f>
        <v>@freddyths</v>
      </c>
      <c r="C34034" t="s">
        <v>14208</v>
      </c>
      <c r="D34034">
        <v>0</v>
      </c>
      <c r="E34034">
        <v>3</v>
      </c>
      <c r="F34034">
        <v>393</v>
      </c>
    </row>
    <row r="34035" spans="1:6" ht="12.75">
      <c r="A34035" s="2">
        <v>43875.372037037036</v>
      </c>
      <c r="B34035" t="str">
        <f>HYPERLINK("https://twitter.com/republikaonline","@republikaonline")</f>
        <v>@republikaonline</v>
      </c>
      <c r="C34035" t="s">
        <v>14209</v>
      </c>
      <c r="D34035">
        <v>0</v>
      </c>
      <c r="E34035">
        <v>0</v>
      </c>
      <c r="F34035">
        <v>1210225</v>
      </c>
    </row>
    <row r="34036" spans="1:6" ht="12.75">
      <c r="A34036" s="2">
        <v>43875.37200231482</v>
      </c>
      <c r="B34036" t="str">
        <f>HYPERLINK("https://twitter.com/wangdendo","@wangdendo")</f>
        <v>@wangdendo</v>
      </c>
      <c r="C34036" t="s">
        <v>14210</v>
      </c>
      <c r="D34036">
        <v>1</v>
      </c>
      <c r="E34036">
        <v>2</v>
      </c>
      <c r="F34036">
        <v>503</v>
      </c>
    </row>
    <row r="34037" spans="1:6" ht="12.75">
      <c r="A34037" s="2">
        <v>43875.37190972222</v>
      </c>
      <c r="B34037" t="str">
        <f>HYPERLINK("https://twitter.com/Restu_Pratiwi","@Restu_Pratiwi")</f>
        <v>@Restu_Pratiwi</v>
      </c>
      <c r="C34037" t="s">
        <v>10319</v>
      </c>
      <c r="D34037">
        <v>141</v>
      </c>
      <c r="E34037">
        <v>0</v>
      </c>
      <c r="F34037">
        <v>1368</v>
      </c>
    </row>
    <row r="34038" spans="1:6" ht="12.75">
      <c r="A34038" s="2">
        <v>43875.371874999997</v>
      </c>
      <c r="B34038" t="str">
        <f>HYPERLINK("https://twitter.com/sudjiwotedjo","@sudjiwotedjo")</f>
        <v>@sudjiwotedjo</v>
      </c>
      <c r="C34038" t="s">
        <v>14211</v>
      </c>
      <c r="D34038">
        <v>13</v>
      </c>
      <c r="E34038">
        <v>30</v>
      </c>
      <c r="F34038">
        <v>1762158</v>
      </c>
    </row>
    <row r="34039" spans="1:6" ht="12.75">
      <c r="A34039" s="2">
        <v>43875.371851851851</v>
      </c>
      <c r="B34039" t="str">
        <f>HYPERLINK("https://twitter.com/rosaliaakw","@rosaliaakw")</f>
        <v>@rosaliaakw</v>
      </c>
      <c r="C34039" t="s">
        <v>2137</v>
      </c>
      <c r="D34039">
        <v>22</v>
      </c>
      <c r="E34039">
        <v>0</v>
      </c>
      <c r="F34039">
        <v>452</v>
      </c>
    </row>
    <row r="34040" spans="1:6" ht="12.75">
      <c r="A34040" s="2">
        <v>43875.371828703705</v>
      </c>
      <c r="B34040" t="str">
        <f>HYPERLINK("https://twitter.com/TheNugster_168","@TheNugster_168")</f>
        <v>@TheNugster_168</v>
      </c>
      <c r="C34040" t="s">
        <v>14212</v>
      </c>
      <c r="D34040">
        <v>0</v>
      </c>
      <c r="E34040">
        <v>0</v>
      </c>
      <c r="F34040">
        <v>21</v>
      </c>
    </row>
    <row r="34041" spans="1:6" ht="12.75">
      <c r="A34041" s="2">
        <v>43875.371782407412</v>
      </c>
      <c r="B34041" t="str">
        <f>HYPERLINK("https://twitter.com/AbieTafa","@AbieTafa")</f>
        <v>@AbieTafa</v>
      </c>
      <c r="C34041" t="s">
        <v>10407</v>
      </c>
      <c r="D34041">
        <v>32</v>
      </c>
      <c r="E34041">
        <v>0</v>
      </c>
      <c r="F34041">
        <v>40</v>
      </c>
    </row>
    <row r="34042" spans="1:6" ht="12.75">
      <c r="A34042" s="2">
        <v>43875.371724537035</v>
      </c>
      <c r="B34042" t="str">
        <f>HYPERLINK("https://twitter.com/TedongNag4","@TedongNag4")</f>
        <v>@TedongNag4</v>
      </c>
      <c r="C34042" t="s">
        <v>14213</v>
      </c>
      <c r="D34042">
        <v>32</v>
      </c>
      <c r="E34042">
        <v>0</v>
      </c>
      <c r="F34042">
        <v>497</v>
      </c>
    </row>
    <row r="34043" spans="1:6" ht="12.75">
      <c r="A34043" s="2">
        <v>43875.371678240743</v>
      </c>
      <c r="B34043" t="str">
        <f>HYPERLINK("https://twitter.com/SamuelSuhardi1","@SamuelSuhardi1")</f>
        <v>@SamuelSuhardi1</v>
      </c>
      <c r="C34043" t="s">
        <v>14214</v>
      </c>
      <c r="D34043">
        <v>3</v>
      </c>
      <c r="E34043">
        <v>0</v>
      </c>
      <c r="F34043">
        <v>78</v>
      </c>
    </row>
    <row r="34044" spans="1:6" ht="12.75">
      <c r="A34044" s="2">
        <v>43875.371666666666</v>
      </c>
      <c r="B34044" t="str">
        <f>HYPERLINK("https://twitter.com/fariji_lacak","@fariji_lacak")</f>
        <v>@fariji_lacak</v>
      </c>
      <c r="C34044" t="s">
        <v>14215</v>
      </c>
      <c r="D34044">
        <v>0</v>
      </c>
      <c r="E34044">
        <v>1</v>
      </c>
      <c r="F34044">
        <v>3179</v>
      </c>
    </row>
    <row r="34045" spans="1:6" ht="12.75">
      <c r="A34045" s="2">
        <v>43875.371574074074</v>
      </c>
      <c r="B34045" t="str">
        <f>HYPERLINK("https://twitter.com/JanePattiasina","@JanePattiasina")</f>
        <v>@JanePattiasina</v>
      </c>
      <c r="C34045" t="s">
        <v>2086</v>
      </c>
      <c r="D34045">
        <v>11</v>
      </c>
      <c r="E34045">
        <v>0</v>
      </c>
      <c r="F34045">
        <v>135</v>
      </c>
    </row>
    <row r="34046" spans="1:6" ht="12.75">
      <c r="A34046" s="2">
        <v>43875.371504629627</v>
      </c>
      <c r="B34046" t="str">
        <f>HYPERLINK("https://twitter.com/AisSyariif","@AisSyariif")</f>
        <v>@AisSyariif</v>
      </c>
      <c r="C34046" t="s">
        <v>5168</v>
      </c>
      <c r="D34046">
        <v>411</v>
      </c>
      <c r="E34046">
        <v>0</v>
      </c>
      <c r="F34046">
        <v>873</v>
      </c>
    </row>
    <row r="34047" spans="1:6" ht="12.75">
      <c r="A34047" s="2">
        <v>43875.371435185181</v>
      </c>
      <c r="B34047" t="str">
        <f>HYPERLINK("https://twitter.com/ma_elmando","@ma_elmando")</f>
        <v>@ma_elmando</v>
      </c>
      <c r="C34047" t="s">
        <v>10096</v>
      </c>
      <c r="D34047">
        <v>67</v>
      </c>
      <c r="E34047">
        <v>0</v>
      </c>
      <c r="F34047">
        <v>498</v>
      </c>
    </row>
    <row r="34048" spans="1:6" ht="12.75">
      <c r="A34048" s="2">
        <v>43875.371435185181</v>
      </c>
      <c r="B34048" t="str">
        <f>HYPERLINK("https://twitter.com/abespawnie","@abespawnie")</f>
        <v>@abespawnie</v>
      </c>
      <c r="C34048" t="s">
        <v>10422</v>
      </c>
      <c r="D34048">
        <v>40</v>
      </c>
      <c r="E34048">
        <v>0</v>
      </c>
      <c r="F34048">
        <v>301</v>
      </c>
    </row>
    <row r="34049" spans="1:6" ht="12.75">
      <c r="A34049" s="2">
        <v>43875.371400462958</v>
      </c>
      <c r="B34049" t="str">
        <f>HYPERLINK("https://twitter.com/affanusman","@affanusman")</f>
        <v>@affanusman</v>
      </c>
      <c r="C34049" t="s">
        <v>13315</v>
      </c>
      <c r="D34049">
        <v>50</v>
      </c>
      <c r="E34049">
        <v>0</v>
      </c>
      <c r="F34049">
        <v>120</v>
      </c>
    </row>
    <row r="34050" spans="1:6" ht="12.75">
      <c r="A34050" s="2">
        <v>43875.371342592596</v>
      </c>
      <c r="B34050" t="str">
        <f>HYPERLINK("https://twitter.com/lawanprovokator","@lawanprovokator")</f>
        <v>@lawanprovokator</v>
      </c>
      <c r="C34050" t="s">
        <v>7390</v>
      </c>
      <c r="D34050">
        <v>81</v>
      </c>
      <c r="E34050">
        <v>0</v>
      </c>
      <c r="F34050">
        <v>219</v>
      </c>
    </row>
    <row r="34051" spans="1:6" ht="12.75">
      <c r="A34051" s="2">
        <v>43875.371331018519</v>
      </c>
      <c r="B34051" t="str">
        <f>HYPERLINK("https://twitter.com/nuroch05","@nuroch05")</f>
        <v>@nuroch05</v>
      </c>
      <c r="C34051" t="s">
        <v>14216</v>
      </c>
      <c r="D34051">
        <v>0</v>
      </c>
      <c r="E34051">
        <v>0</v>
      </c>
      <c r="F34051">
        <v>109</v>
      </c>
    </row>
    <row r="34052" spans="1:6" ht="12.75">
      <c r="A34052" s="2">
        <v>43875.371307870373</v>
      </c>
      <c r="B34052" t="str">
        <f>HYPERLINK("https://twitter.com/p4pi11on","@p4pi11on")</f>
        <v>@p4pi11on</v>
      </c>
      <c r="C34052" t="s">
        <v>10096</v>
      </c>
      <c r="D34052">
        <v>67</v>
      </c>
      <c r="E34052">
        <v>0</v>
      </c>
      <c r="F34052">
        <v>1114</v>
      </c>
    </row>
    <row r="34053" spans="1:6" ht="12.75">
      <c r="A34053" s="2">
        <v>43875.371296296296</v>
      </c>
      <c r="B34053" t="str">
        <f>HYPERLINK("https://twitter.com/indomieenakk","@indomieenakk")</f>
        <v>@indomieenakk</v>
      </c>
      <c r="C34053" t="s">
        <v>9021</v>
      </c>
      <c r="D34053">
        <v>151</v>
      </c>
      <c r="E34053">
        <v>0</v>
      </c>
      <c r="F34053">
        <v>154</v>
      </c>
    </row>
    <row r="34054" spans="1:6" ht="12.75">
      <c r="A34054" s="2">
        <v>43875.37122685185</v>
      </c>
      <c r="B34054" t="str">
        <f>HYPERLINK("https://twitter.com/AdityaD07596861","@AdityaD07596861")</f>
        <v>@AdityaD07596861</v>
      </c>
      <c r="C34054" t="s">
        <v>14217</v>
      </c>
      <c r="D34054">
        <v>0</v>
      </c>
      <c r="E34054">
        <v>0</v>
      </c>
      <c r="F34054">
        <v>6</v>
      </c>
    </row>
    <row r="34055" spans="1:6" ht="12.75">
      <c r="A34055" s="2">
        <v>43875.37118055555</v>
      </c>
      <c r="B34055" t="str">
        <f>HYPERLINK("https://twitter.com/lawanprovokator","@lawanprovokator")</f>
        <v>@lawanprovokator</v>
      </c>
      <c r="C34055" t="s">
        <v>10307</v>
      </c>
      <c r="D34055">
        <v>54</v>
      </c>
      <c r="E34055">
        <v>0</v>
      </c>
      <c r="F34055">
        <v>219</v>
      </c>
    </row>
    <row r="34056" spans="1:6" ht="12.75">
      <c r="A34056" s="2">
        <v>43875.371145833335</v>
      </c>
      <c r="B34056" t="str">
        <f>HYPERLINK("https://twitter.com/h3nd4r","@h3nd4r")</f>
        <v>@h3nd4r</v>
      </c>
      <c r="C34056" t="s">
        <v>14180</v>
      </c>
      <c r="D34056">
        <v>9</v>
      </c>
      <c r="E34056">
        <v>0</v>
      </c>
      <c r="F34056">
        <v>159</v>
      </c>
    </row>
    <row r="34057" spans="1:6" ht="12.75">
      <c r="A34057" s="2">
        <v>43875.370983796296</v>
      </c>
      <c r="B34057" t="str">
        <f>HYPERLINK("https://twitter.com/jehosuann","@jehosuann")</f>
        <v>@jehosuann</v>
      </c>
      <c r="C34057" t="s">
        <v>14218</v>
      </c>
      <c r="D34057">
        <v>0</v>
      </c>
      <c r="E34057">
        <v>0</v>
      </c>
      <c r="F34057">
        <v>79</v>
      </c>
    </row>
    <row r="34058" spans="1:6" ht="12.75">
      <c r="A34058" s="2">
        <v>43875.37096064815</v>
      </c>
      <c r="B34058" t="str">
        <f>HYPERLINK("https://twitter.com/AridanuC","@AridanuC")</f>
        <v>@AridanuC</v>
      </c>
      <c r="C34058" t="s">
        <v>14219</v>
      </c>
      <c r="D34058">
        <v>0</v>
      </c>
      <c r="E34058">
        <v>0</v>
      </c>
      <c r="F34058">
        <v>250</v>
      </c>
    </row>
    <row r="34059" spans="1:6" ht="12.75">
      <c r="A34059" s="2">
        <v>43875.370729166665</v>
      </c>
      <c r="B34059" t="str">
        <f>HYPERLINK("https://twitter.com/masmugialba","@masmugialba")</f>
        <v>@masmugialba</v>
      </c>
      <c r="C34059" t="s">
        <v>5624</v>
      </c>
      <c r="D34059">
        <v>112</v>
      </c>
      <c r="E34059">
        <v>0</v>
      </c>
      <c r="F34059">
        <v>889</v>
      </c>
    </row>
    <row r="34060" spans="1:6" ht="12.75">
      <c r="A34060" s="2">
        <v>43875.370474537034</v>
      </c>
      <c r="B34060" t="str">
        <f>HYPERLINK("https://twitter.com/HelMi16994455","@HelMi16994455")</f>
        <v>@HelMi16994455</v>
      </c>
      <c r="C34060" t="s">
        <v>14220</v>
      </c>
      <c r="D34060">
        <v>0</v>
      </c>
      <c r="E34060">
        <v>0</v>
      </c>
      <c r="F34060">
        <v>4</v>
      </c>
    </row>
    <row r="34061" spans="1:6" ht="12.75">
      <c r="A34061" s="2">
        <v>43875.370416666672</v>
      </c>
      <c r="B34061" t="str">
        <f>HYPERLINK("https://twitter.com/SyaputraKiki","@SyaputraKiki")</f>
        <v>@SyaputraKiki</v>
      </c>
      <c r="C34061" t="s">
        <v>10121</v>
      </c>
      <c r="D34061">
        <v>151</v>
      </c>
      <c r="E34061">
        <v>0</v>
      </c>
      <c r="F34061">
        <v>320</v>
      </c>
    </row>
    <row r="34062" spans="1:6" ht="12.75">
      <c r="A34062" s="2">
        <v>43875.370416666672</v>
      </c>
      <c r="B34062" t="str">
        <f>HYPERLINK("https://twitter.com/Gunadi84380182","@Gunadi84380182")</f>
        <v>@Gunadi84380182</v>
      </c>
      <c r="C34062" t="s">
        <v>14221</v>
      </c>
      <c r="D34062">
        <v>2</v>
      </c>
      <c r="E34062">
        <v>0</v>
      </c>
      <c r="F34062">
        <v>71</v>
      </c>
    </row>
    <row r="34063" spans="1:6" ht="12.75">
      <c r="A34063" s="2">
        <v>43875.370405092588</v>
      </c>
      <c r="B34063" t="str">
        <f>HYPERLINK("https://twitter.com/FaGtng","@FaGtng")</f>
        <v>@FaGtng</v>
      </c>
      <c r="C34063" t="s">
        <v>13369</v>
      </c>
      <c r="D34063">
        <v>3</v>
      </c>
      <c r="E34063">
        <v>0</v>
      </c>
      <c r="F34063">
        <v>15961</v>
      </c>
    </row>
    <row r="34064" spans="1:6" ht="12.75">
      <c r="A34064" s="2">
        <v>43875.370381944449</v>
      </c>
      <c r="B34064" t="str">
        <f>HYPERLINK("https://twitter.com/albertocung","@albertocung")</f>
        <v>@albertocung</v>
      </c>
      <c r="C34064" t="s">
        <v>12849</v>
      </c>
      <c r="D34064">
        <v>62</v>
      </c>
      <c r="E34064">
        <v>0</v>
      </c>
      <c r="F34064">
        <v>6428</v>
      </c>
    </row>
    <row r="34065" spans="1:6" ht="12.75">
      <c r="A34065" s="2">
        <v>43875.370312500003</v>
      </c>
      <c r="B34065" t="str">
        <f>HYPERLINK("https://twitter.com/maryaamar","@maryaamar")</f>
        <v>@maryaamar</v>
      </c>
      <c r="C34065" t="s">
        <v>5168</v>
      </c>
      <c r="D34065">
        <v>411</v>
      </c>
      <c r="E34065">
        <v>0</v>
      </c>
      <c r="F34065">
        <v>402</v>
      </c>
    </row>
    <row r="34066" spans="1:6" ht="12.75">
      <c r="A34066" s="2">
        <v>43875.370266203703</v>
      </c>
      <c r="B34066" t="str">
        <f>HYPERLINK("https://twitter.com/Ivone_RSZ","@Ivone_RSZ")</f>
        <v>@Ivone_RSZ</v>
      </c>
      <c r="C34066" t="s">
        <v>7408</v>
      </c>
      <c r="D34066">
        <v>32</v>
      </c>
      <c r="E34066">
        <v>0</v>
      </c>
      <c r="F34066">
        <v>16732</v>
      </c>
    </row>
    <row r="34067" spans="1:6" ht="12.75">
      <c r="A34067" s="2">
        <v>43875.370104166665</v>
      </c>
      <c r="B34067" t="str">
        <f>HYPERLINK("https://twitter.com/tribunnews","@tribunnews")</f>
        <v>@tribunnews</v>
      </c>
      <c r="C34067" t="s">
        <v>14222</v>
      </c>
      <c r="D34067">
        <v>0</v>
      </c>
      <c r="E34067">
        <v>1</v>
      </c>
      <c r="F34067">
        <v>873145</v>
      </c>
    </row>
    <row r="34068" spans="1:6" ht="12.75">
      <c r="A34068" s="2">
        <v>43875.370057870372</v>
      </c>
      <c r="B34068" t="str">
        <f>HYPERLINK("https://twitter.com/Dani86113065","@Dani86113065")</f>
        <v>@Dani86113065</v>
      </c>
      <c r="C34068" t="s">
        <v>10588</v>
      </c>
      <c r="D34068">
        <v>105</v>
      </c>
      <c r="E34068">
        <v>0</v>
      </c>
      <c r="F34068">
        <v>438</v>
      </c>
    </row>
    <row r="34069" spans="1:6" ht="12.75">
      <c r="A34069" s="2">
        <v>43875.370011574079</v>
      </c>
      <c r="B34069" t="str">
        <f>HYPERLINK("https://twitter.com/abespawnie","@abespawnie")</f>
        <v>@abespawnie</v>
      </c>
      <c r="C34069" t="s">
        <v>8394</v>
      </c>
      <c r="D34069">
        <v>27</v>
      </c>
      <c r="E34069">
        <v>0</v>
      </c>
      <c r="F34069">
        <v>301</v>
      </c>
    </row>
    <row r="34070" spans="1:6" ht="12.75">
      <c r="A34070" s="2">
        <v>43875.369988425926</v>
      </c>
      <c r="B34070" t="str">
        <f>HYPERLINK("https://twitter.com/lawanprovokator","@lawanprovokator")</f>
        <v>@lawanprovokator</v>
      </c>
      <c r="C34070" t="s">
        <v>2122</v>
      </c>
      <c r="D34070">
        <v>180</v>
      </c>
      <c r="E34070">
        <v>0</v>
      </c>
      <c r="F34070">
        <v>219</v>
      </c>
    </row>
    <row r="34071" spans="1:6" ht="12.75">
      <c r="A34071" s="2">
        <v>43875.36996527778</v>
      </c>
      <c r="B34071" t="str">
        <f>HYPERLINK("https://twitter.com/EddyRachmat10","@EddyRachmat10")</f>
        <v>@EddyRachmat10</v>
      </c>
      <c r="C34071" t="s">
        <v>14223</v>
      </c>
      <c r="D34071">
        <v>0</v>
      </c>
      <c r="E34071">
        <v>0</v>
      </c>
      <c r="F34071">
        <v>83</v>
      </c>
    </row>
    <row r="34072" spans="1:6" ht="12.75">
      <c r="A34072" s="2">
        <v>43875.369953703703</v>
      </c>
      <c r="B34072" t="str">
        <f>HYPERLINK("https://twitter.com/Rita8213","@Rita8213")</f>
        <v>@Rita8213</v>
      </c>
      <c r="C34072" t="s">
        <v>14224</v>
      </c>
      <c r="D34072">
        <v>0</v>
      </c>
      <c r="E34072">
        <v>0</v>
      </c>
      <c r="F34072">
        <v>107</v>
      </c>
    </row>
    <row r="34073" spans="1:6" ht="12.75">
      <c r="A34073" s="2">
        <v>43875.369942129633</v>
      </c>
      <c r="B34073" t="str">
        <f>HYPERLINK("https://twitter.com/Jampang81527130","@Jampang81527130")</f>
        <v>@Jampang81527130</v>
      </c>
      <c r="C34073" t="s">
        <v>14225</v>
      </c>
      <c r="D34073">
        <v>0</v>
      </c>
      <c r="E34073">
        <v>0</v>
      </c>
      <c r="F34073">
        <v>8</v>
      </c>
    </row>
    <row r="34074" spans="1:6" ht="12.75">
      <c r="A34074" s="2">
        <v>43875.369895833333</v>
      </c>
      <c r="B34074" t="str">
        <f>HYPERLINK("https://twitter.com/Fitrohcf","@Fitrohcf")</f>
        <v>@Fitrohcf</v>
      </c>
      <c r="C34074" t="s">
        <v>2963</v>
      </c>
      <c r="D34074">
        <v>471</v>
      </c>
      <c r="E34074">
        <v>0</v>
      </c>
      <c r="F34074">
        <v>81</v>
      </c>
    </row>
    <row r="34075" spans="1:6" ht="12.75">
      <c r="A34075" s="2">
        <v>43875.369884259257</v>
      </c>
      <c r="B34075" t="str">
        <f>HYPERLINK("https://twitter.com/softestserve","@softestserve")</f>
        <v>@softestserve</v>
      </c>
      <c r="C34075" t="s">
        <v>9021</v>
      </c>
      <c r="D34075">
        <v>151</v>
      </c>
      <c r="E34075">
        <v>0</v>
      </c>
      <c r="F34075">
        <v>402</v>
      </c>
    </row>
    <row r="34076" spans="1:6" ht="12.75">
      <c r="A34076" s="2">
        <v>43875.369756944448</v>
      </c>
      <c r="B34076" t="str">
        <f>HYPERLINK("https://twitter.com/FaGtng","@FaGtng")</f>
        <v>@FaGtng</v>
      </c>
      <c r="C34076" t="s">
        <v>14149</v>
      </c>
      <c r="D34076">
        <v>1</v>
      </c>
      <c r="E34076">
        <v>0</v>
      </c>
      <c r="F34076">
        <v>15961</v>
      </c>
    </row>
    <row r="34077" spans="1:6" ht="12.75">
      <c r="A34077" s="2">
        <v>43875.369710648149</v>
      </c>
      <c r="B34077" t="str">
        <f>HYPERLINK("https://twitter.com/maat_khusnul","@maat_khusnul")</f>
        <v>@maat_khusnul</v>
      </c>
      <c r="C34077" t="s">
        <v>14226</v>
      </c>
      <c r="D34077">
        <v>0</v>
      </c>
      <c r="E34077">
        <v>0</v>
      </c>
      <c r="F34077">
        <v>9</v>
      </c>
    </row>
    <row r="34078" spans="1:6" ht="12.75">
      <c r="A34078" s="2">
        <v>43875.369699074072</v>
      </c>
      <c r="B34078" t="str">
        <f>HYPERLINK("https://twitter.com/Ferry13602224","@Ferry13602224")</f>
        <v>@Ferry13602224</v>
      </c>
      <c r="C34078" t="s">
        <v>10032</v>
      </c>
      <c r="D34078">
        <v>15</v>
      </c>
      <c r="E34078">
        <v>0</v>
      </c>
      <c r="F34078">
        <v>345</v>
      </c>
    </row>
    <row r="34079" spans="1:6" ht="12.75">
      <c r="A34079" s="2">
        <v>43875.369652777779</v>
      </c>
      <c r="B34079" t="str">
        <f>HYPERLINK("https://twitter.com/Michael79820241","@Michael79820241")</f>
        <v>@Michael79820241</v>
      </c>
      <c r="C34079" t="s">
        <v>14227</v>
      </c>
      <c r="D34079">
        <v>5</v>
      </c>
      <c r="E34079">
        <v>0</v>
      </c>
      <c r="F34079">
        <v>91</v>
      </c>
    </row>
    <row r="34080" spans="1:6" ht="12.75">
      <c r="A34080" s="2">
        <v>43875.369641203702</v>
      </c>
      <c r="B34080" t="str">
        <f>HYPERLINK("https://twitter.com/zeligers","@zeligers")</f>
        <v>@zeligers</v>
      </c>
      <c r="C34080" t="s">
        <v>14228</v>
      </c>
      <c r="D34080">
        <v>17</v>
      </c>
      <c r="E34080">
        <v>0</v>
      </c>
      <c r="F34080">
        <v>170</v>
      </c>
    </row>
    <row r="34081" spans="1:6" ht="12.75">
      <c r="A34081" s="2">
        <v>43875.369618055556</v>
      </c>
      <c r="B34081" t="str">
        <f>HYPERLINK("https://twitter.com/ISIS_Balik_NO","@ISIS_Balik_NO")</f>
        <v>@ISIS_Balik_NO</v>
      </c>
      <c r="C34081" t="s">
        <v>14229</v>
      </c>
      <c r="D34081">
        <v>2</v>
      </c>
      <c r="E34081">
        <v>0</v>
      </c>
      <c r="F34081">
        <v>5890</v>
      </c>
    </row>
    <row r="34082" spans="1:6" ht="12.75">
      <c r="A34082" s="2">
        <v>43875.369571759264</v>
      </c>
      <c r="B34082" t="str">
        <f>HYPERLINK("https://twitter.com/risk_center","@risk_center")</f>
        <v>@risk_center</v>
      </c>
      <c r="C34082" t="s">
        <v>14230</v>
      </c>
      <c r="D34082">
        <v>3</v>
      </c>
      <c r="E34082">
        <v>0</v>
      </c>
      <c r="F34082">
        <v>9325</v>
      </c>
    </row>
    <row r="34083" spans="1:6" ht="12.75">
      <c r="A34083" s="2">
        <v>43875.369537037041</v>
      </c>
      <c r="B34083" t="str">
        <f>HYPERLINK("https://twitter.com/lawanprovokator","@lawanprovokator")</f>
        <v>@lawanprovokator</v>
      </c>
      <c r="C34083" t="s">
        <v>10706</v>
      </c>
      <c r="D34083">
        <v>206</v>
      </c>
      <c r="E34083">
        <v>0</v>
      </c>
      <c r="F34083">
        <v>219</v>
      </c>
    </row>
    <row r="34084" spans="1:6" ht="12.75">
      <c r="A34084" s="2">
        <v>43875.369537037041</v>
      </c>
      <c r="B34084" t="str">
        <f>HYPERLINK("https://twitter.com/Atha879","@Atha879")</f>
        <v>@Atha879</v>
      </c>
      <c r="C34084" t="s">
        <v>14231</v>
      </c>
      <c r="D34084">
        <v>1</v>
      </c>
      <c r="E34084">
        <v>0</v>
      </c>
      <c r="F34084">
        <v>1391</v>
      </c>
    </row>
    <row r="34085" spans="1:6" ht="12.75">
      <c r="A34085" s="2">
        <v>43875.369513888887</v>
      </c>
      <c r="B34085" t="str">
        <f>HYPERLINK("https://twitter.com/pherasim","@pherasim")</f>
        <v>@pherasim</v>
      </c>
      <c r="C34085" t="s">
        <v>9113</v>
      </c>
      <c r="D34085">
        <v>251</v>
      </c>
      <c r="E34085">
        <v>0</v>
      </c>
      <c r="F34085">
        <v>225</v>
      </c>
    </row>
    <row r="34086" spans="1:6" ht="12.75">
      <c r="A34086" s="2">
        <v>43875.369479166664</v>
      </c>
      <c r="B34086" t="str">
        <f>HYPERLINK("https://twitter.com/lipnalip03","@lipnalip03")</f>
        <v>@lipnalip03</v>
      </c>
      <c r="C34086" t="s">
        <v>14232</v>
      </c>
      <c r="D34086">
        <v>0</v>
      </c>
      <c r="E34086">
        <v>0</v>
      </c>
      <c r="F34086">
        <v>493</v>
      </c>
    </row>
    <row r="34087" spans="1:6" ht="12.75">
      <c r="A34087" s="2">
        <v>43875.369444444441</v>
      </c>
      <c r="B34087" t="str">
        <f>HYPERLINK("https://twitter.com/lawanprovokator","@lawanprovokator")</f>
        <v>@lawanprovokator</v>
      </c>
      <c r="C34087" t="s">
        <v>10121</v>
      </c>
      <c r="D34087">
        <v>151</v>
      </c>
      <c r="E34087">
        <v>0</v>
      </c>
      <c r="F34087">
        <v>219</v>
      </c>
    </row>
    <row r="34088" spans="1:6" ht="12.75">
      <c r="A34088" s="2">
        <v>43875.369351851856</v>
      </c>
      <c r="B34088" t="str">
        <f>HYPERLINK("https://twitter.com/bidang_arie","@bidang_arie")</f>
        <v>@bidang_arie</v>
      </c>
      <c r="C34088" t="s">
        <v>14233</v>
      </c>
      <c r="D34088">
        <v>0</v>
      </c>
      <c r="E34088">
        <v>0</v>
      </c>
      <c r="F34088">
        <v>15</v>
      </c>
    </row>
    <row r="34089" spans="1:6" ht="12.75">
      <c r="A34089" s="2">
        <v>43875.369351851856</v>
      </c>
      <c r="B34089" t="str">
        <f>HYPERLINK("https://twitter.com/ArisKoerniawan3","@ArisKoerniawan3")</f>
        <v>@ArisKoerniawan3</v>
      </c>
      <c r="C34089" t="s">
        <v>11322</v>
      </c>
      <c r="D34089">
        <v>67</v>
      </c>
      <c r="E34089">
        <v>0</v>
      </c>
      <c r="F34089">
        <v>449</v>
      </c>
    </row>
    <row r="34090" spans="1:6" ht="12.75">
      <c r="A34090" s="2">
        <v>43875.369340277779</v>
      </c>
      <c r="B34090" t="str">
        <f>HYPERLINK("https://twitter.com/bindunada","@bindunada")</f>
        <v>@bindunada</v>
      </c>
      <c r="C34090" t="s">
        <v>11024</v>
      </c>
      <c r="D34090">
        <v>7</v>
      </c>
      <c r="E34090">
        <v>0</v>
      </c>
      <c r="F34090">
        <v>1058</v>
      </c>
    </row>
    <row r="34091" spans="1:6" ht="12.75">
      <c r="A34091" s="2">
        <v>43875.369305555556</v>
      </c>
      <c r="B34091" t="str">
        <f>HYPERLINK("https://twitter.com/affanusman","@affanusman")</f>
        <v>@affanusman</v>
      </c>
      <c r="C34091" t="s">
        <v>10266</v>
      </c>
      <c r="D34091">
        <v>250</v>
      </c>
      <c r="E34091">
        <v>0</v>
      </c>
      <c r="F34091">
        <v>120</v>
      </c>
    </row>
    <row r="34092" spans="1:6" ht="12.75">
      <c r="A34092" s="2">
        <v>43875.369270833333</v>
      </c>
      <c r="B34092" t="str">
        <f>HYPERLINK("https://twitter.com/adista_ayu","@adista_ayu")</f>
        <v>@adista_ayu</v>
      </c>
      <c r="C34092" t="s">
        <v>5168</v>
      </c>
      <c r="D34092">
        <v>411</v>
      </c>
      <c r="E34092">
        <v>0</v>
      </c>
      <c r="F34092">
        <v>7</v>
      </c>
    </row>
    <row r="34093" spans="1:6" ht="12.75">
      <c r="A34093" s="2">
        <v>43875.36923611111</v>
      </c>
      <c r="B34093" t="str">
        <f>HYPERLINK("https://twitter.com/Dimitry_Clasnic","@Dimitry_Clasnic")</f>
        <v>@Dimitry_Clasnic</v>
      </c>
      <c r="C34093" t="s">
        <v>9113</v>
      </c>
      <c r="D34093">
        <v>251</v>
      </c>
      <c r="E34093">
        <v>0</v>
      </c>
      <c r="F34093">
        <v>307</v>
      </c>
    </row>
    <row r="34094" spans="1:6" ht="12.75">
      <c r="A34094" s="2">
        <v>43875.369201388894</v>
      </c>
      <c r="B34094" t="str">
        <f>HYPERLINK("https://twitter.com/peni_me","@peni_me")</f>
        <v>@peni_me</v>
      </c>
      <c r="C34094" t="s">
        <v>14234</v>
      </c>
      <c r="D34094">
        <v>0</v>
      </c>
      <c r="E34094">
        <v>0</v>
      </c>
      <c r="F34094">
        <v>14255</v>
      </c>
    </row>
    <row r="34095" spans="1:6" ht="12.75">
      <c r="A34095" s="2">
        <v>43875.369166666671</v>
      </c>
      <c r="B34095" t="str">
        <f>HYPERLINK("https://twitter.com/an18ping","@an18ping")</f>
        <v>@an18ping</v>
      </c>
      <c r="C34095" t="s">
        <v>10957</v>
      </c>
      <c r="D34095">
        <v>45</v>
      </c>
      <c r="E34095">
        <v>0</v>
      </c>
      <c r="F34095">
        <v>1244</v>
      </c>
    </row>
    <row r="34096" spans="1:6" ht="12.75">
      <c r="A34096" s="2">
        <v>43875.369155092594</v>
      </c>
      <c r="B34096" t="str">
        <f>HYPERLINK("https://twitter.com/jayagalihridho","@jayagalihridho")</f>
        <v>@jayagalihridho</v>
      </c>
      <c r="C34096" t="s">
        <v>2963</v>
      </c>
      <c r="D34096">
        <v>471</v>
      </c>
      <c r="E34096">
        <v>0</v>
      </c>
      <c r="F34096">
        <v>59</v>
      </c>
    </row>
    <row r="34097" spans="1:6" ht="12.75">
      <c r="A34097" s="2">
        <v>43875.369143518517</v>
      </c>
      <c r="B34097" t="str">
        <f>HYPERLINK("https://twitter.com/TaufikNurendra","@TaufikNurendra")</f>
        <v>@TaufikNurendra</v>
      </c>
      <c r="C34097" t="s">
        <v>2963</v>
      </c>
      <c r="D34097">
        <v>471</v>
      </c>
      <c r="E34097">
        <v>0</v>
      </c>
      <c r="F34097">
        <v>60</v>
      </c>
    </row>
    <row r="34098" spans="1:6" ht="12.75">
      <c r="A34098" s="2">
        <v>43875.369143518517</v>
      </c>
      <c r="B34098" t="str">
        <f>HYPERLINK("https://twitter.com/AdityaD07596861","@AdityaD07596861")</f>
        <v>@AdityaD07596861</v>
      </c>
      <c r="C34098" t="s">
        <v>14235</v>
      </c>
      <c r="D34098">
        <v>0</v>
      </c>
      <c r="E34098">
        <v>0</v>
      </c>
      <c r="F34098">
        <v>6</v>
      </c>
    </row>
    <row r="34099" spans="1:6" ht="12.75">
      <c r="A34099" s="2">
        <v>43875.369120370371</v>
      </c>
      <c r="B34099" t="str">
        <f>HYPERLINK("https://twitter.com/ABDULJA08116587","@ABDULJA08116587")</f>
        <v>@ABDULJA08116587</v>
      </c>
      <c r="C34099" t="s">
        <v>2963</v>
      </c>
      <c r="D34099">
        <v>471</v>
      </c>
      <c r="E34099">
        <v>0</v>
      </c>
      <c r="F34099">
        <v>1</v>
      </c>
    </row>
    <row r="34100" spans="1:6" ht="12.75">
      <c r="A34100" s="2">
        <v>43875.369085648148</v>
      </c>
      <c r="B34100" t="str">
        <f>HYPERLINK("https://twitter.com/Noviantivf","@Noviantivf")</f>
        <v>@Noviantivf</v>
      </c>
      <c r="C34100" t="s">
        <v>14236</v>
      </c>
      <c r="D34100">
        <v>0</v>
      </c>
      <c r="E34100">
        <v>1</v>
      </c>
      <c r="F34100">
        <v>1387</v>
      </c>
    </row>
    <row r="34101" spans="1:6" ht="12.75">
      <c r="A34101" s="2">
        <v>43875.368738425925</v>
      </c>
      <c r="B34101" t="str">
        <f>HYPERLINK("https://twitter.com/JuniartsNick","@JuniartsNick")</f>
        <v>@JuniartsNick</v>
      </c>
      <c r="C34101" t="s">
        <v>14237</v>
      </c>
      <c r="D34101">
        <v>0</v>
      </c>
      <c r="E34101">
        <v>0</v>
      </c>
      <c r="F34101">
        <v>90</v>
      </c>
    </row>
    <row r="34102" spans="1:6" ht="12.75">
      <c r="A34102" s="2">
        <v>43875.368692129632</v>
      </c>
      <c r="B34102" t="str">
        <f>HYPERLINK("https://twitter.com/affanusman","@affanusman")</f>
        <v>@affanusman</v>
      </c>
      <c r="C34102" t="s">
        <v>8881</v>
      </c>
      <c r="D34102">
        <v>254</v>
      </c>
      <c r="E34102">
        <v>0</v>
      </c>
      <c r="F34102">
        <v>120</v>
      </c>
    </row>
    <row r="34103" spans="1:6" ht="12.75">
      <c r="A34103" s="2">
        <v>43875.368657407409</v>
      </c>
      <c r="B34103" t="str">
        <f>HYPERLINK("https://twitter.com/panjiwdtr","@panjiwdtr")</f>
        <v>@panjiwdtr</v>
      </c>
      <c r="C34103" t="s">
        <v>8233</v>
      </c>
      <c r="D34103">
        <v>287</v>
      </c>
      <c r="E34103">
        <v>0</v>
      </c>
      <c r="F34103">
        <v>230</v>
      </c>
    </row>
    <row r="34104" spans="1:6" ht="12.75">
      <c r="A34104" s="2">
        <v>43875.368645833332</v>
      </c>
      <c r="B34104" t="str">
        <f>HYPERLINK("https://twitter.com/senandung_sajak","@senandung_sajak")</f>
        <v>@senandung_sajak</v>
      </c>
      <c r="C34104" t="s">
        <v>10196</v>
      </c>
      <c r="D34104">
        <v>127</v>
      </c>
      <c r="E34104">
        <v>0</v>
      </c>
      <c r="F34104">
        <v>3177</v>
      </c>
    </row>
    <row r="34105" spans="1:6" ht="12.75">
      <c r="A34105" s="2">
        <v>43875.368611111116</v>
      </c>
      <c r="B34105" t="str">
        <f>HYPERLINK("https://twitter.com/suka011","@suka011")</f>
        <v>@suka011</v>
      </c>
      <c r="C34105" t="s">
        <v>2963</v>
      </c>
      <c r="D34105">
        <v>471</v>
      </c>
      <c r="E34105">
        <v>0</v>
      </c>
      <c r="F34105">
        <v>1904</v>
      </c>
    </row>
    <row r="34106" spans="1:6" ht="12.75">
      <c r="A34106" s="2">
        <v>43875.368587962963</v>
      </c>
      <c r="B34106" t="str">
        <f>HYPERLINK("https://twitter.com/kholiqin8","@kholiqin8")</f>
        <v>@kholiqin8</v>
      </c>
      <c r="C34106" t="s">
        <v>8233</v>
      </c>
      <c r="D34106">
        <v>287</v>
      </c>
      <c r="E34106">
        <v>0</v>
      </c>
      <c r="F34106">
        <v>79</v>
      </c>
    </row>
    <row r="34107" spans="1:6" ht="12.75">
      <c r="A34107" s="2">
        <v>43875.36855324074</v>
      </c>
      <c r="B34107" t="str">
        <f>HYPERLINK("https://twitter.com/Rafihilmif_","@Rafihilmif_")</f>
        <v>@Rafihilmif_</v>
      </c>
      <c r="C34107" t="s">
        <v>8720</v>
      </c>
      <c r="D34107">
        <v>39</v>
      </c>
      <c r="E34107">
        <v>0</v>
      </c>
      <c r="F34107">
        <v>113</v>
      </c>
    </row>
    <row r="34108" spans="1:6" ht="12.75">
      <c r="A34108" s="2">
        <v>43875.368414351848</v>
      </c>
      <c r="B34108" t="str">
        <f>HYPERLINK("https://twitter.com/lawanprovokator","@lawanprovokator")</f>
        <v>@lawanprovokator</v>
      </c>
      <c r="C34108" t="s">
        <v>8881</v>
      </c>
      <c r="D34108">
        <v>254</v>
      </c>
      <c r="E34108">
        <v>0</v>
      </c>
      <c r="F34108">
        <v>219</v>
      </c>
    </row>
    <row r="34109" spans="1:6" ht="12.75">
      <c r="A34109" s="2">
        <v>43875.368414351848</v>
      </c>
      <c r="B34109" t="str">
        <f>HYPERLINK("https://twitter.com/nagara_inst","@nagara_inst")</f>
        <v>@nagara_inst</v>
      </c>
      <c r="C34109" t="s">
        <v>14238</v>
      </c>
      <c r="D34109">
        <v>0</v>
      </c>
      <c r="E34109">
        <v>0</v>
      </c>
      <c r="F34109">
        <v>30</v>
      </c>
    </row>
    <row r="34110" spans="1:6" ht="12.75">
      <c r="A34110" s="2">
        <v>43875.368368055555</v>
      </c>
      <c r="B34110" t="str">
        <f>HYPERLINK("https://twitter.com/SiraitDamian","@SiraitDamian")</f>
        <v>@SiraitDamian</v>
      </c>
      <c r="C34110" t="s">
        <v>14239</v>
      </c>
      <c r="D34110">
        <v>0</v>
      </c>
      <c r="E34110">
        <v>0</v>
      </c>
      <c r="F34110">
        <v>1</v>
      </c>
    </row>
    <row r="34111" spans="1:6" ht="12.75">
      <c r="A34111" s="2">
        <v>43875.368356481486</v>
      </c>
      <c r="B34111" t="str">
        <f>HYPERLINK("https://twitter.com/11Selvie","@11Selvie")</f>
        <v>@11Selvie</v>
      </c>
      <c r="C34111" t="s">
        <v>12450</v>
      </c>
      <c r="D34111">
        <v>74</v>
      </c>
      <c r="E34111">
        <v>0</v>
      </c>
      <c r="F34111">
        <v>16</v>
      </c>
    </row>
    <row r="34112" spans="1:6" ht="12.75">
      <c r="A34112" s="2">
        <v>43875.368287037039</v>
      </c>
      <c r="B34112" t="str">
        <f>HYPERLINK("https://twitter.com/nuyyuliyanti","@nuyyuliyanti")</f>
        <v>@nuyyuliyanti</v>
      </c>
      <c r="C34112" t="s">
        <v>5168</v>
      </c>
      <c r="D34112">
        <v>411</v>
      </c>
      <c r="E34112">
        <v>0</v>
      </c>
      <c r="F34112">
        <v>61</v>
      </c>
    </row>
    <row r="34113" spans="1:6" ht="12.75">
      <c r="A34113" s="2">
        <v>43875.368287037039</v>
      </c>
      <c r="B34113" t="str">
        <f>HYPERLINK("https://twitter.com/Hali__lintar","@Hali__lintar")</f>
        <v>@Hali__lintar</v>
      </c>
      <c r="C34113" t="s">
        <v>14240</v>
      </c>
      <c r="D34113">
        <v>0</v>
      </c>
      <c r="E34113">
        <v>0</v>
      </c>
      <c r="F34113">
        <v>9303</v>
      </c>
    </row>
    <row r="34114" spans="1:6" ht="12.75">
      <c r="A34114" s="2">
        <v>43875.368229166663</v>
      </c>
      <c r="B34114" t="str">
        <f>HYPERLINK("https://twitter.com/SusiroW","@SusiroW")</f>
        <v>@SusiroW</v>
      </c>
      <c r="C34114" t="s">
        <v>8252</v>
      </c>
      <c r="D34114">
        <v>481</v>
      </c>
      <c r="E34114">
        <v>0</v>
      </c>
      <c r="F34114">
        <v>241</v>
      </c>
    </row>
    <row r="34115" spans="1:6" ht="12.75">
      <c r="A34115" s="2">
        <v>43875.368217592593</v>
      </c>
      <c r="B34115" t="str">
        <f>HYPERLINK("https://twitter.com/Rooster78B","@Rooster78B")</f>
        <v>@Rooster78B</v>
      </c>
      <c r="C34115" t="s">
        <v>10407</v>
      </c>
      <c r="D34115">
        <v>32</v>
      </c>
      <c r="E34115">
        <v>0</v>
      </c>
      <c r="F34115">
        <v>1593</v>
      </c>
    </row>
    <row r="34116" spans="1:6" ht="12.75">
      <c r="A34116" s="2">
        <v>43875.368217592593</v>
      </c>
      <c r="B34116" t="str">
        <f>HYPERLINK("https://twitter.com/TheNugster_168","@TheNugster_168")</f>
        <v>@TheNugster_168</v>
      </c>
      <c r="C34116" t="s">
        <v>14241</v>
      </c>
      <c r="D34116">
        <v>0</v>
      </c>
      <c r="E34116">
        <v>0</v>
      </c>
      <c r="F34116">
        <v>21</v>
      </c>
    </row>
    <row r="34117" spans="1:6" ht="12.75">
      <c r="A34117" s="2">
        <v>43875.36818287037</v>
      </c>
      <c r="B34117" t="str">
        <f>HYPERLINK("https://twitter.com/hadiprayitno82","@hadiprayitno82")</f>
        <v>@hadiprayitno82</v>
      </c>
      <c r="C34117" t="s">
        <v>2963</v>
      </c>
      <c r="D34117">
        <v>471</v>
      </c>
      <c r="E34117">
        <v>0</v>
      </c>
      <c r="F34117">
        <v>1384</v>
      </c>
    </row>
    <row r="34118" spans="1:6" ht="12.75">
      <c r="A34118" s="2">
        <v>43875.36818287037</v>
      </c>
      <c r="B34118" t="str">
        <f>HYPERLINK("https://twitter.com/Nantaariii","@Nantaariii")</f>
        <v>@Nantaariii</v>
      </c>
      <c r="C34118" t="s">
        <v>10121</v>
      </c>
      <c r="D34118">
        <v>151</v>
      </c>
      <c r="E34118">
        <v>0</v>
      </c>
      <c r="F34118">
        <v>7473</v>
      </c>
    </row>
    <row r="34119" spans="1:6" ht="12.75">
      <c r="A34119" s="2">
        <v>43875.368090277778</v>
      </c>
      <c r="B34119" t="str">
        <f>HYPERLINK("https://twitter.com/PinayunganE","@PinayunganE")</f>
        <v>@PinayunganE</v>
      </c>
      <c r="C34119" t="s">
        <v>14242</v>
      </c>
      <c r="D34119">
        <v>0</v>
      </c>
      <c r="E34119">
        <v>0</v>
      </c>
      <c r="F34119">
        <v>18</v>
      </c>
    </row>
    <row r="34120" spans="1:6" ht="12.75">
      <c r="A34120" s="2">
        <v>43875.368055555555</v>
      </c>
      <c r="B34120" t="str">
        <f>HYPERLINK("https://twitter.com/AleutP","@AleutP")</f>
        <v>@AleutP</v>
      </c>
      <c r="C34120" t="s">
        <v>10295</v>
      </c>
      <c r="D34120">
        <v>86</v>
      </c>
      <c r="E34120">
        <v>0</v>
      </c>
      <c r="F34120">
        <v>152</v>
      </c>
    </row>
    <row r="34121" spans="1:6" ht="12.75">
      <c r="A34121" s="2">
        <v>43875.368055555555</v>
      </c>
      <c r="B34121" t="str">
        <f>HYPERLINK("https://twitter.com/ElshintaTegal_","@ElshintaTegal_")</f>
        <v>@ElshintaTegal_</v>
      </c>
      <c r="C34121" t="s">
        <v>14243</v>
      </c>
      <c r="D34121">
        <v>0</v>
      </c>
      <c r="E34121">
        <v>0</v>
      </c>
      <c r="F34121">
        <v>29</v>
      </c>
    </row>
    <row r="34122" spans="1:6" ht="12.75">
      <c r="A34122" s="2">
        <v>43875.368032407408</v>
      </c>
      <c r="B34122" t="str">
        <f>HYPERLINK("https://twitter.com/PrabhuRakka","@PrabhuRakka")</f>
        <v>@PrabhuRakka</v>
      </c>
      <c r="C34122" t="s">
        <v>14244</v>
      </c>
      <c r="D34122">
        <v>0</v>
      </c>
      <c r="E34122">
        <v>0</v>
      </c>
      <c r="F34122">
        <v>104</v>
      </c>
    </row>
    <row r="34123" spans="1:6" ht="12.75">
      <c r="A34123" s="2">
        <v>43875.367997685185</v>
      </c>
      <c r="B34123" t="str">
        <f>HYPERLINK("https://twitter.com/AlRafiSyahputr1","@AlRafiSyahputr1")</f>
        <v>@AlRafiSyahputr1</v>
      </c>
      <c r="C34123" t="s">
        <v>9388</v>
      </c>
      <c r="D34123">
        <v>346</v>
      </c>
      <c r="E34123">
        <v>0</v>
      </c>
      <c r="F34123">
        <v>15</v>
      </c>
    </row>
    <row r="34124" spans="1:6" ht="12.75">
      <c r="A34124" s="2">
        <v>43875.367928240739</v>
      </c>
      <c r="B34124" t="str">
        <f>HYPERLINK("https://twitter.com/AndipanjaitanP","@AndipanjaitanP")</f>
        <v>@AndipanjaitanP</v>
      </c>
      <c r="C34124" t="s">
        <v>8881</v>
      </c>
      <c r="D34124">
        <v>254</v>
      </c>
      <c r="E34124">
        <v>0</v>
      </c>
      <c r="F34124">
        <v>538</v>
      </c>
    </row>
    <row r="34125" spans="1:6" ht="12.75">
      <c r="A34125" s="2">
        <v>43875.36787037037</v>
      </c>
      <c r="B34125" t="str">
        <f>HYPERLINK("https://twitter.com/riniyuli73","@riniyuli73")</f>
        <v>@riniyuli73</v>
      </c>
      <c r="C34125" t="s">
        <v>14245</v>
      </c>
      <c r="D34125">
        <v>0</v>
      </c>
      <c r="E34125">
        <v>0</v>
      </c>
      <c r="F34125">
        <v>124</v>
      </c>
    </row>
    <row r="34126" spans="1:6" ht="12.75">
      <c r="A34126" s="2">
        <v>43875.36787037037</v>
      </c>
      <c r="B34126" t="str">
        <f>HYPERLINK("https://twitter.com/an18ping","@an18ping")</f>
        <v>@an18ping</v>
      </c>
      <c r="C34126" t="s">
        <v>10121</v>
      </c>
      <c r="D34126">
        <v>151</v>
      </c>
      <c r="E34126">
        <v>0</v>
      </c>
      <c r="F34126">
        <v>1244</v>
      </c>
    </row>
    <row r="34127" spans="1:6" ht="12.75">
      <c r="A34127" s="2">
        <v>43875.367754629631</v>
      </c>
      <c r="B34127" t="str">
        <f>HYPERLINK("https://twitter.com/pikiran_rakyat","@pikiran_rakyat")</f>
        <v>@pikiran_rakyat</v>
      </c>
      <c r="C34127" t="s">
        <v>14246</v>
      </c>
      <c r="D34127">
        <v>0</v>
      </c>
      <c r="E34127">
        <v>0</v>
      </c>
      <c r="F34127">
        <v>412443</v>
      </c>
    </row>
    <row r="34128" spans="1:6" ht="12.75">
      <c r="A34128" s="2">
        <v>43875.367685185185</v>
      </c>
      <c r="B34128" t="str">
        <f>HYPERLINK("https://twitter.com/JPapilaya","@JPapilaya")</f>
        <v>@JPapilaya</v>
      </c>
      <c r="C34128" t="s">
        <v>14247</v>
      </c>
      <c r="D34128">
        <v>0</v>
      </c>
      <c r="E34128">
        <v>0</v>
      </c>
      <c r="F34128">
        <v>14</v>
      </c>
    </row>
    <row r="34129" spans="1:6" ht="12.75">
      <c r="A34129" s="2">
        <v>43875.3675462963</v>
      </c>
      <c r="B34129" t="str">
        <f>HYPERLINK("https://twitter.com/rinichan02","@rinichan02")</f>
        <v>@rinichan02</v>
      </c>
      <c r="C34129" t="s">
        <v>12886</v>
      </c>
      <c r="D34129">
        <v>3</v>
      </c>
      <c r="E34129">
        <v>0</v>
      </c>
      <c r="F34129">
        <v>2801</v>
      </c>
    </row>
    <row r="34130" spans="1:6" ht="12.75">
      <c r="A34130" s="2">
        <v>43875.367488425924</v>
      </c>
      <c r="B34130" t="str">
        <f>HYPERLINK("https://twitter.com/zaka_ariaa","@zaka_ariaa")</f>
        <v>@zaka_ariaa</v>
      </c>
      <c r="C34130" t="s">
        <v>14248</v>
      </c>
      <c r="D34130">
        <v>64</v>
      </c>
      <c r="E34130">
        <v>0</v>
      </c>
      <c r="F34130">
        <v>753</v>
      </c>
    </row>
    <row r="34131" spans="1:6" ht="12.75">
      <c r="A34131" s="2">
        <v>43875.367476851854</v>
      </c>
      <c r="B34131" t="str">
        <f>HYPERLINK("https://twitter.com/Fazrilamrii","@Fazrilamrii")</f>
        <v>@Fazrilamrii</v>
      </c>
      <c r="C34131" t="s">
        <v>14249</v>
      </c>
      <c r="D34131">
        <v>0</v>
      </c>
      <c r="E34131">
        <v>0</v>
      </c>
      <c r="F34131">
        <v>228</v>
      </c>
    </row>
    <row r="34132" spans="1:6" ht="12.75">
      <c r="A34132" s="2">
        <v>43875.367430555554</v>
      </c>
      <c r="B34132" t="str">
        <f>HYPERLINK("https://twitter.com/B_Hendratmo1","@B_Hendratmo1")</f>
        <v>@B_Hendratmo1</v>
      </c>
      <c r="C34132" t="s">
        <v>9113</v>
      </c>
      <c r="D34132">
        <v>251</v>
      </c>
      <c r="E34132">
        <v>0</v>
      </c>
      <c r="F34132">
        <v>1673</v>
      </c>
    </row>
    <row r="34133" spans="1:6" ht="12.75">
      <c r="A34133" s="2">
        <v>43875.367407407408</v>
      </c>
      <c r="B34133" t="str">
        <f>HYPERLINK("https://twitter.com/zaka_ariaa","@zaka_ariaa")</f>
        <v>@zaka_ariaa</v>
      </c>
      <c r="C34133" t="s">
        <v>7803</v>
      </c>
      <c r="D34133">
        <v>301</v>
      </c>
      <c r="E34133">
        <v>0</v>
      </c>
      <c r="F34133">
        <v>753</v>
      </c>
    </row>
    <row r="34134" spans="1:6" ht="12.75">
      <c r="A34134" s="2">
        <v>43875.367395833338</v>
      </c>
      <c r="B34134" t="str">
        <f>HYPERLINK("https://twitter.com/amir_amrullah","@amir_amrullah")</f>
        <v>@amir_amrullah</v>
      </c>
      <c r="C34134" t="s">
        <v>8233</v>
      </c>
      <c r="D34134">
        <v>287</v>
      </c>
      <c r="E34134">
        <v>0</v>
      </c>
      <c r="F34134">
        <v>97</v>
      </c>
    </row>
    <row r="34135" spans="1:6" ht="12.75">
      <c r="A34135" s="2">
        <v>43875.367372685185</v>
      </c>
      <c r="B34135" t="str">
        <f>HYPERLINK("https://twitter.com/an18ping","@an18ping")</f>
        <v>@an18ping</v>
      </c>
      <c r="C34135" t="s">
        <v>8881</v>
      </c>
      <c r="D34135">
        <v>254</v>
      </c>
      <c r="E34135">
        <v>0</v>
      </c>
      <c r="F34135">
        <v>1244</v>
      </c>
    </row>
    <row r="34136" spans="1:6" ht="12.75">
      <c r="A34136" s="2">
        <v>43875.367303240739</v>
      </c>
      <c r="B34136" t="str">
        <f>HYPERLINK("https://twitter.com/Atha879","@Atha879")</f>
        <v>@Atha879</v>
      </c>
      <c r="C34136" t="s">
        <v>9993</v>
      </c>
      <c r="D34136">
        <v>5</v>
      </c>
      <c r="E34136">
        <v>0</v>
      </c>
      <c r="F34136">
        <v>1391</v>
      </c>
    </row>
    <row r="34137" spans="1:6" ht="12.75">
      <c r="A34137" s="2">
        <v>43875.367280092592</v>
      </c>
      <c r="B34137" t="str">
        <f>HYPERLINK("https://twitter.com/hendri92189000","@hendri92189000")</f>
        <v>@hendri92189000</v>
      </c>
      <c r="C34137" t="s">
        <v>14250</v>
      </c>
      <c r="D34137">
        <v>0</v>
      </c>
      <c r="E34137">
        <v>0</v>
      </c>
      <c r="F34137">
        <v>3378</v>
      </c>
    </row>
    <row r="34138" spans="1:6" ht="12.75">
      <c r="A34138" s="2">
        <v>43875.367245370369</v>
      </c>
      <c r="B34138" t="str">
        <f>HYPERLINK("https://twitter.com/Nantaariii","@Nantaariii")</f>
        <v>@Nantaariii</v>
      </c>
      <c r="C34138" t="s">
        <v>9113</v>
      </c>
      <c r="D34138">
        <v>251</v>
      </c>
      <c r="E34138">
        <v>0</v>
      </c>
      <c r="F34138">
        <v>7473</v>
      </c>
    </row>
    <row r="34139" spans="1:6" ht="12.75">
      <c r="A34139" s="2">
        <v>43875.36719907407</v>
      </c>
      <c r="B34139" t="str">
        <f>HYPERLINK("https://twitter.com/AlBanna57697952","@AlBanna57697952")</f>
        <v>@AlBanna57697952</v>
      </c>
      <c r="C34139" t="s">
        <v>11566</v>
      </c>
      <c r="D34139">
        <v>96</v>
      </c>
      <c r="E34139">
        <v>0</v>
      </c>
      <c r="F34139">
        <v>43</v>
      </c>
    </row>
    <row r="34140" spans="1:6" ht="12.75">
      <c r="A34140" s="2">
        <v>43875.3671875</v>
      </c>
      <c r="B34140" t="str">
        <f>HYPERLINK("https://twitter.com/Jkt_Networks","@Jkt_Networks")</f>
        <v>@Jkt_Networks</v>
      </c>
      <c r="C34140" t="s">
        <v>8881</v>
      </c>
      <c r="D34140">
        <v>254</v>
      </c>
      <c r="E34140">
        <v>0</v>
      </c>
      <c r="F34140">
        <v>69</v>
      </c>
    </row>
    <row r="34141" spans="1:6" ht="12.75">
      <c r="A34141" s="2">
        <v>43875.367152777777</v>
      </c>
      <c r="B34141" t="str">
        <f>HYPERLINK("https://twitter.com/kangsemproel","@kangsemproel")</f>
        <v>@kangsemproel</v>
      </c>
      <c r="C34141" t="s">
        <v>14251</v>
      </c>
      <c r="D34141">
        <v>0</v>
      </c>
      <c r="E34141">
        <v>0</v>
      </c>
      <c r="F34141">
        <v>28192</v>
      </c>
    </row>
    <row r="34142" spans="1:6" ht="12.75">
      <c r="A34142" s="2">
        <v>43875.3669212963</v>
      </c>
      <c r="B34142" t="str">
        <f>HYPERLINK("https://twitter.com/RDKFM","@RDKFM")</f>
        <v>@RDKFM</v>
      </c>
      <c r="C34142" t="s">
        <v>14252</v>
      </c>
      <c r="D34142">
        <v>1</v>
      </c>
      <c r="E34142">
        <v>0</v>
      </c>
      <c r="F34142">
        <v>4230</v>
      </c>
    </row>
    <row r="34143" spans="1:6" ht="12.75">
      <c r="A34143" s="2">
        <v>43875.366736111115</v>
      </c>
      <c r="B34143" t="str">
        <f>HYPERLINK("https://twitter.com/bobbyranggarez1","@bobbyranggarez1")</f>
        <v>@bobbyranggarez1</v>
      </c>
      <c r="C34143" t="s">
        <v>7373</v>
      </c>
      <c r="D34143">
        <v>62</v>
      </c>
      <c r="E34143">
        <v>0</v>
      </c>
      <c r="F34143">
        <v>21</v>
      </c>
    </row>
    <row r="34144" spans="1:6" ht="12.75">
      <c r="A34144" s="2">
        <v>43875.366689814815</v>
      </c>
      <c r="B34144" t="str">
        <f>HYPERLINK("https://twitter.com/AjIa7alah_","@AjIa7alah_")</f>
        <v>@AjIa7alah_</v>
      </c>
      <c r="C34144" t="s">
        <v>14253</v>
      </c>
      <c r="D34144">
        <v>0</v>
      </c>
      <c r="E34144">
        <v>0</v>
      </c>
      <c r="F34144">
        <v>2027</v>
      </c>
    </row>
    <row r="34145" spans="1:6" ht="12.75">
      <c r="A34145" s="2">
        <v>43875.366678240738</v>
      </c>
      <c r="B34145" t="str">
        <f>HYPERLINK("https://twitter.com/widodogroho","@widodogroho")</f>
        <v>@widodogroho</v>
      </c>
      <c r="C34145" t="s">
        <v>2963</v>
      </c>
      <c r="D34145">
        <v>471</v>
      </c>
      <c r="E34145">
        <v>0</v>
      </c>
      <c r="F34145">
        <v>771</v>
      </c>
    </row>
    <row r="34146" spans="1:6" ht="12.75">
      <c r="A34146" s="2">
        <v>43875.366678240738</v>
      </c>
      <c r="B34146" t="str">
        <f>HYPERLINK("https://twitter.com/_Bakemono","@_Bakemono")</f>
        <v>@_Bakemono</v>
      </c>
      <c r="C34146" t="s">
        <v>5168</v>
      </c>
      <c r="D34146">
        <v>411</v>
      </c>
      <c r="E34146">
        <v>0</v>
      </c>
      <c r="F34146">
        <v>817</v>
      </c>
    </row>
    <row r="34147" spans="1:6" ht="12.75">
      <c r="A34147" s="2">
        <v>43875.366631944446</v>
      </c>
      <c r="B34147" t="str">
        <f>HYPERLINK("https://twitter.com/bedabeth","@bedabeth")</f>
        <v>@bedabeth</v>
      </c>
      <c r="C34147" t="s">
        <v>2963</v>
      </c>
      <c r="D34147">
        <v>471</v>
      </c>
      <c r="E34147">
        <v>0</v>
      </c>
      <c r="F34147">
        <v>240</v>
      </c>
    </row>
    <row r="34148" spans="1:6" ht="12.75">
      <c r="A34148" s="2">
        <v>43875.366527777776</v>
      </c>
      <c r="B34148" t="str">
        <f>HYPERLINK("https://twitter.com/siti_dama","@siti_dama")</f>
        <v>@siti_dama</v>
      </c>
      <c r="C34148" t="s">
        <v>14254</v>
      </c>
      <c r="D34148">
        <v>0</v>
      </c>
      <c r="E34148">
        <v>0</v>
      </c>
      <c r="F34148">
        <v>97</v>
      </c>
    </row>
    <row r="34149" spans="1:6" ht="12.75">
      <c r="A34149" s="2">
        <v>43875.36650462963</v>
      </c>
      <c r="B34149" t="str">
        <f>HYPERLINK("https://twitter.com/kembangkertas97","@kembangkertas97")</f>
        <v>@kembangkertas97</v>
      </c>
      <c r="C34149" t="s">
        <v>2963</v>
      </c>
      <c r="D34149">
        <v>471</v>
      </c>
      <c r="E34149">
        <v>0</v>
      </c>
      <c r="F34149">
        <v>4346</v>
      </c>
    </row>
    <row r="34150" spans="1:6" ht="12.75">
      <c r="A34150" s="2">
        <v>43875.366493055553</v>
      </c>
      <c r="B34150" t="str">
        <f>HYPERLINK("https://twitter.com/siti_dama","@siti_dama")</f>
        <v>@siti_dama</v>
      </c>
      <c r="C34150" t="s">
        <v>14255</v>
      </c>
      <c r="D34150">
        <v>0</v>
      </c>
      <c r="E34150">
        <v>0</v>
      </c>
      <c r="F34150">
        <v>97</v>
      </c>
    </row>
    <row r="34151" spans="1:6" ht="12.75">
      <c r="A34151" s="2">
        <v>43875.366493055553</v>
      </c>
      <c r="B34151" t="str">
        <f>HYPERLINK("https://twitter.com/Purwanto_rheby","@Purwanto_rheby")</f>
        <v>@Purwanto_rheby</v>
      </c>
      <c r="C34151" t="s">
        <v>2963</v>
      </c>
      <c r="D34151">
        <v>471</v>
      </c>
      <c r="E34151">
        <v>0</v>
      </c>
      <c r="F34151">
        <v>0</v>
      </c>
    </row>
    <row r="34152" spans="1:6" ht="12.75">
      <c r="A34152" s="2">
        <v>43875.366481481484</v>
      </c>
      <c r="B34152" t="str">
        <f>HYPERLINK("https://twitter.com/Novi_priell","@Novi_priell")</f>
        <v>@Novi_priell</v>
      </c>
      <c r="C34152" t="s">
        <v>14256</v>
      </c>
      <c r="D34152">
        <v>2</v>
      </c>
      <c r="E34152">
        <v>0</v>
      </c>
      <c r="F34152">
        <v>9675</v>
      </c>
    </row>
    <row r="34153" spans="1:6" ht="12.75">
      <c r="A34153" s="2">
        <v>43875.366446759261</v>
      </c>
      <c r="B34153" t="str">
        <f>HYPERLINK("https://twitter.com/Alejandro_Bdion","@Alejandro_Bdion")</f>
        <v>@Alejandro_Bdion</v>
      </c>
      <c r="C34153" t="s">
        <v>2086</v>
      </c>
      <c r="D34153">
        <v>11</v>
      </c>
      <c r="E34153">
        <v>0</v>
      </c>
      <c r="F34153">
        <v>563</v>
      </c>
    </row>
    <row r="34154" spans="1:6" ht="12.75">
      <c r="A34154" s="2">
        <v>43875.366423611107</v>
      </c>
      <c r="B34154" t="str">
        <f>HYPERLINK("https://twitter.com/77bayoe","@77bayoe")</f>
        <v>@77bayoe</v>
      </c>
      <c r="C34154" t="s">
        <v>9373</v>
      </c>
      <c r="D34154">
        <v>95</v>
      </c>
      <c r="E34154">
        <v>0</v>
      </c>
      <c r="F34154">
        <v>2201</v>
      </c>
    </row>
    <row r="34155" spans="1:6" ht="12.75">
      <c r="A34155" s="2">
        <v>43875.366400462968</v>
      </c>
      <c r="B34155" t="str">
        <f>HYPERLINK("https://twitter.com/Usep210","@Usep210")</f>
        <v>@Usep210</v>
      </c>
      <c r="C34155" t="s">
        <v>10032</v>
      </c>
      <c r="D34155">
        <v>15</v>
      </c>
      <c r="E34155">
        <v>0</v>
      </c>
      <c r="F34155">
        <v>4763</v>
      </c>
    </row>
    <row r="34156" spans="1:6" ht="12.75">
      <c r="A34156" s="2">
        <v>43875.366377314815</v>
      </c>
      <c r="B34156" t="str">
        <f>HYPERLINK("https://twitter.com/reiireisky","@reiireisky")</f>
        <v>@reiireisky</v>
      </c>
      <c r="C34156" t="s">
        <v>2963</v>
      </c>
      <c r="D34156">
        <v>471</v>
      </c>
      <c r="E34156">
        <v>0</v>
      </c>
      <c r="F34156">
        <v>524</v>
      </c>
    </row>
    <row r="34157" spans="1:6" ht="12.75">
      <c r="A34157" s="2">
        <v>43875.366319444445</v>
      </c>
      <c r="B34157" t="str">
        <f>HYPERLINK("https://twitter.com/nuroch05","@nuroch05")</f>
        <v>@nuroch05</v>
      </c>
      <c r="C34157" t="s">
        <v>14257</v>
      </c>
      <c r="D34157">
        <v>0</v>
      </c>
      <c r="E34157">
        <v>0</v>
      </c>
      <c r="F34157">
        <v>109</v>
      </c>
    </row>
    <row r="34158" spans="1:6" ht="12.75">
      <c r="A34158" s="2">
        <v>43875.366284722222</v>
      </c>
      <c r="B34158" t="str">
        <f>HYPERLINK("https://twitter.com/ganafmargi","@ganafmargi")</f>
        <v>@ganafmargi</v>
      </c>
      <c r="C34158" t="s">
        <v>14258</v>
      </c>
      <c r="D34158">
        <v>0</v>
      </c>
      <c r="E34158">
        <v>0</v>
      </c>
      <c r="F34158">
        <v>540</v>
      </c>
    </row>
    <row r="34159" spans="1:6" ht="12.75">
      <c r="A34159" s="2">
        <v>43875.366238425922</v>
      </c>
      <c r="B34159" t="str">
        <f>HYPERLINK("https://twitter.com/djadasjah","@djadasjah")</f>
        <v>@djadasjah</v>
      </c>
      <c r="C34159" t="s">
        <v>9538</v>
      </c>
      <c r="D34159">
        <v>96</v>
      </c>
      <c r="E34159">
        <v>0</v>
      </c>
      <c r="F34159">
        <v>511</v>
      </c>
    </row>
    <row r="34160" spans="1:6" ht="12.75">
      <c r="A34160" s="2">
        <v>43875.366226851853</v>
      </c>
      <c r="B34160" t="str">
        <f t="shared" ref="B34160:B34161" si="395">HYPERLINK("https://twitter.com/Novi_priell","@Novi_priell")</f>
        <v>@Novi_priell</v>
      </c>
      <c r="C34160" t="s">
        <v>14259</v>
      </c>
      <c r="D34160">
        <v>2</v>
      </c>
      <c r="E34160">
        <v>0</v>
      </c>
      <c r="F34160">
        <v>9675</v>
      </c>
    </row>
    <row r="34161" spans="1:6" ht="12.75">
      <c r="A34161" s="2">
        <v>43875.366226851853</v>
      </c>
      <c r="B34161" t="str">
        <f t="shared" si="395"/>
        <v>@Novi_priell</v>
      </c>
      <c r="C34161" t="s">
        <v>14260</v>
      </c>
      <c r="D34161">
        <v>1</v>
      </c>
      <c r="E34161">
        <v>0</v>
      </c>
      <c r="F34161">
        <v>9675</v>
      </c>
    </row>
    <row r="34162" spans="1:6" ht="12.75">
      <c r="A34162" s="2">
        <v>43875.365983796291</v>
      </c>
      <c r="B34162" t="str">
        <f>HYPERLINK("https://twitter.com/Ferryan54658106","@Ferryan54658106")</f>
        <v>@Ferryan54658106</v>
      </c>
      <c r="C34162" t="s">
        <v>2963</v>
      </c>
      <c r="D34162">
        <v>471</v>
      </c>
      <c r="E34162">
        <v>0</v>
      </c>
      <c r="F34162">
        <v>1</v>
      </c>
    </row>
    <row r="34163" spans="1:6" ht="12.75">
      <c r="A34163" s="2">
        <v>43875.365972222222</v>
      </c>
      <c r="B34163" t="str">
        <f>HYPERLINK("https://twitter.com/AhnafMirza1","@AhnafMirza1")</f>
        <v>@AhnafMirza1</v>
      </c>
      <c r="C34163" t="s">
        <v>14040</v>
      </c>
      <c r="D34163">
        <v>2</v>
      </c>
      <c r="E34163">
        <v>0</v>
      </c>
      <c r="F34163">
        <v>159</v>
      </c>
    </row>
    <row r="34164" spans="1:6" ht="12.75">
      <c r="A34164" s="2">
        <v>43875.365949074076</v>
      </c>
      <c r="B34164" t="str">
        <f>HYPERLINK("https://twitter.com/Novi_priell","@Novi_priell")</f>
        <v>@Novi_priell</v>
      </c>
      <c r="C34164" t="s">
        <v>14261</v>
      </c>
      <c r="D34164">
        <v>1</v>
      </c>
      <c r="E34164">
        <v>0</v>
      </c>
      <c r="F34164">
        <v>9675</v>
      </c>
    </row>
    <row r="34165" spans="1:6" ht="12.75">
      <c r="A34165" s="2">
        <v>43875.365937499999</v>
      </c>
      <c r="B34165" t="str">
        <f>HYPERLINK("https://twitter.com/AnugrahArgaS6","@AnugrahArgaS6")</f>
        <v>@AnugrahArgaS6</v>
      </c>
      <c r="C34165" t="s">
        <v>2963</v>
      </c>
      <c r="D34165">
        <v>471</v>
      </c>
      <c r="E34165">
        <v>0</v>
      </c>
      <c r="F34165">
        <v>127</v>
      </c>
    </row>
    <row r="34166" spans="1:6" ht="12.75">
      <c r="A34166" s="2">
        <v>43875.365902777776</v>
      </c>
      <c r="B34166" t="str">
        <f>HYPERLINK("https://twitter.com/cactusnotcacti","@cactusnotcacti")</f>
        <v>@cactusnotcacti</v>
      </c>
      <c r="C34166" t="s">
        <v>2963</v>
      </c>
      <c r="D34166">
        <v>471</v>
      </c>
      <c r="E34166">
        <v>0</v>
      </c>
      <c r="F34166">
        <v>8</v>
      </c>
    </row>
    <row r="34167" spans="1:6" ht="12.75">
      <c r="A34167" s="2">
        <v>43875.365879629629</v>
      </c>
      <c r="B34167" t="str">
        <f>HYPERLINK("https://twitter.com/themasterPAS46","@themasterPAS46")</f>
        <v>@themasterPAS46</v>
      </c>
      <c r="C34167" t="s">
        <v>8252</v>
      </c>
      <c r="D34167">
        <v>481</v>
      </c>
      <c r="E34167">
        <v>0</v>
      </c>
      <c r="F34167">
        <v>1549</v>
      </c>
    </row>
    <row r="34168" spans="1:6" ht="12.75">
      <c r="A34168" s="2">
        <v>43875.365879629629</v>
      </c>
      <c r="B34168" t="str">
        <f>HYPERLINK("https://twitter.com/UnoDenk","@UnoDenk")</f>
        <v>@UnoDenk</v>
      </c>
      <c r="C34168" t="s">
        <v>10190</v>
      </c>
      <c r="D34168">
        <v>18</v>
      </c>
      <c r="E34168">
        <v>0</v>
      </c>
      <c r="F34168">
        <v>23</v>
      </c>
    </row>
    <row r="34169" spans="1:6" ht="12.75">
      <c r="A34169" s="2">
        <v>43875.365868055553</v>
      </c>
      <c r="B34169" t="str">
        <f>HYPERLINK("https://twitter.com/samacchiato","@samacchiato")</f>
        <v>@samacchiato</v>
      </c>
      <c r="C34169" t="s">
        <v>13053</v>
      </c>
      <c r="D34169">
        <v>38</v>
      </c>
      <c r="E34169">
        <v>0</v>
      </c>
      <c r="F34169">
        <v>202</v>
      </c>
    </row>
    <row r="34170" spans="1:6" ht="12.75">
      <c r="A34170" s="2">
        <v>43875.365856481483</v>
      </c>
      <c r="B34170" t="str">
        <f>HYPERLINK("https://twitter.com/agoessp","@agoessp")</f>
        <v>@agoessp</v>
      </c>
      <c r="C34170" t="s">
        <v>14262</v>
      </c>
      <c r="D34170">
        <v>2</v>
      </c>
      <c r="E34170">
        <v>0</v>
      </c>
      <c r="F34170">
        <v>129</v>
      </c>
    </row>
    <row r="34171" spans="1:6" ht="12.75">
      <c r="A34171" s="2">
        <v>43875.36582175926</v>
      </c>
      <c r="B34171" t="str">
        <f>HYPERLINK("https://twitter.com/balokkayu76","@balokkayu76")</f>
        <v>@balokkayu76</v>
      </c>
      <c r="C34171" t="s">
        <v>2963</v>
      </c>
      <c r="D34171">
        <v>471</v>
      </c>
      <c r="E34171">
        <v>0</v>
      </c>
      <c r="F34171">
        <v>350</v>
      </c>
    </row>
    <row r="34172" spans="1:6" ht="12.75">
      <c r="A34172" s="2">
        <v>43875.36582175926</v>
      </c>
      <c r="B34172" t="str">
        <f>HYPERLINK("https://twitter.com/FaqihSyahrir","@FaqihSyahrir")</f>
        <v>@FaqihSyahrir</v>
      </c>
      <c r="C34172" t="s">
        <v>14263</v>
      </c>
      <c r="D34172">
        <v>0</v>
      </c>
      <c r="E34172">
        <v>0</v>
      </c>
      <c r="F34172">
        <v>590</v>
      </c>
    </row>
    <row r="34173" spans="1:6" ht="12.75">
      <c r="A34173" s="2">
        <v>43875.365810185191</v>
      </c>
      <c r="B34173" t="str">
        <f>HYPERLINK("https://twitter.com/kngsgt","@kngsgt")</f>
        <v>@kngsgt</v>
      </c>
      <c r="C34173" t="s">
        <v>2963</v>
      </c>
      <c r="D34173">
        <v>471</v>
      </c>
      <c r="E34173">
        <v>0</v>
      </c>
      <c r="F34173">
        <v>108</v>
      </c>
    </row>
    <row r="34174" spans="1:6" ht="12.75">
      <c r="A34174" s="2">
        <v>43875.365763888884</v>
      </c>
      <c r="B34174" t="str">
        <f>HYPERLINK("https://twitter.com/ambarukmo15","@ambarukmo15")</f>
        <v>@ambarukmo15</v>
      </c>
      <c r="C34174" t="s">
        <v>10330</v>
      </c>
      <c r="D34174">
        <v>192</v>
      </c>
      <c r="E34174">
        <v>0</v>
      </c>
      <c r="F34174">
        <v>48</v>
      </c>
    </row>
    <row r="34175" spans="1:6" ht="12.75">
      <c r="A34175" s="2">
        <v>43875.365729166668</v>
      </c>
      <c r="B34175" t="str">
        <f>HYPERLINK("https://twitter.com/holmes_sigiro","@holmes_sigiro")</f>
        <v>@holmes_sigiro</v>
      </c>
      <c r="C34175" t="s">
        <v>11087</v>
      </c>
      <c r="D34175">
        <v>8</v>
      </c>
      <c r="E34175">
        <v>0</v>
      </c>
      <c r="F34175">
        <v>342</v>
      </c>
    </row>
    <row r="34176" spans="1:6" ht="12.75">
      <c r="A34176" s="2">
        <v>43875.365717592591</v>
      </c>
      <c r="B34176" t="str">
        <f>HYPERLINK("https://twitter.com/KPUGate","@KPUGate")</f>
        <v>@KPUGate</v>
      </c>
      <c r="C34176" t="s">
        <v>10279</v>
      </c>
      <c r="D34176">
        <v>0</v>
      </c>
      <c r="E34176">
        <v>3</v>
      </c>
      <c r="F34176">
        <v>4169</v>
      </c>
    </row>
    <row r="34177" spans="1:6" ht="12.75">
      <c r="A34177" s="2">
        <v>43875.365671296298</v>
      </c>
      <c r="B34177" t="str">
        <f>HYPERLINK("https://twitter.com/parmabar","@parmabar")</f>
        <v>@parmabar</v>
      </c>
      <c r="C34177" t="s">
        <v>14264</v>
      </c>
      <c r="D34177">
        <v>1</v>
      </c>
      <c r="E34177">
        <v>0</v>
      </c>
      <c r="F34177">
        <v>1392</v>
      </c>
    </row>
    <row r="34178" spans="1:6" ht="12.75">
      <c r="A34178" s="2">
        <v>43875.365659722222</v>
      </c>
      <c r="B34178" t="str">
        <f>HYPERLINK("https://twitter.com/KaimanaPoem","@KaimanaPoem")</f>
        <v>@KaimanaPoem</v>
      </c>
      <c r="C34178" t="s">
        <v>14265</v>
      </c>
      <c r="D34178">
        <v>0</v>
      </c>
      <c r="E34178">
        <v>0</v>
      </c>
      <c r="F34178">
        <v>1286</v>
      </c>
    </row>
    <row r="34179" spans="1:6" ht="12.75">
      <c r="A34179" s="2">
        <v>43875.365613425922</v>
      </c>
      <c r="B34179" t="str">
        <f>HYPERLINK("https://twitter.com/mayualleira","@mayualleira")</f>
        <v>@mayualleira</v>
      </c>
      <c r="C34179" t="s">
        <v>14266</v>
      </c>
      <c r="D34179">
        <v>0</v>
      </c>
      <c r="E34179">
        <v>0</v>
      </c>
      <c r="F34179">
        <v>27</v>
      </c>
    </row>
    <row r="34180" spans="1:6" ht="12.75">
      <c r="A34180" s="2">
        <v>43875.365520833337</v>
      </c>
      <c r="B34180" t="str">
        <f>HYPERLINK("https://twitter.com/ElshintaTegal_","@ElshintaTegal_")</f>
        <v>@ElshintaTegal_</v>
      </c>
      <c r="C34180" t="s">
        <v>14267</v>
      </c>
      <c r="D34180">
        <v>4</v>
      </c>
      <c r="E34180">
        <v>0</v>
      </c>
      <c r="F34180">
        <v>29</v>
      </c>
    </row>
    <row r="34181" spans="1:6" ht="12.75">
      <c r="A34181" s="2">
        <v>43875.365474537037</v>
      </c>
      <c r="B34181" t="str">
        <f>HYPERLINK("https://twitter.com/kangsemproel","@kangsemproel")</f>
        <v>@kangsemproel</v>
      </c>
      <c r="C34181" t="s">
        <v>14040</v>
      </c>
      <c r="D34181">
        <v>2</v>
      </c>
      <c r="E34181">
        <v>0</v>
      </c>
      <c r="F34181">
        <v>28192</v>
      </c>
    </row>
    <row r="34182" spans="1:6" ht="12.75">
      <c r="A34182" s="2">
        <v>43875.36546296296</v>
      </c>
      <c r="B34182" t="str">
        <f>HYPERLINK("https://twitter.com/WillaFernando","@WillaFernando")</f>
        <v>@WillaFernando</v>
      </c>
      <c r="C34182" t="s">
        <v>14268</v>
      </c>
      <c r="D34182">
        <v>0</v>
      </c>
      <c r="E34182">
        <v>0</v>
      </c>
      <c r="F34182">
        <v>992</v>
      </c>
    </row>
    <row r="34183" spans="1:6" ht="12.75">
      <c r="A34183" s="2">
        <v>43875.365358796298</v>
      </c>
      <c r="B34183" t="str">
        <f>HYPERLINK("https://twitter.com/andygracia80","@andygracia80")</f>
        <v>@andygracia80</v>
      </c>
      <c r="C34183" t="s">
        <v>9263</v>
      </c>
      <c r="D34183">
        <v>71</v>
      </c>
      <c r="E34183">
        <v>0</v>
      </c>
      <c r="F34183">
        <v>209</v>
      </c>
    </row>
    <row r="34184" spans="1:6" ht="12.75">
      <c r="A34184" s="2">
        <v>43875.36519675926</v>
      </c>
      <c r="B34184" t="str">
        <f>HYPERLINK("https://twitter.com/c0dx1412","@c0dx1412")</f>
        <v>@c0dx1412</v>
      </c>
      <c r="C34184" t="s">
        <v>14269</v>
      </c>
      <c r="D34184">
        <v>0</v>
      </c>
      <c r="E34184">
        <v>0</v>
      </c>
      <c r="F34184">
        <v>209</v>
      </c>
    </row>
    <row r="34185" spans="1:6" ht="12.75">
      <c r="A34185" s="2">
        <v>43875.364988425921</v>
      </c>
      <c r="B34185" t="str">
        <f>HYPERLINK("https://twitter.com/Rita8213","@Rita8213")</f>
        <v>@Rita8213</v>
      </c>
      <c r="C34185" t="s">
        <v>14270</v>
      </c>
      <c r="D34185">
        <v>0</v>
      </c>
      <c r="E34185">
        <v>0</v>
      </c>
      <c r="F34185">
        <v>107</v>
      </c>
    </row>
    <row r="34186" spans="1:6" ht="12.75">
      <c r="A34186" s="2">
        <v>43875.364976851852</v>
      </c>
      <c r="B34186" t="str">
        <f>HYPERLINK("https://twitter.com/endanghidayat","@endanghidayat")</f>
        <v>@endanghidayat</v>
      </c>
      <c r="C34186" t="s">
        <v>9538</v>
      </c>
      <c r="D34186">
        <v>96</v>
      </c>
      <c r="E34186">
        <v>0</v>
      </c>
      <c r="F34186">
        <v>616</v>
      </c>
    </row>
    <row r="34187" spans="1:6" ht="12.75">
      <c r="A34187" s="2">
        <v>43875.364942129629</v>
      </c>
      <c r="B34187" t="str">
        <f>HYPERLINK("https://twitter.com/ricky_priyatno","@ricky_priyatno")</f>
        <v>@ricky_priyatno</v>
      </c>
      <c r="C34187" t="s">
        <v>2086</v>
      </c>
      <c r="D34187">
        <v>11</v>
      </c>
      <c r="E34187">
        <v>0</v>
      </c>
      <c r="F34187">
        <v>90</v>
      </c>
    </row>
    <row r="34188" spans="1:6" ht="12.75">
      <c r="A34188" s="2">
        <v>43875.364837962959</v>
      </c>
      <c r="B34188" t="str">
        <f>HYPERLINK("https://twitter.com/fariji_lacak","@fariji_lacak")</f>
        <v>@fariji_lacak</v>
      </c>
      <c r="C34188" t="s">
        <v>14271</v>
      </c>
      <c r="D34188">
        <v>0</v>
      </c>
      <c r="E34188">
        <v>0</v>
      </c>
      <c r="F34188">
        <v>3179</v>
      </c>
    </row>
    <row r="34189" spans="1:6" ht="12.75">
      <c r="A34189" s="2">
        <v>43875.364791666667</v>
      </c>
      <c r="B34189" t="str">
        <f>HYPERLINK("https://twitter.com/AdrianR3Y","@AdrianR3Y")</f>
        <v>@AdrianR3Y</v>
      </c>
      <c r="C34189" t="s">
        <v>9113</v>
      </c>
      <c r="D34189">
        <v>251</v>
      </c>
      <c r="E34189">
        <v>0</v>
      </c>
      <c r="F34189">
        <v>2145</v>
      </c>
    </row>
    <row r="34190" spans="1:6" ht="12.75">
      <c r="A34190" s="2">
        <v>43875.364722222221</v>
      </c>
      <c r="B34190" t="str">
        <f>HYPERLINK("https://twitter.com/santy_novi","@santy_novi")</f>
        <v>@santy_novi</v>
      </c>
      <c r="C34190" t="s">
        <v>14272</v>
      </c>
      <c r="D34190">
        <v>0</v>
      </c>
      <c r="E34190">
        <v>0</v>
      </c>
      <c r="F34190">
        <v>102</v>
      </c>
    </row>
    <row r="34191" spans="1:6" ht="12.75">
      <c r="A34191" s="2">
        <v>43875.364641203705</v>
      </c>
      <c r="B34191" t="str">
        <f>HYPERLINK("https://twitter.com/atmajawirin","@atmajawirin")</f>
        <v>@atmajawirin</v>
      </c>
      <c r="C34191" t="s">
        <v>12088</v>
      </c>
      <c r="D34191">
        <v>5</v>
      </c>
      <c r="E34191">
        <v>0</v>
      </c>
      <c r="F34191">
        <v>162</v>
      </c>
    </row>
    <row r="34192" spans="1:6" ht="12.75">
      <c r="A34192" s="2">
        <v>43875.364629629628</v>
      </c>
      <c r="B34192" t="str">
        <f>HYPERLINK("https://twitter.com/7pluss2","@7pluss2")</f>
        <v>@7pluss2</v>
      </c>
      <c r="C34192" t="s">
        <v>14273</v>
      </c>
      <c r="D34192">
        <v>3</v>
      </c>
      <c r="E34192">
        <v>0</v>
      </c>
      <c r="F34192">
        <v>137</v>
      </c>
    </row>
    <row r="34193" spans="1:6" ht="12.75">
      <c r="A34193" s="2">
        <v>43875.364606481482</v>
      </c>
      <c r="B34193" t="str">
        <f>HYPERLINK("https://twitter.com/KangAzzev","@KangAzzev")</f>
        <v>@KangAzzev</v>
      </c>
      <c r="C34193" t="s">
        <v>2963</v>
      </c>
      <c r="D34193">
        <v>471</v>
      </c>
      <c r="E34193">
        <v>0</v>
      </c>
      <c r="F34193">
        <v>709</v>
      </c>
    </row>
    <row r="34194" spans="1:6" ht="12.75">
      <c r="A34194" s="2">
        <v>43875.364479166667</v>
      </c>
      <c r="B34194" t="str">
        <f>HYPERLINK("https://twitter.com/BKuhwor","@BKuhwor")</f>
        <v>@BKuhwor</v>
      </c>
      <c r="C34194" t="s">
        <v>14274</v>
      </c>
      <c r="D34194">
        <v>0</v>
      </c>
      <c r="E34194">
        <v>0</v>
      </c>
      <c r="F34194">
        <v>8</v>
      </c>
    </row>
    <row r="34195" spans="1:6" ht="12.75">
      <c r="A34195" s="2">
        <v>43875.36446759259</v>
      </c>
      <c r="B34195" t="str">
        <f>HYPERLINK("https://twitter.com/myusician","@myusician")</f>
        <v>@myusician</v>
      </c>
      <c r="C34195" t="s">
        <v>5168</v>
      </c>
      <c r="D34195">
        <v>411</v>
      </c>
      <c r="E34195">
        <v>0</v>
      </c>
      <c r="F34195">
        <v>302</v>
      </c>
    </row>
    <row r="34196" spans="1:6" ht="12.75">
      <c r="A34196" s="2">
        <v>43875.36446759259</v>
      </c>
      <c r="B34196" t="str">
        <f>HYPERLINK("https://twitter.com/RickyLo03813307","@RickyLo03813307")</f>
        <v>@RickyLo03813307</v>
      </c>
      <c r="C34196" t="s">
        <v>14275</v>
      </c>
      <c r="D34196">
        <v>1</v>
      </c>
      <c r="E34196">
        <v>2</v>
      </c>
      <c r="F34196">
        <v>3</v>
      </c>
    </row>
    <row r="34197" spans="1:6" ht="12.75">
      <c r="A34197" s="2">
        <v>43875.364351851851</v>
      </c>
      <c r="B34197" t="str">
        <f>HYPERLINK("https://twitter.com/atmajawirin","@atmajawirin")</f>
        <v>@atmajawirin</v>
      </c>
      <c r="C34197" t="s">
        <v>9021</v>
      </c>
      <c r="D34197">
        <v>151</v>
      </c>
      <c r="E34197">
        <v>0</v>
      </c>
      <c r="F34197">
        <v>162</v>
      </c>
    </row>
    <row r="34198" spans="1:6" ht="12.75">
      <c r="A34198" s="2">
        <v>43875.364293981482</v>
      </c>
      <c r="B34198" t="str">
        <f>HYPERLINK("https://twitter.com/Edy0505ssEdy","@Edy0505ssEdy")</f>
        <v>@Edy0505ssEdy</v>
      </c>
      <c r="C34198" t="s">
        <v>9947</v>
      </c>
      <c r="D34198">
        <v>319</v>
      </c>
      <c r="E34198">
        <v>0</v>
      </c>
      <c r="F34198">
        <v>15</v>
      </c>
    </row>
    <row r="34199" spans="1:6" ht="12.75">
      <c r="A34199" s="2">
        <v>43875.364236111112</v>
      </c>
      <c r="B34199" t="str">
        <f>HYPERLINK("https://twitter.com/LaRose78992426","@LaRose78992426")</f>
        <v>@LaRose78992426</v>
      </c>
      <c r="C34199" t="s">
        <v>9096</v>
      </c>
      <c r="D34199">
        <v>155</v>
      </c>
      <c r="E34199">
        <v>0</v>
      </c>
      <c r="F34199">
        <v>258</v>
      </c>
    </row>
    <row r="34200" spans="1:6" ht="12.75">
      <c r="A34200" s="2">
        <v>43875.364224537036</v>
      </c>
      <c r="B34200" t="str">
        <f>HYPERLINK("https://twitter.com/Kenzu_KPTB","@Kenzu_KPTB")</f>
        <v>@Kenzu_KPTB</v>
      </c>
      <c r="C34200" t="s">
        <v>2963</v>
      </c>
      <c r="D34200">
        <v>471</v>
      </c>
      <c r="E34200">
        <v>0</v>
      </c>
      <c r="F34200">
        <v>1933</v>
      </c>
    </row>
    <row r="34201" spans="1:6" ht="12.75">
      <c r="A34201" s="2">
        <v>43875.364212962959</v>
      </c>
      <c r="B34201" t="str">
        <f>HYPERLINK("https://twitter.com/FArmijn","@FArmijn")</f>
        <v>@FArmijn</v>
      </c>
      <c r="C34201" t="s">
        <v>14276</v>
      </c>
      <c r="D34201">
        <v>1</v>
      </c>
      <c r="E34201">
        <v>0</v>
      </c>
      <c r="F34201">
        <v>398</v>
      </c>
    </row>
    <row r="34202" spans="1:6" ht="12.75">
      <c r="A34202" s="2">
        <v>43875.364004629635</v>
      </c>
      <c r="B34202" t="str">
        <f>HYPERLINK("https://twitter.com/gregoriuskim_","@gregoriuskim_")</f>
        <v>@gregoriuskim_</v>
      </c>
      <c r="C34202" t="s">
        <v>14277</v>
      </c>
      <c r="D34202">
        <v>0</v>
      </c>
      <c r="E34202">
        <v>0</v>
      </c>
      <c r="F34202">
        <v>39</v>
      </c>
    </row>
    <row r="34203" spans="1:6" ht="12.75">
      <c r="A34203" s="2">
        <v>43875.363935185189</v>
      </c>
      <c r="B34203" t="str">
        <f>HYPERLINK("https://twitter.com/Amri_Senin","@Amri_Senin")</f>
        <v>@Amri_Senin</v>
      </c>
      <c r="C34203" t="s">
        <v>2963</v>
      </c>
      <c r="D34203">
        <v>471</v>
      </c>
      <c r="E34203">
        <v>0</v>
      </c>
      <c r="F34203">
        <v>468</v>
      </c>
    </row>
    <row r="34204" spans="1:6" ht="12.75">
      <c r="A34204" s="2">
        <v>43875.363935185189</v>
      </c>
      <c r="B34204" t="str">
        <f>HYPERLINK("https://twitter.com/PJustitia7","@PJustitia7")</f>
        <v>@PJustitia7</v>
      </c>
      <c r="C34204" t="s">
        <v>14278</v>
      </c>
      <c r="D34204">
        <v>0</v>
      </c>
      <c r="E34204">
        <v>0</v>
      </c>
      <c r="F34204">
        <v>650</v>
      </c>
    </row>
    <row r="34205" spans="1:6" ht="12.75">
      <c r="A34205" s="2">
        <v>43875.363923611112</v>
      </c>
      <c r="B34205" t="str">
        <f>HYPERLINK("https://twitter.com/AridanuC","@AridanuC")</f>
        <v>@AridanuC</v>
      </c>
      <c r="C34205" t="s">
        <v>14279</v>
      </c>
      <c r="D34205">
        <v>0</v>
      </c>
      <c r="E34205">
        <v>0</v>
      </c>
      <c r="F34205">
        <v>250</v>
      </c>
    </row>
    <row r="34206" spans="1:6" ht="12.75">
      <c r="A34206" s="2">
        <v>43875.363900462966</v>
      </c>
      <c r="B34206" t="str">
        <f>HYPERLINK("https://twitter.com/lawanprovokator","@lawanprovokator")</f>
        <v>@lawanprovokator</v>
      </c>
      <c r="C34206" t="s">
        <v>9113</v>
      </c>
      <c r="D34206">
        <v>251</v>
      </c>
      <c r="E34206">
        <v>0</v>
      </c>
      <c r="F34206">
        <v>219</v>
      </c>
    </row>
    <row r="34207" spans="1:6" ht="12.75">
      <c r="A34207" s="2">
        <v>43875.363888888889</v>
      </c>
      <c r="B34207" t="str">
        <f>HYPERLINK("https://twitter.com/PolresBerau","@PolresBerau")</f>
        <v>@PolresBerau</v>
      </c>
      <c r="C34207" t="s">
        <v>14280</v>
      </c>
      <c r="D34207">
        <v>0</v>
      </c>
      <c r="E34207">
        <v>0</v>
      </c>
      <c r="F34207">
        <v>229</v>
      </c>
    </row>
    <row r="34208" spans="1:6" ht="12.75">
      <c r="A34208" s="2">
        <v>43875.363877314812</v>
      </c>
      <c r="B34208" t="str">
        <f>HYPERLINK("https://twitter.com/kuninggemilang","@kuninggemilang")</f>
        <v>@kuninggemilang</v>
      </c>
      <c r="C34208" t="s">
        <v>14281</v>
      </c>
      <c r="D34208">
        <v>0</v>
      </c>
      <c r="E34208">
        <v>0</v>
      </c>
      <c r="F34208">
        <v>3913</v>
      </c>
    </row>
    <row r="34209" spans="1:6" ht="12.75">
      <c r="A34209" s="2">
        <v>43875.363715277781</v>
      </c>
      <c r="B34209" t="str">
        <f>HYPERLINK("https://twitter.com/AhnafMirza1","@AhnafMirza1")</f>
        <v>@AhnafMirza1</v>
      </c>
      <c r="C34209" t="s">
        <v>10096</v>
      </c>
      <c r="D34209">
        <v>67</v>
      </c>
      <c r="E34209">
        <v>0</v>
      </c>
      <c r="F34209">
        <v>159</v>
      </c>
    </row>
    <row r="34210" spans="1:6" ht="12.75">
      <c r="A34210" s="2">
        <v>43875.363703703704</v>
      </c>
      <c r="B34210" t="str">
        <f>HYPERLINK("https://twitter.com/asepmilagrosptk","@asepmilagrosptk")</f>
        <v>@asepmilagrosptk</v>
      </c>
      <c r="C34210" t="s">
        <v>14282</v>
      </c>
      <c r="D34210">
        <v>0</v>
      </c>
      <c r="E34210">
        <v>0</v>
      </c>
      <c r="F34210">
        <v>2046</v>
      </c>
    </row>
    <row r="34211" spans="1:6" ht="12.75">
      <c r="A34211" s="2">
        <v>43875.363622685181</v>
      </c>
      <c r="B34211" t="str">
        <f>HYPERLINK("https://twitter.com/K_Muslim_UNRAM","@K_Muslim_UNRAM")</f>
        <v>@K_Muslim_UNRAM</v>
      </c>
      <c r="C34211" t="s">
        <v>9096</v>
      </c>
      <c r="D34211">
        <v>155</v>
      </c>
      <c r="E34211">
        <v>0</v>
      </c>
      <c r="F34211">
        <v>1445</v>
      </c>
    </row>
    <row r="34212" spans="1:6" ht="12.75">
      <c r="A34212" s="2">
        <v>43875.363553240742</v>
      </c>
      <c r="B34212" t="str">
        <f>HYPERLINK("https://twitter.com/adillaS3","@adillaS3")</f>
        <v>@adillaS3</v>
      </c>
      <c r="C34212" t="s">
        <v>9113</v>
      </c>
      <c r="D34212">
        <v>251</v>
      </c>
      <c r="E34212">
        <v>0</v>
      </c>
      <c r="F34212">
        <v>2441</v>
      </c>
    </row>
    <row r="34213" spans="1:6" ht="12.75">
      <c r="A34213" s="2">
        <v>43875.363530092596</v>
      </c>
      <c r="B34213" t="str">
        <f>HYPERLINK("https://twitter.com/youdie_r16","@youdie_r16")</f>
        <v>@youdie_r16</v>
      </c>
      <c r="C34213" t="s">
        <v>14283</v>
      </c>
      <c r="D34213">
        <v>262</v>
      </c>
      <c r="E34213">
        <v>0</v>
      </c>
      <c r="F34213">
        <v>3696</v>
      </c>
    </row>
    <row r="34214" spans="1:6" ht="12.75">
      <c r="A34214" s="2">
        <v>43875.363425925927</v>
      </c>
      <c r="B34214" t="str">
        <f>HYPERLINK("https://twitter.com/Firman78037840","@Firman78037840")</f>
        <v>@Firman78037840</v>
      </c>
      <c r="C34214" t="s">
        <v>14284</v>
      </c>
      <c r="D34214">
        <v>0</v>
      </c>
      <c r="E34214">
        <v>0</v>
      </c>
      <c r="F34214">
        <v>2</v>
      </c>
    </row>
    <row r="34215" spans="1:6" ht="12.75">
      <c r="A34215" s="2">
        <v>43875.363217592589</v>
      </c>
      <c r="B34215" t="str">
        <f>HYPERLINK("https://twitter.com/Michael79820241","@Michael79820241")</f>
        <v>@Michael79820241</v>
      </c>
      <c r="C34215" t="s">
        <v>13369</v>
      </c>
      <c r="D34215">
        <v>3</v>
      </c>
      <c r="E34215">
        <v>0</v>
      </c>
      <c r="F34215">
        <v>91</v>
      </c>
    </row>
    <row r="34216" spans="1:6" ht="12.75">
      <c r="A34216" s="2">
        <v>43875.363206018519</v>
      </c>
      <c r="B34216" t="str">
        <f>HYPERLINK("https://twitter.com/vidalavidah","@vidalavidah")</f>
        <v>@vidalavidah</v>
      </c>
      <c r="C34216" t="s">
        <v>14285</v>
      </c>
      <c r="D34216">
        <v>0</v>
      </c>
      <c r="E34216">
        <v>0</v>
      </c>
      <c r="F34216">
        <v>167</v>
      </c>
    </row>
    <row r="34217" spans="1:6" ht="12.75">
      <c r="A34217" s="2">
        <v>43875.363136574073</v>
      </c>
      <c r="B34217" t="str">
        <f>HYPERLINK("https://twitter.com/vionaditha","@vionaditha")</f>
        <v>@vionaditha</v>
      </c>
      <c r="C34217" t="s">
        <v>14286</v>
      </c>
      <c r="D34217">
        <v>0</v>
      </c>
      <c r="E34217">
        <v>0</v>
      </c>
      <c r="F34217">
        <v>150</v>
      </c>
    </row>
    <row r="34218" spans="1:6" ht="12.75">
      <c r="A34218" s="2">
        <v>43875.363113425927</v>
      </c>
      <c r="B34218" t="str">
        <f>HYPERLINK("https://twitter.com/dfajry01","@dfajry01")</f>
        <v>@dfajry01</v>
      </c>
      <c r="C34218" t="s">
        <v>10247</v>
      </c>
      <c r="D34218">
        <v>1</v>
      </c>
      <c r="E34218">
        <v>0</v>
      </c>
      <c r="F34218">
        <v>2972</v>
      </c>
    </row>
    <row r="34219" spans="1:6" ht="12.75">
      <c r="A34219" s="2">
        <v>43875.36309027778</v>
      </c>
      <c r="B34219" t="str">
        <f t="shared" ref="B34219:B34220" si="396">HYPERLINK("https://twitter.com/vionaditha","@vionaditha")</f>
        <v>@vionaditha</v>
      </c>
      <c r="C34219" t="s">
        <v>14286</v>
      </c>
      <c r="D34219">
        <v>0</v>
      </c>
      <c r="E34219">
        <v>0</v>
      </c>
      <c r="F34219">
        <v>150</v>
      </c>
    </row>
    <row r="34220" spans="1:6" ht="12.75">
      <c r="A34220" s="2">
        <v>43875.363067129627</v>
      </c>
      <c r="B34220" t="str">
        <f t="shared" si="396"/>
        <v>@vionaditha</v>
      </c>
      <c r="C34220" t="s">
        <v>14286</v>
      </c>
      <c r="D34220">
        <v>0</v>
      </c>
      <c r="E34220">
        <v>0</v>
      </c>
      <c r="F34220">
        <v>150</v>
      </c>
    </row>
    <row r="34221" spans="1:6" ht="12.75">
      <c r="A34221" s="2">
        <v>43875.363043981481</v>
      </c>
      <c r="B34221" t="str">
        <f>HYPERLINK("https://twitter.com/primasari991","@primasari991")</f>
        <v>@primasari991</v>
      </c>
      <c r="C34221" t="s">
        <v>9113</v>
      </c>
      <c r="D34221">
        <v>251</v>
      </c>
      <c r="E34221">
        <v>0</v>
      </c>
      <c r="F34221">
        <v>222</v>
      </c>
    </row>
    <row r="34222" spans="1:6" ht="12.75">
      <c r="A34222" s="2">
        <v>43875.363032407404</v>
      </c>
      <c r="B34222" t="str">
        <f t="shared" ref="B34222:B34223" si="397">HYPERLINK("https://twitter.com/vionaditha","@vionaditha")</f>
        <v>@vionaditha</v>
      </c>
      <c r="C34222" t="s">
        <v>14286</v>
      </c>
      <c r="D34222">
        <v>0</v>
      </c>
      <c r="E34222">
        <v>0</v>
      </c>
      <c r="F34222">
        <v>150</v>
      </c>
    </row>
    <row r="34223" spans="1:6" ht="12.75">
      <c r="A34223" s="2">
        <v>43875.362997685181</v>
      </c>
      <c r="B34223" t="str">
        <f t="shared" si="397"/>
        <v>@vionaditha</v>
      </c>
      <c r="C34223" t="s">
        <v>14286</v>
      </c>
      <c r="D34223">
        <v>0</v>
      </c>
      <c r="E34223">
        <v>0</v>
      </c>
      <c r="F34223">
        <v>150</v>
      </c>
    </row>
    <row r="34224" spans="1:6" ht="12.75">
      <c r="A34224" s="2">
        <v>43875.362916666665</v>
      </c>
      <c r="B34224" t="str">
        <f>HYPERLINK("https://twitter.com/momodorenai","@momodorenai")</f>
        <v>@momodorenai</v>
      </c>
      <c r="C34224" t="s">
        <v>2137</v>
      </c>
      <c r="D34224">
        <v>22</v>
      </c>
      <c r="E34224">
        <v>0</v>
      </c>
      <c r="F34224">
        <v>401</v>
      </c>
    </row>
    <row r="34225" spans="1:6" ht="12.75">
      <c r="A34225" s="2">
        <v>43875.362847222219</v>
      </c>
      <c r="B34225" t="str">
        <f>HYPERLINK("https://twitter.com/fadjroeL","@fadjroeL")</f>
        <v>@fadjroeL</v>
      </c>
      <c r="C34225" t="s">
        <v>2086</v>
      </c>
      <c r="D34225">
        <v>11</v>
      </c>
      <c r="E34225">
        <v>0</v>
      </c>
      <c r="F34225">
        <v>994751</v>
      </c>
    </row>
    <row r="34226" spans="1:6" ht="12.75">
      <c r="A34226" s="2">
        <v>43875.362766203703</v>
      </c>
      <c r="B34226" t="str">
        <f>HYPERLINK("https://twitter.com/affanusman","@affanusman")</f>
        <v>@affanusman</v>
      </c>
      <c r="C34226" t="s">
        <v>14287</v>
      </c>
      <c r="D34226">
        <v>53</v>
      </c>
      <c r="E34226">
        <v>0</v>
      </c>
      <c r="F34226">
        <v>120</v>
      </c>
    </row>
    <row r="34227" spans="1:6" ht="12.75">
      <c r="A34227" s="2">
        <v>43875.36273148148</v>
      </c>
      <c r="B34227" t="str">
        <f>HYPERLINK("https://twitter.com/_haribangkit_","@_haribangkit_")</f>
        <v>@_haribangkit_</v>
      </c>
      <c r="C34227" t="s">
        <v>14288</v>
      </c>
      <c r="D34227">
        <v>0</v>
      </c>
      <c r="E34227">
        <v>1</v>
      </c>
      <c r="F34227">
        <v>2166</v>
      </c>
    </row>
    <row r="34228" spans="1:6" ht="12.75">
      <c r="A34228" s="2">
        <v>43875.362615740742</v>
      </c>
      <c r="B34228" t="str">
        <f>HYPERLINK("https://twitter.com/naylsyaa","@naylsyaa")</f>
        <v>@naylsyaa</v>
      </c>
      <c r="C34228" t="s">
        <v>175</v>
      </c>
      <c r="D34228">
        <v>5228</v>
      </c>
      <c r="E34228">
        <v>0</v>
      </c>
      <c r="F34228">
        <v>322</v>
      </c>
    </row>
    <row r="34229" spans="1:6" ht="12.75">
      <c r="A34229" s="2">
        <v>43875.362569444449</v>
      </c>
      <c r="B34229" t="str">
        <f>HYPERLINK("https://twitter.com/suhmanto","@suhmanto")</f>
        <v>@suhmanto</v>
      </c>
      <c r="C34229" t="s">
        <v>12834</v>
      </c>
      <c r="D34229">
        <v>413</v>
      </c>
      <c r="E34229">
        <v>0</v>
      </c>
      <c r="F34229">
        <v>203</v>
      </c>
    </row>
    <row r="34230" spans="1:6" ht="12.75">
      <c r="A34230" s="2">
        <v>43875.362546296295</v>
      </c>
      <c r="B34230" t="str">
        <f>HYPERLINK("https://twitter.com/siRadjaAteul","@siRadjaAteul")</f>
        <v>@siRadjaAteul</v>
      </c>
      <c r="C34230" t="s">
        <v>14289</v>
      </c>
      <c r="D34230">
        <v>18</v>
      </c>
      <c r="E34230">
        <v>0</v>
      </c>
      <c r="F34230">
        <v>454</v>
      </c>
    </row>
    <row r="34231" spans="1:6" ht="12.75">
      <c r="A34231" s="2">
        <v>43875.362511574072</v>
      </c>
      <c r="B34231" t="str">
        <f>HYPERLINK("https://twitter.com/sohabatgurun_","@sohabatgurun_")</f>
        <v>@sohabatgurun_</v>
      </c>
      <c r="C34231" t="s">
        <v>14290</v>
      </c>
      <c r="D34231">
        <v>0</v>
      </c>
      <c r="E34231">
        <v>0</v>
      </c>
      <c r="F34231">
        <v>1560</v>
      </c>
    </row>
    <row r="34232" spans="1:6" ht="12.75">
      <c r="A34232" s="2">
        <v>43875.362442129626</v>
      </c>
      <c r="B34232" t="str">
        <f>HYPERLINK("https://twitter.com/AtunPepenHudaya","@AtunPepenHudaya")</f>
        <v>@AtunPepenHudaya</v>
      </c>
      <c r="C34232" t="s">
        <v>14291</v>
      </c>
      <c r="D34232">
        <v>0</v>
      </c>
      <c r="E34232">
        <v>0</v>
      </c>
      <c r="F34232">
        <v>3514</v>
      </c>
    </row>
    <row r="34233" spans="1:6" ht="12.75">
      <c r="A34233" s="2">
        <v>43875.362395833334</v>
      </c>
      <c r="B34233" t="str">
        <f>HYPERLINK("https://twitter.com/psychosaligia","@psychosaligia")</f>
        <v>@psychosaligia</v>
      </c>
      <c r="C34233" t="s">
        <v>13437</v>
      </c>
      <c r="D34233">
        <v>2</v>
      </c>
      <c r="E34233">
        <v>0</v>
      </c>
      <c r="F34233">
        <v>70</v>
      </c>
    </row>
    <row r="34234" spans="1:6" ht="12.75">
      <c r="A34234" s="2">
        <v>43875.36237268518</v>
      </c>
      <c r="B34234" t="str">
        <f>HYPERLINK("https://twitter.com/MuntaliSyafii","@MuntaliSyafii")</f>
        <v>@MuntaliSyafii</v>
      </c>
      <c r="C34234" t="s">
        <v>8233</v>
      </c>
      <c r="D34234">
        <v>287</v>
      </c>
      <c r="E34234">
        <v>0</v>
      </c>
      <c r="F34234">
        <v>44</v>
      </c>
    </row>
    <row r="34235" spans="1:6" ht="12.75">
      <c r="A34235" s="2">
        <v>43875.362349537041</v>
      </c>
      <c r="B34235" t="str">
        <f>HYPERLINK("https://twitter.com/svargadrinks","@svargadrinks")</f>
        <v>@svargadrinks</v>
      </c>
      <c r="C34235" t="s">
        <v>10200</v>
      </c>
      <c r="D34235">
        <v>22</v>
      </c>
      <c r="E34235">
        <v>0</v>
      </c>
      <c r="F34235">
        <v>26</v>
      </c>
    </row>
    <row r="34236" spans="1:6" ht="12.75">
      <c r="A34236" s="2">
        <v>43875.362245370372</v>
      </c>
      <c r="B34236" t="str">
        <f>HYPERLINK("https://twitter.com/artomofeb","@artomofeb")</f>
        <v>@artomofeb</v>
      </c>
      <c r="C34236" t="s">
        <v>14292</v>
      </c>
      <c r="D34236">
        <v>0</v>
      </c>
      <c r="E34236">
        <v>0</v>
      </c>
      <c r="F34236">
        <v>684</v>
      </c>
    </row>
    <row r="34237" spans="1:6" ht="12.75">
      <c r="A34237" s="2">
        <v>43875.36215277778</v>
      </c>
      <c r="B34237" t="str">
        <f>HYPERLINK("https://twitter.com/mdualet","@mdualet")</f>
        <v>@mdualet</v>
      </c>
      <c r="C34237" t="s">
        <v>14293</v>
      </c>
      <c r="D34237">
        <v>0</v>
      </c>
      <c r="E34237">
        <v>1</v>
      </c>
      <c r="F34237">
        <v>155</v>
      </c>
    </row>
    <row r="34238" spans="1:6" ht="12.75">
      <c r="A34238" s="2">
        <v>43875.362060185187</v>
      </c>
      <c r="B34238" t="str">
        <f>HYPERLINK("https://twitter.com/Michael79820241","@Michael79820241")</f>
        <v>@Michael79820241</v>
      </c>
      <c r="C34238" t="s">
        <v>2963</v>
      </c>
      <c r="D34238">
        <v>471</v>
      </c>
      <c r="E34238">
        <v>0</v>
      </c>
      <c r="F34238">
        <v>91</v>
      </c>
    </row>
    <row r="34239" spans="1:6" ht="12.75">
      <c r="A34239" s="2">
        <v>43875.362060185187</v>
      </c>
      <c r="B34239" t="str">
        <f>HYPERLINK("https://twitter.com/svargadrinks","@svargadrinks")</f>
        <v>@svargadrinks</v>
      </c>
      <c r="C34239" t="s">
        <v>14227</v>
      </c>
      <c r="D34239">
        <v>5</v>
      </c>
      <c r="E34239">
        <v>0</v>
      </c>
      <c r="F34239">
        <v>26</v>
      </c>
    </row>
    <row r="34240" spans="1:6" ht="12.75">
      <c r="A34240" s="2">
        <v>43875.36204861111</v>
      </c>
      <c r="B34240" t="str">
        <f>HYPERLINK("https://twitter.com/btungka1997","@btungka1997")</f>
        <v>@btungka1997</v>
      </c>
      <c r="C34240" t="s">
        <v>8394</v>
      </c>
      <c r="D34240">
        <v>27</v>
      </c>
      <c r="E34240">
        <v>0</v>
      </c>
      <c r="F34240">
        <v>398</v>
      </c>
    </row>
    <row r="34241" spans="1:6" ht="12.75">
      <c r="A34241" s="2">
        <v>43875.362037037034</v>
      </c>
      <c r="B34241" t="str">
        <f>HYPERLINK("https://twitter.com/holmes_sigiro","@holmes_sigiro")</f>
        <v>@holmes_sigiro</v>
      </c>
      <c r="C34241" t="s">
        <v>14294</v>
      </c>
      <c r="D34241">
        <v>0</v>
      </c>
      <c r="E34241">
        <v>0</v>
      </c>
      <c r="F34241">
        <v>342</v>
      </c>
    </row>
    <row r="34242" spans="1:6" ht="12.75">
      <c r="A34242" s="2">
        <v>43875.362002314811</v>
      </c>
      <c r="B34242" t="str">
        <f>HYPERLINK("https://twitter.com/Kinan18069393","@Kinan18069393")</f>
        <v>@Kinan18069393</v>
      </c>
      <c r="C34242" t="s">
        <v>14295</v>
      </c>
      <c r="D34242">
        <v>1</v>
      </c>
      <c r="E34242">
        <v>3</v>
      </c>
      <c r="F34242">
        <v>1279</v>
      </c>
    </row>
    <row r="34243" spans="1:6" ht="12.75">
      <c r="A34243" s="2">
        <v>43875.361956018518</v>
      </c>
      <c r="B34243" t="str">
        <f>HYPERLINK("https://twitter.com/primasari991","@primasari991")</f>
        <v>@primasari991</v>
      </c>
      <c r="C34243" t="s">
        <v>10526</v>
      </c>
      <c r="D34243">
        <v>115</v>
      </c>
      <c r="E34243">
        <v>0</v>
      </c>
      <c r="F34243">
        <v>222</v>
      </c>
    </row>
    <row r="34244" spans="1:6" ht="12.75">
      <c r="A34244" s="2">
        <v>43875.361944444448</v>
      </c>
      <c r="B34244" t="str">
        <f>HYPERLINK("https://twitter.com/HatiBerdebu","@HatiBerdebu")</f>
        <v>@HatiBerdebu</v>
      </c>
      <c r="C34244" t="s">
        <v>10422</v>
      </c>
      <c r="D34244">
        <v>40</v>
      </c>
      <c r="E34244">
        <v>0</v>
      </c>
      <c r="F34244">
        <v>296</v>
      </c>
    </row>
    <row r="34245" spans="1:6" ht="12.75">
      <c r="A34245" s="2">
        <v>43875.361921296295</v>
      </c>
      <c r="B34245" t="str">
        <f>HYPERLINK("https://twitter.com/SugengTan","@SugengTan")</f>
        <v>@SugengTan</v>
      </c>
      <c r="C34245" t="s">
        <v>10542</v>
      </c>
      <c r="D34245">
        <v>128</v>
      </c>
      <c r="E34245">
        <v>0</v>
      </c>
      <c r="F34245">
        <v>89</v>
      </c>
    </row>
    <row r="34246" spans="1:6" ht="12.75">
      <c r="A34246" s="2">
        <v>43875.361898148149</v>
      </c>
      <c r="B34246" t="str">
        <f>HYPERLINK("https://twitter.com/KKelojotan","@KKelojotan")</f>
        <v>@KKelojotan</v>
      </c>
      <c r="C34246" t="s">
        <v>14296</v>
      </c>
      <c r="D34246">
        <v>0</v>
      </c>
      <c r="E34246">
        <v>0</v>
      </c>
      <c r="F34246">
        <v>628</v>
      </c>
    </row>
    <row r="34247" spans="1:6" ht="12.75">
      <c r="A34247" s="2">
        <v>43875.361759259264</v>
      </c>
      <c r="B34247" t="str">
        <f>HYPERLINK("https://twitter.com/Devi04Mufidah","@Devi04Mufidah")</f>
        <v>@Devi04Mufidah</v>
      </c>
      <c r="C34247" t="s">
        <v>175</v>
      </c>
      <c r="D34247">
        <v>5228</v>
      </c>
      <c r="E34247">
        <v>0</v>
      </c>
      <c r="F34247">
        <v>66</v>
      </c>
    </row>
    <row r="34248" spans="1:6" ht="12.75">
      <c r="A34248" s="2">
        <v>43875.361747685187</v>
      </c>
      <c r="B34248" t="str">
        <f>HYPERLINK("https://twitter.com/Doyyiezenn_a","@Doyyiezenn_a")</f>
        <v>@Doyyiezenn_a</v>
      </c>
      <c r="C34248" t="s">
        <v>5168</v>
      </c>
      <c r="D34248">
        <v>411</v>
      </c>
      <c r="E34248">
        <v>0</v>
      </c>
      <c r="F34248">
        <v>232</v>
      </c>
    </row>
    <row r="34249" spans="1:6" ht="12.75">
      <c r="A34249" s="2">
        <v>43875.361643518518</v>
      </c>
      <c r="B34249" t="str">
        <f>HYPERLINK("https://twitter.com/cianjurekspres","@cianjurekspres")</f>
        <v>@cianjurekspres</v>
      </c>
      <c r="C34249" t="s">
        <v>14297</v>
      </c>
      <c r="D34249">
        <v>0</v>
      </c>
      <c r="E34249">
        <v>0</v>
      </c>
      <c r="F34249">
        <v>5336</v>
      </c>
    </row>
    <row r="34250" spans="1:6" ht="12.75">
      <c r="A34250" s="2">
        <v>43875.361608796295</v>
      </c>
      <c r="B34250" t="str">
        <f>HYPERLINK("https://twitter.com/Rita8213","@Rita8213")</f>
        <v>@Rita8213</v>
      </c>
      <c r="C34250" t="s">
        <v>14298</v>
      </c>
      <c r="D34250">
        <v>0</v>
      </c>
      <c r="E34250">
        <v>1</v>
      </c>
      <c r="F34250">
        <v>107</v>
      </c>
    </row>
    <row r="34251" spans="1:6" ht="12.75">
      <c r="A34251" s="2">
        <v>43875.361585648148</v>
      </c>
      <c r="B34251" t="str">
        <f>HYPERLINK("https://twitter.com/GoesPoer313","@GoesPoer313")</f>
        <v>@GoesPoer313</v>
      </c>
      <c r="C34251" t="s">
        <v>14180</v>
      </c>
      <c r="D34251">
        <v>9</v>
      </c>
      <c r="E34251">
        <v>0</v>
      </c>
      <c r="F34251">
        <v>1373</v>
      </c>
    </row>
    <row r="34252" spans="1:6" ht="12.75">
      <c r="A34252" s="2">
        <v>43875.361550925925</v>
      </c>
      <c r="B34252" t="str">
        <f>HYPERLINK("https://twitter.com/FebrianNelsaTS","@FebrianNelsaTS")</f>
        <v>@FebrianNelsaTS</v>
      </c>
      <c r="C34252" t="s">
        <v>9096</v>
      </c>
      <c r="D34252">
        <v>155</v>
      </c>
      <c r="E34252">
        <v>0</v>
      </c>
      <c r="F34252">
        <v>348</v>
      </c>
    </row>
    <row r="34253" spans="1:6" ht="12.75">
      <c r="A34253" s="2">
        <v>43875.361539351856</v>
      </c>
      <c r="B34253" t="str">
        <f>HYPERLINK("https://twitter.com/dytoxs_eddy","@dytoxs_eddy")</f>
        <v>@dytoxs_eddy</v>
      </c>
      <c r="C34253" t="s">
        <v>14299</v>
      </c>
      <c r="D34253">
        <v>0</v>
      </c>
      <c r="E34253">
        <v>3</v>
      </c>
      <c r="F34253">
        <v>2249</v>
      </c>
    </row>
    <row r="34254" spans="1:6" ht="12.75">
      <c r="A34254" s="2">
        <v>43875.361527777779</v>
      </c>
      <c r="B34254" t="str">
        <f>HYPERLINK("https://twitter.com/hennysuhaeni21","@hennysuhaeni21")</f>
        <v>@hennysuhaeni21</v>
      </c>
      <c r="C34254" t="s">
        <v>10096</v>
      </c>
      <c r="D34254">
        <v>67</v>
      </c>
      <c r="E34254">
        <v>0</v>
      </c>
      <c r="F34254">
        <v>568</v>
      </c>
    </row>
    <row r="34255" spans="1:6" ht="12.75">
      <c r="A34255" s="2">
        <v>43875.361481481479</v>
      </c>
      <c r="B34255" t="str">
        <f>HYPERLINK("https://twitter.com/svargadrinks","@svargadrinks")</f>
        <v>@svargadrinks</v>
      </c>
      <c r="C34255" t="s">
        <v>2963</v>
      </c>
      <c r="D34255">
        <v>471</v>
      </c>
      <c r="E34255">
        <v>0</v>
      </c>
      <c r="F34255">
        <v>26</v>
      </c>
    </row>
    <row r="34256" spans="1:6" ht="12.75">
      <c r="A34256" s="2">
        <v>43875.36137731481</v>
      </c>
      <c r="B34256" t="str">
        <f>HYPERLINK("https://twitter.com/Natalia43272241","@Natalia43272241")</f>
        <v>@Natalia43272241</v>
      </c>
      <c r="C34256" t="s">
        <v>11322</v>
      </c>
      <c r="D34256">
        <v>67</v>
      </c>
      <c r="E34256">
        <v>0</v>
      </c>
      <c r="F34256">
        <v>5</v>
      </c>
    </row>
    <row r="34257" spans="1:6" ht="12.75">
      <c r="A34257" s="2">
        <v>43875.361319444448</v>
      </c>
      <c r="B34257" t="str">
        <f>HYPERLINK("https://twitter.com/anakpriok74","@anakpriok74")</f>
        <v>@anakpriok74</v>
      </c>
      <c r="C34257" t="s">
        <v>10032</v>
      </c>
      <c r="D34257">
        <v>15</v>
      </c>
      <c r="E34257">
        <v>0</v>
      </c>
      <c r="F34257">
        <v>498</v>
      </c>
    </row>
    <row r="34258" spans="1:6" ht="12.75">
      <c r="A34258" s="2">
        <v>43875.361296296294</v>
      </c>
      <c r="B34258" t="str">
        <f>HYPERLINK("https://twitter.com/primasari991","@primasari991")</f>
        <v>@primasari991</v>
      </c>
      <c r="C34258" t="s">
        <v>14300</v>
      </c>
      <c r="D34258">
        <v>29</v>
      </c>
      <c r="E34258">
        <v>0</v>
      </c>
      <c r="F34258">
        <v>222</v>
      </c>
    </row>
    <row r="34259" spans="1:6" ht="12.75">
      <c r="A34259" s="2">
        <v>43875.361226851848</v>
      </c>
      <c r="B34259" t="str">
        <f>HYPERLINK("https://twitter.com/AlaricLuthfy","@AlaricLuthfy")</f>
        <v>@AlaricLuthfy</v>
      </c>
      <c r="C34259" t="s">
        <v>14301</v>
      </c>
      <c r="D34259">
        <v>0</v>
      </c>
      <c r="E34259">
        <v>0</v>
      </c>
      <c r="F34259">
        <v>217</v>
      </c>
    </row>
    <row r="34260" spans="1:6" ht="12.75">
      <c r="A34260" s="2">
        <v>43875.36105324074</v>
      </c>
      <c r="B34260" t="str">
        <f>HYPERLINK("https://twitter.com/DeriusDeffarou","@DeriusDeffarou")</f>
        <v>@DeriusDeffarou</v>
      </c>
      <c r="C34260" t="s">
        <v>2963</v>
      </c>
      <c r="D34260">
        <v>471</v>
      </c>
      <c r="E34260">
        <v>0</v>
      </c>
      <c r="F34260">
        <v>805</v>
      </c>
    </row>
    <row r="34261" spans="1:6" ht="12.75">
      <c r="A34261" s="2">
        <v>43875.36105324074</v>
      </c>
      <c r="B34261" t="str">
        <f>HYPERLINK("https://twitter.com/seruanhl","@seruanhl")</f>
        <v>@seruanhl</v>
      </c>
      <c r="C34261" t="s">
        <v>9113</v>
      </c>
      <c r="D34261">
        <v>251</v>
      </c>
      <c r="E34261">
        <v>0</v>
      </c>
      <c r="F34261">
        <v>12015</v>
      </c>
    </row>
    <row r="34262" spans="1:6" ht="12.75">
      <c r="A34262" s="2">
        <v>43875.360995370371</v>
      </c>
      <c r="B34262" t="str">
        <f>HYPERLINK("https://twitter.com/Iwan90","@Iwan90")</f>
        <v>@Iwan90</v>
      </c>
      <c r="C34262" t="s">
        <v>2963</v>
      </c>
      <c r="D34262">
        <v>471</v>
      </c>
      <c r="E34262">
        <v>0</v>
      </c>
      <c r="F34262">
        <v>4913</v>
      </c>
    </row>
    <row r="34263" spans="1:6" ht="12.75">
      <c r="A34263" s="2">
        <v>43875.360960648148</v>
      </c>
      <c r="B34263" t="str">
        <f>HYPERLINK("https://twitter.com/kangsemproel","@kangsemproel")</f>
        <v>@kangsemproel</v>
      </c>
      <c r="C34263" t="s">
        <v>14302</v>
      </c>
      <c r="D34263">
        <v>0</v>
      </c>
      <c r="E34263">
        <v>1</v>
      </c>
      <c r="F34263">
        <v>28192</v>
      </c>
    </row>
    <row r="34264" spans="1:6" ht="12.75">
      <c r="A34264" s="2">
        <v>43875.360879629632</v>
      </c>
      <c r="B34264" t="str">
        <f>HYPERLINK("https://twitter.com/galuhpramesi","@galuhpramesi")</f>
        <v>@galuhpramesi</v>
      </c>
      <c r="C34264" t="s">
        <v>5168</v>
      </c>
      <c r="D34264">
        <v>411</v>
      </c>
      <c r="E34264">
        <v>0</v>
      </c>
      <c r="F34264">
        <v>195</v>
      </c>
    </row>
    <row r="34265" spans="1:6" ht="12.75">
      <c r="A34265" s="2">
        <v>43875.360775462963</v>
      </c>
      <c r="B34265" t="str">
        <f>HYPERLINK("https://twitter.com/seruanhl","@seruanhl")</f>
        <v>@seruanhl</v>
      </c>
      <c r="C34265" t="s">
        <v>11566</v>
      </c>
      <c r="D34265">
        <v>96</v>
      </c>
      <c r="E34265">
        <v>0</v>
      </c>
      <c r="F34265">
        <v>12015</v>
      </c>
    </row>
    <row r="34266" spans="1:6" ht="12.75">
      <c r="A34266" s="2">
        <v>43875.360682870371</v>
      </c>
      <c r="B34266" t="str">
        <f>HYPERLINK("https://twitter.com/Wahyou31710741","@Wahyou31710741")</f>
        <v>@Wahyou31710741</v>
      </c>
      <c r="C34266" t="s">
        <v>10032</v>
      </c>
      <c r="D34266">
        <v>15</v>
      </c>
      <c r="E34266">
        <v>0</v>
      </c>
      <c r="F34266">
        <v>175</v>
      </c>
    </row>
    <row r="34267" spans="1:6" ht="12.75">
      <c r="A34267" s="2">
        <v>43875.360659722224</v>
      </c>
      <c r="B34267" t="str">
        <f>HYPERLINK("https://twitter.com/GueIslam212aja","@GueIslam212aja")</f>
        <v>@GueIslam212aja</v>
      </c>
      <c r="C34267" t="s">
        <v>9119</v>
      </c>
      <c r="D34267">
        <v>41</v>
      </c>
      <c r="E34267">
        <v>0</v>
      </c>
      <c r="F34267">
        <v>1616</v>
      </c>
    </row>
    <row r="34268" spans="1:6" ht="12.75">
      <c r="A34268" s="2">
        <v>43875.360578703709</v>
      </c>
      <c r="B34268" t="str">
        <f>HYPERLINK("https://twitter.com/KimHyune6","@KimHyune6")</f>
        <v>@KimHyune6</v>
      </c>
      <c r="C34268" t="s">
        <v>14303</v>
      </c>
      <c r="D34268">
        <v>0</v>
      </c>
      <c r="E34268">
        <v>1</v>
      </c>
      <c r="F34268">
        <v>429</v>
      </c>
    </row>
    <row r="34269" spans="1:6" ht="12.75">
      <c r="A34269" s="2">
        <v>43875.360324074078</v>
      </c>
      <c r="B34269" t="str">
        <f>HYPERLINK("https://twitter.com/svargadrinks","@svargadrinks")</f>
        <v>@svargadrinks</v>
      </c>
      <c r="C34269" t="s">
        <v>10422</v>
      </c>
      <c r="D34269">
        <v>40</v>
      </c>
      <c r="E34269">
        <v>0</v>
      </c>
      <c r="F34269">
        <v>26</v>
      </c>
    </row>
    <row r="34270" spans="1:6" ht="12.75">
      <c r="A34270" s="2">
        <v>43875.360312500001</v>
      </c>
      <c r="B34270" t="str">
        <f>HYPERLINK("https://twitter.com/INSNadi","@INSNadi")</f>
        <v>@INSNadi</v>
      </c>
      <c r="C34270" t="s">
        <v>14304</v>
      </c>
      <c r="D34270">
        <v>0</v>
      </c>
      <c r="E34270">
        <v>0</v>
      </c>
      <c r="F34270">
        <v>294</v>
      </c>
    </row>
    <row r="34271" spans="1:6" ht="12.75">
      <c r="A34271" s="2">
        <v>43875.360312500001</v>
      </c>
      <c r="B34271" t="str">
        <f>HYPERLINK("https://twitter.com/Tatto961","@Tatto961")</f>
        <v>@Tatto961</v>
      </c>
      <c r="C34271" t="s">
        <v>2963</v>
      </c>
      <c r="D34271">
        <v>471</v>
      </c>
      <c r="E34271">
        <v>0</v>
      </c>
      <c r="F34271">
        <v>1973</v>
      </c>
    </row>
    <row r="34272" spans="1:6" ht="12.75">
      <c r="A34272" s="2">
        <v>43875.360289351855</v>
      </c>
      <c r="B34272" t="str">
        <f>HYPERLINK("https://twitter.com/rizalyounggg","@rizalyounggg")</f>
        <v>@rizalyounggg</v>
      </c>
      <c r="C34272" t="s">
        <v>2963</v>
      </c>
      <c r="D34272">
        <v>471</v>
      </c>
      <c r="E34272">
        <v>0</v>
      </c>
      <c r="F34272">
        <v>203</v>
      </c>
    </row>
    <row r="34273" spans="1:6" ht="12.75">
      <c r="A34273" s="2">
        <v>43875.360266203701</v>
      </c>
      <c r="B34273" t="str">
        <f>HYPERLINK("https://twitter.com/danrem","@danrem")</f>
        <v>@danrem</v>
      </c>
      <c r="C34273" t="s">
        <v>14305</v>
      </c>
      <c r="D34273">
        <v>0</v>
      </c>
      <c r="E34273">
        <v>1</v>
      </c>
      <c r="F34273">
        <v>31524</v>
      </c>
    </row>
    <row r="34274" spans="1:6" ht="12.75">
      <c r="A34274" s="2">
        <v>43875.360254629632</v>
      </c>
      <c r="B34274" t="str">
        <f>HYPERLINK("https://twitter.com/rivaikd9191","@rivaikd9191")</f>
        <v>@rivaikd9191</v>
      </c>
      <c r="C34274" t="s">
        <v>14306</v>
      </c>
      <c r="D34274">
        <v>0</v>
      </c>
      <c r="E34274">
        <v>0</v>
      </c>
      <c r="F34274">
        <v>78</v>
      </c>
    </row>
    <row r="34275" spans="1:6" ht="12.75">
      <c r="A34275" s="2">
        <v>43875.360208333332</v>
      </c>
      <c r="B34275" t="str">
        <f>HYPERLINK("https://twitter.com/vidalavidah","@vidalavidah")</f>
        <v>@vidalavidah</v>
      </c>
      <c r="C34275" t="s">
        <v>11344</v>
      </c>
      <c r="D34275">
        <v>1</v>
      </c>
      <c r="E34275">
        <v>0</v>
      </c>
      <c r="F34275">
        <v>167</v>
      </c>
    </row>
    <row r="34276" spans="1:6" ht="12.75">
      <c r="A34276" s="2">
        <v>43875.360162037032</v>
      </c>
      <c r="B34276" t="str">
        <f>HYPERLINK("https://twitter.com/jimin_andri","@jimin_andri")</f>
        <v>@jimin_andri</v>
      </c>
      <c r="C34276" t="s">
        <v>14307</v>
      </c>
      <c r="D34276">
        <v>0</v>
      </c>
      <c r="E34276">
        <v>0</v>
      </c>
      <c r="F34276">
        <v>384</v>
      </c>
    </row>
    <row r="34277" spans="1:6" ht="12.75">
      <c r="A34277" s="2">
        <v>43875.360138888893</v>
      </c>
      <c r="B34277" t="str">
        <f>HYPERLINK("https://twitter.com/harihariono1","@harihariono1")</f>
        <v>@harihariono1</v>
      </c>
      <c r="C34277" t="s">
        <v>2963</v>
      </c>
      <c r="D34277">
        <v>471</v>
      </c>
      <c r="E34277">
        <v>0</v>
      </c>
      <c r="F34277">
        <v>9329</v>
      </c>
    </row>
    <row r="34278" spans="1:6" ht="12.75">
      <c r="A34278" s="2">
        <v>43875.359965277778</v>
      </c>
      <c r="B34278" t="str">
        <f>HYPERLINK("https://twitter.com/YudhaKwr","@YudhaKwr")</f>
        <v>@YudhaKwr</v>
      </c>
      <c r="C34278" t="s">
        <v>12083</v>
      </c>
      <c r="D34278">
        <v>9</v>
      </c>
      <c r="E34278">
        <v>0</v>
      </c>
      <c r="F34278">
        <v>520</v>
      </c>
    </row>
    <row r="34279" spans="1:6" ht="12.75">
      <c r="A34279" s="2">
        <v>43875.359849537039</v>
      </c>
      <c r="B34279" t="str">
        <f>HYPERLINK("https://twitter.com/aneleheka","@aneleheka")</f>
        <v>@aneleheka</v>
      </c>
      <c r="C34279" t="s">
        <v>14308</v>
      </c>
      <c r="D34279">
        <v>0</v>
      </c>
      <c r="E34279">
        <v>2</v>
      </c>
      <c r="F34279">
        <v>876</v>
      </c>
    </row>
    <row r="34280" spans="1:6" ht="12.75">
      <c r="A34280" s="2">
        <v>43875.359780092593</v>
      </c>
      <c r="B34280" t="str">
        <f>HYPERLINK("https://twitter.com/Goez101","@Goez101")</f>
        <v>@Goez101</v>
      </c>
      <c r="C34280" t="s">
        <v>2122</v>
      </c>
      <c r="D34280">
        <v>180</v>
      </c>
      <c r="E34280">
        <v>0</v>
      </c>
      <c r="F34280">
        <v>19</v>
      </c>
    </row>
    <row r="34281" spans="1:6" ht="12.75">
      <c r="A34281" s="2">
        <v>43875.359675925924</v>
      </c>
      <c r="B34281" t="str">
        <f>HYPERLINK("https://twitter.com/lalala_hell","@lalala_hell")</f>
        <v>@lalala_hell</v>
      </c>
      <c r="C34281" t="s">
        <v>9021</v>
      </c>
      <c r="D34281">
        <v>151</v>
      </c>
      <c r="E34281">
        <v>0</v>
      </c>
      <c r="F34281">
        <v>81</v>
      </c>
    </row>
    <row r="34282" spans="1:6" ht="12.75">
      <c r="A34282" s="2">
        <v>43875.359629629631</v>
      </c>
      <c r="B34282" t="str">
        <f>HYPERLINK("https://twitter.com/DwiPerwiraS","@DwiPerwiraS")</f>
        <v>@DwiPerwiraS</v>
      </c>
      <c r="C34282" t="s">
        <v>2963</v>
      </c>
      <c r="D34282">
        <v>471</v>
      </c>
      <c r="E34282">
        <v>0</v>
      </c>
      <c r="F34282">
        <v>324</v>
      </c>
    </row>
    <row r="34283" spans="1:6" ht="12.75">
      <c r="A34283" s="2">
        <v>43875.359606481477</v>
      </c>
      <c r="B34283" t="str">
        <f>HYPERLINK("https://twitter.com/ophunkdoank","@ophunkdoank")</f>
        <v>@ophunkdoank</v>
      </c>
      <c r="C34283" t="s">
        <v>2963</v>
      </c>
      <c r="D34283">
        <v>471</v>
      </c>
      <c r="E34283">
        <v>0</v>
      </c>
      <c r="F34283">
        <v>1227</v>
      </c>
    </row>
    <row r="34284" spans="1:6" ht="12.75">
      <c r="A34284" s="2">
        <v>43875.359548611115</v>
      </c>
      <c r="B34284" t="str">
        <f>HYPERLINK("https://twitter.com/syahrulfire","@syahrulfire")</f>
        <v>@syahrulfire</v>
      </c>
      <c r="C34284" t="s">
        <v>10096</v>
      </c>
      <c r="D34284">
        <v>67</v>
      </c>
      <c r="E34284">
        <v>0</v>
      </c>
      <c r="F34284">
        <v>554</v>
      </c>
    </row>
    <row r="34285" spans="1:6" ht="12.75">
      <c r="A34285" s="2">
        <v>43875.359548611115</v>
      </c>
      <c r="B34285" t="str">
        <f>HYPERLINK("https://twitter.com/bairus99","@bairus99")</f>
        <v>@bairus99</v>
      </c>
      <c r="C34285" t="s">
        <v>14309</v>
      </c>
      <c r="D34285">
        <v>7</v>
      </c>
      <c r="E34285">
        <v>0</v>
      </c>
      <c r="F34285">
        <v>1</v>
      </c>
    </row>
    <row r="34286" spans="1:6" ht="12.75">
      <c r="A34286" s="2">
        <v>43875.359525462962</v>
      </c>
      <c r="B34286" t="str">
        <f>HYPERLINK("https://twitter.com/setiadjit","@setiadjit")</f>
        <v>@setiadjit</v>
      </c>
      <c r="C34286" t="s">
        <v>14310</v>
      </c>
      <c r="D34286">
        <v>1</v>
      </c>
      <c r="E34286">
        <v>1</v>
      </c>
      <c r="F34286">
        <v>238</v>
      </c>
    </row>
    <row r="34287" spans="1:6" ht="12.75">
      <c r="A34287" s="2">
        <v>43875.359467592592</v>
      </c>
      <c r="B34287" t="str">
        <f>HYPERLINK("https://twitter.com/aliframadhani37","@aliframadhani37")</f>
        <v>@aliframadhani37</v>
      </c>
      <c r="C34287" t="s">
        <v>2144</v>
      </c>
      <c r="D34287">
        <v>37</v>
      </c>
      <c r="E34287">
        <v>0</v>
      </c>
      <c r="F34287">
        <v>229</v>
      </c>
    </row>
    <row r="34288" spans="1:6" ht="12.75">
      <c r="A34288" s="2">
        <v>43875.359421296293</v>
      </c>
      <c r="B34288" t="str">
        <f>HYPERLINK("https://twitter.com/AzkaIzzan","@AzkaIzzan")</f>
        <v>@AzkaIzzan</v>
      </c>
      <c r="C34288" t="s">
        <v>10096</v>
      </c>
      <c r="D34288">
        <v>67</v>
      </c>
      <c r="E34288">
        <v>0</v>
      </c>
      <c r="F34288">
        <v>2365</v>
      </c>
    </row>
    <row r="34289" spans="1:6" ht="12.75">
      <c r="A34289" s="2">
        <v>43875.359409722223</v>
      </c>
      <c r="B34289" t="str">
        <f>HYPERLINK("https://twitter.com/senja2018","@senja2018")</f>
        <v>@senja2018</v>
      </c>
      <c r="C34289" t="s">
        <v>14311</v>
      </c>
      <c r="D34289">
        <v>0</v>
      </c>
      <c r="E34289">
        <v>0</v>
      </c>
      <c r="F34289">
        <v>153</v>
      </c>
    </row>
    <row r="34290" spans="1:6" ht="12.75">
      <c r="A34290" s="2">
        <v>43875.35936342593</v>
      </c>
      <c r="B34290" t="str">
        <f>HYPERLINK("https://twitter.com/AlaricLuthfy","@AlaricLuthfy")</f>
        <v>@AlaricLuthfy</v>
      </c>
      <c r="C34290" t="s">
        <v>14312</v>
      </c>
      <c r="D34290">
        <v>0</v>
      </c>
      <c r="E34290">
        <v>0</v>
      </c>
      <c r="F34290">
        <v>217</v>
      </c>
    </row>
    <row r="34291" spans="1:6" ht="12.75">
      <c r="A34291" s="2">
        <v>43875.359351851846</v>
      </c>
      <c r="B34291" t="str">
        <f>HYPERLINK("https://twitter.com/SantiLim14","@SantiLim14")</f>
        <v>@SantiLim14</v>
      </c>
      <c r="C34291" t="s">
        <v>12886</v>
      </c>
      <c r="D34291">
        <v>3</v>
      </c>
      <c r="E34291">
        <v>0</v>
      </c>
      <c r="F34291">
        <v>3991</v>
      </c>
    </row>
    <row r="34292" spans="1:6" ht="12.75">
      <c r="A34292" s="2">
        <v>43875.359328703707</v>
      </c>
      <c r="B34292" t="str">
        <f>HYPERLINK("https://twitter.com/Pinkypi22","@Pinkypi22")</f>
        <v>@Pinkypi22</v>
      </c>
      <c r="C34292" t="s">
        <v>513</v>
      </c>
      <c r="D34292">
        <v>23208</v>
      </c>
      <c r="E34292">
        <v>0</v>
      </c>
      <c r="F34292">
        <v>6</v>
      </c>
    </row>
    <row r="34293" spans="1:6" ht="12.75">
      <c r="A34293" s="2">
        <v>43875.359317129631</v>
      </c>
      <c r="B34293" t="str">
        <f>HYPERLINK("https://twitter.com/jatisn","@jatisn")</f>
        <v>@jatisn</v>
      </c>
      <c r="C34293" t="s">
        <v>14313</v>
      </c>
      <c r="D34293">
        <v>0</v>
      </c>
      <c r="E34293">
        <v>0</v>
      </c>
      <c r="F34293">
        <v>163</v>
      </c>
    </row>
    <row r="34294" spans="1:6" ht="12.75">
      <c r="A34294" s="2">
        <v>43875.359282407408</v>
      </c>
      <c r="B34294" t="str">
        <f>HYPERLINK("https://twitter.com/ALINGGAon6","@ALINGGAon6")</f>
        <v>@ALINGGAon6</v>
      </c>
      <c r="C34294" t="s">
        <v>2963</v>
      </c>
      <c r="D34294">
        <v>471</v>
      </c>
      <c r="E34294">
        <v>0</v>
      </c>
      <c r="F34294">
        <v>738</v>
      </c>
    </row>
    <row r="34295" spans="1:6" ht="12.75">
      <c r="A34295" s="2">
        <v>43875.359282407408</v>
      </c>
      <c r="B34295" t="str">
        <f>HYPERLINK("https://twitter.com/mhphabib","@mhphabib")</f>
        <v>@mhphabib</v>
      </c>
      <c r="C34295" t="s">
        <v>5168</v>
      </c>
      <c r="D34295">
        <v>411</v>
      </c>
      <c r="E34295">
        <v>0</v>
      </c>
      <c r="F34295">
        <v>482</v>
      </c>
    </row>
    <row r="34296" spans="1:6" ht="12.75">
      <c r="A34296" s="2">
        <v>43875.359189814815</v>
      </c>
      <c r="B34296" t="str">
        <f>HYPERLINK("https://twitter.com/ricky4763","@ricky4763")</f>
        <v>@ricky4763</v>
      </c>
      <c r="C34296" t="s">
        <v>10957</v>
      </c>
      <c r="D34296">
        <v>45</v>
      </c>
      <c r="E34296">
        <v>0</v>
      </c>
      <c r="F34296">
        <v>1341</v>
      </c>
    </row>
    <row r="34297" spans="1:6" ht="12.75">
      <c r="A34297" s="2">
        <v>43875.3591087963</v>
      </c>
      <c r="B34297" t="str">
        <f>HYPERLINK("https://twitter.com/Zaxcure","@Zaxcure")</f>
        <v>@Zaxcure</v>
      </c>
      <c r="C34297" t="s">
        <v>2137</v>
      </c>
      <c r="D34297">
        <v>22</v>
      </c>
      <c r="E34297">
        <v>0</v>
      </c>
      <c r="F34297">
        <v>103</v>
      </c>
    </row>
    <row r="34298" spans="1:6" ht="12.75">
      <c r="A34298" s="2">
        <v>43875.358981481477</v>
      </c>
      <c r="B34298" t="str">
        <f>HYPERLINK("https://twitter.com/rifqibae_lha","@rifqibae_lha")</f>
        <v>@rifqibae_lha</v>
      </c>
      <c r="C34298" t="s">
        <v>14314</v>
      </c>
      <c r="D34298">
        <v>0</v>
      </c>
      <c r="E34298">
        <v>0</v>
      </c>
      <c r="F34298">
        <v>441</v>
      </c>
    </row>
    <row r="34299" spans="1:6" ht="12.75">
      <c r="A34299" s="2">
        <v>43875.358842592592</v>
      </c>
      <c r="B34299" t="str">
        <f>HYPERLINK("https://twitter.com/BrendyNababan","@BrendyNababan")</f>
        <v>@BrendyNababan</v>
      </c>
      <c r="C34299" t="s">
        <v>14315</v>
      </c>
      <c r="D34299">
        <v>0</v>
      </c>
      <c r="E34299">
        <v>0</v>
      </c>
      <c r="F34299">
        <v>145</v>
      </c>
    </row>
    <row r="34300" spans="1:6" ht="12.75">
      <c r="A34300" s="2">
        <v>43875.358831018515</v>
      </c>
      <c r="B34300" t="str">
        <f>HYPERLINK("https://twitter.com/imlusirinata","@imlusirinata")</f>
        <v>@imlusirinata</v>
      </c>
      <c r="C34300" t="s">
        <v>175</v>
      </c>
      <c r="D34300">
        <v>5228</v>
      </c>
      <c r="E34300">
        <v>0</v>
      </c>
      <c r="F34300">
        <v>260</v>
      </c>
    </row>
    <row r="34301" spans="1:6" ht="12.75">
      <c r="A34301" s="2">
        <v>43875.358749999999</v>
      </c>
      <c r="B34301" t="str">
        <f>HYPERLINK("https://twitter.com/AkuRobot10","@AkuRobot10")</f>
        <v>@AkuRobot10</v>
      </c>
      <c r="C34301" t="s">
        <v>11122</v>
      </c>
      <c r="D34301">
        <v>2</v>
      </c>
      <c r="E34301">
        <v>0</v>
      </c>
      <c r="F34301">
        <v>155</v>
      </c>
    </row>
    <row r="34302" spans="1:6" ht="12.75">
      <c r="A34302" s="2">
        <v>43875.358726851853</v>
      </c>
      <c r="B34302" t="str">
        <f>HYPERLINK("https://twitter.com/morris_jeffri","@morris_jeffri")</f>
        <v>@morris_jeffri</v>
      </c>
      <c r="C34302" t="s">
        <v>2963</v>
      </c>
      <c r="D34302">
        <v>471</v>
      </c>
      <c r="E34302">
        <v>0</v>
      </c>
      <c r="F34302">
        <v>351</v>
      </c>
    </row>
    <row r="34303" spans="1:6" ht="12.75">
      <c r="A34303" s="2">
        <v>43875.358668981484</v>
      </c>
      <c r="B34303" t="str">
        <f>HYPERLINK("https://twitter.com/JGNHD","@JGNHD")</f>
        <v>@JGNHD</v>
      </c>
      <c r="C34303" t="s">
        <v>8233</v>
      </c>
      <c r="D34303">
        <v>287</v>
      </c>
      <c r="E34303">
        <v>0</v>
      </c>
      <c r="F34303">
        <v>220</v>
      </c>
    </row>
    <row r="34304" spans="1:6" ht="12.75">
      <c r="A34304" s="2">
        <v>43875.358587962968</v>
      </c>
      <c r="B34304" t="str">
        <f>HYPERLINK("https://twitter.com/RiriJreeng","@RiriJreeng")</f>
        <v>@RiriJreeng</v>
      </c>
      <c r="C34304" t="s">
        <v>14316</v>
      </c>
      <c r="D34304">
        <v>11</v>
      </c>
      <c r="E34304">
        <v>0</v>
      </c>
      <c r="F34304">
        <v>5680</v>
      </c>
    </row>
    <row r="34305" spans="1:6" ht="12.75">
      <c r="A34305" s="2">
        <v>43875.358541666668</v>
      </c>
      <c r="B34305" t="str">
        <f>HYPERLINK("https://twitter.com/aya_ddt","@aya_ddt")</f>
        <v>@aya_ddt</v>
      </c>
      <c r="C34305" t="s">
        <v>8394</v>
      </c>
      <c r="D34305">
        <v>27</v>
      </c>
      <c r="E34305">
        <v>0</v>
      </c>
      <c r="F34305">
        <v>425</v>
      </c>
    </row>
    <row r="34306" spans="1:6" ht="12.75">
      <c r="A34306" s="2">
        <v>43875.358518518522</v>
      </c>
      <c r="B34306" t="str">
        <f>HYPERLINK("https://twitter.com/hendri92189000","@hendri92189000")</f>
        <v>@hendri92189000</v>
      </c>
      <c r="C34306" t="s">
        <v>14317</v>
      </c>
      <c r="D34306">
        <v>0</v>
      </c>
      <c r="E34306">
        <v>0</v>
      </c>
      <c r="F34306">
        <v>3378</v>
      </c>
    </row>
    <row r="34307" spans="1:6" ht="12.75">
      <c r="A34307" s="2">
        <v>43875.358506944445</v>
      </c>
      <c r="B34307" t="str">
        <f>HYPERLINK("https://twitter.com/Samsoe75126470","@Samsoe75126470")</f>
        <v>@Samsoe75126470</v>
      </c>
      <c r="C34307" t="s">
        <v>9947</v>
      </c>
      <c r="D34307">
        <v>319</v>
      </c>
      <c r="E34307">
        <v>0</v>
      </c>
      <c r="F34307">
        <v>23</v>
      </c>
    </row>
    <row r="34308" spans="1:6" ht="12.75">
      <c r="A34308" s="2">
        <v>43875.358495370368</v>
      </c>
      <c r="B34308" t="str">
        <f>HYPERLINK("https://twitter.com/semut_ok","@semut_ok")</f>
        <v>@semut_ok</v>
      </c>
      <c r="C34308" t="s">
        <v>9964</v>
      </c>
      <c r="D34308">
        <v>473</v>
      </c>
      <c r="E34308">
        <v>0</v>
      </c>
      <c r="F34308">
        <v>59</v>
      </c>
    </row>
    <row r="34309" spans="1:6" ht="12.75">
      <c r="A34309" s="2">
        <v>43875.358333333337</v>
      </c>
      <c r="B34309" t="str">
        <f>HYPERLINK("https://twitter.com/UnoDenk","@UnoDenk")</f>
        <v>@UnoDenk</v>
      </c>
      <c r="C34309" t="s">
        <v>10121</v>
      </c>
      <c r="D34309">
        <v>151</v>
      </c>
      <c r="E34309">
        <v>0</v>
      </c>
      <c r="F34309">
        <v>23</v>
      </c>
    </row>
    <row r="34310" spans="1:6" ht="12.75">
      <c r="A34310" s="2">
        <v>43875.358287037037</v>
      </c>
      <c r="B34310" t="str">
        <f>HYPERLINK("https://twitter.com/Fsetu","@Fsetu")</f>
        <v>@Fsetu</v>
      </c>
      <c r="C34310" t="s">
        <v>14318</v>
      </c>
      <c r="D34310">
        <v>16</v>
      </c>
      <c r="E34310">
        <v>0</v>
      </c>
      <c r="F34310">
        <v>2748</v>
      </c>
    </row>
    <row r="34311" spans="1:6" ht="12.75">
      <c r="A34311" s="2">
        <v>43875.358287037037</v>
      </c>
      <c r="B34311" t="str">
        <f>HYPERLINK("https://twitter.com/Indopolitika","@Indopolitika")</f>
        <v>@Indopolitika</v>
      </c>
      <c r="C34311" t="s">
        <v>14319</v>
      </c>
      <c r="D34311">
        <v>0</v>
      </c>
      <c r="E34311">
        <v>0</v>
      </c>
      <c r="F34311">
        <v>10605</v>
      </c>
    </row>
    <row r="34312" spans="1:6" ht="12.75">
      <c r="A34312" s="2">
        <v>43875.358240740738</v>
      </c>
      <c r="B34312" t="str">
        <f>HYPERLINK("https://twitter.com/DARMOGATY","@DARMOGATY")</f>
        <v>@DARMOGATY</v>
      </c>
      <c r="C34312" t="s">
        <v>2963</v>
      </c>
      <c r="D34312">
        <v>471</v>
      </c>
      <c r="E34312">
        <v>0</v>
      </c>
      <c r="F34312">
        <v>1364</v>
      </c>
    </row>
    <row r="34313" spans="1:6" ht="12.75">
      <c r="A34313" s="2">
        <v>43875.358171296291</v>
      </c>
      <c r="B34313" t="str">
        <f>HYPERLINK("https://twitter.com/Indopolitika","@Indopolitika")</f>
        <v>@Indopolitika</v>
      </c>
      <c r="C34313" t="s">
        <v>14320</v>
      </c>
      <c r="D34313">
        <v>0</v>
      </c>
      <c r="E34313">
        <v>0</v>
      </c>
      <c r="F34313">
        <v>10605</v>
      </c>
    </row>
    <row r="34314" spans="1:6" ht="12.75">
      <c r="A34314" s="2">
        <v>43875.358101851853</v>
      </c>
      <c r="B34314" t="str">
        <f>HYPERLINK("https://twitter.com/cahyowib","@cahyowib")</f>
        <v>@cahyowib</v>
      </c>
      <c r="C34314" t="s">
        <v>14321</v>
      </c>
      <c r="D34314">
        <v>0</v>
      </c>
      <c r="E34314">
        <v>0</v>
      </c>
      <c r="F34314">
        <v>3973</v>
      </c>
    </row>
    <row r="34315" spans="1:6" ht="12.75">
      <c r="A34315" s="2">
        <v>43875.358055555553</v>
      </c>
      <c r="B34315" t="str">
        <f>HYPERLINK("https://twitter.com/jengsri_ss","@jengsri_ss")</f>
        <v>@jengsri_ss</v>
      </c>
      <c r="C34315" t="s">
        <v>11425</v>
      </c>
      <c r="D34315">
        <v>192</v>
      </c>
      <c r="E34315">
        <v>0</v>
      </c>
      <c r="F34315">
        <v>350</v>
      </c>
    </row>
    <row r="34316" spans="1:6" ht="12.75">
      <c r="A34316" s="2">
        <v>43875.357986111107</v>
      </c>
      <c r="B34316" t="str">
        <f>HYPERLINK("https://twitter.com/reshafirdaus","@reshafirdaus")</f>
        <v>@reshafirdaus</v>
      </c>
      <c r="C34316" t="s">
        <v>2077</v>
      </c>
      <c r="D34316">
        <v>21</v>
      </c>
      <c r="E34316">
        <v>0</v>
      </c>
      <c r="F34316">
        <v>775</v>
      </c>
    </row>
    <row r="34317" spans="1:6" ht="12.75">
      <c r="A34317" s="2">
        <v>43875.357939814814</v>
      </c>
      <c r="B34317" t="str">
        <f>HYPERLINK("https://twitter.com/DARMOGATY","@DARMOGATY")</f>
        <v>@DARMOGATY</v>
      </c>
      <c r="C34317" t="s">
        <v>2144</v>
      </c>
      <c r="D34317">
        <v>37</v>
      </c>
      <c r="E34317">
        <v>0</v>
      </c>
      <c r="F34317">
        <v>1364</v>
      </c>
    </row>
    <row r="34318" spans="1:6" ht="12.75">
      <c r="A34318" s="2">
        <v>43875.35765046296</v>
      </c>
      <c r="B34318" t="str">
        <f>HYPERLINK("https://twitter.com/ronggo_tulank","@ronggo_tulank")</f>
        <v>@ronggo_tulank</v>
      </c>
      <c r="C34318" t="s">
        <v>10121</v>
      </c>
      <c r="D34318">
        <v>151</v>
      </c>
      <c r="E34318">
        <v>0</v>
      </c>
      <c r="F34318">
        <v>571</v>
      </c>
    </row>
    <row r="34319" spans="1:6" ht="12.75">
      <c r="A34319" s="2">
        <v>43875.357581018514</v>
      </c>
      <c r="B34319" t="str">
        <f>HYPERLINK("https://twitter.com/Imanuel66126028","@Imanuel66126028")</f>
        <v>@Imanuel66126028</v>
      </c>
      <c r="C34319" t="s">
        <v>14322</v>
      </c>
      <c r="D34319">
        <v>0</v>
      </c>
      <c r="E34319">
        <v>0</v>
      </c>
      <c r="F34319">
        <v>291</v>
      </c>
    </row>
    <row r="34320" spans="1:6" ht="12.75">
      <c r="A34320" s="2">
        <v>43875.357581018514</v>
      </c>
      <c r="B34320" t="str">
        <f>HYPERLINK("https://twitter.com/emfikrialfiansh","@emfikrialfiansh")</f>
        <v>@emfikrialfiansh</v>
      </c>
      <c r="C34320" t="s">
        <v>14323</v>
      </c>
      <c r="D34320">
        <v>1</v>
      </c>
      <c r="E34320">
        <v>0</v>
      </c>
      <c r="F34320">
        <v>279</v>
      </c>
    </row>
    <row r="34321" spans="1:6" ht="12.75">
      <c r="A34321" s="2">
        <v>43875.357546296298</v>
      </c>
      <c r="B34321" t="str">
        <f>HYPERLINK("https://twitter.com/frans_munthe29","@frans_munthe29")</f>
        <v>@frans_munthe29</v>
      </c>
      <c r="C34321" t="s">
        <v>14324</v>
      </c>
      <c r="D34321">
        <v>43</v>
      </c>
      <c r="E34321">
        <v>0</v>
      </c>
      <c r="F34321">
        <v>970</v>
      </c>
    </row>
    <row r="34322" spans="1:6" ht="12.75">
      <c r="A34322" s="2">
        <v>43875.357314814813</v>
      </c>
      <c r="B34322" t="str">
        <f>HYPERLINK("https://twitter.com/yanxsetiahardja","@yanxsetiahardja")</f>
        <v>@yanxsetiahardja</v>
      </c>
      <c r="C34322" t="s">
        <v>2963</v>
      </c>
      <c r="D34322">
        <v>471</v>
      </c>
      <c r="E34322">
        <v>0</v>
      </c>
      <c r="F34322">
        <v>269</v>
      </c>
    </row>
    <row r="34323" spans="1:6" ht="12.75">
      <c r="A34323" s="2">
        <v>43875.357291666667</v>
      </c>
      <c r="B34323" t="str">
        <f>HYPERLINK("https://twitter.com/zaki_mahesa","@zaki_mahesa")</f>
        <v>@zaki_mahesa</v>
      </c>
      <c r="C34323" t="s">
        <v>14325</v>
      </c>
      <c r="D34323">
        <v>0</v>
      </c>
      <c r="E34323">
        <v>0</v>
      </c>
      <c r="F34323">
        <v>224</v>
      </c>
    </row>
    <row r="34324" spans="1:6" ht="12.75">
      <c r="A34324" s="2">
        <v>43875.357268518521</v>
      </c>
      <c r="B34324" t="str">
        <f>HYPERLINK("https://twitter.com/fariji_lacak","@fariji_lacak")</f>
        <v>@fariji_lacak</v>
      </c>
      <c r="C34324" t="s">
        <v>14326</v>
      </c>
      <c r="D34324">
        <v>53</v>
      </c>
      <c r="E34324">
        <v>0</v>
      </c>
      <c r="F34324">
        <v>3179</v>
      </c>
    </row>
    <row r="34325" spans="1:6" ht="12.75">
      <c r="A34325" s="2">
        <v>43875.357002314813</v>
      </c>
      <c r="B34325" t="str">
        <f>HYPERLINK("https://twitter.com/reshafirdaus","@reshafirdaus")</f>
        <v>@reshafirdaus</v>
      </c>
      <c r="C34325" t="s">
        <v>14327</v>
      </c>
      <c r="D34325">
        <v>0</v>
      </c>
      <c r="E34325">
        <v>0</v>
      </c>
      <c r="F34325">
        <v>775</v>
      </c>
    </row>
    <row r="34326" spans="1:6" ht="12.75">
      <c r="A34326" s="2">
        <v>43875.356921296298</v>
      </c>
      <c r="B34326" t="str">
        <f>HYPERLINK("https://twitter.com/herlambang_tan","@herlambang_tan")</f>
        <v>@herlambang_tan</v>
      </c>
      <c r="C34326" t="s">
        <v>12886</v>
      </c>
      <c r="D34326">
        <v>3</v>
      </c>
      <c r="E34326">
        <v>0</v>
      </c>
      <c r="F34326">
        <v>2340</v>
      </c>
    </row>
    <row r="34327" spans="1:6" ht="12.75">
      <c r="A34327" s="2">
        <v>43875.356817129628</v>
      </c>
      <c r="B34327" t="str">
        <f>HYPERLINK("https://twitter.com/UtomoFreddy","@UtomoFreddy")</f>
        <v>@UtomoFreddy</v>
      </c>
      <c r="C34327" t="s">
        <v>11024</v>
      </c>
      <c r="D34327">
        <v>7</v>
      </c>
      <c r="E34327">
        <v>0</v>
      </c>
      <c r="F34327">
        <v>93</v>
      </c>
    </row>
    <row r="34328" spans="1:6" ht="12.75">
      <c r="A34328" s="2">
        <v>43875.356793981482</v>
      </c>
      <c r="B34328" t="str">
        <f>HYPERLINK("https://twitter.com/Rita8213","@Rita8213")</f>
        <v>@Rita8213</v>
      </c>
      <c r="C34328" t="s">
        <v>14328</v>
      </c>
      <c r="D34328">
        <v>0</v>
      </c>
      <c r="E34328">
        <v>2</v>
      </c>
      <c r="F34328">
        <v>107</v>
      </c>
    </row>
    <row r="34329" spans="1:6" ht="12.75">
      <c r="A34329" s="2">
        <v>43875.356689814813</v>
      </c>
      <c r="B34329" t="str">
        <f>HYPERLINK("https://twitter.com/hemaviton99","@hemaviton99")</f>
        <v>@hemaviton99</v>
      </c>
      <c r="C34329" t="s">
        <v>2137</v>
      </c>
      <c r="D34329">
        <v>22</v>
      </c>
      <c r="E34329">
        <v>0</v>
      </c>
      <c r="F34329">
        <v>3456</v>
      </c>
    </row>
    <row r="34330" spans="1:6" ht="12.75">
      <c r="A34330" s="2">
        <v>43875.356631944444</v>
      </c>
      <c r="B34330" t="str">
        <f>HYPERLINK("https://twitter.com/Iyo63579667","@Iyo63579667")</f>
        <v>@Iyo63579667</v>
      </c>
      <c r="C34330" t="s">
        <v>2963</v>
      </c>
      <c r="D34330">
        <v>471</v>
      </c>
      <c r="E34330">
        <v>0</v>
      </c>
      <c r="F34330">
        <v>87</v>
      </c>
    </row>
    <row r="34331" spans="1:6" ht="12.75">
      <c r="A34331" s="2">
        <v>43875.356585648144</v>
      </c>
      <c r="B34331" t="str">
        <f>HYPERLINK("https://twitter.com/frdhanii","@frdhanii")</f>
        <v>@frdhanii</v>
      </c>
      <c r="C34331" t="s">
        <v>9021</v>
      </c>
      <c r="D34331">
        <v>151</v>
      </c>
      <c r="E34331">
        <v>0</v>
      </c>
      <c r="F34331">
        <v>66</v>
      </c>
    </row>
    <row r="34332" spans="1:6" ht="12.75">
      <c r="A34332" s="2">
        <v>43875.356550925921</v>
      </c>
      <c r="B34332" t="str">
        <f>HYPERLINK("https://twitter.com/rudimulawarman_","@rudimulawarman_")</f>
        <v>@rudimulawarman_</v>
      </c>
      <c r="C34332" t="s">
        <v>10096</v>
      </c>
      <c r="D34332">
        <v>67</v>
      </c>
      <c r="E34332">
        <v>0</v>
      </c>
      <c r="F34332">
        <v>3714</v>
      </c>
    </row>
    <row r="34333" spans="1:6" ht="12.75">
      <c r="A34333" s="2">
        <v>43875.356539351851</v>
      </c>
      <c r="B34333" t="str">
        <f>HYPERLINK("https://twitter.com/mokhamadtoha2","@mokhamadtoha2")</f>
        <v>@mokhamadtoha2</v>
      </c>
      <c r="C34333" t="s">
        <v>10032</v>
      </c>
      <c r="D34333">
        <v>15</v>
      </c>
      <c r="E34333">
        <v>0</v>
      </c>
      <c r="F34333">
        <v>1382</v>
      </c>
    </row>
    <row r="34334" spans="1:6" ht="12.75">
      <c r="A34334" s="2">
        <v>43875.356527777782</v>
      </c>
      <c r="B34334" t="str">
        <f>HYPERLINK("https://twitter.com/ElshintaDotcom","@ElshintaDotcom")</f>
        <v>@ElshintaDotcom</v>
      </c>
      <c r="C34334" t="s">
        <v>14329</v>
      </c>
      <c r="D34334">
        <v>0</v>
      </c>
      <c r="E34334">
        <v>0</v>
      </c>
      <c r="F34334">
        <v>27866</v>
      </c>
    </row>
    <row r="34335" spans="1:6" ht="12.75">
      <c r="A34335" s="2">
        <v>43875.356504629628</v>
      </c>
      <c r="B34335" t="str">
        <f>HYPERLINK("https://twitter.com/ninozuke","@ninozuke")</f>
        <v>@ninozuke</v>
      </c>
      <c r="C34335" t="s">
        <v>7411</v>
      </c>
      <c r="D34335">
        <v>132</v>
      </c>
      <c r="E34335">
        <v>0</v>
      </c>
      <c r="F34335">
        <v>52</v>
      </c>
    </row>
    <row r="34336" spans="1:6" ht="12.75">
      <c r="A34336" s="2">
        <v>43875.356446759259</v>
      </c>
      <c r="B34336" t="str">
        <f>HYPERLINK("https://twitter.com/SydSalesman","@SydSalesman")</f>
        <v>@SydSalesman</v>
      </c>
      <c r="C34336" t="s">
        <v>10526</v>
      </c>
      <c r="D34336">
        <v>115</v>
      </c>
      <c r="E34336">
        <v>0</v>
      </c>
      <c r="F34336">
        <v>6226</v>
      </c>
    </row>
    <row r="34337" spans="1:6" ht="12.75">
      <c r="A34337" s="2">
        <v>43875.356400462959</v>
      </c>
      <c r="B34337" t="str">
        <f>HYPERLINK("https://twitter.com/DelisLein","@DelisLein")</f>
        <v>@DelisLein</v>
      </c>
      <c r="C34337" t="s">
        <v>11322</v>
      </c>
      <c r="D34337">
        <v>67</v>
      </c>
      <c r="E34337">
        <v>0</v>
      </c>
      <c r="F34337">
        <v>169</v>
      </c>
    </row>
    <row r="34338" spans="1:6" ht="12.75">
      <c r="A34338" s="2">
        <v>43875.35637731482</v>
      </c>
      <c r="B34338" t="str">
        <f>HYPERLINK("https://twitter.com/kuninggemilang","@kuninggemilang")</f>
        <v>@kuninggemilang</v>
      </c>
      <c r="C34338" t="s">
        <v>14330</v>
      </c>
      <c r="D34338">
        <v>0</v>
      </c>
      <c r="E34338">
        <v>0</v>
      </c>
      <c r="F34338">
        <v>3913</v>
      </c>
    </row>
    <row r="34339" spans="1:6" ht="12.75">
      <c r="A34339" s="2">
        <v>43875.356319444443</v>
      </c>
      <c r="B34339" t="str">
        <f>HYPERLINK("https://twitter.com/BlorengTheCat","@BlorengTheCat")</f>
        <v>@BlorengTheCat</v>
      </c>
      <c r="C34339" t="s">
        <v>14331</v>
      </c>
      <c r="D34339">
        <v>0</v>
      </c>
      <c r="E34339">
        <v>0</v>
      </c>
      <c r="F34339">
        <v>395</v>
      </c>
    </row>
    <row r="34340" spans="1:6" ht="12.75">
      <c r="A34340" s="2">
        <v>43875.35628472222</v>
      </c>
      <c r="B34340" t="str">
        <f>HYPERLINK("https://twitter.com/ninozuke","@ninozuke")</f>
        <v>@ninozuke</v>
      </c>
      <c r="C34340" t="s">
        <v>11322</v>
      </c>
      <c r="D34340">
        <v>67</v>
      </c>
      <c r="E34340">
        <v>0</v>
      </c>
      <c r="F34340">
        <v>52</v>
      </c>
    </row>
    <row r="34341" spans="1:6" ht="12.75">
      <c r="A34341" s="2">
        <v>43875.356261574074</v>
      </c>
      <c r="B34341" t="str">
        <f>HYPERLINK("https://twitter.com/WidinaDina","@WidinaDina")</f>
        <v>@WidinaDina</v>
      </c>
      <c r="C34341" t="s">
        <v>3342</v>
      </c>
      <c r="D34341">
        <v>2473</v>
      </c>
      <c r="E34341">
        <v>0</v>
      </c>
      <c r="F34341">
        <v>389</v>
      </c>
    </row>
    <row r="34342" spans="1:6" ht="12.75">
      <c r="A34342" s="2">
        <v>43875.356192129635</v>
      </c>
      <c r="B34342" t="str">
        <f>HYPERLINK("https://twitter.com/DelisLein","@DelisLein")</f>
        <v>@DelisLein</v>
      </c>
      <c r="C34342" t="s">
        <v>14332</v>
      </c>
      <c r="D34342">
        <v>2</v>
      </c>
      <c r="E34342">
        <v>0</v>
      </c>
      <c r="F34342">
        <v>169</v>
      </c>
    </row>
    <row r="34343" spans="1:6" ht="12.75">
      <c r="A34343" s="2">
        <v>43875.356087962966</v>
      </c>
      <c r="B34343" t="str">
        <f>HYPERLINK("https://twitter.com/temenyaatid","@temenyaatid")</f>
        <v>@temenyaatid</v>
      </c>
      <c r="C34343" t="s">
        <v>2137</v>
      </c>
      <c r="D34343">
        <v>22</v>
      </c>
      <c r="E34343">
        <v>0</v>
      </c>
      <c r="F34343">
        <v>277</v>
      </c>
    </row>
    <row r="34344" spans="1:6" ht="12.75">
      <c r="A34344" s="2">
        <v>43875.356006944443</v>
      </c>
      <c r="B34344" t="str">
        <f>HYPERLINK("https://twitter.com/vidalavidah","@vidalavidah")</f>
        <v>@vidalavidah</v>
      </c>
      <c r="C34344" t="s">
        <v>2963</v>
      </c>
      <c r="D34344">
        <v>471</v>
      </c>
      <c r="E34344">
        <v>0</v>
      </c>
      <c r="F34344">
        <v>167</v>
      </c>
    </row>
    <row r="34345" spans="1:6" ht="12.75">
      <c r="A34345" s="2">
        <v>43875.355821759258</v>
      </c>
      <c r="B34345" t="str">
        <f>HYPERLINK("https://twitter.com/JalanLuru5","@JalanLuru5")</f>
        <v>@JalanLuru5</v>
      </c>
      <c r="C34345" t="s">
        <v>10526</v>
      </c>
      <c r="D34345">
        <v>115</v>
      </c>
      <c r="E34345">
        <v>0</v>
      </c>
      <c r="F34345">
        <v>132</v>
      </c>
    </row>
    <row r="34346" spans="1:6" ht="12.75">
      <c r="A34346" s="2">
        <v>43875.355775462958</v>
      </c>
      <c r="B34346" t="str">
        <f>HYPERLINK("https://twitter.com/harihariono1","@harihariono1")</f>
        <v>@harihariono1</v>
      </c>
      <c r="C34346" t="s">
        <v>14333</v>
      </c>
      <c r="D34346">
        <v>3</v>
      </c>
      <c r="E34346">
        <v>1</v>
      </c>
      <c r="F34346">
        <v>9329</v>
      </c>
    </row>
    <row r="34347" spans="1:6" ht="12.75">
      <c r="A34347" s="2">
        <v>43875.355682870373</v>
      </c>
      <c r="B34347" t="str">
        <f>HYPERLINK("https://twitter.com/saviadv","@saviadv")</f>
        <v>@saviadv</v>
      </c>
      <c r="C34347" t="s">
        <v>2963</v>
      </c>
      <c r="D34347">
        <v>471</v>
      </c>
      <c r="E34347">
        <v>0</v>
      </c>
      <c r="F34347">
        <v>294</v>
      </c>
    </row>
    <row r="34348" spans="1:6" ht="12.75">
      <c r="A34348" s="2">
        <v>43875.355624999997</v>
      </c>
      <c r="B34348" t="str">
        <f>HYPERLINK("https://twitter.com/suminah_lee","@suminah_lee")</f>
        <v>@suminah_lee</v>
      </c>
      <c r="C34348" t="s">
        <v>2963</v>
      </c>
      <c r="D34348">
        <v>471</v>
      </c>
      <c r="E34348">
        <v>0</v>
      </c>
      <c r="F34348">
        <v>54</v>
      </c>
    </row>
    <row r="34349" spans="1:6" ht="12.75">
      <c r="A34349" s="2">
        <v>43875.35560185185</v>
      </c>
      <c r="B34349" t="str">
        <f>HYPERLINK("https://twitter.com/ninozuke","@ninozuke")</f>
        <v>@ninozuke</v>
      </c>
      <c r="C34349" t="s">
        <v>13315</v>
      </c>
      <c r="D34349">
        <v>50</v>
      </c>
      <c r="E34349">
        <v>0</v>
      </c>
      <c r="F34349">
        <v>52</v>
      </c>
    </row>
    <row r="34350" spans="1:6" ht="12.75">
      <c r="A34350" s="2">
        <v>43875.355578703704</v>
      </c>
      <c r="B34350" t="str">
        <f>HYPERLINK("https://twitter.com/AkuRobot10","@AkuRobot10")</f>
        <v>@AkuRobot10</v>
      </c>
      <c r="C34350" t="s">
        <v>13437</v>
      </c>
      <c r="D34350">
        <v>2</v>
      </c>
      <c r="E34350">
        <v>0</v>
      </c>
      <c r="F34350">
        <v>155</v>
      </c>
    </row>
    <row r="34351" spans="1:6" ht="12.75">
      <c r="A34351" s="2">
        <v>43875.355520833335</v>
      </c>
      <c r="B34351" t="str">
        <f>HYPERLINK("https://twitter.com/netizen_now","@netizen_now")</f>
        <v>@netizen_now</v>
      </c>
      <c r="C34351" t="s">
        <v>14334</v>
      </c>
      <c r="D34351">
        <v>0</v>
      </c>
      <c r="E34351">
        <v>0</v>
      </c>
      <c r="F34351">
        <v>54</v>
      </c>
    </row>
    <row r="34352" spans="1:6" ht="12.75">
      <c r="A34352" s="2">
        <v>43875.355474537035</v>
      </c>
      <c r="B34352" t="str">
        <f>HYPERLINK("https://twitter.com/hariantoagus","@hariantoagus")</f>
        <v>@hariantoagus</v>
      </c>
      <c r="C34352" t="s">
        <v>10096</v>
      </c>
      <c r="D34352">
        <v>67</v>
      </c>
      <c r="E34352">
        <v>0</v>
      </c>
      <c r="F34352">
        <v>256</v>
      </c>
    </row>
    <row r="34353" spans="1:6" ht="12.75">
      <c r="A34353" s="2">
        <v>43875.355451388888</v>
      </c>
      <c r="B34353" t="str">
        <f>HYPERLINK("https://twitter.com/qosyim_rosidy","@qosyim_rosidy")</f>
        <v>@qosyim_rosidy</v>
      </c>
      <c r="C34353" t="s">
        <v>11322</v>
      </c>
      <c r="D34353">
        <v>67</v>
      </c>
      <c r="E34353">
        <v>0</v>
      </c>
      <c r="F34353">
        <v>1464</v>
      </c>
    </row>
    <row r="34354" spans="1:6" ht="12.75">
      <c r="A34354" s="2">
        <v>43875.355428240742</v>
      </c>
      <c r="B34354" t="str">
        <f>HYPERLINK("https://twitter.com/hendrikk168","@hendrikk168")</f>
        <v>@hendrikk168</v>
      </c>
      <c r="C34354" t="s">
        <v>2963</v>
      </c>
      <c r="D34354">
        <v>471</v>
      </c>
      <c r="E34354">
        <v>0</v>
      </c>
      <c r="F34354">
        <v>875</v>
      </c>
    </row>
    <row r="34355" spans="1:6" ht="12.75">
      <c r="A34355" s="2">
        <v>43875.355405092589</v>
      </c>
      <c r="B34355" t="str">
        <f>HYPERLINK("https://twitter.com/SamudraErlang","@SamudraErlang")</f>
        <v>@SamudraErlang</v>
      </c>
      <c r="C34355" t="s">
        <v>14335</v>
      </c>
      <c r="D34355">
        <v>6</v>
      </c>
      <c r="E34355">
        <v>0</v>
      </c>
      <c r="F34355">
        <v>53</v>
      </c>
    </row>
    <row r="34356" spans="1:6" ht="12.75">
      <c r="A34356" s="2">
        <v>43875.355405092589</v>
      </c>
      <c r="B34356" t="str">
        <f>HYPERLINK("https://twitter.com/YunusAntares","@YunusAntares")</f>
        <v>@YunusAntares</v>
      </c>
      <c r="C34356" t="s">
        <v>8252</v>
      </c>
      <c r="D34356">
        <v>481</v>
      </c>
      <c r="E34356">
        <v>0</v>
      </c>
      <c r="F34356">
        <v>408</v>
      </c>
    </row>
    <row r="34357" spans="1:6" ht="12.75">
      <c r="A34357" s="2">
        <v>43875.35533564815</v>
      </c>
      <c r="B34357" t="str">
        <f>HYPERLINK("https://twitter.com/gus55177350","@gus55177350")</f>
        <v>@gus55177350</v>
      </c>
      <c r="C34357" t="s">
        <v>10167</v>
      </c>
      <c r="D34357">
        <v>22</v>
      </c>
      <c r="E34357">
        <v>0</v>
      </c>
      <c r="F34357">
        <v>33</v>
      </c>
    </row>
    <row r="34358" spans="1:6" ht="12.75">
      <c r="A34358" s="2">
        <v>43875.355300925927</v>
      </c>
      <c r="B34358" t="str">
        <f>HYPERLINK("https://twitter.com/UtomoFreddy","@UtomoFreddy")</f>
        <v>@UtomoFreddy</v>
      </c>
      <c r="C34358" t="s">
        <v>10422</v>
      </c>
      <c r="D34358">
        <v>40</v>
      </c>
      <c r="E34358">
        <v>0</v>
      </c>
      <c r="F34358">
        <v>93</v>
      </c>
    </row>
    <row r="34359" spans="1:6" ht="12.75">
      <c r="A34359" s="2">
        <v>43875.35527777778</v>
      </c>
      <c r="B34359" t="str">
        <f>HYPERLINK("https://twitter.com/wow_keren","@wow_keren")</f>
        <v>@wow_keren</v>
      </c>
      <c r="C34359" t="s">
        <v>14336</v>
      </c>
      <c r="D34359">
        <v>0</v>
      </c>
      <c r="E34359">
        <v>0</v>
      </c>
      <c r="F34359">
        <v>32002</v>
      </c>
    </row>
    <row r="34360" spans="1:6" ht="12.75">
      <c r="A34360" s="2">
        <v>43875.355243055557</v>
      </c>
      <c r="B34360" t="str">
        <f>HYPERLINK("https://twitter.com/denyshebe","@denyshebe")</f>
        <v>@denyshebe</v>
      </c>
      <c r="C34360" t="s">
        <v>11425</v>
      </c>
      <c r="D34360">
        <v>192</v>
      </c>
      <c r="E34360">
        <v>0</v>
      </c>
      <c r="F34360">
        <v>193</v>
      </c>
    </row>
    <row r="34361" spans="1:6" ht="12.75">
      <c r="A34361" s="2">
        <v>43875.355138888888</v>
      </c>
      <c r="B34361" t="str">
        <f>HYPERLINK("https://twitter.com/BerlianiNike","@BerlianiNike")</f>
        <v>@BerlianiNike</v>
      </c>
      <c r="C34361" t="s">
        <v>5168</v>
      </c>
      <c r="D34361">
        <v>411</v>
      </c>
      <c r="E34361">
        <v>0</v>
      </c>
      <c r="F34361">
        <v>380</v>
      </c>
    </row>
    <row r="34362" spans="1:6" ht="12.75">
      <c r="A34362" s="2">
        <v>43875.355046296296</v>
      </c>
      <c r="B34362" t="str">
        <f>HYPERLINK("https://twitter.com/Muhammadanggik","@Muhammadanggik")</f>
        <v>@Muhammadanggik</v>
      </c>
      <c r="C34362" t="s">
        <v>8233</v>
      </c>
      <c r="D34362">
        <v>287</v>
      </c>
      <c r="E34362">
        <v>0</v>
      </c>
      <c r="F34362">
        <v>824</v>
      </c>
    </row>
    <row r="34363" spans="1:6" ht="12.75">
      <c r="A34363" s="2">
        <v>43875.354976851857</v>
      </c>
      <c r="B34363" t="str">
        <f>HYPERLINK("https://twitter.com/adngrh13","@adngrh13")</f>
        <v>@adngrh13</v>
      </c>
      <c r="C34363" t="s">
        <v>2963</v>
      </c>
      <c r="D34363">
        <v>471</v>
      </c>
      <c r="E34363">
        <v>0</v>
      </c>
      <c r="F34363">
        <v>57</v>
      </c>
    </row>
    <row r="34364" spans="1:6" ht="12.75">
      <c r="A34364" s="2">
        <v>43875.354965277773</v>
      </c>
      <c r="B34364" t="str">
        <f>HYPERLINK("https://twitter.com/Aseloleadjahh","@Aseloleadjahh")</f>
        <v>@Aseloleadjahh</v>
      </c>
      <c r="C34364" t="s">
        <v>6837</v>
      </c>
      <c r="D34364">
        <v>6</v>
      </c>
      <c r="E34364">
        <v>0</v>
      </c>
      <c r="F34364">
        <v>0</v>
      </c>
    </row>
    <row r="34365" spans="1:6" ht="12.75">
      <c r="A34365" s="2">
        <v>43875.354930555557</v>
      </c>
      <c r="B34365" t="str">
        <f>HYPERLINK("https://twitter.com/beluandini","@beluandini")</f>
        <v>@beluandini</v>
      </c>
      <c r="C34365" t="s">
        <v>5168</v>
      </c>
      <c r="D34365">
        <v>411</v>
      </c>
      <c r="E34365">
        <v>0</v>
      </c>
      <c r="F34365">
        <v>320</v>
      </c>
    </row>
    <row r="34366" spans="1:6" ht="12.75">
      <c r="A34366" s="2">
        <v>43875.354861111111</v>
      </c>
      <c r="B34366" t="str">
        <f>HYPERLINK("https://twitter.com/Verbum_Ang","@Verbum_Ang")</f>
        <v>@Verbum_Ang</v>
      </c>
      <c r="C34366" t="s">
        <v>14337</v>
      </c>
      <c r="D34366">
        <v>0</v>
      </c>
      <c r="E34366">
        <v>0</v>
      </c>
      <c r="F34366">
        <v>1404</v>
      </c>
    </row>
    <row r="34367" spans="1:6" ht="12.75">
      <c r="A34367" s="2">
        <v>43875.354861111111</v>
      </c>
      <c r="B34367" t="str">
        <f>HYPERLINK("https://twitter.com/ainiskho","@ainiskho")</f>
        <v>@ainiskho</v>
      </c>
      <c r="C34367" t="s">
        <v>14338</v>
      </c>
      <c r="D34367">
        <v>0</v>
      </c>
      <c r="E34367">
        <v>0</v>
      </c>
      <c r="F34367">
        <v>326</v>
      </c>
    </row>
    <row r="34368" spans="1:6" ht="12.75">
      <c r="A34368" s="2">
        <v>43875.354849537034</v>
      </c>
      <c r="B34368" t="str">
        <f>HYPERLINK("https://twitter.com/ninozuke","@ninozuke")</f>
        <v>@ninozuke</v>
      </c>
      <c r="C34368" t="s">
        <v>10462</v>
      </c>
      <c r="D34368">
        <v>227</v>
      </c>
      <c r="E34368">
        <v>0</v>
      </c>
      <c r="F34368">
        <v>52</v>
      </c>
    </row>
    <row r="34369" spans="1:6" ht="12.75">
      <c r="A34369" s="2">
        <v>43875.354837962965</v>
      </c>
      <c r="B34369" t="str">
        <f>HYPERLINK("https://twitter.com/supriyono_andi","@supriyono_andi")</f>
        <v>@supriyono_andi</v>
      </c>
      <c r="C34369" t="s">
        <v>5761</v>
      </c>
      <c r="D34369">
        <v>32</v>
      </c>
      <c r="E34369">
        <v>0</v>
      </c>
      <c r="F34369">
        <v>69</v>
      </c>
    </row>
    <row r="34370" spans="1:6" ht="12.75">
      <c r="A34370" s="2">
        <v>43875.354768518519</v>
      </c>
      <c r="B34370" t="str">
        <f>HYPERLINK("https://twitter.com/orihara_rurei_p","@orihara_rurei_p")</f>
        <v>@orihara_rurei_p</v>
      </c>
      <c r="C34370" t="s">
        <v>2444</v>
      </c>
      <c r="D34370">
        <v>67</v>
      </c>
      <c r="E34370">
        <v>0</v>
      </c>
      <c r="F34370">
        <v>575</v>
      </c>
    </row>
    <row r="34371" spans="1:6" ht="12.75">
      <c r="A34371" s="2">
        <v>43875.354756944449</v>
      </c>
      <c r="B34371" t="str">
        <f>HYPERLINK("https://twitter.com/meidy03","@meidy03")</f>
        <v>@meidy03</v>
      </c>
      <c r="C34371" t="s">
        <v>14339</v>
      </c>
      <c r="D34371">
        <v>0</v>
      </c>
      <c r="E34371">
        <v>0</v>
      </c>
      <c r="F34371">
        <v>1291</v>
      </c>
    </row>
    <row r="34372" spans="1:6" ht="12.75">
      <c r="A34372" s="2">
        <v>43875.354675925926</v>
      </c>
      <c r="B34372" t="str">
        <f>HYPERLINK("https://twitter.com/MrsRachelIn","@MrsRachelIn")</f>
        <v>@MrsRachelIn</v>
      </c>
      <c r="C34372" t="s">
        <v>14340</v>
      </c>
      <c r="D34372">
        <v>0</v>
      </c>
      <c r="E34372">
        <v>0</v>
      </c>
      <c r="F34372">
        <v>3078</v>
      </c>
    </row>
    <row r="34373" spans="1:6" ht="12.75">
      <c r="A34373" s="2">
        <v>43875.35465277778</v>
      </c>
      <c r="B34373" t="str">
        <f>HYPERLINK("https://twitter.com/vidalavidah","@vidalavidah")</f>
        <v>@vidalavidah</v>
      </c>
      <c r="C34373" t="s">
        <v>14341</v>
      </c>
      <c r="D34373">
        <v>0</v>
      </c>
      <c r="E34373">
        <v>0</v>
      </c>
      <c r="F34373">
        <v>167</v>
      </c>
    </row>
    <row r="34374" spans="1:6" ht="12.75">
      <c r="A34374" s="2">
        <v>43875.35465277778</v>
      </c>
      <c r="B34374" t="str">
        <f>HYPERLINK("https://twitter.com/SitorusAsben","@SitorusAsben")</f>
        <v>@SitorusAsben</v>
      </c>
      <c r="C34374" t="s">
        <v>10330</v>
      </c>
      <c r="D34374">
        <v>192</v>
      </c>
      <c r="E34374">
        <v>0</v>
      </c>
      <c r="F34374">
        <v>8</v>
      </c>
    </row>
    <row r="34375" spans="1:6" ht="12.75">
      <c r="A34375" s="2">
        <v>43875.354618055557</v>
      </c>
      <c r="B34375" t="str">
        <f>HYPERLINK("https://twitter.com/tioharimurtie","@tioharimurtie")</f>
        <v>@tioharimurtie</v>
      </c>
      <c r="C34375" t="s">
        <v>14342</v>
      </c>
      <c r="D34375">
        <v>0</v>
      </c>
      <c r="E34375">
        <v>0</v>
      </c>
      <c r="F34375">
        <v>3632</v>
      </c>
    </row>
    <row r="34376" spans="1:6" ht="12.75">
      <c r="A34376" s="2">
        <v>43875.354594907403</v>
      </c>
      <c r="B34376" t="str">
        <f>HYPERLINK("https://twitter.com/hemaviton99","@hemaviton99")</f>
        <v>@hemaviton99</v>
      </c>
      <c r="C34376" t="s">
        <v>7411</v>
      </c>
      <c r="D34376">
        <v>132</v>
      </c>
      <c r="E34376">
        <v>0</v>
      </c>
      <c r="F34376">
        <v>3456</v>
      </c>
    </row>
    <row r="34377" spans="1:6" ht="12.75">
      <c r="A34377" s="2">
        <v>43875.35456018518</v>
      </c>
      <c r="B34377" t="str">
        <f>HYPERLINK("https://twitter.com/__Ndaru__","@__Ndaru__")</f>
        <v>@__Ndaru__</v>
      </c>
      <c r="C34377" t="s">
        <v>14343</v>
      </c>
      <c r="D34377">
        <v>0</v>
      </c>
      <c r="E34377">
        <v>0</v>
      </c>
      <c r="F34377">
        <v>315</v>
      </c>
    </row>
    <row r="34378" spans="1:6" ht="12.75">
      <c r="A34378" s="2">
        <v>43875.354456018518</v>
      </c>
      <c r="B34378" t="str">
        <f>HYPERLINK("https://twitter.com/Hary55668749","@Hary55668749")</f>
        <v>@Hary55668749</v>
      </c>
      <c r="C34378" t="s">
        <v>14344</v>
      </c>
      <c r="D34378">
        <v>0</v>
      </c>
      <c r="E34378">
        <v>0</v>
      </c>
      <c r="F34378">
        <v>1099</v>
      </c>
    </row>
    <row r="34379" spans="1:6" ht="12.75">
      <c r="A34379" s="2">
        <v>43875.354409722218</v>
      </c>
      <c r="B34379" t="str">
        <f>HYPERLINK("https://twitter.com/C_AjiMahameru52","@C_AjiMahameru52")</f>
        <v>@C_AjiMahameru52</v>
      </c>
      <c r="C34379" t="s">
        <v>2963</v>
      </c>
      <c r="D34379">
        <v>471</v>
      </c>
      <c r="E34379">
        <v>0</v>
      </c>
      <c r="F34379">
        <v>2998</v>
      </c>
    </row>
    <row r="34380" spans="1:6" ht="12.75">
      <c r="A34380" s="2">
        <v>43875.354386574079</v>
      </c>
      <c r="B34380" t="str">
        <f>HYPERLINK("https://twitter.com/Del_tahta","@Del_tahta")</f>
        <v>@Del_tahta</v>
      </c>
      <c r="C34380" t="s">
        <v>14345</v>
      </c>
      <c r="D34380">
        <v>0</v>
      </c>
      <c r="E34380">
        <v>0</v>
      </c>
      <c r="F34380">
        <v>426</v>
      </c>
    </row>
    <row r="34381" spans="1:6" ht="12.75">
      <c r="A34381" s="2">
        <v>43875.354189814811</v>
      </c>
      <c r="B34381" t="str">
        <f>HYPERLINK("https://twitter.com/BiemLugiek","@BiemLugiek")</f>
        <v>@BiemLugiek</v>
      </c>
      <c r="C34381" t="s">
        <v>14346</v>
      </c>
      <c r="D34381">
        <v>5</v>
      </c>
      <c r="E34381">
        <v>0</v>
      </c>
      <c r="F34381">
        <v>102</v>
      </c>
    </row>
    <row r="34382" spans="1:6" ht="12.75">
      <c r="A34382" s="2">
        <v>43875.354178240741</v>
      </c>
      <c r="B34382" t="str">
        <f>HYPERLINK("https://twitter.com/RidzkiPutro","@RidzkiPutro")</f>
        <v>@RidzkiPutro</v>
      </c>
      <c r="C34382" t="s">
        <v>14347</v>
      </c>
      <c r="D34382">
        <v>0</v>
      </c>
      <c r="E34382">
        <v>0</v>
      </c>
      <c r="F34382">
        <v>49</v>
      </c>
    </row>
    <row r="34383" spans="1:6" ht="12.75">
      <c r="A34383" s="2">
        <v>43875.354016203702</v>
      </c>
      <c r="B34383" t="str">
        <f>HYPERLINK("https://twitter.com/FArmijn","@FArmijn")</f>
        <v>@FArmijn</v>
      </c>
      <c r="C34383" t="s">
        <v>2963</v>
      </c>
      <c r="D34383">
        <v>471</v>
      </c>
      <c r="E34383">
        <v>0</v>
      </c>
      <c r="F34383">
        <v>398</v>
      </c>
    </row>
    <row r="34384" spans="1:6" ht="12.75">
      <c r="A34384" s="2">
        <v>43875.353981481487</v>
      </c>
      <c r="B34384" t="str">
        <f>HYPERLINK("https://twitter.com/PokeBroer","@PokeBroer")</f>
        <v>@PokeBroer</v>
      </c>
      <c r="C34384" t="s">
        <v>14348</v>
      </c>
      <c r="D34384">
        <v>0</v>
      </c>
      <c r="E34384">
        <v>0</v>
      </c>
      <c r="F34384">
        <v>13</v>
      </c>
    </row>
    <row r="34385" spans="1:6" ht="12.75">
      <c r="A34385" s="2">
        <v>43875.353969907403</v>
      </c>
      <c r="B34385" t="str">
        <f>HYPERLINK("https://twitter.com/syasai444","@syasai444")</f>
        <v>@syasai444</v>
      </c>
      <c r="C34385" t="s">
        <v>14349</v>
      </c>
      <c r="D34385">
        <v>0</v>
      </c>
      <c r="E34385">
        <v>1</v>
      </c>
      <c r="F34385">
        <v>6</v>
      </c>
    </row>
    <row r="34386" spans="1:6" ht="12.75">
      <c r="A34386" s="2">
        <v>43875.353935185187</v>
      </c>
      <c r="B34386" t="str">
        <f>HYPERLINK("https://twitter.com/btungka1997","@btungka1997")</f>
        <v>@btungka1997</v>
      </c>
      <c r="C34386" t="s">
        <v>2137</v>
      </c>
      <c r="D34386">
        <v>22</v>
      </c>
      <c r="E34386">
        <v>0</v>
      </c>
      <c r="F34386">
        <v>398</v>
      </c>
    </row>
    <row r="34387" spans="1:6" ht="12.75">
      <c r="A34387" s="2">
        <v>43875.353912037041</v>
      </c>
      <c r="B34387" t="str">
        <f>HYPERLINK("https://twitter.com/nurimandaniii","@nurimandaniii")</f>
        <v>@nurimandaniii</v>
      </c>
      <c r="C34387" t="s">
        <v>14350</v>
      </c>
      <c r="D34387">
        <v>0</v>
      </c>
      <c r="E34387">
        <v>0</v>
      </c>
      <c r="F34387">
        <v>298</v>
      </c>
    </row>
    <row r="34388" spans="1:6" ht="12.75">
      <c r="A34388" s="2">
        <v>43875.353819444441</v>
      </c>
      <c r="B34388" t="str">
        <f>HYPERLINK("https://twitter.com/haluanghabang","@haluanghabang")</f>
        <v>@haluanghabang</v>
      </c>
      <c r="C34388" t="s">
        <v>10588</v>
      </c>
      <c r="D34388">
        <v>105</v>
      </c>
      <c r="E34388">
        <v>0</v>
      </c>
      <c r="F34388">
        <v>964</v>
      </c>
    </row>
    <row r="34389" spans="1:6" ht="12.75">
      <c r="A34389" s="2">
        <v>43875.353796296295</v>
      </c>
      <c r="B34389" t="str">
        <f>HYPERLINK("https://twitter.com/Hanifa_BM","@Hanifa_BM")</f>
        <v>@Hanifa_BM</v>
      </c>
      <c r="C34389" t="s">
        <v>5168</v>
      </c>
      <c r="D34389">
        <v>411</v>
      </c>
      <c r="E34389">
        <v>0</v>
      </c>
      <c r="F34389">
        <v>148</v>
      </c>
    </row>
    <row r="34390" spans="1:6" ht="12.75">
      <c r="A34390" s="2">
        <v>43875.353738425925</v>
      </c>
      <c r="B34390" t="str">
        <f>HYPERLINK("https://twitter.com/Koran_Kaltara","@Koran_Kaltara")</f>
        <v>@Koran_Kaltara</v>
      </c>
      <c r="C34390" t="s">
        <v>14351</v>
      </c>
      <c r="D34390">
        <v>0</v>
      </c>
      <c r="E34390">
        <v>0</v>
      </c>
      <c r="F34390">
        <v>83</v>
      </c>
    </row>
    <row r="34391" spans="1:6" ht="12.75">
      <c r="A34391" s="2">
        <v>43875.353726851856</v>
      </c>
      <c r="B34391" t="str">
        <f>HYPERLINK("https://twitter.com/gprn27","@gprn27")</f>
        <v>@gprn27</v>
      </c>
      <c r="C34391" t="s">
        <v>11167</v>
      </c>
      <c r="D34391">
        <v>151</v>
      </c>
      <c r="E34391">
        <v>0</v>
      </c>
      <c r="F34391">
        <v>17</v>
      </c>
    </row>
    <row r="34392" spans="1:6" ht="12.75">
      <c r="A34392" s="2">
        <v>43875.353715277779</v>
      </c>
      <c r="B34392" t="str">
        <f>HYPERLINK("https://twitter.com/didienAZHAR","@didienAZHAR")</f>
        <v>@didienAZHAR</v>
      </c>
      <c r="C34392" t="s">
        <v>9538</v>
      </c>
      <c r="D34392">
        <v>96</v>
      </c>
      <c r="E34392">
        <v>0</v>
      </c>
      <c r="F34392">
        <v>22625</v>
      </c>
    </row>
    <row r="34393" spans="1:6" ht="12.75">
      <c r="A34393" s="2">
        <v>43875.353680555556</v>
      </c>
      <c r="B34393" t="str">
        <f t="shared" ref="B34393:B34394" si="398">HYPERLINK("https://twitter.com/MrHedgeFun","@MrHedgeFun")</f>
        <v>@MrHedgeFun</v>
      </c>
      <c r="C34393" t="s">
        <v>14352</v>
      </c>
      <c r="D34393">
        <v>0</v>
      </c>
      <c r="E34393">
        <v>0</v>
      </c>
      <c r="F34393">
        <v>219</v>
      </c>
    </row>
    <row r="34394" spans="1:6" ht="12.75">
      <c r="A34394" s="2">
        <v>43875.353680555556</v>
      </c>
      <c r="B34394" t="str">
        <f t="shared" si="398"/>
        <v>@MrHedgeFun</v>
      </c>
      <c r="C34394" t="s">
        <v>14353</v>
      </c>
      <c r="D34394">
        <v>0</v>
      </c>
      <c r="E34394">
        <v>0</v>
      </c>
      <c r="F34394">
        <v>219</v>
      </c>
    </row>
    <row r="34395" spans="1:6" ht="12.75">
      <c r="A34395" s="2">
        <v>43875.353680555556</v>
      </c>
      <c r="B34395" t="str">
        <f>HYPERLINK("https://twitter.com/QalbuBahasa","@QalbuBahasa")</f>
        <v>@QalbuBahasa</v>
      </c>
      <c r="C34395" t="s">
        <v>14354</v>
      </c>
      <c r="D34395">
        <v>0</v>
      </c>
      <c r="E34395">
        <v>2</v>
      </c>
      <c r="F34395">
        <v>109</v>
      </c>
    </row>
    <row r="34396" spans="1:6" ht="12.75">
      <c r="A34396" s="2">
        <v>43875.353668981479</v>
      </c>
      <c r="B34396" t="str">
        <f>HYPERLINK("https://twitter.com/sendysuwanto","@sendysuwanto")</f>
        <v>@sendysuwanto</v>
      </c>
      <c r="C34396" t="s">
        <v>14044</v>
      </c>
      <c r="D34396">
        <v>2</v>
      </c>
      <c r="E34396">
        <v>0</v>
      </c>
      <c r="F34396">
        <v>1009</v>
      </c>
    </row>
    <row r="34397" spans="1:6" ht="12.75">
      <c r="A34397" s="2">
        <v>43875.353645833333</v>
      </c>
      <c r="B34397" t="str">
        <f>HYPERLINK("https://twitter.com/richoiko","@richoiko")</f>
        <v>@richoiko</v>
      </c>
      <c r="C34397" t="s">
        <v>14355</v>
      </c>
      <c r="D34397">
        <v>0</v>
      </c>
      <c r="E34397">
        <v>0</v>
      </c>
      <c r="F34397">
        <v>897</v>
      </c>
    </row>
    <row r="34398" spans="1:6" ht="12.75">
      <c r="A34398" s="2">
        <v>43875.353634259256</v>
      </c>
      <c r="B34398" t="str">
        <f>HYPERLINK("https://twitter.com/papanogula","@papanogula")</f>
        <v>@papanogula</v>
      </c>
      <c r="C34398" t="s">
        <v>14356</v>
      </c>
      <c r="D34398">
        <v>2</v>
      </c>
      <c r="E34398">
        <v>4</v>
      </c>
      <c r="F34398">
        <v>5382</v>
      </c>
    </row>
    <row r="34399" spans="1:6" ht="12.75">
      <c r="A34399" s="2">
        <v>43875.353460648148</v>
      </c>
      <c r="B34399" t="str">
        <f>HYPERLINK("https://twitter.com/kamilulloh","@kamilulloh")</f>
        <v>@kamilulloh</v>
      </c>
      <c r="C34399" t="s">
        <v>9021</v>
      </c>
      <c r="D34399">
        <v>151</v>
      </c>
      <c r="E34399">
        <v>0</v>
      </c>
      <c r="F34399">
        <v>194</v>
      </c>
    </row>
    <row r="34400" spans="1:6" ht="12.75">
      <c r="A34400" s="2">
        <v>43875.353402777779</v>
      </c>
      <c r="B34400" t="str">
        <f>HYPERLINK("https://twitter.com/silabandolok7","@silabandolok7")</f>
        <v>@silabandolok7</v>
      </c>
      <c r="C34400" t="s">
        <v>9947</v>
      </c>
      <c r="D34400">
        <v>319</v>
      </c>
      <c r="E34400">
        <v>0</v>
      </c>
      <c r="F34400">
        <v>13</v>
      </c>
    </row>
    <row r="34401" spans="1:6" ht="12.75">
      <c r="A34401" s="2">
        <v>43875.353333333333</v>
      </c>
      <c r="B34401" t="str">
        <f>HYPERLINK("https://twitter.com/aekandina","@aekandina")</f>
        <v>@aekandina</v>
      </c>
      <c r="C34401" t="s">
        <v>5168</v>
      </c>
      <c r="D34401">
        <v>411</v>
      </c>
      <c r="E34401">
        <v>0</v>
      </c>
      <c r="F34401">
        <v>903</v>
      </c>
    </row>
    <row r="34402" spans="1:6" ht="12.75">
      <c r="A34402" s="2">
        <v>43875.353275462963</v>
      </c>
      <c r="B34402" t="str">
        <f>HYPERLINK("https://twitter.com/tonikortis","@tonikortis")</f>
        <v>@tonikortis</v>
      </c>
      <c r="C34402" t="s">
        <v>11122</v>
      </c>
      <c r="D34402">
        <v>2</v>
      </c>
      <c r="E34402">
        <v>0</v>
      </c>
      <c r="F34402">
        <v>694</v>
      </c>
    </row>
    <row r="34403" spans="1:6" ht="12.75">
      <c r="A34403" s="2">
        <v>43875.35324074074</v>
      </c>
      <c r="B34403" t="str">
        <f>HYPERLINK("https://twitter.com/orihara_rurei_p","@orihara_rurei_p")</f>
        <v>@orihara_rurei_p</v>
      </c>
      <c r="C34403" t="s">
        <v>5168</v>
      </c>
      <c r="D34403">
        <v>411</v>
      </c>
      <c r="E34403">
        <v>0</v>
      </c>
      <c r="F34403">
        <v>575</v>
      </c>
    </row>
    <row r="34404" spans="1:6" ht="12.75">
      <c r="A34404" s="2">
        <v>43875.353159722217</v>
      </c>
      <c r="B34404" t="str">
        <f>HYPERLINK("https://twitter.com/rio_ayong","@rio_ayong")</f>
        <v>@rio_ayong</v>
      </c>
      <c r="C34404" t="s">
        <v>2122</v>
      </c>
      <c r="D34404">
        <v>180</v>
      </c>
      <c r="E34404">
        <v>0</v>
      </c>
      <c r="F34404">
        <v>177</v>
      </c>
    </row>
    <row r="34405" spans="1:6" ht="12.75">
      <c r="A34405" s="2">
        <v>43875.353078703702</v>
      </c>
      <c r="B34405" t="str">
        <f>HYPERLINK("https://twitter.com/pusaranbunda","@pusaranbunda")</f>
        <v>@pusaranbunda</v>
      </c>
      <c r="C34405" t="s">
        <v>14357</v>
      </c>
      <c r="D34405">
        <v>1</v>
      </c>
      <c r="E34405">
        <v>2</v>
      </c>
      <c r="F34405">
        <v>1397</v>
      </c>
    </row>
    <row r="34406" spans="1:6" ht="12.75">
      <c r="A34406" s="2">
        <v>43875.353009259255</v>
      </c>
      <c r="B34406" t="str">
        <f>HYPERLINK("https://twitter.com/cantyxq","@cantyxq")</f>
        <v>@cantyxq</v>
      </c>
      <c r="C34406" t="s">
        <v>9211</v>
      </c>
      <c r="D34406">
        <v>20</v>
      </c>
      <c r="E34406">
        <v>0</v>
      </c>
      <c r="F34406">
        <v>289</v>
      </c>
    </row>
    <row r="34407" spans="1:6" ht="12.75">
      <c r="A34407" s="2">
        <v>43875.352986111116</v>
      </c>
      <c r="B34407" t="str">
        <f>HYPERLINK("https://twitter.com/joshku","@joshku")</f>
        <v>@joshku</v>
      </c>
      <c r="C34407" t="s">
        <v>12849</v>
      </c>
      <c r="D34407">
        <v>62</v>
      </c>
      <c r="E34407">
        <v>0</v>
      </c>
      <c r="F34407">
        <v>310</v>
      </c>
    </row>
    <row r="34408" spans="1:6" ht="12.75">
      <c r="A34408" s="2">
        <v>43875.352962962963</v>
      </c>
      <c r="B34408" t="str">
        <f>HYPERLINK("https://twitter.com/vidalavidah","@vidalavidah")</f>
        <v>@vidalavidah</v>
      </c>
      <c r="C34408" t="s">
        <v>14358</v>
      </c>
      <c r="D34408">
        <v>0</v>
      </c>
      <c r="E34408">
        <v>0</v>
      </c>
      <c r="F34408">
        <v>167</v>
      </c>
    </row>
    <row r="34409" spans="1:6" ht="12.75">
      <c r="A34409" s="2">
        <v>43875.35292824074</v>
      </c>
      <c r="B34409" t="str">
        <f>HYPERLINK("https://twitter.com/Giman68821124","@Giman68821124")</f>
        <v>@Giman68821124</v>
      </c>
      <c r="C34409" t="s">
        <v>14359</v>
      </c>
      <c r="D34409">
        <v>0</v>
      </c>
      <c r="E34409">
        <v>0</v>
      </c>
      <c r="F34409">
        <v>77</v>
      </c>
    </row>
    <row r="34410" spans="1:6" ht="12.75">
      <c r="A34410" s="2">
        <v>43875.352800925924</v>
      </c>
      <c r="B34410" t="str">
        <f>HYPERLINK("https://twitter.com/lukasomanalu","@lukasomanalu")</f>
        <v>@lukasomanalu</v>
      </c>
      <c r="C34410" t="s">
        <v>14360</v>
      </c>
      <c r="D34410">
        <v>0</v>
      </c>
      <c r="E34410">
        <v>0</v>
      </c>
      <c r="F34410">
        <v>489</v>
      </c>
    </row>
    <row r="34411" spans="1:6" ht="12.75">
      <c r="A34411" s="2">
        <v>43875.352777777778</v>
      </c>
      <c r="B34411" t="str">
        <f>HYPERLINK("https://twitter.com/cantyxq","@cantyxq")</f>
        <v>@cantyxq</v>
      </c>
      <c r="C34411" t="s">
        <v>10526</v>
      </c>
      <c r="D34411">
        <v>115</v>
      </c>
      <c r="E34411">
        <v>0</v>
      </c>
      <c r="F34411">
        <v>289</v>
      </c>
    </row>
    <row r="34412" spans="1:6" ht="12.75">
      <c r="A34412" s="2">
        <v>43875.352743055555</v>
      </c>
      <c r="B34412" t="str">
        <f>HYPERLINK("https://twitter.com/harakatuna","@harakatuna")</f>
        <v>@harakatuna</v>
      </c>
      <c r="C34412" t="s">
        <v>14361</v>
      </c>
      <c r="D34412">
        <v>0</v>
      </c>
      <c r="E34412">
        <v>0</v>
      </c>
      <c r="F34412">
        <v>409</v>
      </c>
    </row>
    <row r="34413" spans="1:6" ht="12.75">
      <c r="A34413" s="2">
        <v>43875.352731481486</v>
      </c>
      <c r="B34413" t="str">
        <f>HYPERLINK("https://twitter.com/boyheboy","@boyheboy")</f>
        <v>@boyheboy</v>
      </c>
      <c r="C34413" t="s">
        <v>8881</v>
      </c>
      <c r="D34413">
        <v>254</v>
      </c>
      <c r="E34413">
        <v>0</v>
      </c>
      <c r="F34413">
        <v>475</v>
      </c>
    </row>
    <row r="34414" spans="1:6" ht="12.75">
      <c r="A34414" s="2">
        <v>43875.35261574074</v>
      </c>
      <c r="B34414" t="str">
        <f>HYPERLINK("https://twitter.com/imamhidayatt2","@imamhidayatt2")</f>
        <v>@imamhidayatt2</v>
      </c>
      <c r="C34414" t="s">
        <v>12450</v>
      </c>
      <c r="D34414">
        <v>74</v>
      </c>
      <c r="E34414">
        <v>0</v>
      </c>
      <c r="F34414">
        <v>1703</v>
      </c>
    </row>
    <row r="34415" spans="1:6" ht="12.75">
      <c r="A34415" s="2">
        <v>43875.35255787037</v>
      </c>
      <c r="B34415" t="str">
        <f>HYPERLINK("https://twitter.com/iyehmilanisti","@iyehmilanisti")</f>
        <v>@iyehmilanisti</v>
      </c>
      <c r="C34415" t="s">
        <v>14362</v>
      </c>
      <c r="D34415">
        <v>0</v>
      </c>
      <c r="E34415">
        <v>0</v>
      </c>
      <c r="F34415">
        <v>106</v>
      </c>
    </row>
    <row r="34416" spans="1:6" ht="12.75">
      <c r="A34416" s="2">
        <v>43875.352546296301</v>
      </c>
      <c r="B34416" t="str">
        <f>HYPERLINK("https://twitter.com/primasari991","@primasari991")</f>
        <v>@primasari991</v>
      </c>
      <c r="C34416" t="s">
        <v>10196</v>
      </c>
      <c r="D34416">
        <v>127</v>
      </c>
      <c r="E34416">
        <v>0</v>
      </c>
      <c r="F34416">
        <v>222</v>
      </c>
    </row>
    <row r="34417" spans="1:6" ht="12.75">
      <c r="A34417" s="2">
        <v>43875.352534722224</v>
      </c>
      <c r="B34417" t="str">
        <f>HYPERLINK("https://twitter.com/fx_raptor","@fx_raptor")</f>
        <v>@fx_raptor</v>
      </c>
      <c r="C34417" t="s">
        <v>14363</v>
      </c>
      <c r="D34417">
        <v>0</v>
      </c>
      <c r="E34417">
        <v>0</v>
      </c>
      <c r="F34417">
        <v>1169</v>
      </c>
    </row>
    <row r="34418" spans="1:6" ht="12.75">
      <c r="A34418" s="2">
        <v>43875.352511574078</v>
      </c>
      <c r="B34418" t="str">
        <f>HYPERLINK("https://twitter.com/ninozuke","@ninozuke")</f>
        <v>@ninozuke</v>
      </c>
      <c r="C34418" t="s">
        <v>10526</v>
      </c>
      <c r="D34418">
        <v>115</v>
      </c>
      <c r="E34418">
        <v>0</v>
      </c>
      <c r="F34418">
        <v>52</v>
      </c>
    </row>
    <row r="34419" spans="1:6" ht="12.75">
      <c r="A34419" s="2">
        <v>43875.352476851855</v>
      </c>
      <c r="B34419" t="str">
        <f>HYPERLINK("https://twitter.com/imamhidayatt2","@imamhidayatt2")</f>
        <v>@imamhidayatt2</v>
      </c>
      <c r="C34419" t="s">
        <v>14005</v>
      </c>
      <c r="D34419">
        <v>85</v>
      </c>
      <c r="E34419">
        <v>0</v>
      </c>
      <c r="F34419">
        <v>1703</v>
      </c>
    </row>
    <row r="34420" spans="1:6" ht="12.75">
      <c r="A34420" s="2">
        <v>43875.352372685185</v>
      </c>
      <c r="B34420" t="str">
        <f>HYPERLINK("https://twitter.com/QalbuBahasa","@QalbuBahasa")</f>
        <v>@QalbuBahasa</v>
      </c>
      <c r="C34420" t="s">
        <v>14364</v>
      </c>
      <c r="D34420">
        <v>0</v>
      </c>
      <c r="E34420">
        <v>1</v>
      </c>
      <c r="F34420">
        <v>109</v>
      </c>
    </row>
    <row r="34421" spans="1:6" ht="12.75">
      <c r="A34421" s="2">
        <v>43875.352314814816</v>
      </c>
      <c r="B34421" t="str">
        <f>HYPERLINK("https://twitter.com/tasya_4black","@tasya_4black")</f>
        <v>@tasya_4black</v>
      </c>
      <c r="C34421" t="s">
        <v>12180</v>
      </c>
      <c r="D34421">
        <v>25</v>
      </c>
      <c r="E34421">
        <v>0</v>
      </c>
      <c r="F34421">
        <v>85</v>
      </c>
    </row>
    <row r="34422" spans="1:6" ht="12.75">
      <c r="A34422" s="2">
        <v>43875.352314814816</v>
      </c>
      <c r="B34422" t="str">
        <f>HYPERLINK("https://twitter.com/ivanchristi3","@ivanchristi3")</f>
        <v>@ivanchristi3</v>
      </c>
      <c r="C34422" t="s">
        <v>2963</v>
      </c>
      <c r="D34422">
        <v>471</v>
      </c>
      <c r="E34422">
        <v>0</v>
      </c>
      <c r="F34422">
        <v>920</v>
      </c>
    </row>
    <row r="34423" spans="1:6" ht="12.75">
      <c r="A34423" s="2">
        <v>43875.352280092593</v>
      </c>
      <c r="B34423" t="str">
        <f>HYPERLINK("https://twitter.com/elsascarllet","@elsascarllet")</f>
        <v>@elsascarllet</v>
      </c>
      <c r="C34423" t="s">
        <v>7803</v>
      </c>
      <c r="D34423">
        <v>301</v>
      </c>
      <c r="E34423">
        <v>0</v>
      </c>
      <c r="F34423">
        <v>738</v>
      </c>
    </row>
    <row r="34424" spans="1:6" ht="12.75">
      <c r="A34424" s="2">
        <v>43875.352268518516</v>
      </c>
      <c r="B34424" t="str">
        <f>HYPERLINK("https://twitter.com/baveto","@baveto")</f>
        <v>@baveto</v>
      </c>
      <c r="C34424" t="s">
        <v>14365</v>
      </c>
      <c r="D34424">
        <v>80</v>
      </c>
      <c r="E34424">
        <v>0</v>
      </c>
      <c r="F34424">
        <v>662</v>
      </c>
    </row>
    <row r="34425" spans="1:6" ht="12.75">
      <c r="A34425" s="2">
        <v>43875.352175925931</v>
      </c>
      <c r="B34425" t="str">
        <f>HYPERLINK("https://twitter.com/Koran_Kaltara","@Koran_Kaltara")</f>
        <v>@Koran_Kaltara</v>
      </c>
      <c r="C34425" t="s">
        <v>14366</v>
      </c>
      <c r="D34425">
        <v>0</v>
      </c>
      <c r="E34425">
        <v>0</v>
      </c>
      <c r="F34425">
        <v>83</v>
      </c>
    </row>
    <row r="34426" spans="1:6" ht="12.75">
      <c r="A34426" s="2">
        <v>43875.352152777778</v>
      </c>
      <c r="B34426" t="str">
        <f>HYPERLINK("https://twitter.com/MaryamAleya","@MaryamAleya")</f>
        <v>@MaryamAleya</v>
      </c>
      <c r="C34426" t="s">
        <v>14367</v>
      </c>
      <c r="D34426">
        <v>1</v>
      </c>
      <c r="E34426">
        <v>0</v>
      </c>
      <c r="F34426">
        <v>1658</v>
      </c>
    </row>
    <row r="34427" spans="1:6" ht="12.75">
      <c r="A34427" s="2">
        <v>43875.352152777778</v>
      </c>
      <c r="B34427" t="str">
        <f>HYPERLINK("https://twitter.com/mella_ney","@mella_ney")</f>
        <v>@mella_ney</v>
      </c>
      <c r="C34427" t="s">
        <v>9021</v>
      </c>
      <c r="D34427">
        <v>151</v>
      </c>
      <c r="E34427">
        <v>0</v>
      </c>
      <c r="F34427">
        <v>601</v>
      </c>
    </row>
    <row r="34428" spans="1:6" ht="12.75">
      <c r="A34428" s="2">
        <v>43875.352141203708</v>
      </c>
      <c r="B34428" t="str">
        <f>HYPERLINK("https://twitter.com/Agussan03610777","@Agussan03610777")</f>
        <v>@Agussan03610777</v>
      </c>
      <c r="C34428" t="s">
        <v>14368</v>
      </c>
      <c r="D34428">
        <v>0</v>
      </c>
      <c r="E34428">
        <v>0</v>
      </c>
      <c r="F34428">
        <v>3</v>
      </c>
    </row>
    <row r="34429" spans="1:6" ht="12.75">
      <c r="A34429" s="2">
        <v>43875.352071759262</v>
      </c>
      <c r="B34429" t="str">
        <f>HYPERLINK("https://twitter.com/herySbahri","@herySbahri")</f>
        <v>@herySbahri</v>
      </c>
      <c r="C34429" t="s">
        <v>2963</v>
      </c>
      <c r="D34429">
        <v>471</v>
      </c>
      <c r="E34429">
        <v>0</v>
      </c>
      <c r="F34429">
        <v>1537</v>
      </c>
    </row>
    <row r="34430" spans="1:6" ht="12.75">
      <c r="A34430" s="2">
        <v>43875.351770833338</v>
      </c>
      <c r="B34430" t="str">
        <f>HYPERLINK("https://twitter.com/prasetyayudhaa_","@prasetyayudhaa_")</f>
        <v>@prasetyayudhaa_</v>
      </c>
      <c r="C34430" t="s">
        <v>14369</v>
      </c>
      <c r="D34430">
        <v>0</v>
      </c>
      <c r="E34430">
        <v>0</v>
      </c>
      <c r="F34430">
        <v>18</v>
      </c>
    </row>
    <row r="34431" spans="1:6" ht="12.75">
      <c r="A34431" s="2">
        <v>43875.351597222223</v>
      </c>
      <c r="B34431" t="str">
        <f>HYPERLINK("https://twitter.com/AaHermawan16","@AaHermawan16")</f>
        <v>@AaHermawan16</v>
      </c>
      <c r="C34431" t="s">
        <v>14370</v>
      </c>
      <c r="D34431">
        <v>0</v>
      </c>
      <c r="E34431">
        <v>1</v>
      </c>
      <c r="F34431">
        <v>2464</v>
      </c>
    </row>
    <row r="34432" spans="1:6" ht="12.75">
      <c r="A34432" s="2">
        <v>43875.3515625</v>
      </c>
      <c r="B34432" t="str">
        <f>HYPERLINK("https://twitter.com/baveto","@baveto")</f>
        <v>@baveto</v>
      </c>
      <c r="C34432" t="s">
        <v>10397</v>
      </c>
      <c r="D34432">
        <v>66</v>
      </c>
      <c r="E34432">
        <v>0</v>
      </c>
      <c r="F34432">
        <v>662</v>
      </c>
    </row>
    <row r="34433" spans="1:6" ht="12.75">
      <c r="A34433" s="2">
        <v>43875.35155092593</v>
      </c>
      <c r="B34433" t="str">
        <f>HYPERLINK("https://twitter.com/woodzeunim","@woodzeunim")</f>
        <v>@woodzeunim</v>
      </c>
      <c r="C34433" t="s">
        <v>9964</v>
      </c>
      <c r="D34433">
        <v>473</v>
      </c>
      <c r="E34433">
        <v>0</v>
      </c>
      <c r="F34433">
        <v>444</v>
      </c>
    </row>
    <row r="34434" spans="1:6" ht="12.75">
      <c r="A34434" s="2">
        <v>43875.351469907408</v>
      </c>
      <c r="B34434" t="str">
        <f>HYPERLINK("https://twitter.com/ilafirn","@ilafirn")</f>
        <v>@ilafirn</v>
      </c>
      <c r="C34434" t="s">
        <v>2963</v>
      </c>
      <c r="D34434">
        <v>471</v>
      </c>
      <c r="E34434">
        <v>0</v>
      </c>
      <c r="F34434">
        <v>337</v>
      </c>
    </row>
    <row r="34435" spans="1:6" ht="12.75">
      <c r="A34435" s="2">
        <v>43875.351446759261</v>
      </c>
      <c r="B34435" t="str">
        <f>HYPERLINK("https://twitter.com/weakydipshit","@weakydipshit")</f>
        <v>@weakydipshit</v>
      </c>
      <c r="C34435" t="s">
        <v>5168</v>
      </c>
      <c r="D34435">
        <v>411</v>
      </c>
      <c r="E34435">
        <v>0</v>
      </c>
      <c r="F34435">
        <v>1138</v>
      </c>
    </row>
    <row r="34436" spans="1:6" ht="12.75">
      <c r="A34436" s="2">
        <v>43875.351377314815</v>
      </c>
      <c r="B34436" t="str">
        <f>HYPERLINK("https://twitter.com/norindah76","@norindah76")</f>
        <v>@norindah76</v>
      </c>
      <c r="C34436" t="s">
        <v>2122</v>
      </c>
      <c r="D34436">
        <v>180</v>
      </c>
      <c r="E34436">
        <v>0</v>
      </c>
      <c r="F34436">
        <v>262</v>
      </c>
    </row>
    <row r="34437" spans="1:6" ht="12.75">
      <c r="A34437" s="2">
        <v>43875.351365740746</v>
      </c>
      <c r="B34437" t="str">
        <f>HYPERLINK("https://twitter.com/TopToross","@TopToross")</f>
        <v>@TopToross</v>
      </c>
      <c r="C34437" t="s">
        <v>2963</v>
      </c>
      <c r="D34437">
        <v>471</v>
      </c>
      <c r="E34437">
        <v>0</v>
      </c>
      <c r="F34437">
        <v>3273</v>
      </c>
    </row>
    <row r="34438" spans="1:6" ht="12.75">
      <c r="A34438" s="2">
        <v>43875.351331018523</v>
      </c>
      <c r="B34438" t="str">
        <f>HYPERLINK("https://twitter.com/irwantoear12","@irwantoear12")</f>
        <v>@irwantoear12</v>
      </c>
      <c r="C34438" t="s">
        <v>14371</v>
      </c>
      <c r="D34438">
        <v>0</v>
      </c>
      <c r="E34438">
        <v>0</v>
      </c>
      <c r="F34438">
        <v>7</v>
      </c>
    </row>
    <row r="34439" spans="1:6" ht="12.75">
      <c r="A34439" s="2">
        <v>43875.351319444446</v>
      </c>
      <c r="B34439" t="str">
        <f>HYPERLINK("https://twitter.com/DNP_2206","@DNP_2206")</f>
        <v>@DNP_2206</v>
      </c>
      <c r="C34439" t="s">
        <v>5168</v>
      </c>
      <c r="D34439">
        <v>411</v>
      </c>
      <c r="E34439">
        <v>0</v>
      </c>
      <c r="F34439">
        <v>93</v>
      </c>
    </row>
    <row r="34440" spans="1:6" ht="12.75">
      <c r="A34440" s="2">
        <v>43875.351261574076</v>
      </c>
      <c r="B34440" t="str">
        <f>HYPERLINK("https://twitter.com/arfibambani","@arfibambani")</f>
        <v>@arfibambani</v>
      </c>
      <c r="C34440" t="s">
        <v>14372</v>
      </c>
      <c r="D34440">
        <v>0</v>
      </c>
      <c r="E34440">
        <v>0</v>
      </c>
      <c r="F34440">
        <v>8001</v>
      </c>
    </row>
    <row r="34441" spans="1:6" ht="12.75">
      <c r="A34441" s="2">
        <v>43875.35125</v>
      </c>
      <c r="B34441" t="str">
        <f>HYPERLINK("https://twitter.com/junidab","@junidab")</f>
        <v>@junidab</v>
      </c>
      <c r="C34441" t="s">
        <v>14373</v>
      </c>
      <c r="D34441">
        <v>0</v>
      </c>
      <c r="E34441">
        <v>0</v>
      </c>
      <c r="F34441">
        <v>465</v>
      </c>
    </row>
    <row r="34442" spans="1:6" ht="12.75">
      <c r="A34442" s="2">
        <v>43875.351168981477</v>
      </c>
      <c r="B34442" t="str">
        <f>HYPERLINK("https://twitter.com/911comand","@911comand")</f>
        <v>@911comand</v>
      </c>
      <c r="C34442" t="s">
        <v>14374</v>
      </c>
      <c r="D34442">
        <v>0</v>
      </c>
      <c r="E34442">
        <v>0</v>
      </c>
      <c r="F34442">
        <v>606</v>
      </c>
    </row>
    <row r="34443" spans="1:6" ht="12.75">
      <c r="A34443" s="2">
        <v>43875.351099537038</v>
      </c>
      <c r="B34443" t="str">
        <f>HYPERLINK("https://twitter.com/nurcahyo_bowo","@nurcahyo_bowo")</f>
        <v>@nurcahyo_bowo</v>
      </c>
      <c r="C34443" t="s">
        <v>2963</v>
      </c>
      <c r="D34443">
        <v>471</v>
      </c>
      <c r="E34443">
        <v>0</v>
      </c>
      <c r="F34443">
        <v>2027</v>
      </c>
    </row>
    <row r="34444" spans="1:6" ht="12.75">
      <c r="A34444" s="2">
        <v>43875.351087962961</v>
      </c>
      <c r="B34444" t="str">
        <f>HYPERLINK("https://twitter.com/AbyAlan_","@AbyAlan_")</f>
        <v>@AbyAlan_</v>
      </c>
      <c r="C34444" t="s">
        <v>14346</v>
      </c>
      <c r="D34444">
        <v>5</v>
      </c>
      <c r="E34444">
        <v>0</v>
      </c>
      <c r="F34444">
        <v>428</v>
      </c>
    </row>
    <row r="34445" spans="1:6" ht="12.75">
      <c r="A34445" s="2">
        <v>43875.351064814815</v>
      </c>
      <c r="B34445" t="str">
        <f>HYPERLINK("https://twitter.com/PasRudy","@PasRudy")</f>
        <v>@PasRudy</v>
      </c>
      <c r="C34445" t="s">
        <v>2963</v>
      </c>
      <c r="D34445">
        <v>471</v>
      </c>
      <c r="E34445">
        <v>0</v>
      </c>
      <c r="F34445">
        <v>9</v>
      </c>
    </row>
    <row r="34446" spans="1:6" ht="12.75">
      <c r="A34446" s="2">
        <v>43875.350995370369</v>
      </c>
      <c r="B34446" t="str">
        <f>HYPERLINK("https://twitter.com/willytbk","@willytbk")</f>
        <v>@willytbk</v>
      </c>
      <c r="C34446" t="s">
        <v>2963</v>
      </c>
      <c r="D34446">
        <v>471</v>
      </c>
      <c r="E34446">
        <v>0</v>
      </c>
      <c r="F34446">
        <v>235</v>
      </c>
    </row>
    <row r="34447" spans="1:6" ht="12.75">
      <c r="A34447" s="2">
        <v>43875.350983796292</v>
      </c>
      <c r="B34447" t="str">
        <f>HYPERLINK("https://twitter.com/mouobasan","@mouobasan")</f>
        <v>@mouobasan</v>
      </c>
      <c r="C34447" t="s">
        <v>2444</v>
      </c>
      <c r="D34447">
        <v>67</v>
      </c>
      <c r="E34447">
        <v>0</v>
      </c>
      <c r="F34447">
        <v>125</v>
      </c>
    </row>
    <row r="34448" spans="1:6" ht="12.75">
      <c r="A34448" s="2">
        <v>43875.350798611107</v>
      </c>
      <c r="B34448" t="str">
        <f>HYPERLINK("https://twitter.com/jehosuann","@jehosuann")</f>
        <v>@jehosuann</v>
      </c>
      <c r="C34448" t="s">
        <v>9096</v>
      </c>
      <c r="D34448">
        <v>155</v>
      </c>
      <c r="E34448">
        <v>0</v>
      </c>
      <c r="F34448">
        <v>79</v>
      </c>
    </row>
    <row r="34449" spans="1:6" ht="12.75">
      <c r="A34449" s="2">
        <v>43875.350787037038</v>
      </c>
      <c r="B34449" t="str">
        <f>HYPERLINK("https://twitter.com/mudha_satriya","@mudha_satriya")</f>
        <v>@mudha_satriya</v>
      </c>
      <c r="C34449" t="s">
        <v>7411</v>
      </c>
      <c r="D34449">
        <v>132</v>
      </c>
      <c r="E34449">
        <v>0</v>
      </c>
      <c r="F34449">
        <v>1878</v>
      </c>
    </row>
    <row r="34450" spans="1:6" ht="12.75">
      <c r="A34450" s="2">
        <v>43875.350775462968</v>
      </c>
      <c r="B34450" t="str">
        <f>HYPERLINK("https://twitter.com/baveto","@baveto")</f>
        <v>@baveto</v>
      </c>
      <c r="C34450" t="s">
        <v>12332</v>
      </c>
      <c r="D34450">
        <v>49</v>
      </c>
      <c r="E34450">
        <v>0</v>
      </c>
      <c r="F34450">
        <v>662</v>
      </c>
    </row>
    <row r="34451" spans="1:6" ht="12.75">
      <c r="A34451" s="2">
        <v>43875.350752314815</v>
      </c>
      <c r="B34451" t="str">
        <f>HYPERLINK("https://twitter.com/X_SamURay63","@X_SamURay63")</f>
        <v>@X_SamURay63</v>
      </c>
      <c r="C34451" t="s">
        <v>10207</v>
      </c>
      <c r="D34451">
        <v>35</v>
      </c>
      <c r="E34451">
        <v>0</v>
      </c>
      <c r="F34451">
        <v>3935</v>
      </c>
    </row>
    <row r="34452" spans="1:6" ht="12.75">
      <c r="A34452" s="2">
        <v>43875.350590277776</v>
      </c>
      <c r="B34452" t="str">
        <f>HYPERLINK("https://twitter.com/tengamalam","@tengamalam")</f>
        <v>@tengamalam</v>
      </c>
      <c r="C34452" t="s">
        <v>175</v>
      </c>
      <c r="D34452">
        <v>5228</v>
      </c>
      <c r="E34452">
        <v>0</v>
      </c>
      <c r="F34452">
        <v>474</v>
      </c>
    </row>
    <row r="34453" spans="1:6" ht="12.75">
      <c r="A34453" s="2">
        <v>43875.350520833337</v>
      </c>
      <c r="B34453" t="str">
        <f>HYPERLINK("https://twitter.com/SamsulA44787617","@SamsulA44787617")</f>
        <v>@SamsulA44787617</v>
      </c>
      <c r="C34453" t="s">
        <v>10121</v>
      </c>
      <c r="D34453">
        <v>151</v>
      </c>
      <c r="E34453">
        <v>0</v>
      </c>
      <c r="F34453">
        <v>33</v>
      </c>
    </row>
    <row r="34454" spans="1:6" ht="12.75">
      <c r="A34454" s="2">
        <v>43875.350497685184</v>
      </c>
      <c r="B34454" t="str">
        <f>HYPERLINK("https://twitter.com/mmarleyt","@mmarleyt")</f>
        <v>@mmarleyt</v>
      </c>
      <c r="C34454" t="s">
        <v>2963</v>
      </c>
      <c r="D34454">
        <v>471</v>
      </c>
      <c r="E34454">
        <v>0</v>
      </c>
      <c r="F34454">
        <v>2019</v>
      </c>
    </row>
    <row r="34455" spans="1:6" ht="12.75">
      <c r="A34455" s="2">
        <v>43875.350474537037</v>
      </c>
      <c r="B34455" t="str">
        <f>HYPERLINK("https://twitter.com/YRadianto","@YRadianto")</f>
        <v>@YRadianto</v>
      </c>
      <c r="C34455" t="s">
        <v>14309</v>
      </c>
      <c r="D34455">
        <v>7</v>
      </c>
      <c r="E34455">
        <v>0</v>
      </c>
      <c r="F34455">
        <v>27638</v>
      </c>
    </row>
    <row r="34456" spans="1:6" ht="12.75">
      <c r="A34456" s="2">
        <v>43875.350474537037</v>
      </c>
      <c r="B34456" t="str">
        <f>HYPERLINK("https://twitter.com/khatasutta","@khatasutta")</f>
        <v>@khatasutta</v>
      </c>
      <c r="C34456" t="s">
        <v>5168</v>
      </c>
      <c r="D34456">
        <v>411</v>
      </c>
      <c r="E34456">
        <v>0</v>
      </c>
      <c r="F34456">
        <v>23</v>
      </c>
    </row>
    <row r="34457" spans="1:6" ht="12.75">
      <c r="A34457" s="2">
        <v>43875.350405092591</v>
      </c>
      <c r="B34457" t="str">
        <f>HYPERLINK("https://twitter.com/heztya","@heztya")</f>
        <v>@heztya</v>
      </c>
      <c r="C34457" t="s">
        <v>10422</v>
      </c>
      <c r="D34457">
        <v>40</v>
      </c>
      <c r="E34457">
        <v>0</v>
      </c>
      <c r="F34457">
        <v>116</v>
      </c>
    </row>
    <row r="34458" spans="1:6" ht="12.75">
      <c r="A34458" s="2">
        <v>43875.350312499999</v>
      </c>
      <c r="B34458" t="str">
        <f>HYPERLINK("https://twitter.com/911comand","@911comand")</f>
        <v>@911comand</v>
      </c>
      <c r="C34458" t="s">
        <v>14375</v>
      </c>
      <c r="D34458">
        <v>0</v>
      </c>
      <c r="E34458">
        <v>0</v>
      </c>
      <c r="F34458">
        <v>606</v>
      </c>
    </row>
    <row r="34459" spans="1:6" ht="12.75">
      <c r="A34459" s="2">
        <v>43875.350300925929</v>
      </c>
      <c r="B34459" t="str">
        <f>HYPERLINK("https://twitter.com/masmasfuri","@masmasfuri")</f>
        <v>@masmasfuri</v>
      </c>
      <c r="C34459" t="s">
        <v>14376</v>
      </c>
      <c r="D34459">
        <v>0</v>
      </c>
      <c r="E34459">
        <v>0</v>
      </c>
      <c r="F34459">
        <v>1873</v>
      </c>
    </row>
    <row r="34460" spans="1:6" ht="12.75">
      <c r="A34460" s="2">
        <v>43875.350277777776</v>
      </c>
      <c r="B34460" t="str">
        <f>HYPERLINK("https://twitter.com/fauzanammar","@fauzanammar")</f>
        <v>@fauzanammar</v>
      </c>
      <c r="C34460" t="s">
        <v>14377</v>
      </c>
      <c r="D34460">
        <v>0</v>
      </c>
      <c r="E34460">
        <v>0</v>
      </c>
      <c r="F34460">
        <v>422</v>
      </c>
    </row>
    <row r="34461" spans="1:6" ht="12.75">
      <c r="A34461" s="2">
        <v>43875.350219907406</v>
      </c>
      <c r="B34461" t="str">
        <f>HYPERLINK("https://twitter.com/hendri92189000","@hendri92189000")</f>
        <v>@hendri92189000</v>
      </c>
      <c r="C34461" t="s">
        <v>14378</v>
      </c>
      <c r="D34461">
        <v>0</v>
      </c>
      <c r="E34461">
        <v>0</v>
      </c>
      <c r="F34461">
        <v>3378</v>
      </c>
    </row>
    <row r="34462" spans="1:6" ht="12.75">
      <c r="A34462" s="2">
        <v>43875.350185185191</v>
      </c>
      <c r="B34462" t="str">
        <f>HYPERLINK("https://twitter.com/hemaviton99","@hemaviton99")</f>
        <v>@hemaviton99</v>
      </c>
      <c r="C34462" t="s">
        <v>10588</v>
      </c>
      <c r="D34462">
        <v>105</v>
      </c>
      <c r="E34462">
        <v>0</v>
      </c>
      <c r="F34462">
        <v>3456</v>
      </c>
    </row>
    <row r="34463" spans="1:6" ht="12.75">
      <c r="A34463" s="2">
        <v>43875.350185185191</v>
      </c>
      <c r="B34463" t="str">
        <f>HYPERLINK("https://twitter.com/aris_rivai","@aris_rivai")</f>
        <v>@aris_rivai</v>
      </c>
      <c r="C34463" t="s">
        <v>2963</v>
      </c>
      <c r="D34463">
        <v>471</v>
      </c>
      <c r="E34463">
        <v>0</v>
      </c>
      <c r="F34463">
        <v>278</v>
      </c>
    </row>
    <row r="34464" spans="1:6" ht="12.75">
      <c r="A34464" s="2">
        <v>43875.350057870368</v>
      </c>
      <c r="B34464" t="str">
        <f>HYPERLINK("https://twitter.com/Gun4w4nAhokers","@Gun4w4nAhokers")</f>
        <v>@Gun4w4nAhokers</v>
      </c>
      <c r="C34464" t="s">
        <v>14379</v>
      </c>
      <c r="D34464">
        <v>0</v>
      </c>
      <c r="E34464">
        <v>0</v>
      </c>
      <c r="F34464">
        <v>4170</v>
      </c>
    </row>
    <row r="34465" spans="1:6" ht="12.75">
      <c r="A34465" s="2">
        <v>43875.350023148145</v>
      </c>
      <c r="B34465" t="str">
        <f>HYPERLINK("https://twitter.com/baveto","@baveto")</f>
        <v>@baveto</v>
      </c>
      <c r="C34465" t="s">
        <v>5624</v>
      </c>
      <c r="D34465">
        <v>112</v>
      </c>
      <c r="E34465">
        <v>0</v>
      </c>
      <c r="F34465">
        <v>662</v>
      </c>
    </row>
    <row r="34466" spans="1:6" ht="12.75">
      <c r="A34466" s="2">
        <v>43875.350011574075</v>
      </c>
      <c r="B34466" t="str">
        <f>HYPERLINK("https://twitter.com/Bigbacot","@Bigbacot")</f>
        <v>@Bigbacot</v>
      </c>
      <c r="C34466" t="s">
        <v>14380</v>
      </c>
      <c r="D34466">
        <v>0</v>
      </c>
      <c r="E34466">
        <v>0</v>
      </c>
      <c r="F34466">
        <v>379</v>
      </c>
    </row>
    <row r="34467" spans="1:6" ht="12.75">
      <c r="A34467" s="2">
        <v>43875.349953703699</v>
      </c>
      <c r="B34467" t="str">
        <f>HYPERLINK("https://twitter.com/Abankgera999","@Abankgera999")</f>
        <v>@Abankgera999</v>
      </c>
      <c r="C34467" t="s">
        <v>2963</v>
      </c>
      <c r="D34467">
        <v>471</v>
      </c>
      <c r="E34467">
        <v>0</v>
      </c>
      <c r="F34467">
        <v>493</v>
      </c>
    </row>
    <row r="34468" spans="1:6" ht="12.75">
      <c r="A34468" s="2">
        <v>43875.349953703699</v>
      </c>
      <c r="B34468" t="str">
        <f>HYPERLINK("https://twitter.com/SemaneiD","@SemaneiD")</f>
        <v>@SemaneiD</v>
      </c>
      <c r="C34468" t="s">
        <v>10407</v>
      </c>
      <c r="D34468">
        <v>32</v>
      </c>
      <c r="E34468">
        <v>0</v>
      </c>
      <c r="F34468">
        <v>40</v>
      </c>
    </row>
    <row r="34469" spans="1:6" ht="12.75">
      <c r="A34469" s="2">
        <v>43875.34993055556</v>
      </c>
      <c r="B34469" t="str">
        <f>HYPERLINK("https://twitter.com/rejananaala","@rejananaala")</f>
        <v>@rejananaala</v>
      </c>
      <c r="C34469" t="s">
        <v>9096</v>
      </c>
      <c r="D34469">
        <v>155</v>
      </c>
      <c r="E34469">
        <v>0</v>
      </c>
      <c r="F34469">
        <v>452</v>
      </c>
    </row>
    <row r="34470" spans="1:6" ht="12.75">
      <c r="A34470" s="2">
        <v>43875.34993055556</v>
      </c>
      <c r="B34470" t="str">
        <f>HYPERLINK("https://twitter.com/EmaNurvina","@EmaNurvina")</f>
        <v>@EmaNurvina</v>
      </c>
      <c r="C34470" t="s">
        <v>14381</v>
      </c>
      <c r="D34470">
        <v>0</v>
      </c>
      <c r="E34470">
        <v>0</v>
      </c>
      <c r="F34470">
        <v>189</v>
      </c>
    </row>
    <row r="34471" spans="1:6" ht="12.75">
      <c r="A34471" s="2">
        <v>43875.349826388891</v>
      </c>
      <c r="B34471" t="str">
        <f>HYPERLINK("https://twitter.com/Manxp10","@Manxp10")</f>
        <v>@Manxp10</v>
      </c>
      <c r="C34471" t="s">
        <v>9096</v>
      </c>
      <c r="D34471">
        <v>155</v>
      </c>
      <c r="E34471">
        <v>0</v>
      </c>
      <c r="F34471">
        <v>330</v>
      </c>
    </row>
    <row r="34472" spans="1:6" ht="12.75">
      <c r="A34472" s="2">
        <v>43875.349814814814</v>
      </c>
      <c r="B34472" t="str">
        <f>HYPERLINK("https://twitter.com/pusaranbunda","@pusaranbunda")</f>
        <v>@pusaranbunda</v>
      </c>
      <c r="C34472" t="s">
        <v>10032</v>
      </c>
      <c r="D34472">
        <v>15</v>
      </c>
      <c r="E34472">
        <v>0</v>
      </c>
      <c r="F34472">
        <v>1397</v>
      </c>
    </row>
    <row r="34473" spans="1:6" ht="12.75">
      <c r="A34473" s="2">
        <v>43875.349791666667</v>
      </c>
      <c r="B34473" t="str">
        <f>HYPERLINK("https://twitter.com/Frantaga1","@Frantaga1")</f>
        <v>@Frantaga1</v>
      </c>
      <c r="C34473" t="s">
        <v>10526</v>
      </c>
      <c r="D34473">
        <v>115</v>
      </c>
      <c r="E34473">
        <v>0</v>
      </c>
      <c r="F34473">
        <v>524</v>
      </c>
    </row>
    <row r="34474" spans="1:6" ht="12.75">
      <c r="A34474" s="2">
        <v>43875.349722222221</v>
      </c>
      <c r="B34474" t="str">
        <f>HYPERLINK("https://twitter.com/meow_leader","@meow_leader")</f>
        <v>@meow_leader</v>
      </c>
      <c r="C34474" t="s">
        <v>14382</v>
      </c>
      <c r="D34474">
        <v>0</v>
      </c>
      <c r="E34474">
        <v>0</v>
      </c>
      <c r="F34474">
        <v>3684</v>
      </c>
    </row>
    <row r="34475" spans="1:6" ht="12.75">
      <c r="A34475" s="2">
        <v>43875.349722222221</v>
      </c>
      <c r="B34475" t="str">
        <f>HYPERLINK("https://twitter.com/SemaneiD","@SemaneiD")</f>
        <v>@SemaneiD</v>
      </c>
      <c r="C34475" t="s">
        <v>14042</v>
      </c>
      <c r="D34475">
        <v>2</v>
      </c>
      <c r="E34475">
        <v>0</v>
      </c>
      <c r="F34475">
        <v>40</v>
      </c>
    </row>
    <row r="34476" spans="1:6" ht="12.75">
      <c r="A34476" s="2">
        <v>43875.349664351852</v>
      </c>
      <c r="B34476" t="str">
        <f>HYPERLINK("https://twitter.com/buluslg","@buluslg")</f>
        <v>@buluslg</v>
      </c>
      <c r="C34476" t="s">
        <v>14383</v>
      </c>
      <c r="D34476">
        <v>0</v>
      </c>
      <c r="E34476">
        <v>0</v>
      </c>
      <c r="F34476">
        <v>1074</v>
      </c>
    </row>
    <row r="34477" spans="1:6" ht="12.75">
      <c r="A34477" s="2">
        <v>43875.349652777775</v>
      </c>
      <c r="B34477" t="str">
        <f>HYPERLINK("https://twitter.com/suratmidede","@suratmidede")</f>
        <v>@suratmidede</v>
      </c>
      <c r="C34477" t="s">
        <v>2963</v>
      </c>
      <c r="D34477">
        <v>471</v>
      </c>
      <c r="E34477">
        <v>0</v>
      </c>
      <c r="F34477">
        <v>763</v>
      </c>
    </row>
    <row r="34478" spans="1:6" ht="12.75">
      <c r="A34478" s="2">
        <v>43875.349641203706</v>
      </c>
      <c r="B34478" t="str">
        <f>HYPERLINK("https://twitter.com/torelwisnu","@torelwisnu")</f>
        <v>@torelwisnu</v>
      </c>
      <c r="C34478" t="s">
        <v>2963</v>
      </c>
      <c r="D34478">
        <v>471</v>
      </c>
      <c r="E34478">
        <v>0</v>
      </c>
      <c r="F34478">
        <v>1146</v>
      </c>
    </row>
    <row r="34479" spans="1:6" ht="12.75">
      <c r="A34479" s="2">
        <v>43875.349502314813</v>
      </c>
      <c r="B34479" t="str">
        <f>HYPERLINK("https://twitter.com/dfajry01","@dfajry01")</f>
        <v>@dfajry01</v>
      </c>
      <c r="C34479" t="s">
        <v>2963</v>
      </c>
      <c r="D34479">
        <v>471</v>
      </c>
      <c r="E34479">
        <v>0</v>
      </c>
      <c r="F34479">
        <v>2972</v>
      </c>
    </row>
    <row r="34480" spans="1:6" ht="12.75">
      <c r="A34480" s="2">
        <v>43875.349456018521</v>
      </c>
      <c r="B34480" t="str">
        <f>HYPERLINK("https://twitter.com/aulia2199","@aulia2199")</f>
        <v>@aulia2199</v>
      </c>
      <c r="C34480" t="s">
        <v>10422</v>
      </c>
      <c r="D34480">
        <v>40</v>
      </c>
      <c r="E34480">
        <v>0</v>
      </c>
      <c r="F34480">
        <v>121</v>
      </c>
    </row>
    <row r="34481" spans="1:6" ht="12.75">
      <c r="A34481" s="2">
        <v>43875.349444444444</v>
      </c>
      <c r="B34481" t="str">
        <f>HYPERLINK("https://twitter.com/Anti_Kacung","@Anti_Kacung")</f>
        <v>@Anti_Kacung</v>
      </c>
      <c r="C34481" t="s">
        <v>13098</v>
      </c>
      <c r="D34481">
        <v>1</v>
      </c>
      <c r="E34481">
        <v>0</v>
      </c>
      <c r="F34481">
        <v>254</v>
      </c>
    </row>
    <row r="34482" spans="1:6" ht="12.75">
      <c r="A34482" s="2">
        <v>43875.349386574075</v>
      </c>
      <c r="B34482" t="str">
        <f>HYPERLINK("https://twitter.com/Bigbacot","@Bigbacot")</f>
        <v>@Bigbacot</v>
      </c>
      <c r="C34482" t="s">
        <v>14384</v>
      </c>
      <c r="D34482">
        <v>0</v>
      </c>
      <c r="E34482">
        <v>0</v>
      </c>
      <c r="F34482">
        <v>379</v>
      </c>
    </row>
    <row r="34483" spans="1:6" ht="12.75">
      <c r="A34483" s="2">
        <v>43875.349375000005</v>
      </c>
      <c r="B34483" t="str">
        <f>HYPERLINK("https://twitter.com/Andri49994343","@Andri49994343")</f>
        <v>@Andri49994343</v>
      </c>
      <c r="C34483" t="s">
        <v>11282</v>
      </c>
      <c r="D34483">
        <v>1</v>
      </c>
      <c r="E34483">
        <v>0</v>
      </c>
      <c r="F34483">
        <v>21</v>
      </c>
    </row>
    <row r="34484" spans="1:6" ht="12.75">
      <c r="A34484" s="2">
        <v>43875.349363425921</v>
      </c>
      <c r="B34484" t="str">
        <f>HYPERLINK("https://twitter.com/Michael79820241","@Michael79820241")</f>
        <v>@Michael79820241</v>
      </c>
      <c r="C34484" t="s">
        <v>10032</v>
      </c>
      <c r="D34484">
        <v>15</v>
      </c>
      <c r="E34484">
        <v>0</v>
      </c>
      <c r="F34484">
        <v>91</v>
      </c>
    </row>
    <row r="34485" spans="1:6" ht="12.75">
      <c r="A34485" s="2">
        <v>43875.349247685182</v>
      </c>
      <c r="B34485" t="str">
        <f>HYPERLINK("https://twitter.com/__Ndaru__","@__Ndaru__")</f>
        <v>@__Ndaru__</v>
      </c>
      <c r="C34485" t="s">
        <v>14385</v>
      </c>
      <c r="D34485">
        <v>0</v>
      </c>
      <c r="E34485">
        <v>0</v>
      </c>
      <c r="F34485">
        <v>315</v>
      </c>
    </row>
    <row r="34486" spans="1:6" ht="12.75">
      <c r="A34486" s="2">
        <v>43875.349108796298</v>
      </c>
      <c r="B34486" t="str">
        <f>HYPERLINK("https://twitter.com/weeladalah","@weeladalah")</f>
        <v>@weeladalah</v>
      </c>
      <c r="C34486" t="s">
        <v>14386</v>
      </c>
      <c r="D34486">
        <v>4</v>
      </c>
      <c r="E34486">
        <v>0</v>
      </c>
      <c r="F34486">
        <v>246</v>
      </c>
    </row>
    <row r="34487" spans="1:6" ht="12.75">
      <c r="A34487" s="2">
        <v>43875.349108796298</v>
      </c>
      <c r="B34487" t="str">
        <f>HYPERLINK("https://twitter.com/demokrasicoid","@demokrasicoid")</f>
        <v>@demokrasicoid</v>
      </c>
      <c r="C34487" t="s">
        <v>678</v>
      </c>
      <c r="D34487">
        <v>1</v>
      </c>
      <c r="E34487">
        <v>1</v>
      </c>
      <c r="F34487">
        <v>22232</v>
      </c>
    </row>
    <row r="34488" spans="1:6" ht="12.75">
      <c r="A34488" s="2">
        <v>43875.349085648151</v>
      </c>
      <c r="B34488" t="str">
        <f>HYPERLINK("https://twitter.com/__aiek_esthreem","@__aiek_esthreem")</f>
        <v>@__aiek_esthreem</v>
      </c>
      <c r="C34488" t="s">
        <v>14387</v>
      </c>
      <c r="D34488">
        <v>2</v>
      </c>
      <c r="E34488">
        <v>4</v>
      </c>
      <c r="F34488">
        <v>16718</v>
      </c>
    </row>
    <row r="34489" spans="1:6" ht="12.75">
      <c r="A34489" s="2">
        <v>43875.349004629628</v>
      </c>
      <c r="B34489" t="str">
        <f>HYPERLINK("https://twitter.com/ragilsaputra645","@ragilsaputra645")</f>
        <v>@ragilsaputra645</v>
      </c>
      <c r="C34489" t="s">
        <v>8252</v>
      </c>
      <c r="D34489">
        <v>481</v>
      </c>
      <c r="E34489">
        <v>0</v>
      </c>
      <c r="F34489">
        <v>370</v>
      </c>
    </row>
    <row r="34490" spans="1:6" ht="12.75">
      <c r="A34490" s="2">
        <v>43875.348958333328</v>
      </c>
      <c r="B34490" t="str">
        <f>HYPERLINK("https://twitter.com/AlvaroDeBazan2","@AlvaroDeBazan2")</f>
        <v>@AlvaroDeBazan2</v>
      </c>
      <c r="C34490" t="s">
        <v>5168</v>
      </c>
      <c r="D34490">
        <v>411</v>
      </c>
      <c r="E34490">
        <v>0</v>
      </c>
      <c r="F34490">
        <v>250</v>
      </c>
    </row>
    <row r="34491" spans="1:6" ht="12.75">
      <c r="A34491" s="2">
        <v>43875.348958333328</v>
      </c>
      <c r="B34491" t="str">
        <f>HYPERLINK("https://twitter.com/jeGoenk","@jeGoenk")</f>
        <v>@jeGoenk</v>
      </c>
      <c r="C34491" t="s">
        <v>2963</v>
      </c>
      <c r="D34491">
        <v>471</v>
      </c>
      <c r="E34491">
        <v>0</v>
      </c>
      <c r="F34491">
        <v>57</v>
      </c>
    </row>
    <row r="34492" spans="1:6" ht="12.75">
      <c r="A34492" s="2">
        <v>43875.348946759259</v>
      </c>
      <c r="B34492" t="str">
        <f>HYPERLINK("https://twitter.com/B_124_FLY","@B_124_FLY")</f>
        <v>@B_124_FLY</v>
      </c>
      <c r="C34492" t="s">
        <v>14388</v>
      </c>
      <c r="D34492">
        <v>0</v>
      </c>
      <c r="E34492">
        <v>0</v>
      </c>
      <c r="F34492">
        <v>95</v>
      </c>
    </row>
    <row r="34493" spans="1:6" ht="12.75">
      <c r="A34493" s="2">
        <v>43875.348946759259</v>
      </c>
      <c r="B34493" t="str">
        <f>HYPERLINK("https://twitter.com/sendysuwanto","@sendysuwanto")</f>
        <v>@sendysuwanto</v>
      </c>
      <c r="C34493" t="s">
        <v>3038</v>
      </c>
      <c r="D34493">
        <v>105</v>
      </c>
      <c r="E34493">
        <v>0</v>
      </c>
      <c r="F34493">
        <v>1009</v>
      </c>
    </row>
    <row r="34494" spans="1:6" ht="12.75">
      <c r="A34494" s="2">
        <v>43875.348923611113</v>
      </c>
      <c r="B34494" t="str">
        <f>HYPERLINK("https://twitter.com/satsuyurami","@satsuyurami")</f>
        <v>@satsuyurami</v>
      </c>
      <c r="C34494" t="s">
        <v>2444</v>
      </c>
      <c r="D34494">
        <v>67</v>
      </c>
      <c r="E34494">
        <v>0</v>
      </c>
      <c r="F34494">
        <v>473</v>
      </c>
    </row>
    <row r="34495" spans="1:6" ht="12.75">
      <c r="A34495" s="2">
        <v>43875.348912037036</v>
      </c>
      <c r="B34495" t="str">
        <f>HYPERLINK("https://twitter.com/Indomaju4","@Indomaju4")</f>
        <v>@Indomaju4</v>
      </c>
      <c r="C34495" t="s">
        <v>14389</v>
      </c>
      <c r="D34495">
        <v>0</v>
      </c>
      <c r="E34495">
        <v>0</v>
      </c>
      <c r="F34495">
        <v>321</v>
      </c>
    </row>
    <row r="34496" spans="1:6" ht="12.75">
      <c r="A34496" s="2">
        <v>43875.348865740743</v>
      </c>
      <c r="B34496" t="str">
        <f>HYPERLINK("https://twitter.com/Khong_Beng","@Khong_Beng")</f>
        <v>@Khong_Beng</v>
      </c>
      <c r="C34496" t="s">
        <v>2122</v>
      </c>
      <c r="D34496">
        <v>180</v>
      </c>
      <c r="E34496">
        <v>0</v>
      </c>
      <c r="F34496">
        <v>160</v>
      </c>
    </row>
    <row r="34497" spans="1:6" ht="12.75">
      <c r="A34497" s="2">
        <v>43875.348854166667</v>
      </c>
      <c r="B34497" t="str">
        <f>HYPERLINK("https://twitter.com/annainggi","@annainggi")</f>
        <v>@annainggi</v>
      </c>
      <c r="C34497" t="s">
        <v>2963</v>
      </c>
      <c r="D34497">
        <v>471</v>
      </c>
      <c r="E34497">
        <v>0</v>
      </c>
      <c r="F34497">
        <v>874</v>
      </c>
    </row>
    <row r="34498" spans="1:6" ht="12.75">
      <c r="A34498" s="2">
        <v>43875.34884259259</v>
      </c>
      <c r="B34498" t="str">
        <f>HYPERLINK("https://twitter.com/Bigbacot","@Bigbacot")</f>
        <v>@Bigbacot</v>
      </c>
      <c r="C34498" t="s">
        <v>14390</v>
      </c>
      <c r="D34498">
        <v>0</v>
      </c>
      <c r="E34498">
        <v>0</v>
      </c>
      <c r="F34498">
        <v>379</v>
      </c>
    </row>
    <row r="34499" spans="1:6" ht="12.75">
      <c r="A34499" s="2">
        <v>43875.348819444444</v>
      </c>
      <c r="B34499" t="str">
        <f>HYPERLINK("https://twitter.com/wilshere1","@wilshere1")</f>
        <v>@wilshere1</v>
      </c>
      <c r="C34499" t="s">
        <v>2963</v>
      </c>
      <c r="D34499">
        <v>471</v>
      </c>
      <c r="E34499">
        <v>0</v>
      </c>
      <c r="F34499">
        <v>120</v>
      </c>
    </row>
    <row r="34500" spans="1:6" ht="12.75">
      <c r="A34500" s="2">
        <v>43875.348773148144</v>
      </c>
      <c r="B34500" t="str">
        <f>HYPERLINK("https://twitter.com/Dian_Supolo","@Dian_Supolo")</f>
        <v>@Dian_Supolo</v>
      </c>
      <c r="C34500" t="s">
        <v>13889</v>
      </c>
      <c r="D34500">
        <v>59</v>
      </c>
      <c r="E34500">
        <v>0</v>
      </c>
      <c r="F34500">
        <v>7845</v>
      </c>
    </row>
    <row r="34501" spans="1:6" ht="12.75">
      <c r="A34501" s="2">
        <v>43875.348773148144</v>
      </c>
      <c r="B34501" t="str">
        <f>HYPERLINK("https://twitter.com/ferdy_yovanny","@ferdy_yovanny")</f>
        <v>@ferdy_yovanny</v>
      </c>
      <c r="C34501" t="s">
        <v>2963</v>
      </c>
      <c r="D34501">
        <v>471</v>
      </c>
      <c r="E34501">
        <v>0</v>
      </c>
      <c r="F34501">
        <v>223</v>
      </c>
    </row>
    <row r="34502" spans="1:6" ht="12.75">
      <c r="A34502" s="2">
        <v>43875.348761574074</v>
      </c>
      <c r="B34502" t="str">
        <f>HYPERLINK("https://twitter.com/sendysuwanto","@sendysuwanto")</f>
        <v>@sendysuwanto</v>
      </c>
      <c r="C34502" t="s">
        <v>9096</v>
      </c>
      <c r="D34502">
        <v>155</v>
      </c>
      <c r="E34502">
        <v>0</v>
      </c>
      <c r="F34502">
        <v>1009</v>
      </c>
    </row>
    <row r="34503" spans="1:6" ht="12.75">
      <c r="A34503" s="2">
        <v>43875.348750000005</v>
      </c>
      <c r="B34503" t="str">
        <f>HYPERLINK("https://twitter.com/wonwoogarden","@wonwoogarden")</f>
        <v>@wonwoogarden</v>
      </c>
      <c r="C34503" t="s">
        <v>5168</v>
      </c>
      <c r="D34503">
        <v>411</v>
      </c>
      <c r="E34503">
        <v>0</v>
      </c>
      <c r="F34503">
        <v>21</v>
      </c>
    </row>
    <row r="34504" spans="1:6" ht="12.75">
      <c r="A34504" s="2">
        <v>43875.348668981482</v>
      </c>
      <c r="B34504" t="str">
        <f>HYPERLINK("https://twitter.com/Harian_Jogja","@Harian_Jogja")</f>
        <v>@Harian_Jogja</v>
      </c>
      <c r="C34504" t="s">
        <v>14391</v>
      </c>
      <c r="D34504">
        <v>0</v>
      </c>
      <c r="E34504">
        <v>1</v>
      </c>
      <c r="F34504">
        <v>153162</v>
      </c>
    </row>
    <row r="34505" spans="1:6" ht="12.75">
      <c r="A34505" s="2">
        <v>43875.348576388889</v>
      </c>
      <c r="B34505" t="str">
        <f>HYPERLINK("https://twitter.com/enterpreneurs15","@enterpreneurs15")</f>
        <v>@enterpreneurs15</v>
      </c>
      <c r="C34505" t="s">
        <v>14392</v>
      </c>
      <c r="D34505">
        <v>0</v>
      </c>
      <c r="E34505">
        <v>0</v>
      </c>
      <c r="F34505">
        <v>7</v>
      </c>
    </row>
    <row r="34506" spans="1:6" ht="12.75">
      <c r="A34506" s="2">
        <v>43875.34856481482</v>
      </c>
      <c r="B34506" t="str">
        <f>HYPERLINK("https://twitter.com/SiscaaaAbel","@SiscaaaAbel")</f>
        <v>@SiscaaaAbel</v>
      </c>
      <c r="C34506" t="s">
        <v>2122</v>
      </c>
      <c r="D34506">
        <v>180</v>
      </c>
      <c r="E34506">
        <v>0</v>
      </c>
      <c r="F34506">
        <v>1953</v>
      </c>
    </row>
    <row r="34507" spans="1:6" ht="12.75">
      <c r="A34507" s="2">
        <v>43875.348425925928</v>
      </c>
      <c r="B34507" t="str">
        <f>HYPERLINK("https://twitter.com/eternalkwon","@eternalkwon")</f>
        <v>@eternalkwon</v>
      </c>
      <c r="C34507" t="s">
        <v>9964</v>
      </c>
      <c r="D34507">
        <v>473</v>
      </c>
      <c r="E34507">
        <v>0</v>
      </c>
      <c r="F34507">
        <v>310</v>
      </c>
    </row>
    <row r="34508" spans="1:6" ht="12.75">
      <c r="A34508" s="2">
        <v>43875.348368055551</v>
      </c>
      <c r="B34508" t="str">
        <f>HYPERLINK("https://twitter.com/hendri92189000","@hendri92189000")</f>
        <v>@hendri92189000</v>
      </c>
      <c r="C34508" t="s">
        <v>14393</v>
      </c>
      <c r="D34508">
        <v>0</v>
      </c>
      <c r="E34508">
        <v>0</v>
      </c>
      <c r="F34508">
        <v>3378</v>
      </c>
    </row>
    <row r="34509" spans="1:6" ht="12.75">
      <c r="A34509" s="2">
        <v>43875.348333333328</v>
      </c>
      <c r="B34509" t="str">
        <f>HYPERLINK("https://twitter.com/dik_her","@dik_her")</f>
        <v>@dik_her</v>
      </c>
      <c r="C34509" t="s">
        <v>8252</v>
      </c>
      <c r="D34509">
        <v>481</v>
      </c>
      <c r="E34509">
        <v>0</v>
      </c>
      <c r="F34509">
        <v>768</v>
      </c>
    </row>
    <row r="34510" spans="1:6" ht="12.75">
      <c r="A34510" s="2">
        <v>43875.348310185189</v>
      </c>
      <c r="B34510" t="str">
        <f>HYPERLINK("https://twitter.com/DjokoSa03047097","@DjokoSa03047097")</f>
        <v>@DjokoSa03047097</v>
      </c>
      <c r="C34510" t="s">
        <v>2963</v>
      </c>
      <c r="D34510">
        <v>471</v>
      </c>
      <c r="E34510">
        <v>0</v>
      </c>
      <c r="F34510">
        <v>297</v>
      </c>
    </row>
    <row r="34511" spans="1:6" ht="12.75">
      <c r="A34511" s="2">
        <v>43875.348240740743</v>
      </c>
      <c r="B34511" t="str">
        <f>HYPERLINK("https://twitter.com/eklesiamrc","@eklesiamrc")</f>
        <v>@eklesiamrc</v>
      </c>
      <c r="C34511" t="s">
        <v>14394</v>
      </c>
      <c r="D34511">
        <v>1</v>
      </c>
      <c r="E34511">
        <v>0</v>
      </c>
      <c r="F34511">
        <v>0</v>
      </c>
    </row>
    <row r="34512" spans="1:6" ht="12.75">
      <c r="A34512" s="2">
        <v>43875.348159722227</v>
      </c>
      <c r="B34512" t="str">
        <f>HYPERLINK("https://twitter.com/Bigbacot","@Bigbacot")</f>
        <v>@Bigbacot</v>
      </c>
      <c r="C34512" t="s">
        <v>14395</v>
      </c>
      <c r="D34512">
        <v>0</v>
      </c>
      <c r="E34512">
        <v>2</v>
      </c>
      <c r="F34512">
        <v>379</v>
      </c>
    </row>
    <row r="34513" spans="1:6" ht="12.75">
      <c r="A34513" s="2">
        <v>43875.348055555558</v>
      </c>
      <c r="B34513" t="str">
        <f>HYPERLINK("https://twitter.com/Kimi58486332","@Kimi58486332")</f>
        <v>@Kimi58486332</v>
      </c>
      <c r="C34513" t="s">
        <v>14396</v>
      </c>
      <c r="D34513">
        <v>0</v>
      </c>
      <c r="E34513">
        <v>0</v>
      </c>
      <c r="F34513">
        <v>12</v>
      </c>
    </row>
    <row r="34514" spans="1:6" ht="12.75">
      <c r="A34514" s="2">
        <v>43875.347974537042</v>
      </c>
      <c r="B34514" t="str">
        <f>HYPERLINK("https://twitter.com/jek_angler","@jek_angler")</f>
        <v>@jek_angler</v>
      </c>
      <c r="C34514" t="s">
        <v>9096</v>
      </c>
      <c r="D34514">
        <v>155</v>
      </c>
      <c r="E34514">
        <v>0</v>
      </c>
      <c r="F34514">
        <v>151</v>
      </c>
    </row>
    <row r="34515" spans="1:6" ht="12.75">
      <c r="A34515" s="2">
        <v>43875.347905092596</v>
      </c>
      <c r="B34515" t="str">
        <f>HYPERLINK("https://twitter.com/NoviBuyung","@NoviBuyung")</f>
        <v>@NoviBuyung</v>
      </c>
      <c r="C34515" t="s">
        <v>175</v>
      </c>
      <c r="D34515">
        <v>5228</v>
      </c>
      <c r="E34515">
        <v>0</v>
      </c>
      <c r="F34515">
        <v>120</v>
      </c>
    </row>
    <row r="34516" spans="1:6" ht="12.75">
      <c r="A34516" s="2">
        <v>43875.34783564815</v>
      </c>
      <c r="B34516" t="str">
        <f>HYPERLINK("https://twitter.com/Auzty","@Auzty")</f>
        <v>@Auzty</v>
      </c>
      <c r="C34516" t="s">
        <v>8233</v>
      </c>
      <c r="D34516">
        <v>287</v>
      </c>
      <c r="E34516">
        <v>0</v>
      </c>
      <c r="F34516">
        <v>402</v>
      </c>
    </row>
    <row r="34517" spans="1:6" ht="12.75">
      <c r="A34517" s="2">
        <v>43875.347812499997</v>
      </c>
      <c r="B34517" t="str">
        <f>HYPERLINK("https://twitter.com/Totok02158246","@Totok02158246")</f>
        <v>@Totok02158246</v>
      </c>
      <c r="C34517" t="s">
        <v>14397</v>
      </c>
      <c r="D34517">
        <v>0</v>
      </c>
      <c r="E34517">
        <v>0</v>
      </c>
      <c r="F34517">
        <v>106</v>
      </c>
    </row>
    <row r="34518" spans="1:6" ht="12.75">
      <c r="A34518" s="2">
        <v>43875.347708333335</v>
      </c>
      <c r="B34518" t="str">
        <f>HYPERLINK("https://twitter.com/chokysijabat","@chokysijabat")</f>
        <v>@chokysijabat</v>
      </c>
      <c r="C34518" t="s">
        <v>14398</v>
      </c>
      <c r="D34518">
        <v>0</v>
      </c>
      <c r="E34518">
        <v>0</v>
      </c>
      <c r="F34518">
        <v>233</v>
      </c>
    </row>
    <row r="34519" spans="1:6" ht="12.75">
      <c r="A34519" s="2">
        <v>43875.347708333335</v>
      </c>
      <c r="B34519" t="str">
        <f>HYPERLINK("https://twitter.com/ienuli","@ienuli")</f>
        <v>@ienuli</v>
      </c>
      <c r="C34519" t="s">
        <v>14399</v>
      </c>
      <c r="D34519">
        <v>2</v>
      </c>
      <c r="E34519">
        <v>0</v>
      </c>
      <c r="F34519">
        <v>1393</v>
      </c>
    </row>
    <row r="34520" spans="1:6" ht="12.75">
      <c r="A34520" s="2">
        <v>43875.347673611112</v>
      </c>
      <c r="B34520" t="str">
        <f>HYPERLINK("https://twitter.com/AndiPra43628005","@AndiPra43628005")</f>
        <v>@AndiPra43628005</v>
      </c>
      <c r="C34520" t="s">
        <v>14400</v>
      </c>
      <c r="D34520">
        <v>0</v>
      </c>
      <c r="E34520">
        <v>0</v>
      </c>
      <c r="F34520">
        <v>0</v>
      </c>
    </row>
    <row r="34521" spans="1:6" ht="12.75">
      <c r="A34521" s="2">
        <v>43875.347673611112</v>
      </c>
      <c r="B34521" t="str">
        <f>HYPERLINK("https://twitter.com/bayu_sasmito","@bayu_sasmito")</f>
        <v>@bayu_sasmito</v>
      </c>
      <c r="C34521" t="s">
        <v>9947</v>
      </c>
      <c r="D34521">
        <v>319</v>
      </c>
      <c r="E34521">
        <v>0</v>
      </c>
      <c r="F34521">
        <v>161</v>
      </c>
    </row>
    <row r="34522" spans="1:6" ht="12.75">
      <c r="A34522" s="2">
        <v>43875.347592592589</v>
      </c>
      <c r="B34522" t="str">
        <f>HYPERLINK("https://twitter.com/Radar_Cirebon","@Radar_Cirebon")</f>
        <v>@Radar_Cirebon</v>
      </c>
      <c r="C34522" t="s">
        <v>14401</v>
      </c>
      <c r="D34522">
        <v>0</v>
      </c>
      <c r="E34522">
        <v>0</v>
      </c>
      <c r="F34522">
        <v>21748</v>
      </c>
    </row>
    <row r="34523" spans="1:6" ht="12.75">
      <c r="A34523" s="2">
        <v>43875.347592592589</v>
      </c>
      <c r="B34523" t="str">
        <f>HYPERLINK("https://twitter.com/BayuParikesit2","@BayuParikesit2")</f>
        <v>@BayuParikesit2</v>
      </c>
      <c r="C34523" t="s">
        <v>14402</v>
      </c>
      <c r="D34523">
        <v>0</v>
      </c>
      <c r="E34523">
        <v>0</v>
      </c>
      <c r="F34523">
        <v>89</v>
      </c>
    </row>
    <row r="34524" spans="1:6" ht="12.75">
      <c r="A34524" s="2">
        <v>43875.347581018519</v>
      </c>
      <c r="B34524" t="str">
        <f>HYPERLINK("https://twitter.com/alghie_3288","@alghie_3288")</f>
        <v>@alghie_3288</v>
      </c>
      <c r="C34524" t="s">
        <v>14403</v>
      </c>
      <c r="D34524">
        <v>0</v>
      </c>
      <c r="E34524">
        <v>0</v>
      </c>
      <c r="F34524">
        <v>230</v>
      </c>
    </row>
    <row r="34525" spans="1:6" ht="12.75">
      <c r="A34525" s="2">
        <v>43875.347546296296</v>
      </c>
      <c r="B34525" t="str">
        <f>HYPERLINK("https://twitter.com/AZainurrochim","@AZainurrochim")</f>
        <v>@AZainurrochim</v>
      </c>
      <c r="C34525" t="s">
        <v>14404</v>
      </c>
      <c r="D34525">
        <v>0</v>
      </c>
      <c r="E34525">
        <v>0</v>
      </c>
      <c r="F34525">
        <v>117</v>
      </c>
    </row>
    <row r="34526" spans="1:6" ht="12.75">
      <c r="A34526" s="2">
        <v>43875.347546296296</v>
      </c>
      <c r="B34526" t="str">
        <f>HYPERLINK("https://twitter.com/dimanriana","@dimanriana")</f>
        <v>@dimanriana</v>
      </c>
      <c r="C34526" t="s">
        <v>2963</v>
      </c>
      <c r="D34526">
        <v>471</v>
      </c>
      <c r="E34526">
        <v>0</v>
      </c>
      <c r="F34526">
        <v>67</v>
      </c>
    </row>
    <row r="34527" spans="1:6" ht="12.75">
      <c r="A34527" s="2">
        <v>43875.347372685181</v>
      </c>
      <c r="B34527" t="str">
        <f>HYPERLINK("https://twitter.com/sekejapsaja_","@sekejapsaja_")</f>
        <v>@sekejapsaja_</v>
      </c>
      <c r="C34527" t="s">
        <v>2963</v>
      </c>
      <c r="D34527">
        <v>471</v>
      </c>
      <c r="E34527">
        <v>0</v>
      </c>
      <c r="F34527">
        <v>956</v>
      </c>
    </row>
    <row r="34528" spans="1:6" ht="12.75">
      <c r="A34528" s="2">
        <v>43875.347349537042</v>
      </c>
      <c r="B34528" t="str">
        <f>HYPERLINK("https://twitter.com/UglyxFace","@UglyxFace")</f>
        <v>@UglyxFace</v>
      </c>
      <c r="C34528" t="s">
        <v>14405</v>
      </c>
      <c r="D34528">
        <v>0</v>
      </c>
      <c r="E34528">
        <v>0</v>
      </c>
      <c r="F34528">
        <v>377</v>
      </c>
    </row>
    <row r="34529" spans="1:6" ht="12.75">
      <c r="A34529" s="2">
        <v>43875.347280092596</v>
      </c>
      <c r="B34529" t="str">
        <f>HYPERLINK("https://twitter.com/sellyllesselly","@sellyllesselly")</f>
        <v>@sellyllesselly</v>
      </c>
      <c r="C34529" t="s">
        <v>2963</v>
      </c>
      <c r="D34529">
        <v>471</v>
      </c>
      <c r="E34529">
        <v>0</v>
      </c>
      <c r="F34529">
        <v>154</v>
      </c>
    </row>
    <row r="34530" spans="1:6" ht="12.75">
      <c r="A34530" s="2">
        <v>43875.347245370373</v>
      </c>
      <c r="B34530" t="str">
        <f>HYPERLINK("https://twitter.com/Arumnunmaulida","@Arumnunmaulida")</f>
        <v>@Arumnunmaulida</v>
      </c>
      <c r="C34530" t="s">
        <v>2963</v>
      </c>
      <c r="D34530">
        <v>471</v>
      </c>
      <c r="E34530">
        <v>0</v>
      </c>
      <c r="F34530">
        <v>5</v>
      </c>
    </row>
    <row r="34531" spans="1:6" ht="12.75">
      <c r="A34531" s="2">
        <v>43875.347233796296</v>
      </c>
      <c r="B34531" t="str">
        <f>HYPERLINK("https://twitter.com/santy_novi","@santy_novi")</f>
        <v>@santy_novi</v>
      </c>
      <c r="C34531" t="s">
        <v>14406</v>
      </c>
      <c r="D34531">
        <v>0</v>
      </c>
      <c r="E34531">
        <v>0</v>
      </c>
      <c r="F34531">
        <v>102</v>
      </c>
    </row>
    <row r="34532" spans="1:6" ht="12.75">
      <c r="A34532" s="2">
        <v>43875.347141203703</v>
      </c>
      <c r="B34532" t="str">
        <f>HYPERLINK("https://twitter.com/tapilaper","@tapilaper")</f>
        <v>@tapilaper</v>
      </c>
      <c r="C34532" t="s">
        <v>5168</v>
      </c>
      <c r="D34532">
        <v>411</v>
      </c>
      <c r="E34532">
        <v>0</v>
      </c>
      <c r="F34532">
        <v>44</v>
      </c>
    </row>
    <row r="34533" spans="1:6" ht="12.75">
      <c r="A34533" s="2">
        <v>43875.347129629634</v>
      </c>
      <c r="B34533" t="str">
        <f>HYPERLINK("https://twitter.com/Amwin_K","@Amwin_K")</f>
        <v>@Amwin_K</v>
      </c>
      <c r="C34533" t="s">
        <v>14407</v>
      </c>
      <c r="D34533">
        <v>0</v>
      </c>
      <c r="E34533">
        <v>0</v>
      </c>
      <c r="F34533">
        <v>154</v>
      </c>
    </row>
    <row r="34534" spans="1:6" ht="12.75">
      <c r="A34534" s="2">
        <v>43875.346944444449</v>
      </c>
      <c r="B34534" t="str">
        <f>HYPERLINK("https://twitter.com/AdhekaStore","@AdhekaStore")</f>
        <v>@AdhekaStore</v>
      </c>
      <c r="C34534" t="s">
        <v>8252</v>
      </c>
      <c r="D34534">
        <v>481</v>
      </c>
      <c r="E34534">
        <v>0</v>
      </c>
      <c r="F34534">
        <v>61</v>
      </c>
    </row>
    <row r="34535" spans="1:6" ht="12.75">
      <c r="A34535" s="2">
        <v>43875.346655092595</v>
      </c>
      <c r="B34535" t="str">
        <f t="shared" ref="B34535:B34536" si="399">HYPERLINK("https://twitter.com/AmstrongBiring","@AmstrongBiring")</f>
        <v>@AmstrongBiring</v>
      </c>
      <c r="C34535" t="s">
        <v>11954</v>
      </c>
      <c r="D34535">
        <v>47</v>
      </c>
      <c r="E34535">
        <v>0</v>
      </c>
      <c r="F34535">
        <v>1970</v>
      </c>
    </row>
    <row r="34536" spans="1:6" ht="12.75">
      <c r="A34536" s="2">
        <v>43875.346562499995</v>
      </c>
      <c r="B34536" t="str">
        <f t="shared" si="399"/>
        <v>@AmstrongBiring</v>
      </c>
      <c r="C34536" t="s">
        <v>10793</v>
      </c>
      <c r="D34536">
        <v>15</v>
      </c>
      <c r="E34536">
        <v>0</v>
      </c>
      <c r="F34536">
        <v>1970</v>
      </c>
    </row>
    <row r="34537" spans="1:6" ht="12.75">
      <c r="A34537" s="2">
        <v>43875.346412037034</v>
      </c>
      <c r="B34537" t="str">
        <f>HYPERLINK("https://twitter.com/tanto_majukarep","@tanto_majukarep")</f>
        <v>@tanto_majukarep</v>
      </c>
      <c r="C34537" t="s">
        <v>5624</v>
      </c>
      <c r="D34537">
        <v>112</v>
      </c>
      <c r="E34537">
        <v>0</v>
      </c>
      <c r="F34537">
        <v>113</v>
      </c>
    </row>
    <row r="34538" spans="1:6" ht="12.75">
      <c r="A34538" s="2">
        <v>43875.346307870372</v>
      </c>
      <c r="B34538" t="str">
        <f>HYPERLINK("https://twitter.com/marlonachilles","@marlonachilles")</f>
        <v>@marlonachilles</v>
      </c>
      <c r="C34538" t="s">
        <v>14408</v>
      </c>
      <c r="D34538">
        <v>0</v>
      </c>
      <c r="E34538">
        <v>0</v>
      </c>
      <c r="F34538">
        <v>240</v>
      </c>
    </row>
    <row r="34539" spans="1:6" ht="12.75">
      <c r="A34539" s="2">
        <v>43875.346307870372</v>
      </c>
      <c r="B34539" t="str">
        <f>HYPERLINK("https://twitter.com/ElvinaFazilla","@ElvinaFazilla")</f>
        <v>@ElvinaFazilla</v>
      </c>
      <c r="C34539" t="s">
        <v>7411</v>
      </c>
      <c r="D34539">
        <v>132</v>
      </c>
      <c r="E34539">
        <v>0</v>
      </c>
      <c r="F34539">
        <v>1909</v>
      </c>
    </row>
    <row r="34540" spans="1:6" ht="12.75">
      <c r="A34540" s="2">
        <v>43875.346203703702</v>
      </c>
      <c r="B34540" t="str">
        <f>HYPERLINK("https://twitter.com/bezsediwla","@bezsediwla")</f>
        <v>@bezsediwla</v>
      </c>
      <c r="C34540" t="s">
        <v>14409</v>
      </c>
      <c r="D34540">
        <v>1</v>
      </c>
      <c r="E34540">
        <v>0</v>
      </c>
      <c r="F34540">
        <v>396</v>
      </c>
    </row>
    <row r="34541" spans="1:6" ht="12.75">
      <c r="A34541" s="2">
        <v>43875.346122685187</v>
      </c>
      <c r="B34541" t="str">
        <f>HYPERLINK("https://twitter.com/imam79","@imam79")</f>
        <v>@imam79</v>
      </c>
      <c r="C34541" t="s">
        <v>7411</v>
      </c>
      <c r="D34541">
        <v>132</v>
      </c>
      <c r="E34541">
        <v>0</v>
      </c>
      <c r="F34541">
        <v>69</v>
      </c>
    </row>
    <row r="34542" spans="1:6" ht="12.75">
      <c r="A34542" s="2">
        <v>43875.346099537041</v>
      </c>
      <c r="B34542" t="str">
        <f>HYPERLINK("https://twitter.com/hank_jkt","@hank_jkt")</f>
        <v>@hank_jkt</v>
      </c>
      <c r="C34542" t="s">
        <v>14410</v>
      </c>
      <c r="D34542">
        <v>0</v>
      </c>
      <c r="E34542">
        <v>0</v>
      </c>
      <c r="F34542">
        <v>92</v>
      </c>
    </row>
    <row r="34543" spans="1:6" ht="12.75">
      <c r="A34543" s="2">
        <v>43875.346076388887</v>
      </c>
      <c r="B34543" t="str">
        <f>HYPERLINK("https://twitter.com/alvinyoo","@alvinyoo")</f>
        <v>@alvinyoo</v>
      </c>
      <c r="C34543" t="s">
        <v>5168</v>
      </c>
      <c r="D34543">
        <v>411</v>
      </c>
      <c r="E34543">
        <v>0</v>
      </c>
      <c r="F34543">
        <v>206</v>
      </c>
    </row>
    <row r="34544" spans="1:6" ht="12.75">
      <c r="A34544" s="2">
        <v>43875.346041666664</v>
      </c>
      <c r="B34544" t="str">
        <f>HYPERLINK("https://twitter.com/MndJaya","@MndJaya")</f>
        <v>@MndJaya</v>
      </c>
      <c r="C34544" t="s">
        <v>14411</v>
      </c>
      <c r="D34544">
        <v>2</v>
      </c>
      <c r="E34544">
        <v>0</v>
      </c>
      <c r="F34544">
        <v>2316</v>
      </c>
    </row>
    <row r="34545" spans="1:6" ht="12.75">
      <c r="A34545" s="2">
        <v>43875.345983796295</v>
      </c>
      <c r="B34545" t="str">
        <f>HYPERLINK("https://twitter.com/nengit80","@nengit80")</f>
        <v>@nengit80</v>
      </c>
      <c r="C34545" t="s">
        <v>5761</v>
      </c>
      <c r="D34545">
        <v>32</v>
      </c>
      <c r="E34545">
        <v>0</v>
      </c>
      <c r="F34545">
        <v>557</v>
      </c>
    </row>
    <row r="34546" spans="1:6" ht="12.75">
      <c r="A34546" s="2">
        <v>43875.345972222218</v>
      </c>
      <c r="B34546" t="str">
        <f>HYPERLINK("https://twitter.com/FrensSiahaan","@FrensSiahaan")</f>
        <v>@FrensSiahaan</v>
      </c>
      <c r="C34546" t="s">
        <v>2963</v>
      </c>
      <c r="D34546">
        <v>471</v>
      </c>
      <c r="E34546">
        <v>0</v>
      </c>
      <c r="F34546">
        <v>143</v>
      </c>
    </row>
    <row r="34547" spans="1:6" ht="12.75">
      <c r="A34547" s="2">
        <v>43875.345960648148</v>
      </c>
      <c r="B34547" t="str">
        <f>HYPERLINK("https://twitter.com/vidalavidah","@vidalavidah")</f>
        <v>@vidalavidah</v>
      </c>
      <c r="C34547" t="s">
        <v>14412</v>
      </c>
      <c r="D34547">
        <v>0</v>
      </c>
      <c r="E34547">
        <v>0</v>
      </c>
      <c r="F34547">
        <v>167</v>
      </c>
    </row>
    <row r="34548" spans="1:6" ht="12.75">
      <c r="A34548" s="2">
        <v>43875.345868055556</v>
      </c>
      <c r="B34548" t="str">
        <f>HYPERLINK("https://twitter.com/gsastrawijaya","@gsastrawijaya")</f>
        <v>@gsastrawijaya</v>
      </c>
      <c r="C34548" t="s">
        <v>14413</v>
      </c>
      <c r="D34548">
        <v>2</v>
      </c>
      <c r="E34548">
        <v>0</v>
      </c>
      <c r="F34548">
        <v>334</v>
      </c>
    </row>
    <row r="34549" spans="1:6" ht="12.75">
      <c r="A34549" s="2">
        <v>43875.34584490741</v>
      </c>
      <c r="B34549" t="str">
        <f>HYPERLINK("https://twitter.com/baeksena_91","@baeksena_91")</f>
        <v>@baeksena_91</v>
      </c>
      <c r="C34549" t="s">
        <v>14346</v>
      </c>
      <c r="D34549">
        <v>5</v>
      </c>
      <c r="E34549">
        <v>0</v>
      </c>
      <c r="F34549">
        <v>304</v>
      </c>
    </row>
    <row r="34550" spans="1:6" ht="12.75">
      <c r="A34550" s="2">
        <v>43875.345787037033</v>
      </c>
      <c r="B34550" t="str">
        <f>HYPERLINK("https://twitter.com/SydSalesman","@SydSalesman")</f>
        <v>@SydSalesman</v>
      </c>
      <c r="C34550" t="s">
        <v>10422</v>
      </c>
      <c r="D34550">
        <v>40</v>
      </c>
      <c r="E34550">
        <v>0</v>
      </c>
      <c r="F34550">
        <v>6226</v>
      </c>
    </row>
    <row r="34551" spans="1:6" ht="12.75">
      <c r="A34551" s="2">
        <v>43875.345775462964</v>
      </c>
      <c r="B34551" t="str">
        <f>HYPERLINK("https://twitter.com/alvin_elby","@alvin_elby")</f>
        <v>@alvin_elby</v>
      </c>
      <c r="C34551" t="s">
        <v>9964</v>
      </c>
      <c r="D34551">
        <v>473</v>
      </c>
      <c r="E34551">
        <v>0</v>
      </c>
      <c r="F34551">
        <v>432</v>
      </c>
    </row>
    <row r="34552" spans="1:6" ht="12.75">
      <c r="A34552" s="2">
        <v>43875.345729166671</v>
      </c>
      <c r="B34552" t="str">
        <f>HYPERLINK("https://twitter.com/boedjazhard","@boedjazhard")</f>
        <v>@boedjazhard</v>
      </c>
      <c r="C34552" t="s">
        <v>14414</v>
      </c>
      <c r="D34552">
        <v>0</v>
      </c>
      <c r="E34552">
        <v>0</v>
      </c>
      <c r="F34552">
        <v>74</v>
      </c>
    </row>
    <row r="34553" spans="1:6" ht="12.75">
      <c r="A34553" s="2">
        <v>43875.345509259263</v>
      </c>
      <c r="B34553" t="str">
        <f>HYPERLINK("https://twitter.com/moncekiuk","@moncekiuk")</f>
        <v>@moncekiuk</v>
      </c>
      <c r="C34553" t="s">
        <v>2963</v>
      </c>
      <c r="D34553">
        <v>471</v>
      </c>
      <c r="E34553">
        <v>0</v>
      </c>
      <c r="F34553">
        <v>1044</v>
      </c>
    </row>
    <row r="34554" spans="1:6" ht="12.75">
      <c r="A34554" s="2">
        <v>43875.345451388886</v>
      </c>
      <c r="B34554" t="str">
        <f>HYPERLINK("https://twitter.com/gsastrawijaya","@gsastrawijaya")</f>
        <v>@gsastrawijaya</v>
      </c>
      <c r="C34554" t="s">
        <v>10167</v>
      </c>
      <c r="D34554">
        <v>22</v>
      </c>
      <c r="E34554">
        <v>0</v>
      </c>
      <c r="F34554">
        <v>334</v>
      </c>
    </row>
    <row r="34555" spans="1:6" ht="12.75">
      <c r="A34555" s="2">
        <v>43875.345416666663</v>
      </c>
      <c r="B34555" t="str">
        <f>HYPERLINK("https://twitter.com/AliAljabar1","@AliAljabar1")</f>
        <v>@AliAljabar1</v>
      </c>
      <c r="C34555" t="s">
        <v>5761</v>
      </c>
      <c r="D34555">
        <v>32</v>
      </c>
      <c r="E34555">
        <v>0</v>
      </c>
      <c r="F34555">
        <v>344</v>
      </c>
    </row>
    <row r="34556" spans="1:6" ht="12.75">
      <c r="A34556" s="2">
        <v>43875.345393518517</v>
      </c>
      <c r="B34556" t="str">
        <f>HYPERLINK("https://twitter.com/NiluhAngel_","@NiluhAngel_")</f>
        <v>@NiluhAngel_</v>
      </c>
      <c r="C34556" t="s">
        <v>5168</v>
      </c>
      <c r="D34556">
        <v>411</v>
      </c>
      <c r="E34556">
        <v>0</v>
      </c>
      <c r="F34556">
        <v>443</v>
      </c>
    </row>
    <row r="34557" spans="1:6" ht="12.75">
      <c r="A34557" s="2">
        <v>43875.345254629632</v>
      </c>
      <c r="B34557" t="str">
        <f>HYPERLINK("https://twitter.com/harihariono1","@harihariono1")</f>
        <v>@harihariono1</v>
      </c>
      <c r="C34557" t="s">
        <v>10200</v>
      </c>
      <c r="D34557">
        <v>22</v>
      </c>
      <c r="E34557">
        <v>0</v>
      </c>
      <c r="F34557">
        <v>9329</v>
      </c>
    </row>
    <row r="34558" spans="1:6" ht="12.75">
      <c r="A34558" s="2">
        <v>43875.345254629632</v>
      </c>
      <c r="B34558" t="str">
        <f>HYPERLINK("https://twitter.com/gubernursolomon","@gubernursolomon")</f>
        <v>@gubernursolomon</v>
      </c>
      <c r="C34558" t="s">
        <v>13296</v>
      </c>
      <c r="D34558">
        <v>2</v>
      </c>
      <c r="E34558">
        <v>0</v>
      </c>
      <c r="F34558">
        <v>27</v>
      </c>
    </row>
    <row r="34559" spans="1:6" ht="12.75">
      <c r="A34559" s="2">
        <v>43875.345208333332</v>
      </c>
      <c r="B34559" t="str">
        <f>HYPERLINK("https://twitter.com/Sugiharto2912","@Sugiharto2912")</f>
        <v>@Sugiharto2912</v>
      </c>
      <c r="C34559" t="s">
        <v>2963</v>
      </c>
      <c r="D34559">
        <v>471</v>
      </c>
      <c r="E34559">
        <v>0</v>
      </c>
      <c r="F34559">
        <v>2</v>
      </c>
    </row>
    <row r="34560" spans="1:6" ht="12.75">
      <c r="A34560" s="2">
        <v>43875.345138888893</v>
      </c>
      <c r="B34560" t="str">
        <f>HYPERLINK("https://twitter.com/HendroJenn","@HendroJenn")</f>
        <v>@HendroJenn</v>
      </c>
      <c r="C34560" t="s">
        <v>2963</v>
      </c>
      <c r="D34560">
        <v>471</v>
      </c>
      <c r="E34560">
        <v>0</v>
      </c>
      <c r="F34560">
        <v>309</v>
      </c>
    </row>
    <row r="34561" spans="1:6" ht="12.75">
      <c r="A34561" s="2">
        <v>43875.345127314809</v>
      </c>
      <c r="B34561" t="str">
        <f>HYPERLINK("https://twitter.com/widyadharies","@widyadharies")</f>
        <v>@widyadharies</v>
      </c>
      <c r="C34561" t="s">
        <v>4880</v>
      </c>
      <c r="D34561">
        <v>50</v>
      </c>
      <c r="E34561">
        <v>0</v>
      </c>
      <c r="F34561">
        <v>38</v>
      </c>
    </row>
    <row r="34562" spans="1:6" ht="12.75">
      <c r="A34562" s="2">
        <v>43875.345081018517</v>
      </c>
      <c r="B34562" t="str">
        <f>HYPERLINK("https://twitter.com/lase_dhanil","@lase_dhanil")</f>
        <v>@lase_dhanil</v>
      </c>
      <c r="C34562" t="s">
        <v>10330</v>
      </c>
      <c r="D34562">
        <v>192</v>
      </c>
      <c r="E34562">
        <v>0</v>
      </c>
      <c r="F34562">
        <v>466</v>
      </c>
    </row>
    <row r="34563" spans="1:6" ht="12.75">
      <c r="A34563" s="2">
        <v>43875.345069444447</v>
      </c>
      <c r="B34563" t="str">
        <f>HYPERLINK("https://twitter.com/upiiwwwww","@upiiwwwww")</f>
        <v>@upiiwwwww</v>
      </c>
      <c r="C34563" t="s">
        <v>175</v>
      </c>
      <c r="D34563">
        <v>5228</v>
      </c>
      <c r="E34563">
        <v>0</v>
      </c>
      <c r="F34563">
        <v>1114</v>
      </c>
    </row>
    <row r="34564" spans="1:6" ht="12.75">
      <c r="A34564" s="2">
        <v>43875.345034722224</v>
      </c>
      <c r="B34564" t="str">
        <f>HYPERLINK("https://twitter.com/KangAgu83489969","@KangAgu83489969")</f>
        <v>@KangAgu83489969</v>
      </c>
      <c r="C34564" t="s">
        <v>10588</v>
      </c>
      <c r="D34564">
        <v>105</v>
      </c>
      <c r="E34564">
        <v>0</v>
      </c>
      <c r="F34564">
        <v>176</v>
      </c>
    </row>
    <row r="34565" spans="1:6" ht="12.75">
      <c r="A34565" s="2">
        <v>43875.345000000001</v>
      </c>
      <c r="B34565" t="str">
        <f>HYPERLINK("https://twitter.com/AribowoLksn","@AribowoLksn")</f>
        <v>@AribowoLksn</v>
      </c>
      <c r="C34565" t="s">
        <v>9021</v>
      </c>
      <c r="D34565">
        <v>151</v>
      </c>
      <c r="E34565">
        <v>0</v>
      </c>
      <c r="F34565">
        <v>203</v>
      </c>
    </row>
    <row r="34566" spans="1:6" ht="12.75">
      <c r="A34566" s="2">
        <v>43875.344942129625</v>
      </c>
      <c r="B34566" t="str">
        <f>HYPERLINK("https://twitter.com/Ainun31160613","@Ainun31160613")</f>
        <v>@Ainun31160613</v>
      </c>
      <c r="C34566" t="s">
        <v>12450</v>
      </c>
      <c r="D34566">
        <v>74</v>
      </c>
      <c r="E34566">
        <v>0</v>
      </c>
      <c r="F34566">
        <v>66</v>
      </c>
    </row>
    <row r="34567" spans="1:6" ht="12.75">
      <c r="A34567" s="2">
        <v>43875.344942129625</v>
      </c>
      <c r="B34567" t="str">
        <f>HYPERLINK("https://twitter.com/C_AjiMahameru52","@C_AjiMahameru52")</f>
        <v>@C_AjiMahameru52</v>
      </c>
      <c r="C34567" t="s">
        <v>9993</v>
      </c>
      <c r="D34567">
        <v>5</v>
      </c>
      <c r="E34567">
        <v>0</v>
      </c>
      <c r="F34567">
        <v>2998</v>
      </c>
    </row>
    <row r="34568" spans="1:6" ht="12.75">
      <c r="A34568" s="2">
        <v>43875.344942129625</v>
      </c>
      <c r="B34568" t="str">
        <f>HYPERLINK("https://twitter.com/KecebongGembul","@KecebongGembul")</f>
        <v>@KecebongGembul</v>
      </c>
      <c r="C34568" t="s">
        <v>14050</v>
      </c>
      <c r="D34568">
        <v>60</v>
      </c>
      <c r="E34568">
        <v>0</v>
      </c>
      <c r="F34568">
        <v>482</v>
      </c>
    </row>
    <row r="34569" spans="1:6" ht="12.75">
      <c r="A34569" s="2">
        <v>43875.344907407409</v>
      </c>
      <c r="B34569" t="str">
        <f>HYPERLINK("https://twitter.com/FdhReal","@FdhReal")</f>
        <v>@FdhReal</v>
      </c>
      <c r="C34569" t="s">
        <v>5168</v>
      </c>
      <c r="D34569">
        <v>411</v>
      </c>
      <c r="E34569">
        <v>0</v>
      </c>
      <c r="F34569">
        <v>59</v>
      </c>
    </row>
    <row r="34570" spans="1:6" ht="12.75">
      <c r="A34570" s="2">
        <v>43875.344861111109</v>
      </c>
      <c r="B34570" t="str">
        <f>HYPERLINK("https://twitter.com/RantiSW","@RantiSW")</f>
        <v>@RantiSW</v>
      </c>
      <c r="C34570" t="s">
        <v>5168</v>
      </c>
      <c r="D34570">
        <v>411</v>
      </c>
      <c r="E34570">
        <v>0</v>
      </c>
      <c r="F34570">
        <v>431</v>
      </c>
    </row>
    <row r="34571" spans="1:6" ht="12.75">
      <c r="A34571" s="2">
        <v>43875.344710648147</v>
      </c>
      <c r="B34571" t="str">
        <f>HYPERLINK("https://twitter.com/rulung62","@rulung62")</f>
        <v>@rulung62</v>
      </c>
      <c r="C34571" t="s">
        <v>13477</v>
      </c>
      <c r="D34571">
        <v>17</v>
      </c>
      <c r="E34571">
        <v>0</v>
      </c>
      <c r="F34571">
        <v>35</v>
      </c>
    </row>
    <row r="34572" spans="1:6" ht="12.75">
      <c r="A34572" s="2">
        <v>43875.344699074078</v>
      </c>
      <c r="B34572" t="str">
        <f>HYPERLINK("https://twitter.com/febsevilla_","@febsevilla_")</f>
        <v>@febsevilla_</v>
      </c>
      <c r="C34572" t="s">
        <v>2137</v>
      </c>
      <c r="D34572">
        <v>22</v>
      </c>
      <c r="E34572">
        <v>0</v>
      </c>
      <c r="F34572">
        <v>513</v>
      </c>
    </row>
    <row r="34573" spans="1:6" ht="12.75">
      <c r="A34573" s="2">
        <v>43875.344652777778</v>
      </c>
      <c r="B34573" t="str">
        <f>HYPERLINK("https://twitter.com/Nadanjh2","@Nadanjh2")</f>
        <v>@Nadanjh2</v>
      </c>
      <c r="C34573" t="s">
        <v>2963</v>
      </c>
      <c r="D34573">
        <v>471</v>
      </c>
      <c r="E34573">
        <v>0</v>
      </c>
      <c r="F34573">
        <v>35</v>
      </c>
    </row>
    <row r="34574" spans="1:6" ht="12.75">
      <c r="A34574" s="2">
        <v>43875.344548611116</v>
      </c>
      <c r="B34574" t="str">
        <f>HYPERLINK("https://twitter.com/WarunaDwipa","@WarunaDwipa")</f>
        <v>@WarunaDwipa</v>
      </c>
      <c r="C34574" t="s">
        <v>9993</v>
      </c>
      <c r="D34574">
        <v>5</v>
      </c>
      <c r="E34574">
        <v>0</v>
      </c>
      <c r="F34574">
        <v>1041</v>
      </c>
    </row>
    <row r="34575" spans="1:6" ht="12.75">
      <c r="A34575" s="2">
        <v>43875.344502314816</v>
      </c>
      <c r="B34575" t="str">
        <f>HYPERLINK("https://twitter.com/melani79125892","@melani79125892")</f>
        <v>@melani79125892</v>
      </c>
      <c r="C34575" t="s">
        <v>2963</v>
      </c>
      <c r="D34575">
        <v>471</v>
      </c>
      <c r="E34575">
        <v>0</v>
      </c>
      <c r="F34575">
        <v>10</v>
      </c>
    </row>
    <row r="34576" spans="1:6" ht="12.75">
      <c r="A34576" s="2">
        <v>43875.344467592593</v>
      </c>
      <c r="B34576" t="str">
        <f>HYPERLINK("https://twitter.com/hgberry","@hgberry")</f>
        <v>@hgberry</v>
      </c>
      <c r="C34576" t="s">
        <v>10422</v>
      </c>
      <c r="D34576">
        <v>40</v>
      </c>
      <c r="E34576">
        <v>0</v>
      </c>
      <c r="F34576">
        <v>1645</v>
      </c>
    </row>
    <row r="34577" spans="1:6" ht="12.75">
      <c r="A34577" s="2">
        <v>43875.344421296293</v>
      </c>
      <c r="B34577" t="str">
        <f>HYPERLINK("https://twitter.com/yadisariyadi","@yadisariyadi")</f>
        <v>@yadisariyadi</v>
      </c>
      <c r="C34577" t="s">
        <v>9538</v>
      </c>
      <c r="D34577">
        <v>96</v>
      </c>
      <c r="E34577">
        <v>0</v>
      </c>
      <c r="F34577">
        <v>170</v>
      </c>
    </row>
    <row r="34578" spans="1:6" ht="12.75">
      <c r="A34578" s="2">
        <v>43875.344351851847</v>
      </c>
      <c r="B34578" t="str">
        <f>HYPERLINK("https://twitter.com/Dabfahmi","@Dabfahmi")</f>
        <v>@Dabfahmi</v>
      </c>
      <c r="C34578" t="s">
        <v>2963</v>
      </c>
      <c r="D34578">
        <v>471</v>
      </c>
      <c r="E34578">
        <v>0</v>
      </c>
      <c r="F34578">
        <v>401</v>
      </c>
    </row>
    <row r="34579" spans="1:6" ht="12.75">
      <c r="A34579" s="2">
        <v>43875.344328703708</v>
      </c>
      <c r="B34579" t="str">
        <f>HYPERLINK("https://twitter.com/IndriPuji98_","@IndriPuji98_")</f>
        <v>@IndriPuji98_</v>
      </c>
      <c r="C34579" t="s">
        <v>5168</v>
      </c>
      <c r="D34579">
        <v>411</v>
      </c>
      <c r="E34579">
        <v>0</v>
      </c>
      <c r="F34579">
        <v>85</v>
      </c>
    </row>
    <row r="34580" spans="1:6" ht="12.75">
      <c r="A34580" s="2">
        <v>43875.344178240739</v>
      </c>
      <c r="B34580" t="str">
        <f>HYPERLINK("https://twitter.com/eko63691","@eko63691")</f>
        <v>@eko63691</v>
      </c>
      <c r="C34580" t="s">
        <v>14415</v>
      </c>
      <c r="D34580">
        <v>0</v>
      </c>
      <c r="E34580">
        <v>0</v>
      </c>
      <c r="F34580">
        <v>1498</v>
      </c>
    </row>
    <row r="34581" spans="1:6" ht="12.75">
      <c r="A34581" s="2">
        <v>43875.344166666662</v>
      </c>
      <c r="B34581" t="str">
        <f>HYPERLINK("https://twitter.com/jodi_wirawan","@jodi_wirawan")</f>
        <v>@jodi_wirawan</v>
      </c>
      <c r="C34581" t="s">
        <v>11460</v>
      </c>
      <c r="D34581">
        <v>8</v>
      </c>
      <c r="E34581">
        <v>0</v>
      </c>
      <c r="F34581">
        <v>150</v>
      </c>
    </row>
    <row r="34582" spans="1:6" ht="12.75">
      <c r="A34582" s="2">
        <v>43875.344085648147</v>
      </c>
      <c r="B34582" t="str">
        <f>HYPERLINK("https://twitter.com/kris55313117","@kris55313117")</f>
        <v>@kris55313117</v>
      </c>
      <c r="C34582" t="s">
        <v>14416</v>
      </c>
      <c r="D34582">
        <v>0</v>
      </c>
      <c r="E34582">
        <v>1</v>
      </c>
      <c r="F34582">
        <v>3</v>
      </c>
    </row>
    <row r="34583" spans="1:6" ht="12.75">
      <c r="A34583" s="2">
        <v>43875.344050925924</v>
      </c>
      <c r="B34583" t="str">
        <f>HYPERLINK("https://twitter.com/aurell_liaa","@aurell_liaa")</f>
        <v>@aurell_liaa</v>
      </c>
      <c r="C34583" t="s">
        <v>5168</v>
      </c>
      <c r="D34583">
        <v>411</v>
      </c>
      <c r="E34583">
        <v>0</v>
      </c>
      <c r="F34583">
        <v>817</v>
      </c>
    </row>
    <row r="34584" spans="1:6" ht="12.75">
      <c r="A34584" s="2">
        <v>43875.3440162037</v>
      </c>
      <c r="B34584" t="str">
        <f>HYPERLINK("https://twitter.com/ariedhitta","@ariedhitta")</f>
        <v>@ariedhitta</v>
      </c>
      <c r="C34584" t="s">
        <v>14417</v>
      </c>
      <c r="D34584">
        <v>251</v>
      </c>
      <c r="E34584">
        <v>0</v>
      </c>
      <c r="F34584">
        <v>9</v>
      </c>
    </row>
    <row r="34585" spans="1:6" ht="12.75">
      <c r="A34585" s="2">
        <v>43875.343993055554</v>
      </c>
      <c r="B34585" t="str">
        <f>HYPERLINK("https://twitter.com/KangAzzev","@KangAzzev")</f>
        <v>@KangAzzev</v>
      </c>
      <c r="C34585" t="s">
        <v>11071</v>
      </c>
      <c r="D34585">
        <v>56</v>
      </c>
      <c r="E34585">
        <v>0</v>
      </c>
      <c r="F34585">
        <v>709</v>
      </c>
    </row>
    <row r="34586" spans="1:6" ht="12.75">
      <c r="A34586" s="2">
        <v>43875.343935185185</v>
      </c>
      <c r="B34586" t="str">
        <f>HYPERLINK("https://twitter.com/YaminLG","@YaminLG")</f>
        <v>@YaminLG</v>
      </c>
      <c r="C34586" t="s">
        <v>5761</v>
      </c>
      <c r="D34586">
        <v>32</v>
      </c>
      <c r="E34586">
        <v>0</v>
      </c>
      <c r="F34586">
        <v>357</v>
      </c>
    </row>
    <row r="34587" spans="1:6" ht="12.75">
      <c r="A34587" s="2">
        <v>43875.343923611115</v>
      </c>
      <c r="B34587" t="str">
        <f>HYPERLINK("https://twitter.com/jodi_wirawan","@jodi_wirawan")</f>
        <v>@jodi_wirawan</v>
      </c>
      <c r="C34587" t="s">
        <v>11449</v>
      </c>
      <c r="D34587">
        <v>10</v>
      </c>
      <c r="E34587">
        <v>0</v>
      </c>
      <c r="F34587">
        <v>150</v>
      </c>
    </row>
    <row r="34588" spans="1:6" ht="12.75">
      <c r="A34588" s="2">
        <v>43875.343900462962</v>
      </c>
      <c r="B34588" t="str">
        <f>HYPERLINK("https://twitter.com/bitcdh","@bitcdh")</f>
        <v>@bitcdh</v>
      </c>
      <c r="C34588" t="s">
        <v>2137</v>
      </c>
      <c r="D34588">
        <v>22</v>
      </c>
      <c r="E34588">
        <v>0</v>
      </c>
      <c r="F34588">
        <v>819</v>
      </c>
    </row>
    <row r="34589" spans="1:6" ht="12.75">
      <c r="A34589" s="2">
        <v>43875.343900462962</v>
      </c>
      <c r="B34589" t="str">
        <f>HYPERLINK("https://twitter.com/adindadaniss","@adindadaniss")</f>
        <v>@adindadaniss</v>
      </c>
      <c r="C34589" t="s">
        <v>8233</v>
      </c>
      <c r="D34589">
        <v>287</v>
      </c>
      <c r="E34589">
        <v>0</v>
      </c>
      <c r="F34589">
        <v>37</v>
      </c>
    </row>
    <row r="34590" spans="1:6" ht="12.75">
      <c r="A34590" s="2">
        <v>43875.343888888892</v>
      </c>
      <c r="B34590" t="str">
        <f>HYPERLINK("https://twitter.com/hemaviton99","@hemaviton99")</f>
        <v>@hemaviton99</v>
      </c>
      <c r="C34590" t="s">
        <v>14418</v>
      </c>
      <c r="D34590">
        <v>1</v>
      </c>
      <c r="E34590">
        <v>0</v>
      </c>
      <c r="F34590">
        <v>3456</v>
      </c>
    </row>
    <row r="34591" spans="1:6" ht="12.75">
      <c r="A34591" s="2">
        <v>43875.343842592592</v>
      </c>
      <c r="B34591" t="str">
        <f>HYPERLINK("https://twitter.com/ariedhitta","@ariedhitta")</f>
        <v>@ariedhitta</v>
      </c>
      <c r="C34591" t="s">
        <v>14419</v>
      </c>
      <c r="D34591">
        <v>101</v>
      </c>
      <c r="E34591">
        <v>0</v>
      </c>
      <c r="F34591">
        <v>9</v>
      </c>
    </row>
    <row r="34592" spans="1:6" ht="12.75">
      <c r="A34592" s="2">
        <v>43875.343842592592</v>
      </c>
      <c r="B34592" t="str">
        <f>HYPERLINK("https://twitter.com/Rizwanto021115","@Rizwanto021115")</f>
        <v>@Rizwanto021115</v>
      </c>
      <c r="C34592" t="s">
        <v>2963</v>
      </c>
      <c r="D34592">
        <v>471</v>
      </c>
      <c r="E34592">
        <v>0</v>
      </c>
      <c r="F34592">
        <v>513</v>
      </c>
    </row>
    <row r="34593" spans="1:6" ht="12.75">
      <c r="A34593" s="2">
        <v>43875.343819444446</v>
      </c>
      <c r="B34593" t="str">
        <f>HYPERLINK("https://twitter.com/Kenio_wijaksana","@Kenio_wijaksana")</f>
        <v>@Kenio_wijaksana</v>
      </c>
      <c r="C34593" t="s">
        <v>2963</v>
      </c>
      <c r="D34593">
        <v>471</v>
      </c>
      <c r="E34593">
        <v>0</v>
      </c>
      <c r="F34593">
        <v>159</v>
      </c>
    </row>
    <row r="34594" spans="1:6" ht="12.75">
      <c r="A34594" s="2">
        <v>43875.343784722223</v>
      </c>
      <c r="B34594" t="str">
        <f>HYPERLINK("https://twitter.com/Nana_Rosaa_","@Nana_Rosaa_")</f>
        <v>@Nana_Rosaa_</v>
      </c>
      <c r="C34594" t="s">
        <v>2963</v>
      </c>
      <c r="D34594">
        <v>471</v>
      </c>
      <c r="E34594">
        <v>0</v>
      </c>
      <c r="F34594">
        <v>9025</v>
      </c>
    </row>
    <row r="34595" spans="1:6" ht="12.75">
      <c r="A34595" s="2">
        <v>43875.34376157407</v>
      </c>
      <c r="B34595" t="str">
        <f>HYPERLINK("https://twitter.com/elsunandar","@elsunandar")</f>
        <v>@elsunandar</v>
      </c>
      <c r="C34595" t="s">
        <v>14420</v>
      </c>
      <c r="D34595">
        <v>10</v>
      </c>
      <c r="E34595">
        <v>0</v>
      </c>
      <c r="F34595">
        <v>1519</v>
      </c>
    </row>
    <row r="34596" spans="1:6" ht="12.75">
      <c r="A34596" s="2">
        <v>43875.343680555554</v>
      </c>
      <c r="B34596" t="str">
        <f>HYPERLINK("https://twitter.com/OposisiCerdas","@OposisiCerdas")</f>
        <v>@OposisiCerdas</v>
      </c>
      <c r="C34596" t="s">
        <v>10279</v>
      </c>
      <c r="D34596">
        <v>2</v>
      </c>
      <c r="E34596">
        <v>13</v>
      </c>
      <c r="F34596">
        <v>15966</v>
      </c>
    </row>
    <row r="34597" spans="1:6" ht="12.75">
      <c r="A34597" s="2">
        <v>43875.343668981484</v>
      </c>
      <c r="B34597" t="str">
        <f>HYPERLINK("https://twitter.com/AkfBambang","@AkfBambang")</f>
        <v>@AkfBambang</v>
      </c>
      <c r="C34597" t="s">
        <v>7020</v>
      </c>
      <c r="D34597">
        <v>33</v>
      </c>
      <c r="E34597">
        <v>0</v>
      </c>
      <c r="F34597">
        <v>95</v>
      </c>
    </row>
    <row r="34598" spans="1:6" ht="12.75">
      <c r="A34598" s="2">
        <v>43875.343657407408</v>
      </c>
      <c r="B34598" t="str">
        <f>HYPERLINK("https://twitter.com/burhansyaf","@burhansyaf")</f>
        <v>@burhansyaf</v>
      </c>
      <c r="C34598" t="s">
        <v>11778</v>
      </c>
      <c r="D34598">
        <v>13</v>
      </c>
      <c r="E34598">
        <v>0</v>
      </c>
      <c r="F34598">
        <v>294</v>
      </c>
    </row>
    <row r="34599" spans="1:6" ht="12.75">
      <c r="A34599" s="2">
        <v>43875.343576388885</v>
      </c>
      <c r="B34599" t="str">
        <f>HYPERLINK("https://twitter.com/RadioElshinta","@RadioElshinta")</f>
        <v>@RadioElshinta</v>
      </c>
      <c r="C34599" t="s">
        <v>14421</v>
      </c>
      <c r="D34599">
        <v>1</v>
      </c>
      <c r="E34599">
        <v>1</v>
      </c>
      <c r="F34599">
        <v>3633159</v>
      </c>
    </row>
    <row r="34600" spans="1:6" ht="12.75">
      <c r="A34600" s="2">
        <v>43875.343553240746</v>
      </c>
      <c r="B34600" t="str">
        <f>HYPERLINK("https://twitter.com/C_AjiMahameru52","@C_AjiMahameru52")</f>
        <v>@C_AjiMahameru52</v>
      </c>
      <c r="C34600" t="s">
        <v>14422</v>
      </c>
      <c r="D34600">
        <v>1</v>
      </c>
      <c r="E34600">
        <v>0</v>
      </c>
      <c r="F34600">
        <v>2998</v>
      </c>
    </row>
    <row r="34601" spans="1:6" ht="12.75">
      <c r="A34601" s="2">
        <v>43875.343414351853</v>
      </c>
      <c r="B34601" t="str">
        <f>HYPERLINK("https://twitter.com/metamorphorest","@metamorphorest")</f>
        <v>@metamorphorest</v>
      </c>
      <c r="C34601" t="s">
        <v>14423</v>
      </c>
      <c r="D34601">
        <v>1</v>
      </c>
      <c r="E34601">
        <v>0</v>
      </c>
      <c r="F34601">
        <v>231</v>
      </c>
    </row>
    <row r="34602" spans="1:6" ht="12.75">
      <c r="A34602" s="2">
        <v>43875.343414351853</v>
      </c>
      <c r="B34602" t="str">
        <f>HYPERLINK("https://twitter.com/novisimar76","@novisimar76")</f>
        <v>@novisimar76</v>
      </c>
      <c r="C34602" t="s">
        <v>9096</v>
      </c>
      <c r="D34602">
        <v>155</v>
      </c>
      <c r="E34602">
        <v>0</v>
      </c>
      <c r="F34602">
        <v>328</v>
      </c>
    </row>
    <row r="34603" spans="1:6" ht="12.75">
      <c r="A34603" s="2">
        <v>43875.3433912037</v>
      </c>
      <c r="B34603" t="str">
        <f>HYPERLINK("https://twitter.com/cocogio10","@cocogio10")</f>
        <v>@cocogio10</v>
      </c>
      <c r="C34603" t="s">
        <v>14424</v>
      </c>
      <c r="D34603">
        <v>0</v>
      </c>
      <c r="E34603">
        <v>0</v>
      </c>
      <c r="F34603">
        <v>320</v>
      </c>
    </row>
    <row r="34604" spans="1:6" ht="12.75">
      <c r="A34604" s="2">
        <v>43875.343344907407</v>
      </c>
      <c r="B34604" t="str">
        <f>HYPERLINK("https://twitter.com/Kematia78104047","@Kematia78104047")</f>
        <v>@Kematia78104047</v>
      </c>
      <c r="C34604" t="s">
        <v>14425</v>
      </c>
      <c r="D34604">
        <v>5</v>
      </c>
      <c r="E34604">
        <v>0</v>
      </c>
      <c r="F34604">
        <v>1962</v>
      </c>
    </row>
    <row r="34605" spans="1:6" ht="12.75">
      <c r="A34605" s="2">
        <v>43875.343321759261</v>
      </c>
      <c r="B34605" t="str">
        <f>HYPERLINK("https://twitter.com/GunPul","@GunPul")</f>
        <v>@GunPul</v>
      </c>
      <c r="C34605" t="s">
        <v>14426</v>
      </c>
      <c r="D34605">
        <v>0</v>
      </c>
      <c r="E34605">
        <v>2</v>
      </c>
      <c r="F34605">
        <v>5076</v>
      </c>
    </row>
    <row r="34606" spans="1:6" ht="12.75">
      <c r="A34606" s="2">
        <v>43875.343298611115</v>
      </c>
      <c r="B34606" t="str">
        <f>HYPERLINK("https://twitter.com/ketapelkecil","@ketapelkecil")</f>
        <v>@ketapelkecil</v>
      </c>
      <c r="C34606" t="s">
        <v>5168</v>
      </c>
      <c r="D34606">
        <v>411</v>
      </c>
      <c r="E34606">
        <v>0</v>
      </c>
      <c r="F34606">
        <v>928</v>
      </c>
    </row>
    <row r="34607" spans="1:6" ht="12.75">
      <c r="A34607" s="2">
        <v>43875.343275462961</v>
      </c>
      <c r="B34607" t="str">
        <f>HYPERLINK("https://twitter.com/ely_susianti","@ely_susianti")</f>
        <v>@ely_susianti</v>
      </c>
      <c r="C34607" t="s">
        <v>14427</v>
      </c>
      <c r="D34607">
        <v>0</v>
      </c>
      <c r="E34607">
        <v>0</v>
      </c>
      <c r="F34607">
        <v>9668</v>
      </c>
    </row>
    <row r="34608" spans="1:6" ht="12.75">
      <c r="A34608" s="2">
        <v>43875.343252314815</v>
      </c>
      <c r="B34608" t="str">
        <f>HYPERLINK("https://twitter.com/ab_anward","@ab_anward")</f>
        <v>@ab_anward</v>
      </c>
      <c r="C34608" t="s">
        <v>14428</v>
      </c>
      <c r="D34608">
        <v>1</v>
      </c>
      <c r="E34608">
        <v>0</v>
      </c>
      <c r="F34608">
        <v>2311</v>
      </c>
    </row>
    <row r="34609" spans="1:6" ht="12.75">
      <c r="A34609" s="2">
        <v>43875.343229166669</v>
      </c>
      <c r="B34609" t="str">
        <f>HYPERLINK("https://twitter.com/NUGROS13","@NUGROS13")</f>
        <v>@NUGROS13</v>
      </c>
      <c r="C34609" t="s">
        <v>9119</v>
      </c>
      <c r="D34609">
        <v>41</v>
      </c>
      <c r="E34609">
        <v>0</v>
      </c>
      <c r="F34609">
        <v>818</v>
      </c>
    </row>
    <row r="34610" spans="1:6" ht="12.75">
      <c r="A34610" s="2">
        <v>43875.343182870369</v>
      </c>
      <c r="B34610" t="str">
        <f>HYPERLINK("https://twitter.com/SamsulA44787617","@SamsulA44787617")</f>
        <v>@SamsulA44787617</v>
      </c>
      <c r="C34610" t="s">
        <v>10196</v>
      </c>
      <c r="D34610">
        <v>127</v>
      </c>
      <c r="E34610">
        <v>0</v>
      </c>
      <c r="F34610">
        <v>33</v>
      </c>
    </row>
    <row r="34611" spans="1:6" ht="12.75">
      <c r="A34611" s="2">
        <v>43875.343148148153</v>
      </c>
      <c r="B34611" t="str">
        <f>HYPERLINK("https://twitter.com/AndiN24312355","@AndiN24312355")</f>
        <v>@AndiN24312355</v>
      </c>
      <c r="C34611" t="s">
        <v>9947</v>
      </c>
      <c r="D34611">
        <v>319</v>
      </c>
      <c r="E34611">
        <v>0</v>
      </c>
      <c r="F34611">
        <v>92</v>
      </c>
    </row>
    <row r="34612" spans="1:6" ht="12.75">
      <c r="A34612" s="2">
        <v>43875.343136574069</v>
      </c>
      <c r="B34612" t="str">
        <f>HYPERLINK("https://twitter.com/PoerBass13","@PoerBass13")</f>
        <v>@PoerBass13</v>
      </c>
      <c r="C34612" t="s">
        <v>13296</v>
      </c>
      <c r="D34612">
        <v>2</v>
      </c>
      <c r="E34612">
        <v>0</v>
      </c>
      <c r="F34612">
        <v>31</v>
      </c>
    </row>
    <row r="34613" spans="1:6" ht="12.75">
      <c r="A34613" s="2">
        <v>43875.343009259261</v>
      </c>
      <c r="B34613" t="str">
        <f>HYPERLINK("https://twitter.com/telormatasapi00","@telormatasapi00")</f>
        <v>@telormatasapi00</v>
      </c>
      <c r="C34613" t="s">
        <v>14429</v>
      </c>
      <c r="D34613">
        <v>0</v>
      </c>
      <c r="E34613">
        <v>0</v>
      </c>
      <c r="F34613">
        <v>49</v>
      </c>
    </row>
    <row r="34614" spans="1:6" ht="12.75">
      <c r="A34614" s="2">
        <v>43875.342997685184</v>
      </c>
      <c r="B34614" t="str">
        <f>HYPERLINK("https://twitter.com/55kaying","@55kaying")</f>
        <v>@55kaying</v>
      </c>
      <c r="C34614" t="s">
        <v>10526</v>
      </c>
      <c r="D34614">
        <v>115</v>
      </c>
      <c r="E34614">
        <v>0</v>
      </c>
      <c r="F34614">
        <v>311</v>
      </c>
    </row>
    <row r="34615" spans="1:6" ht="12.75">
      <c r="A34615" s="2">
        <v>43875.342986111107</v>
      </c>
      <c r="B34615" t="str">
        <f>HYPERLINK("https://twitter.com/AyiZaki","@AyiZaki")</f>
        <v>@AyiZaki</v>
      </c>
      <c r="C34615" t="s">
        <v>2963</v>
      </c>
      <c r="D34615">
        <v>471</v>
      </c>
      <c r="E34615">
        <v>0</v>
      </c>
      <c r="F34615">
        <v>353</v>
      </c>
    </row>
    <row r="34616" spans="1:6" ht="12.75">
      <c r="A34616" s="2">
        <v>43875.342974537038</v>
      </c>
      <c r="B34616" t="str">
        <f>HYPERLINK("https://twitter.com/DoniSatriawan8","@DoniSatriawan8")</f>
        <v>@DoniSatriawan8</v>
      </c>
      <c r="C34616" t="s">
        <v>10121</v>
      </c>
      <c r="D34616">
        <v>151</v>
      </c>
      <c r="E34616">
        <v>0</v>
      </c>
      <c r="F34616">
        <v>53</v>
      </c>
    </row>
    <row r="34617" spans="1:6" ht="12.75">
      <c r="A34617" s="2">
        <v>43875.342951388884</v>
      </c>
      <c r="B34617" t="str">
        <f>HYPERLINK("https://twitter.com/adifaindra","@adifaindra")</f>
        <v>@adifaindra</v>
      </c>
      <c r="C34617" t="s">
        <v>14430</v>
      </c>
      <c r="D34617">
        <v>0</v>
      </c>
      <c r="E34617">
        <v>0</v>
      </c>
      <c r="F34617">
        <v>133</v>
      </c>
    </row>
    <row r="34618" spans="1:6" ht="12.75">
      <c r="A34618" s="2">
        <v>43875.342824074076</v>
      </c>
      <c r="B34618" t="str">
        <f>HYPERLINK("https://twitter.com/KangAzzev","@KangAzzev")</f>
        <v>@KangAzzev</v>
      </c>
      <c r="C34618" t="s">
        <v>7373</v>
      </c>
      <c r="D34618">
        <v>62</v>
      </c>
      <c r="E34618">
        <v>0</v>
      </c>
      <c r="F34618">
        <v>709</v>
      </c>
    </row>
    <row r="34619" spans="1:6" ht="12.75">
      <c r="A34619" s="2">
        <v>43875.342800925922</v>
      </c>
      <c r="B34619" t="str">
        <f>HYPERLINK("https://twitter.com/Metrobatam_com","@Metrobatam_com")</f>
        <v>@Metrobatam_com</v>
      </c>
      <c r="C34619" t="s">
        <v>14431</v>
      </c>
      <c r="D34619">
        <v>0</v>
      </c>
      <c r="E34619">
        <v>0</v>
      </c>
      <c r="F34619">
        <v>118</v>
      </c>
    </row>
    <row r="34620" spans="1:6" ht="12.75">
      <c r="A34620" s="2">
        <v>43875.342777777776</v>
      </c>
      <c r="B34620" t="str">
        <f>HYPERLINK("https://twitter.com/mherlantoyp","@mherlantoyp")</f>
        <v>@mherlantoyp</v>
      </c>
      <c r="C34620" t="s">
        <v>13477</v>
      </c>
      <c r="D34620">
        <v>17</v>
      </c>
      <c r="E34620">
        <v>0</v>
      </c>
      <c r="F34620">
        <v>27</v>
      </c>
    </row>
    <row r="34621" spans="1:6" ht="12.75">
      <c r="A34621" s="2">
        <v>43875.342673611114</v>
      </c>
      <c r="B34621" t="str">
        <f>HYPERLINK("https://twitter.com/DumaySyuhada","@DumaySyuhada")</f>
        <v>@DumaySyuhada</v>
      </c>
      <c r="C34621" t="s">
        <v>14432</v>
      </c>
      <c r="D34621">
        <v>2</v>
      </c>
      <c r="E34621">
        <v>3</v>
      </c>
      <c r="F34621">
        <v>3632</v>
      </c>
    </row>
    <row r="34622" spans="1:6" ht="12.75">
      <c r="A34622" s="2">
        <v>43875.342604166668</v>
      </c>
      <c r="B34622" t="str">
        <f>HYPERLINK("https://twitter.com/liputan6","@liputan6")</f>
        <v>@liputan6</v>
      </c>
      <c r="C34622" t="s">
        <v>6771</v>
      </c>
      <c r="D34622">
        <v>76</v>
      </c>
      <c r="E34622">
        <v>0</v>
      </c>
      <c r="F34622">
        <v>13880</v>
      </c>
    </row>
    <row r="34623" spans="1:6" ht="12.75">
      <c r="A34623" s="2">
        <v>43875.342592592591</v>
      </c>
      <c r="B34623" t="str">
        <f>HYPERLINK("https://twitter.com/hgberry","@hgberry")</f>
        <v>@hgberry</v>
      </c>
      <c r="C34623" t="s">
        <v>8394</v>
      </c>
      <c r="D34623">
        <v>27</v>
      </c>
      <c r="E34623">
        <v>0</v>
      </c>
      <c r="F34623">
        <v>1645</v>
      </c>
    </row>
    <row r="34624" spans="1:6" ht="12.75">
      <c r="A34624" s="2">
        <v>43875.342569444445</v>
      </c>
      <c r="B34624" t="str">
        <f>HYPERLINK("https://twitter.com/7nagabonar","@7nagabonar")</f>
        <v>@7nagabonar</v>
      </c>
      <c r="C34624" t="s">
        <v>14433</v>
      </c>
      <c r="D34624">
        <v>0</v>
      </c>
      <c r="E34624">
        <v>0</v>
      </c>
      <c r="F34624">
        <v>459</v>
      </c>
    </row>
    <row r="34625" spans="1:6" ht="12.75">
      <c r="A34625" s="2">
        <v>43875.342534722222</v>
      </c>
      <c r="B34625" t="str">
        <f>HYPERLINK("https://twitter.com/Vicksigit","@Vicksigit")</f>
        <v>@Vicksigit</v>
      </c>
      <c r="C34625" t="s">
        <v>13879</v>
      </c>
      <c r="D34625">
        <v>2</v>
      </c>
      <c r="E34625">
        <v>0</v>
      </c>
      <c r="F34625">
        <v>128</v>
      </c>
    </row>
    <row r="34626" spans="1:6" ht="12.75">
      <c r="A34626" s="2">
        <v>43875.342476851853</v>
      </c>
      <c r="B34626" t="str">
        <f>HYPERLINK("https://twitter.com/sendysuwanto","@sendysuwanto")</f>
        <v>@sendysuwanto</v>
      </c>
      <c r="C34626" t="s">
        <v>14434</v>
      </c>
      <c r="D34626">
        <v>0</v>
      </c>
      <c r="E34626">
        <v>0</v>
      </c>
      <c r="F34626">
        <v>1009</v>
      </c>
    </row>
    <row r="34627" spans="1:6" ht="12.75">
      <c r="A34627" s="2">
        <v>43875.342476851853</v>
      </c>
      <c r="B34627" t="str">
        <f>HYPERLINK("https://twitter.com/lase_dhanil","@lase_dhanil")</f>
        <v>@lase_dhanil</v>
      </c>
      <c r="C34627" t="s">
        <v>10032</v>
      </c>
      <c r="D34627">
        <v>15</v>
      </c>
      <c r="E34627">
        <v>0</v>
      </c>
      <c r="F34627">
        <v>466</v>
      </c>
    </row>
    <row r="34628" spans="1:6" ht="12.75">
      <c r="A34628" s="2">
        <v>43875.342476851853</v>
      </c>
      <c r="B34628" t="str">
        <f>HYPERLINK("https://twitter.com/Ruddy0816992338","@Ruddy0816992338")</f>
        <v>@Ruddy0816992338</v>
      </c>
      <c r="C34628" t="s">
        <v>14435</v>
      </c>
      <c r="D34628">
        <v>0</v>
      </c>
      <c r="E34628">
        <v>0</v>
      </c>
      <c r="F34628">
        <v>15</v>
      </c>
    </row>
    <row r="34629" spans="1:6" ht="12.75">
      <c r="A34629" s="2">
        <v>43875.342442129629</v>
      </c>
      <c r="B34629" t="str">
        <f>HYPERLINK("https://twitter.com/taufikaboe","@taufikaboe")</f>
        <v>@taufikaboe</v>
      </c>
      <c r="C34629" t="s">
        <v>14436</v>
      </c>
      <c r="D34629">
        <v>5</v>
      </c>
      <c r="E34629">
        <v>0</v>
      </c>
      <c r="F34629">
        <v>50</v>
      </c>
    </row>
    <row r="34630" spans="1:6" ht="12.75">
      <c r="A34630" s="2">
        <v>43875.34239583333</v>
      </c>
      <c r="B34630" t="str">
        <f>HYPERLINK("https://twitter.com/DirgaAuliaNusa","@DirgaAuliaNusa")</f>
        <v>@DirgaAuliaNusa</v>
      </c>
      <c r="C34630" t="s">
        <v>2963</v>
      </c>
      <c r="D34630">
        <v>471</v>
      </c>
      <c r="E34630">
        <v>0</v>
      </c>
      <c r="F34630">
        <v>1052</v>
      </c>
    </row>
    <row r="34631" spans="1:6" ht="12.75">
      <c r="A34631" s="2">
        <v>43875.342303240745</v>
      </c>
      <c r="B34631" t="str">
        <f>HYPERLINK("https://twitter.com/rangkaikenangan","@rangkaikenangan")</f>
        <v>@rangkaikenangan</v>
      </c>
      <c r="C34631" t="s">
        <v>14437</v>
      </c>
      <c r="D34631">
        <v>3</v>
      </c>
      <c r="E34631">
        <v>0</v>
      </c>
      <c r="F34631">
        <v>278</v>
      </c>
    </row>
    <row r="34632" spans="1:6" ht="12.75">
      <c r="A34632" s="2">
        <v>43875.342129629629</v>
      </c>
      <c r="B34632" t="str">
        <f>HYPERLINK("https://twitter.com/edotssss","@edotssss")</f>
        <v>@edotssss</v>
      </c>
      <c r="C34632" t="s">
        <v>14438</v>
      </c>
      <c r="D34632">
        <v>0</v>
      </c>
      <c r="E34632">
        <v>0</v>
      </c>
      <c r="F34632">
        <v>399</v>
      </c>
    </row>
    <row r="34633" spans="1:6" ht="12.75">
      <c r="A34633" s="2">
        <v>43875.34211805556</v>
      </c>
      <c r="B34633" t="str">
        <f>HYPERLINK("https://twitter.com/akaajii","@akaajii")</f>
        <v>@akaajii</v>
      </c>
      <c r="C34633" t="s">
        <v>9096</v>
      </c>
      <c r="D34633">
        <v>155</v>
      </c>
      <c r="E34633">
        <v>0</v>
      </c>
      <c r="F34633">
        <v>12</v>
      </c>
    </row>
    <row r="34634" spans="1:6" ht="12.75">
      <c r="A34634" s="2">
        <v>43875.342083333337</v>
      </c>
      <c r="B34634" t="str">
        <f>HYPERLINK("https://twitter.com/EdySisw43764467","@EdySisw43764467")</f>
        <v>@EdySisw43764467</v>
      </c>
      <c r="C34634" t="s">
        <v>14439</v>
      </c>
      <c r="D34634">
        <v>0</v>
      </c>
      <c r="E34634">
        <v>0</v>
      </c>
      <c r="F34634">
        <v>0</v>
      </c>
    </row>
    <row r="34635" spans="1:6" ht="12.75">
      <c r="A34635" s="2">
        <v>43875.341979166667</v>
      </c>
      <c r="B34635" t="str">
        <f>HYPERLINK("https://twitter.com/Chabibfaiq","@Chabibfaiq")</f>
        <v>@Chabibfaiq</v>
      </c>
      <c r="C34635" t="s">
        <v>14440</v>
      </c>
      <c r="D34635">
        <v>0</v>
      </c>
      <c r="E34635">
        <v>1</v>
      </c>
      <c r="F34635">
        <v>2237</v>
      </c>
    </row>
    <row r="34636" spans="1:6" ht="12.75">
      <c r="A34636" s="2">
        <v>43875.341932870375</v>
      </c>
      <c r="B34636" t="str">
        <f>HYPERLINK("https://twitter.com/lase_dhanil","@lase_dhanil")</f>
        <v>@lase_dhanil</v>
      </c>
      <c r="C34636" t="s">
        <v>11425</v>
      </c>
      <c r="D34636">
        <v>192</v>
      </c>
      <c r="E34636">
        <v>0</v>
      </c>
      <c r="F34636">
        <v>466</v>
      </c>
    </row>
    <row r="34637" spans="1:6" ht="12.75">
      <c r="A34637" s="2">
        <v>43875.341932870375</v>
      </c>
      <c r="B34637" t="str">
        <f>HYPERLINK("https://twitter.com/KangAzzev","@KangAzzev")</f>
        <v>@KangAzzev</v>
      </c>
      <c r="C34637" t="s">
        <v>10422</v>
      </c>
      <c r="D34637">
        <v>40</v>
      </c>
      <c r="E34637">
        <v>0</v>
      </c>
      <c r="F34637">
        <v>709</v>
      </c>
    </row>
    <row r="34638" spans="1:6" ht="12.75">
      <c r="A34638" s="2">
        <v>43875.341817129629</v>
      </c>
      <c r="B34638" t="str">
        <f>HYPERLINK("https://twitter.com/miswanto80","@miswanto80")</f>
        <v>@miswanto80</v>
      </c>
      <c r="C34638" t="s">
        <v>2963</v>
      </c>
      <c r="D34638">
        <v>471</v>
      </c>
      <c r="E34638">
        <v>0</v>
      </c>
      <c r="F34638">
        <v>2819</v>
      </c>
    </row>
    <row r="34639" spans="1:6" ht="12.75">
      <c r="A34639" s="2">
        <v>43875.34174768519</v>
      </c>
      <c r="B34639" t="str">
        <f>HYPERLINK("https://twitter.com/IMAMHANAFISH1","@IMAMHANAFISH1")</f>
        <v>@IMAMHANAFISH1</v>
      </c>
      <c r="C34639" t="s">
        <v>14441</v>
      </c>
      <c r="D34639">
        <v>0</v>
      </c>
      <c r="E34639">
        <v>0</v>
      </c>
      <c r="F34639">
        <v>495</v>
      </c>
    </row>
    <row r="34640" spans="1:6" ht="12.75">
      <c r="A34640" s="2">
        <v>43875.341678240744</v>
      </c>
      <c r="B34640" t="str">
        <f>HYPERLINK("https://twitter.com/TombolSi","@TombolSi")</f>
        <v>@TombolSi</v>
      </c>
      <c r="C34640" t="s">
        <v>7390</v>
      </c>
      <c r="D34640">
        <v>81</v>
      </c>
      <c r="E34640">
        <v>0</v>
      </c>
      <c r="F34640">
        <v>44</v>
      </c>
    </row>
    <row r="34641" spans="1:6" ht="12.75">
      <c r="A34641" s="2">
        <v>43875.34165509259</v>
      </c>
      <c r="B34641" t="str">
        <f>HYPERLINK("https://twitter.com/Bagas36406270","@Bagas36406270")</f>
        <v>@Bagas36406270</v>
      </c>
      <c r="C34641" t="s">
        <v>10407</v>
      </c>
      <c r="D34641">
        <v>32</v>
      </c>
      <c r="E34641">
        <v>0</v>
      </c>
      <c r="F34641">
        <v>1163</v>
      </c>
    </row>
    <row r="34642" spans="1:6" ht="12.75">
      <c r="A34642" s="2">
        <v>43875.341597222221</v>
      </c>
      <c r="B34642" t="str">
        <f>HYPERLINK("https://twitter.com/rizkipasus","@rizkipasus")</f>
        <v>@rizkipasus</v>
      </c>
      <c r="C34642" t="s">
        <v>14420</v>
      </c>
      <c r="D34642">
        <v>10</v>
      </c>
      <c r="E34642">
        <v>0</v>
      </c>
      <c r="F34642">
        <v>646</v>
      </c>
    </row>
    <row r="34643" spans="1:6" ht="12.75">
      <c r="A34643" s="2">
        <v>43875.341597222221</v>
      </c>
      <c r="B34643" t="str">
        <f>HYPERLINK("https://twitter.com/jinarsaskara","@jinarsaskara")</f>
        <v>@jinarsaskara</v>
      </c>
      <c r="C34643" t="s">
        <v>11071</v>
      </c>
      <c r="D34643">
        <v>56</v>
      </c>
      <c r="E34643">
        <v>0</v>
      </c>
      <c r="F34643">
        <v>2851</v>
      </c>
    </row>
    <row r="34644" spans="1:6" ht="12.75">
      <c r="A34644" s="2">
        <v>43875.341562500005</v>
      </c>
      <c r="B34644" t="str">
        <f>HYPERLINK("https://twitter.com/TombolSi","@TombolSi")</f>
        <v>@TombolSi</v>
      </c>
      <c r="C34644" t="s">
        <v>12671</v>
      </c>
      <c r="D34644">
        <v>39</v>
      </c>
      <c r="E34644">
        <v>0</v>
      </c>
      <c r="F34644">
        <v>44</v>
      </c>
    </row>
    <row r="34645" spans="1:6" ht="12.75">
      <c r="A34645" s="2">
        <v>43875.341527777782</v>
      </c>
      <c r="B34645" t="str">
        <f>HYPERLINK("https://twitter.com/momybastian","@momybastian")</f>
        <v>@momybastian</v>
      </c>
      <c r="C34645" t="s">
        <v>14442</v>
      </c>
      <c r="D34645">
        <v>0</v>
      </c>
      <c r="E34645">
        <v>0</v>
      </c>
      <c r="F34645">
        <v>873</v>
      </c>
    </row>
    <row r="34646" spans="1:6" ht="12.75">
      <c r="A34646" s="2">
        <v>43875.341504629629</v>
      </c>
      <c r="B34646" t="str">
        <f>HYPERLINK("https://twitter.com/ARNAFF37","@ARNAFF37")</f>
        <v>@ARNAFF37</v>
      </c>
      <c r="C34646" t="s">
        <v>14443</v>
      </c>
      <c r="D34646">
        <v>0</v>
      </c>
      <c r="E34646">
        <v>0</v>
      </c>
      <c r="F34646">
        <v>20</v>
      </c>
    </row>
    <row r="34647" spans="1:6" ht="12.75">
      <c r="A34647" s="2">
        <v>43875.341493055559</v>
      </c>
      <c r="B34647" t="str">
        <f>HYPERLINK("https://twitter.com/superUnknownnn","@superUnknownnn")</f>
        <v>@superUnknownnn</v>
      </c>
      <c r="C34647" t="s">
        <v>14444</v>
      </c>
      <c r="D34647">
        <v>0</v>
      </c>
      <c r="E34647">
        <v>2</v>
      </c>
      <c r="F34647">
        <v>1748</v>
      </c>
    </row>
    <row r="34648" spans="1:6" ht="12.75">
      <c r="A34648" s="2">
        <v>43875.341481481482</v>
      </c>
      <c r="B34648" t="str">
        <f>HYPERLINK("https://twitter.com/edotssss","@edotssss")</f>
        <v>@edotssss</v>
      </c>
      <c r="C34648" t="s">
        <v>14445</v>
      </c>
      <c r="D34648">
        <v>0</v>
      </c>
      <c r="E34648">
        <v>0</v>
      </c>
      <c r="F34648">
        <v>399</v>
      </c>
    </row>
    <row r="34649" spans="1:6" ht="12.75">
      <c r="A34649" s="2">
        <v>43875.341377314813</v>
      </c>
      <c r="B34649" t="str">
        <f>HYPERLINK("https://twitter.com/Blitz_s","@Blitz_s")</f>
        <v>@Blitz_s</v>
      </c>
      <c r="C34649" t="s">
        <v>10422</v>
      </c>
      <c r="D34649">
        <v>40</v>
      </c>
      <c r="E34649">
        <v>0</v>
      </c>
      <c r="F34649">
        <v>1037</v>
      </c>
    </row>
    <row r="34650" spans="1:6" ht="12.75">
      <c r="A34650" s="2">
        <v>43875.341319444444</v>
      </c>
      <c r="B34650" t="str">
        <f>HYPERLINK("https://twitter.com/yogi_koster","@yogi_koster")</f>
        <v>@yogi_koster</v>
      </c>
      <c r="C34650" t="s">
        <v>2963</v>
      </c>
      <c r="D34650">
        <v>471</v>
      </c>
      <c r="E34650">
        <v>0</v>
      </c>
      <c r="F34650">
        <v>1763</v>
      </c>
    </row>
    <row r="34651" spans="1:6" ht="12.75">
      <c r="A34651" s="2">
        <v>43875.341319444444</v>
      </c>
      <c r="B34651" t="str">
        <f>HYPERLINK("https://twitter.com/kasifakha","@kasifakha")</f>
        <v>@kasifakha</v>
      </c>
      <c r="C34651" t="s">
        <v>5168</v>
      </c>
      <c r="D34651">
        <v>411</v>
      </c>
      <c r="E34651">
        <v>0</v>
      </c>
      <c r="F34651">
        <v>309</v>
      </c>
    </row>
    <row r="34652" spans="1:6" ht="12.75">
      <c r="A34652" s="2">
        <v>43875.341284722221</v>
      </c>
      <c r="B34652" t="str">
        <f>HYPERLINK("https://twitter.com/ZainulA42038361","@ZainulA42038361")</f>
        <v>@ZainulA42038361</v>
      </c>
      <c r="C34652" t="s">
        <v>12287</v>
      </c>
      <c r="D34652">
        <v>34</v>
      </c>
      <c r="E34652">
        <v>0</v>
      </c>
      <c r="F34652">
        <v>280</v>
      </c>
    </row>
    <row r="34653" spans="1:6" ht="12.75">
      <c r="A34653" s="2">
        <v>43875.341249999998</v>
      </c>
      <c r="B34653" t="str">
        <f>HYPERLINK("https://twitter.com/ErvineKiddies","@ErvineKiddies")</f>
        <v>@ErvineKiddies</v>
      </c>
      <c r="C34653" t="s">
        <v>9538</v>
      </c>
      <c r="D34653">
        <v>96</v>
      </c>
      <c r="E34653">
        <v>0</v>
      </c>
      <c r="F34653">
        <v>739</v>
      </c>
    </row>
    <row r="34654" spans="1:6" ht="12.75">
      <c r="A34654" s="2">
        <v>43875.341238425928</v>
      </c>
      <c r="B34654" t="str">
        <f>HYPERLINK("https://twitter.com/BadjaNuswantara","@BadjaNuswantara")</f>
        <v>@BadjaNuswantara</v>
      </c>
      <c r="C34654" t="s">
        <v>11954</v>
      </c>
      <c r="D34654">
        <v>47</v>
      </c>
      <c r="E34654">
        <v>0</v>
      </c>
      <c r="F34654">
        <v>42274</v>
      </c>
    </row>
    <row r="34655" spans="1:6" ht="12.75">
      <c r="A34655" s="2">
        <v>43875.341168981482</v>
      </c>
      <c r="B34655" t="str">
        <f>HYPERLINK("https://twitter.com/PowerMotivator","@PowerMotivator")</f>
        <v>@PowerMotivator</v>
      </c>
      <c r="C34655" t="s">
        <v>14446</v>
      </c>
      <c r="D34655">
        <v>0</v>
      </c>
      <c r="E34655">
        <v>0</v>
      </c>
      <c r="F34655">
        <v>1548</v>
      </c>
    </row>
    <row r="34656" spans="1:6" ht="12.75">
      <c r="A34656" s="2">
        <v>43875.341157407413</v>
      </c>
      <c r="B34656" t="str">
        <f>HYPERLINK("https://twitter.com/BadjaNuswantara","@BadjaNuswantara")</f>
        <v>@BadjaNuswantara</v>
      </c>
      <c r="C34656" t="s">
        <v>10793</v>
      </c>
      <c r="D34656">
        <v>15</v>
      </c>
      <c r="E34656">
        <v>0</v>
      </c>
      <c r="F34656">
        <v>42274</v>
      </c>
    </row>
    <row r="34657" spans="1:6" ht="12.75">
      <c r="A34657" s="2">
        <v>43875.341145833328</v>
      </c>
      <c r="B34657" t="str">
        <f>HYPERLINK("https://twitter.com/Aminmuh42615652","@Aminmuh42615652")</f>
        <v>@Aminmuh42615652</v>
      </c>
      <c r="C34657" t="s">
        <v>5761</v>
      </c>
      <c r="D34657">
        <v>32</v>
      </c>
      <c r="E34657">
        <v>0</v>
      </c>
      <c r="F34657">
        <v>2</v>
      </c>
    </row>
    <row r="34658" spans="1:6" ht="12.75">
      <c r="A34658" s="2">
        <v>43875.341134259259</v>
      </c>
      <c r="B34658" t="str">
        <f>HYPERLINK("https://twitter.com/Agungwi40272724","@Agungwi40272724")</f>
        <v>@Agungwi40272724</v>
      </c>
      <c r="C34658" t="s">
        <v>14447</v>
      </c>
      <c r="D34658">
        <v>0</v>
      </c>
      <c r="E34658">
        <v>0</v>
      </c>
      <c r="F34658">
        <v>3</v>
      </c>
    </row>
    <row r="34659" spans="1:6" ht="12.75">
      <c r="A34659" s="2">
        <v>43875.341122685189</v>
      </c>
      <c r="B34659" t="str">
        <f>HYPERLINK("https://twitter.com/ibukdinda","@ibukdinda")</f>
        <v>@ibukdinda</v>
      </c>
      <c r="C34659" t="s">
        <v>14267</v>
      </c>
      <c r="D34659">
        <v>4</v>
      </c>
      <c r="E34659">
        <v>0</v>
      </c>
      <c r="F34659">
        <v>530</v>
      </c>
    </row>
    <row r="34660" spans="1:6" ht="12.75">
      <c r="A34660" s="2">
        <v>43875.341099537036</v>
      </c>
      <c r="B34660" t="str">
        <f>HYPERLINK("https://twitter.com/eizanfolks","@eizanfolks")</f>
        <v>@eizanfolks</v>
      </c>
      <c r="C34660" t="s">
        <v>14346</v>
      </c>
      <c r="D34660">
        <v>5</v>
      </c>
      <c r="E34660">
        <v>0</v>
      </c>
      <c r="F34660">
        <v>7646</v>
      </c>
    </row>
    <row r="34661" spans="1:6" ht="12.75">
      <c r="A34661" s="2">
        <v>43875.34097222222</v>
      </c>
      <c r="B34661" t="str">
        <f>HYPERLINK("https://twitter.com/oladamme","@oladamme")</f>
        <v>@oladamme</v>
      </c>
      <c r="C34661" t="s">
        <v>11425</v>
      </c>
      <c r="D34661">
        <v>192</v>
      </c>
      <c r="E34661">
        <v>0</v>
      </c>
      <c r="F34661">
        <v>157</v>
      </c>
    </row>
    <row r="34662" spans="1:6" ht="12.75">
      <c r="A34662" s="2">
        <v>43875.340960648144</v>
      </c>
      <c r="B34662" t="str">
        <f>HYPERLINK("https://twitter.com/Antara_Jabar","@Antara_Jabar")</f>
        <v>@Antara_Jabar</v>
      </c>
      <c r="C34662" t="s">
        <v>14448</v>
      </c>
      <c r="D34662">
        <v>0</v>
      </c>
      <c r="E34662">
        <v>0</v>
      </c>
      <c r="F34662">
        <v>1533</v>
      </c>
    </row>
    <row r="34663" spans="1:6" ht="12.75">
      <c r="A34663" s="2">
        <v>43875.340868055559</v>
      </c>
      <c r="B34663" t="str">
        <f>HYPERLINK("https://twitter.com/Azharukail","@Azharukail")</f>
        <v>@Azharukail</v>
      </c>
      <c r="C34663" t="s">
        <v>9113</v>
      </c>
      <c r="D34663">
        <v>251</v>
      </c>
      <c r="E34663">
        <v>0</v>
      </c>
      <c r="F34663">
        <v>6</v>
      </c>
    </row>
    <row r="34664" spans="1:6" ht="12.75">
      <c r="A34664" s="2">
        <v>43875.340798611112</v>
      </c>
      <c r="B34664" t="str">
        <f>HYPERLINK("https://twitter.com/yadisariyadi","@yadisariyadi")</f>
        <v>@yadisariyadi</v>
      </c>
      <c r="C34664" t="s">
        <v>10096</v>
      </c>
      <c r="D34664">
        <v>67</v>
      </c>
      <c r="E34664">
        <v>0</v>
      </c>
      <c r="F34664">
        <v>170</v>
      </c>
    </row>
    <row r="34665" spans="1:6" ht="12.75">
      <c r="A34665" s="2">
        <v>43875.34070601852</v>
      </c>
      <c r="B34665" t="str">
        <f>HYPERLINK("https://twitter.com/hank_jkt","@hank_jkt")</f>
        <v>@hank_jkt</v>
      </c>
      <c r="C34665" t="s">
        <v>14449</v>
      </c>
      <c r="D34665">
        <v>0</v>
      </c>
      <c r="E34665">
        <v>0</v>
      </c>
      <c r="F34665">
        <v>92</v>
      </c>
    </row>
    <row r="34666" spans="1:6" ht="12.75">
      <c r="A34666" s="2">
        <v>43875.340682870374</v>
      </c>
      <c r="B34666" t="str">
        <f>HYPERLINK("https://twitter.com/innovesian","@innovesian")</f>
        <v>@innovesian</v>
      </c>
      <c r="C34666" t="s">
        <v>14450</v>
      </c>
      <c r="D34666">
        <v>2</v>
      </c>
      <c r="E34666">
        <v>2</v>
      </c>
      <c r="F34666">
        <v>31973</v>
      </c>
    </row>
    <row r="34667" spans="1:6" ht="12.75">
      <c r="A34667" s="2">
        <v>43875.340543981481</v>
      </c>
      <c r="B34667" t="str">
        <f>HYPERLINK("https://twitter.com/kapuyuak_24285","@kapuyuak_24285")</f>
        <v>@kapuyuak_24285</v>
      </c>
      <c r="C34667" t="s">
        <v>14451</v>
      </c>
      <c r="D34667">
        <v>0</v>
      </c>
      <c r="E34667">
        <v>0</v>
      </c>
      <c r="F34667">
        <v>78</v>
      </c>
    </row>
    <row r="34668" spans="1:6" ht="12.75">
      <c r="A34668" s="2">
        <v>43875.340532407412</v>
      </c>
      <c r="B34668" t="str">
        <f>HYPERLINK("https://twitter.com/SsSurip","@SsSurip")</f>
        <v>@SsSurip</v>
      </c>
      <c r="C34668" t="s">
        <v>14452</v>
      </c>
      <c r="D34668">
        <v>0</v>
      </c>
      <c r="E34668">
        <v>0</v>
      </c>
      <c r="F34668">
        <v>73</v>
      </c>
    </row>
    <row r="34669" spans="1:6" ht="12.75">
      <c r="A34669" s="2">
        <v>43875.340405092589</v>
      </c>
      <c r="B34669" t="str">
        <f>HYPERLINK("https://twitter.com/HartonoMobil","@HartonoMobil")</f>
        <v>@HartonoMobil</v>
      </c>
      <c r="C34669" t="s">
        <v>7803</v>
      </c>
      <c r="D34669">
        <v>301</v>
      </c>
      <c r="E34669">
        <v>0</v>
      </c>
      <c r="F34669">
        <v>3505</v>
      </c>
    </row>
    <row r="34670" spans="1:6" ht="12.75">
      <c r="A34670" s="2">
        <v>43875.340277777781</v>
      </c>
      <c r="B34670" t="str">
        <f>HYPERLINK("https://twitter.com/LiaIsti1","@LiaIsti1")</f>
        <v>@LiaIsti1</v>
      </c>
      <c r="C34670" t="s">
        <v>14044</v>
      </c>
      <c r="D34670">
        <v>2</v>
      </c>
      <c r="E34670">
        <v>0</v>
      </c>
      <c r="F34670">
        <v>1947</v>
      </c>
    </row>
    <row r="34671" spans="1:6" ht="12.75">
      <c r="A34671" s="2">
        <v>43875.340243055558</v>
      </c>
      <c r="B34671" t="str">
        <f>HYPERLINK("https://twitter.com/gustiaisa","@gustiaisa")</f>
        <v>@gustiaisa</v>
      </c>
      <c r="C34671" t="s">
        <v>2963</v>
      </c>
      <c r="D34671">
        <v>471</v>
      </c>
      <c r="E34671">
        <v>0</v>
      </c>
      <c r="F34671">
        <v>1146</v>
      </c>
    </row>
    <row r="34672" spans="1:6" ht="12.75">
      <c r="A34672" s="2">
        <v>43875.340173611112</v>
      </c>
      <c r="B34672" t="str">
        <f>HYPERLINK("https://twitter.com/ISIS_Balik_NO","@ISIS_Balik_NO")</f>
        <v>@ISIS_Balik_NO</v>
      </c>
      <c r="C34672" t="s">
        <v>14453</v>
      </c>
      <c r="D34672">
        <v>40</v>
      </c>
      <c r="E34672">
        <v>0</v>
      </c>
      <c r="F34672">
        <v>5890</v>
      </c>
    </row>
    <row r="34673" spans="1:6" ht="12.75">
      <c r="A34673" s="2">
        <v>43875.340162037042</v>
      </c>
      <c r="B34673" t="str">
        <f>HYPERLINK("https://twitter.com/andirahardjo877","@andirahardjo877")</f>
        <v>@andirahardjo877</v>
      </c>
      <c r="C34673" t="s">
        <v>14454</v>
      </c>
      <c r="D34673">
        <v>0</v>
      </c>
      <c r="E34673">
        <v>0</v>
      </c>
      <c r="F34673">
        <v>1545</v>
      </c>
    </row>
    <row r="34674" spans="1:6" ht="12.75">
      <c r="A34674" s="2">
        <v>43875.340162037042</v>
      </c>
      <c r="B34674" t="str">
        <f>HYPERLINK("https://twitter.com/DapureMamiku","@DapureMamiku")</f>
        <v>@DapureMamiku</v>
      </c>
      <c r="C34674" t="s">
        <v>11086</v>
      </c>
      <c r="D34674">
        <v>81</v>
      </c>
      <c r="E34674">
        <v>0</v>
      </c>
      <c r="F34674">
        <v>296</v>
      </c>
    </row>
    <row r="34675" spans="1:6" ht="12.75">
      <c r="A34675" s="2">
        <v>43875.340150462958</v>
      </c>
      <c r="B34675" t="str">
        <f>HYPERLINK("https://twitter.com/f_purwatmo","@f_purwatmo")</f>
        <v>@f_purwatmo</v>
      </c>
      <c r="C34675" t="s">
        <v>12530</v>
      </c>
      <c r="D34675">
        <v>27</v>
      </c>
      <c r="E34675">
        <v>0</v>
      </c>
      <c r="F34675">
        <v>398</v>
      </c>
    </row>
    <row r="34676" spans="1:6" ht="12.75">
      <c r="A34676" s="2">
        <v>43875.340138888889</v>
      </c>
      <c r="B34676" t="str">
        <f>HYPERLINK("https://twitter.com/wstampugmailco1","@wstampugmailco1")</f>
        <v>@wstampugmailco1</v>
      </c>
      <c r="C34676" t="s">
        <v>13477</v>
      </c>
      <c r="D34676">
        <v>17</v>
      </c>
      <c r="E34676">
        <v>0</v>
      </c>
      <c r="F34676">
        <v>2</v>
      </c>
    </row>
    <row r="34677" spans="1:6" ht="12.75">
      <c r="A34677" s="2">
        <v>43875.340115740742</v>
      </c>
      <c r="B34677" t="str">
        <f>HYPERLINK("https://twitter.com/AjieKlowor","@AjieKlowor")</f>
        <v>@AjieKlowor</v>
      </c>
      <c r="C34677" t="s">
        <v>11058</v>
      </c>
      <c r="D34677">
        <v>1</v>
      </c>
      <c r="E34677">
        <v>0</v>
      </c>
      <c r="F34677">
        <v>950</v>
      </c>
    </row>
    <row r="34678" spans="1:6" ht="12.75">
      <c r="A34678" s="2">
        <v>43875.340046296296</v>
      </c>
      <c r="B34678" t="str">
        <f>HYPERLINK("https://twitter.com/nusantoro_risqi","@nusantoro_risqi")</f>
        <v>@nusantoro_risqi</v>
      </c>
      <c r="C34678" t="s">
        <v>14455</v>
      </c>
      <c r="D34678">
        <v>0</v>
      </c>
      <c r="E34678">
        <v>0</v>
      </c>
      <c r="F34678">
        <v>94</v>
      </c>
    </row>
    <row r="34679" spans="1:6" ht="12.75">
      <c r="A34679" s="2">
        <v>43875.34002314815</v>
      </c>
      <c r="B34679" t="str">
        <f>HYPERLINK("https://twitter.com/RahmanAkly","@RahmanAkly")</f>
        <v>@RahmanAkly</v>
      </c>
      <c r="C34679" t="s">
        <v>10200</v>
      </c>
      <c r="D34679">
        <v>22</v>
      </c>
      <c r="E34679">
        <v>0</v>
      </c>
      <c r="F34679">
        <v>478</v>
      </c>
    </row>
    <row r="34680" spans="1:6" ht="12.75">
      <c r="A34680" s="2">
        <v>43875.339953703704</v>
      </c>
      <c r="B34680" t="str">
        <f>HYPERLINK("https://twitter.com/eizanfolks","@eizanfolks")</f>
        <v>@eizanfolks</v>
      </c>
      <c r="C34680" t="s">
        <v>2963</v>
      </c>
      <c r="D34680">
        <v>471</v>
      </c>
      <c r="E34680">
        <v>0</v>
      </c>
      <c r="F34680">
        <v>7646</v>
      </c>
    </row>
    <row r="34681" spans="1:6" ht="12.75">
      <c r="A34681" s="2">
        <v>43875.339907407411</v>
      </c>
      <c r="B34681" t="str">
        <f>HYPERLINK("https://twitter.com/ngelholic","@ngelholic")</f>
        <v>@ngelholic</v>
      </c>
      <c r="C34681" t="s">
        <v>14456</v>
      </c>
      <c r="D34681">
        <v>0</v>
      </c>
      <c r="E34681">
        <v>0</v>
      </c>
      <c r="F34681">
        <v>1743</v>
      </c>
    </row>
    <row r="34682" spans="1:6" ht="12.75">
      <c r="A34682" s="2">
        <v>43875.339872685188</v>
      </c>
      <c r="B34682" t="str">
        <f>HYPERLINK("https://twitter.com/ZainulA42038361","@ZainulA42038361")</f>
        <v>@ZainulA42038361</v>
      </c>
      <c r="C34682" t="s">
        <v>10531</v>
      </c>
      <c r="D34682">
        <v>94</v>
      </c>
      <c r="E34682">
        <v>0</v>
      </c>
      <c r="F34682">
        <v>280</v>
      </c>
    </row>
    <row r="34683" spans="1:6" ht="12.75">
      <c r="A34683" s="2">
        <v>43875.339849537035</v>
      </c>
      <c r="B34683" t="str">
        <f>HYPERLINK("https://twitter.com/mukegile001","@mukegile001")</f>
        <v>@mukegile001</v>
      </c>
      <c r="C34683" t="s">
        <v>9263</v>
      </c>
      <c r="D34683">
        <v>71</v>
      </c>
      <c r="E34683">
        <v>0</v>
      </c>
      <c r="F34683">
        <v>41</v>
      </c>
    </row>
    <row r="34684" spans="1:6" ht="12.75">
      <c r="A34684" s="2">
        <v>43875.339826388888</v>
      </c>
      <c r="B34684" t="str">
        <f>HYPERLINK("https://twitter.com/ujarNanda","@ujarNanda")</f>
        <v>@ujarNanda</v>
      </c>
      <c r="C34684" t="s">
        <v>14457</v>
      </c>
      <c r="D34684">
        <v>0</v>
      </c>
      <c r="E34684">
        <v>0</v>
      </c>
      <c r="F34684">
        <v>392</v>
      </c>
    </row>
    <row r="34685" spans="1:6" ht="12.75">
      <c r="A34685" s="2">
        <v>43875.339803240742</v>
      </c>
      <c r="B34685" t="str">
        <f>HYPERLINK("https://twitter.com/supri_prp","@supri_prp")</f>
        <v>@supri_prp</v>
      </c>
      <c r="C34685" t="s">
        <v>14458</v>
      </c>
      <c r="D34685">
        <v>0</v>
      </c>
      <c r="E34685">
        <v>0</v>
      </c>
      <c r="F34685">
        <v>409</v>
      </c>
    </row>
    <row r="34686" spans="1:6" ht="12.75">
      <c r="A34686" s="2">
        <v>43875.339745370366</v>
      </c>
      <c r="B34686" t="str">
        <f>HYPERLINK("https://twitter.com/JossLuc","@JossLuc")</f>
        <v>@JossLuc</v>
      </c>
      <c r="C34686" t="s">
        <v>2963</v>
      </c>
      <c r="D34686">
        <v>471</v>
      </c>
      <c r="E34686">
        <v>0</v>
      </c>
      <c r="F34686">
        <v>128</v>
      </c>
    </row>
    <row r="34687" spans="1:6" ht="12.75">
      <c r="A34687" s="2">
        <v>43875.339745370366</v>
      </c>
      <c r="B34687" t="str">
        <f>HYPERLINK("https://twitter.com/triwul82","@triwul82")</f>
        <v>@triwul82</v>
      </c>
      <c r="C34687" t="s">
        <v>14459</v>
      </c>
      <c r="D34687">
        <v>2</v>
      </c>
      <c r="E34687">
        <v>2</v>
      </c>
      <c r="F34687">
        <v>28847</v>
      </c>
    </row>
    <row r="34688" spans="1:6" ht="12.75">
      <c r="A34688" s="2">
        <v>43875.339675925927</v>
      </c>
      <c r="B34688" t="str">
        <f>HYPERLINK("https://twitter.com/__hii2305","@__hii2305")</f>
        <v>@__hii2305</v>
      </c>
      <c r="C34688" t="s">
        <v>5168</v>
      </c>
      <c r="D34688">
        <v>411</v>
      </c>
      <c r="E34688">
        <v>0</v>
      </c>
      <c r="F34688">
        <v>455</v>
      </c>
    </row>
    <row r="34689" spans="1:6" ht="12.75">
      <c r="A34689" s="2">
        <v>43875.33965277778</v>
      </c>
      <c r="B34689" t="str">
        <f>HYPERLINK("https://twitter.com/chainbubble","@chainbubble")</f>
        <v>@chainbubble</v>
      </c>
      <c r="C34689" t="s">
        <v>5168</v>
      </c>
      <c r="D34689">
        <v>411</v>
      </c>
      <c r="E34689">
        <v>0</v>
      </c>
      <c r="F34689">
        <v>472</v>
      </c>
    </row>
    <row r="34690" spans="1:6" ht="12.75">
      <c r="A34690" s="2">
        <v>43875.339641203704</v>
      </c>
      <c r="B34690" t="str">
        <f>HYPERLINK("https://twitter.com/ISIS_Balik_NO","@ISIS_Balik_NO")</f>
        <v>@ISIS_Balik_NO</v>
      </c>
      <c r="C34690" t="s">
        <v>14460</v>
      </c>
      <c r="D34690">
        <v>85</v>
      </c>
      <c r="E34690">
        <v>0</v>
      </c>
      <c r="F34690">
        <v>5890</v>
      </c>
    </row>
    <row r="34691" spans="1:6" ht="12.75">
      <c r="A34691" s="2">
        <v>43875.339479166665</v>
      </c>
      <c r="B34691" t="str">
        <f>HYPERLINK("https://twitter.com/leni_kuan","@leni_kuan")</f>
        <v>@leni_kuan</v>
      </c>
      <c r="C34691" t="s">
        <v>7803</v>
      </c>
      <c r="D34691">
        <v>301</v>
      </c>
      <c r="E34691">
        <v>0</v>
      </c>
      <c r="F34691">
        <v>664</v>
      </c>
    </row>
    <row r="34692" spans="1:6" ht="12.75">
      <c r="A34692" s="2">
        <v>43875.339479166665</v>
      </c>
      <c r="B34692" t="str">
        <f>HYPERLINK("https://twitter.com/idntimes","@idntimes")</f>
        <v>@idntimes</v>
      </c>
      <c r="C34692" t="s">
        <v>14461</v>
      </c>
      <c r="D34692">
        <v>1</v>
      </c>
      <c r="E34692">
        <v>0</v>
      </c>
      <c r="F34692">
        <v>392641</v>
      </c>
    </row>
    <row r="34693" spans="1:6" ht="12.75">
      <c r="A34693" s="2">
        <v>43875.339398148149</v>
      </c>
      <c r="B34693" t="str">
        <f>HYPERLINK("https://twitter.com/ujarNanda","@ujarNanda")</f>
        <v>@ujarNanda</v>
      </c>
      <c r="C34693" t="s">
        <v>14462</v>
      </c>
      <c r="D34693">
        <v>0</v>
      </c>
      <c r="E34693">
        <v>0</v>
      </c>
      <c r="F34693">
        <v>392</v>
      </c>
    </row>
    <row r="34694" spans="1:6" ht="12.75">
      <c r="A34694" s="2">
        <v>43875.339282407411</v>
      </c>
      <c r="B34694" t="str">
        <f>HYPERLINK("https://twitter.com/bukanpacarmail","@bukanpacarmail")</f>
        <v>@bukanpacarmail</v>
      </c>
      <c r="C34694" t="s">
        <v>2137</v>
      </c>
      <c r="D34694">
        <v>22</v>
      </c>
      <c r="E34694">
        <v>0</v>
      </c>
      <c r="F34694">
        <v>535</v>
      </c>
    </row>
    <row r="34695" spans="1:6" ht="12.75">
      <c r="A34695" s="2">
        <v>43875.339166666672</v>
      </c>
      <c r="B34695" t="str">
        <f>HYPERLINK("https://twitter.com/astilov3","@astilov3")</f>
        <v>@astilov3</v>
      </c>
      <c r="C34695" t="s">
        <v>10330</v>
      </c>
      <c r="D34695">
        <v>192</v>
      </c>
      <c r="E34695">
        <v>0</v>
      </c>
      <c r="F34695">
        <v>638</v>
      </c>
    </row>
    <row r="34696" spans="1:6" ht="12.75">
      <c r="A34696" s="2">
        <v>43875.339155092588</v>
      </c>
      <c r="B34696" t="str">
        <f>HYPERLINK("https://twitter.com/ElshintaDotcom","@ElshintaDotcom")</f>
        <v>@ElshintaDotcom</v>
      </c>
      <c r="C34696" t="s">
        <v>14463</v>
      </c>
      <c r="D34696">
        <v>0</v>
      </c>
      <c r="E34696">
        <v>0</v>
      </c>
      <c r="F34696">
        <v>27866</v>
      </c>
    </row>
    <row r="34697" spans="1:6" ht="12.75">
      <c r="A34697" s="2">
        <v>43875.339097222226</v>
      </c>
      <c r="B34697" t="str">
        <f>HYPERLINK("https://twitter.com/Adhanoii","@Adhanoii")</f>
        <v>@Adhanoii</v>
      </c>
      <c r="C34697" t="s">
        <v>8720</v>
      </c>
      <c r="D34697">
        <v>39</v>
      </c>
      <c r="E34697">
        <v>0</v>
      </c>
      <c r="F34697">
        <v>20</v>
      </c>
    </row>
    <row r="34698" spans="1:6" ht="12.75">
      <c r="A34698" s="2">
        <v>43875.339074074072</v>
      </c>
      <c r="B34698" t="str">
        <f>HYPERLINK("https://twitter.com/AnakKolong___","@AnakKolong___")</f>
        <v>@AnakKolong___</v>
      </c>
      <c r="C34698" t="s">
        <v>14346</v>
      </c>
      <c r="D34698">
        <v>5</v>
      </c>
      <c r="E34698">
        <v>0</v>
      </c>
      <c r="F34698">
        <v>5279</v>
      </c>
    </row>
    <row r="34699" spans="1:6" ht="12.75">
      <c r="A34699" s="2">
        <v>43875.339050925926</v>
      </c>
      <c r="B34699" t="str">
        <f>HYPERLINK("https://twitter.com/JhondoexlxG","@JhondoexlxG")</f>
        <v>@JhondoexlxG</v>
      </c>
      <c r="C34699" t="s">
        <v>13757</v>
      </c>
      <c r="D34699">
        <v>36</v>
      </c>
      <c r="E34699">
        <v>0</v>
      </c>
      <c r="F34699">
        <v>384</v>
      </c>
    </row>
    <row r="34700" spans="1:6" ht="12.75">
      <c r="A34700" s="2">
        <v>43875.339016203703</v>
      </c>
      <c r="B34700" t="str">
        <f>HYPERLINK("https://twitter.com/bpriady","@bpriady")</f>
        <v>@bpriady</v>
      </c>
      <c r="C34700" t="s">
        <v>12367</v>
      </c>
      <c r="D34700">
        <v>14</v>
      </c>
      <c r="E34700">
        <v>0</v>
      </c>
      <c r="F34700">
        <v>593</v>
      </c>
    </row>
    <row r="34701" spans="1:6" ht="12.75">
      <c r="A34701" s="2">
        <v>43875.33898148148</v>
      </c>
      <c r="B34701" t="str">
        <f>HYPERLINK("https://twitter.com/Ilmaa088","@Ilmaa088")</f>
        <v>@Ilmaa088</v>
      </c>
      <c r="C34701" t="s">
        <v>8233</v>
      </c>
      <c r="D34701">
        <v>287</v>
      </c>
      <c r="E34701">
        <v>0</v>
      </c>
      <c r="F34701">
        <v>361</v>
      </c>
    </row>
    <row r="34702" spans="1:6" ht="12.75">
      <c r="A34702" s="2">
        <v>43875.338726851856</v>
      </c>
      <c r="B34702" t="str">
        <f>HYPERLINK("https://twitter.com/rinachaidir","@rinachaidir")</f>
        <v>@rinachaidir</v>
      </c>
      <c r="C34702" t="s">
        <v>11071</v>
      </c>
      <c r="D34702">
        <v>56</v>
      </c>
      <c r="E34702">
        <v>0</v>
      </c>
      <c r="F34702">
        <v>82</v>
      </c>
    </row>
    <row r="34703" spans="1:6" ht="12.75">
      <c r="A34703" s="2">
        <v>43875.338680555556</v>
      </c>
      <c r="B34703" t="str">
        <f>HYPERLINK("https://twitter.com/f_purwatmo","@f_purwatmo")</f>
        <v>@f_purwatmo</v>
      </c>
      <c r="C34703" t="s">
        <v>14464</v>
      </c>
      <c r="D34703">
        <v>0</v>
      </c>
      <c r="E34703">
        <v>0</v>
      </c>
      <c r="F34703">
        <v>398</v>
      </c>
    </row>
    <row r="34704" spans="1:6" ht="12.75">
      <c r="A34704" s="2">
        <v>43875.33865740741</v>
      </c>
      <c r="B34704" t="str">
        <f>HYPERLINK("https://twitter.com/Jovanka_vanke","@Jovanka_vanke")</f>
        <v>@Jovanka_vanke</v>
      </c>
      <c r="C34704" t="s">
        <v>14228</v>
      </c>
      <c r="D34704">
        <v>17</v>
      </c>
      <c r="E34704">
        <v>0</v>
      </c>
      <c r="F34704">
        <v>836</v>
      </c>
    </row>
    <row r="34705" spans="1:6" ht="12.75">
      <c r="A34705" s="2">
        <v>43875.338634259257</v>
      </c>
      <c r="B34705" t="str">
        <f>HYPERLINK("https://twitter.com/LaRose78992426","@LaRose78992426")</f>
        <v>@LaRose78992426</v>
      </c>
      <c r="C34705" t="s">
        <v>10079</v>
      </c>
      <c r="D34705">
        <v>2</v>
      </c>
      <c r="E34705">
        <v>0</v>
      </c>
      <c r="F34705">
        <v>258</v>
      </c>
    </row>
    <row r="34706" spans="1:6" ht="12.75">
      <c r="A34706" s="2">
        <v>43875.33861111111</v>
      </c>
      <c r="B34706" t="str">
        <f>HYPERLINK("https://twitter.com/be1_lampung","@be1_lampung")</f>
        <v>@be1_lampung</v>
      </c>
      <c r="C34706" t="s">
        <v>14465</v>
      </c>
      <c r="D34706">
        <v>0</v>
      </c>
      <c r="E34706">
        <v>0</v>
      </c>
      <c r="F34706">
        <v>189</v>
      </c>
    </row>
    <row r="34707" spans="1:6" ht="12.75">
      <c r="A34707" s="2">
        <v>43875.338564814811</v>
      </c>
      <c r="B34707" t="str">
        <f>HYPERLINK("https://twitter.com/JaprakHaes2","@JaprakHaes2")</f>
        <v>@JaprakHaes2</v>
      </c>
      <c r="C34707" t="s">
        <v>14466</v>
      </c>
      <c r="D34707">
        <v>0</v>
      </c>
      <c r="E34707">
        <v>0</v>
      </c>
      <c r="F34707">
        <v>143</v>
      </c>
    </row>
    <row r="34708" spans="1:6" ht="12.75">
      <c r="A34708" s="2">
        <v>43875.338564814811</v>
      </c>
      <c r="B34708" t="str">
        <f>HYPERLINK("https://twitter.com/diannovie","@diannovie")</f>
        <v>@diannovie</v>
      </c>
      <c r="C34708" t="s">
        <v>2963</v>
      </c>
      <c r="D34708">
        <v>471</v>
      </c>
      <c r="E34708">
        <v>0</v>
      </c>
      <c r="F34708">
        <v>5004</v>
      </c>
    </row>
    <row r="34709" spans="1:6" ht="12.75">
      <c r="A34709" s="2">
        <v>43875.338530092587</v>
      </c>
      <c r="B34709" t="str">
        <f>HYPERLINK("https://twitter.com/ISIS_Balik_NO","@ISIS_Balik_NO")</f>
        <v>@ISIS_Balik_NO</v>
      </c>
      <c r="C34709" t="s">
        <v>14467</v>
      </c>
      <c r="D34709">
        <v>0</v>
      </c>
      <c r="E34709">
        <v>0</v>
      </c>
      <c r="F34709">
        <v>5890</v>
      </c>
    </row>
    <row r="34710" spans="1:6" ht="12.75">
      <c r="A34710" s="2">
        <v>43875.338518518518</v>
      </c>
      <c r="B34710" t="str">
        <f>HYPERLINK("https://twitter.com/baby_alien28","@baby_alien28")</f>
        <v>@baby_alien28</v>
      </c>
      <c r="C34710" t="s">
        <v>11467</v>
      </c>
      <c r="D34710">
        <v>2</v>
      </c>
      <c r="E34710">
        <v>0</v>
      </c>
      <c r="F34710">
        <v>3967</v>
      </c>
    </row>
    <row r="34711" spans="1:6" ht="12.75">
      <c r="A34711" s="2">
        <v>43875.338518518518</v>
      </c>
      <c r="B34711" t="str">
        <f>HYPERLINK("https://twitter.com/ccpsugiono","@ccpsugiono")</f>
        <v>@ccpsugiono</v>
      </c>
      <c r="C34711" t="s">
        <v>2963</v>
      </c>
      <c r="D34711">
        <v>471</v>
      </c>
      <c r="E34711">
        <v>0</v>
      </c>
      <c r="F34711">
        <v>644</v>
      </c>
    </row>
    <row r="34712" spans="1:6" ht="12.75">
      <c r="A34712" s="2">
        <v>43875.338506944448</v>
      </c>
      <c r="B34712" t="str">
        <f>HYPERLINK("https://twitter.com/elmira_alkha","@elmira_alkha")</f>
        <v>@elmira_alkha</v>
      </c>
      <c r="C34712" t="s">
        <v>14468</v>
      </c>
      <c r="D34712">
        <v>37</v>
      </c>
      <c r="E34712">
        <v>0</v>
      </c>
      <c r="F34712">
        <v>537</v>
      </c>
    </row>
    <row r="34713" spans="1:6" ht="12.75">
      <c r="A34713" s="2">
        <v>43875.338379629626</v>
      </c>
      <c r="B34713" t="str">
        <f>HYPERLINK("https://twitter.com/ISIS_Balik_NO","@ISIS_Balik_NO")</f>
        <v>@ISIS_Balik_NO</v>
      </c>
      <c r="C34713" t="s">
        <v>14469</v>
      </c>
      <c r="D34713">
        <v>14</v>
      </c>
      <c r="E34713">
        <v>0</v>
      </c>
      <c r="F34713">
        <v>5890</v>
      </c>
    </row>
    <row r="34714" spans="1:6" ht="12.75">
      <c r="A34714" s="2">
        <v>43875.338379629626</v>
      </c>
      <c r="B34714" t="str">
        <f>HYPERLINK("https://twitter.com/LestariYB","@LestariYB")</f>
        <v>@LestariYB</v>
      </c>
      <c r="C34714" t="s">
        <v>2963</v>
      </c>
      <c r="D34714">
        <v>471</v>
      </c>
      <c r="E34714">
        <v>0</v>
      </c>
      <c r="F34714">
        <v>11</v>
      </c>
    </row>
    <row r="34715" spans="1:6" ht="12.75">
      <c r="A34715" s="2">
        <v>43875.338310185187</v>
      </c>
      <c r="B34715" t="str">
        <f>HYPERLINK("https://twitter.com/LaRose78992426","@LaRose78992426")</f>
        <v>@LaRose78992426</v>
      </c>
      <c r="C34715" t="s">
        <v>10422</v>
      </c>
      <c r="D34715">
        <v>40</v>
      </c>
      <c r="E34715">
        <v>0</v>
      </c>
      <c r="F34715">
        <v>258</v>
      </c>
    </row>
    <row r="34716" spans="1:6" ht="12.75">
      <c r="A34716" s="2">
        <v>43875.338287037041</v>
      </c>
      <c r="B34716" t="str">
        <f>HYPERLINK("https://twitter.com/NIKOLAS_NAIBAHO","@NIKOLAS_NAIBAHO")</f>
        <v>@NIKOLAS_NAIBAHO</v>
      </c>
      <c r="C34716" t="s">
        <v>243</v>
      </c>
      <c r="D34716">
        <v>0</v>
      </c>
      <c r="E34716">
        <v>0</v>
      </c>
      <c r="F34716">
        <v>13041</v>
      </c>
    </row>
    <row r="34717" spans="1:6" ht="12.75">
      <c r="A34717" s="2">
        <v>43875.338229166664</v>
      </c>
      <c r="B34717" t="str">
        <f>HYPERLINK("https://twitter.com/Abankgera999","@Abankgera999")</f>
        <v>@Abankgera999</v>
      </c>
      <c r="C34717" t="s">
        <v>10032</v>
      </c>
      <c r="D34717">
        <v>15</v>
      </c>
      <c r="E34717">
        <v>0</v>
      </c>
      <c r="F34717">
        <v>493</v>
      </c>
    </row>
    <row r="34718" spans="1:6" ht="12.75">
      <c r="A34718" s="2">
        <v>43875.338124999995</v>
      </c>
      <c r="B34718" t="str">
        <f>HYPERLINK("https://twitter.com/Kenzu_KPTB","@Kenzu_KPTB")</f>
        <v>@Kenzu_KPTB</v>
      </c>
      <c r="C34718" t="s">
        <v>11322</v>
      </c>
      <c r="D34718">
        <v>67</v>
      </c>
      <c r="E34718">
        <v>0</v>
      </c>
      <c r="F34718">
        <v>1933</v>
      </c>
    </row>
    <row r="34719" spans="1:6" ht="12.75">
      <c r="A34719" s="2">
        <v>43875.338090277779</v>
      </c>
      <c r="B34719" t="str">
        <f>HYPERLINK("https://twitter.com/da_MA_bee_YAH","@da_MA_bee_YAH")</f>
        <v>@da_MA_bee_YAH</v>
      </c>
      <c r="C34719" t="s">
        <v>8881</v>
      </c>
      <c r="D34719">
        <v>254</v>
      </c>
      <c r="E34719">
        <v>0</v>
      </c>
      <c r="F34719">
        <v>275</v>
      </c>
    </row>
    <row r="34720" spans="1:6" ht="12.75">
      <c r="A34720" s="2">
        <v>43875.338055555556</v>
      </c>
      <c r="B34720" t="str">
        <f>HYPERLINK("https://twitter.com/OceSatria","@OceSatria")</f>
        <v>@OceSatria</v>
      </c>
      <c r="C34720" t="s">
        <v>14470</v>
      </c>
      <c r="D34720">
        <v>0</v>
      </c>
      <c r="E34720">
        <v>0</v>
      </c>
      <c r="F34720">
        <v>345</v>
      </c>
    </row>
    <row r="34721" spans="1:6" ht="12.75">
      <c r="A34721" s="2">
        <v>43875.337951388894</v>
      </c>
      <c r="B34721" t="str">
        <f>HYPERLINK("https://twitter.com/SahatMng","@SahatMng")</f>
        <v>@SahatMng</v>
      </c>
      <c r="C34721" t="s">
        <v>14471</v>
      </c>
      <c r="D34721">
        <v>0</v>
      </c>
      <c r="E34721">
        <v>0</v>
      </c>
      <c r="F34721">
        <v>8</v>
      </c>
    </row>
    <row r="34722" spans="1:6" ht="12.75">
      <c r="A34722" s="2">
        <v>43875.337812500002</v>
      </c>
      <c r="B34722" t="str">
        <f>HYPERLINK("https://twitter.com/Kenzu_KPTB","@Kenzu_KPTB")</f>
        <v>@Kenzu_KPTB</v>
      </c>
      <c r="C34722" t="s">
        <v>7373</v>
      </c>
      <c r="D34722">
        <v>62</v>
      </c>
      <c r="E34722">
        <v>0</v>
      </c>
      <c r="F34722">
        <v>1933</v>
      </c>
    </row>
    <row r="34723" spans="1:6" ht="12.75">
      <c r="A34723" s="2">
        <v>43875.337731481486</v>
      </c>
      <c r="B34723" t="str">
        <f>HYPERLINK("https://twitter.com/akaajii","@akaajii")</f>
        <v>@akaajii</v>
      </c>
      <c r="C34723" t="s">
        <v>13245</v>
      </c>
      <c r="D34723">
        <v>11</v>
      </c>
      <c r="E34723">
        <v>0</v>
      </c>
      <c r="F34723">
        <v>12</v>
      </c>
    </row>
    <row r="34724" spans="1:6" ht="12.75">
      <c r="A34724" s="2">
        <v>43875.337592592594</v>
      </c>
      <c r="B34724" t="str">
        <f>HYPERLINK("https://twitter.com/MochamadLoetfi4","@MochamadLoetfi4")</f>
        <v>@MochamadLoetfi4</v>
      </c>
      <c r="C34724" t="s">
        <v>10096</v>
      </c>
      <c r="D34724">
        <v>67</v>
      </c>
      <c r="E34724">
        <v>0</v>
      </c>
      <c r="F34724">
        <v>158</v>
      </c>
    </row>
    <row r="34725" spans="1:6" ht="12.75">
      <c r="A34725" s="2">
        <v>43875.337546296301</v>
      </c>
      <c r="B34725" t="str">
        <f>HYPERLINK("https://twitter.com/Joehan_d","@Joehan_d")</f>
        <v>@Joehan_d</v>
      </c>
      <c r="C34725" t="s">
        <v>14472</v>
      </c>
      <c r="D34725">
        <v>0</v>
      </c>
      <c r="E34725">
        <v>0</v>
      </c>
      <c r="F34725">
        <v>672</v>
      </c>
    </row>
    <row r="34726" spans="1:6" ht="12.75">
      <c r="A34726" s="2">
        <v>43875.337523148148</v>
      </c>
      <c r="B34726" t="str">
        <f>HYPERLINK("https://twitter.com/GamaelBen","@GamaelBen")</f>
        <v>@GamaelBen</v>
      </c>
      <c r="C34726" t="s">
        <v>14221</v>
      </c>
      <c r="D34726">
        <v>2</v>
      </c>
      <c r="E34726">
        <v>0</v>
      </c>
      <c r="F34726">
        <v>6244</v>
      </c>
    </row>
    <row r="34727" spans="1:6" ht="12.75">
      <c r="A34727" s="2">
        <v>43875.337418981479</v>
      </c>
      <c r="B34727" t="str">
        <f>HYPERLINK("https://twitter.com/Bnie18","@Bnie18")</f>
        <v>@Bnie18</v>
      </c>
      <c r="C34727" t="s">
        <v>2122</v>
      </c>
      <c r="D34727">
        <v>180</v>
      </c>
      <c r="E34727">
        <v>0</v>
      </c>
      <c r="F34727">
        <v>1632</v>
      </c>
    </row>
    <row r="34728" spans="1:6" ht="12.75">
      <c r="A34728" s="2">
        <v>43875.337384259255</v>
      </c>
      <c r="B34728" t="str">
        <f>HYPERLINK("https://twitter.com/amandaelviraa","@amandaelviraa")</f>
        <v>@amandaelviraa</v>
      </c>
      <c r="C34728" t="s">
        <v>9964</v>
      </c>
      <c r="D34728">
        <v>473</v>
      </c>
      <c r="E34728">
        <v>0</v>
      </c>
      <c r="F34728">
        <v>2592</v>
      </c>
    </row>
    <row r="34729" spans="1:6" ht="12.75">
      <c r="A34729" s="2">
        <v>43875.337384259255</v>
      </c>
      <c r="B34729" t="str">
        <f>HYPERLINK("https://twitter.com/aristo_flores","@aristo_flores")</f>
        <v>@aristo_flores</v>
      </c>
      <c r="C34729" t="s">
        <v>14473</v>
      </c>
      <c r="D34729">
        <v>0</v>
      </c>
      <c r="E34729">
        <v>0</v>
      </c>
      <c r="F34729">
        <v>1499</v>
      </c>
    </row>
    <row r="34730" spans="1:6" ht="12.75">
      <c r="A34730" s="2">
        <v>43875.337372685186</v>
      </c>
      <c r="B34730" t="str">
        <f>HYPERLINK("https://twitter.com/papadavid1982","@papadavid1982")</f>
        <v>@papadavid1982</v>
      </c>
      <c r="C34730" t="s">
        <v>10032</v>
      </c>
      <c r="D34730">
        <v>15</v>
      </c>
      <c r="E34730">
        <v>0</v>
      </c>
      <c r="F34730">
        <v>195</v>
      </c>
    </row>
    <row r="34731" spans="1:6" ht="12.75">
      <c r="A34731" s="2">
        <v>43875.337337962963</v>
      </c>
      <c r="B34731" t="str">
        <f>HYPERLINK("https://twitter.com/ElshintaDotcom","@ElshintaDotcom")</f>
        <v>@ElshintaDotcom</v>
      </c>
      <c r="C34731" t="s">
        <v>14463</v>
      </c>
      <c r="D34731">
        <v>0</v>
      </c>
      <c r="E34731">
        <v>0</v>
      </c>
      <c r="F34731">
        <v>27866</v>
      </c>
    </row>
    <row r="34732" spans="1:6" ht="12.75">
      <c r="A34732" s="2">
        <v>43875.337233796294</v>
      </c>
      <c r="B34732" t="str">
        <f>HYPERLINK("https://twitter.com/BadjaNuswantara","@BadjaNuswantara")</f>
        <v>@BadjaNuswantara</v>
      </c>
      <c r="C34732" t="s">
        <v>13482</v>
      </c>
      <c r="D34732">
        <v>1</v>
      </c>
      <c r="E34732">
        <v>0</v>
      </c>
      <c r="F34732">
        <v>42274</v>
      </c>
    </row>
    <row r="34733" spans="1:6" ht="12.75">
      <c r="A34733" s="2">
        <v>43875.337210648147</v>
      </c>
      <c r="B34733" t="str">
        <f>HYPERLINK("https://twitter.com/DJSoemaskaro2","@DJSoemaskaro2")</f>
        <v>@DJSoemaskaro2</v>
      </c>
      <c r="C34733" t="s">
        <v>2963</v>
      </c>
      <c r="D34733">
        <v>471</v>
      </c>
      <c r="E34733">
        <v>0</v>
      </c>
      <c r="F34733">
        <v>153</v>
      </c>
    </row>
    <row r="34734" spans="1:6" ht="12.75">
      <c r="A34734" s="2">
        <v>43875.337129629625</v>
      </c>
      <c r="B34734" t="str">
        <f>HYPERLINK("https://twitter.com/ajeeysaka","@ajeeysaka")</f>
        <v>@ajeeysaka</v>
      </c>
      <c r="C34734" t="s">
        <v>2963</v>
      </c>
      <c r="D34734">
        <v>471</v>
      </c>
      <c r="E34734">
        <v>0</v>
      </c>
      <c r="F34734">
        <v>742</v>
      </c>
    </row>
    <row r="34735" spans="1:6" ht="12.75">
      <c r="A34735" s="2">
        <v>43875.337106481486</v>
      </c>
      <c r="B34735" t="str">
        <f>HYPERLINK("https://twitter.com/ZainulA42038361","@ZainulA42038361")</f>
        <v>@ZainulA42038361</v>
      </c>
      <c r="C34735" t="s">
        <v>10190</v>
      </c>
      <c r="D34735">
        <v>18</v>
      </c>
      <c r="E34735">
        <v>0</v>
      </c>
      <c r="F34735">
        <v>280</v>
      </c>
    </row>
    <row r="34736" spans="1:6" ht="12.75">
      <c r="A34736" s="2">
        <v>43875.337083333332</v>
      </c>
      <c r="B34736" t="str">
        <f>HYPERLINK("https://twitter.com/freddyths","@freddyths")</f>
        <v>@freddyths</v>
      </c>
      <c r="C34736" t="s">
        <v>14474</v>
      </c>
      <c r="D34736">
        <v>0</v>
      </c>
      <c r="E34736">
        <v>0</v>
      </c>
      <c r="F34736">
        <v>393</v>
      </c>
    </row>
    <row r="34737" spans="1:6" ht="12.75">
      <c r="A34737" s="2">
        <v>43875.336898148147</v>
      </c>
      <c r="B34737" t="str">
        <f>HYPERLINK("https://twitter.com/mangkiman","@mangkiman")</f>
        <v>@mangkiman</v>
      </c>
      <c r="C34737" t="s">
        <v>14475</v>
      </c>
      <c r="D34737">
        <v>0</v>
      </c>
      <c r="E34737">
        <v>0</v>
      </c>
      <c r="F34737">
        <v>203</v>
      </c>
    </row>
    <row r="34738" spans="1:6" ht="12.75">
      <c r="A34738" s="2">
        <v>43875.336828703701</v>
      </c>
      <c r="B34738" t="str">
        <f>HYPERLINK("https://twitter.com/BadjaNuswantara","@BadjaNuswantara")</f>
        <v>@BadjaNuswantara</v>
      </c>
      <c r="C34738" t="s">
        <v>10079</v>
      </c>
      <c r="D34738">
        <v>2</v>
      </c>
      <c r="E34738">
        <v>0</v>
      </c>
      <c r="F34738">
        <v>42274</v>
      </c>
    </row>
    <row r="34739" spans="1:6" ht="12.75">
      <c r="A34739" s="2">
        <v>43875.336770833332</v>
      </c>
      <c r="B34739" t="str">
        <f>HYPERLINK("https://twitter.com/umay_patria","@umay_patria")</f>
        <v>@umay_patria</v>
      </c>
      <c r="C34739" t="s">
        <v>11121</v>
      </c>
      <c r="D34739">
        <v>11</v>
      </c>
      <c r="E34739">
        <v>0</v>
      </c>
      <c r="F34739">
        <v>1138</v>
      </c>
    </row>
    <row r="34740" spans="1:6" ht="12.75">
      <c r="A34740" s="2">
        <v>43875.336759259255</v>
      </c>
      <c r="B34740" t="str">
        <f>HYPERLINK("https://twitter.com/SellyNandya","@SellyNandya")</f>
        <v>@SellyNandya</v>
      </c>
      <c r="C34740" t="s">
        <v>14476</v>
      </c>
      <c r="D34740">
        <v>0</v>
      </c>
      <c r="E34740">
        <v>0</v>
      </c>
      <c r="F34740">
        <v>930</v>
      </c>
    </row>
    <row r="34741" spans="1:6" ht="12.75">
      <c r="A34741" s="2">
        <v>43875.336724537032</v>
      </c>
      <c r="B34741" t="str">
        <f>HYPERLINK("https://twitter.com/bpriady","@bpriady")</f>
        <v>@bpriady</v>
      </c>
      <c r="C34741" t="s">
        <v>14477</v>
      </c>
      <c r="D34741">
        <v>3</v>
      </c>
      <c r="E34741">
        <v>0</v>
      </c>
      <c r="F34741">
        <v>593</v>
      </c>
    </row>
    <row r="34742" spans="1:6" ht="12.75">
      <c r="A34742" s="2">
        <v>43875.336689814816</v>
      </c>
      <c r="B34742" t="str">
        <f>HYPERLINK("https://twitter.com/bandorobrojo","@bandorobrojo")</f>
        <v>@bandorobrojo</v>
      </c>
      <c r="C34742" t="s">
        <v>10096</v>
      </c>
      <c r="D34742">
        <v>67</v>
      </c>
      <c r="E34742">
        <v>0</v>
      </c>
      <c r="F34742">
        <v>676</v>
      </c>
    </row>
    <row r="34743" spans="1:6" ht="12.75">
      <c r="A34743" s="2">
        <v>43875.336678240739</v>
      </c>
      <c r="B34743" t="str">
        <f>HYPERLINK("https://twitter.com/dinimudrika","@dinimudrika")</f>
        <v>@dinimudrika</v>
      </c>
      <c r="C34743" t="s">
        <v>11449</v>
      </c>
      <c r="D34743">
        <v>10</v>
      </c>
      <c r="E34743">
        <v>0</v>
      </c>
      <c r="F34743">
        <v>1479</v>
      </c>
    </row>
    <row r="34744" spans="1:6" ht="12.75">
      <c r="A34744" s="2">
        <v>43875.336655092593</v>
      </c>
      <c r="B34744" t="str">
        <f>HYPERLINK("https://twitter.com/tariknapas","@tariknapas")</f>
        <v>@tariknapas</v>
      </c>
      <c r="C34744" t="s">
        <v>14478</v>
      </c>
      <c r="D34744">
        <v>0</v>
      </c>
      <c r="E34744">
        <v>0</v>
      </c>
      <c r="F34744">
        <v>272</v>
      </c>
    </row>
    <row r="34745" spans="1:6" ht="12.75">
      <c r="A34745" s="2">
        <v>43875.336643518516</v>
      </c>
      <c r="B34745" t="str">
        <f>HYPERLINK("https://twitter.com/EddySugama","@EddySugama")</f>
        <v>@EddySugama</v>
      </c>
      <c r="C34745" t="s">
        <v>14479</v>
      </c>
      <c r="D34745">
        <v>0</v>
      </c>
      <c r="E34745">
        <v>0</v>
      </c>
      <c r="F34745">
        <v>58</v>
      </c>
    </row>
    <row r="34746" spans="1:6" ht="12.75">
      <c r="A34746" s="2">
        <v>43875.336585648147</v>
      </c>
      <c r="B34746" t="str">
        <f>HYPERLINK("https://twitter.com/Ianarhas","@Ianarhas")</f>
        <v>@Ianarhas</v>
      </c>
      <c r="C34746" t="s">
        <v>9732</v>
      </c>
      <c r="D34746">
        <v>52</v>
      </c>
      <c r="E34746">
        <v>0</v>
      </c>
      <c r="F34746">
        <v>3584</v>
      </c>
    </row>
    <row r="34747" spans="1:6" ht="12.75">
      <c r="A34747" s="2">
        <v>43875.336585648147</v>
      </c>
      <c r="B34747" t="str">
        <f>HYPERLINK("https://twitter.com/Jovanka_vanke","@Jovanka_vanke")</f>
        <v>@Jovanka_vanke</v>
      </c>
      <c r="C34747" t="s">
        <v>14480</v>
      </c>
      <c r="D34747">
        <v>2</v>
      </c>
      <c r="E34747">
        <v>1</v>
      </c>
      <c r="F34747">
        <v>836</v>
      </c>
    </row>
    <row r="34748" spans="1:6" ht="12.75">
      <c r="A34748" s="2">
        <v>43875.336527777778</v>
      </c>
      <c r="B34748" t="str">
        <f>HYPERLINK("https://twitter.com/ib8ng","@ib8ng")</f>
        <v>@ib8ng</v>
      </c>
      <c r="C34748" t="s">
        <v>5168</v>
      </c>
      <c r="D34748">
        <v>411</v>
      </c>
      <c r="E34748">
        <v>0</v>
      </c>
      <c r="F34748">
        <v>615</v>
      </c>
    </row>
    <row r="34749" spans="1:6" ht="12.75">
      <c r="A34749" s="2">
        <v>43875.336493055554</v>
      </c>
      <c r="B34749" t="str">
        <f>HYPERLINK("https://twitter.com/gono_utomo","@gono_utomo")</f>
        <v>@gono_utomo</v>
      </c>
      <c r="C34749" t="s">
        <v>2963</v>
      </c>
      <c r="D34749">
        <v>471</v>
      </c>
      <c r="E34749">
        <v>0</v>
      </c>
      <c r="F34749">
        <v>73</v>
      </c>
    </row>
    <row r="34750" spans="1:6" ht="12.75">
      <c r="A34750" s="2">
        <v>43875.336446759262</v>
      </c>
      <c r="B34750" t="str">
        <f>HYPERLINK("https://twitter.com/LaRose78992426","@LaRose78992426")</f>
        <v>@LaRose78992426</v>
      </c>
      <c r="C34750" t="s">
        <v>10032</v>
      </c>
      <c r="D34750">
        <v>15</v>
      </c>
      <c r="E34750">
        <v>0</v>
      </c>
      <c r="F34750">
        <v>258</v>
      </c>
    </row>
    <row r="34751" spans="1:6" ht="12.75">
      <c r="A34751" s="2">
        <v>43875.336435185185</v>
      </c>
      <c r="B34751" t="str">
        <f>HYPERLINK("https://twitter.com/mimelva_su","@mimelva_su")</f>
        <v>@mimelva_su</v>
      </c>
      <c r="C34751" t="s">
        <v>14481</v>
      </c>
      <c r="D34751">
        <v>0</v>
      </c>
      <c r="E34751">
        <v>0</v>
      </c>
      <c r="F34751">
        <v>123</v>
      </c>
    </row>
    <row r="34752" spans="1:6" ht="12.75">
      <c r="A34752" s="2">
        <v>43875.336400462962</v>
      </c>
      <c r="B34752" t="str">
        <f t="shared" ref="B34752:B34753" si="400">HYPERLINK("https://twitter.com/ArgusProvocArt","@ArgusProvocArt")</f>
        <v>@ArgusProvocArt</v>
      </c>
      <c r="C34752" t="s">
        <v>14482</v>
      </c>
      <c r="D34752">
        <v>0</v>
      </c>
      <c r="E34752">
        <v>0</v>
      </c>
      <c r="F34752">
        <v>469</v>
      </c>
    </row>
    <row r="34753" spans="1:6" ht="12.75">
      <c r="A34753" s="2">
        <v>43875.336400462962</v>
      </c>
      <c r="B34753" t="str">
        <f t="shared" si="400"/>
        <v>@ArgusProvocArt</v>
      </c>
      <c r="C34753" t="s">
        <v>14483</v>
      </c>
      <c r="D34753">
        <v>0</v>
      </c>
      <c r="E34753">
        <v>0</v>
      </c>
      <c r="F34753">
        <v>469</v>
      </c>
    </row>
    <row r="34754" spans="1:6" ht="12.75">
      <c r="A34754" s="2">
        <v>43875.336284722223</v>
      </c>
      <c r="B34754" t="str">
        <f>HYPERLINK("https://twitter.com/HPeridia","@HPeridia")</f>
        <v>@HPeridia</v>
      </c>
      <c r="C34754" t="s">
        <v>2144</v>
      </c>
      <c r="D34754">
        <v>37</v>
      </c>
      <c r="E34754">
        <v>0</v>
      </c>
      <c r="F34754">
        <v>646</v>
      </c>
    </row>
    <row r="34755" spans="1:6" ht="12.75">
      <c r="A34755" s="2">
        <v>43875.33625</v>
      </c>
      <c r="B34755" t="str">
        <f>HYPERLINK("https://twitter.com/vita_AVP","@vita_AVP")</f>
        <v>@vita_AVP</v>
      </c>
      <c r="C34755" t="s">
        <v>2963</v>
      </c>
      <c r="D34755">
        <v>471</v>
      </c>
      <c r="E34755">
        <v>0</v>
      </c>
      <c r="F34755">
        <v>6066</v>
      </c>
    </row>
    <row r="34756" spans="1:6" ht="12.75">
      <c r="A34756" s="2">
        <v>43875.336226851854</v>
      </c>
      <c r="B34756" t="str">
        <f>HYPERLINK("https://twitter.com/hgberry","@hgberry")</f>
        <v>@hgberry</v>
      </c>
      <c r="C34756" t="s">
        <v>10526</v>
      </c>
      <c r="D34756">
        <v>115</v>
      </c>
      <c r="E34756">
        <v>0</v>
      </c>
      <c r="F34756">
        <v>1645</v>
      </c>
    </row>
    <row r="34757" spans="1:6" ht="12.75">
      <c r="A34757" s="2">
        <v>43875.336226851854</v>
      </c>
      <c r="B34757" t="str">
        <f>HYPERLINK("https://twitter.com/trenggong","@trenggong")</f>
        <v>@trenggong</v>
      </c>
      <c r="C34757" t="s">
        <v>10032</v>
      </c>
      <c r="D34757">
        <v>15</v>
      </c>
      <c r="E34757">
        <v>0</v>
      </c>
      <c r="F34757">
        <v>585</v>
      </c>
    </row>
    <row r="34758" spans="1:6" ht="12.75">
      <c r="A34758" s="2">
        <v>43875.336192129631</v>
      </c>
      <c r="B34758" t="str">
        <f>HYPERLINK("https://twitter.com/VikriHolics32","@VikriHolics32")</f>
        <v>@VikriHolics32</v>
      </c>
      <c r="C34758" t="s">
        <v>11167</v>
      </c>
      <c r="D34758">
        <v>151</v>
      </c>
      <c r="E34758">
        <v>0</v>
      </c>
      <c r="F34758">
        <v>429</v>
      </c>
    </row>
    <row r="34759" spans="1:6" ht="12.75">
      <c r="A34759" s="2">
        <v>43875.336157407408</v>
      </c>
      <c r="B34759" t="str">
        <f>HYPERLINK("https://twitter.com/curio_cherry","@curio_cherry")</f>
        <v>@curio_cherry</v>
      </c>
      <c r="C34759" t="s">
        <v>2444</v>
      </c>
      <c r="D34759">
        <v>67</v>
      </c>
      <c r="E34759">
        <v>0</v>
      </c>
      <c r="F34759">
        <v>273</v>
      </c>
    </row>
    <row r="34760" spans="1:6" ht="12.75">
      <c r="A34760" s="2">
        <v>43875.336018518516</v>
      </c>
      <c r="B34760" t="str">
        <f>HYPERLINK("https://twitter.com/isdar_za","@isdar_za")</f>
        <v>@isdar_za</v>
      </c>
      <c r="C34760" t="s">
        <v>10422</v>
      </c>
      <c r="D34760">
        <v>40</v>
      </c>
      <c r="E34760">
        <v>0</v>
      </c>
      <c r="F34760">
        <v>123</v>
      </c>
    </row>
    <row r="34761" spans="1:6" ht="12.75">
      <c r="A34761" s="2">
        <v>43875.335856481484</v>
      </c>
      <c r="B34761" t="str">
        <f>HYPERLINK("https://twitter.com/BatamPos","@BatamPos")</f>
        <v>@BatamPos</v>
      </c>
      <c r="C34761" t="s">
        <v>14484</v>
      </c>
      <c r="D34761">
        <v>0</v>
      </c>
      <c r="E34761">
        <v>0</v>
      </c>
      <c r="F34761">
        <v>67354</v>
      </c>
    </row>
    <row r="34762" spans="1:6" ht="12.75">
      <c r="A34762" s="2">
        <v>43875.335798611108</v>
      </c>
      <c r="B34762" t="str">
        <f>HYPERLINK("https://twitter.com/sabdopalon77","@sabdopalon77")</f>
        <v>@sabdopalon77</v>
      </c>
      <c r="C34762" t="s">
        <v>14485</v>
      </c>
      <c r="D34762">
        <v>0</v>
      </c>
      <c r="E34762">
        <v>0</v>
      </c>
      <c r="F34762">
        <v>680</v>
      </c>
    </row>
    <row r="34763" spans="1:6" ht="12.75">
      <c r="A34763" s="2">
        <v>43875.335682870369</v>
      </c>
      <c r="B34763" t="str">
        <f>HYPERLINK("https://twitter.com/Muluus_","@Muluus_")</f>
        <v>@Muluus_</v>
      </c>
      <c r="C34763" t="s">
        <v>10167</v>
      </c>
      <c r="D34763">
        <v>22</v>
      </c>
      <c r="E34763">
        <v>0</v>
      </c>
      <c r="F34763">
        <v>19</v>
      </c>
    </row>
    <row r="34764" spans="1:6" ht="12.75">
      <c r="A34764" s="2">
        <v>43875.335659722223</v>
      </c>
      <c r="B34764" t="str">
        <f>HYPERLINK("https://twitter.com/arief_rzkyp","@arief_rzkyp")</f>
        <v>@arief_rzkyp</v>
      </c>
      <c r="C34764" t="s">
        <v>9021</v>
      </c>
      <c r="D34764">
        <v>151</v>
      </c>
      <c r="E34764">
        <v>0</v>
      </c>
      <c r="F34764">
        <v>275</v>
      </c>
    </row>
    <row r="34765" spans="1:6" ht="12.75">
      <c r="A34765" s="2">
        <v>43875.335659722223</v>
      </c>
      <c r="B34765" t="str">
        <f>HYPERLINK("https://twitter.com/aneminue","@aneminue")</f>
        <v>@aneminue</v>
      </c>
      <c r="C34765" t="s">
        <v>5168</v>
      </c>
      <c r="D34765">
        <v>411</v>
      </c>
      <c r="E34765">
        <v>0</v>
      </c>
      <c r="F34765">
        <v>722</v>
      </c>
    </row>
    <row r="34766" spans="1:6" ht="12.75">
      <c r="A34766" s="2">
        <v>43875.335636574076</v>
      </c>
      <c r="B34766" t="str">
        <f>HYPERLINK("https://twitter.com/GamaelBen","@GamaelBen")</f>
        <v>@GamaelBen</v>
      </c>
      <c r="C34766" t="s">
        <v>14486</v>
      </c>
      <c r="D34766">
        <v>1</v>
      </c>
      <c r="E34766">
        <v>0</v>
      </c>
      <c r="F34766">
        <v>6244</v>
      </c>
    </row>
    <row r="34767" spans="1:6" ht="12.75">
      <c r="A34767" s="2">
        <v>43875.335636574076</v>
      </c>
      <c r="B34767" t="str">
        <f>HYPERLINK("https://twitter.com/Yuda25","@Yuda25")</f>
        <v>@Yuda25</v>
      </c>
      <c r="C34767" t="s">
        <v>2444</v>
      </c>
      <c r="D34767">
        <v>67</v>
      </c>
      <c r="E34767">
        <v>0</v>
      </c>
      <c r="F34767">
        <v>368</v>
      </c>
    </row>
    <row r="34768" spans="1:6" ht="12.75">
      <c r="A34768" s="2">
        <v>43875.335601851853</v>
      </c>
      <c r="B34768" t="str">
        <f>HYPERLINK("https://twitter.com/Gondrong_Rizki","@Gondrong_Rizki")</f>
        <v>@Gondrong_Rizki</v>
      </c>
      <c r="C34768" t="s">
        <v>14487</v>
      </c>
      <c r="D34768">
        <v>1</v>
      </c>
      <c r="E34768">
        <v>4</v>
      </c>
      <c r="F34768">
        <v>1286</v>
      </c>
    </row>
    <row r="34769" spans="1:6" ht="12.75">
      <c r="A34769" s="2">
        <v>43875.335590277777</v>
      </c>
      <c r="B34769" t="str">
        <f>HYPERLINK("https://twitter.com/wizarhu","@wizarhu")</f>
        <v>@wizarhu</v>
      </c>
      <c r="C34769" t="s">
        <v>14488</v>
      </c>
      <c r="D34769">
        <v>0</v>
      </c>
      <c r="E34769">
        <v>0</v>
      </c>
      <c r="F34769">
        <v>1402</v>
      </c>
    </row>
    <row r="34770" spans="1:6" ht="12.75">
      <c r="A34770" s="2">
        <v>43875.335486111115</v>
      </c>
      <c r="B34770" t="str">
        <f>HYPERLINK("https://twitter.com/ANDRE_OCTA_","@ANDRE_OCTA_")</f>
        <v>@ANDRE_OCTA_</v>
      </c>
      <c r="C34770" t="s">
        <v>14489</v>
      </c>
      <c r="D34770">
        <v>1</v>
      </c>
      <c r="E34770">
        <v>0</v>
      </c>
      <c r="F34770">
        <v>16021</v>
      </c>
    </row>
    <row r="34771" spans="1:6" ht="12.75">
      <c r="A34771" s="2">
        <v>43875.335439814815</v>
      </c>
      <c r="B34771" t="str">
        <f>HYPERLINK("https://twitter.com/Keluar_Gua","@Keluar_Gua")</f>
        <v>@Keluar_Gua</v>
      </c>
      <c r="C34771" t="s">
        <v>14490</v>
      </c>
      <c r="D34771">
        <v>0</v>
      </c>
      <c r="E34771">
        <v>1</v>
      </c>
      <c r="F34771">
        <v>247</v>
      </c>
    </row>
    <row r="34772" spans="1:6" ht="12.75">
      <c r="A34772" s="2">
        <v>43875.335439814815</v>
      </c>
      <c r="B34772" t="str">
        <f>HYPERLINK("https://twitter.com/journey4017","@journey4017")</f>
        <v>@journey4017</v>
      </c>
      <c r="C34772" t="s">
        <v>10422</v>
      </c>
      <c r="D34772">
        <v>40</v>
      </c>
      <c r="E34772">
        <v>0</v>
      </c>
      <c r="F34772">
        <v>549</v>
      </c>
    </row>
    <row r="34773" spans="1:6" ht="12.75">
      <c r="A34773" s="2">
        <v>43875.335428240738</v>
      </c>
      <c r="B34773" t="str">
        <f>HYPERLINK("https://twitter.com/Keluar_Gua","@Keluar_Gua")</f>
        <v>@Keluar_Gua</v>
      </c>
      <c r="C34773" t="s">
        <v>14491</v>
      </c>
      <c r="D34773">
        <v>0</v>
      </c>
      <c r="E34773">
        <v>1</v>
      </c>
      <c r="F34773">
        <v>247</v>
      </c>
    </row>
    <row r="34774" spans="1:6" ht="12.75">
      <c r="A34774" s="2">
        <v>43875.335335648153</v>
      </c>
      <c r="B34774" t="str">
        <f>HYPERLINK("https://twitter.com/LisdiyantoR","@LisdiyantoR")</f>
        <v>@LisdiyantoR</v>
      </c>
      <c r="C34774" t="s">
        <v>8881</v>
      </c>
      <c r="D34774">
        <v>254</v>
      </c>
      <c r="E34774">
        <v>0</v>
      </c>
      <c r="F34774">
        <v>1250</v>
      </c>
    </row>
    <row r="34775" spans="1:6" ht="12.75">
      <c r="A34775" s="2">
        <v>43875.335312499999</v>
      </c>
      <c r="B34775" t="str">
        <f>HYPERLINK("https://twitter.com/GamaelBen","@GamaelBen")</f>
        <v>@GamaelBen</v>
      </c>
      <c r="C34775" t="s">
        <v>14492</v>
      </c>
      <c r="D34775">
        <v>1</v>
      </c>
      <c r="E34775">
        <v>0</v>
      </c>
      <c r="F34775">
        <v>6244</v>
      </c>
    </row>
    <row r="34776" spans="1:6" ht="12.75">
      <c r="A34776" s="2">
        <v>43875.335196759261</v>
      </c>
      <c r="B34776" t="str">
        <f>HYPERLINK("https://twitter.com/Yuda25","@Yuda25")</f>
        <v>@Yuda25</v>
      </c>
      <c r="C34776" t="s">
        <v>5168</v>
      </c>
      <c r="D34776">
        <v>411</v>
      </c>
      <c r="E34776">
        <v>0</v>
      </c>
      <c r="F34776">
        <v>368</v>
      </c>
    </row>
    <row r="34777" spans="1:6" ht="12.75">
      <c r="A34777" s="2">
        <v>43875.335173611107</v>
      </c>
      <c r="B34777" t="str">
        <f>HYPERLINK("https://twitter.com/innovesian","@innovesian")</f>
        <v>@innovesian</v>
      </c>
      <c r="C34777" t="s">
        <v>14493</v>
      </c>
      <c r="D34777">
        <v>1</v>
      </c>
      <c r="E34777">
        <v>2</v>
      </c>
      <c r="F34777">
        <v>31973</v>
      </c>
    </row>
    <row r="34778" spans="1:6" ht="12.75">
      <c r="A34778" s="2">
        <v>43875.335162037038</v>
      </c>
      <c r="B34778" t="str">
        <f>HYPERLINK("https://twitter.com/RahmanAkly","@RahmanAkly")</f>
        <v>@RahmanAkly</v>
      </c>
      <c r="C34778" t="s">
        <v>14494</v>
      </c>
      <c r="D34778">
        <v>0</v>
      </c>
      <c r="E34778">
        <v>0</v>
      </c>
      <c r="F34778">
        <v>478</v>
      </c>
    </row>
    <row r="34779" spans="1:6" ht="12.75">
      <c r="A34779" s="2">
        <v>43875.335162037038</v>
      </c>
      <c r="B34779" t="str">
        <f>HYPERLINK("https://twitter.com/SMBS_rio","@SMBS_rio")</f>
        <v>@SMBS_rio</v>
      </c>
      <c r="C34779" t="s">
        <v>10266</v>
      </c>
      <c r="D34779">
        <v>250</v>
      </c>
      <c r="E34779">
        <v>0</v>
      </c>
      <c r="F34779">
        <v>2152</v>
      </c>
    </row>
    <row r="34780" spans="1:6" ht="12.75">
      <c r="A34780" s="2">
        <v>43875.335150462968</v>
      </c>
      <c r="B34780" t="str">
        <f>HYPERLINK("https://twitter.com/DavidRuslie8","@DavidRuslie8")</f>
        <v>@DavidRuslie8</v>
      </c>
      <c r="C34780" t="s">
        <v>14495</v>
      </c>
      <c r="D34780">
        <v>1</v>
      </c>
      <c r="E34780">
        <v>0</v>
      </c>
      <c r="F34780">
        <v>917</v>
      </c>
    </row>
    <row r="34781" spans="1:6" ht="12.75">
      <c r="A34781" s="2">
        <v>43875.335150462968</v>
      </c>
      <c r="B34781" t="str">
        <f>HYPERLINK("https://twitter.com/Saefudi76926229","@Saefudi76926229")</f>
        <v>@Saefudi76926229</v>
      </c>
      <c r="C34781" t="s">
        <v>14496</v>
      </c>
      <c r="D34781">
        <v>1</v>
      </c>
      <c r="E34781">
        <v>4</v>
      </c>
      <c r="F34781">
        <v>697</v>
      </c>
    </row>
    <row r="34782" spans="1:6" ht="12.75">
      <c r="A34782" s="2">
        <v>43875.335115740745</v>
      </c>
      <c r="B34782" t="str">
        <f>HYPERLINK("https://twitter.com/__Ndaru__","@__Ndaru__")</f>
        <v>@__Ndaru__</v>
      </c>
      <c r="C34782" t="s">
        <v>14497</v>
      </c>
      <c r="D34782">
        <v>0</v>
      </c>
      <c r="E34782">
        <v>0</v>
      </c>
      <c r="F34782">
        <v>315</v>
      </c>
    </row>
    <row r="34783" spans="1:6" ht="12.75">
      <c r="A34783" s="2">
        <v>43875.335081018522</v>
      </c>
      <c r="B34783" t="str">
        <f>HYPERLINK("https://twitter.com/AniesSubianto","@AniesSubianto")</f>
        <v>@AniesSubianto</v>
      </c>
      <c r="C34783" t="s">
        <v>10032</v>
      </c>
      <c r="D34783">
        <v>15</v>
      </c>
      <c r="E34783">
        <v>0</v>
      </c>
      <c r="F34783">
        <v>190</v>
      </c>
    </row>
    <row r="34784" spans="1:6" ht="12.75">
      <c r="A34784" s="2">
        <v>43875.335034722222</v>
      </c>
      <c r="B34784" t="str">
        <f>HYPERLINK("https://twitter.com/riozulqarni","@riozulqarni")</f>
        <v>@riozulqarni</v>
      </c>
      <c r="C34784" t="s">
        <v>8233</v>
      </c>
      <c r="D34784">
        <v>287</v>
      </c>
      <c r="E34784">
        <v>0</v>
      </c>
      <c r="F34784">
        <v>18</v>
      </c>
    </row>
    <row r="34785" spans="1:6" ht="12.75">
      <c r="A34785" s="2">
        <v>43875.334918981476</v>
      </c>
      <c r="B34785" t="str">
        <f>HYPERLINK("https://twitter.com/stevansixciokre","@stevansixciokre")</f>
        <v>@stevansixciokre</v>
      </c>
      <c r="C34785" t="s">
        <v>2144</v>
      </c>
      <c r="D34785">
        <v>31</v>
      </c>
      <c r="E34785">
        <v>0</v>
      </c>
      <c r="F34785">
        <v>382</v>
      </c>
    </row>
    <row r="34786" spans="1:6" ht="12.75">
      <c r="A34786" s="2">
        <v>43875.33488425926</v>
      </c>
      <c r="B34786" t="str">
        <f>HYPERLINK("https://twitter.com/visitortwt1","@visitortwt1")</f>
        <v>@visitortwt1</v>
      </c>
      <c r="C34786" t="s">
        <v>2963</v>
      </c>
      <c r="D34786">
        <v>364</v>
      </c>
      <c r="E34786">
        <v>0</v>
      </c>
      <c r="F34786">
        <v>357</v>
      </c>
    </row>
    <row r="34787" spans="1:6" ht="12.75">
      <c r="A34787" s="2">
        <v>43875.334837962961</v>
      </c>
      <c r="B34787" t="str">
        <f>HYPERLINK("https://twitter.com/hildasarilesta1","@hildasarilesta1")</f>
        <v>@hildasarilesta1</v>
      </c>
      <c r="C34787" t="s">
        <v>13187</v>
      </c>
      <c r="D34787">
        <v>81</v>
      </c>
      <c r="E34787">
        <v>0</v>
      </c>
      <c r="F34787">
        <v>4066</v>
      </c>
    </row>
    <row r="34788" spans="1:6" ht="12.75">
      <c r="A34788" s="2">
        <v>43875.334826388891</v>
      </c>
      <c r="B34788" t="str">
        <f>HYPERLINK("https://twitter.com/AlaricLuthfy","@AlaricLuthfy")</f>
        <v>@AlaricLuthfy</v>
      </c>
      <c r="C34788" t="s">
        <v>14498</v>
      </c>
      <c r="D34788">
        <v>0</v>
      </c>
      <c r="E34788">
        <v>0</v>
      </c>
      <c r="F34788">
        <v>217</v>
      </c>
    </row>
    <row r="34789" spans="1:6" ht="12.75">
      <c r="A34789" s="2">
        <v>43875.334803240738</v>
      </c>
      <c r="B34789" t="str">
        <f>HYPERLINK("https://twitter.com/RizalTambunan6","@RizalTambunan6")</f>
        <v>@RizalTambunan6</v>
      </c>
      <c r="C34789" t="s">
        <v>2963</v>
      </c>
      <c r="D34789">
        <v>364</v>
      </c>
      <c r="E34789">
        <v>0</v>
      </c>
      <c r="F34789">
        <v>238</v>
      </c>
    </row>
    <row r="34790" spans="1:6" ht="12.75">
      <c r="A34790" s="2">
        <v>43875.334722222222</v>
      </c>
      <c r="B34790" t="str">
        <f>HYPERLINK("https://twitter.com/Andika_pmp","@Andika_pmp")</f>
        <v>@Andika_pmp</v>
      </c>
      <c r="C34790" t="s">
        <v>2963</v>
      </c>
      <c r="D34790">
        <v>364</v>
      </c>
      <c r="E34790">
        <v>0</v>
      </c>
      <c r="F34790">
        <v>111</v>
      </c>
    </row>
    <row r="34791" spans="1:6" ht="12.75">
      <c r="A34791" s="2">
        <v>43875.334710648152</v>
      </c>
      <c r="B34791" t="str">
        <f>HYPERLINK("https://twitter.com/mokhamadtoha2","@mokhamadtoha2")</f>
        <v>@mokhamadtoha2</v>
      </c>
      <c r="C34791" t="s">
        <v>14499</v>
      </c>
      <c r="D34791">
        <v>55</v>
      </c>
      <c r="E34791">
        <v>0</v>
      </c>
      <c r="F34791">
        <v>1382</v>
      </c>
    </row>
    <row r="34792" spans="1:6" ht="12.75">
      <c r="A34792" s="2">
        <v>43875.334710648152</v>
      </c>
      <c r="B34792" t="str">
        <f>HYPERLINK("https://twitter.com/Jamil_rl15","@Jamil_rl15")</f>
        <v>@Jamil_rl15</v>
      </c>
      <c r="C34792" t="s">
        <v>14500</v>
      </c>
      <c r="D34792">
        <v>0</v>
      </c>
      <c r="E34792">
        <v>0</v>
      </c>
      <c r="F34792">
        <v>5</v>
      </c>
    </row>
    <row r="34793" spans="1:6" ht="12.75">
      <c r="A34793" s="2">
        <v>43875.334652777776</v>
      </c>
      <c r="B34793" t="str">
        <f>HYPERLINK("https://twitter.com/GusbacheV","@GusbacheV")</f>
        <v>@GusbacheV</v>
      </c>
      <c r="C34793" t="s">
        <v>5168</v>
      </c>
      <c r="D34793">
        <v>369</v>
      </c>
      <c r="E34793">
        <v>0</v>
      </c>
      <c r="F34793">
        <v>4688</v>
      </c>
    </row>
    <row r="34794" spans="1:6" ht="12.75">
      <c r="A34794" s="2">
        <v>43875.334629629629</v>
      </c>
      <c r="B34794" t="str">
        <f>HYPERLINK("https://twitter.com/oka_vian","@oka_vian")</f>
        <v>@oka_vian</v>
      </c>
      <c r="C34794" t="s">
        <v>9947</v>
      </c>
      <c r="D34794">
        <v>313</v>
      </c>
      <c r="E34794">
        <v>0</v>
      </c>
      <c r="F34794">
        <v>20003</v>
      </c>
    </row>
    <row r="34795" spans="1:6" ht="12.75">
      <c r="A34795" s="2">
        <v>43875.334606481483</v>
      </c>
      <c r="B34795" t="str">
        <f>HYPERLINK("https://twitter.com/henishenixx","@henishenixx")</f>
        <v>@henishenixx</v>
      </c>
      <c r="C34795" t="s">
        <v>5168</v>
      </c>
      <c r="D34795">
        <v>369</v>
      </c>
      <c r="E34795">
        <v>0</v>
      </c>
      <c r="F34795">
        <v>50</v>
      </c>
    </row>
    <row r="34796" spans="1:6" ht="12.75">
      <c r="A34796" s="2">
        <v>43875.334560185191</v>
      </c>
      <c r="B34796" t="str">
        <f>HYPERLINK("https://twitter.com/nooniez15","@nooniez15")</f>
        <v>@nooniez15</v>
      </c>
      <c r="C34796" t="s">
        <v>12679</v>
      </c>
      <c r="D34796">
        <v>722</v>
      </c>
      <c r="E34796">
        <v>0</v>
      </c>
      <c r="F34796">
        <v>340</v>
      </c>
    </row>
    <row r="34797" spans="1:6" ht="12.75">
      <c r="A34797" s="2">
        <v>43875.334467592591</v>
      </c>
      <c r="B34797" t="str">
        <f>HYPERLINK("https://twitter.com/farajnassar_","@farajnassar_")</f>
        <v>@farajnassar_</v>
      </c>
      <c r="C34797" t="s">
        <v>14425</v>
      </c>
      <c r="D34797">
        <v>4</v>
      </c>
      <c r="E34797">
        <v>0</v>
      </c>
      <c r="F34797">
        <v>604</v>
      </c>
    </row>
    <row r="34798" spans="1:6" ht="12.75">
      <c r="A34798" s="2">
        <v>43875.334421296298</v>
      </c>
      <c r="B34798" t="str">
        <f>HYPERLINK("https://twitter.com/sfcbaretmerah","@sfcbaretmerah")</f>
        <v>@sfcbaretmerah</v>
      </c>
      <c r="C34798" t="s">
        <v>13471</v>
      </c>
      <c r="D34798">
        <v>4</v>
      </c>
      <c r="E34798">
        <v>0</v>
      </c>
      <c r="F34798">
        <v>131</v>
      </c>
    </row>
    <row r="34799" spans="1:6" ht="12.75">
      <c r="A34799" s="2">
        <v>43875.334386574075</v>
      </c>
      <c r="B34799" t="str">
        <f>HYPERLINK("https://twitter.com/IDN_Username","@IDN_Username")</f>
        <v>@IDN_Username</v>
      </c>
      <c r="C34799" t="s">
        <v>14501</v>
      </c>
      <c r="D34799">
        <v>0</v>
      </c>
      <c r="E34799">
        <v>0</v>
      </c>
      <c r="F34799">
        <v>132</v>
      </c>
    </row>
    <row r="34800" spans="1:6" ht="12.75">
      <c r="A34800" s="2">
        <v>43875.334363425922</v>
      </c>
      <c r="B34800" t="str">
        <f>HYPERLINK("https://twitter.com/wahhabicc_jabar","@wahhabicc_jabar")</f>
        <v>@wahhabicc_jabar</v>
      </c>
      <c r="C34800" t="s">
        <v>10422</v>
      </c>
      <c r="D34800">
        <v>23</v>
      </c>
      <c r="E34800">
        <v>0</v>
      </c>
      <c r="F34800">
        <v>30139</v>
      </c>
    </row>
    <row r="34801" spans="1:6" ht="12.75">
      <c r="A34801" s="2">
        <v>43875.334293981483</v>
      </c>
      <c r="B34801" t="str">
        <f>HYPERLINK("https://twitter.com/dyastamtam","@dyastamtam")</f>
        <v>@dyastamtam</v>
      </c>
      <c r="C34801" t="s">
        <v>9964</v>
      </c>
      <c r="D34801">
        <v>463</v>
      </c>
      <c r="E34801">
        <v>0</v>
      </c>
      <c r="F34801">
        <v>708</v>
      </c>
    </row>
    <row r="34802" spans="1:6" ht="12.75">
      <c r="A34802" s="2">
        <v>43875.334293981483</v>
      </c>
      <c r="B34802" t="str">
        <f>HYPERLINK("https://twitter.com/khong_cuan","@khong_cuan")</f>
        <v>@khong_cuan</v>
      </c>
      <c r="C34802" t="s">
        <v>11449</v>
      </c>
      <c r="D34802">
        <v>7</v>
      </c>
      <c r="E34802">
        <v>0</v>
      </c>
      <c r="F34802">
        <v>294</v>
      </c>
    </row>
    <row r="34803" spans="1:6" ht="12.75">
      <c r="A34803" s="2">
        <v>43875.334247685183</v>
      </c>
      <c r="B34803" t="str">
        <f>HYPERLINK("https://twitter.com/Defree","@Defree")</f>
        <v>@Defree</v>
      </c>
      <c r="C34803" t="s">
        <v>14502</v>
      </c>
      <c r="D34803">
        <v>0</v>
      </c>
      <c r="E34803">
        <v>0</v>
      </c>
      <c r="F34803">
        <v>204</v>
      </c>
    </row>
    <row r="34804" spans="1:6" ht="12.75">
      <c r="A34804" s="2">
        <v>43875.334189814814</v>
      </c>
      <c r="B34804" t="str">
        <f>HYPERLINK("https://twitter.com/elsa_rotua","@elsa_rotua")</f>
        <v>@elsa_rotua</v>
      </c>
      <c r="C34804" t="s">
        <v>617</v>
      </c>
      <c r="D34804">
        <v>2622</v>
      </c>
      <c r="E34804">
        <v>0</v>
      </c>
      <c r="F34804">
        <v>37</v>
      </c>
    </row>
    <row r="34805" spans="1:6" ht="12.75">
      <c r="A34805" s="2">
        <v>43875.334178240737</v>
      </c>
      <c r="B34805" t="str">
        <f>HYPERLINK("https://twitter.com/wangchuliching","@wangchuliching")</f>
        <v>@wangchuliching</v>
      </c>
      <c r="C34805" t="s">
        <v>8252</v>
      </c>
      <c r="D34805">
        <v>472</v>
      </c>
      <c r="E34805">
        <v>0</v>
      </c>
      <c r="F34805">
        <v>1252</v>
      </c>
    </row>
    <row r="34806" spans="1:6" ht="12.75">
      <c r="A34806" s="2">
        <v>43875.334166666667</v>
      </c>
      <c r="B34806" t="str">
        <f>HYPERLINK("https://twitter.com/vidalavidah","@vidalavidah")</f>
        <v>@vidalavidah</v>
      </c>
      <c r="C34806" t="s">
        <v>14503</v>
      </c>
      <c r="D34806">
        <v>0</v>
      </c>
      <c r="E34806">
        <v>0</v>
      </c>
      <c r="F34806">
        <v>167</v>
      </c>
    </row>
    <row r="34807" spans="1:6" ht="12.75">
      <c r="A34807" s="2">
        <v>43875.334143518514</v>
      </c>
      <c r="B34807" t="str">
        <f>HYPERLINK("https://twitter.com/Aq64987848","@Aq64987848")</f>
        <v>@Aq64987848</v>
      </c>
      <c r="C34807" t="s">
        <v>14504</v>
      </c>
      <c r="D34807">
        <v>0</v>
      </c>
      <c r="E34807">
        <v>0</v>
      </c>
      <c r="F34807">
        <v>130</v>
      </c>
    </row>
    <row r="34808" spans="1:6" ht="12.75">
      <c r="A34808" s="2">
        <v>43875.334108796298</v>
      </c>
      <c r="B34808" t="str">
        <f>HYPERLINK("https://twitter.com/hgberry","@hgberry")</f>
        <v>@hgberry</v>
      </c>
      <c r="C34808" t="s">
        <v>7803</v>
      </c>
      <c r="D34808">
        <v>296</v>
      </c>
      <c r="E34808">
        <v>0</v>
      </c>
      <c r="F34808">
        <v>1644</v>
      </c>
    </row>
    <row r="34809" spans="1:6" ht="12.75">
      <c r="A34809" s="2">
        <v>43875.334097222221</v>
      </c>
      <c r="B34809" t="str">
        <f>HYPERLINK("https://twitter.com/AnakKolong___","@AnakKolong___")</f>
        <v>@AnakKolong___</v>
      </c>
      <c r="C34809" t="s">
        <v>14262</v>
      </c>
      <c r="D34809">
        <v>1</v>
      </c>
      <c r="E34809">
        <v>0</v>
      </c>
      <c r="F34809">
        <v>5281</v>
      </c>
    </row>
    <row r="34810" spans="1:6" ht="12.75">
      <c r="A34810" s="2">
        <v>43875.334062499998</v>
      </c>
      <c r="B34810" t="str">
        <f>HYPERLINK("https://twitter.com/FahmiYusup10","@FahmiYusup10")</f>
        <v>@FahmiYusup10</v>
      </c>
      <c r="C34810" t="s">
        <v>9732</v>
      </c>
      <c r="D34810">
        <v>51</v>
      </c>
      <c r="E34810">
        <v>0</v>
      </c>
      <c r="F34810">
        <v>729</v>
      </c>
    </row>
    <row r="34811" spans="1:6" ht="12.75">
      <c r="A34811" s="2">
        <v>43875.334050925929</v>
      </c>
      <c r="B34811" t="str">
        <f>HYPERLINK("https://twitter.com/dean3th","@dean3th")</f>
        <v>@dean3th</v>
      </c>
      <c r="C34811" t="s">
        <v>14505</v>
      </c>
      <c r="D34811">
        <v>44</v>
      </c>
      <c r="E34811">
        <v>0</v>
      </c>
      <c r="F34811">
        <v>386</v>
      </c>
    </row>
    <row r="34812" spans="1:6" ht="12.75">
      <c r="A34812" s="2">
        <v>43875.334027777775</v>
      </c>
      <c r="B34812" t="str">
        <f>HYPERLINK("https://twitter.com/MataMataPolitik","@MataMataPolitik")</f>
        <v>@MataMataPolitik</v>
      </c>
      <c r="C34812" t="s">
        <v>14506</v>
      </c>
      <c r="D34812">
        <v>0</v>
      </c>
      <c r="E34812">
        <v>0</v>
      </c>
      <c r="F34812">
        <v>3734</v>
      </c>
    </row>
    <row r="34813" spans="1:6" ht="12.75">
      <c r="A34813" s="2">
        <v>43875.333969907406</v>
      </c>
      <c r="B34813" t="str">
        <f>HYPERLINK("https://twitter.com/Izznaq","@Izznaq")</f>
        <v>@Izznaq</v>
      </c>
      <c r="C34813" t="s">
        <v>2963</v>
      </c>
      <c r="D34813">
        <v>364</v>
      </c>
      <c r="E34813">
        <v>0</v>
      </c>
      <c r="F34813">
        <v>752</v>
      </c>
    </row>
    <row r="34814" spans="1:6" ht="12.75">
      <c r="A34814" s="2">
        <v>43875.333969907406</v>
      </c>
      <c r="B34814" t="str">
        <f>HYPERLINK("https://twitter.com/Firdausdaus079","@Firdausdaus079")</f>
        <v>@Firdausdaus079</v>
      </c>
      <c r="C34814" t="s">
        <v>2963</v>
      </c>
      <c r="D34814">
        <v>364</v>
      </c>
      <c r="E34814">
        <v>0</v>
      </c>
      <c r="F34814">
        <v>27</v>
      </c>
    </row>
    <row r="34815" spans="1:6" ht="12.75">
      <c r="A34815" s="2">
        <v>43875.333912037036</v>
      </c>
      <c r="B34815" t="str">
        <f>HYPERLINK("https://twitter.com/ismierossana","@ismierossana")</f>
        <v>@ismierossana</v>
      </c>
      <c r="C34815" t="s">
        <v>2963</v>
      </c>
      <c r="D34815">
        <v>364</v>
      </c>
      <c r="E34815">
        <v>0</v>
      </c>
      <c r="F34815">
        <v>146</v>
      </c>
    </row>
    <row r="34816" spans="1:6" ht="12.75">
      <c r="A34816" s="2">
        <v>43875.33384259259</v>
      </c>
      <c r="B34816" t="str">
        <f>HYPERLINK("https://twitter.com/incredibleber","@incredibleber")</f>
        <v>@incredibleber</v>
      </c>
      <c r="C34816" t="s">
        <v>11394</v>
      </c>
      <c r="D34816">
        <v>19</v>
      </c>
      <c r="E34816">
        <v>0</v>
      </c>
      <c r="F34816">
        <v>5474</v>
      </c>
    </row>
    <row r="34817" spans="1:6" ht="12.75">
      <c r="A34817" s="2">
        <v>43875.333703703705</v>
      </c>
      <c r="B34817" t="str">
        <f>HYPERLINK("https://twitter.com/ThywiWienwien","@ThywiWienwien")</f>
        <v>@ThywiWienwien</v>
      </c>
      <c r="C34817" t="s">
        <v>14507</v>
      </c>
      <c r="D34817">
        <v>0</v>
      </c>
      <c r="E34817">
        <v>0</v>
      </c>
      <c r="F34817">
        <v>108</v>
      </c>
    </row>
    <row r="34818" spans="1:6" ht="12.75">
      <c r="A34818" s="2">
        <v>43875.333692129629</v>
      </c>
      <c r="B34818" t="str">
        <f>HYPERLINK("https://twitter.com/iganptr","@iganptr")</f>
        <v>@iganptr</v>
      </c>
      <c r="C34818" t="s">
        <v>175</v>
      </c>
      <c r="D34818">
        <v>5220</v>
      </c>
      <c r="E34818">
        <v>0</v>
      </c>
      <c r="F34818">
        <v>1</v>
      </c>
    </row>
    <row r="34819" spans="1:6" ht="12.75">
      <c r="A34819" s="2">
        <v>43875.333645833336</v>
      </c>
      <c r="B34819" t="str">
        <f>HYPERLINK("https://twitter.com/sunan_darayi","@sunan_darayi")</f>
        <v>@sunan_darayi</v>
      </c>
      <c r="C34819" t="s">
        <v>10096</v>
      </c>
      <c r="D34819">
        <v>55</v>
      </c>
      <c r="E34819">
        <v>0</v>
      </c>
      <c r="F34819">
        <v>320</v>
      </c>
    </row>
    <row r="34820" spans="1:6" ht="12.75">
      <c r="A34820" s="2">
        <v>43875.333634259259</v>
      </c>
      <c r="B34820" t="str">
        <f>HYPERLINK("https://twitter.com/JokesOnUBats","@JokesOnUBats")</f>
        <v>@JokesOnUBats</v>
      </c>
      <c r="C34820" t="s">
        <v>14508</v>
      </c>
      <c r="D34820">
        <v>0</v>
      </c>
      <c r="E34820">
        <v>0</v>
      </c>
      <c r="F34820">
        <v>233</v>
      </c>
    </row>
    <row r="34821" spans="1:6" ht="12.75">
      <c r="A34821" s="2">
        <v>43875.33357638889</v>
      </c>
      <c r="B34821" t="str">
        <f>HYPERLINK("https://twitter.com/bobbyranggarez1","@bobbyranggarez1")</f>
        <v>@bobbyranggarez1</v>
      </c>
      <c r="C34821" t="s">
        <v>7390</v>
      </c>
      <c r="D34821">
        <v>78</v>
      </c>
      <c r="E34821">
        <v>0</v>
      </c>
      <c r="F34821">
        <v>21</v>
      </c>
    </row>
    <row r="34822" spans="1:6" ht="12.75">
      <c r="A34822" s="2">
        <v>43875.333518518513</v>
      </c>
      <c r="B34822" t="str">
        <f>HYPERLINK("https://twitter.com/ArilGuci","@ArilGuci")</f>
        <v>@ArilGuci</v>
      </c>
      <c r="C34822" t="s">
        <v>10407</v>
      </c>
      <c r="D34822">
        <v>27</v>
      </c>
      <c r="E34822">
        <v>0</v>
      </c>
      <c r="F34822">
        <v>304</v>
      </c>
    </row>
    <row r="34823" spans="1:6" ht="12.75">
      <c r="A34823" s="2">
        <v>43875.333414351851</v>
      </c>
      <c r="B34823" t="str">
        <f>HYPERLINK("https://twitter.com/muhnul123","@muhnul123")</f>
        <v>@muhnul123</v>
      </c>
      <c r="C34823" t="s">
        <v>10266</v>
      </c>
      <c r="D34823">
        <v>248</v>
      </c>
      <c r="E34823">
        <v>0</v>
      </c>
      <c r="F34823">
        <v>16</v>
      </c>
    </row>
    <row r="34824" spans="1:6" ht="12.75">
      <c r="A34824" s="2">
        <v>43875.333402777775</v>
      </c>
      <c r="B34824" t="str">
        <f>HYPERLINK("https://twitter.com/dinhdyn","@dinhdyn")</f>
        <v>@dinhdyn</v>
      </c>
      <c r="C34824" t="s">
        <v>5168</v>
      </c>
      <c r="D34824">
        <v>369</v>
      </c>
      <c r="E34824">
        <v>0</v>
      </c>
      <c r="F34824">
        <v>230</v>
      </c>
    </row>
    <row r="34825" spans="1:6" ht="12.75">
      <c r="A34825" s="2">
        <v>43875.333368055552</v>
      </c>
      <c r="B34825" t="str">
        <f>HYPERLINK("https://twitter.com/BongSofie","@BongSofie")</f>
        <v>@BongSofie</v>
      </c>
      <c r="C34825" t="s">
        <v>14509</v>
      </c>
      <c r="D34825">
        <v>27</v>
      </c>
      <c r="E34825">
        <v>0</v>
      </c>
      <c r="F34825">
        <v>355</v>
      </c>
    </row>
    <row r="34826" spans="1:6" ht="12.75">
      <c r="A34826" s="2">
        <v>43875.333344907413</v>
      </c>
      <c r="B34826" t="str">
        <f>HYPERLINK("https://twitter.com/IndoEthio","@IndoEthio")</f>
        <v>@IndoEthio</v>
      </c>
      <c r="C34826" t="s">
        <v>2963</v>
      </c>
      <c r="D34826">
        <v>364</v>
      </c>
      <c r="E34826">
        <v>0</v>
      </c>
      <c r="F34826">
        <v>3572</v>
      </c>
    </row>
    <row r="34827" spans="1:6" ht="12.75">
      <c r="A34827" s="2">
        <v>43875.333333333328</v>
      </c>
      <c r="B34827" t="str">
        <f>HYPERLINK("https://twitter.com/SeputariNews","@SeputariNews")</f>
        <v>@SeputariNews</v>
      </c>
      <c r="C34827" t="s">
        <v>14510</v>
      </c>
      <c r="D34827">
        <v>0</v>
      </c>
      <c r="E34827">
        <v>0</v>
      </c>
      <c r="F34827">
        <v>438670</v>
      </c>
    </row>
    <row r="34828" spans="1:6" ht="12.75">
      <c r="A34828" s="2">
        <v>43875.333333333328</v>
      </c>
      <c r="B34828" t="str">
        <f>HYPERLINK("https://twitter.com/korantempo","@korantempo")</f>
        <v>@korantempo</v>
      </c>
      <c r="C34828" t="s">
        <v>7786</v>
      </c>
      <c r="D34828">
        <v>0</v>
      </c>
      <c r="E34828">
        <v>0</v>
      </c>
      <c r="F34828">
        <v>1745287</v>
      </c>
    </row>
    <row r="34829" spans="1:6" ht="12.75">
      <c r="A34829" s="2">
        <v>43875.333310185189</v>
      </c>
      <c r="B34829" t="str">
        <f>HYPERLINK("https://twitter.com/RahmanAkly","@RahmanAkly")</f>
        <v>@RahmanAkly</v>
      </c>
      <c r="C34829" t="s">
        <v>10422</v>
      </c>
      <c r="D34829">
        <v>23</v>
      </c>
      <c r="E34829">
        <v>0</v>
      </c>
      <c r="F34829">
        <v>478</v>
      </c>
    </row>
    <row r="34830" spans="1:6" ht="12.75">
      <c r="A34830" s="2">
        <v>43875.333240740743</v>
      </c>
      <c r="B34830" t="str">
        <f>HYPERLINK("https://twitter.com/JudinIman","@JudinIman")</f>
        <v>@JudinIman</v>
      </c>
      <c r="C34830" t="s">
        <v>2963</v>
      </c>
      <c r="D34830">
        <v>364</v>
      </c>
      <c r="E34830">
        <v>0</v>
      </c>
      <c r="F34830">
        <v>99</v>
      </c>
    </row>
    <row r="34831" spans="1:6" ht="12.75">
      <c r="A34831" s="2">
        <v>43875.33321759259</v>
      </c>
      <c r="B34831" t="str">
        <f>HYPERLINK("https://twitter.com/biekaap","@biekaap")</f>
        <v>@biekaap</v>
      </c>
      <c r="C34831" t="s">
        <v>2963</v>
      </c>
      <c r="D34831">
        <v>364</v>
      </c>
      <c r="E34831">
        <v>0</v>
      </c>
      <c r="F34831">
        <v>459</v>
      </c>
    </row>
    <row r="34832" spans="1:6" ht="12.75">
      <c r="A34832" s="2">
        <v>43875.333182870367</v>
      </c>
      <c r="B34832" t="str">
        <f>HYPERLINK("https://twitter.com/AminSiregar75","@AminSiregar75")</f>
        <v>@AminSiregar75</v>
      </c>
      <c r="C34832" t="s">
        <v>11954</v>
      </c>
      <c r="D34832">
        <v>45</v>
      </c>
      <c r="E34832">
        <v>0</v>
      </c>
      <c r="F34832">
        <v>2521</v>
      </c>
    </row>
    <row r="34833" spans="1:6" ht="12.75">
      <c r="A34833" s="2">
        <v>43875.333171296297</v>
      </c>
      <c r="B34833" t="str">
        <f>HYPERLINK("https://twitter.com/abdackerman","@abdackerman")</f>
        <v>@abdackerman</v>
      </c>
      <c r="C34833" t="s">
        <v>14511</v>
      </c>
      <c r="D34833">
        <v>0</v>
      </c>
      <c r="E34833">
        <v>0</v>
      </c>
      <c r="F34833">
        <v>207</v>
      </c>
    </row>
    <row r="34834" spans="1:6" ht="12.75">
      <c r="A34834" s="2">
        <v>43875.333113425921</v>
      </c>
      <c r="B34834" t="str">
        <f>HYPERLINK("https://twitter.com/wesperlok","@wesperlok")</f>
        <v>@wesperlok</v>
      </c>
      <c r="C34834" t="s">
        <v>14512</v>
      </c>
      <c r="D34834">
        <v>0</v>
      </c>
      <c r="E34834">
        <v>2</v>
      </c>
      <c r="F34834">
        <v>3365</v>
      </c>
    </row>
    <row r="34835" spans="1:6" ht="12.75">
      <c r="A34835" s="2">
        <v>43875.333113425921</v>
      </c>
      <c r="B34835" t="str">
        <f>HYPERLINK("https://twitter.com/dankimdantjm1","@dankimdantjm1")</f>
        <v>@dankimdantjm1</v>
      </c>
      <c r="C34835" t="s">
        <v>14513</v>
      </c>
      <c r="D34835">
        <v>0</v>
      </c>
      <c r="E34835">
        <v>1</v>
      </c>
      <c r="F34835">
        <v>114</v>
      </c>
    </row>
    <row r="34836" spans="1:6" ht="12.75">
      <c r="A34836" s="2">
        <v>43875.333090277782</v>
      </c>
      <c r="B34836" t="str">
        <f>HYPERLINK("https://twitter.com/ajicandra72","@ajicandra72")</f>
        <v>@ajicandra72</v>
      </c>
      <c r="C34836" t="s">
        <v>2963</v>
      </c>
      <c r="D34836">
        <v>364</v>
      </c>
      <c r="E34836">
        <v>0</v>
      </c>
      <c r="F34836">
        <v>337</v>
      </c>
    </row>
    <row r="34837" spans="1:6" ht="12.75">
      <c r="A34837" s="2">
        <v>43875.333055555559</v>
      </c>
      <c r="B34837" t="str">
        <f>HYPERLINK("https://twitter.com/AhmadHa36671561","@AhmadHa36671561")</f>
        <v>@AhmadHa36671561</v>
      </c>
      <c r="C34837" t="s">
        <v>2144</v>
      </c>
      <c r="D34837">
        <v>31</v>
      </c>
      <c r="E34837">
        <v>0</v>
      </c>
      <c r="F34837">
        <v>1</v>
      </c>
    </row>
    <row r="34838" spans="1:6" ht="12.75">
      <c r="A34838" s="2">
        <v>43875.333055555559</v>
      </c>
      <c r="B34838" t="str">
        <f>HYPERLINK("https://twitter.com/_lak6Umamil","@_lak6Umamil")</f>
        <v>@_lak6Umamil</v>
      </c>
      <c r="C34838" t="s">
        <v>2963</v>
      </c>
      <c r="D34838">
        <v>364</v>
      </c>
      <c r="E34838">
        <v>0</v>
      </c>
      <c r="F34838">
        <v>2948</v>
      </c>
    </row>
    <row r="34839" spans="1:6" ht="12.75">
      <c r="A34839" s="2">
        <v>43875.333055555559</v>
      </c>
      <c r="B34839" t="str">
        <f>HYPERLINK("https://twitter.com/Gandos_Akek","@Gandos_Akek")</f>
        <v>@Gandos_Akek</v>
      </c>
      <c r="C34839" t="s">
        <v>11071</v>
      </c>
      <c r="D34839">
        <v>52</v>
      </c>
      <c r="E34839">
        <v>0</v>
      </c>
      <c r="F34839">
        <v>3184</v>
      </c>
    </row>
    <row r="34840" spans="1:6" ht="12.75">
      <c r="A34840" s="2">
        <v>43875.332858796297</v>
      </c>
      <c r="B34840" t="str">
        <f>HYPERLINK("https://twitter.com/faridasiahaann","@faridasiahaann")</f>
        <v>@faridasiahaann</v>
      </c>
      <c r="C34840" t="s">
        <v>2963</v>
      </c>
      <c r="D34840">
        <v>364</v>
      </c>
      <c r="E34840">
        <v>0</v>
      </c>
      <c r="F34840">
        <v>22</v>
      </c>
    </row>
    <row r="34841" spans="1:6" ht="12.75">
      <c r="A34841" s="2">
        <v>43875.332719907412</v>
      </c>
      <c r="B34841" t="str">
        <f>HYPERLINK("https://twitter.com/izharchaniago","@izharchaniago")</f>
        <v>@izharchaniago</v>
      </c>
      <c r="C34841" t="s">
        <v>14514</v>
      </c>
      <c r="D34841">
        <v>0</v>
      </c>
      <c r="E34841">
        <v>0</v>
      </c>
      <c r="F34841">
        <v>1455</v>
      </c>
    </row>
    <row r="34842" spans="1:6" ht="12.75">
      <c r="A34842" s="2">
        <v>43875.332673611112</v>
      </c>
      <c r="B34842" t="str">
        <f>HYPERLINK("https://twitter.com/HonorerPejuang","@HonorerPejuang")</f>
        <v>@HonorerPejuang</v>
      </c>
      <c r="C34842" t="s">
        <v>13477</v>
      </c>
      <c r="D34842">
        <v>14</v>
      </c>
      <c r="E34842">
        <v>0</v>
      </c>
      <c r="F34842">
        <v>46</v>
      </c>
    </row>
    <row r="34843" spans="1:6" ht="12.75">
      <c r="A34843" s="2">
        <v>43875.332627314812</v>
      </c>
      <c r="B34843" t="str">
        <f>HYPERLINK("https://twitter.com/sleephead_","@sleephead_")</f>
        <v>@sleephead_</v>
      </c>
      <c r="C34843" t="s">
        <v>8382</v>
      </c>
      <c r="D34843">
        <v>269</v>
      </c>
      <c r="E34843">
        <v>0</v>
      </c>
      <c r="F34843">
        <v>3</v>
      </c>
    </row>
    <row r="34844" spans="1:6" ht="12.75">
      <c r="A34844" s="2">
        <v>43875.33258101852</v>
      </c>
      <c r="B34844" t="str">
        <f>HYPERLINK("https://twitter.com/AndiChTh","@AndiChTh")</f>
        <v>@AndiChTh</v>
      </c>
      <c r="C34844" t="s">
        <v>14515</v>
      </c>
      <c r="D34844">
        <v>0</v>
      </c>
      <c r="E34844">
        <v>0</v>
      </c>
      <c r="F34844">
        <v>85</v>
      </c>
    </row>
    <row r="34845" spans="1:6" ht="12.75">
      <c r="A34845" s="2">
        <v>43875.332569444443</v>
      </c>
      <c r="B34845" t="str">
        <f>HYPERLINK("https://twitter.com/LuffyRWan1","@LuffyRWan1")</f>
        <v>@LuffyRWan1</v>
      </c>
      <c r="C34845" t="s">
        <v>14516</v>
      </c>
      <c r="D34845">
        <v>0</v>
      </c>
      <c r="E34845">
        <v>0</v>
      </c>
      <c r="F34845">
        <v>12</v>
      </c>
    </row>
    <row r="34846" spans="1:6" ht="12.75">
      <c r="A34846" s="2">
        <v>43875.332557870366</v>
      </c>
      <c r="B34846" t="str">
        <f>HYPERLINK("https://twitter.com/de_ivanh","@de_ivanh")</f>
        <v>@de_ivanh</v>
      </c>
      <c r="C34846" t="s">
        <v>10330</v>
      </c>
      <c r="D34846">
        <v>188</v>
      </c>
      <c r="E34846">
        <v>0</v>
      </c>
      <c r="F34846">
        <v>80</v>
      </c>
    </row>
    <row r="34847" spans="1:6" ht="12.75">
      <c r="A34847" s="2">
        <v>43875.332523148143</v>
      </c>
      <c r="B34847" t="str">
        <f>HYPERLINK("https://twitter.com/visitortwt1","@visitortwt1")</f>
        <v>@visitortwt1</v>
      </c>
      <c r="C34847" t="s">
        <v>12671</v>
      </c>
      <c r="D34847">
        <v>38</v>
      </c>
      <c r="E34847">
        <v>0</v>
      </c>
      <c r="F34847">
        <v>357</v>
      </c>
    </row>
    <row r="34848" spans="1:6" ht="12.75">
      <c r="A34848" s="2">
        <v>43875.332500000004</v>
      </c>
      <c r="B34848" t="str">
        <f>HYPERLINK("https://twitter.com/sjkmerah","@sjkmerah")</f>
        <v>@sjkmerah</v>
      </c>
      <c r="C34848" t="s">
        <v>11449</v>
      </c>
      <c r="D34848">
        <v>7</v>
      </c>
      <c r="E34848">
        <v>0</v>
      </c>
      <c r="F34848">
        <v>15</v>
      </c>
    </row>
    <row r="34849" spans="1:6" ht="12.75">
      <c r="A34849" s="2">
        <v>43875.332500000004</v>
      </c>
      <c r="B34849" t="str">
        <f>HYPERLINK("https://twitter.com/den_bgs","@den_bgs")</f>
        <v>@den_bgs</v>
      </c>
      <c r="C34849" t="s">
        <v>8881</v>
      </c>
      <c r="D34849">
        <v>244</v>
      </c>
      <c r="E34849">
        <v>0</v>
      </c>
      <c r="F34849">
        <v>255</v>
      </c>
    </row>
    <row r="34850" spans="1:6" ht="12.75">
      <c r="A34850" s="2">
        <v>43875.332476851851</v>
      </c>
      <c r="B34850" t="str">
        <f>HYPERLINK("https://twitter.com/Tommy_Martanto","@Tommy_Martanto")</f>
        <v>@Tommy_Martanto</v>
      </c>
      <c r="C34850" t="s">
        <v>9113</v>
      </c>
      <c r="D34850">
        <v>238</v>
      </c>
      <c r="E34850">
        <v>0</v>
      </c>
      <c r="F34850">
        <v>38</v>
      </c>
    </row>
    <row r="34851" spans="1:6" ht="12.75">
      <c r="A34851" s="2">
        <v>43875.332442129627</v>
      </c>
      <c r="B34851" t="str">
        <f>HYPERLINK("https://twitter.com/faizjiprak","@faizjiprak")</f>
        <v>@faizjiprak</v>
      </c>
      <c r="C34851" t="s">
        <v>9021</v>
      </c>
      <c r="D34851">
        <v>135</v>
      </c>
      <c r="E34851">
        <v>0</v>
      </c>
      <c r="F34851">
        <v>63</v>
      </c>
    </row>
    <row r="34852" spans="1:6" ht="12.75">
      <c r="A34852" s="2">
        <v>43875.332361111112</v>
      </c>
      <c r="B34852" t="str">
        <f>HYPERLINK("https://twitter.com/leoyuwono","@leoyuwono")</f>
        <v>@leoyuwono</v>
      </c>
      <c r="C34852" t="s">
        <v>14517</v>
      </c>
      <c r="D34852">
        <v>0</v>
      </c>
      <c r="E34852">
        <v>0</v>
      </c>
      <c r="F34852">
        <v>262</v>
      </c>
    </row>
    <row r="34853" spans="1:6" ht="12.75">
      <c r="A34853" s="2">
        <v>43875.332326388889</v>
      </c>
      <c r="B34853" t="str">
        <f>HYPERLINK("https://twitter.com/CerminRusak","@CerminRusak")</f>
        <v>@CerminRusak</v>
      </c>
      <c r="C34853" t="s">
        <v>175</v>
      </c>
      <c r="D34853">
        <v>5220</v>
      </c>
      <c r="E34853">
        <v>0</v>
      </c>
      <c r="F34853">
        <v>7</v>
      </c>
    </row>
    <row r="34854" spans="1:6" ht="12.75">
      <c r="A34854" s="2">
        <v>43875.332175925927</v>
      </c>
      <c r="B34854" t="str">
        <f>HYPERLINK("https://twitter.com/_W_T_T_","@_W_T_T_")</f>
        <v>@_W_T_T_</v>
      </c>
      <c r="C34854" t="s">
        <v>14518</v>
      </c>
      <c r="D34854">
        <v>0</v>
      </c>
      <c r="E34854">
        <v>0</v>
      </c>
      <c r="F34854">
        <v>540</v>
      </c>
    </row>
    <row r="34855" spans="1:6" ht="12.75">
      <c r="A34855" s="2">
        <v>43875.33211805555</v>
      </c>
      <c r="B34855" t="str">
        <f>HYPERLINK("https://twitter.com/Widodo2017","@Widodo2017")</f>
        <v>@Widodo2017</v>
      </c>
      <c r="C34855" t="s">
        <v>10032</v>
      </c>
      <c r="D34855">
        <v>2</v>
      </c>
      <c r="E34855">
        <v>0</v>
      </c>
      <c r="F34855">
        <v>1262</v>
      </c>
    </row>
    <row r="34856" spans="1:6" ht="12.75">
      <c r="A34856" s="2">
        <v>43875.33211805555</v>
      </c>
      <c r="B34856" t="str">
        <f>HYPERLINK("https://twitter.com/AndySastrawina1","@AndySastrawina1")</f>
        <v>@AndySastrawina1</v>
      </c>
      <c r="C34856" t="s">
        <v>7390</v>
      </c>
      <c r="D34856">
        <v>78</v>
      </c>
      <c r="E34856">
        <v>0</v>
      </c>
      <c r="F34856">
        <v>1972</v>
      </c>
    </row>
    <row r="34857" spans="1:6" ht="12.75">
      <c r="A34857" s="2">
        <v>43875.331979166665</v>
      </c>
      <c r="B34857" t="str">
        <f>HYPERLINK("https://twitter.com/BaBaN_Elect","@BaBaN_Elect")</f>
        <v>@BaBaN_Elect</v>
      </c>
      <c r="C34857" t="s">
        <v>14519</v>
      </c>
      <c r="D34857">
        <v>0</v>
      </c>
      <c r="E34857">
        <v>0</v>
      </c>
      <c r="F34857">
        <v>7</v>
      </c>
    </row>
    <row r="34858" spans="1:6" ht="12.75">
      <c r="A34858" s="2">
        <v>43875.33184027778</v>
      </c>
      <c r="B34858" t="str">
        <f>HYPERLINK("https://twitter.com/AndySastrawina1","@AndySastrawina1")</f>
        <v>@AndySastrawina1</v>
      </c>
      <c r="C34858" t="s">
        <v>9113</v>
      </c>
      <c r="D34858">
        <v>238</v>
      </c>
      <c r="E34858">
        <v>0</v>
      </c>
      <c r="F34858">
        <v>1972</v>
      </c>
    </row>
    <row r="34859" spans="1:6" ht="12.75">
      <c r="A34859" s="2">
        <v>43875.331782407404</v>
      </c>
      <c r="B34859" t="str">
        <f>HYPERLINK("https://twitter.com/hoLLpath","@hoLLpath")</f>
        <v>@hoLLpath</v>
      </c>
      <c r="C34859" t="s">
        <v>14520</v>
      </c>
      <c r="D34859">
        <v>0</v>
      </c>
      <c r="E34859">
        <v>0</v>
      </c>
      <c r="F34859">
        <v>809</v>
      </c>
    </row>
    <row r="34860" spans="1:6" ht="12.75">
      <c r="A34860" s="2">
        <v>43875.331759259258</v>
      </c>
      <c r="B34860" t="str">
        <f>HYPERLINK("https://twitter.com/ujarNanda","@ujarNanda")</f>
        <v>@ujarNanda</v>
      </c>
      <c r="C34860" t="s">
        <v>14521</v>
      </c>
      <c r="D34860">
        <v>0</v>
      </c>
      <c r="E34860">
        <v>0</v>
      </c>
      <c r="F34860">
        <v>392</v>
      </c>
    </row>
    <row r="34861" spans="1:6" ht="12.75">
      <c r="A34861" s="2">
        <v>43875.331701388888</v>
      </c>
      <c r="B34861" t="str">
        <f>HYPERLINK("https://twitter.com/rkecil38373663","@rkecil38373663")</f>
        <v>@rkecil38373663</v>
      </c>
      <c r="C34861" t="s">
        <v>2963</v>
      </c>
      <c r="D34861">
        <v>364</v>
      </c>
      <c r="E34861">
        <v>0</v>
      </c>
      <c r="F34861">
        <v>489</v>
      </c>
    </row>
    <row r="34862" spans="1:6" ht="12.75">
      <c r="A34862" s="2">
        <v>43875.331701388888</v>
      </c>
      <c r="B34862" t="str">
        <f>HYPERLINK("https://twitter.com/JsDeyz","@JsDeyz")</f>
        <v>@JsDeyz</v>
      </c>
      <c r="C34862" t="s">
        <v>14522</v>
      </c>
      <c r="D34862">
        <v>0</v>
      </c>
      <c r="E34862">
        <v>0</v>
      </c>
      <c r="F34862">
        <v>4035</v>
      </c>
    </row>
    <row r="34863" spans="1:6" ht="12.75">
      <c r="A34863" s="2">
        <v>43875.331689814819</v>
      </c>
      <c r="B34863" t="str">
        <f>HYPERLINK("https://twitter.com/kaizenbasuki","@kaizenbasuki")</f>
        <v>@kaizenbasuki</v>
      </c>
      <c r="C34863" t="s">
        <v>14523</v>
      </c>
      <c r="D34863">
        <v>0</v>
      </c>
      <c r="E34863">
        <v>0</v>
      </c>
      <c r="F34863">
        <v>1</v>
      </c>
    </row>
    <row r="34864" spans="1:6" ht="12.75">
      <c r="A34864" s="2">
        <v>43875.331678240742</v>
      </c>
      <c r="B34864" t="str">
        <f>HYPERLINK("https://twitter.com/AndySastrawina1","@AndySastrawina1")</f>
        <v>@AndySastrawina1</v>
      </c>
      <c r="C34864" t="s">
        <v>9096</v>
      </c>
      <c r="D34864">
        <v>144</v>
      </c>
      <c r="E34864">
        <v>0</v>
      </c>
      <c r="F34864">
        <v>1972</v>
      </c>
    </row>
    <row r="34865" spans="1:6" ht="12.75">
      <c r="A34865" s="2">
        <v>43875.331608796296</v>
      </c>
      <c r="B34865" t="str">
        <f>HYPERLINK("https://twitter.com/leoyuwono","@leoyuwono")</f>
        <v>@leoyuwono</v>
      </c>
      <c r="C34865" t="s">
        <v>10422</v>
      </c>
      <c r="D34865">
        <v>23</v>
      </c>
      <c r="E34865">
        <v>0</v>
      </c>
      <c r="F34865">
        <v>262</v>
      </c>
    </row>
    <row r="34866" spans="1:6" ht="12.75">
      <c r="A34866" s="2">
        <v>43875.331608796296</v>
      </c>
      <c r="B34866" t="str">
        <f>HYPERLINK("https://twitter.com/MalikiMarvell","@MalikiMarvell")</f>
        <v>@MalikiMarvell</v>
      </c>
      <c r="C34866" t="s">
        <v>9096</v>
      </c>
      <c r="D34866">
        <v>144</v>
      </c>
      <c r="E34866">
        <v>0</v>
      </c>
      <c r="F34866">
        <v>1512</v>
      </c>
    </row>
    <row r="34867" spans="1:6" ht="12.75">
      <c r="A34867" s="2">
        <v>43875.331562499996</v>
      </c>
      <c r="B34867" t="str">
        <f>HYPERLINK("https://twitter.com/DaltonSembiring","@DaltonSembiring")</f>
        <v>@DaltonSembiring</v>
      </c>
      <c r="C34867" t="s">
        <v>14524</v>
      </c>
      <c r="D34867">
        <v>0</v>
      </c>
      <c r="E34867">
        <v>0</v>
      </c>
      <c r="F34867">
        <v>201</v>
      </c>
    </row>
    <row r="34868" spans="1:6" ht="12.75">
      <c r="A34868" s="2">
        <v>43875.331493055557</v>
      </c>
      <c r="B34868" t="str">
        <f>HYPERLINK("https://twitter.com/Masss_Wis","@Masss_Wis")</f>
        <v>@Masss_Wis</v>
      </c>
      <c r="C34868" t="s">
        <v>2134</v>
      </c>
      <c r="D34868">
        <v>977</v>
      </c>
      <c r="E34868">
        <v>0</v>
      </c>
      <c r="F34868">
        <v>1151</v>
      </c>
    </row>
    <row r="34869" spans="1:6" ht="12.75">
      <c r="A34869" s="2">
        <v>43875.33148148148</v>
      </c>
      <c r="B34869" t="str">
        <f>HYPERLINK("https://twitter.com/IwaHasyim","@IwaHasyim")</f>
        <v>@IwaHasyim</v>
      </c>
      <c r="C34869" t="s">
        <v>2963</v>
      </c>
      <c r="D34869">
        <v>364</v>
      </c>
      <c r="E34869">
        <v>0</v>
      </c>
      <c r="F34869">
        <v>1135</v>
      </c>
    </row>
    <row r="34870" spans="1:6" ht="12.75">
      <c r="A34870" s="2">
        <v>43875.331469907411</v>
      </c>
      <c r="B34870" t="str">
        <f>HYPERLINK("https://twitter.com/BungGarry","@BungGarry")</f>
        <v>@BungGarry</v>
      </c>
      <c r="C34870" t="s">
        <v>14525</v>
      </c>
      <c r="D34870">
        <v>0</v>
      </c>
      <c r="E34870">
        <v>0</v>
      </c>
      <c r="F34870">
        <v>140</v>
      </c>
    </row>
    <row r="34871" spans="1:6" ht="12.75">
      <c r="A34871" s="2">
        <v>43875.331458333334</v>
      </c>
      <c r="B34871" t="str">
        <f>HYPERLINK("https://twitter.com/ThywiWienwien","@ThywiWienwien")</f>
        <v>@ThywiWienwien</v>
      </c>
      <c r="C34871" t="s">
        <v>11425</v>
      </c>
      <c r="D34871">
        <v>183</v>
      </c>
      <c r="E34871">
        <v>0</v>
      </c>
      <c r="F34871">
        <v>108</v>
      </c>
    </row>
    <row r="34872" spans="1:6" ht="12.75">
      <c r="A34872" s="2">
        <v>43875.331412037034</v>
      </c>
      <c r="B34872" t="str">
        <f>HYPERLINK("https://twitter.com/Partodewo9","@Partodewo9")</f>
        <v>@Partodewo9</v>
      </c>
      <c r="C34872" t="s">
        <v>14526</v>
      </c>
      <c r="D34872">
        <v>0</v>
      </c>
      <c r="E34872">
        <v>0</v>
      </c>
      <c r="F34872">
        <v>262</v>
      </c>
    </row>
    <row r="34873" spans="1:6" ht="12.75">
      <c r="A34873" s="2">
        <v>43875.331354166672</v>
      </c>
      <c r="B34873" t="str">
        <f>HYPERLINK("https://twitter.com/won6_6unung","@won6_6unung")</f>
        <v>@won6_6unung</v>
      </c>
      <c r="C34873" t="s">
        <v>10859</v>
      </c>
      <c r="D34873">
        <v>27</v>
      </c>
      <c r="E34873">
        <v>0</v>
      </c>
      <c r="F34873">
        <v>3133</v>
      </c>
    </row>
    <row r="34874" spans="1:6" ht="12.75">
      <c r="A34874" s="2">
        <v>43875.331342592588</v>
      </c>
      <c r="B34874" t="str">
        <f>HYPERLINK("https://twitter.com/Budi201932","@Budi201932")</f>
        <v>@Budi201932</v>
      </c>
      <c r="C34874" t="s">
        <v>14527</v>
      </c>
      <c r="D34874">
        <v>0</v>
      </c>
      <c r="E34874">
        <v>0</v>
      </c>
      <c r="F34874">
        <v>86</v>
      </c>
    </row>
    <row r="34875" spans="1:6" ht="12.75">
      <c r="A34875" s="2">
        <v>43875.331319444449</v>
      </c>
      <c r="B34875" t="str">
        <f>HYPERLINK("https://twitter.com/azahrays","@azahrays")</f>
        <v>@azahrays</v>
      </c>
      <c r="C34875" t="s">
        <v>2444</v>
      </c>
      <c r="D34875">
        <v>63</v>
      </c>
      <c r="E34875">
        <v>0</v>
      </c>
      <c r="F34875">
        <v>116</v>
      </c>
    </row>
    <row r="34876" spans="1:6" ht="12.75">
      <c r="A34876" s="2">
        <v>43875.331296296295</v>
      </c>
      <c r="B34876" t="str">
        <f>HYPERLINK("https://twitter.com/sugiono_69","@sugiono_69")</f>
        <v>@sugiono_69</v>
      </c>
      <c r="C34876" t="s">
        <v>10422</v>
      </c>
      <c r="D34876">
        <v>23</v>
      </c>
      <c r="E34876">
        <v>0</v>
      </c>
      <c r="F34876">
        <v>672</v>
      </c>
    </row>
    <row r="34877" spans="1:6" ht="12.75">
      <c r="A34877" s="2">
        <v>43875.331238425926</v>
      </c>
      <c r="B34877" t="str">
        <f>HYPERLINK("https://twitter.com/juandagintin9","@juandagintin9")</f>
        <v>@juandagintin9</v>
      </c>
      <c r="C34877" t="s">
        <v>2963</v>
      </c>
      <c r="D34877">
        <v>364</v>
      </c>
      <c r="E34877">
        <v>0</v>
      </c>
      <c r="F34877">
        <v>153</v>
      </c>
    </row>
    <row r="34878" spans="1:6" ht="12.75">
      <c r="A34878" s="2">
        <v>43875.33121527778</v>
      </c>
      <c r="B34878" t="str">
        <f>HYPERLINK("https://twitter.com/anton_sukisno","@anton_sukisno")</f>
        <v>@anton_sukisno</v>
      </c>
      <c r="C34878" t="s">
        <v>14528</v>
      </c>
      <c r="D34878">
        <v>0</v>
      </c>
      <c r="E34878">
        <v>0</v>
      </c>
      <c r="F34878">
        <v>7</v>
      </c>
    </row>
    <row r="34879" spans="1:6" ht="12.75">
      <c r="A34879" s="2">
        <v>43875.331203703703</v>
      </c>
      <c r="B34879" t="str">
        <f>HYPERLINK("https://twitter.com/Hex_Black_Jhex","@Hex_Black_Jhex")</f>
        <v>@Hex_Black_Jhex</v>
      </c>
      <c r="C34879" t="s">
        <v>10407</v>
      </c>
      <c r="D34879">
        <v>27</v>
      </c>
      <c r="E34879">
        <v>0</v>
      </c>
      <c r="F34879">
        <v>1633</v>
      </c>
    </row>
    <row r="34880" spans="1:6" ht="12.75">
      <c r="A34880" s="2">
        <v>43875.331099537041</v>
      </c>
      <c r="B34880" t="str">
        <f>HYPERLINK("https://twitter.com/BlessedRivaldi","@BlessedRivaldi")</f>
        <v>@BlessedRivaldi</v>
      </c>
      <c r="C34880" t="s">
        <v>2111</v>
      </c>
      <c r="D34880">
        <v>165</v>
      </c>
      <c r="E34880">
        <v>0</v>
      </c>
      <c r="F34880">
        <v>171</v>
      </c>
    </row>
    <row r="34881" spans="1:6" ht="12.75">
      <c r="A34881" s="2">
        <v>43875.331087962964</v>
      </c>
      <c r="B34881" t="str">
        <f>HYPERLINK("https://twitter.com/Martinu23669859","@Martinu23669859")</f>
        <v>@Martinu23669859</v>
      </c>
      <c r="C34881" t="s">
        <v>14529</v>
      </c>
      <c r="D34881">
        <v>0</v>
      </c>
      <c r="E34881">
        <v>0</v>
      </c>
      <c r="F34881">
        <v>9</v>
      </c>
    </row>
    <row r="34882" spans="1:6" ht="12.75">
      <c r="A34882" s="2">
        <v>43875.331064814818</v>
      </c>
      <c r="B34882" t="str">
        <f>HYPERLINK("https://twitter.com/kusumovina","@kusumovina")</f>
        <v>@kusumovina</v>
      </c>
      <c r="C34882" t="s">
        <v>3038</v>
      </c>
      <c r="D34882">
        <v>103</v>
      </c>
      <c r="E34882">
        <v>0</v>
      </c>
      <c r="F34882">
        <v>156</v>
      </c>
    </row>
    <row r="34883" spans="1:6" ht="12.75">
      <c r="A34883" s="2">
        <v>43875.330972222218</v>
      </c>
      <c r="B34883" t="str">
        <f>HYPERLINK("https://twitter.com/kjriosaka","@kjriosaka")</f>
        <v>@kjriosaka</v>
      </c>
      <c r="C34883" t="s">
        <v>2444</v>
      </c>
      <c r="D34883">
        <v>63</v>
      </c>
      <c r="E34883">
        <v>0</v>
      </c>
      <c r="F34883">
        <v>1519</v>
      </c>
    </row>
    <row r="34884" spans="1:6" ht="12.75">
      <c r="A34884" s="2">
        <v>43875.330937499995</v>
      </c>
      <c r="B34884" t="str">
        <f>HYPERLINK("https://twitter.com/AndySastrawina1","@AndySastrawina1")</f>
        <v>@AndySastrawina1</v>
      </c>
      <c r="C34884" t="s">
        <v>10121</v>
      </c>
      <c r="D34884">
        <v>140</v>
      </c>
      <c r="E34884">
        <v>0</v>
      </c>
      <c r="F34884">
        <v>1972</v>
      </c>
    </row>
    <row r="34885" spans="1:6" ht="12.75">
      <c r="A34885" s="2">
        <v>43875.330914351856</v>
      </c>
      <c r="B34885" t="str">
        <f>HYPERLINK("https://twitter.com/kjriosaka","@kjriosaka")</f>
        <v>@kjriosaka</v>
      </c>
      <c r="C34885" t="s">
        <v>5168</v>
      </c>
      <c r="D34885">
        <v>369</v>
      </c>
      <c r="E34885">
        <v>0</v>
      </c>
      <c r="F34885">
        <v>1519</v>
      </c>
    </row>
    <row r="34886" spans="1:6" ht="12.75">
      <c r="A34886" s="2">
        <v>43875.33085648148</v>
      </c>
      <c r="B34886" t="str">
        <f>HYPERLINK("https://twitter.com/ethansstev","@ethansstev")</f>
        <v>@ethansstev</v>
      </c>
      <c r="C34886" t="s">
        <v>5168</v>
      </c>
      <c r="D34886">
        <v>369</v>
      </c>
      <c r="E34886">
        <v>0</v>
      </c>
      <c r="F34886">
        <v>861</v>
      </c>
    </row>
    <row r="34887" spans="1:6" ht="12.75">
      <c r="A34887" s="2">
        <v>43875.330821759257</v>
      </c>
      <c r="B34887" t="str">
        <f>HYPERLINK("https://twitter.com/Lukman_HARP","@Lukman_HARP")</f>
        <v>@Lukman_HARP</v>
      </c>
      <c r="C34887" t="s">
        <v>10422</v>
      </c>
      <c r="D34887">
        <v>23</v>
      </c>
      <c r="E34887">
        <v>0</v>
      </c>
      <c r="F34887">
        <v>1059</v>
      </c>
    </row>
    <row r="34888" spans="1:6" ht="12.75">
      <c r="A34888" s="2">
        <v>43875.33079861111</v>
      </c>
      <c r="B34888" t="str">
        <f>HYPERLINK("https://twitter.com/PJ18677614","@PJ18677614")</f>
        <v>@PJ18677614</v>
      </c>
      <c r="C34888" t="s">
        <v>2963</v>
      </c>
      <c r="D34888">
        <v>364</v>
      </c>
      <c r="E34888">
        <v>0</v>
      </c>
      <c r="F34888">
        <v>60</v>
      </c>
    </row>
    <row r="34889" spans="1:6" ht="12.75">
      <c r="A34889" s="2">
        <v>43875.330787037034</v>
      </c>
      <c r="B34889" t="str">
        <f>HYPERLINK("https://twitter.com/arifianti93","@arifianti93")</f>
        <v>@arifianti93</v>
      </c>
      <c r="C34889" t="s">
        <v>9538</v>
      </c>
      <c r="D34889">
        <v>87</v>
      </c>
      <c r="E34889">
        <v>0</v>
      </c>
      <c r="F34889">
        <v>374</v>
      </c>
    </row>
    <row r="34890" spans="1:6" ht="12.75">
      <c r="A34890" s="2">
        <v>43875.330787037034</v>
      </c>
      <c r="B34890" t="str">
        <f>HYPERLINK("https://twitter.com/BudiEmEm","@BudiEmEm")</f>
        <v>@BudiEmEm</v>
      </c>
      <c r="C34890" t="s">
        <v>2963</v>
      </c>
      <c r="D34890">
        <v>364</v>
      </c>
      <c r="E34890">
        <v>0</v>
      </c>
      <c r="F34890">
        <v>1318</v>
      </c>
    </row>
    <row r="34891" spans="1:6" ht="12.75">
      <c r="A34891" s="2">
        <v>43875.330763888887</v>
      </c>
      <c r="B34891" t="str">
        <f>HYPERLINK("https://twitter.com/saidimankartidj","@saidimankartidj")</f>
        <v>@saidimankartidj</v>
      </c>
      <c r="C34891" t="s">
        <v>2963</v>
      </c>
      <c r="D34891">
        <v>364</v>
      </c>
      <c r="E34891">
        <v>0</v>
      </c>
      <c r="F34891">
        <v>28</v>
      </c>
    </row>
    <row r="34892" spans="1:6" ht="12.75">
      <c r="A34892" s="2">
        <v>43875.330740740741</v>
      </c>
      <c r="B34892" t="str">
        <f>HYPERLINK("https://twitter.com/Hasan49336769","@Hasan49336769")</f>
        <v>@Hasan49336769</v>
      </c>
      <c r="C34892" t="s">
        <v>14530</v>
      </c>
      <c r="D34892">
        <v>0</v>
      </c>
      <c r="E34892">
        <v>0</v>
      </c>
      <c r="F34892">
        <v>162</v>
      </c>
    </row>
    <row r="34893" spans="1:6" ht="12.75">
      <c r="A34893" s="2">
        <v>43875.330717592587</v>
      </c>
      <c r="B34893" t="str">
        <f>HYPERLINK("https://twitter.com/vita_AVP","@vita_AVP")</f>
        <v>@vita_AVP</v>
      </c>
      <c r="C34893" t="s">
        <v>12515</v>
      </c>
      <c r="D34893">
        <v>1</v>
      </c>
      <c r="E34893">
        <v>0</v>
      </c>
      <c r="F34893">
        <v>6065</v>
      </c>
    </row>
    <row r="34894" spans="1:6" ht="12.75">
      <c r="A34894" s="2">
        <v>43875.330694444448</v>
      </c>
      <c r="B34894" t="str">
        <f>HYPERLINK("https://twitter.com/Endriyanson","@Endriyanson")</f>
        <v>@Endriyanson</v>
      </c>
      <c r="C34894" t="s">
        <v>2963</v>
      </c>
      <c r="D34894">
        <v>364</v>
      </c>
      <c r="E34894">
        <v>0</v>
      </c>
      <c r="F34894">
        <v>1277</v>
      </c>
    </row>
    <row r="34895" spans="1:6" ht="12.75">
      <c r="A34895" s="2">
        <v>43875.330671296295</v>
      </c>
      <c r="B34895" t="str">
        <f>HYPERLINK("https://twitter.com/kei_zt","@kei_zt")</f>
        <v>@kei_zt</v>
      </c>
      <c r="C34895" t="s">
        <v>2963</v>
      </c>
      <c r="D34895">
        <v>364</v>
      </c>
      <c r="E34895">
        <v>0</v>
      </c>
      <c r="F34895">
        <v>60</v>
      </c>
    </row>
    <row r="34896" spans="1:6" ht="12.75">
      <c r="A34896" s="2">
        <v>43875.330601851849</v>
      </c>
      <c r="B34896" t="str">
        <f>HYPERLINK("https://twitter.com/muispebrianto","@muispebrianto")</f>
        <v>@muispebrianto</v>
      </c>
      <c r="C34896" t="s">
        <v>2144</v>
      </c>
      <c r="D34896">
        <v>31</v>
      </c>
      <c r="E34896">
        <v>0</v>
      </c>
      <c r="F34896">
        <v>2776</v>
      </c>
    </row>
    <row r="34897" spans="1:6" ht="12.75">
      <c r="A34897" s="2">
        <v>43875.330578703702</v>
      </c>
      <c r="B34897" t="str">
        <f>HYPERLINK("https://twitter.com/_bekasinews","@_bekasinews")</f>
        <v>@_bekasinews</v>
      </c>
      <c r="C34897" t="s">
        <v>14531</v>
      </c>
      <c r="D34897">
        <v>0</v>
      </c>
      <c r="E34897">
        <v>0</v>
      </c>
      <c r="F34897">
        <v>204</v>
      </c>
    </row>
    <row r="34898" spans="1:6" ht="12.75">
      <c r="A34898" s="2">
        <v>43875.330578703702</v>
      </c>
      <c r="B34898" t="str">
        <f>HYPERLINK("https://twitter.com/arusbawah11","@arusbawah11")</f>
        <v>@arusbawah11</v>
      </c>
      <c r="C34898" t="s">
        <v>14532</v>
      </c>
      <c r="D34898">
        <v>0</v>
      </c>
      <c r="E34898">
        <v>0</v>
      </c>
      <c r="F34898">
        <v>53</v>
      </c>
    </row>
    <row r="34899" spans="1:6" ht="12.75">
      <c r="A34899" s="2">
        <v>43875.330555555556</v>
      </c>
      <c r="B34899" t="str">
        <f>HYPERLINK("https://twitter.com/mapanget777","@mapanget777")</f>
        <v>@mapanget777</v>
      </c>
      <c r="C34899" t="s">
        <v>2963</v>
      </c>
      <c r="D34899">
        <v>364</v>
      </c>
      <c r="E34899">
        <v>0</v>
      </c>
      <c r="F34899">
        <v>1103</v>
      </c>
    </row>
    <row r="34900" spans="1:6" ht="12.75">
      <c r="A34900" s="2">
        <v>43875.330555555556</v>
      </c>
      <c r="B34900" t="str">
        <f>HYPERLINK("https://twitter.com/KaimanaPoem","@KaimanaPoem")</f>
        <v>@KaimanaPoem</v>
      </c>
      <c r="C34900" t="s">
        <v>14533</v>
      </c>
      <c r="D34900">
        <v>0</v>
      </c>
      <c r="E34900">
        <v>0</v>
      </c>
      <c r="F34900">
        <v>1286</v>
      </c>
    </row>
    <row r="34901" spans="1:6" ht="12.75">
      <c r="A34901" s="2">
        <v>43875.33048611111</v>
      </c>
      <c r="B34901" t="str">
        <f>HYPERLINK("https://twitter.com/_nx__ty","@_nx__ty")</f>
        <v>@_nx__ty</v>
      </c>
      <c r="C34901" t="s">
        <v>5168</v>
      </c>
      <c r="D34901">
        <v>369</v>
      </c>
      <c r="E34901">
        <v>0</v>
      </c>
      <c r="F34901">
        <v>207</v>
      </c>
    </row>
    <row r="34902" spans="1:6" ht="12.75">
      <c r="A34902" s="2">
        <v>43875.33048611111</v>
      </c>
      <c r="B34902" t="str">
        <f>HYPERLINK("https://twitter.com/blameurselfish","@blameurselfish")</f>
        <v>@blameurselfish</v>
      </c>
      <c r="C34902" t="s">
        <v>2444</v>
      </c>
      <c r="D34902">
        <v>63</v>
      </c>
      <c r="E34902">
        <v>0</v>
      </c>
      <c r="F34902">
        <v>30</v>
      </c>
    </row>
    <row r="34903" spans="1:6" ht="12.75">
      <c r="A34903" s="2">
        <v>43875.330462962964</v>
      </c>
      <c r="B34903" t="str">
        <f>HYPERLINK("https://twitter.com/BungGarry","@BungGarry")</f>
        <v>@BungGarry</v>
      </c>
      <c r="C34903" t="s">
        <v>14534</v>
      </c>
      <c r="D34903">
        <v>1</v>
      </c>
      <c r="E34903">
        <v>2</v>
      </c>
      <c r="F34903">
        <v>140</v>
      </c>
    </row>
    <row r="34904" spans="1:6" ht="12.75">
      <c r="A34904" s="2">
        <v>43875.330381944441</v>
      </c>
      <c r="B34904" t="str">
        <f>HYPERLINK("https://twitter.com/won6_6unung","@won6_6unung")</f>
        <v>@won6_6unung</v>
      </c>
      <c r="C34904" t="s">
        <v>11425</v>
      </c>
      <c r="D34904">
        <v>183</v>
      </c>
      <c r="E34904">
        <v>0</v>
      </c>
      <c r="F34904">
        <v>3133</v>
      </c>
    </row>
    <row r="34905" spans="1:6" ht="12.75">
      <c r="A34905" s="2">
        <v>43875.330381944441</v>
      </c>
      <c r="B34905" t="str">
        <f>HYPERLINK("https://twitter.com/aintyournoir","@aintyournoir")</f>
        <v>@aintyournoir</v>
      </c>
      <c r="C34905" t="s">
        <v>2137</v>
      </c>
      <c r="D34905">
        <v>11</v>
      </c>
      <c r="E34905">
        <v>0</v>
      </c>
      <c r="F34905">
        <v>75</v>
      </c>
    </row>
    <row r="34906" spans="1:6" ht="12.75">
      <c r="A34906" s="2">
        <v>43875.330335648148</v>
      </c>
      <c r="B34906" t="str">
        <f>HYPERLINK("https://twitter.com/nadiyadwis1","@nadiyadwis1")</f>
        <v>@nadiyadwis1</v>
      </c>
      <c r="C34906" t="s">
        <v>14535</v>
      </c>
      <c r="D34906">
        <v>0</v>
      </c>
      <c r="E34906">
        <v>0</v>
      </c>
      <c r="F34906">
        <v>2</v>
      </c>
    </row>
    <row r="34907" spans="1:6" ht="12.75">
      <c r="A34907" s="2">
        <v>43875.330254629633</v>
      </c>
      <c r="B34907" t="str">
        <f>HYPERLINK("https://twitter.com/ajrvm3","@ajrvm3")</f>
        <v>@ajrvm3</v>
      </c>
      <c r="C34907" t="s">
        <v>12834</v>
      </c>
      <c r="D34907">
        <v>411</v>
      </c>
      <c r="E34907">
        <v>0</v>
      </c>
      <c r="F34907">
        <v>432</v>
      </c>
    </row>
    <row r="34908" spans="1:6" ht="12.75">
      <c r="A34908" s="2">
        <v>43875.330254629633</v>
      </c>
      <c r="B34908" t="str">
        <f>HYPERLINK("https://twitter.com/wow_keren","@wow_keren")</f>
        <v>@wow_keren</v>
      </c>
      <c r="C34908" t="s">
        <v>14536</v>
      </c>
      <c r="D34908">
        <v>0</v>
      </c>
      <c r="E34908">
        <v>0</v>
      </c>
      <c r="F34908">
        <v>32002</v>
      </c>
    </row>
    <row r="34909" spans="1:6" ht="12.75">
      <c r="A34909" s="2">
        <v>43875.330104166671</v>
      </c>
      <c r="B34909" t="str">
        <f>HYPERLINK("https://twitter.com/budhartono","@budhartono")</f>
        <v>@budhartono</v>
      </c>
      <c r="C34909" t="s">
        <v>7373</v>
      </c>
      <c r="D34909">
        <v>59</v>
      </c>
      <c r="E34909">
        <v>0</v>
      </c>
      <c r="F34909">
        <v>548</v>
      </c>
    </row>
    <row r="34910" spans="1:6" ht="12.75">
      <c r="A34910" s="2">
        <v>43875.330034722225</v>
      </c>
      <c r="B34910" t="str">
        <f>HYPERLINK("https://twitter.com/LieDetectorID","@LieDetectorID")</f>
        <v>@LieDetectorID</v>
      </c>
      <c r="C34910" t="s">
        <v>11425</v>
      </c>
      <c r="D34910">
        <v>183</v>
      </c>
      <c r="E34910">
        <v>0</v>
      </c>
      <c r="F34910">
        <v>10391</v>
      </c>
    </row>
    <row r="34911" spans="1:6" ht="12.75">
      <c r="A34911" s="2">
        <v>43875.329895833333</v>
      </c>
      <c r="B34911" t="str">
        <f>HYPERLINK("https://twitter.com/forddyce92","@forddyce92")</f>
        <v>@forddyce92</v>
      </c>
      <c r="C34911" t="s">
        <v>223</v>
      </c>
      <c r="D34911">
        <v>0</v>
      </c>
      <c r="E34911">
        <v>0</v>
      </c>
      <c r="F34911">
        <v>24</v>
      </c>
    </row>
    <row r="34912" spans="1:6" ht="12.75">
      <c r="A34912" s="2">
        <v>43875.329895833333</v>
      </c>
      <c r="B34912" t="str">
        <f>HYPERLINK("https://twitter.com/ferdibillah","@ferdibillah")</f>
        <v>@ferdibillah</v>
      </c>
      <c r="C34912" t="s">
        <v>3038</v>
      </c>
      <c r="D34912">
        <v>103</v>
      </c>
      <c r="E34912">
        <v>0</v>
      </c>
      <c r="F34912">
        <v>1208</v>
      </c>
    </row>
    <row r="34913" spans="1:6" ht="12.75">
      <c r="A34913" s="2">
        <v>43875.329884259263</v>
      </c>
      <c r="B34913" t="str">
        <f>HYPERLINK("https://twitter.com/LieDetectorID","@LieDetectorID")</f>
        <v>@LieDetectorID</v>
      </c>
      <c r="C34913" t="s">
        <v>12530</v>
      </c>
      <c r="D34913">
        <v>26</v>
      </c>
      <c r="E34913">
        <v>0</v>
      </c>
      <c r="F34913">
        <v>10391</v>
      </c>
    </row>
    <row r="34914" spans="1:6" ht="12.75">
      <c r="A34914" s="2">
        <v>43875.329768518517</v>
      </c>
      <c r="B34914" t="str">
        <f>HYPERLINK("https://twitter.com/AJudakusumah","@AJudakusumah")</f>
        <v>@AJudakusumah</v>
      </c>
      <c r="C34914" t="s">
        <v>2963</v>
      </c>
      <c r="D34914">
        <v>364</v>
      </c>
      <c r="E34914">
        <v>0</v>
      </c>
      <c r="F34914">
        <v>3070</v>
      </c>
    </row>
    <row r="34915" spans="1:6" ht="12.75">
      <c r="A34915" s="2">
        <v>43875.32975694444</v>
      </c>
      <c r="B34915" t="str">
        <f>HYPERLINK("https://twitter.com/SmurfGG","@SmurfGG")</f>
        <v>@SmurfGG</v>
      </c>
      <c r="C34915" t="s">
        <v>5168</v>
      </c>
      <c r="D34915">
        <v>369</v>
      </c>
      <c r="E34915">
        <v>0</v>
      </c>
      <c r="F34915">
        <v>877</v>
      </c>
    </row>
    <row r="34916" spans="1:6" ht="12.75">
      <c r="A34916" s="2">
        <v>43875.329733796301</v>
      </c>
      <c r="B34916" t="str">
        <f>HYPERLINK("https://twitter.com/baeksena_91","@baeksena_91")</f>
        <v>@baeksena_91</v>
      </c>
      <c r="C34916" t="s">
        <v>9993</v>
      </c>
      <c r="D34916">
        <v>2</v>
      </c>
      <c r="E34916">
        <v>0</v>
      </c>
      <c r="F34916">
        <v>304</v>
      </c>
    </row>
    <row r="34917" spans="1:6" ht="12.75">
      <c r="A34917" s="2">
        <v>43875.329629629632</v>
      </c>
      <c r="B34917" t="str">
        <f>HYPERLINK("https://twitter.com/AJudakusumah","@AJudakusumah")</f>
        <v>@AJudakusumah</v>
      </c>
      <c r="C34917" t="s">
        <v>2144</v>
      </c>
      <c r="D34917">
        <v>31</v>
      </c>
      <c r="E34917">
        <v>0</v>
      </c>
      <c r="F34917">
        <v>3070</v>
      </c>
    </row>
    <row r="34918" spans="1:6" ht="12.75">
      <c r="A34918" s="2">
        <v>43875.329618055555</v>
      </c>
      <c r="B34918" t="str">
        <f>HYPERLINK("https://twitter.com/Pejuangkeadil13","@Pejuangkeadil13")</f>
        <v>@Pejuangkeadil13</v>
      </c>
      <c r="C34918" t="s">
        <v>14537</v>
      </c>
      <c r="D34918">
        <v>0</v>
      </c>
      <c r="E34918">
        <v>0</v>
      </c>
      <c r="F34918">
        <v>7</v>
      </c>
    </row>
    <row r="34919" spans="1:6" ht="12.75">
      <c r="A34919" s="2">
        <v>43875.329606481479</v>
      </c>
      <c r="B34919" t="str">
        <f>HYPERLINK("https://twitter.com/dkarhita","@dkarhita")</f>
        <v>@dkarhita</v>
      </c>
      <c r="C34919" t="s">
        <v>14538</v>
      </c>
      <c r="D34919">
        <v>0</v>
      </c>
      <c r="E34919">
        <v>0</v>
      </c>
      <c r="F34919">
        <v>5535</v>
      </c>
    </row>
    <row r="34920" spans="1:6" ht="12.75">
      <c r="A34920" s="2">
        <v>43875.329560185186</v>
      </c>
      <c r="B34920" t="str">
        <f>HYPERLINK("https://twitter.com/OrangKoslet","@OrangKoslet")</f>
        <v>@OrangKoslet</v>
      </c>
      <c r="C34920" t="s">
        <v>14539</v>
      </c>
      <c r="D34920">
        <v>0</v>
      </c>
      <c r="E34920">
        <v>0</v>
      </c>
      <c r="F34920">
        <v>9361</v>
      </c>
    </row>
    <row r="34921" spans="1:6" ht="12.75">
      <c r="A34921" s="2">
        <v>43875.32949074074</v>
      </c>
      <c r="B34921" t="str">
        <f>HYPERLINK("https://twitter.com/mukegile001","@mukegile001")</f>
        <v>@mukegile001</v>
      </c>
      <c r="C34921" t="s">
        <v>14540</v>
      </c>
      <c r="D34921">
        <v>0</v>
      </c>
      <c r="E34921">
        <v>0</v>
      </c>
      <c r="F34921">
        <v>41</v>
      </c>
    </row>
    <row r="34922" spans="1:6" ht="12.75">
      <c r="A34922" s="2">
        <v>43875.32947916667</v>
      </c>
      <c r="B34922" t="str">
        <f>HYPERLINK("https://twitter.com/Ricky_Dr_Mwn","@Ricky_Dr_Mwn")</f>
        <v>@Ricky_Dr_Mwn</v>
      </c>
      <c r="C34922" t="s">
        <v>14541</v>
      </c>
      <c r="D34922">
        <v>6</v>
      </c>
      <c r="E34922">
        <v>0</v>
      </c>
      <c r="F34922">
        <v>276</v>
      </c>
    </row>
    <row r="34923" spans="1:6" ht="12.75">
      <c r="A34923" s="2">
        <v>43875.329409722224</v>
      </c>
      <c r="B34923" t="str">
        <f>HYPERLINK("https://twitter.com/ZhefanyaEvan","@ZhefanyaEvan")</f>
        <v>@ZhefanyaEvan</v>
      </c>
      <c r="C34923" t="s">
        <v>2144</v>
      </c>
      <c r="D34923">
        <v>31</v>
      </c>
      <c r="E34923">
        <v>0</v>
      </c>
      <c r="F34923">
        <v>9</v>
      </c>
    </row>
    <row r="34924" spans="1:6" ht="12.75">
      <c r="A34924" s="2">
        <v>43875.329328703709</v>
      </c>
      <c r="B34924" t="str">
        <f>HYPERLINK("https://twitter.com/D_Ones10","@D_Ones10")</f>
        <v>@D_Ones10</v>
      </c>
      <c r="C34924" t="s">
        <v>14542</v>
      </c>
      <c r="D34924">
        <v>0</v>
      </c>
      <c r="E34924">
        <v>0</v>
      </c>
      <c r="F34924">
        <v>1219</v>
      </c>
    </row>
    <row r="34925" spans="1:6" ht="12.75">
      <c r="A34925" s="2">
        <v>43875.329305555555</v>
      </c>
      <c r="B34925" t="str">
        <f>HYPERLINK("https://twitter.com/HUMAN_RES3","@HUMAN_RES3")</f>
        <v>@HUMAN_RES3</v>
      </c>
      <c r="C34925" t="s">
        <v>13477</v>
      </c>
      <c r="D34925">
        <v>14</v>
      </c>
      <c r="E34925">
        <v>0</v>
      </c>
      <c r="F34925">
        <v>64</v>
      </c>
    </row>
    <row r="34926" spans="1:6" ht="12.75">
      <c r="A34926" s="2">
        <v>43875.329270833332</v>
      </c>
      <c r="B34926" t="str">
        <f>HYPERLINK("https://twitter.com/Verbum_Ang","@Verbum_Ang")</f>
        <v>@Verbum_Ang</v>
      </c>
      <c r="C34926" t="s">
        <v>14543</v>
      </c>
      <c r="D34926">
        <v>0</v>
      </c>
      <c r="E34926">
        <v>0</v>
      </c>
      <c r="F34926">
        <v>1404</v>
      </c>
    </row>
    <row r="34927" spans="1:6" ht="12.75">
      <c r="A34927" s="2">
        <v>43875.329236111109</v>
      </c>
      <c r="B34927" t="str">
        <f>HYPERLINK("https://twitter.com/aya_ddt","@aya_ddt")</f>
        <v>@aya_ddt</v>
      </c>
      <c r="C34927" t="s">
        <v>11086</v>
      </c>
      <c r="D34927">
        <v>79</v>
      </c>
      <c r="E34927">
        <v>0</v>
      </c>
      <c r="F34927">
        <v>425</v>
      </c>
    </row>
    <row r="34928" spans="1:6" ht="12.75">
      <c r="A34928" s="2">
        <v>43875.329143518524</v>
      </c>
      <c r="B34928" t="str">
        <f>HYPERLINK("https://twitter.com/baeksena_91","@baeksena_91")</f>
        <v>@baeksena_91</v>
      </c>
      <c r="C34928" t="s">
        <v>14309</v>
      </c>
      <c r="D34928">
        <v>5</v>
      </c>
      <c r="E34928">
        <v>0</v>
      </c>
      <c r="F34928">
        <v>304</v>
      </c>
    </row>
    <row r="34929" spans="1:6" ht="12.75">
      <c r="A34929" s="2">
        <v>43875.329143518524</v>
      </c>
      <c r="B34929" t="str">
        <f>HYPERLINK("https://twitter.com/sleephead_","@sleephead_")</f>
        <v>@sleephead_</v>
      </c>
      <c r="C34929" t="s">
        <v>11460</v>
      </c>
      <c r="D34929">
        <v>7</v>
      </c>
      <c r="E34929">
        <v>0</v>
      </c>
      <c r="F34929">
        <v>3</v>
      </c>
    </row>
    <row r="34930" spans="1:6" ht="12.75">
      <c r="A34930" s="2">
        <v>43875.32913194444</v>
      </c>
      <c r="B34930" t="str">
        <f>HYPERLINK("https://twitter.com/AndySastrawina1","@AndySastrawina1")</f>
        <v>@AndySastrawina1</v>
      </c>
      <c r="C34930" t="s">
        <v>13187</v>
      </c>
      <c r="D34930">
        <v>81</v>
      </c>
      <c r="E34930">
        <v>0</v>
      </c>
      <c r="F34930">
        <v>1972</v>
      </c>
    </row>
    <row r="34931" spans="1:6" ht="12.75">
      <c r="A34931" s="2">
        <v>43875.328935185185</v>
      </c>
      <c r="B34931" t="str">
        <f>HYPERLINK("https://twitter.com/rossilacerda","@rossilacerda")</f>
        <v>@rossilacerda</v>
      </c>
      <c r="C34931" t="s">
        <v>14544</v>
      </c>
      <c r="D34931">
        <v>0</v>
      </c>
      <c r="E34931">
        <v>0</v>
      </c>
      <c r="F34931">
        <v>1127</v>
      </c>
    </row>
    <row r="34932" spans="1:6" ht="12.75">
      <c r="A34932" s="2">
        <v>43875.328935185185</v>
      </c>
      <c r="B34932" t="str">
        <f>HYPERLINK("https://twitter.com/aya_ddt","@aya_ddt")</f>
        <v>@aya_ddt</v>
      </c>
      <c r="C34932" t="s">
        <v>10319</v>
      </c>
      <c r="D34932">
        <v>140</v>
      </c>
      <c r="E34932">
        <v>0</v>
      </c>
      <c r="F34932">
        <v>425</v>
      </c>
    </row>
    <row r="34933" spans="1:6" ht="12.75">
      <c r="A34933" s="2">
        <v>43875.328900462962</v>
      </c>
      <c r="B34933" t="str">
        <f>HYPERLINK("https://twitter.com/Wahyu_27071992","@Wahyu_27071992")</f>
        <v>@Wahyu_27071992</v>
      </c>
      <c r="C34933" t="s">
        <v>8233</v>
      </c>
      <c r="D34933">
        <v>273</v>
      </c>
      <c r="E34933">
        <v>0</v>
      </c>
      <c r="F34933">
        <v>100</v>
      </c>
    </row>
    <row r="34934" spans="1:6" ht="12.75">
      <c r="A34934" s="2">
        <v>43875.328900462962</v>
      </c>
      <c r="B34934" t="str">
        <f>HYPERLINK("https://twitter.com/jepriadim2","@jepriadim2")</f>
        <v>@jepriadim2</v>
      </c>
      <c r="C34934" t="s">
        <v>2963</v>
      </c>
      <c r="D34934">
        <v>364</v>
      </c>
      <c r="E34934">
        <v>0</v>
      </c>
      <c r="F34934">
        <v>321</v>
      </c>
    </row>
    <row r="34935" spans="1:6" ht="12.75">
      <c r="A34935" s="2">
        <v>43875.328877314816</v>
      </c>
      <c r="B34935" t="str">
        <f>HYPERLINK("https://twitter.com/IndiraAnastasy1","@IndiraAnastasy1")</f>
        <v>@IndiraAnastasy1</v>
      </c>
      <c r="C34935" t="s">
        <v>14545</v>
      </c>
      <c r="D34935">
        <v>0</v>
      </c>
      <c r="E34935">
        <v>0</v>
      </c>
      <c r="F34935">
        <v>17</v>
      </c>
    </row>
    <row r="34936" spans="1:6" ht="12.75">
      <c r="A34936" s="2">
        <v>43875.32885416667</v>
      </c>
      <c r="B34936" t="str">
        <f>HYPERLINK("https://twitter.com/anton_sukisno","@anton_sukisno")</f>
        <v>@anton_sukisno</v>
      </c>
      <c r="C34936" t="s">
        <v>14546</v>
      </c>
      <c r="D34936">
        <v>0</v>
      </c>
      <c r="E34936">
        <v>0</v>
      </c>
      <c r="F34936">
        <v>7</v>
      </c>
    </row>
    <row r="34937" spans="1:6" ht="12.75">
      <c r="A34937" s="2">
        <v>43875.328819444447</v>
      </c>
      <c r="B34937" t="str">
        <f>HYPERLINK("https://twitter.com/inothegreat","@inothegreat")</f>
        <v>@inothegreat</v>
      </c>
      <c r="C34937" t="s">
        <v>10121</v>
      </c>
      <c r="D34937">
        <v>140</v>
      </c>
      <c r="E34937">
        <v>0</v>
      </c>
      <c r="F34937">
        <v>484</v>
      </c>
    </row>
    <row r="34938" spans="1:6" ht="12.75">
      <c r="A34938" s="2">
        <v>43875.328819444447</v>
      </c>
      <c r="B34938" t="str">
        <f>HYPERLINK("https://twitter.com/bobbyranggarez1","@bobbyranggarez1")</f>
        <v>@bobbyranggarez1</v>
      </c>
      <c r="C34938" t="s">
        <v>9113</v>
      </c>
      <c r="D34938">
        <v>238</v>
      </c>
      <c r="E34938">
        <v>0</v>
      </c>
      <c r="F34938">
        <v>21</v>
      </c>
    </row>
    <row r="34939" spans="1:6" ht="12.75">
      <c r="A34939" s="2">
        <v>43875.328750000001</v>
      </c>
      <c r="B34939" t="str">
        <f>HYPERLINK("https://twitter.com/kurniaindrt","@kurniaindrt")</f>
        <v>@kurniaindrt</v>
      </c>
      <c r="C34939" t="s">
        <v>2963</v>
      </c>
      <c r="D34939">
        <v>364</v>
      </c>
      <c r="E34939">
        <v>0</v>
      </c>
      <c r="F34939">
        <v>429</v>
      </c>
    </row>
    <row r="34940" spans="1:6" ht="12.75">
      <c r="A34940" s="2">
        <v>43875.328715277778</v>
      </c>
      <c r="B34940" t="str">
        <f>HYPERLINK("https://twitter.com/peni_me","@peni_me")</f>
        <v>@peni_me</v>
      </c>
      <c r="C34940" t="s">
        <v>14547</v>
      </c>
      <c r="D34940">
        <v>0</v>
      </c>
      <c r="E34940">
        <v>0</v>
      </c>
      <c r="F34940">
        <v>14256</v>
      </c>
    </row>
    <row r="34941" spans="1:6" ht="12.75">
      <c r="A34941" s="2">
        <v>43875.328703703708</v>
      </c>
      <c r="B34941" t="str">
        <f>HYPERLINK("https://twitter.com/TeniwutPaul","@TeniwutPaul")</f>
        <v>@TeniwutPaul</v>
      </c>
      <c r="C34941" t="s">
        <v>10531</v>
      </c>
      <c r="D34941">
        <v>93</v>
      </c>
      <c r="E34941">
        <v>0</v>
      </c>
      <c r="F34941">
        <v>39</v>
      </c>
    </row>
    <row r="34942" spans="1:6" ht="12.75">
      <c r="A34942" s="2">
        <v>43875.328680555554</v>
      </c>
      <c r="B34942" t="str">
        <f>HYPERLINK("https://twitter.com/won6_6unung","@won6_6unung")</f>
        <v>@won6_6unung</v>
      </c>
      <c r="C34942" t="s">
        <v>9096</v>
      </c>
      <c r="D34942">
        <v>144</v>
      </c>
      <c r="E34942">
        <v>0</v>
      </c>
      <c r="F34942">
        <v>3133</v>
      </c>
    </row>
    <row r="34943" spans="1:6" ht="12.75">
      <c r="A34943" s="2">
        <v>43875.328611111108</v>
      </c>
      <c r="B34943" t="str">
        <f>HYPERLINK("https://twitter.com/jsscaja","@jsscaja")</f>
        <v>@jsscaja</v>
      </c>
      <c r="C34943" t="s">
        <v>2963</v>
      </c>
      <c r="D34943">
        <v>364</v>
      </c>
      <c r="E34943">
        <v>0</v>
      </c>
      <c r="F34943">
        <v>30</v>
      </c>
    </row>
    <row r="34944" spans="1:6" ht="12.75">
      <c r="A34944" s="2">
        <v>43875.328587962962</v>
      </c>
      <c r="B34944" t="str">
        <f>HYPERLINK("https://twitter.com/leni_kuan","@leni_kuan")</f>
        <v>@leni_kuan</v>
      </c>
      <c r="C34944" t="s">
        <v>10330</v>
      </c>
      <c r="D34944">
        <v>188</v>
      </c>
      <c r="E34944">
        <v>0</v>
      </c>
      <c r="F34944">
        <v>662</v>
      </c>
    </row>
    <row r="34945" spans="1:6" ht="12.75">
      <c r="A34945" s="2">
        <v>43875.328564814816</v>
      </c>
      <c r="B34945" t="str">
        <f>HYPERLINK("https://twitter.com/nxro","@nxro")</f>
        <v>@nxro</v>
      </c>
      <c r="C34945" t="s">
        <v>5168</v>
      </c>
      <c r="D34945">
        <v>369</v>
      </c>
      <c r="E34945">
        <v>0</v>
      </c>
      <c r="F34945">
        <v>62</v>
      </c>
    </row>
    <row r="34946" spans="1:6" ht="12.75">
      <c r="A34946" s="2">
        <v>43875.328518518523</v>
      </c>
      <c r="B34946" t="str">
        <f>HYPERLINK("https://twitter.com/blemod","@blemod")</f>
        <v>@blemod</v>
      </c>
      <c r="C34946" t="s">
        <v>12906</v>
      </c>
      <c r="D34946">
        <v>57</v>
      </c>
      <c r="E34946">
        <v>0</v>
      </c>
      <c r="F34946">
        <v>1187</v>
      </c>
    </row>
    <row r="34947" spans="1:6" ht="12.75">
      <c r="A34947" s="2">
        <v>43875.32849537037</v>
      </c>
      <c r="B34947" t="str">
        <f>HYPERLINK("https://twitter.com/SINDOnews","@SINDOnews")</f>
        <v>@SINDOnews</v>
      </c>
      <c r="C34947" t="s">
        <v>14548</v>
      </c>
      <c r="D34947">
        <v>0</v>
      </c>
      <c r="E34947">
        <v>0</v>
      </c>
      <c r="F34947">
        <v>270408</v>
      </c>
    </row>
    <row r="34948" spans="1:6" ht="12.75">
      <c r="A34948" s="2">
        <v>43875.328425925924</v>
      </c>
      <c r="B34948" t="str">
        <f>HYPERLINK("https://twitter.com/TONZ6","@TONZ6")</f>
        <v>@TONZ6</v>
      </c>
      <c r="C34948" t="s">
        <v>10032</v>
      </c>
      <c r="D34948">
        <v>2</v>
      </c>
      <c r="E34948">
        <v>0</v>
      </c>
      <c r="F34948">
        <v>103</v>
      </c>
    </row>
    <row r="34949" spans="1:6" ht="12.75">
      <c r="A34949" s="2">
        <v>43875.328425925924</v>
      </c>
      <c r="B34949" t="str">
        <f>HYPERLINK("https://twitter.com/bulanrudrigo","@bulanrudrigo")</f>
        <v>@bulanrudrigo</v>
      </c>
      <c r="C34949" t="s">
        <v>2963</v>
      </c>
      <c r="D34949">
        <v>364</v>
      </c>
      <c r="E34949">
        <v>0</v>
      </c>
      <c r="F34949">
        <v>3655</v>
      </c>
    </row>
    <row r="34950" spans="1:6" ht="12.75">
      <c r="A34950" s="2">
        <v>43875.328287037039</v>
      </c>
      <c r="B34950" t="str">
        <f>HYPERLINK("https://twitter.com/triwieda","@triwieda")</f>
        <v>@triwieda</v>
      </c>
      <c r="C34950" t="s">
        <v>6982</v>
      </c>
      <c r="D34950">
        <v>80</v>
      </c>
      <c r="E34950">
        <v>0</v>
      </c>
      <c r="F34950">
        <v>456</v>
      </c>
    </row>
    <row r="34951" spans="1:6" ht="12.75">
      <c r="A34951" s="2">
        <v>43875.328252314815</v>
      </c>
      <c r="B34951" t="str">
        <f>HYPERLINK("https://twitter.com/desandwolf","@desandwolf")</f>
        <v>@desandwolf</v>
      </c>
      <c r="C34951" t="s">
        <v>14549</v>
      </c>
      <c r="D34951">
        <v>0</v>
      </c>
      <c r="E34951">
        <v>0</v>
      </c>
      <c r="F34951">
        <v>99</v>
      </c>
    </row>
    <row r="34952" spans="1:6" ht="12.75">
      <c r="A34952" s="2">
        <v>43875.328240740739</v>
      </c>
      <c r="B34952" t="str">
        <f>HYPERLINK("https://twitter.com/Gadilah2","@Gadilah2")</f>
        <v>@Gadilah2</v>
      </c>
      <c r="C34952" t="s">
        <v>14550</v>
      </c>
      <c r="D34952">
        <v>0</v>
      </c>
      <c r="E34952">
        <v>0</v>
      </c>
      <c r="F34952">
        <v>3</v>
      </c>
    </row>
    <row r="34953" spans="1:6" ht="12.75">
      <c r="A34953" s="2">
        <v>43875.328229166669</v>
      </c>
      <c r="B34953" t="str">
        <f>HYPERLINK("https://twitter.com/spiderr__matrix","@spiderr__matrix")</f>
        <v>@spiderr__matrix</v>
      </c>
      <c r="C34953" t="s">
        <v>14174</v>
      </c>
      <c r="D34953">
        <v>2</v>
      </c>
      <c r="E34953">
        <v>0</v>
      </c>
      <c r="F34953">
        <v>4756</v>
      </c>
    </row>
    <row r="34954" spans="1:6" ht="12.75">
      <c r="A34954" s="2">
        <v>43875.328217592592</v>
      </c>
      <c r="B34954" t="str">
        <f>HYPERLINK("https://twitter.com/Hakimlfc13","@Hakimlfc13")</f>
        <v>@Hakimlfc13</v>
      </c>
      <c r="C34954" t="s">
        <v>13696</v>
      </c>
      <c r="D34954">
        <v>1</v>
      </c>
      <c r="E34954">
        <v>0</v>
      </c>
      <c r="F34954">
        <v>730</v>
      </c>
    </row>
    <row r="34955" spans="1:6" ht="12.75">
      <c r="A34955" s="2">
        <v>43875.328217592592</v>
      </c>
      <c r="B34955" t="str">
        <f>HYPERLINK("https://twitter.com/dedesunarya59","@dedesunarya59")</f>
        <v>@dedesunarya59</v>
      </c>
      <c r="C34955" t="s">
        <v>10121</v>
      </c>
      <c r="D34955">
        <v>140</v>
      </c>
      <c r="E34955">
        <v>0</v>
      </c>
      <c r="F34955">
        <v>81</v>
      </c>
    </row>
    <row r="34956" spans="1:6" ht="12.75">
      <c r="A34956" s="2">
        <v>43875.327905092592</v>
      </c>
      <c r="B34956" t="str">
        <f>HYPERLINK("https://twitter.com/SINDOnews","@SINDOnews")</f>
        <v>@SINDOnews</v>
      </c>
      <c r="C34956" t="s">
        <v>14551</v>
      </c>
      <c r="D34956">
        <v>0</v>
      </c>
      <c r="E34956">
        <v>0</v>
      </c>
      <c r="F34956">
        <v>270408</v>
      </c>
    </row>
    <row r="34957" spans="1:6" ht="12.75">
      <c r="A34957" s="2">
        <v>43875.327893518523</v>
      </c>
      <c r="B34957" t="str">
        <f>HYPERLINK("https://twitter.com/AyasSipenk","@AyasSipenk")</f>
        <v>@AyasSipenk</v>
      </c>
      <c r="C34957" t="s">
        <v>2144</v>
      </c>
      <c r="D34957">
        <v>31</v>
      </c>
      <c r="E34957">
        <v>0</v>
      </c>
      <c r="F34957">
        <v>1384</v>
      </c>
    </row>
    <row r="34958" spans="1:6" ht="12.75">
      <c r="A34958" s="2">
        <v>43875.327800925923</v>
      </c>
      <c r="B34958" t="str">
        <f>HYPERLINK("https://twitter.com/arbaiyoso","@arbaiyoso")</f>
        <v>@arbaiyoso</v>
      </c>
      <c r="C34958" t="s">
        <v>2963</v>
      </c>
      <c r="D34958">
        <v>364</v>
      </c>
      <c r="E34958">
        <v>0</v>
      </c>
      <c r="F34958">
        <v>107</v>
      </c>
    </row>
    <row r="34959" spans="1:6" ht="12.75">
      <c r="A34959" s="2">
        <v>43875.327650462961</v>
      </c>
      <c r="B34959" t="str">
        <f>HYPERLINK("https://twitter.com/UnoDenk","@UnoDenk")</f>
        <v>@UnoDenk</v>
      </c>
      <c r="C34959" t="s">
        <v>2963</v>
      </c>
      <c r="D34959">
        <v>364</v>
      </c>
      <c r="E34959">
        <v>0</v>
      </c>
      <c r="F34959">
        <v>23</v>
      </c>
    </row>
    <row r="34960" spans="1:6" ht="12.75">
      <c r="A34960" s="2">
        <v>43875.327384259261</v>
      </c>
      <c r="B34960" t="str">
        <f>HYPERLINK("https://twitter.com/BangheriAja","@BangheriAja")</f>
        <v>@BangheriAja</v>
      </c>
      <c r="C34960" t="s">
        <v>14552</v>
      </c>
      <c r="D34960">
        <v>0</v>
      </c>
      <c r="E34960">
        <v>1</v>
      </c>
      <c r="F34960">
        <v>4074</v>
      </c>
    </row>
    <row r="34961" spans="1:6" ht="12.75">
      <c r="A34961" s="2">
        <v>43875.327384259261</v>
      </c>
      <c r="B34961" t="str">
        <f>HYPERLINK("https://twitter.com/BadjaNuswantara","@BadjaNuswantara")</f>
        <v>@BadjaNuswantara</v>
      </c>
      <c r="C34961" t="s">
        <v>14553</v>
      </c>
      <c r="D34961">
        <v>1</v>
      </c>
      <c r="E34961">
        <v>0</v>
      </c>
      <c r="F34961">
        <v>42261</v>
      </c>
    </row>
    <row r="34962" spans="1:6" ht="12.75">
      <c r="A34962" s="2">
        <v>43875.327372685184</v>
      </c>
      <c r="B34962" t="str">
        <f>HYPERLINK("https://twitter.com/NOHY8CK","@NOHY8CK")</f>
        <v>@NOHY8CK</v>
      </c>
      <c r="C34962" t="s">
        <v>14554</v>
      </c>
      <c r="D34962">
        <v>0</v>
      </c>
      <c r="E34962">
        <v>0</v>
      </c>
      <c r="F34962">
        <v>952</v>
      </c>
    </row>
    <row r="34963" spans="1:6" ht="12.75">
      <c r="A34963" s="2">
        <v>43875.327037037037</v>
      </c>
      <c r="B34963" t="str">
        <f>HYPERLINK("https://twitter.com/youliyoud","@youliyoud")</f>
        <v>@youliyoud</v>
      </c>
      <c r="C34963" t="s">
        <v>14555</v>
      </c>
      <c r="D34963">
        <v>1</v>
      </c>
      <c r="E34963">
        <v>0</v>
      </c>
      <c r="F34963">
        <v>21</v>
      </c>
    </row>
    <row r="34964" spans="1:6" ht="12.75">
      <c r="A34964" s="2">
        <v>43875.326990740738</v>
      </c>
      <c r="B34964" t="str">
        <f>HYPERLINK("https://twitter.com/FaGtng","@FaGtng")</f>
        <v>@FaGtng</v>
      </c>
      <c r="C34964" t="s">
        <v>14556</v>
      </c>
      <c r="D34964">
        <v>2</v>
      </c>
      <c r="E34964">
        <v>4</v>
      </c>
      <c r="F34964">
        <v>15957</v>
      </c>
    </row>
    <row r="34965" spans="1:6" ht="12.75">
      <c r="A34965" s="2">
        <v>43875.326898148152</v>
      </c>
      <c r="B34965" t="str">
        <f>HYPERLINK("https://twitter.com/radityawrdn","@radityawrdn")</f>
        <v>@radityawrdn</v>
      </c>
      <c r="C34965" t="s">
        <v>2963</v>
      </c>
      <c r="D34965">
        <v>364</v>
      </c>
      <c r="E34965">
        <v>0</v>
      </c>
      <c r="F34965">
        <v>238</v>
      </c>
    </row>
    <row r="34966" spans="1:6" ht="12.75">
      <c r="A34966" s="2">
        <v>43875.326874999999</v>
      </c>
      <c r="B34966" t="str">
        <f>HYPERLINK("https://twitter.com/the_geotimes","@the_geotimes")</f>
        <v>@the_geotimes</v>
      </c>
      <c r="C34966" t="s">
        <v>8802</v>
      </c>
      <c r="D34966">
        <v>1</v>
      </c>
      <c r="E34966">
        <v>0</v>
      </c>
      <c r="F34966">
        <v>49266</v>
      </c>
    </row>
    <row r="34967" spans="1:6" ht="12.75">
      <c r="A34967" s="2">
        <v>43875.326828703706</v>
      </c>
      <c r="B34967" t="str">
        <f>HYPERLINK("https://twitter.com/MTanpabayangan","@MTanpabayangan")</f>
        <v>@MTanpabayangan</v>
      </c>
      <c r="C34967" t="s">
        <v>14557</v>
      </c>
      <c r="D34967">
        <v>0</v>
      </c>
      <c r="E34967">
        <v>0</v>
      </c>
      <c r="F34967">
        <v>122</v>
      </c>
    </row>
    <row r="34968" spans="1:6" ht="12.75">
      <c r="A34968" s="2">
        <v>43875.326782407406</v>
      </c>
      <c r="B34968" t="str">
        <f>HYPERLINK("https://twitter.com/Metro_TV","@Metro_TV")</f>
        <v>@Metro_TV</v>
      </c>
      <c r="C34968" t="s">
        <v>13477</v>
      </c>
      <c r="D34968">
        <v>14</v>
      </c>
      <c r="E34968">
        <v>0</v>
      </c>
      <c r="F34968">
        <v>10508883</v>
      </c>
    </row>
    <row r="34969" spans="1:6" ht="12.75">
      <c r="A34969" s="2">
        <v>43875.32675925926</v>
      </c>
      <c r="B34969" t="str">
        <f>HYPERLINK("https://twitter.com/PatPatP25100251","@PatPatP25100251")</f>
        <v>@PatPatP25100251</v>
      </c>
      <c r="C34969" t="s">
        <v>14558</v>
      </c>
      <c r="D34969">
        <v>0</v>
      </c>
      <c r="E34969">
        <v>0</v>
      </c>
      <c r="F34969">
        <v>0</v>
      </c>
    </row>
    <row r="34970" spans="1:6" ht="12.75">
      <c r="A34970" s="2">
        <v>43875.326736111107</v>
      </c>
      <c r="B34970" t="str">
        <f>HYPERLINK("https://twitter.com/budhartono","@budhartono")</f>
        <v>@budhartono</v>
      </c>
      <c r="C34970" t="s">
        <v>8233</v>
      </c>
      <c r="D34970">
        <v>273</v>
      </c>
      <c r="E34970">
        <v>0</v>
      </c>
      <c r="F34970">
        <v>548</v>
      </c>
    </row>
    <row r="34971" spans="1:6" ht="12.75">
      <c r="A34971" s="2">
        <v>43875.326701388884</v>
      </c>
      <c r="B34971" t="str">
        <f>HYPERLINK("https://twitter.com/koboii_","@koboii_")</f>
        <v>@koboii_</v>
      </c>
      <c r="C34971" t="s">
        <v>2444</v>
      </c>
      <c r="D34971">
        <v>63</v>
      </c>
      <c r="E34971">
        <v>0</v>
      </c>
      <c r="F34971">
        <v>255</v>
      </c>
    </row>
    <row r="34972" spans="1:6" ht="12.75">
      <c r="A34972" s="2">
        <v>43875.326666666668</v>
      </c>
      <c r="B34972" t="str">
        <f>HYPERLINK("https://twitter.com/Dariussaiman","@Dariussaiman")</f>
        <v>@Dariussaiman</v>
      </c>
      <c r="C34972" t="s">
        <v>14559</v>
      </c>
      <c r="D34972">
        <v>1</v>
      </c>
      <c r="E34972">
        <v>0</v>
      </c>
      <c r="F34972">
        <v>6</v>
      </c>
    </row>
    <row r="34973" spans="1:6" ht="12.75">
      <c r="A34973" s="2">
        <v>43875.326631944445</v>
      </c>
      <c r="B34973" t="str">
        <f>HYPERLINK("https://twitter.com/joeseaferman","@joeseaferman")</f>
        <v>@joeseaferman</v>
      </c>
      <c r="C34973" t="s">
        <v>2963</v>
      </c>
      <c r="D34973">
        <v>364</v>
      </c>
      <c r="E34973">
        <v>0</v>
      </c>
      <c r="F34973">
        <v>55</v>
      </c>
    </row>
    <row r="34974" spans="1:6" ht="12.75">
      <c r="A34974" s="2">
        <v>43875.326539351852</v>
      </c>
      <c r="B34974" t="str">
        <f>HYPERLINK("https://twitter.com/triatmojo","@triatmojo")</f>
        <v>@triatmojo</v>
      </c>
      <c r="C34974" t="s">
        <v>5168</v>
      </c>
      <c r="D34974">
        <v>369</v>
      </c>
      <c r="E34974">
        <v>0</v>
      </c>
      <c r="F34974">
        <v>1449</v>
      </c>
    </row>
    <row r="34975" spans="1:6" ht="12.75">
      <c r="A34975" s="2">
        <v>43875.326527777783</v>
      </c>
      <c r="B34975" t="str">
        <f>HYPERLINK("https://twitter.com/AndiSuraja","@AndiSuraja")</f>
        <v>@AndiSuraja</v>
      </c>
      <c r="C34975" t="s">
        <v>14560</v>
      </c>
      <c r="D34975">
        <v>0</v>
      </c>
      <c r="E34975">
        <v>0</v>
      </c>
      <c r="F34975">
        <v>4819</v>
      </c>
    </row>
    <row r="34976" spans="1:6" ht="12.75">
      <c r="A34976" s="2">
        <v>43875.326481481483</v>
      </c>
      <c r="B34976" t="str">
        <f>HYPERLINK("https://twitter.com/V4nn","@V4nn")</f>
        <v>@V4nn</v>
      </c>
      <c r="C34976" t="s">
        <v>14561</v>
      </c>
      <c r="D34976">
        <v>0</v>
      </c>
      <c r="E34976">
        <v>0</v>
      </c>
      <c r="F34976">
        <v>22</v>
      </c>
    </row>
    <row r="34977" spans="1:6" ht="12.75">
      <c r="A34977" s="2">
        <v>43875.326423611114</v>
      </c>
      <c r="B34977" t="str">
        <f>HYPERLINK("https://twitter.com/widiasmoro","@widiasmoro")</f>
        <v>@widiasmoro</v>
      </c>
      <c r="C34977" t="s">
        <v>14562</v>
      </c>
      <c r="D34977">
        <v>6</v>
      </c>
      <c r="E34977">
        <v>0</v>
      </c>
      <c r="F34977">
        <v>4252</v>
      </c>
    </row>
    <row r="34978" spans="1:6" ht="12.75">
      <c r="A34978" s="2">
        <v>43875.326412037037</v>
      </c>
      <c r="B34978" t="str">
        <f>HYPERLINK("https://twitter.com/youliyoud","@youliyoud")</f>
        <v>@youliyoud</v>
      </c>
      <c r="C34978" t="s">
        <v>14563</v>
      </c>
      <c r="D34978">
        <v>0</v>
      </c>
      <c r="E34978">
        <v>0</v>
      </c>
      <c r="F34978">
        <v>21</v>
      </c>
    </row>
    <row r="34979" spans="1:6" ht="12.75">
      <c r="A34979" s="2">
        <v>43875.326388888891</v>
      </c>
      <c r="B34979" t="str">
        <f>HYPERLINK("https://twitter.com/kompasiana","@kompasiana")</f>
        <v>@kompasiana</v>
      </c>
      <c r="C34979" t="s">
        <v>14564</v>
      </c>
      <c r="D34979">
        <v>0</v>
      </c>
      <c r="E34979">
        <v>0</v>
      </c>
      <c r="F34979">
        <v>927799</v>
      </c>
    </row>
    <row r="34980" spans="1:6" ht="12.75">
      <c r="A34980" s="2">
        <v>43875.326354166667</v>
      </c>
      <c r="B34980" t="str">
        <f>HYPERLINK("https://twitter.com/aya_ddt","@aya_ddt")</f>
        <v>@aya_ddt</v>
      </c>
      <c r="C34980" t="s">
        <v>14228</v>
      </c>
      <c r="D34980">
        <v>15</v>
      </c>
      <c r="E34980">
        <v>0</v>
      </c>
      <c r="F34980">
        <v>425</v>
      </c>
    </row>
    <row r="34981" spans="1:6" ht="12.75">
      <c r="A34981" s="2">
        <v>43875.326354166667</v>
      </c>
      <c r="B34981" t="str">
        <f>HYPERLINK("https://twitter.com/hendy6669","@hendy6669")</f>
        <v>@hendy6669</v>
      </c>
      <c r="C34981" t="s">
        <v>2963</v>
      </c>
      <c r="D34981">
        <v>364</v>
      </c>
      <c r="E34981">
        <v>0</v>
      </c>
      <c r="F34981">
        <v>2721</v>
      </c>
    </row>
    <row r="34982" spans="1:6" ht="12.75">
      <c r="A34982" s="2">
        <v>43875.326331018514</v>
      </c>
      <c r="B34982" t="str">
        <f>HYPERLINK("https://twitter.com/HoQ_Bud14rto","@HoQ_Bud14rto")</f>
        <v>@HoQ_Bud14rto</v>
      </c>
      <c r="C34982" t="s">
        <v>14565</v>
      </c>
      <c r="D34982">
        <v>0</v>
      </c>
      <c r="E34982">
        <v>0</v>
      </c>
      <c r="F34982">
        <v>36</v>
      </c>
    </row>
    <row r="34983" spans="1:6" ht="12.75">
      <c r="A34983" s="2">
        <v>43875.326319444444</v>
      </c>
      <c r="B34983" t="str">
        <f>HYPERLINK("https://twitter.com/el_ahfa","@el_ahfa")</f>
        <v>@el_ahfa</v>
      </c>
      <c r="C34983" t="s">
        <v>2963</v>
      </c>
      <c r="D34983">
        <v>364</v>
      </c>
      <c r="E34983">
        <v>0</v>
      </c>
      <c r="F34983">
        <v>312</v>
      </c>
    </row>
    <row r="34984" spans="1:6" ht="12.75">
      <c r="A34984" s="2">
        <v>43875.326226851852</v>
      </c>
      <c r="B34984" t="str">
        <f>HYPERLINK("https://twitter.com/djellyboy","@djellyboy")</f>
        <v>@djellyboy</v>
      </c>
      <c r="C34984" t="s">
        <v>2444</v>
      </c>
      <c r="D34984">
        <v>63</v>
      </c>
      <c r="E34984">
        <v>0</v>
      </c>
      <c r="F34984">
        <v>275</v>
      </c>
    </row>
    <row r="34985" spans="1:6" ht="12.75">
      <c r="A34985" s="2">
        <v>43875.326168981483</v>
      </c>
      <c r="B34985" t="str">
        <f>HYPERLINK("https://twitter.com/wranoa","@wranoa")</f>
        <v>@wranoa</v>
      </c>
      <c r="C34985" t="s">
        <v>5168</v>
      </c>
      <c r="D34985">
        <v>369</v>
      </c>
      <c r="E34985">
        <v>0</v>
      </c>
      <c r="F34985">
        <v>91</v>
      </c>
    </row>
    <row r="34986" spans="1:6" ht="12.75">
      <c r="A34986" s="2">
        <v>43875.326157407406</v>
      </c>
      <c r="B34986" t="str">
        <f>HYPERLINK("https://twitter.com/simple_heart68","@simple_heart68")</f>
        <v>@simple_heart68</v>
      </c>
      <c r="C34986" t="s">
        <v>14566</v>
      </c>
      <c r="D34986">
        <v>0</v>
      </c>
      <c r="E34986">
        <v>2</v>
      </c>
      <c r="F34986">
        <v>4219</v>
      </c>
    </row>
    <row r="34987" spans="1:6" ht="12.75">
      <c r="A34987" s="2">
        <v>43875.326099537036</v>
      </c>
      <c r="B34987" t="str">
        <f>HYPERLINK("https://twitter.com/QalbuBahasa","@QalbuBahasa")</f>
        <v>@QalbuBahasa</v>
      </c>
      <c r="C34987" t="s">
        <v>14567</v>
      </c>
      <c r="D34987">
        <v>2</v>
      </c>
      <c r="E34987">
        <v>4</v>
      </c>
      <c r="F34987">
        <v>107</v>
      </c>
    </row>
    <row r="34988" spans="1:6" ht="12.75">
      <c r="A34988" s="2">
        <v>43875.32603009259</v>
      </c>
      <c r="B34988" t="str">
        <f t="shared" ref="B34988:B34989" si="401">HYPERLINK("https://twitter.com/aya_ddt","@aya_ddt")</f>
        <v>@aya_ddt</v>
      </c>
      <c r="C34988" t="s">
        <v>10526</v>
      </c>
      <c r="D34988">
        <v>105</v>
      </c>
      <c r="E34988">
        <v>0</v>
      </c>
      <c r="F34988">
        <v>425</v>
      </c>
    </row>
    <row r="34989" spans="1:6" ht="12.75">
      <c r="A34989" s="2">
        <v>43875.325879629629</v>
      </c>
      <c r="B34989" t="str">
        <f t="shared" si="401"/>
        <v>@aya_ddt</v>
      </c>
      <c r="C34989" t="s">
        <v>14568</v>
      </c>
      <c r="D34989">
        <v>6</v>
      </c>
      <c r="E34989">
        <v>0</v>
      </c>
      <c r="F34989">
        <v>425</v>
      </c>
    </row>
    <row r="34990" spans="1:6" ht="12.75">
      <c r="A34990" s="2">
        <v>43875.325879629629</v>
      </c>
      <c r="B34990" t="str">
        <f>HYPERLINK("https://twitter.com/ANDRE_OCTA_","@ANDRE_OCTA_")</f>
        <v>@ANDRE_OCTA_</v>
      </c>
      <c r="C34990" t="s">
        <v>14569</v>
      </c>
      <c r="D34990">
        <v>0</v>
      </c>
      <c r="E34990">
        <v>0</v>
      </c>
      <c r="F34990">
        <v>16022</v>
      </c>
    </row>
    <row r="34991" spans="1:6" ht="12.75">
      <c r="A34991" s="2">
        <v>43875.325856481482</v>
      </c>
      <c r="B34991" t="str">
        <f>HYPERLINK("https://twitter.com/ienuli","@ienuli")</f>
        <v>@ienuli</v>
      </c>
      <c r="C34991" t="s">
        <v>8881</v>
      </c>
      <c r="D34991">
        <v>244</v>
      </c>
      <c r="E34991">
        <v>0</v>
      </c>
      <c r="F34991">
        <v>1393</v>
      </c>
    </row>
    <row r="34992" spans="1:6" ht="12.75">
      <c r="A34992" s="2">
        <v>43875.325810185182</v>
      </c>
      <c r="B34992" t="str">
        <f>HYPERLINK("https://twitter.com/marlinaiar","@marlinaiar")</f>
        <v>@marlinaiar</v>
      </c>
      <c r="C34992" t="s">
        <v>14570</v>
      </c>
      <c r="D34992">
        <v>0</v>
      </c>
      <c r="E34992">
        <v>0</v>
      </c>
      <c r="F34992">
        <v>1511</v>
      </c>
    </row>
    <row r="34993" spans="1:6" ht="12.75">
      <c r="A34993" s="2">
        <v>43875.325752314813</v>
      </c>
      <c r="B34993" t="str">
        <f>HYPERLINK("https://twitter.com/hgberry","@hgberry")</f>
        <v>@hgberry</v>
      </c>
      <c r="C34993" t="s">
        <v>11425</v>
      </c>
      <c r="D34993">
        <v>183</v>
      </c>
      <c r="E34993">
        <v>0</v>
      </c>
      <c r="F34993">
        <v>1644</v>
      </c>
    </row>
    <row r="34994" spans="1:6" ht="12.75">
      <c r="A34994" s="2">
        <v>43875.325729166667</v>
      </c>
      <c r="B34994" t="str">
        <f>HYPERLINK("https://twitter.com/andreaswulando2","@andreaswulando2")</f>
        <v>@andreaswulando2</v>
      </c>
      <c r="C34994" t="s">
        <v>10196</v>
      </c>
      <c r="D34994">
        <v>123</v>
      </c>
      <c r="E34994">
        <v>0</v>
      </c>
      <c r="F34994">
        <v>786</v>
      </c>
    </row>
    <row r="34995" spans="1:6" ht="12.75">
      <c r="A34995" s="2">
        <v>43875.325729166667</v>
      </c>
      <c r="B34995" t="str">
        <f>HYPERLINK("https://twitter.com/bon_nugroho","@bon_nugroho")</f>
        <v>@bon_nugroho</v>
      </c>
      <c r="C34995" t="s">
        <v>14571</v>
      </c>
      <c r="D34995">
        <v>1</v>
      </c>
      <c r="E34995">
        <v>0</v>
      </c>
      <c r="F34995">
        <v>490</v>
      </c>
    </row>
    <row r="34996" spans="1:6" ht="12.75">
      <c r="A34996" s="2">
        <v>43875.325717592597</v>
      </c>
      <c r="B34996" t="str">
        <f>HYPERLINK("https://twitter.com/humanityabove_","@humanityabove_")</f>
        <v>@humanityabove_</v>
      </c>
      <c r="C34996" t="s">
        <v>2963</v>
      </c>
      <c r="D34996">
        <v>364</v>
      </c>
      <c r="E34996">
        <v>0</v>
      </c>
      <c r="F34996">
        <v>2</v>
      </c>
    </row>
    <row r="34997" spans="1:6" ht="12.75">
      <c r="A34997" s="2">
        <v>43875.325694444444</v>
      </c>
      <c r="B34997" t="str">
        <f>HYPERLINK("https://twitter.com/mandaraka7","@mandaraka7")</f>
        <v>@mandaraka7</v>
      </c>
      <c r="C34997" t="s">
        <v>14572</v>
      </c>
      <c r="D34997">
        <v>0</v>
      </c>
      <c r="E34997">
        <v>0</v>
      </c>
      <c r="F34997">
        <v>0</v>
      </c>
    </row>
    <row r="34998" spans="1:6" ht="12.75">
      <c r="A34998" s="2">
        <v>43875.325659722221</v>
      </c>
      <c r="B34998" t="str">
        <f>HYPERLINK("https://twitter.com/theditor3","@theditor3")</f>
        <v>@theditor3</v>
      </c>
      <c r="C34998" t="s">
        <v>9538</v>
      </c>
      <c r="D34998">
        <v>87</v>
      </c>
      <c r="E34998">
        <v>0</v>
      </c>
      <c r="F34998">
        <v>110</v>
      </c>
    </row>
    <row r="34999" spans="1:6" ht="12.75">
      <c r="A34999" s="2">
        <v>43875.325624999998</v>
      </c>
      <c r="B34999" t="str">
        <f>HYPERLINK("https://twitter.com/saimun2509","@saimun2509")</f>
        <v>@saimun2509</v>
      </c>
      <c r="C34999" t="s">
        <v>2963</v>
      </c>
      <c r="D34999">
        <v>364</v>
      </c>
      <c r="E34999">
        <v>0</v>
      </c>
      <c r="F34999">
        <v>119</v>
      </c>
    </row>
    <row r="35000" spans="1:6" ht="12.75">
      <c r="A35000" s="2">
        <v>43875.325624999998</v>
      </c>
      <c r="B35000" t="str">
        <f>HYPERLINK("https://twitter.com/Rayvita","@Rayvita")</f>
        <v>@Rayvita</v>
      </c>
      <c r="C35000" t="s">
        <v>14573</v>
      </c>
      <c r="D35000">
        <v>49</v>
      </c>
      <c r="E35000">
        <v>0</v>
      </c>
      <c r="F35000">
        <v>326</v>
      </c>
    </row>
    <row r="35001" spans="1:6" ht="12.75">
      <c r="A35001" s="2">
        <v>43875.325520833328</v>
      </c>
      <c r="B35001" t="str">
        <f>HYPERLINK("https://twitter.com/ryanxyz","@ryanxyz")</f>
        <v>@ryanxyz</v>
      </c>
      <c r="C35001" t="s">
        <v>10422</v>
      </c>
      <c r="D35001">
        <v>23</v>
      </c>
      <c r="E35001">
        <v>0</v>
      </c>
      <c r="F35001">
        <v>1189</v>
      </c>
    </row>
    <row r="35002" spans="1:6" ht="12.75">
      <c r="A35002" s="2">
        <v>43875.325381944444</v>
      </c>
      <c r="B35002" t="str">
        <f>HYPERLINK("https://twitter.com/kikasyafii","@kikasyafii")</f>
        <v>@kikasyafii</v>
      </c>
      <c r="C35002" t="s">
        <v>13471</v>
      </c>
      <c r="D35002">
        <v>4</v>
      </c>
      <c r="E35002">
        <v>0</v>
      </c>
      <c r="F35002">
        <v>3050</v>
      </c>
    </row>
    <row r="35003" spans="1:6" ht="12.75">
      <c r="A35003" s="2">
        <v>43875.325324074074</v>
      </c>
      <c r="B35003" t="str">
        <f>HYPERLINK("https://twitter.com/anwarmasruro","@anwarmasruro")</f>
        <v>@anwarmasruro</v>
      </c>
      <c r="C35003" t="s">
        <v>14574</v>
      </c>
      <c r="D35003">
        <v>0</v>
      </c>
      <c r="E35003">
        <v>0</v>
      </c>
      <c r="F35003">
        <v>164</v>
      </c>
    </row>
    <row r="35004" spans="1:6" ht="12.75">
      <c r="A35004" s="2">
        <v>43875.325300925921</v>
      </c>
      <c r="B35004" t="str">
        <f>HYPERLINK("https://twitter.com/cadarmerah","@cadarmerah")</f>
        <v>@cadarmerah</v>
      </c>
      <c r="C35004" t="s">
        <v>11086</v>
      </c>
      <c r="D35004">
        <v>79</v>
      </c>
      <c r="E35004">
        <v>0</v>
      </c>
      <c r="F35004">
        <v>5650</v>
      </c>
    </row>
    <row r="35005" spans="1:6" ht="12.75">
      <c r="A35005" s="2">
        <v>43875.325266203705</v>
      </c>
      <c r="B35005" t="str">
        <f>HYPERLINK("https://twitter.com/prasetycio","@prasetycio")</f>
        <v>@prasetycio</v>
      </c>
      <c r="C35005" t="s">
        <v>14575</v>
      </c>
      <c r="D35005">
        <v>6</v>
      </c>
      <c r="E35005">
        <v>0</v>
      </c>
      <c r="F35005">
        <v>359</v>
      </c>
    </row>
    <row r="35006" spans="1:6" ht="12.75">
      <c r="A35006" s="2">
        <v>43875.325104166666</v>
      </c>
      <c r="B35006" t="str">
        <f>HYPERLINK("https://twitter.com/BahrunKarim","@BahrunKarim")</f>
        <v>@BahrunKarim</v>
      </c>
      <c r="C35006" t="s">
        <v>10096</v>
      </c>
      <c r="D35006">
        <v>55</v>
      </c>
      <c r="E35006">
        <v>0</v>
      </c>
      <c r="F35006">
        <v>580</v>
      </c>
    </row>
    <row r="35007" spans="1:6" ht="12.75">
      <c r="A35007" s="2">
        <v>43875.324942129635</v>
      </c>
      <c r="B35007" t="str">
        <f>HYPERLINK("https://twitter.com/Bentir16","@Bentir16")</f>
        <v>@Bentir16</v>
      </c>
      <c r="C35007" t="s">
        <v>2963</v>
      </c>
      <c r="D35007">
        <v>364</v>
      </c>
      <c r="E35007">
        <v>0</v>
      </c>
      <c r="F35007">
        <v>319</v>
      </c>
    </row>
    <row r="35008" spans="1:6" ht="12.75">
      <c r="A35008" s="2">
        <v>43875.324814814812</v>
      </c>
      <c r="B35008" t="str">
        <f>HYPERLINK("https://twitter.com/calory72","@calory72")</f>
        <v>@calory72</v>
      </c>
      <c r="C35008" t="s">
        <v>8860</v>
      </c>
      <c r="D35008">
        <v>1</v>
      </c>
      <c r="E35008">
        <v>0</v>
      </c>
      <c r="F35008">
        <v>85</v>
      </c>
    </row>
    <row r="35009" spans="1:6" ht="12.75">
      <c r="A35009" s="2">
        <v>43875.32476851852</v>
      </c>
      <c r="B35009" t="str">
        <f>HYPERLINK("https://twitter.com/AdrianPILI1409","@AdrianPILI1409")</f>
        <v>@AdrianPILI1409</v>
      </c>
      <c r="C35009" t="s">
        <v>10121</v>
      </c>
      <c r="D35009">
        <v>140</v>
      </c>
      <c r="E35009">
        <v>0</v>
      </c>
      <c r="F35009">
        <v>52</v>
      </c>
    </row>
    <row r="35010" spans="1:6" ht="12.75">
      <c r="A35010" s="2">
        <v>43875.324745370366</v>
      </c>
      <c r="B35010" t="str">
        <f>HYPERLINK("https://twitter.com/myzkplxback","@myzkplxback")</f>
        <v>@myzkplxback</v>
      </c>
      <c r="C35010" t="s">
        <v>12679</v>
      </c>
      <c r="D35010">
        <v>722</v>
      </c>
      <c r="E35010">
        <v>0</v>
      </c>
      <c r="F35010">
        <v>708</v>
      </c>
    </row>
    <row r="35011" spans="1:6" ht="12.75">
      <c r="A35011" s="2">
        <v>43875.324733796297</v>
      </c>
      <c r="B35011" t="str">
        <f>HYPERLINK("https://twitter.com/yudi732002","@yudi732002")</f>
        <v>@yudi732002</v>
      </c>
      <c r="C35011" t="s">
        <v>2122</v>
      </c>
      <c r="D35011">
        <v>171</v>
      </c>
      <c r="E35011">
        <v>0</v>
      </c>
      <c r="F35011">
        <v>636</v>
      </c>
    </row>
    <row r="35012" spans="1:6" ht="12.75">
      <c r="A35012" s="2">
        <v>43875.324675925927</v>
      </c>
      <c r="B35012" t="str">
        <f>HYPERLINK("https://twitter.com/pikiran_rakyat","@pikiran_rakyat")</f>
        <v>@pikiran_rakyat</v>
      </c>
      <c r="C35012" t="s">
        <v>14576</v>
      </c>
      <c r="D35012">
        <v>0</v>
      </c>
      <c r="E35012">
        <v>1</v>
      </c>
      <c r="F35012">
        <v>412440</v>
      </c>
    </row>
    <row r="35013" spans="1:6" ht="12.75">
      <c r="A35013" s="2">
        <v>43875.324664351851</v>
      </c>
      <c r="B35013" t="str">
        <f>HYPERLINK("https://twitter.com/lawjusticeco","@lawjusticeco")</f>
        <v>@lawjusticeco</v>
      </c>
      <c r="C35013" t="s">
        <v>10279</v>
      </c>
      <c r="D35013">
        <v>1</v>
      </c>
      <c r="E35013">
        <v>0</v>
      </c>
      <c r="F35013">
        <v>4905</v>
      </c>
    </row>
    <row r="35014" spans="1:6" ht="12.75">
      <c r="A35014" s="2">
        <v>43875.324560185181</v>
      </c>
      <c r="B35014" t="str">
        <f>HYPERLINK("https://twitter.com/Gregorius841","@Gregorius841")</f>
        <v>@Gregorius841</v>
      </c>
      <c r="C35014" t="s">
        <v>12279</v>
      </c>
      <c r="D35014">
        <v>53</v>
      </c>
      <c r="E35014">
        <v>0</v>
      </c>
      <c r="F35014">
        <v>3701</v>
      </c>
    </row>
    <row r="35015" spans="1:6" ht="12.75">
      <c r="A35015" s="2">
        <v>43875.324548611112</v>
      </c>
      <c r="B35015" t="str">
        <f>HYPERLINK("https://twitter.com/ccpsugiono","@ccpsugiono")</f>
        <v>@ccpsugiono</v>
      </c>
      <c r="C35015" t="s">
        <v>9947</v>
      </c>
      <c r="D35015">
        <v>313</v>
      </c>
      <c r="E35015">
        <v>0</v>
      </c>
      <c r="F35015">
        <v>643</v>
      </c>
    </row>
    <row r="35016" spans="1:6" ht="12.75">
      <c r="A35016" s="2">
        <v>43875.324467592596</v>
      </c>
      <c r="B35016" t="str">
        <f>HYPERLINK("https://twitter.com/bunnyrapper","@bunnyrapper")</f>
        <v>@bunnyrapper</v>
      </c>
      <c r="C35016" t="s">
        <v>2444</v>
      </c>
      <c r="D35016">
        <v>63</v>
      </c>
      <c r="E35016">
        <v>0</v>
      </c>
      <c r="F35016">
        <v>982</v>
      </c>
    </row>
    <row r="35017" spans="1:6" ht="12.75">
      <c r="A35017" s="2">
        <v>43875.324456018519</v>
      </c>
      <c r="B35017" t="str">
        <f>HYPERLINK("https://twitter.com/nangkhoiri","@nangkhoiri")</f>
        <v>@nangkhoiri</v>
      </c>
      <c r="C35017" t="s">
        <v>14577</v>
      </c>
      <c r="D35017">
        <v>0</v>
      </c>
      <c r="E35017">
        <v>0</v>
      </c>
      <c r="F35017">
        <v>16</v>
      </c>
    </row>
    <row r="35018" spans="1:6" ht="12.75">
      <c r="A35018" s="2">
        <v>43875.32439814815</v>
      </c>
      <c r="B35018" t="str">
        <f>HYPERLINK("https://twitter.com/Dariussaiman","@Dariussaiman")</f>
        <v>@Dariussaiman</v>
      </c>
      <c r="C35018" t="s">
        <v>9096</v>
      </c>
      <c r="D35018">
        <v>144</v>
      </c>
      <c r="E35018">
        <v>0</v>
      </c>
      <c r="F35018">
        <v>6</v>
      </c>
    </row>
    <row r="35019" spans="1:6" ht="12.75">
      <c r="A35019" s="2">
        <v>43875.324374999997</v>
      </c>
      <c r="B35019" t="str">
        <f>HYPERLINK("https://twitter.com/hgberry","@hgberry")</f>
        <v>@hgberry</v>
      </c>
      <c r="C35019" t="s">
        <v>14578</v>
      </c>
      <c r="D35019">
        <v>4</v>
      </c>
      <c r="E35019">
        <v>0</v>
      </c>
      <c r="F35019">
        <v>1644</v>
      </c>
    </row>
    <row r="35020" spans="1:6" ht="12.75">
      <c r="A35020" s="2">
        <v>43875.324328703704</v>
      </c>
      <c r="B35020" t="str">
        <f>HYPERLINK("https://twitter.com/demokrasicoid","@demokrasicoid")</f>
        <v>@demokrasicoid</v>
      </c>
      <c r="C35020" t="s">
        <v>845</v>
      </c>
      <c r="D35020">
        <v>0</v>
      </c>
      <c r="E35020">
        <v>0</v>
      </c>
      <c r="F35020">
        <v>22231</v>
      </c>
    </row>
    <row r="35021" spans="1:6" ht="12.75">
      <c r="A35021" s="2">
        <v>43875.324317129634</v>
      </c>
      <c r="B35021" t="str">
        <f>HYPERLINK("https://twitter.com/mavrizal","@mavrizal")</f>
        <v>@mavrizal</v>
      </c>
      <c r="C35021" t="s">
        <v>2963</v>
      </c>
      <c r="D35021">
        <v>364</v>
      </c>
      <c r="E35021">
        <v>0</v>
      </c>
      <c r="F35021">
        <v>413</v>
      </c>
    </row>
    <row r="35022" spans="1:6" ht="12.75">
      <c r="A35022" s="2">
        <v>43875.32430555555</v>
      </c>
      <c r="B35022" t="str">
        <f>HYPERLINK("https://twitter.com/Heri_aja","@Heri_aja")</f>
        <v>@Heri_aja</v>
      </c>
      <c r="C35022" t="s">
        <v>10266</v>
      </c>
      <c r="D35022">
        <v>248</v>
      </c>
      <c r="E35022">
        <v>0</v>
      </c>
      <c r="F35022">
        <v>1683</v>
      </c>
    </row>
    <row r="35023" spans="1:6" ht="12.75">
      <c r="A35023" s="2">
        <v>43875.324189814812</v>
      </c>
      <c r="B35023" t="str">
        <f>HYPERLINK("https://twitter.com/bennjosh","@bennjosh")</f>
        <v>@bennjosh</v>
      </c>
      <c r="C35023" t="s">
        <v>10526</v>
      </c>
      <c r="D35023">
        <v>105</v>
      </c>
      <c r="E35023">
        <v>0</v>
      </c>
      <c r="F35023">
        <v>113</v>
      </c>
    </row>
    <row r="35024" spans="1:6" ht="12.75">
      <c r="A35024" s="2">
        <v>43875.324120370366</v>
      </c>
      <c r="B35024" t="str">
        <f>HYPERLINK("https://twitter.com/hgberry","@hgberry")</f>
        <v>@hgberry</v>
      </c>
      <c r="C35024" t="s">
        <v>11086</v>
      </c>
      <c r="D35024">
        <v>79</v>
      </c>
      <c r="E35024">
        <v>0</v>
      </c>
      <c r="F35024">
        <v>1644</v>
      </c>
    </row>
    <row r="35025" spans="1:6" ht="12.75">
      <c r="A35025" s="2">
        <v>43875.324074074073</v>
      </c>
      <c r="B35025" t="str">
        <f>HYPERLINK("https://twitter.com/Rayvita","@Rayvita")</f>
        <v>@Rayvita</v>
      </c>
      <c r="C35025" t="s">
        <v>12530</v>
      </c>
      <c r="D35025">
        <v>26</v>
      </c>
      <c r="E35025">
        <v>0</v>
      </c>
      <c r="F35025">
        <v>326</v>
      </c>
    </row>
    <row r="35026" spans="1:6" ht="12.75">
      <c r="A35026" s="2">
        <v>43875.323958333334</v>
      </c>
      <c r="B35026" t="str">
        <f>HYPERLINK("https://twitter.com/Nabbila_011","@Nabbila_011")</f>
        <v>@Nabbila_011</v>
      </c>
      <c r="C35026" t="s">
        <v>2963</v>
      </c>
      <c r="D35026">
        <v>364</v>
      </c>
      <c r="E35026">
        <v>0</v>
      </c>
      <c r="F35026">
        <v>13</v>
      </c>
    </row>
    <row r="35027" spans="1:6" ht="12.75">
      <c r="A35027" s="2">
        <v>43875.323946759258</v>
      </c>
      <c r="B35027" t="str">
        <f>HYPERLINK("https://twitter.com/yohanesPantau","@yohanesPantau")</f>
        <v>@yohanesPantau</v>
      </c>
      <c r="C35027" t="s">
        <v>2963</v>
      </c>
      <c r="D35027">
        <v>364</v>
      </c>
      <c r="E35027">
        <v>0</v>
      </c>
      <c r="F35027">
        <v>240</v>
      </c>
    </row>
    <row r="35028" spans="1:6" ht="12.75">
      <c r="A35028" s="2">
        <v>43875.323935185181</v>
      </c>
      <c r="B35028" t="str">
        <f>HYPERLINK("https://twitter.com/Suharto_BC","@Suharto_BC")</f>
        <v>@Suharto_BC</v>
      </c>
      <c r="C35028" t="s">
        <v>14579</v>
      </c>
      <c r="D35028">
        <v>0</v>
      </c>
      <c r="E35028">
        <v>0</v>
      </c>
      <c r="F35028">
        <v>689</v>
      </c>
    </row>
    <row r="35029" spans="1:6" ht="12.75">
      <c r="A35029" s="2">
        <v>43875.323923611111</v>
      </c>
      <c r="B35029" t="str">
        <f>HYPERLINK("https://twitter.com/triajaaa","@triajaaa")</f>
        <v>@triajaaa</v>
      </c>
      <c r="C35029" t="s">
        <v>11241</v>
      </c>
      <c r="D35029">
        <v>2</v>
      </c>
      <c r="E35029">
        <v>0</v>
      </c>
      <c r="F35029">
        <v>4490</v>
      </c>
    </row>
    <row r="35030" spans="1:6" ht="12.75">
      <c r="A35030" s="2">
        <v>43875.323738425926</v>
      </c>
      <c r="B35030" t="str">
        <f>HYPERLINK("https://twitter.com/muktiaza","@muktiaza")</f>
        <v>@muktiaza</v>
      </c>
      <c r="C35030" t="s">
        <v>175</v>
      </c>
      <c r="D35030">
        <v>5220</v>
      </c>
      <c r="E35030">
        <v>0</v>
      </c>
      <c r="F35030">
        <v>62</v>
      </c>
    </row>
    <row r="35031" spans="1:6" ht="12.75">
      <c r="A35031" s="2">
        <v>43875.323680555557</v>
      </c>
      <c r="B35031" t="str">
        <f>HYPERLINK("https://twitter.com/ienuli","@ienuli")</f>
        <v>@ienuli</v>
      </c>
      <c r="C35031" t="s">
        <v>10266</v>
      </c>
      <c r="D35031">
        <v>248</v>
      </c>
      <c r="E35031">
        <v>0</v>
      </c>
      <c r="F35031">
        <v>1393</v>
      </c>
    </row>
    <row r="35032" spans="1:6" ht="12.75">
      <c r="A35032" s="2">
        <v>43875.323634259257</v>
      </c>
      <c r="B35032" t="str">
        <f>HYPERLINK("https://twitter.com/Awalanur","@Awalanur")</f>
        <v>@Awalanur</v>
      </c>
      <c r="C35032" t="s">
        <v>14580</v>
      </c>
      <c r="D35032">
        <v>0</v>
      </c>
      <c r="E35032">
        <v>0</v>
      </c>
      <c r="F35032">
        <v>14</v>
      </c>
    </row>
    <row r="35033" spans="1:6" ht="12.75">
      <c r="A35033" s="2">
        <v>43875.323599537034</v>
      </c>
      <c r="B35033" t="str">
        <f>HYPERLINK("https://twitter.com/PayGinuk","@PayGinuk")</f>
        <v>@PayGinuk</v>
      </c>
      <c r="C35033" t="s">
        <v>9113</v>
      </c>
      <c r="D35033">
        <v>238</v>
      </c>
      <c r="E35033">
        <v>0</v>
      </c>
      <c r="F35033">
        <v>315</v>
      </c>
    </row>
    <row r="35034" spans="1:6" ht="12.75">
      <c r="A35034" s="2">
        <v>43875.323541666672</v>
      </c>
      <c r="B35034" t="str">
        <f>HYPERLINK("https://twitter.com/mansei","@mansei")</f>
        <v>@mansei</v>
      </c>
      <c r="C35034" t="s">
        <v>11449</v>
      </c>
      <c r="D35034">
        <v>7</v>
      </c>
      <c r="E35034">
        <v>0</v>
      </c>
      <c r="F35034">
        <v>995</v>
      </c>
    </row>
    <row r="35035" spans="1:6" ht="12.75">
      <c r="A35035" s="2">
        <v>43875.323530092588</v>
      </c>
      <c r="B35035" t="str">
        <f>HYPERLINK("https://twitter.com/cha_zea","@cha_zea")</f>
        <v>@cha_zea</v>
      </c>
      <c r="C35035" t="s">
        <v>7923</v>
      </c>
      <c r="D35035">
        <v>3</v>
      </c>
      <c r="E35035">
        <v>0</v>
      </c>
      <c r="F35035">
        <v>1027</v>
      </c>
    </row>
    <row r="35036" spans="1:6" ht="12.75">
      <c r="A35036" s="2">
        <v>43875.323518518519</v>
      </c>
      <c r="B35036" t="str">
        <f>HYPERLINK("https://twitter.com/MBIrfan1933","@MBIrfan1933")</f>
        <v>@MBIrfan1933</v>
      </c>
      <c r="C35036" t="s">
        <v>14581</v>
      </c>
      <c r="D35036">
        <v>0</v>
      </c>
      <c r="E35036">
        <v>0</v>
      </c>
      <c r="F35036">
        <v>1</v>
      </c>
    </row>
    <row r="35037" spans="1:6" ht="12.75">
      <c r="A35037" s="2">
        <v>43875.323321759264</v>
      </c>
      <c r="B35037" t="str">
        <f>HYPERLINK("https://twitter.com/heygaluh","@heygaluh")</f>
        <v>@heygaluh</v>
      </c>
      <c r="C35037" t="s">
        <v>14582</v>
      </c>
      <c r="D35037">
        <v>0</v>
      </c>
      <c r="E35037">
        <v>0</v>
      </c>
      <c r="F35037">
        <v>496</v>
      </c>
    </row>
    <row r="35038" spans="1:6" ht="12.75">
      <c r="A35038" s="2">
        <v>43875.323321759264</v>
      </c>
      <c r="B35038" t="str">
        <f>HYPERLINK("https://twitter.com/ArdhiRieza","@ArdhiRieza")</f>
        <v>@ArdhiRieza</v>
      </c>
      <c r="C35038" t="s">
        <v>14583</v>
      </c>
      <c r="D35038">
        <v>0</v>
      </c>
      <c r="E35038">
        <v>0</v>
      </c>
      <c r="F35038">
        <v>131</v>
      </c>
    </row>
    <row r="35039" spans="1:6" ht="12.75">
      <c r="A35039" s="2">
        <v>43875.32331018518</v>
      </c>
      <c r="B35039" t="str">
        <f>HYPERLINK("https://twitter.com/Rayvita","@Rayvita")</f>
        <v>@Rayvita</v>
      </c>
      <c r="C35039" t="s">
        <v>14584</v>
      </c>
      <c r="D35039">
        <v>33</v>
      </c>
      <c r="E35039">
        <v>0</v>
      </c>
      <c r="F35039">
        <v>326</v>
      </c>
    </row>
    <row r="35040" spans="1:6" ht="12.75">
      <c r="A35040" s="2">
        <v>43875.323252314818</v>
      </c>
      <c r="B35040" t="str">
        <f>HYPERLINK("https://twitter.com/theditor3","@theditor3")</f>
        <v>@theditor3</v>
      </c>
      <c r="C35040" t="s">
        <v>10096</v>
      </c>
      <c r="D35040">
        <v>55</v>
      </c>
      <c r="E35040">
        <v>0</v>
      </c>
      <c r="F35040">
        <v>110</v>
      </c>
    </row>
    <row r="35041" spans="1:6" ht="12.75">
      <c r="A35041" s="2">
        <v>43875.323217592595</v>
      </c>
      <c r="B35041" t="str">
        <f>HYPERLINK("https://twitter.com/iminR84","@iminR84")</f>
        <v>@iminR84</v>
      </c>
      <c r="C35041" t="s">
        <v>2963</v>
      </c>
      <c r="D35041">
        <v>364</v>
      </c>
      <c r="E35041">
        <v>0</v>
      </c>
      <c r="F35041">
        <v>1434</v>
      </c>
    </row>
    <row r="35042" spans="1:6" ht="12.75">
      <c r="A35042" s="2">
        <v>43875.323171296295</v>
      </c>
      <c r="B35042" t="str">
        <f>HYPERLINK("https://twitter.com/Putrara11974565","@Putrara11974565")</f>
        <v>@Putrara11974565</v>
      </c>
      <c r="C35042" t="s">
        <v>9803</v>
      </c>
      <c r="D35042">
        <v>31</v>
      </c>
      <c r="E35042">
        <v>0</v>
      </c>
      <c r="F35042">
        <v>9</v>
      </c>
    </row>
    <row r="35043" spans="1:6" ht="12.75">
      <c r="A35043" s="2">
        <v>43875.323159722218</v>
      </c>
      <c r="B35043" t="str">
        <f>HYPERLINK("https://twitter.com/Mulia07094480","@Mulia07094480")</f>
        <v>@Mulia07094480</v>
      </c>
      <c r="C35043" t="s">
        <v>14585</v>
      </c>
      <c r="D35043">
        <v>0</v>
      </c>
      <c r="E35043">
        <v>3</v>
      </c>
      <c r="F35043">
        <v>702</v>
      </c>
    </row>
    <row r="35044" spans="1:6" ht="12.75">
      <c r="A35044" s="2">
        <v>43875.323136574079</v>
      </c>
      <c r="B35044" t="str">
        <f>HYPERLINK("https://twitter.com/BungGarry","@BungGarry")</f>
        <v>@BungGarry</v>
      </c>
      <c r="C35044" t="s">
        <v>14586</v>
      </c>
      <c r="D35044">
        <v>0</v>
      </c>
      <c r="E35044">
        <v>0</v>
      </c>
      <c r="F35044">
        <v>140</v>
      </c>
    </row>
    <row r="35045" spans="1:6" ht="12.75">
      <c r="A35045" s="2">
        <v>43875.323124999995</v>
      </c>
      <c r="B35045" t="str">
        <f>HYPERLINK("https://twitter.com/reyharlan","@reyharlan")</f>
        <v>@reyharlan</v>
      </c>
      <c r="C35045" t="s">
        <v>5761</v>
      </c>
      <c r="D35045">
        <v>26</v>
      </c>
      <c r="E35045">
        <v>0</v>
      </c>
      <c r="F35045">
        <v>586</v>
      </c>
    </row>
    <row r="35046" spans="1:6" ht="12.75">
      <c r="A35046" s="2">
        <v>43875.32309027778</v>
      </c>
      <c r="B35046" t="str">
        <f>HYPERLINK("https://twitter.com/abdulharis2016","@abdulharis2016")</f>
        <v>@abdulharis2016</v>
      </c>
      <c r="C35046" t="s">
        <v>14587</v>
      </c>
      <c r="D35046">
        <v>0</v>
      </c>
      <c r="E35046">
        <v>0</v>
      </c>
      <c r="F35046">
        <v>10</v>
      </c>
    </row>
    <row r="35047" spans="1:6" ht="12.75">
      <c r="A35047" s="2">
        <v>43875.322997685187</v>
      </c>
      <c r="B35047" t="str">
        <f>HYPERLINK("https://twitter.com/dean3th","@dean3th")</f>
        <v>@dean3th</v>
      </c>
      <c r="C35047" t="s">
        <v>11390</v>
      </c>
      <c r="D35047">
        <v>71</v>
      </c>
      <c r="E35047">
        <v>0</v>
      </c>
      <c r="F35047">
        <v>386</v>
      </c>
    </row>
    <row r="35048" spans="1:6" ht="12.75">
      <c r="A35048" s="2">
        <v>43875.322962962964</v>
      </c>
      <c r="B35048" t="str">
        <f>HYPERLINK("https://twitter.com/HendarwatiH","@HendarwatiH")</f>
        <v>@HendarwatiH</v>
      </c>
      <c r="C35048" t="s">
        <v>5761</v>
      </c>
      <c r="D35048">
        <v>26</v>
      </c>
      <c r="E35048">
        <v>0</v>
      </c>
      <c r="F35048">
        <v>2112</v>
      </c>
    </row>
    <row r="35049" spans="1:6" ht="12.75">
      <c r="A35049" s="2">
        <v>43875.322939814811</v>
      </c>
      <c r="B35049" t="str">
        <f>HYPERLINK("https://twitter.com/WiratamaJody","@WiratamaJody")</f>
        <v>@WiratamaJody</v>
      </c>
      <c r="C35049" t="s">
        <v>5168</v>
      </c>
      <c r="D35049">
        <v>369</v>
      </c>
      <c r="E35049">
        <v>0</v>
      </c>
      <c r="F35049">
        <v>699</v>
      </c>
    </row>
    <row r="35050" spans="1:6" ht="12.75">
      <c r="A35050" s="2">
        <v>43875.322754629626</v>
      </c>
      <c r="B35050" t="str">
        <f>HYPERLINK("https://twitter.com/Heri_aja","@Heri_aja")</f>
        <v>@Heri_aja</v>
      </c>
      <c r="C35050" t="s">
        <v>11566</v>
      </c>
      <c r="D35050">
        <v>94</v>
      </c>
      <c r="E35050">
        <v>0</v>
      </c>
      <c r="F35050">
        <v>1683</v>
      </c>
    </row>
    <row r="35051" spans="1:6" ht="12.75">
      <c r="A35051" s="2">
        <v>43875.322743055556</v>
      </c>
      <c r="B35051" t="str">
        <f>HYPERLINK("https://twitter.com/AliAm36","@AliAm36")</f>
        <v>@AliAm36</v>
      </c>
      <c r="C35051" t="s">
        <v>10196</v>
      </c>
      <c r="D35051">
        <v>123</v>
      </c>
      <c r="E35051">
        <v>0</v>
      </c>
      <c r="F35051">
        <v>502</v>
      </c>
    </row>
    <row r="35052" spans="1:6" ht="12.75">
      <c r="A35052" s="2">
        <v>43875.322650462964</v>
      </c>
      <c r="B35052" t="str">
        <f>HYPERLINK("https://twitter.com/DadangS81286454","@DadangS81286454")</f>
        <v>@DadangS81286454</v>
      </c>
      <c r="C35052" t="s">
        <v>14588</v>
      </c>
      <c r="D35052">
        <v>0</v>
      </c>
      <c r="E35052">
        <v>0</v>
      </c>
      <c r="F35052">
        <v>21</v>
      </c>
    </row>
    <row r="35053" spans="1:6" ht="12.75">
      <c r="A35053" s="2">
        <v>43875.322627314818</v>
      </c>
      <c r="B35053" t="str">
        <f>HYPERLINK("https://twitter.com/Bentir16","@Bentir16")</f>
        <v>@Bentir16</v>
      </c>
      <c r="C35053" t="s">
        <v>9263</v>
      </c>
      <c r="D35053">
        <v>68</v>
      </c>
      <c r="E35053">
        <v>0</v>
      </c>
      <c r="F35053">
        <v>319</v>
      </c>
    </row>
    <row r="35054" spans="1:6" ht="12.75">
      <c r="A35054" s="2">
        <v>43875.322592592594</v>
      </c>
      <c r="B35054" t="str">
        <f>HYPERLINK("https://twitter.com/HendarwatiH","@HendarwatiH")</f>
        <v>@HendarwatiH</v>
      </c>
      <c r="C35054" t="s">
        <v>13126</v>
      </c>
      <c r="D35054">
        <v>1</v>
      </c>
      <c r="E35054">
        <v>0</v>
      </c>
      <c r="F35054">
        <v>2112</v>
      </c>
    </row>
    <row r="35055" spans="1:6" ht="12.75">
      <c r="A35055" s="2">
        <v>43875.322557870371</v>
      </c>
      <c r="B35055" t="str">
        <f>HYPERLINK("https://twitter.com/AEkopurnomo","@AEkopurnomo")</f>
        <v>@AEkopurnomo</v>
      </c>
      <c r="C35055" t="s">
        <v>10422</v>
      </c>
      <c r="D35055">
        <v>23</v>
      </c>
      <c r="E35055">
        <v>0</v>
      </c>
      <c r="F35055">
        <v>154</v>
      </c>
    </row>
    <row r="35056" spans="1:6" ht="12.75">
      <c r="A35056" s="2">
        <v>43875.322534722218</v>
      </c>
      <c r="B35056" t="str">
        <f>HYPERLINK("https://twitter.com/faisalhari08","@faisalhari08")</f>
        <v>@faisalhari08</v>
      </c>
      <c r="C35056" t="s">
        <v>9538</v>
      </c>
      <c r="D35056">
        <v>87</v>
      </c>
      <c r="E35056">
        <v>0</v>
      </c>
      <c r="F35056">
        <v>203</v>
      </c>
    </row>
    <row r="35057" spans="1:6" ht="12.75">
      <c r="A35057" s="2">
        <v>43875.322523148148</v>
      </c>
      <c r="B35057" t="str">
        <f>HYPERLINK("https://twitter.com/chinpinite","@chinpinite")</f>
        <v>@chinpinite</v>
      </c>
      <c r="C35057" t="s">
        <v>2444</v>
      </c>
      <c r="D35057">
        <v>63</v>
      </c>
      <c r="E35057">
        <v>0</v>
      </c>
      <c r="F35057">
        <v>14</v>
      </c>
    </row>
    <row r="35058" spans="1:6" ht="12.75">
      <c r="A35058" s="2">
        <v>43875.322499999995</v>
      </c>
      <c r="B35058" t="str">
        <f>HYPERLINK("https://twitter.com/ArilGuci","@ArilGuci")</f>
        <v>@ArilGuci</v>
      </c>
      <c r="C35058" t="s">
        <v>8252</v>
      </c>
      <c r="D35058">
        <v>472</v>
      </c>
      <c r="E35058">
        <v>0</v>
      </c>
      <c r="F35058">
        <v>304</v>
      </c>
    </row>
    <row r="35059" spans="1:6" ht="12.75">
      <c r="A35059" s="2">
        <v>43875.322418981479</v>
      </c>
      <c r="B35059" t="str">
        <f>HYPERLINK("https://twitter.com/ienuli","@ienuli")</f>
        <v>@ienuli</v>
      </c>
      <c r="C35059" t="s">
        <v>13369</v>
      </c>
      <c r="D35059">
        <v>1</v>
      </c>
      <c r="E35059">
        <v>0</v>
      </c>
      <c r="F35059">
        <v>1393</v>
      </c>
    </row>
    <row r="35060" spans="1:6" ht="12.75">
      <c r="A35060" s="2">
        <v>43875.32236111111</v>
      </c>
      <c r="B35060" t="str">
        <f>HYPERLINK("https://twitter.com/HendarwatiH","@HendarwatiH")</f>
        <v>@HendarwatiH</v>
      </c>
      <c r="C35060" t="s">
        <v>13525</v>
      </c>
      <c r="D35060">
        <v>1</v>
      </c>
      <c r="E35060">
        <v>0</v>
      </c>
      <c r="F35060">
        <v>2112</v>
      </c>
    </row>
    <row r="35061" spans="1:6" ht="12.75">
      <c r="A35061" s="2">
        <v>43875.32236111111</v>
      </c>
      <c r="B35061" t="str">
        <f>HYPERLINK("https://twitter.com/JunizarT","@JunizarT")</f>
        <v>@JunizarT</v>
      </c>
      <c r="C35061" t="s">
        <v>11580</v>
      </c>
      <c r="D35061">
        <v>28</v>
      </c>
      <c r="E35061">
        <v>0</v>
      </c>
      <c r="F35061">
        <v>626</v>
      </c>
    </row>
    <row r="35062" spans="1:6" ht="12.75">
      <c r="A35062" s="2">
        <v>43875.322337962964</v>
      </c>
      <c r="B35062" t="str">
        <f>HYPERLINK("https://twitter.com/sukatanyaj","@sukatanyaj")</f>
        <v>@sukatanyaj</v>
      </c>
      <c r="C35062" t="s">
        <v>13757</v>
      </c>
      <c r="D35062">
        <v>35</v>
      </c>
      <c r="E35062">
        <v>0</v>
      </c>
      <c r="F35062">
        <v>5691</v>
      </c>
    </row>
    <row r="35063" spans="1:6" ht="12.75">
      <c r="A35063" s="2">
        <v>43875.322337962964</v>
      </c>
      <c r="B35063" t="str">
        <f>HYPERLINK("https://twitter.com/untungPWIRnekad","@untungPWIRnekad")</f>
        <v>@untungPWIRnekad</v>
      </c>
      <c r="C35063" t="s">
        <v>9538</v>
      </c>
      <c r="D35063">
        <v>87</v>
      </c>
      <c r="E35063">
        <v>0</v>
      </c>
      <c r="F35063">
        <v>295</v>
      </c>
    </row>
    <row r="35064" spans="1:6" ht="12.75">
      <c r="A35064" s="2">
        <v>43875.322326388894</v>
      </c>
      <c r="B35064" t="str">
        <f>HYPERLINK("https://twitter.com/LukmanHarijanto","@LukmanHarijanto")</f>
        <v>@LukmanHarijanto</v>
      </c>
      <c r="C35064" t="s">
        <v>9096</v>
      </c>
      <c r="D35064">
        <v>144</v>
      </c>
      <c r="E35064">
        <v>0</v>
      </c>
      <c r="F35064">
        <v>597</v>
      </c>
    </row>
    <row r="35065" spans="1:6" ht="12.75">
      <c r="A35065" s="2">
        <v>43875.322233796294</v>
      </c>
      <c r="B35065" t="str">
        <f>HYPERLINK("https://twitter.com/haryoprabowo","@haryoprabowo")</f>
        <v>@haryoprabowo</v>
      </c>
      <c r="C35065" t="s">
        <v>7803</v>
      </c>
      <c r="D35065">
        <v>296</v>
      </c>
      <c r="E35065">
        <v>0</v>
      </c>
      <c r="F35065">
        <v>618</v>
      </c>
    </row>
    <row r="35066" spans="1:6" ht="12.75">
      <c r="A35066" s="2">
        <v>43875.322187500002</v>
      </c>
      <c r="B35066" t="str">
        <f>HYPERLINK("https://twitter.com/somat_amoral","@somat_amoral")</f>
        <v>@somat_amoral</v>
      </c>
      <c r="C35066" t="s">
        <v>14589</v>
      </c>
      <c r="D35066">
        <v>1</v>
      </c>
      <c r="E35066">
        <v>1</v>
      </c>
      <c r="F35066">
        <v>2216</v>
      </c>
    </row>
    <row r="35067" spans="1:6" ht="12.75">
      <c r="A35067" s="2">
        <v>43875.322175925925</v>
      </c>
      <c r="B35067" t="str">
        <f>HYPERLINK("https://twitter.com/eko_suhartanto","@eko_suhartanto")</f>
        <v>@eko_suhartanto</v>
      </c>
      <c r="C35067" t="s">
        <v>12279</v>
      </c>
      <c r="D35067">
        <v>53</v>
      </c>
      <c r="E35067">
        <v>0</v>
      </c>
      <c r="F35067">
        <v>344</v>
      </c>
    </row>
    <row r="35068" spans="1:6" ht="12.75">
      <c r="A35068" s="2">
        <v>43875.322152777779</v>
      </c>
      <c r="B35068" t="str">
        <f>HYPERLINK("https://twitter.com/cha_zea","@cha_zea")</f>
        <v>@cha_zea</v>
      </c>
      <c r="C35068" t="s">
        <v>9021</v>
      </c>
      <c r="D35068">
        <v>135</v>
      </c>
      <c r="E35068">
        <v>0</v>
      </c>
      <c r="F35068">
        <v>1027</v>
      </c>
    </row>
    <row r="35069" spans="1:6" ht="12.75">
      <c r="A35069" s="2">
        <v>43875.322071759263</v>
      </c>
      <c r="B35069" t="str">
        <f>HYPERLINK("https://twitter.com/RifandiShbg","@RifandiShbg")</f>
        <v>@RifandiShbg</v>
      </c>
      <c r="C35069" t="s">
        <v>2963</v>
      </c>
      <c r="D35069">
        <v>364</v>
      </c>
      <c r="E35069">
        <v>0</v>
      </c>
      <c r="F35069">
        <v>112</v>
      </c>
    </row>
    <row r="35070" spans="1:6" ht="12.75">
      <c r="A35070" s="2">
        <v>43875.322048611109</v>
      </c>
      <c r="B35070" t="str">
        <f>HYPERLINK("https://twitter.com/usefulcompass","@usefulcompass")</f>
        <v>@usefulcompass</v>
      </c>
      <c r="C35070" t="s">
        <v>14590</v>
      </c>
      <c r="D35070">
        <v>1</v>
      </c>
      <c r="E35070">
        <v>0</v>
      </c>
      <c r="F35070">
        <v>584</v>
      </c>
    </row>
    <row r="35071" spans="1:6" ht="12.75">
      <c r="A35071" s="2">
        <v>43875.322002314817</v>
      </c>
      <c r="B35071" t="str">
        <f>HYPERLINK("https://twitter.com/note_life","@note_life")</f>
        <v>@note_life</v>
      </c>
      <c r="C35071" t="s">
        <v>14591</v>
      </c>
      <c r="D35071">
        <v>0</v>
      </c>
      <c r="E35071">
        <v>0</v>
      </c>
      <c r="F35071">
        <v>25</v>
      </c>
    </row>
    <row r="35072" spans="1:6" ht="12.75">
      <c r="A35072" s="2">
        <v>43875.32199074074</v>
      </c>
      <c r="B35072" t="str">
        <f>HYPERLINK("https://twitter.com/Rizall_06","@Rizall_06")</f>
        <v>@Rizall_06</v>
      </c>
      <c r="C35072" t="s">
        <v>2963</v>
      </c>
      <c r="D35072">
        <v>364</v>
      </c>
      <c r="E35072">
        <v>0</v>
      </c>
      <c r="F35072">
        <v>1</v>
      </c>
    </row>
    <row r="35073" spans="1:6" ht="12.75">
      <c r="A35073" s="2">
        <v>43875.321932870371</v>
      </c>
      <c r="B35073" t="str">
        <f>HYPERLINK("https://twitter.com/MAlexandriet","@MAlexandriet")</f>
        <v>@MAlexandriet</v>
      </c>
      <c r="C35073" t="s">
        <v>9113</v>
      </c>
      <c r="D35073">
        <v>238</v>
      </c>
      <c r="E35073">
        <v>0</v>
      </c>
      <c r="F35073">
        <v>194</v>
      </c>
    </row>
    <row r="35074" spans="1:6" ht="12.75">
      <c r="A35074" s="2">
        <v>43875.321898148148</v>
      </c>
      <c r="B35074" t="str">
        <f>HYPERLINK("https://twitter.com/usefulcompass","@usefulcompass")</f>
        <v>@usefulcompass</v>
      </c>
      <c r="C35074" t="s">
        <v>14267</v>
      </c>
      <c r="D35074">
        <v>2</v>
      </c>
      <c r="E35074">
        <v>0</v>
      </c>
      <c r="F35074">
        <v>584</v>
      </c>
    </row>
    <row r="35075" spans="1:6" ht="12.75">
      <c r="A35075" s="2">
        <v>43875.321886574078</v>
      </c>
      <c r="B35075" t="str">
        <f>HYPERLINK("https://twitter.com/Ernie_es","@Ernie_es")</f>
        <v>@Ernie_es</v>
      </c>
      <c r="C35075" t="s">
        <v>14592</v>
      </c>
      <c r="D35075">
        <v>0</v>
      </c>
      <c r="E35075">
        <v>8</v>
      </c>
      <c r="F35075">
        <v>3614</v>
      </c>
    </row>
    <row r="35076" spans="1:6" ht="12.75">
      <c r="A35076" s="2">
        <v>43875.321875000001</v>
      </c>
      <c r="B35076" t="str">
        <f>HYPERLINK("https://twitter.com/Putrara11974565","@Putrara11974565")</f>
        <v>@Putrara11974565</v>
      </c>
      <c r="C35076" t="s">
        <v>9186</v>
      </c>
      <c r="D35076">
        <v>95</v>
      </c>
      <c r="E35076">
        <v>0</v>
      </c>
      <c r="F35076">
        <v>9</v>
      </c>
    </row>
    <row r="35077" spans="1:6" ht="12.75">
      <c r="A35077" s="2">
        <v>43875.321828703702</v>
      </c>
      <c r="B35077" t="str">
        <f>HYPERLINK("https://twitter.com/badaxp","@badaxp")</f>
        <v>@badaxp</v>
      </c>
      <c r="C35077" t="s">
        <v>14593</v>
      </c>
      <c r="D35077">
        <v>32</v>
      </c>
      <c r="E35077">
        <v>0</v>
      </c>
      <c r="F35077">
        <v>241</v>
      </c>
    </row>
    <row r="35078" spans="1:6" ht="12.75">
      <c r="A35078" s="2">
        <v>43875.321805555555</v>
      </c>
      <c r="B35078" t="str">
        <f>HYPERLINK("https://twitter.com/Firmanbudianap2","@Firmanbudianap2")</f>
        <v>@Firmanbudianap2</v>
      </c>
      <c r="C35078" t="s">
        <v>14180</v>
      </c>
      <c r="D35078">
        <v>6</v>
      </c>
      <c r="E35078">
        <v>0</v>
      </c>
      <c r="F35078">
        <v>152</v>
      </c>
    </row>
    <row r="35079" spans="1:6" ht="12.75">
      <c r="A35079" s="2">
        <v>43875.321793981479</v>
      </c>
      <c r="B35079" t="str">
        <f>HYPERLINK("https://twitter.com/AngahAnduang","@AngahAnduang")</f>
        <v>@AngahAnduang</v>
      </c>
      <c r="C35079" t="s">
        <v>14180</v>
      </c>
      <c r="D35079">
        <v>6</v>
      </c>
      <c r="E35079">
        <v>0</v>
      </c>
      <c r="F35079">
        <v>593</v>
      </c>
    </row>
    <row r="35080" spans="1:6" ht="12.75">
      <c r="A35080" s="2">
        <v>43875.321724537032</v>
      </c>
      <c r="B35080" t="str">
        <f>HYPERLINK("https://twitter.com/untungPWIRnekad","@untungPWIRnekad")</f>
        <v>@untungPWIRnekad</v>
      </c>
      <c r="C35080" t="s">
        <v>14594</v>
      </c>
      <c r="D35080">
        <v>0</v>
      </c>
      <c r="E35080">
        <v>0</v>
      </c>
      <c r="F35080">
        <v>295</v>
      </c>
    </row>
    <row r="35081" spans="1:6" ht="12.75">
      <c r="A35081" s="2">
        <v>43875.321712962963</v>
      </c>
      <c r="B35081" t="str">
        <f>HYPERLINK("https://twitter.com/isis_meurer","@isis_meurer")</f>
        <v>@isis_meurer</v>
      </c>
      <c r="C35081" t="s">
        <v>14595</v>
      </c>
      <c r="D35081">
        <v>0</v>
      </c>
      <c r="E35081">
        <v>0</v>
      </c>
      <c r="F35081">
        <v>701</v>
      </c>
    </row>
    <row r="35082" spans="1:6" ht="12.75">
      <c r="A35082" s="2">
        <v>43875.321689814809</v>
      </c>
      <c r="B35082" t="str">
        <f>HYPERLINK("https://twitter.com/Gregorius841","@Gregorius841")</f>
        <v>@Gregorius841</v>
      </c>
      <c r="C35082" t="s">
        <v>11425</v>
      </c>
      <c r="D35082">
        <v>183</v>
      </c>
      <c r="E35082">
        <v>0</v>
      </c>
      <c r="F35082">
        <v>3701</v>
      </c>
    </row>
    <row r="35083" spans="1:6" ht="12.75">
      <c r="A35083" s="2">
        <v>43875.32167824074</v>
      </c>
      <c r="B35083" t="str">
        <f>HYPERLINK("https://twitter.com/Anang_331","@Anang_331")</f>
        <v>@Anang_331</v>
      </c>
      <c r="C35083" t="s">
        <v>2963</v>
      </c>
      <c r="D35083">
        <v>364</v>
      </c>
      <c r="E35083">
        <v>0</v>
      </c>
      <c r="F35083">
        <v>1035</v>
      </c>
    </row>
    <row r="35084" spans="1:6" ht="12.75">
      <c r="A35084" s="2">
        <v>43875.32167824074</v>
      </c>
      <c r="B35084" t="str">
        <f>HYPERLINK("https://twitter.com/ang3lyogini","@ang3lyogini")</f>
        <v>@ang3lyogini</v>
      </c>
      <c r="C35084" t="s">
        <v>14596</v>
      </c>
      <c r="D35084">
        <v>1</v>
      </c>
      <c r="E35084">
        <v>0</v>
      </c>
      <c r="F35084">
        <v>95</v>
      </c>
    </row>
    <row r="35085" spans="1:6" ht="12.75">
      <c r="A35085" s="2">
        <v>43875.321643518517</v>
      </c>
      <c r="B35085" t="str">
        <f>HYPERLINK("https://twitter.com/HendarwatiH","@HendarwatiH")</f>
        <v>@HendarwatiH</v>
      </c>
      <c r="C35085" t="s">
        <v>14597</v>
      </c>
      <c r="D35085">
        <v>2</v>
      </c>
      <c r="E35085">
        <v>0</v>
      </c>
      <c r="F35085">
        <v>2112</v>
      </c>
    </row>
    <row r="35086" spans="1:6" ht="12.75">
      <c r="A35086" s="2">
        <v>43875.321597222224</v>
      </c>
      <c r="B35086" t="str">
        <f>HYPERLINK("https://twitter.com/papariza","@papariza")</f>
        <v>@papariza</v>
      </c>
      <c r="C35086" t="s">
        <v>14598</v>
      </c>
      <c r="D35086">
        <v>2</v>
      </c>
      <c r="E35086">
        <v>0</v>
      </c>
      <c r="F35086">
        <v>2203</v>
      </c>
    </row>
    <row r="35087" spans="1:6" ht="12.75">
      <c r="A35087" s="2">
        <v>43875.321562500001</v>
      </c>
      <c r="B35087" t="str">
        <f>HYPERLINK("https://twitter.com/etik_sp","@etik_sp")</f>
        <v>@etik_sp</v>
      </c>
      <c r="C35087" t="s">
        <v>10462</v>
      </c>
      <c r="D35087">
        <v>226</v>
      </c>
      <c r="E35087">
        <v>0</v>
      </c>
      <c r="F35087">
        <v>201</v>
      </c>
    </row>
    <row r="35088" spans="1:6" ht="12.75">
      <c r="A35088" s="2">
        <v>43875.321527777778</v>
      </c>
      <c r="B35088" t="str">
        <f>HYPERLINK("https://twitter.com/pelatdise","@pelatdise")</f>
        <v>@pelatdise</v>
      </c>
      <c r="C35088" t="s">
        <v>14599</v>
      </c>
      <c r="D35088">
        <v>1</v>
      </c>
      <c r="E35088">
        <v>0</v>
      </c>
      <c r="F35088">
        <v>542</v>
      </c>
    </row>
    <row r="35089" spans="1:6" ht="12.75">
      <c r="A35089" s="2">
        <v>43875.321527777778</v>
      </c>
      <c r="B35089" t="str">
        <f>HYPERLINK("https://twitter.com/mungkinbegini","@mungkinbegini")</f>
        <v>@mungkinbegini</v>
      </c>
      <c r="C35089" t="s">
        <v>14600</v>
      </c>
      <c r="D35089">
        <v>0</v>
      </c>
      <c r="E35089">
        <v>0</v>
      </c>
      <c r="F35089">
        <v>1032</v>
      </c>
    </row>
    <row r="35090" spans="1:6" ht="12.75">
      <c r="A35090" s="2">
        <v>43875.321296296301</v>
      </c>
      <c r="B35090" t="str">
        <f>HYPERLINK("https://twitter.com/__Ndaru__","@__Ndaru__")</f>
        <v>@__Ndaru__</v>
      </c>
      <c r="C35090" t="s">
        <v>14601</v>
      </c>
      <c r="D35090">
        <v>0</v>
      </c>
      <c r="E35090">
        <v>0</v>
      </c>
      <c r="F35090">
        <v>315</v>
      </c>
    </row>
    <row r="35091" spans="1:6" ht="12.75">
      <c r="A35091" s="2">
        <v>43875.321284722224</v>
      </c>
      <c r="B35091" t="str">
        <f>HYPERLINK("https://twitter.com/HendarwatiH","@HendarwatiH")</f>
        <v>@HendarwatiH</v>
      </c>
      <c r="C35091" t="s">
        <v>14273</v>
      </c>
      <c r="D35091">
        <v>2</v>
      </c>
      <c r="E35091">
        <v>0</v>
      </c>
      <c r="F35091">
        <v>2112</v>
      </c>
    </row>
    <row r="35092" spans="1:6" ht="12.75">
      <c r="A35092" s="2">
        <v>43875.321250000001</v>
      </c>
      <c r="B35092" t="str">
        <f>HYPERLINK("https://twitter.com/untungPWIRnekad","@untungPWIRnekad")</f>
        <v>@untungPWIRnekad</v>
      </c>
      <c r="C35092" t="s">
        <v>10096</v>
      </c>
      <c r="D35092">
        <v>55</v>
      </c>
      <c r="E35092">
        <v>0</v>
      </c>
      <c r="F35092">
        <v>295</v>
      </c>
    </row>
    <row r="35093" spans="1:6" ht="12.75">
      <c r="A35093" s="2">
        <v>43875.321226851855</v>
      </c>
      <c r="B35093" t="str">
        <f>HYPERLINK("https://twitter.com/Ferry13602224","@Ferry13602224")</f>
        <v>@Ferry13602224</v>
      </c>
      <c r="C35093" t="s">
        <v>12793</v>
      </c>
      <c r="D35093">
        <v>90</v>
      </c>
      <c r="E35093">
        <v>0</v>
      </c>
      <c r="F35093">
        <v>345</v>
      </c>
    </row>
    <row r="35094" spans="1:6" ht="12.75">
      <c r="A35094" s="2">
        <v>43875.321215277778</v>
      </c>
      <c r="B35094" t="str">
        <f>HYPERLINK("https://twitter.com/badaxp","@badaxp")</f>
        <v>@badaxp</v>
      </c>
      <c r="C35094" t="s">
        <v>14602</v>
      </c>
      <c r="D35094">
        <v>48</v>
      </c>
      <c r="E35094">
        <v>0</v>
      </c>
      <c r="F35094">
        <v>241</v>
      </c>
    </row>
    <row r="35095" spans="1:6" ht="12.75">
      <c r="A35095" s="2">
        <v>43875.321180555555</v>
      </c>
      <c r="B35095" t="str">
        <f>HYPERLINK("https://twitter.com/muchyarr","@muchyarr")</f>
        <v>@muchyarr</v>
      </c>
      <c r="C35095" t="s">
        <v>2122</v>
      </c>
      <c r="D35095">
        <v>171</v>
      </c>
      <c r="E35095">
        <v>0</v>
      </c>
      <c r="F35095">
        <v>103</v>
      </c>
    </row>
    <row r="35096" spans="1:6" ht="12.75">
      <c r="A35096" s="2">
        <v>43875.321122685185</v>
      </c>
      <c r="B35096" t="str">
        <f>HYPERLINK("https://twitter.com/BongSofie","@BongSofie")</f>
        <v>@BongSofie</v>
      </c>
      <c r="C35096" t="s">
        <v>14287</v>
      </c>
      <c r="D35096">
        <v>51</v>
      </c>
      <c r="E35096">
        <v>0</v>
      </c>
      <c r="F35096">
        <v>355</v>
      </c>
    </row>
    <row r="35097" spans="1:6" ht="12.75">
      <c r="A35097" s="2">
        <v>43875.321076388893</v>
      </c>
      <c r="B35097" t="str">
        <f>HYPERLINK("https://twitter.com/popoeko73","@popoeko73")</f>
        <v>@popoeko73</v>
      </c>
      <c r="C35097" t="s">
        <v>14603</v>
      </c>
      <c r="D35097">
        <v>0</v>
      </c>
      <c r="E35097">
        <v>1</v>
      </c>
      <c r="F35097">
        <v>456</v>
      </c>
    </row>
    <row r="35098" spans="1:6" ht="12.75">
      <c r="A35098" s="2">
        <v>43875.321030092593</v>
      </c>
      <c r="B35098" t="str">
        <f>HYPERLINK("https://twitter.com/johans034","@johans034")</f>
        <v>@johans034</v>
      </c>
      <c r="C35098" t="s">
        <v>11322</v>
      </c>
      <c r="D35098">
        <v>60</v>
      </c>
      <c r="E35098">
        <v>0</v>
      </c>
      <c r="F35098">
        <v>510</v>
      </c>
    </row>
    <row r="35099" spans="1:6" ht="12.75">
      <c r="A35099" s="2">
        <v>43875.321030092593</v>
      </c>
      <c r="B35099" t="str">
        <f>HYPERLINK("https://twitter.com/RoamingPhantom","@RoamingPhantom")</f>
        <v>@RoamingPhantom</v>
      </c>
      <c r="C35099" t="s">
        <v>2444</v>
      </c>
      <c r="D35099">
        <v>63</v>
      </c>
      <c r="E35099">
        <v>0</v>
      </c>
      <c r="F35099">
        <v>381</v>
      </c>
    </row>
    <row r="35100" spans="1:6" ht="12.75">
      <c r="A35100" s="2">
        <v>43875.321006944447</v>
      </c>
      <c r="B35100" t="str">
        <f>HYPERLINK("https://twitter.com/AdrianPILI1409","@AdrianPILI1409")</f>
        <v>@AdrianPILI1409</v>
      </c>
      <c r="C35100" t="s">
        <v>10330</v>
      </c>
      <c r="D35100">
        <v>188</v>
      </c>
      <c r="E35100">
        <v>0</v>
      </c>
      <c r="F35100">
        <v>52</v>
      </c>
    </row>
    <row r="35101" spans="1:6" ht="12.75">
      <c r="A35101" s="2">
        <v>43875.321006944447</v>
      </c>
      <c r="B35101" t="str">
        <f>HYPERLINK("https://twitter.com/Andri_3atmoko","@Andri_3atmoko")</f>
        <v>@Andri_3atmoko</v>
      </c>
      <c r="C35101" t="s">
        <v>2963</v>
      </c>
      <c r="D35101">
        <v>364</v>
      </c>
      <c r="E35101">
        <v>0</v>
      </c>
      <c r="F35101">
        <v>1446</v>
      </c>
    </row>
    <row r="35102" spans="1:6" ht="12.75">
      <c r="A35102" s="2">
        <v>43875.32099537037</v>
      </c>
      <c r="B35102" t="str">
        <f>HYPERLINK("https://twitter.com/reyharlan","@reyharlan")</f>
        <v>@reyharlan</v>
      </c>
      <c r="C35102" t="s">
        <v>11778</v>
      </c>
      <c r="D35102">
        <v>12</v>
      </c>
      <c r="E35102">
        <v>0</v>
      </c>
      <c r="F35102">
        <v>586</v>
      </c>
    </row>
    <row r="35103" spans="1:6" ht="12.75">
      <c r="A35103" s="2">
        <v>43875.320972222224</v>
      </c>
      <c r="B35103" t="str">
        <f>HYPERLINK("https://twitter.com/Sintarowijaya","@Sintarowijaya")</f>
        <v>@Sintarowijaya</v>
      </c>
      <c r="C35103" t="s">
        <v>2963</v>
      </c>
      <c r="D35103">
        <v>364</v>
      </c>
      <c r="E35103">
        <v>0</v>
      </c>
      <c r="F35103">
        <v>1579</v>
      </c>
    </row>
    <row r="35104" spans="1:6" ht="12.75">
      <c r="A35104" s="2">
        <v>43875.32094907407</v>
      </c>
      <c r="B35104" t="str">
        <f>HYPERLINK("https://twitter.com/odeyallic","@odeyallic")</f>
        <v>@odeyallic</v>
      </c>
      <c r="C35104" t="s">
        <v>5168</v>
      </c>
      <c r="D35104">
        <v>369</v>
      </c>
      <c r="E35104">
        <v>0</v>
      </c>
      <c r="F35104">
        <v>4431</v>
      </c>
    </row>
    <row r="35105" spans="1:6" ht="12.75">
      <c r="A35105" s="2">
        <v>43875.320902777778</v>
      </c>
      <c r="B35105" t="str">
        <f>HYPERLINK("https://twitter.com/kbarbahar","@kbarbahar")</f>
        <v>@kbarbahar</v>
      </c>
      <c r="C35105" t="s">
        <v>5168</v>
      </c>
      <c r="D35105">
        <v>369</v>
      </c>
      <c r="E35105">
        <v>0</v>
      </c>
      <c r="F35105">
        <v>785</v>
      </c>
    </row>
    <row r="35106" spans="1:6" ht="12.75">
      <c r="A35106" s="2">
        <v>43875.320868055554</v>
      </c>
      <c r="B35106" t="str">
        <f>HYPERLINK("https://twitter.com/zoel_dmk","@zoel_dmk")</f>
        <v>@zoel_dmk</v>
      </c>
      <c r="C35106" t="s">
        <v>9538</v>
      </c>
      <c r="D35106">
        <v>87</v>
      </c>
      <c r="E35106">
        <v>0</v>
      </c>
      <c r="F35106">
        <v>2738</v>
      </c>
    </row>
    <row r="35107" spans="1:6" ht="12.75">
      <c r="A35107" s="2">
        <v>43875.320810185185</v>
      </c>
      <c r="B35107" t="str">
        <f>HYPERLINK("https://twitter.com/swamediainc","@swamediainc")</f>
        <v>@swamediainc</v>
      </c>
      <c r="C35107" t="s">
        <v>14604</v>
      </c>
      <c r="D35107">
        <v>0</v>
      </c>
      <c r="E35107">
        <v>0</v>
      </c>
      <c r="F35107">
        <v>16923</v>
      </c>
    </row>
    <row r="35108" spans="1:6" ht="12.75">
      <c r="A35108" s="2">
        <v>43875.320763888885</v>
      </c>
      <c r="B35108" t="str">
        <f>HYPERLINK("https://twitter.com/Ferry13602224","@Ferry13602224")</f>
        <v>@Ferry13602224</v>
      </c>
      <c r="C35108" t="s">
        <v>13889</v>
      </c>
      <c r="D35108">
        <v>58</v>
      </c>
      <c r="E35108">
        <v>0</v>
      </c>
      <c r="F35108">
        <v>345</v>
      </c>
    </row>
    <row r="35109" spans="1:6" ht="12.75">
      <c r="A35109" s="2">
        <v>43875.320717592593</v>
      </c>
      <c r="B35109" t="str">
        <f>HYPERLINK("https://twitter.com/Gregorius841","@Gregorius841")</f>
        <v>@Gregorius841</v>
      </c>
      <c r="C35109" t="s">
        <v>12940</v>
      </c>
      <c r="D35109">
        <v>95</v>
      </c>
      <c r="E35109">
        <v>0</v>
      </c>
      <c r="F35109">
        <v>3701</v>
      </c>
    </row>
    <row r="35110" spans="1:6" ht="12.75">
      <c r="A35110" s="2">
        <v>43875.32068287037</v>
      </c>
      <c r="B35110" t="str">
        <f>HYPERLINK("https://twitter.com/Budi_Pakarti","@Budi_Pakarti")</f>
        <v>@Budi_Pakarti</v>
      </c>
      <c r="C35110" t="s">
        <v>14605</v>
      </c>
      <c r="D35110">
        <v>0</v>
      </c>
      <c r="E35110">
        <v>0</v>
      </c>
      <c r="F35110">
        <v>351</v>
      </c>
    </row>
    <row r="35111" spans="1:6" ht="12.75">
      <c r="A35111" s="2">
        <v>43875.3206712963</v>
      </c>
      <c r="B35111" t="str">
        <f>HYPERLINK("https://twitter.com/MudasirRomini","@MudasirRomini")</f>
        <v>@MudasirRomini</v>
      </c>
      <c r="C35111" t="s">
        <v>14606</v>
      </c>
      <c r="D35111">
        <v>0</v>
      </c>
      <c r="E35111">
        <v>0</v>
      </c>
      <c r="F35111">
        <v>7300</v>
      </c>
    </row>
    <row r="35112" spans="1:6" ht="12.75">
      <c r="A35112" s="2">
        <v>43875.320659722223</v>
      </c>
      <c r="B35112" t="str">
        <f>HYPERLINK("https://twitter.com/bpriady","@bpriady")</f>
        <v>@bpriady</v>
      </c>
      <c r="C35112" t="s">
        <v>2122</v>
      </c>
      <c r="D35112">
        <v>171</v>
      </c>
      <c r="E35112">
        <v>0</v>
      </c>
      <c r="F35112">
        <v>593</v>
      </c>
    </row>
    <row r="35113" spans="1:6" ht="12.75">
      <c r="A35113" s="2">
        <v>43875.320625</v>
      </c>
      <c r="B35113" t="str">
        <f>HYPERLINK("https://twitter.com/Ferry13602224","@Ferry13602224")</f>
        <v>@Ferry13602224</v>
      </c>
      <c r="C35113" t="s">
        <v>12702</v>
      </c>
      <c r="D35113">
        <v>35</v>
      </c>
      <c r="E35113">
        <v>0</v>
      </c>
      <c r="F35113">
        <v>345</v>
      </c>
    </row>
    <row r="35114" spans="1:6" ht="12.75">
      <c r="A35114" s="2">
        <v>43875.320601851854</v>
      </c>
      <c r="B35114" t="str">
        <f>HYPERLINK("https://twitter.com/vonbronbiru","@vonbronbiru")</f>
        <v>@vonbronbiru</v>
      </c>
      <c r="C35114" t="s">
        <v>9993</v>
      </c>
      <c r="D35114">
        <v>2</v>
      </c>
      <c r="E35114">
        <v>0</v>
      </c>
      <c r="F35114">
        <v>948</v>
      </c>
    </row>
    <row r="35115" spans="1:6" ht="12.75">
      <c r="A35115" s="2">
        <v>43875.3205787037</v>
      </c>
      <c r="B35115" t="str">
        <f>HYPERLINK("https://twitter.com/CarlosMPardede","@CarlosMPardede")</f>
        <v>@CarlosMPardede</v>
      </c>
      <c r="C35115" t="s">
        <v>2144</v>
      </c>
      <c r="D35115">
        <v>31</v>
      </c>
      <c r="E35115">
        <v>0</v>
      </c>
      <c r="F35115">
        <v>39</v>
      </c>
    </row>
    <row r="35116" spans="1:6" ht="12.75">
      <c r="A35116" s="2">
        <v>43875.320474537039</v>
      </c>
      <c r="B35116" t="str">
        <f>HYPERLINK("https://twitter.com/HendarwatiH","@HendarwatiH")</f>
        <v>@HendarwatiH</v>
      </c>
      <c r="C35116" t="s">
        <v>11241</v>
      </c>
      <c r="D35116">
        <v>2</v>
      </c>
      <c r="E35116">
        <v>0</v>
      </c>
      <c r="F35116">
        <v>2112</v>
      </c>
    </row>
    <row r="35117" spans="1:6" ht="12.75">
      <c r="A35117" s="2">
        <v>43875.320416666669</v>
      </c>
      <c r="B35117" t="str">
        <f>HYPERLINK("https://twitter.com/Djaya79423627","@Djaya79423627")</f>
        <v>@Djaya79423627</v>
      </c>
      <c r="C35117" t="s">
        <v>14607</v>
      </c>
      <c r="D35117">
        <v>0</v>
      </c>
      <c r="E35117">
        <v>0</v>
      </c>
      <c r="F35117">
        <v>1</v>
      </c>
    </row>
    <row r="35118" spans="1:6" ht="12.75">
      <c r="A35118" s="2">
        <v>43875.320405092592</v>
      </c>
      <c r="B35118" t="str">
        <f>HYPERLINK("https://twitter.com/wiriantowidjaya","@wiriantowidjaya")</f>
        <v>@wiriantowidjaya</v>
      </c>
      <c r="C35118" t="s">
        <v>2963</v>
      </c>
      <c r="D35118">
        <v>364</v>
      </c>
      <c r="E35118">
        <v>0</v>
      </c>
      <c r="F35118">
        <v>1525</v>
      </c>
    </row>
    <row r="35119" spans="1:6" ht="12.75">
      <c r="A35119" s="2">
        <v>43875.320405092592</v>
      </c>
      <c r="B35119" t="str">
        <f>HYPERLINK("https://twitter.com/un13q","@un13q")</f>
        <v>@un13q</v>
      </c>
      <c r="C35119" t="s">
        <v>8233</v>
      </c>
      <c r="D35119">
        <v>274</v>
      </c>
      <c r="E35119">
        <v>0</v>
      </c>
      <c r="F35119">
        <v>119</v>
      </c>
    </row>
    <row r="35120" spans="1:6" ht="12.75">
      <c r="A35120" s="2">
        <v>43875.320358796293</v>
      </c>
      <c r="B35120" t="str">
        <f>HYPERLINK("https://twitter.com/mira_valentiina","@mira_valentiina")</f>
        <v>@mira_valentiina</v>
      </c>
      <c r="C35120" t="s">
        <v>2963</v>
      </c>
      <c r="D35120">
        <v>364</v>
      </c>
      <c r="E35120">
        <v>0</v>
      </c>
      <c r="F35120">
        <v>115</v>
      </c>
    </row>
    <row r="35121" spans="1:6" ht="12.75">
      <c r="A35121" s="2">
        <v>43875.320289351846</v>
      </c>
      <c r="B35121" t="str">
        <f>HYPERLINK("https://twitter.com/sonnavy","@sonnavy")</f>
        <v>@sonnavy</v>
      </c>
      <c r="C35121" t="s">
        <v>9021</v>
      </c>
      <c r="D35121">
        <v>135</v>
      </c>
      <c r="E35121">
        <v>0</v>
      </c>
      <c r="F35121">
        <v>407</v>
      </c>
    </row>
    <row r="35122" spans="1:6" ht="12.75">
      <c r="A35122" s="2">
        <v>43875.320266203707</v>
      </c>
      <c r="B35122" t="str">
        <f>HYPERLINK("https://twitter.com/HendarwatiH","@HendarwatiH")</f>
        <v>@HendarwatiH</v>
      </c>
      <c r="C35122" t="s">
        <v>2963</v>
      </c>
      <c r="D35122">
        <v>364</v>
      </c>
      <c r="E35122">
        <v>0</v>
      </c>
      <c r="F35122">
        <v>2112</v>
      </c>
    </row>
    <row r="35123" spans="1:6" ht="12.75">
      <c r="A35123" s="2">
        <v>43875.320254629631</v>
      </c>
      <c r="B35123" t="str">
        <f>HYPERLINK("https://twitter.com/ang3lyogini","@ang3lyogini")</f>
        <v>@ang3lyogini</v>
      </c>
      <c r="C35123" t="s">
        <v>2963</v>
      </c>
      <c r="D35123">
        <v>364</v>
      </c>
      <c r="E35123">
        <v>0</v>
      </c>
      <c r="F35123">
        <v>95</v>
      </c>
    </row>
    <row r="35124" spans="1:6" ht="12.75">
      <c r="A35124" s="2">
        <v>43875.320231481484</v>
      </c>
      <c r="B35124" t="str">
        <f>HYPERLINK("https://twitter.com/ZoelFawzie","@ZoelFawzie")</f>
        <v>@ZoelFawzie</v>
      </c>
      <c r="C35124" t="s">
        <v>14608</v>
      </c>
      <c r="D35124">
        <v>2</v>
      </c>
      <c r="E35124">
        <v>3</v>
      </c>
      <c r="F35124">
        <v>5685</v>
      </c>
    </row>
    <row r="35125" spans="1:6" ht="12.75">
      <c r="A35125" s="2">
        <v>43875.320231481484</v>
      </c>
      <c r="B35125" t="str">
        <f>HYPERLINK("https://twitter.com/DhHeavenonearth","@DhHeavenonearth")</f>
        <v>@DhHeavenonearth</v>
      </c>
      <c r="C35125" t="s">
        <v>2963</v>
      </c>
      <c r="D35125">
        <v>364</v>
      </c>
      <c r="E35125">
        <v>0</v>
      </c>
      <c r="F35125">
        <v>58</v>
      </c>
    </row>
    <row r="35126" spans="1:6" ht="12.75">
      <c r="A35126" s="2">
        <v>43875.320127314815</v>
      </c>
      <c r="B35126" t="str">
        <f>HYPERLINK("https://twitter.com/ditoyorr","@ditoyorr")</f>
        <v>@ditoyorr</v>
      </c>
      <c r="C35126" t="s">
        <v>14609</v>
      </c>
      <c r="D35126">
        <v>1</v>
      </c>
      <c r="E35126">
        <v>0</v>
      </c>
      <c r="F35126">
        <v>381</v>
      </c>
    </row>
    <row r="35127" spans="1:6" ht="12.75">
      <c r="A35127" s="2">
        <v>43875.320092592592</v>
      </c>
      <c r="B35127" t="str">
        <f>HYPERLINK("https://twitter.com/FakhriyNauvan","@FakhriyNauvan")</f>
        <v>@FakhriyNauvan</v>
      </c>
      <c r="C35127" t="s">
        <v>14610</v>
      </c>
      <c r="D35127">
        <v>0</v>
      </c>
      <c r="E35127">
        <v>0</v>
      </c>
      <c r="F35127">
        <v>109</v>
      </c>
    </row>
    <row r="35128" spans="1:6" ht="12.75">
      <c r="A35128" s="2">
        <v>43875.320092592592</v>
      </c>
      <c r="B35128" t="str">
        <f>HYPERLINK("https://twitter.com/hendy6669","@hendy6669")</f>
        <v>@hendy6669</v>
      </c>
      <c r="C35128" t="s">
        <v>10706</v>
      </c>
      <c r="D35128">
        <v>205</v>
      </c>
      <c r="E35128">
        <v>0</v>
      </c>
      <c r="F35128">
        <v>2721</v>
      </c>
    </row>
    <row r="35129" spans="1:6" ht="12.75">
      <c r="A35129" s="2">
        <v>43875.320057870369</v>
      </c>
      <c r="B35129" t="str">
        <f>HYPERLINK("https://twitter.com/OrangGa20161296","@OrangGa20161296")</f>
        <v>@OrangGa20161296</v>
      </c>
      <c r="C35129" t="s">
        <v>10096</v>
      </c>
      <c r="D35129">
        <v>55</v>
      </c>
      <c r="E35129">
        <v>0</v>
      </c>
      <c r="F35129">
        <v>97</v>
      </c>
    </row>
    <row r="35130" spans="1:6" ht="12.75">
      <c r="A35130" s="2">
        <v>43875.3200462963</v>
      </c>
      <c r="B35130" t="str">
        <f>HYPERLINK("https://twitter.com/BeguNur2","@BeguNur2")</f>
        <v>@BeguNur2</v>
      </c>
      <c r="C35130" t="s">
        <v>9096</v>
      </c>
      <c r="D35130">
        <v>144</v>
      </c>
      <c r="E35130">
        <v>0</v>
      </c>
      <c r="F35130">
        <v>56</v>
      </c>
    </row>
    <row r="35131" spans="1:6" ht="12.75">
      <c r="A35131" s="2">
        <v>43875.319930555561</v>
      </c>
      <c r="B35131" t="str">
        <f>HYPERLINK("https://twitter.com/Larasde20","@Larasde20")</f>
        <v>@Larasde20</v>
      </c>
      <c r="C35131" t="s">
        <v>8252</v>
      </c>
      <c r="D35131">
        <v>472</v>
      </c>
      <c r="E35131">
        <v>0</v>
      </c>
      <c r="F35131">
        <v>23</v>
      </c>
    </row>
    <row r="35132" spans="1:6" ht="12.75">
      <c r="A35132" s="2">
        <v>43875.319826388892</v>
      </c>
      <c r="B35132" t="str">
        <f>HYPERLINK("https://twitter.com/Kabar24","@Kabar24")</f>
        <v>@Kabar24</v>
      </c>
      <c r="C35132" t="s">
        <v>14611</v>
      </c>
      <c r="D35132">
        <v>0</v>
      </c>
      <c r="E35132">
        <v>0</v>
      </c>
      <c r="F35132">
        <v>20013</v>
      </c>
    </row>
    <row r="35133" spans="1:6" ht="12.75">
      <c r="A35133" s="2">
        <v>43875.319814814815</v>
      </c>
      <c r="B35133" t="str">
        <f>HYPERLINK("https://twitter.com/bisnisindgroup","@bisnisindgroup")</f>
        <v>@bisnisindgroup</v>
      </c>
      <c r="C35133" t="s">
        <v>14611</v>
      </c>
      <c r="D35133">
        <v>0</v>
      </c>
      <c r="E35133">
        <v>0</v>
      </c>
      <c r="F35133">
        <v>7299</v>
      </c>
    </row>
    <row r="35134" spans="1:6" ht="12.75">
      <c r="A35134" s="2">
        <v>43875.319745370369</v>
      </c>
      <c r="B35134" t="str">
        <f>HYPERLINK("https://twitter.com/ricky_rikahan","@ricky_rikahan")</f>
        <v>@ricky_rikahan</v>
      </c>
      <c r="C35134" t="s">
        <v>11425</v>
      </c>
      <c r="D35134">
        <v>183</v>
      </c>
      <c r="E35134">
        <v>0</v>
      </c>
      <c r="F35134">
        <v>340</v>
      </c>
    </row>
    <row r="35135" spans="1:6" ht="12.75">
      <c r="A35135" s="2">
        <v>43875.319733796292</v>
      </c>
      <c r="B35135" t="str">
        <f>HYPERLINK("https://twitter.com/kitsiangfreddy","@kitsiangfreddy")</f>
        <v>@kitsiangfreddy</v>
      </c>
      <c r="C35135" t="s">
        <v>2963</v>
      </c>
      <c r="D35135">
        <v>364</v>
      </c>
      <c r="E35135">
        <v>0</v>
      </c>
      <c r="F35135">
        <v>1139</v>
      </c>
    </row>
    <row r="35136" spans="1:6" ht="12.75">
      <c r="A35136" s="2">
        <v>43875.319537037038</v>
      </c>
      <c r="B35136" t="str">
        <f>HYPERLINK("https://twitter.com/Official_Yulian","@Official_Yulian")</f>
        <v>@Official_Yulian</v>
      </c>
      <c r="C35136" t="s">
        <v>14048</v>
      </c>
      <c r="D35136">
        <v>1</v>
      </c>
      <c r="E35136">
        <v>0</v>
      </c>
      <c r="F35136">
        <v>358</v>
      </c>
    </row>
    <row r="35137" spans="1:6" ht="12.75">
      <c r="A35137" s="2">
        <v>43875.319409722222</v>
      </c>
      <c r="B35137" t="str">
        <f>HYPERLINK("https://twitter.com/bpriady","@bpriady")</f>
        <v>@bpriady</v>
      </c>
      <c r="C35137" t="s">
        <v>13315</v>
      </c>
      <c r="D35137">
        <v>48</v>
      </c>
      <c r="E35137">
        <v>0</v>
      </c>
      <c r="F35137">
        <v>593</v>
      </c>
    </row>
    <row r="35138" spans="1:6" ht="12.75">
      <c r="A35138" s="2">
        <v>43875.319374999999</v>
      </c>
      <c r="B35138" t="str">
        <f>HYPERLINK("https://twitter.com/Repansyahm","@Repansyahm")</f>
        <v>@Repansyahm</v>
      </c>
      <c r="C35138" t="s">
        <v>14612</v>
      </c>
      <c r="D35138">
        <v>1</v>
      </c>
      <c r="E35138">
        <v>0</v>
      </c>
      <c r="F35138">
        <v>152</v>
      </c>
    </row>
    <row r="35139" spans="1:6" ht="12.75">
      <c r="A35139" s="2">
        <v>43875.319363425922</v>
      </c>
      <c r="B35139" t="str">
        <f>HYPERLINK("https://twitter.com/bandungfootball","@bandungfootball")</f>
        <v>@bandungfootball</v>
      </c>
      <c r="C35139" t="s">
        <v>14613</v>
      </c>
      <c r="D35139">
        <v>0</v>
      </c>
      <c r="E35139">
        <v>0</v>
      </c>
      <c r="F35139">
        <v>23069</v>
      </c>
    </row>
    <row r="35140" spans="1:6" ht="12.75">
      <c r="A35140" s="2">
        <v>43875.319328703699</v>
      </c>
      <c r="B35140" t="str">
        <f>HYPERLINK("https://twitter.com/izharchaniago","@izharchaniago")</f>
        <v>@izharchaniago</v>
      </c>
      <c r="C35140" t="s">
        <v>14614</v>
      </c>
      <c r="D35140">
        <v>1</v>
      </c>
      <c r="E35140">
        <v>0</v>
      </c>
      <c r="F35140">
        <v>1455</v>
      </c>
    </row>
    <row r="35141" spans="1:6" ht="12.75">
      <c r="A35141" s="2">
        <v>43875.319328703699</v>
      </c>
      <c r="B35141" t="str">
        <f>HYPERLINK("https://twitter.com/petergenerali8","@petergenerali8")</f>
        <v>@petergenerali8</v>
      </c>
      <c r="C35141" t="s">
        <v>14615</v>
      </c>
      <c r="D35141">
        <v>0</v>
      </c>
      <c r="E35141">
        <v>0</v>
      </c>
      <c r="F35141">
        <v>84</v>
      </c>
    </row>
    <row r="35142" spans="1:6" ht="12.75">
      <c r="A35142" s="2">
        <v>43875.319282407407</v>
      </c>
      <c r="B35142" t="str">
        <f>HYPERLINK("https://twitter.com/i_Pras","@i_Pras")</f>
        <v>@i_Pras</v>
      </c>
      <c r="C35142" t="s">
        <v>14616</v>
      </c>
      <c r="D35142">
        <v>1</v>
      </c>
      <c r="E35142">
        <v>0</v>
      </c>
      <c r="F35142">
        <v>1043</v>
      </c>
    </row>
    <row r="35143" spans="1:6" ht="12.75">
      <c r="A35143" s="2">
        <v>43875.319270833337</v>
      </c>
      <c r="B35143" t="str">
        <f>HYPERLINK("https://twitter.com/izharchaniago","@izharchaniago")</f>
        <v>@izharchaniago</v>
      </c>
      <c r="C35143" t="s">
        <v>14617</v>
      </c>
      <c r="D35143">
        <v>1</v>
      </c>
      <c r="E35143">
        <v>0</v>
      </c>
      <c r="F35143">
        <v>1455</v>
      </c>
    </row>
    <row r="35144" spans="1:6" ht="12.75">
      <c r="A35144" s="2">
        <v>43875.319201388891</v>
      </c>
      <c r="B35144" t="str">
        <f>HYPERLINK("https://twitter.com/AniesSubianto","@AniesSubianto")</f>
        <v>@AniesSubianto</v>
      </c>
      <c r="C35144" t="s">
        <v>2144</v>
      </c>
      <c r="D35144">
        <v>31</v>
      </c>
      <c r="E35144">
        <v>0</v>
      </c>
      <c r="F35144">
        <v>190</v>
      </c>
    </row>
    <row r="35145" spans="1:6" ht="12.75">
      <c r="A35145" s="2">
        <v>43875.319189814814</v>
      </c>
      <c r="B35145" t="str">
        <f>HYPERLINK("https://twitter.com/dinaituakulo","@dinaituakulo")</f>
        <v>@dinaituakulo</v>
      </c>
      <c r="C35145" t="s">
        <v>2963</v>
      </c>
      <c r="D35145">
        <v>364</v>
      </c>
      <c r="E35145">
        <v>0</v>
      </c>
      <c r="F35145">
        <v>11</v>
      </c>
    </row>
    <row r="35146" spans="1:6" ht="12.75">
      <c r="A35146" s="2">
        <v>43875.319120370375</v>
      </c>
      <c r="B35146" t="str">
        <f>HYPERLINK("https://twitter.com/arthas7999","@arthas7999")</f>
        <v>@arthas7999</v>
      </c>
      <c r="C35146" t="s">
        <v>14618</v>
      </c>
      <c r="D35146">
        <v>0</v>
      </c>
      <c r="E35146">
        <v>0</v>
      </c>
      <c r="F35146">
        <v>54</v>
      </c>
    </row>
    <row r="35147" spans="1:6" ht="12.75">
      <c r="A35147" s="2">
        <v>43875.319085648152</v>
      </c>
      <c r="B35147" t="str">
        <f>HYPERLINK("https://twitter.com/KiputKingg","@KiputKingg")</f>
        <v>@KiputKingg</v>
      </c>
      <c r="C35147" t="s">
        <v>2963</v>
      </c>
      <c r="D35147">
        <v>364</v>
      </c>
      <c r="E35147">
        <v>0</v>
      </c>
      <c r="F35147">
        <v>6</v>
      </c>
    </row>
    <row r="35148" spans="1:6" ht="12.75">
      <c r="A35148" s="2">
        <v>43875.319050925929</v>
      </c>
      <c r="B35148" t="str">
        <f>HYPERLINK("https://twitter.com/AhmadHa36671561","@AhmadHa36671561")</f>
        <v>@AhmadHa36671561</v>
      </c>
      <c r="C35148" t="s">
        <v>2963</v>
      </c>
      <c r="D35148">
        <v>364</v>
      </c>
      <c r="E35148">
        <v>0</v>
      </c>
      <c r="F35148">
        <v>1</v>
      </c>
    </row>
    <row r="35149" spans="1:6" ht="12.75">
      <c r="A35149" s="2">
        <v>43875.319039351853</v>
      </c>
      <c r="B35149" t="str">
        <f>HYPERLINK("https://twitter.com/vino_tanimura","@vino_tanimura")</f>
        <v>@vino_tanimura</v>
      </c>
      <c r="C35149" t="s">
        <v>8233</v>
      </c>
      <c r="D35149">
        <v>274</v>
      </c>
      <c r="E35149">
        <v>0</v>
      </c>
      <c r="F35149">
        <v>346</v>
      </c>
    </row>
    <row r="35150" spans="1:6" ht="12.75">
      <c r="A35150" s="2">
        <v>43875.319027777776</v>
      </c>
      <c r="B35150" t="str">
        <f>HYPERLINK("https://twitter.com/BungGarry","@BungGarry")</f>
        <v>@BungGarry</v>
      </c>
      <c r="C35150" t="s">
        <v>14619</v>
      </c>
      <c r="D35150">
        <v>0</v>
      </c>
      <c r="E35150">
        <v>0</v>
      </c>
      <c r="F35150">
        <v>140</v>
      </c>
    </row>
    <row r="35151" spans="1:6" ht="12.75">
      <c r="A35151" s="2">
        <v>43875.31895833333</v>
      </c>
      <c r="B35151" t="str">
        <f>HYPERLINK("https://twitter.com/goomapta","@goomapta")</f>
        <v>@goomapta</v>
      </c>
      <c r="C35151" t="s">
        <v>5168</v>
      </c>
      <c r="D35151">
        <v>369</v>
      </c>
      <c r="E35151">
        <v>0</v>
      </c>
      <c r="F35151">
        <v>416</v>
      </c>
    </row>
    <row r="35152" spans="1:6" ht="12.75">
      <c r="A35152" s="2">
        <v>43875.318935185191</v>
      </c>
      <c r="B35152" t="str">
        <f>HYPERLINK("https://twitter.com/__Ndaru__","@__Ndaru__")</f>
        <v>@__Ndaru__</v>
      </c>
      <c r="C35152" t="s">
        <v>14620</v>
      </c>
      <c r="D35152">
        <v>0</v>
      </c>
      <c r="E35152">
        <v>0</v>
      </c>
      <c r="F35152">
        <v>315</v>
      </c>
    </row>
    <row r="35153" spans="1:6" ht="12.75">
      <c r="A35153" s="2">
        <v>43875.318912037037</v>
      </c>
      <c r="B35153" t="str">
        <f>HYPERLINK("https://twitter.com/dubie_tina","@dubie_tina")</f>
        <v>@dubie_tina</v>
      </c>
      <c r="C35153" t="s">
        <v>2963</v>
      </c>
      <c r="D35153">
        <v>364</v>
      </c>
      <c r="E35153">
        <v>0</v>
      </c>
      <c r="F35153">
        <v>1022</v>
      </c>
    </row>
    <row r="35154" spans="1:6" ht="12.75">
      <c r="A35154" s="2">
        <v>43875.318865740745</v>
      </c>
      <c r="B35154" t="str">
        <f>HYPERLINK("https://twitter.com/FanChiangFa","@FanChiangFa")</f>
        <v>@FanChiangFa</v>
      </c>
      <c r="C35154" t="s">
        <v>14621</v>
      </c>
      <c r="D35154">
        <v>0</v>
      </c>
      <c r="E35154">
        <v>0</v>
      </c>
      <c r="F35154">
        <v>2309</v>
      </c>
    </row>
    <row r="35155" spans="1:6" ht="12.75">
      <c r="A35155" s="2">
        <v>43875.318865740745</v>
      </c>
      <c r="B35155" t="str">
        <f>HYPERLINK("https://twitter.com/unknownladge","@unknownladge")</f>
        <v>@unknownladge</v>
      </c>
      <c r="C35155" t="s">
        <v>14622</v>
      </c>
      <c r="D35155">
        <v>0</v>
      </c>
      <c r="E35155">
        <v>0</v>
      </c>
      <c r="F35155">
        <v>20</v>
      </c>
    </row>
    <row r="35156" spans="1:6" ht="12.75">
      <c r="A35156" s="2">
        <v>43875.318842592591</v>
      </c>
      <c r="B35156" t="str">
        <f>HYPERLINK("https://twitter.com/dean3th","@dean3th")</f>
        <v>@dean3th</v>
      </c>
      <c r="C35156" t="s">
        <v>8233</v>
      </c>
      <c r="D35156">
        <v>274</v>
      </c>
      <c r="E35156">
        <v>0</v>
      </c>
      <c r="F35156">
        <v>386</v>
      </c>
    </row>
    <row r="35157" spans="1:6" ht="12.75">
      <c r="A35157" s="2">
        <v>43875.318738425922</v>
      </c>
      <c r="B35157" t="str">
        <f>HYPERLINK("https://twitter.com/soe7","@soe7")</f>
        <v>@soe7</v>
      </c>
      <c r="C35157" t="s">
        <v>14623</v>
      </c>
      <c r="D35157">
        <v>0</v>
      </c>
      <c r="E35157">
        <v>0</v>
      </c>
      <c r="F35157">
        <v>75</v>
      </c>
    </row>
    <row r="35158" spans="1:6" ht="12.75">
      <c r="A35158" s="2">
        <v>43875.318726851852</v>
      </c>
      <c r="B35158" t="str">
        <f>HYPERLINK("https://twitter.com/petergenerali8","@petergenerali8")</f>
        <v>@petergenerali8</v>
      </c>
      <c r="C35158" t="s">
        <v>14624</v>
      </c>
      <c r="D35158">
        <v>0</v>
      </c>
      <c r="E35158">
        <v>0</v>
      </c>
      <c r="F35158">
        <v>84</v>
      </c>
    </row>
    <row r="35159" spans="1:6" ht="12.75">
      <c r="A35159" s="2">
        <v>43875.318715277783</v>
      </c>
      <c r="B35159" t="str">
        <f>HYPERLINK("https://twitter.com/MrHartono2","@MrHartono2")</f>
        <v>@MrHartono2</v>
      </c>
      <c r="C35159" t="s">
        <v>2963</v>
      </c>
      <c r="D35159">
        <v>364</v>
      </c>
      <c r="E35159">
        <v>0</v>
      </c>
      <c r="F35159">
        <v>2191</v>
      </c>
    </row>
    <row r="35160" spans="1:6" ht="12.75">
      <c r="A35160" s="2">
        <v>43875.318599537037</v>
      </c>
      <c r="B35160" t="str">
        <f>HYPERLINK("https://twitter.com/herman_aswindra","@herman_aswindra")</f>
        <v>@herman_aswindra</v>
      </c>
      <c r="C35160" t="s">
        <v>14625</v>
      </c>
      <c r="D35160">
        <v>30</v>
      </c>
      <c r="E35160">
        <v>0</v>
      </c>
      <c r="F35160">
        <v>67</v>
      </c>
    </row>
    <row r="35161" spans="1:6" ht="12.75">
      <c r="A35161" s="2">
        <v>43875.318530092598</v>
      </c>
      <c r="B35161" t="str">
        <f>HYPERLINK("https://twitter.com/kak_wew","@kak_wew")</f>
        <v>@kak_wew</v>
      </c>
      <c r="C35161" t="s">
        <v>14626</v>
      </c>
      <c r="D35161">
        <v>0</v>
      </c>
      <c r="E35161">
        <v>0</v>
      </c>
      <c r="F35161">
        <v>227</v>
      </c>
    </row>
    <row r="35162" spans="1:6" ht="12.75">
      <c r="A35162" s="2">
        <v>43875.318530092598</v>
      </c>
      <c r="B35162" t="str">
        <f>HYPERLINK("https://twitter.com/mudha_satriya","@mudha_satriya")</f>
        <v>@mudha_satriya</v>
      </c>
      <c r="C35162" t="s">
        <v>11024</v>
      </c>
      <c r="D35162">
        <v>4</v>
      </c>
      <c r="E35162">
        <v>0</v>
      </c>
      <c r="F35162">
        <v>1878</v>
      </c>
    </row>
    <row r="35163" spans="1:6" ht="12.75">
      <c r="A35163" s="2">
        <v>43875.318472222221</v>
      </c>
      <c r="B35163" t="str">
        <f>HYPERLINK("https://twitter.com/Gregorius841","@Gregorius841")</f>
        <v>@Gregorius841</v>
      </c>
      <c r="C35163" t="s">
        <v>2963</v>
      </c>
      <c r="D35163">
        <v>364</v>
      </c>
      <c r="E35163">
        <v>0</v>
      </c>
      <c r="F35163">
        <v>3701</v>
      </c>
    </row>
    <row r="35164" spans="1:6" ht="12.75">
      <c r="A35164" s="2">
        <v>43875.318437499998</v>
      </c>
      <c r="B35164" t="str">
        <f>HYPERLINK("https://twitter.com/icblues","@icblues")</f>
        <v>@icblues</v>
      </c>
      <c r="C35164" t="s">
        <v>2444</v>
      </c>
      <c r="D35164">
        <v>63</v>
      </c>
      <c r="E35164">
        <v>0</v>
      </c>
      <c r="F35164">
        <v>3789</v>
      </c>
    </row>
    <row r="35165" spans="1:6" ht="12.75">
      <c r="A35165" s="2">
        <v>43875.318287037036</v>
      </c>
      <c r="B35165" t="str">
        <f>HYPERLINK("https://twitter.com/madefebriantha","@madefebriantha")</f>
        <v>@madefebriantha</v>
      </c>
      <c r="C35165" t="s">
        <v>12903</v>
      </c>
      <c r="D35165">
        <v>14</v>
      </c>
      <c r="E35165">
        <v>0</v>
      </c>
      <c r="F35165">
        <v>307</v>
      </c>
    </row>
    <row r="35166" spans="1:6" ht="12.75">
      <c r="A35166" s="2">
        <v>43875.31826388889</v>
      </c>
      <c r="B35166" t="str">
        <f>HYPERLINK("https://twitter.com/GwGede","@GwGede")</f>
        <v>@GwGede</v>
      </c>
      <c r="C35166" t="s">
        <v>3799</v>
      </c>
      <c r="D35166">
        <v>3651</v>
      </c>
      <c r="E35166">
        <v>0</v>
      </c>
      <c r="F35166">
        <v>573</v>
      </c>
    </row>
    <row r="35167" spans="1:6" ht="12.75">
      <c r="A35167" s="2">
        <v>43875.31826388889</v>
      </c>
      <c r="B35167" t="str">
        <f>HYPERLINK("https://twitter.com/waitkendel","@waitkendel")</f>
        <v>@waitkendel</v>
      </c>
      <c r="C35167" t="s">
        <v>10542</v>
      </c>
      <c r="D35167">
        <v>126</v>
      </c>
      <c r="E35167">
        <v>0</v>
      </c>
      <c r="F35167">
        <v>1406</v>
      </c>
    </row>
    <row r="35168" spans="1:6" ht="12.75">
      <c r="A35168" s="2">
        <v>43875.318148148144</v>
      </c>
      <c r="B35168" t="str">
        <f>HYPERLINK("https://twitter.com/yulia1492","@yulia1492")</f>
        <v>@yulia1492</v>
      </c>
      <c r="C35168" t="s">
        <v>13477</v>
      </c>
      <c r="D35168">
        <v>14</v>
      </c>
      <c r="E35168">
        <v>0</v>
      </c>
      <c r="F35168">
        <v>4</v>
      </c>
    </row>
    <row r="35169" spans="1:6" ht="12.75">
      <c r="A35169" s="2">
        <v>43875.318009259259</v>
      </c>
      <c r="B35169" t="str">
        <f>HYPERLINK("https://twitter.com/gambarjagad1926","@gambarjagad1926")</f>
        <v>@gambarjagad1926</v>
      </c>
      <c r="C35169" t="s">
        <v>2963</v>
      </c>
      <c r="D35169">
        <v>364</v>
      </c>
      <c r="E35169">
        <v>0</v>
      </c>
      <c r="F35169">
        <v>329</v>
      </c>
    </row>
    <row r="35170" spans="1:6" ht="12.75">
      <c r="A35170" s="2">
        <v>43875.317974537036</v>
      </c>
      <c r="B35170" t="str">
        <f>HYPERLINK("https://twitter.com/miftahunnurbah1","@miftahunnurbah1")</f>
        <v>@miftahunnurbah1</v>
      </c>
      <c r="C35170" t="s">
        <v>14627</v>
      </c>
      <c r="D35170">
        <v>0</v>
      </c>
      <c r="E35170">
        <v>1</v>
      </c>
      <c r="F35170">
        <v>73</v>
      </c>
    </row>
    <row r="35171" spans="1:6" ht="12.75">
      <c r="A35171" s="2">
        <v>43875.317962962959</v>
      </c>
      <c r="B35171" t="str">
        <f>HYPERLINK("https://twitter.com/HUMAN_RES3","@HUMAN_RES3")</f>
        <v>@HUMAN_RES3</v>
      </c>
      <c r="C35171" t="s">
        <v>9113</v>
      </c>
      <c r="D35171">
        <v>238</v>
      </c>
      <c r="E35171">
        <v>0</v>
      </c>
      <c r="F35171">
        <v>64</v>
      </c>
    </row>
    <row r="35172" spans="1:6" ht="12.75">
      <c r="A35172" s="2">
        <v>43875.317858796298</v>
      </c>
      <c r="B35172" t="str">
        <f>HYPERLINK("https://twitter.com/ilman__nafian","@ilman__nafian")</f>
        <v>@ilman__nafian</v>
      </c>
      <c r="C35172" t="s">
        <v>2144</v>
      </c>
      <c r="D35172">
        <v>31</v>
      </c>
      <c r="E35172">
        <v>0</v>
      </c>
      <c r="F35172">
        <v>1826</v>
      </c>
    </row>
    <row r="35173" spans="1:6" ht="12.75">
      <c r="A35173" s="2">
        <v>43875.317847222221</v>
      </c>
      <c r="B35173" t="str">
        <f>HYPERLINK("https://twitter.com/EniendahS","@EniendahS")</f>
        <v>@EniendahS</v>
      </c>
      <c r="C35173" t="s">
        <v>14628</v>
      </c>
      <c r="D35173">
        <v>0</v>
      </c>
      <c r="E35173">
        <v>0</v>
      </c>
      <c r="F35173">
        <v>71</v>
      </c>
    </row>
    <row r="35174" spans="1:6" ht="12.75">
      <c r="A35174" s="2">
        <v>43875.317754629628</v>
      </c>
      <c r="B35174" t="str">
        <f>HYPERLINK("https://twitter.com/Bekanta05308888","@Bekanta05308888")</f>
        <v>@Bekanta05308888</v>
      </c>
      <c r="C35174" t="s">
        <v>14629</v>
      </c>
      <c r="D35174">
        <v>0</v>
      </c>
      <c r="E35174">
        <v>0</v>
      </c>
      <c r="F35174">
        <v>14</v>
      </c>
    </row>
    <row r="35175" spans="1:6" ht="12.75">
      <c r="A35175" s="2">
        <v>43875.317719907413</v>
      </c>
      <c r="B35175" t="str">
        <f>HYPERLINK("https://twitter.com/kak_wew","@kak_wew")</f>
        <v>@kak_wew</v>
      </c>
      <c r="C35175" t="s">
        <v>14597</v>
      </c>
      <c r="D35175">
        <v>2</v>
      </c>
      <c r="E35175">
        <v>0</v>
      </c>
      <c r="F35175">
        <v>227</v>
      </c>
    </row>
    <row r="35176" spans="1:6" ht="12.75">
      <c r="A35176" s="2">
        <v>43875.317650462966</v>
      </c>
      <c r="B35176" t="str">
        <f>HYPERLINK("https://twitter.com/vita_AVP","@vita_AVP")</f>
        <v>@vita_AVP</v>
      </c>
      <c r="C35176" t="s">
        <v>14630</v>
      </c>
      <c r="D35176">
        <v>1</v>
      </c>
      <c r="E35176">
        <v>4</v>
      </c>
      <c r="F35176">
        <v>6065</v>
      </c>
    </row>
    <row r="35177" spans="1:6" ht="12.75">
      <c r="A35177" s="2">
        <v>43875.317650462966</v>
      </c>
      <c r="B35177" t="str">
        <f>HYPERLINK("https://twitter.com/AryaDwipangga03","@AryaDwipangga03")</f>
        <v>@AryaDwipangga03</v>
      </c>
      <c r="C35177" t="s">
        <v>14631</v>
      </c>
      <c r="D35177">
        <v>0</v>
      </c>
      <c r="E35177">
        <v>0</v>
      </c>
      <c r="F35177">
        <v>1</v>
      </c>
    </row>
    <row r="35178" spans="1:6" ht="12.75">
      <c r="A35178" s="2">
        <v>43875.31763888889</v>
      </c>
      <c r="B35178" t="str">
        <f>HYPERLINK("https://twitter.com/asmadajoel","@asmadajoel")</f>
        <v>@asmadajoel</v>
      </c>
      <c r="C35178" t="s">
        <v>14632</v>
      </c>
      <c r="D35178">
        <v>0</v>
      </c>
      <c r="E35178">
        <v>0</v>
      </c>
      <c r="F35178">
        <v>3505</v>
      </c>
    </row>
    <row r="35179" spans="1:6" ht="12.75">
      <c r="A35179" s="2">
        <v>43875.317604166667</v>
      </c>
      <c r="B35179" t="str">
        <f>HYPERLINK("https://twitter.com/Mingfan35","@Mingfan35")</f>
        <v>@Mingfan35</v>
      </c>
      <c r="C35179" t="s">
        <v>10531</v>
      </c>
      <c r="D35179">
        <v>93</v>
      </c>
      <c r="E35179">
        <v>0</v>
      </c>
      <c r="F35179">
        <v>110</v>
      </c>
    </row>
    <row r="35180" spans="1:6" ht="12.75">
      <c r="A35180" s="2">
        <v>43875.317557870367</v>
      </c>
      <c r="B35180" t="str">
        <f>HYPERLINK("https://twitter.com/leonitasaputri","@leonitasaputri")</f>
        <v>@leonitasaputri</v>
      </c>
      <c r="C35180" t="s">
        <v>8233</v>
      </c>
      <c r="D35180">
        <v>274</v>
      </c>
      <c r="E35180">
        <v>0</v>
      </c>
      <c r="F35180">
        <v>434</v>
      </c>
    </row>
    <row r="35181" spans="1:6" ht="12.75">
      <c r="A35181" s="2">
        <v>43875.317557870367</v>
      </c>
      <c r="B35181" t="str">
        <f>HYPERLINK("https://twitter.com/badaxp","@badaxp")</f>
        <v>@badaxp</v>
      </c>
      <c r="C35181" t="s">
        <v>14633</v>
      </c>
      <c r="D35181">
        <v>0</v>
      </c>
      <c r="E35181">
        <v>0</v>
      </c>
      <c r="F35181">
        <v>241</v>
      </c>
    </row>
    <row r="35182" spans="1:6" ht="12.75">
      <c r="A35182" s="2">
        <v>43875.317546296297</v>
      </c>
      <c r="B35182" t="str">
        <f>HYPERLINK("https://twitter.com/qosyim_rosidy","@qosyim_rosidy")</f>
        <v>@qosyim_rosidy</v>
      </c>
      <c r="C35182" t="s">
        <v>2963</v>
      </c>
      <c r="D35182">
        <v>364</v>
      </c>
      <c r="E35182">
        <v>0</v>
      </c>
      <c r="F35182">
        <v>1464</v>
      </c>
    </row>
    <row r="35183" spans="1:6" ht="12.75">
      <c r="A35183" s="2">
        <v>43875.317511574074</v>
      </c>
      <c r="B35183" t="str">
        <f>HYPERLINK("https://twitter.com/AgusTridy","@AgusTridy")</f>
        <v>@AgusTridy</v>
      </c>
      <c r="C35183" t="s">
        <v>2963</v>
      </c>
      <c r="D35183">
        <v>364</v>
      </c>
      <c r="E35183">
        <v>0</v>
      </c>
      <c r="F35183">
        <v>471</v>
      </c>
    </row>
    <row r="35184" spans="1:6" ht="12.75">
      <c r="A35184" s="2">
        <v>43875.317476851851</v>
      </c>
      <c r="B35184" t="str">
        <f>HYPERLINK("https://twitter.com/ybsandr","@ybsandr")</f>
        <v>@ybsandr</v>
      </c>
      <c r="C35184" t="s">
        <v>2963</v>
      </c>
      <c r="D35184">
        <v>364</v>
      </c>
      <c r="E35184">
        <v>0</v>
      </c>
      <c r="F35184">
        <v>177</v>
      </c>
    </row>
    <row r="35185" spans="1:6" ht="12.75">
      <c r="A35185" s="2">
        <v>43875.317361111112</v>
      </c>
      <c r="B35185" t="str">
        <f>HYPERLINK("https://twitter.com/Arya00150581","@Arya00150581")</f>
        <v>@Arya00150581</v>
      </c>
      <c r="C35185" t="s">
        <v>2963</v>
      </c>
      <c r="D35185">
        <v>364</v>
      </c>
      <c r="E35185">
        <v>0</v>
      </c>
      <c r="F35185">
        <v>190</v>
      </c>
    </row>
    <row r="35186" spans="1:6" ht="12.75">
      <c r="A35186" s="2">
        <v>43875.317280092597</v>
      </c>
      <c r="B35186" t="str">
        <f>HYPERLINK("https://twitter.com/antarasumbar","@antarasumbar")</f>
        <v>@antarasumbar</v>
      </c>
      <c r="C35186" t="s">
        <v>14634</v>
      </c>
      <c r="D35186">
        <v>0</v>
      </c>
      <c r="E35186">
        <v>0</v>
      </c>
      <c r="F35186">
        <v>9015</v>
      </c>
    </row>
    <row r="35187" spans="1:6" ht="12.75">
      <c r="A35187" s="2">
        <v>43875.31722222222</v>
      </c>
      <c r="B35187" t="str">
        <f>HYPERLINK("https://twitter.com/smallmelville","@smallmelville")</f>
        <v>@smallmelville</v>
      </c>
      <c r="C35187" t="s">
        <v>14635</v>
      </c>
      <c r="D35187">
        <v>0</v>
      </c>
      <c r="E35187">
        <v>0</v>
      </c>
      <c r="F35187">
        <v>16</v>
      </c>
    </row>
    <row r="35188" spans="1:6" ht="12.75">
      <c r="A35188" s="2">
        <v>43875.317199074074</v>
      </c>
      <c r="B35188" t="str">
        <f>HYPERLINK("https://twitter.com/Fajar_RAR","@Fajar_RAR")</f>
        <v>@Fajar_RAR</v>
      </c>
      <c r="C35188" t="s">
        <v>11121</v>
      </c>
      <c r="D35188">
        <v>10</v>
      </c>
      <c r="E35188">
        <v>0</v>
      </c>
      <c r="F35188">
        <v>641</v>
      </c>
    </row>
    <row r="35189" spans="1:6" ht="12.75">
      <c r="A35189" s="2">
        <v>43875.317164351851</v>
      </c>
      <c r="B35189" t="str">
        <f>HYPERLINK("https://twitter.com/FuryLucky","@FuryLucky")</f>
        <v>@FuryLucky</v>
      </c>
      <c r="C35189" t="s">
        <v>5168</v>
      </c>
      <c r="D35189">
        <v>369</v>
      </c>
      <c r="E35189">
        <v>0</v>
      </c>
      <c r="F35189">
        <v>3</v>
      </c>
    </row>
    <row r="35190" spans="1:6" ht="12.75">
      <c r="A35190" s="2">
        <v>43875.317152777774</v>
      </c>
      <c r="B35190" t="str">
        <f>HYPERLINK("https://twitter.com/Empusstark","@Empusstark")</f>
        <v>@Empusstark</v>
      </c>
      <c r="C35190" t="s">
        <v>2963</v>
      </c>
      <c r="D35190">
        <v>364</v>
      </c>
      <c r="E35190">
        <v>0</v>
      </c>
      <c r="F35190">
        <v>7</v>
      </c>
    </row>
    <row r="35191" spans="1:6" ht="12.75">
      <c r="A35191" s="2">
        <v>43875.317129629635</v>
      </c>
      <c r="B35191" t="str">
        <f>HYPERLINK("https://twitter.com/andansetyanto","@andansetyanto")</f>
        <v>@andansetyanto</v>
      </c>
      <c r="C35191" t="s">
        <v>14636</v>
      </c>
      <c r="D35191">
        <v>0</v>
      </c>
      <c r="E35191">
        <v>0</v>
      </c>
      <c r="F35191">
        <v>185</v>
      </c>
    </row>
    <row r="35192" spans="1:6" ht="12.75">
      <c r="A35192" s="2">
        <v>43875.317118055551</v>
      </c>
      <c r="B35192" t="str">
        <f>HYPERLINK("https://twitter.com/novanpramadi12","@novanpramadi12")</f>
        <v>@novanpramadi12</v>
      </c>
      <c r="C35192" t="s">
        <v>2963</v>
      </c>
      <c r="D35192">
        <v>364</v>
      </c>
      <c r="E35192">
        <v>0</v>
      </c>
      <c r="F35192">
        <v>124</v>
      </c>
    </row>
    <row r="35193" spans="1:6" ht="12.75">
      <c r="A35193" s="2">
        <v>43875.317094907412</v>
      </c>
      <c r="B35193" t="str">
        <f>HYPERLINK("https://twitter.com/XIII_kamp","@XIII_kamp")</f>
        <v>@XIII_kamp</v>
      </c>
      <c r="C35193" t="s">
        <v>14637</v>
      </c>
      <c r="D35193">
        <v>0</v>
      </c>
      <c r="E35193">
        <v>0</v>
      </c>
      <c r="F35193">
        <v>162</v>
      </c>
    </row>
    <row r="35194" spans="1:6" ht="12.75">
      <c r="A35194" s="2">
        <v>43875.317094907412</v>
      </c>
      <c r="B35194" t="str">
        <f>HYPERLINK("https://twitter.com/bakulpithik","@bakulpithik")</f>
        <v>@bakulpithik</v>
      </c>
      <c r="C35194" t="s">
        <v>12940</v>
      </c>
      <c r="D35194">
        <v>95</v>
      </c>
      <c r="E35194">
        <v>0</v>
      </c>
      <c r="F35194">
        <v>1604</v>
      </c>
    </row>
    <row r="35195" spans="1:6" ht="12.75">
      <c r="A35195" s="2">
        <v>43875.317094907412</v>
      </c>
      <c r="B35195" t="str">
        <f>HYPERLINK("https://twitter.com/TONZ6","@TONZ6")</f>
        <v>@TONZ6</v>
      </c>
      <c r="C35195" t="s">
        <v>10225</v>
      </c>
      <c r="D35195">
        <v>8</v>
      </c>
      <c r="E35195">
        <v>0</v>
      </c>
      <c r="F35195">
        <v>103</v>
      </c>
    </row>
    <row r="35196" spans="1:6" ht="12.75">
      <c r="A35196" s="2">
        <v>43875.31695601852</v>
      </c>
      <c r="B35196" t="str">
        <f>HYPERLINK("https://twitter.com/Metrobatam_com","@Metrobatam_com")</f>
        <v>@Metrobatam_com</v>
      </c>
      <c r="C35196" t="s">
        <v>14638</v>
      </c>
      <c r="D35196">
        <v>0</v>
      </c>
      <c r="E35196">
        <v>0</v>
      </c>
      <c r="F35196">
        <v>118</v>
      </c>
    </row>
    <row r="35197" spans="1:6" ht="12.75">
      <c r="A35197" s="2">
        <v>43875.316932870366</v>
      </c>
      <c r="B35197" t="str">
        <f>HYPERLINK("https://twitter.com/SIMBAH_ENOM","@SIMBAH_ENOM")</f>
        <v>@SIMBAH_ENOM</v>
      </c>
      <c r="C35197" t="s">
        <v>14184</v>
      </c>
      <c r="D35197">
        <v>45</v>
      </c>
      <c r="E35197">
        <v>0</v>
      </c>
      <c r="F35197">
        <v>597</v>
      </c>
    </row>
    <row r="35198" spans="1:6" ht="12.75">
      <c r="A35198" s="2">
        <v>43875.316793981481</v>
      </c>
      <c r="B35198" t="str">
        <f>HYPERLINK("https://twitter.com/tirtops","@tirtops")</f>
        <v>@tirtops</v>
      </c>
      <c r="C35198" t="s">
        <v>14639</v>
      </c>
      <c r="D35198">
        <v>0</v>
      </c>
      <c r="E35198">
        <v>0</v>
      </c>
      <c r="F35198">
        <v>3651</v>
      </c>
    </row>
    <row r="35199" spans="1:6" ht="12.75">
      <c r="A35199" s="2">
        <v>43875.31658564815</v>
      </c>
      <c r="B35199" t="str">
        <f>HYPERLINK("https://twitter.com/didie_soeharto","@didie_soeharto")</f>
        <v>@didie_soeharto</v>
      </c>
      <c r="C35199" t="s">
        <v>14640</v>
      </c>
      <c r="D35199">
        <v>0</v>
      </c>
      <c r="E35199">
        <v>0</v>
      </c>
      <c r="F35199">
        <v>1208</v>
      </c>
    </row>
    <row r="35200" spans="1:6" ht="12.75">
      <c r="A35200" s="2">
        <v>43875.316574074073</v>
      </c>
      <c r="B35200" t="str">
        <f>HYPERLINK("https://twitter.com/rikoardilah_","@rikoardilah_")</f>
        <v>@rikoardilah_</v>
      </c>
      <c r="C35200" t="s">
        <v>2963</v>
      </c>
      <c r="D35200">
        <v>364</v>
      </c>
      <c r="E35200">
        <v>0</v>
      </c>
      <c r="F35200">
        <v>127</v>
      </c>
    </row>
    <row r="35201" spans="1:6" ht="12.75">
      <c r="A35201" s="2">
        <v>43875.316527777773</v>
      </c>
      <c r="B35201" t="str">
        <f>HYPERLINK("https://twitter.com/puturadion","@puturadion")</f>
        <v>@puturadion</v>
      </c>
      <c r="C35201" t="s">
        <v>14326</v>
      </c>
      <c r="D35201">
        <v>52</v>
      </c>
      <c r="E35201">
        <v>0</v>
      </c>
      <c r="F35201">
        <v>253</v>
      </c>
    </row>
    <row r="35202" spans="1:6" ht="12.75">
      <c r="A35202" s="2">
        <v>43875.31649305555</v>
      </c>
      <c r="B35202" t="str">
        <f>HYPERLINK("https://twitter.com/noura_fitri","@noura_fitri")</f>
        <v>@noura_fitri</v>
      </c>
      <c r="C35202" t="s">
        <v>14641</v>
      </c>
      <c r="D35202">
        <v>3</v>
      </c>
      <c r="E35202">
        <v>0</v>
      </c>
      <c r="F35202">
        <v>365</v>
      </c>
    </row>
    <row r="35203" spans="1:6" ht="12.75">
      <c r="A35203" s="2">
        <v>43875.316481481481</v>
      </c>
      <c r="B35203" t="str">
        <f>HYPERLINK("https://twitter.com/Lilou_skye","@Lilou_skye")</f>
        <v>@Lilou_skye</v>
      </c>
      <c r="C35203" t="s">
        <v>10121</v>
      </c>
      <c r="D35203">
        <v>140</v>
      </c>
      <c r="E35203">
        <v>0</v>
      </c>
      <c r="F35203">
        <v>132</v>
      </c>
    </row>
    <row r="35204" spans="1:6" ht="12.75">
      <c r="A35204" s="2">
        <v>43875.316423611112</v>
      </c>
      <c r="B35204" t="str">
        <f>HYPERLINK("https://twitter.com/Paulus881","@Paulus881")</f>
        <v>@Paulus881</v>
      </c>
      <c r="C35204" t="s">
        <v>14642</v>
      </c>
      <c r="D35204">
        <v>0</v>
      </c>
      <c r="E35204">
        <v>0</v>
      </c>
      <c r="F35204">
        <v>0</v>
      </c>
    </row>
    <row r="35205" spans="1:6" ht="12.75">
      <c r="A35205" s="2">
        <v>43875.316331018519</v>
      </c>
      <c r="B35205" t="str">
        <f>HYPERLINK("https://twitter.com/bandungfootball","@bandungfootball")</f>
        <v>@bandungfootball</v>
      </c>
      <c r="C35205" t="s">
        <v>14643</v>
      </c>
      <c r="D35205">
        <v>0</v>
      </c>
      <c r="E35205">
        <v>1</v>
      </c>
      <c r="F35205">
        <v>23069</v>
      </c>
    </row>
    <row r="35206" spans="1:6" ht="12.75">
      <c r="A35206" s="2">
        <v>43875.316307870366</v>
      </c>
      <c r="B35206" t="str">
        <f>HYPERLINK("https://twitter.com/kip13392274","@kip13392274")</f>
        <v>@kip13392274</v>
      </c>
      <c r="C35206" t="s">
        <v>13757</v>
      </c>
      <c r="D35206">
        <v>35</v>
      </c>
      <c r="E35206">
        <v>0</v>
      </c>
      <c r="F35206">
        <v>137</v>
      </c>
    </row>
    <row r="35207" spans="1:6" ht="12.75">
      <c r="A35207" s="2">
        <v>43875.316238425927</v>
      </c>
      <c r="B35207" t="str">
        <f>HYPERLINK("https://twitter.com/MignonAndi","@MignonAndi")</f>
        <v>@MignonAndi</v>
      </c>
      <c r="C35207" t="s">
        <v>8233</v>
      </c>
      <c r="D35207">
        <v>274</v>
      </c>
      <c r="E35207">
        <v>0</v>
      </c>
      <c r="F35207">
        <v>42</v>
      </c>
    </row>
    <row r="35208" spans="1:6" ht="12.75">
      <c r="A35208" s="2">
        <v>43875.316168981481</v>
      </c>
      <c r="B35208" t="str">
        <f>HYPERLINK("https://twitter.com/AminSiregar75","@AminSiregar75")</f>
        <v>@AminSiregar75</v>
      </c>
      <c r="C35208" t="s">
        <v>10190</v>
      </c>
      <c r="D35208">
        <v>16</v>
      </c>
      <c r="E35208">
        <v>0</v>
      </c>
      <c r="F35208">
        <v>2521</v>
      </c>
    </row>
    <row r="35209" spans="1:6" ht="12.75">
      <c r="A35209" s="2">
        <v>43875.316168981481</v>
      </c>
      <c r="B35209" t="str">
        <f>HYPERLINK("https://twitter.com/hamaro_id","@hamaro_id")</f>
        <v>@hamaro_id</v>
      </c>
      <c r="C35209" t="s">
        <v>14644</v>
      </c>
      <c r="D35209">
        <v>0</v>
      </c>
      <c r="E35209">
        <v>0</v>
      </c>
      <c r="F35209">
        <v>1570</v>
      </c>
    </row>
    <row r="35210" spans="1:6" ht="12.75">
      <c r="A35210" s="2">
        <v>43875.316145833334</v>
      </c>
      <c r="B35210" t="str">
        <f>HYPERLINK("https://twitter.com/ngurahsaka","@ngurahsaka")</f>
        <v>@ngurahsaka</v>
      </c>
      <c r="C35210" t="s">
        <v>11460</v>
      </c>
      <c r="D35210">
        <v>7</v>
      </c>
      <c r="E35210">
        <v>0</v>
      </c>
      <c r="F35210">
        <v>1796</v>
      </c>
    </row>
    <row r="35211" spans="1:6" ht="12.75">
      <c r="A35211" s="2">
        <v>43875.316099537042</v>
      </c>
      <c r="B35211" t="str">
        <f>HYPERLINK("https://twitter.com/__Ndaru__","@__Ndaru__")</f>
        <v>@__Ndaru__</v>
      </c>
      <c r="C35211" t="s">
        <v>14645</v>
      </c>
      <c r="D35211">
        <v>0</v>
      </c>
      <c r="E35211">
        <v>0</v>
      </c>
      <c r="F35211">
        <v>315</v>
      </c>
    </row>
    <row r="35212" spans="1:6" ht="12.75">
      <c r="A35212" s="2">
        <v>43875.316041666665</v>
      </c>
      <c r="B35212" t="str">
        <f>HYPERLINK("https://twitter.com/MakNyus_xx","@MakNyus_xx")</f>
        <v>@MakNyus_xx</v>
      </c>
      <c r="C35212" t="s">
        <v>14646</v>
      </c>
      <c r="D35212">
        <v>0</v>
      </c>
      <c r="E35212">
        <v>0</v>
      </c>
      <c r="F35212">
        <v>3039</v>
      </c>
    </row>
    <row r="35213" spans="1:6" ht="12.75">
      <c r="A35213" s="2">
        <v>43875.316018518519</v>
      </c>
      <c r="B35213" t="str">
        <f>HYPERLINK("https://twitter.com/forddyce92","@forddyce92")</f>
        <v>@forddyce92</v>
      </c>
      <c r="C35213" t="s">
        <v>14647</v>
      </c>
      <c r="D35213">
        <v>0</v>
      </c>
      <c r="E35213">
        <v>0</v>
      </c>
      <c r="F35213">
        <v>24</v>
      </c>
    </row>
    <row r="35214" spans="1:6" ht="12.75">
      <c r="A35214" s="2">
        <v>43875.316006944442</v>
      </c>
      <c r="B35214" t="str">
        <f>HYPERLINK("https://twitter.com/tioharimurtie","@tioharimurtie")</f>
        <v>@tioharimurtie</v>
      </c>
      <c r="C35214" t="s">
        <v>14648</v>
      </c>
      <c r="D35214">
        <v>2</v>
      </c>
      <c r="E35214">
        <v>0</v>
      </c>
      <c r="F35214">
        <v>3632</v>
      </c>
    </row>
    <row r="35215" spans="1:6" ht="12.75">
      <c r="A35215" s="2">
        <v>43875.315902777773</v>
      </c>
      <c r="B35215" t="str">
        <f>HYPERLINK("https://twitter.com/nareswari_ray","@nareswari_ray")</f>
        <v>@nareswari_ray</v>
      </c>
      <c r="C35215" t="s">
        <v>11425</v>
      </c>
      <c r="D35215">
        <v>183</v>
      </c>
      <c r="E35215">
        <v>0</v>
      </c>
      <c r="F35215">
        <v>24</v>
      </c>
    </row>
    <row r="35216" spans="1:6" ht="12.75">
      <c r="A35216" s="2">
        <v>43875.315891203703</v>
      </c>
      <c r="B35216" t="str">
        <f>HYPERLINK("https://twitter.com/brother_morrow","@brother_morrow")</f>
        <v>@brother_morrow</v>
      </c>
      <c r="C35216" t="s">
        <v>8233</v>
      </c>
      <c r="D35216">
        <v>274</v>
      </c>
      <c r="E35216">
        <v>0</v>
      </c>
      <c r="F35216">
        <v>369</v>
      </c>
    </row>
    <row r="35217" spans="1:6" ht="12.75">
      <c r="A35217" s="2">
        <v>43875.315879629634</v>
      </c>
      <c r="B35217" t="str">
        <f>HYPERLINK("https://twitter.com/__beritaterkini","@__beritaterkini")</f>
        <v>@__beritaterkini</v>
      </c>
      <c r="C35217" t="s">
        <v>14181</v>
      </c>
      <c r="D35217">
        <v>0</v>
      </c>
      <c r="E35217">
        <v>0</v>
      </c>
      <c r="F35217">
        <v>414</v>
      </c>
    </row>
    <row r="35218" spans="1:6" ht="12.75">
      <c r="A35218" s="2">
        <v>43875.315821759257</v>
      </c>
      <c r="B35218" t="str">
        <f>HYPERLINK("https://twitter.com/AliFahmiDharma1","@AliFahmiDharma1")</f>
        <v>@AliFahmiDharma1</v>
      </c>
      <c r="C35218" t="s">
        <v>2963</v>
      </c>
      <c r="D35218">
        <v>364</v>
      </c>
      <c r="E35218">
        <v>0</v>
      </c>
      <c r="F35218">
        <v>29</v>
      </c>
    </row>
    <row r="35219" spans="1:6" ht="12.75">
      <c r="A35219" s="2">
        <v>43875.315810185188</v>
      </c>
      <c r="B35219" t="str">
        <f>HYPERLINK("https://twitter.com/RasiRasaMate","@RasiRasaMate")</f>
        <v>@RasiRasaMate</v>
      </c>
      <c r="C35219" t="s">
        <v>7803</v>
      </c>
      <c r="D35219">
        <v>296</v>
      </c>
      <c r="E35219">
        <v>0</v>
      </c>
      <c r="F35219">
        <v>7</v>
      </c>
    </row>
    <row r="35220" spans="1:6" ht="12.75">
      <c r="A35220" s="2">
        <v>43875.315798611111</v>
      </c>
      <c r="B35220" t="str">
        <f>HYPERLINK("https://twitter.com/duo_hh","@duo_hh")</f>
        <v>@duo_hh</v>
      </c>
      <c r="C35220" t="s">
        <v>14649</v>
      </c>
      <c r="D35220">
        <v>0</v>
      </c>
      <c r="E35220">
        <v>0</v>
      </c>
      <c r="F35220">
        <v>207</v>
      </c>
    </row>
    <row r="35221" spans="1:6" ht="12.75">
      <c r="A35221" s="2">
        <v>43875.315763888888</v>
      </c>
      <c r="B35221" t="str">
        <f>HYPERLINK("https://twitter.com/IwanJambi3","@IwanJambi3")</f>
        <v>@IwanJambi3</v>
      </c>
      <c r="C35221" t="s">
        <v>2963</v>
      </c>
      <c r="D35221">
        <v>364</v>
      </c>
      <c r="E35221">
        <v>0</v>
      </c>
      <c r="F35221">
        <v>328</v>
      </c>
    </row>
    <row r="35222" spans="1:6" ht="12.75">
      <c r="A35222" s="2">
        <v>43875.315740740742</v>
      </c>
      <c r="B35222" t="str">
        <f>HYPERLINK("https://twitter.com/WR_4AG226","@WR_4AG226")</f>
        <v>@WR_4AG226</v>
      </c>
      <c r="C35222" t="s">
        <v>10190</v>
      </c>
      <c r="D35222">
        <v>16</v>
      </c>
      <c r="E35222">
        <v>0</v>
      </c>
      <c r="F35222">
        <v>54377</v>
      </c>
    </row>
    <row r="35223" spans="1:6" ht="12.75">
      <c r="A35223" s="2">
        <v>43875.315740740742</v>
      </c>
      <c r="B35223" t="str">
        <f>HYPERLINK("https://twitter.com/harisel_","@harisel_")</f>
        <v>@harisel_</v>
      </c>
      <c r="C35223" t="s">
        <v>2963</v>
      </c>
      <c r="D35223">
        <v>364</v>
      </c>
      <c r="E35223">
        <v>0</v>
      </c>
      <c r="F35223">
        <v>341</v>
      </c>
    </row>
    <row r="35224" spans="1:6" ht="12.75">
      <c r="A35224" s="2">
        <v>43875.315729166672</v>
      </c>
      <c r="B35224" t="str">
        <f>HYPERLINK("https://twitter.com/joshku","@joshku")</f>
        <v>@joshku</v>
      </c>
      <c r="C35224" t="s">
        <v>14650</v>
      </c>
      <c r="D35224">
        <v>3</v>
      </c>
      <c r="E35224">
        <v>0</v>
      </c>
      <c r="F35224">
        <v>310</v>
      </c>
    </row>
    <row r="35225" spans="1:6" ht="12.75">
      <c r="A35225" s="2">
        <v>43875.315717592588</v>
      </c>
      <c r="B35225" t="str">
        <f>HYPERLINK("https://twitter.com/afriyantodeny_","@afriyantodeny_")</f>
        <v>@afriyantodeny_</v>
      </c>
      <c r="C35225" t="s">
        <v>11460</v>
      </c>
      <c r="D35225">
        <v>7</v>
      </c>
      <c r="E35225">
        <v>0</v>
      </c>
      <c r="F35225">
        <v>324</v>
      </c>
    </row>
    <row r="35226" spans="1:6" ht="12.75">
      <c r="A35226" s="2">
        <v>43875.315659722226</v>
      </c>
      <c r="B35226" t="str">
        <f>HYPERLINK("https://twitter.com/qosyim_rosidy","@qosyim_rosidy")</f>
        <v>@qosyim_rosidy</v>
      </c>
      <c r="C35226" t="s">
        <v>7803</v>
      </c>
      <c r="D35226">
        <v>296</v>
      </c>
      <c r="E35226">
        <v>0</v>
      </c>
      <c r="F35226">
        <v>1464</v>
      </c>
    </row>
    <row r="35227" spans="1:6" ht="12.75">
      <c r="A35227" s="2">
        <v>43875.315613425926</v>
      </c>
      <c r="B35227" t="str">
        <f>HYPERLINK("https://twitter.com/yudhi_ulogeni","@yudhi_ulogeni")</f>
        <v>@yudhi_ulogeni</v>
      </c>
      <c r="C35227" t="s">
        <v>14651</v>
      </c>
      <c r="D35227">
        <v>0</v>
      </c>
      <c r="E35227">
        <v>0</v>
      </c>
      <c r="F35227">
        <v>640</v>
      </c>
    </row>
    <row r="35228" spans="1:6" ht="12.75">
      <c r="A35228" s="2">
        <v>43875.315601851849</v>
      </c>
      <c r="B35228" t="str">
        <f>HYPERLINK("https://twitter.com/bakulpithik","@bakulpithik")</f>
        <v>@bakulpithik</v>
      </c>
      <c r="C35228" t="s">
        <v>2963</v>
      </c>
      <c r="D35228">
        <v>364</v>
      </c>
      <c r="E35228">
        <v>0</v>
      </c>
      <c r="F35228">
        <v>1604</v>
      </c>
    </row>
    <row r="35229" spans="1:6" ht="12.75">
      <c r="A35229" s="2">
        <v>43875.315578703703</v>
      </c>
      <c r="B35229" t="str">
        <f>HYPERLINK("https://twitter.com/hui_windy","@hui_windy")</f>
        <v>@hui_windy</v>
      </c>
      <c r="C35229" t="s">
        <v>14652</v>
      </c>
      <c r="D35229">
        <v>2</v>
      </c>
      <c r="E35229">
        <v>0</v>
      </c>
      <c r="F35229">
        <v>14</v>
      </c>
    </row>
    <row r="35230" spans="1:6" ht="12.75">
      <c r="A35230" s="2">
        <v>43875.315555555557</v>
      </c>
      <c r="B35230" t="str">
        <f>HYPERLINK("https://twitter.com/nitanitiya","@nitanitiya")</f>
        <v>@nitanitiya</v>
      </c>
      <c r="C35230" t="s">
        <v>5168</v>
      </c>
      <c r="D35230">
        <v>369</v>
      </c>
      <c r="E35230">
        <v>0</v>
      </c>
      <c r="F35230">
        <v>1281</v>
      </c>
    </row>
    <row r="35231" spans="1:6" ht="12.75">
      <c r="A35231" s="2">
        <v>43875.315520833334</v>
      </c>
      <c r="B35231" t="str">
        <f>HYPERLINK("https://twitter.com/TyasZain","@TyasZain")</f>
        <v>@TyasZain</v>
      </c>
      <c r="C35231" t="s">
        <v>2963</v>
      </c>
      <c r="D35231">
        <v>364</v>
      </c>
      <c r="E35231">
        <v>0</v>
      </c>
      <c r="F35231">
        <v>1904</v>
      </c>
    </row>
    <row r="35232" spans="1:6" ht="12.75">
      <c r="A35232" s="2">
        <v>43875.315520833334</v>
      </c>
      <c r="B35232" t="str">
        <f>HYPERLINK("https://twitter.com/wijaya_karenina","@wijaya_karenina")</f>
        <v>@wijaya_karenina</v>
      </c>
      <c r="C35232" t="s">
        <v>2122</v>
      </c>
      <c r="D35232">
        <v>171</v>
      </c>
      <c r="E35232">
        <v>0</v>
      </c>
      <c r="F35232">
        <v>515</v>
      </c>
    </row>
    <row r="35233" spans="1:6" ht="12.75">
      <c r="A35233" s="2">
        <v>43875.315474537041</v>
      </c>
      <c r="B35233" t="str">
        <f>HYPERLINK("https://twitter.com/RichelleEdita","@RichelleEdita")</f>
        <v>@RichelleEdita</v>
      </c>
      <c r="C35233" t="s">
        <v>2963</v>
      </c>
      <c r="D35233">
        <v>364</v>
      </c>
      <c r="E35233">
        <v>0</v>
      </c>
      <c r="F35233">
        <v>782</v>
      </c>
    </row>
    <row r="35234" spans="1:6" ht="12.75">
      <c r="A35234" s="2">
        <v>43875.315451388888</v>
      </c>
      <c r="B35234" t="str">
        <f>HYPERLINK("https://twitter.com/Joker97810893","@Joker97810893")</f>
        <v>@Joker97810893</v>
      </c>
      <c r="C35234" t="s">
        <v>14653</v>
      </c>
      <c r="D35234">
        <v>0</v>
      </c>
      <c r="E35234">
        <v>0</v>
      </c>
      <c r="F35234">
        <v>3</v>
      </c>
    </row>
    <row r="35235" spans="1:6" ht="12.75">
      <c r="A35235" s="2">
        <v>43875.315439814818</v>
      </c>
      <c r="B35235" t="str">
        <f>HYPERLINK("https://twitter.com/iantrucker","@iantrucker")</f>
        <v>@iantrucker</v>
      </c>
      <c r="C35235" t="s">
        <v>2963</v>
      </c>
      <c r="D35235">
        <v>364</v>
      </c>
      <c r="E35235">
        <v>0</v>
      </c>
      <c r="F35235">
        <v>340</v>
      </c>
    </row>
    <row r="35236" spans="1:6" ht="12.75">
      <c r="A35236" s="2">
        <v>43875.315347222218</v>
      </c>
      <c r="B35236" t="str">
        <f>HYPERLINK("https://twitter.com/klephone93","@klephone93")</f>
        <v>@klephone93</v>
      </c>
      <c r="C35236" t="s">
        <v>14654</v>
      </c>
      <c r="D35236">
        <v>1</v>
      </c>
      <c r="E35236">
        <v>0</v>
      </c>
      <c r="F35236">
        <v>349</v>
      </c>
    </row>
    <row r="35237" spans="1:6" ht="12.75">
      <c r="A35237" s="2">
        <v>43875.315312499995</v>
      </c>
      <c r="B35237" t="str">
        <f>HYPERLINK("https://twitter.com/welly201970","@welly201970")</f>
        <v>@welly201970</v>
      </c>
      <c r="C35237" t="s">
        <v>14655</v>
      </c>
      <c r="D35237">
        <v>0</v>
      </c>
      <c r="E35237">
        <v>0</v>
      </c>
      <c r="F35237">
        <v>27</v>
      </c>
    </row>
    <row r="35238" spans="1:6" ht="12.75">
      <c r="A35238" s="2">
        <v>43875.315300925926</v>
      </c>
      <c r="B35238" t="str">
        <f>HYPERLINK("https://twitter.com/HanBlasterong","@HanBlasterong")</f>
        <v>@HanBlasterong</v>
      </c>
      <c r="C35238" t="s">
        <v>11425</v>
      </c>
      <c r="D35238">
        <v>183</v>
      </c>
      <c r="E35238">
        <v>0</v>
      </c>
      <c r="F35238">
        <v>805</v>
      </c>
    </row>
    <row r="35239" spans="1:6" ht="12.75">
      <c r="A35239" s="2">
        <v>43875.315289351856</v>
      </c>
      <c r="B35239" t="str">
        <f>HYPERLINK("https://twitter.com/bimapranantaa","@bimapranantaa")</f>
        <v>@bimapranantaa</v>
      </c>
      <c r="C35239" t="s">
        <v>2963</v>
      </c>
      <c r="D35239">
        <v>364</v>
      </c>
      <c r="E35239">
        <v>0</v>
      </c>
      <c r="F35239">
        <v>2533</v>
      </c>
    </row>
    <row r="35240" spans="1:6" ht="12.75">
      <c r="A35240" s="2">
        <v>43875.315150462964</v>
      </c>
      <c r="B35240" t="str">
        <f>HYPERLINK("https://twitter.com/telltalefeliks","@telltalefeliks")</f>
        <v>@telltalefeliks</v>
      </c>
      <c r="C35240" t="s">
        <v>10266</v>
      </c>
      <c r="D35240">
        <v>248</v>
      </c>
      <c r="E35240">
        <v>0</v>
      </c>
      <c r="F35240">
        <v>152</v>
      </c>
    </row>
    <row r="35241" spans="1:6" ht="12.75">
      <c r="A35241" s="2">
        <v>43875.315092592587</v>
      </c>
      <c r="B35241" t="str">
        <f>HYPERLINK("https://twitter.com/ngeTweetAja","@ngeTweetAja")</f>
        <v>@ngeTweetAja</v>
      </c>
      <c r="C35241" t="s">
        <v>11460</v>
      </c>
      <c r="D35241">
        <v>7</v>
      </c>
      <c r="E35241">
        <v>0</v>
      </c>
      <c r="F35241">
        <v>4298</v>
      </c>
    </row>
    <row r="35242" spans="1:6" ht="12.75">
      <c r="A35242" s="2">
        <v>43875.315034722225</v>
      </c>
      <c r="B35242" t="str">
        <f>HYPERLINK("https://twitter.com/yikno81","@yikno81")</f>
        <v>@yikno81</v>
      </c>
      <c r="C35242" t="s">
        <v>175</v>
      </c>
      <c r="D35242">
        <v>5220</v>
      </c>
      <c r="E35242">
        <v>0</v>
      </c>
      <c r="F35242">
        <v>39</v>
      </c>
    </row>
    <row r="35243" spans="1:6" ht="12.75">
      <c r="A35243" s="2">
        <v>43875.314988425926</v>
      </c>
      <c r="B35243" t="str">
        <f>HYPERLINK("https://twitter.com/AzFahru","@AzFahru")</f>
        <v>@AzFahru</v>
      </c>
      <c r="C35243" t="s">
        <v>9263</v>
      </c>
      <c r="D35243">
        <v>68</v>
      </c>
      <c r="E35243">
        <v>0</v>
      </c>
      <c r="F35243">
        <v>5</v>
      </c>
    </row>
    <row r="35244" spans="1:6" ht="12.75">
      <c r="A35244" s="2">
        <v>43875.314988425926</v>
      </c>
      <c r="B35244" t="str">
        <f>HYPERLINK("https://twitter.com/Rz_rifai","@Rz_rifai")</f>
        <v>@Rz_rifai</v>
      </c>
      <c r="C35244" t="s">
        <v>14656</v>
      </c>
      <c r="D35244">
        <v>0</v>
      </c>
      <c r="E35244">
        <v>0</v>
      </c>
      <c r="F35244">
        <v>293</v>
      </c>
    </row>
    <row r="35245" spans="1:6" ht="12.75">
      <c r="A35245" s="2">
        <v>43875.314814814818</v>
      </c>
      <c r="B35245" t="str">
        <f>HYPERLINK("https://twitter.com/Dariussaiman","@Dariussaiman")</f>
        <v>@Dariussaiman</v>
      </c>
      <c r="C35245" t="s">
        <v>14657</v>
      </c>
      <c r="D35245">
        <v>0</v>
      </c>
      <c r="E35245">
        <v>0</v>
      </c>
      <c r="F35245">
        <v>6</v>
      </c>
    </row>
    <row r="35246" spans="1:6" ht="12.75">
      <c r="A35246" s="2">
        <v>43875.314791666664</v>
      </c>
      <c r="B35246" t="str">
        <f>HYPERLINK("https://twitter.com/radenmassule","@radenmassule")</f>
        <v>@radenmassule</v>
      </c>
      <c r="C35246" t="s">
        <v>14658</v>
      </c>
      <c r="D35246">
        <v>46</v>
      </c>
      <c r="E35246">
        <v>0</v>
      </c>
      <c r="F35246">
        <v>437</v>
      </c>
    </row>
    <row r="35247" spans="1:6" ht="12.75">
      <c r="A35247" s="2">
        <v>43875.314780092594</v>
      </c>
      <c r="B35247" t="str">
        <f>HYPERLINK("https://twitter.com/supri_prp","@supri_prp")</f>
        <v>@supri_prp</v>
      </c>
      <c r="C35247" t="s">
        <v>14659</v>
      </c>
      <c r="D35247">
        <v>0</v>
      </c>
      <c r="E35247">
        <v>0</v>
      </c>
      <c r="F35247">
        <v>409</v>
      </c>
    </row>
    <row r="35248" spans="1:6" ht="12.75">
      <c r="A35248" s="2">
        <v>43875.314780092594</v>
      </c>
      <c r="B35248" t="str">
        <f>HYPERLINK("https://twitter.com/Ferry13602224","@Ferry13602224")</f>
        <v>@Ferry13602224</v>
      </c>
      <c r="C35248" t="s">
        <v>2963</v>
      </c>
      <c r="D35248">
        <v>364</v>
      </c>
      <c r="E35248">
        <v>0</v>
      </c>
      <c r="F35248">
        <v>345</v>
      </c>
    </row>
    <row r="35249" spans="1:6" ht="12.75">
      <c r="A35249" s="2">
        <v>43875.314687499995</v>
      </c>
      <c r="B35249" t="str">
        <f>HYPERLINK("https://twitter.com/Aliasliem2","@Aliasliem2")</f>
        <v>@Aliasliem2</v>
      </c>
      <c r="C35249" t="s">
        <v>10526</v>
      </c>
      <c r="D35249">
        <v>105</v>
      </c>
      <c r="E35249">
        <v>0</v>
      </c>
      <c r="F35249">
        <v>42</v>
      </c>
    </row>
    <row r="35250" spans="1:6" ht="12.75">
      <c r="A35250" s="2">
        <v>43875.314444444448</v>
      </c>
      <c r="B35250" t="str">
        <f>HYPERLINK("https://twitter.com/Gregorius841","@Gregorius841")</f>
        <v>@Gregorius841</v>
      </c>
      <c r="C35250" t="s">
        <v>10422</v>
      </c>
      <c r="D35250">
        <v>23</v>
      </c>
      <c r="E35250">
        <v>0</v>
      </c>
      <c r="F35250">
        <v>3701</v>
      </c>
    </row>
    <row r="35251" spans="1:6" ht="12.75">
      <c r="A35251" s="2">
        <v>43875.314409722225</v>
      </c>
      <c r="B35251" t="str">
        <f>HYPERLINK("https://twitter.com/tioharimurtie","@tioharimurtie")</f>
        <v>@tioharimurtie</v>
      </c>
      <c r="C35251" t="s">
        <v>14660</v>
      </c>
      <c r="D35251">
        <v>6</v>
      </c>
      <c r="E35251">
        <v>0</v>
      </c>
      <c r="F35251">
        <v>3632</v>
      </c>
    </row>
    <row r="35252" spans="1:6" ht="12.75">
      <c r="A35252" s="2">
        <v>43875.314375000002</v>
      </c>
      <c r="B35252" t="str">
        <f>HYPERLINK("https://twitter.com/MsyTownsend","@MsyTownsend")</f>
        <v>@MsyTownsend</v>
      </c>
      <c r="C35252" t="s">
        <v>14661</v>
      </c>
      <c r="D35252">
        <v>0</v>
      </c>
      <c r="E35252">
        <v>0</v>
      </c>
      <c r="F35252">
        <v>217</v>
      </c>
    </row>
    <row r="35253" spans="1:6" ht="12.75">
      <c r="A35253" s="2">
        <v>43875.314363425925</v>
      </c>
      <c r="B35253" t="str">
        <f>HYPERLINK("https://twitter.com/Gregorius841","@Gregorius841")</f>
        <v>@Gregorius841</v>
      </c>
      <c r="C35253" t="s">
        <v>14662</v>
      </c>
      <c r="D35253">
        <v>1</v>
      </c>
      <c r="E35253">
        <v>0</v>
      </c>
      <c r="F35253">
        <v>3701</v>
      </c>
    </row>
    <row r="35254" spans="1:6" ht="12.75">
      <c r="A35254" s="2">
        <v>43875.314340277779</v>
      </c>
      <c r="B35254" t="str">
        <f>HYPERLINK("https://twitter.com/Bakteri_Kopi","@Bakteri_Kopi")</f>
        <v>@Bakteri_Kopi</v>
      </c>
      <c r="C35254" t="s">
        <v>10422</v>
      </c>
      <c r="D35254">
        <v>23</v>
      </c>
      <c r="E35254">
        <v>0</v>
      </c>
      <c r="F35254">
        <v>425</v>
      </c>
    </row>
    <row r="35255" spans="1:6" ht="12.75">
      <c r="A35255" s="2">
        <v>43875.314247685186</v>
      </c>
      <c r="B35255" t="str">
        <f>HYPERLINK("https://twitter.com/perfect_evolv94","@perfect_evolv94")</f>
        <v>@perfect_evolv94</v>
      </c>
      <c r="C35255" t="s">
        <v>9113</v>
      </c>
      <c r="D35255">
        <v>238</v>
      </c>
      <c r="E35255">
        <v>0</v>
      </c>
      <c r="F35255">
        <v>7</v>
      </c>
    </row>
    <row r="35256" spans="1:6" ht="12.75">
      <c r="A35256" s="2">
        <v>43875.314212962963</v>
      </c>
      <c r="B35256" t="str">
        <f>HYPERLINK("https://twitter.com/GraciaSchulze","@GraciaSchulze")</f>
        <v>@GraciaSchulze</v>
      </c>
      <c r="C35256" t="s">
        <v>8233</v>
      </c>
      <c r="D35256">
        <v>274</v>
      </c>
      <c r="E35256">
        <v>0</v>
      </c>
      <c r="F35256">
        <v>167</v>
      </c>
    </row>
    <row r="35257" spans="1:6" ht="12.75">
      <c r="A35257" s="2">
        <v>43875.314108796301</v>
      </c>
      <c r="B35257" t="str">
        <f>HYPERLINK("https://twitter.com/IdeBadriah07","@IdeBadriah07")</f>
        <v>@IdeBadriah07</v>
      </c>
      <c r="C35257" t="s">
        <v>175</v>
      </c>
      <c r="D35257">
        <v>5220</v>
      </c>
      <c r="E35257">
        <v>0</v>
      </c>
      <c r="F35257">
        <v>135</v>
      </c>
    </row>
    <row r="35258" spans="1:6" ht="12.75">
      <c r="A35258" s="2">
        <v>43875.314074074078</v>
      </c>
      <c r="B35258" t="str">
        <f>HYPERLINK("https://twitter.com/Rz_rifai","@Rz_rifai")</f>
        <v>@Rz_rifai</v>
      </c>
      <c r="C35258" t="s">
        <v>2963</v>
      </c>
      <c r="D35258">
        <v>364</v>
      </c>
      <c r="E35258">
        <v>0</v>
      </c>
      <c r="F35258">
        <v>293</v>
      </c>
    </row>
    <row r="35259" spans="1:6" ht="12.75">
      <c r="A35259" s="2">
        <v>43875.314074074078</v>
      </c>
      <c r="B35259" t="str">
        <f>HYPERLINK("https://twitter.com/cangcingiss","@cangcingiss")</f>
        <v>@cangcingiss</v>
      </c>
      <c r="C35259" t="s">
        <v>2963</v>
      </c>
      <c r="D35259">
        <v>364</v>
      </c>
      <c r="E35259">
        <v>0</v>
      </c>
      <c r="F35259">
        <v>261</v>
      </c>
    </row>
    <row r="35260" spans="1:6" ht="12.75">
      <c r="A35260" s="2">
        <v>43875.314062500001</v>
      </c>
      <c r="B35260" t="str">
        <f>HYPERLINK("https://twitter.com/KurnadiD","@KurnadiD")</f>
        <v>@KurnadiD</v>
      </c>
      <c r="C35260" t="s">
        <v>2963</v>
      </c>
      <c r="D35260">
        <v>364</v>
      </c>
      <c r="E35260">
        <v>0</v>
      </c>
      <c r="F35260">
        <v>1130</v>
      </c>
    </row>
    <row r="35261" spans="1:6" ht="12.75">
      <c r="A35261" s="2">
        <v>43875.313888888893</v>
      </c>
      <c r="B35261" t="str">
        <f>HYPERLINK("https://twitter.com/wibowo_junny","@wibowo_junny")</f>
        <v>@wibowo_junny</v>
      </c>
      <c r="C35261" t="s">
        <v>3038</v>
      </c>
      <c r="D35261">
        <v>103</v>
      </c>
      <c r="E35261">
        <v>0</v>
      </c>
      <c r="F35261">
        <v>35</v>
      </c>
    </row>
    <row r="35262" spans="1:6" ht="12.75">
      <c r="A35262" s="2">
        <v>43875.313877314809</v>
      </c>
      <c r="B35262" t="str">
        <f>HYPERLINK("https://twitter.com/noura_fitri","@noura_fitri")</f>
        <v>@noura_fitri</v>
      </c>
      <c r="C35262" t="s">
        <v>14663</v>
      </c>
      <c r="D35262">
        <v>4</v>
      </c>
      <c r="E35262">
        <v>0</v>
      </c>
      <c r="F35262">
        <v>365</v>
      </c>
    </row>
    <row r="35263" spans="1:6" ht="12.75">
      <c r="A35263" s="2">
        <v>43875.313784722224</v>
      </c>
      <c r="B35263" t="str">
        <f>HYPERLINK("https://twitter.com/sangamei","@sangamei")</f>
        <v>@sangamei</v>
      </c>
      <c r="C35263" t="s">
        <v>14664</v>
      </c>
      <c r="D35263">
        <v>0</v>
      </c>
      <c r="E35263">
        <v>0</v>
      </c>
      <c r="F35263">
        <v>1608</v>
      </c>
    </row>
    <row r="35264" spans="1:6" ht="12.75">
      <c r="A35264" s="2">
        <v>43875.313761574071</v>
      </c>
      <c r="B35264" t="str">
        <f>HYPERLINK("https://twitter.com/RepublikTweep","@RepublikTweep")</f>
        <v>@RepublikTweep</v>
      </c>
      <c r="C35264" t="s">
        <v>2144</v>
      </c>
      <c r="D35264">
        <v>31</v>
      </c>
      <c r="E35264">
        <v>0</v>
      </c>
      <c r="F35264">
        <v>26985</v>
      </c>
    </row>
    <row r="35265" spans="1:6" ht="12.75">
      <c r="A35265" s="2">
        <v>43875.313692129625</v>
      </c>
      <c r="B35265" t="str">
        <f>HYPERLINK("https://twitter.com/KoboiBengek","@KoboiBengek")</f>
        <v>@KoboiBengek</v>
      </c>
      <c r="C35265" t="s">
        <v>14665</v>
      </c>
      <c r="D35265">
        <v>3</v>
      </c>
      <c r="E35265">
        <v>0</v>
      </c>
      <c r="F35265">
        <v>2272</v>
      </c>
    </row>
    <row r="35266" spans="1:6" ht="12.75">
      <c r="A35266" s="2">
        <v>43875.313668981486</v>
      </c>
      <c r="B35266" t="str">
        <f>HYPERLINK("https://twitter.com/OffieSander","@OffieSander")</f>
        <v>@OffieSander</v>
      </c>
      <c r="C35266" t="s">
        <v>10330</v>
      </c>
      <c r="D35266">
        <v>188</v>
      </c>
      <c r="E35266">
        <v>0</v>
      </c>
      <c r="F35266">
        <v>496</v>
      </c>
    </row>
    <row r="35267" spans="1:6" ht="12.75">
      <c r="A35267" s="2">
        <v>43875.313622685186</v>
      </c>
      <c r="B35267" t="str">
        <f>HYPERLINK("https://twitter.com/DimasyFermana","@DimasyFermana")</f>
        <v>@DimasyFermana</v>
      </c>
      <c r="C35267" t="s">
        <v>2963</v>
      </c>
      <c r="D35267">
        <v>364</v>
      </c>
      <c r="E35267">
        <v>0</v>
      </c>
      <c r="F35267">
        <v>1436</v>
      </c>
    </row>
    <row r="35268" spans="1:6" ht="12.75">
      <c r="A35268" s="2">
        <v>43875.313599537039</v>
      </c>
      <c r="B35268" t="str">
        <f>HYPERLINK("https://twitter.com/sukatanyaj","@sukatanyaj")</f>
        <v>@sukatanyaj</v>
      </c>
      <c r="C35268" t="s">
        <v>10096</v>
      </c>
      <c r="D35268">
        <v>55</v>
      </c>
      <c r="E35268">
        <v>0</v>
      </c>
      <c r="F35268">
        <v>5691</v>
      </c>
    </row>
    <row r="35269" spans="1:6" ht="12.75">
      <c r="A35269" s="2">
        <v>43875.31349537037</v>
      </c>
      <c r="B35269" t="str">
        <f>HYPERLINK("https://twitter.com/sudibyo2014","@sudibyo2014")</f>
        <v>@sudibyo2014</v>
      </c>
      <c r="C35269" t="s">
        <v>9538</v>
      </c>
      <c r="D35269">
        <v>87</v>
      </c>
      <c r="E35269">
        <v>0</v>
      </c>
      <c r="F35269">
        <v>837</v>
      </c>
    </row>
    <row r="35270" spans="1:6" ht="12.75">
      <c r="A35270" s="2">
        <v>43875.313425925924</v>
      </c>
      <c r="B35270" t="str">
        <f>HYPERLINK("https://twitter.com/bandungfootball","@bandungfootball")</f>
        <v>@bandungfootball</v>
      </c>
      <c r="C35270" t="s">
        <v>14666</v>
      </c>
      <c r="D35270">
        <v>0</v>
      </c>
      <c r="E35270">
        <v>2</v>
      </c>
      <c r="F35270">
        <v>23069</v>
      </c>
    </row>
    <row r="35271" spans="1:6" ht="12.75">
      <c r="A35271" s="2">
        <v>43875.313379629632</v>
      </c>
      <c r="B35271" t="str">
        <f>HYPERLINK("https://twitter.com/pakto123","@pakto123")</f>
        <v>@pakto123</v>
      </c>
      <c r="C35271" t="s">
        <v>10542</v>
      </c>
      <c r="D35271">
        <v>126</v>
      </c>
      <c r="E35271">
        <v>0</v>
      </c>
      <c r="F35271">
        <v>235</v>
      </c>
    </row>
    <row r="35272" spans="1:6" ht="12.75">
      <c r="A35272" s="2">
        <v>43875.313206018516</v>
      </c>
      <c r="B35272" t="str">
        <f>HYPERLINK("https://twitter.com/Hit_DX","@Hit_DX")</f>
        <v>@Hit_DX</v>
      </c>
      <c r="C35272" t="s">
        <v>3038</v>
      </c>
      <c r="D35272">
        <v>103</v>
      </c>
      <c r="E35272">
        <v>0</v>
      </c>
      <c r="F35272">
        <v>2505</v>
      </c>
    </row>
    <row r="35273" spans="1:6" ht="12.75">
      <c r="A35273" s="2">
        <v>43875.313194444447</v>
      </c>
      <c r="B35273" t="str">
        <f>HYPERLINK("https://twitter.com/the_geotimes","@the_geotimes")</f>
        <v>@the_geotimes</v>
      </c>
      <c r="C35273" t="s">
        <v>14667</v>
      </c>
      <c r="D35273">
        <v>1</v>
      </c>
      <c r="E35273">
        <v>0</v>
      </c>
      <c r="F35273">
        <v>49266</v>
      </c>
    </row>
    <row r="35274" spans="1:6" ht="12.75">
      <c r="A35274" s="2">
        <v>43875.313078703708</v>
      </c>
      <c r="B35274" t="str">
        <f>HYPERLINK("https://twitter.com/OffieSander","@OffieSander")</f>
        <v>@OffieSander</v>
      </c>
      <c r="C35274" t="s">
        <v>10588</v>
      </c>
      <c r="D35274">
        <v>99</v>
      </c>
      <c r="E35274">
        <v>0</v>
      </c>
      <c r="F35274">
        <v>496</v>
      </c>
    </row>
    <row r="35275" spans="1:6" ht="12.75">
      <c r="A35275" s="2">
        <v>43875.313067129631</v>
      </c>
      <c r="B35275" t="str">
        <f>HYPERLINK("https://twitter.com/damario04","@damario04")</f>
        <v>@damario04</v>
      </c>
      <c r="C35275" t="s">
        <v>391</v>
      </c>
      <c r="D35275">
        <v>0</v>
      </c>
      <c r="E35275">
        <v>0</v>
      </c>
      <c r="F35275">
        <v>404</v>
      </c>
    </row>
    <row r="35276" spans="1:6" ht="12.75">
      <c r="A35276" s="2">
        <v>43875.313020833331</v>
      </c>
      <c r="B35276" t="str">
        <f>HYPERLINK("https://twitter.com/ISIS_Balik_NO","@ISIS_Balik_NO")</f>
        <v>@ISIS_Balik_NO</v>
      </c>
      <c r="C35276" t="s">
        <v>14668</v>
      </c>
      <c r="D35276">
        <v>0</v>
      </c>
      <c r="E35276">
        <v>0</v>
      </c>
      <c r="F35276">
        <v>5890</v>
      </c>
    </row>
    <row r="35277" spans="1:6" ht="12.75">
      <c r="A35277" s="2">
        <v>43875.312974537039</v>
      </c>
      <c r="B35277" t="str">
        <f>HYPERLINK("https://twitter.com/wijaya_karenina","@wijaya_karenina")</f>
        <v>@wijaya_karenina</v>
      </c>
      <c r="C35277" t="s">
        <v>10196</v>
      </c>
      <c r="D35277">
        <v>123</v>
      </c>
      <c r="E35277">
        <v>0</v>
      </c>
      <c r="F35277">
        <v>515</v>
      </c>
    </row>
    <row r="35278" spans="1:6" ht="12.75">
      <c r="A35278" s="2">
        <v>43875.312974537039</v>
      </c>
      <c r="B35278" t="str">
        <f>HYPERLINK("https://twitter.com/Insan4diputra","@Insan4diputra")</f>
        <v>@Insan4diputra</v>
      </c>
      <c r="C35278" t="s">
        <v>10266</v>
      </c>
      <c r="D35278">
        <v>248</v>
      </c>
      <c r="E35278">
        <v>0</v>
      </c>
      <c r="F35278">
        <v>210</v>
      </c>
    </row>
    <row r="35279" spans="1:6" ht="12.75">
      <c r="A35279" s="2">
        <v>43875.3128587963</v>
      </c>
      <c r="B35279" t="str">
        <f>HYPERLINK("https://twitter.com/ErnaZahra","@ErnaZahra")</f>
        <v>@ErnaZahra</v>
      </c>
      <c r="C35279" t="s">
        <v>6982</v>
      </c>
      <c r="D35279">
        <v>80</v>
      </c>
      <c r="E35279">
        <v>0</v>
      </c>
      <c r="F35279">
        <v>951</v>
      </c>
    </row>
    <row r="35280" spans="1:6" ht="12.75">
      <c r="A35280" s="2">
        <v>43875.312777777777</v>
      </c>
      <c r="B35280" t="str">
        <f>HYPERLINK("https://twitter.com/wijaya_karenina","@wijaya_karenina")</f>
        <v>@wijaya_karenina</v>
      </c>
      <c r="C35280" t="s">
        <v>11728</v>
      </c>
      <c r="D35280">
        <v>56</v>
      </c>
      <c r="E35280">
        <v>0</v>
      </c>
      <c r="F35280">
        <v>515</v>
      </c>
    </row>
    <row r="35281" spans="1:6" ht="12.75">
      <c r="A35281" s="2">
        <v>43875.312743055554</v>
      </c>
      <c r="B35281" t="str">
        <f>HYPERLINK("https://twitter.com/ZAQTAHTA","@ZAQTAHTA")</f>
        <v>@ZAQTAHTA</v>
      </c>
      <c r="C35281" t="s">
        <v>14669</v>
      </c>
      <c r="D35281">
        <v>0</v>
      </c>
      <c r="E35281">
        <v>0</v>
      </c>
      <c r="F35281">
        <v>5</v>
      </c>
    </row>
    <row r="35282" spans="1:6" ht="12.75">
      <c r="A35282" s="2">
        <v>43875.312662037039</v>
      </c>
      <c r="B35282" t="str">
        <f>HYPERLINK("https://twitter.com/silverwind","@silverwind")</f>
        <v>@silverwind</v>
      </c>
      <c r="C35282" t="s">
        <v>2444</v>
      </c>
      <c r="D35282">
        <v>63</v>
      </c>
      <c r="E35282">
        <v>0</v>
      </c>
      <c r="F35282">
        <v>1928</v>
      </c>
    </row>
    <row r="35283" spans="1:6" ht="12.75">
      <c r="A35283" s="2">
        <v>43875.312650462962</v>
      </c>
      <c r="B35283" t="str">
        <f>HYPERLINK("https://twitter.com/Empusstark","@Empusstark")</f>
        <v>@Empusstark</v>
      </c>
      <c r="C35283" t="s">
        <v>10196</v>
      </c>
      <c r="D35283">
        <v>123</v>
      </c>
      <c r="E35283">
        <v>0</v>
      </c>
      <c r="F35283">
        <v>7</v>
      </c>
    </row>
    <row r="35284" spans="1:6" ht="12.75">
      <c r="A35284" s="2">
        <v>43875.312557870369</v>
      </c>
      <c r="B35284" t="str">
        <f>HYPERLINK("https://twitter.com/makmun_tjg","@makmun_tjg")</f>
        <v>@makmun_tjg</v>
      </c>
      <c r="C35284" t="s">
        <v>13712</v>
      </c>
      <c r="D35284">
        <v>28</v>
      </c>
      <c r="E35284">
        <v>0</v>
      </c>
      <c r="F35284">
        <v>77</v>
      </c>
    </row>
    <row r="35285" spans="1:6" ht="12.75">
      <c r="A35285" s="2">
        <v>43875.312534722223</v>
      </c>
      <c r="B35285" t="str">
        <f>HYPERLINK("https://twitter.com/SayHeiYu","@SayHeiYu")</f>
        <v>@SayHeiYu</v>
      </c>
      <c r="C35285" t="s">
        <v>708</v>
      </c>
      <c r="D35285">
        <v>0</v>
      </c>
      <c r="E35285">
        <v>0</v>
      </c>
      <c r="F35285">
        <v>120179</v>
      </c>
    </row>
    <row r="35286" spans="1:6" ht="12.75">
      <c r="A35286" s="2">
        <v>43875.312523148154</v>
      </c>
      <c r="B35286" t="str">
        <f>HYPERLINK("https://twitter.com/ZoelFawzie","@ZoelFawzie")</f>
        <v>@ZoelFawzie</v>
      </c>
      <c r="C35286" t="s">
        <v>14670</v>
      </c>
      <c r="D35286">
        <v>40</v>
      </c>
      <c r="E35286">
        <v>0</v>
      </c>
      <c r="F35286">
        <v>5685</v>
      </c>
    </row>
    <row r="35287" spans="1:6" ht="12.75">
      <c r="A35287" s="2">
        <v>43875.31251157407</v>
      </c>
      <c r="B35287" t="str">
        <f>HYPERLINK("https://twitter.com/IwanArcade","@IwanArcade")</f>
        <v>@IwanArcade</v>
      </c>
      <c r="C35287" t="s">
        <v>14671</v>
      </c>
      <c r="D35287">
        <v>0</v>
      </c>
      <c r="E35287">
        <v>0</v>
      </c>
      <c r="F35287">
        <v>92</v>
      </c>
    </row>
    <row r="35288" spans="1:6" ht="12.75">
      <c r="A35288" s="2">
        <v>43875.312418981484</v>
      </c>
      <c r="B35288" t="str">
        <f>HYPERLINK("https://twitter.com/mochaar15","@mochaar15")</f>
        <v>@mochaar15</v>
      </c>
      <c r="C35288" t="s">
        <v>5168</v>
      </c>
      <c r="D35288">
        <v>369</v>
      </c>
      <c r="E35288">
        <v>0</v>
      </c>
      <c r="F35288">
        <v>153</v>
      </c>
    </row>
    <row r="35289" spans="1:6" ht="12.75">
      <c r="A35289" s="2">
        <v>43875.312349537038</v>
      </c>
      <c r="B35289" t="str">
        <f>HYPERLINK("https://twitter.com/ariflutfiana","@ariflutfiana")</f>
        <v>@ariflutfiana</v>
      </c>
      <c r="C35289" t="s">
        <v>5168</v>
      </c>
      <c r="D35289">
        <v>369</v>
      </c>
      <c r="E35289">
        <v>0</v>
      </c>
      <c r="F35289">
        <v>401</v>
      </c>
    </row>
    <row r="35290" spans="1:6" ht="12.75">
      <c r="A35290" s="2">
        <v>43875.312337962961</v>
      </c>
      <c r="B35290" t="str">
        <f>HYPERLINK("https://twitter.com/oyikk","@oyikk")</f>
        <v>@oyikk</v>
      </c>
      <c r="C35290" t="s">
        <v>9096</v>
      </c>
      <c r="D35290">
        <v>144</v>
      </c>
      <c r="E35290">
        <v>0</v>
      </c>
      <c r="F35290">
        <v>807</v>
      </c>
    </row>
    <row r="35291" spans="1:6" ht="12.75">
      <c r="A35291" s="2">
        <v>43875.312291666662</v>
      </c>
      <c r="B35291" t="str">
        <f>HYPERLINK("https://twitter.com/hahtukangkeong","@hahtukangkeong")</f>
        <v>@hahtukangkeong</v>
      </c>
      <c r="C35291" t="s">
        <v>5168</v>
      </c>
      <c r="D35291">
        <v>369</v>
      </c>
      <c r="E35291">
        <v>0</v>
      </c>
      <c r="F35291">
        <v>336</v>
      </c>
    </row>
    <row r="35292" spans="1:6" ht="12.75">
      <c r="A35292" s="2">
        <v>43875.3122337963</v>
      </c>
      <c r="B35292" t="str">
        <f>HYPERLINK("https://twitter.com/Lilou_skye","@Lilou_skye")</f>
        <v>@Lilou_skye</v>
      </c>
      <c r="C35292" t="s">
        <v>14672</v>
      </c>
      <c r="D35292">
        <v>10</v>
      </c>
      <c r="E35292">
        <v>0</v>
      </c>
      <c r="F35292">
        <v>132</v>
      </c>
    </row>
    <row r="35293" spans="1:6" ht="12.75">
      <c r="A35293" s="2">
        <v>43875.311944444446</v>
      </c>
      <c r="B35293" t="str">
        <f>HYPERLINK("https://twitter.com/the_cupuman","@the_cupuman")</f>
        <v>@the_cupuman</v>
      </c>
      <c r="C35293" t="s">
        <v>11071</v>
      </c>
      <c r="D35293">
        <v>52</v>
      </c>
      <c r="E35293">
        <v>0</v>
      </c>
      <c r="F35293">
        <v>71</v>
      </c>
    </row>
    <row r="35294" spans="1:6" ht="12.75">
      <c r="A35294" s="2">
        <v>43875.311851851853</v>
      </c>
      <c r="B35294" t="str">
        <f>HYPERLINK("https://twitter.com/ismierossana","@ismierossana")</f>
        <v>@ismierossana</v>
      </c>
      <c r="C35294" t="s">
        <v>14673</v>
      </c>
      <c r="D35294">
        <v>0</v>
      </c>
      <c r="E35294">
        <v>0</v>
      </c>
      <c r="F35294">
        <v>146</v>
      </c>
    </row>
    <row r="35295" spans="1:6" ht="12.75">
      <c r="A35295" s="2">
        <v>43875.311655092592</v>
      </c>
      <c r="B35295" t="str">
        <f>HYPERLINK("https://twitter.com/radenmassule","@radenmassule")</f>
        <v>@radenmassule</v>
      </c>
      <c r="C35295" t="s">
        <v>14674</v>
      </c>
      <c r="D35295">
        <v>0</v>
      </c>
      <c r="E35295">
        <v>0</v>
      </c>
      <c r="F35295">
        <v>437</v>
      </c>
    </row>
    <row r="35296" spans="1:6" ht="12.75">
      <c r="A35296" s="2">
        <v>43875.311469907407</v>
      </c>
      <c r="B35296" t="str">
        <f>HYPERLINK("https://twitter.com/Alhaqq51399","@Alhaqq51399")</f>
        <v>@Alhaqq51399</v>
      </c>
      <c r="C35296" t="s">
        <v>14675</v>
      </c>
      <c r="D35296">
        <v>0</v>
      </c>
      <c r="E35296">
        <v>0</v>
      </c>
      <c r="F35296">
        <v>19</v>
      </c>
    </row>
    <row r="35297" spans="1:6" ht="12.75">
      <c r="A35297" s="2">
        <v>43875.311458333337</v>
      </c>
      <c r="B35297" t="str">
        <f>HYPERLINK("https://twitter.com/Naninansss","@Naninansss")</f>
        <v>@Naninansss</v>
      </c>
      <c r="C35297" t="s">
        <v>5168</v>
      </c>
      <c r="D35297">
        <v>369</v>
      </c>
      <c r="E35297">
        <v>0</v>
      </c>
      <c r="F35297">
        <v>30</v>
      </c>
    </row>
    <row r="35298" spans="1:6" ht="12.75">
      <c r="A35298" s="2">
        <v>43875.311423611114</v>
      </c>
      <c r="B35298" t="str">
        <f>HYPERLINK("https://twitter.com/Haputro2","@Haputro2")</f>
        <v>@Haputro2</v>
      </c>
      <c r="C35298" t="s">
        <v>14676</v>
      </c>
      <c r="D35298">
        <v>0</v>
      </c>
      <c r="E35298">
        <v>0</v>
      </c>
      <c r="F35298">
        <v>0</v>
      </c>
    </row>
    <row r="35299" spans="1:6" ht="12.75">
      <c r="A35299" s="2">
        <v>43875.311423611114</v>
      </c>
      <c r="B35299" t="str">
        <f>HYPERLINK("https://twitter.com/AB_Pamela","@AB_Pamela")</f>
        <v>@AB_Pamela</v>
      </c>
      <c r="C35299" t="s">
        <v>11449</v>
      </c>
      <c r="D35299">
        <v>7</v>
      </c>
      <c r="E35299">
        <v>0</v>
      </c>
      <c r="F35299">
        <v>307</v>
      </c>
    </row>
    <row r="35300" spans="1:6" ht="12.75">
      <c r="A35300" s="2">
        <v>43875.311412037037</v>
      </c>
      <c r="B35300" t="str">
        <f>HYPERLINK("https://twitter.com/smallmelville","@smallmelville")</f>
        <v>@smallmelville</v>
      </c>
      <c r="C35300" t="s">
        <v>14677</v>
      </c>
      <c r="D35300">
        <v>0</v>
      </c>
      <c r="E35300">
        <v>0</v>
      </c>
      <c r="F35300">
        <v>16</v>
      </c>
    </row>
    <row r="35301" spans="1:6" ht="12.75">
      <c r="A35301" s="2">
        <v>43875.311319444445</v>
      </c>
      <c r="B35301" t="str">
        <f>HYPERLINK("https://twitter.com/Back_cool_Tempe","@Back_cool_Tempe")</f>
        <v>@Back_cool_Tempe</v>
      </c>
      <c r="C35301" t="s">
        <v>14309</v>
      </c>
      <c r="D35301">
        <v>5</v>
      </c>
      <c r="E35301">
        <v>0</v>
      </c>
      <c r="F35301">
        <v>1205</v>
      </c>
    </row>
    <row r="35302" spans="1:6" ht="12.75">
      <c r="A35302" s="2">
        <v>43875.311261574076</v>
      </c>
      <c r="B35302" t="str">
        <f>HYPERLINK("https://twitter.com/LEVINADELA","@LEVINADELA")</f>
        <v>@LEVINADELA</v>
      </c>
      <c r="C35302" t="s">
        <v>2963</v>
      </c>
      <c r="D35302">
        <v>364</v>
      </c>
      <c r="E35302">
        <v>0</v>
      </c>
      <c r="F35302">
        <v>1962</v>
      </c>
    </row>
    <row r="35303" spans="1:6" ht="12.75">
      <c r="A35303" s="2">
        <v>43875.311192129629</v>
      </c>
      <c r="B35303" t="str">
        <f>HYPERLINK("https://twitter.com/reyharlan","@reyharlan")</f>
        <v>@reyharlan</v>
      </c>
      <c r="C35303" t="s">
        <v>9538</v>
      </c>
      <c r="D35303">
        <v>87</v>
      </c>
      <c r="E35303">
        <v>0</v>
      </c>
      <c r="F35303">
        <v>586</v>
      </c>
    </row>
    <row r="35304" spans="1:6" ht="12.75">
      <c r="A35304" s="2">
        <v>43875.31114583333</v>
      </c>
      <c r="B35304" t="str">
        <f>HYPERLINK("https://twitter.com/hansssolo","@hansssolo")</f>
        <v>@hansssolo</v>
      </c>
      <c r="C35304" t="s">
        <v>14678</v>
      </c>
      <c r="D35304">
        <v>0</v>
      </c>
      <c r="E35304">
        <v>0</v>
      </c>
      <c r="F35304">
        <v>1598</v>
      </c>
    </row>
    <row r="35305" spans="1:6" ht="12.75">
      <c r="A35305" s="2">
        <v>43875.311122685191</v>
      </c>
      <c r="B35305" t="str">
        <f>HYPERLINK("https://twitter.com/moeslim_choice","@moeslim_choice")</f>
        <v>@moeslim_choice</v>
      </c>
      <c r="C35305" t="s">
        <v>14679</v>
      </c>
      <c r="D35305">
        <v>0</v>
      </c>
      <c r="E35305">
        <v>0</v>
      </c>
      <c r="F35305">
        <v>130</v>
      </c>
    </row>
    <row r="35306" spans="1:6" ht="12.75">
      <c r="A35306" s="2">
        <v>43875.311006944445</v>
      </c>
      <c r="B35306" t="str">
        <f>HYPERLINK("https://twitter.com/i_Pras","@i_Pras")</f>
        <v>@i_Pras</v>
      </c>
      <c r="C35306" t="s">
        <v>2963</v>
      </c>
      <c r="D35306">
        <v>364</v>
      </c>
      <c r="E35306">
        <v>0</v>
      </c>
      <c r="F35306">
        <v>1043</v>
      </c>
    </row>
    <row r="35307" spans="1:6" ht="12.75">
      <c r="A35307" s="2">
        <v>43875.310960648145</v>
      </c>
      <c r="B35307" t="str">
        <f>HYPERLINK("https://twitter.com/bambangyusnizar","@bambangyusnizar")</f>
        <v>@bambangyusnizar</v>
      </c>
      <c r="C35307" t="s">
        <v>10096</v>
      </c>
      <c r="D35307">
        <v>55</v>
      </c>
      <c r="E35307">
        <v>0</v>
      </c>
      <c r="F35307">
        <v>326</v>
      </c>
    </row>
    <row r="35308" spans="1:6" ht="12.75">
      <c r="A35308" s="2">
        <v>43875.310902777783</v>
      </c>
      <c r="B35308" t="str">
        <f>HYPERLINK("https://twitter.com/Lilou_skye","@Lilou_skye")</f>
        <v>@Lilou_skye</v>
      </c>
      <c r="C35308" t="s">
        <v>14680</v>
      </c>
      <c r="D35308">
        <v>10</v>
      </c>
      <c r="E35308">
        <v>0</v>
      </c>
      <c r="F35308">
        <v>132</v>
      </c>
    </row>
    <row r="35309" spans="1:6" ht="12.75">
      <c r="A35309" s="2">
        <v>43875.310902777783</v>
      </c>
      <c r="B35309" t="str">
        <f>HYPERLINK("https://twitter.com/jhon_hancock77","@jhon_hancock77")</f>
        <v>@jhon_hancock77</v>
      </c>
      <c r="C35309" t="s">
        <v>10096</v>
      </c>
      <c r="D35309">
        <v>55</v>
      </c>
      <c r="E35309">
        <v>0</v>
      </c>
      <c r="F35309">
        <v>1311</v>
      </c>
    </row>
    <row r="35310" spans="1:6" ht="12.75">
      <c r="A35310" s="2">
        <v>43875.31077546296</v>
      </c>
      <c r="B35310" t="str">
        <f>HYPERLINK("https://twitter.com/Qiu912","@Qiu912")</f>
        <v>@Qiu912</v>
      </c>
      <c r="C35310" t="s">
        <v>14681</v>
      </c>
      <c r="D35310">
        <v>0</v>
      </c>
      <c r="E35310">
        <v>0</v>
      </c>
      <c r="F35310">
        <v>112</v>
      </c>
    </row>
    <row r="35311" spans="1:6" ht="12.75">
      <c r="A35311" s="2">
        <v>43875.31077546296</v>
      </c>
      <c r="B35311" t="str">
        <f>HYPERLINK("https://twitter.com/hangyullov","@hangyullov")</f>
        <v>@hangyullov</v>
      </c>
      <c r="C35311" t="s">
        <v>2963</v>
      </c>
      <c r="D35311">
        <v>364</v>
      </c>
      <c r="E35311">
        <v>0</v>
      </c>
      <c r="F35311">
        <v>2797</v>
      </c>
    </row>
    <row r="35312" spans="1:6" ht="12.75">
      <c r="A35312" s="2">
        <v>43875.310659722221</v>
      </c>
      <c r="B35312" t="str">
        <f>HYPERLINK("https://twitter.com/Detektif_Ngibul","@Detektif_Ngibul")</f>
        <v>@Detektif_Ngibul</v>
      </c>
      <c r="C35312" t="s">
        <v>2963</v>
      </c>
      <c r="D35312">
        <v>364</v>
      </c>
      <c r="E35312">
        <v>0</v>
      </c>
      <c r="F35312">
        <v>1547</v>
      </c>
    </row>
    <row r="35313" spans="1:6" ht="12.75">
      <c r="A35313" s="2">
        <v>43875.310659722221</v>
      </c>
      <c r="B35313" t="str">
        <f>HYPERLINK("https://twitter.com/zulfahmi_coen","@zulfahmi_coen")</f>
        <v>@zulfahmi_coen</v>
      </c>
      <c r="C35313" t="s">
        <v>14682</v>
      </c>
      <c r="D35313">
        <v>0</v>
      </c>
      <c r="E35313">
        <v>0</v>
      </c>
      <c r="F35313">
        <v>2471</v>
      </c>
    </row>
    <row r="35314" spans="1:6" ht="12.75">
      <c r="A35314" s="2">
        <v>43875.310624999998</v>
      </c>
      <c r="B35314" t="str">
        <f>HYPERLINK("https://twitter.com/BromocorahGrCeb","@BromocorahGrCeb")</f>
        <v>@BromocorahGrCeb</v>
      </c>
      <c r="C35314" t="s">
        <v>14683</v>
      </c>
      <c r="D35314">
        <v>1</v>
      </c>
      <c r="E35314">
        <v>2</v>
      </c>
      <c r="F35314">
        <v>4087</v>
      </c>
    </row>
    <row r="35315" spans="1:6" ht="12.75">
      <c r="A35315" s="2">
        <v>43875.310624999998</v>
      </c>
      <c r="B35315" t="str">
        <f>HYPERLINK("https://twitter.com/uyet_buyu","@uyet_buyu")</f>
        <v>@uyet_buyu</v>
      </c>
      <c r="C35315" t="s">
        <v>10307</v>
      </c>
      <c r="D35315">
        <v>52</v>
      </c>
      <c r="E35315">
        <v>0</v>
      </c>
      <c r="F35315">
        <v>809</v>
      </c>
    </row>
    <row r="35316" spans="1:6" ht="12.75">
      <c r="A35316" s="2">
        <v>43875.310601851852</v>
      </c>
      <c r="B35316" t="str">
        <f>HYPERLINK("https://twitter.com/ranggainthezone","@ranggainthezone")</f>
        <v>@ranggainthezone</v>
      </c>
      <c r="C35316" t="s">
        <v>14684</v>
      </c>
      <c r="D35316">
        <v>0</v>
      </c>
      <c r="E35316">
        <v>0</v>
      </c>
      <c r="F35316">
        <v>499</v>
      </c>
    </row>
    <row r="35317" spans="1:6" ht="12.75">
      <c r="A35317" s="2">
        <v>43875.310601851852</v>
      </c>
      <c r="B35317" t="str">
        <f>HYPERLINK("https://twitter.com/aulia2199","@aulia2199")</f>
        <v>@aulia2199</v>
      </c>
      <c r="C35317" t="s">
        <v>7803</v>
      </c>
      <c r="D35317">
        <v>296</v>
      </c>
      <c r="E35317">
        <v>0</v>
      </c>
      <c r="F35317">
        <v>121</v>
      </c>
    </row>
    <row r="35318" spans="1:6" ht="12.75">
      <c r="A35318" s="2">
        <v>43875.310578703706</v>
      </c>
      <c r="B35318" t="str">
        <f>HYPERLINK("https://twitter.com/Oni_Andri","@Oni_Andri")</f>
        <v>@Oni_Andri</v>
      </c>
      <c r="C35318" t="s">
        <v>2963</v>
      </c>
      <c r="D35318">
        <v>364</v>
      </c>
      <c r="E35318">
        <v>0</v>
      </c>
      <c r="F35318">
        <v>5</v>
      </c>
    </row>
    <row r="35319" spans="1:6" ht="12.75">
      <c r="A35319" s="2">
        <v>43875.310567129629</v>
      </c>
      <c r="B35319" t="str">
        <f>HYPERLINK("https://twitter.com/puturadion","@puturadion")</f>
        <v>@puturadion</v>
      </c>
      <c r="C35319" t="s">
        <v>10422</v>
      </c>
      <c r="D35319">
        <v>23</v>
      </c>
      <c r="E35319">
        <v>0</v>
      </c>
      <c r="F35319">
        <v>253</v>
      </c>
    </row>
    <row r="35320" spans="1:6" ht="12.75">
      <c r="A35320" s="2">
        <v>43875.31045138889</v>
      </c>
      <c r="B35320" t="str">
        <f>HYPERLINK("https://twitter.com/kht01263","@kht01263")</f>
        <v>@kht01263</v>
      </c>
      <c r="C35320" t="s">
        <v>2144</v>
      </c>
      <c r="D35320">
        <v>31</v>
      </c>
      <c r="E35320">
        <v>0</v>
      </c>
      <c r="F35320">
        <v>194</v>
      </c>
    </row>
    <row r="35321" spans="1:6" ht="12.75">
      <c r="A35321" s="2">
        <v>43875.310393518521</v>
      </c>
      <c r="B35321" t="str">
        <f>HYPERLINK("https://twitter.com/CecyliaCrystal","@CecyliaCrystal")</f>
        <v>@CecyliaCrystal</v>
      </c>
      <c r="C35321" t="s">
        <v>14685</v>
      </c>
      <c r="D35321">
        <v>99</v>
      </c>
      <c r="E35321">
        <v>0</v>
      </c>
      <c r="F35321">
        <v>69</v>
      </c>
    </row>
    <row r="35322" spans="1:6" ht="12.75">
      <c r="A35322" s="2">
        <v>43875.310347222221</v>
      </c>
      <c r="B35322" t="str">
        <f>HYPERLINK("https://twitter.com/Paman_Gembul1","@Paman_Gembul1")</f>
        <v>@Paman_Gembul1</v>
      </c>
      <c r="C35322" t="s">
        <v>12612</v>
      </c>
      <c r="D35322">
        <v>12</v>
      </c>
      <c r="E35322">
        <v>0</v>
      </c>
      <c r="F35322">
        <v>1128</v>
      </c>
    </row>
    <row r="35323" spans="1:6" ht="12.75">
      <c r="A35323" s="2">
        <v>43875.310312500005</v>
      </c>
      <c r="B35323" t="str">
        <f>HYPERLINK("https://twitter.com/puturadion","@puturadion")</f>
        <v>@puturadion</v>
      </c>
      <c r="C35323" t="s">
        <v>2963</v>
      </c>
      <c r="D35323">
        <v>364</v>
      </c>
      <c r="E35323">
        <v>0</v>
      </c>
      <c r="F35323">
        <v>253</v>
      </c>
    </row>
    <row r="35324" spans="1:6" ht="12.75">
      <c r="A35324" s="2">
        <v>43875.310289351852</v>
      </c>
      <c r="B35324" t="str">
        <f>HYPERLINK("https://twitter.com/herlambang_tan","@herlambang_tan")</f>
        <v>@herlambang_tan</v>
      </c>
      <c r="C35324" t="s">
        <v>14686</v>
      </c>
      <c r="D35324">
        <v>0</v>
      </c>
      <c r="E35324">
        <v>0</v>
      </c>
      <c r="F35324">
        <v>2340</v>
      </c>
    </row>
    <row r="35325" spans="1:6" ht="12.75">
      <c r="A35325" s="2">
        <v>43875.31013888889</v>
      </c>
      <c r="B35325" t="str">
        <f>HYPERLINK("https://twitter.com/CeriaSinom","@CeriaSinom")</f>
        <v>@CeriaSinom</v>
      </c>
      <c r="C35325" t="s">
        <v>8233</v>
      </c>
      <c r="D35325">
        <v>274</v>
      </c>
      <c r="E35325">
        <v>0</v>
      </c>
      <c r="F35325">
        <v>129</v>
      </c>
    </row>
    <row r="35326" spans="1:6" ht="12.75">
      <c r="A35326" s="2">
        <v>43875.310104166667</v>
      </c>
      <c r="B35326" t="str">
        <f>HYPERLINK("https://twitter.com/apri_kartiwan","@apri_kartiwan")</f>
        <v>@apri_kartiwan</v>
      </c>
      <c r="C35326" t="s">
        <v>14687</v>
      </c>
      <c r="D35326">
        <v>0</v>
      </c>
      <c r="E35326">
        <v>0</v>
      </c>
      <c r="F35326">
        <v>14</v>
      </c>
    </row>
    <row r="35327" spans="1:6" ht="12.75">
      <c r="A35327" s="2">
        <v>43875.310092592597</v>
      </c>
      <c r="B35327" t="str">
        <f>HYPERLINK("https://twitter.com/Riandra90637222","@Riandra90637222")</f>
        <v>@Riandra90637222</v>
      </c>
      <c r="C35327" t="s">
        <v>14688</v>
      </c>
      <c r="D35327">
        <v>0</v>
      </c>
      <c r="E35327">
        <v>0</v>
      </c>
      <c r="F35327">
        <v>214</v>
      </c>
    </row>
    <row r="35328" spans="1:6" ht="12.75">
      <c r="A35328" s="2">
        <v>43875.310046296298</v>
      </c>
      <c r="B35328" t="str">
        <f>HYPERLINK("https://twitter.com/mds_amboina","@mds_amboina")</f>
        <v>@mds_amboina</v>
      </c>
      <c r="C35328" t="s">
        <v>2963</v>
      </c>
      <c r="D35328">
        <v>364</v>
      </c>
      <c r="E35328">
        <v>0</v>
      </c>
      <c r="F35328">
        <v>1585</v>
      </c>
    </row>
    <row r="35329" spans="1:6" ht="12.75">
      <c r="A35329" s="2">
        <v>43875.309976851851</v>
      </c>
      <c r="B35329" t="str">
        <f>HYPERLINK("https://twitter.com/KurnadiD","@KurnadiD")</f>
        <v>@KurnadiD</v>
      </c>
      <c r="C35329" t="s">
        <v>13985</v>
      </c>
      <c r="D35329">
        <v>11</v>
      </c>
      <c r="E35329">
        <v>0</v>
      </c>
      <c r="F35329">
        <v>1130</v>
      </c>
    </row>
    <row r="35330" spans="1:6" ht="12.75">
      <c r="A35330" s="2">
        <v>43875.309965277775</v>
      </c>
      <c r="B35330" t="str">
        <f>HYPERLINK("https://twitter.com/akugasukapedes","@akugasukapedes")</f>
        <v>@akugasukapedes</v>
      </c>
      <c r="C35330" t="s">
        <v>14689</v>
      </c>
      <c r="D35330">
        <v>0</v>
      </c>
      <c r="E35330">
        <v>0</v>
      </c>
      <c r="F35330">
        <v>3</v>
      </c>
    </row>
    <row r="35331" spans="1:6" ht="12.75">
      <c r="A35331" s="2">
        <v>43875.309884259259</v>
      </c>
      <c r="B35331" t="str">
        <f>HYPERLINK("https://twitter.com/ccpsugiono","@ccpsugiono")</f>
        <v>@ccpsugiono</v>
      </c>
      <c r="C35331" t="s">
        <v>2122</v>
      </c>
      <c r="D35331">
        <v>171</v>
      </c>
      <c r="E35331">
        <v>0</v>
      </c>
      <c r="F35331">
        <v>643</v>
      </c>
    </row>
    <row r="35332" spans="1:6" ht="12.75">
      <c r="A35332" s="2">
        <v>43875.309884259259</v>
      </c>
      <c r="B35332" t="str">
        <f>HYPERLINK("https://twitter.com/widaerli","@widaerli")</f>
        <v>@widaerli</v>
      </c>
      <c r="C35332" t="s">
        <v>8233</v>
      </c>
      <c r="D35332">
        <v>274</v>
      </c>
      <c r="E35332">
        <v>0</v>
      </c>
      <c r="F35332">
        <v>564</v>
      </c>
    </row>
    <row r="35333" spans="1:6" ht="12.75">
      <c r="A35333" s="2">
        <v>43875.309837962966</v>
      </c>
      <c r="B35333" t="str">
        <f>HYPERLINK("https://twitter.com/adiiuuk","@adiiuuk")</f>
        <v>@adiiuuk</v>
      </c>
      <c r="C35333" t="s">
        <v>2137</v>
      </c>
      <c r="D35333">
        <v>11</v>
      </c>
      <c r="E35333">
        <v>0</v>
      </c>
      <c r="F35333">
        <v>163</v>
      </c>
    </row>
    <row r="35334" spans="1:6" ht="12.75">
      <c r="A35334" s="2">
        <v>43875.30976851852</v>
      </c>
      <c r="B35334" t="str">
        <f>HYPERLINK("https://twitter.com/Nomor155360515","@Nomor155360515")</f>
        <v>@Nomor155360515</v>
      </c>
      <c r="C35334" t="s">
        <v>12083</v>
      </c>
      <c r="D35334">
        <v>8</v>
      </c>
      <c r="E35334">
        <v>0</v>
      </c>
      <c r="F35334">
        <v>30</v>
      </c>
    </row>
    <row r="35335" spans="1:6" ht="12.75">
      <c r="A35335" s="2">
        <v>43875.309733796297</v>
      </c>
      <c r="B35335" t="str">
        <f>HYPERLINK("https://twitter.com/chiska__","@chiska__")</f>
        <v>@chiska__</v>
      </c>
      <c r="C35335" t="s">
        <v>12180</v>
      </c>
      <c r="D35335">
        <v>24</v>
      </c>
      <c r="E35335">
        <v>0</v>
      </c>
      <c r="F35335">
        <v>345</v>
      </c>
    </row>
    <row r="35336" spans="1:6" ht="12.75">
      <c r="A35336" s="2">
        <v>43875.309733796297</v>
      </c>
      <c r="B35336" t="str">
        <f>HYPERLINK("https://twitter.com/black__valley1","@black__valley1")</f>
        <v>@black__valley1</v>
      </c>
      <c r="C35336" t="s">
        <v>8233</v>
      </c>
      <c r="D35336">
        <v>274</v>
      </c>
      <c r="E35336">
        <v>0</v>
      </c>
      <c r="F35336">
        <v>7513</v>
      </c>
    </row>
    <row r="35337" spans="1:6" ht="12.75">
      <c r="A35337" s="2">
        <v>43875.309687500005</v>
      </c>
      <c r="B35337" t="str">
        <f>HYPERLINK("https://twitter.com/LusiHQ","@LusiHQ")</f>
        <v>@LusiHQ</v>
      </c>
      <c r="C35337" t="s">
        <v>10526</v>
      </c>
      <c r="D35337">
        <v>105</v>
      </c>
      <c r="E35337">
        <v>0</v>
      </c>
      <c r="F35337">
        <v>17690</v>
      </c>
    </row>
    <row r="35338" spans="1:6" ht="12.75">
      <c r="A35338" s="2">
        <v>43875.309629629628</v>
      </c>
      <c r="B35338" t="str">
        <f>HYPERLINK("https://twitter.com/RizkyPahlawan10","@RizkyPahlawan10")</f>
        <v>@RizkyPahlawan10</v>
      </c>
      <c r="C35338" t="s">
        <v>14690</v>
      </c>
      <c r="D35338">
        <v>0</v>
      </c>
      <c r="E35338">
        <v>0</v>
      </c>
      <c r="F35338">
        <v>284</v>
      </c>
    </row>
    <row r="35339" spans="1:6" ht="12.75">
      <c r="A35339" s="2">
        <v>43875.309583333335</v>
      </c>
      <c r="B35339" t="str">
        <f>HYPERLINK("https://twitter.com/vlanilla_","@vlanilla_")</f>
        <v>@vlanilla_</v>
      </c>
      <c r="C35339" t="s">
        <v>10422</v>
      </c>
      <c r="D35339">
        <v>23</v>
      </c>
      <c r="E35339">
        <v>0</v>
      </c>
      <c r="F35339">
        <v>180</v>
      </c>
    </row>
    <row r="35340" spans="1:6" ht="12.75">
      <c r="A35340" s="2">
        <v>43875.309548611112</v>
      </c>
      <c r="B35340" t="str">
        <f>HYPERLINK("https://twitter.com/urip_murup","@urip_murup")</f>
        <v>@urip_murup</v>
      </c>
      <c r="C35340" t="s">
        <v>10422</v>
      </c>
      <c r="D35340">
        <v>23</v>
      </c>
      <c r="E35340">
        <v>0</v>
      </c>
      <c r="F35340">
        <v>228</v>
      </c>
    </row>
    <row r="35341" spans="1:6" ht="12.75">
      <c r="A35341" s="2">
        <v>43875.309444444443</v>
      </c>
      <c r="B35341" t="str">
        <f>HYPERLINK("https://twitter.com/Lilou_skye","@Lilou_skye")</f>
        <v>@Lilou_skye</v>
      </c>
      <c r="C35341" t="s">
        <v>14691</v>
      </c>
      <c r="D35341">
        <v>12</v>
      </c>
      <c r="E35341">
        <v>0</v>
      </c>
      <c r="F35341">
        <v>132</v>
      </c>
    </row>
    <row r="35342" spans="1:6" ht="12.75">
      <c r="A35342" s="2">
        <v>43875.309340277774</v>
      </c>
      <c r="B35342" t="str">
        <f>HYPERLINK("https://twitter.com/Nurhasim_wingon","@Nurhasim_wingon")</f>
        <v>@Nurhasim_wingon</v>
      </c>
      <c r="C35342" t="s">
        <v>14692</v>
      </c>
      <c r="D35342">
        <v>0</v>
      </c>
      <c r="E35342">
        <v>0</v>
      </c>
      <c r="F35342">
        <v>613</v>
      </c>
    </row>
    <row r="35343" spans="1:6" ht="12.75">
      <c r="A35343" s="2">
        <v>43875.309317129635</v>
      </c>
      <c r="B35343" t="str">
        <f>HYPERLINK("https://twitter.com/tioharimurtie","@tioharimurtie")</f>
        <v>@tioharimurtie</v>
      </c>
      <c r="C35343" t="s">
        <v>10526</v>
      </c>
      <c r="D35343">
        <v>105</v>
      </c>
      <c r="E35343">
        <v>0</v>
      </c>
      <c r="F35343">
        <v>3632</v>
      </c>
    </row>
    <row r="35344" spans="1:6" ht="12.75">
      <c r="A35344" s="2">
        <v>43875.309317129635</v>
      </c>
      <c r="B35344" t="str">
        <f>HYPERLINK("https://twitter.com/anaswongkamfung","@anaswongkamfung")</f>
        <v>@anaswongkamfung</v>
      </c>
      <c r="C35344" t="s">
        <v>9538</v>
      </c>
      <c r="D35344">
        <v>87</v>
      </c>
      <c r="E35344">
        <v>0</v>
      </c>
      <c r="F35344">
        <v>1177</v>
      </c>
    </row>
    <row r="35345" spans="1:6" ht="12.75">
      <c r="A35345" s="2">
        <v>43875.309293981481</v>
      </c>
      <c r="B35345" t="str">
        <f>HYPERLINK("https://twitter.com/Rian170363Az","@Rian170363Az")</f>
        <v>@Rian170363Az</v>
      </c>
      <c r="C35345" t="s">
        <v>14693</v>
      </c>
      <c r="D35345">
        <v>0</v>
      </c>
      <c r="E35345">
        <v>0</v>
      </c>
      <c r="F35345">
        <v>5</v>
      </c>
    </row>
    <row r="35346" spans="1:6" ht="12.75">
      <c r="A35346" s="2">
        <v>43875.309224537035</v>
      </c>
      <c r="B35346" t="str">
        <f>HYPERLINK("https://twitter.com/ZweiSusanto","@ZweiSusanto")</f>
        <v>@ZweiSusanto</v>
      </c>
      <c r="C35346" t="s">
        <v>14694</v>
      </c>
      <c r="D35346">
        <v>0</v>
      </c>
      <c r="E35346">
        <v>0</v>
      </c>
      <c r="F35346">
        <v>182</v>
      </c>
    </row>
    <row r="35347" spans="1:6" ht="12.75">
      <c r="A35347" s="2">
        <v>43875.309189814812</v>
      </c>
      <c r="B35347" t="str">
        <f>HYPERLINK("https://twitter.com/Sargede_gold","@Sargede_gold")</f>
        <v>@Sargede_gold</v>
      </c>
      <c r="C35347" t="s">
        <v>2963</v>
      </c>
      <c r="D35347">
        <v>364</v>
      </c>
      <c r="E35347">
        <v>0</v>
      </c>
      <c r="F35347">
        <v>587</v>
      </c>
    </row>
    <row r="35348" spans="1:6" ht="12.75">
      <c r="A35348" s="2">
        <v>43875.309189814812</v>
      </c>
      <c r="B35348" t="str">
        <f>HYPERLINK("https://twitter.com/JannesHutajulu","@JannesHutajulu")</f>
        <v>@JannesHutajulu</v>
      </c>
      <c r="C35348" t="s">
        <v>8233</v>
      </c>
      <c r="D35348">
        <v>274</v>
      </c>
      <c r="E35348">
        <v>0</v>
      </c>
      <c r="F35348">
        <v>2167</v>
      </c>
    </row>
    <row r="35349" spans="1:6" ht="12.75">
      <c r="A35349" s="2">
        <v>43875.309155092589</v>
      </c>
      <c r="B35349" t="str">
        <f>HYPERLINK("https://twitter.com/Giyanmocko","@Giyanmocko")</f>
        <v>@Giyanmocko</v>
      </c>
      <c r="C35349" t="s">
        <v>14695</v>
      </c>
      <c r="D35349">
        <v>0</v>
      </c>
      <c r="E35349">
        <v>0</v>
      </c>
      <c r="F35349">
        <v>320</v>
      </c>
    </row>
    <row r="35350" spans="1:6" ht="12.75">
      <c r="A35350" s="2">
        <v>43875.309016203704</v>
      </c>
      <c r="B35350" t="str">
        <f>HYPERLINK("https://twitter.com/MasifMedia","@MasifMedia")</f>
        <v>@MasifMedia</v>
      </c>
      <c r="C35350" t="s">
        <v>2963</v>
      </c>
      <c r="D35350">
        <v>364</v>
      </c>
      <c r="E35350">
        <v>0</v>
      </c>
      <c r="F35350">
        <v>13881</v>
      </c>
    </row>
    <row r="35351" spans="1:6" ht="12.75">
      <c r="A35351" s="2">
        <v>43875.309016203704</v>
      </c>
      <c r="B35351" t="str">
        <f>HYPERLINK("https://twitter.com/AlaricLuthfy","@AlaricLuthfy")</f>
        <v>@AlaricLuthfy</v>
      </c>
      <c r="C35351" t="s">
        <v>14696</v>
      </c>
      <c r="D35351">
        <v>0</v>
      </c>
      <c r="E35351">
        <v>0</v>
      </c>
      <c r="F35351">
        <v>217</v>
      </c>
    </row>
    <row r="35352" spans="1:6" ht="12.75">
      <c r="A35352" s="2">
        <v>43875.30878472222</v>
      </c>
      <c r="B35352" t="str">
        <f>HYPERLINK("https://twitter.com/bidang_arie","@bidang_arie")</f>
        <v>@bidang_arie</v>
      </c>
      <c r="C35352" t="s">
        <v>14697</v>
      </c>
      <c r="D35352">
        <v>0</v>
      </c>
      <c r="E35352">
        <v>0</v>
      </c>
      <c r="F35352">
        <v>15</v>
      </c>
    </row>
    <row r="35353" spans="1:6" ht="12.75">
      <c r="A35353" s="2">
        <v>43875.308761574073</v>
      </c>
      <c r="B35353" t="str">
        <f>HYPERLINK("https://twitter.com/PambudiTri","@PambudiTri")</f>
        <v>@PambudiTri</v>
      </c>
      <c r="C35353" t="s">
        <v>14698</v>
      </c>
      <c r="D35353">
        <v>0</v>
      </c>
      <c r="E35353">
        <v>0</v>
      </c>
      <c r="F35353">
        <v>982</v>
      </c>
    </row>
    <row r="35354" spans="1:6" ht="12.75">
      <c r="A35354" s="2">
        <v>43875.308703703704</v>
      </c>
      <c r="B35354" t="str">
        <f>HYPERLINK("https://twitter.com/anisfauzan1","@anisfauzan1")</f>
        <v>@anisfauzan1</v>
      </c>
      <c r="C35354" t="s">
        <v>14699</v>
      </c>
      <c r="D35354">
        <v>0</v>
      </c>
      <c r="E35354">
        <v>0</v>
      </c>
      <c r="F35354">
        <v>3055</v>
      </c>
    </row>
    <row r="35355" spans="1:6" ht="12.75">
      <c r="A35355" s="2">
        <v>43875.308692129634</v>
      </c>
      <c r="B35355" t="str">
        <f>HYPERLINK("https://twitter.com/HoQ_Bud14rto","@HoQ_Bud14rto")</f>
        <v>@HoQ_Bud14rto</v>
      </c>
      <c r="C35355" t="s">
        <v>14700</v>
      </c>
      <c r="D35355">
        <v>0</v>
      </c>
      <c r="E35355">
        <v>0</v>
      </c>
      <c r="F35355">
        <v>36</v>
      </c>
    </row>
    <row r="35356" spans="1:6" ht="12.75">
      <c r="A35356" s="2">
        <v>43875.308645833335</v>
      </c>
      <c r="B35356" t="str">
        <f>HYPERLINK("https://twitter.com/xd_handaya","@xd_handaya")</f>
        <v>@xd_handaya</v>
      </c>
      <c r="C35356" t="s">
        <v>14701</v>
      </c>
      <c r="D35356">
        <v>0</v>
      </c>
      <c r="E35356">
        <v>0</v>
      </c>
      <c r="F35356">
        <v>114</v>
      </c>
    </row>
    <row r="35357" spans="1:6" ht="12.75">
      <c r="A35357" s="2">
        <v>43875.308587962965</v>
      </c>
      <c r="B35357" t="str">
        <f>HYPERLINK("https://twitter.com/diahariani_97","@diahariani_97")</f>
        <v>@diahariani_97</v>
      </c>
      <c r="C35357" t="s">
        <v>7803</v>
      </c>
      <c r="D35357">
        <v>296</v>
      </c>
      <c r="E35357">
        <v>0</v>
      </c>
      <c r="F35357">
        <v>37</v>
      </c>
    </row>
    <row r="35358" spans="1:6" ht="12.75">
      <c r="A35358" s="2">
        <v>43875.30840277778</v>
      </c>
      <c r="B35358" t="str">
        <f>HYPERLINK("https://twitter.com/pelorrian","@pelorrian")</f>
        <v>@pelorrian</v>
      </c>
      <c r="C35358" t="s">
        <v>14180</v>
      </c>
      <c r="D35358">
        <v>6</v>
      </c>
      <c r="E35358">
        <v>0</v>
      </c>
      <c r="F35358">
        <v>9876</v>
      </c>
    </row>
    <row r="35359" spans="1:6" ht="12.75">
      <c r="A35359" s="2">
        <v>43875.308344907404</v>
      </c>
      <c r="B35359" t="str">
        <f>HYPERLINK("https://twitter.com/PSimataraja","@PSimataraja")</f>
        <v>@PSimataraja</v>
      </c>
      <c r="C35359" t="s">
        <v>14702</v>
      </c>
      <c r="D35359">
        <v>0</v>
      </c>
      <c r="E35359">
        <v>0</v>
      </c>
      <c r="F35359">
        <v>76</v>
      </c>
    </row>
    <row r="35360" spans="1:6" ht="12.75">
      <c r="A35360" s="2">
        <v>43875.308206018519</v>
      </c>
      <c r="B35360" t="str">
        <f>HYPERLINK("https://twitter.com/BadjaNuswantara","@BadjaNuswantara")</f>
        <v>@BadjaNuswantara</v>
      </c>
      <c r="C35360" t="s">
        <v>10422</v>
      </c>
      <c r="D35360">
        <v>23</v>
      </c>
      <c r="E35360">
        <v>0</v>
      </c>
      <c r="F35360">
        <v>42261</v>
      </c>
    </row>
    <row r="35361" spans="1:6" ht="12.75">
      <c r="A35361" s="2">
        <v>43875.308194444442</v>
      </c>
      <c r="B35361" t="str">
        <f>HYPERLINK("https://twitter.com/kosongduaempatt","@kosongduaempatt")</f>
        <v>@kosongduaempatt</v>
      </c>
      <c r="C35361" t="s">
        <v>14180</v>
      </c>
      <c r="D35361">
        <v>6</v>
      </c>
      <c r="E35361">
        <v>0</v>
      </c>
      <c r="F35361">
        <v>103</v>
      </c>
    </row>
    <row r="35362" spans="1:6" ht="12.75">
      <c r="A35362" s="2">
        <v>43875.308148148149</v>
      </c>
      <c r="B35362" t="str">
        <f>HYPERLINK("https://twitter.com/Eko_United48","@Eko_United48")</f>
        <v>@Eko_United48</v>
      </c>
      <c r="C35362" t="s">
        <v>9021</v>
      </c>
      <c r="D35362">
        <v>135</v>
      </c>
      <c r="E35362">
        <v>0</v>
      </c>
      <c r="F35362">
        <v>726</v>
      </c>
    </row>
    <row r="35363" spans="1:6" ht="12.75">
      <c r="A35363" s="2">
        <v>43875.308124999996</v>
      </c>
      <c r="B35363" t="str">
        <f>HYPERLINK("https://twitter.com/republikaonline","@republikaonline")</f>
        <v>@republikaonline</v>
      </c>
      <c r="C35363" t="s">
        <v>14703</v>
      </c>
      <c r="D35363">
        <v>1</v>
      </c>
      <c r="E35363">
        <v>4</v>
      </c>
      <c r="F35363">
        <v>1210216</v>
      </c>
    </row>
    <row r="35364" spans="1:6" ht="12.75">
      <c r="A35364" s="2">
        <v>43875.307939814811</v>
      </c>
      <c r="B35364" t="str">
        <f>HYPERLINK("https://twitter.com/AlvaroDeBazan2","@AlvaroDeBazan2")</f>
        <v>@AlvaroDeBazan2</v>
      </c>
      <c r="C35364" t="s">
        <v>14180</v>
      </c>
      <c r="D35364">
        <v>6</v>
      </c>
      <c r="E35364">
        <v>0</v>
      </c>
      <c r="F35364">
        <v>250</v>
      </c>
    </row>
    <row r="35365" spans="1:6" ht="12.75">
      <c r="A35365" s="2">
        <v>43875.307881944449</v>
      </c>
      <c r="B35365" t="str">
        <f>HYPERLINK("https://twitter.com/Soleh64268085","@Soleh64268085")</f>
        <v>@Soleh64268085</v>
      </c>
      <c r="C35365" t="s">
        <v>10207</v>
      </c>
      <c r="D35365">
        <v>34</v>
      </c>
      <c r="E35365">
        <v>0</v>
      </c>
      <c r="F35365">
        <v>699</v>
      </c>
    </row>
    <row r="35366" spans="1:6" ht="12.75">
      <c r="A35366" s="2">
        <v>43875.307847222226</v>
      </c>
      <c r="B35366" t="str">
        <f>HYPERLINK("https://twitter.com/RUlumiyyah","@RUlumiyyah")</f>
        <v>@RUlumiyyah</v>
      </c>
      <c r="C35366" t="s">
        <v>2963</v>
      </c>
      <c r="D35366">
        <v>364</v>
      </c>
      <c r="E35366">
        <v>0</v>
      </c>
      <c r="F35366">
        <v>2</v>
      </c>
    </row>
    <row r="35367" spans="1:6" ht="12.75">
      <c r="A35367" s="2">
        <v>43875.307835648149</v>
      </c>
      <c r="B35367" t="str">
        <f>HYPERLINK("https://twitter.com/LeoBudiSuryanto","@LeoBudiSuryanto")</f>
        <v>@LeoBudiSuryanto</v>
      </c>
      <c r="C35367" t="s">
        <v>8233</v>
      </c>
      <c r="D35367">
        <v>274</v>
      </c>
      <c r="E35367">
        <v>0</v>
      </c>
      <c r="F35367">
        <v>2073</v>
      </c>
    </row>
    <row r="35368" spans="1:6" ht="12.75">
      <c r="A35368" s="2">
        <v>43875.307673611111</v>
      </c>
      <c r="B35368" t="str">
        <f>HYPERLINK("https://twitter.com/Fakhridp_","@Fakhridp_")</f>
        <v>@Fakhridp_</v>
      </c>
      <c r="C35368" t="s">
        <v>2963</v>
      </c>
      <c r="D35368">
        <v>364</v>
      </c>
      <c r="E35368">
        <v>0</v>
      </c>
      <c r="F35368">
        <v>198</v>
      </c>
    </row>
    <row r="35369" spans="1:6" ht="12.75">
      <c r="A35369" s="2">
        <v>43875.307615740741</v>
      </c>
      <c r="B35369" t="str">
        <f>HYPERLINK("https://twitter.com/anjarwinoro","@anjarwinoro")</f>
        <v>@anjarwinoro</v>
      </c>
      <c r="C35369" t="s">
        <v>9377</v>
      </c>
      <c r="D35369">
        <v>8</v>
      </c>
      <c r="E35369">
        <v>0</v>
      </c>
      <c r="F35369">
        <v>424</v>
      </c>
    </row>
    <row r="35370" spans="1:6" ht="12.75">
      <c r="A35370" s="2">
        <v>43875.307523148149</v>
      </c>
      <c r="B35370" t="str">
        <f>HYPERLINK("https://twitter.com/leoyuwono","@leoyuwono")</f>
        <v>@leoyuwono</v>
      </c>
      <c r="C35370" t="s">
        <v>14704</v>
      </c>
      <c r="D35370">
        <v>0</v>
      </c>
      <c r="E35370">
        <v>1</v>
      </c>
      <c r="F35370">
        <v>262</v>
      </c>
    </row>
    <row r="35371" spans="1:6" ht="12.75">
      <c r="A35371" s="2">
        <v>43875.307476851856</v>
      </c>
      <c r="B35371" t="str">
        <f>HYPERLINK("https://twitter.com/HarkoP","@HarkoP")</f>
        <v>@HarkoP</v>
      </c>
      <c r="C35371" t="s">
        <v>14705</v>
      </c>
      <c r="D35371">
        <v>0</v>
      </c>
      <c r="E35371">
        <v>0</v>
      </c>
      <c r="F35371">
        <v>6402</v>
      </c>
    </row>
    <row r="35372" spans="1:6" ht="12.75">
      <c r="A35372" s="2">
        <v>43875.30740740741</v>
      </c>
      <c r="B35372" t="str">
        <f>HYPERLINK("https://twitter.com/angedespoir5","@angedespoir5")</f>
        <v>@angedespoir5</v>
      </c>
      <c r="C35372" t="s">
        <v>14706</v>
      </c>
      <c r="D35372">
        <v>1</v>
      </c>
      <c r="E35372">
        <v>0</v>
      </c>
      <c r="F35372">
        <v>4915</v>
      </c>
    </row>
    <row r="35373" spans="1:6" ht="12.75">
      <c r="A35373" s="2">
        <v>43875.307372685187</v>
      </c>
      <c r="B35373" t="str">
        <f>HYPERLINK("https://twitter.com/supri_prp","@supri_prp")</f>
        <v>@supri_prp</v>
      </c>
      <c r="C35373" t="s">
        <v>14707</v>
      </c>
      <c r="D35373">
        <v>0</v>
      </c>
      <c r="E35373">
        <v>0</v>
      </c>
      <c r="F35373">
        <v>409</v>
      </c>
    </row>
    <row r="35374" spans="1:6" ht="12.75">
      <c r="A35374" s="2">
        <v>43875.307268518518</v>
      </c>
      <c r="B35374" t="str">
        <f>HYPERLINK("https://twitter.com/__Ndaru__","@__Ndaru__")</f>
        <v>@__Ndaru__</v>
      </c>
      <c r="C35374" t="s">
        <v>14708</v>
      </c>
      <c r="D35374">
        <v>0</v>
      </c>
      <c r="E35374">
        <v>0</v>
      </c>
      <c r="F35374">
        <v>315</v>
      </c>
    </row>
    <row r="35375" spans="1:6" ht="12.75">
      <c r="A35375" s="2">
        <v>43875.307256944448</v>
      </c>
      <c r="B35375" t="str">
        <f>HYPERLINK("https://twitter.com/Kurus_Tulus","@Kurus_Tulus")</f>
        <v>@Kurus_Tulus</v>
      </c>
      <c r="C35375" t="s">
        <v>14411</v>
      </c>
      <c r="D35375">
        <v>1</v>
      </c>
      <c r="E35375">
        <v>0</v>
      </c>
      <c r="F35375">
        <v>1117</v>
      </c>
    </row>
    <row r="35376" spans="1:6" ht="12.75">
      <c r="A35376" s="2">
        <v>43875.307233796295</v>
      </c>
      <c r="B35376" t="str">
        <f>HYPERLINK("https://twitter.com/UncleRain2","@UncleRain2")</f>
        <v>@UncleRain2</v>
      </c>
      <c r="C35376" t="s">
        <v>5761</v>
      </c>
      <c r="D35376">
        <v>26</v>
      </c>
      <c r="E35376">
        <v>0</v>
      </c>
      <c r="F35376">
        <v>632</v>
      </c>
    </row>
    <row r="35377" spans="1:6" ht="12.75">
      <c r="A35377" s="2">
        <v>43875.307210648149</v>
      </c>
      <c r="B35377" t="str">
        <f>HYPERLINK("https://twitter.com/Kurus_Tulus","@Kurus_Tulus")</f>
        <v>@Kurus_Tulus</v>
      </c>
      <c r="C35377" t="s">
        <v>14709</v>
      </c>
      <c r="D35377">
        <v>1</v>
      </c>
      <c r="E35377">
        <v>1</v>
      </c>
      <c r="F35377">
        <v>1117</v>
      </c>
    </row>
    <row r="35378" spans="1:6" ht="12.75">
      <c r="A35378" s="2">
        <v>43875.307175925926</v>
      </c>
      <c r="B35378" t="str">
        <f>HYPERLINK("https://twitter.com/harijayagunawan","@harijayagunawan")</f>
        <v>@harijayagunawan</v>
      </c>
      <c r="C35378" t="s">
        <v>9538</v>
      </c>
      <c r="D35378">
        <v>87</v>
      </c>
      <c r="E35378">
        <v>0</v>
      </c>
      <c r="F35378">
        <v>476</v>
      </c>
    </row>
    <row r="35379" spans="1:6" ht="12.75">
      <c r="A35379" s="2">
        <v>43875.307164351849</v>
      </c>
      <c r="B35379" t="str">
        <f>HYPERLINK("https://twitter.com/febry_surf","@febry_surf")</f>
        <v>@febry_surf</v>
      </c>
      <c r="C35379" t="s">
        <v>2963</v>
      </c>
      <c r="D35379">
        <v>364</v>
      </c>
      <c r="E35379">
        <v>0</v>
      </c>
      <c r="F35379">
        <v>454</v>
      </c>
    </row>
    <row r="35380" spans="1:6" ht="12.75">
      <c r="A35380" s="2">
        <v>43875.307083333333</v>
      </c>
      <c r="B35380" t="str">
        <f>HYPERLINK("https://twitter.com/edi_muchlis","@edi_muchlis")</f>
        <v>@edi_muchlis</v>
      </c>
      <c r="C35380" t="s">
        <v>5761</v>
      </c>
      <c r="D35380">
        <v>26</v>
      </c>
      <c r="E35380">
        <v>0</v>
      </c>
      <c r="F35380">
        <v>754</v>
      </c>
    </row>
    <row r="35381" spans="1:6" ht="12.75">
      <c r="A35381" s="2">
        <v>43875.306990740741</v>
      </c>
      <c r="B35381" t="str">
        <f>HYPERLINK("https://twitter.com/papaleomilenial","@papaleomilenial")</f>
        <v>@papaleomilenial</v>
      </c>
      <c r="C35381" t="s">
        <v>14710</v>
      </c>
      <c r="D35381">
        <v>0</v>
      </c>
      <c r="E35381">
        <v>1</v>
      </c>
      <c r="F35381">
        <v>909</v>
      </c>
    </row>
    <row r="35382" spans="1:6" ht="12.75">
      <c r="A35382" s="2">
        <v>43875.306701388894</v>
      </c>
      <c r="B35382" t="str">
        <f>HYPERLINK("https://twitter.com/ranger_white28","@ranger_white28")</f>
        <v>@ranger_white28</v>
      </c>
      <c r="C35382" t="s">
        <v>14711</v>
      </c>
      <c r="D35382">
        <v>0</v>
      </c>
      <c r="E35382">
        <v>0</v>
      </c>
      <c r="F35382">
        <v>747</v>
      </c>
    </row>
    <row r="35383" spans="1:6" ht="12.75">
      <c r="A35383" s="2">
        <v>43875.306655092594</v>
      </c>
      <c r="B35383" t="str">
        <f>HYPERLINK("https://twitter.com/adisatya","@adisatya")</f>
        <v>@adisatya</v>
      </c>
      <c r="C35383" t="s">
        <v>2963</v>
      </c>
      <c r="D35383">
        <v>364</v>
      </c>
      <c r="E35383">
        <v>0</v>
      </c>
      <c r="F35383">
        <v>1194</v>
      </c>
    </row>
    <row r="35384" spans="1:6" ht="12.75">
      <c r="A35384" s="2">
        <v>43875.306643518517</v>
      </c>
      <c r="B35384" t="str">
        <f>HYPERLINK("https://twitter.com/madejyotama","@madejyotama")</f>
        <v>@madejyotama</v>
      </c>
      <c r="C35384" t="s">
        <v>5168</v>
      </c>
      <c r="D35384">
        <v>369</v>
      </c>
      <c r="E35384">
        <v>0</v>
      </c>
      <c r="F35384">
        <v>206</v>
      </c>
    </row>
    <row r="35385" spans="1:6" ht="12.75">
      <c r="A35385" s="2">
        <v>43875.306585648148</v>
      </c>
      <c r="B35385" t="str">
        <f>HYPERLINK("https://twitter.com/ErnaZahra","@ErnaZahra")</f>
        <v>@ErnaZahra</v>
      </c>
      <c r="C35385" t="s">
        <v>14712</v>
      </c>
      <c r="D35385">
        <v>2</v>
      </c>
      <c r="E35385">
        <v>0</v>
      </c>
      <c r="F35385">
        <v>951</v>
      </c>
    </row>
    <row r="35386" spans="1:6" ht="12.75">
      <c r="A35386" s="2">
        <v>43875.306493055556</v>
      </c>
      <c r="B35386" t="str">
        <f>HYPERLINK("https://twitter.com/suharto_dki","@suharto_dki")</f>
        <v>@suharto_dki</v>
      </c>
      <c r="C35386" t="s">
        <v>10096</v>
      </c>
      <c r="D35386">
        <v>55</v>
      </c>
      <c r="E35386">
        <v>0</v>
      </c>
      <c r="F35386">
        <v>228</v>
      </c>
    </row>
    <row r="35387" spans="1:6" ht="12.75">
      <c r="A35387" s="2">
        <v>43875.306481481486</v>
      </c>
      <c r="B35387" t="str">
        <f>HYPERLINK("https://twitter.com/Fido_id_","@Fido_id_")</f>
        <v>@Fido_id_</v>
      </c>
      <c r="C35387" t="s">
        <v>14713</v>
      </c>
      <c r="D35387">
        <v>0</v>
      </c>
      <c r="E35387">
        <v>0</v>
      </c>
      <c r="F35387">
        <v>1189</v>
      </c>
    </row>
    <row r="35388" spans="1:6" ht="12.75">
      <c r="A35388" s="2">
        <v>43875.306458333333</v>
      </c>
      <c r="B35388" t="str">
        <f>HYPERLINK("https://twitter.com/driver_jakarta3","@driver_jakarta3")</f>
        <v>@driver_jakarta3</v>
      </c>
      <c r="C35388" t="s">
        <v>14714</v>
      </c>
      <c r="D35388">
        <v>0</v>
      </c>
      <c r="E35388">
        <v>2</v>
      </c>
      <c r="F35388">
        <v>1292</v>
      </c>
    </row>
    <row r="35389" spans="1:6" ht="12.75">
      <c r="A35389" s="2">
        <v>43875.306435185186</v>
      </c>
      <c r="B35389" t="str">
        <f>HYPERLINK("https://twitter.com/PBogang","@PBogang")</f>
        <v>@PBogang</v>
      </c>
      <c r="C35389" t="s">
        <v>14715</v>
      </c>
      <c r="D35389">
        <v>0</v>
      </c>
      <c r="E35389">
        <v>0</v>
      </c>
      <c r="F35389">
        <v>405</v>
      </c>
    </row>
    <row r="35390" spans="1:6" ht="12.75">
      <c r="A35390" s="2">
        <v>43875.306435185186</v>
      </c>
      <c r="B35390" t="str">
        <f>HYPERLINK("https://twitter.com/joecantiq","@joecantiq")</f>
        <v>@joecantiq</v>
      </c>
      <c r="C35390" t="s">
        <v>14716</v>
      </c>
      <c r="D35390">
        <v>0</v>
      </c>
      <c r="E35390">
        <v>0</v>
      </c>
      <c r="F35390">
        <v>21</v>
      </c>
    </row>
    <row r="35391" spans="1:6" ht="12.75">
      <c r="A35391" s="2">
        <v>43875.306435185186</v>
      </c>
      <c r="B35391" t="str">
        <f>HYPERLINK("https://twitter.com/Andreas68889056","@Andreas68889056")</f>
        <v>@Andreas68889056</v>
      </c>
      <c r="C35391" t="s">
        <v>14717</v>
      </c>
      <c r="D35391">
        <v>0</v>
      </c>
      <c r="E35391">
        <v>0</v>
      </c>
      <c r="F35391">
        <v>2</v>
      </c>
    </row>
    <row r="35392" spans="1:6" ht="12.75">
      <c r="A35392" s="2">
        <v>43875.306423611109</v>
      </c>
      <c r="B35392" t="str">
        <f>HYPERLINK("https://twitter.com/DuLLahNUsantara","@DuLLahNUsantara")</f>
        <v>@DuLLahNUsantara</v>
      </c>
      <c r="C35392" t="s">
        <v>14718</v>
      </c>
      <c r="D35392">
        <v>0</v>
      </c>
      <c r="E35392">
        <v>0</v>
      </c>
      <c r="F35392">
        <v>226</v>
      </c>
    </row>
    <row r="35393" spans="1:6" ht="12.75">
      <c r="A35393" s="2">
        <v>43875.306400462963</v>
      </c>
      <c r="B35393" t="str">
        <f>HYPERLINK("https://twitter.com/Abbilhaq1","@Abbilhaq1")</f>
        <v>@Abbilhaq1</v>
      </c>
      <c r="C35393" t="s">
        <v>14719</v>
      </c>
      <c r="D35393">
        <v>0</v>
      </c>
      <c r="E35393">
        <v>0</v>
      </c>
      <c r="F35393">
        <v>160</v>
      </c>
    </row>
    <row r="35394" spans="1:6" ht="12.75">
      <c r="A35394" s="2">
        <v>43875.306388888886</v>
      </c>
      <c r="B35394" t="str">
        <f>HYPERLINK("https://twitter.com/EniendahS","@EniendahS")</f>
        <v>@EniendahS</v>
      </c>
      <c r="C35394" t="s">
        <v>14720</v>
      </c>
      <c r="D35394">
        <v>0</v>
      </c>
      <c r="E35394">
        <v>0</v>
      </c>
      <c r="F35394">
        <v>71</v>
      </c>
    </row>
    <row r="35395" spans="1:6" ht="12.75">
      <c r="A35395" s="2">
        <v>43875.306342592594</v>
      </c>
      <c r="B35395" t="str">
        <f>HYPERLINK("https://twitter.com/andriantolie69","@andriantolie69")</f>
        <v>@andriantolie69</v>
      </c>
      <c r="C35395" t="s">
        <v>14721</v>
      </c>
      <c r="D35395">
        <v>0</v>
      </c>
      <c r="E35395">
        <v>0</v>
      </c>
      <c r="F35395">
        <v>11</v>
      </c>
    </row>
    <row r="35396" spans="1:6" ht="12.75">
      <c r="A35396" s="2">
        <v>43875.306192129632</v>
      </c>
      <c r="B35396" t="str">
        <f>HYPERLINK("https://twitter.com/ZweiSusanto","@ZweiSusanto")</f>
        <v>@ZweiSusanto</v>
      </c>
      <c r="C35396" t="s">
        <v>10096</v>
      </c>
      <c r="D35396">
        <v>55</v>
      </c>
      <c r="E35396">
        <v>0</v>
      </c>
      <c r="F35396">
        <v>182</v>
      </c>
    </row>
    <row r="35397" spans="1:6" ht="12.75">
      <c r="A35397" s="2">
        <v>43875.306192129632</v>
      </c>
      <c r="B35397" t="str">
        <f>HYPERLINK("https://twitter.com/ramarahardjo","@ramarahardjo")</f>
        <v>@ramarahardjo</v>
      </c>
      <c r="C35397" t="s">
        <v>2963</v>
      </c>
      <c r="D35397">
        <v>364</v>
      </c>
      <c r="E35397">
        <v>0</v>
      </c>
      <c r="F35397">
        <v>235</v>
      </c>
    </row>
    <row r="35398" spans="1:6" ht="12.75">
      <c r="A35398" s="2">
        <v>43875.306157407409</v>
      </c>
      <c r="B35398" t="str">
        <f>HYPERLINK("https://twitter.com/astrimundari","@astrimundari")</f>
        <v>@astrimundari</v>
      </c>
      <c r="C35398" t="s">
        <v>2963</v>
      </c>
      <c r="D35398">
        <v>364</v>
      </c>
      <c r="E35398">
        <v>0</v>
      </c>
      <c r="F35398">
        <v>723</v>
      </c>
    </row>
    <row r="35399" spans="1:6" ht="12.75">
      <c r="A35399" s="2">
        <v>43875.305983796294</v>
      </c>
      <c r="B35399" t="str">
        <f>HYPERLINK("https://twitter.com/tahupetismanis","@tahupetismanis")</f>
        <v>@tahupetismanis</v>
      </c>
      <c r="C35399" t="s">
        <v>12845</v>
      </c>
      <c r="D35399">
        <v>35</v>
      </c>
      <c r="E35399">
        <v>0</v>
      </c>
      <c r="F35399">
        <v>3948</v>
      </c>
    </row>
    <row r="35400" spans="1:6" ht="12.75">
      <c r="A35400" s="2">
        <v>43875.305972222224</v>
      </c>
      <c r="B35400" t="str">
        <f>HYPERLINK("https://twitter.com/semarbadranay13","@semarbadranay13")</f>
        <v>@semarbadranay13</v>
      </c>
      <c r="C35400" t="s">
        <v>14722</v>
      </c>
      <c r="D35400">
        <v>29</v>
      </c>
      <c r="E35400">
        <v>0</v>
      </c>
      <c r="F35400">
        <v>1130</v>
      </c>
    </row>
    <row r="35401" spans="1:6" ht="12.75">
      <c r="A35401" s="2">
        <v>43875.305937500001</v>
      </c>
      <c r="B35401" t="str">
        <f>HYPERLINK("https://twitter.com/mrsnail22","@mrsnail22")</f>
        <v>@mrsnail22</v>
      </c>
      <c r="C35401" t="s">
        <v>9263</v>
      </c>
      <c r="D35401">
        <v>68</v>
      </c>
      <c r="E35401">
        <v>0</v>
      </c>
      <c r="F35401">
        <v>402</v>
      </c>
    </row>
    <row r="35402" spans="1:6" ht="12.75">
      <c r="A35402" s="2">
        <v>43875.305925925924</v>
      </c>
      <c r="B35402" t="str">
        <f>HYPERLINK("https://twitter.com/ErnaZahra","@ErnaZahra")</f>
        <v>@ErnaZahra</v>
      </c>
      <c r="C35402" t="s">
        <v>14227</v>
      </c>
      <c r="D35402">
        <v>3</v>
      </c>
      <c r="E35402">
        <v>0</v>
      </c>
      <c r="F35402">
        <v>951</v>
      </c>
    </row>
    <row r="35403" spans="1:6" ht="12.75">
      <c r="A35403" s="2">
        <v>43875.305925925924</v>
      </c>
      <c r="B35403" t="str">
        <f>HYPERLINK("https://twitter.com/Oktobaho1","@Oktobaho1")</f>
        <v>@Oktobaho1</v>
      </c>
      <c r="C35403" t="s">
        <v>11425</v>
      </c>
      <c r="D35403">
        <v>183</v>
      </c>
      <c r="E35403">
        <v>0</v>
      </c>
      <c r="F35403">
        <v>101</v>
      </c>
    </row>
    <row r="35404" spans="1:6" ht="12.75">
      <c r="A35404" s="2">
        <v>43875.305833333332</v>
      </c>
      <c r="B35404" t="str">
        <f>HYPERLINK("https://twitter.com/PBogang","@PBogang")</f>
        <v>@PBogang</v>
      </c>
      <c r="C35404" t="s">
        <v>14723</v>
      </c>
      <c r="D35404">
        <v>0</v>
      </c>
      <c r="E35404">
        <v>0</v>
      </c>
      <c r="F35404">
        <v>405</v>
      </c>
    </row>
    <row r="35405" spans="1:6" ht="12.75">
      <c r="A35405" s="2">
        <v>43875.305810185186</v>
      </c>
      <c r="B35405" t="str">
        <f>HYPERLINK("https://twitter.com/Oktobaho1","@Oktobaho1")</f>
        <v>@Oktobaho1</v>
      </c>
      <c r="C35405" t="s">
        <v>2963</v>
      </c>
      <c r="D35405">
        <v>364</v>
      </c>
      <c r="E35405">
        <v>0</v>
      </c>
      <c r="F35405">
        <v>101</v>
      </c>
    </row>
    <row r="35406" spans="1:6" ht="12.75">
      <c r="A35406" s="2">
        <v>43875.30569444444</v>
      </c>
      <c r="B35406" t="str">
        <f>HYPERLINK("https://twitter.com/gotte4","@gotte4")</f>
        <v>@gotte4</v>
      </c>
      <c r="C35406" t="s">
        <v>10096</v>
      </c>
      <c r="D35406">
        <v>55</v>
      </c>
      <c r="E35406">
        <v>0</v>
      </c>
      <c r="F35406">
        <v>398</v>
      </c>
    </row>
    <row r="35407" spans="1:6" ht="12.75">
      <c r="A35407" s="2">
        <v>43875.30568287037</v>
      </c>
      <c r="B35407" t="str">
        <f>HYPERLINK("https://twitter.com/kaprikurt","@kaprikurt")</f>
        <v>@kaprikurt</v>
      </c>
      <c r="C35407" t="s">
        <v>14724</v>
      </c>
      <c r="D35407">
        <v>0</v>
      </c>
      <c r="E35407">
        <v>0</v>
      </c>
      <c r="F35407">
        <v>641</v>
      </c>
    </row>
    <row r="35408" spans="1:6" ht="12.75">
      <c r="A35408" s="2">
        <v>43875.305601851855</v>
      </c>
      <c r="B35408" t="str">
        <f>HYPERLINK("https://twitter.com/uberaku","@uberaku")</f>
        <v>@uberaku</v>
      </c>
      <c r="C35408" t="s">
        <v>2963</v>
      </c>
      <c r="D35408">
        <v>364</v>
      </c>
      <c r="E35408">
        <v>0</v>
      </c>
      <c r="F35408">
        <v>145</v>
      </c>
    </row>
    <row r="35409" spans="1:6" ht="12.75">
      <c r="A35409" s="2">
        <v>43875.305578703701</v>
      </c>
      <c r="B35409" t="str">
        <f>HYPERLINK("https://twitter.com/Dee06644722","@Dee06644722")</f>
        <v>@Dee06644722</v>
      </c>
      <c r="C35409" t="s">
        <v>14725</v>
      </c>
      <c r="D35409">
        <v>2</v>
      </c>
      <c r="E35409">
        <v>0</v>
      </c>
      <c r="F35409">
        <v>231</v>
      </c>
    </row>
    <row r="35410" spans="1:6" ht="12.75">
      <c r="A35410" s="2">
        <v>43875.305555555555</v>
      </c>
      <c r="B35410" t="str">
        <f>HYPERLINK("https://twitter.com/deathbyluck13th","@deathbyluck13th")</f>
        <v>@deathbyluck13th</v>
      </c>
      <c r="C35410" t="s">
        <v>11449</v>
      </c>
      <c r="D35410">
        <v>7</v>
      </c>
      <c r="E35410">
        <v>0</v>
      </c>
      <c r="F35410">
        <v>349</v>
      </c>
    </row>
    <row r="35411" spans="1:6" ht="12.75">
      <c r="A35411" s="2">
        <v>43875.305451388893</v>
      </c>
      <c r="B35411" t="str">
        <f>HYPERLINK("https://twitter.com/Metrobatam_com","@Metrobatam_com")</f>
        <v>@Metrobatam_com</v>
      </c>
      <c r="C35411" t="s">
        <v>14726</v>
      </c>
      <c r="D35411">
        <v>0</v>
      </c>
      <c r="E35411">
        <v>0</v>
      </c>
      <c r="F35411">
        <v>118</v>
      </c>
    </row>
    <row r="35412" spans="1:6" ht="12.75">
      <c r="A35412" s="2">
        <v>43875.305393518516</v>
      </c>
      <c r="B35412" t="str">
        <f>HYPERLINK("https://twitter.com/PambudiTri","@PambudiTri")</f>
        <v>@PambudiTri</v>
      </c>
      <c r="C35412" t="s">
        <v>14727</v>
      </c>
      <c r="D35412">
        <v>0</v>
      </c>
      <c r="E35412">
        <v>1</v>
      </c>
      <c r="F35412">
        <v>982</v>
      </c>
    </row>
    <row r="35413" spans="1:6" ht="12.75">
      <c r="A35413" s="2">
        <v>43875.30532407407</v>
      </c>
      <c r="B35413" t="str">
        <f>HYPERLINK("https://twitter.com/ErnaZahra","@ErnaZahra")</f>
        <v>@ErnaZahra</v>
      </c>
      <c r="C35413" t="s">
        <v>13985</v>
      </c>
      <c r="D35413">
        <v>11</v>
      </c>
      <c r="E35413">
        <v>0</v>
      </c>
      <c r="F35413">
        <v>951</v>
      </c>
    </row>
    <row r="35414" spans="1:6" ht="12.75">
      <c r="A35414" s="2">
        <v>43875.305300925931</v>
      </c>
      <c r="B35414" t="str">
        <f>HYPERLINK("https://twitter.com/Errahman16","@Errahman16")</f>
        <v>@Errahman16</v>
      </c>
      <c r="C35414" t="s">
        <v>14728</v>
      </c>
      <c r="D35414">
        <v>0</v>
      </c>
      <c r="E35414">
        <v>0</v>
      </c>
      <c r="F35414">
        <v>182</v>
      </c>
    </row>
    <row r="35415" spans="1:6" ht="12.75">
      <c r="A35415" s="2">
        <v>43875.305231481485</v>
      </c>
      <c r="B35415" t="str">
        <f>HYPERLINK("https://twitter.com/thruAini","@thruAini")</f>
        <v>@thruAini</v>
      </c>
      <c r="C35415" t="s">
        <v>2963</v>
      </c>
      <c r="D35415">
        <v>364</v>
      </c>
      <c r="E35415">
        <v>0</v>
      </c>
      <c r="F35415">
        <v>0</v>
      </c>
    </row>
    <row r="35416" spans="1:6" ht="12.75">
      <c r="A35416" s="2">
        <v>43875.305219907408</v>
      </c>
      <c r="B35416" t="str">
        <f>HYPERLINK("https://twitter.com/pudjanggalama","@pudjanggalama")</f>
        <v>@pudjanggalama</v>
      </c>
      <c r="C35416" t="s">
        <v>14729</v>
      </c>
      <c r="D35416">
        <v>1</v>
      </c>
      <c r="E35416">
        <v>0</v>
      </c>
      <c r="F35416">
        <v>7603</v>
      </c>
    </row>
    <row r="35417" spans="1:6" ht="12.75">
      <c r="A35417" s="2">
        <v>43875.305208333331</v>
      </c>
      <c r="B35417" t="str">
        <f>HYPERLINK("https://twitter.com/ienuli","@ienuli")</f>
        <v>@ienuli</v>
      </c>
      <c r="C35417" t="s">
        <v>14730</v>
      </c>
      <c r="D35417">
        <v>0</v>
      </c>
      <c r="E35417">
        <v>0</v>
      </c>
      <c r="F35417">
        <v>1393</v>
      </c>
    </row>
    <row r="35418" spans="1:6" ht="12.75">
      <c r="A35418" s="2">
        <v>43875.305</v>
      </c>
      <c r="B35418" t="str">
        <f>HYPERLINK("https://twitter.com/V4nn","@V4nn")</f>
        <v>@V4nn</v>
      </c>
      <c r="C35418" t="s">
        <v>14731</v>
      </c>
      <c r="D35418">
        <v>0</v>
      </c>
      <c r="E35418">
        <v>1</v>
      </c>
      <c r="F35418">
        <v>22</v>
      </c>
    </row>
    <row r="35419" spans="1:6" ht="12.75">
      <c r="A35419" s="2">
        <v>43875.304988425924</v>
      </c>
      <c r="B35419" t="str">
        <f>HYPERLINK("https://twitter.com/bolgem","@bolgem")</f>
        <v>@bolgem</v>
      </c>
      <c r="C35419" t="s">
        <v>10526</v>
      </c>
      <c r="D35419">
        <v>105</v>
      </c>
      <c r="E35419">
        <v>0</v>
      </c>
      <c r="F35419">
        <v>476</v>
      </c>
    </row>
    <row r="35420" spans="1:6" ht="12.75">
      <c r="A35420" s="2">
        <v>43875.304884259254</v>
      </c>
      <c r="B35420" t="str">
        <f>HYPERLINK("https://twitter.com/priyadixx","@priyadixx")</f>
        <v>@priyadixx</v>
      </c>
      <c r="C35420" t="s">
        <v>5761</v>
      </c>
      <c r="D35420">
        <v>26</v>
      </c>
      <c r="E35420">
        <v>0</v>
      </c>
      <c r="F35420">
        <v>117</v>
      </c>
    </row>
    <row r="35421" spans="1:6" ht="12.75">
      <c r="A35421" s="2">
        <v>43875.304872685185</v>
      </c>
      <c r="B35421" t="str">
        <f>HYPERLINK("https://twitter.com/alergytelur","@alergytelur")</f>
        <v>@alergytelur</v>
      </c>
      <c r="C35421" t="s">
        <v>5168</v>
      </c>
      <c r="D35421">
        <v>369</v>
      </c>
      <c r="E35421">
        <v>0</v>
      </c>
      <c r="F35421">
        <v>223</v>
      </c>
    </row>
    <row r="35422" spans="1:6" ht="12.75">
      <c r="A35422" s="2">
        <v>43875.304861111115</v>
      </c>
      <c r="B35422" t="str">
        <f>HYPERLINK("https://twitter.com/boazzzzzzz","@boazzzzzzz")</f>
        <v>@boazzzzzzz</v>
      </c>
      <c r="C35422" t="s">
        <v>11460</v>
      </c>
      <c r="D35422">
        <v>7</v>
      </c>
      <c r="E35422">
        <v>0</v>
      </c>
      <c r="F35422">
        <v>1511</v>
      </c>
    </row>
    <row r="35423" spans="1:6" ht="12.75">
      <c r="A35423" s="2">
        <v>43875.304837962962</v>
      </c>
      <c r="B35423" t="str">
        <f>HYPERLINK("https://twitter.com/ErnaZahra","@ErnaZahra")</f>
        <v>@ErnaZahra</v>
      </c>
      <c r="C35423" t="s">
        <v>14732</v>
      </c>
      <c r="D35423">
        <v>1</v>
      </c>
      <c r="E35423">
        <v>0</v>
      </c>
      <c r="F35423">
        <v>951</v>
      </c>
    </row>
    <row r="35424" spans="1:6" ht="12.75">
      <c r="A35424" s="2">
        <v>43875.304722222223</v>
      </c>
      <c r="B35424" t="str">
        <f>HYPERLINK("https://twitter.com/geraldangelos","@geraldangelos")</f>
        <v>@geraldangelos</v>
      </c>
      <c r="C35424" t="s">
        <v>2963</v>
      </c>
      <c r="D35424">
        <v>364</v>
      </c>
      <c r="E35424">
        <v>0</v>
      </c>
      <c r="F35424">
        <v>171</v>
      </c>
    </row>
    <row r="35425" spans="1:6" ht="12.75">
      <c r="A35425" s="2">
        <v>43875.30467592593</v>
      </c>
      <c r="B35425" t="str">
        <f>HYPERLINK("https://twitter.com/AdigunaAtmaja","@AdigunaAtmaja")</f>
        <v>@AdigunaAtmaja</v>
      </c>
      <c r="C35425" t="s">
        <v>14733</v>
      </c>
      <c r="D35425">
        <v>0</v>
      </c>
      <c r="E35425">
        <v>1</v>
      </c>
      <c r="F35425">
        <v>3053</v>
      </c>
    </row>
    <row r="35426" spans="1:6" ht="12.75">
      <c r="A35426" s="2">
        <v>43875.304652777777</v>
      </c>
      <c r="B35426" t="str">
        <f>HYPERLINK("https://twitter.com/Cakra55666536","@Cakra55666536")</f>
        <v>@Cakra55666536</v>
      </c>
      <c r="C35426" t="s">
        <v>14734</v>
      </c>
      <c r="D35426">
        <v>0</v>
      </c>
      <c r="E35426">
        <v>0</v>
      </c>
      <c r="F35426">
        <v>6</v>
      </c>
    </row>
    <row r="35427" spans="1:6" ht="12.75">
      <c r="A35427" s="2">
        <v>43875.304618055554</v>
      </c>
      <c r="B35427" t="str">
        <f>HYPERLINK("https://twitter.com/ErnaZahra","@ErnaZahra")</f>
        <v>@ErnaZahra</v>
      </c>
      <c r="C35427" t="s">
        <v>14735</v>
      </c>
      <c r="D35427">
        <v>1</v>
      </c>
      <c r="E35427">
        <v>0</v>
      </c>
      <c r="F35427">
        <v>951</v>
      </c>
    </row>
    <row r="35428" spans="1:6" ht="12.75">
      <c r="A35428" s="2">
        <v>43875.304583333331</v>
      </c>
      <c r="B35428" t="str">
        <f>HYPERLINK("https://twitter.com/jengsri_ss","@jengsri_ss")</f>
        <v>@jengsri_ss</v>
      </c>
      <c r="C35428" t="s">
        <v>11449</v>
      </c>
      <c r="D35428">
        <v>7</v>
      </c>
      <c r="E35428">
        <v>0</v>
      </c>
      <c r="F35428">
        <v>350</v>
      </c>
    </row>
    <row r="35429" spans="1:6" ht="12.75">
      <c r="A35429" s="2">
        <v>43875.304571759261</v>
      </c>
      <c r="B35429" t="str">
        <f>HYPERLINK("https://twitter.com/kompascom","@kompascom")</f>
        <v>@kompascom</v>
      </c>
      <c r="C35429" t="s">
        <v>14736</v>
      </c>
      <c r="D35429">
        <v>6</v>
      </c>
      <c r="E35429">
        <v>7</v>
      </c>
      <c r="F35429">
        <v>7497037</v>
      </c>
    </row>
    <row r="35430" spans="1:6" ht="12.75">
      <c r="A35430" s="2">
        <v>43875.304560185185</v>
      </c>
      <c r="B35430" t="str">
        <f>HYPERLINK("https://twitter.com/agoessp","@agoessp")</f>
        <v>@agoessp</v>
      </c>
      <c r="C35430" t="s">
        <v>8233</v>
      </c>
      <c r="D35430">
        <v>274</v>
      </c>
      <c r="E35430">
        <v>0</v>
      </c>
      <c r="F35430">
        <v>129</v>
      </c>
    </row>
    <row r="35431" spans="1:6" ht="12.75">
      <c r="A35431" s="2">
        <v>43875.304502314815</v>
      </c>
      <c r="B35431" t="str">
        <f>HYPERLINK("https://twitter.com/ErnaZahra","@ErnaZahra")</f>
        <v>@ErnaZahra</v>
      </c>
      <c r="C35431" t="s">
        <v>14737</v>
      </c>
      <c r="D35431">
        <v>1</v>
      </c>
      <c r="E35431">
        <v>0</v>
      </c>
      <c r="F35431">
        <v>951</v>
      </c>
    </row>
    <row r="35432" spans="1:6" ht="12.75">
      <c r="A35432" s="2">
        <v>43875.304409722223</v>
      </c>
      <c r="B35432" t="str">
        <f>HYPERLINK("https://twitter.com/Shinta_yrp","@Shinta_yrp")</f>
        <v>@Shinta_yrp</v>
      </c>
      <c r="C35432" t="s">
        <v>2963</v>
      </c>
      <c r="D35432">
        <v>364</v>
      </c>
      <c r="E35432">
        <v>0</v>
      </c>
      <c r="F35432">
        <v>50</v>
      </c>
    </row>
    <row r="35433" spans="1:6" ht="12.75">
      <c r="A35433" s="2">
        <v>43875.30431712963</v>
      </c>
      <c r="B35433" t="str">
        <f>HYPERLINK("https://twitter.com/driver_jakarta3","@driver_jakarta3")</f>
        <v>@driver_jakarta3</v>
      </c>
      <c r="C35433" t="s">
        <v>2122</v>
      </c>
      <c r="D35433">
        <v>171</v>
      </c>
      <c r="E35433">
        <v>0</v>
      </c>
      <c r="F35433">
        <v>1292</v>
      </c>
    </row>
    <row r="35434" spans="1:6" ht="12.75">
      <c r="A35434" s="2">
        <v>43875.304270833338</v>
      </c>
      <c r="B35434" t="str">
        <f>HYPERLINK("https://twitter.com/hasnasays","@hasnasays")</f>
        <v>@hasnasays</v>
      </c>
      <c r="C35434" t="s">
        <v>5168</v>
      </c>
      <c r="D35434">
        <v>369</v>
      </c>
      <c r="E35434">
        <v>0</v>
      </c>
      <c r="F35434">
        <v>402</v>
      </c>
    </row>
    <row r="35435" spans="1:6" ht="12.75">
      <c r="A35435" s="2">
        <v>43875.304224537038</v>
      </c>
      <c r="B35435" t="str">
        <f>HYPERLINK("https://twitter.com/Gunanto87031659","@Gunanto87031659")</f>
        <v>@Gunanto87031659</v>
      </c>
      <c r="C35435" t="s">
        <v>9113</v>
      </c>
      <c r="D35435">
        <v>238</v>
      </c>
      <c r="E35435">
        <v>0</v>
      </c>
      <c r="F35435">
        <v>346</v>
      </c>
    </row>
    <row r="35436" spans="1:6" ht="12.75">
      <c r="A35436" s="2">
        <v>43875.304212962961</v>
      </c>
      <c r="B35436" t="str">
        <f>HYPERLINK("https://twitter.com/agoessp","@agoessp")</f>
        <v>@agoessp</v>
      </c>
      <c r="C35436" t="s">
        <v>12940</v>
      </c>
      <c r="D35436">
        <v>95</v>
      </c>
      <c r="E35436">
        <v>0</v>
      </c>
      <c r="F35436">
        <v>129</v>
      </c>
    </row>
    <row r="35437" spans="1:6" ht="12.75">
      <c r="A35437" s="2">
        <v>43875.304155092592</v>
      </c>
      <c r="B35437" t="str">
        <f>HYPERLINK("https://twitter.com/Pandu_ask69","@Pandu_ask69")</f>
        <v>@Pandu_ask69</v>
      </c>
      <c r="C35437" t="s">
        <v>10121</v>
      </c>
      <c r="D35437">
        <v>140</v>
      </c>
      <c r="E35437">
        <v>0</v>
      </c>
      <c r="F35437">
        <v>20</v>
      </c>
    </row>
    <row r="35438" spans="1:6" ht="12.75">
      <c r="A35438" s="2">
        <v>43875.304085648153</v>
      </c>
      <c r="B35438" t="str">
        <f>HYPERLINK("https://twitter.com/Soviet_Foxtrot","@Soviet_Foxtrot")</f>
        <v>@Soviet_Foxtrot</v>
      </c>
      <c r="C35438" t="s">
        <v>11449</v>
      </c>
      <c r="D35438">
        <v>7</v>
      </c>
      <c r="E35438">
        <v>0</v>
      </c>
      <c r="F35438">
        <v>10630</v>
      </c>
    </row>
    <row r="35439" spans="1:6" ht="12.75">
      <c r="A35439" s="2">
        <v>43875.304074074069</v>
      </c>
      <c r="B35439" t="str">
        <f>HYPERLINK("https://twitter.com/Prameswarawr","@Prameswarawr")</f>
        <v>@Prameswarawr</v>
      </c>
      <c r="C35439" t="s">
        <v>2963</v>
      </c>
      <c r="D35439">
        <v>364</v>
      </c>
      <c r="E35439">
        <v>0</v>
      </c>
      <c r="F35439">
        <v>282</v>
      </c>
    </row>
    <row r="35440" spans="1:6" ht="12.75">
      <c r="A35440" s="2">
        <v>43875.30400462963</v>
      </c>
      <c r="B35440" t="str">
        <f>HYPERLINK("https://twitter.com/Twuryanto1","@Twuryanto1")</f>
        <v>@Twuryanto1</v>
      </c>
      <c r="C35440" t="s">
        <v>14738</v>
      </c>
      <c r="D35440">
        <v>0</v>
      </c>
      <c r="E35440">
        <v>0</v>
      </c>
      <c r="F35440">
        <v>47</v>
      </c>
    </row>
    <row r="35441" spans="1:6" ht="12.75">
      <c r="A35441" s="2">
        <v>43875.303935185184</v>
      </c>
      <c r="B35441" t="str">
        <f>HYPERLINK("https://twitter.com/uciiiiiii_","@uciiiiiii_")</f>
        <v>@uciiiiiii_</v>
      </c>
      <c r="C35441" t="s">
        <v>5168</v>
      </c>
      <c r="D35441">
        <v>369</v>
      </c>
      <c r="E35441">
        <v>0</v>
      </c>
      <c r="F35441">
        <v>586</v>
      </c>
    </row>
    <row r="35442" spans="1:6" ht="12.75">
      <c r="A35442" s="2">
        <v>43875.303923611107</v>
      </c>
      <c r="B35442" t="str">
        <f>HYPERLINK("https://twitter.com/ErnaZahra","@ErnaZahra")</f>
        <v>@ErnaZahra</v>
      </c>
      <c r="C35442" t="s">
        <v>10295</v>
      </c>
      <c r="D35442">
        <v>83</v>
      </c>
      <c r="E35442">
        <v>0</v>
      </c>
      <c r="F35442">
        <v>951</v>
      </c>
    </row>
    <row r="35443" spans="1:6" ht="12.75">
      <c r="A35443" s="2">
        <v>43875.303912037038</v>
      </c>
      <c r="B35443" t="str">
        <f>HYPERLINK("https://twitter.com/Matromli17","@Matromli17")</f>
        <v>@Matromli17</v>
      </c>
      <c r="C35443" t="s">
        <v>14739</v>
      </c>
      <c r="D35443">
        <v>0</v>
      </c>
      <c r="E35443">
        <v>0</v>
      </c>
      <c r="F35443">
        <v>44</v>
      </c>
    </row>
    <row r="35444" spans="1:6" ht="12.75">
      <c r="A35444" s="2">
        <v>43875.303900462968</v>
      </c>
      <c r="B35444" t="str">
        <f>HYPERLINK("https://twitter.com/maswahid_","@maswahid_")</f>
        <v>@maswahid_</v>
      </c>
      <c r="C35444" t="s">
        <v>2963</v>
      </c>
      <c r="D35444">
        <v>364</v>
      </c>
      <c r="E35444">
        <v>0</v>
      </c>
      <c r="F35444">
        <v>435</v>
      </c>
    </row>
    <row r="35445" spans="1:6" ht="12.75">
      <c r="A35445" s="2">
        <v>43875.303842592592</v>
      </c>
      <c r="B35445" t="str">
        <f>HYPERLINK("https://twitter.com/roman_paqr","@roman_paqr")</f>
        <v>@roman_paqr</v>
      </c>
      <c r="C35445" t="s">
        <v>2963</v>
      </c>
      <c r="D35445">
        <v>364</v>
      </c>
      <c r="E35445">
        <v>0</v>
      </c>
      <c r="F35445">
        <v>5559</v>
      </c>
    </row>
    <row r="35446" spans="1:6" ht="12.75">
      <c r="A35446" s="2">
        <v>43875.303831018522</v>
      </c>
      <c r="B35446" t="str">
        <f>HYPERLINK("https://twitter.com/rosen_ocen","@rosen_ocen")</f>
        <v>@rosen_ocen</v>
      </c>
      <c r="C35446" t="s">
        <v>2444</v>
      </c>
      <c r="D35446">
        <v>63</v>
      </c>
      <c r="E35446">
        <v>0</v>
      </c>
      <c r="F35446">
        <v>646</v>
      </c>
    </row>
    <row r="35447" spans="1:6" ht="12.75">
      <c r="A35447" s="2">
        <v>43875.303668981476</v>
      </c>
      <c r="B35447" t="str">
        <f>HYPERLINK("https://twitter.com/jorrypranata","@jorrypranata")</f>
        <v>@jorrypranata</v>
      </c>
      <c r="C35447" t="s">
        <v>11467</v>
      </c>
      <c r="D35447">
        <v>1</v>
      </c>
      <c r="E35447">
        <v>0</v>
      </c>
      <c r="F35447">
        <v>486</v>
      </c>
    </row>
    <row r="35448" spans="1:6" ht="12.75">
      <c r="A35448" s="2">
        <v>43875.303657407407</v>
      </c>
      <c r="B35448" t="str">
        <f>HYPERLINK("https://twitter.com/Ramazulflikar","@Ramazulflikar")</f>
        <v>@Ramazulflikar</v>
      </c>
      <c r="C35448" t="s">
        <v>11460</v>
      </c>
      <c r="D35448">
        <v>7</v>
      </c>
      <c r="E35448">
        <v>0</v>
      </c>
      <c r="F35448">
        <v>386</v>
      </c>
    </row>
    <row r="35449" spans="1:6" ht="12.75">
      <c r="A35449" s="2">
        <v>43875.303530092591</v>
      </c>
      <c r="B35449" t="str">
        <f>HYPERLINK("https://twitter.com/rizaamahendra","@rizaamahendra")</f>
        <v>@rizaamahendra</v>
      </c>
      <c r="C35449" t="s">
        <v>14740</v>
      </c>
      <c r="D35449">
        <v>41</v>
      </c>
      <c r="E35449">
        <v>0</v>
      </c>
      <c r="F35449">
        <v>320</v>
      </c>
    </row>
    <row r="35450" spans="1:6" ht="12.75">
      <c r="A35450" s="2">
        <v>43875.303495370375</v>
      </c>
      <c r="B35450" t="str">
        <f>HYPERLINK("https://twitter.com/dergrosenjoe135","@dergrosenjoe135")</f>
        <v>@dergrosenjoe135</v>
      </c>
      <c r="C35450" t="s">
        <v>10225</v>
      </c>
      <c r="D35450">
        <v>8</v>
      </c>
      <c r="E35450">
        <v>0</v>
      </c>
      <c r="F35450">
        <v>2483</v>
      </c>
    </row>
    <row r="35451" spans="1:6" ht="12.75">
      <c r="A35451" s="2">
        <v>43875.303483796291</v>
      </c>
      <c r="B35451" t="str">
        <f>HYPERLINK("https://twitter.com/GASSPOL12","@GASSPOL12")</f>
        <v>@GASSPOL12</v>
      </c>
      <c r="C35451" t="s">
        <v>10266</v>
      </c>
      <c r="D35451">
        <v>248</v>
      </c>
      <c r="E35451">
        <v>0</v>
      </c>
      <c r="F35451">
        <v>113</v>
      </c>
    </row>
    <row r="35452" spans="1:6" ht="12.75">
      <c r="A35452" s="2">
        <v>43875.303425925929</v>
      </c>
      <c r="B35452" t="str">
        <f>HYPERLINK("https://twitter.com/waikurang","@waikurang")</f>
        <v>@waikurang</v>
      </c>
      <c r="C35452" t="s">
        <v>175</v>
      </c>
      <c r="D35452">
        <v>5220</v>
      </c>
      <c r="E35452">
        <v>0</v>
      </c>
      <c r="F35452">
        <v>158</v>
      </c>
    </row>
    <row r="35453" spans="1:6" ht="12.75">
      <c r="A35453" s="2">
        <v>43875.303391203706</v>
      </c>
      <c r="B35453" t="str">
        <f>HYPERLINK("https://twitter.com/SulasAgus","@SulasAgus")</f>
        <v>@SulasAgus</v>
      </c>
      <c r="C35453" t="s">
        <v>14741</v>
      </c>
      <c r="D35453">
        <v>0</v>
      </c>
      <c r="E35453">
        <v>0</v>
      </c>
      <c r="F35453">
        <v>117</v>
      </c>
    </row>
    <row r="35454" spans="1:6" ht="12.75">
      <c r="A35454" s="2">
        <v>43875.303379629629</v>
      </c>
      <c r="B35454" t="str">
        <f>HYPERLINK("https://twitter.com/doyantempe","@doyantempe")</f>
        <v>@doyantempe</v>
      </c>
      <c r="C35454" t="s">
        <v>9113</v>
      </c>
      <c r="D35454">
        <v>238</v>
      </c>
      <c r="E35454">
        <v>0</v>
      </c>
      <c r="F35454">
        <v>54</v>
      </c>
    </row>
    <row r="35455" spans="1:6" ht="12.75">
      <c r="A35455" s="2">
        <v>43875.303356481483</v>
      </c>
      <c r="B35455" t="str">
        <f>HYPERLINK("https://twitter.com/SoundOfYogi","@SoundOfYogi")</f>
        <v>@SoundOfYogi</v>
      </c>
      <c r="C35455" t="s">
        <v>14742</v>
      </c>
      <c r="D35455">
        <v>7</v>
      </c>
      <c r="E35455">
        <v>4</v>
      </c>
      <c r="F35455">
        <v>37759</v>
      </c>
    </row>
    <row r="35456" spans="1:6" ht="12.75">
      <c r="A35456" s="2">
        <v>43875.303229166668</v>
      </c>
      <c r="B35456" t="str">
        <f>HYPERLINK("https://twitter.com/enoshimabali","@enoshimabali")</f>
        <v>@enoshimabali</v>
      </c>
      <c r="C35456" t="s">
        <v>5168</v>
      </c>
      <c r="D35456">
        <v>369</v>
      </c>
      <c r="E35456">
        <v>0</v>
      </c>
      <c r="F35456">
        <v>461</v>
      </c>
    </row>
    <row r="35457" spans="1:6" ht="12.75">
      <c r="A35457" s="2">
        <v>43875.303229166668</v>
      </c>
      <c r="B35457" t="str">
        <f>HYPERLINK("https://twitter.com/nilamerah1","@nilamerah1")</f>
        <v>@nilamerah1</v>
      </c>
      <c r="C35457" t="s">
        <v>10096</v>
      </c>
      <c r="D35457">
        <v>55</v>
      </c>
      <c r="E35457">
        <v>0</v>
      </c>
      <c r="F35457">
        <v>3834</v>
      </c>
    </row>
    <row r="35458" spans="1:6" ht="12.75">
      <c r="A35458" s="2">
        <v>43875.303217592591</v>
      </c>
      <c r="B35458" t="str">
        <f>HYPERLINK("https://twitter.com/andrihasmansyah","@andrihasmansyah")</f>
        <v>@andrihasmansyah</v>
      </c>
      <c r="C35458" t="s">
        <v>8470</v>
      </c>
      <c r="D35458">
        <v>129</v>
      </c>
      <c r="E35458">
        <v>0</v>
      </c>
      <c r="F35458">
        <v>1954</v>
      </c>
    </row>
    <row r="35459" spans="1:6" ht="12.75">
      <c r="A35459" s="2">
        <v>43875.303113425922</v>
      </c>
      <c r="B35459" t="str">
        <f>HYPERLINK("https://twitter.com/bonbonbizare","@bonbonbizare")</f>
        <v>@bonbonbizare</v>
      </c>
      <c r="C35459" t="s">
        <v>10347</v>
      </c>
      <c r="D35459">
        <v>58</v>
      </c>
      <c r="E35459">
        <v>0</v>
      </c>
      <c r="F35459">
        <v>118</v>
      </c>
    </row>
    <row r="35460" spans="1:6" ht="12.75">
      <c r="A35460" s="2">
        <v>43875.30305555556</v>
      </c>
      <c r="B35460" t="str">
        <f>HYPERLINK("https://twitter.com/hikaryuni","@hikaryuni")</f>
        <v>@hikaryuni</v>
      </c>
      <c r="C35460" t="s">
        <v>5168</v>
      </c>
      <c r="D35460">
        <v>369</v>
      </c>
      <c r="E35460">
        <v>0</v>
      </c>
      <c r="F35460">
        <v>2330</v>
      </c>
    </row>
    <row r="35461" spans="1:6" ht="12.75">
      <c r="A35461" s="2">
        <v>43875.302951388891</v>
      </c>
      <c r="B35461" t="str">
        <f>HYPERLINK("https://twitter.com/doyantempe","@doyantempe")</f>
        <v>@doyantempe</v>
      </c>
      <c r="C35461" t="s">
        <v>10196</v>
      </c>
      <c r="D35461">
        <v>123</v>
      </c>
      <c r="E35461">
        <v>0</v>
      </c>
      <c r="F35461">
        <v>54</v>
      </c>
    </row>
    <row r="35462" spans="1:6" ht="12.75">
      <c r="A35462" s="2">
        <v>43875.302789351852</v>
      </c>
      <c r="B35462" t="str">
        <f>HYPERLINK("https://twitter.com/mamithasya","@mamithasya")</f>
        <v>@mamithasya</v>
      </c>
      <c r="C35462" t="s">
        <v>2963</v>
      </c>
      <c r="D35462">
        <v>364</v>
      </c>
      <c r="E35462">
        <v>0</v>
      </c>
      <c r="F35462">
        <v>498</v>
      </c>
    </row>
    <row r="35463" spans="1:6" ht="12.75">
      <c r="A35463" s="2">
        <v>43875.302673611106</v>
      </c>
      <c r="B35463" t="str">
        <f>HYPERLINK("https://twitter.com/c_poluan","@c_poluan")</f>
        <v>@c_poluan</v>
      </c>
      <c r="C35463" t="s">
        <v>2963</v>
      </c>
      <c r="D35463">
        <v>364</v>
      </c>
      <c r="E35463">
        <v>0</v>
      </c>
      <c r="F35463">
        <v>850</v>
      </c>
    </row>
    <row r="35464" spans="1:6" ht="12.75">
      <c r="A35464" s="2">
        <v>43875.302604166667</v>
      </c>
      <c r="B35464" t="str">
        <f>HYPERLINK("https://twitter.com/CiwamP","@CiwamP")</f>
        <v>@CiwamP</v>
      </c>
      <c r="C35464" t="s">
        <v>8470</v>
      </c>
      <c r="D35464">
        <v>129</v>
      </c>
      <c r="E35464">
        <v>0</v>
      </c>
      <c r="F35464">
        <v>578</v>
      </c>
    </row>
    <row r="35465" spans="1:6" ht="12.75">
      <c r="A35465" s="2">
        <v>43875.30259259259</v>
      </c>
      <c r="B35465" t="str">
        <f>HYPERLINK("https://twitter.com/Atha879","@Atha879")</f>
        <v>@Atha879</v>
      </c>
      <c r="C35465" t="s">
        <v>8394</v>
      </c>
      <c r="D35465">
        <v>23</v>
      </c>
      <c r="E35465">
        <v>0</v>
      </c>
      <c r="F35465">
        <v>1392</v>
      </c>
    </row>
    <row r="35466" spans="1:6" ht="12.75">
      <c r="A35466" s="2">
        <v>43875.302581018521</v>
      </c>
      <c r="B35466" t="str">
        <f>HYPERLINK("https://twitter.com/AjidUsmanN","@AjidUsmanN")</f>
        <v>@AjidUsmanN</v>
      </c>
      <c r="C35466" t="s">
        <v>9538</v>
      </c>
      <c r="D35466">
        <v>87</v>
      </c>
      <c r="E35466">
        <v>0</v>
      </c>
      <c r="F35466">
        <v>241</v>
      </c>
    </row>
    <row r="35467" spans="1:6" ht="12.75">
      <c r="A35467" s="2">
        <v>43875.302581018521</v>
      </c>
      <c r="B35467" t="str">
        <f>HYPERLINK("https://twitter.com/Kimtaesar","@Kimtaesar")</f>
        <v>@Kimtaesar</v>
      </c>
      <c r="C35467" t="s">
        <v>14743</v>
      </c>
      <c r="D35467">
        <v>0</v>
      </c>
      <c r="E35467">
        <v>0</v>
      </c>
      <c r="F35467">
        <v>2362</v>
      </c>
    </row>
    <row r="35468" spans="1:6" ht="12.75">
      <c r="A35468" s="2">
        <v>43875.302430555559</v>
      </c>
      <c r="B35468" t="str">
        <f>HYPERLINK("https://twitter.com/briverly","@briverly")</f>
        <v>@briverly</v>
      </c>
      <c r="C35468" t="s">
        <v>8233</v>
      </c>
      <c r="D35468">
        <v>274</v>
      </c>
      <c r="E35468">
        <v>0</v>
      </c>
      <c r="F35468">
        <v>925</v>
      </c>
    </row>
    <row r="35469" spans="1:6" ht="12.75">
      <c r="A35469" s="2">
        <v>43875.302164351851</v>
      </c>
      <c r="B35469" t="str">
        <f>HYPERLINK("https://twitter.com/barnabasburn","@barnabasburn")</f>
        <v>@barnabasburn</v>
      </c>
      <c r="C35469" t="s">
        <v>10096</v>
      </c>
      <c r="D35469">
        <v>55</v>
      </c>
      <c r="E35469">
        <v>0</v>
      </c>
      <c r="F35469">
        <v>369</v>
      </c>
    </row>
    <row r="35470" spans="1:6" ht="12.75">
      <c r="A35470" s="2">
        <v>43875.302141203705</v>
      </c>
      <c r="B35470" t="str">
        <f>HYPERLINK("https://twitter.com/IndahAriani","@IndahAriani")</f>
        <v>@IndahAriani</v>
      </c>
      <c r="C35470" t="s">
        <v>14744</v>
      </c>
      <c r="D35470">
        <v>1</v>
      </c>
      <c r="E35470">
        <v>0</v>
      </c>
      <c r="F35470">
        <v>20760</v>
      </c>
    </row>
    <row r="35471" spans="1:6" ht="12.75">
      <c r="A35471" s="2">
        <v>43875.302002314813</v>
      </c>
      <c r="B35471" t="str">
        <f>HYPERLINK("https://twitter.com/RizkyBram27","@RizkyBram27")</f>
        <v>@RizkyBram27</v>
      </c>
      <c r="C35471" t="s">
        <v>2963</v>
      </c>
      <c r="D35471">
        <v>364</v>
      </c>
      <c r="E35471">
        <v>0</v>
      </c>
      <c r="F35471">
        <v>756</v>
      </c>
    </row>
    <row r="35472" spans="1:6" ht="12.75">
      <c r="A35472" s="2">
        <v>43875.301990740743</v>
      </c>
      <c r="B35472" t="str">
        <f>HYPERLINK("https://twitter.com/SuluhSumatera","@SuluhSumatera")</f>
        <v>@SuluhSumatera</v>
      </c>
      <c r="C35472" t="s">
        <v>14745</v>
      </c>
      <c r="D35472">
        <v>0</v>
      </c>
      <c r="E35472">
        <v>0</v>
      </c>
      <c r="F35472">
        <v>538</v>
      </c>
    </row>
    <row r="35473" spans="1:6" ht="12.75">
      <c r="A35473" s="2">
        <v>43875.30196759259</v>
      </c>
      <c r="B35473" t="str">
        <f>HYPERLINK("https://twitter.com/wahidansori10","@wahidansori10")</f>
        <v>@wahidansori10</v>
      </c>
      <c r="C35473" t="s">
        <v>9263</v>
      </c>
      <c r="D35473">
        <v>68</v>
      </c>
      <c r="E35473">
        <v>0</v>
      </c>
      <c r="F35473">
        <v>1522</v>
      </c>
    </row>
    <row r="35474" spans="1:6" ht="12.75">
      <c r="A35474" s="2">
        <v>43875.301932870367</v>
      </c>
      <c r="B35474" t="str">
        <f>HYPERLINK("https://twitter.com/UnyuBack","@UnyuBack")</f>
        <v>@UnyuBack</v>
      </c>
      <c r="C35474" t="s">
        <v>14746</v>
      </c>
      <c r="D35474">
        <v>0</v>
      </c>
      <c r="E35474">
        <v>0</v>
      </c>
      <c r="F35474">
        <v>941</v>
      </c>
    </row>
    <row r="35475" spans="1:6" ht="12.75">
      <c r="A35475" s="2">
        <v>43875.301921296297</v>
      </c>
      <c r="B35475" t="str">
        <f>HYPERLINK("https://twitter.com/idiotresponder","@idiotresponder")</f>
        <v>@idiotresponder</v>
      </c>
      <c r="C35475" t="s">
        <v>14747</v>
      </c>
      <c r="D35475">
        <v>0</v>
      </c>
      <c r="E35475">
        <v>0</v>
      </c>
      <c r="F35475">
        <v>70</v>
      </c>
    </row>
    <row r="35476" spans="1:6" ht="12.75">
      <c r="A35476" s="2">
        <v>43875.301828703705</v>
      </c>
      <c r="B35476" t="str">
        <f>HYPERLINK("https://twitter.com/gonkcil","@gonkcil")</f>
        <v>@gonkcil</v>
      </c>
      <c r="C35476" t="s">
        <v>9947</v>
      </c>
      <c r="D35476">
        <v>313</v>
      </c>
      <c r="E35476">
        <v>0</v>
      </c>
      <c r="F35476">
        <v>146</v>
      </c>
    </row>
    <row r="35477" spans="1:6" ht="12.75">
      <c r="A35477" s="2">
        <v>43875.301805555559</v>
      </c>
      <c r="B35477" t="str">
        <f>HYPERLINK("https://twitter.com/TAhayuningtyas","@TAhayuningtyas")</f>
        <v>@TAhayuningtyas</v>
      </c>
      <c r="C35477" t="s">
        <v>5761</v>
      </c>
      <c r="D35477">
        <v>26</v>
      </c>
      <c r="E35477">
        <v>0</v>
      </c>
      <c r="F35477">
        <v>1019</v>
      </c>
    </row>
    <row r="35478" spans="1:6" ht="12.75">
      <c r="A35478" s="2">
        <v>43875.301712962959</v>
      </c>
      <c r="B35478" t="str">
        <f>HYPERLINK("https://twitter.com/Ato04139675","@Ato04139675")</f>
        <v>@Ato04139675</v>
      </c>
      <c r="C35478" t="s">
        <v>9377</v>
      </c>
      <c r="D35478">
        <v>8</v>
      </c>
      <c r="E35478">
        <v>0</v>
      </c>
      <c r="F35478">
        <v>620</v>
      </c>
    </row>
    <row r="35479" spans="1:6" ht="12.75">
      <c r="A35479" s="2">
        <v>43875.301666666666</v>
      </c>
      <c r="B35479" t="str">
        <f>HYPERLINK("https://twitter.com/AloelAsheen","@AloelAsheen")</f>
        <v>@AloelAsheen</v>
      </c>
      <c r="C35479" t="s">
        <v>12679</v>
      </c>
      <c r="D35479">
        <v>722</v>
      </c>
      <c r="E35479">
        <v>0</v>
      </c>
      <c r="F35479">
        <v>25</v>
      </c>
    </row>
    <row r="35480" spans="1:6" ht="12.75">
      <c r="A35480" s="2">
        <v>43875.301655092597</v>
      </c>
      <c r="B35480" t="str">
        <f>HYPERLINK("https://twitter.com/SimonSedeSA1","@SimonSedeSA1")</f>
        <v>@SimonSedeSA1</v>
      </c>
      <c r="C35480" t="s">
        <v>5624</v>
      </c>
      <c r="D35480">
        <v>109</v>
      </c>
      <c r="E35480">
        <v>0</v>
      </c>
      <c r="F35480">
        <v>26</v>
      </c>
    </row>
    <row r="35481" spans="1:6" ht="12.75">
      <c r="A35481" s="2">
        <v>43875.301562499997</v>
      </c>
      <c r="B35481" t="str">
        <f>HYPERLINK("https://twitter.com/qronoz","@qronoz")</f>
        <v>@qronoz</v>
      </c>
      <c r="C35481" t="s">
        <v>5168</v>
      </c>
      <c r="D35481">
        <v>369</v>
      </c>
      <c r="E35481">
        <v>0</v>
      </c>
      <c r="F35481">
        <v>16322</v>
      </c>
    </row>
    <row r="35482" spans="1:6" ht="12.75">
      <c r="A35482" s="2">
        <v>43875.301516203705</v>
      </c>
      <c r="B35482" t="str">
        <f>HYPERLINK("https://twitter.com/ZoelFawzie","@ZoelFawzie")</f>
        <v>@ZoelFawzie</v>
      </c>
      <c r="C35482" t="s">
        <v>14748</v>
      </c>
      <c r="D35482">
        <v>0</v>
      </c>
      <c r="E35482">
        <v>1</v>
      </c>
      <c r="F35482">
        <v>5685</v>
      </c>
    </row>
    <row r="35483" spans="1:6" ht="12.75">
      <c r="A35483" s="2">
        <v>43875.301446759258</v>
      </c>
      <c r="B35483" t="str">
        <f>HYPERLINK("https://twitter.com/SoundOfYogi","@SoundOfYogi")</f>
        <v>@SoundOfYogi</v>
      </c>
      <c r="C35483" t="s">
        <v>14749</v>
      </c>
      <c r="D35483">
        <v>1</v>
      </c>
      <c r="E35483">
        <v>0</v>
      </c>
      <c r="F35483">
        <v>37759</v>
      </c>
    </row>
    <row r="35484" spans="1:6" ht="12.75">
      <c r="A35484" s="2">
        <v>43875.301400462966</v>
      </c>
      <c r="B35484" t="str">
        <f>HYPERLINK("https://twitter.com/ka_chouw","@ka_chouw")</f>
        <v>@ka_chouw</v>
      </c>
      <c r="C35484" t="s">
        <v>2963</v>
      </c>
      <c r="D35484">
        <v>364</v>
      </c>
      <c r="E35484">
        <v>0</v>
      </c>
      <c r="F35484">
        <v>153</v>
      </c>
    </row>
    <row r="35485" spans="1:6" ht="12.75">
      <c r="A35485" s="2">
        <v>43875.301377314812</v>
      </c>
      <c r="B35485" t="str">
        <f>HYPERLINK("https://twitter.com/petrelalminanga","@petrelalminanga")</f>
        <v>@petrelalminanga</v>
      </c>
      <c r="C35485" t="s">
        <v>5761</v>
      </c>
      <c r="D35485">
        <v>26</v>
      </c>
      <c r="E35485">
        <v>0</v>
      </c>
      <c r="F35485">
        <v>320</v>
      </c>
    </row>
    <row r="35486" spans="1:6" ht="12.75">
      <c r="A35486" s="2">
        <v>43875.301365740743</v>
      </c>
      <c r="B35486" t="str">
        <f>HYPERLINK("https://twitter.com/AisSyariif","@AisSyariif")</f>
        <v>@AisSyariif</v>
      </c>
      <c r="C35486" t="s">
        <v>10462</v>
      </c>
      <c r="D35486">
        <v>226</v>
      </c>
      <c r="E35486">
        <v>0</v>
      </c>
      <c r="F35486">
        <v>873</v>
      </c>
    </row>
    <row r="35487" spans="1:6" ht="12.75">
      <c r="A35487" s="2">
        <v>43875.301307870366</v>
      </c>
      <c r="B35487" t="str">
        <f>HYPERLINK("https://twitter.com/akuluthfi","@akuluthfi")</f>
        <v>@akuluthfi</v>
      </c>
      <c r="C35487" t="s">
        <v>9021</v>
      </c>
      <c r="D35487">
        <v>135</v>
      </c>
      <c r="E35487">
        <v>0</v>
      </c>
      <c r="F35487">
        <v>2119</v>
      </c>
    </row>
    <row r="35488" spans="1:6" ht="12.75">
      <c r="A35488" s="2">
        <v>43875.301261574074</v>
      </c>
      <c r="B35488" t="str">
        <f>HYPERLINK("https://twitter.com/SukisnoUtomo","@SukisnoUtomo")</f>
        <v>@SukisnoUtomo</v>
      </c>
      <c r="C35488" t="s">
        <v>2963</v>
      </c>
      <c r="D35488">
        <v>364</v>
      </c>
      <c r="E35488">
        <v>0</v>
      </c>
      <c r="F35488">
        <v>65</v>
      </c>
    </row>
    <row r="35489" spans="1:6" ht="12.75">
      <c r="A35489" s="2">
        <v>43875.301145833335</v>
      </c>
      <c r="B35489" t="str">
        <f>HYPERLINK("https://twitter.com/Mulia07094480","@Mulia07094480")</f>
        <v>@Mulia07094480</v>
      </c>
      <c r="C35489" t="s">
        <v>14750</v>
      </c>
      <c r="D35489">
        <v>1</v>
      </c>
      <c r="E35489">
        <v>0</v>
      </c>
      <c r="F35489">
        <v>702</v>
      </c>
    </row>
    <row r="35490" spans="1:6" ht="12.75">
      <c r="A35490" s="2">
        <v>43875.301122685181</v>
      </c>
      <c r="B35490" t="str">
        <f>HYPERLINK("https://twitter.com/Usep210","@Usep210")</f>
        <v>@Usep210</v>
      </c>
      <c r="C35490" t="s">
        <v>14751</v>
      </c>
      <c r="D35490">
        <v>0</v>
      </c>
      <c r="E35490">
        <v>0</v>
      </c>
      <c r="F35490">
        <v>4760</v>
      </c>
    </row>
    <row r="35491" spans="1:6" ht="12.75">
      <c r="A35491" s="2">
        <v>43875.30096064815</v>
      </c>
      <c r="B35491" t="str">
        <f>HYPERLINK("https://twitter.com/Adell1ne","@Adell1ne")</f>
        <v>@Adell1ne</v>
      </c>
      <c r="C35491" t="s">
        <v>10096</v>
      </c>
      <c r="D35491">
        <v>55</v>
      </c>
      <c r="E35491">
        <v>0</v>
      </c>
      <c r="F35491">
        <v>3291</v>
      </c>
    </row>
    <row r="35492" spans="1:6" ht="12.75">
      <c r="A35492" s="2">
        <v>43875.30096064815</v>
      </c>
      <c r="B35492" t="str">
        <f>HYPERLINK("https://twitter.com/basuki_rakhmad","@basuki_rakhmad")</f>
        <v>@basuki_rakhmad</v>
      </c>
      <c r="C35492" t="s">
        <v>14752</v>
      </c>
      <c r="D35492">
        <v>1</v>
      </c>
      <c r="E35492">
        <v>1</v>
      </c>
      <c r="F35492">
        <v>2627</v>
      </c>
    </row>
    <row r="35493" spans="1:6" ht="12.75">
      <c r="A35493" s="2">
        <v>43875.300740740742</v>
      </c>
      <c r="B35493" t="str">
        <f>HYPERLINK("https://twitter.com/Sagimin65864707","@Sagimin65864707")</f>
        <v>@Sagimin65864707</v>
      </c>
      <c r="C35493" t="s">
        <v>14753</v>
      </c>
      <c r="D35493">
        <v>0</v>
      </c>
      <c r="E35493">
        <v>0</v>
      </c>
      <c r="F35493">
        <v>1</v>
      </c>
    </row>
    <row r="35494" spans="1:6" ht="12.75">
      <c r="A35494" s="2">
        <v>43875.30069444445</v>
      </c>
      <c r="B35494" t="str">
        <f>HYPERLINK("https://twitter.com/prajnamu","@prajnamu")</f>
        <v>@prajnamu</v>
      </c>
      <c r="C35494" t="s">
        <v>14267</v>
      </c>
      <c r="D35494">
        <v>2</v>
      </c>
      <c r="E35494">
        <v>0</v>
      </c>
      <c r="F35494">
        <v>2338</v>
      </c>
    </row>
    <row r="35495" spans="1:6" ht="12.75">
      <c r="A35495" s="2">
        <v>43875.300682870366</v>
      </c>
      <c r="B35495" t="str">
        <f>HYPERLINK("https://twitter.com/barnabasburn","@barnabasburn")</f>
        <v>@barnabasburn</v>
      </c>
      <c r="C35495" t="s">
        <v>2134</v>
      </c>
      <c r="D35495">
        <v>977</v>
      </c>
      <c r="E35495">
        <v>0</v>
      </c>
      <c r="F35495">
        <v>369</v>
      </c>
    </row>
    <row r="35496" spans="1:6" ht="12.75">
      <c r="A35496" s="2">
        <v>43875.300578703704</v>
      </c>
      <c r="B35496" t="str">
        <f>HYPERLINK("https://twitter.com/thmskr_","@thmskr_")</f>
        <v>@thmskr_</v>
      </c>
      <c r="C35496" t="s">
        <v>11322</v>
      </c>
      <c r="D35496">
        <v>60</v>
      </c>
      <c r="E35496">
        <v>0</v>
      </c>
      <c r="F35496">
        <v>267</v>
      </c>
    </row>
    <row r="35497" spans="1:6" ht="12.75">
      <c r="A35497" s="2">
        <v>43875.300497685181</v>
      </c>
      <c r="B35497" t="str">
        <f>HYPERLINK("https://twitter.com/Mun4fikunn","@Mun4fikunn")</f>
        <v>@Mun4fikunn</v>
      </c>
      <c r="C35497" t="s">
        <v>9096</v>
      </c>
      <c r="D35497">
        <v>144</v>
      </c>
      <c r="E35497">
        <v>0</v>
      </c>
      <c r="F35497">
        <v>1558</v>
      </c>
    </row>
    <row r="35498" spans="1:6" ht="12.75">
      <c r="A35498" s="2">
        <v>43875.300451388888</v>
      </c>
      <c r="B35498" t="str">
        <f>HYPERLINK("https://twitter.com/AyasSipenk","@AyasSipenk")</f>
        <v>@AyasSipenk</v>
      </c>
      <c r="C35498" t="s">
        <v>2963</v>
      </c>
      <c r="D35498">
        <v>364</v>
      </c>
      <c r="E35498">
        <v>0</v>
      </c>
      <c r="F35498">
        <v>1384</v>
      </c>
    </row>
    <row r="35499" spans="1:6" ht="12.75">
      <c r="A35499" s="2">
        <v>43875.300416666665</v>
      </c>
      <c r="B35499" t="str">
        <f>HYPERLINK("https://twitter.com/RATU_TRISN4","@RATU_TRISN4")</f>
        <v>@RATU_TRISN4</v>
      </c>
      <c r="C35499" t="s">
        <v>2963</v>
      </c>
      <c r="D35499">
        <v>364</v>
      </c>
      <c r="E35499">
        <v>0</v>
      </c>
      <c r="F35499">
        <v>1136</v>
      </c>
    </row>
    <row r="35500" spans="1:6" ht="12.75">
      <c r="A35500" s="2">
        <v>43875.300300925926</v>
      </c>
      <c r="B35500" t="str">
        <f>HYPERLINK("https://twitter.com/pddg__head","@pddg__head")</f>
        <v>@pddg__head</v>
      </c>
      <c r="C35500" t="s">
        <v>9964</v>
      </c>
      <c r="D35500">
        <v>463</v>
      </c>
      <c r="E35500">
        <v>0</v>
      </c>
      <c r="F35500">
        <v>228</v>
      </c>
    </row>
    <row r="35501" spans="1:6" ht="12.75">
      <c r="A35501" s="2">
        <v>43875.300092592588</v>
      </c>
      <c r="B35501" t="str">
        <f>HYPERLINK("https://twitter.com/Mulia07094480","@Mulia07094480")</f>
        <v>@Mulia07094480</v>
      </c>
      <c r="C35501" t="s">
        <v>14754</v>
      </c>
      <c r="D35501">
        <v>0</v>
      </c>
      <c r="E35501">
        <v>0</v>
      </c>
      <c r="F35501">
        <v>702</v>
      </c>
    </row>
    <row r="35502" spans="1:6" ht="12.75">
      <c r="A35502" s="2">
        <v>43875.300081018519</v>
      </c>
      <c r="B35502" t="str">
        <f>HYPERLINK("https://twitter.com/jimidoubleshot","@jimidoubleshot")</f>
        <v>@jimidoubleshot</v>
      </c>
      <c r="C35502" t="s">
        <v>14755</v>
      </c>
      <c r="D35502">
        <v>0</v>
      </c>
      <c r="E35502">
        <v>0</v>
      </c>
      <c r="F35502">
        <v>0</v>
      </c>
    </row>
    <row r="35503" spans="1:6" ht="12.75">
      <c r="A35503" s="2">
        <v>43875.300081018519</v>
      </c>
      <c r="B35503" t="str">
        <f>HYPERLINK("https://twitter.com/PutriBellaDamar","@PutriBellaDamar")</f>
        <v>@PutriBellaDamar</v>
      </c>
      <c r="C35503" t="s">
        <v>2963</v>
      </c>
      <c r="D35503">
        <v>364</v>
      </c>
      <c r="E35503">
        <v>0</v>
      </c>
      <c r="F35503">
        <v>681</v>
      </c>
    </row>
    <row r="35504" spans="1:6" ht="12.75">
      <c r="A35504" s="2">
        <v>43875.300011574072</v>
      </c>
      <c r="B35504" t="str">
        <f>HYPERLINK("https://twitter.com/RoniSap93554597","@RoniSap93554597")</f>
        <v>@RoniSap93554597</v>
      </c>
      <c r="C35504" t="s">
        <v>14756</v>
      </c>
      <c r="D35504">
        <v>0</v>
      </c>
      <c r="E35504">
        <v>0</v>
      </c>
      <c r="F35504">
        <v>20</v>
      </c>
    </row>
    <row r="35505" spans="1:6" ht="12.75">
      <c r="A35505" s="2">
        <v>43875.300011574072</v>
      </c>
      <c r="B35505" t="str">
        <f>HYPERLINK("https://twitter.com/Sangadj49570204","@Sangadj49570204")</f>
        <v>@Sangadj49570204</v>
      </c>
      <c r="C35505" t="s">
        <v>2963</v>
      </c>
      <c r="D35505">
        <v>364</v>
      </c>
      <c r="E35505">
        <v>0</v>
      </c>
      <c r="F35505">
        <v>637</v>
      </c>
    </row>
    <row r="35506" spans="1:6" ht="12.75">
      <c r="A35506" s="2">
        <v>43875.299895833334</v>
      </c>
      <c r="B35506" t="str">
        <f>HYPERLINK("https://twitter.com/AuliaRochmah13","@AuliaRochmah13")</f>
        <v>@AuliaRochmah13</v>
      </c>
      <c r="C35506" t="s">
        <v>2963</v>
      </c>
      <c r="D35506">
        <v>364</v>
      </c>
      <c r="E35506">
        <v>0</v>
      </c>
      <c r="F35506">
        <v>32</v>
      </c>
    </row>
    <row r="35507" spans="1:6" ht="12.75">
      <c r="A35507" s="2">
        <v>43875.299837962964</v>
      </c>
      <c r="B35507" t="str">
        <f>HYPERLINK("https://twitter.com/Ernie_es","@Ernie_es")</f>
        <v>@Ernie_es</v>
      </c>
      <c r="C35507" t="s">
        <v>14757</v>
      </c>
      <c r="D35507">
        <v>0</v>
      </c>
      <c r="E35507">
        <v>0</v>
      </c>
      <c r="F35507">
        <v>3614</v>
      </c>
    </row>
    <row r="35508" spans="1:6" ht="12.75">
      <c r="A35508" s="2">
        <v>43875.299722222218</v>
      </c>
      <c r="B35508" t="str">
        <f>HYPERLINK("https://twitter.com/SoundOfYogi","@SoundOfYogi")</f>
        <v>@SoundOfYogi</v>
      </c>
      <c r="C35508" t="s">
        <v>14758</v>
      </c>
      <c r="D35508">
        <v>7</v>
      </c>
      <c r="E35508">
        <v>18</v>
      </c>
      <c r="F35508">
        <v>37759</v>
      </c>
    </row>
    <row r="35509" spans="1:6" ht="12.75">
      <c r="A35509" s="2">
        <v>43875.299710648149</v>
      </c>
      <c r="B35509" t="str">
        <f>HYPERLINK("https://twitter.com/DadangS81286454","@DadangS81286454")</f>
        <v>@DadangS81286454</v>
      </c>
      <c r="C35509" t="s">
        <v>14759</v>
      </c>
      <c r="D35509">
        <v>0</v>
      </c>
      <c r="E35509">
        <v>0</v>
      </c>
      <c r="F35509">
        <v>21</v>
      </c>
    </row>
    <row r="35510" spans="1:6" ht="12.75">
      <c r="A35510" s="2">
        <v>43875.299583333333</v>
      </c>
      <c r="B35510" t="str">
        <f>HYPERLINK("https://twitter.com/kuro_marta","@kuro_marta")</f>
        <v>@kuro_marta</v>
      </c>
      <c r="C35510" t="s">
        <v>14760</v>
      </c>
      <c r="D35510">
        <v>0</v>
      </c>
      <c r="E35510">
        <v>0</v>
      </c>
      <c r="F35510">
        <v>130</v>
      </c>
    </row>
    <row r="35511" spans="1:6" ht="12.75">
      <c r="A35511" s="2">
        <v>43875.299560185187</v>
      </c>
      <c r="B35511" t="str">
        <f>HYPERLINK("https://twitter.com/mmaaddaa27","@mmaaddaa27")</f>
        <v>@mmaaddaa27</v>
      </c>
      <c r="C35511" t="s">
        <v>14761</v>
      </c>
      <c r="D35511">
        <v>19</v>
      </c>
      <c r="E35511">
        <v>0</v>
      </c>
      <c r="F35511">
        <v>21</v>
      </c>
    </row>
    <row r="35512" spans="1:6" ht="12.75">
      <c r="A35512" s="2">
        <v>43875.299560185187</v>
      </c>
      <c r="B35512" t="str">
        <f>HYPERLINK("https://twitter.com/Nusanta124","@Nusanta124")</f>
        <v>@Nusanta124</v>
      </c>
      <c r="C35512" t="s">
        <v>10422</v>
      </c>
      <c r="D35512">
        <v>23</v>
      </c>
      <c r="E35512">
        <v>0</v>
      </c>
      <c r="F35512">
        <v>417</v>
      </c>
    </row>
    <row r="35513" spans="1:6" ht="12.75">
      <c r="A35513" s="2">
        <v>43875.29954861111</v>
      </c>
      <c r="B35513" t="str">
        <f>HYPERLINK("https://twitter.com/Cyehwi","@Cyehwi")</f>
        <v>@Cyehwi</v>
      </c>
      <c r="C35513" t="s">
        <v>9021</v>
      </c>
      <c r="D35513">
        <v>135</v>
      </c>
      <c r="E35513">
        <v>0</v>
      </c>
      <c r="F35513">
        <v>223</v>
      </c>
    </row>
    <row r="35514" spans="1:6" ht="12.75">
      <c r="A35514" s="2">
        <v>43875.299456018518</v>
      </c>
      <c r="B35514" t="str">
        <f>HYPERLINK("https://twitter.com/zazaputih","@zazaputih")</f>
        <v>@zazaputih</v>
      </c>
      <c r="C35514" t="s">
        <v>14309</v>
      </c>
      <c r="D35514">
        <v>5</v>
      </c>
      <c r="E35514">
        <v>0</v>
      </c>
      <c r="F35514">
        <v>36</v>
      </c>
    </row>
    <row r="35515" spans="1:6" ht="12.75">
      <c r="A35515" s="2">
        <v>43875.299351851849</v>
      </c>
      <c r="B35515" t="str">
        <f>HYPERLINK("https://twitter.com/Bembyblues","@Bembyblues")</f>
        <v>@Bembyblues</v>
      </c>
      <c r="C35515" t="s">
        <v>14762</v>
      </c>
      <c r="D35515">
        <v>0</v>
      </c>
      <c r="E35515">
        <v>0</v>
      </c>
      <c r="F35515">
        <v>709</v>
      </c>
    </row>
    <row r="35516" spans="1:6" ht="12.75">
      <c r="A35516" s="2">
        <v>43875.299317129626</v>
      </c>
      <c r="B35516" t="str">
        <f>HYPERLINK("https://twitter.com/RinjaniJB","@RinjaniJB")</f>
        <v>@RinjaniJB</v>
      </c>
      <c r="C35516" t="s">
        <v>14763</v>
      </c>
      <c r="D35516">
        <v>1</v>
      </c>
      <c r="E35516">
        <v>0</v>
      </c>
      <c r="F35516">
        <v>19163</v>
      </c>
    </row>
    <row r="35517" spans="1:6" ht="12.75">
      <c r="A35517" s="2">
        <v>43875.299305555556</v>
      </c>
      <c r="B35517" t="str">
        <f>HYPERLINK("https://twitter.com/dulfth","@dulfth")</f>
        <v>@dulfth</v>
      </c>
      <c r="C35517" t="s">
        <v>2963</v>
      </c>
      <c r="D35517">
        <v>364</v>
      </c>
      <c r="E35517">
        <v>0</v>
      </c>
      <c r="F35517">
        <v>244</v>
      </c>
    </row>
    <row r="35518" spans="1:6" ht="12.75">
      <c r="A35518" s="2">
        <v>43875.299282407403</v>
      </c>
      <c r="B35518" t="str">
        <f>HYPERLINK("https://twitter.com/iwankgt3838","@iwankgt3838")</f>
        <v>@iwankgt3838</v>
      </c>
      <c r="C35518" t="s">
        <v>8571</v>
      </c>
      <c r="D35518">
        <v>34</v>
      </c>
      <c r="E35518">
        <v>0</v>
      </c>
      <c r="F35518">
        <v>72</v>
      </c>
    </row>
    <row r="35519" spans="1:6" ht="12.75">
      <c r="A35519" s="2">
        <v>43875.29923611111</v>
      </c>
      <c r="B35519" t="str">
        <f>HYPERLINK("https://twitter.com/Sangadj49570204","@Sangadj49570204")</f>
        <v>@Sangadj49570204</v>
      </c>
      <c r="C35519" t="s">
        <v>14764</v>
      </c>
      <c r="D35519">
        <v>26</v>
      </c>
      <c r="E35519">
        <v>0</v>
      </c>
      <c r="F35519">
        <v>637</v>
      </c>
    </row>
    <row r="35520" spans="1:6" ht="12.75">
      <c r="A35520" s="2">
        <v>43875.29923611111</v>
      </c>
      <c r="B35520" t="str">
        <f>HYPERLINK("https://twitter.com/Cyehwi","@Cyehwi")</f>
        <v>@Cyehwi</v>
      </c>
      <c r="C35520" t="s">
        <v>14765</v>
      </c>
      <c r="D35520">
        <v>0</v>
      </c>
      <c r="E35520">
        <v>0</v>
      </c>
      <c r="F35520">
        <v>223</v>
      </c>
    </row>
    <row r="35521" spans="1:6" ht="12.75">
      <c r="A35521" s="2">
        <v>43875.299212962964</v>
      </c>
      <c r="B35521" t="str">
        <f>HYPERLINK("https://twitter.com/RadioElshinta","@RadioElshinta")</f>
        <v>@RadioElshinta</v>
      </c>
      <c r="C35521" t="s">
        <v>14766</v>
      </c>
      <c r="D35521">
        <v>1</v>
      </c>
      <c r="E35521">
        <v>1</v>
      </c>
      <c r="F35521">
        <v>3633166</v>
      </c>
    </row>
    <row r="35522" spans="1:6" ht="12.75">
      <c r="A35522" s="2">
        <v>43875.299201388887</v>
      </c>
      <c r="B35522" t="str">
        <f>HYPERLINK("https://twitter.com/JudgeRoxy12","@JudgeRoxy12")</f>
        <v>@JudgeRoxy12</v>
      </c>
      <c r="C35522" t="s">
        <v>3150</v>
      </c>
      <c r="D35522">
        <v>12</v>
      </c>
      <c r="E35522">
        <v>0</v>
      </c>
      <c r="F35522">
        <v>189</v>
      </c>
    </row>
    <row r="35523" spans="1:6" ht="12.75">
      <c r="A35523" s="2">
        <v>43875.299027777779</v>
      </c>
      <c r="B35523" t="str">
        <f>HYPERLINK("https://twitter.com/lametaztic","@lametaztic")</f>
        <v>@lametaztic</v>
      </c>
      <c r="C35523" t="s">
        <v>10121</v>
      </c>
      <c r="D35523">
        <v>140</v>
      </c>
      <c r="E35523">
        <v>0</v>
      </c>
      <c r="F35523">
        <v>301</v>
      </c>
    </row>
    <row r="35524" spans="1:6" ht="12.75">
      <c r="A35524" s="2">
        <v>43875.299027777779</v>
      </c>
      <c r="B35524" t="str">
        <f>HYPERLINK("https://twitter.com/evelixne","@evelixne")</f>
        <v>@evelixne</v>
      </c>
      <c r="C35524" t="s">
        <v>8233</v>
      </c>
      <c r="D35524">
        <v>274</v>
      </c>
      <c r="E35524">
        <v>0</v>
      </c>
      <c r="F35524">
        <v>963</v>
      </c>
    </row>
    <row r="35525" spans="1:6" ht="12.75">
      <c r="A35525" s="2">
        <v>43875.298993055556</v>
      </c>
      <c r="B35525" t="str">
        <f>HYPERLINK("https://twitter.com/abespawnie","@abespawnie")</f>
        <v>@abespawnie</v>
      </c>
      <c r="C35525" t="s">
        <v>7390</v>
      </c>
      <c r="D35525">
        <v>78</v>
      </c>
      <c r="E35525">
        <v>0</v>
      </c>
      <c r="F35525">
        <v>301</v>
      </c>
    </row>
    <row r="35526" spans="1:6" ht="12.75">
      <c r="A35526" s="2">
        <v>43875.298993055556</v>
      </c>
      <c r="B35526" t="str">
        <f>HYPERLINK("https://twitter.com/tempodotco","@tempodotco")</f>
        <v>@tempodotco</v>
      </c>
      <c r="C35526" t="s">
        <v>14767</v>
      </c>
      <c r="D35526">
        <v>0</v>
      </c>
      <c r="E35526">
        <v>1</v>
      </c>
      <c r="F35526">
        <v>1702085</v>
      </c>
    </row>
    <row r="35527" spans="1:6" ht="12.75">
      <c r="A35527" s="2">
        <v>43875.298831018517</v>
      </c>
      <c r="B35527" t="str">
        <f>HYPERLINK("https://twitter.com/zazaputih","@zazaputih")</f>
        <v>@zazaputih</v>
      </c>
      <c r="C35527" t="s">
        <v>9263</v>
      </c>
      <c r="D35527">
        <v>68</v>
      </c>
      <c r="E35527">
        <v>0</v>
      </c>
      <c r="F35527">
        <v>36</v>
      </c>
    </row>
    <row r="35528" spans="1:6" ht="12.75">
      <c r="A35528" s="2">
        <v>43875.298784722225</v>
      </c>
      <c r="B35528" t="str">
        <f>HYPERLINK("https://twitter.com/Aluna_Safitri","@Aluna_Safitri")</f>
        <v>@Aluna_Safitri</v>
      </c>
      <c r="C35528" t="s">
        <v>14768</v>
      </c>
      <c r="D35528">
        <v>0</v>
      </c>
      <c r="E35528">
        <v>0</v>
      </c>
      <c r="F35528">
        <v>239</v>
      </c>
    </row>
    <row r="35529" spans="1:6" ht="12.75">
      <c r="A35529" s="2">
        <v>43875.298541666663</v>
      </c>
      <c r="B35529" t="str">
        <f>HYPERLINK("https://twitter.com/suketi666","@suketi666")</f>
        <v>@suketi666</v>
      </c>
      <c r="C35529" t="s">
        <v>14769</v>
      </c>
      <c r="D35529">
        <v>1</v>
      </c>
      <c r="E35529">
        <v>0</v>
      </c>
      <c r="F35529">
        <v>470</v>
      </c>
    </row>
    <row r="35530" spans="1:6" ht="12.75">
      <c r="A35530" s="2">
        <v>43875.298518518517</v>
      </c>
      <c r="B35530" t="str">
        <f>HYPERLINK("https://twitter.com/menghela","@menghela")</f>
        <v>@menghela</v>
      </c>
      <c r="C35530" t="s">
        <v>2137</v>
      </c>
      <c r="D35530">
        <v>11</v>
      </c>
      <c r="E35530">
        <v>0</v>
      </c>
      <c r="F35530">
        <v>569</v>
      </c>
    </row>
    <row r="35531" spans="1:6" ht="12.75">
      <c r="A35531" s="2">
        <v>43875.29850694444</v>
      </c>
      <c r="B35531" t="str">
        <f>HYPERLINK("https://twitter.com/infinity_fel","@infinity_fel")</f>
        <v>@infinity_fel</v>
      </c>
      <c r="C35531" t="s">
        <v>14770</v>
      </c>
      <c r="D35531">
        <v>0</v>
      </c>
      <c r="E35531">
        <v>1</v>
      </c>
      <c r="F35531">
        <v>51</v>
      </c>
    </row>
    <row r="35532" spans="1:6" ht="12.75">
      <c r="A35532" s="2">
        <v>43875.298483796301</v>
      </c>
      <c r="B35532" t="str">
        <f>HYPERLINK("https://twitter.com/SonoraFM92","@SonoraFM92")</f>
        <v>@SonoraFM92</v>
      </c>
      <c r="C35532" t="s">
        <v>14771</v>
      </c>
      <c r="D35532">
        <v>0</v>
      </c>
      <c r="E35532">
        <v>0</v>
      </c>
      <c r="F35532">
        <v>292607</v>
      </c>
    </row>
    <row r="35533" spans="1:6" ht="12.75">
      <c r="A35533" s="2">
        <v>43875.298425925925</v>
      </c>
      <c r="B35533" t="str">
        <f>HYPERLINK("https://twitter.com/bgintingb","@bgintingb")</f>
        <v>@bgintingb</v>
      </c>
      <c r="C35533" t="s">
        <v>12679</v>
      </c>
      <c r="D35533">
        <v>722</v>
      </c>
      <c r="E35533">
        <v>0</v>
      </c>
      <c r="F35533">
        <v>55</v>
      </c>
    </row>
    <row r="35534" spans="1:6" ht="12.75">
      <c r="A35534" s="2">
        <v>43875.298379629632</v>
      </c>
      <c r="B35534" t="str">
        <f>HYPERLINK("https://twitter.com/herojvnz","@herojvnz")</f>
        <v>@herojvnz</v>
      </c>
      <c r="C35534" t="s">
        <v>9377</v>
      </c>
      <c r="D35534">
        <v>8</v>
      </c>
      <c r="E35534">
        <v>0</v>
      </c>
      <c r="F35534">
        <v>51</v>
      </c>
    </row>
    <row r="35535" spans="1:6" ht="12.75">
      <c r="A35535" s="2">
        <v>43875.298310185186</v>
      </c>
      <c r="B35535" t="str">
        <f>HYPERLINK("https://twitter.com/Usep210","@Usep210")</f>
        <v>@Usep210</v>
      </c>
      <c r="C35535" t="s">
        <v>14772</v>
      </c>
      <c r="D35535">
        <v>1</v>
      </c>
      <c r="E35535">
        <v>6</v>
      </c>
      <c r="F35535">
        <v>4760</v>
      </c>
    </row>
    <row r="35536" spans="1:6" ht="12.75">
      <c r="A35536" s="2">
        <v>43875.298275462963</v>
      </c>
      <c r="B35536" t="str">
        <f>HYPERLINK("https://twitter.com/tachibanahiu","@tachibanahiu")</f>
        <v>@tachibanahiu</v>
      </c>
      <c r="C35536" t="s">
        <v>5168</v>
      </c>
      <c r="D35536">
        <v>369</v>
      </c>
      <c r="E35536">
        <v>0</v>
      </c>
      <c r="F35536">
        <v>106</v>
      </c>
    </row>
    <row r="35537" spans="1:6" ht="12.75">
      <c r="A35537" s="2">
        <v>43875.298252314809</v>
      </c>
      <c r="B35537" t="str">
        <f>HYPERLINK("https://twitter.com/abespawnie","@abespawnie")</f>
        <v>@abespawnie</v>
      </c>
      <c r="C35537" t="s">
        <v>5624</v>
      </c>
      <c r="D35537">
        <v>109</v>
      </c>
      <c r="E35537">
        <v>0</v>
      </c>
      <c r="F35537">
        <v>301</v>
      </c>
    </row>
    <row r="35538" spans="1:6" ht="12.75">
      <c r="A35538" s="2">
        <v>43875.29822916667</v>
      </c>
      <c r="B35538" t="str">
        <f>HYPERLINK("https://twitter.com/c_poluan","@c_poluan")</f>
        <v>@c_poluan</v>
      </c>
      <c r="C35538" t="s">
        <v>6771</v>
      </c>
      <c r="D35538">
        <v>75</v>
      </c>
      <c r="E35538">
        <v>0</v>
      </c>
      <c r="F35538">
        <v>850</v>
      </c>
    </row>
    <row r="35539" spans="1:6" ht="12.75">
      <c r="A35539" s="2">
        <v>43875.298182870371</v>
      </c>
      <c r="B35539" t="str">
        <f>HYPERLINK("https://twitter.com/bapakefathan","@bapakefathan")</f>
        <v>@bapakefathan</v>
      </c>
      <c r="C35539" t="s">
        <v>14773</v>
      </c>
      <c r="D35539">
        <v>0</v>
      </c>
      <c r="E35539">
        <v>0</v>
      </c>
      <c r="F35539">
        <v>8</v>
      </c>
    </row>
    <row r="35540" spans="1:6" ht="12.75">
      <c r="A35540" s="2">
        <v>43875.298090277778</v>
      </c>
      <c r="B35540" t="str">
        <f>HYPERLINK("https://twitter.com/annisasuryanda_","@annisasuryanda_")</f>
        <v>@annisasuryanda_</v>
      </c>
      <c r="C35540" t="s">
        <v>2963</v>
      </c>
      <c r="D35540">
        <v>364</v>
      </c>
      <c r="E35540">
        <v>0</v>
      </c>
      <c r="F35540">
        <v>461</v>
      </c>
    </row>
    <row r="35541" spans="1:6" ht="12.75">
      <c r="A35541" s="2">
        <v>43875.298078703709</v>
      </c>
      <c r="B35541" t="str">
        <f>HYPERLINK("https://twitter.com/basabasikhafi","@basabasikhafi")</f>
        <v>@basabasikhafi</v>
      </c>
      <c r="C35541" t="s">
        <v>2963</v>
      </c>
      <c r="D35541">
        <v>364</v>
      </c>
      <c r="E35541">
        <v>0</v>
      </c>
      <c r="F35541">
        <v>1499</v>
      </c>
    </row>
    <row r="35542" spans="1:6" ht="12.75">
      <c r="A35542" s="2">
        <v>43875.298055555555</v>
      </c>
      <c r="B35542" t="str">
        <f>HYPERLINK("https://twitter.com/RadioElshinta","@RadioElshinta")</f>
        <v>@RadioElshinta</v>
      </c>
      <c r="C35542" t="s">
        <v>14774</v>
      </c>
      <c r="D35542">
        <v>2</v>
      </c>
      <c r="E35542">
        <v>5</v>
      </c>
      <c r="F35542">
        <v>3633166</v>
      </c>
    </row>
    <row r="35543" spans="1:6" ht="12.75">
      <c r="A35543" s="2">
        <v>43875.298032407409</v>
      </c>
      <c r="B35543" t="str">
        <f>HYPERLINK("https://twitter.com/askur0101","@askur0101")</f>
        <v>@askur0101</v>
      </c>
      <c r="C35543" t="s">
        <v>14775</v>
      </c>
      <c r="D35543">
        <v>0</v>
      </c>
      <c r="E35543">
        <v>0</v>
      </c>
      <c r="F35543">
        <v>862</v>
      </c>
    </row>
    <row r="35544" spans="1:6" ht="12.75">
      <c r="A35544" s="2">
        <v>43875.297997685186</v>
      </c>
      <c r="B35544" t="str">
        <f>HYPERLINK("https://twitter.com/cintariR","@cintariR")</f>
        <v>@cintariR</v>
      </c>
      <c r="C35544" t="s">
        <v>14776</v>
      </c>
      <c r="D35544">
        <v>0</v>
      </c>
      <c r="E35544">
        <v>0</v>
      </c>
      <c r="F35544">
        <v>3098</v>
      </c>
    </row>
    <row r="35545" spans="1:6" ht="12.75">
      <c r="A35545" s="2">
        <v>43875.297951388886</v>
      </c>
      <c r="B35545" t="str">
        <f>HYPERLINK("https://twitter.com/abespawnie","@abespawnie")</f>
        <v>@abespawnie</v>
      </c>
      <c r="C35545" t="s">
        <v>10526</v>
      </c>
      <c r="D35545">
        <v>105</v>
      </c>
      <c r="E35545">
        <v>0</v>
      </c>
      <c r="F35545">
        <v>301</v>
      </c>
    </row>
    <row r="35546" spans="1:6" ht="12.75">
      <c r="A35546" s="2">
        <v>43875.297893518524</v>
      </c>
      <c r="B35546" t="str">
        <f>HYPERLINK("https://twitter.com/danreb123gmail1","@danreb123gmail1")</f>
        <v>@danreb123gmail1</v>
      </c>
      <c r="C35546" t="s">
        <v>9096</v>
      </c>
      <c r="D35546">
        <v>144</v>
      </c>
      <c r="E35546">
        <v>0</v>
      </c>
      <c r="F35546">
        <v>219</v>
      </c>
    </row>
    <row r="35547" spans="1:6" ht="12.75">
      <c r="A35547" s="2">
        <v>43875.297835648147</v>
      </c>
      <c r="B35547" t="str">
        <f>HYPERLINK("https://twitter.com/Terrong_OSD","@Terrong_OSD")</f>
        <v>@Terrong_OSD</v>
      </c>
      <c r="C35547" t="s">
        <v>5168</v>
      </c>
      <c r="D35547">
        <v>369</v>
      </c>
      <c r="E35547">
        <v>0</v>
      </c>
      <c r="F35547">
        <v>575</v>
      </c>
    </row>
    <row r="35548" spans="1:6" ht="12.75">
      <c r="A35548" s="2">
        <v>43875.297835648147</v>
      </c>
      <c r="B35548" t="str">
        <f>HYPERLINK("https://twitter.com/HrPuspita","@HrPuspita")</f>
        <v>@HrPuspita</v>
      </c>
      <c r="C35548" t="s">
        <v>14227</v>
      </c>
      <c r="D35548">
        <v>3</v>
      </c>
      <c r="E35548">
        <v>0</v>
      </c>
      <c r="F35548">
        <v>108</v>
      </c>
    </row>
    <row r="35549" spans="1:6" ht="12.75">
      <c r="A35549" s="2">
        <v>43875.297812500001</v>
      </c>
      <c r="B35549" t="str">
        <f>HYPERLINK("https://twitter.com/doughnaddd","@doughnaddd")</f>
        <v>@doughnaddd</v>
      </c>
      <c r="C35549" t="s">
        <v>5168</v>
      </c>
      <c r="D35549">
        <v>369</v>
      </c>
      <c r="E35549">
        <v>0</v>
      </c>
      <c r="F35549">
        <v>233</v>
      </c>
    </row>
    <row r="35550" spans="1:6" ht="12.75">
      <c r="A35550" s="2">
        <v>43875.297650462962</v>
      </c>
      <c r="B35550" t="str">
        <f>HYPERLINK("https://twitter.com/ribkatrianugrah","@ribkatrianugrah")</f>
        <v>@ribkatrianugrah</v>
      </c>
      <c r="C35550" t="s">
        <v>175</v>
      </c>
      <c r="D35550">
        <v>5220</v>
      </c>
      <c r="E35550">
        <v>0</v>
      </c>
      <c r="F35550">
        <v>366</v>
      </c>
    </row>
    <row r="35551" spans="1:6" ht="12.75">
      <c r="A35551" s="2">
        <v>43875.297546296293</v>
      </c>
      <c r="B35551" t="str">
        <f>HYPERLINK("https://twitter.com/SimonSedeSA1","@SimonSedeSA1")</f>
        <v>@SimonSedeSA1</v>
      </c>
      <c r="C35551" t="s">
        <v>11322</v>
      </c>
      <c r="D35551">
        <v>60</v>
      </c>
      <c r="E35551">
        <v>0</v>
      </c>
      <c r="F35551">
        <v>26</v>
      </c>
    </row>
    <row r="35552" spans="1:6" ht="12.75">
      <c r="A35552" s="2">
        <v>43875.297523148147</v>
      </c>
      <c r="B35552" t="str">
        <f>HYPERLINK("https://twitter.com/Ferdyan_SN","@Ferdyan_SN")</f>
        <v>@Ferdyan_SN</v>
      </c>
      <c r="C35552" t="s">
        <v>14777</v>
      </c>
      <c r="D35552">
        <v>0</v>
      </c>
      <c r="E35552">
        <v>0</v>
      </c>
      <c r="F35552">
        <v>272</v>
      </c>
    </row>
    <row r="35553" spans="1:6" ht="12.75">
      <c r="A35553" s="2">
        <v>43875.297395833331</v>
      </c>
      <c r="B35553" t="str">
        <f>HYPERLINK("https://twitter.com/KakiKedelai","@KakiKedelai")</f>
        <v>@KakiKedelai</v>
      </c>
      <c r="C35553" t="s">
        <v>14778</v>
      </c>
      <c r="D35553">
        <v>0</v>
      </c>
      <c r="E35553">
        <v>0</v>
      </c>
      <c r="F35553">
        <v>2</v>
      </c>
    </row>
    <row r="35554" spans="1:6" ht="12.75">
      <c r="A35554" s="2">
        <v>43875.297349537039</v>
      </c>
      <c r="B35554" t="str">
        <f>HYPERLINK("https://twitter.com/rioansorii","@rioansorii")</f>
        <v>@rioansorii</v>
      </c>
      <c r="C35554" t="s">
        <v>4873</v>
      </c>
      <c r="D35554">
        <v>1793</v>
      </c>
      <c r="E35554">
        <v>0</v>
      </c>
      <c r="F35554">
        <v>14</v>
      </c>
    </row>
    <row r="35555" spans="1:6" ht="12.75">
      <c r="A35555" s="2">
        <v>43875.29724537037</v>
      </c>
      <c r="B35555" t="str">
        <f>HYPERLINK("https://twitter.com/TONZ6","@TONZ6")</f>
        <v>@TONZ6</v>
      </c>
      <c r="C35555" t="s">
        <v>12849</v>
      </c>
      <c r="D35555">
        <v>60</v>
      </c>
      <c r="E35555">
        <v>0</v>
      </c>
      <c r="F35555">
        <v>103</v>
      </c>
    </row>
    <row r="35556" spans="1:6" ht="12.75">
      <c r="A35556" s="2">
        <v>43875.297152777777</v>
      </c>
      <c r="B35556" t="str">
        <f>HYPERLINK("https://twitter.com/Adamdar21591740","@Adamdar21591740")</f>
        <v>@Adamdar21591740</v>
      </c>
      <c r="C35556" t="s">
        <v>10407</v>
      </c>
      <c r="D35556">
        <v>27</v>
      </c>
      <c r="E35556">
        <v>0</v>
      </c>
      <c r="F35556">
        <v>132</v>
      </c>
    </row>
    <row r="35557" spans="1:6" ht="12.75">
      <c r="A35557" s="2">
        <v>43875.297094907408</v>
      </c>
      <c r="B35557" t="str">
        <f>HYPERLINK("https://twitter.com/CeriaSinom","@CeriaSinom")</f>
        <v>@CeriaSinom</v>
      </c>
      <c r="C35557" t="s">
        <v>11390</v>
      </c>
      <c r="D35557">
        <v>71</v>
      </c>
      <c r="E35557">
        <v>0</v>
      </c>
      <c r="F35557">
        <v>129</v>
      </c>
    </row>
    <row r="35558" spans="1:6" ht="12.75">
      <c r="A35558" s="2">
        <v>43875.297083333338</v>
      </c>
      <c r="B35558" t="str">
        <f>HYPERLINK("https://twitter.com/salahsambungya","@salahsambungya")</f>
        <v>@salahsambungya</v>
      </c>
      <c r="C35558" t="s">
        <v>14598</v>
      </c>
      <c r="D35558">
        <v>2</v>
      </c>
      <c r="E35558">
        <v>0</v>
      </c>
      <c r="F35558">
        <v>5106</v>
      </c>
    </row>
    <row r="35559" spans="1:6" ht="12.75">
      <c r="A35559" s="2">
        <v>43875.297048611115</v>
      </c>
      <c r="B35559" t="str">
        <f>HYPERLINK("https://twitter.com/ini_yayat","@ini_yayat")</f>
        <v>@ini_yayat</v>
      </c>
      <c r="C35559" t="s">
        <v>14779</v>
      </c>
      <c r="D35559">
        <v>0</v>
      </c>
      <c r="E35559">
        <v>0</v>
      </c>
      <c r="F35559">
        <v>344</v>
      </c>
    </row>
    <row r="35560" spans="1:6" ht="12.75">
      <c r="A35560" s="2">
        <v>43875.297002314815</v>
      </c>
      <c r="B35560" t="str">
        <f>HYPERLINK("https://twitter.com/YohanesPatty2","@YohanesPatty2")</f>
        <v>@YohanesPatty2</v>
      </c>
      <c r="C35560" t="s">
        <v>14780</v>
      </c>
      <c r="D35560">
        <v>0</v>
      </c>
      <c r="E35560">
        <v>1</v>
      </c>
      <c r="F35560">
        <v>5539</v>
      </c>
    </row>
    <row r="35561" spans="1:6" ht="12.75">
      <c r="A35561" s="2">
        <v>43875.296990740739</v>
      </c>
      <c r="B35561" t="str">
        <f>HYPERLINK("https://twitter.com/salahsambungya","@salahsambungya")</f>
        <v>@salahsambungya</v>
      </c>
      <c r="C35561" t="s">
        <v>14781</v>
      </c>
      <c r="D35561">
        <v>1</v>
      </c>
      <c r="E35561">
        <v>0</v>
      </c>
      <c r="F35561">
        <v>5106</v>
      </c>
    </row>
    <row r="35562" spans="1:6" ht="12.75">
      <c r="A35562" s="2">
        <v>43875.296990740739</v>
      </c>
      <c r="B35562" t="str">
        <f>HYPERLINK("https://twitter.com/beslar_franklin","@beslar_franklin")</f>
        <v>@beslar_franklin</v>
      </c>
      <c r="C35562" t="s">
        <v>14782</v>
      </c>
      <c r="D35562">
        <v>0</v>
      </c>
      <c r="E35562">
        <v>0</v>
      </c>
      <c r="F35562">
        <v>33</v>
      </c>
    </row>
    <row r="35563" spans="1:6" ht="12.75">
      <c r="A35563" s="2">
        <v>43875.296956018516</v>
      </c>
      <c r="B35563" t="str">
        <f>HYPERLINK("https://twitter.com/salahsambungya","@salahsambungya")</f>
        <v>@salahsambungya</v>
      </c>
      <c r="C35563" t="s">
        <v>14783</v>
      </c>
      <c r="D35563">
        <v>1</v>
      </c>
      <c r="E35563">
        <v>0</v>
      </c>
      <c r="F35563">
        <v>5106</v>
      </c>
    </row>
    <row r="35564" spans="1:6" ht="12.75">
      <c r="A35564" s="2">
        <v>43875.296909722223</v>
      </c>
      <c r="B35564" t="str">
        <f>HYPERLINK("https://twitter.com/cecile2771","@cecile2771")</f>
        <v>@cecile2771</v>
      </c>
      <c r="C35564" t="s">
        <v>13814</v>
      </c>
      <c r="D35564">
        <v>6</v>
      </c>
      <c r="E35564">
        <v>0</v>
      </c>
      <c r="F35564">
        <v>1456</v>
      </c>
    </row>
    <row r="35565" spans="1:6" ht="12.75">
      <c r="A35565" s="2">
        <v>43875.296898148154</v>
      </c>
      <c r="B35565" t="str">
        <f>HYPERLINK("https://twitter.com/wahhabicc_jabar","@wahhabicc_jabar")</f>
        <v>@wahhabicc_jabar</v>
      </c>
      <c r="C35565" t="s">
        <v>14227</v>
      </c>
      <c r="D35565">
        <v>3</v>
      </c>
      <c r="E35565">
        <v>0</v>
      </c>
      <c r="F35565">
        <v>30139</v>
      </c>
    </row>
    <row r="35566" spans="1:6" ht="12.75">
      <c r="A35566" s="2">
        <v>43875.29686342593</v>
      </c>
      <c r="B35566" t="str">
        <f>HYPERLINK("https://twitter.com/YunikaAry","@YunikaAry")</f>
        <v>@YunikaAry</v>
      </c>
      <c r="C35566" t="s">
        <v>14784</v>
      </c>
      <c r="D35566">
        <v>0</v>
      </c>
      <c r="E35566">
        <v>0</v>
      </c>
      <c r="F35566">
        <v>30</v>
      </c>
    </row>
    <row r="35567" spans="1:6" ht="12.75">
      <c r="A35567" s="2">
        <v>43875.296828703707</v>
      </c>
      <c r="B35567" t="str">
        <f>HYPERLINK("https://twitter.com/nicolaslkh","@nicolaslkh")</f>
        <v>@nicolaslkh</v>
      </c>
      <c r="C35567" t="s">
        <v>14785</v>
      </c>
      <c r="D35567">
        <v>0</v>
      </c>
      <c r="E35567">
        <v>0</v>
      </c>
      <c r="F35567">
        <v>383</v>
      </c>
    </row>
    <row r="35568" spans="1:6" ht="12.75">
      <c r="A35568" s="2">
        <v>43875.296782407408</v>
      </c>
      <c r="B35568" t="str">
        <f>HYPERLINK("https://twitter.com/MeyKarunia","@MeyKarunia")</f>
        <v>@MeyKarunia</v>
      </c>
      <c r="C35568" t="s">
        <v>2963</v>
      </c>
      <c r="D35568">
        <v>364</v>
      </c>
      <c r="E35568">
        <v>0</v>
      </c>
      <c r="F35568">
        <v>694</v>
      </c>
    </row>
    <row r="35569" spans="1:6" ht="12.75">
      <c r="A35569" s="2">
        <v>43875.296689814815</v>
      </c>
      <c r="B35569" t="str">
        <f>HYPERLINK("https://twitter.com/Leoherlambang12","@Leoherlambang12")</f>
        <v>@Leoherlambang12</v>
      </c>
      <c r="C35569" t="s">
        <v>11438</v>
      </c>
      <c r="D35569">
        <v>60</v>
      </c>
      <c r="E35569">
        <v>0</v>
      </c>
      <c r="F35569">
        <v>73</v>
      </c>
    </row>
    <row r="35570" spans="1:6" ht="12.75">
      <c r="A35570" s="2">
        <v>43875.296342592592</v>
      </c>
      <c r="B35570" t="str">
        <f>HYPERLINK("https://twitter.com/AjoeshS","@AjoeshS")</f>
        <v>@AjoeshS</v>
      </c>
      <c r="C35570" t="s">
        <v>2963</v>
      </c>
      <c r="D35570">
        <v>364</v>
      </c>
      <c r="E35570">
        <v>0</v>
      </c>
      <c r="F35570">
        <v>161</v>
      </c>
    </row>
    <row r="35571" spans="1:6" ht="12.75">
      <c r="A35571" s="2">
        <v>43875.296342592592</v>
      </c>
      <c r="B35571" t="str">
        <f>HYPERLINK("https://twitter.com/DcEliana","@DcEliana")</f>
        <v>@DcEliana</v>
      </c>
      <c r="C35571" t="s">
        <v>10462</v>
      </c>
      <c r="D35571">
        <v>226</v>
      </c>
      <c r="E35571">
        <v>0</v>
      </c>
      <c r="F35571">
        <v>149</v>
      </c>
    </row>
    <row r="35572" spans="1:6" ht="12.75">
      <c r="A35572" s="2">
        <v>43875.296249999999</v>
      </c>
      <c r="B35572" t="str">
        <f>HYPERLINK("https://twitter.com/noonabananaa","@noonabananaa")</f>
        <v>@noonabananaa</v>
      </c>
      <c r="C35572" t="s">
        <v>14786</v>
      </c>
      <c r="D35572">
        <v>0</v>
      </c>
      <c r="E35572">
        <v>0</v>
      </c>
      <c r="F35572">
        <v>2057</v>
      </c>
    </row>
    <row r="35573" spans="1:6" ht="12.75">
      <c r="A35573" s="2">
        <v>43875.29623842593</v>
      </c>
      <c r="B35573" t="str">
        <f>HYPERLINK("https://twitter.com/Albertsantoso7","@Albertsantoso7")</f>
        <v>@Albertsantoso7</v>
      </c>
      <c r="C35573" t="s">
        <v>14309</v>
      </c>
      <c r="D35573">
        <v>5</v>
      </c>
      <c r="E35573">
        <v>0</v>
      </c>
      <c r="F35573">
        <v>60</v>
      </c>
    </row>
    <row r="35574" spans="1:6" ht="12.75">
      <c r="A35574" s="2">
        <v>43875.29619212963</v>
      </c>
      <c r="B35574" t="str">
        <f>HYPERLINK("https://twitter.com/mrsnail22","@mrsnail22")</f>
        <v>@mrsnail22</v>
      </c>
      <c r="C35574" t="s">
        <v>8233</v>
      </c>
      <c r="D35574">
        <v>274</v>
      </c>
      <c r="E35574">
        <v>0</v>
      </c>
      <c r="F35574">
        <v>402</v>
      </c>
    </row>
    <row r="35575" spans="1:6" ht="12.75">
      <c r="A35575" s="2">
        <v>43875.29619212963</v>
      </c>
      <c r="B35575" t="str">
        <f>HYPERLINK("https://twitter.com/BoodeeSantos","@BoodeeSantos")</f>
        <v>@BoodeeSantos</v>
      </c>
      <c r="C35575" t="s">
        <v>14787</v>
      </c>
      <c r="D35575">
        <v>0</v>
      </c>
      <c r="E35575">
        <v>0</v>
      </c>
      <c r="F35575">
        <v>14</v>
      </c>
    </row>
    <row r="35576" spans="1:6" ht="12.75">
      <c r="A35576" s="2">
        <v>43875.296180555553</v>
      </c>
      <c r="B35576" t="str">
        <f>HYPERLINK("https://twitter.com/MRidwanNst11","@MRidwanNst11")</f>
        <v>@MRidwanNst11</v>
      </c>
      <c r="C35576" t="s">
        <v>10096</v>
      </c>
      <c r="D35576">
        <v>55</v>
      </c>
      <c r="E35576">
        <v>0</v>
      </c>
      <c r="F35576">
        <v>22</v>
      </c>
    </row>
    <row r="35577" spans="1:6" ht="12.75">
      <c r="A35577" s="2">
        <v>43875.296168981484</v>
      </c>
      <c r="B35577" t="str">
        <f>HYPERLINK("https://twitter.com/abespawnie","@abespawnie")</f>
        <v>@abespawnie</v>
      </c>
      <c r="C35577" t="s">
        <v>10196</v>
      </c>
      <c r="D35577">
        <v>123</v>
      </c>
      <c r="E35577">
        <v>0</v>
      </c>
      <c r="F35577">
        <v>301</v>
      </c>
    </row>
    <row r="35578" spans="1:6" ht="12.75">
      <c r="A35578" s="2">
        <v>43875.296030092592</v>
      </c>
      <c r="B35578" t="str">
        <f>HYPERLINK("https://twitter.com/mucht4r64","@mucht4r64")</f>
        <v>@mucht4r64</v>
      </c>
      <c r="C35578" t="s">
        <v>2963</v>
      </c>
      <c r="D35578">
        <v>364</v>
      </c>
      <c r="E35578">
        <v>0</v>
      </c>
      <c r="F35578">
        <v>97</v>
      </c>
    </row>
    <row r="35579" spans="1:6" ht="12.75">
      <c r="A35579" s="2">
        <v>43875.295856481476</v>
      </c>
      <c r="B35579" t="str">
        <f>HYPERLINK("https://twitter.com/Irwan_saputra01","@Irwan_saputra01")</f>
        <v>@Irwan_saputra01</v>
      </c>
      <c r="C35579" t="s">
        <v>14788</v>
      </c>
      <c r="D35579">
        <v>0</v>
      </c>
      <c r="E35579">
        <v>0</v>
      </c>
      <c r="F35579">
        <v>91</v>
      </c>
    </row>
    <row r="35580" spans="1:6" ht="12.75">
      <c r="A35580" s="2">
        <v>43875.295787037037</v>
      </c>
      <c r="B35580" t="str">
        <f>HYPERLINK("https://twitter.com/Arif1921890328","@Arif1921890328")</f>
        <v>@Arif1921890328</v>
      </c>
      <c r="C35580" t="s">
        <v>14789</v>
      </c>
      <c r="D35580">
        <v>0</v>
      </c>
      <c r="E35580">
        <v>0</v>
      </c>
      <c r="F35580">
        <v>106</v>
      </c>
    </row>
    <row r="35581" spans="1:6" ht="12.75">
      <c r="A35581" s="2">
        <v>43875.295787037037</v>
      </c>
      <c r="B35581" t="str">
        <f>HYPERLINK("https://twitter.com/BadjaNuswantara","@BadjaNuswantara")</f>
        <v>@BadjaNuswantara</v>
      </c>
      <c r="C35581" t="s">
        <v>14790</v>
      </c>
      <c r="D35581">
        <v>1</v>
      </c>
      <c r="E35581">
        <v>1</v>
      </c>
      <c r="F35581">
        <v>42261</v>
      </c>
    </row>
    <row r="35582" spans="1:6" ht="12.75">
      <c r="A35582" s="2">
        <v>43875.295740740738</v>
      </c>
      <c r="B35582" t="str">
        <f>HYPERLINK("https://twitter.com/Mimbaratingfia3","@Mimbaratingfia3")</f>
        <v>@Mimbaratingfia3</v>
      </c>
      <c r="C35582" t="s">
        <v>9538</v>
      </c>
      <c r="D35582">
        <v>87</v>
      </c>
      <c r="E35582">
        <v>0</v>
      </c>
      <c r="F35582">
        <v>523</v>
      </c>
    </row>
    <row r="35583" spans="1:6" ht="12.75">
      <c r="A35583" s="2">
        <v>43875.295694444445</v>
      </c>
      <c r="B35583" t="str">
        <f>HYPERLINK("https://twitter.com/damario04","@damario04")</f>
        <v>@damario04</v>
      </c>
      <c r="C35583" t="s">
        <v>4007</v>
      </c>
      <c r="D35583">
        <v>0</v>
      </c>
      <c r="E35583">
        <v>0</v>
      </c>
      <c r="F35583">
        <v>404</v>
      </c>
    </row>
    <row r="35584" spans="1:6" ht="12.75">
      <c r="A35584" s="2">
        <v>43875.295567129629</v>
      </c>
      <c r="B35584" t="str">
        <f>HYPERLINK("https://twitter.com/IndonesiaPion","@IndonesiaPion")</f>
        <v>@IndonesiaPion</v>
      </c>
      <c r="C35584" t="s">
        <v>14791</v>
      </c>
      <c r="D35584">
        <v>0</v>
      </c>
      <c r="E35584">
        <v>0</v>
      </c>
      <c r="F35584">
        <v>1480</v>
      </c>
    </row>
    <row r="35585" spans="1:6" ht="12.75">
      <c r="A35585" s="2">
        <v>43875.295474537037</v>
      </c>
      <c r="B35585" t="str">
        <f>HYPERLINK("https://twitter.com/mrsnail22","@mrsnail22")</f>
        <v>@mrsnail22</v>
      </c>
      <c r="C35585" t="s">
        <v>11425</v>
      </c>
      <c r="D35585">
        <v>183</v>
      </c>
      <c r="E35585">
        <v>0</v>
      </c>
      <c r="F35585">
        <v>402</v>
      </c>
    </row>
    <row r="35586" spans="1:6" ht="12.75">
      <c r="A35586" s="2">
        <v>43875.295462962968</v>
      </c>
      <c r="B35586" t="str">
        <f>HYPERLINK("https://twitter.com/Alhaqq51399","@Alhaqq51399")</f>
        <v>@Alhaqq51399</v>
      </c>
      <c r="C35586" t="s">
        <v>14792</v>
      </c>
      <c r="D35586">
        <v>0</v>
      </c>
      <c r="E35586">
        <v>0</v>
      </c>
      <c r="F35586">
        <v>19</v>
      </c>
    </row>
    <row r="35587" spans="1:6" ht="12.75">
      <c r="A35587" s="2">
        <v>43875.295428240745</v>
      </c>
      <c r="B35587" t="str">
        <f>HYPERLINK("https://twitter.com/1504ers","@1504ers")</f>
        <v>@1504ers</v>
      </c>
      <c r="C35587" t="s">
        <v>14793</v>
      </c>
      <c r="D35587">
        <v>1</v>
      </c>
      <c r="E35587">
        <v>0</v>
      </c>
      <c r="F35587">
        <v>1708</v>
      </c>
    </row>
    <row r="35588" spans="1:6" ht="12.75">
      <c r="A35588" s="2">
        <v>43875.295393518521</v>
      </c>
      <c r="B35588" t="str">
        <f>HYPERLINK("https://twitter.com/sarjanabakmie","@sarjanabakmie")</f>
        <v>@sarjanabakmie</v>
      </c>
      <c r="C35588" t="s">
        <v>8233</v>
      </c>
      <c r="D35588">
        <v>274</v>
      </c>
      <c r="E35588">
        <v>0</v>
      </c>
      <c r="F35588">
        <v>288</v>
      </c>
    </row>
    <row r="35589" spans="1:6" ht="12.75">
      <c r="A35589" s="2">
        <v>43875.295335648145</v>
      </c>
      <c r="B35589" t="str">
        <f>HYPERLINK("https://twitter.com/GoTotheJek","@GoTotheJek")</f>
        <v>@GoTotheJek</v>
      </c>
      <c r="C35589" t="s">
        <v>10859</v>
      </c>
      <c r="D35589">
        <v>27</v>
      </c>
      <c r="E35589">
        <v>0</v>
      </c>
      <c r="F35589">
        <v>773</v>
      </c>
    </row>
    <row r="35590" spans="1:6" ht="12.75">
      <c r="A35590" s="2">
        <v>43875.295324074075</v>
      </c>
      <c r="B35590" t="str">
        <f>HYPERLINK("https://twitter.com/jack_bidexs","@jack_bidexs")</f>
        <v>@jack_bidexs</v>
      </c>
      <c r="C35590" t="s">
        <v>10096</v>
      </c>
      <c r="D35590">
        <v>55</v>
      </c>
      <c r="E35590">
        <v>0</v>
      </c>
      <c r="F35590">
        <v>721</v>
      </c>
    </row>
    <row r="35591" spans="1:6" ht="12.75">
      <c r="A35591" s="2">
        <v>43875.295289351852</v>
      </c>
      <c r="B35591" t="str">
        <f>HYPERLINK("https://twitter.com/smallmelville","@smallmelville")</f>
        <v>@smallmelville</v>
      </c>
      <c r="C35591" t="s">
        <v>14794</v>
      </c>
      <c r="D35591">
        <v>0</v>
      </c>
      <c r="E35591">
        <v>0</v>
      </c>
      <c r="F35591">
        <v>16</v>
      </c>
    </row>
    <row r="35592" spans="1:6" ht="12.75">
      <c r="A35592" s="2">
        <v>43875.295208333337</v>
      </c>
      <c r="B35592" t="str">
        <f>HYPERLINK("https://twitter.com/IngotSitorus1","@IngotSitorus1")</f>
        <v>@IngotSitorus1</v>
      </c>
      <c r="C35592" t="s">
        <v>11425</v>
      </c>
      <c r="D35592">
        <v>183</v>
      </c>
      <c r="E35592">
        <v>0</v>
      </c>
      <c r="F35592">
        <v>33</v>
      </c>
    </row>
    <row r="35593" spans="1:6" ht="12.75">
      <c r="A35593" s="2">
        <v>43875.295138888891</v>
      </c>
      <c r="B35593" t="str">
        <f>HYPERLINK("https://twitter.com/GoTotheJek","@GoTotheJek")</f>
        <v>@GoTotheJek</v>
      </c>
      <c r="C35593" t="s">
        <v>11425</v>
      </c>
      <c r="D35593">
        <v>183</v>
      </c>
      <c r="E35593">
        <v>0</v>
      </c>
      <c r="F35593">
        <v>773</v>
      </c>
    </row>
    <row r="35594" spans="1:6" ht="12.75">
      <c r="A35594" s="2">
        <v>43875.295127314814</v>
      </c>
      <c r="B35594" t="str">
        <f>HYPERLINK("https://twitter.com/TONZ6","@TONZ6")</f>
        <v>@TONZ6</v>
      </c>
      <c r="C35594" t="s">
        <v>9096</v>
      </c>
      <c r="D35594">
        <v>144</v>
      </c>
      <c r="E35594">
        <v>0</v>
      </c>
      <c r="F35594">
        <v>103</v>
      </c>
    </row>
    <row r="35595" spans="1:6" ht="12.75">
      <c r="A35595" s="2">
        <v>43875.295115740737</v>
      </c>
      <c r="B35595" t="str">
        <f>HYPERLINK("https://twitter.com/abespawnie","@abespawnie")</f>
        <v>@abespawnie</v>
      </c>
      <c r="C35595" t="s">
        <v>10462</v>
      </c>
      <c r="D35595">
        <v>226</v>
      </c>
      <c r="E35595">
        <v>0</v>
      </c>
      <c r="F35595">
        <v>301</v>
      </c>
    </row>
    <row r="35596" spans="1:6" ht="12.75">
      <c r="A35596" s="2">
        <v>43875.295092592598</v>
      </c>
      <c r="B35596" t="str">
        <f>HYPERLINK("https://twitter.com/imam_sugiyono","@imam_sugiyono")</f>
        <v>@imam_sugiyono</v>
      </c>
      <c r="C35596" t="s">
        <v>8233</v>
      </c>
      <c r="D35596">
        <v>274</v>
      </c>
      <c r="E35596">
        <v>0</v>
      </c>
      <c r="F35596">
        <v>3944</v>
      </c>
    </row>
    <row r="35597" spans="1:6" ht="12.75">
      <c r="A35597" s="2">
        <v>43875.295081018514</v>
      </c>
      <c r="B35597" t="str">
        <f>HYPERLINK("https://twitter.com/daikindo","@daikindo")</f>
        <v>@daikindo</v>
      </c>
      <c r="C35597" t="s">
        <v>2963</v>
      </c>
      <c r="D35597">
        <v>364</v>
      </c>
      <c r="E35597">
        <v>0</v>
      </c>
      <c r="F35597">
        <v>376</v>
      </c>
    </row>
    <row r="35598" spans="1:6" ht="12.75">
      <c r="A35598" s="2">
        <v>43875.295057870375</v>
      </c>
      <c r="B35598" t="str">
        <f>HYPERLINK("https://twitter.com/dimaasbaguus","@dimaasbaguus")</f>
        <v>@dimaasbaguus</v>
      </c>
      <c r="C35598" t="s">
        <v>5168</v>
      </c>
      <c r="D35598">
        <v>370</v>
      </c>
      <c r="E35598">
        <v>0</v>
      </c>
      <c r="F35598">
        <v>1026</v>
      </c>
    </row>
    <row r="35599" spans="1:6" ht="12.75">
      <c r="A35599" s="2">
        <v>43875.294803240744</v>
      </c>
      <c r="B35599" t="str">
        <f>HYPERLINK("https://twitter.com/beiraes","@beiraes")</f>
        <v>@beiraes</v>
      </c>
      <c r="C35599" t="s">
        <v>2137</v>
      </c>
      <c r="D35599">
        <v>11</v>
      </c>
      <c r="E35599">
        <v>0</v>
      </c>
      <c r="F35599">
        <v>384</v>
      </c>
    </row>
    <row r="35600" spans="1:6" ht="12.75">
      <c r="A35600" s="2">
        <v>43875.29478009259</v>
      </c>
      <c r="B35600" t="str">
        <f>HYPERLINK("https://twitter.com/GoTotheJek","@GoTotheJek")</f>
        <v>@GoTotheJek</v>
      </c>
      <c r="C35600" t="s">
        <v>14005</v>
      </c>
      <c r="D35600">
        <v>84</v>
      </c>
      <c r="E35600">
        <v>0</v>
      </c>
      <c r="F35600">
        <v>773</v>
      </c>
    </row>
    <row r="35601" spans="1:6" ht="12.75">
      <c r="A35601" s="2">
        <v>43875.294722222221</v>
      </c>
      <c r="B35601" t="str">
        <f>HYPERLINK("https://twitter.com/Pita76004271","@Pita76004271")</f>
        <v>@Pita76004271</v>
      </c>
      <c r="C35601" t="s">
        <v>14795</v>
      </c>
      <c r="D35601">
        <v>787</v>
      </c>
      <c r="E35601">
        <v>0</v>
      </c>
      <c r="F35601">
        <v>1</v>
      </c>
    </row>
    <row r="35602" spans="1:6" ht="12.75">
      <c r="A35602" s="2">
        <v>43875.294710648144</v>
      </c>
      <c r="B35602" t="str">
        <f>HYPERLINK("https://twitter.com/visitortwt1","@visitortwt1")</f>
        <v>@visitortwt1</v>
      </c>
      <c r="C35602" t="s">
        <v>14796</v>
      </c>
      <c r="D35602">
        <v>2</v>
      </c>
      <c r="E35602">
        <v>0</v>
      </c>
      <c r="F35602">
        <v>357</v>
      </c>
    </row>
    <row r="35603" spans="1:6" ht="12.75">
      <c r="A35603" s="2">
        <v>43875.294641203705</v>
      </c>
      <c r="B35603" t="str">
        <f>HYPERLINK("https://twitter.com/AgusbudiSs79","@AgusbudiSs79")</f>
        <v>@AgusbudiSs79</v>
      </c>
      <c r="C35603" t="s">
        <v>10407</v>
      </c>
      <c r="D35603">
        <v>27</v>
      </c>
      <c r="E35603">
        <v>0</v>
      </c>
      <c r="F35603">
        <v>308</v>
      </c>
    </row>
    <row r="35604" spans="1:6" ht="12.75">
      <c r="A35604" s="2">
        <v>43875.294641203705</v>
      </c>
      <c r="B35604" t="str">
        <f>HYPERLINK("https://twitter.com/pallasdium","@pallasdium")</f>
        <v>@pallasdium</v>
      </c>
      <c r="C35604" t="s">
        <v>8233</v>
      </c>
      <c r="D35604">
        <v>274</v>
      </c>
      <c r="E35604">
        <v>0</v>
      </c>
      <c r="F35604">
        <v>1</v>
      </c>
    </row>
    <row r="35605" spans="1:6" ht="12.75">
      <c r="A35605" s="2">
        <v>43875.294629629629</v>
      </c>
      <c r="B35605" t="str">
        <f>HYPERLINK("https://twitter.com/KelianBanjar_GK","@KelianBanjar_GK")</f>
        <v>@KelianBanjar_GK</v>
      </c>
      <c r="C35605" t="s">
        <v>10225</v>
      </c>
      <c r="D35605">
        <v>8</v>
      </c>
      <c r="E35605">
        <v>0</v>
      </c>
      <c r="F35605">
        <v>8425</v>
      </c>
    </row>
    <row r="35606" spans="1:6" ht="12.75">
      <c r="A35606" s="2">
        <v>43875.294629629629</v>
      </c>
      <c r="B35606" t="str">
        <f>HYPERLINK("https://twitter.com/Chairul020","@Chairul020")</f>
        <v>@Chairul020</v>
      </c>
      <c r="C35606" t="s">
        <v>2963</v>
      </c>
      <c r="D35606">
        <v>364</v>
      </c>
      <c r="E35606">
        <v>0</v>
      </c>
      <c r="F35606">
        <v>22</v>
      </c>
    </row>
    <row r="35607" spans="1:6" ht="12.75">
      <c r="A35607" s="2">
        <v>43875.294618055559</v>
      </c>
      <c r="B35607" t="str">
        <f>HYPERLINK("https://twitter.com/BukanKancil","@BukanKancil")</f>
        <v>@BukanKancil</v>
      </c>
      <c r="C35607" t="s">
        <v>14797</v>
      </c>
      <c r="D35607">
        <v>6</v>
      </c>
      <c r="E35607">
        <v>0</v>
      </c>
      <c r="F35607">
        <v>615</v>
      </c>
    </row>
    <row r="35608" spans="1:6" ht="12.75">
      <c r="A35608" s="2">
        <v>43875.294606481482</v>
      </c>
      <c r="B35608" t="str">
        <f>HYPERLINK("https://twitter.com/Negaprions","@Negaprions")</f>
        <v>@Negaprions</v>
      </c>
      <c r="C35608" t="s">
        <v>10096</v>
      </c>
      <c r="D35608">
        <v>55</v>
      </c>
      <c r="E35608">
        <v>0</v>
      </c>
      <c r="F35608">
        <v>1110</v>
      </c>
    </row>
    <row r="35609" spans="1:6" ht="12.75">
      <c r="A35609" s="2">
        <v>43875.294594907406</v>
      </c>
      <c r="B35609" t="str">
        <f>HYPERLINK("https://twitter.com/maiman651","@maiman651")</f>
        <v>@maiman651</v>
      </c>
      <c r="C35609" t="s">
        <v>9096</v>
      </c>
      <c r="D35609">
        <v>144</v>
      </c>
      <c r="E35609">
        <v>0</v>
      </c>
      <c r="F35609">
        <v>251</v>
      </c>
    </row>
    <row r="35610" spans="1:6" ht="12.75">
      <c r="A35610" s="2">
        <v>43875.294571759259</v>
      </c>
      <c r="B35610" t="str">
        <f>HYPERLINK("https://twitter.com/KurniaChen","@KurniaChen")</f>
        <v>@KurniaChen</v>
      </c>
      <c r="C35610" t="s">
        <v>10126</v>
      </c>
      <c r="D35610">
        <v>57</v>
      </c>
      <c r="E35610">
        <v>0</v>
      </c>
      <c r="F35610">
        <v>691</v>
      </c>
    </row>
    <row r="35611" spans="1:6" ht="12.75">
      <c r="A35611" s="2">
        <v>43875.29451388889</v>
      </c>
      <c r="B35611" t="str">
        <f>HYPERLINK("https://twitter.com/Zulfadhliray","@Zulfadhliray")</f>
        <v>@Zulfadhliray</v>
      </c>
      <c r="C35611" t="s">
        <v>14798</v>
      </c>
      <c r="D35611">
        <v>0</v>
      </c>
      <c r="E35611">
        <v>1</v>
      </c>
      <c r="F35611">
        <v>9</v>
      </c>
    </row>
    <row r="35612" spans="1:6" ht="12.75">
      <c r="A35612" s="2">
        <v>43875.294444444444</v>
      </c>
      <c r="B35612" t="str">
        <f>HYPERLINK("https://twitter.com/AcengAngki","@AcengAngki")</f>
        <v>@AcengAngki</v>
      </c>
      <c r="C35612" t="s">
        <v>2963</v>
      </c>
      <c r="D35612">
        <v>364</v>
      </c>
      <c r="E35612">
        <v>0</v>
      </c>
      <c r="F35612">
        <v>224</v>
      </c>
    </row>
    <row r="35613" spans="1:6" ht="12.75">
      <c r="A35613" s="2">
        <v>43875.294432870374</v>
      </c>
      <c r="B35613" t="str">
        <f>HYPERLINK("https://twitter.com/bibanabila_","@bibanabila_")</f>
        <v>@bibanabila_</v>
      </c>
      <c r="C35613" t="s">
        <v>4880</v>
      </c>
      <c r="D35613">
        <v>49</v>
      </c>
      <c r="E35613">
        <v>0</v>
      </c>
      <c r="F35613">
        <v>74</v>
      </c>
    </row>
    <row r="35614" spans="1:6" ht="12.75">
      <c r="A35614" s="2">
        <v>43875.294270833328</v>
      </c>
      <c r="B35614" t="str">
        <f>HYPERLINK("https://twitter.com/arifuddin_onche","@arifuddin_onche")</f>
        <v>@arifuddin_onche</v>
      </c>
      <c r="C35614" t="s">
        <v>14799</v>
      </c>
      <c r="D35614">
        <v>0</v>
      </c>
      <c r="E35614">
        <v>0</v>
      </c>
      <c r="F35614">
        <v>136</v>
      </c>
    </row>
    <row r="35615" spans="1:6" ht="12.75">
      <c r="A35615" s="2">
        <v>43875.29415509259</v>
      </c>
      <c r="B35615" t="str">
        <f>HYPERLINK("https://twitter.com/BukanKancil","@BukanKancil")</f>
        <v>@BukanKancil</v>
      </c>
      <c r="C35615" t="s">
        <v>14800</v>
      </c>
      <c r="D35615">
        <v>16</v>
      </c>
      <c r="E35615">
        <v>0</v>
      </c>
      <c r="F35615">
        <v>615</v>
      </c>
    </row>
    <row r="35616" spans="1:6" ht="12.75">
      <c r="A35616" s="2">
        <v>43875.294120370367</v>
      </c>
      <c r="B35616" t="str">
        <f>HYPERLINK("https://twitter.com/abespawnie","@abespawnie")</f>
        <v>@abespawnie</v>
      </c>
      <c r="C35616" t="s">
        <v>10121</v>
      </c>
      <c r="D35616">
        <v>140</v>
      </c>
      <c r="E35616">
        <v>0</v>
      </c>
      <c r="F35616">
        <v>301</v>
      </c>
    </row>
    <row r="35617" spans="1:6" ht="12.75">
      <c r="A35617" s="2">
        <v>43875.294074074074</v>
      </c>
      <c r="B35617" t="str">
        <f>HYPERLINK("https://twitter.com/widhisetyok","@widhisetyok")</f>
        <v>@widhisetyok</v>
      </c>
      <c r="C35617" t="s">
        <v>10096</v>
      </c>
      <c r="D35617">
        <v>55</v>
      </c>
      <c r="E35617">
        <v>0</v>
      </c>
      <c r="F35617">
        <v>487</v>
      </c>
    </row>
    <row r="35618" spans="1:6" ht="12.75">
      <c r="A35618" s="2">
        <v>43875.294039351851</v>
      </c>
      <c r="B35618" t="str">
        <f>HYPERLINK("https://twitter.com/18Frya","@18Frya")</f>
        <v>@18Frya</v>
      </c>
      <c r="C35618" t="s">
        <v>14801</v>
      </c>
      <c r="D35618">
        <v>0</v>
      </c>
      <c r="E35618">
        <v>0</v>
      </c>
      <c r="F35618">
        <v>3</v>
      </c>
    </row>
    <row r="35619" spans="1:6" ht="12.75">
      <c r="A35619" s="2">
        <v>43875.294027777782</v>
      </c>
      <c r="B35619" t="str">
        <f>HYPERLINK("https://twitter.com/ratnoksp1","@ratnoksp1")</f>
        <v>@ratnoksp1</v>
      </c>
      <c r="C35619" t="s">
        <v>14802</v>
      </c>
      <c r="D35619">
        <v>0</v>
      </c>
      <c r="E35619">
        <v>0</v>
      </c>
      <c r="F35619">
        <v>216</v>
      </c>
    </row>
    <row r="35620" spans="1:6" ht="12.75">
      <c r="A35620" s="2">
        <v>43875.294016203705</v>
      </c>
      <c r="B35620" t="str">
        <f>HYPERLINK("https://twitter.com/riaudetilcom","@riaudetilcom")</f>
        <v>@riaudetilcom</v>
      </c>
      <c r="C35620" t="s">
        <v>14803</v>
      </c>
      <c r="D35620">
        <v>0</v>
      </c>
      <c r="E35620">
        <v>0</v>
      </c>
      <c r="F35620">
        <v>131</v>
      </c>
    </row>
    <row r="35621" spans="1:6" ht="12.75">
      <c r="A35621" s="2">
        <v>43875.294004629628</v>
      </c>
      <c r="B35621" t="str">
        <f>HYPERLINK("https://twitter.com/mederjun","@mederjun")</f>
        <v>@mederjun</v>
      </c>
      <c r="C35621" t="s">
        <v>9113</v>
      </c>
      <c r="D35621">
        <v>238</v>
      </c>
      <c r="E35621">
        <v>0</v>
      </c>
      <c r="F35621">
        <v>487</v>
      </c>
    </row>
    <row r="35622" spans="1:6" ht="12.75">
      <c r="A35622" s="2">
        <v>43875.293993055559</v>
      </c>
      <c r="B35622" t="str">
        <f>HYPERLINK("https://twitter.com/ku_sman","@ku_sman")</f>
        <v>@ku_sman</v>
      </c>
      <c r="C35622" t="s">
        <v>14804</v>
      </c>
      <c r="D35622">
        <v>0</v>
      </c>
      <c r="E35622">
        <v>0</v>
      </c>
      <c r="F35622">
        <v>1</v>
      </c>
    </row>
    <row r="35623" spans="1:6" ht="12.75">
      <c r="A35623" s="2">
        <v>43875.293958333335</v>
      </c>
      <c r="B35623" t="str">
        <f>HYPERLINK("https://twitter.com/iindahAN","@iindahAN")</f>
        <v>@iindahAN</v>
      </c>
      <c r="C35623" t="s">
        <v>5168</v>
      </c>
      <c r="D35623">
        <v>370</v>
      </c>
      <c r="E35623">
        <v>0</v>
      </c>
      <c r="F35623">
        <v>911</v>
      </c>
    </row>
    <row r="35624" spans="1:6" ht="12.75">
      <c r="A35624" s="2">
        <v>43875.293923611112</v>
      </c>
      <c r="B35624" t="str">
        <f>HYPERLINK("https://twitter.com/JannesHutajulu","@JannesHutajulu")</f>
        <v>@JannesHutajulu</v>
      </c>
      <c r="C35624" t="s">
        <v>2122</v>
      </c>
      <c r="D35624">
        <v>171</v>
      </c>
      <c r="E35624">
        <v>0</v>
      </c>
      <c r="F35624">
        <v>2167</v>
      </c>
    </row>
    <row r="35625" spans="1:6" ht="12.75">
      <c r="A35625" s="2">
        <v>43875.293726851851</v>
      </c>
      <c r="B35625" t="str">
        <f>HYPERLINK("https://twitter.com/anne_rompas","@anne_rompas")</f>
        <v>@anne_rompas</v>
      </c>
      <c r="C35625" t="s">
        <v>2963</v>
      </c>
      <c r="D35625">
        <v>364</v>
      </c>
      <c r="E35625">
        <v>0</v>
      </c>
      <c r="F35625">
        <v>166</v>
      </c>
    </row>
    <row r="35626" spans="1:6" ht="12.75">
      <c r="A35626" s="2">
        <v>43875.293645833328</v>
      </c>
      <c r="B35626" t="str">
        <f>HYPERLINK("https://twitter.com/jenengkuhesti_","@jenengkuhesti_")</f>
        <v>@jenengkuhesti_</v>
      </c>
      <c r="C35626" t="s">
        <v>14805</v>
      </c>
      <c r="D35626">
        <v>1</v>
      </c>
      <c r="E35626">
        <v>0</v>
      </c>
      <c r="F35626">
        <v>127</v>
      </c>
    </row>
    <row r="35627" spans="1:6" ht="12.75">
      <c r="A35627" s="2">
        <v>43875.293645833328</v>
      </c>
      <c r="B35627" t="str">
        <f>HYPERLINK("https://twitter.com/srly05","@srly05")</f>
        <v>@srly05</v>
      </c>
      <c r="C35627" t="s">
        <v>14806</v>
      </c>
      <c r="D35627">
        <v>0</v>
      </c>
      <c r="E35627">
        <v>0</v>
      </c>
      <c r="F35627">
        <v>436</v>
      </c>
    </row>
    <row r="35628" spans="1:6" ht="12.75">
      <c r="A35628" s="2">
        <v>43875.293622685189</v>
      </c>
      <c r="B35628" t="str">
        <f>HYPERLINK("https://twitter.com/msLeeana","@msLeeana")</f>
        <v>@msLeeana</v>
      </c>
      <c r="C35628" t="s">
        <v>2963</v>
      </c>
      <c r="D35628">
        <v>364</v>
      </c>
      <c r="E35628">
        <v>0</v>
      </c>
      <c r="F35628">
        <v>73</v>
      </c>
    </row>
    <row r="35629" spans="1:6" ht="12.75">
      <c r="A35629" s="2">
        <v>43875.293622685189</v>
      </c>
      <c r="B35629" t="str">
        <f>HYPERLINK("https://twitter.com/LusiHQ","@LusiHQ")</f>
        <v>@LusiHQ</v>
      </c>
      <c r="C35629" t="s">
        <v>14807</v>
      </c>
      <c r="D35629">
        <v>1</v>
      </c>
      <c r="E35629">
        <v>0</v>
      </c>
      <c r="F35629">
        <v>17690</v>
      </c>
    </row>
    <row r="35630" spans="1:6" ht="12.75">
      <c r="A35630" s="2">
        <v>43875.293564814812</v>
      </c>
      <c r="B35630" t="str">
        <f>HYPERLINK("https://twitter.com/ShelloSanto","@ShelloSanto")</f>
        <v>@ShelloSanto</v>
      </c>
      <c r="C35630" t="s">
        <v>2963</v>
      </c>
      <c r="D35630">
        <v>364</v>
      </c>
      <c r="E35630">
        <v>0</v>
      </c>
      <c r="F35630">
        <v>34</v>
      </c>
    </row>
    <row r="35631" spans="1:6" ht="12.75">
      <c r="A35631" s="2">
        <v>43875.293541666666</v>
      </c>
      <c r="B35631" t="str">
        <f>HYPERLINK("https://twitter.com/Vikde","@Vikde")</f>
        <v>@Vikde</v>
      </c>
      <c r="C35631" t="s">
        <v>9947</v>
      </c>
      <c r="D35631">
        <v>313</v>
      </c>
      <c r="E35631">
        <v>0</v>
      </c>
      <c r="F35631">
        <v>134</v>
      </c>
    </row>
    <row r="35632" spans="1:6" ht="12.75">
      <c r="A35632" s="2">
        <v>43875.293437500004</v>
      </c>
      <c r="B35632" t="str">
        <f>HYPERLINK("https://twitter.com/Totokalhaqq3","@Totokalhaqq3")</f>
        <v>@Totokalhaqq3</v>
      </c>
      <c r="C35632" t="s">
        <v>14808</v>
      </c>
      <c r="D35632">
        <v>0</v>
      </c>
      <c r="E35632">
        <v>0</v>
      </c>
      <c r="F35632">
        <v>1489</v>
      </c>
    </row>
    <row r="35633" spans="1:6" ht="12.75">
      <c r="A35633" s="2">
        <v>43875.293425925927</v>
      </c>
      <c r="B35633" t="str">
        <f>HYPERLINK("https://twitter.com/_BintangUtara_","@_BintangUtara_")</f>
        <v>@_BintangUtara_</v>
      </c>
      <c r="C35633" t="s">
        <v>8233</v>
      </c>
      <c r="D35633">
        <v>274</v>
      </c>
      <c r="E35633">
        <v>0</v>
      </c>
      <c r="F35633">
        <v>1536</v>
      </c>
    </row>
    <row r="35634" spans="1:6" ht="12.75">
      <c r="A35634" s="2">
        <v>43875.293414351851</v>
      </c>
      <c r="B35634" t="str">
        <f>HYPERLINK("https://twitter.com/ajinhaha","@ajinhaha")</f>
        <v>@ajinhaha</v>
      </c>
      <c r="C35634" t="s">
        <v>5168</v>
      </c>
      <c r="D35634">
        <v>370</v>
      </c>
      <c r="E35634">
        <v>0</v>
      </c>
      <c r="F35634">
        <v>798</v>
      </c>
    </row>
    <row r="35635" spans="1:6" ht="12.75">
      <c r="A35635" s="2">
        <v>43875.293368055558</v>
      </c>
      <c r="B35635" t="str">
        <f>HYPERLINK("https://twitter.com/AgnaUlya","@AgnaUlya")</f>
        <v>@AgnaUlya</v>
      </c>
      <c r="C35635" t="s">
        <v>14809</v>
      </c>
      <c r="D35635">
        <v>0</v>
      </c>
      <c r="E35635">
        <v>0</v>
      </c>
      <c r="F35635">
        <v>156</v>
      </c>
    </row>
    <row r="35636" spans="1:6" ht="12.75">
      <c r="A35636" s="2">
        <v>43875.293356481481</v>
      </c>
      <c r="B35636" t="str">
        <f>HYPERLINK("https://twitter.com/Aldiasman","@Aldiasman")</f>
        <v>@Aldiasman</v>
      </c>
      <c r="C35636" t="s">
        <v>14810</v>
      </c>
      <c r="D35636">
        <v>0</v>
      </c>
      <c r="E35636">
        <v>0</v>
      </c>
      <c r="F35636">
        <v>284</v>
      </c>
    </row>
    <row r="35637" spans="1:6" ht="12.75">
      <c r="A35637" s="2">
        <v>43875.293206018519</v>
      </c>
      <c r="B35637" t="str">
        <f>HYPERLINK("https://twitter.com/DalangJiwo","@DalangJiwo")</f>
        <v>@DalangJiwo</v>
      </c>
      <c r="C35637" t="s">
        <v>14650</v>
      </c>
      <c r="D35637">
        <v>2</v>
      </c>
      <c r="E35637">
        <v>0</v>
      </c>
      <c r="F35637">
        <v>223</v>
      </c>
    </row>
    <row r="35638" spans="1:6" ht="12.75">
      <c r="A35638" s="2">
        <v>43875.293171296296</v>
      </c>
      <c r="B35638" t="str">
        <f>HYPERLINK("https://twitter.com/apinputri","@apinputri")</f>
        <v>@apinputri</v>
      </c>
      <c r="C35638" t="s">
        <v>175</v>
      </c>
      <c r="D35638">
        <v>5214</v>
      </c>
      <c r="E35638">
        <v>0</v>
      </c>
      <c r="F35638">
        <v>415</v>
      </c>
    </row>
    <row r="35639" spans="1:6" ht="12.75">
      <c r="A35639" s="2">
        <v>43875.293136574073</v>
      </c>
      <c r="B35639" t="str">
        <f>HYPERLINK("https://twitter.com/gothed","@gothed")</f>
        <v>@gothed</v>
      </c>
      <c r="C35639" t="s">
        <v>8233</v>
      </c>
      <c r="D35639">
        <v>247</v>
      </c>
      <c r="E35639">
        <v>0</v>
      </c>
      <c r="F35639">
        <v>4674</v>
      </c>
    </row>
    <row r="35640" spans="1:6" ht="12.75">
      <c r="A35640" s="2">
        <v>43875.293090277773</v>
      </c>
      <c r="B35640" t="str">
        <f>HYPERLINK("https://twitter.com/vickysimatupang","@vickysimatupang")</f>
        <v>@vickysimatupang</v>
      </c>
      <c r="C35640" t="s">
        <v>14811</v>
      </c>
      <c r="D35640">
        <v>0</v>
      </c>
      <c r="E35640">
        <v>0</v>
      </c>
      <c r="F35640">
        <v>402</v>
      </c>
    </row>
    <row r="35641" spans="1:6" ht="12.75">
      <c r="A35641" s="2">
        <v>43875.29305555555</v>
      </c>
      <c r="B35641" t="str">
        <f>HYPERLINK("https://twitter.com/AdigunaAtmaja","@AdigunaAtmaja")</f>
        <v>@AdigunaAtmaja</v>
      </c>
      <c r="C35641" t="s">
        <v>14812</v>
      </c>
      <c r="D35641">
        <v>0</v>
      </c>
      <c r="E35641">
        <v>0</v>
      </c>
      <c r="F35641">
        <v>3051</v>
      </c>
    </row>
    <row r="35642" spans="1:6" ht="12.75">
      <c r="A35642" s="2">
        <v>43875.293043981481</v>
      </c>
      <c r="B35642" t="str">
        <f>HYPERLINK("https://twitter.com/kkvrindhavan","@kkvrindhavan")</f>
        <v>@kkvrindhavan</v>
      </c>
      <c r="C35642" t="s">
        <v>12679</v>
      </c>
      <c r="D35642">
        <v>716</v>
      </c>
      <c r="E35642">
        <v>0</v>
      </c>
      <c r="F35642">
        <v>1722</v>
      </c>
    </row>
    <row r="35643" spans="1:6" ht="12.75">
      <c r="A35643" s="2">
        <v>43875.292997685188</v>
      </c>
      <c r="B35643" t="str">
        <f>HYPERLINK("https://twitter.com/visitortwt1","@visitortwt1")</f>
        <v>@visitortwt1</v>
      </c>
      <c r="C35643" t="s">
        <v>12849</v>
      </c>
      <c r="D35643">
        <v>57</v>
      </c>
      <c r="E35643">
        <v>0</v>
      </c>
      <c r="F35643">
        <v>355</v>
      </c>
    </row>
    <row r="35644" spans="1:6" ht="12.75">
      <c r="A35644" s="2">
        <v>43875.292997685188</v>
      </c>
      <c r="B35644" t="str">
        <f>HYPERLINK("https://twitter.com/Sonyrony2","@Sonyrony2")</f>
        <v>@Sonyrony2</v>
      </c>
      <c r="C35644" t="s">
        <v>10096</v>
      </c>
      <c r="D35644">
        <v>36</v>
      </c>
      <c r="E35644">
        <v>0</v>
      </c>
      <c r="F35644">
        <v>324</v>
      </c>
    </row>
    <row r="35645" spans="1:6" ht="12.75">
      <c r="A35645" s="2">
        <v>43875.292974537035</v>
      </c>
      <c r="B35645" t="str">
        <f>HYPERLINK("https://twitter.com/Orapatiopinter","@Orapatiopinter")</f>
        <v>@Orapatiopinter</v>
      </c>
      <c r="C35645" t="s">
        <v>14813</v>
      </c>
      <c r="D35645">
        <v>0</v>
      </c>
      <c r="E35645">
        <v>0</v>
      </c>
      <c r="F35645">
        <v>86</v>
      </c>
    </row>
    <row r="35646" spans="1:6" ht="12.75">
      <c r="A35646" s="2">
        <v>43875.292708333334</v>
      </c>
      <c r="B35646" t="str">
        <f>HYPERLINK("https://twitter.com/RadioElshinta","@RadioElshinta")</f>
        <v>@RadioElshinta</v>
      </c>
      <c r="C35646" t="s">
        <v>14814</v>
      </c>
      <c r="D35646">
        <v>0</v>
      </c>
      <c r="E35646">
        <v>0</v>
      </c>
      <c r="F35646">
        <v>3633161</v>
      </c>
    </row>
    <row r="35647" spans="1:6" ht="12.75">
      <c r="A35647" s="2">
        <v>43875.292708333334</v>
      </c>
      <c r="B35647" t="str">
        <f>HYPERLINK("https://twitter.com/trubusid","@trubusid")</f>
        <v>@trubusid</v>
      </c>
      <c r="C35647" t="s">
        <v>14815</v>
      </c>
      <c r="D35647">
        <v>0</v>
      </c>
      <c r="E35647">
        <v>0</v>
      </c>
      <c r="F35647">
        <v>1026</v>
      </c>
    </row>
    <row r="35648" spans="1:6" ht="12.75">
      <c r="A35648" s="2">
        <v>43875.292627314819</v>
      </c>
      <c r="B35648" t="str">
        <f>HYPERLINK("https://twitter.com/helloviena","@helloviena")</f>
        <v>@helloviena</v>
      </c>
      <c r="C35648" t="s">
        <v>8233</v>
      </c>
      <c r="D35648">
        <v>247</v>
      </c>
      <c r="E35648">
        <v>0</v>
      </c>
      <c r="F35648">
        <v>261</v>
      </c>
    </row>
    <row r="35649" spans="1:6" ht="12.75">
      <c r="A35649" s="2">
        <v>43875.292615740742</v>
      </c>
      <c r="B35649" t="str">
        <f>HYPERLINK("https://twitter.com/meyista","@meyista")</f>
        <v>@meyista</v>
      </c>
      <c r="C35649" t="s">
        <v>5168</v>
      </c>
      <c r="D35649">
        <v>334</v>
      </c>
      <c r="E35649">
        <v>0</v>
      </c>
      <c r="F35649">
        <v>654</v>
      </c>
    </row>
    <row r="35650" spans="1:6" ht="12.75">
      <c r="A35650" s="2">
        <v>43875.292581018519</v>
      </c>
      <c r="B35650" t="str">
        <f>HYPERLINK("https://twitter.com/DinoAry","@DinoAry")</f>
        <v>@DinoAry</v>
      </c>
      <c r="C35650" t="s">
        <v>13211</v>
      </c>
      <c r="D35650">
        <v>4</v>
      </c>
      <c r="E35650">
        <v>0</v>
      </c>
      <c r="F35650">
        <v>153</v>
      </c>
    </row>
    <row r="35651" spans="1:6" ht="12.75">
      <c r="A35651" s="2">
        <v>43875.292488425926</v>
      </c>
      <c r="B35651" t="str">
        <f>HYPERLINK("https://twitter.com/AkipFirmanshah","@AkipFirmanshah")</f>
        <v>@AkipFirmanshah</v>
      </c>
      <c r="C35651" t="s">
        <v>14816</v>
      </c>
      <c r="D35651">
        <v>4</v>
      </c>
      <c r="E35651">
        <v>0</v>
      </c>
      <c r="F35651">
        <v>1449</v>
      </c>
    </row>
    <row r="35652" spans="1:6" ht="12.75">
      <c r="A35652" s="2">
        <v>43875.292488425926</v>
      </c>
      <c r="B35652" t="str">
        <f>HYPERLINK("https://twitter.com/Alsanusi6","@Alsanusi6")</f>
        <v>@Alsanusi6</v>
      </c>
      <c r="C35652" t="s">
        <v>9263</v>
      </c>
      <c r="D35652">
        <v>62</v>
      </c>
      <c r="E35652">
        <v>0</v>
      </c>
      <c r="F35652">
        <v>258</v>
      </c>
    </row>
    <row r="35653" spans="1:6" ht="12.75">
      <c r="A35653" s="2">
        <v>43875.292303240742</v>
      </c>
      <c r="B35653" t="str">
        <f>HYPERLINK("https://twitter.com/abespawnie","@abespawnie")</f>
        <v>@abespawnie</v>
      </c>
      <c r="C35653" t="s">
        <v>9113</v>
      </c>
      <c r="D35653">
        <v>228</v>
      </c>
      <c r="E35653">
        <v>0</v>
      </c>
      <c r="F35653">
        <v>301</v>
      </c>
    </row>
    <row r="35654" spans="1:6" ht="12.75">
      <c r="A35654" s="2">
        <v>43875.292268518519</v>
      </c>
      <c r="B35654" t="str">
        <f>HYPERLINK("https://twitter.com/her5anto","@her5anto")</f>
        <v>@her5anto</v>
      </c>
      <c r="C35654" t="s">
        <v>14817</v>
      </c>
      <c r="D35654">
        <v>0</v>
      </c>
      <c r="E35654">
        <v>0</v>
      </c>
      <c r="F35654">
        <v>593</v>
      </c>
    </row>
    <row r="35655" spans="1:6" ht="12.75">
      <c r="A35655" s="2">
        <v>43875.292245370365</v>
      </c>
      <c r="B35655" t="str">
        <f>HYPERLINK("https://twitter.com/HafitSetyabudi","@HafitSetyabudi")</f>
        <v>@HafitSetyabudi</v>
      </c>
      <c r="C35655" t="s">
        <v>14818</v>
      </c>
      <c r="D35655">
        <v>0</v>
      </c>
      <c r="E35655">
        <v>0</v>
      </c>
      <c r="F35655">
        <v>1641</v>
      </c>
    </row>
    <row r="35656" spans="1:6" ht="12.75">
      <c r="A35656" s="2">
        <v>43875.292210648149</v>
      </c>
      <c r="B35656" t="str">
        <f>HYPERLINK("https://twitter.com/MochamadLoetfi4","@MochamadLoetfi4")</f>
        <v>@MochamadLoetfi4</v>
      </c>
      <c r="C35656" t="s">
        <v>5761</v>
      </c>
      <c r="D35656">
        <v>19</v>
      </c>
      <c r="E35656">
        <v>0</v>
      </c>
      <c r="F35656">
        <v>158</v>
      </c>
    </row>
    <row r="35657" spans="1:6" ht="12.75">
      <c r="A35657" s="2">
        <v>43875.292164351849</v>
      </c>
      <c r="B35657" t="str">
        <f>HYPERLINK("https://twitter.com/BadjaNuswantara","@BadjaNuswantara")</f>
        <v>@BadjaNuswantara</v>
      </c>
      <c r="C35657" t="s">
        <v>14309</v>
      </c>
      <c r="D35657">
        <v>1</v>
      </c>
      <c r="E35657">
        <v>0</v>
      </c>
      <c r="F35657">
        <v>42256</v>
      </c>
    </row>
    <row r="35658" spans="1:6" ht="12.75">
      <c r="A35658" s="2">
        <v>43875.292141203703</v>
      </c>
      <c r="B35658" t="str">
        <f>HYPERLINK("https://twitter.com/Madiatapaliosa9","@Madiatapaliosa9")</f>
        <v>@Madiatapaliosa9</v>
      </c>
      <c r="C35658" t="s">
        <v>2963</v>
      </c>
      <c r="D35658">
        <v>220</v>
      </c>
      <c r="E35658">
        <v>0</v>
      </c>
      <c r="F35658">
        <v>127</v>
      </c>
    </row>
    <row r="35659" spans="1:6" ht="12.75">
      <c r="A35659" s="2">
        <v>43875.29210648148</v>
      </c>
      <c r="B35659" t="str">
        <f>HYPERLINK("https://twitter.com/tsantosa844","@tsantosa844")</f>
        <v>@tsantosa844</v>
      </c>
      <c r="C35659" t="s">
        <v>13712</v>
      </c>
      <c r="D35659">
        <v>27</v>
      </c>
      <c r="E35659">
        <v>0</v>
      </c>
      <c r="F35659">
        <v>842</v>
      </c>
    </row>
    <row r="35660" spans="1:6" ht="12.75">
      <c r="A35660" s="2">
        <v>43875.292071759264</v>
      </c>
      <c r="B35660" t="str">
        <f>HYPERLINK("https://twitter.com/Natalia43272241","@Natalia43272241")</f>
        <v>@Natalia43272241</v>
      </c>
      <c r="C35660" t="s">
        <v>2963</v>
      </c>
      <c r="D35660">
        <v>220</v>
      </c>
      <c r="E35660">
        <v>0</v>
      </c>
      <c r="F35660">
        <v>5</v>
      </c>
    </row>
    <row r="35661" spans="1:6" ht="12.75">
      <c r="A35661" s="2">
        <v>43875.292048611111</v>
      </c>
      <c r="B35661" t="str">
        <f>HYPERLINK("https://twitter.com/nissazzah","@nissazzah")</f>
        <v>@nissazzah</v>
      </c>
      <c r="C35661" t="s">
        <v>175</v>
      </c>
      <c r="D35661">
        <v>5214</v>
      </c>
      <c r="E35661">
        <v>0</v>
      </c>
      <c r="F35661">
        <v>0</v>
      </c>
    </row>
    <row r="35662" spans="1:6" ht="12.75">
      <c r="A35662" s="2">
        <v>43875.292002314818</v>
      </c>
      <c r="B35662" t="str">
        <f>HYPERLINK("https://twitter.com/Bad_crush3r","@Bad_crush3r")</f>
        <v>@Bad_crush3r</v>
      </c>
      <c r="C35662" t="s">
        <v>14819</v>
      </c>
      <c r="D35662">
        <v>0</v>
      </c>
      <c r="E35662">
        <v>0</v>
      </c>
      <c r="F35662">
        <v>1115</v>
      </c>
    </row>
    <row r="35663" spans="1:6" ht="12.75">
      <c r="A35663" s="2">
        <v>43875.291979166665</v>
      </c>
      <c r="B35663" t="str">
        <f>HYPERLINK("https://twitter.com/lotuzine","@lotuzine")</f>
        <v>@lotuzine</v>
      </c>
      <c r="C35663" t="s">
        <v>2444</v>
      </c>
      <c r="D35663">
        <v>50</v>
      </c>
      <c r="E35663">
        <v>0</v>
      </c>
      <c r="F35663">
        <v>148</v>
      </c>
    </row>
    <row r="35664" spans="1:6" ht="12.75">
      <c r="A35664" s="2">
        <v>43875.291979166665</v>
      </c>
      <c r="B35664" t="str">
        <f>HYPERLINK("https://twitter.com/Tasriansyah1","@Tasriansyah1")</f>
        <v>@Tasriansyah1</v>
      </c>
      <c r="C35664" t="s">
        <v>14820</v>
      </c>
      <c r="D35664">
        <v>4</v>
      </c>
      <c r="E35664">
        <v>0</v>
      </c>
      <c r="F35664">
        <v>143</v>
      </c>
    </row>
    <row r="35665" spans="1:6" ht="12.75">
      <c r="A35665" s="2">
        <v>43875.291956018518</v>
      </c>
      <c r="B35665" t="str">
        <f>HYPERLINK("https://twitter.com/pregigigi","@pregigigi")</f>
        <v>@pregigigi</v>
      </c>
      <c r="C35665" t="s">
        <v>2963</v>
      </c>
      <c r="D35665">
        <v>220</v>
      </c>
      <c r="E35665">
        <v>0</v>
      </c>
      <c r="F35665">
        <v>536</v>
      </c>
    </row>
    <row r="35666" spans="1:6" ht="12.75">
      <c r="A35666" s="2">
        <v>43875.291898148149</v>
      </c>
      <c r="B35666" t="str">
        <f>HYPERLINK("https://twitter.com/azhariisme","@azhariisme")</f>
        <v>@azhariisme</v>
      </c>
      <c r="C35666" t="s">
        <v>2963</v>
      </c>
      <c r="D35666">
        <v>220</v>
      </c>
      <c r="E35666">
        <v>0</v>
      </c>
      <c r="F35666">
        <v>267</v>
      </c>
    </row>
    <row r="35667" spans="1:6" ht="12.75">
      <c r="A35667" s="2">
        <v>43875.291863425926</v>
      </c>
      <c r="B35667" t="str">
        <f>HYPERLINK("https://twitter.com/esya8official","@esya8official")</f>
        <v>@esya8official</v>
      </c>
      <c r="C35667" t="s">
        <v>10526</v>
      </c>
      <c r="D35667">
        <v>93</v>
      </c>
      <c r="E35667">
        <v>0</v>
      </c>
      <c r="F35667">
        <v>460</v>
      </c>
    </row>
    <row r="35668" spans="1:6" ht="12.75">
      <c r="A35668" s="2">
        <v>43875.291851851856</v>
      </c>
      <c r="B35668" t="str">
        <f>HYPERLINK("https://twitter.com/pakto123","@pakto123")</f>
        <v>@pakto123</v>
      </c>
      <c r="C35668" t="s">
        <v>9096</v>
      </c>
      <c r="D35668">
        <v>131</v>
      </c>
      <c r="E35668">
        <v>0</v>
      </c>
      <c r="F35668">
        <v>235</v>
      </c>
    </row>
    <row r="35669" spans="1:6" ht="12.75">
      <c r="A35669" s="2">
        <v>43875.29173611111</v>
      </c>
      <c r="B35669" t="str">
        <f>HYPERLINK("https://twitter.com/Aanrm2","@Aanrm2")</f>
        <v>@Aanrm2</v>
      </c>
      <c r="C35669" t="s">
        <v>2963</v>
      </c>
      <c r="D35669">
        <v>220</v>
      </c>
      <c r="E35669">
        <v>0</v>
      </c>
      <c r="F35669">
        <v>21</v>
      </c>
    </row>
    <row r="35670" spans="1:6" ht="12.75">
      <c r="A35670" s="2">
        <v>43875.291678240741</v>
      </c>
      <c r="B35670" t="str">
        <f>HYPERLINK("https://twitter.com/GaleBoy","@GaleBoy")</f>
        <v>@GaleBoy</v>
      </c>
      <c r="C35670" t="s">
        <v>10096</v>
      </c>
      <c r="D35670">
        <v>36</v>
      </c>
      <c r="E35670">
        <v>0</v>
      </c>
      <c r="F35670">
        <v>121</v>
      </c>
    </row>
    <row r="35671" spans="1:6" ht="12.75">
      <c r="A35671" s="2">
        <v>43875.291643518518</v>
      </c>
      <c r="B35671" t="str">
        <f>HYPERLINK("https://twitter.com/Negaprions","@Negaprions")</f>
        <v>@Negaprions</v>
      </c>
      <c r="C35671" t="s">
        <v>9538</v>
      </c>
      <c r="D35671">
        <v>72</v>
      </c>
      <c r="E35671">
        <v>0</v>
      </c>
      <c r="F35671">
        <v>1112</v>
      </c>
    </row>
    <row r="35672" spans="1:6" ht="12.75">
      <c r="A35672" s="2">
        <v>43875.291446759264</v>
      </c>
      <c r="B35672" t="str">
        <f>HYPERLINK("https://twitter.com/18Frya","@18Frya")</f>
        <v>@18Frya</v>
      </c>
      <c r="C35672" t="s">
        <v>14821</v>
      </c>
      <c r="D35672">
        <v>0</v>
      </c>
      <c r="E35672">
        <v>0</v>
      </c>
      <c r="F35672">
        <v>3</v>
      </c>
    </row>
    <row r="35673" spans="1:6" ht="12.75">
      <c r="A35673" s="2">
        <v>43875.291377314818</v>
      </c>
      <c r="B35673" t="str">
        <f>HYPERLINK("https://twitter.com/Mulia07094480","@Mulia07094480")</f>
        <v>@Mulia07094480</v>
      </c>
      <c r="C35673" t="s">
        <v>14273</v>
      </c>
      <c r="D35673">
        <v>1</v>
      </c>
      <c r="E35673">
        <v>0</v>
      </c>
      <c r="F35673">
        <v>702</v>
      </c>
    </row>
    <row r="35674" spans="1:6" ht="12.75">
      <c r="A35674" s="2">
        <v>43875.291261574079</v>
      </c>
      <c r="B35674" t="str">
        <f>HYPERLINK("https://twitter.com/Orapatiopinter","@Orapatiopinter")</f>
        <v>@Orapatiopinter</v>
      </c>
      <c r="C35674" t="s">
        <v>14822</v>
      </c>
      <c r="D35674">
        <v>0</v>
      </c>
      <c r="E35674">
        <v>0</v>
      </c>
      <c r="F35674">
        <v>86</v>
      </c>
    </row>
    <row r="35675" spans="1:6" ht="12.75">
      <c r="A35675" s="2">
        <v>43875.291215277779</v>
      </c>
      <c r="B35675" t="str">
        <f>HYPERLINK("https://twitter.com/eDiwiroch","@eDiwiroch")</f>
        <v>@eDiwiroch</v>
      </c>
      <c r="C35675" t="s">
        <v>2963</v>
      </c>
      <c r="D35675">
        <v>220</v>
      </c>
      <c r="E35675">
        <v>0</v>
      </c>
      <c r="F35675">
        <v>373</v>
      </c>
    </row>
    <row r="35676" spans="1:6" ht="12.75">
      <c r="A35676" s="2">
        <v>43875.291099537033</v>
      </c>
      <c r="B35676" t="str">
        <f>HYPERLINK("https://twitter.com/safinatunnjh_","@safinatunnjh_")</f>
        <v>@safinatunnjh_</v>
      </c>
      <c r="C35676" t="s">
        <v>2963</v>
      </c>
      <c r="D35676">
        <v>220</v>
      </c>
      <c r="E35676">
        <v>0</v>
      </c>
      <c r="F35676">
        <v>648</v>
      </c>
    </row>
    <row r="35677" spans="1:6" ht="12.75">
      <c r="A35677" s="2">
        <v>43875.291087962964</v>
      </c>
      <c r="B35677" t="str">
        <f>HYPERLINK("https://twitter.com/Mustafid9","@Mustafid9")</f>
        <v>@Mustafid9</v>
      </c>
      <c r="C35677" t="s">
        <v>10121</v>
      </c>
      <c r="D35677">
        <v>132</v>
      </c>
      <c r="E35677">
        <v>0</v>
      </c>
      <c r="F35677">
        <v>313</v>
      </c>
    </row>
    <row r="35678" spans="1:6" ht="12.75">
      <c r="A35678" s="2">
        <v>43875.291076388894</v>
      </c>
      <c r="B35678" t="str">
        <f>HYPERLINK("https://twitter.com/Usep210","@Usep210")</f>
        <v>@Usep210</v>
      </c>
      <c r="C35678" t="s">
        <v>2963</v>
      </c>
      <c r="D35678">
        <v>220</v>
      </c>
      <c r="E35678">
        <v>0</v>
      </c>
      <c r="F35678">
        <v>4758</v>
      </c>
    </row>
    <row r="35679" spans="1:6" ht="12.75">
      <c r="A35679" s="2">
        <v>43875.291076388894</v>
      </c>
      <c r="B35679" t="str">
        <f>HYPERLINK("https://twitter.com/fariji_lacak","@fariji_lacak")</f>
        <v>@fariji_lacak</v>
      </c>
      <c r="C35679" t="s">
        <v>9096</v>
      </c>
      <c r="D35679">
        <v>131</v>
      </c>
      <c r="E35679">
        <v>0</v>
      </c>
      <c r="F35679">
        <v>3179</v>
      </c>
    </row>
    <row r="35680" spans="1:6" ht="12.75">
      <c r="A35680" s="2">
        <v>43875.29105324074</v>
      </c>
      <c r="B35680" t="str">
        <f>HYPERLINK("https://twitter.com/danreb123gmail1","@danreb123gmail1")</f>
        <v>@danreb123gmail1</v>
      </c>
      <c r="C35680" t="s">
        <v>14326</v>
      </c>
      <c r="D35680">
        <v>49</v>
      </c>
      <c r="E35680">
        <v>0</v>
      </c>
      <c r="F35680">
        <v>219</v>
      </c>
    </row>
    <row r="35681" spans="1:6" ht="12.75">
      <c r="A35681" s="2">
        <v>43875.290972222225</v>
      </c>
      <c r="B35681" t="str">
        <f>HYPERLINK("https://twitter.com/abespawnie","@abespawnie")</f>
        <v>@abespawnie</v>
      </c>
      <c r="C35681" t="s">
        <v>9947</v>
      </c>
      <c r="D35681">
        <v>309</v>
      </c>
      <c r="E35681">
        <v>0</v>
      </c>
      <c r="F35681">
        <v>301</v>
      </c>
    </row>
    <row r="35682" spans="1:6" ht="12.75">
      <c r="A35682" s="2">
        <v>43875.290972222225</v>
      </c>
      <c r="B35682" t="str">
        <f>HYPERLINK("https://twitter.com/foers79","@foers79")</f>
        <v>@foers79</v>
      </c>
      <c r="C35682" t="s">
        <v>10096</v>
      </c>
      <c r="D35682">
        <v>36</v>
      </c>
      <c r="E35682">
        <v>0</v>
      </c>
      <c r="F35682">
        <v>399</v>
      </c>
    </row>
    <row r="35683" spans="1:6" ht="12.75">
      <c r="A35683" s="2">
        <v>43875.290925925925</v>
      </c>
      <c r="B35683" t="str">
        <f>HYPERLINK("https://twitter.com/LestariRumapea_","@LestariRumapea_")</f>
        <v>@LestariRumapea_</v>
      </c>
      <c r="C35683" t="s">
        <v>175</v>
      </c>
      <c r="D35683">
        <v>5214</v>
      </c>
      <c r="E35683">
        <v>0</v>
      </c>
      <c r="F35683">
        <v>3280</v>
      </c>
    </row>
    <row r="35684" spans="1:6" ht="12.75">
      <c r="A35684" s="2">
        <v>43875.290914351848</v>
      </c>
      <c r="B35684" t="str">
        <f>HYPERLINK("https://twitter.com/FerryNLangelo","@FerryNLangelo")</f>
        <v>@FerryNLangelo</v>
      </c>
      <c r="C35684" t="s">
        <v>5624</v>
      </c>
      <c r="D35684">
        <v>106</v>
      </c>
      <c r="E35684">
        <v>0</v>
      </c>
      <c r="F35684">
        <v>3681</v>
      </c>
    </row>
    <row r="35685" spans="1:6" ht="12.75">
      <c r="A35685" s="2">
        <v>43875.290891203702</v>
      </c>
      <c r="B35685" t="str">
        <f>HYPERLINK("https://twitter.com/Rizky8421","@Rizky8421")</f>
        <v>@Rizky8421</v>
      </c>
      <c r="C35685" t="s">
        <v>5761</v>
      </c>
      <c r="D35685">
        <v>19</v>
      </c>
      <c r="E35685">
        <v>0</v>
      </c>
      <c r="F35685">
        <v>17</v>
      </c>
    </row>
    <row r="35686" spans="1:6" ht="12.75">
      <c r="A35686" s="2">
        <v>43875.290856481486</v>
      </c>
      <c r="B35686" t="str">
        <f>HYPERLINK("https://twitter.com/coffeecream","@coffeecream")</f>
        <v>@coffeecream</v>
      </c>
      <c r="C35686" t="s">
        <v>9538</v>
      </c>
      <c r="D35686">
        <v>72</v>
      </c>
      <c r="E35686">
        <v>0</v>
      </c>
      <c r="F35686">
        <v>2434</v>
      </c>
    </row>
    <row r="35687" spans="1:6" ht="12.75">
      <c r="A35687" s="2">
        <v>43875.290810185186</v>
      </c>
      <c r="B35687" t="str">
        <f>HYPERLINK("https://twitter.com/fariji_lacak","@fariji_lacak")</f>
        <v>@fariji_lacak</v>
      </c>
      <c r="C35687" t="s">
        <v>11954</v>
      </c>
      <c r="D35687">
        <v>44</v>
      </c>
      <c r="E35687">
        <v>0</v>
      </c>
      <c r="F35687">
        <v>3179</v>
      </c>
    </row>
    <row r="35688" spans="1:6" ht="12.75">
      <c r="A35688" s="2">
        <v>43875.29074074074</v>
      </c>
      <c r="B35688" t="str">
        <f>HYPERLINK("https://twitter.com/ijum_kareem","@ijum_kareem")</f>
        <v>@ijum_kareem</v>
      </c>
      <c r="C35688" t="s">
        <v>14823</v>
      </c>
      <c r="D35688">
        <v>0</v>
      </c>
      <c r="E35688">
        <v>0</v>
      </c>
      <c r="F35688">
        <v>50</v>
      </c>
    </row>
    <row r="35689" spans="1:6" ht="12.75">
      <c r="A35689" s="2">
        <v>43875.29069444444</v>
      </c>
      <c r="B35689" t="str">
        <f>HYPERLINK("https://twitter.com/amrudinnejad_","@amrudinnejad_")</f>
        <v>@amrudinnejad_</v>
      </c>
      <c r="C35689" t="s">
        <v>14824</v>
      </c>
      <c r="D35689">
        <v>0</v>
      </c>
      <c r="E35689">
        <v>2</v>
      </c>
      <c r="F35689">
        <v>7731</v>
      </c>
    </row>
    <row r="35690" spans="1:6" ht="12.75">
      <c r="A35690" s="2">
        <v>43875.290636574078</v>
      </c>
      <c r="B35690" t="str">
        <f>HYPERLINK("https://twitter.com/ArsatBachir","@ArsatBachir")</f>
        <v>@ArsatBachir</v>
      </c>
      <c r="C35690" t="s">
        <v>11071</v>
      </c>
      <c r="D35690">
        <v>50</v>
      </c>
      <c r="E35690">
        <v>0</v>
      </c>
      <c r="F35690">
        <v>221</v>
      </c>
    </row>
    <row r="35691" spans="1:6" ht="12.75">
      <c r="A35691" s="2">
        <v>43875.290578703702</v>
      </c>
      <c r="B35691" t="str">
        <f>HYPERLINK("https://twitter.com/Tonwart2","@Tonwart2")</f>
        <v>@Tonwart2</v>
      </c>
      <c r="C35691" t="s">
        <v>14825</v>
      </c>
      <c r="D35691">
        <v>0</v>
      </c>
      <c r="E35691">
        <v>0</v>
      </c>
      <c r="F35691">
        <v>542</v>
      </c>
    </row>
    <row r="35692" spans="1:6" ht="12.75">
      <c r="A35692" s="2">
        <v>43875.290555555555</v>
      </c>
      <c r="B35692" t="str">
        <f>HYPERLINK("https://twitter.com/uteaptaro","@uteaptaro")</f>
        <v>@uteaptaro</v>
      </c>
      <c r="C35692" t="s">
        <v>5168</v>
      </c>
      <c r="D35692">
        <v>334</v>
      </c>
      <c r="E35692">
        <v>0</v>
      </c>
      <c r="F35692">
        <v>103</v>
      </c>
    </row>
    <row r="35693" spans="1:6" ht="12.75">
      <c r="A35693" s="2">
        <v>43875.290497685186</v>
      </c>
      <c r="B35693" t="str">
        <f>HYPERLINK("https://twitter.com/ArsilTheresia","@ArsilTheresia")</f>
        <v>@ArsilTheresia</v>
      </c>
      <c r="C35693" t="s">
        <v>175</v>
      </c>
      <c r="D35693">
        <v>5214</v>
      </c>
      <c r="E35693">
        <v>0</v>
      </c>
      <c r="F35693">
        <v>3</v>
      </c>
    </row>
    <row r="35694" spans="1:6" ht="12.75">
      <c r="A35694" s="2">
        <v>43875.29042824074</v>
      </c>
      <c r="B35694" t="str">
        <f>HYPERLINK("https://twitter.com/leoyuwono","@leoyuwono")</f>
        <v>@leoyuwono</v>
      </c>
      <c r="C35694" t="s">
        <v>9096</v>
      </c>
      <c r="D35694">
        <v>131</v>
      </c>
      <c r="E35694">
        <v>0</v>
      </c>
      <c r="F35694">
        <v>261</v>
      </c>
    </row>
    <row r="35695" spans="1:6" ht="12.75">
      <c r="A35695" s="2">
        <v>43875.290335648147</v>
      </c>
      <c r="B35695" t="str">
        <f>HYPERLINK("https://twitter.com/coffeecream","@coffeecream")</f>
        <v>@coffeecream</v>
      </c>
      <c r="C35695" t="s">
        <v>10096</v>
      </c>
      <c r="D35695">
        <v>36</v>
      </c>
      <c r="E35695">
        <v>0</v>
      </c>
      <c r="F35695">
        <v>2434</v>
      </c>
    </row>
    <row r="35696" spans="1:6" ht="12.75">
      <c r="A35696" s="2">
        <v>43875.290300925924</v>
      </c>
      <c r="B35696" t="str">
        <f>HYPERLINK("https://twitter.com/anies_ulani","@anies_ulani")</f>
        <v>@anies_ulani</v>
      </c>
      <c r="C35696" t="s">
        <v>14826</v>
      </c>
      <c r="D35696">
        <v>0</v>
      </c>
      <c r="E35696">
        <v>0</v>
      </c>
      <c r="F35696">
        <v>7</v>
      </c>
    </row>
    <row r="35697" spans="1:6" ht="12.75">
      <c r="A35697" s="2">
        <v>43875.290219907409</v>
      </c>
      <c r="B35697" t="str">
        <f>HYPERLINK("https://twitter.com/Karep_Ae","@Karep_Ae")</f>
        <v>@Karep_Ae</v>
      </c>
      <c r="C35697" t="s">
        <v>2963</v>
      </c>
      <c r="D35697">
        <v>220</v>
      </c>
      <c r="E35697">
        <v>0</v>
      </c>
      <c r="F35697">
        <v>6</v>
      </c>
    </row>
    <row r="35698" spans="1:6" ht="12.75">
      <c r="A35698" s="2">
        <v>43875.290104166663</v>
      </c>
      <c r="B35698" t="str">
        <f>HYPERLINK("https://twitter.com/dianaistyani","@dianaistyani")</f>
        <v>@dianaistyani</v>
      </c>
      <c r="C35698" t="s">
        <v>175</v>
      </c>
      <c r="D35698">
        <v>5214</v>
      </c>
      <c r="E35698">
        <v>0</v>
      </c>
      <c r="F35698">
        <v>708</v>
      </c>
    </row>
    <row r="35699" spans="1:6" ht="12.75">
      <c r="A35699" s="2">
        <v>43875.290034722224</v>
      </c>
      <c r="B35699" t="str">
        <f>HYPERLINK("https://twitter.com/ako_siapa","@ako_siapa")</f>
        <v>@ako_siapa</v>
      </c>
      <c r="C35699" t="s">
        <v>14827</v>
      </c>
      <c r="D35699">
        <v>0</v>
      </c>
      <c r="E35699">
        <v>0</v>
      </c>
      <c r="F35699">
        <v>6</v>
      </c>
    </row>
    <row r="35700" spans="1:6" ht="12.75">
      <c r="A35700" s="2">
        <v>43875.290023148147</v>
      </c>
      <c r="B35700" t="str">
        <f>HYPERLINK("https://twitter.com/Iqbaliyonk","@Iqbaliyonk")</f>
        <v>@Iqbaliyonk</v>
      </c>
      <c r="C35700" t="s">
        <v>2144</v>
      </c>
      <c r="D35700">
        <v>19</v>
      </c>
      <c r="E35700">
        <v>0</v>
      </c>
      <c r="F35700">
        <v>101</v>
      </c>
    </row>
    <row r="35701" spans="1:6" ht="12.75">
      <c r="A35701" s="2">
        <v>43875.290023148147</v>
      </c>
      <c r="B35701" t="str">
        <f>HYPERLINK("https://twitter.com/ovyic","@ovyic")</f>
        <v>@ovyic</v>
      </c>
      <c r="C35701" t="s">
        <v>11322</v>
      </c>
      <c r="D35701">
        <v>56</v>
      </c>
      <c r="E35701">
        <v>0</v>
      </c>
      <c r="F35701">
        <v>1441</v>
      </c>
    </row>
    <row r="35702" spans="1:6" ht="12.75">
      <c r="A35702" s="2">
        <v>43875.29</v>
      </c>
      <c r="B35702" t="str">
        <f>HYPERLINK("https://twitter.com/fadhlierlanda","@fadhlierlanda")</f>
        <v>@fadhlierlanda</v>
      </c>
      <c r="C35702" t="s">
        <v>14828</v>
      </c>
      <c r="D35702">
        <v>0</v>
      </c>
      <c r="E35702">
        <v>0</v>
      </c>
      <c r="F35702">
        <v>725</v>
      </c>
    </row>
    <row r="35703" spans="1:6" ht="12.75">
      <c r="A35703" s="2">
        <v>43875.289872685185</v>
      </c>
      <c r="B35703" t="str">
        <f>HYPERLINK("https://twitter.com/amin_alimah","@amin_alimah")</f>
        <v>@amin_alimah</v>
      </c>
      <c r="C35703" t="s">
        <v>2963</v>
      </c>
      <c r="D35703">
        <v>220</v>
      </c>
      <c r="E35703">
        <v>0</v>
      </c>
      <c r="F35703">
        <v>42</v>
      </c>
    </row>
    <row r="35704" spans="1:6" ht="12.75">
      <c r="A35704" s="2">
        <v>43875.289872685185</v>
      </c>
      <c r="B35704" t="str">
        <f>HYPERLINK("https://twitter.com/ZheeOmega","@ZheeOmega")</f>
        <v>@ZheeOmega</v>
      </c>
      <c r="C35704" t="s">
        <v>9096</v>
      </c>
      <c r="D35704">
        <v>131</v>
      </c>
      <c r="E35704">
        <v>0</v>
      </c>
      <c r="F35704">
        <v>17788</v>
      </c>
    </row>
    <row r="35705" spans="1:6" ht="12.75">
      <c r="A35705" s="2">
        <v>43875.289861111116</v>
      </c>
      <c r="B35705" t="str">
        <f>HYPERLINK("https://twitter.com/RinjaniJB","@RinjaniJB")</f>
        <v>@RinjaniJB</v>
      </c>
      <c r="C35705" t="s">
        <v>11954</v>
      </c>
      <c r="D35705">
        <v>44</v>
      </c>
      <c r="E35705">
        <v>0</v>
      </c>
      <c r="F35705">
        <v>19163</v>
      </c>
    </row>
    <row r="35706" spans="1:6" ht="12.75">
      <c r="A35706" s="2">
        <v>43875.28979166667</v>
      </c>
      <c r="B35706" t="str">
        <f>HYPERLINK("https://twitter.com/Ichulk_1225","@Ichulk_1225")</f>
        <v>@Ichulk_1225</v>
      </c>
      <c r="C35706" t="s">
        <v>11425</v>
      </c>
      <c r="D35706">
        <v>170</v>
      </c>
      <c r="E35706">
        <v>0</v>
      </c>
      <c r="F35706">
        <v>3103</v>
      </c>
    </row>
    <row r="35707" spans="1:6" ht="12.75">
      <c r="A35707" s="2">
        <v>43875.28969907407</v>
      </c>
      <c r="B35707" t="str">
        <f>HYPERLINK("https://twitter.com/prawiraocky","@prawiraocky")</f>
        <v>@prawiraocky</v>
      </c>
      <c r="C35707" t="s">
        <v>14829</v>
      </c>
      <c r="D35707">
        <v>0</v>
      </c>
      <c r="E35707">
        <v>0</v>
      </c>
      <c r="F35707">
        <v>388</v>
      </c>
    </row>
    <row r="35708" spans="1:6" ht="12.75">
      <c r="A35708" s="2">
        <v>43875.28969907407</v>
      </c>
      <c r="B35708" t="str">
        <f>HYPERLINK("https://twitter.com/seobieau","@seobieau")</f>
        <v>@seobieau</v>
      </c>
      <c r="C35708" t="s">
        <v>5168</v>
      </c>
      <c r="D35708">
        <v>334</v>
      </c>
      <c r="E35708">
        <v>0</v>
      </c>
      <c r="F35708">
        <v>27</v>
      </c>
    </row>
    <row r="35709" spans="1:6" ht="12.75">
      <c r="A35709" s="2">
        <v>43875.289641203708</v>
      </c>
      <c r="B35709" t="str">
        <f>HYPERLINK("https://twitter.com/rio_enrico","@rio_enrico")</f>
        <v>@rio_enrico</v>
      </c>
      <c r="C35709" t="s">
        <v>10462</v>
      </c>
      <c r="D35709">
        <v>221</v>
      </c>
      <c r="E35709">
        <v>0</v>
      </c>
      <c r="F35709">
        <v>196</v>
      </c>
    </row>
    <row r="35710" spans="1:6" ht="12.75">
      <c r="A35710" s="2">
        <v>43875.28943287037</v>
      </c>
      <c r="B35710" t="str">
        <f>HYPERLINK("https://twitter.com/Orapatiopinter","@Orapatiopinter")</f>
        <v>@Orapatiopinter</v>
      </c>
      <c r="C35710" t="s">
        <v>14830</v>
      </c>
      <c r="D35710">
        <v>0</v>
      </c>
      <c r="E35710">
        <v>0</v>
      </c>
      <c r="F35710">
        <v>86</v>
      </c>
    </row>
    <row r="35711" spans="1:6" ht="12.75">
      <c r="A35711" s="2">
        <v>43875.2894212963</v>
      </c>
      <c r="B35711" t="str">
        <f>HYPERLINK("https://twitter.com/innovesian","@innovesian")</f>
        <v>@innovesian</v>
      </c>
      <c r="C35711" t="s">
        <v>2144</v>
      </c>
      <c r="D35711">
        <v>19</v>
      </c>
      <c r="E35711">
        <v>0</v>
      </c>
      <c r="F35711">
        <v>31965</v>
      </c>
    </row>
    <row r="35712" spans="1:6" ht="12.75">
      <c r="A35712" s="2">
        <v>43875.289270833338</v>
      </c>
      <c r="B35712" t="str">
        <f>HYPERLINK("https://twitter.com/pikiran_rakyat","@pikiran_rakyat")</f>
        <v>@pikiran_rakyat</v>
      </c>
      <c r="C35712" t="s">
        <v>14831</v>
      </c>
      <c r="D35712">
        <v>0</v>
      </c>
      <c r="E35712">
        <v>2</v>
      </c>
      <c r="F35712">
        <v>412438</v>
      </c>
    </row>
    <row r="35713" spans="1:6" ht="12.75">
      <c r="A35713" s="2">
        <v>43875.289259259254</v>
      </c>
      <c r="B35713" t="str">
        <f>HYPERLINK("https://twitter.com/4f07b5140fa24b7","@4f07b5140fa24b7")</f>
        <v>@4f07b5140fa24b7</v>
      </c>
      <c r="C35713" t="s">
        <v>8233</v>
      </c>
      <c r="D35713">
        <v>247</v>
      </c>
      <c r="E35713">
        <v>0</v>
      </c>
      <c r="F35713">
        <v>0</v>
      </c>
    </row>
    <row r="35714" spans="1:6" ht="12.75">
      <c r="A35714" s="2">
        <v>43875.289224537039</v>
      </c>
      <c r="B35714" t="str">
        <f>HYPERLINK("https://twitter.com/Oktariyan6","@Oktariyan6")</f>
        <v>@Oktariyan6</v>
      </c>
      <c r="C35714" t="s">
        <v>3604</v>
      </c>
      <c r="D35714">
        <v>424</v>
      </c>
      <c r="E35714">
        <v>0</v>
      </c>
      <c r="F35714">
        <v>108</v>
      </c>
    </row>
    <row r="35715" spans="1:6" ht="12.75">
      <c r="A35715" s="2">
        <v>43875.289201388892</v>
      </c>
      <c r="B35715" t="str">
        <f>HYPERLINK("https://twitter.com/Reveliest","@Reveliest")</f>
        <v>@Reveliest</v>
      </c>
      <c r="C35715" t="s">
        <v>5168</v>
      </c>
      <c r="D35715">
        <v>334</v>
      </c>
      <c r="E35715">
        <v>0</v>
      </c>
      <c r="F35715">
        <v>409</v>
      </c>
    </row>
    <row r="35716" spans="1:6" ht="12.75">
      <c r="A35716" s="2">
        <v>43875.289120370369</v>
      </c>
      <c r="B35716" t="str">
        <f>HYPERLINK("https://twitter.com/RendiKojek1919","@RendiKojek1919")</f>
        <v>@RendiKojek1919</v>
      </c>
      <c r="C35716" t="s">
        <v>14832</v>
      </c>
      <c r="D35716">
        <v>0</v>
      </c>
      <c r="E35716">
        <v>1</v>
      </c>
      <c r="F35716">
        <v>1</v>
      </c>
    </row>
    <row r="35717" spans="1:6" ht="12.75">
      <c r="A35717" s="2">
        <v>43875.289108796293</v>
      </c>
      <c r="B35717" t="str">
        <f>HYPERLINK("https://twitter.com/andri000me","@andri000me")</f>
        <v>@andri000me</v>
      </c>
      <c r="C35717" t="s">
        <v>14833</v>
      </c>
      <c r="D35717">
        <v>1</v>
      </c>
      <c r="E35717">
        <v>0</v>
      </c>
      <c r="F35717">
        <v>176</v>
      </c>
    </row>
    <row r="35718" spans="1:6" ht="12.75">
      <c r="A35718" s="2">
        <v>43875.288946759261</v>
      </c>
      <c r="B35718" t="str">
        <f>HYPERLINK("https://twitter.com/sasa_glstyn","@sasa_glstyn")</f>
        <v>@sasa_glstyn</v>
      </c>
      <c r="C35718" t="s">
        <v>8233</v>
      </c>
      <c r="D35718">
        <v>247</v>
      </c>
      <c r="E35718">
        <v>0</v>
      </c>
      <c r="F35718">
        <v>3</v>
      </c>
    </row>
    <row r="35719" spans="1:6" ht="12.75">
      <c r="A35719" s="2">
        <v>43875.2887962963</v>
      </c>
      <c r="B35719" t="str">
        <f>HYPERLINK("https://twitter.com/Tataaaa97","@Tataaaa97")</f>
        <v>@Tataaaa97</v>
      </c>
      <c r="C35719" t="s">
        <v>5168</v>
      </c>
      <c r="D35719">
        <v>334</v>
      </c>
      <c r="E35719">
        <v>0</v>
      </c>
      <c r="F35719">
        <v>389</v>
      </c>
    </row>
    <row r="35720" spans="1:6" ht="12.75">
      <c r="A35720" s="2">
        <v>43875.28869212963</v>
      </c>
      <c r="B35720" t="str">
        <f>HYPERLINK("https://twitter.com/Yue89031","@Yue89031")</f>
        <v>@Yue89031</v>
      </c>
      <c r="C35720" t="s">
        <v>14834</v>
      </c>
      <c r="D35720">
        <v>0</v>
      </c>
      <c r="E35720">
        <v>0</v>
      </c>
      <c r="F35720">
        <v>0</v>
      </c>
    </row>
    <row r="35721" spans="1:6" ht="12.75">
      <c r="A35721" s="2">
        <v>43875.288680555561</v>
      </c>
      <c r="B35721" t="str">
        <f>HYPERLINK("https://twitter.com/Benantonius","@Benantonius")</f>
        <v>@Benantonius</v>
      </c>
      <c r="C35721" t="s">
        <v>14835</v>
      </c>
      <c r="D35721">
        <v>1</v>
      </c>
      <c r="E35721">
        <v>0</v>
      </c>
      <c r="F35721">
        <v>544</v>
      </c>
    </row>
    <row r="35722" spans="1:6" ht="12.75">
      <c r="A35722" s="2">
        <v>43875.288668981477</v>
      </c>
      <c r="B35722" t="str">
        <f>HYPERLINK("https://twitter.com/Jordan45685452","@Jordan45685452")</f>
        <v>@Jordan45685452</v>
      </c>
      <c r="C35722" t="s">
        <v>14836</v>
      </c>
      <c r="D35722">
        <v>0</v>
      </c>
      <c r="E35722">
        <v>0</v>
      </c>
      <c r="F35722">
        <v>52</v>
      </c>
    </row>
    <row r="35723" spans="1:6" ht="12.75">
      <c r="A35723" s="2">
        <v>43875.288657407407</v>
      </c>
      <c r="B35723" t="str">
        <f>HYPERLINK("https://twitter.com/ANaufal59","@ANaufal59")</f>
        <v>@ANaufal59</v>
      </c>
      <c r="C35723" t="s">
        <v>14837</v>
      </c>
      <c r="D35723">
        <v>0</v>
      </c>
      <c r="E35723">
        <v>0</v>
      </c>
      <c r="F35723">
        <v>455</v>
      </c>
    </row>
    <row r="35724" spans="1:6" ht="12.75">
      <c r="A35724" s="2">
        <v>43875.288611111115</v>
      </c>
      <c r="B35724" t="str">
        <f>HYPERLINK("https://twitter.com/PradytaAnanda","@PradytaAnanda")</f>
        <v>@PradytaAnanda</v>
      </c>
      <c r="C35724" t="s">
        <v>5168</v>
      </c>
      <c r="D35724">
        <v>334</v>
      </c>
      <c r="E35724">
        <v>0</v>
      </c>
      <c r="F35724">
        <v>425</v>
      </c>
    </row>
    <row r="35725" spans="1:6" ht="12.75">
      <c r="A35725" s="2">
        <v>43875.288356481484</v>
      </c>
      <c r="B35725" t="str">
        <f>HYPERLINK("https://twitter.com/DadangS81286454","@DadangS81286454")</f>
        <v>@DadangS81286454</v>
      </c>
      <c r="C35725" t="s">
        <v>14838</v>
      </c>
      <c r="D35725">
        <v>0</v>
      </c>
      <c r="E35725">
        <v>0</v>
      </c>
      <c r="F35725">
        <v>21</v>
      </c>
    </row>
    <row r="35726" spans="1:6" ht="12.75">
      <c r="A35726" s="2">
        <v>43875.288194444445</v>
      </c>
      <c r="B35726" t="str">
        <f>HYPERLINK("https://twitter.com/an_naumi","@an_naumi")</f>
        <v>@an_naumi</v>
      </c>
      <c r="C35726" t="s">
        <v>11322</v>
      </c>
      <c r="D35726">
        <v>56</v>
      </c>
      <c r="E35726">
        <v>0</v>
      </c>
      <c r="F35726">
        <v>222</v>
      </c>
    </row>
    <row r="35727" spans="1:6" ht="12.75">
      <c r="A35727" s="2">
        <v>43875.288148148145</v>
      </c>
      <c r="B35727" t="str">
        <f>HYPERLINK("https://twitter.com/nitamalaysiandi","@nitamalaysiandi")</f>
        <v>@nitamalaysiandi</v>
      </c>
      <c r="C35727" t="s">
        <v>2963</v>
      </c>
      <c r="D35727">
        <v>220</v>
      </c>
      <c r="E35727">
        <v>0</v>
      </c>
      <c r="F35727">
        <v>423</v>
      </c>
    </row>
    <row r="35728" spans="1:6" ht="12.75">
      <c r="A35728" s="2">
        <v>43875.28805555556</v>
      </c>
      <c r="B35728" t="str">
        <f>HYPERLINK("https://twitter.com/RadifAbrar","@RadifAbrar")</f>
        <v>@RadifAbrar</v>
      </c>
      <c r="C35728" t="s">
        <v>10542</v>
      </c>
      <c r="D35728">
        <v>121</v>
      </c>
      <c r="E35728">
        <v>0</v>
      </c>
      <c r="F35728">
        <v>423</v>
      </c>
    </row>
    <row r="35729" spans="1:6" ht="12.75">
      <c r="A35729" s="2">
        <v>43875.288043981476</v>
      </c>
      <c r="B35729" t="str">
        <f>HYPERLINK("https://twitter.com/veltoberlin","@veltoberlin")</f>
        <v>@veltoberlin</v>
      </c>
      <c r="C35729" t="s">
        <v>14839</v>
      </c>
      <c r="D35729">
        <v>0</v>
      </c>
      <c r="E35729">
        <v>0</v>
      </c>
      <c r="F35729">
        <v>121</v>
      </c>
    </row>
    <row r="35730" spans="1:6" ht="12.75">
      <c r="A35730" s="2">
        <v>43875.287962962961</v>
      </c>
      <c r="B35730" t="str">
        <f>HYPERLINK("https://twitter.com/rocknrolla1945","@rocknrolla1945")</f>
        <v>@rocknrolla1945</v>
      </c>
      <c r="C35730" t="s">
        <v>14840</v>
      </c>
      <c r="D35730">
        <v>0</v>
      </c>
      <c r="E35730">
        <v>0</v>
      </c>
      <c r="F35730">
        <v>0</v>
      </c>
    </row>
    <row r="35731" spans="1:6" ht="12.75">
      <c r="A35731" s="2">
        <v>43875.287939814814</v>
      </c>
      <c r="B35731" t="str">
        <f>HYPERLINK("https://twitter.com/Ary4k4m4nd4nu","@Ary4k4m4nd4nu")</f>
        <v>@Ary4k4m4nd4nu</v>
      </c>
      <c r="C35731" t="s">
        <v>10096</v>
      </c>
      <c r="D35731">
        <v>31</v>
      </c>
      <c r="E35731">
        <v>0</v>
      </c>
      <c r="F35731">
        <v>278</v>
      </c>
    </row>
    <row r="35732" spans="1:6" ht="12.75">
      <c r="A35732" s="2">
        <v>43875.287870370375</v>
      </c>
      <c r="B35732" t="str">
        <f>HYPERLINK("https://twitter.com/RezanHayon","@RezanHayon")</f>
        <v>@RezanHayon</v>
      </c>
      <c r="C35732" t="s">
        <v>2963</v>
      </c>
      <c r="D35732">
        <v>206</v>
      </c>
      <c r="E35732">
        <v>0</v>
      </c>
      <c r="F35732">
        <v>1152</v>
      </c>
    </row>
    <row r="35733" spans="1:6" ht="12.75">
      <c r="A35733" s="2">
        <v>43875.287858796291</v>
      </c>
      <c r="B35733" t="str">
        <f>HYPERLINK("https://twitter.com/fecandra","@fecandra")</f>
        <v>@fecandra</v>
      </c>
      <c r="C35733" t="s">
        <v>14800</v>
      </c>
      <c r="D35733">
        <v>16</v>
      </c>
      <c r="E35733">
        <v>0</v>
      </c>
      <c r="F35733">
        <v>86</v>
      </c>
    </row>
    <row r="35734" spans="1:6" ht="12.75">
      <c r="A35734" s="2">
        <v>43875.287847222222</v>
      </c>
      <c r="B35734" t="str">
        <f>HYPERLINK("https://twitter.com/Sagimin65864707","@Sagimin65864707")</f>
        <v>@Sagimin65864707</v>
      </c>
      <c r="C35734" t="s">
        <v>14841</v>
      </c>
      <c r="D35734">
        <v>0</v>
      </c>
      <c r="E35734">
        <v>0</v>
      </c>
      <c r="F35734">
        <v>1</v>
      </c>
    </row>
    <row r="35735" spans="1:6" ht="12.75">
      <c r="A35735" s="2">
        <v>43875.287673611107</v>
      </c>
      <c r="B35735" t="str">
        <f>HYPERLINK("https://twitter.com/ZULKARIMI99","@ZULKARIMI99")</f>
        <v>@ZULKARIMI99</v>
      </c>
      <c r="C35735" t="s">
        <v>14842</v>
      </c>
      <c r="D35735">
        <v>770</v>
      </c>
      <c r="E35735">
        <v>0</v>
      </c>
      <c r="F35735">
        <v>106</v>
      </c>
    </row>
    <row r="35736" spans="1:6" ht="12.75">
      <c r="A35736" s="2">
        <v>43875.287627314814</v>
      </c>
      <c r="B35736" t="str">
        <f>HYPERLINK("https://twitter.com/MakNyus_xx","@MakNyus_xx")</f>
        <v>@MakNyus_xx</v>
      </c>
      <c r="C35736" t="s">
        <v>2963</v>
      </c>
      <c r="D35736">
        <v>206</v>
      </c>
      <c r="E35736">
        <v>0</v>
      </c>
      <c r="F35736">
        <v>3038</v>
      </c>
    </row>
    <row r="35737" spans="1:6" ht="12.75">
      <c r="A35737" s="2">
        <v>43875.287569444445</v>
      </c>
      <c r="B35737" t="str">
        <f>HYPERLINK("https://twitter.com/teppiepersz","@teppiepersz")</f>
        <v>@teppiepersz</v>
      </c>
      <c r="C35737" t="s">
        <v>10121</v>
      </c>
      <c r="D35737">
        <v>131</v>
      </c>
      <c r="E35737">
        <v>0</v>
      </c>
      <c r="F35737">
        <v>183</v>
      </c>
    </row>
    <row r="35738" spans="1:6" ht="12.75">
      <c r="A35738" s="2">
        <v>43875.287499999999</v>
      </c>
      <c r="B35738" t="str">
        <f>HYPERLINK("https://twitter.com/sangbima","@sangbima")</f>
        <v>@sangbima</v>
      </c>
      <c r="C35738" t="s">
        <v>10096</v>
      </c>
      <c r="D35738">
        <v>31</v>
      </c>
      <c r="E35738">
        <v>0</v>
      </c>
      <c r="F35738">
        <v>309</v>
      </c>
    </row>
    <row r="35739" spans="1:6" ht="12.75">
      <c r="A35739" s="2">
        <v>43875.287233796298</v>
      </c>
      <c r="B35739" t="str">
        <f>HYPERLINK("https://twitter.com/kitsiangfreddy","@kitsiangfreddy")</f>
        <v>@kitsiangfreddy</v>
      </c>
      <c r="C35739" t="s">
        <v>8233</v>
      </c>
      <c r="D35739">
        <v>243</v>
      </c>
      <c r="E35739">
        <v>0</v>
      </c>
      <c r="F35739">
        <v>1138</v>
      </c>
    </row>
    <row r="35740" spans="1:6" ht="12.75">
      <c r="A35740" s="2">
        <v>43875.287199074075</v>
      </c>
      <c r="B35740" t="str">
        <f>HYPERLINK("https://twitter.com/BasyirPPIB311","@BasyirPPIB311")</f>
        <v>@BasyirPPIB311</v>
      </c>
      <c r="C35740" t="s">
        <v>10588</v>
      </c>
      <c r="D35740">
        <v>96</v>
      </c>
      <c r="E35740">
        <v>0</v>
      </c>
      <c r="F35740">
        <v>129</v>
      </c>
    </row>
    <row r="35741" spans="1:6" ht="12.75">
      <c r="A35741" s="2">
        <v>43875.287141203706</v>
      </c>
      <c r="B35741" t="str">
        <f>HYPERLINK("https://twitter.com/ensyclo47","@ensyclo47")</f>
        <v>@ensyclo47</v>
      </c>
      <c r="C35741" t="s">
        <v>2963</v>
      </c>
      <c r="D35741">
        <v>206</v>
      </c>
      <c r="E35741">
        <v>0</v>
      </c>
      <c r="F35741">
        <v>1759</v>
      </c>
    </row>
    <row r="35742" spans="1:6" ht="12.75">
      <c r="A35742" s="2">
        <v>43875.287094907406</v>
      </c>
      <c r="B35742" t="str">
        <f>HYPERLINK("https://twitter.com/Fnoer5","@Fnoer5")</f>
        <v>@Fnoer5</v>
      </c>
      <c r="C35742" t="s">
        <v>14843</v>
      </c>
      <c r="D35742">
        <v>0</v>
      </c>
      <c r="E35742">
        <v>0</v>
      </c>
      <c r="F35742">
        <v>0</v>
      </c>
    </row>
    <row r="35743" spans="1:6" ht="12.75">
      <c r="A35743" s="2">
        <v>43875.28707175926</v>
      </c>
      <c r="B35743" t="str">
        <f>HYPERLINK("https://twitter.com/MakNyus_xx","@MakNyus_xx")</f>
        <v>@MakNyus_xx</v>
      </c>
      <c r="C35743" t="s">
        <v>14844</v>
      </c>
      <c r="D35743">
        <v>0</v>
      </c>
      <c r="E35743">
        <v>0</v>
      </c>
      <c r="F35743">
        <v>3038</v>
      </c>
    </row>
    <row r="35744" spans="1:6" ht="12.75">
      <c r="A35744" s="2">
        <v>43875.286990740744</v>
      </c>
      <c r="B35744" t="str">
        <f>HYPERLINK("https://twitter.com/YWijatmoko","@YWijatmoko")</f>
        <v>@YWijatmoko</v>
      </c>
      <c r="C35744" t="s">
        <v>5761</v>
      </c>
      <c r="D35744">
        <v>17</v>
      </c>
      <c r="E35744">
        <v>0</v>
      </c>
      <c r="F35744">
        <v>1596</v>
      </c>
    </row>
    <row r="35745" spans="1:6" ht="12.75">
      <c r="A35745" s="2">
        <v>43875.286979166667</v>
      </c>
      <c r="B35745" t="str">
        <f>HYPERLINK("https://twitter.com/kainayala46","@kainayala46")</f>
        <v>@kainayala46</v>
      </c>
      <c r="C35745" t="s">
        <v>10096</v>
      </c>
      <c r="D35745">
        <v>31</v>
      </c>
      <c r="E35745">
        <v>0</v>
      </c>
      <c r="F35745">
        <v>381</v>
      </c>
    </row>
    <row r="35746" spans="1:6" ht="12.75">
      <c r="A35746" s="2">
        <v>43875.286956018521</v>
      </c>
      <c r="B35746" t="str">
        <f>HYPERLINK("https://twitter.com/M_Katjasungkana","@M_Katjasungkana")</f>
        <v>@M_Katjasungkana</v>
      </c>
      <c r="C35746" t="s">
        <v>14845</v>
      </c>
      <c r="D35746">
        <v>0</v>
      </c>
      <c r="E35746">
        <v>0</v>
      </c>
      <c r="F35746">
        <v>384</v>
      </c>
    </row>
    <row r="35747" spans="1:6" ht="12.75">
      <c r="A35747" s="2">
        <v>43875.286944444444</v>
      </c>
      <c r="B35747" t="str">
        <f>HYPERLINK("https://twitter.com/FahdSugiono2","@FahdSugiono2")</f>
        <v>@FahdSugiono2</v>
      </c>
      <c r="C35747" t="s">
        <v>2963</v>
      </c>
      <c r="D35747">
        <v>206</v>
      </c>
      <c r="E35747">
        <v>0</v>
      </c>
      <c r="F35747">
        <v>8</v>
      </c>
    </row>
    <row r="35748" spans="1:6" ht="12.75">
      <c r="A35748" s="2">
        <v>43875.286921296298</v>
      </c>
      <c r="B35748" t="str">
        <f>HYPERLINK("https://twitter.com/GASSPOL12","@GASSPOL12")</f>
        <v>@GASSPOL12</v>
      </c>
      <c r="C35748" t="s">
        <v>9263</v>
      </c>
      <c r="D35748">
        <v>61</v>
      </c>
      <c r="E35748">
        <v>0</v>
      </c>
      <c r="F35748">
        <v>113</v>
      </c>
    </row>
    <row r="35749" spans="1:6" ht="12.75">
      <c r="A35749" s="2">
        <v>43875.286921296298</v>
      </c>
      <c r="B35749" t="str">
        <f>HYPERLINK("https://twitter.com/Lasupu_0472","@Lasupu_0472")</f>
        <v>@Lasupu_0472</v>
      </c>
      <c r="C35749" t="s">
        <v>13021</v>
      </c>
      <c r="D35749">
        <v>3</v>
      </c>
      <c r="E35749">
        <v>0</v>
      </c>
      <c r="F35749">
        <v>183</v>
      </c>
    </row>
    <row r="35750" spans="1:6" ht="12.75">
      <c r="A35750" s="2">
        <v>43875.286909722221</v>
      </c>
      <c r="B35750" t="str">
        <f>HYPERLINK("https://twitter.com/BatamPos","@BatamPos")</f>
        <v>@BatamPos</v>
      </c>
      <c r="C35750" t="s">
        <v>14846</v>
      </c>
      <c r="D35750">
        <v>0</v>
      </c>
      <c r="E35750">
        <v>0</v>
      </c>
      <c r="F35750">
        <v>67353</v>
      </c>
    </row>
    <row r="35751" spans="1:6" ht="12.75">
      <c r="A35751" s="2">
        <v>43875.286875000005</v>
      </c>
      <c r="B35751" t="str">
        <f>HYPERLINK("https://twitter.com/al_fakru","@al_fakru")</f>
        <v>@al_fakru</v>
      </c>
      <c r="C35751" t="s">
        <v>10422</v>
      </c>
      <c r="D35751">
        <v>5</v>
      </c>
      <c r="E35751">
        <v>0</v>
      </c>
      <c r="F35751">
        <v>2968</v>
      </c>
    </row>
    <row r="35752" spans="1:6" ht="12.75">
      <c r="A35752" s="2">
        <v>43875.286793981482</v>
      </c>
      <c r="B35752" t="str">
        <f>HYPERLINK("https://twitter.com/mdkoir","@mdkoir")</f>
        <v>@mdkoir</v>
      </c>
      <c r="C35752" t="s">
        <v>9538</v>
      </c>
      <c r="D35752">
        <v>69</v>
      </c>
      <c r="E35752">
        <v>0</v>
      </c>
      <c r="F35752">
        <v>522</v>
      </c>
    </row>
    <row r="35753" spans="1:6" ht="12.75">
      <c r="A35753" s="2">
        <v>43875.286782407406</v>
      </c>
      <c r="B35753" t="str">
        <f>HYPERLINK("https://twitter.com/auranalar","@auranalar")</f>
        <v>@auranalar</v>
      </c>
      <c r="C35753" t="s">
        <v>14847</v>
      </c>
      <c r="D35753">
        <v>0</v>
      </c>
      <c r="E35753">
        <v>0</v>
      </c>
      <c r="F35753">
        <v>266</v>
      </c>
    </row>
    <row r="35754" spans="1:6" ht="12.75">
      <c r="A35754" s="2">
        <v>43875.286689814813</v>
      </c>
      <c r="B35754" t="str">
        <f>HYPERLINK("https://twitter.com/vita_AVP","@vita_AVP")</f>
        <v>@vita_AVP</v>
      </c>
      <c r="C35754" t="s">
        <v>14848</v>
      </c>
      <c r="D35754">
        <v>0</v>
      </c>
      <c r="E35754">
        <v>0</v>
      </c>
      <c r="F35754">
        <v>6066</v>
      </c>
    </row>
    <row r="35755" spans="1:6" ht="12.75">
      <c r="A35755" s="2">
        <v>43875.286666666667</v>
      </c>
      <c r="B35755" t="str">
        <f>HYPERLINK("https://twitter.com/IhzaRhmd","@IhzaRhmd")</f>
        <v>@IhzaRhmd</v>
      </c>
      <c r="C35755" t="s">
        <v>2963</v>
      </c>
      <c r="D35755">
        <v>206</v>
      </c>
      <c r="E35755">
        <v>0</v>
      </c>
      <c r="F35755">
        <v>10</v>
      </c>
    </row>
    <row r="35756" spans="1:6" ht="12.75">
      <c r="A35756" s="2">
        <v>43875.286643518513</v>
      </c>
      <c r="B35756" t="str">
        <f>HYPERLINK("https://twitter.com/rey16mase","@rey16mase")</f>
        <v>@rey16mase</v>
      </c>
      <c r="C35756" t="s">
        <v>2963</v>
      </c>
      <c r="D35756">
        <v>206</v>
      </c>
      <c r="E35756">
        <v>0</v>
      </c>
      <c r="F35756">
        <v>331</v>
      </c>
    </row>
    <row r="35757" spans="1:6" ht="12.75">
      <c r="A35757" s="2">
        <v>43875.286631944444</v>
      </c>
      <c r="B35757" t="str">
        <f>HYPERLINK("https://twitter.com/micaymi","@micaymi")</f>
        <v>@micaymi</v>
      </c>
      <c r="C35757" t="s">
        <v>14849</v>
      </c>
      <c r="D35757">
        <v>1</v>
      </c>
      <c r="E35757">
        <v>0</v>
      </c>
      <c r="F35757">
        <v>522</v>
      </c>
    </row>
    <row r="35758" spans="1:6" ht="12.75">
      <c r="A35758" s="2">
        <v>43875.286597222221</v>
      </c>
      <c r="B35758" t="str">
        <f>HYPERLINK("https://twitter.com/wiriantowidjaya","@wiriantowidjaya")</f>
        <v>@wiriantowidjaya</v>
      </c>
      <c r="C35758" t="s">
        <v>2122</v>
      </c>
      <c r="D35758">
        <v>163</v>
      </c>
      <c r="E35758">
        <v>0</v>
      </c>
      <c r="F35758">
        <v>1525</v>
      </c>
    </row>
    <row r="35759" spans="1:6" ht="12.75">
      <c r="A35759" s="2">
        <v>43875.286504629628</v>
      </c>
      <c r="B35759" t="str">
        <f>HYPERLINK("https://twitter.com/nayza1212","@nayza1212")</f>
        <v>@nayza1212</v>
      </c>
      <c r="C35759" t="s">
        <v>14850</v>
      </c>
      <c r="D35759">
        <v>0</v>
      </c>
      <c r="E35759">
        <v>0</v>
      </c>
      <c r="F35759">
        <v>70</v>
      </c>
    </row>
    <row r="35760" spans="1:6" ht="12.75">
      <c r="A35760" s="2">
        <v>43875.286481481482</v>
      </c>
      <c r="B35760" t="str">
        <f>HYPERLINK("https://twitter.com/SonoraFM92","@SonoraFM92")</f>
        <v>@SonoraFM92</v>
      </c>
      <c r="C35760" t="s">
        <v>14851</v>
      </c>
      <c r="D35760">
        <v>0</v>
      </c>
      <c r="E35760">
        <v>0</v>
      </c>
      <c r="F35760">
        <v>292606</v>
      </c>
    </row>
    <row r="35761" spans="1:6" ht="12.75">
      <c r="A35761" s="2">
        <v>43875.286481481482</v>
      </c>
      <c r="B35761" t="str">
        <f>HYPERLINK("https://twitter.com/YWijatmoko","@YWijatmoko")</f>
        <v>@YWijatmoko</v>
      </c>
      <c r="C35761" t="s">
        <v>10096</v>
      </c>
      <c r="D35761">
        <v>31</v>
      </c>
      <c r="E35761">
        <v>0</v>
      </c>
      <c r="F35761">
        <v>1596</v>
      </c>
    </row>
    <row r="35762" spans="1:6" ht="12.75">
      <c r="A35762" s="2">
        <v>43875.286250000005</v>
      </c>
      <c r="B35762" t="str">
        <f>HYPERLINK("https://twitter.com/ethansfortnite","@ethansfortnite")</f>
        <v>@ethansfortnite</v>
      </c>
      <c r="C35762" t="s">
        <v>9964</v>
      </c>
      <c r="D35762">
        <v>458</v>
      </c>
      <c r="E35762">
        <v>0</v>
      </c>
      <c r="F35762">
        <v>1081</v>
      </c>
    </row>
    <row r="35763" spans="1:6" ht="12.75">
      <c r="A35763" s="2">
        <v>43875.286180555559</v>
      </c>
      <c r="B35763" t="str">
        <f>HYPERLINK("https://twitter.com/Alefbetgimel1","@Alefbetgimel1")</f>
        <v>@Alefbetgimel1</v>
      </c>
      <c r="C35763" t="s">
        <v>10266</v>
      </c>
      <c r="D35763">
        <v>243</v>
      </c>
      <c r="E35763">
        <v>0</v>
      </c>
      <c r="F35763">
        <v>0</v>
      </c>
    </row>
    <row r="35764" spans="1:6" ht="12.75">
      <c r="A35764" s="2">
        <v>43875.286168981482</v>
      </c>
      <c r="B35764" t="str">
        <f>HYPERLINK("https://twitter.com/r3d_command3r","@r3d_command3r")</f>
        <v>@r3d_command3r</v>
      </c>
      <c r="C35764" t="s">
        <v>14852</v>
      </c>
      <c r="D35764">
        <v>97</v>
      </c>
      <c r="E35764">
        <v>0</v>
      </c>
      <c r="F35764">
        <v>16</v>
      </c>
    </row>
    <row r="35765" spans="1:6" ht="12.75">
      <c r="A35765" s="2">
        <v>43875.286111111112</v>
      </c>
      <c r="B35765" t="str">
        <f>HYPERLINK("https://twitter.com/tua_serdadu","@tua_serdadu")</f>
        <v>@tua_serdadu</v>
      </c>
      <c r="C35765" t="s">
        <v>10266</v>
      </c>
      <c r="D35765">
        <v>243</v>
      </c>
      <c r="E35765">
        <v>0</v>
      </c>
      <c r="F35765">
        <v>270</v>
      </c>
    </row>
    <row r="35766" spans="1:6" ht="12.75">
      <c r="A35766" s="2">
        <v>43875.285983796297</v>
      </c>
      <c r="B35766" t="str">
        <f>HYPERLINK("https://twitter.com/AniesSubianto","@AniesSubianto")</f>
        <v>@AniesSubianto</v>
      </c>
      <c r="C35766" t="s">
        <v>2963</v>
      </c>
      <c r="D35766">
        <v>206</v>
      </c>
      <c r="E35766">
        <v>0</v>
      </c>
      <c r="F35766">
        <v>189</v>
      </c>
    </row>
    <row r="35767" spans="1:6" ht="12.75">
      <c r="A35767" s="2">
        <v>43875.285902777774</v>
      </c>
      <c r="B35767" t="str">
        <f>HYPERLINK("https://twitter.com/visitortwt1","@visitortwt1")</f>
        <v>@visitortwt1</v>
      </c>
      <c r="C35767" t="s">
        <v>14853</v>
      </c>
      <c r="D35767">
        <v>6</v>
      </c>
      <c r="E35767">
        <v>0</v>
      </c>
      <c r="F35767">
        <v>355</v>
      </c>
    </row>
    <row r="35768" spans="1:6" ht="12.75">
      <c r="A35768" s="2">
        <v>43875.285833333328</v>
      </c>
      <c r="B35768" t="str">
        <f>HYPERLINK("https://twitter.com/Awwcioo","@Awwcioo")</f>
        <v>@Awwcioo</v>
      </c>
      <c r="C35768" t="s">
        <v>2137</v>
      </c>
      <c r="D35768">
        <v>7</v>
      </c>
      <c r="E35768">
        <v>0</v>
      </c>
      <c r="F35768">
        <v>737</v>
      </c>
    </row>
    <row r="35769" spans="1:6" ht="12.75">
      <c r="A35769" s="2">
        <v>43875.285787037035</v>
      </c>
      <c r="B35769" t="str">
        <f>HYPERLINK("https://twitter.com/ayusumedi","@ayusumedi")</f>
        <v>@ayusumedi</v>
      </c>
      <c r="C35769" t="s">
        <v>9538</v>
      </c>
      <c r="D35769">
        <v>69</v>
      </c>
      <c r="E35769">
        <v>0</v>
      </c>
      <c r="F35769">
        <v>1991</v>
      </c>
    </row>
    <row r="35770" spans="1:6" ht="12.75">
      <c r="A35770" s="2">
        <v>43875.285775462966</v>
      </c>
      <c r="B35770" t="str">
        <f>HYPERLINK("https://twitter.com/Jono_Fortunate","@Jono_Fortunate")</f>
        <v>@Jono_Fortunate</v>
      </c>
      <c r="C35770" t="s">
        <v>14854</v>
      </c>
      <c r="D35770">
        <v>0</v>
      </c>
      <c r="E35770">
        <v>0</v>
      </c>
      <c r="F35770">
        <v>524</v>
      </c>
    </row>
    <row r="35771" spans="1:6" ht="12.75">
      <c r="A35771" s="2">
        <v>43875.285752314812</v>
      </c>
      <c r="B35771" t="str">
        <f>HYPERLINK("https://twitter.com/JCOS_WINDSOR","@JCOS_WINDSOR")</f>
        <v>@JCOS_WINDSOR</v>
      </c>
      <c r="C35771" t="s">
        <v>11086</v>
      </c>
      <c r="D35771">
        <v>76</v>
      </c>
      <c r="E35771">
        <v>0</v>
      </c>
      <c r="F35771">
        <v>2123</v>
      </c>
    </row>
    <row r="35772" spans="1:6" ht="12.75">
      <c r="A35772" s="2">
        <v>43875.285740740743</v>
      </c>
      <c r="B35772" t="str">
        <f>HYPERLINK("https://twitter.com/abespawnie","@abespawnie")</f>
        <v>@abespawnie</v>
      </c>
      <c r="C35772" t="s">
        <v>14228</v>
      </c>
      <c r="D35772">
        <v>14</v>
      </c>
      <c r="E35772">
        <v>0</v>
      </c>
      <c r="F35772">
        <v>300</v>
      </c>
    </row>
    <row r="35773" spans="1:6" ht="12.75">
      <c r="A35773" s="2">
        <v>43875.285671296297</v>
      </c>
      <c r="B35773" t="str">
        <f>HYPERLINK("https://twitter.com/herlambang_tan","@herlambang_tan")</f>
        <v>@herlambang_tan</v>
      </c>
      <c r="C35773" t="s">
        <v>14665</v>
      </c>
      <c r="D35773">
        <v>2</v>
      </c>
      <c r="E35773">
        <v>0</v>
      </c>
      <c r="F35773">
        <v>2340</v>
      </c>
    </row>
    <row r="35774" spans="1:6" ht="12.75">
      <c r="A35774" s="2">
        <v>43875.285636574074</v>
      </c>
      <c r="B35774" t="str">
        <f>HYPERLINK("https://twitter.com/JCOS_WINDSOR","@JCOS_WINDSOR")</f>
        <v>@JCOS_WINDSOR</v>
      </c>
      <c r="C35774" t="s">
        <v>12380</v>
      </c>
      <c r="D35774">
        <v>47</v>
      </c>
      <c r="E35774">
        <v>0</v>
      </c>
      <c r="F35774">
        <v>2123</v>
      </c>
    </row>
    <row r="35775" spans="1:6" ht="12.75">
      <c r="A35775" s="2">
        <v>43875.285613425927</v>
      </c>
      <c r="B35775" t="str">
        <f>HYPERLINK("https://twitter.com/popoeko73","@popoeko73")</f>
        <v>@popoeko73</v>
      </c>
      <c r="C35775" t="s">
        <v>2963</v>
      </c>
      <c r="D35775">
        <v>206</v>
      </c>
      <c r="E35775">
        <v>0</v>
      </c>
      <c r="F35775">
        <v>456</v>
      </c>
    </row>
    <row r="35776" spans="1:6" ht="12.75">
      <c r="A35776" s="2">
        <v>43875.285532407404</v>
      </c>
      <c r="B35776" t="str">
        <f>HYPERLINK("https://twitter.com/wiriantowidjaya","@wiriantowidjaya")</f>
        <v>@wiriantowidjaya</v>
      </c>
      <c r="C35776" t="s">
        <v>14853</v>
      </c>
      <c r="D35776">
        <v>6</v>
      </c>
      <c r="E35776">
        <v>0</v>
      </c>
      <c r="F35776">
        <v>1525</v>
      </c>
    </row>
    <row r="35777" spans="1:6" ht="12.75">
      <c r="A35777" s="2">
        <v>43875.285486111112</v>
      </c>
      <c r="B35777" t="str">
        <f>HYPERLINK("https://twitter.com/Lovina_ZS","@Lovina_ZS")</f>
        <v>@Lovina_ZS</v>
      </c>
      <c r="C35777" t="s">
        <v>13814</v>
      </c>
      <c r="D35777">
        <v>4</v>
      </c>
      <c r="E35777">
        <v>0</v>
      </c>
      <c r="F35777">
        <v>1482</v>
      </c>
    </row>
    <row r="35778" spans="1:6" ht="12.75">
      <c r="A35778" s="2">
        <v>43875.285428240742</v>
      </c>
      <c r="B35778" t="str">
        <f>HYPERLINK("https://twitter.com/berharapdamai","@berharapdamai")</f>
        <v>@berharapdamai</v>
      </c>
      <c r="C35778" t="s">
        <v>14855</v>
      </c>
      <c r="D35778">
        <v>0</v>
      </c>
      <c r="E35778">
        <v>1</v>
      </c>
      <c r="F35778">
        <v>1793</v>
      </c>
    </row>
    <row r="35779" spans="1:6" ht="12.75">
      <c r="A35779" s="2">
        <v>43875.28534722222</v>
      </c>
      <c r="B35779" t="str">
        <f>HYPERLINK("https://twitter.com/yanuariant","@yanuariant")</f>
        <v>@yanuariant</v>
      </c>
      <c r="C35779" t="s">
        <v>5168</v>
      </c>
      <c r="D35779">
        <v>327</v>
      </c>
      <c r="E35779">
        <v>0</v>
      </c>
      <c r="F35779">
        <v>303</v>
      </c>
    </row>
    <row r="35780" spans="1:6" ht="12.75">
      <c r="A35780" s="2">
        <v>43875.285324074073</v>
      </c>
      <c r="B35780" t="str">
        <f>HYPERLINK("https://twitter.com/anas_fauzian","@anas_fauzian")</f>
        <v>@anas_fauzian</v>
      </c>
      <c r="C35780" t="s">
        <v>9263</v>
      </c>
      <c r="D35780">
        <v>61</v>
      </c>
      <c r="E35780">
        <v>0</v>
      </c>
      <c r="F35780">
        <v>132</v>
      </c>
    </row>
    <row r="35781" spans="1:6" ht="12.75">
      <c r="A35781" s="2">
        <v>43875.28528935185</v>
      </c>
      <c r="B35781" t="str">
        <f>HYPERLINK("https://twitter.com/MartinPakpahan7","@MartinPakpahan7")</f>
        <v>@MartinPakpahan7</v>
      </c>
      <c r="C35781" t="s">
        <v>14856</v>
      </c>
      <c r="D35781">
        <v>0</v>
      </c>
      <c r="E35781">
        <v>1</v>
      </c>
      <c r="F35781">
        <v>60</v>
      </c>
    </row>
    <row r="35782" spans="1:6" ht="12.75">
      <c r="A35782" s="2">
        <v>43875.285208333335</v>
      </c>
      <c r="B35782" t="str">
        <f>HYPERLINK("https://twitter.com/wiriantowidjaya","@wiriantowidjaya")</f>
        <v>@wiriantowidjaya</v>
      </c>
      <c r="C35782" t="s">
        <v>10196</v>
      </c>
      <c r="D35782">
        <v>116</v>
      </c>
      <c r="E35782">
        <v>0</v>
      </c>
      <c r="F35782">
        <v>1525</v>
      </c>
    </row>
    <row r="35783" spans="1:6" ht="12.75">
      <c r="A35783" s="2">
        <v>43875.285173611112</v>
      </c>
      <c r="B35783" t="str">
        <f>HYPERLINK("https://twitter.com/Aji2Sekti","@Aji2Sekti")</f>
        <v>@Aji2Sekti</v>
      </c>
      <c r="C35783" t="s">
        <v>7411</v>
      </c>
      <c r="D35783">
        <v>127</v>
      </c>
      <c r="E35783">
        <v>0</v>
      </c>
      <c r="F35783">
        <v>3</v>
      </c>
    </row>
    <row r="35784" spans="1:6" ht="12.75">
      <c r="A35784" s="2">
        <v>43875.285115740742</v>
      </c>
      <c r="B35784" t="str">
        <f>HYPERLINK("https://twitter.com/erinsnote","@erinsnote")</f>
        <v>@erinsnote</v>
      </c>
      <c r="C35784" t="s">
        <v>6</v>
      </c>
      <c r="D35784">
        <v>0</v>
      </c>
      <c r="E35784">
        <v>0</v>
      </c>
      <c r="F35784">
        <v>1846</v>
      </c>
    </row>
    <row r="35785" spans="1:6" ht="12.75">
      <c r="A35785" s="2">
        <v>43875.284895833334</v>
      </c>
      <c r="B35785" t="str">
        <f>HYPERLINK("https://twitter.com/InvestorID","@InvestorID")</f>
        <v>@InvestorID</v>
      </c>
      <c r="C35785" t="s">
        <v>7</v>
      </c>
      <c r="D35785">
        <v>0</v>
      </c>
      <c r="E35785">
        <v>0</v>
      </c>
      <c r="F35785">
        <v>15253</v>
      </c>
    </row>
    <row r="35786" spans="1:6" ht="12.75">
      <c r="A35786" s="2">
        <v>43875.284872685181</v>
      </c>
      <c r="B35786" t="str">
        <f>HYPERLINK("https://twitter.com/LianAndis","@LianAndis")</f>
        <v>@LianAndis</v>
      </c>
      <c r="C35786" t="s">
        <v>2963</v>
      </c>
      <c r="D35786">
        <v>206</v>
      </c>
      <c r="E35786">
        <v>0</v>
      </c>
      <c r="F35786">
        <v>20</v>
      </c>
    </row>
    <row r="35787" spans="1:6" ht="12.75">
      <c r="A35787" s="2">
        <v>43875.284791666665</v>
      </c>
      <c r="B35787" t="str">
        <f>HYPERLINK("https://twitter.com/Julia_Zeed","@Julia_Zeed")</f>
        <v>@Julia_Zeed</v>
      </c>
      <c r="C35787" t="s">
        <v>14857</v>
      </c>
      <c r="D35787">
        <v>3</v>
      </c>
      <c r="E35787">
        <v>0</v>
      </c>
      <c r="F35787">
        <v>2575</v>
      </c>
    </row>
    <row r="35788" spans="1:6" ht="12.75">
      <c r="A35788" s="2">
        <v>43875.284733796296</v>
      </c>
      <c r="B35788" t="str">
        <f>HYPERLINK("https://twitter.com/rmol_id","@rmol_id")</f>
        <v>@rmol_id</v>
      </c>
      <c r="C35788" t="s">
        <v>8</v>
      </c>
      <c r="D35788">
        <v>0</v>
      </c>
      <c r="E35788">
        <v>0</v>
      </c>
      <c r="F35788">
        <v>160765</v>
      </c>
    </row>
    <row r="35789" spans="1:6" ht="12.75">
      <c r="A35789" s="2">
        <v>43875.284675925926</v>
      </c>
      <c r="B35789" t="str">
        <f>HYPERLINK("https://twitter.com/Javier_aam04","@Javier_aam04")</f>
        <v>@Javier_aam04</v>
      </c>
      <c r="C35789" t="s">
        <v>2963</v>
      </c>
      <c r="D35789">
        <v>206</v>
      </c>
      <c r="E35789">
        <v>0</v>
      </c>
      <c r="F35789">
        <v>2</v>
      </c>
    </row>
    <row r="35790" spans="1:6" ht="12.75">
      <c r="A35790" s="2">
        <v>43875.284594907411</v>
      </c>
      <c r="B35790" t="str">
        <f>HYPERLINK("https://twitter.com/gitannda","@gitannda")</f>
        <v>@gitannda</v>
      </c>
      <c r="C35790" t="s">
        <v>2963</v>
      </c>
      <c r="D35790">
        <v>206</v>
      </c>
      <c r="E35790">
        <v>0</v>
      </c>
      <c r="F35790">
        <v>616</v>
      </c>
    </row>
    <row r="35791" spans="1:6" ht="12.75">
      <c r="A35791" s="2">
        <v>43875.284583333334</v>
      </c>
      <c r="B35791" t="str">
        <f>HYPERLINK("https://twitter.com/gresiaputeri","@gresiaputeri")</f>
        <v>@gresiaputeri</v>
      </c>
      <c r="C35791" t="s">
        <v>9</v>
      </c>
      <c r="D35791">
        <v>0</v>
      </c>
      <c r="E35791">
        <v>0</v>
      </c>
      <c r="F35791">
        <v>68</v>
      </c>
    </row>
    <row r="35792" spans="1:6" ht="12.75">
      <c r="A35792" s="2">
        <v>43875.284456018519</v>
      </c>
      <c r="B35792" t="str">
        <f>HYPERLINK("https://twitter.com/chimot_","@chimot_")</f>
        <v>@chimot_</v>
      </c>
      <c r="C35792" t="s">
        <v>9964</v>
      </c>
      <c r="D35792">
        <v>458</v>
      </c>
      <c r="E35792">
        <v>0</v>
      </c>
      <c r="F35792">
        <v>409</v>
      </c>
    </row>
    <row r="35793" spans="1:6" ht="12.75">
      <c r="A35793" s="2">
        <v>43875.284201388888</v>
      </c>
      <c r="B35793" t="str">
        <f>HYPERLINK("https://twitter.com/uddevil","@uddevil")</f>
        <v>@uddevil</v>
      </c>
      <c r="C35793" t="s">
        <v>5168</v>
      </c>
      <c r="D35793">
        <v>327</v>
      </c>
      <c r="E35793">
        <v>0</v>
      </c>
      <c r="F35793">
        <v>348</v>
      </c>
    </row>
    <row r="35794" spans="1:6" ht="12.75">
      <c r="A35794" s="2">
        <v>43875.284189814818</v>
      </c>
      <c r="B35794" t="str">
        <f>HYPERLINK("https://twitter.com/pacegerald76","@pacegerald76")</f>
        <v>@pacegerald76</v>
      </c>
      <c r="C35794" t="s">
        <v>2864</v>
      </c>
      <c r="D35794">
        <v>335</v>
      </c>
      <c r="E35794">
        <v>0</v>
      </c>
      <c r="F35794">
        <v>61</v>
      </c>
    </row>
    <row r="35795" spans="1:6" ht="12.75">
      <c r="A35795" s="2">
        <v>43875.284097222218</v>
      </c>
      <c r="B35795" t="str">
        <f>HYPERLINK("https://twitter.com/rudimulawarman_","@rudimulawarman_")</f>
        <v>@rudimulawarman_</v>
      </c>
      <c r="C35795" t="s">
        <v>14858</v>
      </c>
      <c r="D35795">
        <v>1</v>
      </c>
      <c r="E35795">
        <v>0</v>
      </c>
      <c r="F35795">
        <v>3715</v>
      </c>
    </row>
    <row r="35796" spans="1:6" ht="12.75">
      <c r="A35796" s="2">
        <v>43875.284004629633</v>
      </c>
      <c r="B35796" t="str">
        <f>HYPERLINK("https://twitter.com/Alpheraaattzz","@Alpheraaattzz")</f>
        <v>@Alpheraaattzz</v>
      </c>
      <c r="C35796" t="s">
        <v>8233</v>
      </c>
      <c r="D35796">
        <v>243</v>
      </c>
      <c r="E35796">
        <v>0</v>
      </c>
      <c r="F35796">
        <v>89</v>
      </c>
    </row>
    <row r="35797" spans="1:6" ht="12.75">
      <c r="A35797" s="2">
        <v>43875.283703703702</v>
      </c>
      <c r="B35797" t="str">
        <f>HYPERLINK("https://twitter.com/nonmolare","@nonmolare")</f>
        <v>@nonmolare</v>
      </c>
      <c r="C35797" t="s">
        <v>10225</v>
      </c>
      <c r="D35797">
        <v>5</v>
      </c>
      <c r="E35797">
        <v>0</v>
      </c>
      <c r="F35797">
        <v>740</v>
      </c>
    </row>
    <row r="35798" spans="1:6" ht="12.75">
      <c r="A35798" s="2">
        <v>43875.283657407403</v>
      </c>
      <c r="B35798" t="str">
        <f>HYPERLINK("https://twitter.com/febywiria","@febywiria")</f>
        <v>@febywiria</v>
      </c>
      <c r="C35798" t="s">
        <v>2963</v>
      </c>
      <c r="D35798">
        <v>206</v>
      </c>
      <c r="E35798">
        <v>0</v>
      </c>
      <c r="F35798">
        <v>278</v>
      </c>
    </row>
    <row r="35799" spans="1:6" ht="12.75">
      <c r="A35799" s="2">
        <v>43875.283622685187</v>
      </c>
      <c r="B35799" t="str">
        <f>HYPERLINK("https://twitter.com/SitomulyaID","@SitomulyaID")</f>
        <v>@SitomulyaID</v>
      </c>
      <c r="C35799" t="s">
        <v>14859</v>
      </c>
      <c r="D35799">
        <v>0</v>
      </c>
      <c r="E35799">
        <v>0</v>
      </c>
      <c r="F35799">
        <v>8</v>
      </c>
    </row>
    <row r="35800" spans="1:6" ht="12.75">
      <c r="A35800" s="2">
        <v>43875.283587962964</v>
      </c>
      <c r="B35800" t="str">
        <f>HYPERLINK("https://twitter.com/Cahkuwut","@Cahkuwut")</f>
        <v>@Cahkuwut</v>
      </c>
      <c r="C35800" t="s">
        <v>11322</v>
      </c>
      <c r="D35800">
        <v>54</v>
      </c>
      <c r="E35800">
        <v>0</v>
      </c>
      <c r="F35800">
        <v>606</v>
      </c>
    </row>
    <row r="35801" spans="1:6" ht="12.75">
      <c r="A35801" s="2">
        <v>43875.283564814818</v>
      </c>
      <c r="B35801" t="str">
        <f>HYPERLINK("https://twitter.com/owengerrad88","@owengerrad88")</f>
        <v>@owengerrad88</v>
      </c>
      <c r="C35801" t="s">
        <v>10319</v>
      </c>
      <c r="D35801">
        <v>139</v>
      </c>
      <c r="E35801">
        <v>0</v>
      </c>
      <c r="F35801">
        <v>315</v>
      </c>
    </row>
    <row r="35802" spans="1:6" ht="12.75">
      <c r="A35802" s="2">
        <v>43875.283530092594</v>
      </c>
      <c r="B35802" t="str">
        <f>HYPERLINK("https://twitter.com/devy215","@devy215")</f>
        <v>@devy215</v>
      </c>
      <c r="C35802" t="s">
        <v>14860</v>
      </c>
      <c r="D35802">
        <v>0</v>
      </c>
      <c r="E35802">
        <v>0</v>
      </c>
      <c r="F35802">
        <v>2860</v>
      </c>
    </row>
    <row r="35803" spans="1:6" ht="12.75">
      <c r="A35803" s="2">
        <v>43875.283518518518</v>
      </c>
      <c r="B35803" t="str">
        <f>HYPERLINK("https://twitter.com/Albertsantoso7","@Albertsantoso7")</f>
        <v>@Albertsantoso7</v>
      </c>
      <c r="C35803" t="s">
        <v>6982</v>
      </c>
      <c r="D35803">
        <v>78</v>
      </c>
      <c r="E35803">
        <v>0</v>
      </c>
      <c r="F35803">
        <v>60</v>
      </c>
    </row>
    <row r="35804" spans="1:6" ht="12.75">
      <c r="A35804" s="2">
        <v>43875.283483796295</v>
      </c>
      <c r="B35804" t="str">
        <f>HYPERLINK("https://twitter.com/claraca58642581","@claraca58642581")</f>
        <v>@claraca58642581</v>
      </c>
      <c r="C35804" t="s">
        <v>2963</v>
      </c>
      <c r="D35804">
        <v>206</v>
      </c>
      <c r="E35804">
        <v>0</v>
      </c>
      <c r="F35804">
        <v>0</v>
      </c>
    </row>
    <row r="35805" spans="1:6" ht="12.75">
      <c r="A35805" s="2">
        <v>43875.283425925925</v>
      </c>
      <c r="B35805" t="str">
        <f>HYPERLINK("https://twitter.com/denialsn","@denialsn")</f>
        <v>@denialsn</v>
      </c>
      <c r="C35805" t="s">
        <v>11728</v>
      </c>
      <c r="D35805">
        <v>55</v>
      </c>
      <c r="E35805">
        <v>0</v>
      </c>
      <c r="F35805">
        <v>59</v>
      </c>
    </row>
    <row r="35806" spans="1:6" ht="12.75">
      <c r="A35806" s="2">
        <v>43875.283414351856</v>
      </c>
      <c r="B35806" t="str">
        <f>HYPERLINK("https://twitter.com/Julia_Zeed","@Julia_Zeed")</f>
        <v>@Julia_Zeed</v>
      </c>
      <c r="C35806" t="s">
        <v>14861</v>
      </c>
      <c r="D35806">
        <v>12</v>
      </c>
      <c r="E35806">
        <v>0</v>
      </c>
      <c r="F35806">
        <v>2575</v>
      </c>
    </row>
    <row r="35807" spans="1:6" ht="12.75">
      <c r="A35807" s="2">
        <v>43875.283391203702</v>
      </c>
      <c r="B35807" t="str">
        <f>HYPERLINK("https://twitter.com/amrudinnejad_","@amrudinnejad_")</f>
        <v>@amrudinnejad_</v>
      </c>
      <c r="C35807" t="s">
        <v>10422</v>
      </c>
      <c r="D35807">
        <v>5</v>
      </c>
      <c r="E35807">
        <v>0</v>
      </c>
      <c r="F35807">
        <v>7731</v>
      </c>
    </row>
    <row r="35808" spans="1:6" ht="12.75">
      <c r="A35808" s="2">
        <v>43875.283333333333</v>
      </c>
      <c r="B35808" t="str">
        <f>HYPERLINK("https://twitter.com/DaSilva_ElReal","@DaSilva_ElReal")</f>
        <v>@DaSilva_ElReal</v>
      </c>
      <c r="C35808" t="s">
        <v>2963</v>
      </c>
      <c r="D35808">
        <v>206</v>
      </c>
      <c r="E35808">
        <v>0</v>
      </c>
      <c r="F35808">
        <v>26</v>
      </c>
    </row>
    <row r="35809" spans="1:6" ht="12.75">
      <c r="A35809" s="2">
        <v>43875.283263888894</v>
      </c>
      <c r="B35809" t="str">
        <f>HYPERLINK("https://twitter.com/amoysilitonga","@amoysilitonga")</f>
        <v>@amoysilitonga</v>
      </c>
      <c r="C35809" t="s">
        <v>5624</v>
      </c>
      <c r="D35809">
        <v>105</v>
      </c>
      <c r="E35809">
        <v>0</v>
      </c>
      <c r="F35809">
        <v>204</v>
      </c>
    </row>
    <row r="35810" spans="1:6" ht="12.75">
      <c r="A35810" s="2">
        <v>43875.28324074074</v>
      </c>
      <c r="B35810" t="str">
        <f>HYPERLINK("https://twitter.com/sihaloho85","@sihaloho85")</f>
        <v>@sihaloho85</v>
      </c>
      <c r="C35810" t="s">
        <v>2963</v>
      </c>
      <c r="D35810">
        <v>206</v>
      </c>
      <c r="E35810">
        <v>0</v>
      </c>
      <c r="F35810">
        <v>4002</v>
      </c>
    </row>
    <row r="35811" spans="1:6" ht="12.75">
      <c r="A35811" s="2">
        <v>43875.283171296294</v>
      </c>
      <c r="B35811" t="str">
        <f>HYPERLINK("https://twitter.com/valencia_amara","@valencia_amara")</f>
        <v>@valencia_amara</v>
      </c>
      <c r="C35811" t="s">
        <v>14691</v>
      </c>
      <c r="D35811">
        <v>11</v>
      </c>
      <c r="E35811">
        <v>0</v>
      </c>
      <c r="F35811">
        <v>4841</v>
      </c>
    </row>
    <row r="35812" spans="1:6" ht="12.75">
      <c r="A35812" s="2">
        <v>43875.283159722225</v>
      </c>
      <c r="B35812" t="str">
        <f>HYPERLINK("https://twitter.com/rixkiansyah","@rixkiansyah")</f>
        <v>@rixkiansyah</v>
      </c>
      <c r="C35812" t="s">
        <v>14862</v>
      </c>
      <c r="D35812">
        <v>0</v>
      </c>
      <c r="E35812">
        <v>0</v>
      </c>
      <c r="F35812">
        <v>22</v>
      </c>
    </row>
    <row r="35813" spans="1:6" ht="12.75">
      <c r="A35813" s="2">
        <v>43875.283101851848</v>
      </c>
      <c r="B35813" t="str">
        <f>HYPERLINK("https://twitter.com/pacegerald76","@pacegerald76")</f>
        <v>@pacegerald76</v>
      </c>
      <c r="C35813" t="s">
        <v>4745</v>
      </c>
      <c r="D35813">
        <v>859</v>
      </c>
      <c r="E35813">
        <v>0</v>
      </c>
      <c r="F35813">
        <v>61</v>
      </c>
    </row>
    <row r="35814" spans="1:6" ht="12.75">
      <c r="A35814" s="2">
        <v>43875.283009259263</v>
      </c>
      <c r="B35814" t="str">
        <f>HYPERLINK("https://twitter.com/flomaria02","@flomaria02")</f>
        <v>@flomaria02</v>
      </c>
      <c r="C35814" t="s">
        <v>2963</v>
      </c>
      <c r="D35814">
        <v>206</v>
      </c>
      <c r="E35814">
        <v>0</v>
      </c>
      <c r="F35814">
        <v>221</v>
      </c>
    </row>
    <row r="35815" spans="1:6" ht="12.75">
      <c r="A35815" s="2">
        <v>43875.28297453704</v>
      </c>
      <c r="B35815" t="str">
        <f>HYPERLINK("https://twitter.com/ilmimik","@ilmimik")</f>
        <v>@ilmimik</v>
      </c>
      <c r="C35815" t="s">
        <v>5168</v>
      </c>
      <c r="D35815">
        <v>327</v>
      </c>
      <c r="E35815">
        <v>0</v>
      </c>
      <c r="F35815">
        <v>98</v>
      </c>
    </row>
    <row r="35816" spans="1:6" ht="12.75">
      <c r="A35816" s="2">
        <v>43875.282847222217</v>
      </c>
      <c r="B35816" t="str">
        <f>HYPERLINK("https://twitter.com/edy_purnomo","@edy_purnomo")</f>
        <v>@edy_purnomo</v>
      </c>
      <c r="C35816" t="s">
        <v>2963</v>
      </c>
      <c r="D35816">
        <v>206</v>
      </c>
      <c r="E35816">
        <v>0</v>
      </c>
      <c r="F35816">
        <v>51</v>
      </c>
    </row>
    <row r="35817" spans="1:6" ht="12.75">
      <c r="A35817" s="2">
        <v>43875.282847222217</v>
      </c>
      <c r="B35817" t="str">
        <f>HYPERLINK("https://twitter.com/nzrethski","@nzrethski")</f>
        <v>@nzrethski</v>
      </c>
      <c r="C35817" t="s">
        <v>13714</v>
      </c>
      <c r="D35817">
        <v>3</v>
      </c>
      <c r="E35817">
        <v>0</v>
      </c>
      <c r="F35817">
        <v>971</v>
      </c>
    </row>
    <row r="35818" spans="1:6" ht="12.75">
      <c r="A35818" s="2">
        <v>43875.282719907409</v>
      </c>
      <c r="B35818" t="str">
        <f>HYPERLINK("https://twitter.com/PribumiDong","@PribumiDong")</f>
        <v>@PribumiDong</v>
      </c>
      <c r="C35818" t="s">
        <v>9538</v>
      </c>
      <c r="D35818">
        <v>69</v>
      </c>
      <c r="E35818">
        <v>0</v>
      </c>
      <c r="F35818">
        <v>864</v>
      </c>
    </row>
    <row r="35819" spans="1:6" ht="12.75">
      <c r="A35819" s="2">
        <v>43875.282638888893</v>
      </c>
      <c r="B35819" t="str">
        <f>HYPERLINK("https://twitter.com/DubesWakanda","@DubesWakanda")</f>
        <v>@DubesWakanda</v>
      </c>
      <c r="C35819" t="s">
        <v>14326</v>
      </c>
      <c r="D35819">
        <v>48</v>
      </c>
      <c r="E35819">
        <v>0</v>
      </c>
      <c r="F35819">
        <v>1420</v>
      </c>
    </row>
    <row r="35820" spans="1:6" ht="12.75">
      <c r="A35820" s="2">
        <v>43875.282534722224</v>
      </c>
      <c r="B35820" t="str">
        <f>HYPERLINK("https://twitter.com/AisSyariif","@AisSyariif")</f>
        <v>@AisSyariif</v>
      </c>
      <c r="C35820" t="s">
        <v>2144</v>
      </c>
      <c r="D35820">
        <v>17</v>
      </c>
      <c r="E35820">
        <v>0</v>
      </c>
      <c r="F35820">
        <v>873</v>
      </c>
    </row>
    <row r="35821" spans="1:6" ht="12.75">
      <c r="A35821" s="2">
        <v>43875.282511574071</v>
      </c>
      <c r="B35821" t="str">
        <f>HYPERLINK("https://twitter.com/asnug_id","@asnug_id")</f>
        <v>@asnug_id</v>
      </c>
      <c r="C35821" t="s">
        <v>2963</v>
      </c>
      <c r="D35821">
        <v>206</v>
      </c>
      <c r="E35821">
        <v>0</v>
      </c>
      <c r="F35821">
        <v>3173</v>
      </c>
    </row>
    <row r="35822" spans="1:6" ht="12.75">
      <c r="A35822" s="2">
        <v>43875.282453703709</v>
      </c>
      <c r="B35822" t="str">
        <f>HYPERLINK("https://twitter.com/umaleao","@umaleao")</f>
        <v>@umaleao</v>
      </c>
      <c r="C35822" t="s">
        <v>14650</v>
      </c>
      <c r="D35822">
        <v>1</v>
      </c>
      <c r="E35822">
        <v>0</v>
      </c>
      <c r="F35822">
        <v>26062</v>
      </c>
    </row>
    <row r="35823" spans="1:6" ht="12.75">
      <c r="A35823" s="2">
        <v>43875.282372685186</v>
      </c>
      <c r="B35823" t="str">
        <f>HYPERLINK("https://twitter.com/Tasriansyah1","@Tasriansyah1")</f>
        <v>@Tasriansyah1</v>
      </c>
      <c r="C35823" t="s">
        <v>10706</v>
      </c>
      <c r="D35823">
        <v>204</v>
      </c>
      <c r="E35823">
        <v>0</v>
      </c>
      <c r="F35823">
        <v>143</v>
      </c>
    </row>
    <row r="35824" spans="1:6" ht="12.75">
      <c r="A35824" s="2">
        <v>43875.282280092593</v>
      </c>
      <c r="B35824" t="str">
        <f>HYPERLINK("https://twitter.com/intansf7","@intansf7")</f>
        <v>@intansf7</v>
      </c>
      <c r="C35824" t="s">
        <v>5168</v>
      </c>
      <c r="D35824">
        <v>327</v>
      </c>
      <c r="E35824">
        <v>0</v>
      </c>
      <c r="F35824">
        <v>82</v>
      </c>
    </row>
    <row r="35825" spans="1:6" ht="12.75">
      <c r="A35825" s="2">
        <v>43875.282222222224</v>
      </c>
      <c r="B35825" t="str">
        <f>HYPERLINK("https://twitter.com/KarimTukih","@KarimTukih")</f>
        <v>@KarimTukih</v>
      </c>
      <c r="C35825" t="s">
        <v>2963</v>
      </c>
      <c r="D35825">
        <v>206</v>
      </c>
      <c r="E35825">
        <v>0</v>
      </c>
      <c r="F35825">
        <v>1160</v>
      </c>
    </row>
    <row r="35826" spans="1:6" ht="12.75">
      <c r="A35826" s="2">
        <v>43875.282037037032</v>
      </c>
      <c r="B35826" t="str">
        <f>HYPERLINK("https://twitter.com/RyuukaTamae","@RyuukaTamae")</f>
        <v>@RyuukaTamae</v>
      </c>
      <c r="C35826" t="s">
        <v>2444</v>
      </c>
      <c r="D35826">
        <v>49</v>
      </c>
      <c r="E35826">
        <v>0</v>
      </c>
      <c r="F35826">
        <v>261</v>
      </c>
    </row>
    <row r="35827" spans="1:6" ht="12.75">
      <c r="A35827" s="2">
        <v>43875.28197916667</v>
      </c>
      <c r="B35827" t="str">
        <f>HYPERLINK("https://twitter.com/SandyKen3","@SandyKen3")</f>
        <v>@SandyKen3</v>
      </c>
      <c r="C35827" t="s">
        <v>2963</v>
      </c>
      <c r="D35827">
        <v>206</v>
      </c>
      <c r="E35827">
        <v>0</v>
      </c>
      <c r="F35827">
        <v>152</v>
      </c>
    </row>
    <row r="35828" spans="1:6" ht="12.75">
      <c r="A35828" s="2">
        <v>43875.281898148147</v>
      </c>
      <c r="B35828" t="str">
        <f>HYPERLINK("https://twitter.com/Tasriansyah1","@Tasriansyah1")</f>
        <v>@Tasriansyah1</v>
      </c>
      <c r="C35828" t="s">
        <v>10266</v>
      </c>
      <c r="D35828">
        <v>243</v>
      </c>
      <c r="E35828">
        <v>0</v>
      </c>
      <c r="F35828">
        <v>143</v>
      </c>
    </row>
    <row r="35829" spans="1:6" ht="12.75">
      <c r="A35829" s="2">
        <v>43875.281898148147</v>
      </c>
      <c r="B35829" t="str">
        <f>HYPERLINK("https://twitter.com/ishaksp123","@ishaksp123")</f>
        <v>@ishaksp123</v>
      </c>
      <c r="C35829" t="s">
        <v>8881</v>
      </c>
      <c r="D35829">
        <v>242</v>
      </c>
      <c r="E35829">
        <v>0</v>
      </c>
      <c r="F35829">
        <v>4280</v>
      </c>
    </row>
    <row r="35830" spans="1:6" ht="12.75">
      <c r="A35830" s="2">
        <v>43875.28188657407</v>
      </c>
      <c r="B35830" t="str">
        <f>HYPERLINK("https://twitter.com/haidaroh1","@haidaroh1")</f>
        <v>@haidaroh1</v>
      </c>
      <c r="C35830" t="s">
        <v>14863</v>
      </c>
      <c r="D35830">
        <v>0</v>
      </c>
      <c r="E35830">
        <v>0</v>
      </c>
      <c r="F35830">
        <v>156</v>
      </c>
    </row>
    <row r="35831" spans="1:6" ht="12.75">
      <c r="A35831" s="2">
        <v>43875.281851851847</v>
      </c>
      <c r="B35831" t="str">
        <f>HYPERLINK("https://twitter.com/bayu_adianto","@bayu_adianto")</f>
        <v>@bayu_adianto</v>
      </c>
      <c r="C35831" t="s">
        <v>10957</v>
      </c>
      <c r="D35831">
        <v>43</v>
      </c>
      <c r="E35831">
        <v>0</v>
      </c>
      <c r="F35831">
        <v>169</v>
      </c>
    </row>
    <row r="35832" spans="1:6" ht="12.75">
      <c r="A35832" s="2">
        <v>43875.281840277778</v>
      </c>
      <c r="B35832" t="str">
        <f>HYPERLINK("https://twitter.com/rojundi_pedist","@rojundi_pedist")</f>
        <v>@rojundi_pedist</v>
      </c>
      <c r="C35832" t="s">
        <v>5761</v>
      </c>
      <c r="D35832">
        <v>17</v>
      </c>
      <c r="E35832">
        <v>0</v>
      </c>
      <c r="F35832">
        <v>130</v>
      </c>
    </row>
    <row r="35833" spans="1:6" ht="12.75">
      <c r="A35833" s="2">
        <v>43875.281550925924</v>
      </c>
      <c r="B35833" t="str">
        <f>HYPERLINK("https://twitter.com/idntimes","@idntimes")</f>
        <v>@idntimes</v>
      </c>
      <c r="C35833" t="s">
        <v>14864</v>
      </c>
      <c r="D35833">
        <v>0</v>
      </c>
      <c r="E35833">
        <v>0</v>
      </c>
      <c r="F35833">
        <v>392639</v>
      </c>
    </row>
    <row r="35834" spans="1:6" ht="12.75">
      <c r="A35834" s="2">
        <v>43875.281539351854</v>
      </c>
      <c r="B35834" t="str">
        <f>HYPERLINK("https://twitter.com/johanadhi","@johanadhi")</f>
        <v>@johanadhi</v>
      </c>
      <c r="C35834" t="s">
        <v>10</v>
      </c>
      <c r="D35834">
        <v>1</v>
      </c>
      <c r="E35834">
        <v>0</v>
      </c>
      <c r="F35834">
        <v>1964</v>
      </c>
    </row>
    <row r="35835" spans="1:6" ht="12.75">
      <c r="A35835" s="2">
        <v>43875.281527777777</v>
      </c>
      <c r="B35835" t="str">
        <f>HYPERLINK("https://twitter.com/Dickquake","@Dickquake")</f>
        <v>@Dickquake</v>
      </c>
      <c r="C35835" t="s">
        <v>2444</v>
      </c>
      <c r="D35835">
        <v>49</v>
      </c>
      <c r="E35835">
        <v>0</v>
      </c>
      <c r="F35835">
        <v>853</v>
      </c>
    </row>
    <row r="35836" spans="1:6" ht="12.75">
      <c r="A35836" s="2">
        <v>43875.281493055554</v>
      </c>
      <c r="B35836" t="str">
        <f>HYPERLINK("https://twitter.com/Dolokmasihol","@Dolokmasihol")</f>
        <v>@Dolokmasihol</v>
      </c>
      <c r="C35836" t="s">
        <v>14865</v>
      </c>
      <c r="D35836">
        <v>0</v>
      </c>
      <c r="E35836">
        <v>0</v>
      </c>
      <c r="F35836">
        <v>736</v>
      </c>
    </row>
    <row r="35837" spans="1:6" ht="12.75">
      <c r="A35837" s="2">
        <v>43875.281388888892</v>
      </c>
      <c r="B35837" t="str">
        <f>HYPERLINK("https://twitter.com/Cahkuwut","@Cahkuwut")</f>
        <v>@Cahkuwut</v>
      </c>
      <c r="C35837" t="s">
        <v>9096</v>
      </c>
      <c r="D35837">
        <v>127</v>
      </c>
      <c r="E35837">
        <v>0</v>
      </c>
      <c r="F35837">
        <v>606</v>
      </c>
    </row>
    <row r="35838" spans="1:6" ht="12.75">
      <c r="A35838" s="2">
        <v>43875.281342592592</v>
      </c>
      <c r="B35838" t="str">
        <f>HYPERLINK("https://twitter.com/YoeriKhoiri","@YoeriKhoiri")</f>
        <v>@YoeriKhoiri</v>
      </c>
      <c r="C35838" t="s">
        <v>14866</v>
      </c>
      <c r="D35838">
        <v>0</v>
      </c>
      <c r="E35838">
        <v>0</v>
      </c>
      <c r="F35838">
        <v>39</v>
      </c>
    </row>
    <row r="35839" spans="1:6" ht="12.75">
      <c r="A35839" s="2">
        <v>43875.281331018516</v>
      </c>
      <c r="B35839" t="str">
        <f>HYPERLINK("https://twitter.com/kampoengasri","@kampoengasri")</f>
        <v>@kampoengasri</v>
      </c>
      <c r="C35839" t="s">
        <v>14867</v>
      </c>
      <c r="D35839">
        <v>30</v>
      </c>
      <c r="E35839">
        <v>0</v>
      </c>
      <c r="F35839">
        <v>116</v>
      </c>
    </row>
    <row r="35840" spans="1:6" ht="12.75">
      <c r="A35840" s="2">
        <v>43875.281180555554</v>
      </c>
      <c r="B35840" t="str">
        <f>HYPERLINK("https://twitter.com/asnamaulian","@asnamaulian")</f>
        <v>@asnamaulian</v>
      </c>
      <c r="C35840" t="s">
        <v>5168</v>
      </c>
      <c r="D35840">
        <v>327</v>
      </c>
      <c r="E35840">
        <v>0</v>
      </c>
      <c r="F35840">
        <v>237</v>
      </c>
    </row>
    <row r="35841" spans="1:6" ht="12.75">
      <c r="A35841" s="2">
        <v>43875.281145833331</v>
      </c>
      <c r="B35841" t="str">
        <f>HYPERLINK("https://twitter.com/arlinuuu","@arlinuuu")</f>
        <v>@arlinuuu</v>
      </c>
      <c r="C35841" t="s">
        <v>9021</v>
      </c>
      <c r="D35841">
        <v>128</v>
      </c>
      <c r="E35841">
        <v>0</v>
      </c>
      <c r="F35841">
        <v>185</v>
      </c>
    </row>
    <row r="35842" spans="1:6" ht="12.75">
      <c r="A35842" s="2">
        <v>43875.281064814815</v>
      </c>
      <c r="B35842" t="str">
        <f>HYPERLINK("https://twitter.com/khaagung","@khaagung")</f>
        <v>@khaagung</v>
      </c>
      <c r="C35842" t="s">
        <v>2963</v>
      </c>
      <c r="D35842">
        <v>206</v>
      </c>
      <c r="E35842">
        <v>0</v>
      </c>
      <c r="F35842">
        <v>197</v>
      </c>
    </row>
    <row r="35843" spans="1:6" ht="12.75">
      <c r="A35843" s="2">
        <v>43875.281064814815</v>
      </c>
      <c r="B35843" t="str">
        <f>HYPERLINK("https://twitter.com/rinkakuna","@rinkakuna")</f>
        <v>@rinkakuna</v>
      </c>
      <c r="C35843" t="s">
        <v>10739</v>
      </c>
      <c r="D35843">
        <v>226</v>
      </c>
      <c r="E35843">
        <v>0</v>
      </c>
      <c r="F35843">
        <v>622</v>
      </c>
    </row>
    <row r="35844" spans="1:6" ht="12.75">
      <c r="A35844" s="2">
        <v>43875.281041666662</v>
      </c>
      <c r="B35844" t="str">
        <f>HYPERLINK("https://twitter.com/Junaidi57994370","@Junaidi57994370")</f>
        <v>@Junaidi57994370</v>
      </c>
      <c r="C35844" t="s">
        <v>14868</v>
      </c>
      <c r="D35844">
        <v>0</v>
      </c>
      <c r="E35844">
        <v>2</v>
      </c>
      <c r="F35844">
        <v>16</v>
      </c>
    </row>
    <row r="35845" spans="1:6" ht="12.75">
      <c r="A35845" s="2">
        <v>43875.280868055561</v>
      </c>
      <c r="B35845" t="str">
        <f>HYPERLINK("https://twitter.com/novanasp","@novanasp")</f>
        <v>@novanasp</v>
      </c>
      <c r="C35845" t="s">
        <v>2963</v>
      </c>
      <c r="D35845">
        <v>206</v>
      </c>
      <c r="E35845">
        <v>0</v>
      </c>
      <c r="F35845">
        <v>834</v>
      </c>
    </row>
    <row r="35846" spans="1:6" ht="12.75">
      <c r="A35846" s="2">
        <v>43875.280740740738</v>
      </c>
      <c r="B35846" t="str">
        <f>HYPERLINK("https://twitter.com/haidaroh1","@haidaroh1")</f>
        <v>@haidaroh1</v>
      </c>
      <c r="C35846" t="s">
        <v>14869</v>
      </c>
      <c r="D35846">
        <v>0</v>
      </c>
      <c r="E35846">
        <v>0</v>
      </c>
      <c r="F35846">
        <v>156</v>
      </c>
    </row>
    <row r="35847" spans="1:6" ht="12.75">
      <c r="A35847" s="2">
        <v>43875.280682870369</v>
      </c>
      <c r="B35847" t="str">
        <f>HYPERLINK("https://twitter.com/r_wulandari04","@r_wulandari04")</f>
        <v>@r_wulandari04</v>
      </c>
      <c r="C35847" t="s">
        <v>14870</v>
      </c>
      <c r="D35847">
        <v>1</v>
      </c>
      <c r="E35847">
        <v>0</v>
      </c>
      <c r="F35847">
        <v>37</v>
      </c>
    </row>
    <row r="35848" spans="1:6" ht="12.75">
      <c r="A35848" s="2">
        <v>43875.280428240745</v>
      </c>
      <c r="B35848" t="str">
        <f>HYPERLINK("https://twitter.com/JunizarT","@JunizarT")</f>
        <v>@JunizarT</v>
      </c>
      <c r="C35848" t="s">
        <v>10225</v>
      </c>
      <c r="D35848">
        <v>5</v>
      </c>
      <c r="E35848">
        <v>0</v>
      </c>
      <c r="F35848">
        <v>626</v>
      </c>
    </row>
    <row r="35849" spans="1:6" ht="12.75">
      <c r="A35849" s="2">
        <v>43875.280393518522</v>
      </c>
      <c r="B35849" t="str">
        <f>HYPERLINK("https://twitter.com/LatifaDawaa","@LatifaDawaa")</f>
        <v>@LatifaDawaa</v>
      </c>
      <c r="C35849" t="s">
        <v>9964</v>
      </c>
      <c r="D35849">
        <v>458</v>
      </c>
      <c r="E35849">
        <v>0</v>
      </c>
      <c r="F35849">
        <v>153</v>
      </c>
    </row>
    <row r="35850" spans="1:6" ht="12.75">
      <c r="A35850" s="2">
        <v>43875.280393518522</v>
      </c>
      <c r="B35850" t="str">
        <f>HYPERLINK("https://twitter.com/odipipitbaim","@odipipitbaim")</f>
        <v>@odipipitbaim</v>
      </c>
      <c r="C35850" t="s">
        <v>9377</v>
      </c>
      <c r="D35850">
        <v>5</v>
      </c>
      <c r="E35850">
        <v>0</v>
      </c>
      <c r="F35850">
        <v>47</v>
      </c>
    </row>
    <row r="35851" spans="1:6" ht="12.75">
      <c r="A35851" s="2">
        <v>43875.280324074076</v>
      </c>
      <c r="B35851" t="str">
        <f>HYPERLINK("https://twitter.com/Negaprions","@Negaprions")</f>
        <v>@Negaprions</v>
      </c>
      <c r="C35851" t="s">
        <v>10739</v>
      </c>
      <c r="D35851">
        <v>226</v>
      </c>
      <c r="E35851">
        <v>0</v>
      </c>
      <c r="F35851">
        <v>1112</v>
      </c>
    </row>
    <row r="35852" spans="1:6" ht="12.75">
      <c r="A35852" s="2">
        <v>43875.280219907407</v>
      </c>
      <c r="B35852" t="str">
        <f>HYPERLINK("https://twitter.com/Maulida42410037","@Maulida42410037")</f>
        <v>@Maulida42410037</v>
      </c>
      <c r="C35852" t="s">
        <v>2963</v>
      </c>
      <c r="D35852">
        <v>206</v>
      </c>
      <c r="E35852">
        <v>0</v>
      </c>
      <c r="F35852">
        <v>58</v>
      </c>
    </row>
    <row r="35853" spans="1:6" ht="12.75">
      <c r="A35853" s="2">
        <v>43875.280162037037</v>
      </c>
      <c r="B35853" t="str">
        <f>HYPERLINK("https://twitter.com/Ikankoi21236749","@Ikankoi21236749")</f>
        <v>@Ikankoi21236749</v>
      </c>
      <c r="C35853" t="s">
        <v>9096</v>
      </c>
      <c r="D35853">
        <v>127</v>
      </c>
      <c r="E35853">
        <v>0</v>
      </c>
      <c r="F35853">
        <v>1</v>
      </c>
    </row>
    <row r="35854" spans="1:6" ht="12.75">
      <c r="A35854" s="2">
        <v>43875.280162037037</v>
      </c>
      <c r="B35854" t="str">
        <f>HYPERLINK("https://twitter.com/mpu_gandhring","@mpu_gandhring")</f>
        <v>@mpu_gandhring</v>
      </c>
      <c r="C35854" t="s">
        <v>10319</v>
      </c>
      <c r="D35854">
        <v>139</v>
      </c>
      <c r="E35854">
        <v>0</v>
      </c>
      <c r="F35854">
        <v>299</v>
      </c>
    </row>
    <row r="35855" spans="1:6" ht="12.75">
      <c r="A35855" s="2">
        <v>43875.280138888891</v>
      </c>
      <c r="B35855" t="str">
        <f>HYPERLINK("https://twitter.com/runnyfunny931","@runnyfunny931")</f>
        <v>@runnyfunny931</v>
      </c>
      <c r="C35855" t="s">
        <v>8233</v>
      </c>
      <c r="D35855">
        <v>243</v>
      </c>
      <c r="E35855">
        <v>0</v>
      </c>
      <c r="F35855">
        <v>15</v>
      </c>
    </row>
    <row r="35856" spans="1:6" ht="12.75">
      <c r="A35856" s="2">
        <v>43875.280023148152</v>
      </c>
      <c r="B35856" t="str">
        <f>HYPERLINK("https://twitter.com/neraka_jarum","@neraka_jarum")</f>
        <v>@neraka_jarum</v>
      </c>
      <c r="C35856" t="s">
        <v>10096</v>
      </c>
      <c r="D35856">
        <v>31</v>
      </c>
      <c r="E35856">
        <v>0</v>
      </c>
      <c r="F35856">
        <v>373</v>
      </c>
    </row>
    <row r="35857" spans="1:6" ht="12.75">
      <c r="A35857" s="2">
        <v>43875.279872685191</v>
      </c>
      <c r="B35857" t="str">
        <f>HYPERLINK("https://twitter.com/tsantosa844","@tsantosa844")</f>
        <v>@tsantosa844</v>
      </c>
      <c r="C35857" t="s">
        <v>8233</v>
      </c>
      <c r="D35857">
        <v>243</v>
      </c>
      <c r="E35857">
        <v>0</v>
      </c>
      <c r="F35857">
        <v>842</v>
      </c>
    </row>
    <row r="35858" spans="1:6" ht="12.75">
      <c r="A35858" s="2">
        <v>43875.279768518521</v>
      </c>
      <c r="B35858" t="str">
        <f>HYPERLINK("https://twitter.com/jamzsay","@jamzsay")</f>
        <v>@jamzsay</v>
      </c>
      <c r="C35858" t="s">
        <v>13949</v>
      </c>
      <c r="D35858">
        <v>33</v>
      </c>
      <c r="E35858">
        <v>0</v>
      </c>
      <c r="F35858">
        <v>1297</v>
      </c>
    </row>
    <row r="35859" spans="1:6" ht="12.75">
      <c r="A35859" s="2">
        <v>43875.279733796298</v>
      </c>
      <c r="B35859" t="str">
        <f>HYPERLINK("https://twitter.com/asnug_id","@asnug_id")</f>
        <v>@asnug_id</v>
      </c>
      <c r="C35859" t="s">
        <v>10422</v>
      </c>
      <c r="D35859">
        <v>5</v>
      </c>
      <c r="E35859">
        <v>0</v>
      </c>
      <c r="F35859">
        <v>3173</v>
      </c>
    </row>
    <row r="35860" spans="1:6" ht="12.75">
      <c r="A35860" s="2">
        <v>43875.279733796298</v>
      </c>
      <c r="B35860" t="str">
        <f>HYPERLINK("https://twitter.com/werkudorosakti","@werkudorosakti")</f>
        <v>@werkudorosakti</v>
      </c>
      <c r="C35860" t="s">
        <v>11071</v>
      </c>
      <c r="D35860">
        <v>49</v>
      </c>
      <c r="E35860">
        <v>0</v>
      </c>
      <c r="F35860">
        <v>94</v>
      </c>
    </row>
    <row r="35861" spans="1:6" ht="12.75">
      <c r="A35861" s="2">
        <v>43875.279733796298</v>
      </c>
      <c r="B35861" t="str">
        <f>HYPERLINK("https://twitter.com/esti_upay","@esti_upay")</f>
        <v>@esti_upay</v>
      </c>
      <c r="C35861" t="s">
        <v>9538</v>
      </c>
      <c r="D35861">
        <v>69</v>
      </c>
      <c r="E35861">
        <v>0</v>
      </c>
      <c r="F35861">
        <v>1382</v>
      </c>
    </row>
    <row r="35862" spans="1:6" ht="12.75">
      <c r="A35862" s="2">
        <v>43875.279687499999</v>
      </c>
      <c r="B35862" t="str">
        <f>HYPERLINK("https://twitter.com/danielsmlg","@danielsmlg")</f>
        <v>@danielsmlg</v>
      </c>
      <c r="C35862" t="s">
        <v>8233</v>
      </c>
      <c r="D35862">
        <v>243</v>
      </c>
      <c r="E35862">
        <v>0</v>
      </c>
      <c r="F35862">
        <v>1645</v>
      </c>
    </row>
    <row r="35863" spans="1:6" ht="12.75">
      <c r="A35863" s="2">
        <v>43875.279687499999</v>
      </c>
      <c r="B35863" t="str">
        <f>HYPERLINK("https://twitter.com/cotrans63","@cotrans63")</f>
        <v>@cotrans63</v>
      </c>
      <c r="C35863" t="s">
        <v>5624</v>
      </c>
      <c r="D35863">
        <v>105</v>
      </c>
      <c r="E35863">
        <v>0</v>
      </c>
      <c r="F35863">
        <v>608</v>
      </c>
    </row>
    <row r="35864" spans="1:6" ht="12.75">
      <c r="A35864" s="2">
        <v>43875.279548611114</v>
      </c>
      <c r="B35864" t="str">
        <f>HYPERLINK("https://twitter.com/iqbalcodet","@iqbalcodet")</f>
        <v>@iqbalcodet</v>
      </c>
      <c r="C35864" t="s">
        <v>10330</v>
      </c>
      <c r="D35864">
        <v>184</v>
      </c>
      <c r="E35864">
        <v>0</v>
      </c>
      <c r="F35864">
        <v>541</v>
      </c>
    </row>
    <row r="35865" spans="1:6" ht="12.75">
      <c r="A35865" s="2">
        <v>43875.279432870375</v>
      </c>
      <c r="B35865" t="str">
        <f t="shared" ref="B35865:B35866" si="402">HYPERLINK("https://twitter.com/BHD_8","@BHD_8")</f>
        <v>@BHD_8</v>
      </c>
      <c r="C35865" t="s">
        <v>14800</v>
      </c>
      <c r="D35865">
        <v>16</v>
      </c>
      <c r="E35865">
        <v>0</v>
      </c>
      <c r="F35865">
        <v>12131</v>
      </c>
    </row>
    <row r="35866" spans="1:6" ht="12.75">
      <c r="A35866" s="2">
        <v>43875.279374999998</v>
      </c>
      <c r="B35866" t="str">
        <f t="shared" si="402"/>
        <v>@BHD_8</v>
      </c>
      <c r="C35866" t="s">
        <v>14797</v>
      </c>
      <c r="D35866">
        <v>5</v>
      </c>
      <c r="E35866">
        <v>0</v>
      </c>
      <c r="F35866">
        <v>12131</v>
      </c>
    </row>
    <row r="35867" spans="1:6" ht="12.75">
      <c r="A35867" s="2">
        <v>43875.279270833329</v>
      </c>
      <c r="B35867" t="str">
        <f>HYPERLINK("https://twitter.com/AMKAnwar1","@AMKAnwar1")</f>
        <v>@AMKAnwar1</v>
      </c>
      <c r="C35867" t="s">
        <v>10096</v>
      </c>
      <c r="D35867">
        <v>31</v>
      </c>
      <c r="E35867">
        <v>0</v>
      </c>
      <c r="F35867">
        <v>422</v>
      </c>
    </row>
    <row r="35868" spans="1:6" ht="12.75">
      <c r="A35868" s="2">
        <v>43875.279270833329</v>
      </c>
      <c r="B35868" t="str">
        <f>HYPERLINK("https://twitter.com/osselow","@osselow")</f>
        <v>@osselow</v>
      </c>
      <c r="C35868" t="s">
        <v>10096</v>
      </c>
      <c r="D35868">
        <v>31</v>
      </c>
      <c r="E35868">
        <v>0</v>
      </c>
      <c r="F35868">
        <v>616</v>
      </c>
    </row>
    <row r="35869" spans="1:6" ht="12.75">
      <c r="A35869" s="2">
        <v>43875.279016203705</v>
      </c>
      <c r="B35869" t="str">
        <f>HYPERLINK("https://twitter.com/RinjaniJB","@RinjaniJB")</f>
        <v>@RinjaniJB</v>
      </c>
      <c r="C35869" t="s">
        <v>14871</v>
      </c>
      <c r="D35869">
        <v>1</v>
      </c>
      <c r="E35869">
        <v>0</v>
      </c>
      <c r="F35869">
        <v>19163</v>
      </c>
    </row>
    <row r="35870" spans="1:6" ht="12.75">
      <c r="A35870" s="2">
        <v>43875.278993055559</v>
      </c>
      <c r="B35870" t="str">
        <f>HYPERLINK("https://twitter.com/abespawnie","@abespawnie")</f>
        <v>@abespawnie</v>
      </c>
      <c r="C35870" t="s">
        <v>10266</v>
      </c>
      <c r="D35870">
        <v>243</v>
      </c>
      <c r="E35870">
        <v>0</v>
      </c>
      <c r="F35870">
        <v>300</v>
      </c>
    </row>
    <row r="35871" spans="1:6" ht="12.75">
      <c r="A35871" s="2">
        <v>43875.278935185182</v>
      </c>
      <c r="B35871" t="str">
        <f>HYPERLINK("https://twitter.com/UwaysAlqorni3","@UwaysAlqorni3")</f>
        <v>@UwaysAlqorni3</v>
      </c>
      <c r="C35871" t="s">
        <v>10875</v>
      </c>
      <c r="D35871">
        <v>287</v>
      </c>
      <c r="E35871">
        <v>0</v>
      </c>
      <c r="F35871">
        <v>34</v>
      </c>
    </row>
    <row r="35872" spans="1:6" ht="12.75">
      <c r="A35872" s="2">
        <v>43875.278935185182</v>
      </c>
      <c r="B35872" t="str">
        <f>HYPERLINK("https://twitter.com/ArifinWirya","@ArifinWirya")</f>
        <v>@ArifinWirya</v>
      </c>
      <c r="C35872" t="s">
        <v>2144</v>
      </c>
      <c r="D35872">
        <v>17</v>
      </c>
      <c r="E35872">
        <v>0</v>
      </c>
      <c r="F35872">
        <v>43</v>
      </c>
    </row>
    <row r="35873" spans="1:6" ht="12.75">
      <c r="A35873" s="2">
        <v>43875.278715277775</v>
      </c>
      <c r="B35873" t="str">
        <f>HYPERLINK("https://twitter.com/Harry85469365","@Harry85469365")</f>
        <v>@Harry85469365</v>
      </c>
      <c r="C35873" t="s">
        <v>14872</v>
      </c>
      <c r="D35873">
        <v>0</v>
      </c>
      <c r="E35873">
        <v>0</v>
      </c>
      <c r="F35873">
        <v>1614</v>
      </c>
    </row>
    <row r="35874" spans="1:6" ht="12.75">
      <c r="A35874" s="2">
        <v>43875.278703703705</v>
      </c>
      <c r="B35874" t="str">
        <f>HYPERLINK("https://twitter.com/yE_Nindya","@yE_Nindya")</f>
        <v>@yE_Nindya</v>
      </c>
      <c r="C35874" t="s">
        <v>9263</v>
      </c>
      <c r="D35874">
        <v>61</v>
      </c>
      <c r="E35874">
        <v>0</v>
      </c>
      <c r="F35874">
        <v>10887</v>
      </c>
    </row>
    <row r="35875" spans="1:6" ht="12.75">
      <c r="A35875" s="2">
        <v>43875.278483796297</v>
      </c>
      <c r="B35875" t="str">
        <f>HYPERLINK("https://twitter.com/MakNyus_xx","@MakNyus_xx")</f>
        <v>@MakNyus_xx</v>
      </c>
      <c r="C35875" t="s">
        <v>14873</v>
      </c>
      <c r="D35875">
        <v>0</v>
      </c>
      <c r="E35875">
        <v>0</v>
      </c>
      <c r="F35875">
        <v>3038</v>
      </c>
    </row>
    <row r="35876" spans="1:6" ht="12.75">
      <c r="A35876" s="2">
        <v>43875.278344907405</v>
      </c>
      <c r="B35876" t="str">
        <f>HYPERLINK("https://twitter.com/Fajar_RAR","@Fajar_RAR")</f>
        <v>@Fajar_RAR</v>
      </c>
      <c r="C35876" t="s">
        <v>14874</v>
      </c>
      <c r="D35876">
        <v>1</v>
      </c>
      <c r="E35876">
        <v>0</v>
      </c>
      <c r="F35876">
        <v>641</v>
      </c>
    </row>
    <row r="35877" spans="1:6" ht="12.75">
      <c r="A35877" s="2">
        <v>43875.278229166666</v>
      </c>
      <c r="B35877" t="str">
        <f>HYPERLINK("https://twitter.com/mubarok_97","@mubarok_97")</f>
        <v>@mubarok_97</v>
      </c>
      <c r="C35877" t="s">
        <v>175</v>
      </c>
      <c r="D35877">
        <v>5209</v>
      </c>
      <c r="E35877">
        <v>0</v>
      </c>
      <c r="F35877">
        <v>1021</v>
      </c>
    </row>
    <row r="35878" spans="1:6" ht="12.75">
      <c r="A35878" s="2">
        <v>43875.278148148151</v>
      </c>
      <c r="B35878" t="str">
        <f>HYPERLINK("https://twitter.com/zultala","@zultala")</f>
        <v>@zultala</v>
      </c>
      <c r="C35878" t="s">
        <v>2963</v>
      </c>
      <c r="D35878">
        <v>206</v>
      </c>
      <c r="E35878">
        <v>0</v>
      </c>
      <c r="F35878">
        <v>260</v>
      </c>
    </row>
    <row r="35879" spans="1:6" ht="12.75">
      <c r="A35879" s="2">
        <v>43875.278067129635</v>
      </c>
      <c r="B35879" t="str">
        <f>HYPERLINK("https://twitter.com/RinjaniJB","@RinjaniJB")</f>
        <v>@RinjaniJB</v>
      </c>
      <c r="C35879" t="s">
        <v>14875</v>
      </c>
      <c r="D35879">
        <v>1</v>
      </c>
      <c r="E35879">
        <v>0</v>
      </c>
      <c r="F35879">
        <v>19163</v>
      </c>
    </row>
    <row r="35880" spans="1:6" ht="12.75">
      <c r="A35880" s="2">
        <v>43875.277939814812</v>
      </c>
      <c r="B35880" t="str">
        <f>HYPERLINK("https://twitter.com/RajaCebong6","@RajaCebong6")</f>
        <v>@RajaCebong6</v>
      </c>
      <c r="C35880" t="s">
        <v>14876</v>
      </c>
      <c r="D35880">
        <v>0</v>
      </c>
      <c r="E35880">
        <v>0</v>
      </c>
      <c r="F35880">
        <v>4</v>
      </c>
    </row>
    <row r="35881" spans="1:6" ht="12.75">
      <c r="A35881" s="2">
        <v>43875.277708333335</v>
      </c>
      <c r="B35881" t="str">
        <f>HYPERLINK("https://twitter.com/jamzsay","@jamzsay")</f>
        <v>@jamzsay</v>
      </c>
      <c r="C35881" t="s">
        <v>9096</v>
      </c>
      <c r="D35881">
        <v>127</v>
      </c>
      <c r="E35881">
        <v>0</v>
      </c>
      <c r="F35881">
        <v>1297</v>
      </c>
    </row>
    <row r="35882" spans="1:6" ht="12.75">
      <c r="A35882" s="2">
        <v>43875.277662037042</v>
      </c>
      <c r="B35882" t="str">
        <f>HYPERLINK("https://twitter.com/aulyraindradjid","@aulyraindradjid")</f>
        <v>@aulyraindradjid</v>
      </c>
      <c r="C35882" t="s">
        <v>9186</v>
      </c>
      <c r="D35882">
        <v>94</v>
      </c>
      <c r="E35882">
        <v>0</v>
      </c>
      <c r="F35882">
        <v>243</v>
      </c>
    </row>
    <row r="35883" spans="1:6" ht="12.75">
      <c r="A35883" s="2">
        <v>43875.277615740742</v>
      </c>
      <c r="B35883" t="str">
        <f>HYPERLINK("https://twitter.com/bayu_andie","@bayu_andie")</f>
        <v>@bayu_andie</v>
      </c>
      <c r="C35883" t="s">
        <v>14877</v>
      </c>
      <c r="D35883">
        <v>0</v>
      </c>
      <c r="E35883">
        <v>0</v>
      </c>
      <c r="F35883">
        <v>83</v>
      </c>
    </row>
    <row r="35884" spans="1:6" ht="12.75">
      <c r="A35884" s="2">
        <v>43875.277615740742</v>
      </c>
      <c r="B35884" t="str">
        <f>HYPERLINK("https://twitter.com/RinjaniJB","@RinjaniJB")</f>
        <v>@RinjaniJB</v>
      </c>
      <c r="C35884" t="s">
        <v>14878</v>
      </c>
      <c r="D35884">
        <v>1</v>
      </c>
      <c r="E35884">
        <v>0</v>
      </c>
      <c r="F35884">
        <v>19163</v>
      </c>
    </row>
    <row r="35885" spans="1:6" ht="12.75">
      <c r="A35885" s="2">
        <v>43875.277557870373</v>
      </c>
      <c r="B35885" t="str">
        <f>HYPERLINK("https://twitter.com/mfirmans86","@mfirmans86")</f>
        <v>@mfirmans86</v>
      </c>
      <c r="C35885" t="s">
        <v>2963</v>
      </c>
      <c r="D35885">
        <v>206</v>
      </c>
      <c r="E35885">
        <v>0</v>
      </c>
      <c r="F35885">
        <v>123</v>
      </c>
    </row>
    <row r="35886" spans="1:6" ht="12.75">
      <c r="A35886" s="2">
        <v>43875.27752314815</v>
      </c>
      <c r="B35886" t="str">
        <f>HYPERLINK("https://twitter.com/LMN_Adam","@LMN_Adam")</f>
        <v>@LMN_Adam</v>
      </c>
      <c r="C35886" t="s">
        <v>14879</v>
      </c>
      <c r="D35886">
        <v>0</v>
      </c>
      <c r="E35886">
        <v>0</v>
      </c>
      <c r="F35886">
        <v>265</v>
      </c>
    </row>
    <row r="35887" spans="1:6" ht="12.75">
      <c r="A35887" s="2">
        <v>43875.277442129634</v>
      </c>
      <c r="B35887" t="str">
        <f t="shared" ref="B35887:B35888" si="403">HYPERLINK("https://twitter.com/Vicksigit","@Vicksigit")</f>
        <v>@Vicksigit</v>
      </c>
      <c r="C35887" t="s">
        <v>14880</v>
      </c>
      <c r="D35887">
        <v>0</v>
      </c>
      <c r="E35887">
        <v>1</v>
      </c>
      <c r="F35887">
        <v>128</v>
      </c>
    </row>
    <row r="35888" spans="1:6" ht="12.75">
      <c r="A35888" s="2">
        <v>43875.27743055555</v>
      </c>
      <c r="B35888" t="str">
        <f t="shared" si="403"/>
        <v>@Vicksigit</v>
      </c>
      <c r="C35888" t="s">
        <v>11</v>
      </c>
      <c r="D35888">
        <v>0</v>
      </c>
      <c r="E35888">
        <v>1</v>
      </c>
      <c r="F35888">
        <v>128</v>
      </c>
    </row>
    <row r="35889" spans="1:6" ht="12.75">
      <c r="A35889" s="2">
        <v>43875.277418981481</v>
      </c>
      <c r="B35889" t="str">
        <f>HYPERLINK("https://twitter.com/RinjaniJB","@RinjaniJB")</f>
        <v>@RinjaniJB</v>
      </c>
      <c r="C35889" t="s">
        <v>14881</v>
      </c>
      <c r="D35889">
        <v>1</v>
      </c>
      <c r="E35889">
        <v>0</v>
      </c>
      <c r="F35889">
        <v>19163</v>
      </c>
    </row>
    <row r="35890" spans="1:6" ht="12.75">
      <c r="A35890" s="2">
        <v>43875.277407407411</v>
      </c>
      <c r="B35890" t="str">
        <f>HYPERLINK("https://twitter.com/Agust30888907","@Agust30888907")</f>
        <v>@Agust30888907</v>
      </c>
      <c r="C35890" t="s">
        <v>10422</v>
      </c>
      <c r="D35890">
        <v>5</v>
      </c>
      <c r="E35890">
        <v>0</v>
      </c>
      <c r="F35890">
        <v>347</v>
      </c>
    </row>
    <row r="35891" spans="1:6" ht="12.75">
      <c r="A35891" s="2">
        <v>43875.27721064815</v>
      </c>
      <c r="B35891" t="str">
        <f>HYPERLINK("https://twitter.com/robert868686","@robert868686")</f>
        <v>@robert868686</v>
      </c>
      <c r="C35891" t="s">
        <v>14882</v>
      </c>
      <c r="D35891">
        <v>0</v>
      </c>
      <c r="E35891">
        <v>0</v>
      </c>
      <c r="F35891">
        <v>245</v>
      </c>
    </row>
    <row r="35892" spans="1:6" ht="12.75">
      <c r="A35892" s="2">
        <v>43875.277199074073</v>
      </c>
      <c r="B35892" t="str">
        <f>HYPERLINK("https://twitter.com/zeniofeby","@zeniofeby")</f>
        <v>@zeniofeby</v>
      </c>
      <c r="C35892" t="s">
        <v>2444</v>
      </c>
      <c r="D35892">
        <v>49</v>
      </c>
      <c r="E35892">
        <v>0</v>
      </c>
      <c r="F35892">
        <v>184</v>
      </c>
    </row>
    <row r="35893" spans="1:6" ht="12.75">
      <c r="A35893" s="2">
        <v>43875.277199074073</v>
      </c>
      <c r="B35893" t="str">
        <f>HYPERLINK("https://twitter.com/DedieRuji","@DedieRuji")</f>
        <v>@DedieRuji</v>
      </c>
      <c r="C35893" t="s">
        <v>2963</v>
      </c>
      <c r="D35893">
        <v>206</v>
      </c>
      <c r="E35893">
        <v>0</v>
      </c>
      <c r="F35893">
        <v>423</v>
      </c>
    </row>
    <row r="35894" spans="1:6" ht="12.75">
      <c r="A35894" s="2">
        <v>43875.277175925927</v>
      </c>
      <c r="B35894" t="str">
        <f>HYPERLINK("https://twitter.com/nonmolare","@nonmolare")</f>
        <v>@nonmolare</v>
      </c>
      <c r="C35894" t="s">
        <v>10526</v>
      </c>
      <c r="D35894">
        <v>92</v>
      </c>
      <c r="E35894">
        <v>0</v>
      </c>
      <c r="F35894">
        <v>740</v>
      </c>
    </row>
    <row r="35895" spans="1:6" ht="12.75">
      <c r="A35895" s="2">
        <v>43875.277118055557</v>
      </c>
      <c r="B35895" t="str">
        <f>HYPERLINK("https://twitter.com/makLambeTurah","@makLambeTurah")</f>
        <v>@makLambeTurah</v>
      </c>
      <c r="C35895" t="s">
        <v>14883</v>
      </c>
      <c r="D35895">
        <v>0</v>
      </c>
      <c r="E35895">
        <v>1</v>
      </c>
      <c r="F35895">
        <v>134136</v>
      </c>
    </row>
    <row r="35896" spans="1:6" ht="12.75">
      <c r="A35896" s="2">
        <v>43875.277071759258</v>
      </c>
      <c r="B35896" t="str">
        <f>HYPERLINK("https://twitter.com/jawabandoadoamu","@jawabandoadoamu")</f>
        <v>@jawabandoadoamu</v>
      </c>
      <c r="C35896" t="s">
        <v>13396</v>
      </c>
      <c r="D35896">
        <v>127</v>
      </c>
      <c r="E35896">
        <v>0</v>
      </c>
      <c r="F35896">
        <v>873</v>
      </c>
    </row>
    <row r="35897" spans="1:6" ht="12.75">
      <c r="A35897" s="2">
        <v>43875.276956018519</v>
      </c>
      <c r="B35897" t="str">
        <f>HYPERLINK("https://twitter.com/bjf_revival","@bjf_revival")</f>
        <v>@bjf_revival</v>
      </c>
      <c r="C35897" t="s">
        <v>10407</v>
      </c>
      <c r="D35897">
        <v>22</v>
      </c>
      <c r="E35897">
        <v>0</v>
      </c>
      <c r="F35897">
        <v>737</v>
      </c>
    </row>
    <row r="35898" spans="1:6" ht="12.75">
      <c r="A35898" s="2">
        <v>43875.276944444442</v>
      </c>
      <c r="B35898" t="str">
        <f>HYPERLINK("https://twitter.com/nonmolare","@nonmolare")</f>
        <v>@nonmolare</v>
      </c>
      <c r="C35898" t="s">
        <v>7390</v>
      </c>
      <c r="D35898">
        <v>74</v>
      </c>
      <c r="E35898">
        <v>0</v>
      </c>
      <c r="F35898">
        <v>740</v>
      </c>
    </row>
    <row r="35899" spans="1:6" ht="12.75">
      <c r="A35899" s="2">
        <v>43875.276898148149</v>
      </c>
      <c r="B35899" t="str">
        <f>HYPERLINK("https://twitter.com/redywanjames","@redywanjames")</f>
        <v>@redywanjames</v>
      </c>
      <c r="C35899" t="s">
        <v>11566</v>
      </c>
      <c r="D35899">
        <v>92</v>
      </c>
      <c r="E35899">
        <v>0</v>
      </c>
      <c r="F35899">
        <v>741</v>
      </c>
    </row>
    <row r="35900" spans="1:6" ht="12.75">
      <c r="A35900" s="2">
        <v>43875.276874999996</v>
      </c>
      <c r="B35900" t="str">
        <f>HYPERLINK("https://twitter.com/sahid_zakaria","@sahid_zakaria")</f>
        <v>@sahid_zakaria</v>
      </c>
      <c r="C35900" t="s">
        <v>14884</v>
      </c>
      <c r="D35900">
        <v>0</v>
      </c>
      <c r="E35900">
        <v>0</v>
      </c>
      <c r="F35900">
        <v>51</v>
      </c>
    </row>
    <row r="35901" spans="1:6" ht="12.75">
      <c r="A35901" s="2">
        <v>43875.276851851857</v>
      </c>
      <c r="B35901" t="str">
        <f>HYPERLINK("https://twitter.com/asnug_id","@asnug_id")</f>
        <v>@asnug_id</v>
      </c>
      <c r="C35901" t="s">
        <v>14885</v>
      </c>
      <c r="D35901">
        <v>0</v>
      </c>
      <c r="E35901">
        <v>0</v>
      </c>
      <c r="F35901">
        <v>3173</v>
      </c>
    </row>
    <row r="35902" spans="1:6" ht="12.75">
      <c r="A35902" s="2">
        <v>43875.276840277773</v>
      </c>
      <c r="B35902" t="str">
        <f>HYPERLINK("https://twitter.com/nonmolare","@nonmolare")</f>
        <v>@nonmolare</v>
      </c>
      <c r="C35902" t="s">
        <v>10542</v>
      </c>
      <c r="D35902">
        <v>120</v>
      </c>
      <c r="E35902">
        <v>0</v>
      </c>
      <c r="F35902">
        <v>740</v>
      </c>
    </row>
    <row r="35903" spans="1:6" ht="12.75">
      <c r="A35903" s="2">
        <v>43875.276828703703</v>
      </c>
      <c r="B35903" t="str">
        <f>HYPERLINK("https://twitter.com/Nou_vAn__10","@Nou_vAn__10")</f>
        <v>@Nou_vAn__10</v>
      </c>
      <c r="C35903" t="s">
        <v>8233</v>
      </c>
      <c r="D35903">
        <v>243</v>
      </c>
      <c r="E35903">
        <v>0</v>
      </c>
      <c r="F35903">
        <v>292</v>
      </c>
    </row>
    <row r="35904" spans="1:6" ht="12.75">
      <c r="A35904" s="2">
        <v>43875.276631944449</v>
      </c>
      <c r="B35904" t="str">
        <f>HYPERLINK("https://twitter.com/aka_andika_p27r","@aka_andika_p27r")</f>
        <v>@aka_andika_p27r</v>
      </c>
      <c r="C35904" t="s">
        <v>14886</v>
      </c>
      <c r="D35904">
        <v>0</v>
      </c>
      <c r="E35904">
        <v>0</v>
      </c>
      <c r="F35904">
        <v>46</v>
      </c>
    </row>
    <row r="35905" spans="1:6" ht="12.75">
      <c r="A35905" s="2">
        <v>43875.276620370365</v>
      </c>
      <c r="B35905" t="str">
        <f>HYPERLINK("https://twitter.com/RinjaniJB","@RinjaniJB")</f>
        <v>@RinjaniJB</v>
      </c>
      <c r="C35905" t="s">
        <v>14887</v>
      </c>
      <c r="D35905">
        <v>1</v>
      </c>
      <c r="E35905">
        <v>0</v>
      </c>
      <c r="F35905">
        <v>19163</v>
      </c>
    </row>
    <row r="35906" spans="1:6" ht="12.75">
      <c r="A35906" s="2">
        <v>43875.27652777778</v>
      </c>
      <c r="B35906" t="str">
        <f>HYPERLINK("https://twitter.com/minerva_zain","@minerva_zain")</f>
        <v>@minerva_zain</v>
      </c>
      <c r="C35906" t="s">
        <v>2122</v>
      </c>
      <c r="D35906">
        <v>163</v>
      </c>
      <c r="E35906">
        <v>0</v>
      </c>
      <c r="F35906">
        <v>70</v>
      </c>
    </row>
    <row r="35907" spans="1:6" ht="12.75">
      <c r="A35907" s="2">
        <v>43875.276423611111</v>
      </c>
      <c r="B35907" t="str">
        <f>HYPERLINK("https://twitter.com/Gueevara1","@Gueevara1")</f>
        <v>@Gueevara1</v>
      </c>
      <c r="C35907" t="s">
        <v>12</v>
      </c>
      <c r="D35907">
        <v>0</v>
      </c>
      <c r="E35907">
        <v>1</v>
      </c>
      <c r="F35907">
        <v>662</v>
      </c>
    </row>
    <row r="35908" spans="1:6" ht="12.75">
      <c r="A35908" s="2">
        <v>43875.276388888888</v>
      </c>
      <c r="B35908" t="str">
        <f>HYPERLINK("https://twitter.com/MrWahyuPrasetya","@MrWahyuPrasetya")</f>
        <v>@MrWahyuPrasetya</v>
      </c>
      <c r="C35908" t="s">
        <v>3604</v>
      </c>
      <c r="D35908">
        <v>423</v>
      </c>
      <c r="E35908">
        <v>0</v>
      </c>
      <c r="F35908">
        <v>1281</v>
      </c>
    </row>
    <row r="35909" spans="1:6" ht="12.75">
      <c r="A35909" s="2">
        <v>43875.276388888888</v>
      </c>
      <c r="B35909" t="str">
        <f>HYPERLINK("https://twitter.com/Vicksigit","@Vicksigit")</f>
        <v>@Vicksigit</v>
      </c>
      <c r="C35909" t="s">
        <v>13</v>
      </c>
      <c r="D35909">
        <v>0</v>
      </c>
      <c r="E35909">
        <v>1</v>
      </c>
      <c r="F35909">
        <v>128</v>
      </c>
    </row>
    <row r="35910" spans="1:6" ht="12.75">
      <c r="A35910" s="2">
        <v>43875.276377314818</v>
      </c>
      <c r="B35910" t="str">
        <f>HYPERLINK("https://twitter.com/sakurappu_","@sakurappu_")</f>
        <v>@sakurappu_</v>
      </c>
      <c r="C35910" t="s">
        <v>2444</v>
      </c>
      <c r="D35910">
        <v>49</v>
      </c>
      <c r="E35910">
        <v>0</v>
      </c>
      <c r="F35910">
        <v>581</v>
      </c>
    </row>
    <row r="35911" spans="1:6" ht="12.75">
      <c r="A35911" s="2">
        <v>43875.276226851856</v>
      </c>
      <c r="B35911" t="str">
        <f>HYPERLINK("https://twitter.com/AyubeeB","@AyubeeB")</f>
        <v>@AyubeeB</v>
      </c>
      <c r="C35911" t="s">
        <v>14888</v>
      </c>
      <c r="D35911">
        <v>0</v>
      </c>
      <c r="E35911">
        <v>0</v>
      </c>
      <c r="F35911">
        <v>1232</v>
      </c>
    </row>
    <row r="35912" spans="1:6" ht="12.75">
      <c r="A35912" s="2">
        <v>43875.27611111111</v>
      </c>
      <c r="B35912" t="str">
        <f>HYPERLINK("https://twitter.com/akusukasusumu","@akusukasusumu")</f>
        <v>@akusukasusumu</v>
      </c>
      <c r="C35912" t="s">
        <v>5761</v>
      </c>
      <c r="D35912">
        <v>17</v>
      </c>
      <c r="E35912">
        <v>0</v>
      </c>
      <c r="F35912">
        <v>45</v>
      </c>
    </row>
    <row r="35913" spans="1:6" ht="12.75">
      <c r="A35913" s="2">
        <v>43875.276041666672</v>
      </c>
      <c r="B35913" t="str">
        <f>HYPERLINK("https://twitter.com/LinaMarulita","@LinaMarulita")</f>
        <v>@LinaMarulita</v>
      </c>
      <c r="C35913" t="s">
        <v>8252</v>
      </c>
      <c r="D35913">
        <v>469</v>
      </c>
      <c r="E35913">
        <v>0</v>
      </c>
      <c r="F35913">
        <v>0</v>
      </c>
    </row>
    <row r="35914" spans="1:6" ht="12.75">
      <c r="A35914" s="2">
        <v>43875.276041666672</v>
      </c>
      <c r="B35914" t="str">
        <f>HYPERLINK("https://twitter.com/H_Darderdor","@H_Darderdor")</f>
        <v>@H_Darderdor</v>
      </c>
      <c r="C35914" t="s">
        <v>10121</v>
      </c>
      <c r="D35914">
        <v>131</v>
      </c>
      <c r="E35914">
        <v>0</v>
      </c>
      <c r="F35914">
        <v>56</v>
      </c>
    </row>
    <row r="35915" spans="1:6" ht="12.75">
      <c r="A35915" s="2">
        <v>43875.276006944448</v>
      </c>
      <c r="B35915" t="str">
        <f>HYPERLINK("https://twitter.com/yoniesteby","@yoniesteby")</f>
        <v>@yoniesteby</v>
      </c>
      <c r="C35915" t="s">
        <v>8233</v>
      </c>
      <c r="D35915">
        <v>243</v>
      </c>
      <c r="E35915">
        <v>0</v>
      </c>
      <c r="F35915">
        <v>267</v>
      </c>
    </row>
    <row r="35916" spans="1:6" ht="12.75">
      <c r="A35916" s="2">
        <v>43875.275914351849</v>
      </c>
      <c r="B35916" t="str">
        <f>HYPERLINK("https://twitter.com/edysimjbi","@edysimjbi")</f>
        <v>@edysimjbi</v>
      </c>
      <c r="C35916" t="s">
        <v>8233</v>
      </c>
      <c r="D35916">
        <v>243</v>
      </c>
      <c r="E35916">
        <v>0</v>
      </c>
      <c r="F35916">
        <v>50</v>
      </c>
    </row>
    <row r="35917" spans="1:6" ht="12.75">
      <c r="A35917" s="2">
        <v>43875.27579861111</v>
      </c>
      <c r="B35917" t="str">
        <f>HYPERLINK("https://twitter.com/masagni","@masagni")</f>
        <v>@masagni</v>
      </c>
      <c r="C35917" t="s">
        <v>8394</v>
      </c>
      <c r="D35917">
        <v>21</v>
      </c>
      <c r="E35917">
        <v>0</v>
      </c>
      <c r="F35917">
        <v>275</v>
      </c>
    </row>
    <row r="35918" spans="1:6" ht="12.75">
      <c r="A35918" s="2">
        <v>43875.275624999995</v>
      </c>
      <c r="B35918" t="str">
        <f>HYPERLINK("https://twitter.com/the_schloss","@the_schloss")</f>
        <v>@the_schloss</v>
      </c>
      <c r="C35918" t="s">
        <v>5761</v>
      </c>
      <c r="D35918">
        <v>17</v>
      </c>
      <c r="E35918">
        <v>0</v>
      </c>
      <c r="F35918">
        <v>450</v>
      </c>
    </row>
    <row r="35919" spans="1:6" ht="12.75">
      <c r="A35919" s="2">
        <v>43875.275451388894</v>
      </c>
      <c r="B35919" t="str">
        <f>HYPERLINK("https://twitter.com/Chandra0791","@Chandra0791")</f>
        <v>@Chandra0791</v>
      </c>
      <c r="C35919" t="s">
        <v>14889</v>
      </c>
      <c r="D35919">
        <v>1</v>
      </c>
      <c r="E35919">
        <v>0</v>
      </c>
      <c r="F35919">
        <v>3</v>
      </c>
    </row>
    <row r="35920" spans="1:6" ht="12.75">
      <c r="A35920" s="2">
        <v>43875.275451388894</v>
      </c>
      <c r="B35920" t="str">
        <f>HYPERLINK("https://twitter.com/davidsitorus13","@davidsitorus13")</f>
        <v>@davidsitorus13</v>
      </c>
      <c r="C35920" t="s">
        <v>175</v>
      </c>
      <c r="D35920">
        <v>5209</v>
      </c>
      <c r="E35920">
        <v>0</v>
      </c>
      <c r="F35920">
        <v>298</v>
      </c>
    </row>
    <row r="35921" spans="1:6" ht="12.75">
      <c r="A35921" s="2">
        <v>43875.275324074071</v>
      </c>
      <c r="B35921" t="str">
        <f>HYPERLINK("https://twitter.com/arie_ombob","@arie_ombob")</f>
        <v>@arie_ombob</v>
      </c>
      <c r="C35921" t="s">
        <v>14</v>
      </c>
      <c r="D35921">
        <v>0</v>
      </c>
      <c r="E35921">
        <v>0</v>
      </c>
      <c r="F35921">
        <v>534</v>
      </c>
    </row>
    <row r="35922" spans="1:6" ht="12.75">
      <c r="A35922" s="2">
        <v>43875.275254629625</v>
      </c>
      <c r="B35922" t="str">
        <f>HYPERLINK("https://twitter.com/apri_jhon","@apri_jhon")</f>
        <v>@apri_jhon</v>
      </c>
      <c r="C35922" t="s">
        <v>9096</v>
      </c>
      <c r="D35922">
        <v>127</v>
      </c>
      <c r="E35922">
        <v>0</v>
      </c>
      <c r="F35922">
        <v>143</v>
      </c>
    </row>
    <row r="35923" spans="1:6" ht="12.75">
      <c r="A35923" s="2">
        <v>43875.275243055556</v>
      </c>
      <c r="B35923" t="str">
        <f>HYPERLINK("https://twitter.com/IntanNu27007075","@IntanNu27007075")</f>
        <v>@IntanNu27007075</v>
      </c>
      <c r="C35923" t="s">
        <v>11071</v>
      </c>
      <c r="D35923">
        <v>49</v>
      </c>
      <c r="E35923">
        <v>0</v>
      </c>
      <c r="F35923">
        <v>100</v>
      </c>
    </row>
    <row r="35924" spans="1:6" ht="12.75">
      <c r="A35924" s="2">
        <v>43875.275185185186</v>
      </c>
      <c r="B35924" t="str">
        <f>HYPERLINK("https://twitter.com/Entos761","@Entos761")</f>
        <v>@Entos761</v>
      </c>
      <c r="C35924" t="s">
        <v>14890</v>
      </c>
      <c r="D35924">
        <v>0</v>
      </c>
      <c r="E35924">
        <v>0</v>
      </c>
      <c r="F35924">
        <v>0</v>
      </c>
    </row>
    <row r="35925" spans="1:6" ht="12.75">
      <c r="A35925" s="2">
        <v>43875.275173611109</v>
      </c>
      <c r="B35925" t="str">
        <f>HYPERLINK("https://twitter.com/davidhalimID","@davidhalimID")</f>
        <v>@davidhalimID</v>
      </c>
      <c r="C35925" t="s">
        <v>10462</v>
      </c>
      <c r="D35925">
        <v>220</v>
      </c>
      <c r="E35925">
        <v>0</v>
      </c>
      <c r="F35925">
        <v>67</v>
      </c>
    </row>
    <row r="35926" spans="1:6" ht="12.75">
      <c r="A35926" s="2">
        <v>43875.275092592594</v>
      </c>
      <c r="B35926" t="str">
        <f>HYPERLINK("https://twitter.com/bolgem","@bolgem")</f>
        <v>@bolgem</v>
      </c>
      <c r="C35926" t="s">
        <v>5624</v>
      </c>
      <c r="D35926">
        <v>105</v>
      </c>
      <c r="E35926">
        <v>0</v>
      </c>
      <c r="F35926">
        <v>476</v>
      </c>
    </row>
    <row r="35927" spans="1:6" ht="12.75">
      <c r="A35927" s="2">
        <v>43875.274942129632</v>
      </c>
      <c r="B35927" t="str">
        <f>HYPERLINK("https://twitter.com/mdualet","@mdualet")</f>
        <v>@mdualet</v>
      </c>
      <c r="C35927" t="s">
        <v>14891</v>
      </c>
      <c r="D35927">
        <v>0</v>
      </c>
      <c r="E35927">
        <v>0</v>
      </c>
      <c r="F35927">
        <v>155</v>
      </c>
    </row>
    <row r="35928" spans="1:6" ht="12.75">
      <c r="A35928" s="2">
        <v>43875.274930555555</v>
      </c>
      <c r="B35928" t="str">
        <f>HYPERLINK("https://twitter.com/davidhalimID","@davidhalimID")</f>
        <v>@davidhalimID</v>
      </c>
      <c r="C35928" t="s">
        <v>13299</v>
      </c>
      <c r="D35928">
        <v>98</v>
      </c>
      <c r="E35928">
        <v>0</v>
      </c>
      <c r="F35928">
        <v>67</v>
      </c>
    </row>
    <row r="35929" spans="1:6" ht="12.75">
      <c r="A35929" s="2">
        <v>43875.274317129632</v>
      </c>
      <c r="B35929" t="str">
        <f>HYPERLINK("https://twitter.com/fery_aee","@fery_aee")</f>
        <v>@fery_aee</v>
      </c>
      <c r="C35929" t="s">
        <v>9186</v>
      </c>
      <c r="D35929">
        <v>94</v>
      </c>
      <c r="E35929">
        <v>0</v>
      </c>
      <c r="F35929">
        <v>305</v>
      </c>
    </row>
    <row r="35930" spans="1:6" ht="12.75">
      <c r="A35930" s="2">
        <v>43875.274305555555</v>
      </c>
      <c r="B35930" t="str">
        <f>HYPERLINK("https://twitter.com/anis_negara","@anis_negara")</f>
        <v>@anis_negara</v>
      </c>
      <c r="C35930" t="s">
        <v>14892</v>
      </c>
      <c r="D35930">
        <v>0</v>
      </c>
      <c r="E35930">
        <v>0</v>
      </c>
      <c r="F35930">
        <v>671</v>
      </c>
    </row>
    <row r="35931" spans="1:6" ht="12.75">
      <c r="A35931" s="2">
        <v>43875.273761574077</v>
      </c>
      <c r="B35931" t="str">
        <f>HYPERLINK("https://twitter.com/denny64s","@denny64s")</f>
        <v>@denny64s</v>
      </c>
      <c r="C35931" t="s">
        <v>14893</v>
      </c>
      <c r="D35931">
        <v>0</v>
      </c>
      <c r="E35931">
        <v>0</v>
      </c>
      <c r="F35931">
        <v>4</v>
      </c>
    </row>
    <row r="35932" spans="1:6" ht="12.75">
      <c r="A35932" s="2">
        <v>43875.273622685185</v>
      </c>
      <c r="B35932" t="str">
        <f>HYPERLINK("https://twitter.com/kangmageran","@kangmageran")</f>
        <v>@kangmageran</v>
      </c>
      <c r="C35932" t="s">
        <v>2137</v>
      </c>
      <c r="D35932">
        <v>7</v>
      </c>
      <c r="E35932">
        <v>0</v>
      </c>
      <c r="F35932">
        <v>5900</v>
      </c>
    </row>
    <row r="35933" spans="1:6" ht="12.75">
      <c r="A35933" s="2">
        <v>43875.273611111115</v>
      </c>
      <c r="B35933" t="str">
        <f>HYPERLINK("https://twitter.com/iwan2701","@iwan2701")</f>
        <v>@iwan2701</v>
      </c>
      <c r="C35933" t="s">
        <v>14894</v>
      </c>
      <c r="D35933">
        <v>2</v>
      </c>
      <c r="E35933">
        <v>0</v>
      </c>
      <c r="F35933">
        <v>243</v>
      </c>
    </row>
    <row r="35934" spans="1:6" ht="12.75">
      <c r="A35934" s="2">
        <v>43875.273587962962</v>
      </c>
      <c r="B35934" t="str">
        <f>HYPERLINK("https://twitter.com/KafiaZulma","@KafiaZulma")</f>
        <v>@KafiaZulma</v>
      </c>
      <c r="C35934" t="s">
        <v>14895</v>
      </c>
      <c r="D35934">
        <v>0</v>
      </c>
      <c r="E35934">
        <v>1</v>
      </c>
      <c r="F35934">
        <v>585</v>
      </c>
    </row>
    <row r="35935" spans="1:6" ht="12.75">
      <c r="A35935" s="2">
        <v>43875.273495370369</v>
      </c>
      <c r="B35935" t="str">
        <f>HYPERLINK("https://twitter.com/Comment_LFC","@Comment_LFC")</f>
        <v>@Comment_LFC</v>
      </c>
      <c r="C35935" t="s">
        <v>8252</v>
      </c>
      <c r="D35935">
        <v>469</v>
      </c>
      <c r="E35935">
        <v>0</v>
      </c>
      <c r="F35935">
        <v>57</v>
      </c>
    </row>
    <row r="35936" spans="1:6" ht="12.75">
      <c r="A35936" s="2">
        <v>43875.273460648154</v>
      </c>
      <c r="B35936" t="str">
        <f>HYPERLINK("https://twitter.com/KodratArief","@KodratArief")</f>
        <v>@KodratArief</v>
      </c>
      <c r="C35936" t="s">
        <v>6982</v>
      </c>
      <c r="D35936">
        <v>78</v>
      </c>
      <c r="E35936">
        <v>0</v>
      </c>
      <c r="F35936">
        <v>1233</v>
      </c>
    </row>
    <row r="35937" spans="1:6" ht="12.75">
      <c r="A35937" s="2">
        <v>43875.273321759261</v>
      </c>
      <c r="B35937" t="str">
        <f>HYPERLINK("https://twitter.com/Rose89Black","@Rose89Black")</f>
        <v>@Rose89Black</v>
      </c>
      <c r="C35937" t="s">
        <v>5761</v>
      </c>
      <c r="D35937">
        <v>17</v>
      </c>
      <c r="E35937">
        <v>0</v>
      </c>
      <c r="F35937">
        <v>836</v>
      </c>
    </row>
    <row r="35938" spans="1:6" ht="12.75">
      <c r="A35938" s="2">
        <v>43875.273287037038</v>
      </c>
      <c r="B35938" t="str">
        <f>HYPERLINK("https://twitter.com/PepepPermana","@PepepPermana")</f>
        <v>@PepepPermana</v>
      </c>
      <c r="C35938" t="s">
        <v>14896</v>
      </c>
      <c r="D35938">
        <v>0</v>
      </c>
      <c r="E35938">
        <v>1</v>
      </c>
      <c r="F35938">
        <v>1746</v>
      </c>
    </row>
    <row r="35939" spans="1:6" ht="12.75">
      <c r="A35939" s="2">
        <v>43875.273148148146</v>
      </c>
      <c r="B35939" t="str">
        <f>HYPERLINK("https://twitter.com/sohen66","@sohen66")</f>
        <v>@sohen66</v>
      </c>
      <c r="C35939" t="s">
        <v>10096</v>
      </c>
      <c r="D35939">
        <v>31</v>
      </c>
      <c r="E35939">
        <v>0</v>
      </c>
      <c r="F35939">
        <v>996</v>
      </c>
    </row>
    <row r="35940" spans="1:6" ht="12.75">
      <c r="A35940" s="2">
        <v>43875.2730787037</v>
      </c>
      <c r="B35940" t="str">
        <f>HYPERLINK("https://twitter.com/Oodhi_tah","@Oodhi_tah")</f>
        <v>@Oodhi_tah</v>
      </c>
      <c r="C35940" t="s">
        <v>2963</v>
      </c>
      <c r="D35940">
        <v>206</v>
      </c>
      <c r="E35940">
        <v>0</v>
      </c>
      <c r="F35940">
        <v>251</v>
      </c>
    </row>
    <row r="35941" spans="1:6" ht="12.75">
      <c r="A35941" s="2">
        <v>43875.272824074069</v>
      </c>
      <c r="B35941" t="str">
        <f>HYPERLINK("https://twitter.com/jcklung","@jcklung")</f>
        <v>@jcklung</v>
      </c>
      <c r="C35941" t="s">
        <v>11566</v>
      </c>
      <c r="D35941">
        <v>92</v>
      </c>
      <c r="E35941">
        <v>0</v>
      </c>
      <c r="F35941">
        <v>804</v>
      </c>
    </row>
    <row r="35942" spans="1:6" ht="12.75">
      <c r="A35942" s="2">
        <v>43875.272812499999</v>
      </c>
      <c r="B35942" t="str">
        <f>HYPERLINK("https://twitter.com/duasatuempat","@duasatuempat")</f>
        <v>@duasatuempat</v>
      </c>
      <c r="C35942" t="s">
        <v>2444</v>
      </c>
      <c r="D35942">
        <v>49</v>
      </c>
      <c r="E35942">
        <v>0</v>
      </c>
      <c r="F35942">
        <v>420</v>
      </c>
    </row>
    <row r="35943" spans="1:6" ht="12.75">
      <c r="A35943" s="2">
        <v>43875.272743055553</v>
      </c>
      <c r="B35943" t="str">
        <f>HYPERLINK("https://twitter.com/nugrohorofil86","@nugrohorofil86")</f>
        <v>@nugrohorofil86</v>
      </c>
      <c r="C35943" t="s">
        <v>14897</v>
      </c>
      <c r="D35943">
        <v>1</v>
      </c>
      <c r="E35943">
        <v>0</v>
      </c>
      <c r="F35943">
        <v>63</v>
      </c>
    </row>
    <row r="35944" spans="1:6" ht="12.75">
      <c r="A35944" s="2">
        <v>43875.272615740745</v>
      </c>
      <c r="B35944" t="str">
        <f>HYPERLINK("https://twitter.com/DavidRuslie8","@DavidRuslie8")</f>
        <v>@DavidRuslie8</v>
      </c>
      <c r="C35944" t="s">
        <v>11394</v>
      </c>
      <c r="D35944">
        <v>18</v>
      </c>
      <c r="E35944">
        <v>0</v>
      </c>
      <c r="F35944">
        <v>918</v>
      </c>
    </row>
    <row r="35945" spans="1:6" ht="12.75">
      <c r="A35945" s="2">
        <v>43875.272499999999</v>
      </c>
      <c r="B35945" t="str">
        <f>HYPERLINK("https://twitter.com/aku_pipit","@aku_pipit")</f>
        <v>@aku_pipit</v>
      </c>
      <c r="C35945" t="s">
        <v>2963</v>
      </c>
      <c r="D35945">
        <v>206</v>
      </c>
      <c r="E35945">
        <v>0</v>
      </c>
      <c r="F35945">
        <v>1561</v>
      </c>
    </row>
    <row r="35946" spans="1:6" ht="12.75">
      <c r="A35946" s="2">
        <v>43875.27244212963</v>
      </c>
      <c r="B35946" t="str">
        <f>HYPERLINK("https://twitter.com/barryaje","@barryaje")</f>
        <v>@barryaje</v>
      </c>
      <c r="C35946" t="s">
        <v>14898</v>
      </c>
      <c r="D35946">
        <v>1</v>
      </c>
      <c r="E35946">
        <v>0</v>
      </c>
      <c r="F35946">
        <v>677</v>
      </c>
    </row>
    <row r="35947" spans="1:6" ht="12.75">
      <c r="A35947" s="2">
        <v>43875.272418981476</v>
      </c>
      <c r="B35947" t="str">
        <f>HYPERLINK("https://twitter.com/AhlulQohwah","@AhlulQohwah")</f>
        <v>@AhlulQohwah</v>
      </c>
      <c r="C35947" t="s">
        <v>14899</v>
      </c>
      <c r="D35947">
        <v>5</v>
      </c>
      <c r="E35947">
        <v>12</v>
      </c>
      <c r="F35947">
        <v>9973</v>
      </c>
    </row>
    <row r="35948" spans="1:6" ht="12.75">
      <c r="A35948" s="2">
        <v>43875.272372685184</v>
      </c>
      <c r="B35948" t="str">
        <f>HYPERLINK("https://twitter.com/grace_faithfull","@grace_faithfull")</f>
        <v>@grace_faithfull</v>
      </c>
      <c r="C35948" t="s">
        <v>14900</v>
      </c>
      <c r="D35948">
        <v>0</v>
      </c>
      <c r="E35948">
        <v>0</v>
      </c>
      <c r="F35948">
        <v>32</v>
      </c>
    </row>
    <row r="35949" spans="1:6" ht="12.75">
      <c r="A35949" s="2">
        <v>43875.272337962961</v>
      </c>
      <c r="B35949" t="str">
        <f>HYPERLINK("https://twitter.com/_UsbinDunda","@_UsbinDunda")</f>
        <v>@_UsbinDunda</v>
      </c>
      <c r="C35949" t="s">
        <v>14901</v>
      </c>
      <c r="D35949">
        <v>0</v>
      </c>
      <c r="E35949">
        <v>0</v>
      </c>
      <c r="F35949">
        <v>317</v>
      </c>
    </row>
    <row r="35950" spans="1:6" ht="12.75">
      <c r="A35950" s="2">
        <v>43875.272256944445</v>
      </c>
      <c r="B35950" t="str">
        <f>HYPERLINK("https://twitter.com/ferizqiawan","@ferizqiawan")</f>
        <v>@ferizqiawan</v>
      </c>
      <c r="C35950" t="s">
        <v>5168</v>
      </c>
      <c r="D35950">
        <v>327</v>
      </c>
      <c r="E35950">
        <v>0</v>
      </c>
      <c r="F35950">
        <v>786</v>
      </c>
    </row>
    <row r="35951" spans="1:6" ht="12.75">
      <c r="A35951" s="2">
        <v>43875.272245370375</v>
      </c>
      <c r="B35951" t="str">
        <f>HYPERLINK("https://twitter.com/RMondrokumoro","@RMondrokumoro")</f>
        <v>@RMondrokumoro</v>
      </c>
      <c r="C35951" t="s">
        <v>2963</v>
      </c>
      <c r="D35951">
        <v>206</v>
      </c>
      <c r="E35951">
        <v>0</v>
      </c>
      <c r="F35951">
        <v>20</v>
      </c>
    </row>
    <row r="35952" spans="1:6" ht="12.75">
      <c r="A35952" s="2">
        <v>43875.272175925929</v>
      </c>
      <c r="B35952" t="str">
        <f>HYPERLINK("https://twitter.com/Iwan90","@Iwan90")</f>
        <v>@Iwan90</v>
      </c>
      <c r="C35952" t="s">
        <v>14573</v>
      </c>
      <c r="D35952">
        <v>48</v>
      </c>
      <c r="E35952">
        <v>0</v>
      </c>
      <c r="F35952">
        <v>4911</v>
      </c>
    </row>
    <row r="35953" spans="1:6" ht="12.75">
      <c r="A35953" s="2">
        <v>43875.272141203706</v>
      </c>
      <c r="B35953" t="str">
        <f>HYPERLINK("https://twitter.com/serendipity_wil","@serendipity_wil")</f>
        <v>@serendipity_wil</v>
      </c>
      <c r="C35953" t="s">
        <v>14902</v>
      </c>
      <c r="D35953">
        <v>0</v>
      </c>
      <c r="E35953">
        <v>0</v>
      </c>
      <c r="F35953">
        <v>19</v>
      </c>
    </row>
    <row r="35954" spans="1:6" ht="12.75">
      <c r="A35954" s="2">
        <v>43875.272094907406</v>
      </c>
      <c r="B35954" t="str">
        <f>HYPERLINK("https://twitter.com/Dhika5113","@Dhika5113")</f>
        <v>@Dhika5113</v>
      </c>
      <c r="C35954" t="s">
        <v>2963</v>
      </c>
      <c r="D35954">
        <v>206</v>
      </c>
      <c r="E35954">
        <v>0</v>
      </c>
      <c r="F35954">
        <v>269</v>
      </c>
    </row>
    <row r="35955" spans="1:6" ht="12.75">
      <c r="A35955" s="2">
        <v>43875.272094907406</v>
      </c>
      <c r="B35955" t="str">
        <f>HYPERLINK("https://twitter.com/Lembayung071","@Lembayung071")</f>
        <v>@Lembayung071</v>
      </c>
      <c r="C35955" t="s">
        <v>14903</v>
      </c>
      <c r="D35955">
        <v>1</v>
      </c>
      <c r="E35955">
        <v>1</v>
      </c>
      <c r="F35955">
        <v>272</v>
      </c>
    </row>
    <row r="35956" spans="1:6" ht="12.75">
      <c r="A35956" s="2">
        <v>43875.272048611107</v>
      </c>
      <c r="B35956" t="str">
        <f>HYPERLINK("https://twitter.com/brucenggedabruc","@brucenggedabruc")</f>
        <v>@brucenggedabruc</v>
      </c>
      <c r="C35956" t="s">
        <v>2963</v>
      </c>
      <c r="D35956">
        <v>206</v>
      </c>
      <c r="E35956">
        <v>0</v>
      </c>
      <c r="F35956">
        <v>503</v>
      </c>
    </row>
    <row r="35957" spans="1:6" ht="12.75">
      <c r="A35957" s="2">
        <v>43875.271979166668</v>
      </c>
      <c r="B35957" t="str">
        <f>HYPERLINK("https://twitter.com/CetakTukang","@CetakTukang")</f>
        <v>@CetakTukang</v>
      </c>
      <c r="C35957" t="s">
        <v>9096</v>
      </c>
      <c r="D35957">
        <v>127</v>
      </c>
      <c r="E35957">
        <v>0</v>
      </c>
      <c r="F35957">
        <v>570</v>
      </c>
    </row>
    <row r="35958" spans="1:6" ht="12.75">
      <c r="A35958" s="2">
        <v>43875.271851851852</v>
      </c>
      <c r="B35958" t="str">
        <f>HYPERLINK("https://twitter.com/Arifudi50131840","@Arifudi50131840")</f>
        <v>@Arifudi50131840</v>
      </c>
      <c r="C35958" t="s">
        <v>2963</v>
      </c>
      <c r="D35958">
        <v>206</v>
      </c>
      <c r="E35958">
        <v>0</v>
      </c>
      <c r="F35958">
        <v>3</v>
      </c>
    </row>
    <row r="35959" spans="1:6" ht="12.75">
      <c r="A35959" s="2">
        <v>43875.271701388891</v>
      </c>
      <c r="B35959" t="str">
        <f>HYPERLINK("https://twitter.com/DemplonOncom","@DemplonOncom")</f>
        <v>@DemplonOncom</v>
      </c>
      <c r="C35959" t="s">
        <v>14904</v>
      </c>
      <c r="D35959">
        <v>0</v>
      </c>
      <c r="E35959">
        <v>0</v>
      </c>
      <c r="F35959">
        <v>1</v>
      </c>
    </row>
    <row r="35960" spans="1:6" ht="12.75">
      <c r="A35960" s="2">
        <v>43875.271655092598</v>
      </c>
      <c r="B35960" t="str">
        <f>HYPERLINK("https://twitter.com/arif_adinegoro","@arif_adinegoro")</f>
        <v>@arif_adinegoro</v>
      </c>
      <c r="C35960" t="s">
        <v>13419</v>
      </c>
      <c r="D35960">
        <v>74</v>
      </c>
      <c r="E35960">
        <v>0</v>
      </c>
      <c r="F35960">
        <v>1375</v>
      </c>
    </row>
    <row r="35961" spans="1:6" ht="12.75">
      <c r="A35961" s="2">
        <v>43875.271655092598</v>
      </c>
      <c r="B35961" t="str">
        <f>HYPERLINK("https://twitter.com/__Ndaru__","@__Ndaru__")</f>
        <v>@__Ndaru__</v>
      </c>
      <c r="C35961" t="s">
        <v>14905</v>
      </c>
      <c r="D35961">
        <v>0</v>
      </c>
      <c r="E35961">
        <v>0</v>
      </c>
      <c r="F35961">
        <v>315</v>
      </c>
    </row>
    <row r="35962" spans="1:6" ht="12.75">
      <c r="A35962" s="2">
        <v>43875.271643518514</v>
      </c>
      <c r="B35962" t="str">
        <f>HYPERLINK("https://twitter.com/Vers_chub","@Vers_chub")</f>
        <v>@Vers_chub</v>
      </c>
      <c r="C35962" t="s">
        <v>14326</v>
      </c>
      <c r="D35962">
        <v>48</v>
      </c>
      <c r="E35962">
        <v>0</v>
      </c>
      <c r="F35962">
        <v>533</v>
      </c>
    </row>
    <row r="35963" spans="1:6" ht="12.75">
      <c r="A35963" s="2">
        <v>43875.271631944444</v>
      </c>
      <c r="B35963" t="str">
        <f>HYPERLINK("https://twitter.com/lindatiyan","@lindatiyan")</f>
        <v>@lindatiyan</v>
      </c>
      <c r="C35963" t="s">
        <v>2963</v>
      </c>
      <c r="D35963">
        <v>206</v>
      </c>
      <c r="E35963">
        <v>0</v>
      </c>
      <c r="F35963">
        <v>160</v>
      </c>
    </row>
    <row r="35964" spans="1:6" ht="12.75">
      <c r="A35964" s="2">
        <v>43875.271620370375</v>
      </c>
      <c r="B35964" t="str">
        <f>HYPERLINK("https://twitter.com/Entos761","@Entos761")</f>
        <v>@Entos761</v>
      </c>
      <c r="C35964" t="s">
        <v>14906</v>
      </c>
      <c r="D35964">
        <v>0</v>
      </c>
      <c r="E35964">
        <v>0</v>
      </c>
      <c r="F35964">
        <v>0</v>
      </c>
    </row>
    <row r="35965" spans="1:6" ht="12.75">
      <c r="A35965" s="2">
        <v>43875.271516203706</v>
      </c>
      <c r="B35965" t="str">
        <f>HYPERLINK("https://twitter.com/RivaldiZakie","@RivaldiZakie")</f>
        <v>@RivaldiZakie</v>
      </c>
      <c r="C35965" t="s">
        <v>2144</v>
      </c>
      <c r="D35965">
        <v>17</v>
      </c>
      <c r="E35965">
        <v>0</v>
      </c>
      <c r="F35965">
        <v>15</v>
      </c>
    </row>
    <row r="35966" spans="1:6" ht="12.75">
      <c r="A35966" s="2">
        <v>43875.271504629629</v>
      </c>
      <c r="B35966" t="str">
        <f>HYPERLINK("https://twitter.com/aliwangi","@aliwangi")</f>
        <v>@aliwangi</v>
      </c>
      <c r="C35966" t="s">
        <v>14907</v>
      </c>
      <c r="D35966">
        <v>0</v>
      </c>
      <c r="E35966">
        <v>0</v>
      </c>
      <c r="F35966">
        <v>65</v>
      </c>
    </row>
    <row r="35967" spans="1:6" ht="12.75">
      <c r="A35967" s="2">
        <v>43875.271469907406</v>
      </c>
      <c r="B35967" t="str">
        <f>HYPERLINK("https://twitter.com/ahsan_wahid","@ahsan_wahid")</f>
        <v>@ahsan_wahid</v>
      </c>
      <c r="C35967" t="s">
        <v>14908</v>
      </c>
      <c r="D35967">
        <v>6</v>
      </c>
      <c r="E35967">
        <v>0</v>
      </c>
      <c r="F35967">
        <v>725</v>
      </c>
    </row>
    <row r="35968" spans="1:6" ht="12.75">
      <c r="A35968" s="2">
        <v>43875.27143518519</v>
      </c>
      <c r="B35968" t="str">
        <f>HYPERLINK("https://twitter.com/LiaIsti1","@LiaIsti1")</f>
        <v>@LiaIsti1</v>
      </c>
      <c r="C35968" t="s">
        <v>14909</v>
      </c>
      <c r="D35968">
        <v>2</v>
      </c>
      <c r="E35968">
        <v>0</v>
      </c>
      <c r="F35968">
        <v>1943</v>
      </c>
    </row>
    <row r="35969" spans="1:6" ht="12.75">
      <c r="A35969" s="2">
        <v>43875.271412037036</v>
      </c>
      <c r="B35969" t="str">
        <f>HYPERLINK("https://twitter.com/BacilMembusuk","@BacilMembusuk")</f>
        <v>@BacilMembusuk</v>
      </c>
      <c r="C35969" t="s">
        <v>14910</v>
      </c>
      <c r="D35969">
        <v>0</v>
      </c>
      <c r="E35969">
        <v>0</v>
      </c>
      <c r="F35969">
        <v>349</v>
      </c>
    </row>
    <row r="35970" spans="1:6" ht="12.75">
      <c r="A35970" s="2">
        <v>43875.27134259259</v>
      </c>
      <c r="B35970" t="str">
        <f>HYPERLINK("https://twitter.com/Cwen555","@Cwen555")</f>
        <v>@Cwen555</v>
      </c>
      <c r="C35970" t="s">
        <v>14324</v>
      </c>
      <c r="D35970">
        <v>42</v>
      </c>
      <c r="E35970">
        <v>0</v>
      </c>
      <c r="F35970">
        <v>187</v>
      </c>
    </row>
    <row r="35971" spans="1:6" ht="12.75">
      <c r="A35971" s="2">
        <v>43875.271226851852</v>
      </c>
      <c r="B35971" t="str">
        <f>HYPERLINK("https://twitter.com/CenHandoko","@CenHandoko")</f>
        <v>@CenHandoko</v>
      </c>
      <c r="C35971" t="s">
        <v>2963</v>
      </c>
      <c r="D35971">
        <v>206</v>
      </c>
      <c r="E35971">
        <v>0</v>
      </c>
      <c r="F35971">
        <v>93</v>
      </c>
    </row>
    <row r="35972" spans="1:6" ht="12.75">
      <c r="A35972" s="2">
        <v>43875.271215277782</v>
      </c>
      <c r="B35972" t="str">
        <f>HYPERLINK("https://twitter.com/WillFianelfist","@WillFianelfist")</f>
        <v>@WillFianelfist</v>
      </c>
      <c r="C35972" t="s">
        <v>14911</v>
      </c>
      <c r="D35972">
        <v>2</v>
      </c>
      <c r="E35972">
        <v>0</v>
      </c>
      <c r="F35972">
        <v>219</v>
      </c>
    </row>
    <row r="35973" spans="1:6" ht="12.75">
      <c r="A35973" s="2">
        <v>43875.271180555559</v>
      </c>
      <c r="B35973" t="str">
        <f>HYPERLINK("https://twitter.com/BEBENkinclong","@BEBENkinclong")</f>
        <v>@BEBENkinclong</v>
      </c>
      <c r="C35973" t="s">
        <v>10407</v>
      </c>
      <c r="D35973">
        <v>22</v>
      </c>
      <c r="E35973">
        <v>0</v>
      </c>
      <c r="F35973">
        <v>922</v>
      </c>
    </row>
    <row r="35974" spans="1:6" ht="12.75">
      <c r="A35974" s="2">
        <v>43875.271087962959</v>
      </c>
      <c r="B35974" t="str">
        <f>HYPERLINK("https://twitter.com/MukomukoRa","@MukomukoRa")</f>
        <v>@MukomukoRa</v>
      </c>
      <c r="C35974" t="s">
        <v>175</v>
      </c>
      <c r="D35974">
        <v>5209</v>
      </c>
      <c r="E35974">
        <v>0</v>
      </c>
      <c r="F35974">
        <v>523</v>
      </c>
    </row>
    <row r="35975" spans="1:6" ht="12.75">
      <c r="A35975" s="2">
        <v>43875.271006944444</v>
      </c>
      <c r="B35975" t="str">
        <f>HYPERLINK("https://twitter.com/MediaRakyat_","@MediaRakyat_")</f>
        <v>@MediaRakyat_</v>
      </c>
      <c r="C35975" t="s">
        <v>14912</v>
      </c>
      <c r="D35975">
        <v>1</v>
      </c>
      <c r="E35975">
        <v>1</v>
      </c>
      <c r="F35975">
        <v>3297</v>
      </c>
    </row>
    <row r="35976" spans="1:6" ht="12.75">
      <c r="A35976" s="2">
        <v>43875.270891203705</v>
      </c>
      <c r="B35976" t="str">
        <f>HYPERLINK("https://twitter.com/Radar_Cirebon","@Radar_Cirebon")</f>
        <v>@Radar_Cirebon</v>
      </c>
      <c r="C35976" t="s">
        <v>14913</v>
      </c>
      <c r="D35976">
        <v>0</v>
      </c>
      <c r="E35976">
        <v>0</v>
      </c>
      <c r="F35976">
        <v>21748</v>
      </c>
    </row>
    <row r="35977" spans="1:6" ht="12.75">
      <c r="A35977" s="2">
        <v>43875.270868055552</v>
      </c>
      <c r="B35977" t="str">
        <f>HYPERLINK("https://twitter.com/valencia_amara","@valencia_amara")</f>
        <v>@valencia_amara</v>
      </c>
      <c r="C35977" t="s">
        <v>9186</v>
      </c>
      <c r="D35977">
        <v>94</v>
      </c>
      <c r="E35977">
        <v>0</v>
      </c>
      <c r="F35977">
        <v>4841</v>
      </c>
    </row>
    <row r="35978" spans="1:6" ht="12.75">
      <c r="A35978" s="2">
        <v>43875.270787037036</v>
      </c>
      <c r="B35978" t="str">
        <f>HYPERLINK("https://twitter.com/candrahalimong","@candrahalimong")</f>
        <v>@candrahalimong</v>
      </c>
      <c r="C35978" t="s">
        <v>14914</v>
      </c>
      <c r="D35978">
        <v>0</v>
      </c>
      <c r="E35978">
        <v>0</v>
      </c>
      <c r="F35978">
        <v>23</v>
      </c>
    </row>
    <row r="35979" spans="1:6" ht="12.75">
      <c r="A35979" s="2">
        <v>43875.270775462966</v>
      </c>
      <c r="B35979" t="str">
        <f>HYPERLINK("https://twitter.com/Fajar_RAR","@Fajar_RAR")</f>
        <v>@Fajar_RAR</v>
      </c>
      <c r="C35979" t="s">
        <v>10096</v>
      </c>
      <c r="D35979">
        <v>31</v>
      </c>
      <c r="E35979">
        <v>0</v>
      </c>
      <c r="F35979">
        <v>641</v>
      </c>
    </row>
    <row r="35980" spans="1:6" ht="12.75">
      <c r="A35980" s="2">
        <v>43875.270752314813</v>
      </c>
      <c r="B35980" t="str">
        <f>HYPERLINK("https://twitter.com/valencia_amara","@valencia_amara")</f>
        <v>@valencia_amara</v>
      </c>
      <c r="C35980" t="s">
        <v>9803</v>
      </c>
      <c r="D35980">
        <v>30</v>
      </c>
      <c r="E35980">
        <v>0</v>
      </c>
      <c r="F35980">
        <v>4841</v>
      </c>
    </row>
    <row r="35981" spans="1:6" ht="12.75">
      <c r="A35981" s="2">
        <v>43875.270740740743</v>
      </c>
      <c r="B35981" t="str">
        <f>HYPERLINK("https://twitter.com/nonakitting","@nonakitting")</f>
        <v>@nonakitting</v>
      </c>
      <c r="C35981" t="s">
        <v>11167</v>
      </c>
      <c r="D35981">
        <v>150</v>
      </c>
      <c r="E35981">
        <v>0</v>
      </c>
      <c r="F35981">
        <v>429</v>
      </c>
    </row>
    <row r="35982" spans="1:6" ht="12.75">
      <c r="A35982" s="2">
        <v>43875.27071759259</v>
      </c>
      <c r="B35982" t="str">
        <f>HYPERLINK("https://twitter.com/MuhammadAly07","@MuhammadAly07")</f>
        <v>@MuhammadAly07</v>
      </c>
      <c r="C35982" t="s">
        <v>11425</v>
      </c>
      <c r="D35982">
        <v>168</v>
      </c>
      <c r="E35982">
        <v>0</v>
      </c>
      <c r="F35982">
        <v>166</v>
      </c>
    </row>
    <row r="35983" spans="1:6" ht="12.75">
      <c r="A35983" s="2">
        <v>43875.270636574074</v>
      </c>
      <c r="B35983" t="str">
        <f>HYPERLINK("https://twitter.com/GamaelBen","@GamaelBen")</f>
        <v>@GamaelBen</v>
      </c>
      <c r="C35983" t="s">
        <v>14909</v>
      </c>
      <c r="D35983">
        <v>2</v>
      </c>
      <c r="E35983">
        <v>0</v>
      </c>
      <c r="F35983">
        <v>6238</v>
      </c>
    </row>
    <row r="35984" spans="1:6" ht="12.75">
      <c r="A35984" s="2">
        <v>43875.270555555559</v>
      </c>
      <c r="B35984" t="str">
        <f>HYPERLINK("https://twitter.com/budhartono","@budhartono")</f>
        <v>@budhartono</v>
      </c>
      <c r="C35984" t="s">
        <v>12367</v>
      </c>
      <c r="D35984">
        <v>12</v>
      </c>
      <c r="E35984">
        <v>0</v>
      </c>
      <c r="F35984">
        <v>548</v>
      </c>
    </row>
    <row r="35985" spans="1:6" ht="12.75">
      <c r="A35985" s="2">
        <v>43875.270497685182</v>
      </c>
      <c r="B35985" t="str">
        <f>HYPERLINK("https://twitter.com/ari_anggar0","@ari_anggar0")</f>
        <v>@ari_anggar0</v>
      </c>
      <c r="C35985" t="s">
        <v>14915</v>
      </c>
      <c r="D35985">
        <v>0</v>
      </c>
      <c r="E35985">
        <v>0</v>
      </c>
      <c r="F35985">
        <v>109</v>
      </c>
    </row>
    <row r="35986" spans="1:6" ht="12.75">
      <c r="A35986" s="2">
        <v>43875.270451388889</v>
      </c>
      <c r="B35986" t="str">
        <f>HYPERLINK("https://twitter.com/GamaelBen","@GamaelBen")</f>
        <v>@GamaelBen</v>
      </c>
      <c r="C35986" t="s">
        <v>14916</v>
      </c>
      <c r="D35986">
        <v>2</v>
      </c>
      <c r="E35986">
        <v>5</v>
      </c>
      <c r="F35986">
        <v>6238</v>
      </c>
    </row>
    <row r="35987" spans="1:6" ht="12.75">
      <c r="A35987" s="2">
        <v>43875.270428240736</v>
      </c>
      <c r="B35987" t="str">
        <f>HYPERLINK("https://twitter.com/rizieqdivist","@rizieqdivist")</f>
        <v>@rizieqdivist</v>
      </c>
      <c r="C35987" t="s">
        <v>15</v>
      </c>
      <c r="D35987">
        <v>1</v>
      </c>
      <c r="E35987">
        <v>1</v>
      </c>
      <c r="F35987">
        <v>6479</v>
      </c>
    </row>
    <row r="35988" spans="1:6" ht="12.75">
      <c r="A35988" s="2">
        <v>43875.270381944443</v>
      </c>
      <c r="B35988" t="str">
        <f>HYPERLINK("https://twitter.com/Lembayung071","@Lembayung071")</f>
        <v>@Lembayung071</v>
      </c>
      <c r="C35988" t="s">
        <v>14917</v>
      </c>
      <c r="D35988">
        <v>0</v>
      </c>
      <c r="E35988">
        <v>1</v>
      </c>
      <c r="F35988">
        <v>272</v>
      </c>
    </row>
    <row r="35989" spans="1:6" ht="12.75">
      <c r="A35989" s="2">
        <v>43875.270381944443</v>
      </c>
      <c r="B35989" t="str">
        <f>HYPERLINK("https://twitter.com/budhartono","@budhartono")</f>
        <v>@budhartono</v>
      </c>
      <c r="C35989" t="s">
        <v>10859</v>
      </c>
      <c r="D35989">
        <v>25</v>
      </c>
      <c r="E35989">
        <v>0</v>
      </c>
      <c r="F35989">
        <v>548</v>
      </c>
    </row>
    <row r="35990" spans="1:6" ht="12.75">
      <c r="A35990" s="2">
        <v>43875.270335648151</v>
      </c>
      <c r="B35990" t="str">
        <f>HYPERLINK("https://twitter.com/DavidRuslie8","@DavidRuslie8")</f>
        <v>@DavidRuslie8</v>
      </c>
      <c r="C35990" t="s">
        <v>14918</v>
      </c>
      <c r="D35990">
        <v>6</v>
      </c>
      <c r="E35990">
        <v>0</v>
      </c>
      <c r="F35990">
        <v>918</v>
      </c>
    </row>
    <row r="35991" spans="1:6" ht="12.75">
      <c r="A35991" s="2">
        <v>43875.270266203705</v>
      </c>
      <c r="B35991" t="str">
        <f>HYPERLINK("https://twitter.com/tua_serdadu","@tua_serdadu")</f>
        <v>@tua_serdadu</v>
      </c>
      <c r="C35991" t="s">
        <v>2963</v>
      </c>
      <c r="D35991">
        <v>206</v>
      </c>
      <c r="E35991">
        <v>0</v>
      </c>
      <c r="F35991">
        <v>270</v>
      </c>
    </row>
    <row r="35992" spans="1:6" ht="12.75">
      <c r="A35992" s="2">
        <v>43875.270231481481</v>
      </c>
      <c r="B35992" t="str">
        <f>HYPERLINK("https://twitter.com/aris_rivai","@aris_rivai")</f>
        <v>@aris_rivai</v>
      </c>
      <c r="C35992" t="s">
        <v>10225</v>
      </c>
      <c r="D35992">
        <v>5</v>
      </c>
      <c r="E35992">
        <v>0</v>
      </c>
      <c r="F35992">
        <v>278</v>
      </c>
    </row>
    <row r="35993" spans="1:6" ht="12.75">
      <c r="A35993" s="2">
        <v>43875.270104166666</v>
      </c>
      <c r="B35993" t="str">
        <f>HYPERLINK("https://twitter.com/sonorafmjogja","@sonorafmjogja")</f>
        <v>@sonorafmjogja</v>
      </c>
      <c r="C35993" t="s">
        <v>14919</v>
      </c>
      <c r="D35993">
        <v>0</v>
      </c>
      <c r="E35993">
        <v>0</v>
      </c>
      <c r="F35993">
        <v>8031</v>
      </c>
    </row>
    <row r="35994" spans="1:6" ht="12.75">
      <c r="A35994" s="2">
        <v>43875.270104166666</v>
      </c>
      <c r="B35994" t="str">
        <f>HYPERLINK("https://twitter.com/isma_salam","@isma_salam")</f>
        <v>@isma_salam</v>
      </c>
      <c r="C35994" t="s">
        <v>2963</v>
      </c>
      <c r="D35994">
        <v>206</v>
      </c>
      <c r="E35994">
        <v>0</v>
      </c>
      <c r="F35994">
        <v>7</v>
      </c>
    </row>
    <row r="35995" spans="1:6" ht="12.75">
      <c r="A35995" s="2">
        <v>43875.270092592589</v>
      </c>
      <c r="B35995" t="str">
        <f>HYPERLINK("https://twitter.com/PribumiDong","@PribumiDong")</f>
        <v>@PribumiDong</v>
      </c>
      <c r="C35995" t="s">
        <v>10207</v>
      </c>
      <c r="D35995">
        <v>32</v>
      </c>
      <c r="E35995">
        <v>0</v>
      </c>
      <c r="F35995">
        <v>864</v>
      </c>
    </row>
    <row r="35996" spans="1:6" ht="12.75">
      <c r="A35996" s="2">
        <v>43875.270034722227</v>
      </c>
      <c r="B35996" t="str">
        <f>HYPERLINK("https://twitter.com/iwan2701","@iwan2701")</f>
        <v>@iwan2701</v>
      </c>
      <c r="C35996" t="s">
        <v>2963</v>
      </c>
      <c r="D35996">
        <v>206</v>
      </c>
      <c r="E35996">
        <v>0</v>
      </c>
      <c r="F35996">
        <v>243</v>
      </c>
    </row>
    <row r="35997" spans="1:6" ht="12.75">
      <c r="A35997" s="2">
        <v>43875.270011574074</v>
      </c>
      <c r="B35997" t="str">
        <f>HYPERLINK("https://twitter.com/budhartono","@budhartono")</f>
        <v>@budhartono</v>
      </c>
      <c r="C35997" t="s">
        <v>11425</v>
      </c>
      <c r="D35997">
        <v>168</v>
      </c>
      <c r="E35997">
        <v>0</v>
      </c>
      <c r="F35997">
        <v>548</v>
      </c>
    </row>
    <row r="35998" spans="1:6" ht="12.75">
      <c r="A35998" s="2">
        <v>43875.269965277781</v>
      </c>
      <c r="B35998" t="str">
        <f>HYPERLINK("https://twitter.com/redywanjames","@redywanjames")</f>
        <v>@redywanjames</v>
      </c>
      <c r="C35998" t="s">
        <v>10542</v>
      </c>
      <c r="D35998">
        <v>120</v>
      </c>
      <c r="E35998">
        <v>0</v>
      </c>
      <c r="F35998">
        <v>741</v>
      </c>
    </row>
    <row r="35999" spans="1:6" ht="12.75">
      <c r="A35999" s="2">
        <v>43875.269872685181</v>
      </c>
      <c r="B35999" t="str">
        <f>HYPERLINK("https://twitter.com/dickyrevolution","@dickyrevolution")</f>
        <v>@dickyrevolution</v>
      </c>
      <c r="C35999" t="s">
        <v>14920</v>
      </c>
      <c r="D35999">
        <v>0</v>
      </c>
      <c r="E35999">
        <v>1</v>
      </c>
      <c r="F35999">
        <v>430</v>
      </c>
    </row>
    <row r="36000" spans="1:6" ht="12.75">
      <c r="A36000" s="2">
        <v>43875.269872685181</v>
      </c>
      <c r="B36000" t="str">
        <f>HYPERLINK("https://twitter.com/iwan2701","@iwan2701")</f>
        <v>@iwan2701</v>
      </c>
      <c r="C36000" t="s">
        <v>2144</v>
      </c>
      <c r="D36000">
        <v>17</v>
      </c>
      <c r="E36000">
        <v>0</v>
      </c>
      <c r="F36000">
        <v>243</v>
      </c>
    </row>
    <row r="36001" spans="1:6" ht="12.75">
      <c r="A36001" s="2">
        <v>43875.269629629634</v>
      </c>
      <c r="B36001" t="str">
        <f>HYPERLINK("https://twitter.com/_P0T4T0_","@_P0T4T0_")</f>
        <v>@_P0T4T0_</v>
      </c>
      <c r="C36001" t="s">
        <v>14921</v>
      </c>
      <c r="D36001">
        <v>2</v>
      </c>
      <c r="E36001">
        <v>0</v>
      </c>
      <c r="F36001">
        <v>2486</v>
      </c>
    </row>
    <row r="36002" spans="1:6" ht="12.75">
      <c r="A36002" s="2">
        <v>43875.269513888888</v>
      </c>
      <c r="B36002" t="str">
        <f>HYPERLINK("https://twitter.com/budhartono","@budhartono")</f>
        <v>@budhartono</v>
      </c>
      <c r="C36002" t="s">
        <v>9096</v>
      </c>
      <c r="D36002">
        <v>127</v>
      </c>
      <c r="E36002">
        <v>0</v>
      </c>
      <c r="F36002">
        <v>548</v>
      </c>
    </row>
    <row r="36003" spans="1:6" ht="12.75">
      <c r="A36003" s="2">
        <v>43875.269513888888</v>
      </c>
      <c r="B36003" t="str">
        <f>HYPERLINK("https://twitter.com/DamaiNKRI1","@DamaiNKRI1")</f>
        <v>@DamaiNKRI1</v>
      </c>
      <c r="C36003" t="s">
        <v>14922</v>
      </c>
      <c r="D36003">
        <v>0</v>
      </c>
      <c r="E36003">
        <v>0</v>
      </c>
      <c r="F36003">
        <v>684</v>
      </c>
    </row>
    <row r="36004" spans="1:6" ht="12.75">
      <c r="A36004" s="2">
        <v>43875.269467592589</v>
      </c>
      <c r="B36004" t="str">
        <f>HYPERLINK("https://twitter.com/bolehajasi","@bolehajasi")</f>
        <v>@bolehajasi</v>
      </c>
      <c r="C36004" t="s">
        <v>2963</v>
      </c>
      <c r="D36004">
        <v>206</v>
      </c>
      <c r="E36004">
        <v>0</v>
      </c>
      <c r="F36004">
        <v>52</v>
      </c>
    </row>
    <row r="36005" spans="1:6" ht="12.75">
      <c r="A36005" s="2">
        <v>43875.269456018519</v>
      </c>
      <c r="B36005" t="str">
        <f>HYPERLINK("https://twitter.com/ochied_18","@ochied_18")</f>
        <v>@ochied_18</v>
      </c>
      <c r="C36005" t="s">
        <v>2144</v>
      </c>
      <c r="D36005">
        <v>17</v>
      </c>
      <c r="E36005">
        <v>0</v>
      </c>
      <c r="F36005">
        <v>138</v>
      </c>
    </row>
    <row r="36006" spans="1:6" ht="12.75">
      <c r="A36006" s="2">
        <v>43875.269293981481</v>
      </c>
      <c r="B36006" t="str">
        <f>HYPERLINK("https://twitter.com/antonratipdwi","@antonratipdwi")</f>
        <v>@antonratipdwi</v>
      </c>
      <c r="C36006" t="s">
        <v>14625</v>
      </c>
      <c r="D36006">
        <v>29</v>
      </c>
      <c r="E36006">
        <v>0</v>
      </c>
      <c r="F36006">
        <v>462</v>
      </c>
    </row>
    <row r="36007" spans="1:6" ht="12.75">
      <c r="A36007" s="2">
        <v>43875.269282407404</v>
      </c>
      <c r="B36007" t="str">
        <f>HYPERLINK("https://twitter.com/redywanjames","@redywanjames")</f>
        <v>@redywanjames</v>
      </c>
      <c r="C36007" t="s">
        <v>12940</v>
      </c>
      <c r="D36007">
        <v>92</v>
      </c>
      <c r="E36007">
        <v>0</v>
      </c>
      <c r="F36007">
        <v>741</v>
      </c>
    </row>
    <row r="36008" spans="1:6" ht="12.75">
      <c r="A36008" s="2">
        <v>43875.269259259258</v>
      </c>
      <c r="B36008" t="str">
        <f>HYPERLINK("https://twitter.com/Sagimin65864707","@Sagimin65864707")</f>
        <v>@Sagimin65864707</v>
      </c>
      <c r="C36008" t="s">
        <v>14923</v>
      </c>
      <c r="D36008">
        <v>0</v>
      </c>
      <c r="E36008">
        <v>0</v>
      </c>
      <c r="F36008">
        <v>1</v>
      </c>
    </row>
    <row r="36009" spans="1:6" ht="12.75">
      <c r="A36009" s="2">
        <v>43875.269247685181</v>
      </c>
      <c r="B36009" t="str">
        <f>HYPERLINK("https://twitter.com/paapiyo1","@paapiyo1")</f>
        <v>@paapiyo1</v>
      </c>
      <c r="C36009" t="s">
        <v>14924</v>
      </c>
      <c r="D36009">
        <v>143</v>
      </c>
      <c r="E36009">
        <v>0</v>
      </c>
      <c r="F36009">
        <v>133</v>
      </c>
    </row>
    <row r="36010" spans="1:6" ht="12.75">
      <c r="A36010" s="2">
        <v>43875.269189814819</v>
      </c>
      <c r="B36010" t="str">
        <f>HYPERLINK("https://twitter.com/toegiono","@toegiono")</f>
        <v>@toegiono</v>
      </c>
      <c r="C36010" t="s">
        <v>14925</v>
      </c>
      <c r="D36010">
        <v>0</v>
      </c>
      <c r="E36010">
        <v>3</v>
      </c>
      <c r="F36010">
        <v>32293</v>
      </c>
    </row>
    <row r="36011" spans="1:6" ht="12.75">
      <c r="A36011" s="2">
        <v>43875.268958333334</v>
      </c>
      <c r="B36011" t="str">
        <f>HYPERLINK("https://twitter.com/J4m1l_Hrp","@J4m1l_Hrp")</f>
        <v>@J4m1l_Hrp</v>
      </c>
      <c r="C36011" t="s">
        <v>10096</v>
      </c>
      <c r="D36011">
        <v>31</v>
      </c>
      <c r="E36011">
        <v>0</v>
      </c>
      <c r="F36011">
        <v>410</v>
      </c>
    </row>
    <row r="36012" spans="1:6" ht="12.75">
      <c r="A36012" s="2">
        <v>43875.268935185188</v>
      </c>
      <c r="B36012" t="str">
        <f>HYPERLINK("https://twitter.com/redywanjames","@redywanjames")</f>
        <v>@redywanjames</v>
      </c>
      <c r="C36012" t="s">
        <v>10295</v>
      </c>
      <c r="D36012">
        <v>82</v>
      </c>
      <c r="E36012">
        <v>0</v>
      </c>
      <c r="F36012">
        <v>741</v>
      </c>
    </row>
    <row r="36013" spans="1:6" ht="12.75">
      <c r="A36013" s="2">
        <v>43875.268877314811</v>
      </c>
      <c r="B36013" t="str">
        <f>HYPERLINK("https://twitter.com/duo_hh","@duo_hh")</f>
        <v>@duo_hh</v>
      </c>
      <c r="C36013" t="s">
        <v>14926</v>
      </c>
      <c r="D36013">
        <v>0</v>
      </c>
      <c r="E36013">
        <v>0</v>
      </c>
      <c r="F36013">
        <v>207</v>
      </c>
    </row>
    <row r="36014" spans="1:6" ht="12.75">
      <c r="A36014" s="2">
        <v>43875.268819444449</v>
      </c>
      <c r="B36014" t="str">
        <f>HYPERLINK("https://twitter.com/rahmat_b45uki","@rahmat_b45uki")</f>
        <v>@rahmat_b45uki</v>
      </c>
      <c r="C36014" t="s">
        <v>2963</v>
      </c>
      <c r="D36014">
        <v>206</v>
      </c>
      <c r="E36014">
        <v>0</v>
      </c>
      <c r="F36014">
        <v>632</v>
      </c>
    </row>
    <row r="36015" spans="1:6" ht="12.75">
      <c r="A36015" s="2">
        <v>43875.268738425926</v>
      </c>
      <c r="B36015" t="str">
        <f>HYPERLINK("https://twitter.com/salammuly109gm1","@salammuly109gm1")</f>
        <v>@salammuly109gm1</v>
      </c>
      <c r="C36015" t="s">
        <v>3038</v>
      </c>
      <c r="D36015">
        <v>99</v>
      </c>
      <c r="E36015">
        <v>0</v>
      </c>
      <c r="F36015">
        <v>627</v>
      </c>
    </row>
    <row r="36016" spans="1:6" ht="12.75">
      <c r="A36016" s="2">
        <v>43875.268645833334</v>
      </c>
      <c r="B36016" t="str">
        <f>HYPERLINK("https://twitter.com/vita_AVP","@vita_AVP")</f>
        <v>@vita_AVP</v>
      </c>
      <c r="C36016" t="s">
        <v>11566</v>
      </c>
      <c r="D36016">
        <v>92</v>
      </c>
      <c r="E36016">
        <v>0</v>
      </c>
      <c r="F36016">
        <v>6066</v>
      </c>
    </row>
    <row r="36017" spans="1:6" ht="12.75">
      <c r="A36017" s="2">
        <v>43875.268530092595</v>
      </c>
      <c r="B36017" t="str">
        <f>HYPERLINK("https://twitter.com/adhyastanps","@adhyastanps")</f>
        <v>@adhyastanps</v>
      </c>
      <c r="C36017" t="s">
        <v>175</v>
      </c>
      <c r="D36017">
        <v>5209</v>
      </c>
      <c r="E36017">
        <v>0</v>
      </c>
      <c r="F36017">
        <v>474</v>
      </c>
    </row>
    <row r="36018" spans="1:6" ht="12.75">
      <c r="A36018" s="2">
        <v>43875.268518518518</v>
      </c>
      <c r="B36018" t="str">
        <f>HYPERLINK("https://twitter.com/mamihanafi","@mamihanafi")</f>
        <v>@mamihanafi</v>
      </c>
      <c r="C36018" t="s">
        <v>10330</v>
      </c>
      <c r="D36018">
        <v>184</v>
      </c>
      <c r="E36018">
        <v>0</v>
      </c>
      <c r="F36018">
        <v>1455</v>
      </c>
    </row>
    <row r="36019" spans="1:6" ht="12.75">
      <c r="A36019" s="2">
        <v>43875.268368055556</v>
      </c>
      <c r="B36019" t="str">
        <f>HYPERLINK("https://twitter.com/TeWeL7","@TeWeL7")</f>
        <v>@TeWeL7</v>
      </c>
      <c r="C36019" t="s">
        <v>14927</v>
      </c>
      <c r="D36019">
        <v>0</v>
      </c>
      <c r="E36019">
        <v>0</v>
      </c>
      <c r="F36019">
        <v>2579</v>
      </c>
    </row>
    <row r="36020" spans="1:6" ht="12.75">
      <c r="A36020" s="2">
        <v>43875.268333333333</v>
      </c>
      <c r="B36020" t="str">
        <f>HYPERLINK("https://twitter.com/redywanjames","@redywanjames")</f>
        <v>@redywanjames</v>
      </c>
      <c r="C36020" t="s">
        <v>10462</v>
      </c>
      <c r="D36020">
        <v>220</v>
      </c>
      <c r="E36020">
        <v>0</v>
      </c>
      <c r="F36020">
        <v>741</v>
      </c>
    </row>
    <row r="36021" spans="1:6" ht="12.75">
      <c r="A36021" s="2">
        <v>43875.268182870372</v>
      </c>
      <c r="B36021" t="str">
        <f>HYPERLINK("https://twitter.com/NeetaSari","@NeetaSari")</f>
        <v>@NeetaSari</v>
      </c>
      <c r="C36021" t="s">
        <v>5168</v>
      </c>
      <c r="D36021">
        <v>327</v>
      </c>
      <c r="E36021">
        <v>0</v>
      </c>
      <c r="F36021">
        <v>171</v>
      </c>
    </row>
    <row r="36022" spans="1:6" ht="12.75">
      <c r="A36022" s="2">
        <v>43875.268148148149</v>
      </c>
      <c r="B36022" t="str">
        <f>HYPERLINK("https://twitter.com/xcreamylatte","@xcreamylatte")</f>
        <v>@xcreamylatte</v>
      </c>
      <c r="C36022" t="s">
        <v>14928</v>
      </c>
      <c r="D36022">
        <v>0</v>
      </c>
      <c r="E36022">
        <v>0</v>
      </c>
      <c r="F36022">
        <v>215</v>
      </c>
    </row>
    <row r="36023" spans="1:6" ht="12.75">
      <c r="A36023" s="2">
        <v>43875.268043981487</v>
      </c>
      <c r="B36023" t="str">
        <f>HYPERLINK("https://twitter.com/mahendrattaTroy","@mahendrattaTroy")</f>
        <v>@mahendrattaTroy</v>
      </c>
      <c r="C36023" t="s">
        <v>2963</v>
      </c>
      <c r="D36023">
        <v>206</v>
      </c>
      <c r="E36023">
        <v>0</v>
      </c>
      <c r="F36023">
        <v>31</v>
      </c>
    </row>
    <row r="36024" spans="1:6" ht="12.75">
      <c r="A36024" s="2">
        <v>43875.268032407403</v>
      </c>
      <c r="B36024" t="str">
        <f>HYPERLINK("https://twitter.com/arzulyfikri","@arzulyfikri")</f>
        <v>@arzulyfikri</v>
      </c>
      <c r="C36024" t="s">
        <v>2963</v>
      </c>
      <c r="D36024">
        <v>206</v>
      </c>
      <c r="E36024">
        <v>0</v>
      </c>
      <c r="F36024">
        <v>1385</v>
      </c>
    </row>
    <row r="36025" spans="1:6" ht="12.75">
      <c r="A36025" s="2">
        <v>43875.268032407403</v>
      </c>
      <c r="B36025" t="str">
        <f>HYPERLINK("https://twitter.com/Dionisius_AD","@Dionisius_AD")</f>
        <v>@Dionisius_AD</v>
      </c>
      <c r="C36025" t="s">
        <v>14929</v>
      </c>
      <c r="D36025">
        <v>0</v>
      </c>
      <c r="E36025">
        <v>0</v>
      </c>
      <c r="F36025">
        <v>307</v>
      </c>
    </row>
    <row r="36026" spans="1:6" ht="12.75">
      <c r="A36026" s="2">
        <v>43875.268009259264</v>
      </c>
      <c r="B36026" t="str">
        <f>HYPERLINK("https://twitter.com/PideksoRoyo1","@PideksoRoyo1")</f>
        <v>@PideksoRoyo1</v>
      </c>
      <c r="C36026" t="s">
        <v>9538</v>
      </c>
      <c r="D36026">
        <v>69</v>
      </c>
      <c r="E36026">
        <v>0</v>
      </c>
      <c r="F36026">
        <v>715</v>
      </c>
    </row>
    <row r="36027" spans="1:6" ht="12.75">
      <c r="A36027" s="2">
        <v>43875.267997685187</v>
      </c>
      <c r="B36027" t="str">
        <f>HYPERLINK("https://twitter.com/sorotnews","@sorotnews")</f>
        <v>@sorotnews</v>
      </c>
      <c r="C36027" t="s">
        <v>16</v>
      </c>
      <c r="D36027">
        <v>0</v>
      </c>
      <c r="E36027">
        <v>0</v>
      </c>
      <c r="F36027">
        <v>3409</v>
      </c>
    </row>
    <row r="36028" spans="1:6" ht="12.75">
      <c r="A36028" s="2">
        <v>43875.267974537041</v>
      </c>
      <c r="B36028" t="str">
        <f>HYPERLINK("https://twitter.com/ahmadmushlih","@ahmadmushlih")</f>
        <v>@ahmadmushlih</v>
      </c>
      <c r="C36028" t="s">
        <v>5168</v>
      </c>
      <c r="D36028">
        <v>327</v>
      </c>
      <c r="E36028">
        <v>0</v>
      </c>
      <c r="F36028">
        <v>417</v>
      </c>
    </row>
    <row r="36029" spans="1:6" ht="12.75">
      <c r="A36029" s="2">
        <v>43875.267881944441</v>
      </c>
      <c r="B36029" t="str">
        <f>HYPERLINK("https://twitter.com/salammuly109gm1","@salammuly109gm1")</f>
        <v>@salammuly109gm1</v>
      </c>
      <c r="C36029" t="s">
        <v>9947</v>
      </c>
      <c r="D36029">
        <v>308</v>
      </c>
      <c r="E36029">
        <v>0</v>
      </c>
      <c r="F36029">
        <v>627</v>
      </c>
    </row>
    <row r="36030" spans="1:6" ht="12.75">
      <c r="A36030" s="2">
        <v>43875.267812499995</v>
      </c>
      <c r="B36030" t="str">
        <f>HYPERLINK("https://twitter.com/dyarayu","@dyarayu")</f>
        <v>@dyarayu</v>
      </c>
      <c r="C36030" t="s">
        <v>2963</v>
      </c>
      <c r="D36030">
        <v>206</v>
      </c>
      <c r="E36030">
        <v>0</v>
      </c>
      <c r="F36030">
        <v>571</v>
      </c>
    </row>
    <row r="36031" spans="1:6" ht="12.75">
      <c r="A36031" s="2">
        <v>43875.267754629633</v>
      </c>
      <c r="B36031" t="str">
        <f>HYPERLINK("https://twitter.com/orangefickle","@orangefickle")</f>
        <v>@orangefickle</v>
      </c>
      <c r="C36031" t="s">
        <v>5168</v>
      </c>
      <c r="D36031">
        <v>327</v>
      </c>
      <c r="E36031">
        <v>0</v>
      </c>
      <c r="F36031">
        <v>253</v>
      </c>
    </row>
    <row r="36032" spans="1:6" ht="12.75">
      <c r="A36032" s="2">
        <v>43875.267743055556</v>
      </c>
      <c r="B36032" t="str">
        <f>HYPERLINK("https://twitter.com/redywanjames","@redywanjames")</f>
        <v>@redywanjames</v>
      </c>
      <c r="C36032" t="s">
        <v>11322</v>
      </c>
      <c r="D36032">
        <v>54</v>
      </c>
      <c r="E36032">
        <v>0</v>
      </c>
      <c r="F36032">
        <v>741</v>
      </c>
    </row>
    <row r="36033" spans="1:6" ht="12.75">
      <c r="A36033" s="2">
        <v>43875.267743055556</v>
      </c>
      <c r="B36033" t="str">
        <f>HYPERLINK("https://twitter.com/yuniarko","@yuniarko")</f>
        <v>@yuniarko</v>
      </c>
      <c r="C36033" t="s">
        <v>8470</v>
      </c>
      <c r="D36033">
        <v>127</v>
      </c>
      <c r="E36033">
        <v>0</v>
      </c>
      <c r="F36033">
        <v>100</v>
      </c>
    </row>
    <row r="36034" spans="1:6" ht="12.75">
      <c r="A36034" s="2">
        <v>43875.267395833333</v>
      </c>
      <c r="B36034" t="str">
        <f>HYPERLINK("https://twitter.com/salammuly109gm1","@salammuly109gm1")</f>
        <v>@salammuly109gm1</v>
      </c>
      <c r="C36034" t="s">
        <v>9113</v>
      </c>
      <c r="D36034">
        <v>227</v>
      </c>
      <c r="E36034">
        <v>0</v>
      </c>
      <c r="F36034">
        <v>627</v>
      </c>
    </row>
    <row r="36035" spans="1:6" ht="12.75">
      <c r="A36035" s="2">
        <v>43875.26725694444</v>
      </c>
      <c r="B36035" t="str">
        <f>HYPERLINK("https://twitter.com/yuniarko","@yuniarko")</f>
        <v>@yuniarko</v>
      </c>
      <c r="C36035" t="s">
        <v>13419</v>
      </c>
      <c r="D36035">
        <v>74</v>
      </c>
      <c r="E36035">
        <v>0</v>
      </c>
      <c r="F36035">
        <v>100</v>
      </c>
    </row>
    <row r="36036" spans="1:6" ht="12.75">
      <c r="A36036" s="2">
        <v>43875.26725694444</v>
      </c>
      <c r="B36036" t="str">
        <f>HYPERLINK("https://twitter.com/wakilgubernurKW","@wakilgubernurKW")</f>
        <v>@wakilgubernurKW</v>
      </c>
      <c r="C36036" t="s">
        <v>14930</v>
      </c>
      <c r="D36036">
        <v>0</v>
      </c>
      <c r="E36036">
        <v>0</v>
      </c>
      <c r="F36036">
        <v>17910</v>
      </c>
    </row>
    <row r="36037" spans="1:6" ht="12.75">
      <c r="A36037" s="2">
        <v>43875.267199074078</v>
      </c>
      <c r="B36037" t="str">
        <f>HYPERLINK("https://twitter.com/ndakpunya","@ndakpunya")</f>
        <v>@ndakpunya</v>
      </c>
      <c r="C36037" t="s">
        <v>14931</v>
      </c>
      <c r="D36037">
        <v>0</v>
      </c>
      <c r="E36037">
        <v>0</v>
      </c>
      <c r="F36037">
        <v>8</v>
      </c>
    </row>
    <row r="36038" spans="1:6" ht="12.75">
      <c r="A36038" s="2">
        <v>43875.267199074078</v>
      </c>
      <c r="B36038" t="str">
        <f>HYPERLINK("https://twitter.com/Anak_Petani_PWD","@Anak_Petani_PWD")</f>
        <v>@Anak_Petani_PWD</v>
      </c>
      <c r="C36038" t="s">
        <v>8252</v>
      </c>
      <c r="D36038">
        <v>469</v>
      </c>
      <c r="E36038">
        <v>0</v>
      </c>
      <c r="F36038">
        <v>80</v>
      </c>
    </row>
    <row r="36039" spans="1:6" ht="12.75">
      <c r="A36039" s="2">
        <v>43875.267164351855</v>
      </c>
      <c r="B36039" t="str">
        <f>HYPERLINK("https://twitter.com/anwar_suprijadi","@anwar_suprijadi")</f>
        <v>@anwar_suprijadi</v>
      </c>
      <c r="C36039" t="s">
        <v>14932</v>
      </c>
      <c r="D36039">
        <v>0</v>
      </c>
      <c r="E36039">
        <v>1</v>
      </c>
      <c r="F36039">
        <v>136</v>
      </c>
    </row>
    <row r="36040" spans="1:6" ht="12.75">
      <c r="A36040" s="2">
        <v>43875.267129629632</v>
      </c>
      <c r="B36040" t="str">
        <f>HYPERLINK("https://twitter.com/ragittttta","@ragittttta")</f>
        <v>@ragittttta</v>
      </c>
      <c r="C36040" t="s">
        <v>7803</v>
      </c>
      <c r="D36040">
        <v>287</v>
      </c>
      <c r="E36040">
        <v>0</v>
      </c>
      <c r="F36040">
        <v>58</v>
      </c>
    </row>
    <row r="36041" spans="1:6" ht="12.75">
      <c r="A36041" s="2">
        <v>43875.267013888893</v>
      </c>
      <c r="B36041" t="str">
        <f>HYPERLINK("https://twitter.com/Masmomo18","@Masmomo18")</f>
        <v>@Masmomo18</v>
      </c>
      <c r="C36041" t="s">
        <v>14933</v>
      </c>
      <c r="D36041">
        <v>0</v>
      </c>
      <c r="E36041">
        <v>0</v>
      </c>
      <c r="F36041">
        <v>6</v>
      </c>
    </row>
    <row r="36042" spans="1:6" ht="12.75">
      <c r="A36042" s="2">
        <v>43875.266921296294</v>
      </c>
      <c r="B36042" t="str">
        <f>HYPERLINK("https://twitter.com/Ahmad99tm","@Ahmad99tm")</f>
        <v>@Ahmad99tm</v>
      </c>
      <c r="C36042" t="s">
        <v>14934</v>
      </c>
      <c r="D36042">
        <v>0</v>
      </c>
      <c r="E36042">
        <v>0</v>
      </c>
      <c r="F36042">
        <v>182</v>
      </c>
    </row>
    <row r="36043" spans="1:6" ht="12.75">
      <c r="A36043" s="2">
        <v>43875.266921296294</v>
      </c>
      <c r="B36043" t="str">
        <f>HYPERLINK("https://twitter.com/vianratulangi","@vianratulangi")</f>
        <v>@vianratulangi</v>
      </c>
      <c r="C36043" t="s">
        <v>12793</v>
      </c>
      <c r="D36043">
        <v>89</v>
      </c>
      <c r="E36043">
        <v>0</v>
      </c>
      <c r="F36043">
        <v>1563</v>
      </c>
    </row>
    <row r="36044" spans="1:6" ht="12.75">
      <c r="A36044" s="2">
        <v>43875.266921296294</v>
      </c>
      <c r="B36044" t="str">
        <f>HYPERLINK("https://twitter.com/Maruli02024860","@Maruli02024860")</f>
        <v>@Maruli02024860</v>
      </c>
      <c r="C36044" t="s">
        <v>14935</v>
      </c>
      <c r="D36044">
        <v>0</v>
      </c>
      <c r="E36044">
        <v>0</v>
      </c>
      <c r="F36044">
        <v>54</v>
      </c>
    </row>
    <row r="36045" spans="1:6" ht="12.75">
      <c r="A36045" s="2">
        <v>43875.266909722224</v>
      </c>
      <c r="B36045" t="str">
        <f>HYPERLINK("https://twitter.com/budhartono","@budhartono")</f>
        <v>@budhartono</v>
      </c>
      <c r="C36045" t="s">
        <v>14499</v>
      </c>
      <c r="D36045">
        <v>54</v>
      </c>
      <c r="E36045">
        <v>0</v>
      </c>
      <c r="F36045">
        <v>548</v>
      </c>
    </row>
    <row r="36046" spans="1:6" ht="12.75">
      <c r="A36046" s="2">
        <v>43875.266898148147</v>
      </c>
      <c r="B36046" t="str">
        <f>HYPERLINK("https://twitter.com/SimanjuntakElly","@SimanjuntakElly")</f>
        <v>@SimanjuntakElly</v>
      </c>
      <c r="C36046" t="s">
        <v>10330</v>
      </c>
      <c r="D36046">
        <v>184</v>
      </c>
      <c r="E36046">
        <v>0</v>
      </c>
      <c r="F36046">
        <v>166</v>
      </c>
    </row>
    <row r="36047" spans="1:6" ht="12.75">
      <c r="A36047" s="2">
        <v>43875.266805555555</v>
      </c>
      <c r="B36047" t="str">
        <f>HYPERLINK("https://twitter.com/ISIS_Balik_NO","@ISIS_Balik_NO")</f>
        <v>@ISIS_Balik_NO</v>
      </c>
      <c r="C36047" t="s">
        <v>14936</v>
      </c>
      <c r="D36047">
        <v>0</v>
      </c>
      <c r="E36047">
        <v>0</v>
      </c>
      <c r="F36047">
        <v>5890</v>
      </c>
    </row>
    <row r="36048" spans="1:6" ht="12.75">
      <c r="A36048" s="2">
        <v>43875.266701388886</v>
      </c>
      <c r="B36048" t="str">
        <f>HYPERLINK("https://twitter.com/KanekiTerry","@KanekiTerry")</f>
        <v>@KanekiTerry</v>
      </c>
      <c r="C36048" t="s">
        <v>14937</v>
      </c>
      <c r="D36048">
        <v>0</v>
      </c>
      <c r="E36048">
        <v>0</v>
      </c>
      <c r="F36048">
        <v>17</v>
      </c>
    </row>
    <row r="36049" spans="1:6" ht="12.75">
      <c r="A36049" s="2">
        <v>43875.266574074078</v>
      </c>
      <c r="B36049" t="str">
        <f>HYPERLINK("https://twitter.com/the_hero77","@the_hero77")</f>
        <v>@the_hero77</v>
      </c>
      <c r="C36049" t="s">
        <v>14938</v>
      </c>
      <c r="D36049">
        <v>0</v>
      </c>
      <c r="E36049">
        <v>0</v>
      </c>
      <c r="F36049">
        <v>515</v>
      </c>
    </row>
    <row r="36050" spans="1:6" ht="12.75">
      <c r="A36050" s="2">
        <v>43875.266527777778</v>
      </c>
      <c r="B36050" t="str">
        <f>HYPERLINK("https://twitter.com/Zainul23734623","@Zainul23734623")</f>
        <v>@Zainul23734623</v>
      </c>
      <c r="C36050" t="s">
        <v>6982</v>
      </c>
      <c r="D36050">
        <v>78</v>
      </c>
      <c r="E36050">
        <v>0</v>
      </c>
      <c r="F36050">
        <v>128</v>
      </c>
    </row>
    <row r="36051" spans="1:6" ht="12.75">
      <c r="A36051" s="2">
        <v>43875.266516203701</v>
      </c>
      <c r="B36051" t="str">
        <f>HYPERLINK("https://twitter.com/YatSuryaningrat","@YatSuryaningrat")</f>
        <v>@YatSuryaningrat</v>
      </c>
      <c r="C36051" t="s">
        <v>10096</v>
      </c>
      <c r="D36051">
        <v>31</v>
      </c>
      <c r="E36051">
        <v>0</v>
      </c>
      <c r="F36051">
        <v>327</v>
      </c>
    </row>
    <row r="36052" spans="1:6" ht="12.75">
      <c r="A36052" s="2">
        <v>43875.266469907408</v>
      </c>
      <c r="B36052" t="str">
        <f t="shared" ref="B36052:B36053" si="404">HYPERLINK("https://twitter.com/Rissa70199680","@Rissa70199680")</f>
        <v>@Rissa70199680</v>
      </c>
      <c r="C36052" t="s">
        <v>14939</v>
      </c>
      <c r="D36052">
        <v>2</v>
      </c>
      <c r="E36052">
        <v>0</v>
      </c>
      <c r="F36052">
        <v>21</v>
      </c>
    </row>
    <row r="36053" spans="1:6" ht="12.75">
      <c r="A36053" s="2">
        <v>43875.266331018516</v>
      </c>
      <c r="B36053" t="str">
        <f t="shared" si="404"/>
        <v>@Rissa70199680</v>
      </c>
      <c r="C36053" t="s">
        <v>8252</v>
      </c>
      <c r="D36053">
        <v>469</v>
      </c>
      <c r="E36053">
        <v>0</v>
      </c>
      <c r="F36053">
        <v>21</v>
      </c>
    </row>
    <row r="36054" spans="1:6" ht="12.75">
      <c r="A36054" s="2">
        <v>43875.266273148147</v>
      </c>
      <c r="B36054" t="str">
        <f>HYPERLINK("https://twitter.com/kekiriterus","@kekiriterus")</f>
        <v>@kekiriterus</v>
      </c>
      <c r="C36054" t="s">
        <v>11394</v>
      </c>
      <c r="D36054">
        <v>18</v>
      </c>
      <c r="E36054">
        <v>0</v>
      </c>
      <c r="F36054">
        <v>1</v>
      </c>
    </row>
    <row r="36055" spans="1:6" ht="12.75">
      <c r="A36055" s="2">
        <v>43875.266192129631</v>
      </c>
      <c r="B36055" t="str">
        <f>HYPERLINK("https://twitter.com/anisahkhanin","@anisahkhanin")</f>
        <v>@anisahkhanin</v>
      </c>
      <c r="C36055" t="s">
        <v>14940</v>
      </c>
      <c r="D36055">
        <v>1</v>
      </c>
      <c r="E36055">
        <v>0</v>
      </c>
      <c r="F36055">
        <v>197</v>
      </c>
    </row>
    <row r="36056" spans="1:6" ht="12.75">
      <c r="A36056" s="2">
        <v>43875.266157407408</v>
      </c>
      <c r="B36056" t="str">
        <f>HYPERLINK("https://twitter.com/JokoHerry1","@JokoHerry1")</f>
        <v>@JokoHerry1</v>
      </c>
      <c r="C36056" t="s">
        <v>10225</v>
      </c>
      <c r="D36056">
        <v>5</v>
      </c>
      <c r="E36056">
        <v>0</v>
      </c>
      <c r="F36056">
        <v>64</v>
      </c>
    </row>
    <row r="36057" spans="1:6" ht="12.75">
      <c r="A36057" s="2">
        <v>43875.26599537037</v>
      </c>
      <c r="B36057" t="str">
        <f>HYPERLINK("https://twitter.com/kasiyono34yahoo","@kasiyono34yahoo")</f>
        <v>@kasiyono34yahoo</v>
      </c>
      <c r="C36057" t="s">
        <v>2144</v>
      </c>
      <c r="D36057">
        <v>17</v>
      </c>
      <c r="E36057">
        <v>0</v>
      </c>
      <c r="F36057">
        <v>656</v>
      </c>
    </row>
    <row r="36058" spans="1:6" ht="12.75">
      <c r="A36058" s="2">
        <v>43875.265902777777</v>
      </c>
      <c r="B36058" t="str">
        <f>HYPERLINK("https://twitter.com/bayumhk","@bayumhk")</f>
        <v>@bayumhk</v>
      </c>
      <c r="C36058" t="s">
        <v>14941</v>
      </c>
      <c r="D36058">
        <v>0</v>
      </c>
      <c r="E36058">
        <v>0</v>
      </c>
      <c r="F36058">
        <v>61</v>
      </c>
    </row>
    <row r="36059" spans="1:6" ht="12.75">
      <c r="A36059" s="2">
        <v>43875.265902777777</v>
      </c>
      <c r="B36059" t="str">
        <f>HYPERLINK("https://twitter.com/eDzulfikar","@eDzulfikar")</f>
        <v>@eDzulfikar</v>
      </c>
      <c r="C36059" t="s">
        <v>14942</v>
      </c>
      <c r="D36059">
        <v>0</v>
      </c>
      <c r="E36059">
        <v>0</v>
      </c>
      <c r="F36059">
        <v>361</v>
      </c>
    </row>
    <row r="36060" spans="1:6" ht="12.75">
      <c r="A36060" s="2">
        <v>43875.265717592592</v>
      </c>
      <c r="B36060" t="str">
        <f>HYPERLINK("https://twitter.com/PramanaListyo","@PramanaListyo")</f>
        <v>@PramanaListyo</v>
      </c>
      <c r="C36060" t="s">
        <v>3038</v>
      </c>
      <c r="D36060">
        <v>99</v>
      </c>
      <c r="E36060">
        <v>0</v>
      </c>
      <c r="F36060">
        <v>413</v>
      </c>
    </row>
    <row r="36061" spans="1:6" ht="12.75">
      <c r="A36061" s="2">
        <v>43875.265706018516</v>
      </c>
      <c r="B36061" t="str">
        <f>HYPERLINK("https://twitter.com/IVANNA90517538","@IVANNA90517538")</f>
        <v>@IVANNA90517538</v>
      </c>
      <c r="C36061" t="s">
        <v>14943</v>
      </c>
      <c r="D36061">
        <v>4</v>
      </c>
      <c r="E36061">
        <v>0</v>
      </c>
      <c r="F36061">
        <v>674</v>
      </c>
    </row>
    <row r="36062" spans="1:6" ht="12.75">
      <c r="A36062" s="2">
        <v>43875.265625</v>
      </c>
      <c r="B36062" t="str">
        <f>HYPERLINK("https://twitter.com/hapeproperti","@hapeproperti")</f>
        <v>@hapeproperti</v>
      </c>
      <c r="C36062" t="s">
        <v>11322</v>
      </c>
      <c r="D36062">
        <v>54</v>
      </c>
      <c r="E36062">
        <v>0</v>
      </c>
      <c r="F36062">
        <v>1605</v>
      </c>
    </row>
    <row r="36063" spans="1:6" ht="12.75">
      <c r="A36063" s="2">
        <v>43875.265578703707</v>
      </c>
      <c r="B36063" t="str">
        <f>HYPERLINK("https://twitter.com/Nadarevan1","@Nadarevan1")</f>
        <v>@Nadarevan1</v>
      </c>
      <c r="C36063" t="s">
        <v>14944</v>
      </c>
      <c r="D36063">
        <v>0</v>
      </c>
      <c r="E36063">
        <v>0</v>
      </c>
      <c r="F36063">
        <v>70</v>
      </c>
    </row>
    <row r="36064" spans="1:6" ht="12.75">
      <c r="A36064" s="2">
        <v>43875.265532407408</v>
      </c>
      <c r="B36064" t="str">
        <f>HYPERLINK("https://twitter.com/BattleOfVienna","@BattleOfVienna")</f>
        <v>@BattleOfVienna</v>
      </c>
      <c r="C36064" t="s">
        <v>14945</v>
      </c>
      <c r="D36064">
        <v>0</v>
      </c>
      <c r="E36064">
        <v>0</v>
      </c>
      <c r="F36064">
        <v>52</v>
      </c>
    </row>
    <row r="36065" spans="1:6" ht="12.75">
      <c r="A36065" s="2">
        <v>43875.265393518523</v>
      </c>
      <c r="B36065" t="str">
        <f>HYPERLINK("https://twitter.com/vianratulangi","@vianratulangi")</f>
        <v>@vianratulangi</v>
      </c>
      <c r="C36065" t="s">
        <v>10526</v>
      </c>
      <c r="D36065">
        <v>92</v>
      </c>
      <c r="E36065">
        <v>0</v>
      </c>
      <c r="F36065">
        <v>1563</v>
      </c>
    </row>
    <row r="36066" spans="1:6" ht="12.75">
      <c r="A36066" s="2">
        <v>43875.265277777777</v>
      </c>
      <c r="B36066" t="str">
        <f>HYPERLINK("https://twitter.com/agustiawanjody","@agustiawanjody")</f>
        <v>@agustiawanjody</v>
      </c>
      <c r="C36066" t="s">
        <v>5761</v>
      </c>
      <c r="D36066">
        <v>17</v>
      </c>
      <c r="E36066">
        <v>0</v>
      </c>
      <c r="F36066">
        <v>4</v>
      </c>
    </row>
    <row r="36067" spans="1:6" ht="12.75">
      <c r="A36067" s="2">
        <v>43875.26525462963</v>
      </c>
      <c r="B36067" t="str">
        <f>HYPERLINK("https://twitter.com/yuniarko","@yuniarko")</f>
        <v>@yuniarko</v>
      </c>
      <c r="C36067" t="s">
        <v>11086</v>
      </c>
      <c r="D36067">
        <v>76</v>
      </c>
      <c r="E36067">
        <v>0</v>
      </c>
      <c r="F36067">
        <v>100</v>
      </c>
    </row>
    <row r="36068" spans="1:6" ht="12.75">
      <c r="A36068" s="2">
        <v>43875.265115740738</v>
      </c>
      <c r="B36068" t="str">
        <f>HYPERLINK("https://twitter.com/Ganezhaputra1","@Ganezhaputra1")</f>
        <v>@Ganezhaputra1</v>
      </c>
      <c r="C36068" t="s">
        <v>14946</v>
      </c>
      <c r="D36068">
        <v>0</v>
      </c>
      <c r="E36068">
        <v>2</v>
      </c>
      <c r="F36068">
        <v>1502</v>
      </c>
    </row>
    <row r="36069" spans="1:6" ht="12.75">
      <c r="A36069" s="2">
        <v>43875.265104166669</v>
      </c>
      <c r="B36069" t="str">
        <f>HYPERLINK("https://twitter.com/ulfah1206","@ulfah1206")</f>
        <v>@ulfah1206</v>
      </c>
      <c r="C36069" t="s">
        <v>6834</v>
      </c>
      <c r="D36069">
        <v>20</v>
      </c>
      <c r="E36069">
        <v>0</v>
      </c>
      <c r="F36069">
        <v>445</v>
      </c>
    </row>
    <row r="36070" spans="1:6" ht="12.75">
      <c r="A36070" s="2">
        <v>43875.265046296292</v>
      </c>
      <c r="B36070" t="str">
        <f>HYPERLINK("https://twitter.com/jositumuju5","@jositumuju5")</f>
        <v>@jositumuju5</v>
      </c>
      <c r="C36070" t="s">
        <v>175</v>
      </c>
      <c r="D36070">
        <v>5209</v>
      </c>
      <c r="E36070">
        <v>0</v>
      </c>
      <c r="F36070">
        <v>25</v>
      </c>
    </row>
    <row r="36071" spans="1:6" ht="12.75">
      <c r="A36071" s="2">
        <v>43875.26498842593</v>
      </c>
      <c r="B36071" t="str">
        <f>HYPERLINK("https://twitter.com/InhaAWH","@InhaAWH")</f>
        <v>@InhaAWH</v>
      </c>
      <c r="C36071" t="s">
        <v>5168</v>
      </c>
      <c r="D36071">
        <v>327</v>
      </c>
      <c r="E36071">
        <v>0</v>
      </c>
      <c r="F36071">
        <v>1661</v>
      </c>
    </row>
    <row r="36072" spans="1:6" ht="12.75">
      <c r="A36072" s="2">
        <v>43875.26494212963</v>
      </c>
      <c r="B36072" t="str">
        <f>HYPERLINK("https://twitter.com/YoyokSubandriy3","@YoyokSubandriy3")</f>
        <v>@YoyokSubandriy3</v>
      </c>
      <c r="C36072" t="s">
        <v>2963</v>
      </c>
      <c r="D36072">
        <v>206</v>
      </c>
      <c r="E36072">
        <v>0</v>
      </c>
      <c r="F36072">
        <v>1353</v>
      </c>
    </row>
    <row r="36073" spans="1:6" ht="12.75">
      <c r="A36073" s="2">
        <v>43875.264861111107</v>
      </c>
      <c r="B36073" t="str">
        <f>HYPERLINK("https://twitter.com/KanekiTerry","@KanekiTerry")</f>
        <v>@KanekiTerry</v>
      </c>
      <c r="C36073" t="s">
        <v>14947</v>
      </c>
      <c r="D36073">
        <v>0</v>
      </c>
      <c r="E36073">
        <v>0</v>
      </c>
      <c r="F36073">
        <v>17</v>
      </c>
    </row>
    <row r="36074" spans="1:6" ht="12.75">
      <c r="A36074" s="2">
        <v>43875.264803240745</v>
      </c>
      <c r="B36074" t="str">
        <f>HYPERLINK("https://twitter.com/pagiusil","@pagiusil")</f>
        <v>@pagiusil</v>
      </c>
      <c r="C36074" t="s">
        <v>14948</v>
      </c>
      <c r="D36074">
        <v>0</v>
      </c>
      <c r="E36074">
        <v>0</v>
      </c>
      <c r="F36074">
        <v>300</v>
      </c>
    </row>
    <row r="36075" spans="1:6" ht="12.75">
      <c r="A36075" s="2">
        <v>43875.264699074076</v>
      </c>
      <c r="B36075" t="str">
        <f>HYPERLINK("https://twitter.com/Sehati4561","@Sehati4561")</f>
        <v>@Sehati4561</v>
      </c>
      <c r="C36075" t="s">
        <v>12906</v>
      </c>
      <c r="D36075">
        <v>55</v>
      </c>
      <c r="E36075">
        <v>0</v>
      </c>
      <c r="F36075">
        <v>68</v>
      </c>
    </row>
    <row r="36076" spans="1:6" ht="12.75">
      <c r="A36076" s="2">
        <v>43875.264537037037</v>
      </c>
      <c r="B36076" t="str">
        <f>HYPERLINK("https://twitter.com/Ichamaryana1","@Ichamaryana1")</f>
        <v>@Ichamaryana1</v>
      </c>
      <c r="C36076" t="s">
        <v>14213</v>
      </c>
      <c r="D36076">
        <v>30</v>
      </c>
      <c r="E36076">
        <v>0</v>
      </c>
      <c r="F36076">
        <v>3</v>
      </c>
    </row>
    <row r="36077" spans="1:6" ht="12.75">
      <c r="A36077" s="2">
        <v>43875.264513888891</v>
      </c>
      <c r="B36077" t="str">
        <f>HYPERLINK("https://twitter.com/vianratulangi","@vianratulangi")</f>
        <v>@vianratulangi</v>
      </c>
      <c r="C36077" t="s">
        <v>5624</v>
      </c>
      <c r="D36077">
        <v>105</v>
      </c>
      <c r="E36077">
        <v>0</v>
      </c>
      <c r="F36077">
        <v>1563</v>
      </c>
    </row>
    <row r="36078" spans="1:6" ht="12.75">
      <c r="A36078" s="2">
        <v>43875.264444444445</v>
      </c>
      <c r="B36078" t="str">
        <f>HYPERLINK("https://twitter.com/_wayy_","@_wayy_")</f>
        <v>@_wayy_</v>
      </c>
      <c r="C36078" t="s">
        <v>13477</v>
      </c>
      <c r="D36078">
        <v>11</v>
      </c>
      <c r="E36078">
        <v>0</v>
      </c>
      <c r="F36078">
        <v>302</v>
      </c>
    </row>
    <row r="36079" spans="1:6" ht="12.75">
      <c r="A36079" s="2">
        <v>43875.264374999999</v>
      </c>
      <c r="B36079" t="str">
        <f>HYPERLINK("https://twitter.com/purbanasrun","@purbanasrun")</f>
        <v>@purbanasrun</v>
      </c>
      <c r="C36079" t="s">
        <v>9096</v>
      </c>
      <c r="D36079">
        <v>127</v>
      </c>
      <c r="E36079">
        <v>0</v>
      </c>
      <c r="F36079">
        <v>1929</v>
      </c>
    </row>
    <row r="36080" spans="1:6" ht="12.75">
      <c r="A36080" s="2">
        <v>43875.264293981483</v>
      </c>
      <c r="B36080" t="str">
        <f>HYPERLINK("https://twitter.com/vianratulangi","@vianratulangi")</f>
        <v>@vianratulangi</v>
      </c>
      <c r="C36080" t="s">
        <v>8881</v>
      </c>
      <c r="D36080">
        <v>242</v>
      </c>
      <c r="E36080">
        <v>0</v>
      </c>
      <c r="F36080">
        <v>1563</v>
      </c>
    </row>
    <row r="36081" spans="1:6" ht="12.75">
      <c r="A36081" s="2">
        <v>43875.264189814814</v>
      </c>
      <c r="B36081" t="str">
        <f>HYPERLINK("https://twitter.com/MILINKYO","@MILINKYO")</f>
        <v>@MILINKYO</v>
      </c>
      <c r="C36081" t="s">
        <v>14949</v>
      </c>
      <c r="D36081">
        <v>0</v>
      </c>
      <c r="E36081">
        <v>0</v>
      </c>
      <c r="F36081">
        <v>138</v>
      </c>
    </row>
    <row r="36082" spans="1:6" ht="12.75">
      <c r="A36082" s="2">
        <v>43875.264062499999</v>
      </c>
      <c r="B36082" t="str">
        <f>HYPERLINK("https://twitter.com/nugrohorofil86","@nugrohorofil86")</f>
        <v>@nugrohorofil86</v>
      </c>
      <c r="C36082" t="s">
        <v>9947</v>
      </c>
      <c r="D36082">
        <v>308</v>
      </c>
      <c r="E36082">
        <v>0</v>
      </c>
      <c r="F36082">
        <v>63</v>
      </c>
    </row>
    <row r="36083" spans="1:6" ht="12.75">
      <c r="A36083" s="2">
        <v>43875.264039351852</v>
      </c>
      <c r="B36083" t="str">
        <f>HYPERLINK("https://twitter.com/vianratulangi","@vianratulangi")</f>
        <v>@vianratulangi</v>
      </c>
      <c r="C36083" t="s">
        <v>10196</v>
      </c>
      <c r="D36083">
        <v>116</v>
      </c>
      <c r="E36083">
        <v>0</v>
      </c>
      <c r="F36083">
        <v>1563</v>
      </c>
    </row>
    <row r="36084" spans="1:6" ht="12.75">
      <c r="A36084" s="2">
        <v>43875.263958333337</v>
      </c>
      <c r="B36084" t="str">
        <f>HYPERLINK("https://twitter.com/hariantoagus","@hariantoagus")</f>
        <v>@hariantoagus</v>
      </c>
      <c r="C36084" t="s">
        <v>9538</v>
      </c>
      <c r="D36084">
        <v>69</v>
      </c>
      <c r="E36084">
        <v>0</v>
      </c>
      <c r="F36084">
        <v>256</v>
      </c>
    </row>
    <row r="36085" spans="1:6" ht="12.75">
      <c r="A36085" s="2">
        <v>43875.26394675926</v>
      </c>
      <c r="B36085" t="str">
        <f>HYPERLINK("https://twitter.com/ang3lyogini","@ang3lyogini")</f>
        <v>@ang3lyogini</v>
      </c>
      <c r="C36085" t="s">
        <v>7411</v>
      </c>
      <c r="D36085">
        <v>127</v>
      </c>
      <c r="E36085">
        <v>0</v>
      </c>
      <c r="F36085">
        <v>95</v>
      </c>
    </row>
    <row r="36086" spans="1:6" ht="12.75">
      <c r="A36086" s="2">
        <v>43875.263865740737</v>
      </c>
      <c r="B36086" t="str">
        <f>HYPERLINK("https://twitter.com/AndriTardy","@AndriTardy")</f>
        <v>@AndriTardy</v>
      </c>
      <c r="C36086" t="s">
        <v>14950</v>
      </c>
      <c r="D36086">
        <v>0</v>
      </c>
      <c r="E36086">
        <v>0</v>
      </c>
      <c r="F36086">
        <v>68</v>
      </c>
    </row>
    <row r="36087" spans="1:6" ht="12.75">
      <c r="A36087" s="2">
        <v>43875.263807870375</v>
      </c>
      <c r="B36087" t="str">
        <f>HYPERLINK("https://twitter.com/faizah_kirana","@faizah_kirana")</f>
        <v>@faizah_kirana</v>
      </c>
      <c r="C36087" t="s">
        <v>14509</v>
      </c>
      <c r="D36087">
        <v>26</v>
      </c>
      <c r="E36087">
        <v>0</v>
      </c>
      <c r="F36087">
        <v>33</v>
      </c>
    </row>
    <row r="36088" spans="1:6" ht="12.75">
      <c r="A36088" s="2">
        <v>43875.263761574075</v>
      </c>
      <c r="B36088" t="str">
        <f>HYPERLINK("https://twitter.com/ludowidadya19","@ludowidadya19")</f>
        <v>@ludowidadya19</v>
      </c>
      <c r="C36088" t="s">
        <v>2963</v>
      </c>
      <c r="D36088">
        <v>206</v>
      </c>
      <c r="E36088">
        <v>0</v>
      </c>
      <c r="F36088">
        <v>10</v>
      </c>
    </row>
    <row r="36089" spans="1:6" ht="12.75">
      <c r="A36089" s="2">
        <v>43875.263692129629</v>
      </c>
      <c r="B36089" t="str">
        <f>HYPERLINK("https://twitter.com/PromildRed","@PromildRed")</f>
        <v>@PromildRed</v>
      </c>
      <c r="C36089" t="s">
        <v>14951</v>
      </c>
      <c r="D36089">
        <v>0</v>
      </c>
      <c r="E36089">
        <v>0</v>
      </c>
      <c r="F36089">
        <v>48</v>
      </c>
    </row>
    <row r="36090" spans="1:6" ht="12.75">
      <c r="A36090" s="2">
        <v>43875.263518518521</v>
      </c>
      <c r="B36090" t="str">
        <f>HYPERLINK("https://twitter.com/miqdadhusein","@miqdadhusein")</f>
        <v>@miqdadhusein</v>
      </c>
      <c r="C36090" t="s">
        <v>10330</v>
      </c>
      <c r="D36090">
        <v>184</v>
      </c>
      <c r="E36090">
        <v>0</v>
      </c>
      <c r="F36090">
        <v>8318</v>
      </c>
    </row>
    <row r="36091" spans="1:6" ht="12.75">
      <c r="A36091" s="2">
        <v>43875.263518518521</v>
      </c>
      <c r="B36091" t="str">
        <f>HYPERLINK("https://twitter.com/tiyok_pras","@tiyok_pras")</f>
        <v>@tiyok_pras</v>
      </c>
      <c r="C36091" t="s">
        <v>14952</v>
      </c>
      <c r="D36091">
        <v>0</v>
      </c>
      <c r="E36091">
        <v>0</v>
      </c>
      <c r="F36091">
        <v>1414</v>
      </c>
    </row>
    <row r="36092" spans="1:6" ht="12.75">
      <c r="A36092" s="2">
        <v>43875.263506944444</v>
      </c>
      <c r="B36092" t="str">
        <f>HYPERLINK("https://twitter.com/ayuherdiyanti25","@ayuherdiyanti25")</f>
        <v>@ayuherdiyanti25</v>
      </c>
      <c r="C36092" t="s">
        <v>2144</v>
      </c>
      <c r="D36092">
        <v>17</v>
      </c>
      <c r="E36092">
        <v>0</v>
      </c>
      <c r="F36092">
        <v>382</v>
      </c>
    </row>
    <row r="36093" spans="1:6" ht="12.75">
      <c r="A36093" s="2">
        <v>43875.263275462959</v>
      </c>
      <c r="B36093" t="str">
        <f>HYPERLINK("https://twitter.com/Agoos49005","@Agoos49005")</f>
        <v>@Agoos49005</v>
      </c>
      <c r="C36093" t="s">
        <v>10196</v>
      </c>
      <c r="D36093">
        <v>116</v>
      </c>
      <c r="E36093">
        <v>0</v>
      </c>
      <c r="F36093">
        <v>97</v>
      </c>
    </row>
    <row r="36094" spans="1:6" ht="12.75">
      <c r="A36094" s="2">
        <v>43875.263194444444</v>
      </c>
      <c r="B36094" t="str">
        <f>HYPERLINK("https://twitter.com/jinhantoe","@jinhantoe")</f>
        <v>@jinhantoe</v>
      </c>
      <c r="C36094" t="s">
        <v>11728</v>
      </c>
      <c r="D36094">
        <v>55</v>
      </c>
      <c r="E36094">
        <v>0</v>
      </c>
      <c r="F36094">
        <v>790</v>
      </c>
    </row>
    <row r="36095" spans="1:6" ht="12.75">
      <c r="A36095" s="2">
        <v>43875.263148148151</v>
      </c>
      <c r="B36095" t="str">
        <f>HYPERLINK("https://twitter.com/Ardi22M","@Ardi22M")</f>
        <v>@Ardi22M</v>
      </c>
      <c r="C36095" t="s">
        <v>2963</v>
      </c>
      <c r="D36095">
        <v>206</v>
      </c>
      <c r="E36095">
        <v>0</v>
      </c>
      <c r="F36095">
        <v>637</v>
      </c>
    </row>
    <row r="36096" spans="1:6" ht="12.75">
      <c r="A36096" s="2">
        <v>43875.263136574074</v>
      </c>
      <c r="B36096" t="str">
        <f>HYPERLINK("https://twitter.com/duo_hh","@duo_hh")</f>
        <v>@duo_hh</v>
      </c>
      <c r="C36096" t="s">
        <v>14953</v>
      </c>
      <c r="D36096">
        <v>0</v>
      </c>
      <c r="E36096">
        <v>0</v>
      </c>
      <c r="F36096">
        <v>207</v>
      </c>
    </row>
    <row r="36097" spans="1:6" ht="12.75">
      <c r="A36097" s="2">
        <v>43875.263113425928</v>
      </c>
      <c r="B36097" t="str">
        <f>HYPERLINK("https://twitter.com/bl4cksapphire","@bl4cksapphire")</f>
        <v>@bl4cksapphire</v>
      </c>
      <c r="C36097" t="s">
        <v>14954</v>
      </c>
      <c r="D36097">
        <v>0</v>
      </c>
      <c r="E36097">
        <v>0</v>
      </c>
      <c r="F36097">
        <v>161</v>
      </c>
    </row>
    <row r="36098" spans="1:6" ht="12.75">
      <c r="A36098" s="2">
        <v>43875.263067129628</v>
      </c>
      <c r="B36098" t="str">
        <f>HYPERLINK("https://twitter.com/heru_juanda","@heru_juanda")</f>
        <v>@heru_juanda</v>
      </c>
      <c r="C36098" t="s">
        <v>14955</v>
      </c>
      <c r="D36098">
        <v>0</v>
      </c>
      <c r="E36098">
        <v>0</v>
      </c>
      <c r="F36098">
        <v>0</v>
      </c>
    </row>
    <row r="36099" spans="1:6" ht="12.75">
      <c r="A36099" s="2">
        <v>43875.263043981482</v>
      </c>
      <c r="B36099" t="str">
        <f>HYPERLINK("https://twitter.com/JamieBegins","@JamieBegins")</f>
        <v>@JamieBegins</v>
      </c>
      <c r="C36099" t="s">
        <v>14956</v>
      </c>
      <c r="D36099">
        <v>0</v>
      </c>
      <c r="E36099">
        <v>0</v>
      </c>
      <c r="F36099">
        <v>2545</v>
      </c>
    </row>
    <row r="36100" spans="1:6" ht="12.75">
      <c r="A36100" s="2">
        <v>43875.263020833328</v>
      </c>
      <c r="B36100" t="str">
        <f>HYPERLINK("https://twitter.com/igoen_anindya","@igoen_anindya")</f>
        <v>@igoen_anindya</v>
      </c>
      <c r="C36100" t="s">
        <v>2963</v>
      </c>
      <c r="D36100">
        <v>206</v>
      </c>
      <c r="E36100">
        <v>0</v>
      </c>
      <c r="F36100">
        <v>398</v>
      </c>
    </row>
    <row r="36101" spans="1:6" ht="12.75">
      <c r="A36101" s="2">
        <v>43875.262997685189</v>
      </c>
      <c r="B36101" t="str">
        <f>HYPERLINK("https://twitter.com/LusiHQ","@LusiHQ")</f>
        <v>@LusiHQ</v>
      </c>
      <c r="C36101" t="s">
        <v>14957</v>
      </c>
      <c r="D36101">
        <v>0</v>
      </c>
      <c r="E36101">
        <v>0</v>
      </c>
      <c r="F36101">
        <v>17685</v>
      </c>
    </row>
    <row r="36102" spans="1:6" ht="12.75">
      <c r="A36102" s="2">
        <v>43875.262974537036</v>
      </c>
      <c r="B36102" t="str">
        <f>HYPERLINK("https://twitter.com/__Ndaru__","@__Ndaru__")</f>
        <v>@__Ndaru__</v>
      </c>
      <c r="C36102" t="s">
        <v>14958</v>
      </c>
      <c r="D36102">
        <v>0</v>
      </c>
      <c r="E36102">
        <v>0</v>
      </c>
      <c r="F36102">
        <v>315</v>
      </c>
    </row>
    <row r="36103" spans="1:6" ht="12.75">
      <c r="A36103" s="2">
        <v>43875.262962962966</v>
      </c>
      <c r="B36103" t="str">
        <f>HYPERLINK("https://twitter.com/Fjrysp_","@Fjrysp_")</f>
        <v>@Fjrysp_</v>
      </c>
      <c r="C36103" t="s">
        <v>14959</v>
      </c>
      <c r="D36103">
        <v>0</v>
      </c>
      <c r="E36103">
        <v>1</v>
      </c>
      <c r="F36103">
        <v>29</v>
      </c>
    </row>
    <row r="36104" spans="1:6" ht="12.75">
      <c r="A36104" s="2">
        <v>43875.262928240743</v>
      </c>
      <c r="B36104" t="str">
        <f>HYPERLINK("https://twitter.com/DavidRuslie8","@DavidRuslie8")</f>
        <v>@DavidRuslie8</v>
      </c>
      <c r="C36104" t="s">
        <v>2963</v>
      </c>
      <c r="D36104">
        <v>206</v>
      </c>
      <c r="E36104">
        <v>0</v>
      </c>
      <c r="F36104">
        <v>918</v>
      </c>
    </row>
    <row r="36105" spans="1:6" ht="12.75">
      <c r="A36105" s="2">
        <v>43875.262916666667</v>
      </c>
      <c r="B36105" t="str">
        <f>HYPERLINK("https://twitter.com/AriWawolangi","@AriWawolangi")</f>
        <v>@AriWawolangi</v>
      </c>
      <c r="C36105" t="s">
        <v>12906</v>
      </c>
      <c r="D36105">
        <v>55</v>
      </c>
      <c r="E36105">
        <v>0</v>
      </c>
      <c r="F36105">
        <v>2610</v>
      </c>
    </row>
    <row r="36106" spans="1:6" ht="12.75">
      <c r="A36106" s="2">
        <v>43875.26290509259</v>
      </c>
      <c r="B36106" t="str">
        <f>HYPERLINK("https://twitter.com/anantalian","@anantalian")</f>
        <v>@anantalian</v>
      </c>
      <c r="C36106" t="s">
        <v>9538</v>
      </c>
      <c r="D36106">
        <v>69</v>
      </c>
      <c r="E36106">
        <v>0</v>
      </c>
      <c r="F36106">
        <v>270</v>
      </c>
    </row>
    <row r="36107" spans="1:6" ht="12.75">
      <c r="A36107" s="2">
        <v>43875.262870370367</v>
      </c>
      <c r="B36107" t="str">
        <f>HYPERLINK("https://twitter.com/ArjunaPerjaka","@ArjunaPerjaka")</f>
        <v>@ArjunaPerjaka</v>
      </c>
      <c r="C36107" t="s">
        <v>2122</v>
      </c>
      <c r="D36107">
        <v>163</v>
      </c>
      <c r="E36107">
        <v>0</v>
      </c>
      <c r="F36107">
        <v>98</v>
      </c>
    </row>
    <row r="36108" spans="1:6" ht="12.75">
      <c r="A36108" s="2">
        <v>43875.262870370367</v>
      </c>
      <c r="B36108" t="str">
        <f>HYPERLINK("https://twitter.com/SydSalesman","@SydSalesman")</f>
        <v>@SydSalesman</v>
      </c>
      <c r="C36108" t="s">
        <v>14184</v>
      </c>
      <c r="D36108">
        <v>44</v>
      </c>
      <c r="E36108">
        <v>0</v>
      </c>
      <c r="F36108">
        <v>6224</v>
      </c>
    </row>
    <row r="36109" spans="1:6" ht="12.75">
      <c r="A36109" s="2">
        <v>43875.262858796297</v>
      </c>
      <c r="B36109" t="str">
        <f>HYPERLINK("https://twitter.com/rita_tj","@rita_tj")</f>
        <v>@rita_tj</v>
      </c>
      <c r="C36109" t="s">
        <v>10542</v>
      </c>
      <c r="D36109">
        <v>120</v>
      </c>
      <c r="E36109">
        <v>0</v>
      </c>
      <c r="F36109">
        <v>4729</v>
      </c>
    </row>
    <row r="36110" spans="1:6" ht="12.75">
      <c r="A36110" s="2">
        <v>43875.262800925921</v>
      </c>
      <c r="B36110" t="str">
        <f>HYPERLINK("https://twitter.com/Gopebagi3Back","@Gopebagi3Back")</f>
        <v>@Gopebagi3Back</v>
      </c>
      <c r="C36110" t="s">
        <v>12332</v>
      </c>
      <c r="D36110">
        <v>48</v>
      </c>
      <c r="E36110">
        <v>0</v>
      </c>
      <c r="F36110">
        <v>955</v>
      </c>
    </row>
    <row r="36111" spans="1:6" ht="12.75">
      <c r="A36111" s="2">
        <v>43875.262719907405</v>
      </c>
      <c r="B36111" t="str">
        <f>HYPERLINK("https://twitter.com/MuhammadAly07","@MuhammadAly07")</f>
        <v>@MuhammadAly07</v>
      </c>
      <c r="C36111" t="s">
        <v>2963</v>
      </c>
      <c r="D36111">
        <v>206</v>
      </c>
      <c r="E36111">
        <v>0</v>
      </c>
      <c r="F36111">
        <v>166</v>
      </c>
    </row>
    <row r="36112" spans="1:6" ht="12.75">
      <c r="A36112" s="2">
        <v>43875.262708333335</v>
      </c>
      <c r="B36112" t="str">
        <f>HYPERLINK("https://twitter.com/yuniarko","@yuniarko")</f>
        <v>@yuniarko</v>
      </c>
      <c r="C36112" t="s">
        <v>10319</v>
      </c>
      <c r="D36112">
        <v>139</v>
      </c>
      <c r="E36112">
        <v>0</v>
      </c>
      <c r="F36112">
        <v>100</v>
      </c>
    </row>
    <row r="36113" spans="1:6" ht="12.75">
      <c r="A36113" s="2">
        <v>43875.262673611112</v>
      </c>
      <c r="B36113" t="str">
        <f>HYPERLINK("https://twitter.com/Nou_vAn__10","@Nou_vAn__10")</f>
        <v>@Nou_vAn__10</v>
      </c>
      <c r="C36113" t="s">
        <v>2963</v>
      </c>
      <c r="D36113">
        <v>206</v>
      </c>
      <c r="E36113">
        <v>0</v>
      </c>
      <c r="F36113">
        <v>292</v>
      </c>
    </row>
    <row r="36114" spans="1:6" ht="12.75">
      <c r="A36114" s="2">
        <v>43875.262638888889</v>
      </c>
      <c r="B36114" t="str">
        <f>HYPERLINK("https://twitter.com/BHD_8","@BHD_8")</f>
        <v>@BHD_8</v>
      </c>
      <c r="C36114" t="s">
        <v>14960</v>
      </c>
      <c r="D36114">
        <v>0</v>
      </c>
      <c r="E36114">
        <v>0</v>
      </c>
      <c r="F36114">
        <v>12131</v>
      </c>
    </row>
    <row r="36115" spans="1:6" ht="12.75">
      <c r="A36115" s="2">
        <v>43875.262546296297</v>
      </c>
      <c r="B36115" t="str">
        <f>HYPERLINK("https://twitter.com/ArmanHlp","@ArmanHlp")</f>
        <v>@ArmanHlp</v>
      </c>
      <c r="C36115" t="s">
        <v>10407</v>
      </c>
      <c r="D36115">
        <v>22</v>
      </c>
      <c r="E36115">
        <v>0</v>
      </c>
      <c r="F36115">
        <v>348</v>
      </c>
    </row>
    <row r="36116" spans="1:6" ht="12.75">
      <c r="A36116" s="2">
        <v>43875.26253472222</v>
      </c>
      <c r="B36116" t="str">
        <f>HYPERLINK("https://twitter.com/vianratulangi","@vianratulangi")</f>
        <v>@vianratulangi</v>
      </c>
      <c r="C36116" t="s">
        <v>10542</v>
      </c>
      <c r="D36116">
        <v>120</v>
      </c>
      <c r="E36116">
        <v>0</v>
      </c>
      <c r="F36116">
        <v>1563</v>
      </c>
    </row>
    <row r="36117" spans="1:6" ht="12.75">
      <c r="A36117" s="2">
        <v>43875.262499999997</v>
      </c>
      <c r="B36117" t="str">
        <f>HYPERLINK("https://twitter.com/fariji_lacak","@fariji_lacak")</f>
        <v>@fariji_lacak</v>
      </c>
      <c r="C36117" t="s">
        <v>14961</v>
      </c>
      <c r="D36117">
        <v>0</v>
      </c>
      <c r="E36117">
        <v>0</v>
      </c>
      <c r="F36117">
        <v>3179</v>
      </c>
    </row>
    <row r="36118" spans="1:6" ht="12.75">
      <c r="A36118" s="2">
        <v>43875.262476851851</v>
      </c>
      <c r="B36118" t="str">
        <f>HYPERLINK("https://twitter.com/ZoelFawzie","@ZoelFawzie")</f>
        <v>@ZoelFawzie</v>
      </c>
      <c r="C36118" t="s">
        <v>14962</v>
      </c>
      <c r="D36118">
        <v>0</v>
      </c>
      <c r="E36118">
        <v>0</v>
      </c>
      <c r="F36118">
        <v>5685</v>
      </c>
    </row>
    <row r="36119" spans="1:6" ht="12.75">
      <c r="A36119" s="2">
        <v>43875.262453703705</v>
      </c>
      <c r="B36119" t="str">
        <f>HYPERLINK("https://twitter.com/miqdadhusein","@miqdadhusein")</f>
        <v>@miqdadhusein</v>
      </c>
      <c r="C36119" t="s">
        <v>14963</v>
      </c>
      <c r="D36119">
        <v>0</v>
      </c>
      <c r="E36119">
        <v>0</v>
      </c>
      <c r="F36119">
        <v>8318</v>
      </c>
    </row>
    <row r="36120" spans="1:6" ht="12.75">
      <c r="A36120" s="2">
        <v>43875.262349537035</v>
      </c>
      <c r="B36120" t="str">
        <f>HYPERLINK("https://twitter.com/wawangowan2","@wawangowan2")</f>
        <v>@wawangowan2</v>
      </c>
      <c r="C36120" t="s">
        <v>10588</v>
      </c>
      <c r="D36120">
        <v>96</v>
      </c>
      <c r="E36120">
        <v>0</v>
      </c>
      <c r="F36120">
        <v>42</v>
      </c>
    </row>
    <row r="36121" spans="1:6" ht="12.75">
      <c r="A36121" s="2">
        <v>43875.262337962966</v>
      </c>
      <c r="B36121" t="str">
        <f>HYPERLINK("https://twitter.com/SydSalesman","@SydSalesman")</f>
        <v>@SydSalesman</v>
      </c>
      <c r="C36121" t="s">
        <v>12845</v>
      </c>
      <c r="D36121">
        <v>34</v>
      </c>
      <c r="E36121">
        <v>0</v>
      </c>
      <c r="F36121">
        <v>6224</v>
      </c>
    </row>
    <row r="36122" spans="1:6" ht="12.75">
      <c r="A36122" s="2">
        <v>43875.26226851852</v>
      </c>
      <c r="B36122" t="str">
        <f>HYPERLINK("https://twitter.com/TeWeL7","@TeWeL7")</f>
        <v>@TeWeL7</v>
      </c>
      <c r="C36122" t="s">
        <v>2963</v>
      </c>
      <c r="D36122">
        <v>206</v>
      </c>
      <c r="E36122">
        <v>0</v>
      </c>
      <c r="F36122">
        <v>2579</v>
      </c>
    </row>
    <row r="36123" spans="1:6" ht="12.75">
      <c r="A36123" s="2">
        <v>43875.262245370366</v>
      </c>
      <c r="B36123" t="str">
        <f>HYPERLINK("https://twitter.com/muispebrianto","@muispebrianto")</f>
        <v>@muispebrianto</v>
      </c>
      <c r="C36123" t="s">
        <v>14964</v>
      </c>
      <c r="D36123">
        <v>0</v>
      </c>
      <c r="E36123">
        <v>1</v>
      </c>
      <c r="F36123">
        <v>2776</v>
      </c>
    </row>
    <row r="36124" spans="1:6" ht="12.75">
      <c r="A36124" s="2">
        <v>43875.262233796297</v>
      </c>
      <c r="B36124" t="str">
        <f>HYPERLINK("https://twitter.com/Ganezhaputra1","@Ganezhaputra1")</f>
        <v>@Ganezhaputra1</v>
      </c>
      <c r="C36124" t="s">
        <v>12849</v>
      </c>
      <c r="D36124">
        <v>56</v>
      </c>
      <c r="E36124">
        <v>0</v>
      </c>
      <c r="F36124">
        <v>1502</v>
      </c>
    </row>
    <row r="36125" spans="1:6" ht="12.75">
      <c r="A36125" s="2">
        <v>43875.262210648143</v>
      </c>
      <c r="B36125" t="str">
        <f>HYPERLINK("https://twitter.com/surya_4371","@surya_4371")</f>
        <v>@surya_4371</v>
      </c>
      <c r="C36125" t="s">
        <v>11778</v>
      </c>
      <c r="D36125">
        <v>11</v>
      </c>
      <c r="E36125">
        <v>0</v>
      </c>
      <c r="F36125">
        <v>12</v>
      </c>
    </row>
    <row r="36126" spans="1:6" ht="12.75">
      <c r="A36126" s="2">
        <v>43875.262164351851</v>
      </c>
      <c r="B36126" t="str">
        <f>HYPERLINK("https://twitter.com/arbaiasa","@arbaiasa")</f>
        <v>@arbaiasa</v>
      </c>
      <c r="C36126" t="s">
        <v>8252</v>
      </c>
      <c r="D36126">
        <v>469</v>
      </c>
      <c r="E36126">
        <v>0</v>
      </c>
      <c r="F36126">
        <v>74</v>
      </c>
    </row>
    <row r="36127" spans="1:6" ht="12.75">
      <c r="A36127" s="2">
        <v>43875.262141203704</v>
      </c>
      <c r="B36127" t="str">
        <f>HYPERLINK("https://twitter.com/perkasa_f","@perkasa_f")</f>
        <v>@perkasa_f</v>
      </c>
      <c r="C36127" t="s">
        <v>14965</v>
      </c>
      <c r="D36127">
        <v>2</v>
      </c>
      <c r="E36127">
        <v>0</v>
      </c>
      <c r="F36127">
        <v>1409</v>
      </c>
    </row>
    <row r="36128" spans="1:6" ht="12.75">
      <c r="A36128" s="2">
        <v>43875.262037037042</v>
      </c>
      <c r="B36128" t="str">
        <f>HYPERLINK("https://twitter.com/penjelajahhh","@penjelajahhh")</f>
        <v>@penjelajahhh</v>
      </c>
      <c r="C36128" t="s">
        <v>2963</v>
      </c>
      <c r="D36128">
        <v>207</v>
      </c>
      <c r="E36128">
        <v>0</v>
      </c>
      <c r="F36128">
        <v>267</v>
      </c>
    </row>
    <row r="36129" spans="1:6" ht="12.75">
      <c r="A36129" s="2">
        <v>43875.261990740742</v>
      </c>
      <c r="B36129" t="str">
        <f>HYPERLINK("https://twitter.com/danielkaboom79","@danielkaboom79")</f>
        <v>@danielkaboom79</v>
      </c>
      <c r="C36129" t="s">
        <v>2963</v>
      </c>
      <c r="D36129">
        <v>207</v>
      </c>
      <c r="E36129">
        <v>0</v>
      </c>
      <c r="F36129">
        <v>3149</v>
      </c>
    </row>
    <row r="36130" spans="1:6" ht="12.75">
      <c r="A36130" s="2">
        <v>43875.261967592596</v>
      </c>
      <c r="B36130" t="str">
        <f>HYPERLINK("https://twitter.com/moh_gigip","@moh_gigip")</f>
        <v>@moh_gigip</v>
      </c>
      <c r="C36130" t="s">
        <v>14966</v>
      </c>
      <c r="D36130">
        <v>0</v>
      </c>
      <c r="E36130">
        <v>0</v>
      </c>
      <c r="F36130">
        <v>2</v>
      </c>
    </row>
    <row r="36131" spans="1:6" ht="12.75">
      <c r="A36131" s="2">
        <v>43875.261956018519</v>
      </c>
      <c r="B36131" t="str">
        <f>HYPERLINK("https://twitter.com/Agoos49005","@Agoos49005")</f>
        <v>@Agoos49005</v>
      </c>
      <c r="C36131" t="s">
        <v>14967</v>
      </c>
      <c r="D36131">
        <v>21</v>
      </c>
      <c r="E36131">
        <v>0</v>
      </c>
      <c r="F36131">
        <v>97</v>
      </c>
    </row>
    <row r="36132" spans="1:6" ht="12.75">
      <c r="A36132" s="2">
        <v>43875.261944444443</v>
      </c>
      <c r="B36132" t="str">
        <f>HYPERLINK("https://twitter.com/penjelajahhh","@penjelajahhh")</f>
        <v>@penjelajahhh</v>
      </c>
      <c r="C36132" t="s">
        <v>14968</v>
      </c>
      <c r="D36132">
        <v>0</v>
      </c>
      <c r="E36132">
        <v>0</v>
      </c>
      <c r="F36132">
        <v>267</v>
      </c>
    </row>
    <row r="36133" spans="1:6" ht="12.75">
      <c r="A36133" s="2">
        <v>43875.261921296296</v>
      </c>
      <c r="B36133" t="str">
        <f>HYPERLINK("https://twitter.com/bantalgulir","@bantalgulir")</f>
        <v>@bantalgulir</v>
      </c>
      <c r="C36133" t="s">
        <v>2963</v>
      </c>
      <c r="D36133">
        <v>207</v>
      </c>
      <c r="E36133">
        <v>0</v>
      </c>
      <c r="F36133">
        <v>5</v>
      </c>
    </row>
    <row r="36134" spans="1:6" ht="12.75">
      <c r="A36134" s="2">
        <v>43875.26190972222</v>
      </c>
      <c r="B36134" t="str">
        <f>HYPERLINK("https://twitter.com/Gopebagi3Back","@Gopebagi3Back")</f>
        <v>@Gopebagi3Back</v>
      </c>
      <c r="C36134" t="s">
        <v>2963</v>
      </c>
      <c r="D36134">
        <v>207</v>
      </c>
      <c r="E36134">
        <v>0</v>
      </c>
      <c r="F36134">
        <v>955</v>
      </c>
    </row>
    <row r="36135" spans="1:6" ht="12.75">
      <c r="A36135" s="2">
        <v>43875.26189814815</v>
      </c>
      <c r="B36135" t="str">
        <f>HYPERLINK("https://twitter.com/DavidRuslie8","@DavidRuslie8")</f>
        <v>@DavidRuslie8</v>
      </c>
      <c r="C36135" t="s">
        <v>14969</v>
      </c>
      <c r="D36135">
        <v>1</v>
      </c>
      <c r="E36135">
        <v>0</v>
      </c>
      <c r="F36135">
        <v>918</v>
      </c>
    </row>
    <row r="36136" spans="1:6" ht="12.75">
      <c r="A36136" s="2">
        <v>43875.261874999997</v>
      </c>
      <c r="B36136" t="str">
        <f>HYPERLINK("https://twitter.com/Ghaussada","@Ghaussada")</f>
        <v>@Ghaussada</v>
      </c>
      <c r="C36136" t="s">
        <v>2963</v>
      </c>
      <c r="D36136">
        <v>207</v>
      </c>
      <c r="E36136">
        <v>0</v>
      </c>
      <c r="F36136">
        <v>2838</v>
      </c>
    </row>
    <row r="36137" spans="1:6" ht="12.75">
      <c r="A36137" s="2">
        <v>43875.261828703704</v>
      </c>
      <c r="B36137" t="str">
        <f>HYPERLINK("https://twitter.com/duo_hh","@duo_hh")</f>
        <v>@duo_hh</v>
      </c>
      <c r="C36137" t="s">
        <v>14970</v>
      </c>
      <c r="D36137">
        <v>0</v>
      </c>
      <c r="E36137">
        <v>0</v>
      </c>
      <c r="F36137">
        <v>207</v>
      </c>
    </row>
    <row r="36138" spans="1:6" ht="12.75">
      <c r="A36138" s="2">
        <v>43875.261759259258</v>
      </c>
      <c r="B36138" t="str">
        <f>HYPERLINK("https://twitter.com/ISIS_Balik_NO","@ISIS_Balik_NO")</f>
        <v>@ISIS_Balik_NO</v>
      </c>
      <c r="C36138" t="s">
        <v>14971</v>
      </c>
      <c r="D36138">
        <v>0</v>
      </c>
      <c r="E36138">
        <v>0</v>
      </c>
      <c r="F36138">
        <v>5890</v>
      </c>
    </row>
    <row r="36139" spans="1:6" ht="12.75">
      <c r="A36139" s="2">
        <v>43875.261712962965</v>
      </c>
      <c r="B36139" t="str">
        <f>HYPERLINK("https://twitter.com/abespawnie","@abespawnie")</f>
        <v>@abespawnie</v>
      </c>
      <c r="C36139" t="s">
        <v>11394</v>
      </c>
      <c r="D36139">
        <v>18</v>
      </c>
      <c r="E36139">
        <v>0</v>
      </c>
      <c r="F36139">
        <v>300</v>
      </c>
    </row>
    <row r="36140" spans="1:6" ht="12.75">
      <c r="A36140" s="2">
        <v>43875.261701388888</v>
      </c>
      <c r="B36140" t="str">
        <f>HYPERLINK("https://twitter.com/anak_anakafir","@anak_anakafir")</f>
        <v>@anak_anakafir</v>
      </c>
      <c r="C36140" t="s">
        <v>14184</v>
      </c>
      <c r="D36140">
        <v>44</v>
      </c>
      <c r="E36140">
        <v>0</v>
      </c>
      <c r="F36140">
        <v>4121</v>
      </c>
    </row>
    <row r="36141" spans="1:6" ht="12.75">
      <c r="A36141" s="2">
        <v>43875.261562500003</v>
      </c>
      <c r="B36141" t="str">
        <f>HYPERLINK("https://twitter.com/Gusmar16","@Gusmar16")</f>
        <v>@Gusmar16</v>
      </c>
      <c r="C36141" t="s">
        <v>12906</v>
      </c>
      <c r="D36141">
        <v>55</v>
      </c>
      <c r="E36141">
        <v>0</v>
      </c>
      <c r="F36141">
        <v>831</v>
      </c>
    </row>
    <row r="36142" spans="1:6" ht="12.75">
      <c r="A36142" s="2">
        <v>43875.261504629627</v>
      </c>
      <c r="B36142" t="str">
        <f t="shared" ref="B36142:B36143" si="405">HYPERLINK("https://twitter.com/adetyas18","@adetyas18")</f>
        <v>@adetyas18</v>
      </c>
      <c r="C36142" t="s">
        <v>13554</v>
      </c>
      <c r="D36142">
        <v>47</v>
      </c>
      <c r="E36142">
        <v>0</v>
      </c>
      <c r="F36142">
        <v>3</v>
      </c>
    </row>
    <row r="36143" spans="1:6" ht="12.75">
      <c r="A36143" s="2">
        <v>43875.261458333334</v>
      </c>
      <c r="B36143" t="str">
        <f t="shared" si="405"/>
        <v>@adetyas18</v>
      </c>
      <c r="C36143" t="s">
        <v>13563</v>
      </c>
      <c r="D36143">
        <v>61</v>
      </c>
      <c r="E36143">
        <v>0</v>
      </c>
      <c r="F36143">
        <v>3</v>
      </c>
    </row>
    <row r="36144" spans="1:6" ht="12.75">
      <c r="A36144" s="2">
        <v>43875.261446759258</v>
      </c>
      <c r="B36144" t="str">
        <f>HYPERLINK("https://twitter.com/andreasharsono","@andreasharsono")</f>
        <v>@andreasharsono</v>
      </c>
      <c r="C36144" t="s">
        <v>17</v>
      </c>
      <c r="D36144">
        <v>0</v>
      </c>
      <c r="E36144">
        <v>0</v>
      </c>
      <c r="F36144">
        <v>35861</v>
      </c>
    </row>
    <row r="36145" spans="1:6" ht="12.75">
      <c r="A36145" s="2">
        <v>43875.261388888888</v>
      </c>
      <c r="B36145" t="str">
        <f>HYPERLINK("https://twitter.com/miqdadhusein","@miqdadhusein")</f>
        <v>@miqdadhusein</v>
      </c>
      <c r="C36145" t="s">
        <v>11322</v>
      </c>
      <c r="D36145">
        <v>54</v>
      </c>
      <c r="E36145">
        <v>0</v>
      </c>
      <c r="F36145">
        <v>8318</v>
      </c>
    </row>
    <row r="36146" spans="1:6" ht="12.75">
      <c r="A36146" s="2">
        <v>43875.261307870373</v>
      </c>
      <c r="B36146" t="str">
        <f>HYPERLINK("https://twitter.com/faizah_kirana","@faizah_kirana")</f>
        <v>@faizah_kirana</v>
      </c>
      <c r="C36146" t="s">
        <v>10330</v>
      </c>
      <c r="D36146">
        <v>184</v>
      </c>
      <c r="E36146">
        <v>0</v>
      </c>
      <c r="F36146">
        <v>33</v>
      </c>
    </row>
    <row r="36147" spans="1:6" ht="12.75">
      <c r="A36147" s="2">
        <v>43875.261284722219</v>
      </c>
      <c r="B36147" t="str">
        <f>HYPERLINK("https://twitter.com/gunawangistec","@gunawangistec")</f>
        <v>@gunawangistec</v>
      </c>
      <c r="C36147" t="s">
        <v>2963</v>
      </c>
      <c r="D36147">
        <v>207</v>
      </c>
      <c r="E36147">
        <v>0</v>
      </c>
      <c r="F36147">
        <v>166</v>
      </c>
    </row>
    <row r="36148" spans="1:6" ht="12.75">
      <c r="A36148" s="2">
        <v>43875.261238425926</v>
      </c>
      <c r="B36148" t="str">
        <f>HYPERLINK("https://twitter.com/penjelajahhh","@penjelajahhh")</f>
        <v>@penjelajahhh</v>
      </c>
      <c r="C36148" t="s">
        <v>14972</v>
      </c>
      <c r="D36148">
        <v>0</v>
      </c>
      <c r="E36148">
        <v>2</v>
      </c>
      <c r="F36148">
        <v>267</v>
      </c>
    </row>
    <row r="36149" spans="1:6" ht="12.75">
      <c r="A36149" s="2">
        <v>43875.261226851857</v>
      </c>
      <c r="B36149" t="str">
        <f>HYPERLINK("https://twitter.com/hanif_elbahri","@hanif_elbahri")</f>
        <v>@hanif_elbahri</v>
      </c>
      <c r="C36149" t="s">
        <v>5761</v>
      </c>
      <c r="D36149">
        <v>17</v>
      </c>
      <c r="E36149">
        <v>0</v>
      </c>
      <c r="F36149">
        <v>6</v>
      </c>
    </row>
    <row r="36150" spans="1:6" ht="12.75">
      <c r="A36150" s="2">
        <v>43875.261215277773</v>
      </c>
      <c r="B36150" t="str">
        <f>HYPERLINK("https://twitter.com/ulfah1206","@ulfah1206")</f>
        <v>@ulfah1206</v>
      </c>
      <c r="C36150" t="s">
        <v>8233</v>
      </c>
      <c r="D36150">
        <v>243</v>
      </c>
      <c r="E36150">
        <v>0</v>
      </c>
      <c r="F36150">
        <v>445</v>
      </c>
    </row>
    <row r="36151" spans="1:6" ht="12.75">
      <c r="A36151" s="2">
        <v>43875.261203703703</v>
      </c>
      <c r="B36151" t="str">
        <f>HYPERLINK("https://twitter.com/yunan_emha","@yunan_emha")</f>
        <v>@yunan_emha</v>
      </c>
      <c r="C36151" t="s">
        <v>11778</v>
      </c>
      <c r="D36151">
        <v>11</v>
      </c>
      <c r="E36151">
        <v>0</v>
      </c>
      <c r="F36151">
        <v>191</v>
      </c>
    </row>
    <row r="36152" spans="1:6" ht="12.75">
      <c r="A36152" s="2">
        <v>43875.261145833334</v>
      </c>
      <c r="B36152" t="str">
        <f>HYPERLINK("https://twitter.com/itsasalon","@itsasalon")</f>
        <v>@itsasalon</v>
      </c>
      <c r="C36152" t="s">
        <v>14973</v>
      </c>
      <c r="D36152">
        <v>0</v>
      </c>
      <c r="E36152">
        <v>0</v>
      </c>
      <c r="F36152">
        <v>537</v>
      </c>
    </row>
    <row r="36153" spans="1:6" ht="12.75">
      <c r="A36153" s="2">
        <v>43875.261134259257</v>
      </c>
      <c r="B36153" t="str">
        <f>HYPERLINK("https://twitter.com/rizaasz","@rizaasz")</f>
        <v>@rizaasz</v>
      </c>
      <c r="C36153" t="s">
        <v>5168</v>
      </c>
      <c r="D36153">
        <v>327</v>
      </c>
      <c r="E36153">
        <v>0</v>
      </c>
      <c r="F36153">
        <v>841</v>
      </c>
    </row>
    <row r="36154" spans="1:6" ht="12.75">
      <c r="A36154" s="2">
        <v>43875.261087962965</v>
      </c>
      <c r="B36154" t="str">
        <f>HYPERLINK("https://twitter.com/smallmelville","@smallmelville")</f>
        <v>@smallmelville</v>
      </c>
      <c r="C36154" t="s">
        <v>14974</v>
      </c>
      <c r="D36154">
        <v>0</v>
      </c>
      <c r="E36154">
        <v>0</v>
      </c>
      <c r="F36154">
        <v>16</v>
      </c>
    </row>
    <row r="36155" spans="1:6" ht="12.75">
      <c r="A36155" s="2">
        <v>43875.261041666672</v>
      </c>
      <c r="B36155" t="str">
        <f>HYPERLINK("https://twitter.com/JunandaF","@JunandaF")</f>
        <v>@JunandaF</v>
      </c>
      <c r="C36155" t="s">
        <v>14975</v>
      </c>
      <c r="D36155">
        <v>1</v>
      </c>
      <c r="E36155">
        <v>0</v>
      </c>
      <c r="F36155">
        <v>166</v>
      </c>
    </row>
    <row r="36156" spans="1:6" ht="12.75">
      <c r="A36156" s="2">
        <v>43875.261018518519</v>
      </c>
      <c r="B36156" t="str">
        <f>HYPERLINK("https://twitter.com/Chris1Est","@Chris1Est")</f>
        <v>@Chris1Est</v>
      </c>
      <c r="C36156" t="s">
        <v>2963</v>
      </c>
      <c r="D36156">
        <v>207</v>
      </c>
      <c r="E36156">
        <v>0</v>
      </c>
      <c r="F36156">
        <v>7</v>
      </c>
    </row>
    <row r="36157" spans="1:6" ht="12.75">
      <c r="A36157" s="2">
        <v>43875.260925925926</v>
      </c>
      <c r="B36157" t="str">
        <f>HYPERLINK("https://twitter.com/ISIS_Balik_NO","@ISIS_Balik_NO")</f>
        <v>@ISIS_Balik_NO</v>
      </c>
      <c r="C36157" t="s">
        <v>14976</v>
      </c>
      <c r="D36157">
        <v>0</v>
      </c>
      <c r="E36157">
        <v>0</v>
      </c>
      <c r="F36157">
        <v>5890</v>
      </c>
    </row>
    <row r="36158" spans="1:6" ht="12.75">
      <c r="A36158" s="2">
        <v>43875.260891203703</v>
      </c>
      <c r="B36158" t="str">
        <f>HYPERLINK("https://twitter.com/adetyas18","@adetyas18")</f>
        <v>@adetyas18</v>
      </c>
      <c r="C36158" t="s">
        <v>9211</v>
      </c>
      <c r="D36158">
        <v>19</v>
      </c>
      <c r="E36158">
        <v>0</v>
      </c>
      <c r="F36158">
        <v>3</v>
      </c>
    </row>
    <row r="36159" spans="1:6" ht="12.75">
      <c r="A36159" s="2">
        <v>43875.260891203703</v>
      </c>
      <c r="B36159" t="str">
        <f>HYPERLINK("https://twitter.com/saya_minoritas","@saya_minoritas")</f>
        <v>@saya_minoritas</v>
      </c>
      <c r="C36159" t="s">
        <v>2963</v>
      </c>
      <c r="D36159">
        <v>207</v>
      </c>
      <c r="E36159">
        <v>0</v>
      </c>
      <c r="F36159">
        <v>753</v>
      </c>
    </row>
    <row r="36160" spans="1:6" ht="12.75">
      <c r="A36160" s="2">
        <v>43875.260821759264</v>
      </c>
      <c r="B36160" t="str">
        <f>HYPERLINK("https://twitter.com/GamaelBen","@GamaelBen")</f>
        <v>@GamaelBen</v>
      </c>
      <c r="C36160" t="s">
        <v>14977</v>
      </c>
      <c r="D36160">
        <v>1</v>
      </c>
      <c r="E36160">
        <v>0</v>
      </c>
      <c r="F36160">
        <v>6238</v>
      </c>
    </row>
    <row r="36161" spans="1:6" ht="12.75">
      <c r="A36161" s="2">
        <v>43875.260740740741</v>
      </c>
      <c r="B36161" t="str">
        <f>HYPERLINK("https://twitter.com/rizzaldiahmad","@rizzaldiahmad")</f>
        <v>@rizzaldiahmad</v>
      </c>
      <c r="C36161" t="s">
        <v>2963</v>
      </c>
      <c r="D36161">
        <v>207</v>
      </c>
      <c r="E36161">
        <v>0</v>
      </c>
      <c r="F36161">
        <v>352</v>
      </c>
    </row>
    <row r="36162" spans="1:6" ht="12.75">
      <c r="A36162" s="2">
        <v>43875.260740740741</v>
      </c>
      <c r="B36162" t="str">
        <f>HYPERLINK("https://twitter.com/BitterBallance","@BitterBallance")</f>
        <v>@BitterBallance</v>
      </c>
      <c r="C36162" t="s">
        <v>14978</v>
      </c>
      <c r="D36162">
        <v>0</v>
      </c>
      <c r="E36162">
        <v>1</v>
      </c>
      <c r="F36162">
        <v>639</v>
      </c>
    </row>
    <row r="36163" spans="1:6" ht="12.75">
      <c r="A36163" s="2">
        <v>43875.260717592595</v>
      </c>
      <c r="B36163" t="str">
        <f>HYPERLINK("https://twitter.com/arbiansyahsulud","@arbiansyahsulud")</f>
        <v>@arbiansyahsulud</v>
      </c>
      <c r="C36163" t="s">
        <v>7406</v>
      </c>
      <c r="D36163">
        <v>20</v>
      </c>
      <c r="E36163">
        <v>0</v>
      </c>
      <c r="F36163">
        <v>191</v>
      </c>
    </row>
    <row r="36164" spans="1:6" ht="12.75">
      <c r="A36164" s="2">
        <v>43875.260717592595</v>
      </c>
      <c r="B36164" t="str">
        <f>HYPERLINK("https://twitter.com/salimasafna","@salimasafna")</f>
        <v>@salimasafna</v>
      </c>
      <c r="C36164" t="s">
        <v>5168</v>
      </c>
      <c r="D36164">
        <v>327</v>
      </c>
      <c r="E36164">
        <v>0</v>
      </c>
      <c r="F36164">
        <v>342</v>
      </c>
    </row>
    <row r="36165" spans="1:6" ht="12.75">
      <c r="A36165" s="2">
        <v>43875.260717592595</v>
      </c>
      <c r="B36165" t="str">
        <f>HYPERLINK("https://twitter.com/GamaelBen","@GamaelBen")</f>
        <v>@GamaelBen</v>
      </c>
      <c r="C36165" t="s">
        <v>14979</v>
      </c>
      <c r="D36165">
        <v>1</v>
      </c>
      <c r="E36165">
        <v>3</v>
      </c>
      <c r="F36165">
        <v>6238</v>
      </c>
    </row>
    <row r="36166" spans="1:6" ht="12.75">
      <c r="A36166" s="2">
        <v>43875.260682870372</v>
      </c>
      <c r="B36166" t="str">
        <f>HYPERLINK("https://twitter.com/hartanto_mas","@hartanto_mas")</f>
        <v>@hartanto_mas</v>
      </c>
      <c r="C36166" t="s">
        <v>9119</v>
      </c>
      <c r="D36166">
        <v>39</v>
      </c>
      <c r="E36166">
        <v>0</v>
      </c>
      <c r="F36166">
        <v>1047</v>
      </c>
    </row>
    <row r="36167" spans="1:6" ht="12.75">
      <c r="A36167" s="2">
        <v>43875.26054398148</v>
      </c>
      <c r="B36167" t="str">
        <f>HYPERLINK("https://twitter.com/febiimelancholy","@febiimelancholy")</f>
        <v>@febiimelancholy</v>
      </c>
      <c r="C36167" t="s">
        <v>12834</v>
      </c>
      <c r="D36167">
        <v>410</v>
      </c>
      <c r="E36167">
        <v>0</v>
      </c>
      <c r="F36167">
        <v>122</v>
      </c>
    </row>
    <row r="36168" spans="1:6" ht="12.75">
      <c r="A36168" s="2">
        <v>43875.26053240741</v>
      </c>
      <c r="B36168" t="str">
        <f>HYPERLINK("https://twitter.com/firmanashad08","@firmanashad08")</f>
        <v>@firmanashad08</v>
      </c>
      <c r="C36168" t="s">
        <v>14980</v>
      </c>
      <c r="D36168">
        <v>0</v>
      </c>
      <c r="E36168">
        <v>0</v>
      </c>
      <c r="F36168">
        <v>171</v>
      </c>
    </row>
    <row r="36169" spans="1:6" ht="12.75">
      <c r="A36169" s="2">
        <v>43875.260474537034</v>
      </c>
      <c r="B36169" t="str">
        <f>HYPERLINK("https://twitter.com/dwisutiyanti6","@dwisutiyanti6")</f>
        <v>@dwisutiyanti6</v>
      </c>
      <c r="C36169" t="s">
        <v>14981</v>
      </c>
      <c r="D36169">
        <v>0</v>
      </c>
      <c r="E36169">
        <v>0</v>
      </c>
      <c r="F36169">
        <v>2170</v>
      </c>
    </row>
    <row r="36170" spans="1:6" ht="12.75">
      <c r="A36170" s="2">
        <v>43875.260451388887</v>
      </c>
      <c r="B36170" t="str">
        <f>HYPERLINK("https://twitter.com/YoyokSubandriy3","@YoyokSubandriy3")</f>
        <v>@YoyokSubandriy3</v>
      </c>
      <c r="C36170" t="s">
        <v>9377</v>
      </c>
      <c r="D36170">
        <v>5</v>
      </c>
      <c r="E36170">
        <v>0</v>
      </c>
      <c r="F36170">
        <v>1353</v>
      </c>
    </row>
    <row r="36171" spans="1:6" ht="12.75">
      <c r="A36171" s="2">
        <v>43875.260381944448</v>
      </c>
      <c r="B36171" t="str">
        <f>HYPERLINK("https://twitter.com/Fajar_Nurcah","@Fajar_Nurcah")</f>
        <v>@Fajar_Nurcah</v>
      </c>
      <c r="C36171" t="s">
        <v>2963</v>
      </c>
      <c r="D36171">
        <v>207</v>
      </c>
      <c r="E36171">
        <v>0</v>
      </c>
      <c r="F36171">
        <v>60</v>
      </c>
    </row>
    <row r="36172" spans="1:6" ht="12.75">
      <c r="A36172" s="2">
        <v>43875.260266203702</v>
      </c>
      <c r="B36172" t="str">
        <f>HYPERLINK("https://twitter.com/HIRIKITIK","@HIRIKITIK")</f>
        <v>@HIRIKITIK</v>
      </c>
      <c r="C36172" t="s">
        <v>11167</v>
      </c>
      <c r="D36172">
        <v>150</v>
      </c>
      <c r="E36172">
        <v>0</v>
      </c>
      <c r="F36172">
        <v>186</v>
      </c>
    </row>
    <row r="36173" spans="1:6" ht="12.75">
      <c r="A36173" s="2">
        <v>43875.260219907403</v>
      </c>
      <c r="B36173" t="str">
        <f>HYPERLINK("https://twitter.com/tebumutiara72","@tebumutiara72")</f>
        <v>@tebumutiara72</v>
      </c>
      <c r="C36173" t="s">
        <v>10196</v>
      </c>
      <c r="D36173">
        <v>116</v>
      </c>
      <c r="E36173">
        <v>0</v>
      </c>
      <c r="F36173">
        <v>842</v>
      </c>
    </row>
    <row r="36174" spans="1:6" ht="12.75">
      <c r="A36174" s="2">
        <v>43875.260115740741</v>
      </c>
      <c r="B36174" t="str">
        <f>HYPERLINK("https://twitter.com/PunggawaMuslim","@PunggawaMuslim")</f>
        <v>@PunggawaMuslim</v>
      </c>
      <c r="C36174" t="s">
        <v>10096</v>
      </c>
      <c r="D36174">
        <v>31</v>
      </c>
      <c r="E36174">
        <v>0</v>
      </c>
      <c r="F36174">
        <v>536</v>
      </c>
    </row>
    <row r="36175" spans="1:6" ht="12.75">
      <c r="A36175" s="2">
        <v>43875.260104166664</v>
      </c>
      <c r="B36175" t="str">
        <f>HYPERLINK("https://twitter.com/pagiusil","@pagiusil")</f>
        <v>@pagiusil</v>
      </c>
      <c r="C36175" t="s">
        <v>14982</v>
      </c>
      <c r="D36175">
        <v>0</v>
      </c>
      <c r="E36175">
        <v>0</v>
      </c>
      <c r="F36175">
        <v>300</v>
      </c>
    </row>
    <row r="36176" spans="1:6" ht="12.75">
      <c r="A36176" s="2">
        <v>43875.260069444441</v>
      </c>
      <c r="B36176" t="str">
        <f>HYPERLINK("https://twitter.com/KyaiMblebes","@KyaiMblebes")</f>
        <v>@KyaiMblebes</v>
      </c>
      <c r="C36176" t="s">
        <v>14983</v>
      </c>
      <c r="D36176">
        <v>1</v>
      </c>
      <c r="E36176">
        <v>1</v>
      </c>
      <c r="F36176">
        <v>375</v>
      </c>
    </row>
    <row r="36177" spans="1:6" ht="12.75">
      <c r="A36177" s="2">
        <v>43875.260046296295</v>
      </c>
      <c r="B36177" t="str">
        <f>HYPERLINK("https://twitter.com/oejensaka","@oejensaka")</f>
        <v>@oejensaka</v>
      </c>
      <c r="C36177" t="s">
        <v>2963</v>
      </c>
      <c r="D36177">
        <v>207</v>
      </c>
      <c r="E36177">
        <v>0</v>
      </c>
      <c r="F36177">
        <v>399</v>
      </c>
    </row>
    <row r="36178" spans="1:6" ht="12.75">
      <c r="A36178" s="2">
        <v>43875.260034722218</v>
      </c>
      <c r="B36178" t="str">
        <f>HYPERLINK("https://twitter.com/rosasaad","@rosasaad")</f>
        <v>@rosasaad</v>
      </c>
      <c r="C36178" t="s">
        <v>14984</v>
      </c>
      <c r="D36178">
        <v>0</v>
      </c>
      <c r="E36178">
        <v>0</v>
      </c>
      <c r="F36178">
        <v>97</v>
      </c>
    </row>
    <row r="36179" spans="1:6" ht="12.75">
      <c r="A36179" s="2">
        <v>43875.260011574079</v>
      </c>
      <c r="B36179" t="str">
        <f>HYPERLINK("https://twitter.com/tebumutiara72","@tebumutiara72")</f>
        <v>@tebumutiara72</v>
      </c>
      <c r="C36179" t="s">
        <v>7411</v>
      </c>
      <c r="D36179">
        <v>127</v>
      </c>
      <c r="E36179">
        <v>0</v>
      </c>
      <c r="F36179">
        <v>842</v>
      </c>
    </row>
    <row r="36180" spans="1:6" ht="12.75">
      <c r="A36180" s="2">
        <v>43875.259942129633</v>
      </c>
      <c r="B36180" t="str">
        <f>HYPERLINK("https://twitter.com/sir_usil","@sir_usil")</f>
        <v>@sir_usil</v>
      </c>
      <c r="C36180" t="s">
        <v>8394</v>
      </c>
      <c r="D36180">
        <v>21</v>
      </c>
      <c r="E36180">
        <v>0</v>
      </c>
      <c r="F36180">
        <v>218</v>
      </c>
    </row>
    <row r="36181" spans="1:6" ht="12.75">
      <c r="A36181" s="2">
        <v>43875.259942129633</v>
      </c>
      <c r="B36181" t="str">
        <f>HYPERLINK("https://twitter.com/bunc1s","@bunc1s")</f>
        <v>@bunc1s</v>
      </c>
      <c r="C36181" t="s">
        <v>18</v>
      </c>
      <c r="D36181">
        <v>0</v>
      </c>
      <c r="E36181">
        <v>0</v>
      </c>
      <c r="F36181">
        <v>730</v>
      </c>
    </row>
    <row r="36182" spans="1:6" ht="12.75">
      <c r="A36182" s="2">
        <v>43875.259942129633</v>
      </c>
      <c r="B36182" t="str">
        <f>HYPERLINK("https://twitter.com/fandy5758","@fandy5758")</f>
        <v>@fandy5758</v>
      </c>
      <c r="C36182" t="s">
        <v>14213</v>
      </c>
      <c r="D36182">
        <v>30</v>
      </c>
      <c r="E36182">
        <v>0</v>
      </c>
      <c r="F36182">
        <v>57</v>
      </c>
    </row>
    <row r="36183" spans="1:6" ht="12.75">
      <c r="A36183" s="2">
        <v>43875.259652777779</v>
      </c>
      <c r="B36183" t="str">
        <f>HYPERLINK("https://twitter.com/Aq64987848","@Aq64987848")</f>
        <v>@Aq64987848</v>
      </c>
      <c r="C36183" t="s">
        <v>5761</v>
      </c>
      <c r="D36183">
        <v>17</v>
      </c>
      <c r="E36183">
        <v>0</v>
      </c>
      <c r="F36183">
        <v>130</v>
      </c>
    </row>
    <row r="36184" spans="1:6" ht="12.75">
      <c r="A36184" s="2">
        <v>43875.259421296301</v>
      </c>
      <c r="B36184" t="str">
        <f>HYPERLINK("https://twitter.com/dim0716demak","@dim0716demak")</f>
        <v>@dim0716demak</v>
      </c>
      <c r="C36184" t="s">
        <v>14985</v>
      </c>
      <c r="D36184">
        <v>0</v>
      </c>
      <c r="E36184">
        <v>0</v>
      </c>
      <c r="F36184">
        <v>1207</v>
      </c>
    </row>
    <row r="36185" spans="1:6" ht="12.75">
      <c r="A36185" s="2">
        <v>43875.259328703702</v>
      </c>
      <c r="B36185" t="str">
        <f>HYPERLINK("https://twitter.com/santri_cendekia","@santri_cendekia")</f>
        <v>@santri_cendekia</v>
      </c>
      <c r="C36185" t="s">
        <v>14986</v>
      </c>
      <c r="D36185">
        <v>13</v>
      </c>
      <c r="E36185">
        <v>0</v>
      </c>
      <c r="F36185">
        <v>311</v>
      </c>
    </row>
    <row r="36186" spans="1:6" ht="12.75">
      <c r="A36186" s="2">
        <v>43875.259259259255</v>
      </c>
      <c r="B36186" t="str">
        <f>HYPERLINK("https://twitter.com/nadha_purba","@nadha_purba")</f>
        <v>@nadha_purba</v>
      </c>
      <c r="C36186" t="s">
        <v>13714</v>
      </c>
      <c r="D36186">
        <v>3</v>
      </c>
      <c r="E36186">
        <v>0</v>
      </c>
      <c r="F36186">
        <v>383</v>
      </c>
    </row>
    <row r="36187" spans="1:6" ht="12.75">
      <c r="A36187" s="2">
        <v>43875.259224537032</v>
      </c>
      <c r="B36187" t="str">
        <f>HYPERLINK("https://twitter.com/BRMDidik","@BRMDidik")</f>
        <v>@BRMDidik</v>
      </c>
      <c r="C36187" t="s">
        <v>2963</v>
      </c>
      <c r="D36187">
        <v>207</v>
      </c>
      <c r="E36187">
        <v>0</v>
      </c>
      <c r="F36187">
        <v>1023</v>
      </c>
    </row>
    <row r="36188" spans="1:6" ht="12.75">
      <c r="A36188" s="2">
        <v>43875.259201388893</v>
      </c>
      <c r="B36188" t="str">
        <f>HYPERLINK("https://twitter.com/genostlly","@genostlly")</f>
        <v>@genostlly</v>
      </c>
      <c r="C36188" t="s">
        <v>9113</v>
      </c>
      <c r="D36188">
        <v>227</v>
      </c>
      <c r="E36188">
        <v>0</v>
      </c>
      <c r="F36188">
        <v>704</v>
      </c>
    </row>
    <row r="36189" spans="1:6" ht="12.75">
      <c r="A36189" s="2">
        <v>43875.259189814809</v>
      </c>
      <c r="B36189" t="str">
        <f>HYPERLINK("https://twitter.com/yoshikomarsal","@yoshikomarsal")</f>
        <v>@yoshikomarsal</v>
      </c>
      <c r="C36189" t="s">
        <v>10360</v>
      </c>
      <c r="D36189">
        <v>24</v>
      </c>
      <c r="E36189">
        <v>0</v>
      </c>
      <c r="F36189">
        <v>704</v>
      </c>
    </row>
    <row r="36190" spans="1:6" ht="12.75">
      <c r="A36190" s="2">
        <v>43875.25917824074</v>
      </c>
      <c r="B36190" t="str">
        <f>HYPERLINK("https://twitter.com/hadijah2007","@hadijah2007")</f>
        <v>@hadijah2007</v>
      </c>
      <c r="C36190" t="s">
        <v>10407</v>
      </c>
      <c r="D36190">
        <v>22</v>
      </c>
      <c r="E36190">
        <v>0</v>
      </c>
      <c r="F36190">
        <v>2150</v>
      </c>
    </row>
    <row r="36191" spans="1:6" ht="12.75">
      <c r="A36191" s="2">
        <v>43875.259062500001</v>
      </c>
      <c r="B36191" t="str">
        <f>HYPERLINK("https://twitter.com/mochamadarip","@mochamadarip")</f>
        <v>@mochamadarip</v>
      </c>
      <c r="C36191" t="s">
        <v>12906</v>
      </c>
      <c r="D36191">
        <v>55</v>
      </c>
      <c r="E36191">
        <v>0</v>
      </c>
      <c r="F36191">
        <v>26148</v>
      </c>
    </row>
    <row r="36192" spans="1:6" ht="12.75">
      <c r="A36192" s="2">
        <v>43875.259039351848</v>
      </c>
      <c r="B36192" t="str">
        <f>HYPERLINK("https://twitter.com/purbanasrun","@purbanasrun")</f>
        <v>@purbanasrun</v>
      </c>
      <c r="C36192" t="s">
        <v>2963</v>
      </c>
      <c r="D36192">
        <v>207</v>
      </c>
      <c r="E36192">
        <v>0</v>
      </c>
      <c r="F36192">
        <v>1929</v>
      </c>
    </row>
    <row r="36193" spans="1:6" ht="12.75">
      <c r="A36193" s="2">
        <v>43875.258981481486</v>
      </c>
      <c r="B36193" t="str">
        <f>HYPERLINK("https://twitter.com/asnug_id","@asnug_id")</f>
        <v>@asnug_id</v>
      </c>
      <c r="C36193" t="s">
        <v>10542</v>
      </c>
      <c r="D36193">
        <v>120</v>
      </c>
      <c r="E36193">
        <v>0</v>
      </c>
      <c r="F36193">
        <v>3173</v>
      </c>
    </row>
    <row r="36194" spans="1:6" ht="12.75">
      <c r="A36194" s="2">
        <v>43875.258958333332</v>
      </c>
      <c r="B36194" t="str">
        <f>HYPERLINK("https://twitter.com/PribumiDong","@PribumiDong")</f>
        <v>@PribumiDong</v>
      </c>
      <c r="C36194" t="s">
        <v>10096</v>
      </c>
      <c r="D36194">
        <v>31</v>
      </c>
      <c r="E36194">
        <v>0</v>
      </c>
      <c r="F36194">
        <v>864</v>
      </c>
    </row>
    <row r="36195" spans="1:6" ht="12.75">
      <c r="A36195" s="2">
        <v>43875.258946759262</v>
      </c>
      <c r="B36195" t="str">
        <f>HYPERLINK("https://twitter.com/mochamadarip","@mochamadarip")</f>
        <v>@mochamadarip</v>
      </c>
      <c r="C36195" t="s">
        <v>14326</v>
      </c>
      <c r="D36195">
        <v>48</v>
      </c>
      <c r="E36195">
        <v>0</v>
      </c>
      <c r="F36195">
        <v>26148</v>
      </c>
    </row>
    <row r="36196" spans="1:6" ht="12.75">
      <c r="A36196" s="2">
        <v>43875.258877314816</v>
      </c>
      <c r="B36196" t="str">
        <f>HYPERLINK("https://twitter.com/Gusmar16","@Gusmar16")</f>
        <v>@Gusmar16</v>
      </c>
      <c r="C36196" t="s">
        <v>2963</v>
      </c>
      <c r="D36196">
        <v>207</v>
      </c>
      <c r="E36196">
        <v>0</v>
      </c>
      <c r="F36196">
        <v>831</v>
      </c>
    </row>
    <row r="36197" spans="1:6" ht="12.75">
      <c r="A36197" s="2">
        <v>43875.258831018524</v>
      </c>
      <c r="B36197" t="str">
        <f>HYPERLINK("https://twitter.com/ngurah_suta","@ngurah_suta")</f>
        <v>@ngurah_suta</v>
      </c>
      <c r="C36197" t="s">
        <v>11728</v>
      </c>
      <c r="D36197">
        <v>55</v>
      </c>
      <c r="E36197">
        <v>0</v>
      </c>
      <c r="F36197">
        <v>954</v>
      </c>
    </row>
    <row r="36198" spans="1:6" ht="12.75">
      <c r="A36198" s="2">
        <v>43875.258784722224</v>
      </c>
      <c r="B36198" t="str">
        <f>HYPERLINK("https://twitter.com/adityanarayana2","@adityanarayana2")</f>
        <v>@adityanarayana2</v>
      </c>
      <c r="C36198" t="s">
        <v>5168</v>
      </c>
      <c r="D36198">
        <v>327</v>
      </c>
      <c r="E36198">
        <v>0</v>
      </c>
      <c r="F36198">
        <v>22</v>
      </c>
    </row>
    <row r="36199" spans="1:6" ht="12.75">
      <c r="A36199" s="2">
        <v>43875.258773148147</v>
      </c>
      <c r="B36199" t="str">
        <f>HYPERLINK("https://twitter.com/film_egy","@film_egy")</f>
        <v>@film_egy</v>
      </c>
      <c r="C36199" t="s">
        <v>14987</v>
      </c>
      <c r="D36199">
        <v>0</v>
      </c>
      <c r="E36199">
        <v>0</v>
      </c>
      <c r="F36199">
        <v>3</v>
      </c>
    </row>
    <row r="36200" spans="1:6" ht="12.75">
      <c r="A36200" s="2">
        <v>43875.258715277778</v>
      </c>
      <c r="B36200" t="str">
        <f>HYPERLINK("https://twitter.com/ulfah1206","@ulfah1206")</f>
        <v>@ulfah1206</v>
      </c>
      <c r="C36200" t="s">
        <v>14988</v>
      </c>
      <c r="D36200">
        <v>6</v>
      </c>
      <c r="E36200">
        <v>0</v>
      </c>
      <c r="F36200">
        <v>445</v>
      </c>
    </row>
    <row r="36201" spans="1:6" ht="12.75">
      <c r="A36201" s="2">
        <v>43875.258715277778</v>
      </c>
      <c r="B36201" t="str">
        <f>HYPERLINK("https://twitter.com/genostlly","@genostlly")</f>
        <v>@genostlly</v>
      </c>
      <c r="C36201" t="s">
        <v>14989</v>
      </c>
      <c r="D36201">
        <v>0</v>
      </c>
      <c r="E36201">
        <v>0</v>
      </c>
      <c r="F36201">
        <v>704</v>
      </c>
    </row>
    <row r="36202" spans="1:6" ht="12.75">
      <c r="A36202" s="2">
        <v>43875.258703703701</v>
      </c>
      <c r="B36202" t="str">
        <f>HYPERLINK("https://twitter.com/Chalink15311048","@Chalink15311048")</f>
        <v>@Chalink15311048</v>
      </c>
      <c r="C36202" t="s">
        <v>10552</v>
      </c>
      <c r="D36202">
        <v>477</v>
      </c>
      <c r="E36202">
        <v>0</v>
      </c>
      <c r="F36202">
        <v>680</v>
      </c>
    </row>
    <row r="36203" spans="1:6" ht="12.75">
      <c r="A36203" s="2">
        <v>43875.258645833332</v>
      </c>
      <c r="B36203" t="str">
        <f>HYPERLINK("https://twitter.com/taufiqtpi","@taufiqtpi")</f>
        <v>@taufiqtpi</v>
      </c>
      <c r="C36203" t="s">
        <v>12279</v>
      </c>
      <c r="D36203">
        <v>51</v>
      </c>
      <c r="E36203">
        <v>0</v>
      </c>
      <c r="F36203">
        <v>390</v>
      </c>
    </row>
    <row r="36204" spans="1:6" ht="12.75">
      <c r="A36204" s="2">
        <v>43875.25854166667</v>
      </c>
      <c r="B36204" t="str">
        <f>HYPERLINK("https://twitter.com/LusiHQ","@LusiHQ")</f>
        <v>@LusiHQ</v>
      </c>
      <c r="C36204" t="s">
        <v>11394</v>
      </c>
      <c r="D36204">
        <v>18</v>
      </c>
      <c r="E36204">
        <v>0</v>
      </c>
      <c r="F36204">
        <v>17685</v>
      </c>
    </row>
    <row r="36205" spans="1:6" ht="12.75">
      <c r="A36205" s="2">
        <v>43875.258530092593</v>
      </c>
      <c r="B36205" t="str">
        <f>HYPERLINK("https://twitter.com/BimoMangkulang1","@BimoMangkulang1")</f>
        <v>@BimoMangkulang1</v>
      </c>
      <c r="C36205" t="s">
        <v>2122</v>
      </c>
      <c r="D36205">
        <v>163</v>
      </c>
      <c r="E36205">
        <v>0</v>
      </c>
      <c r="F36205">
        <v>285</v>
      </c>
    </row>
    <row r="36206" spans="1:6" ht="12.75">
      <c r="A36206" s="2">
        <v>43875.258518518516</v>
      </c>
      <c r="B36206" t="str">
        <f>HYPERLINK("https://twitter.com/HaerumanUman","@HaerumanUman")</f>
        <v>@HaerumanUman</v>
      </c>
      <c r="C36206" t="s">
        <v>10407</v>
      </c>
      <c r="D36206">
        <v>22</v>
      </c>
      <c r="E36206">
        <v>0</v>
      </c>
      <c r="F36206">
        <v>1378</v>
      </c>
    </row>
    <row r="36207" spans="1:6" ht="12.75">
      <c r="A36207" s="2">
        <v>43875.258506944447</v>
      </c>
      <c r="B36207" t="str">
        <f>HYPERLINK("https://twitter.com/vianratulangi","@vianratulangi")</f>
        <v>@vianratulangi</v>
      </c>
      <c r="C36207" t="s">
        <v>10266</v>
      </c>
      <c r="D36207">
        <v>243</v>
      </c>
      <c r="E36207">
        <v>0</v>
      </c>
      <c r="F36207">
        <v>1563</v>
      </c>
    </row>
    <row r="36208" spans="1:6" ht="12.75">
      <c r="A36208" s="2">
        <v>43875.25849537037</v>
      </c>
      <c r="B36208" t="str">
        <f>HYPERLINK("https://twitter.com/ulfah1206","@ulfah1206")</f>
        <v>@ulfah1206</v>
      </c>
      <c r="C36208" t="s">
        <v>14990</v>
      </c>
      <c r="D36208">
        <v>2</v>
      </c>
      <c r="E36208">
        <v>0</v>
      </c>
      <c r="F36208">
        <v>445</v>
      </c>
    </row>
    <row r="36209" spans="1:6" ht="12.75">
      <c r="A36209" s="2">
        <v>43875.258194444439</v>
      </c>
      <c r="B36209" t="str">
        <f>HYPERLINK("https://twitter.com/BantenSarerea","@BantenSarerea")</f>
        <v>@BantenSarerea</v>
      </c>
      <c r="C36209" t="s">
        <v>19</v>
      </c>
      <c r="D36209">
        <v>0</v>
      </c>
      <c r="E36209">
        <v>0</v>
      </c>
      <c r="F36209">
        <v>5354</v>
      </c>
    </row>
    <row r="36210" spans="1:6" ht="12.75">
      <c r="A36210" s="2">
        <v>43875.258148148147</v>
      </c>
      <c r="B36210" t="str">
        <f>HYPERLINK("https://twitter.com/JannesHutajulu","@JannesHutajulu")</f>
        <v>@JannesHutajulu</v>
      </c>
      <c r="C36210" t="s">
        <v>2963</v>
      </c>
      <c r="D36210">
        <v>207</v>
      </c>
      <c r="E36210">
        <v>0</v>
      </c>
      <c r="F36210">
        <v>2166</v>
      </c>
    </row>
    <row r="36211" spans="1:6" ht="12.75">
      <c r="A36211" s="2">
        <v>43875.258125</v>
      </c>
      <c r="B36211" t="str">
        <f>HYPERLINK("https://twitter.com/andi_achilles","@andi_achilles")</f>
        <v>@andi_achilles</v>
      </c>
      <c r="C36211" t="s">
        <v>10407</v>
      </c>
      <c r="D36211">
        <v>22</v>
      </c>
      <c r="E36211">
        <v>0</v>
      </c>
      <c r="F36211">
        <v>1288</v>
      </c>
    </row>
    <row r="36212" spans="1:6" ht="12.75">
      <c r="A36212" s="2">
        <v>43875.258090277777</v>
      </c>
      <c r="B36212" t="str">
        <f>HYPERLINK("https://twitter.com/AchmadA23292527","@AchmadA23292527")</f>
        <v>@AchmadA23292527</v>
      </c>
      <c r="C36212" t="s">
        <v>14991</v>
      </c>
      <c r="D36212">
        <v>0</v>
      </c>
      <c r="E36212">
        <v>0</v>
      </c>
      <c r="F36212">
        <v>1</v>
      </c>
    </row>
    <row r="36213" spans="1:6" ht="12.75">
      <c r="A36213" s="2">
        <v>43875.257997685185</v>
      </c>
      <c r="B36213" t="str">
        <f>HYPERLINK("https://twitter.com/nonakitting","@nonakitting")</f>
        <v>@nonakitting</v>
      </c>
      <c r="C36213" t="s">
        <v>10169</v>
      </c>
      <c r="D36213">
        <v>47</v>
      </c>
      <c r="E36213">
        <v>0</v>
      </c>
      <c r="F36213">
        <v>429</v>
      </c>
    </row>
    <row r="36214" spans="1:6" ht="12.75">
      <c r="A36214" s="2">
        <v>43875.257974537039</v>
      </c>
      <c r="B36214" t="str">
        <f>HYPERLINK("https://twitter.com/YuliantoGNFI","@YuliantoGNFI")</f>
        <v>@YuliantoGNFI</v>
      </c>
      <c r="C36214" t="s">
        <v>14992</v>
      </c>
      <c r="D36214">
        <v>66</v>
      </c>
      <c r="E36214">
        <v>0</v>
      </c>
      <c r="F36214">
        <v>4</v>
      </c>
    </row>
    <row r="36215" spans="1:6" ht="12.75">
      <c r="A36215" s="2">
        <v>43875.257928240739</v>
      </c>
      <c r="B36215" t="str">
        <f>HYPERLINK("https://twitter.com/faqirah82","@faqirah82")</f>
        <v>@faqirah82</v>
      </c>
      <c r="C36215" t="s">
        <v>2963</v>
      </c>
      <c r="D36215">
        <v>207</v>
      </c>
      <c r="E36215">
        <v>0</v>
      </c>
      <c r="F36215">
        <v>1782</v>
      </c>
    </row>
    <row r="36216" spans="1:6" ht="12.75">
      <c r="A36216" s="2">
        <v>43875.257870370369</v>
      </c>
      <c r="B36216" t="str">
        <f>HYPERLINK("https://twitter.com/Baretmerah1952","@Baretmerah1952")</f>
        <v>@Baretmerah1952</v>
      </c>
      <c r="C36216" t="s">
        <v>14993</v>
      </c>
      <c r="D36216">
        <v>2</v>
      </c>
      <c r="E36216">
        <v>0</v>
      </c>
      <c r="F36216">
        <v>1913</v>
      </c>
    </row>
    <row r="36217" spans="1:6" ht="12.75">
      <c r="A36217" s="2">
        <v>43875.257870370369</v>
      </c>
      <c r="B36217" t="str">
        <f>HYPERLINK("https://twitter.com/Kamarrul4","@Kamarrul4")</f>
        <v>@Kamarrul4</v>
      </c>
      <c r="C36217" t="s">
        <v>14994</v>
      </c>
      <c r="D36217">
        <v>0</v>
      </c>
      <c r="E36217">
        <v>1</v>
      </c>
      <c r="F36217">
        <v>90</v>
      </c>
    </row>
    <row r="36218" spans="1:6" ht="12.75">
      <c r="A36218" s="2">
        <v>43875.257754629631</v>
      </c>
      <c r="B36218" t="str">
        <f>HYPERLINK("https://twitter.com/kucingbaikhati","@kucingbaikhati")</f>
        <v>@kucingbaikhati</v>
      </c>
      <c r="C36218" t="s">
        <v>14593</v>
      </c>
      <c r="D36218">
        <v>31</v>
      </c>
      <c r="E36218">
        <v>0</v>
      </c>
      <c r="F36218">
        <v>20</v>
      </c>
    </row>
    <row r="36219" spans="1:6" ht="12.75">
      <c r="A36219" s="2">
        <v>43875.257685185185</v>
      </c>
      <c r="B36219" t="str">
        <f>HYPERLINK("https://twitter.com/miqdadhusein","@miqdadhusein")</f>
        <v>@miqdadhusein</v>
      </c>
      <c r="C36219" t="s">
        <v>14995</v>
      </c>
      <c r="D36219">
        <v>0</v>
      </c>
      <c r="E36219">
        <v>0</v>
      </c>
      <c r="F36219">
        <v>8318</v>
      </c>
    </row>
    <row r="36220" spans="1:6" ht="12.75">
      <c r="A36220" s="2">
        <v>43875.257638888885</v>
      </c>
      <c r="B36220" t="str">
        <f>HYPERLINK("https://twitter.com/nitotino","@nitotino")</f>
        <v>@nitotino</v>
      </c>
      <c r="C36220" t="s">
        <v>12080</v>
      </c>
      <c r="D36220">
        <v>11</v>
      </c>
      <c r="E36220">
        <v>0</v>
      </c>
      <c r="F36220">
        <v>98</v>
      </c>
    </row>
    <row r="36221" spans="1:6" ht="12.75">
      <c r="A36221" s="2">
        <v>43875.257557870369</v>
      </c>
      <c r="B36221" t="str">
        <f>HYPERLINK("https://twitter.com/Margooae","@Margooae")</f>
        <v>@Margooae</v>
      </c>
      <c r="C36221" t="s">
        <v>9947</v>
      </c>
      <c r="D36221">
        <v>308</v>
      </c>
      <c r="E36221">
        <v>0</v>
      </c>
      <c r="F36221">
        <v>27</v>
      </c>
    </row>
    <row r="36222" spans="1:6" ht="12.75">
      <c r="A36222" s="2">
        <v>43875.2575</v>
      </c>
      <c r="B36222" t="str">
        <f>HYPERLINK("https://twitter.com/DavidRuslie8","@DavidRuslie8")</f>
        <v>@DavidRuslie8</v>
      </c>
      <c r="C36222" t="s">
        <v>11797</v>
      </c>
      <c r="D36222">
        <v>3</v>
      </c>
      <c r="E36222">
        <v>0</v>
      </c>
      <c r="F36222">
        <v>918</v>
      </c>
    </row>
    <row r="36223" spans="1:6" ht="12.75">
      <c r="A36223" s="2">
        <v>43875.257395833338</v>
      </c>
      <c r="B36223" t="str">
        <f>HYPERLINK("https://twitter.com/Supriadibinsar","@Supriadibinsar")</f>
        <v>@Supriadibinsar</v>
      </c>
      <c r="C36223" t="s">
        <v>14996</v>
      </c>
      <c r="D36223">
        <v>0</v>
      </c>
      <c r="E36223">
        <v>0</v>
      </c>
      <c r="F36223">
        <v>1011</v>
      </c>
    </row>
    <row r="36224" spans="1:6" ht="12.75">
      <c r="A36224" s="2">
        <v>43875.257141203707</v>
      </c>
      <c r="B36224" t="str">
        <f>HYPERLINK("https://twitter.com/prytnma","@prytnma")</f>
        <v>@prytnma</v>
      </c>
      <c r="C36224" t="s">
        <v>11322</v>
      </c>
      <c r="D36224">
        <v>54</v>
      </c>
      <c r="E36224">
        <v>0</v>
      </c>
      <c r="F36224">
        <v>410</v>
      </c>
    </row>
    <row r="36225" spans="1:6" ht="12.75">
      <c r="A36225" s="2">
        <v>43875.25712962963</v>
      </c>
      <c r="B36225" t="str">
        <f>HYPERLINK("https://twitter.com/Aan__coverBOYkw","@Aan__coverBOYkw")</f>
        <v>@Aan__coverBOYkw</v>
      </c>
      <c r="C36225" t="s">
        <v>14853</v>
      </c>
      <c r="D36225">
        <v>6</v>
      </c>
      <c r="E36225">
        <v>0</v>
      </c>
      <c r="F36225">
        <v>2958</v>
      </c>
    </row>
    <row r="36226" spans="1:6" ht="12.75">
      <c r="A36226" s="2">
        <v>43875.257118055553</v>
      </c>
      <c r="B36226" t="str">
        <f>HYPERLINK("https://twitter.com/dikaguzana","@dikaguzana")</f>
        <v>@dikaguzana</v>
      </c>
      <c r="C36226" t="s">
        <v>14997</v>
      </c>
      <c r="D36226">
        <v>0</v>
      </c>
      <c r="E36226">
        <v>0</v>
      </c>
      <c r="F36226">
        <v>397</v>
      </c>
    </row>
    <row r="36227" spans="1:6" ht="12.75">
      <c r="A36227" s="2">
        <v>43875.25708333333</v>
      </c>
      <c r="B36227" t="str">
        <f>HYPERLINK("https://twitter.com/nugrohorofil86","@nugrohorofil86")</f>
        <v>@nugrohorofil86</v>
      </c>
      <c r="C36227" t="s">
        <v>9263</v>
      </c>
      <c r="D36227">
        <v>61</v>
      </c>
      <c r="E36227">
        <v>0</v>
      </c>
      <c r="F36227">
        <v>63</v>
      </c>
    </row>
    <row r="36228" spans="1:6" ht="12.75">
      <c r="A36228" s="2">
        <v>43875.256909722222</v>
      </c>
      <c r="B36228" t="str">
        <f>HYPERLINK("https://twitter.com/Denz42391494","@Denz42391494")</f>
        <v>@Denz42391494</v>
      </c>
      <c r="C36228" t="s">
        <v>7295</v>
      </c>
      <c r="D36228">
        <v>1800</v>
      </c>
      <c r="E36228">
        <v>0</v>
      </c>
      <c r="F36228">
        <v>0</v>
      </c>
    </row>
    <row r="36229" spans="1:6" ht="12.75">
      <c r="A36229" s="2">
        <v>43875.256863425922</v>
      </c>
      <c r="B36229" t="str">
        <f>HYPERLINK("https://twitter.com/adetyas18","@adetyas18")</f>
        <v>@adetyas18</v>
      </c>
      <c r="C36229" t="s">
        <v>14998</v>
      </c>
      <c r="D36229">
        <v>3</v>
      </c>
      <c r="E36229">
        <v>0</v>
      </c>
      <c r="F36229">
        <v>3</v>
      </c>
    </row>
    <row r="36230" spans="1:6" ht="12.75">
      <c r="A36230" s="2">
        <v>43875.25681712963</v>
      </c>
      <c r="B36230" t="str">
        <f>HYPERLINK("https://twitter.com/bobsingadikrama","@bobsingadikrama")</f>
        <v>@bobsingadikrama</v>
      </c>
      <c r="C36230" t="s">
        <v>14999</v>
      </c>
      <c r="D36230">
        <v>0</v>
      </c>
      <c r="E36230">
        <v>0</v>
      </c>
      <c r="F36230">
        <v>7150</v>
      </c>
    </row>
    <row r="36231" spans="1:6" ht="12.75">
      <c r="A36231" s="2">
        <v>43875.256655092591</v>
      </c>
      <c r="B36231" t="str">
        <f>HYPERLINK("https://twitter.com/FelipeSwanstAU","@FelipeSwanstAU")</f>
        <v>@FelipeSwanstAU</v>
      </c>
      <c r="C36231" t="s">
        <v>5761</v>
      </c>
      <c r="D36231">
        <v>17</v>
      </c>
      <c r="E36231">
        <v>0</v>
      </c>
      <c r="F36231">
        <v>837</v>
      </c>
    </row>
    <row r="36232" spans="1:6" ht="12.75">
      <c r="A36232" s="2">
        <v>43875.256354166668</v>
      </c>
      <c r="B36232" t="str">
        <f>HYPERLINK("https://twitter.com/gus_tabok","@gus_tabok")</f>
        <v>@gus_tabok</v>
      </c>
      <c r="C36232" t="s">
        <v>10096</v>
      </c>
      <c r="D36232">
        <v>31</v>
      </c>
      <c r="E36232">
        <v>0</v>
      </c>
      <c r="F36232">
        <v>67</v>
      </c>
    </row>
    <row r="36233" spans="1:6" ht="12.75">
      <c r="A36233" s="2">
        <v>43875.256064814814</v>
      </c>
      <c r="B36233" t="str">
        <f>HYPERLINK("https://twitter.com/adetyas18","@adetyas18")</f>
        <v>@adetyas18</v>
      </c>
      <c r="C36233" t="s">
        <v>10196</v>
      </c>
      <c r="D36233">
        <v>116</v>
      </c>
      <c r="E36233">
        <v>0</v>
      </c>
      <c r="F36233">
        <v>3</v>
      </c>
    </row>
    <row r="36234" spans="1:6" ht="12.75">
      <c r="A36234" s="2">
        <v>43875.256041666667</v>
      </c>
      <c r="B36234" t="str">
        <f>HYPERLINK("https://twitter.com/rakhmah_rara","@rakhmah_rara")</f>
        <v>@rakhmah_rara</v>
      </c>
      <c r="C36234" t="s">
        <v>10875</v>
      </c>
      <c r="D36234">
        <v>287</v>
      </c>
      <c r="E36234">
        <v>0</v>
      </c>
      <c r="F36234">
        <v>55</v>
      </c>
    </row>
    <row r="36235" spans="1:6" ht="12.75">
      <c r="A36235" s="2">
        <v>43875.255995370375</v>
      </c>
      <c r="B36235" t="str">
        <f>HYPERLINK("https://twitter.com/nugrohorofil86","@nugrohorofil86")</f>
        <v>@nugrohorofil86</v>
      </c>
      <c r="C36235" t="s">
        <v>10266</v>
      </c>
      <c r="D36235">
        <v>243</v>
      </c>
      <c r="E36235">
        <v>0</v>
      </c>
      <c r="F36235">
        <v>63</v>
      </c>
    </row>
    <row r="36236" spans="1:6" ht="12.75">
      <c r="A36236" s="2">
        <v>43875.255925925929</v>
      </c>
      <c r="B36236" t="str">
        <f>HYPERLINK("https://twitter.com/gembelcleanfun","@gembelcleanfun")</f>
        <v>@gembelcleanfun</v>
      </c>
      <c r="C36236" t="s">
        <v>2144</v>
      </c>
      <c r="D36236">
        <v>17</v>
      </c>
      <c r="E36236">
        <v>0</v>
      </c>
      <c r="F36236">
        <v>275</v>
      </c>
    </row>
    <row r="36237" spans="1:6" ht="12.75">
      <c r="A36237" s="2">
        <v>43875.255856481483</v>
      </c>
      <c r="B36237" t="str">
        <f>HYPERLINK("https://twitter.com/rit4silva","@rit4silva")</f>
        <v>@rit4silva</v>
      </c>
      <c r="C36237" t="s">
        <v>15000</v>
      </c>
      <c r="D36237">
        <v>0</v>
      </c>
      <c r="E36237">
        <v>0</v>
      </c>
      <c r="F36237">
        <v>356</v>
      </c>
    </row>
    <row r="36238" spans="1:6" ht="12.75">
      <c r="A36238" s="2">
        <v>43875.255856481483</v>
      </c>
      <c r="B36238" t="str">
        <f>HYPERLINK("https://twitter.com/okinantan","@okinantan")</f>
        <v>@okinantan</v>
      </c>
      <c r="C36238" t="s">
        <v>2963</v>
      </c>
      <c r="D36238">
        <v>207</v>
      </c>
      <c r="E36238">
        <v>0</v>
      </c>
      <c r="F36238">
        <v>1009</v>
      </c>
    </row>
    <row r="36239" spans="1:6" ht="12.75">
      <c r="A36239" s="2">
        <v>43875.255740740744</v>
      </c>
      <c r="B36239" t="str">
        <f>HYPERLINK("https://twitter.com/SamsulB91513613","@SamsulB91513613")</f>
        <v>@SamsulB91513613</v>
      </c>
      <c r="C36239" t="s">
        <v>9096</v>
      </c>
      <c r="D36239">
        <v>127</v>
      </c>
      <c r="E36239">
        <v>0</v>
      </c>
      <c r="F36239">
        <v>296</v>
      </c>
    </row>
    <row r="36240" spans="1:6" ht="12.75">
      <c r="A36240" s="2">
        <v>43875.255694444444</v>
      </c>
      <c r="B36240" t="str">
        <f>HYPERLINK("https://twitter.com/vianratulangi","@vianratulangi")</f>
        <v>@vianratulangi</v>
      </c>
      <c r="C36240" t="s">
        <v>3038</v>
      </c>
      <c r="D36240">
        <v>99</v>
      </c>
      <c r="E36240">
        <v>0</v>
      </c>
      <c r="F36240">
        <v>1563</v>
      </c>
    </row>
    <row r="36241" spans="1:6" ht="12.75">
      <c r="A36241" s="2">
        <v>43875.255509259259</v>
      </c>
      <c r="B36241" t="str">
        <f>HYPERLINK("https://twitter.com/ihsanmuhamad__","@ihsanmuhamad__")</f>
        <v>@ihsanmuhamad__</v>
      </c>
      <c r="C36241" t="s">
        <v>15001</v>
      </c>
      <c r="D36241">
        <v>0</v>
      </c>
      <c r="E36241">
        <v>0</v>
      </c>
      <c r="F36241">
        <v>22</v>
      </c>
    </row>
    <row r="36242" spans="1:6" ht="12.75">
      <c r="A36242" s="2">
        <v>43875.255486111113</v>
      </c>
      <c r="B36242" t="str">
        <f>HYPERLINK("https://twitter.com/mediaindonesia","@mediaindonesia")</f>
        <v>@mediaindonesia</v>
      </c>
      <c r="C36242" t="s">
        <v>21</v>
      </c>
      <c r="D36242">
        <v>0</v>
      </c>
      <c r="E36242">
        <v>1</v>
      </c>
      <c r="F36242">
        <v>1415662</v>
      </c>
    </row>
    <row r="36243" spans="1:6" ht="12.75">
      <c r="A36243" s="2">
        <v>43875.255370370374</v>
      </c>
      <c r="B36243" t="str">
        <f>HYPERLINK("https://twitter.com/asmiasm10411428","@asmiasm10411428")</f>
        <v>@asmiasm10411428</v>
      </c>
      <c r="C36243" t="s">
        <v>12450</v>
      </c>
      <c r="D36243">
        <v>71</v>
      </c>
      <c r="E36243">
        <v>0</v>
      </c>
      <c r="F36243">
        <v>8</v>
      </c>
    </row>
    <row r="36244" spans="1:6" ht="12.75">
      <c r="A36244" s="2">
        <v>43875.255335648151</v>
      </c>
      <c r="B36244" t="str">
        <f>HYPERLINK("https://twitter.com/miqdadhusein","@miqdadhusein")</f>
        <v>@miqdadhusein</v>
      </c>
      <c r="C36244" t="s">
        <v>15002</v>
      </c>
      <c r="D36244">
        <v>0</v>
      </c>
      <c r="E36244">
        <v>0</v>
      </c>
      <c r="F36244">
        <v>8318</v>
      </c>
    </row>
    <row r="36245" spans="1:6" ht="12.75">
      <c r="A36245" s="2">
        <v>43875.255127314813</v>
      </c>
      <c r="B36245" t="str">
        <f>HYPERLINK("https://twitter.com/FathirAlfarizi4","@FathirAlfarizi4")</f>
        <v>@FathirAlfarizi4</v>
      </c>
      <c r="C36245" t="s">
        <v>9538</v>
      </c>
      <c r="D36245">
        <v>69</v>
      </c>
      <c r="E36245">
        <v>0</v>
      </c>
      <c r="F36245">
        <v>28</v>
      </c>
    </row>
    <row r="36246" spans="1:6" ht="12.75">
      <c r="A36246" s="2">
        <v>43875.255000000005</v>
      </c>
      <c r="B36246" t="str">
        <f>HYPERLINK("https://twitter.com/aamarno","@aamarno")</f>
        <v>@aamarno</v>
      </c>
      <c r="C36246" t="s">
        <v>5761</v>
      </c>
      <c r="D36246">
        <v>17</v>
      </c>
      <c r="E36246">
        <v>0</v>
      </c>
      <c r="F36246">
        <v>261</v>
      </c>
    </row>
    <row r="36247" spans="1:6" ht="12.75">
      <c r="A36247" s="2">
        <v>43875.254918981482</v>
      </c>
      <c r="B36247" t="str">
        <f>HYPERLINK("https://twitter.com/temmyde11","@temmyde11")</f>
        <v>@temmyde11</v>
      </c>
      <c r="C36247" t="s">
        <v>175</v>
      </c>
      <c r="D36247">
        <v>5209</v>
      </c>
      <c r="E36247">
        <v>0</v>
      </c>
      <c r="F36247">
        <v>32</v>
      </c>
    </row>
    <row r="36248" spans="1:6" ht="12.75">
      <c r="A36248" s="2">
        <v>43875.254884259259</v>
      </c>
      <c r="B36248" t="str">
        <f>HYPERLINK("https://twitter.com/bumi_Luwuutara","@bumi_Luwuutara")</f>
        <v>@bumi_Luwuutara</v>
      </c>
      <c r="C36248" t="s">
        <v>12679</v>
      </c>
      <c r="D36248">
        <v>715</v>
      </c>
      <c r="E36248">
        <v>0</v>
      </c>
      <c r="F36248">
        <v>46</v>
      </c>
    </row>
    <row r="36249" spans="1:6" ht="12.75">
      <c r="A36249" s="2">
        <v>43875.254884259259</v>
      </c>
      <c r="B36249" t="str">
        <f>HYPERLINK("https://twitter.com/prytnma","@prytnma")</f>
        <v>@prytnma</v>
      </c>
      <c r="C36249" t="s">
        <v>12332</v>
      </c>
      <c r="D36249">
        <v>48</v>
      </c>
      <c r="E36249">
        <v>0</v>
      </c>
      <c r="F36249">
        <v>410</v>
      </c>
    </row>
    <row r="36250" spans="1:6" ht="12.75">
      <c r="A36250" s="2">
        <v>43875.254837962959</v>
      </c>
      <c r="B36250" t="str">
        <f>HYPERLINK("https://twitter.com/INDRAARDIAWAN2","@INDRAARDIAWAN2")</f>
        <v>@INDRAARDIAWAN2</v>
      </c>
      <c r="C36250" t="s">
        <v>22</v>
      </c>
      <c r="D36250">
        <v>1</v>
      </c>
      <c r="E36250">
        <v>1</v>
      </c>
      <c r="F36250">
        <v>786</v>
      </c>
    </row>
    <row r="36251" spans="1:6" ht="12.75">
      <c r="A36251" s="2">
        <v>43875.254837962959</v>
      </c>
      <c r="B36251" t="str">
        <f>HYPERLINK("https://twitter.com/gde_maman","@gde_maman")</f>
        <v>@gde_maman</v>
      </c>
      <c r="C36251" t="s">
        <v>15003</v>
      </c>
      <c r="D36251">
        <v>0</v>
      </c>
      <c r="E36251">
        <v>1</v>
      </c>
      <c r="F36251">
        <v>54</v>
      </c>
    </row>
    <row r="36252" spans="1:6" ht="12.75">
      <c r="A36252" s="2">
        <v>43875.254594907412</v>
      </c>
      <c r="B36252" t="str">
        <f>HYPERLINK("https://twitter.com/DewiSartikaT","@DewiSartikaT")</f>
        <v>@DewiSartikaT</v>
      </c>
      <c r="C36252" t="s">
        <v>2963</v>
      </c>
      <c r="D36252">
        <v>207</v>
      </c>
      <c r="E36252">
        <v>0</v>
      </c>
      <c r="F36252">
        <v>566</v>
      </c>
    </row>
    <row r="36253" spans="1:6" ht="12.75">
      <c r="A36253" s="2">
        <v>43875.254571759258</v>
      </c>
      <c r="B36253" t="str">
        <f>HYPERLINK("https://twitter.com/pencari_fact","@pencari_fact")</f>
        <v>@pencari_fact</v>
      </c>
      <c r="C36253" t="s">
        <v>12273</v>
      </c>
      <c r="D36253">
        <v>1</v>
      </c>
      <c r="E36253">
        <v>0</v>
      </c>
      <c r="F36253">
        <v>246</v>
      </c>
    </row>
    <row r="36254" spans="1:6" ht="12.75">
      <c r="A36254" s="2">
        <v>43875.254548611112</v>
      </c>
      <c r="B36254" t="str">
        <f>HYPERLINK("https://twitter.com/Arie26Ahmad","@Arie26Ahmad")</f>
        <v>@Arie26Ahmad</v>
      </c>
      <c r="C36254" t="s">
        <v>15004</v>
      </c>
      <c r="D36254">
        <v>0</v>
      </c>
      <c r="E36254">
        <v>0</v>
      </c>
      <c r="F36254">
        <v>344</v>
      </c>
    </row>
    <row r="36255" spans="1:6" ht="12.75">
      <c r="A36255" s="2">
        <v>43875.254398148143</v>
      </c>
      <c r="B36255" t="str">
        <f>HYPERLINK("https://twitter.com/prytnma","@prytnma")</f>
        <v>@prytnma</v>
      </c>
      <c r="C36255" t="s">
        <v>14573</v>
      </c>
      <c r="D36255">
        <v>48</v>
      </c>
      <c r="E36255">
        <v>0</v>
      </c>
      <c r="F36255">
        <v>410</v>
      </c>
    </row>
    <row r="36256" spans="1:6" ht="12.75">
      <c r="A36256" s="2">
        <v>43875.254328703704</v>
      </c>
      <c r="B36256" t="str">
        <f>HYPERLINK("https://twitter.com/Riskytama8","@Riskytama8")</f>
        <v>@Riskytama8</v>
      </c>
      <c r="C36256" t="s">
        <v>2963</v>
      </c>
      <c r="D36256">
        <v>207</v>
      </c>
      <c r="E36256">
        <v>0</v>
      </c>
      <c r="F36256">
        <v>21</v>
      </c>
    </row>
    <row r="36257" spans="1:6" ht="12.75">
      <c r="A36257" s="2">
        <v>43875.254224537042</v>
      </c>
      <c r="B36257" t="str">
        <f>HYPERLINK("https://twitter.com/Arie26Ahmad","@Arie26Ahmad")</f>
        <v>@Arie26Ahmad</v>
      </c>
      <c r="C36257" t="s">
        <v>10096</v>
      </c>
      <c r="D36257">
        <v>31</v>
      </c>
      <c r="E36257">
        <v>0</v>
      </c>
      <c r="F36257">
        <v>344</v>
      </c>
    </row>
    <row r="36258" spans="1:6" ht="12.75">
      <c r="A36258" s="2">
        <v>43875.254143518519</v>
      </c>
      <c r="B36258" t="str">
        <f>HYPERLINK("https://twitter.com/ohjiya_born1990","@ohjiya_born1990")</f>
        <v>@ohjiya_born1990</v>
      </c>
      <c r="C36258" t="s">
        <v>5168</v>
      </c>
      <c r="D36258">
        <v>327</v>
      </c>
      <c r="E36258">
        <v>0</v>
      </c>
      <c r="F36258">
        <v>32</v>
      </c>
    </row>
    <row r="36259" spans="1:6" ht="12.75">
      <c r="A36259" s="2">
        <v>43875.253900462965</v>
      </c>
      <c r="B36259" t="str">
        <f>HYPERLINK("https://twitter.com/AnnaKur34179103","@AnnaKur34179103")</f>
        <v>@AnnaKur34179103</v>
      </c>
      <c r="C36259" t="s">
        <v>9947</v>
      </c>
      <c r="D36259">
        <v>308</v>
      </c>
      <c r="E36259">
        <v>0</v>
      </c>
      <c r="F36259">
        <v>557</v>
      </c>
    </row>
    <row r="36260" spans="1:6" ht="12.75">
      <c r="A36260" s="2">
        <v>43875.25381944445</v>
      </c>
      <c r="B36260" t="str">
        <f>HYPERLINK("https://twitter.com/revidarachma","@revidarachma")</f>
        <v>@revidarachma</v>
      </c>
      <c r="C36260" t="s">
        <v>2963</v>
      </c>
      <c r="D36260">
        <v>207</v>
      </c>
      <c r="E36260">
        <v>0</v>
      </c>
      <c r="F36260">
        <v>609</v>
      </c>
    </row>
    <row r="36261" spans="1:6" ht="12.75">
      <c r="A36261" s="2">
        <v>43875.253796296296</v>
      </c>
      <c r="B36261" t="str">
        <f>HYPERLINK("https://twitter.com/lase_dhanil","@lase_dhanil")</f>
        <v>@lase_dhanil</v>
      </c>
      <c r="C36261" t="s">
        <v>2122</v>
      </c>
      <c r="D36261">
        <v>163</v>
      </c>
      <c r="E36261">
        <v>0</v>
      </c>
      <c r="F36261">
        <v>466</v>
      </c>
    </row>
    <row r="36262" spans="1:6" ht="12.75">
      <c r="A36262" s="2">
        <v>43875.253796296296</v>
      </c>
      <c r="B36262" t="str">
        <f>HYPERLINK("https://twitter.com/rizkiayul12","@rizkiayul12")</f>
        <v>@rizkiayul12</v>
      </c>
      <c r="C36262" t="s">
        <v>13093</v>
      </c>
      <c r="D36262">
        <v>5</v>
      </c>
      <c r="E36262">
        <v>0</v>
      </c>
      <c r="F36262">
        <v>6</v>
      </c>
    </row>
    <row r="36263" spans="1:6" ht="12.75">
      <c r="A36263" s="2">
        <v>43875.253761574073</v>
      </c>
      <c r="B36263" t="str">
        <f>HYPERLINK("https://twitter.com/prytnma","@prytnma")</f>
        <v>@prytnma</v>
      </c>
      <c r="C36263" t="s">
        <v>15005</v>
      </c>
      <c r="D36263">
        <v>60</v>
      </c>
      <c r="E36263">
        <v>0</v>
      </c>
      <c r="F36263">
        <v>410</v>
      </c>
    </row>
    <row r="36264" spans="1:6" ht="12.75">
      <c r="A36264" s="2">
        <v>43875.253379629634</v>
      </c>
      <c r="B36264" t="str">
        <f>HYPERLINK("https://twitter.com/enno_setyono","@enno_setyono")</f>
        <v>@enno_setyono</v>
      </c>
      <c r="C36264" t="s">
        <v>15006</v>
      </c>
      <c r="D36264">
        <v>0</v>
      </c>
      <c r="E36264">
        <v>0</v>
      </c>
      <c r="F36264">
        <v>364</v>
      </c>
    </row>
    <row r="36265" spans="1:6" ht="12.75">
      <c r="A36265" s="2">
        <v>43875.253229166672</v>
      </c>
      <c r="B36265" t="str">
        <f>HYPERLINK("https://twitter.com/hartanto_mas","@hartanto_mas")</f>
        <v>@hartanto_mas</v>
      </c>
      <c r="C36265" t="s">
        <v>9538</v>
      </c>
      <c r="D36265">
        <v>69</v>
      </c>
      <c r="E36265">
        <v>0</v>
      </c>
      <c r="F36265">
        <v>1047</v>
      </c>
    </row>
    <row r="36266" spans="1:6" ht="12.75">
      <c r="A36266" s="2">
        <v>43875.253217592588</v>
      </c>
      <c r="B36266" t="str">
        <f>HYPERLINK("https://twitter.com/HanafiRonny","@HanafiRonny")</f>
        <v>@HanafiRonny</v>
      </c>
      <c r="C36266" t="s">
        <v>15007</v>
      </c>
      <c r="D36266">
        <v>0</v>
      </c>
      <c r="E36266">
        <v>0</v>
      </c>
      <c r="F36266">
        <v>64</v>
      </c>
    </row>
    <row r="36267" spans="1:6" ht="12.75">
      <c r="A36267" s="2">
        <v>43875.253194444449</v>
      </c>
      <c r="B36267" t="str">
        <f>HYPERLINK("https://twitter.com/dubie_tina","@dubie_tina")</f>
        <v>@dubie_tina</v>
      </c>
      <c r="C36267" t="s">
        <v>15008</v>
      </c>
      <c r="D36267">
        <v>2</v>
      </c>
      <c r="E36267">
        <v>0</v>
      </c>
      <c r="F36267">
        <v>1022</v>
      </c>
    </row>
    <row r="36268" spans="1:6" ht="12.75">
      <c r="A36268" s="2">
        <v>43875.253148148149</v>
      </c>
      <c r="B36268" t="str">
        <f>HYPERLINK("https://twitter.com/soekam","@soekam")</f>
        <v>@soekam</v>
      </c>
      <c r="C36268" t="s">
        <v>2444</v>
      </c>
      <c r="D36268">
        <v>49</v>
      </c>
      <c r="E36268">
        <v>0</v>
      </c>
      <c r="F36268">
        <v>227</v>
      </c>
    </row>
    <row r="36269" spans="1:6" ht="12.75">
      <c r="A36269" s="2">
        <v>43875.25309027778</v>
      </c>
      <c r="B36269" t="str">
        <f>HYPERLINK("https://twitter.com/elninn","@elninn")</f>
        <v>@elninn</v>
      </c>
      <c r="C36269" t="s">
        <v>10542</v>
      </c>
      <c r="D36269">
        <v>120</v>
      </c>
      <c r="E36269">
        <v>0</v>
      </c>
      <c r="F36269">
        <v>3552</v>
      </c>
    </row>
    <row r="36270" spans="1:6" ht="12.75">
      <c r="A36270" s="2">
        <v>43875.25304398148</v>
      </c>
      <c r="B36270" t="str">
        <f>HYPERLINK("https://twitter.com/AnnaKur34179103","@AnnaKur34179103")</f>
        <v>@AnnaKur34179103</v>
      </c>
      <c r="C36270" t="s">
        <v>11390</v>
      </c>
      <c r="D36270">
        <v>69</v>
      </c>
      <c r="E36270">
        <v>0</v>
      </c>
      <c r="F36270">
        <v>557</v>
      </c>
    </row>
    <row r="36271" spans="1:6" ht="12.75">
      <c r="A36271" s="2">
        <v>43875.25304398148</v>
      </c>
      <c r="B36271" t="str">
        <f>HYPERLINK("https://twitter.com/arjuno_ireng01","@arjuno_ireng01")</f>
        <v>@arjuno_ireng01</v>
      </c>
      <c r="C36271" t="s">
        <v>15008</v>
      </c>
      <c r="D36271">
        <v>2</v>
      </c>
      <c r="E36271">
        <v>0</v>
      </c>
      <c r="F36271">
        <v>10079</v>
      </c>
    </row>
    <row r="36272" spans="1:6" ht="12.75">
      <c r="A36272" s="2">
        <v>43875.253020833334</v>
      </c>
      <c r="B36272" t="str">
        <f>HYPERLINK("https://twitter.com/soekam","@soekam")</f>
        <v>@soekam</v>
      </c>
      <c r="C36272" t="s">
        <v>5168</v>
      </c>
      <c r="D36272">
        <v>327</v>
      </c>
      <c r="E36272">
        <v>0</v>
      </c>
      <c r="F36272">
        <v>227</v>
      </c>
    </row>
    <row r="36273" spans="1:6" ht="12.75">
      <c r="A36273" s="2">
        <v>43875.253020833334</v>
      </c>
      <c r="B36273" t="str">
        <f>HYPERLINK("https://twitter.com/tonggerahmad","@tonggerahmad")</f>
        <v>@tonggerahmad</v>
      </c>
      <c r="C36273" t="s">
        <v>10542</v>
      </c>
      <c r="D36273">
        <v>120</v>
      </c>
      <c r="E36273">
        <v>0</v>
      </c>
      <c r="F36273">
        <v>310</v>
      </c>
    </row>
    <row r="36274" spans="1:6" ht="12.75">
      <c r="A36274" s="2">
        <v>43875.252986111111</v>
      </c>
      <c r="B36274" t="str">
        <f>HYPERLINK("https://twitter.com/natashavine14","@natashavine14")</f>
        <v>@natashavine14</v>
      </c>
      <c r="C36274" t="s">
        <v>15009</v>
      </c>
      <c r="D36274">
        <v>0</v>
      </c>
      <c r="E36274">
        <v>0</v>
      </c>
      <c r="F36274">
        <v>426</v>
      </c>
    </row>
    <row r="36275" spans="1:6" ht="12.75">
      <c r="A36275" s="2">
        <v>43875.252951388888</v>
      </c>
      <c r="B36275" t="str">
        <f>HYPERLINK("https://twitter.com/kondekturbus_","@kondekturbus_")</f>
        <v>@kondekturbus_</v>
      </c>
      <c r="C36275" t="s">
        <v>15010</v>
      </c>
      <c r="D36275">
        <v>1</v>
      </c>
      <c r="E36275">
        <v>0</v>
      </c>
      <c r="F36275">
        <v>13638</v>
      </c>
    </row>
    <row r="36276" spans="1:6" ht="12.75">
      <c r="A36276" s="2">
        <v>43875.252905092595</v>
      </c>
      <c r="B36276" t="str">
        <f>HYPERLINK("https://twitter.com/_ibaadurrahmaan","@_ibaadurrahmaan")</f>
        <v>@_ibaadurrahmaan</v>
      </c>
      <c r="C36276" t="s">
        <v>12679</v>
      </c>
      <c r="D36276">
        <v>715</v>
      </c>
      <c r="E36276">
        <v>0</v>
      </c>
      <c r="F36276">
        <v>5087</v>
      </c>
    </row>
    <row r="36277" spans="1:6" ht="12.75">
      <c r="A36277" s="2">
        <v>43875.252905092595</v>
      </c>
      <c r="B36277" t="str">
        <f>HYPERLINK("https://twitter.com/puaanc","@puaanc")</f>
        <v>@puaanc</v>
      </c>
      <c r="C36277" t="s">
        <v>5168</v>
      </c>
      <c r="D36277">
        <v>327</v>
      </c>
      <c r="E36277">
        <v>0</v>
      </c>
      <c r="F36277">
        <v>1198</v>
      </c>
    </row>
    <row r="36278" spans="1:6" ht="12.75">
      <c r="A36278" s="2">
        <v>43875.252754629633</v>
      </c>
      <c r="B36278" t="str">
        <f>HYPERLINK("https://twitter.com/worobotto","@worobotto")</f>
        <v>@worobotto</v>
      </c>
      <c r="C36278" t="s">
        <v>10096</v>
      </c>
      <c r="D36278">
        <v>31</v>
      </c>
      <c r="E36278">
        <v>0</v>
      </c>
      <c r="F36278">
        <v>60</v>
      </c>
    </row>
    <row r="36279" spans="1:6" ht="12.75">
      <c r="A36279" s="2">
        <v>43875.252604166672</v>
      </c>
      <c r="B36279" t="str">
        <f>HYPERLINK("https://twitter.com/prytnma","@prytnma")</f>
        <v>@prytnma</v>
      </c>
      <c r="C36279" t="s">
        <v>15011</v>
      </c>
      <c r="D36279">
        <v>2</v>
      </c>
      <c r="E36279">
        <v>0</v>
      </c>
      <c r="F36279">
        <v>410</v>
      </c>
    </row>
    <row r="36280" spans="1:6" ht="12.75">
      <c r="A36280" s="2">
        <v>43875.252557870372</v>
      </c>
      <c r="B36280" t="str">
        <f>HYPERLINK("https://twitter.com/dubie_tina","@dubie_tina")</f>
        <v>@dubie_tina</v>
      </c>
      <c r="C36280" t="s">
        <v>15012</v>
      </c>
      <c r="D36280">
        <v>2</v>
      </c>
      <c r="E36280">
        <v>2</v>
      </c>
      <c r="F36280">
        <v>1022</v>
      </c>
    </row>
    <row r="36281" spans="1:6" ht="12.75">
      <c r="A36281" s="2">
        <v>43875.252500000002</v>
      </c>
      <c r="B36281" t="str">
        <f>HYPERLINK("https://twitter.com/kembangkertas97","@kembangkertas97")</f>
        <v>@kembangkertas97</v>
      </c>
      <c r="C36281" t="s">
        <v>15013</v>
      </c>
      <c r="D36281">
        <v>5</v>
      </c>
      <c r="E36281">
        <v>0</v>
      </c>
      <c r="F36281">
        <v>4346</v>
      </c>
    </row>
    <row r="36282" spans="1:6" ht="12.75">
      <c r="A36282" s="2">
        <v>43875.252442129626</v>
      </c>
      <c r="B36282" t="str">
        <f>HYPERLINK("https://twitter.com/prytnma","@prytnma")</f>
        <v>@prytnma</v>
      </c>
      <c r="C36282" t="s">
        <v>11425</v>
      </c>
      <c r="D36282">
        <v>168</v>
      </c>
      <c r="E36282">
        <v>0</v>
      </c>
      <c r="F36282">
        <v>410</v>
      </c>
    </row>
    <row r="36283" spans="1:6" ht="12.75">
      <c r="A36283" s="2">
        <v>43875.252418981487</v>
      </c>
      <c r="B36283" t="str">
        <f>HYPERLINK("https://twitter.com/waroengbranded","@waroengbranded")</f>
        <v>@waroengbranded</v>
      </c>
      <c r="C36283" t="s">
        <v>13757</v>
      </c>
      <c r="D36283">
        <v>33</v>
      </c>
      <c r="E36283">
        <v>0</v>
      </c>
      <c r="F36283">
        <v>395</v>
      </c>
    </row>
    <row r="36284" spans="1:6" ht="12.75">
      <c r="A36284" s="2">
        <v>43875.252303240741</v>
      </c>
      <c r="B36284" t="str">
        <f>HYPERLINK("https://twitter.com/Alin51143431","@Alin51143431")</f>
        <v>@Alin51143431</v>
      </c>
      <c r="C36284" t="s">
        <v>9096</v>
      </c>
      <c r="D36284">
        <v>127</v>
      </c>
      <c r="E36284">
        <v>0</v>
      </c>
      <c r="F36284">
        <v>279</v>
      </c>
    </row>
    <row r="36285" spans="1:6" ht="12.75">
      <c r="A36285" s="2">
        <v>43875.252256944441</v>
      </c>
      <c r="B36285" t="str">
        <f>HYPERLINK("https://twitter.com/INDRAARDIAWAN2","@INDRAARDIAWAN2")</f>
        <v>@INDRAARDIAWAN2</v>
      </c>
      <c r="C36285" t="s">
        <v>15014</v>
      </c>
      <c r="D36285">
        <v>2</v>
      </c>
      <c r="E36285">
        <v>2</v>
      </c>
      <c r="F36285">
        <v>786</v>
      </c>
    </row>
    <row r="36286" spans="1:6" ht="12.75">
      <c r="A36286" s="2">
        <v>43875.252245370371</v>
      </c>
      <c r="B36286" t="str">
        <f>HYPERLINK("https://twitter.com/nurulshanti","@nurulshanti")</f>
        <v>@nurulshanti</v>
      </c>
      <c r="C36286" t="s">
        <v>10096</v>
      </c>
      <c r="D36286">
        <v>31</v>
      </c>
      <c r="E36286">
        <v>0</v>
      </c>
      <c r="F36286">
        <v>2085</v>
      </c>
    </row>
    <row r="36287" spans="1:6" ht="12.75">
      <c r="A36287" s="2">
        <v>43875.252037037033</v>
      </c>
      <c r="B36287" t="str">
        <f>HYPERLINK("https://twitter.com/Totokalhaqq3","@Totokalhaqq3")</f>
        <v>@Totokalhaqq3</v>
      </c>
      <c r="C36287" t="s">
        <v>15015</v>
      </c>
      <c r="D36287">
        <v>0</v>
      </c>
      <c r="E36287">
        <v>0</v>
      </c>
      <c r="F36287">
        <v>1489</v>
      </c>
    </row>
    <row r="36288" spans="1:6" ht="12.75">
      <c r="A36288" s="2">
        <v>43875.25199074074</v>
      </c>
      <c r="B36288" t="str">
        <f>HYPERLINK("https://twitter.com/mtreriz","@mtreriz")</f>
        <v>@mtreriz</v>
      </c>
      <c r="C36288" t="s">
        <v>9964</v>
      </c>
      <c r="D36288">
        <v>458</v>
      </c>
      <c r="E36288">
        <v>0</v>
      </c>
      <c r="F36288">
        <v>857</v>
      </c>
    </row>
    <row r="36289" spans="1:6" ht="12.75">
      <c r="A36289" s="2">
        <v>43875.251979166671</v>
      </c>
      <c r="B36289" t="str">
        <f>HYPERLINK("https://twitter.com/rmolbantencom","@rmolbantencom")</f>
        <v>@rmolbantencom</v>
      </c>
      <c r="C36289" t="s">
        <v>23</v>
      </c>
      <c r="D36289">
        <v>0</v>
      </c>
      <c r="E36289">
        <v>0</v>
      </c>
      <c r="F36289">
        <v>287</v>
      </c>
    </row>
    <row r="36290" spans="1:6" ht="12.75">
      <c r="A36290" s="2">
        <v>43875.251979166671</v>
      </c>
      <c r="B36290" t="str">
        <f>HYPERLINK("https://twitter.com/hanaaziii","@hanaaziii")</f>
        <v>@hanaaziii</v>
      </c>
      <c r="C36290" t="s">
        <v>15016</v>
      </c>
      <c r="D36290">
        <v>1</v>
      </c>
      <c r="E36290">
        <v>0</v>
      </c>
      <c r="F36290">
        <v>255</v>
      </c>
    </row>
    <row r="36291" spans="1:6" ht="12.75">
      <c r="A36291" s="2">
        <v>43875.251840277779</v>
      </c>
      <c r="B36291" t="str">
        <f>HYPERLINK("https://twitter.com/daniarti03","@daniarti03")</f>
        <v>@daniarti03</v>
      </c>
      <c r="C36291" t="s">
        <v>11071</v>
      </c>
      <c r="D36291">
        <v>49</v>
      </c>
      <c r="E36291">
        <v>0</v>
      </c>
      <c r="F36291">
        <v>2206</v>
      </c>
    </row>
    <row r="36292" spans="1:6" ht="12.75">
      <c r="A36292" s="2">
        <v>43875.251793981486</v>
      </c>
      <c r="B36292" t="str">
        <f>HYPERLINK("https://twitter.com/TeWeL7","@TeWeL7")</f>
        <v>@TeWeL7</v>
      </c>
      <c r="C36292" t="s">
        <v>15017</v>
      </c>
      <c r="D36292">
        <v>1</v>
      </c>
      <c r="E36292">
        <v>0</v>
      </c>
      <c r="F36292">
        <v>2579</v>
      </c>
    </row>
    <row r="36293" spans="1:6" ht="12.75">
      <c r="A36293" s="2">
        <v>43875.251689814817</v>
      </c>
      <c r="B36293" t="str">
        <f>HYPERLINK("https://twitter.com/gausahgantozz","@gausahgantozz")</f>
        <v>@gausahgantozz</v>
      </c>
      <c r="C36293" t="s">
        <v>7411</v>
      </c>
      <c r="D36293">
        <v>127</v>
      </c>
      <c r="E36293">
        <v>0</v>
      </c>
      <c r="F36293">
        <v>475</v>
      </c>
    </row>
    <row r="36294" spans="1:6" ht="12.75">
      <c r="A36294" s="2">
        <v>43875.251655092594</v>
      </c>
      <c r="B36294" t="str">
        <f>HYPERLINK("https://twitter.com/Thewok23","@Thewok23")</f>
        <v>@Thewok23</v>
      </c>
      <c r="C36294" t="s">
        <v>15018</v>
      </c>
      <c r="D36294">
        <v>0</v>
      </c>
      <c r="E36294">
        <v>0</v>
      </c>
      <c r="F36294">
        <v>11</v>
      </c>
    </row>
    <row r="36295" spans="1:6" ht="12.75">
      <c r="A36295" s="2">
        <v>43875.251620370371</v>
      </c>
      <c r="B36295" t="str">
        <f>HYPERLINK("https://twitter.com/budiarth4","@budiarth4")</f>
        <v>@budiarth4</v>
      </c>
      <c r="C36295" t="s">
        <v>15019</v>
      </c>
      <c r="D36295">
        <v>0</v>
      </c>
      <c r="E36295">
        <v>0</v>
      </c>
      <c r="F36295">
        <v>845</v>
      </c>
    </row>
    <row r="36296" spans="1:6" ht="12.75">
      <c r="A36296" s="2">
        <v>43875.251516203702</v>
      </c>
      <c r="B36296" t="str">
        <f>HYPERLINK("https://twitter.com/DaengBoko","@DaengBoko")</f>
        <v>@DaengBoko</v>
      </c>
      <c r="C36296" t="s">
        <v>15020</v>
      </c>
      <c r="D36296">
        <v>0</v>
      </c>
      <c r="E36296">
        <v>0</v>
      </c>
      <c r="F36296">
        <v>1457</v>
      </c>
    </row>
    <row r="36297" spans="1:6" ht="12.75">
      <c r="A36297" s="2">
        <v>43875.251504629632</v>
      </c>
      <c r="B36297" t="str">
        <f>HYPERLINK("https://twitter.com/ARNAFF37","@ARNAFF37")</f>
        <v>@ARNAFF37</v>
      </c>
      <c r="C36297" t="s">
        <v>15021</v>
      </c>
      <c r="D36297">
        <v>0</v>
      </c>
      <c r="E36297">
        <v>0</v>
      </c>
      <c r="F36297">
        <v>20</v>
      </c>
    </row>
    <row r="36298" spans="1:6" ht="12.75">
      <c r="A36298" s="2">
        <v>43875.251469907409</v>
      </c>
      <c r="B36298" t="str">
        <f>HYPERLINK("https://twitter.com/BillTemporo","@BillTemporo")</f>
        <v>@BillTemporo</v>
      </c>
      <c r="C36298" t="s">
        <v>832</v>
      </c>
      <c r="D36298">
        <v>0</v>
      </c>
      <c r="E36298">
        <v>0</v>
      </c>
      <c r="F36298">
        <v>11</v>
      </c>
    </row>
    <row r="36299" spans="1:6" ht="12.75">
      <c r="A36299" s="2">
        <v>43875.251458333332</v>
      </c>
      <c r="B36299" t="str">
        <f>HYPERLINK("https://twitter.com/Yusufirwansyah_","@Yusufirwansyah_")</f>
        <v>@Yusufirwansyah_</v>
      </c>
      <c r="C36299" t="s">
        <v>15022</v>
      </c>
      <c r="D36299">
        <v>1</v>
      </c>
      <c r="E36299">
        <v>0</v>
      </c>
      <c r="F36299">
        <v>12</v>
      </c>
    </row>
    <row r="36300" spans="1:6" ht="12.75">
      <c r="A36300" s="2">
        <v>43875.251412037032</v>
      </c>
      <c r="B36300" t="str">
        <f>HYPERLINK("https://twitter.com/muhammadthoink_","@muhammadthoink_")</f>
        <v>@muhammadthoink_</v>
      </c>
      <c r="C36300" t="s">
        <v>11167</v>
      </c>
      <c r="D36300">
        <v>150</v>
      </c>
      <c r="E36300">
        <v>0</v>
      </c>
      <c r="F36300">
        <v>29</v>
      </c>
    </row>
    <row r="36301" spans="1:6" ht="12.75">
      <c r="A36301" s="2">
        <v>43875.251157407409</v>
      </c>
      <c r="B36301" t="str">
        <f>HYPERLINK("https://twitter.com/hennyindah1404","@hennyindah1404")</f>
        <v>@hennyindah1404</v>
      </c>
      <c r="C36301" t="s">
        <v>10526</v>
      </c>
      <c r="D36301">
        <v>92</v>
      </c>
      <c r="E36301">
        <v>0</v>
      </c>
      <c r="F36301">
        <v>1176</v>
      </c>
    </row>
    <row r="36302" spans="1:6" ht="12.75">
      <c r="A36302" s="2">
        <v>43875.251145833332</v>
      </c>
      <c r="B36302" t="str">
        <f>HYPERLINK("https://twitter.com/LambeSuek","@LambeSuek")</f>
        <v>@LambeSuek</v>
      </c>
      <c r="C36302" t="s">
        <v>9947</v>
      </c>
      <c r="D36302">
        <v>308</v>
      </c>
      <c r="E36302">
        <v>0</v>
      </c>
      <c r="F36302">
        <v>16</v>
      </c>
    </row>
    <row r="36303" spans="1:6" ht="12.75">
      <c r="A36303" s="2">
        <v>43875.251134259262</v>
      </c>
      <c r="B36303" t="str">
        <f>HYPERLINK("https://twitter.com/dubie_tina","@dubie_tina")</f>
        <v>@dubie_tina</v>
      </c>
      <c r="C36303" t="s">
        <v>15023</v>
      </c>
      <c r="D36303">
        <v>0</v>
      </c>
      <c r="E36303">
        <v>1</v>
      </c>
      <c r="F36303">
        <v>1022</v>
      </c>
    </row>
    <row r="36304" spans="1:6" ht="12.75">
      <c r="A36304" s="2">
        <v>43875.250960648147</v>
      </c>
      <c r="B36304" t="str">
        <f>HYPERLINK("https://twitter.com/MZakiefarid","@MZakiefarid")</f>
        <v>@MZakiefarid</v>
      </c>
      <c r="C36304" t="s">
        <v>2963</v>
      </c>
      <c r="D36304">
        <v>207</v>
      </c>
      <c r="E36304">
        <v>0</v>
      </c>
      <c r="F36304">
        <v>6</v>
      </c>
    </row>
    <row r="36305" spans="1:6" ht="12.75">
      <c r="A36305" s="2">
        <v>43875.250949074078</v>
      </c>
      <c r="B36305" t="str">
        <f>HYPERLINK("https://twitter.com/dubie_tina","@dubie_tina")</f>
        <v>@dubie_tina</v>
      </c>
      <c r="C36305" t="s">
        <v>15024</v>
      </c>
      <c r="D36305">
        <v>0</v>
      </c>
      <c r="E36305">
        <v>1</v>
      </c>
      <c r="F36305">
        <v>1022</v>
      </c>
    </row>
    <row r="36306" spans="1:6" ht="12.75">
      <c r="A36306" s="2">
        <v>43875.250844907408</v>
      </c>
      <c r="B36306" t="str">
        <f>HYPERLINK("https://twitter.com/Lorkojoi_Athank","@Lorkojoi_Athank")</f>
        <v>@Lorkojoi_Athank</v>
      </c>
      <c r="C36306" t="s">
        <v>2963</v>
      </c>
      <c r="D36306">
        <v>207</v>
      </c>
      <c r="E36306">
        <v>0</v>
      </c>
      <c r="F36306">
        <v>21</v>
      </c>
    </row>
    <row r="36307" spans="1:6" ht="12.75">
      <c r="A36307" s="2">
        <v>43875.250740740739</v>
      </c>
      <c r="B36307" t="str">
        <f>HYPERLINK("https://twitter.com/komarudin_ans","@komarudin_ans")</f>
        <v>@komarudin_ans</v>
      </c>
      <c r="C36307" t="s">
        <v>10200</v>
      </c>
      <c r="D36307">
        <v>19</v>
      </c>
      <c r="E36307">
        <v>0</v>
      </c>
      <c r="F36307">
        <v>2708</v>
      </c>
    </row>
    <row r="36308" spans="1:6" ht="12.75">
      <c r="A36308" s="2">
        <v>43875.25063657407</v>
      </c>
      <c r="B36308" t="str">
        <f>HYPERLINK("https://twitter.com/RinjaniJB","@RinjaniJB")</f>
        <v>@RinjaniJB</v>
      </c>
      <c r="C36308" t="s">
        <v>15025</v>
      </c>
      <c r="D36308">
        <v>0</v>
      </c>
      <c r="E36308">
        <v>0</v>
      </c>
      <c r="F36308">
        <v>19163</v>
      </c>
    </row>
    <row r="36309" spans="1:6" ht="12.75">
      <c r="A36309" s="2">
        <v>43875.250555555554</v>
      </c>
      <c r="B36309" t="str">
        <f>HYPERLINK("https://twitter.com/dytoxs_eddy","@dytoxs_eddy")</f>
        <v>@dytoxs_eddy</v>
      </c>
      <c r="C36309" t="s">
        <v>2963</v>
      </c>
      <c r="D36309">
        <v>207</v>
      </c>
      <c r="E36309">
        <v>0</v>
      </c>
      <c r="F36309">
        <v>2248</v>
      </c>
    </row>
    <row r="36310" spans="1:6" ht="12.75">
      <c r="A36310" s="2">
        <v>43875.250532407408</v>
      </c>
      <c r="B36310" t="str">
        <f>HYPERLINK("https://twitter.com/ShaqeerAkhmad","@ShaqeerAkhmad")</f>
        <v>@ShaqeerAkhmad</v>
      </c>
      <c r="C36310" t="s">
        <v>15026</v>
      </c>
      <c r="D36310">
        <v>0</v>
      </c>
      <c r="E36310">
        <v>1</v>
      </c>
      <c r="F36310">
        <v>251</v>
      </c>
    </row>
    <row r="36311" spans="1:6" ht="12.75">
      <c r="A36311" s="2">
        <v>43875.250405092593</v>
      </c>
      <c r="B36311" t="str">
        <f>HYPERLINK("https://twitter.com/ANDRE_OCTA_","@ANDRE_OCTA_")</f>
        <v>@ANDRE_OCTA_</v>
      </c>
      <c r="C36311" t="s">
        <v>15027</v>
      </c>
      <c r="D36311">
        <v>1</v>
      </c>
      <c r="E36311">
        <v>0</v>
      </c>
      <c r="F36311">
        <v>16023</v>
      </c>
    </row>
    <row r="36312" spans="1:6" ht="12.75">
      <c r="A36312" s="2">
        <v>43875.25037037037</v>
      </c>
      <c r="B36312" t="str">
        <f>HYPERLINK("https://twitter.com/TRifda","@TRifda")</f>
        <v>@TRifda</v>
      </c>
      <c r="C36312" t="s">
        <v>15028</v>
      </c>
      <c r="D36312">
        <v>0</v>
      </c>
      <c r="E36312">
        <v>0</v>
      </c>
      <c r="F36312">
        <v>275</v>
      </c>
    </row>
    <row r="36313" spans="1:6" ht="12.75">
      <c r="A36313" s="2">
        <v>43875.250347222223</v>
      </c>
      <c r="B36313" t="str">
        <f>HYPERLINK("https://twitter.com/dubie_tina","@dubie_tina")</f>
        <v>@dubie_tina</v>
      </c>
      <c r="C36313" t="s">
        <v>15029</v>
      </c>
      <c r="D36313">
        <v>0</v>
      </c>
      <c r="E36313">
        <v>0</v>
      </c>
      <c r="F36313">
        <v>1022</v>
      </c>
    </row>
    <row r="36314" spans="1:6" ht="12.75">
      <c r="A36314" s="2">
        <v>43875.250196759254</v>
      </c>
      <c r="B36314" t="str">
        <f>HYPERLINK("https://twitter.com/AhmadDrajat12","@AhmadDrajat12")</f>
        <v>@AhmadDrajat12</v>
      </c>
      <c r="C36314" t="s">
        <v>15030</v>
      </c>
      <c r="D36314">
        <v>0</v>
      </c>
      <c r="E36314">
        <v>0</v>
      </c>
      <c r="F36314">
        <v>82</v>
      </c>
    </row>
    <row r="36315" spans="1:6" ht="12.75">
      <c r="A36315" s="2">
        <v>43875.250173611115</v>
      </c>
      <c r="B36315" t="str">
        <f>HYPERLINK("https://twitter.com/dubie_tina","@dubie_tina")</f>
        <v>@dubie_tina</v>
      </c>
      <c r="C36315" t="s">
        <v>15031</v>
      </c>
      <c r="D36315">
        <v>0</v>
      </c>
      <c r="E36315">
        <v>1</v>
      </c>
      <c r="F36315">
        <v>1022</v>
      </c>
    </row>
    <row r="36316" spans="1:6" ht="12.75">
      <c r="A36316" s="2">
        <v>43875.250092592592</v>
      </c>
      <c r="B36316" t="str">
        <f>HYPERLINK("https://twitter.com/X_SamURay63","@X_SamURay63")</f>
        <v>@X_SamURay63</v>
      </c>
      <c r="C36316" t="s">
        <v>10096</v>
      </c>
      <c r="D36316">
        <v>31</v>
      </c>
      <c r="E36316">
        <v>0</v>
      </c>
      <c r="F36316">
        <v>3937</v>
      </c>
    </row>
    <row r="36317" spans="1:6" ht="12.75">
      <c r="A36317" s="2">
        <v>43875.250069444446</v>
      </c>
      <c r="B36317" t="str">
        <f>HYPERLINK("https://twitter.com/kangsemproel","@kangsemproel")</f>
        <v>@kangsemproel</v>
      </c>
      <c r="C36317" t="s">
        <v>15032</v>
      </c>
      <c r="D36317">
        <v>0</v>
      </c>
      <c r="E36317">
        <v>1</v>
      </c>
      <c r="F36317">
        <v>28190</v>
      </c>
    </row>
    <row r="36318" spans="1:6" ht="12.75">
      <c r="A36318" s="2">
        <v>43875.250057870369</v>
      </c>
      <c r="B36318" t="str">
        <f>HYPERLINK("https://twitter.com/aluna_kim","@aluna_kim")</f>
        <v>@aluna_kim</v>
      </c>
      <c r="C36318" t="s">
        <v>2137</v>
      </c>
      <c r="D36318">
        <v>7</v>
      </c>
      <c r="E36318">
        <v>0</v>
      </c>
      <c r="F36318">
        <v>91</v>
      </c>
    </row>
    <row r="36319" spans="1:6" ht="12.75">
      <c r="A36319" s="2">
        <v>43875.249930555554</v>
      </c>
      <c r="B36319" t="str">
        <f>HYPERLINK("https://twitter.com/genostlly","@genostlly")</f>
        <v>@genostlly</v>
      </c>
      <c r="C36319" t="s">
        <v>2122</v>
      </c>
      <c r="D36319">
        <v>163</v>
      </c>
      <c r="E36319">
        <v>0</v>
      </c>
      <c r="F36319">
        <v>704</v>
      </c>
    </row>
    <row r="36320" spans="1:6" ht="12.75">
      <c r="A36320" s="2">
        <v>43875.249907407408</v>
      </c>
      <c r="B36320" t="str">
        <f>HYPERLINK("https://twitter.com/keraxxaztrol","@keraxxaztrol")</f>
        <v>@keraxxaztrol</v>
      </c>
      <c r="C36320" t="s">
        <v>3038</v>
      </c>
      <c r="D36320">
        <v>99</v>
      </c>
      <c r="E36320">
        <v>0</v>
      </c>
      <c r="F36320">
        <v>572</v>
      </c>
    </row>
    <row r="36321" spans="1:6" ht="12.75">
      <c r="A36321" s="2">
        <v>43875.249884259261</v>
      </c>
      <c r="B36321" t="str">
        <f>HYPERLINK("https://twitter.com/dubie_tina","@dubie_tina")</f>
        <v>@dubie_tina</v>
      </c>
      <c r="C36321" t="s">
        <v>15033</v>
      </c>
      <c r="D36321">
        <v>0</v>
      </c>
      <c r="E36321">
        <v>0</v>
      </c>
      <c r="F36321">
        <v>1022</v>
      </c>
    </row>
    <row r="36322" spans="1:6" ht="12.75">
      <c r="A36322" s="2">
        <v>43875.249803240746</v>
      </c>
      <c r="B36322" t="str">
        <f>HYPERLINK("https://twitter.com/RosaErna","@RosaErna")</f>
        <v>@RosaErna</v>
      </c>
      <c r="C36322" t="s">
        <v>11425</v>
      </c>
      <c r="D36322">
        <v>168</v>
      </c>
      <c r="E36322">
        <v>0</v>
      </c>
      <c r="F36322">
        <v>1564</v>
      </c>
    </row>
    <row r="36323" spans="1:6" ht="12.75">
      <c r="A36323" s="2">
        <v>43875.249780092592</v>
      </c>
      <c r="B36323" t="str">
        <f>HYPERLINK("https://twitter.com/kuaajajaalajuja","@kuaajajaalajuja")</f>
        <v>@kuaajajaalajuja</v>
      </c>
      <c r="C36323" t="s">
        <v>6355</v>
      </c>
      <c r="D36323">
        <v>237</v>
      </c>
      <c r="E36323">
        <v>0</v>
      </c>
      <c r="F36323">
        <v>254</v>
      </c>
    </row>
    <row r="36324" spans="1:6" ht="12.75">
      <c r="A36324" s="2">
        <v>43875.249745370369</v>
      </c>
      <c r="B36324" t="str">
        <f>HYPERLINK("https://twitter.com/DARMOGATY","@DARMOGATY")</f>
        <v>@DARMOGATY</v>
      </c>
      <c r="C36324" t="s">
        <v>11797</v>
      </c>
      <c r="D36324">
        <v>3</v>
      </c>
      <c r="E36324">
        <v>0</v>
      </c>
      <c r="F36324">
        <v>1363</v>
      </c>
    </row>
    <row r="36325" spans="1:6" ht="12.75">
      <c r="A36325" s="2">
        <v>43875.249710648146</v>
      </c>
      <c r="B36325" t="str">
        <f>HYPERLINK("https://twitter.com/kagama96","@kagama96")</f>
        <v>@kagama96</v>
      </c>
      <c r="C36325" t="s">
        <v>5761</v>
      </c>
      <c r="D36325">
        <v>17</v>
      </c>
      <c r="E36325">
        <v>0</v>
      </c>
      <c r="F36325">
        <v>5</v>
      </c>
    </row>
    <row r="36326" spans="1:6" ht="12.75">
      <c r="A36326" s="2">
        <v>43875.249710648146</v>
      </c>
      <c r="B36326" t="str">
        <f>HYPERLINK("https://twitter.com/N111ken","@N111ken")</f>
        <v>@N111ken</v>
      </c>
      <c r="C36326" t="s">
        <v>2963</v>
      </c>
      <c r="D36326">
        <v>207</v>
      </c>
      <c r="E36326">
        <v>0</v>
      </c>
      <c r="F36326">
        <v>5766</v>
      </c>
    </row>
    <row r="36327" spans="1:6" ht="12.75">
      <c r="A36327" s="2">
        <v>43875.2496875</v>
      </c>
      <c r="B36327" t="str">
        <f>HYPERLINK("https://twitter.com/mas__piyuuu","@mas__piyuuu")</f>
        <v>@mas__piyuuu</v>
      </c>
      <c r="C36327" t="s">
        <v>5761</v>
      </c>
      <c r="D36327">
        <v>17</v>
      </c>
      <c r="E36327">
        <v>0</v>
      </c>
      <c r="F36327">
        <v>75016</v>
      </c>
    </row>
    <row r="36328" spans="1:6" ht="12.75">
      <c r="A36328" s="2">
        <v>43875.249664351853</v>
      </c>
      <c r="B36328" t="str">
        <f>HYPERLINK("https://twitter.com/adenovia93_","@adenovia93_")</f>
        <v>@adenovia93_</v>
      </c>
      <c r="C36328" t="s">
        <v>2963</v>
      </c>
      <c r="D36328">
        <v>207</v>
      </c>
      <c r="E36328">
        <v>0</v>
      </c>
      <c r="F36328">
        <v>95</v>
      </c>
    </row>
    <row r="36329" spans="1:6" ht="12.75">
      <c r="A36329" s="2">
        <v>43875.24962962963</v>
      </c>
      <c r="B36329" t="str">
        <f>HYPERLINK("https://twitter.com/dubie_tina","@dubie_tina")</f>
        <v>@dubie_tina</v>
      </c>
      <c r="C36329" t="s">
        <v>15034</v>
      </c>
      <c r="D36329">
        <v>0</v>
      </c>
      <c r="E36329">
        <v>0</v>
      </c>
      <c r="F36329">
        <v>1022</v>
      </c>
    </row>
    <row r="36330" spans="1:6" ht="12.75">
      <c r="A36330" s="2">
        <v>43875.249606481477</v>
      </c>
      <c r="B36330" t="str">
        <f>HYPERLINK("https://twitter.com/arjuno_ireng01","@arjuno_ireng01")</f>
        <v>@arjuno_ireng01</v>
      </c>
      <c r="C36330" t="s">
        <v>14894</v>
      </c>
      <c r="D36330">
        <v>2</v>
      </c>
      <c r="E36330">
        <v>0</v>
      </c>
      <c r="F36330">
        <v>10079</v>
      </c>
    </row>
    <row r="36331" spans="1:6" ht="12.75">
      <c r="A36331" s="2">
        <v>43875.249386574069</v>
      </c>
      <c r="B36331" t="str">
        <f>HYPERLINK("https://twitter.com/ismail_irwan","@ismail_irwan")</f>
        <v>@ismail_irwan</v>
      </c>
      <c r="C36331" t="s">
        <v>15035</v>
      </c>
      <c r="D36331">
        <v>0</v>
      </c>
      <c r="E36331">
        <v>0</v>
      </c>
      <c r="F36331">
        <v>46</v>
      </c>
    </row>
    <row r="36332" spans="1:6" ht="12.75">
      <c r="A36332" s="2">
        <v>43875.249328703707</v>
      </c>
      <c r="B36332" t="str">
        <f>HYPERLINK("https://twitter.com/dubie_tina","@dubie_tina")</f>
        <v>@dubie_tina</v>
      </c>
      <c r="C36332" t="s">
        <v>15036</v>
      </c>
      <c r="D36332">
        <v>0</v>
      </c>
      <c r="E36332">
        <v>0</v>
      </c>
      <c r="F36332">
        <v>1022</v>
      </c>
    </row>
    <row r="36333" spans="1:6" ht="12.75">
      <c r="A36333" s="2">
        <v>43875.249305555553</v>
      </c>
      <c r="B36333" t="str">
        <f>HYPERLINK("https://twitter.com/555masteng","@555masteng")</f>
        <v>@555masteng</v>
      </c>
      <c r="C36333" t="s">
        <v>5624</v>
      </c>
      <c r="D36333">
        <v>105</v>
      </c>
      <c r="E36333">
        <v>0</v>
      </c>
      <c r="F36333">
        <v>5181</v>
      </c>
    </row>
    <row r="36334" spans="1:6" ht="12.75">
      <c r="A36334" s="2">
        <v>43875.249224537038</v>
      </c>
      <c r="B36334" t="str">
        <f>HYPERLINK("https://twitter.com/Zamankh69283555","@Zamankh69283555")</f>
        <v>@Zamankh69283555</v>
      </c>
      <c r="C36334" t="s">
        <v>15037</v>
      </c>
      <c r="D36334">
        <v>0</v>
      </c>
      <c r="E36334">
        <v>0</v>
      </c>
      <c r="F36334">
        <v>62</v>
      </c>
    </row>
    <row r="36335" spans="1:6" ht="12.75">
      <c r="A36335" s="2">
        <v>43875.249085648145</v>
      </c>
      <c r="B36335" t="str">
        <f>HYPERLINK("https://twitter.com/DinSaripuddin","@DinSaripuddin")</f>
        <v>@DinSaripuddin</v>
      </c>
      <c r="C36335" t="s">
        <v>15038</v>
      </c>
      <c r="D36335">
        <v>1</v>
      </c>
      <c r="E36335">
        <v>0</v>
      </c>
      <c r="F36335">
        <v>1190</v>
      </c>
    </row>
    <row r="36336" spans="1:6" ht="12.75">
      <c r="A36336" s="2">
        <v>43875.249039351853</v>
      </c>
      <c r="B36336" t="str">
        <f>HYPERLINK("https://twitter.com/Abdul20Haris","@Abdul20Haris")</f>
        <v>@Abdul20Haris</v>
      </c>
      <c r="C36336" t="s">
        <v>2963</v>
      </c>
      <c r="D36336">
        <v>207</v>
      </c>
      <c r="E36336">
        <v>0</v>
      </c>
      <c r="F36336">
        <v>94</v>
      </c>
    </row>
    <row r="36337" spans="1:6" ht="12.75">
      <c r="A36337" s="2">
        <v>43875.24900462963</v>
      </c>
      <c r="B36337" t="str">
        <f>HYPERLINK("https://twitter.com/ZainalAriefin15","@ZainalAriefin15")</f>
        <v>@ZainalAriefin15</v>
      </c>
      <c r="C36337" t="s">
        <v>15039</v>
      </c>
      <c r="D36337">
        <v>0</v>
      </c>
      <c r="E36337">
        <v>0</v>
      </c>
      <c r="F36337">
        <v>140</v>
      </c>
    </row>
    <row r="36338" spans="1:6" ht="12.75">
      <c r="A36338" s="2">
        <v>43875.248877314814</v>
      </c>
      <c r="B36338" t="str">
        <f>HYPERLINK("https://twitter.com/johnyhutapea","@johnyhutapea")</f>
        <v>@johnyhutapea</v>
      </c>
      <c r="C36338" t="s">
        <v>15040</v>
      </c>
      <c r="D36338">
        <v>0</v>
      </c>
      <c r="E36338">
        <v>0</v>
      </c>
      <c r="F36338">
        <v>96</v>
      </c>
    </row>
    <row r="36339" spans="1:6" ht="12.75">
      <c r="A36339" s="2">
        <v>43875.248842592591</v>
      </c>
      <c r="B36339" t="str">
        <f>HYPERLINK("https://twitter.com/__Aiek__Channel","@__Aiek__Channel")</f>
        <v>@__Aiek__Channel</v>
      </c>
      <c r="C36339" t="s">
        <v>15041</v>
      </c>
      <c r="D36339">
        <v>1</v>
      </c>
      <c r="E36339">
        <v>1</v>
      </c>
      <c r="F36339">
        <v>8719</v>
      </c>
    </row>
    <row r="36340" spans="1:6" ht="12.75">
      <c r="A36340" s="2">
        <v>43875.248807870375</v>
      </c>
      <c r="B36340" t="str">
        <f>HYPERLINK("https://twitter.com/Willyaams","@Willyaams")</f>
        <v>@Willyaams</v>
      </c>
      <c r="C36340" t="s">
        <v>2963</v>
      </c>
      <c r="D36340">
        <v>207</v>
      </c>
      <c r="E36340">
        <v>0</v>
      </c>
      <c r="F36340">
        <v>474</v>
      </c>
    </row>
    <row r="36341" spans="1:6" ht="12.75">
      <c r="A36341" s="2">
        <v>43875.248749999999</v>
      </c>
      <c r="B36341" t="str">
        <f>HYPERLINK("https://twitter.com/inesrinda","@inesrinda")</f>
        <v>@inesrinda</v>
      </c>
      <c r="C36341" t="s">
        <v>15042</v>
      </c>
      <c r="D36341">
        <v>0</v>
      </c>
      <c r="E36341">
        <v>2</v>
      </c>
      <c r="F36341">
        <v>344</v>
      </c>
    </row>
    <row r="36342" spans="1:6" ht="12.75">
      <c r="A36342" s="2">
        <v>43875.248680555553</v>
      </c>
      <c r="B36342" t="str">
        <f>HYPERLINK("https://twitter.com/salammuly109gm1","@salammuly109gm1")</f>
        <v>@salammuly109gm1</v>
      </c>
      <c r="C36342" t="s">
        <v>12671</v>
      </c>
      <c r="D36342">
        <v>37</v>
      </c>
      <c r="E36342">
        <v>0</v>
      </c>
      <c r="F36342">
        <v>627</v>
      </c>
    </row>
    <row r="36343" spans="1:6" ht="12.75">
      <c r="A36343" s="2">
        <v>43875.248553240745</v>
      </c>
      <c r="B36343" t="str">
        <f>HYPERLINK("https://twitter.com/Albertsantoso7","@Albertsantoso7")</f>
        <v>@Albertsantoso7</v>
      </c>
      <c r="C36343" t="s">
        <v>2963</v>
      </c>
      <c r="D36343">
        <v>207</v>
      </c>
      <c r="E36343">
        <v>0</v>
      </c>
      <c r="F36343">
        <v>60</v>
      </c>
    </row>
    <row r="36344" spans="1:6" ht="12.75">
      <c r="A36344" s="2">
        <v>43875.248541666668</v>
      </c>
      <c r="B36344" t="str">
        <f>HYPERLINK("https://twitter.com/ekosari481","@ekosari481")</f>
        <v>@ekosari481</v>
      </c>
      <c r="C36344" t="s">
        <v>3038</v>
      </c>
      <c r="D36344">
        <v>99</v>
      </c>
      <c r="E36344">
        <v>0</v>
      </c>
      <c r="F36344">
        <v>16</v>
      </c>
    </row>
    <row r="36345" spans="1:6" ht="12.75">
      <c r="A36345" s="2">
        <v>43875.248541666668</v>
      </c>
      <c r="B36345" t="str">
        <f>HYPERLINK("https://twitter.com/hifnihasan","@hifnihasan")</f>
        <v>@hifnihasan</v>
      </c>
      <c r="C36345" t="s">
        <v>15043</v>
      </c>
      <c r="D36345">
        <v>0</v>
      </c>
      <c r="E36345">
        <v>0</v>
      </c>
      <c r="F36345">
        <v>425</v>
      </c>
    </row>
    <row r="36346" spans="1:6" ht="12.75">
      <c r="A36346" s="2">
        <v>43875.248541666668</v>
      </c>
      <c r="B36346" t="str">
        <f>HYPERLINK("https://twitter.com/SGerigi","@SGerigi")</f>
        <v>@SGerigi</v>
      </c>
      <c r="C36346" t="s">
        <v>175</v>
      </c>
      <c r="D36346">
        <v>5209</v>
      </c>
      <c r="E36346">
        <v>0</v>
      </c>
      <c r="F36346">
        <v>4</v>
      </c>
    </row>
    <row r="36347" spans="1:6" ht="12.75">
      <c r="A36347" s="2">
        <v>43875.248506944445</v>
      </c>
      <c r="B36347" t="str">
        <f>HYPERLINK("https://twitter.com/hirasnapitupulu","@hirasnapitupulu")</f>
        <v>@hirasnapitupulu</v>
      </c>
      <c r="C36347" t="s">
        <v>10330</v>
      </c>
      <c r="D36347">
        <v>184</v>
      </c>
      <c r="E36347">
        <v>0</v>
      </c>
      <c r="F36347">
        <v>82</v>
      </c>
    </row>
    <row r="36348" spans="1:6" ht="12.75">
      <c r="A36348" s="2">
        <v>43875.248449074075</v>
      </c>
      <c r="B36348" t="str">
        <f>HYPERLINK("https://twitter.com/ino_mufc","@ino_mufc")</f>
        <v>@ino_mufc</v>
      </c>
      <c r="C36348" t="s">
        <v>11121</v>
      </c>
      <c r="D36348">
        <v>9</v>
      </c>
      <c r="E36348">
        <v>0</v>
      </c>
      <c r="F36348">
        <v>386</v>
      </c>
    </row>
    <row r="36349" spans="1:6" ht="12.75">
      <c r="A36349" s="2">
        <v>43875.248194444444</v>
      </c>
      <c r="B36349" t="str">
        <f>HYPERLINK("https://twitter.com/AzizSugiharto","@AzizSugiharto")</f>
        <v>@AzizSugiharto</v>
      </c>
      <c r="C36349" t="s">
        <v>15044</v>
      </c>
      <c r="D36349">
        <v>0</v>
      </c>
      <c r="E36349">
        <v>0</v>
      </c>
      <c r="F36349">
        <v>739</v>
      </c>
    </row>
    <row r="36350" spans="1:6" ht="12.75">
      <c r="A36350" s="2">
        <v>43875.248067129629</v>
      </c>
      <c r="B36350" t="str">
        <f>HYPERLINK("https://twitter.com/veniavnta","@veniavnta")</f>
        <v>@veniavnta</v>
      </c>
      <c r="C36350" t="s">
        <v>15045</v>
      </c>
      <c r="D36350">
        <v>0</v>
      </c>
      <c r="E36350">
        <v>0</v>
      </c>
      <c r="F36350">
        <v>391</v>
      </c>
    </row>
    <row r="36351" spans="1:6" ht="12.75">
      <c r="A36351" s="2">
        <v>43875.247939814813</v>
      </c>
      <c r="B36351" t="str">
        <f>HYPERLINK("https://twitter.com/Coki03055491","@Coki03055491")</f>
        <v>@Coki03055491</v>
      </c>
      <c r="C36351" t="s">
        <v>15046</v>
      </c>
      <c r="D36351">
        <v>0</v>
      </c>
      <c r="E36351">
        <v>0</v>
      </c>
      <c r="F36351">
        <v>24</v>
      </c>
    </row>
    <row r="36352" spans="1:6" ht="12.75">
      <c r="A36352" s="2">
        <v>43875.247893518521</v>
      </c>
      <c r="B36352" t="str">
        <f>HYPERLINK("https://twitter.com/1504ers","@1504ers")</f>
        <v>@1504ers</v>
      </c>
      <c r="C36352" t="s">
        <v>2963</v>
      </c>
      <c r="D36352">
        <v>207</v>
      </c>
      <c r="E36352">
        <v>0</v>
      </c>
      <c r="F36352">
        <v>1708</v>
      </c>
    </row>
    <row r="36353" spans="1:6" ht="12.75">
      <c r="A36353" s="2">
        <v>43875.247881944444</v>
      </c>
      <c r="B36353" t="str">
        <f>HYPERLINK("https://twitter.com/lumbaranja","@lumbaranja")</f>
        <v>@lumbaranja</v>
      </c>
      <c r="C36353" t="s">
        <v>2963</v>
      </c>
      <c r="D36353">
        <v>207</v>
      </c>
      <c r="E36353">
        <v>0</v>
      </c>
      <c r="F36353">
        <v>2144</v>
      </c>
    </row>
    <row r="36354" spans="1:6" ht="12.75">
      <c r="A36354" s="2">
        <v>43875.247881944444</v>
      </c>
      <c r="B36354" t="str">
        <f>HYPERLINK("https://twitter.com/thmskr_","@thmskr_")</f>
        <v>@thmskr_</v>
      </c>
      <c r="C36354" t="s">
        <v>5168</v>
      </c>
      <c r="D36354">
        <v>327</v>
      </c>
      <c r="E36354">
        <v>0</v>
      </c>
      <c r="F36354">
        <v>267</v>
      </c>
    </row>
    <row r="36355" spans="1:6" ht="12.75">
      <c r="A36355" s="2">
        <v>43875.24763888889</v>
      </c>
      <c r="B36355" t="str">
        <f>HYPERLINK("https://twitter.com/Alits67268896","@Alits67268896")</f>
        <v>@Alits67268896</v>
      </c>
      <c r="C36355" t="s">
        <v>9947</v>
      </c>
      <c r="D36355">
        <v>308</v>
      </c>
      <c r="E36355">
        <v>0</v>
      </c>
      <c r="F36355">
        <v>39</v>
      </c>
    </row>
    <row r="36356" spans="1:6" ht="12.75">
      <c r="A36356" s="2">
        <v>43875.247557870374</v>
      </c>
      <c r="B36356" t="str">
        <f>HYPERLINK("https://twitter.com/SimanjuntakElly","@SimanjuntakElly")</f>
        <v>@SimanjuntakElly</v>
      </c>
      <c r="C36356" t="s">
        <v>12940</v>
      </c>
      <c r="D36356">
        <v>92</v>
      </c>
      <c r="E36356">
        <v>0</v>
      </c>
      <c r="F36356">
        <v>166</v>
      </c>
    </row>
    <row r="36357" spans="1:6" ht="12.75">
      <c r="A36357" s="2">
        <v>43875.247534722221</v>
      </c>
      <c r="B36357" t="str">
        <f>HYPERLINK("https://twitter.com/RinjaniJB","@RinjaniJB")</f>
        <v>@RinjaniJB</v>
      </c>
      <c r="C36357" t="s">
        <v>15047</v>
      </c>
      <c r="D36357">
        <v>23</v>
      </c>
      <c r="E36357">
        <v>0</v>
      </c>
      <c r="F36357">
        <v>19163</v>
      </c>
    </row>
    <row r="36358" spans="1:6" ht="12.75">
      <c r="A36358" s="2">
        <v>43875.247453703705</v>
      </c>
      <c r="B36358" t="str">
        <f>HYPERLINK("https://twitter.com/Sayaindonesia11","@Sayaindonesia11")</f>
        <v>@Sayaindonesia11</v>
      </c>
      <c r="C36358" t="s">
        <v>5624</v>
      </c>
      <c r="D36358">
        <v>105</v>
      </c>
      <c r="E36358">
        <v>0</v>
      </c>
      <c r="F36358">
        <v>827</v>
      </c>
    </row>
    <row r="36359" spans="1:6" ht="12.75">
      <c r="A36359" s="2">
        <v>43875.247349537036</v>
      </c>
      <c r="B36359" t="str">
        <f>HYPERLINK("https://twitter.com/RadioElshinta","@RadioElshinta")</f>
        <v>@RadioElshinta</v>
      </c>
      <c r="C36359" t="s">
        <v>15048</v>
      </c>
      <c r="D36359">
        <v>1</v>
      </c>
      <c r="E36359">
        <v>0</v>
      </c>
      <c r="F36359">
        <v>3633160</v>
      </c>
    </row>
    <row r="36360" spans="1:6" ht="12.75">
      <c r="A36360" s="2">
        <v>43875.24732638889</v>
      </c>
      <c r="B36360" t="str">
        <f>HYPERLINK("https://twitter.com/fariji_lacak","@fariji_lacak")</f>
        <v>@fariji_lacak</v>
      </c>
      <c r="C36360" t="s">
        <v>15049</v>
      </c>
      <c r="D36360">
        <v>1</v>
      </c>
      <c r="E36360">
        <v>0</v>
      </c>
      <c r="F36360">
        <v>3179</v>
      </c>
    </row>
    <row r="36361" spans="1:6" ht="12.75">
      <c r="A36361" s="2">
        <v>43875.247245370367</v>
      </c>
      <c r="B36361" t="str">
        <f>HYPERLINK("https://twitter.com/TONZ6","@TONZ6")</f>
        <v>@TONZ6</v>
      </c>
      <c r="C36361" t="s">
        <v>10196</v>
      </c>
      <c r="D36361">
        <v>116</v>
      </c>
      <c r="E36361">
        <v>0</v>
      </c>
      <c r="F36361">
        <v>103</v>
      </c>
    </row>
    <row r="36362" spans="1:6" ht="12.75">
      <c r="A36362" s="2">
        <v>43875.247199074074</v>
      </c>
      <c r="B36362" t="str">
        <f>HYPERLINK("https://twitter.com/LadangGersang","@LadangGersang")</f>
        <v>@LadangGersang</v>
      </c>
      <c r="C36362" t="s">
        <v>15050</v>
      </c>
      <c r="D36362">
        <v>0</v>
      </c>
      <c r="E36362">
        <v>0</v>
      </c>
      <c r="F36362">
        <v>20</v>
      </c>
    </row>
    <row r="36363" spans="1:6" ht="12.75">
      <c r="A36363" s="2">
        <v>43875.247048611112</v>
      </c>
      <c r="B36363" t="str">
        <f>HYPERLINK("https://twitter.com/wagyucheeseroll","@wagyucheeseroll")</f>
        <v>@wagyucheeseroll</v>
      </c>
      <c r="C36363" t="s">
        <v>9021</v>
      </c>
      <c r="D36363">
        <v>128</v>
      </c>
      <c r="E36363">
        <v>0</v>
      </c>
      <c r="F36363">
        <v>523</v>
      </c>
    </row>
    <row r="36364" spans="1:6" ht="12.75">
      <c r="A36364" s="2">
        <v>43875.247037037036</v>
      </c>
      <c r="B36364" t="str">
        <f>HYPERLINK("https://twitter.com/CLL_45","@CLL_45")</f>
        <v>@CLL_45</v>
      </c>
      <c r="C36364" t="s">
        <v>9096</v>
      </c>
      <c r="D36364">
        <v>127</v>
      </c>
      <c r="E36364">
        <v>0</v>
      </c>
      <c r="F36364">
        <v>29</v>
      </c>
    </row>
    <row r="36365" spans="1:6" ht="12.75">
      <c r="A36365" s="2">
        <v>43875.246967592597</v>
      </c>
      <c r="B36365" t="str">
        <f>HYPERLINK("https://twitter.com/zputri","@zputri")</f>
        <v>@zputri</v>
      </c>
      <c r="C36365" t="s">
        <v>5168</v>
      </c>
      <c r="D36365">
        <v>327</v>
      </c>
      <c r="E36365">
        <v>0</v>
      </c>
      <c r="F36365">
        <v>931</v>
      </c>
    </row>
    <row r="36366" spans="1:6" ht="12.75">
      <c r="A36366" s="2">
        <v>43875.24695601852</v>
      </c>
      <c r="B36366" t="str">
        <f>HYPERLINK("https://twitter.com/imam_hariadi22","@imam_hariadi22")</f>
        <v>@imam_hariadi22</v>
      </c>
      <c r="C36366" t="s">
        <v>10407</v>
      </c>
      <c r="D36366">
        <v>22</v>
      </c>
      <c r="E36366">
        <v>0</v>
      </c>
      <c r="F36366">
        <v>348</v>
      </c>
    </row>
    <row r="36367" spans="1:6" ht="12.75">
      <c r="A36367" s="2">
        <v>43875.246898148151</v>
      </c>
      <c r="B36367" t="str">
        <f>HYPERLINK("https://twitter.com/bisnisindgroup","@bisnisindgroup")</f>
        <v>@bisnisindgroup</v>
      </c>
      <c r="C36367" t="s">
        <v>15051</v>
      </c>
      <c r="D36367">
        <v>0</v>
      </c>
      <c r="E36367">
        <v>0</v>
      </c>
      <c r="F36367">
        <v>7299</v>
      </c>
    </row>
    <row r="36368" spans="1:6" ht="12.75">
      <c r="A36368" s="2">
        <v>43875.246898148151</v>
      </c>
      <c r="B36368" t="str">
        <f>HYPERLINK("https://twitter.com/Bisniscom","@Bisniscom")</f>
        <v>@Bisniscom</v>
      </c>
      <c r="C36368" t="s">
        <v>15051</v>
      </c>
      <c r="D36368">
        <v>0</v>
      </c>
      <c r="E36368">
        <v>4</v>
      </c>
      <c r="F36368">
        <v>992523</v>
      </c>
    </row>
    <row r="36369" spans="1:6" ht="12.75">
      <c r="A36369" s="2">
        <v>43875.246805555551</v>
      </c>
      <c r="B36369" t="str">
        <f>HYPERLINK("https://twitter.com/MailRahmat","@MailRahmat")</f>
        <v>@MailRahmat</v>
      </c>
      <c r="C36369" t="s">
        <v>2963</v>
      </c>
      <c r="D36369">
        <v>207</v>
      </c>
      <c r="E36369">
        <v>0</v>
      </c>
      <c r="F36369">
        <v>153</v>
      </c>
    </row>
    <row r="36370" spans="1:6" ht="12.75">
      <c r="A36370" s="2">
        <v>43875.246793981481</v>
      </c>
      <c r="B36370" t="str">
        <f>HYPERLINK("https://twitter.com/srpsr2","@srpsr2")</f>
        <v>@srpsr2</v>
      </c>
      <c r="C36370" t="s">
        <v>11071</v>
      </c>
      <c r="D36370">
        <v>49</v>
      </c>
      <c r="E36370">
        <v>0</v>
      </c>
      <c r="F36370">
        <v>103</v>
      </c>
    </row>
    <row r="36371" spans="1:6" ht="12.75">
      <c r="A36371" s="2">
        <v>43875.246689814812</v>
      </c>
      <c r="B36371" t="str">
        <f>HYPERLINK("https://twitter.com/waroengbranded","@waroengbranded")</f>
        <v>@waroengbranded</v>
      </c>
      <c r="C36371" t="s">
        <v>5761</v>
      </c>
      <c r="D36371">
        <v>17</v>
      </c>
      <c r="E36371">
        <v>0</v>
      </c>
      <c r="F36371">
        <v>395</v>
      </c>
    </row>
    <row r="36372" spans="1:6" ht="12.75">
      <c r="A36372" s="2">
        <v>43875.246631944443</v>
      </c>
      <c r="B36372" t="str">
        <f>HYPERLINK("https://twitter.com/fariji_lacak","@fariji_lacak")</f>
        <v>@fariji_lacak</v>
      </c>
      <c r="C36372" t="s">
        <v>9113</v>
      </c>
      <c r="D36372">
        <v>227</v>
      </c>
      <c r="E36372">
        <v>0</v>
      </c>
      <c r="F36372">
        <v>3179</v>
      </c>
    </row>
    <row r="36373" spans="1:6" ht="12.75">
      <c r="A36373" s="2">
        <v>43875.246620370366</v>
      </c>
      <c r="B36373" t="str">
        <f>HYPERLINK("https://twitter.com/diananana_na","@diananana_na")</f>
        <v>@diananana_na</v>
      </c>
      <c r="C36373" t="s">
        <v>9021</v>
      </c>
      <c r="D36373">
        <v>128</v>
      </c>
      <c r="E36373">
        <v>0</v>
      </c>
      <c r="F36373">
        <v>195</v>
      </c>
    </row>
    <row r="36374" spans="1:6" ht="12.75">
      <c r="A36374" s="2">
        <v>43875.246608796297</v>
      </c>
      <c r="B36374" t="str">
        <f>HYPERLINK("https://twitter.com/KJRI_Guangzhou","@KJRI_Guangzhou")</f>
        <v>@KJRI_Guangzhou</v>
      </c>
      <c r="C36374" t="s">
        <v>15052</v>
      </c>
      <c r="D36374">
        <v>0</v>
      </c>
      <c r="E36374">
        <v>1</v>
      </c>
      <c r="F36374">
        <v>633</v>
      </c>
    </row>
    <row r="36375" spans="1:6" ht="12.75">
      <c r="A36375" s="2">
        <v>43875.246562500004</v>
      </c>
      <c r="B36375" t="str">
        <f>HYPERLINK("https://twitter.com/fariji_lacak","@fariji_lacak")</f>
        <v>@fariji_lacak</v>
      </c>
      <c r="C36375" t="s">
        <v>24</v>
      </c>
      <c r="D36375">
        <v>1</v>
      </c>
      <c r="E36375">
        <v>1</v>
      </c>
      <c r="F36375">
        <v>3179</v>
      </c>
    </row>
    <row r="36376" spans="1:6" ht="12.75">
      <c r="A36376" s="2">
        <v>43875.246539351851</v>
      </c>
      <c r="B36376" t="str">
        <f>HYPERLINK("https://twitter.com/D14NSETYO","@D14NSETYO")</f>
        <v>@D14NSETYO</v>
      </c>
      <c r="C36376" t="s">
        <v>8233</v>
      </c>
      <c r="D36376">
        <v>243</v>
      </c>
      <c r="E36376">
        <v>0</v>
      </c>
      <c r="F36376">
        <v>119</v>
      </c>
    </row>
    <row r="36377" spans="1:6" ht="12.75">
      <c r="A36377" s="2">
        <v>43875.246504629627</v>
      </c>
      <c r="B36377" t="str">
        <f>HYPERLINK("https://twitter.com/KelanaEndra","@KelanaEndra")</f>
        <v>@KelanaEndra</v>
      </c>
      <c r="C36377" t="s">
        <v>15053</v>
      </c>
      <c r="D36377">
        <v>0</v>
      </c>
      <c r="E36377">
        <v>0</v>
      </c>
      <c r="F36377">
        <v>5</v>
      </c>
    </row>
    <row r="36378" spans="1:6" ht="12.75">
      <c r="A36378" s="2">
        <v>43875.246481481481</v>
      </c>
      <c r="B36378" t="str">
        <f>HYPERLINK("https://twitter.com/alfamotor","@alfamotor")</f>
        <v>@alfamotor</v>
      </c>
      <c r="C36378" t="s">
        <v>8252</v>
      </c>
      <c r="D36378">
        <v>469</v>
      </c>
      <c r="E36378">
        <v>0</v>
      </c>
      <c r="F36378">
        <v>69</v>
      </c>
    </row>
    <row r="36379" spans="1:6" ht="12.75">
      <c r="A36379" s="2">
        <v>43875.246388888889</v>
      </c>
      <c r="B36379" t="str">
        <f>HYPERLINK("https://twitter.com/windumuktiw","@windumuktiw")</f>
        <v>@windumuktiw</v>
      </c>
      <c r="C36379" t="s">
        <v>25</v>
      </c>
      <c r="D36379">
        <v>0</v>
      </c>
      <c r="E36379">
        <v>0</v>
      </c>
      <c r="F36379">
        <v>316</v>
      </c>
    </row>
    <row r="36380" spans="1:6" ht="12.75">
      <c r="A36380" s="2">
        <v>43875.24628472222</v>
      </c>
      <c r="B36380" t="str">
        <f>HYPERLINK("https://twitter.com/AlifPancasila","@AlifPancasila")</f>
        <v>@AlifPancasila</v>
      </c>
      <c r="C36380" t="s">
        <v>9947</v>
      </c>
      <c r="D36380">
        <v>308</v>
      </c>
      <c r="E36380">
        <v>0</v>
      </c>
      <c r="F36380">
        <v>87</v>
      </c>
    </row>
    <row r="36381" spans="1:6" ht="12.75">
      <c r="A36381" s="2">
        <v>43875.24627314815</v>
      </c>
      <c r="B36381" t="str">
        <f>HYPERLINK("https://twitter.com/arizalmania","@arizalmania")</f>
        <v>@arizalmania</v>
      </c>
      <c r="C36381" t="s">
        <v>10096</v>
      </c>
      <c r="D36381">
        <v>31</v>
      </c>
      <c r="E36381">
        <v>0</v>
      </c>
      <c r="F36381">
        <v>1522</v>
      </c>
    </row>
    <row r="36382" spans="1:6" ht="12.75">
      <c r="A36382" s="2">
        <v>43875.24622685185</v>
      </c>
      <c r="B36382" t="str">
        <f>HYPERLINK("https://twitter.com/Mieke_Kristiani","@Mieke_Kristiani")</f>
        <v>@Mieke_Kristiani</v>
      </c>
      <c r="C36382" t="s">
        <v>2963</v>
      </c>
      <c r="D36382">
        <v>207</v>
      </c>
      <c r="E36382">
        <v>0</v>
      </c>
      <c r="F36382">
        <v>723</v>
      </c>
    </row>
    <row r="36383" spans="1:6" ht="12.75">
      <c r="A36383" s="2">
        <v>43875.246192129634</v>
      </c>
      <c r="B36383" t="str">
        <f>HYPERLINK("https://twitter.com/antarajatimcom","@antarajatimcom")</f>
        <v>@antarajatimcom</v>
      </c>
      <c r="C36383" t="s">
        <v>15054</v>
      </c>
      <c r="D36383">
        <v>0</v>
      </c>
      <c r="E36383">
        <v>0</v>
      </c>
      <c r="F36383">
        <v>832</v>
      </c>
    </row>
    <row r="36384" spans="1:6" ht="12.75">
      <c r="A36384" s="2">
        <v>43875.246157407411</v>
      </c>
      <c r="B36384" t="str">
        <f>HYPERLINK("https://twitter.com/kangsemproel","@kangsemproel")</f>
        <v>@kangsemproel</v>
      </c>
      <c r="C36384" t="s">
        <v>15055</v>
      </c>
      <c r="D36384">
        <v>0</v>
      </c>
      <c r="E36384">
        <v>1</v>
      </c>
      <c r="F36384">
        <v>28190</v>
      </c>
    </row>
    <row r="36385" spans="1:6" ht="12.75">
      <c r="A36385" s="2">
        <v>43875.246018518519</v>
      </c>
      <c r="B36385" t="str">
        <f>HYPERLINK("https://twitter.com/rio_ayong","@rio_ayong")</f>
        <v>@rio_ayong</v>
      </c>
      <c r="C36385" t="s">
        <v>10196</v>
      </c>
      <c r="D36385">
        <v>116</v>
      </c>
      <c r="E36385">
        <v>0</v>
      </c>
      <c r="F36385">
        <v>177</v>
      </c>
    </row>
    <row r="36386" spans="1:6" ht="12.75">
      <c r="A36386" s="2">
        <v>43875.245995370366</v>
      </c>
      <c r="B36386" t="str">
        <f>HYPERLINK("https://twitter.com/UtomoFreddy","@UtomoFreddy")</f>
        <v>@UtomoFreddy</v>
      </c>
      <c r="C36386" t="s">
        <v>15056</v>
      </c>
      <c r="D36386">
        <v>16</v>
      </c>
      <c r="E36386">
        <v>0</v>
      </c>
      <c r="F36386">
        <v>93</v>
      </c>
    </row>
    <row r="36387" spans="1:6" ht="12.75">
      <c r="A36387" s="2">
        <v>43875.245856481481</v>
      </c>
      <c r="B36387" t="str">
        <f>HYPERLINK("https://twitter.com/liliana16363","@liliana16363")</f>
        <v>@liliana16363</v>
      </c>
      <c r="C36387" t="s">
        <v>15057</v>
      </c>
      <c r="D36387">
        <v>1</v>
      </c>
      <c r="E36387">
        <v>4</v>
      </c>
      <c r="F36387">
        <v>7</v>
      </c>
    </row>
    <row r="36388" spans="1:6" ht="12.75">
      <c r="A36388" s="2">
        <v>43875.245844907404</v>
      </c>
      <c r="B36388" t="str">
        <f>HYPERLINK("https://twitter.com/budiarto_bangun","@budiarto_bangun")</f>
        <v>@budiarto_bangun</v>
      </c>
      <c r="C36388" t="s">
        <v>2963</v>
      </c>
      <c r="D36388">
        <v>207</v>
      </c>
      <c r="E36388">
        <v>0</v>
      </c>
      <c r="F36388">
        <v>46</v>
      </c>
    </row>
    <row r="36389" spans="1:6" ht="12.75">
      <c r="A36389" s="2">
        <v>43875.245729166665</v>
      </c>
      <c r="B36389" t="str">
        <f>HYPERLINK("https://twitter.com/chaossticsss","@chaossticsss")</f>
        <v>@chaossticsss</v>
      </c>
      <c r="C36389" t="s">
        <v>13315</v>
      </c>
      <c r="D36389">
        <v>46</v>
      </c>
      <c r="E36389">
        <v>0</v>
      </c>
      <c r="F36389">
        <v>11</v>
      </c>
    </row>
    <row r="36390" spans="1:6" ht="12.75">
      <c r="A36390" s="2">
        <v>43875.245671296296</v>
      </c>
      <c r="B36390" t="str">
        <f>HYPERLINK("https://twitter.com/KBA61995359","@KBA61995359")</f>
        <v>@KBA61995359</v>
      </c>
      <c r="C36390" t="s">
        <v>5761</v>
      </c>
      <c r="D36390">
        <v>17</v>
      </c>
      <c r="E36390">
        <v>0</v>
      </c>
      <c r="F36390">
        <v>458</v>
      </c>
    </row>
    <row r="36391" spans="1:6" ht="12.75">
      <c r="A36391" s="2">
        <v>43875.245671296296</v>
      </c>
      <c r="B36391" t="str">
        <f>HYPERLINK("https://twitter.com/UtomoFreddy","@UtomoFreddy")</f>
        <v>@UtomoFreddy</v>
      </c>
      <c r="C36391" t="s">
        <v>13712</v>
      </c>
      <c r="D36391">
        <v>26</v>
      </c>
      <c r="E36391">
        <v>0</v>
      </c>
      <c r="F36391">
        <v>93</v>
      </c>
    </row>
    <row r="36392" spans="1:6" ht="12.75">
      <c r="A36392" s="2">
        <v>43875.245636574073</v>
      </c>
      <c r="B36392" t="str">
        <f>HYPERLINK("https://twitter.com/Wawanda","@Wawanda")</f>
        <v>@Wawanda</v>
      </c>
      <c r="C36392" t="s">
        <v>15058</v>
      </c>
      <c r="D36392">
        <v>0</v>
      </c>
      <c r="E36392">
        <v>5</v>
      </c>
      <c r="F36392">
        <v>352</v>
      </c>
    </row>
    <row r="36393" spans="1:6" ht="12.75">
      <c r="A36393" s="2">
        <v>43875.245590277773</v>
      </c>
      <c r="B36393" t="str">
        <f>HYPERLINK("https://twitter.com/yuliamarwidita","@yuliamarwidita")</f>
        <v>@yuliamarwidita</v>
      </c>
      <c r="C36393" t="s">
        <v>8233</v>
      </c>
      <c r="D36393">
        <v>243</v>
      </c>
      <c r="E36393">
        <v>0</v>
      </c>
      <c r="F36393">
        <v>151</v>
      </c>
    </row>
    <row r="36394" spans="1:6" ht="12.75">
      <c r="A36394" s="2">
        <v>43875.245578703703</v>
      </c>
      <c r="B36394" t="str">
        <f>HYPERLINK("https://twitter.com/75Property","@75Property")</f>
        <v>@75Property</v>
      </c>
      <c r="C36394" t="s">
        <v>2963</v>
      </c>
      <c r="D36394">
        <v>207</v>
      </c>
      <c r="E36394">
        <v>0</v>
      </c>
      <c r="F36394">
        <v>325</v>
      </c>
    </row>
    <row r="36395" spans="1:6" ht="12.75">
      <c r="A36395" s="2">
        <v>43875.245497685188</v>
      </c>
      <c r="B36395" t="str">
        <f>HYPERLINK("https://twitter.com/udapilliang","@udapilliang")</f>
        <v>@udapilliang</v>
      </c>
      <c r="C36395" t="s">
        <v>10196</v>
      </c>
      <c r="D36395">
        <v>116</v>
      </c>
      <c r="E36395">
        <v>0</v>
      </c>
      <c r="F36395">
        <v>559</v>
      </c>
    </row>
    <row r="36396" spans="1:6" ht="12.75">
      <c r="A36396" s="2">
        <v>43875.245162037041</v>
      </c>
      <c r="B36396" t="str">
        <f>HYPERLINK("https://twitter.com/VIVAcoid","@VIVAcoid")</f>
        <v>@VIVAcoid</v>
      </c>
      <c r="C36396" t="s">
        <v>15059</v>
      </c>
      <c r="D36396">
        <v>1</v>
      </c>
      <c r="E36396">
        <v>0</v>
      </c>
      <c r="F36396">
        <v>4169052</v>
      </c>
    </row>
    <row r="36397" spans="1:6" ht="12.75">
      <c r="A36397" s="2">
        <v>43875.245127314818</v>
      </c>
      <c r="B36397" t="str">
        <f>HYPERLINK("https://twitter.com/Indoel3","@Indoel3")</f>
        <v>@Indoel3</v>
      </c>
      <c r="C36397" t="s">
        <v>15060</v>
      </c>
      <c r="D36397">
        <v>0</v>
      </c>
      <c r="E36397">
        <v>0</v>
      </c>
      <c r="F36397">
        <v>536</v>
      </c>
    </row>
    <row r="36398" spans="1:6" ht="12.75">
      <c r="A36398" s="2">
        <v>43875.245104166665</v>
      </c>
      <c r="B36398" t="str">
        <f>HYPERLINK("https://twitter.com/Erick_Lubis","@Erick_Lubis")</f>
        <v>@Erick_Lubis</v>
      </c>
      <c r="C36398" t="s">
        <v>10266</v>
      </c>
      <c r="D36398">
        <v>243</v>
      </c>
      <c r="E36398">
        <v>0</v>
      </c>
      <c r="F36398">
        <v>62</v>
      </c>
    </row>
    <row r="36399" spans="1:6" ht="12.75">
      <c r="A36399" s="2">
        <v>43875.245069444441</v>
      </c>
      <c r="B36399" t="str">
        <f>HYPERLINK("https://twitter.com/GoTotheJek","@GoTotheJek")</f>
        <v>@GoTotheJek</v>
      </c>
      <c r="C36399" t="s">
        <v>2963</v>
      </c>
      <c r="D36399">
        <v>207</v>
      </c>
      <c r="E36399">
        <v>0</v>
      </c>
      <c r="F36399">
        <v>772</v>
      </c>
    </row>
    <row r="36400" spans="1:6" ht="12.75">
      <c r="A36400" s="2">
        <v>43875.244849537034</v>
      </c>
      <c r="B36400" t="str">
        <f>HYPERLINK("https://twitter.com/Alie_Fahnoor","@Alie_Fahnoor")</f>
        <v>@Alie_Fahnoor</v>
      </c>
      <c r="C36400" t="s">
        <v>10096</v>
      </c>
      <c r="D36400">
        <v>31</v>
      </c>
      <c r="E36400">
        <v>0</v>
      </c>
      <c r="F36400">
        <v>441</v>
      </c>
    </row>
    <row r="36401" spans="1:6" ht="12.75">
      <c r="A36401" s="2">
        <v>43875.244826388887</v>
      </c>
      <c r="B36401" t="str">
        <f>HYPERLINK("https://twitter.com/vivanewscom","@vivanewscom")</f>
        <v>@vivanewscom</v>
      </c>
      <c r="C36401" t="s">
        <v>26</v>
      </c>
      <c r="D36401">
        <v>1</v>
      </c>
      <c r="E36401">
        <v>6</v>
      </c>
      <c r="F36401">
        <v>4059</v>
      </c>
    </row>
    <row r="36402" spans="1:6" ht="12.75">
      <c r="A36402" s="2">
        <v>43875.244710648149</v>
      </c>
      <c r="B36402" t="str">
        <f>HYPERLINK("https://twitter.com/amrudinnejad_","@amrudinnejad_")</f>
        <v>@amrudinnejad_</v>
      </c>
      <c r="C36402" t="s">
        <v>3038</v>
      </c>
      <c r="D36402">
        <v>99</v>
      </c>
      <c r="E36402">
        <v>0</v>
      </c>
      <c r="F36402">
        <v>7731</v>
      </c>
    </row>
    <row r="36403" spans="1:6" ht="12.75">
      <c r="A36403" s="2">
        <v>43875.244525462964</v>
      </c>
      <c r="B36403" t="str">
        <f t="shared" ref="B36403:B36404" si="406">HYPERLINK("https://twitter.com/RinjaniJB","@RinjaniJB")</f>
        <v>@RinjaniJB</v>
      </c>
      <c r="C36403" t="s">
        <v>15061</v>
      </c>
      <c r="D36403">
        <v>1</v>
      </c>
      <c r="E36403">
        <v>0</v>
      </c>
      <c r="F36403">
        <v>19163</v>
      </c>
    </row>
    <row r="36404" spans="1:6" ht="12.75">
      <c r="A36404" s="2">
        <v>43875.244363425925</v>
      </c>
      <c r="B36404" t="str">
        <f t="shared" si="406"/>
        <v>@RinjaniJB</v>
      </c>
      <c r="C36404" t="s">
        <v>15011</v>
      </c>
      <c r="D36404">
        <v>2</v>
      </c>
      <c r="E36404">
        <v>0</v>
      </c>
      <c r="F36404">
        <v>19163</v>
      </c>
    </row>
    <row r="36405" spans="1:6" ht="12.75">
      <c r="A36405" s="2">
        <v>43875.244340277779</v>
      </c>
      <c r="B36405" t="str">
        <f>HYPERLINK("https://twitter.com/salammuly109gm1","@salammuly109gm1")</f>
        <v>@salammuly109gm1</v>
      </c>
      <c r="C36405" t="s">
        <v>9373</v>
      </c>
      <c r="D36405">
        <v>94</v>
      </c>
      <c r="E36405">
        <v>0</v>
      </c>
      <c r="F36405">
        <v>627</v>
      </c>
    </row>
    <row r="36406" spans="1:6" ht="12.75">
      <c r="A36406" s="2">
        <v>43875.244247685187</v>
      </c>
      <c r="B36406" t="str">
        <f>HYPERLINK("https://twitter.com/Pinttu16","@Pinttu16")</f>
        <v>@Pinttu16</v>
      </c>
      <c r="C36406" t="s">
        <v>2963</v>
      </c>
      <c r="D36406">
        <v>207</v>
      </c>
      <c r="E36406">
        <v>0</v>
      </c>
      <c r="F36406">
        <v>3</v>
      </c>
    </row>
    <row r="36407" spans="1:6" ht="12.75">
      <c r="A36407" s="2">
        <v>43875.243993055556</v>
      </c>
      <c r="B36407" t="str">
        <f>HYPERLINK("https://twitter.com/aderifkyhanif","@aderifkyhanif")</f>
        <v>@aderifkyhanif</v>
      </c>
      <c r="C36407" t="s">
        <v>15062</v>
      </c>
      <c r="D36407">
        <v>3</v>
      </c>
      <c r="E36407">
        <v>0</v>
      </c>
      <c r="F36407">
        <v>3928</v>
      </c>
    </row>
    <row r="36408" spans="1:6" ht="12.75">
      <c r="A36408" s="2">
        <v>43875.243981481486</v>
      </c>
      <c r="B36408" t="str">
        <f>HYPERLINK("https://twitter.com/adheparepos","@adheparepos")</f>
        <v>@adheparepos</v>
      </c>
      <c r="C36408" t="s">
        <v>15063</v>
      </c>
      <c r="D36408">
        <v>0</v>
      </c>
      <c r="E36408">
        <v>0</v>
      </c>
      <c r="F36408">
        <v>1</v>
      </c>
    </row>
    <row r="36409" spans="1:6" ht="12.75">
      <c r="A36409" s="2">
        <v>43875.243807870371</v>
      </c>
      <c r="B36409" t="str">
        <f>HYPERLINK("https://twitter.com/asnug_id","@asnug_id")</f>
        <v>@asnug_id</v>
      </c>
      <c r="C36409" t="s">
        <v>15064</v>
      </c>
      <c r="D36409">
        <v>1</v>
      </c>
      <c r="E36409">
        <v>0</v>
      </c>
      <c r="F36409">
        <v>3173</v>
      </c>
    </row>
    <row r="36410" spans="1:6" ht="12.75">
      <c r="A36410" s="2">
        <v>43875.243622685186</v>
      </c>
      <c r="B36410" t="str">
        <f>HYPERLINK("https://twitter.com/kangsemproel","@kangsemproel")</f>
        <v>@kangsemproel</v>
      </c>
      <c r="C36410" t="s">
        <v>10096</v>
      </c>
      <c r="D36410">
        <v>31</v>
      </c>
      <c r="E36410">
        <v>0</v>
      </c>
      <c r="F36410">
        <v>28190</v>
      </c>
    </row>
    <row r="36411" spans="1:6" ht="12.75">
      <c r="A36411" s="2">
        <v>43875.243530092594</v>
      </c>
      <c r="B36411" t="str">
        <f>HYPERLINK("https://twitter.com/Aan__coverBOYkw","@Aan__coverBOYkw")</f>
        <v>@Aan__coverBOYkw</v>
      </c>
      <c r="C36411" t="s">
        <v>13949</v>
      </c>
      <c r="D36411">
        <v>33</v>
      </c>
      <c r="E36411">
        <v>0</v>
      </c>
      <c r="F36411">
        <v>2958</v>
      </c>
    </row>
    <row r="36412" spans="1:6" ht="12.75">
      <c r="A36412" s="2">
        <v>43875.24319444444</v>
      </c>
      <c r="B36412" t="str">
        <f>HYPERLINK("https://twitter.com/Shi0kaze17","@Shi0kaze17")</f>
        <v>@Shi0kaze17</v>
      </c>
      <c r="C36412" t="s">
        <v>5168</v>
      </c>
      <c r="D36412">
        <v>327</v>
      </c>
      <c r="E36412">
        <v>0</v>
      </c>
      <c r="F36412">
        <v>537</v>
      </c>
    </row>
    <row r="36413" spans="1:6" ht="12.75">
      <c r="A36413" s="2">
        <v>43875.243078703701</v>
      </c>
      <c r="B36413" t="str">
        <f>HYPERLINK("https://twitter.com/sandywahyu","@sandywahyu")</f>
        <v>@sandywahyu</v>
      </c>
      <c r="C36413" t="s">
        <v>2963</v>
      </c>
      <c r="D36413">
        <v>207</v>
      </c>
      <c r="E36413">
        <v>0</v>
      </c>
      <c r="F36413">
        <v>110</v>
      </c>
    </row>
    <row r="36414" spans="1:6" ht="12.75">
      <c r="A36414" s="2">
        <v>43875.243078703701</v>
      </c>
      <c r="B36414" t="str">
        <f>HYPERLINK("https://twitter.com/hendriulhe","@hendriulhe")</f>
        <v>@hendriulhe</v>
      </c>
      <c r="C36414" t="s">
        <v>15065</v>
      </c>
      <c r="D36414">
        <v>1</v>
      </c>
      <c r="E36414">
        <v>0</v>
      </c>
      <c r="F36414">
        <v>614</v>
      </c>
    </row>
    <row r="36415" spans="1:6" ht="12.75">
      <c r="A36415" s="2">
        <v>43875.243055555555</v>
      </c>
      <c r="B36415" t="str">
        <f>HYPERLINK("https://twitter.com/RadioElshinta","@RadioElshinta")</f>
        <v>@RadioElshinta</v>
      </c>
      <c r="C36415" t="s">
        <v>27</v>
      </c>
      <c r="D36415">
        <v>0</v>
      </c>
      <c r="E36415">
        <v>2</v>
      </c>
      <c r="F36415">
        <v>3633160</v>
      </c>
    </row>
    <row r="36416" spans="1:6" ht="12.75">
      <c r="A36416" s="2">
        <v>43875.243032407408</v>
      </c>
      <c r="B36416" t="str">
        <f>HYPERLINK("https://twitter.com/7bigsins","@7bigsins")</f>
        <v>@7bigsins</v>
      </c>
      <c r="C36416" t="s">
        <v>15066</v>
      </c>
      <c r="D36416">
        <v>0</v>
      </c>
      <c r="E36416">
        <v>0</v>
      </c>
      <c r="F36416">
        <v>673</v>
      </c>
    </row>
    <row r="36417" spans="1:6" ht="12.75">
      <c r="A36417" s="2">
        <v>43875.24287037037</v>
      </c>
      <c r="B36417" t="str">
        <f>HYPERLINK("https://twitter.com/ngurah_suta","@ngurah_suta")</f>
        <v>@ngurah_suta</v>
      </c>
      <c r="C36417" t="s">
        <v>15067</v>
      </c>
      <c r="D36417">
        <v>0</v>
      </c>
      <c r="E36417">
        <v>0</v>
      </c>
      <c r="F36417">
        <v>954</v>
      </c>
    </row>
    <row r="36418" spans="1:6" ht="12.75">
      <c r="A36418" s="2">
        <v>43875.242662037039</v>
      </c>
      <c r="B36418" t="str">
        <f>HYPERLINK("https://twitter.com/esti_upay","@esti_upay")</f>
        <v>@esti_upay</v>
      </c>
      <c r="C36418" t="s">
        <v>10096</v>
      </c>
      <c r="D36418">
        <v>31</v>
      </c>
      <c r="E36418">
        <v>0</v>
      </c>
      <c r="F36418">
        <v>1382</v>
      </c>
    </row>
    <row r="36419" spans="1:6" ht="12.75">
      <c r="A36419" s="2">
        <v>43875.242662037039</v>
      </c>
      <c r="B36419" t="str">
        <f>HYPERLINK("https://twitter.com/ojze","@ojze")</f>
        <v>@ojze</v>
      </c>
      <c r="C36419" t="s">
        <v>11390</v>
      </c>
      <c r="D36419">
        <v>69</v>
      </c>
      <c r="E36419">
        <v>0</v>
      </c>
      <c r="F36419">
        <v>4223</v>
      </c>
    </row>
    <row r="36420" spans="1:6" ht="12.75">
      <c r="A36420" s="2">
        <v>43875.242615740739</v>
      </c>
      <c r="B36420" t="str">
        <f>HYPERLINK("https://twitter.com/Vania_Ciprut","@Vania_Ciprut")</f>
        <v>@Vania_Ciprut</v>
      </c>
      <c r="C36420" t="s">
        <v>15068</v>
      </c>
      <c r="D36420">
        <v>0</v>
      </c>
      <c r="E36420">
        <v>0</v>
      </c>
      <c r="F36420">
        <v>1597</v>
      </c>
    </row>
    <row r="36421" spans="1:6" ht="12.75">
      <c r="A36421" s="2">
        <v>43875.242592592593</v>
      </c>
      <c r="B36421" t="str">
        <f>HYPERLINK("https://twitter.com/aderifkyhanif","@aderifkyhanif")</f>
        <v>@aderifkyhanif</v>
      </c>
      <c r="C36421" t="s">
        <v>9096</v>
      </c>
      <c r="D36421">
        <v>127</v>
      </c>
      <c r="E36421">
        <v>0</v>
      </c>
      <c r="F36421">
        <v>3928</v>
      </c>
    </row>
    <row r="36422" spans="1:6" ht="12.75">
      <c r="A36422" s="2">
        <v>43875.242465277777</v>
      </c>
      <c r="B36422" t="str">
        <f>HYPERLINK("https://twitter.com/CaptYudi","@CaptYudi")</f>
        <v>@CaptYudi</v>
      </c>
      <c r="C36422" t="s">
        <v>10407</v>
      </c>
      <c r="D36422">
        <v>22</v>
      </c>
      <c r="E36422">
        <v>0</v>
      </c>
      <c r="F36422">
        <v>1751</v>
      </c>
    </row>
    <row r="36423" spans="1:6" ht="12.75">
      <c r="A36423" s="2">
        <v>43875.242326388892</v>
      </c>
      <c r="B36423" t="str">
        <f>HYPERLINK("https://twitter.com/opik_gunners","@opik_gunners")</f>
        <v>@opik_gunners</v>
      </c>
      <c r="C36423" t="s">
        <v>2963</v>
      </c>
      <c r="D36423">
        <v>207</v>
      </c>
      <c r="E36423">
        <v>0</v>
      </c>
      <c r="F36423">
        <v>498</v>
      </c>
    </row>
    <row r="36424" spans="1:6" ht="12.75">
      <c r="A36424" s="2">
        <v>43875.242326388892</v>
      </c>
      <c r="B36424" t="str">
        <f>HYPERLINK("https://twitter.com/LalalaKimanoban","@LalalaKimanoban")</f>
        <v>@LalalaKimanoban</v>
      </c>
      <c r="C36424" t="s">
        <v>2963</v>
      </c>
      <c r="D36424">
        <v>207</v>
      </c>
      <c r="E36424">
        <v>0</v>
      </c>
      <c r="F36424">
        <v>1</v>
      </c>
    </row>
    <row r="36425" spans="1:6" ht="12.75">
      <c r="A36425" s="2">
        <v>43875.242256944446</v>
      </c>
      <c r="B36425" t="str">
        <f>HYPERLINK("https://twitter.com/aderifkyhanif","@aderifkyhanif")</f>
        <v>@aderifkyhanif</v>
      </c>
      <c r="C36425" t="s">
        <v>12738</v>
      </c>
      <c r="D36425">
        <v>68</v>
      </c>
      <c r="E36425">
        <v>0</v>
      </c>
      <c r="F36425">
        <v>3928</v>
      </c>
    </row>
    <row r="36426" spans="1:6" ht="12.75">
      <c r="A36426" s="2">
        <v>43875.24217592593</v>
      </c>
      <c r="B36426" t="str">
        <f>HYPERLINK("https://twitter.com/tazi_12345","@tazi_12345")</f>
        <v>@tazi_12345</v>
      </c>
      <c r="C36426" t="s">
        <v>2963</v>
      </c>
      <c r="D36426">
        <v>207</v>
      </c>
      <c r="E36426">
        <v>0</v>
      </c>
      <c r="F36426">
        <v>176</v>
      </c>
    </row>
    <row r="36427" spans="1:6" ht="12.75">
      <c r="A36427" s="2">
        <v>43875.242013888885</v>
      </c>
      <c r="B36427" t="str">
        <f>HYPERLINK("https://twitter.com/GNotopriyanto","@GNotopriyanto")</f>
        <v>@GNotopriyanto</v>
      </c>
      <c r="C36427" t="s">
        <v>10407</v>
      </c>
      <c r="D36427">
        <v>22</v>
      </c>
      <c r="E36427">
        <v>0</v>
      </c>
      <c r="F36427">
        <v>29</v>
      </c>
    </row>
    <row r="36428" spans="1:6" ht="12.75">
      <c r="A36428" s="2">
        <v>43875.242002314815</v>
      </c>
      <c r="B36428" t="str">
        <f>HYPERLINK("https://twitter.com/Nio174","@Nio174")</f>
        <v>@Nio174</v>
      </c>
      <c r="C36428" t="s">
        <v>7803</v>
      </c>
      <c r="D36428">
        <v>287</v>
      </c>
      <c r="E36428">
        <v>0</v>
      </c>
      <c r="F36428">
        <v>12</v>
      </c>
    </row>
    <row r="36429" spans="1:6" ht="12.75">
      <c r="A36429" s="2">
        <v>43875.241886574076</v>
      </c>
      <c r="B36429" t="str">
        <f>HYPERLINK("https://twitter.com/aderifkyhanif","@aderifkyhanif")</f>
        <v>@aderifkyhanif</v>
      </c>
      <c r="C36429" t="s">
        <v>10526</v>
      </c>
      <c r="D36429">
        <v>92</v>
      </c>
      <c r="E36429">
        <v>0</v>
      </c>
      <c r="F36429">
        <v>3928</v>
      </c>
    </row>
    <row r="36430" spans="1:6" ht="12.75">
      <c r="A36430" s="2">
        <v>43875.241875</v>
      </c>
      <c r="B36430" t="str">
        <f>HYPERLINK("https://twitter.com/WidiaRiyad","@WidiaRiyad")</f>
        <v>@WidiaRiyad</v>
      </c>
      <c r="C36430" t="s">
        <v>10121</v>
      </c>
      <c r="D36430">
        <v>131</v>
      </c>
      <c r="E36430">
        <v>0</v>
      </c>
      <c r="F36430">
        <v>536</v>
      </c>
    </row>
    <row r="36431" spans="1:6" ht="12.75">
      <c r="A36431" s="2">
        <v>43875.241678240738</v>
      </c>
      <c r="B36431" t="str">
        <f t="shared" ref="B36431:B36432" si="407">HYPERLINK("https://twitter.com/asnug_id","@asnug_id")</f>
        <v>@asnug_id</v>
      </c>
      <c r="C36431" t="s">
        <v>15069</v>
      </c>
      <c r="D36431">
        <v>5</v>
      </c>
      <c r="E36431">
        <v>0</v>
      </c>
      <c r="F36431">
        <v>3173</v>
      </c>
    </row>
    <row r="36432" spans="1:6" ht="12.75">
      <c r="A36432" s="2">
        <v>43875.241620370369</v>
      </c>
      <c r="B36432" t="str">
        <f t="shared" si="407"/>
        <v>@asnug_id</v>
      </c>
      <c r="C36432" t="s">
        <v>12849</v>
      </c>
      <c r="D36432">
        <v>56</v>
      </c>
      <c r="E36432">
        <v>0</v>
      </c>
      <c r="F36432">
        <v>3173</v>
      </c>
    </row>
    <row r="36433" spans="1:6" ht="12.75">
      <c r="A36433" s="2">
        <v>43875.241481481484</v>
      </c>
      <c r="B36433" t="str">
        <f>HYPERLINK("https://twitter.com/lelahku","@lelahku")</f>
        <v>@lelahku</v>
      </c>
      <c r="C36433" t="s">
        <v>15070</v>
      </c>
      <c r="D36433">
        <v>14</v>
      </c>
      <c r="E36433">
        <v>0</v>
      </c>
      <c r="F36433">
        <v>1599</v>
      </c>
    </row>
    <row r="36434" spans="1:6" ht="12.75">
      <c r="A36434" s="2">
        <v>43875.241435185184</v>
      </c>
      <c r="B36434" t="str">
        <f>HYPERLINK("https://twitter.com/DoniRoberto1","@DoniRoberto1")</f>
        <v>@DoniRoberto1</v>
      </c>
      <c r="C36434" t="s">
        <v>10121</v>
      </c>
      <c r="D36434">
        <v>131</v>
      </c>
      <c r="E36434">
        <v>0</v>
      </c>
      <c r="F36434">
        <v>58</v>
      </c>
    </row>
    <row r="36435" spans="1:6" ht="12.75">
      <c r="A36435" s="2">
        <v>43875.241122685184</v>
      </c>
      <c r="B36435" t="str">
        <f>HYPERLINK("https://twitter.com/Co3m3m3N","@Co3m3m3N")</f>
        <v>@Co3m3m3N</v>
      </c>
      <c r="C36435" t="s">
        <v>12679</v>
      </c>
      <c r="D36435">
        <v>715</v>
      </c>
      <c r="E36435">
        <v>0</v>
      </c>
      <c r="F36435">
        <v>275</v>
      </c>
    </row>
    <row r="36436" spans="1:6" ht="12.75">
      <c r="A36436" s="2">
        <v>43875.240798611107</v>
      </c>
      <c r="B36436" t="str">
        <f>HYPERLINK("https://twitter.com/r0nggo05","@r0nggo05")</f>
        <v>@r0nggo05</v>
      </c>
      <c r="C36436" t="s">
        <v>8571</v>
      </c>
      <c r="D36436">
        <v>33</v>
      </c>
      <c r="E36436">
        <v>0</v>
      </c>
      <c r="F36436">
        <v>318</v>
      </c>
    </row>
    <row r="36437" spans="1:6" ht="12.75">
      <c r="A36437" s="2">
        <v>43875.240717592591</v>
      </c>
      <c r="B36437" t="str">
        <f>HYPERLINK("https://twitter.com/iniidans22","@iniidans22")</f>
        <v>@iniidans22</v>
      </c>
      <c r="C36437" t="s">
        <v>10096</v>
      </c>
      <c r="D36437">
        <v>31</v>
      </c>
      <c r="E36437">
        <v>0</v>
      </c>
      <c r="F36437">
        <v>406</v>
      </c>
    </row>
    <row r="36438" spans="1:6" ht="12.75">
      <c r="A36438" s="2">
        <v>43875.24055555556</v>
      </c>
      <c r="B36438" t="str">
        <f>HYPERLINK("https://twitter.com/Redo14545585","@Redo14545585")</f>
        <v>@Redo14545585</v>
      </c>
      <c r="C36438" t="s">
        <v>15071</v>
      </c>
      <c r="D36438">
        <v>0</v>
      </c>
      <c r="E36438">
        <v>0</v>
      </c>
      <c r="F36438">
        <v>25</v>
      </c>
    </row>
    <row r="36439" spans="1:6" ht="12.75">
      <c r="A36439" s="2">
        <v>43875.240451388891</v>
      </c>
      <c r="B36439" t="str">
        <f>HYPERLINK("https://twitter.com/ngurah_suta","@ngurah_suta")</f>
        <v>@ngurah_suta</v>
      </c>
      <c r="C36439" t="s">
        <v>2963</v>
      </c>
      <c r="D36439">
        <v>207</v>
      </c>
      <c r="E36439">
        <v>0</v>
      </c>
      <c r="F36439">
        <v>954</v>
      </c>
    </row>
    <row r="36440" spans="1:6" ht="12.75">
      <c r="A36440" s="2">
        <v>43875.240324074075</v>
      </c>
      <c r="B36440" t="str">
        <f>HYPERLINK("https://twitter.com/Wawanda","@Wawanda")</f>
        <v>@Wawanda</v>
      </c>
      <c r="C36440" t="s">
        <v>15072</v>
      </c>
      <c r="D36440">
        <v>0</v>
      </c>
      <c r="E36440">
        <v>0</v>
      </c>
      <c r="F36440">
        <v>352</v>
      </c>
    </row>
    <row r="36441" spans="1:6" ht="12.75">
      <c r="A36441" s="2">
        <v>43875.240324074075</v>
      </c>
      <c r="B36441" t="str">
        <f>HYPERLINK("https://twitter.com/kyohamaru","@kyohamaru")</f>
        <v>@kyohamaru</v>
      </c>
      <c r="C36441" t="s">
        <v>15073</v>
      </c>
      <c r="D36441">
        <v>0</v>
      </c>
      <c r="E36441">
        <v>0</v>
      </c>
      <c r="F36441">
        <v>371</v>
      </c>
    </row>
    <row r="36442" spans="1:6" ht="12.75">
      <c r="A36442" s="2">
        <v>43875.240289351852</v>
      </c>
      <c r="B36442" t="str">
        <f>HYPERLINK("https://twitter.com/hdei_5","@hdei_5")</f>
        <v>@hdei_5</v>
      </c>
      <c r="C36442" t="s">
        <v>2963</v>
      </c>
      <c r="D36442">
        <v>207</v>
      </c>
      <c r="E36442">
        <v>0</v>
      </c>
      <c r="F36442">
        <v>309</v>
      </c>
    </row>
    <row r="36443" spans="1:6" ht="12.75">
      <c r="A36443" s="2">
        <v>43875.240277777775</v>
      </c>
      <c r="B36443" t="str">
        <f>HYPERLINK("https://twitter.com/ani_nyebar","@ani_nyebar")</f>
        <v>@ani_nyebar</v>
      </c>
      <c r="C36443" t="s">
        <v>15074</v>
      </c>
      <c r="D36443">
        <v>0</v>
      </c>
      <c r="E36443">
        <v>3</v>
      </c>
      <c r="F36443">
        <v>86</v>
      </c>
    </row>
    <row r="36444" spans="1:6" ht="12.75">
      <c r="A36444" s="2">
        <v>43875.240104166667</v>
      </c>
      <c r="B36444" t="str">
        <f>HYPERLINK("https://twitter.com/Vaisz56","@Vaisz56")</f>
        <v>@Vaisz56</v>
      </c>
      <c r="C36444" t="s">
        <v>2963</v>
      </c>
      <c r="D36444">
        <v>207</v>
      </c>
      <c r="E36444">
        <v>0</v>
      </c>
      <c r="F36444">
        <v>3030</v>
      </c>
    </row>
    <row r="36445" spans="1:6" ht="12.75">
      <c r="A36445" s="2">
        <v>43875.240081018521</v>
      </c>
      <c r="B36445" t="str">
        <f>HYPERLINK("https://twitter.com/bgDG_Stream","@bgDG_Stream")</f>
        <v>@bgDG_Stream</v>
      </c>
      <c r="C36445" t="s">
        <v>9119</v>
      </c>
      <c r="D36445">
        <v>39</v>
      </c>
      <c r="E36445">
        <v>0</v>
      </c>
      <c r="F36445">
        <v>240</v>
      </c>
    </row>
    <row r="36446" spans="1:6" ht="12.75">
      <c r="A36446" s="2">
        <v>43875.240081018521</v>
      </c>
      <c r="B36446" t="str">
        <f>HYPERLINK("https://twitter.com/Nio174","@Nio174")</f>
        <v>@Nio174</v>
      </c>
      <c r="C36446" t="s">
        <v>10957</v>
      </c>
      <c r="D36446">
        <v>43</v>
      </c>
      <c r="E36446">
        <v>0</v>
      </c>
      <c r="F36446">
        <v>12</v>
      </c>
    </row>
    <row r="36447" spans="1:6" ht="12.75">
      <c r="A36447" s="2">
        <v>43875.240046296298</v>
      </c>
      <c r="B36447" t="str">
        <f>HYPERLINK("https://twitter.com/FerryZhi_Peng","@FerryZhi_Peng")</f>
        <v>@FerryZhi_Peng</v>
      </c>
      <c r="C36447" t="s">
        <v>2122</v>
      </c>
      <c r="D36447">
        <v>163</v>
      </c>
      <c r="E36447">
        <v>0</v>
      </c>
      <c r="F36447">
        <v>1985</v>
      </c>
    </row>
    <row r="36448" spans="1:6" ht="12.75">
      <c r="A36448" s="2">
        <v>43875.240011574075</v>
      </c>
      <c r="B36448" t="str">
        <f>HYPERLINK("https://twitter.com/erniS1909","@erniS1909")</f>
        <v>@erniS1909</v>
      </c>
      <c r="C36448" t="s">
        <v>10319</v>
      </c>
      <c r="D36448">
        <v>139</v>
      </c>
      <c r="E36448">
        <v>0</v>
      </c>
      <c r="F36448">
        <v>503</v>
      </c>
    </row>
    <row r="36449" spans="1:6" ht="12.75">
      <c r="A36449" s="2">
        <v>43875.239768518513</v>
      </c>
      <c r="B36449" t="str">
        <f>HYPERLINK("https://twitter.com/susidiansafitri","@susidiansafitri")</f>
        <v>@susidiansafitri</v>
      </c>
      <c r="C36449" t="s">
        <v>9538</v>
      </c>
      <c r="D36449">
        <v>69</v>
      </c>
      <c r="E36449">
        <v>0</v>
      </c>
      <c r="F36449">
        <v>1776</v>
      </c>
    </row>
    <row r="36450" spans="1:6" ht="12.75">
      <c r="A36450" s="2">
        <v>43875.239768518513</v>
      </c>
      <c r="B36450" t="str">
        <f>HYPERLINK("https://twitter.com/ekache99","@ekache99")</f>
        <v>@ekache99</v>
      </c>
      <c r="C36450" t="s">
        <v>12679</v>
      </c>
      <c r="D36450">
        <v>715</v>
      </c>
      <c r="E36450">
        <v>0</v>
      </c>
      <c r="F36450">
        <v>361</v>
      </c>
    </row>
    <row r="36451" spans="1:6" ht="12.75">
      <c r="A36451" s="2">
        <v>43875.239756944444</v>
      </c>
      <c r="B36451" t="str">
        <f>HYPERLINK("https://twitter.com/01Rinaldy","@01Rinaldy")</f>
        <v>@01Rinaldy</v>
      </c>
      <c r="C36451" t="s">
        <v>2963</v>
      </c>
      <c r="D36451">
        <v>207</v>
      </c>
      <c r="E36451">
        <v>0</v>
      </c>
      <c r="F36451">
        <v>339</v>
      </c>
    </row>
    <row r="36452" spans="1:6" ht="12.75">
      <c r="A36452" s="2">
        <v>43875.239722222221</v>
      </c>
      <c r="B36452" t="str">
        <f>HYPERLINK("https://twitter.com/YasidMustofa","@YasidMustofa")</f>
        <v>@YasidMustofa</v>
      </c>
      <c r="C36452" t="s">
        <v>2963</v>
      </c>
      <c r="D36452">
        <v>207</v>
      </c>
      <c r="E36452">
        <v>0</v>
      </c>
      <c r="F36452">
        <v>40</v>
      </c>
    </row>
    <row r="36453" spans="1:6" ht="12.75">
      <c r="A36453" s="2">
        <v>43875.239710648151</v>
      </c>
      <c r="B36453" t="str">
        <f>HYPERLINK("https://twitter.com/i_mokoginta","@i_mokoginta")</f>
        <v>@i_mokoginta</v>
      </c>
      <c r="C36453" t="s">
        <v>15070</v>
      </c>
      <c r="D36453">
        <v>14</v>
      </c>
      <c r="E36453">
        <v>0</v>
      </c>
      <c r="F36453">
        <v>2279</v>
      </c>
    </row>
    <row r="36454" spans="1:6" ht="12.75">
      <c r="A36454" s="2">
        <v>43875.239641203705</v>
      </c>
      <c r="B36454" t="str">
        <f>HYPERLINK("https://twitter.com/f24nk1","@f24nk1")</f>
        <v>@f24nk1</v>
      </c>
      <c r="C36454" t="s">
        <v>2963</v>
      </c>
      <c r="D36454">
        <v>207</v>
      </c>
      <c r="E36454">
        <v>0</v>
      </c>
      <c r="F36454">
        <v>1168</v>
      </c>
    </row>
    <row r="36455" spans="1:6" ht="12.75">
      <c r="A36455" s="2">
        <v>43875.239479166667</v>
      </c>
      <c r="B36455" t="str">
        <f>HYPERLINK("https://twitter.com/bram_whyu","@bram_whyu")</f>
        <v>@bram_whyu</v>
      </c>
      <c r="C36455" t="s">
        <v>9947</v>
      </c>
      <c r="D36455">
        <v>308</v>
      </c>
      <c r="E36455">
        <v>0</v>
      </c>
      <c r="F36455">
        <v>605</v>
      </c>
    </row>
    <row r="36456" spans="1:6" ht="12.75">
      <c r="A36456" s="2">
        <v>43875.239432870367</v>
      </c>
      <c r="B36456" t="str">
        <f>HYPERLINK("https://twitter.com/willyarfredt","@willyarfredt")</f>
        <v>@willyarfredt</v>
      </c>
      <c r="C36456" t="s">
        <v>2963</v>
      </c>
      <c r="D36456">
        <v>207</v>
      </c>
      <c r="E36456">
        <v>0</v>
      </c>
      <c r="F36456">
        <v>18</v>
      </c>
    </row>
    <row r="36457" spans="1:6" ht="12.75">
      <c r="A36457" s="2">
        <v>43875.239328703705</v>
      </c>
      <c r="B36457" t="str">
        <f>HYPERLINK("https://twitter.com/AciakN","@AciakN")</f>
        <v>@AciakN</v>
      </c>
      <c r="C36457" t="s">
        <v>10407</v>
      </c>
      <c r="D36457">
        <v>22</v>
      </c>
      <c r="E36457">
        <v>0</v>
      </c>
      <c r="F36457">
        <v>85</v>
      </c>
    </row>
    <row r="36458" spans="1:6" ht="12.75">
      <c r="A36458" s="2">
        <v>43875.239120370374</v>
      </c>
      <c r="B36458" t="str">
        <f>HYPERLINK("https://twitter.com/f24nk1","@f24nk1")</f>
        <v>@f24nk1</v>
      </c>
      <c r="C36458" t="s">
        <v>9803</v>
      </c>
      <c r="D36458">
        <v>30</v>
      </c>
      <c r="E36458">
        <v>0</v>
      </c>
      <c r="F36458">
        <v>1168</v>
      </c>
    </row>
    <row r="36459" spans="1:6" ht="12.75">
      <c r="A36459" s="2">
        <v>43875.239062499997</v>
      </c>
      <c r="B36459" t="str">
        <f>HYPERLINK("https://twitter.com/Nio174","@Nio174")</f>
        <v>@Nio174</v>
      </c>
      <c r="C36459" t="s">
        <v>2122</v>
      </c>
      <c r="D36459">
        <v>163</v>
      </c>
      <c r="E36459">
        <v>0</v>
      </c>
      <c r="F36459">
        <v>12</v>
      </c>
    </row>
    <row r="36460" spans="1:6" ht="12.75">
      <c r="A36460" s="2">
        <v>43875.238923611112</v>
      </c>
      <c r="B36460" t="str">
        <f>HYPERLINK("https://twitter.com/YohanesPatty2","@YohanesPatty2")</f>
        <v>@YohanesPatty2</v>
      </c>
      <c r="C36460" t="s">
        <v>15075</v>
      </c>
      <c r="D36460">
        <v>1</v>
      </c>
      <c r="E36460">
        <v>0</v>
      </c>
      <c r="F36460">
        <v>5538</v>
      </c>
    </row>
    <row r="36461" spans="1:6" ht="12.75">
      <c r="A36461" s="2">
        <v>43875.238599537042</v>
      </c>
      <c r="B36461" t="str">
        <f>HYPERLINK("https://twitter.com/rizarif79","@rizarif79")</f>
        <v>@rizarif79</v>
      </c>
      <c r="C36461" t="s">
        <v>10266</v>
      </c>
      <c r="D36461">
        <v>243</v>
      </c>
      <c r="E36461">
        <v>0</v>
      </c>
      <c r="F36461">
        <v>371</v>
      </c>
    </row>
    <row r="36462" spans="1:6" ht="12.75">
      <c r="A36462" s="2">
        <v>43875.238518518519</v>
      </c>
      <c r="B36462" t="str">
        <f>HYPERLINK("https://twitter.com/Nio174","@Nio174")</f>
        <v>@Nio174</v>
      </c>
      <c r="C36462" t="s">
        <v>7390</v>
      </c>
      <c r="D36462">
        <v>74</v>
      </c>
      <c r="E36462">
        <v>0</v>
      </c>
      <c r="F36462">
        <v>12</v>
      </c>
    </row>
    <row r="36463" spans="1:6" ht="12.75">
      <c r="A36463" s="2">
        <v>43875.238518518519</v>
      </c>
      <c r="B36463" t="str">
        <f>HYPERLINK("https://twitter.com/Purwa_wicak","@Purwa_wicak")</f>
        <v>@Purwa_wicak</v>
      </c>
      <c r="C36463" t="s">
        <v>15076</v>
      </c>
      <c r="D36463">
        <v>0</v>
      </c>
      <c r="E36463">
        <v>0</v>
      </c>
      <c r="F36463">
        <v>268</v>
      </c>
    </row>
    <row r="36464" spans="1:6" ht="12.75">
      <c r="A36464" s="2">
        <v>43875.238483796296</v>
      </c>
      <c r="B36464" t="str">
        <f>HYPERLINK("https://twitter.com/erniS1909","@erniS1909")</f>
        <v>@erniS1909</v>
      </c>
      <c r="C36464" t="s">
        <v>10588</v>
      </c>
      <c r="D36464">
        <v>96</v>
      </c>
      <c r="E36464">
        <v>0</v>
      </c>
      <c r="F36464">
        <v>503</v>
      </c>
    </row>
    <row r="36465" spans="1:6" ht="12.75">
      <c r="A36465" s="2">
        <v>43875.238402777773</v>
      </c>
      <c r="B36465" t="str">
        <f>HYPERLINK("https://twitter.com/jodi_wirawan","@jodi_wirawan")</f>
        <v>@jodi_wirawan</v>
      </c>
      <c r="C36465" t="s">
        <v>9186</v>
      </c>
      <c r="D36465">
        <v>94</v>
      </c>
      <c r="E36465">
        <v>0</v>
      </c>
      <c r="F36465">
        <v>150</v>
      </c>
    </row>
    <row r="36466" spans="1:6" ht="12.75">
      <c r="A36466" s="2">
        <v>43875.238252314812</v>
      </c>
      <c r="B36466" t="str">
        <f>HYPERLINK("https://twitter.com/himalayaaa__","@himalayaaa__")</f>
        <v>@himalayaaa__</v>
      </c>
      <c r="C36466" t="s">
        <v>2963</v>
      </c>
      <c r="D36466">
        <v>207</v>
      </c>
      <c r="E36466">
        <v>0</v>
      </c>
      <c r="F36466">
        <v>1124</v>
      </c>
    </row>
    <row r="36467" spans="1:6" ht="12.75">
      <c r="A36467" s="2">
        <v>43875.238217592589</v>
      </c>
      <c r="B36467" t="str">
        <f>HYPERLINK("https://twitter.com/andar_habibi","@andar_habibi")</f>
        <v>@andar_habibi</v>
      </c>
      <c r="C36467" t="s">
        <v>9732</v>
      </c>
      <c r="D36467">
        <v>49</v>
      </c>
      <c r="E36467">
        <v>0</v>
      </c>
      <c r="F36467">
        <v>324</v>
      </c>
    </row>
    <row r="36468" spans="1:6" ht="12.75">
      <c r="A36468" s="2">
        <v>43875.238182870366</v>
      </c>
      <c r="B36468" t="str">
        <f>HYPERLINK("https://twitter.com/SarahKi00999536","@SarahKi00999536")</f>
        <v>@SarahKi00999536</v>
      </c>
      <c r="C36468" t="s">
        <v>15077</v>
      </c>
      <c r="D36468">
        <v>0</v>
      </c>
      <c r="E36468">
        <v>0</v>
      </c>
      <c r="F36468">
        <v>10</v>
      </c>
    </row>
    <row r="36469" spans="1:6" ht="12.75">
      <c r="A36469" s="2">
        <v>43875.238043981481</v>
      </c>
      <c r="B36469" t="str">
        <f>HYPERLINK("https://twitter.com/Theworo1","@Theworo1")</f>
        <v>@Theworo1</v>
      </c>
      <c r="C36469" t="s">
        <v>10207</v>
      </c>
      <c r="D36469">
        <v>32</v>
      </c>
      <c r="E36469">
        <v>0</v>
      </c>
      <c r="F36469">
        <v>699</v>
      </c>
    </row>
    <row r="36470" spans="1:6" ht="12.75">
      <c r="A36470" s="2">
        <v>43875.237951388888</v>
      </c>
      <c r="B36470" t="str">
        <f>HYPERLINK("https://twitter.com/asnug_id","@asnug_id")</f>
        <v>@asnug_id</v>
      </c>
      <c r="C36470" t="s">
        <v>15078</v>
      </c>
      <c r="D36470">
        <v>0</v>
      </c>
      <c r="E36470">
        <v>2</v>
      </c>
      <c r="F36470">
        <v>3173</v>
      </c>
    </row>
    <row r="36471" spans="1:6" ht="12.75">
      <c r="A36471" s="2">
        <v>43875.237685185188</v>
      </c>
      <c r="B36471" t="str">
        <f>HYPERLINK("https://twitter.com/ojze","@ojze")</f>
        <v>@ojze</v>
      </c>
      <c r="C36471" t="s">
        <v>10196</v>
      </c>
      <c r="D36471">
        <v>116</v>
      </c>
      <c r="E36471">
        <v>0</v>
      </c>
      <c r="F36471">
        <v>4223</v>
      </c>
    </row>
    <row r="36472" spans="1:6" ht="12.75">
      <c r="A36472" s="2">
        <v>43875.237523148149</v>
      </c>
      <c r="B36472" t="str">
        <f>HYPERLINK("https://twitter.com/Hira68337052","@Hira68337052")</f>
        <v>@Hira68337052</v>
      </c>
      <c r="C36472" t="s">
        <v>10096</v>
      </c>
      <c r="D36472">
        <v>31</v>
      </c>
      <c r="E36472">
        <v>0</v>
      </c>
      <c r="F36472">
        <v>247</v>
      </c>
    </row>
    <row r="36473" spans="1:6" ht="12.75">
      <c r="A36473" s="2">
        <v>43875.237453703703</v>
      </c>
      <c r="B36473" t="str">
        <f>HYPERLINK("https://twitter.com/siswantocis","@siswantocis")</f>
        <v>@siswantocis</v>
      </c>
      <c r="C36473" t="s">
        <v>15079</v>
      </c>
      <c r="D36473">
        <v>226</v>
      </c>
      <c r="E36473">
        <v>0</v>
      </c>
      <c r="F36473">
        <v>51</v>
      </c>
    </row>
    <row r="36474" spans="1:6" ht="12.75">
      <c r="A36474" s="2">
        <v>43875.237303240741</v>
      </c>
      <c r="B36474" t="str">
        <f>HYPERLINK("https://twitter.com/OktafaPrimana","@OktafaPrimana")</f>
        <v>@OktafaPrimana</v>
      </c>
      <c r="C36474" t="s">
        <v>5168</v>
      </c>
      <c r="D36474">
        <v>327</v>
      </c>
      <c r="E36474">
        <v>0</v>
      </c>
      <c r="F36474">
        <v>1288</v>
      </c>
    </row>
    <row r="36475" spans="1:6" ht="12.75">
      <c r="A36475" s="2">
        <v>43875.237129629633</v>
      </c>
      <c r="B36475" t="str">
        <f>HYPERLINK("https://twitter.com/arjunosableng","@arjunosableng")</f>
        <v>@arjunosableng</v>
      </c>
      <c r="C36475" t="s">
        <v>10526</v>
      </c>
      <c r="D36475">
        <v>92</v>
      </c>
      <c r="E36475">
        <v>0</v>
      </c>
      <c r="F36475">
        <v>2224</v>
      </c>
    </row>
    <row r="36476" spans="1:6" ht="12.75">
      <c r="A36476" s="2">
        <v>43875.236932870372</v>
      </c>
      <c r="B36476" t="str">
        <f>HYPERLINK("https://twitter.com/mukegile001","@mukegile001")</f>
        <v>@mukegile001</v>
      </c>
      <c r="C36476" t="s">
        <v>10531</v>
      </c>
      <c r="D36476">
        <v>91</v>
      </c>
      <c r="E36476">
        <v>0</v>
      </c>
      <c r="F36476">
        <v>41</v>
      </c>
    </row>
    <row r="36477" spans="1:6" ht="12.75">
      <c r="A36477" s="2">
        <v>43875.236921296295</v>
      </c>
      <c r="B36477" t="str">
        <f>HYPERLINK("https://twitter.com/Pembela33419271","@Pembela33419271")</f>
        <v>@Pembela33419271</v>
      </c>
      <c r="C36477" t="s">
        <v>14908</v>
      </c>
      <c r="D36477">
        <v>6</v>
      </c>
      <c r="E36477">
        <v>0</v>
      </c>
      <c r="F36477">
        <v>76</v>
      </c>
    </row>
    <row r="36478" spans="1:6" ht="12.75">
      <c r="A36478" s="2">
        <v>43875.236851851849</v>
      </c>
      <c r="B36478" t="str">
        <f>HYPERLINK("https://twitter.com/EmaNurvina","@EmaNurvina")</f>
        <v>@EmaNurvina</v>
      </c>
      <c r="C36478" t="s">
        <v>175</v>
      </c>
      <c r="D36478">
        <v>5209</v>
      </c>
      <c r="E36478">
        <v>0</v>
      </c>
      <c r="F36478">
        <v>187</v>
      </c>
    </row>
    <row r="36479" spans="1:6" ht="12.75">
      <c r="A36479" s="2">
        <v>43875.236817129626</v>
      </c>
      <c r="B36479" t="str">
        <f>HYPERLINK("https://twitter.com/kuaajajaalajuja","@kuaajajaalajuja")</f>
        <v>@kuaajajaalajuja</v>
      </c>
      <c r="C36479" t="s">
        <v>9538</v>
      </c>
      <c r="D36479">
        <v>69</v>
      </c>
      <c r="E36479">
        <v>0</v>
      </c>
      <c r="F36479">
        <v>254</v>
      </c>
    </row>
    <row r="36480" spans="1:6" ht="12.75">
      <c r="A36480" s="2">
        <v>43875.236770833333</v>
      </c>
      <c r="B36480" t="str">
        <f>HYPERLINK("https://twitter.com/syamsulhadi_ae","@syamsulhadi_ae")</f>
        <v>@syamsulhadi_ae</v>
      </c>
      <c r="C36480" t="s">
        <v>10462</v>
      </c>
      <c r="D36480">
        <v>220</v>
      </c>
      <c r="E36480">
        <v>0</v>
      </c>
      <c r="F36480">
        <v>235</v>
      </c>
    </row>
    <row r="36481" spans="1:6" ht="12.75">
      <c r="A36481" s="2">
        <v>43875.236759259264</v>
      </c>
      <c r="B36481" t="str">
        <f>HYPERLINK("https://twitter.com/Purwa_wicak","@Purwa_wicak")</f>
        <v>@Purwa_wicak</v>
      </c>
      <c r="C36481" t="s">
        <v>9947</v>
      </c>
      <c r="D36481">
        <v>308</v>
      </c>
      <c r="E36481">
        <v>0</v>
      </c>
      <c r="F36481">
        <v>268</v>
      </c>
    </row>
    <row r="36482" spans="1:6" ht="12.75">
      <c r="A36482" s="2">
        <v>43875.236747685187</v>
      </c>
      <c r="B36482" t="str">
        <f>HYPERLINK("https://twitter.com/asnug_id","@asnug_id")</f>
        <v>@asnug_id</v>
      </c>
      <c r="C36482" t="s">
        <v>11797</v>
      </c>
      <c r="D36482">
        <v>3</v>
      </c>
      <c r="E36482">
        <v>0</v>
      </c>
      <c r="F36482">
        <v>3173</v>
      </c>
    </row>
    <row r="36483" spans="1:6" ht="12.75">
      <c r="A36483" s="2">
        <v>43875.236562499995</v>
      </c>
      <c r="B36483" t="str">
        <f>HYPERLINK("https://twitter.com/NKRI_Nomor_1","@NKRI_Nomor_1")</f>
        <v>@NKRI_Nomor_1</v>
      </c>
      <c r="C36483" t="s">
        <v>10096</v>
      </c>
      <c r="D36483">
        <v>31</v>
      </c>
      <c r="E36483">
        <v>0</v>
      </c>
      <c r="F36483">
        <v>2789</v>
      </c>
    </row>
    <row r="36484" spans="1:6" ht="12.75">
      <c r="A36484" s="2">
        <v>43875.236400462964</v>
      </c>
      <c r="B36484" t="str">
        <f>HYPERLINK("https://twitter.com/diniprihatn","@diniprihatn")</f>
        <v>@diniprihatn</v>
      </c>
      <c r="C36484" t="s">
        <v>2963</v>
      </c>
      <c r="D36484">
        <v>207</v>
      </c>
      <c r="E36484">
        <v>0</v>
      </c>
      <c r="F36484">
        <v>11</v>
      </c>
    </row>
    <row r="36485" spans="1:6" ht="12.75">
      <c r="A36485" s="2">
        <v>43875.236400462964</v>
      </c>
      <c r="B36485" t="str">
        <f>HYPERLINK("https://twitter.com/Namaku_Mei","@Namaku_Mei")</f>
        <v>@Namaku_Mei</v>
      </c>
      <c r="C36485" t="s">
        <v>10266</v>
      </c>
      <c r="D36485">
        <v>243</v>
      </c>
      <c r="E36485">
        <v>0</v>
      </c>
      <c r="F36485">
        <v>33475</v>
      </c>
    </row>
    <row r="36486" spans="1:6" ht="12.75">
      <c r="A36486" s="2">
        <v>43875.236342592594</v>
      </c>
      <c r="B36486" t="str">
        <f>HYPERLINK("https://twitter.com/medcom_id","@medcom_id")</f>
        <v>@medcom_id</v>
      </c>
      <c r="C36486" t="s">
        <v>28</v>
      </c>
      <c r="D36486">
        <v>0</v>
      </c>
      <c r="E36486">
        <v>0</v>
      </c>
      <c r="F36486">
        <v>18077</v>
      </c>
    </row>
    <row r="36487" spans="1:6" ht="12.75">
      <c r="A36487" s="2">
        <v>43875.236342592594</v>
      </c>
      <c r="B36487" t="str">
        <f>HYPERLINK("https://twitter.com/jaety9597","@jaety9597")</f>
        <v>@jaety9597</v>
      </c>
      <c r="C36487" t="s">
        <v>5168</v>
      </c>
      <c r="D36487">
        <v>327</v>
      </c>
      <c r="E36487">
        <v>0</v>
      </c>
      <c r="F36487">
        <v>26</v>
      </c>
    </row>
    <row r="36488" spans="1:6" ht="12.75">
      <c r="A36488" s="2">
        <v>43875.236250000002</v>
      </c>
      <c r="B36488" t="str">
        <f>HYPERLINK("https://twitter.com/mylastmistake_","@mylastmistake_")</f>
        <v>@mylastmistake_</v>
      </c>
      <c r="C36488" t="s">
        <v>2963</v>
      </c>
      <c r="D36488">
        <v>207</v>
      </c>
      <c r="E36488">
        <v>0</v>
      </c>
      <c r="F36488">
        <v>112</v>
      </c>
    </row>
    <row r="36489" spans="1:6" ht="12.75">
      <c r="A36489" s="2">
        <v>43875.236134259263</v>
      </c>
      <c r="B36489" t="str">
        <f>HYPERLINK("https://twitter.com/SayHeiYu","@SayHeiYu")</f>
        <v>@SayHeiYu</v>
      </c>
      <c r="C36489" t="s">
        <v>29</v>
      </c>
      <c r="D36489">
        <v>0</v>
      </c>
      <c r="E36489">
        <v>0</v>
      </c>
      <c r="F36489">
        <v>120179</v>
      </c>
    </row>
    <row r="36490" spans="1:6" ht="12.75">
      <c r="A36490" s="2">
        <v>43875.235844907409</v>
      </c>
      <c r="B36490" t="str">
        <f>HYPERLINK("https://twitter.com/zein_sembang","@zein_sembang")</f>
        <v>@zein_sembang</v>
      </c>
      <c r="C36490" t="s">
        <v>2963</v>
      </c>
      <c r="D36490">
        <v>207</v>
      </c>
      <c r="E36490">
        <v>0</v>
      </c>
      <c r="F36490">
        <v>38</v>
      </c>
    </row>
    <row r="36491" spans="1:6" ht="12.75">
      <c r="A36491" s="2">
        <v>43875.235833333332</v>
      </c>
      <c r="B36491" t="str">
        <f>HYPERLINK("https://twitter.com/pratamarangga65","@pratamarangga65")</f>
        <v>@pratamarangga65</v>
      </c>
      <c r="C36491" t="s">
        <v>13471</v>
      </c>
      <c r="D36491">
        <v>2</v>
      </c>
      <c r="E36491">
        <v>0</v>
      </c>
      <c r="F36491">
        <v>1670</v>
      </c>
    </row>
    <row r="36492" spans="1:6" ht="12.75">
      <c r="A36492" s="2">
        <v>43875.235659722224</v>
      </c>
      <c r="B36492" t="str">
        <f>HYPERLINK("https://twitter.com/madinamoko","@madinamoko")</f>
        <v>@madinamoko</v>
      </c>
      <c r="C36492" t="s">
        <v>2963</v>
      </c>
      <c r="D36492">
        <v>207</v>
      </c>
      <c r="E36492">
        <v>0</v>
      </c>
      <c r="F36492">
        <v>464</v>
      </c>
    </row>
    <row r="36493" spans="1:6" ht="12.75">
      <c r="A36493" s="2">
        <v>43875.235636574071</v>
      </c>
      <c r="B36493" t="str">
        <f>HYPERLINK("https://twitter.com/nimasteha","@nimasteha")</f>
        <v>@nimasteha</v>
      </c>
      <c r="C36493" t="s">
        <v>2144</v>
      </c>
      <c r="D36493">
        <v>17</v>
      </c>
      <c r="E36493">
        <v>0</v>
      </c>
      <c r="F36493">
        <v>29</v>
      </c>
    </row>
    <row r="36494" spans="1:6" ht="12.75">
      <c r="A36494" s="2">
        <v>43875.235358796301</v>
      </c>
      <c r="B36494" t="str">
        <f>HYPERLINK("https://twitter.com/YohanesPatty2","@YohanesPatty2")</f>
        <v>@YohanesPatty2</v>
      </c>
      <c r="C36494" t="s">
        <v>2963</v>
      </c>
      <c r="D36494">
        <v>207</v>
      </c>
      <c r="E36494">
        <v>0</v>
      </c>
      <c r="F36494">
        <v>5538</v>
      </c>
    </row>
    <row r="36495" spans="1:6" ht="12.75">
      <c r="A36495" s="2">
        <v>43875.235254629632</v>
      </c>
      <c r="B36495" t="str">
        <f>HYPERLINK("https://twitter.com/blue_facez","@blue_facez")</f>
        <v>@blue_facez</v>
      </c>
      <c r="C36495" t="s">
        <v>10407</v>
      </c>
      <c r="D36495">
        <v>22</v>
      </c>
      <c r="E36495">
        <v>0</v>
      </c>
      <c r="F36495">
        <v>1200</v>
      </c>
    </row>
    <row r="36496" spans="1:6" ht="12.75">
      <c r="A36496" s="2">
        <v>43875.235243055555</v>
      </c>
      <c r="B36496" t="str">
        <f>HYPERLINK("https://twitter.com/Jangkrikdogola2","@Jangkrikdogola2")</f>
        <v>@Jangkrikdogola2</v>
      </c>
      <c r="C36496" t="s">
        <v>9096</v>
      </c>
      <c r="D36496">
        <v>127</v>
      </c>
      <c r="E36496">
        <v>0</v>
      </c>
      <c r="F36496">
        <v>15</v>
      </c>
    </row>
    <row r="36497" spans="1:6" ht="12.75">
      <c r="A36497" s="2">
        <v>43875.235243055555</v>
      </c>
      <c r="B36497" t="str">
        <f>HYPERLINK("https://twitter.com/MembangunD","@MembangunD")</f>
        <v>@MembangunD</v>
      </c>
      <c r="C36497" t="s">
        <v>9377</v>
      </c>
      <c r="D36497">
        <v>5</v>
      </c>
      <c r="E36497">
        <v>0</v>
      </c>
      <c r="F36497">
        <v>305</v>
      </c>
    </row>
    <row r="36498" spans="1:6" ht="12.75">
      <c r="A36498" s="2">
        <v>43875.235127314816</v>
      </c>
      <c r="B36498" t="str">
        <f>HYPERLINK("https://twitter.com/Dee06644722","@Dee06644722")</f>
        <v>@Dee06644722</v>
      </c>
      <c r="C36498" t="s">
        <v>15080</v>
      </c>
      <c r="D36498">
        <v>0</v>
      </c>
      <c r="E36498">
        <v>0</v>
      </c>
      <c r="F36498">
        <v>231</v>
      </c>
    </row>
    <row r="36499" spans="1:6" ht="12.75">
      <c r="A36499" s="2">
        <v>43875.234965277778</v>
      </c>
      <c r="B36499" t="str">
        <f>HYPERLINK("https://twitter.com/Noelstar4","@Noelstar4")</f>
        <v>@Noelstar4</v>
      </c>
      <c r="C36499" t="s">
        <v>15081</v>
      </c>
      <c r="D36499">
        <v>0</v>
      </c>
      <c r="E36499">
        <v>0</v>
      </c>
      <c r="F36499">
        <v>22</v>
      </c>
    </row>
    <row r="36500" spans="1:6" ht="12.75">
      <c r="A36500" s="2">
        <v>43875.234837962962</v>
      </c>
      <c r="B36500" t="str">
        <f>HYPERLINK("https://twitter.com/Widodo2017","@Widodo2017")</f>
        <v>@Widodo2017</v>
      </c>
      <c r="C36500" t="s">
        <v>10542</v>
      </c>
      <c r="D36500">
        <v>120</v>
      </c>
      <c r="E36500">
        <v>0</v>
      </c>
      <c r="F36500">
        <v>1261</v>
      </c>
    </row>
    <row r="36501" spans="1:6" ht="12.75">
      <c r="A36501" s="2">
        <v>43875.234814814816</v>
      </c>
      <c r="B36501" t="str">
        <f>HYPERLINK("https://twitter.com/seputar_ungaran","@seputar_ungaran")</f>
        <v>@seputar_ungaran</v>
      </c>
      <c r="C36501" t="s">
        <v>15082</v>
      </c>
      <c r="D36501">
        <v>1</v>
      </c>
      <c r="E36501">
        <v>0</v>
      </c>
      <c r="F36501">
        <v>74</v>
      </c>
    </row>
    <row r="36502" spans="1:6" ht="12.75">
      <c r="A36502" s="2">
        <v>43875.23474537037</v>
      </c>
      <c r="B36502" t="str">
        <f>HYPERLINK("https://twitter.com/jojogkid","@jojogkid")</f>
        <v>@jojogkid</v>
      </c>
      <c r="C36502" t="s">
        <v>15083</v>
      </c>
      <c r="D36502">
        <v>29</v>
      </c>
      <c r="E36502">
        <v>0</v>
      </c>
      <c r="F36502">
        <v>2</v>
      </c>
    </row>
    <row r="36503" spans="1:6" ht="12.75">
      <c r="A36503" s="2">
        <v>43875.234710648147</v>
      </c>
      <c r="B36503" t="str">
        <f>HYPERLINK("https://twitter.com/gomodachi","@gomodachi")</f>
        <v>@gomodachi</v>
      </c>
      <c r="C36503" t="s">
        <v>10440</v>
      </c>
      <c r="D36503">
        <v>329</v>
      </c>
      <c r="E36503">
        <v>0</v>
      </c>
      <c r="F36503">
        <v>50</v>
      </c>
    </row>
    <row r="36504" spans="1:6" ht="12.75">
      <c r="A36504" s="2">
        <v>43875.234618055554</v>
      </c>
      <c r="B36504" t="str">
        <f>HYPERLINK("https://twitter.com/aldorandybarus","@aldorandybarus")</f>
        <v>@aldorandybarus</v>
      </c>
      <c r="C36504" t="s">
        <v>2963</v>
      </c>
      <c r="D36504">
        <v>207</v>
      </c>
      <c r="E36504">
        <v>0</v>
      </c>
      <c r="F36504">
        <v>514</v>
      </c>
    </row>
    <row r="36505" spans="1:6" ht="12.75">
      <c r="A36505" s="2">
        <v>43875.234490740739</v>
      </c>
      <c r="B36505" t="str">
        <f>HYPERLINK("https://twitter.com/naily_2908","@naily_2908")</f>
        <v>@naily_2908</v>
      </c>
      <c r="C36505" t="s">
        <v>15084</v>
      </c>
      <c r="D36505">
        <v>0</v>
      </c>
      <c r="E36505">
        <v>0</v>
      </c>
      <c r="F36505">
        <v>44</v>
      </c>
    </row>
    <row r="36506" spans="1:6" ht="12.75">
      <c r="A36506" s="2">
        <v>43875.234409722223</v>
      </c>
      <c r="B36506" t="str">
        <f>HYPERLINK("https://twitter.com/PradiptaArya4","@PradiptaArya4")</f>
        <v>@PradiptaArya4</v>
      </c>
      <c r="C36506" t="s">
        <v>11322</v>
      </c>
      <c r="D36506">
        <v>55</v>
      </c>
      <c r="E36506">
        <v>0</v>
      </c>
      <c r="F36506">
        <v>2517</v>
      </c>
    </row>
    <row r="36507" spans="1:6" ht="12.75">
      <c r="A36507" s="2">
        <v>43875.23438657407</v>
      </c>
      <c r="B36507" t="str">
        <f>HYPERLINK("https://twitter.com/Suharto_BC","@Suharto_BC")</f>
        <v>@Suharto_BC</v>
      </c>
      <c r="C36507" t="s">
        <v>15085</v>
      </c>
      <c r="D36507">
        <v>0</v>
      </c>
      <c r="E36507">
        <v>0</v>
      </c>
      <c r="F36507">
        <v>689</v>
      </c>
    </row>
    <row r="36508" spans="1:6" ht="12.75">
      <c r="A36508" s="2">
        <v>43875.23436342593</v>
      </c>
      <c r="B36508" t="str">
        <f>HYPERLINK("https://twitter.com/aidanurra","@aidanurra")</f>
        <v>@aidanurra</v>
      </c>
      <c r="C36508" t="s">
        <v>5168</v>
      </c>
      <c r="D36508">
        <v>327</v>
      </c>
      <c r="E36508">
        <v>0</v>
      </c>
      <c r="F36508">
        <v>169</v>
      </c>
    </row>
    <row r="36509" spans="1:6" ht="12.75">
      <c r="A36509" s="2">
        <v>43875.234224537038</v>
      </c>
      <c r="B36509" t="str">
        <f>HYPERLINK("https://twitter.com/Widodo2017","@Widodo2017")</f>
        <v>@Widodo2017</v>
      </c>
      <c r="C36509" t="s">
        <v>10266</v>
      </c>
      <c r="D36509">
        <v>243</v>
      </c>
      <c r="E36509">
        <v>0</v>
      </c>
      <c r="F36509">
        <v>1261</v>
      </c>
    </row>
    <row r="36510" spans="1:6" ht="12.75">
      <c r="A36510" s="2">
        <v>43875.234155092592</v>
      </c>
      <c r="B36510" t="str">
        <f>HYPERLINK("https://twitter.com/RinjaniJB","@RinjaniJB")</f>
        <v>@RinjaniJB</v>
      </c>
      <c r="C36510" t="s">
        <v>15086</v>
      </c>
      <c r="D36510">
        <v>1</v>
      </c>
      <c r="E36510">
        <v>0</v>
      </c>
      <c r="F36510">
        <v>19163</v>
      </c>
    </row>
    <row r="36511" spans="1:6" ht="12.75">
      <c r="A36511" s="2">
        <v>43875.2340625</v>
      </c>
      <c r="B36511" t="str">
        <f>HYPERLINK("https://twitter.com/Agungfi61174858","@Agungfi61174858")</f>
        <v>@Agungfi61174858</v>
      </c>
      <c r="C36511" t="s">
        <v>9377</v>
      </c>
      <c r="D36511">
        <v>5</v>
      </c>
      <c r="E36511">
        <v>0</v>
      </c>
      <c r="F36511">
        <v>8</v>
      </c>
    </row>
    <row r="36512" spans="1:6" ht="12.75">
      <c r="A36512" s="2">
        <v>43875.234039351853</v>
      </c>
      <c r="B36512" t="str">
        <f>HYPERLINK("https://twitter.com/PforPaulina","@PforPaulina")</f>
        <v>@PforPaulina</v>
      </c>
      <c r="C36512" t="s">
        <v>5168</v>
      </c>
      <c r="D36512">
        <v>327</v>
      </c>
      <c r="E36512">
        <v>0</v>
      </c>
      <c r="F36512">
        <v>109</v>
      </c>
    </row>
    <row r="36513" spans="1:6" ht="12.75">
      <c r="A36513" s="2">
        <v>43875.233935185184</v>
      </c>
      <c r="B36513" t="str">
        <f>HYPERLINK("https://twitter.com/the_schloss","@the_schloss")</f>
        <v>@the_schloss</v>
      </c>
      <c r="C36513" t="s">
        <v>15087</v>
      </c>
      <c r="D36513">
        <v>0</v>
      </c>
      <c r="E36513">
        <v>1</v>
      </c>
      <c r="F36513">
        <v>450</v>
      </c>
    </row>
    <row r="36514" spans="1:6" ht="12.75">
      <c r="A36514" s="2">
        <v>43875.233912037038</v>
      </c>
      <c r="B36514" t="str">
        <f>HYPERLINK("https://twitter.com/Kireinakrnd","@Kireinakrnd")</f>
        <v>@Kireinakrnd</v>
      </c>
      <c r="C36514" t="s">
        <v>30</v>
      </c>
      <c r="D36514">
        <v>0</v>
      </c>
      <c r="E36514">
        <v>0</v>
      </c>
      <c r="F36514">
        <v>883</v>
      </c>
    </row>
    <row r="36515" spans="1:6" ht="12.75">
      <c r="A36515" s="2">
        <v>43875.233877314815</v>
      </c>
      <c r="B36515" t="str">
        <f>HYPERLINK("https://twitter.com/tempemendoanGL","@tempemendoanGL")</f>
        <v>@tempemendoanGL</v>
      </c>
      <c r="C36515" t="s">
        <v>31</v>
      </c>
      <c r="D36515">
        <v>3</v>
      </c>
      <c r="E36515">
        <v>15</v>
      </c>
      <c r="F36515">
        <v>19754</v>
      </c>
    </row>
    <row r="36516" spans="1:6" ht="12.75">
      <c r="A36516" s="2">
        <v>43875.233819444446</v>
      </c>
      <c r="B36516" t="str">
        <f>HYPERLINK("https://twitter.com/Theworo1","@Theworo1")</f>
        <v>@Theworo1</v>
      </c>
      <c r="C36516" t="s">
        <v>12834</v>
      </c>
      <c r="D36516">
        <v>410</v>
      </c>
      <c r="E36516">
        <v>0</v>
      </c>
      <c r="F36516">
        <v>699</v>
      </c>
    </row>
    <row r="36517" spans="1:6" ht="12.75">
      <c r="A36517" s="2">
        <v>43875.233761574069</v>
      </c>
      <c r="B36517" t="str">
        <f>HYPERLINK("https://twitter.com/kuaajajaalajuja","@kuaajajaalajuja")</f>
        <v>@kuaajajaalajuja</v>
      </c>
      <c r="C36517" t="s">
        <v>8252</v>
      </c>
      <c r="D36517">
        <v>469</v>
      </c>
      <c r="E36517">
        <v>0</v>
      </c>
      <c r="F36517">
        <v>254</v>
      </c>
    </row>
    <row r="36518" spans="1:6" ht="12.75">
      <c r="A36518" s="2">
        <v>43875.233703703707</v>
      </c>
      <c r="B36518" t="str">
        <f>HYPERLINK("https://twitter.com/dusrimulya","@dusrimulya")</f>
        <v>@dusrimulya</v>
      </c>
      <c r="C36518" t="s">
        <v>15088</v>
      </c>
      <c r="D36518">
        <v>31</v>
      </c>
      <c r="E36518">
        <v>35</v>
      </c>
      <c r="F36518">
        <v>22282</v>
      </c>
    </row>
    <row r="36519" spans="1:6" ht="12.75">
      <c r="A36519" s="2">
        <v>43875.233622685184</v>
      </c>
      <c r="B36519" t="str">
        <f t="shared" ref="B36519:B36522" si="408">HYPERLINK("https://twitter.com/izharchaniago","@izharchaniago")</f>
        <v>@izharchaniago</v>
      </c>
      <c r="C36519" t="s">
        <v>15089</v>
      </c>
      <c r="D36519">
        <v>1</v>
      </c>
      <c r="E36519">
        <v>0</v>
      </c>
      <c r="F36519">
        <v>1454</v>
      </c>
    </row>
    <row r="36520" spans="1:6" ht="12.75">
      <c r="A36520" s="2">
        <v>43875.233622685184</v>
      </c>
      <c r="B36520" t="str">
        <f t="shared" si="408"/>
        <v>@izharchaniago</v>
      </c>
      <c r="C36520" t="s">
        <v>15090</v>
      </c>
      <c r="D36520">
        <v>1</v>
      </c>
      <c r="E36520">
        <v>0</v>
      </c>
      <c r="F36520">
        <v>1454</v>
      </c>
    </row>
    <row r="36521" spans="1:6" ht="12.75">
      <c r="A36521" s="2">
        <v>43875.233622685184</v>
      </c>
      <c r="B36521" t="str">
        <f t="shared" si="408"/>
        <v>@izharchaniago</v>
      </c>
      <c r="C36521" t="s">
        <v>15091</v>
      </c>
      <c r="D36521">
        <v>3</v>
      </c>
      <c r="E36521">
        <v>0</v>
      </c>
      <c r="F36521">
        <v>1454</v>
      </c>
    </row>
    <row r="36522" spans="1:6" ht="12.75">
      <c r="A36522" s="2">
        <v>43875.233622685184</v>
      </c>
      <c r="B36522" t="str">
        <f t="shared" si="408"/>
        <v>@izharchaniago</v>
      </c>
      <c r="C36522" t="s">
        <v>15092</v>
      </c>
      <c r="D36522">
        <v>2</v>
      </c>
      <c r="E36522">
        <v>0</v>
      </c>
      <c r="F36522">
        <v>1454</v>
      </c>
    </row>
    <row r="36523" spans="1:6" ht="12.75">
      <c r="A36523" s="2">
        <v>43875.233506944445</v>
      </c>
      <c r="B36523" t="str">
        <f>HYPERLINK("https://twitter.com/amrudinnejad_","@amrudinnejad_")</f>
        <v>@amrudinnejad_</v>
      </c>
      <c r="C36523" t="s">
        <v>12278</v>
      </c>
      <c r="D36523">
        <v>55</v>
      </c>
      <c r="E36523">
        <v>0</v>
      </c>
      <c r="F36523">
        <v>7731</v>
      </c>
    </row>
    <row r="36524" spans="1:6" ht="12.75">
      <c r="A36524" s="2">
        <v>43875.233495370368</v>
      </c>
      <c r="B36524" t="str">
        <f>HYPERLINK("https://twitter.com/gupolskuy","@gupolskuy")</f>
        <v>@gupolskuy</v>
      </c>
      <c r="C36524" t="s">
        <v>2963</v>
      </c>
      <c r="D36524">
        <v>207</v>
      </c>
      <c r="E36524">
        <v>0</v>
      </c>
      <c r="F36524">
        <v>131</v>
      </c>
    </row>
    <row r="36525" spans="1:6" ht="12.75">
      <c r="A36525" s="2">
        <v>43875.233495370368</v>
      </c>
      <c r="B36525" t="str">
        <f>HYPERLINK("https://twitter.com/n1ckeff","@n1ckeff")</f>
        <v>@n1ckeff</v>
      </c>
      <c r="C36525" t="s">
        <v>2963</v>
      </c>
      <c r="D36525">
        <v>207</v>
      </c>
      <c r="E36525">
        <v>0</v>
      </c>
      <c r="F36525">
        <v>2948</v>
      </c>
    </row>
    <row r="36526" spans="1:6" ht="12.75">
      <c r="A36526" s="2">
        <v>43875.23332175926</v>
      </c>
      <c r="B36526" t="str">
        <f>HYPERLINK("https://twitter.com/tebumutiara72","@tebumutiara72")</f>
        <v>@tebumutiara72</v>
      </c>
      <c r="C36526" t="s">
        <v>10330</v>
      </c>
      <c r="D36526">
        <v>184</v>
      </c>
      <c r="E36526">
        <v>0</v>
      </c>
      <c r="F36526">
        <v>842</v>
      </c>
    </row>
    <row r="36527" spans="1:6" ht="12.75">
      <c r="A36527" s="2">
        <v>43875.233240740738</v>
      </c>
      <c r="B36527" t="str">
        <f>HYPERLINK("https://twitter.com/herfan0","@herfan0")</f>
        <v>@herfan0</v>
      </c>
      <c r="C36527" t="s">
        <v>11167</v>
      </c>
      <c r="D36527">
        <v>150</v>
      </c>
      <c r="E36527">
        <v>0</v>
      </c>
      <c r="F36527">
        <v>1062</v>
      </c>
    </row>
    <row r="36528" spans="1:6" ht="12.75">
      <c r="A36528" s="2">
        <v>43875.233090277776</v>
      </c>
      <c r="B36528" t="str">
        <f>HYPERLINK("https://twitter.com/FerryWachjudi","@FerryWachjudi")</f>
        <v>@FerryWachjudi</v>
      </c>
      <c r="C36528" t="s">
        <v>10407</v>
      </c>
      <c r="D36528">
        <v>22</v>
      </c>
      <c r="E36528">
        <v>0</v>
      </c>
      <c r="F36528">
        <v>363</v>
      </c>
    </row>
    <row r="36529" spans="1:6" ht="12.75">
      <c r="A36529" s="2">
        <v>43875.232638888891</v>
      </c>
      <c r="B36529" t="str">
        <f>HYPERLINK("https://twitter.com/MariawanDede","@MariawanDede")</f>
        <v>@MariawanDede</v>
      </c>
      <c r="C36529" t="s">
        <v>2963</v>
      </c>
      <c r="D36529">
        <v>207</v>
      </c>
      <c r="E36529">
        <v>0</v>
      </c>
      <c r="F36529">
        <v>1855</v>
      </c>
    </row>
    <row r="36530" spans="1:6" ht="12.75">
      <c r="A36530" s="2">
        <v>43875.232465277775</v>
      </c>
      <c r="B36530" t="str">
        <f>HYPERLINK("https://twitter.com/dusrimulya","@dusrimulya")</f>
        <v>@dusrimulya</v>
      </c>
      <c r="C36530" t="s">
        <v>15093</v>
      </c>
      <c r="D36530">
        <v>17</v>
      </c>
      <c r="E36530">
        <v>54</v>
      </c>
      <c r="F36530">
        <v>22282</v>
      </c>
    </row>
    <row r="36531" spans="1:6" ht="12.75">
      <c r="A36531" s="2">
        <v>43875.232418981483</v>
      </c>
      <c r="B36531" t="str">
        <f>HYPERLINK("https://twitter.com/edi_muchlis","@edi_muchlis")</f>
        <v>@edi_muchlis</v>
      </c>
      <c r="C36531" t="s">
        <v>15094</v>
      </c>
      <c r="D36531">
        <v>0</v>
      </c>
      <c r="E36531">
        <v>1</v>
      </c>
      <c r="F36531">
        <v>754</v>
      </c>
    </row>
    <row r="36532" spans="1:6" ht="12.75">
      <c r="A36532" s="2">
        <v>43875.232199074075</v>
      </c>
      <c r="B36532" t="str">
        <f>HYPERLINK("https://twitter.com/djatiwulank","@djatiwulank")</f>
        <v>@djatiwulank</v>
      </c>
      <c r="C36532" t="s">
        <v>2963</v>
      </c>
      <c r="D36532">
        <v>207</v>
      </c>
      <c r="E36532">
        <v>0</v>
      </c>
      <c r="F36532">
        <v>368</v>
      </c>
    </row>
    <row r="36533" spans="1:6" ht="12.75">
      <c r="A36533" s="2">
        <v>43875.232187500005</v>
      </c>
      <c r="B36533" t="str">
        <f>HYPERLINK("https://twitter.com/dianto_rusdian","@dianto_rusdian")</f>
        <v>@dianto_rusdian</v>
      </c>
      <c r="C36533" t="s">
        <v>2963</v>
      </c>
      <c r="D36533">
        <v>207</v>
      </c>
      <c r="E36533">
        <v>0</v>
      </c>
      <c r="F36533">
        <v>119</v>
      </c>
    </row>
    <row r="36534" spans="1:6" ht="12.75">
      <c r="A36534" s="2">
        <v>43875.23201388889</v>
      </c>
      <c r="B36534" t="str">
        <f>HYPERLINK("https://twitter.com/arga_wisastra","@arga_wisastra")</f>
        <v>@arga_wisastra</v>
      </c>
      <c r="C36534" t="s">
        <v>10407</v>
      </c>
      <c r="D36534">
        <v>22</v>
      </c>
      <c r="E36534">
        <v>0</v>
      </c>
      <c r="F36534">
        <v>671</v>
      </c>
    </row>
    <row r="36535" spans="1:6" ht="12.75">
      <c r="A36535" s="2">
        <v>43875.231851851851</v>
      </c>
      <c r="B36535" t="str">
        <f>HYPERLINK("https://twitter.com/IC5LU","@IC5LU")</f>
        <v>@IC5LU</v>
      </c>
      <c r="C36535" t="s">
        <v>9732</v>
      </c>
      <c r="D36535">
        <v>49</v>
      </c>
      <c r="E36535">
        <v>0</v>
      </c>
      <c r="F36535">
        <v>2550</v>
      </c>
    </row>
    <row r="36536" spans="1:6" ht="12.75">
      <c r="A36536" s="2">
        <v>43875.231458333335</v>
      </c>
      <c r="B36536" t="str">
        <f>HYPERLINK("https://twitter.com/SyaefullahHamid","@SyaefullahHamid")</f>
        <v>@SyaefullahHamid</v>
      </c>
      <c r="C36536" t="s">
        <v>15095</v>
      </c>
      <c r="D36536">
        <v>0</v>
      </c>
      <c r="E36536">
        <v>0</v>
      </c>
      <c r="F36536">
        <v>942</v>
      </c>
    </row>
    <row r="36537" spans="1:6" ht="12.75">
      <c r="A36537" s="2">
        <v>43875.231145833328</v>
      </c>
      <c r="B36537" t="str">
        <f>HYPERLINK("https://twitter.com/okezonenews","@okezonenews")</f>
        <v>@okezonenews</v>
      </c>
      <c r="C36537" t="s">
        <v>32</v>
      </c>
      <c r="D36537">
        <v>1</v>
      </c>
      <c r="E36537">
        <v>2</v>
      </c>
      <c r="F36537">
        <v>1743741</v>
      </c>
    </row>
    <row r="36538" spans="1:6" ht="12.75">
      <c r="A36538" s="2">
        <v>43875.231122685189</v>
      </c>
      <c r="B36538" t="str">
        <f>HYPERLINK("https://twitter.com/crazyzack13","@crazyzack13")</f>
        <v>@crazyzack13</v>
      </c>
      <c r="C36538" t="s">
        <v>11425</v>
      </c>
      <c r="D36538">
        <v>168</v>
      </c>
      <c r="E36538">
        <v>0</v>
      </c>
      <c r="F36538">
        <v>171</v>
      </c>
    </row>
    <row r="36539" spans="1:6" ht="12.75">
      <c r="A36539" s="2">
        <v>43875.230995370366</v>
      </c>
      <c r="B36539" t="str">
        <f>HYPERLINK("https://twitter.com/pinustua","@pinustua")</f>
        <v>@pinustua</v>
      </c>
      <c r="C36539" t="s">
        <v>15096</v>
      </c>
      <c r="D36539">
        <v>0</v>
      </c>
      <c r="E36539">
        <v>0</v>
      </c>
      <c r="F36539">
        <v>19</v>
      </c>
    </row>
    <row r="36540" spans="1:6" ht="12.75">
      <c r="A36540" s="2">
        <v>43875.230983796297</v>
      </c>
      <c r="B36540" t="str">
        <f>HYPERLINK("https://twitter.com/dipa_ahad","@dipa_ahad")</f>
        <v>@dipa_ahad</v>
      </c>
      <c r="C36540" t="s">
        <v>9732</v>
      </c>
      <c r="D36540">
        <v>49</v>
      </c>
      <c r="E36540">
        <v>0</v>
      </c>
      <c r="F36540">
        <v>2708</v>
      </c>
    </row>
    <row r="36541" spans="1:6" ht="12.75">
      <c r="A36541" s="2">
        <v>43875.230694444443</v>
      </c>
      <c r="B36541" t="str">
        <f>HYPERLINK("https://twitter.com/nius77","@nius77")</f>
        <v>@nius77</v>
      </c>
      <c r="C36541" t="s">
        <v>2122</v>
      </c>
      <c r="D36541">
        <v>163</v>
      </c>
      <c r="E36541">
        <v>0</v>
      </c>
      <c r="F36541">
        <v>3179</v>
      </c>
    </row>
    <row r="36542" spans="1:6" ht="12.75">
      <c r="A36542" s="2">
        <v>43875.23055555555</v>
      </c>
      <c r="B36542" t="str">
        <f>HYPERLINK("https://twitter.com/421sman","@421sman")</f>
        <v>@421sman</v>
      </c>
      <c r="C36542" t="s">
        <v>15097</v>
      </c>
      <c r="D36542">
        <v>0</v>
      </c>
      <c r="E36542">
        <v>0</v>
      </c>
      <c r="F36542">
        <v>20</v>
      </c>
    </row>
    <row r="36543" spans="1:6" ht="12.75">
      <c r="A36543" s="2">
        <v>43875.230532407411</v>
      </c>
      <c r="B36543" t="str">
        <f>HYPERLINK("https://twitter.com/JTjandras","@JTjandras")</f>
        <v>@JTjandras</v>
      </c>
      <c r="C36543" t="s">
        <v>15098</v>
      </c>
      <c r="D36543">
        <v>0</v>
      </c>
      <c r="E36543">
        <v>0</v>
      </c>
      <c r="F36543">
        <v>2</v>
      </c>
    </row>
    <row r="36544" spans="1:6" ht="12.75">
      <c r="A36544" s="2">
        <v>43875.230509259258</v>
      </c>
      <c r="B36544" t="str">
        <f>HYPERLINK("https://twitter.com/BillTemporo","@BillTemporo")</f>
        <v>@BillTemporo</v>
      </c>
      <c r="C36544" t="s">
        <v>2092</v>
      </c>
      <c r="D36544">
        <v>0</v>
      </c>
      <c r="E36544">
        <v>0</v>
      </c>
      <c r="F36544">
        <v>11</v>
      </c>
    </row>
    <row r="36545" spans="1:6" ht="12.75">
      <c r="A36545" s="2">
        <v>43875.230509259258</v>
      </c>
      <c r="B36545" t="str">
        <f>HYPERLINK("https://twitter.com/nius77","@nius77")</f>
        <v>@nius77</v>
      </c>
      <c r="C36545" t="s">
        <v>10196</v>
      </c>
      <c r="D36545">
        <v>116</v>
      </c>
      <c r="E36545">
        <v>0</v>
      </c>
      <c r="F36545">
        <v>3179</v>
      </c>
    </row>
    <row r="36546" spans="1:6" ht="12.75">
      <c r="A36546" s="2">
        <v>43875.230324074073</v>
      </c>
      <c r="B36546" t="str">
        <f>HYPERLINK("https://twitter.com/MsyTownsend","@MsyTownsend")</f>
        <v>@MsyTownsend</v>
      </c>
      <c r="C36546" t="s">
        <v>2963</v>
      </c>
      <c r="D36546">
        <v>207</v>
      </c>
      <c r="E36546">
        <v>0</v>
      </c>
      <c r="F36546">
        <v>217</v>
      </c>
    </row>
    <row r="36547" spans="1:6" ht="12.75">
      <c r="A36547" s="2">
        <v>43875.230231481481</v>
      </c>
      <c r="B36547" t="str">
        <f>HYPERLINK("https://twitter.com/toasan","@toasan")</f>
        <v>@toasan</v>
      </c>
      <c r="C36547" t="s">
        <v>15099</v>
      </c>
      <c r="D36547">
        <v>0</v>
      </c>
      <c r="E36547">
        <v>0</v>
      </c>
      <c r="F36547">
        <v>18</v>
      </c>
    </row>
    <row r="36548" spans="1:6" ht="12.75">
      <c r="A36548" s="2">
        <v>43875.230173611111</v>
      </c>
      <c r="B36548" t="str">
        <f>HYPERLINK("https://twitter.com/MYogaPrakarsa","@MYogaPrakarsa")</f>
        <v>@MYogaPrakarsa</v>
      </c>
      <c r="C36548" t="s">
        <v>2963</v>
      </c>
      <c r="D36548">
        <v>207</v>
      </c>
      <c r="E36548">
        <v>0</v>
      </c>
      <c r="F36548">
        <v>203</v>
      </c>
    </row>
    <row r="36549" spans="1:6" ht="12.75">
      <c r="A36549" s="2">
        <v>43875.229999999996</v>
      </c>
      <c r="B36549" t="str">
        <f>HYPERLINK("https://twitter.com/Puspen_TNI","@Puspen_TNI")</f>
        <v>@Puspen_TNI</v>
      </c>
      <c r="C36549" t="s">
        <v>15100</v>
      </c>
      <c r="D36549">
        <v>5</v>
      </c>
      <c r="E36549">
        <v>22</v>
      </c>
      <c r="F36549">
        <v>304474</v>
      </c>
    </row>
    <row r="36550" spans="1:6" ht="12.75">
      <c r="A36550" s="2">
        <v>43875.229872685188</v>
      </c>
      <c r="B36550" t="str">
        <f>HYPERLINK("https://twitter.com/Coffeedential1","@Coffeedential1")</f>
        <v>@Coffeedential1</v>
      </c>
      <c r="C36550" t="s">
        <v>15101</v>
      </c>
      <c r="D36550">
        <v>0</v>
      </c>
      <c r="E36550">
        <v>2</v>
      </c>
      <c r="F36550">
        <v>80</v>
      </c>
    </row>
    <row r="36551" spans="1:6" ht="12.75">
      <c r="A36551" s="2">
        <v>43875.229826388888</v>
      </c>
      <c r="B36551" t="str">
        <f>HYPERLINK("https://twitter.com/terkabulkabul","@terkabulkabul")</f>
        <v>@terkabulkabul</v>
      </c>
      <c r="C36551" t="s">
        <v>5168</v>
      </c>
      <c r="D36551">
        <v>327</v>
      </c>
      <c r="E36551">
        <v>0</v>
      </c>
      <c r="F36551">
        <v>443</v>
      </c>
    </row>
    <row r="36552" spans="1:6" ht="12.75">
      <c r="A36552" s="2">
        <v>43875.229733796295</v>
      </c>
      <c r="B36552" t="str">
        <f>HYPERLINK("https://twitter.com/saefudin_zuhrii","@saefudin_zuhrii")</f>
        <v>@saefudin_zuhrii</v>
      </c>
      <c r="C36552" t="s">
        <v>15102</v>
      </c>
      <c r="D36552">
        <v>0</v>
      </c>
      <c r="E36552">
        <v>1</v>
      </c>
      <c r="F36552">
        <v>193</v>
      </c>
    </row>
    <row r="36553" spans="1:6" ht="12.75">
      <c r="A36553" s="2">
        <v>43875.22956018518</v>
      </c>
      <c r="B36553" t="str">
        <f>HYPERLINK("https://twitter.com/SmirnoffCpt","@SmirnoffCpt")</f>
        <v>@SmirnoffCpt</v>
      </c>
      <c r="C36553" t="s">
        <v>2963</v>
      </c>
      <c r="D36553">
        <v>207</v>
      </c>
      <c r="E36553">
        <v>0</v>
      </c>
      <c r="F36553">
        <v>246</v>
      </c>
    </row>
    <row r="36554" spans="1:6" ht="12.75">
      <c r="A36554" s="2">
        <v>43875.229525462964</v>
      </c>
      <c r="B36554" t="str">
        <f>HYPERLINK("https://twitter.com/bang_akbar84","@bang_akbar84")</f>
        <v>@bang_akbar84</v>
      </c>
      <c r="C36554" t="s">
        <v>10196</v>
      </c>
      <c r="D36554">
        <v>116</v>
      </c>
      <c r="E36554">
        <v>0</v>
      </c>
      <c r="F36554">
        <v>433</v>
      </c>
    </row>
    <row r="36555" spans="1:6" ht="12.75">
      <c r="A36555" s="2">
        <v>43875.229513888888</v>
      </c>
      <c r="B36555" t="str">
        <f>HYPERLINK("https://twitter.com/MariawanDede","@MariawanDede")</f>
        <v>@MariawanDede</v>
      </c>
      <c r="C36555" t="s">
        <v>33</v>
      </c>
      <c r="D36555">
        <v>1</v>
      </c>
      <c r="E36555">
        <v>1</v>
      </c>
      <c r="F36555">
        <v>1855</v>
      </c>
    </row>
    <row r="36556" spans="1:6" ht="12.75">
      <c r="A36556" s="2">
        <v>43875.229479166665</v>
      </c>
      <c r="B36556" t="str">
        <f>HYPERLINK("https://twitter.com/DadBorneo","@DadBorneo")</f>
        <v>@DadBorneo</v>
      </c>
      <c r="C36556" t="s">
        <v>15103</v>
      </c>
      <c r="D36556">
        <v>45</v>
      </c>
      <c r="E36556">
        <v>0</v>
      </c>
      <c r="F36556">
        <v>762</v>
      </c>
    </row>
    <row r="36557" spans="1:6" ht="12.75">
      <c r="A36557" s="2">
        <v>43875.229398148149</v>
      </c>
      <c r="B36557" t="str">
        <f>HYPERLINK("https://twitter.com/saefudin_zuhrii","@saefudin_zuhrii")</f>
        <v>@saefudin_zuhrii</v>
      </c>
      <c r="C36557" t="s">
        <v>15104</v>
      </c>
      <c r="D36557">
        <v>0</v>
      </c>
      <c r="E36557">
        <v>0</v>
      </c>
      <c r="F36557">
        <v>193</v>
      </c>
    </row>
    <row r="36558" spans="1:6" ht="12.75">
      <c r="A36558" s="2">
        <v>43875.229386574079</v>
      </c>
      <c r="B36558" t="str">
        <f>HYPERLINK("https://twitter.com/ANDRE_OCTA_","@ANDRE_OCTA_")</f>
        <v>@ANDRE_OCTA_</v>
      </c>
      <c r="C36558" t="s">
        <v>34</v>
      </c>
      <c r="D36558">
        <v>1</v>
      </c>
      <c r="E36558">
        <v>1</v>
      </c>
      <c r="F36558">
        <v>16023</v>
      </c>
    </row>
    <row r="36559" spans="1:6" ht="12.75">
      <c r="A36559" s="2">
        <v>43875.229328703703</v>
      </c>
      <c r="B36559" t="str">
        <f>HYPERLINK("https://twitter.com/WPHalim","@WPHalim")</f>
        <v>@WPHalim</v>
      </c>
      <c r="C36559" t="s">
        <v>11425</v>
      </c>
      <c r="D36559">
        <v>168</v>
      </c>
      <c r="E36559">
        <v>0</v>
      </c>
      <c r="F36559">
        <v>284</v>
      </c>
    </row>
    <row r="36560" spans="1:6" ht="12.75">
      <c r="A36560" s="2">
        <v>43875.229224537034</v>
      </c>
      <c r="B36560" t="str">
        <f>HYPERLINK("https://twitter.com/LaurensioAbram","@LaurensioAbram")</f>
        <v>@LaurensioAbram</v>
      </c>
      <c r="C36560" t="s">
        <v>7373</v>
      </c>
      <c r="D36560">
        <v>58</v>
      </c>
      <c r="E36560">
        <v>0</v>
      </c>
      <c r="F36560">
        <v>229</v>
      </c>
    </row>
    <row r="36561" spans="1:6" ht="12.75">
      <c r="A36561" s="2">
        <v>43875.229212962964</v>
      </c>
      <c r="B36561" t="str">
        <f>HYPERLINK("https://twitter.com/titik_nurahmad","@titik_nurahmad")</f>
        <v>@titik_nurahmad</v>
      </c>
      <c r="C36561" t="s">
        <v>2963</v>
      </c>
      <c r="D36561">
        <v>207</v>
      </c>
      <c r="E36561">
        <v>0</v>
      </c>
      <c r="F36561">
        <v>154</v>
      </c>
    </row>
    <row r="36562" spans="1:6" ht="12.75">
      <c r="A36562" s="2">
        <v>43875.229062500002</v>
      </c>
      <c r="B36562" t="str">
        <f>HYPERLINK("https://twitter.com/AEkopurnomo","@AEkopurnomo")</f>
        <v>@AEkopurnomo</v>
      </c>
      <c r="C36562" t="s">
        <v>10542</v>
      </c>
      <c r="D36562">
        <v>120</v>
      </c>
      <c r="E36562">
        <v>0</v>
      </c>
      <c r="F36562">
        <v>153</v>
      </c>
    </row>
    <row r="36563" spans="1:6" ht="12.75">
      <c r="A36563" s="2">
        <v>43875.228993055556</v>
      </c>
      <c r="B36563" t="str">
        <f>HYPERLINK("https://twitter.com/BTKomar","@BTKomar")</f>
        <v>@BTKomar</v>
      </c>
      <c r="C36563" t="s">
        <v>5168</v>
      </c>
      <c r="D36563">
        <v>327</v>
      </c>
      <c r="E36563">
        <v>0</v>
      </c>
      <c r="F36563">
        <v>1015</v>
      </c>
    </row>
    <row r="36564" spans="1:6" ht="12.75">
      <c r="A36564" s="2">
        <v>43875.228935185187</v>
      </c>
      <c r="B36564" t="str">
        <f>HYPERLINK("https://twitter.com/brother_morrow","@brother_morrow")</f>
        <v>@brother_morrow</v>
      </c>
      <c r="C36564" t="s">
        <v>10706</v>
      </c>
      <c r="D36564">
        <v>204</v>
      </c>
      <c r="E36564">
        <v>0</v>
      </c>
      <c r="F36564">
        <v>368</v>
      </c>
    </row>
    <row r="36565" spans="1:6" ht="12.75">
      <c r="A36565" s="2">
        <v>43875.228865740741</v>
      </c>
      <c r="B36565" t="str">
        <f>HYPERLINK("https://twitter.com/EmaNurvina","@EmaNurvina")</f>
        <v>@EmaNurvina</v>
      </c>
      <c r="C36565" t="s">
        <v>15105</v>
      </c>
      <c r="D36565">
        <v>0</v>
      </c>
      <c r="E36565">
        <v>0</v>
      </c>
      <c r="F36565">
        <v>187</v>
      </c>
    </row>
    <row r="36566" spans="1:6" ht="12.75">
      <c r="A36566" s="2">
        <v>43875.228865740741</v>
      </c>
      <c r="B36566" t="str">
        <f>HYPERLINK("https://twitter.com/AminSiregar75","@AminSiregar75")</f>
        <v>@AminSiregar75</v>
      </c>
      <c r="C36566" t="s">
        <v>13245</v>
      </c>
      <c r="D36566">
        <v>11</v>
      </c>
      <c r="E36566">
        <v>0</v>
      </c>
      <c r="F36566">
        <v>2520</v>
      </c>
    </row>
    <row r="36567" spans="1:6" ht="12.75">
      <c r="A36567" s="2">
        <v>43875.228819444441</v>
      </c>
      <c r="B36567" t="str">
        <f>HYPERLINK("https://twitter.com/BoChu67149189","@BoChu67149189")</f>
        <v>@BoChu67149189</v>
      </c>
      <c r="C36567" t="s">
        <v>15106</v>
      </c>
      <c r="D36567">
        <v>0</v>
      </c>
      <c r="E36567">
        <v>0</v>
      </c>
      <c r="F36567">
        <v>24</v>
      </c>
    </row>
    <row r="36568" spans="1:6" ht="12.75">
      <c r="A36568" s="2">
        <v>43875.228599537033</v>
      </c>
      <c r="B36568" t="str">
        <f>HYPERLINK("https://twitter.com/Bubut871","@Bubut871")</f>
        <v>@Bubut871</v>
      </c>
      <c r="C36568" t="s">
        <v>15107</v>
      </c>
      <c r="D36568">
        <v>4</v>
      </c>
      <c r="E36568">
        <v>0</v>
      </c>
      <c r="F36568">
        <v>1615</v>
      </c>
    </row>
    <row r="36569" spans="1:6" ht="12.75">
      <c r="A36569" s="2">
        <v>43875.228587962964</v>
      </c>
      <c r="B36569" t="str">
        <f>HYPERLINK("https://twitter.com/tirta_helena","@tirta_helena")</f>
        <v>@tirta_helena</v>
      </c>
      <c r="C36569" t="s">
        <v>14228</v>
      </c>
      <c r="D36569">
        <v>14</v>
      </c>
      <c r="E36569">
        <v>0</v>
      </c>
      <c r="F36569">
        <v>563</v>
      </c>
    </row>
    <row r="36570" spans="1:6" ht="12.75">
      <c r="A36570" s="2">
        <v>43875.228506944448</v>
      </c>
      <c r="B36570" t="str">
        <f>HYPERLINK("https://twitter.com/RandySfauzi","@RandySfauzi")</f>
        <v>@RandySfauzi</v>
      </c>
      <c r="C36570" t="s">
        <v>2963</v>
      </c>
      <c r="D36570">
        <v>207</v>
      </c>
      <c r="E36570">
        <v>0</v>
      </c>
      <c r="F36570">
        <v>74</v>
      </c>
    </row>
    <row r="36571" spans="1:6" ht="12.75">
      <c r="A36571" s="2">
        <v>43875.228483796294</v>
      </c>
      <c r="B36571" t="str">
        <f>HYPERLINK("https://twitter.com/sonnaga","@sonnaga")</f>
        <v>@sonnaga</v>
      </c>
      <c r="C36571" t="s">
        <v>10266</v>
      </c>
      <c r="D36571">
        <v>243</v>
      </c>
      <c r="E36571">
        <v>0</v>
      </c>
      <c r="F36571">
        <v>262</v>
      </c>
    </row>
    <row r="36572" spans="1:6" ht="12.75">
      <c r="A36572" s="2">
        <v>43875.228402777779</v>
      </c>
      <c r="B36572" t="str">
        <f>HYPERLINK("https://twitter.com/bernadgh","@bernadgh")</f>
        <v>@bernadgh</v>
      </c>
      <c r="C36572" t="s">
        <v>8470</v>
      </c>
      <c r="D36572">
        <v>127</v>
      </c>
      <c r="E36572">
        <v>0</v>
      </c>
      <c r="F36572">
        <v>1505</v>
      </c>
    </row>
    <row r="36573" spans="1:6" ht="12.75">
      <c r="A36573" s="2">
        <v>43875.22824074074</v>
      </c>
      <c r="B36573" t="str">
        <f>HYPERLINK("https://twitter.com/ayluka","@ayluka")</f>
        <v>@ayluka</v>
      </c>
      <c r="C36573" t="s">
        <v>10196</v>
      </c>
      <c r="D36573">
        <v>116</v>
      </c>
      <c r="E36573">
        <v>0</v>
      </c>
      <c r="F36573">
        <v>1713</v>
      </c>
    </row>
    <row r="36574" spans="1:6" ht="12.75">
      <c r="A36574" s="2">
        <v>43875.227847222224</v>
      </c>
      <c r="B36574" t="str">
        <f>HYPERLINK("https://twitter.com/Kertadimedja81","@Kertadimedja81")</f>
        <v>@Kertadimedja81</v>
      </c>
      <c r="C36574" t="s">
        <v>15108</v>
      </c>
      <c r="D36574">
        <v>1</v>
      </c>
      <c r="E36574">
        <v>0</v>
      </c>
      <c r="F36574">
        <v>50</v>
      </c>
    </row>
    <row r="36575" spans="1:6" ht="12.75">
      <c r="A36575" s="2">
        <v>43875.227708333332</v>
      </c>
      <c r="B36575" t="str">
        <f>HYPERLINK("https://twitter.com/billyzulqiyami","@billyzulqiyami")</f>
        <v>@billyzulqiyami</v>
      </c>
      <c r="C36575" t="s">
        <v>2963</v>
      </c>
      <c r="D36575">
        <v>207</v>
      </c>
      <c r="E36575">
        <v>0</v>
      </c>
      <c r="F36575">
        <v>16</v>
      </c>
    </row>
    <row r="36576" spans="1:6" ht="12.75">
      <c r="A36576" s="2">
        <v>43875.227696759262</v>
      </c>
      <c r="B36576" t="str">
        <f>HYPERLINK("https://twitter.com/SaputraBerman","@SaputraBerman")</f>
        <v>@SaputraBerman</v>
      </c>
      <c r="C36576" t="s">
        <v>13985</v>
      </c>
      <c r="D36576">
        <v>9</v>
      </c>
      <c r="E36576">
        <v>0</v>
      </c>
      <c r="F36576">
        <v>5</v>
      </c>
    </row>
    <row r="36577" spans="1:6" ht="12.75">
      <c r="A36577" s="2">
        <v>43875.227476851855</v>
      </c>
      <c r="B36577" t="str">
        <f>HYPERLINK("https://twitter.com/Erwin20665910","@Erwin20665910")</f>
        <v>@Erwin20665910</v>
      </c>
      <c r="C36577" t="s">
        <v>15109</v>
      </c>
      <c r="D36577">
        <v>0</v>
      </c>
      <c r="E36577">
        <v>0</v>
      </c>
      <c r="F36577">
        <v>66</v>
      </c>
    </row>
    <row r="36578" spans="1:6" ht="12.75">
      <c r="A36578" s="2">
        <v>43875.227430555555</v>
      </c>
      <c r="B36578" t="str">
        <f>HYPERLINK("https://twitter.com/syamsulhadi_ae","@syamsulhadi_ae")</f>
        <v>@syamsulhadi_ae</v>
      </c>
      <c r="C36578" t="s">
        <v>10167</v>
      </c>
      <c r="D36578">
        <v>19</v>
      </c>
      <c r="E36578">
        <v>0</v>
      </c>
      <c r="F36578">
        <v>235</v>
      </c>
    </row>
    <row r="36579" spans="1:6" ht="12.75">
      <c r="A36579" s="2">
        <v>43875.227384259255</v>
      </c>
      <c r="B36579" t="str">
        <f>HYPERLINK("https://twitter.com/WPHalim","@WPHalim")</f>
        <v>@WPHalim</v>
      </c>
      <c r="C36579" t="s">
        <v>2963</v>
      </c>
      <c r="D36579">
        <v>207</v>
      </c>
      <c r="E36579">
        <v>0</v>
      </c>
      <c r="F36579">
        <v>284</v>
      </c>
    </row>
    <row r="36580" spans="1:6" ht="12.75">
      <c r="A36580" s="2">
        <v>43875.227175925931</v>
      </c>
      <c r="B36580" t="str">
        <f>HYPERLINK("https://twitter.com/aripr_","@aripr_")</f>
        <v>@aripr_</v>
      </c>
      <c r="C36580" t="s">
        <v>15110</v>
      </c>
      <c r="D36580">
        <v>1</v>
      </c>
      <c r="E36580">
        <v>0</v>
      </c>
      <c r="F36580">
        <v>120</v>
      </c>
    </row>
    <row r="36581" spans="1:6" ht="12.75">
      <c r="A36581" s="2">
        <v>43875.226655092592</v>
      </c>
      <c r="B36581" t="str">
        <f>HYPERLINK("https://twitter.com/ririskekeu","@ririskekeu")</f>
        <v>@ririskekeu</v>
      </c>
      <c r="C36581" t="s">
        <v>2963</v>
      </c>
      <c r="D36581">
        <v>207</v>
      </c>
      <c r="E36581">
        <v>0</v>
      </c>
      <c r="F36581">
        <v>651</v>
      </c>
    </row>
    <row r="36582" spans="1:6" ht="12.75">
      <c r="A36582" s="2">
        <v>43875.2265625</v>
      </c>
      <c r="B36582" t="str">
        <f>HYPERLINK("https://twitter.com/sigit_santoso77","@sigit_santoso77")</f>
        <v>@sigit_santoso77</v>
      </c>
      <c r="C36582" t="s">
        <v>2963</v>
      </c>
      <c r="D36582">
        <v>207</v>
      </c>
      <c r="E36582">
        <v>0</v>
      </c>
      <c r="F36582">
        <v>9</v>
      </c>
    </row>
    <row r="36583" spans="1:6" ht="12.75">
      <c r="A36583" s="2">
        <v>43875.226377314815</v>
      </c>
      <c r="B36583" t="str">
        <f>HYPERLINK("https://twitter.com/Boby13Candra","@Boby13Candra")</f>
        <v>@Boby13Candra</v>
      </c>
      <c r="C36583" t="s">
        <v>15111</v>
      </c>
      <c r="D36583">
        <v>0</v>
      </c>
      <c r="E36583">
        <v>0</v>
      </c>
      <c r="F36583">
        <v>551</v>
      </c>
    </row>
    <row r="36584" spans="1:6" ht="12.75">
      <c r="A36584" s="2">
        <v>43875.226134259261</v>
      </c>
      <c r="B36584" t="str">
        <f>HYPERLINK("https://twitter.com/annabzarf","@annabzarf")</f>
        <v>@annabzarf</v>
      </c>
      <c r="C36584" t="s">
        <v>2963</v>
      </c>
      <c r="D36584">
        <v>207</v>
      </c>
      <c r="E36584">
        <v>0</v>
      </c>
      <c r="F36584">
        <v>2</v>
      </c>
    </row>
    <row r="36585" spans="1:6" ht="12.75">
      <c r="A36585" s="2">
        <v>43875.226076388892</v>
      </c>
      <c r="B36585" t="str">
        <f>HYPERLINK("https://twitter.com/andriyhans9","@andriyhans9")</f>
        <v>@andriyhans9</v>
      </c>
      <c r="C36585" t="s">
        <v>2963</v>
      </c>
      <c r="D36585">
        <v>207</v>
      </c>
      <c r="E36585">
        <v>0</v>
      </c>
      <c r="F36585">
        <v>48</v>
      </c>
    </row>
    <row r="36586" spans="1:6" ht="12.75">
      <c r="A36586" s="2">
        <v>43875.226064814815</v>
      </c>
      <c r="B36586" t="str">
        <f>HYPERLINK("https://twitter.com/FRPrayogo","@FRPrayogo")</f>
        <v>@FRPrayogo</v>
      </c>
      <c r="C36586" t="s">
        <v>2963</v>
      </c>
      <c r="D36586">
        <v>207</v>
      </c>
      <c r="E36586">
        <v>0</v>
      </c>
      <c r="F36586">
        <v>145</v>
      </c>
    </row>
    <row r="36587" spans="1:6" ht="12.75">
      <c r="A36587" s="2">
        <v>43875.226018518515</v>
      </c>
      <c r="B36587" t="str">
        <f>HYPERLINK("https://twitter.com/cnn__dy","@cnn__dy")</f>
        <v>@cnn__dy</v>
      </c>
      <c r="C36587" t="s">
        <v>2963</v>
      </c>
      <c r="D36587">
        <v>207</v>
      </c>
      <c r="E36587">
        <v>0</v>
      </c>
      <c r="F36587">
        <v>447</v>
      </c>
    </row>
    <row r="36588" spans="1:6" ht="12.75">
      <c r="A36588" s="2">
        <v>43875.226006944446</v>
      </c>
      <c r="B36588" t="str">
        <f>HYPERLINK("https://twitter.com/Muhammadmufari3","@Muhammadmufari3")</f>
        <v>@Muhammadmufari3</v>
      </c>
      <c r="C36588" t="s">
        <v>2963</v>
      </c>
      <c r="D36588">
        <v>207</v>
      </c>
      <c r="E36588">
        <v>0</v>
      </c>
      <c r="F36588">
        <v>479</v>
      </c>
    </row>
    <row r="36589" spans="1:6" ht="12.75">
      <c r="A36589" s="2">
        <v>43875.226006944446</v>
      </c>
      <c r="B36589" t="str">
        <f>HYPERLINK("https://twitter.com/mrs2508008","@mrs2508008")</f>
        <v>@mrs2508008</v>
      </c>
      <c r="C36589" t="s">
        <v>15112</v>
      </c>
      <c r="D36589">
        <v>0</v>
      </c>
      <c r="E36589">
        <v>2</v>
      </c>
      <c r="F36589">
        <v>1667</v>
      </c>
    </row>
    <row r="36590" spans="1:6" ht="12.75">
      <c r="A36590" s="2">
        <v>43875.226006944446</v>
      </c>
      <c r="B36590" t="str">
        <f>HYPERLINK("https://twitter.com/Cardasa1","@Cardasa1")</f>
        <v>@Cardasa1</v>
      </c>
      <c r="C36590" t="s">
        <v>15113</v>
      </c>
      <c r="D36590">
        <v>0</v>
      </c>
      <c r="E36590">
        <v>0</v>
      </c>
      <c r="F36590">
        <v>41</v>
      </c>
    </row>
    <row r="36591" spans="1:6" ht="12.75">
      <c r="A36591" s="2">
        <v>43875.225937499999</v>
      </c>
      <c r="B36591" t="str">
        <f>HYPERLINK("https://twitter.com/c_poluan","@c_poluan")</f>
        <v>@c_poluan</v>
      </c>
      <c r="C36591" t="s">
        <v>15114</v>
      </c>
      <c r="D36591">
        <v>0</v>
      </c>
      <c r="E36591">
        <v>1</v>
      </c>
      <c r="F36591">
        <v>850</v>
      </c>
    </row>
    <row r="36592" spans="1:6" ht="12.75">
      <c r="A36592" s="2">
        <v>43875.225740740745</v>
      </c>
      <c r="B36592" t="str">
        <f>HYPERLINK("https://twitter.com/soepono42","@soepono42")</f>
        <v>@soepono42</v>
      </c>
      <c r="C36592" t="s">
        <v>15115</v>
      </c>
      <c r="D36592">
        <v>1</v>
      </c>
      <c r="E36592">
        <v>0</v>
      </c>
      <c r="F36592">
        <v>1207</v>
      </c>
    </row>
    <row r="36593" spans="1:6" ht="12.75">
      <c r="A36593" s="2">
        <v>43875.225578703699</v>
      </c>
      <c r="B36593" t="str">
        <f>HYPERLINK("https://twitter.com/kinderjenad","@kinderjenad")</f>
        <v>@kinderjenad</v>
      </c>
      <c r="C36593" t="s">
        <v>9021</v>
      </c>
      <c r="D36593">
        <v>128</v>
      </c>
      <c r="E36593">
        <v>0</v>
      </c>
      <c r="F36593">
        <v>662</v>
      </c>
    </row>
    <row r="36594" spans="1:6" ht="12.75">
      <c r="A36594" s="2">
        <v>43875.225347222222</v>
      </c>
      <c r="B36594" t="str">
        <f>HYPERLINK("https://twitter.com/Zackf77156873","@Zackf77156873")</f>
        <v>@Zackf77156873</v>
      </c>
      <c r="C36594" t="s">
        <v>2963</v>
      </c>
      <c r="D36594">
        <v>207</v>
      </c>
      <c r="E36594">
        <v>0</v>
      </c>
      <c r="F36594">
        <v>226</v>
      </c>
    </row>
    <row r="36595" spans="1:6" ht="12.75">
      <c r="A36595" s="2">
        <v>43875.225185185191</v>
      </c>
      <c r="B36595" t="str">
        <f>HYPERLINK("https://twitter.com/dfachrian01","@dfachrian01")</f>
        <v>@dfachrian01</v>
      </c>
      <c r="C36595" t="s">
        <v>513</v>
      </c>
      <c r="D36595">
        <v>23210</v>
      </c>
      <c r="E36595">
        <v>0</v>
      </c>
      <c r="F36595">
        <v>23</v>
      </c>
    </row>
    <row r="36596" spans="1:6" ht="12.75">
      <c r="A36596" s="2">
        <v>43875.225150462968</v>
      </c>
      <c r="B36596" t="str">
        <f>HYPERLINK("https://twitter.com/c0nf00zzy","@c0nf00zzy")</f>
        <v>@c0nf00zzy</v>
      </c>
      <c r="C36596" t="s">
        <v>7295</v>
      </c>
      <c r="D36596">
        <v>1800</v>
      </c>
      <c r="E36596">
        <v>0</v>
      </c>
      <c r="F36596">
        <v>5</v>
      </c>
    </row>
    <row r="36597" spans="1:6" ht="12.75">
      <c r="A36597" s="2">
        <v>43875.225057870368</v>
      </c>
      <c r="B36597" t="str">
        <f>HYPERLINK("https://twitter.com/Tiara_jkt","@Tiara_jkt")</f>
        <v>@Tiara_jkt</v>
      </c>
      <c r="C36597" t="s">
        <v>8881</v>
      </c>
      <c r="D36597">
        <v>242</v>
      </c>
      <c r="E36597">
        <v>0</v>
      </c>
      <c r="F36597">
        <v>1162</v>
      </c>
    </row>
    <row r="36598" spans="1:6" ht="12.75">
      <c r="A36598" s="2">
        <v>43875.224988425922</v>
      </c>
      <c r="B36598" t="str">
        <f>HYPERLINK("https://twitter.com/emmii_bijak","@emmii_bijak")</f>
        <v>@emmii_bijak</v>
      </c>
      <c r="C36598" t="s">
        <v>15116</v>
      </c>
      <c r="D36598">
        <v>0</v>
      </c>
      <c r="E36598">
        <v>0</v>
      </c>
      <c r="F36598">
        <v>16</v>
      </c>
    </row>
    <row r="36599" spans="1:6" ht="12.75">
      <c r="A36599" s="2">
        <v>43875.224849537037</v>
      </c>
      <c r="B36599" t="str">
        <f>HYPERLINK("https://twitter.com/mfachrip_","@mfachrip_")</f>
        <v>@mfachrip_</v>
      </c>
      <c r="C36599" t="s">
        <v>2963</v>
      </c>
      <c r="D36599">
        <v>207</v>
      </c>
      <c r="E36599">
        <v>0</v>
      </c>
      <c r="F36599">
        <v>3439</v>
      </c>
    </row>
    <row r="36600" spans="1:6" ht="12.75">
      <c r="A36600" s="2">
        <v>43875.224363425921</v>
      </c>
      <c r="B36600" t="str">
        <f>HYPERLINK("https://twitter.com/udapilliang","@udapilliang")</f>
        <v>@udapilliang</v>
      </c>
      <c r="C36600" t="s">
        <v>14943</v>
      </c>
      <c r="D36600">
        <v>4</v>
      </c>
      <c r="E36600">
        <v>0</v>
      </c>
      <c r="F36600">
        <v>559</v>
      </c>
    </row>
    <row r="36601" spans="1:6" ht="12.75">
      <c r="A36601" s="2">
        <v>43875.224363425921</v>
      </c>
      <c r="B36601" t="str">
        <f>HYPERLINK("https://twitter.com/papariza","@papariza")</f>
        <v>@papariza</v>
      </c>
      <c r="C36601" t="s">
        <v>15117</v>
      </c>
      <c r="D36601">
        <v>2</v>
      </c>
      <c r="E36601">
        <v>0</v>
      </c>
      <c r="F36601">
        <v>2202</v>
      </c>
    </row>
    <row r="36602" spans="1:6" ht="12.75">
      <c r="A36602" s="2">
        <v>43875.224270833336</v>
      </c>
      <c r="B36602" t="str">
        <f>HYPERLINK("https://twitter.com/ganesharaynaldi","@ganesharaynaldi")</f>
        <v>@ganesharaynaldi</v>
      </c>
      <c r="C36602" t="s">
        <v>2963</v>
      </c>
      <c r="D36602">
        <v>207</v>
      </c>
      <c r="E36602">
        <v>0</v>
      </c>
      <c r="F36602">
        <v>396</v>
      </c>
    </row>
    <row r="36603" spans="1:6" ht="12.75">
      <c r="A36603" s="2">
        <v>43875.224212962959</v>
      </c>
      <c r="B36603" t="str">
        <f>HYPERLINK("https://twitter.com/IdhmNf","@IdhmNf")</f>
        <v>@IdhmNf</v>
      </c>
      <c r="C36603" t="s">
        <v>15118</v>
      </c>
      <c r="D36603">
        <v>0</v>
      </c>
      <c r="E36603">
        <v>0</v>
      </c>
      <c r="F36603">
        <v>46</v>
      </c>
    </row>
    <row r="36604" spans="1:6" ht="12.75">
      <c r="A36604" s="2">
        <v>43875.224143518513</v>
      </c>
      <c r="B36604" t="str">
        <f>HYPERLINK("https://twitter.com/juneeeeyaa","@juneeeeyaa")</f>
        <v>@juneeeeyaa</v>
      </c>
      <c r="C36604" t="s">
        <v>9021</v>
      </c>
      <c r="D36604">
        <v>128</v>
      </c>
      <c r="E36604">
        <v>0</v>
      </c>
      <c r="F36604">
        <v>1176</v>
      </c>
    </row>
    <row r="36605" spans="1:6" ht="12.75">
      <c r="A36605" s="2">
        <v>43875.224004629628</v>
      </c>
      <c r="B36605" t="str">
        <f>HYPERLINK("https://twitter.com/c0nf00zzy","@c0nf00zzy")</f>
        <v>@c0nf00zzy</v>
      </c>
      <c r="C36605" t="s">
        <v>2094</v>
      </c>
      <c r="D36605">
        <v>159</v>
      </c>
      <c r="E36605">
        <v>0</v>
      </c>
      <c r="F36605">
        <v>5</v>
      </c>
    </row>
    <row r="36606" spans="1:6" ht="12.75">
      <c r="A36606" s="2">
        <v>43875.223969907413</v>
      </c>
      <c r="B36606" t="str">
        <f>HYPERLINK("https://twitter.com/Muchlis88426192","@Muchlis88426192")</f>
        <v>@Muchlis88426192</v>
      </c>
      <c r="C36606" t="s">
        <v>15119</v>
      </c>
      <c r="D36606">
        <v>0</v>
      </c>
      <c r="E36606">
        <v>0</v>
      </c>
      <c r="F36606">
        <v>23</v>
      </c>
    </row>
    <row r="36607" spans="1:6" ht="12.75">
      <c r="A36607" s="2">
        <v>43875.223541666666</v>
      </c>
      <c r="B36607" t="str">
        <f>HYPERLINK("https://twitter.com/Boby13Candra","@Boby13Candra")</f>
        <v>@Boby13Candra</v>
      </c>
      <c r="C36607" t="s">
        <v>15120</v>
      </c>
      <c r="D36607">
        <v>0</v>
      </c>
      <c r="E36607">
        <v>0</v>
      </c>
      <c r="F36607">
        <v>551</v>
      </c>
    </row>
    <row r="36608" spans="1:6" ht="12.75">
      <c r="A36608" s="2">
        <v>43875.223483796297</v>
      </c>
      <c r="B36608" t="str">
        <f>HYPERLINK("https://twitter.com/RDakiri","@RDakiri")</f>
        <v>@RDakiri</v>
      </c>
      <c r="C36608" t="s">
        <v>10407</v>
      </c>
      <c r="D36608">
        <v>22</v>
      </c>
      <c r="E36608">
        <v>0</v>
      </c>
      <c r="F36608">
        <v>943</v>
      </c>
    </row>
    <row r="36609" spans="1:6" ht="12.75">
      <c r="A36609" s="2">
        <v>43875.223333333328</v>
      </c>
      <c r="B36609" t="str">
        <f>HYPERLINK("https://twitter.com/risklstr","@risklstr")</f>
        <v>@risklstr</v>
      </c>
      <c r="C36609" t="s">
        <v>5168</v>
      </c>
      <c r="D36609">
        <v>327</v>
      </c>
      <c r="E36609">
        <v>0</v>
      </c>
      <c r="F36609">
        <v>617</v>
      </c>
    </row>
    <row r="36610" spans="1:6" ht="12.75">
      <c r="A36610" s="2">
        <v>43875.223310185189</v>
      </c>
      <c r="B36610" t="str">
        <f>HYPERLINK("https://twitter.com/chan_kwok","@chan_kwok")</f>
        <v>@chan_kwok</v>
      </c>
      <c r="C36610" t="s">
        <v>8881</v>
      </c>
      <c r="D36610">
        <v>242</v>
      </c>
      <c r="E36610">
        <v>0</v>
      </c>
      <c r="F36610">
        <v>1578</v>
      </c>
    </row>
    <row r="36611" spans="1:6" ht="12.75">
      <c r="A36611" s="2">
        <v>43875.22320601852</v>
      </c>
      <c r="B36611" t="str">
        <f>HYPERLINK("https://twitter.com/AdityaIchan","@AdityaIchan")</f>
        <v>@AdityaIchan</v>
      </c>
      <c r="C36611" t="s">
        <v>9538</v>
      </c>
      <c r="D36611">
        <v>69</v>
      </c>
      <c r="E36611">
        <v>0</v>
      </c>
      <c r="F36611">
        <v>138</v>
      </c>
    </row>
    <row r="36612" spans="1:6" ht="12.75">
      <c r="A36612" s="2">
        <v>43875.222905092596</v>
      </c>
      <c r="B36612" t="str">
        <f>HYPERLINK("https://twitter.com/Bram_bgr","@Bram_bgr")</f>
        <v>@Bram_bgr</v>
      </c>
      <c r="C36612" t="s">
        <v>15121</v>
      </c>
      <c r="D36612">
        <v>0</v>
      </c>
      <c r="E36612">
        <v>0</v>
      </c>
      <c r="F36612">
        <v>46</v>
      </c>
    </row>
    <row r="36613" spans="1:6" ht="12.75">
      <c r="A36613" s="2">
        <v>43875.222881944443</v>
      </c>
      <c r="B36613" t="str">
        <f>HYPERLINK("https://twitter.com/Araginggang71R","@Araginggang71R")</f>
        <v>@Araginggang71R</v>
      </c>
      <c r="C36613" t="s">
        <v>9096</v>
      </c>
      <c r="D36613">
        <v>127</v>
      </c>
      <c r="E36613">
        <v>0</v>
      </c>
      <c r="F36613">
        <v>59</v>
      </c>
    </row>
    <row r="36614" spans="1:6" ht="12.75">
      <c r="A36614" s="2">
        <v>43875.222812499997</v>
      </c>
      <c r="B36614" t="str">
        <f>HYPERLINK("https://twitter.com/Herdian73296460","@Herdian73296460")</f>
        <v>@Herdian73296460</v>
      </c>
      <c r="C36614" t="s">
        <v>2963</v>
      </c>
      <c r="D36614">
        <v>207</v>
      </c>
      <c r="E36614">
        <v>0</v>
      </c>
      <c r="F36614">
        <v>2</v>
      </c>
    </row>
    <row r="36615" spans="1:6" ht="12.75">
      <c r="A36615" s="2">
        <v>43875.222708333335</v>
      </c>
      <c r="B36615" t="str">
        <f>HYPERLINK("https://twitter.com/rdfitriaaa","@rdfitriaaa")</f>
        <v>@rdfitriaaa</v>
      </c>
      <c r="C36615" t="s">
        <v>9964</v>
      </c>
      <c r="D36615">
        <v>458</v>
      </c>
      <c r="E36615">
        <v>0</v>
      </c>
      <c r="F36615">
        <v>641</v>
      </c>
    </row>
    <row r="36616" spans="1:6" ht="12.75">
      <c r="A36616" s="2">
        <v>43875.222488425927</v>
      </c>
      <c r="B36616" t="str">
        <f>HYPERLINK("https://twitter.com/freinatta","@freinatta")</f>
        <v>@freinatta</v>
      </c>
      <c r="C36616" t="s">
        <v>2963</v>
      </c>
      <c r="D36616">
        <v>207</v>
      </c>
      <c r="E36616">
        <v>0</v>
      </c>
      <c r="F36616">
        <v>568</v>
      </c>
    </row>
    <row r="36617" spans="1:6" ht="12.75">
      <c r="A36617" s="2">
        <v>43875.222418981481</v>
      </c>
      <c r="B36617" t="str">
        <f>HYPERLINK("https://twitter.com/asmiasm10411428","@asmiasm10411428")</f>
        <v>@asmiasm10411428</v>
      </c>
      <c r="C36617" t="s">
        <v>9113</v>
      </c>
      <c r="D36617">
        <v>227</v>
      </c>
      <c r="E36617">
        <v>0</v>
      </c>
      <c r="F36617">
        <v>8</v>
      </c>
    </row>
    <row r="36618" spans="1:6" ht="12.75">
      <c r="A36618" s="2">
        <v>43875.222303240742</v>
      </c>
      <c r="B36618" t="str">
        <f>HYPERLINK("https://twitter.com/alenaheart","@alenaheart")</f>
        <v>@alenaheart</v>
      </c>
      <c r="C36618" t="s">
        <v>2963</v>
      </c>
      <c r="D36618">
        <v>207</v>
      </c>
      <c r="E36618">
        <v>0</v>
      </c>
      <c r="F36618">
        <v>638</v>
      </c>
    </row>
    <row r="36619" spans="1:6" ht="12.75">
      <c r="A36619" s="2">
        <v>43875.222141203703</v>
      </c>
      <c r="B36619" t="str">
        <f>HYPERLINK("https://twitter.com/AlisonCandi","@AlisonCandi")</f>
        <v>@AlisonCandi</v>
      </c>
      <c r="C36619" t="s">
        <v>2144</v>
      </c>
      <c r="D36619">
        <v>17</v>
      </c>
      <c r="E36619">
        <v>0</v>
      </c>
      <c r="F36619">
        <v>33</v>
      </c>
    </row>
    <row r="36620" spans="1:6" ht="12.75">
      <c r="A36620" s="2">
        <v>43875.222037037034</v>
      </c>
      <c r="B36620" t="str">
        <f>HYPERLINK("https://twitter.com/Knyatiga","@Knyatiga")</f>
        <v>@Knyatiga</v>
      </c>
      <c r="C36620" t="s">
        <v>2963</v>
      </c>
      <c r="D36620">
        <v>207</v>
      </c>
      <c r="E36620">
        <v>0</v>
      </c>
      <c r="F36620">
        <v>89</v>
      </c>
    </row>
    <row r="36621" spans="1:6" ht="12.75">
      <c r="A36621" s="2">
        <v>43875.222025462965</v>
      </c>
      <c r="B36621" t="str">
        <f>HYPERLINK("https://twitter.com/dkfkskdl","@dkfkskdl")</f>
        <v>@dkfkskdl</v>
      </c>
      <c r="C36621" t="s">
        <v>13053</v>
      </c>
      <c r="D36621">
        <v>37</v>
      </c>
      <c r="E36621">
        <v>0</v>
      </c>
      <c r="F36621">
        <v>143</v>
      </c>
    </row>
    <row r="36622" spans="1:6" ht="12.75">
      <c r="A36622" s="2">
        <v>43875.222002314811</v>
      </c>
      <c r="B36622" t="str">
        <f>HYPERLINK("https://twitter.com/muhirfanns","@muhirfanns")</f>
        <v>@muhirfanns</v>
      </c>
      <c r="C36622" t="s">
        <v>2963</v>
      </c>
      <c r="D36622">
        <v>207</v>
      </c>
      <c r="E36622">
        <v>0</v>
      </c>
      <c r="F36622">
        <v>712</v>
      </c>
    </row>
    <row r="36623" spans="1:6" ht="12.75">
      <c r="A36623" s="2">
        <v>43875.221967592588</v>
      </c>
      <c r="B36623" t="str">
        <f>HYPERLINK("https://twitter.com/purnmmm","@purnmmm")</f>
        <v>@purnmmm</v>
      </c>
      <c r="C36623" t="s">
        <v>2963</v>
      </c>
      <c r="D36623">
        <v>207</v>
      </c>
      <c r="E36623">
        <v>0</v>
      </c>
      <c r="F36623">
        <v>390</v>
      </c>
    </row>
    <row r="36624" spans="1:6" ht="12.75">
      <c r="A36624" s="2">
        <v>43875.221655092595</v>
      </c>
      <c r="B36624" t="str">
        <f t="shared" ref="B36624:B36625" si="409">HYPERLINK("https://twitter.com/UtomoFreddy","@UtomoFreddy")</f>
        <v>@UtomoFreddy</v>
      </c>
      <c r="C36624" t="s">
        <v>2144</v>
      </c>
      <c r="D36624">
        <v>17</v>
      </c>
      <c r="E36624">
        <v>0</v>
      </c>
      <c r="F36624">
        <v>93</v>
      </c>
    </row>
    <row r="36625" spans="1:6" ht="12.75">
      <c r="A36625" s="2">
        <v>43875.22142361111</v>
      </c>
      <c r="B36625" t="str">
        <f t="shared" si="409"/>
        <v>@UtomoFreddy</v>
      </c>
      <c r="C36625" t="s">
        <v>2963</v>
      </c>
      <c r="D36625">
        <v>207</v>
      </c>
      <c r="E36625">
        <v>0</v>
      </c>
      <c r="F36625">
        <v>93</v>
      </c>
    </row>
    <row r="36626" spans="1:6" ht="12.75">
      <c r="A36626" s="2">
        <v>43875.221250000002</v>
      </c>
      <c r="B36626" t="str">
        <f>HYPERLINK("https://twitter.com/agung_nusanjaya","@agung_nusanjaya")</f>
        <v>@agung_nusanjaya</v>
      </c>
      <c r="C36626" t="s">
        <v>15122</v>
      </c>
      <c r="D36626">
        <v>0</v>
      </c>
      <c r="E36626">
        <v>5</v>
      </c>
      <c r="F36626">
        <v>751</v>
      </c>
    </row>
    <row r="36627" spans="1:6" ht="12.75">
      <c r="A36627" s="2">
        <v>43875.221238425926</v>
      </c>
      <c r="B36627" t="str">
        <f>HYPERLINK("https://twitter.com/Sukardi2017","@Sukardi2017")</f>
        <v>@Sukardi2017</v>
      </c>
      <c r="C36627" t="s">
        <v>15123</v>
      </c>
      <c r="D36627">
        <v>0</v>
      </c>
      <c r="E36627">
        <v>0</v>
      </c>
      <c r="F36627">
        <v>842</v>
      </c>
    </row>
    <row r="36628" spans="1:6" ht="12.75">
      <c r="A36628" s="2">
        <v>43875.221215277779</v>
      </c>
      <c r="B36628" t="str">
        <f>HYPERLINK("https://twitter.com/tempodotco","@tempodotco")</f>
        <v>@tempodotco</v>
      </c>
      <c r="C36628" t="s">
        <v>35</v>
      </c>
      <c r="D36628">
        <v>0</v>
      </c>
      <c r="E36628">
        <v>9</v>
      </c>
      <c r="F36628">
        <v>1702041</v>
      </c>
    </row>
    <row r="36629" spans="1:6" ht="12.75">
      <c r="A36629" s="2">
        <v>43875.221076388887</v>
      </c>
      <c r="B36629" t="str">
        <f>HYPERLINK("https://twitter.com/bennydjuwanda","@bennydjuwanda")</f>
        <v>@bennydjuwanda</v>
      </c>
      <c r="C36629" t="s">
        <v>14800</v>
      </c>
      <c r="D36629">
        <v>16</v>
      </c>
      <c r="E36629">
        <v>0</v>
      </c>
      <c r="F36629">
        <v>306</v>
      </c>
    </row>
    <row r="36630" spans="1:6" ht="12.75">
      <c r="A36630" s="2">
        <v>43875.220671296294</v>
      </c>
      <c r="B36630" t="str">
        <f>HYPERLINK("https://twitter.com/chan_kwok","@chan_kwok")</f>
        <v>@chan_kwok</v>
      </c>
      <c r="C36630" t="s">
        <v>2963</v>
      </c>
      <c r="D36630">
        <v>207</v>
      </c>
      <c r="E36630">
        <v>0</v>
      </c>
      <c r="F36630">
        <v>1578</v>
      </c>
    </row>
    <row r="36631" spans="1:6" ht="12.75">
      <c r="A36631" s="2">
        <v>43875.220567129625</v>
      </c>
      <c r="B36631" t="str">
        <f>HYPERLINK("https://twitter.com/santri_google_","@santri_google_")</f>
        <v>@santri_google_</v>
      </c>
      <c r="C36631" t="s">
        <v>9538</v>
      </c>
      <c r="D36631">
        <v>69</v>
      </c>
      <c r="E36631">
        <v>0</v>
      </c>
      <c r="F36631">
        <v>49</v>
      </c>
    </row>
    <row r="36632" spans="1:6" ht="12.75">
      <c r="A36632" s="2">
        <v>43875.220532407402</v>
      </c>
      <c r="B36632" t="str">
        <f>HYPERLINK("https://twitter.com/setiadjit","@setiadjit")</f>
        <v>@setiadjit</v>
      </c>
      <c r="C36632" t="s">
        <v>15124</v>
      </c>
      <c r="D36632">
        <v>0</v>
      </c>
      <c r="E36632">
        <v>0</v>
      </c>
      <c r="F36632">
        <v>238</v>
      </c>
    </row>
    <row r="36633" spans="1:6" ht="12.75">
      <c r="A36633" s="2">
        <v>43875.220405092594</v>
      </c>
      <c r="B36633" t="str">
        <f>HYPERLINK("https://twitter.com/bennydjuwanda","@bennydjuwanda")</f>
        <v>@bennydjuwanda</v>
      </c>
      <c r="C36633" t="s">
        <v>14499</v>
      </c>
      <c r="D36633">
        <v>54</v>
      </c>
      <c r="E36633">
        <v>0</v>
      </c>
      <c r="F36633">
        <v>306</v>
      </c>
    </row>
    <row r="36634" spans="1:6" ht="12.75">
      <c r="A36634" s="2">
        <v>43875.220347222217</v>
      </c>
      <c r="B36634" t="str">
        <f>HYPERLINK("https://twitter.com/Mazggg","@Mazggg")</f>
        <v>@Mazggg</v>
      </c>
      <c r="C36634" t="s">
        <v>2963</v>
      </c>
      <c r="D36634">
        <v>207</v>
      </c>
      <c r="E36634">
        <v>0</v>
      </c>
      <c r="F36634">
        <v>1861</v>
      </c>
    </row>
    <row r="36635" spans="1:6" ht="12.75">
      <c r="A36635" s="2">
        <v>43875.220069444447</v>
      </c>
      <c r="B36635" t="str">
        <f>HYPERLINK("https://twitter.com/Abdillahbela","@Abdillahbela")</f>
        <v>@Abdillahbela</v>
      </c>
      <c r="C36635" t="s">
        <v>2963</v>
      </c>
      <c r="D36635">
        <v>207</v>
      </c>
      <c r="E36635">
        <v>0</v>
      </c>
      <c r="F36635">
        <v>181</v>
      </c>
    </row>
    <row r="36636" spans="1:6" ht="12.75">
      <c r="A36636" s="2">
        <v>43875.22</v>
      </c>
      <c r="B36636" t="str">
        <f>HYPERLINK("https://twitter.com/eli_omy","@eli_omy")</f>
        <v>@eli_omy</v>
      </c>
      <c r="C36636" t="s">
        <v>2963</v>
      </c>
      <c r="D36636">
        <v>207</v>
      </c>
      <c r="E36636">
        <v>0</v>
      </c>
      <c r="F36636">
        <v>691</v>
      </c>
    </row>
    <row r="36637" spans="1:6" ht="12.75">
      <c r="A36637" s="2">
        <v>43875.22</v>
      </c>
      <c r="B36637" t="str">
        <f>HYPERLINK("https://twitter.com/batursarep","@batursarep")</f>
        <v>@batursarep</v>
      </c>
      <c r="C36637" t="s">
        <v>2963</v>
      </c>
      <c r="D36637">
        <v>207</v>
      </c>
      <c r="E36637">
        <v>0</v>
      </c>
      <c r="F36637">
        <v>204</v>
      </c>
    </row>
    <row r="36638" spans="1:6" ht="12.75">
      <c r="A36638" s="2">
        <v>43875.219976851848</v>
      </c>
      <c r="B36638" t="str">
        <f>HYPERLINK("https://twitter.com/ariharsono","@ariharsono")</f>
        <v>@ariharsono</v>
      </c>
      <c r="C36638" t="s">
        <v>15125</v>
      </c>
      <c r="D36638">
        <v>0</v>
      </c>
      <c r="E36638">
        <v>0</v>
      </c>
      <c r="F36638">
        <v>120</v>
      </c>
    </row>
    <row r="36639" spans="1:6" ht="12.75">
      <c r="A36639" s="2">
        <v>43875.219907407409</v>
      </c>
      <c r="B36639" t="str">
        <f>HYPERLINK("https://twitter.com/ani_nyebar","@ani_nyebar")</f>
        <v>@ani_nyebar</v>
      </c>
      <c r="C36639" t="s">
        <v>15126</v>
      </c>
      <c r="D36639">
        <v>0</v>
      </c>
      <c r="E36639">
        <v>2</v>
      </c>
      <c r="F36639">
        <v>86</v>
      </c>
    </row>
    <row r="36640" spans="1:6" ht="12.75">
      <c r="A36640" s="2">
        <v>43875.219814814816</v>
      </c>
      <c r="B36640" t="str">
        <f>HYPERLINK("https://twitter.com/AntonFebriyant4","@AntonFebriyant4")</f>
        <v>@AntonFebriyant4</v>
      </c>
      <c r="C36640" t="s">
        <v>9947</v>
      </c>
      <c r="D36640">
        <v>308</v>
      </c>
      <c r="E36640">
        <v>0</v>
      </c>
      <c r="F36640">
        <v>25</v>
      </c>
    </row>
    <row r="36641" spans="1:6" ht="12.75">
      <c r="A36641" s="2">
        <v>43875.21980324074</v>
      </c>
      <c r="B36641" t="str">
        <f>HYPERLINK("https://twitter.com/rang_simabua","@rang_simabua")</f>
        <v>@rang_simabua</v>
      </c>
      <c r="C36641" t="s">
        <v>10407</v>
      </c>
      <c r="D36641">
        <v>22</v>
      </c>
      <c r="E36641">
        <v>0</v>
      </c>
      <c r="F36641">
        <v>7471</v>
      </c>
    </row>
    <row r="36642" spans="1:6" ht="12.75">
      <c r="A36642" s="2">
        <v>43875.219791666663</v>
      </c>
      <c r="B36642" t="str">
        <f>HYPERLINK("https://twitter.com/dubie_tina","@dubie_tina")</f>
        <v>@dubie_tina</v>
      </c>
      <c r="C36642" t="s">
        <v>15127</v>
      </c>
      <c r="D36642">
        <v>2</v>
      </c>
      <c r="E36642">
        <v>0</v>
      </c>
      <c r="F36642">
        <v>1022</v>
      </c>
    </row>
    <row r="36643" spans="1:6" ht="12.75">
      <c r="A36643" s="2">
        <v>43875.21974537037</v>
      </c>
      <c r="B36643" t="str">
        <f>HYPERLINK("https://twitter.com/Tiara_jkt","@Tiara_jkt")</f>
        <v>@Tiara_jkt</v>
      </c>
      <c r="C36643" t="s">
        <v>2963</v>
      </c>
      <c r="D36643">
        <v>207</v>
      </c>
      <c r="E36643">
        <v>0</v>
      </c>
      <c r="F36643">
        <v>1162</v>
      </c>
    </row>
    <row r="36644" spans="1:6" ht="12.75">
      <c r="A36644" s="2">
        <v>43875.219282407408</v>
      </c>
      <c r="B36644" t="str">
        <f>HYPERLINK("https://twitter.com/bennydjuwanda","@bennydjuwanda")</f>
        <v>@bennydjuwanda</v>
      </c>
      <c r="C36644" t="s">
        <v>9947</v>
      </c>
      <c r="D36644">
        <v>308</v>
      </c>
      <c r="E36644">
        <v>0</v>
      </c>
      <c r="F36644">
        <v>306</v>
      </c>
    </row>
    <row r="36645" spans="1:6" ht="12.75">
      <c r="A36645" s="2">
        <v>43875.219270833331</v>
      </c>
      <c r="B36645" t="str">
        <f>HYPERLINK("https://twitter.com/Bcdbngst","@Bcdbngst")</f>
        <v>@Bcdbngst</v>
      </c>
      <c r="C36645" t="s">
        <v>12903</v>
      </c>
      <c r="D36645">
        <v>13</v>
      </c>
      <c r="E36645">
        <v>0</v>
      </c>
      <c r="F36645">
        <v>379</v>
      </c>
    </row>
    <row r="36646" spans="1:6" ht="12.75">
      <c r="A36646" s="2">
        <v>43875.218993055554</v>
      </c>
      <c r="B36646" t="str">
        <f>HYPERLINK("https://twitter.com/budiawan_AE","@budiawan_AE")</f>
        <v>@budiawan_AE</v>
      </c>
      <c r="C36646" t="s">
        <v>2963</v>
      </c>
      <c r="D36646">
        <v>207</v>
      </c>
      <c r="E36646">
        <v>0</v>
      </c>
      <c r="F36646">
        <v>59</v>
      </c>
    </row>
    <row r="36647" spans="1:6" ht="12.75">
      <c r="A36647" s="2">
        <v>43875.218877314815</v>
      </c>
      <c r="B36647" t="str">
        <f>HYPERLINK("https://twitter.com/spurwanto0202","@spurwanto0202")</f>
        <v>@spurwanto0202</v>
      </c>
      <c r="C36647" t="s">
        <v>9096</v>
      </c>
      <c r="D36647">
        <v>127</v>
      </c>
      <c r="E36647">
        <v>0</v>
      </c>
      <c r="F36647">
        <v>132</v>
      </c>
    </row>
    <row r="36648" spans="1:6" ht="12.75">
      <c r="A36648" s="2">
        <v>43875.218865740739</v>
      </c>
      <c r="B36648" t="str">
        <f>HYPERLINK("https://twitter.com/pradana1304","@pradana1304")</f>
        <v>@pradana1304</v>
      </c>
      <c r="C36648" t="s">
        <v>2963</v>
      </c>
      <c r="D36648">
        <v>207</v>
      </c>
      <c r="E36648">
        <v>0</v>
      </c>
      <c r="F36648">
        <v>38</v>
      </c>
    </row>
    <row r="36649" spans="1:6" ht="12.75">
      <c r="A36649" s="2">
        <v>43875.218854166669</v>
      </c>
      <c r="B36649" t="str">
        <f>HYPERLINK("https://twitter.com/tommy_reyza","@tommy_reyza")</f>
        <v>@tommy_reyza</v>
      </c>
      <c r="C36649" t="s">
        <v>2963</v>
      </c>
      <c r="D36649">
        <v>207</v>
      </c>
      <c r="E36649">
        <v>0</v>
      </c>
      <c r="F36649">
        <v>3</v>
      </c>
    </row>
    <row r="36650" spans="1:6" ht="12.75">
      <c r="A36650" s="2">
        <v>43875.218668981484</v>
      </c>
      <c r="B36650" t="str">
        <f>HYPERLINK("https://twitter.com/deco609","@deco609")</f>
        <v>@deco609</v>
      </c>
      <c r="C36650" t="s">
        <v>2963</v>
      </c>
      <c r="D36650">
        <v>207</v>
      </c>
      <c r="E36650">
        <v>0</v>
      </c>
      <c r="F36650">
        <v>29</v>
      </c>
    </row>
    <row r="36651" spans="1:6" ht="12.75">
      <c r="A36651" s="2">
        <v>43875.218518518523</v>
      </c>
      <c r="B36651" t="str">
        <f>HYPERLINK("https://twitter.com/OrlandoSL01","@OrlandoSL01")</f>
        <v>@OrlandoSL01</v>
      </c>
      <c r="C36651" t="s">
        <v>15128</v>
      </c>
      <c r="D36651">
        <v>0</v>
      </c>
      <c r="E36651">
        <v>0</v>
      </c>
      <c r="F36651">
        <v>250</v>
      </c>
    </row>
    <row r="36652" spans="1:6" ht="12.75">
      <c r="A36652" s="2">
        <v>43875.218402777777</v>
      </c>
      <c r="B36652" t="str">
        <f>HYPERLINK("https://twitter.com/Luthfi_nasrul","@Luthfi_nasrul")</f>
        <v>@Luthfi_nasrul</v>
      </c>
      <c r="C36652" t="s">
        <v>14399</v>
      </c>
      <c r="D36652">
        <v>1</v>
      </c>
      <c r="E36652">
        <v>0</v>
      </c>
      <c r="F36652">
        <v>2736</v>
      </c>
    </row>
    <row r="36653" spans="1:6" ht="12.75">
      <c r="A36653" s="2">
        <v>43875.218344907407</v>
      </c>
      <c r="B36653" t="str">
        <f>HYPERLINK("https://twitter.com/Tuanguru10","@Tuanguru10")</f>
        <v>@Tuanguru10</v>
      </c>
      <c r="C36653" t="s">
        <v>15129</v>
      </c>
      <c r="D36653">
        <v>0</v>
      </c>
      <c r="E36653">
        <v>1</v>
      </c>
      <c r="F36653">
        <v>3</v>
      </c>
    </row>
    <row r="36654" spans="1:6" ht="12.75">
      <c r="A36654" s="2">
        <v>43875.218287037038</v>
      </c>
      <c r="B36654" t="str">
        <f>HYPERLINK("https://twitter.com/kalemaja00","@kalemaja00")</f>
        <v>@kalemaja00</v>
      </c>
      <c r="C36654" t="s">
        <v>9096</v>
      </c>
      <c r="D36654">
        <v>127</v>
      </c>
      <c r="E36654">
        <v>0</v>
      </c>
      <c r="F36654">
        <v>13</v>
      </c>
    </row>
    <row r="36655" spans="1:6" ht="12.75">
      <c r="A36655" s="2">
        <v>43875.218159722222</v>
      </c>
      <c r="B36655" t="str">
        <f>HYPERLINK("https://twitter.com/VillaPanji","@VillaPanji")</f>
        <v>@VillaPanji</v>
      </c>
      <c r="C36655" t="s">
        <v>2963</v>
      </c>
      <c r="D36655">
        <v>207</v>
      </c>
      <c r="E36655">
        <v>0</v>
      </c>
      <c r="F36655">
        <v>550</v>
      </c>
    </row>
    <row r="36656" spans="1:6" ht="12.75">
      <c r="A36656" s="2">
        <v>43875.218124999999</v>
      </c>
      <c r="B36656" t="str">
        <f>HYPERLINK("https://twitter.com/A08155489","@A08155489")</f>
        <v>@A08155489</v>
      </c>
      <c r="C36656" t="s">
        <v>15130</v>
      </c>
      <c r="D36656">
        <v>0</v>
      </c>
      <c r="E36656">
        <v>0</v>
      </c>
      <c r="F36656">
        <v>19</v>
      </c>
    </row>
    <row r="36657" spans="1:6" ht="12.75">
      <c r="A36657" s="2">
        <v>43875.217962962968</v>
      </c>
      <c r="B36657" t="str">
        <f>HYPERLINK("https://twitter.com/JavaraaEthnic","@JavaraaEthnic")</f>
        <v>@JavaraaEthnic</v>
      </c>
      <c r="C36657" t="s">
        <v>10407</v>
      </c>
      <c r="D36657">
        <v>22</v>
      </c>
      <c r="E36657">
        <v>0</v>
      </c>
      <c r="F36657">
        <v>221</v>
      </c>
    </row>
    <row r="36658" spans="1:6" ht="12.75">
      <c r="A36658" s="2">
        <v>43875.217916666668</v>
      </c>
      <c r="B36658" t="str">
        <f>HYPERLINK("https://twitter.com/priliaar19","@priliaar19")</f>
        <v>@priliaar19</v>
      </c>
      <c r="C36658" t="s">
        <v>175</v>
      </c>
      <c r="D36658">
        <v>5209</v>
      </c>
      <c r="E36658">
        <v>0</v>
      </c>
      <c r="F36658">
        <v>33</v>
      </c>
    </row>
    <row r="36659" spans="1:6" ht="12.75">
      <c r="A36659" s="2">
        <v>43875.217777777776</v>
      </c>
      <c r="B36659" t="str">
        <f>HYPERLINK("https://twitter.com/NilaKencana8","@NilaKencana8")</f>
        <v>@NilaKencana8</v>
      </c>
      <c r="C36659" t="s">
        <v>15131</v>
      </c>
      <c r="D36659">
        <v>1</v>
      </c>
      <c r="E36659">
        <v>2</v>
      </c>
      <c r="F36659">
        <v>4495</v>
      </c>
    </row>
    <row r="36660" spans="1:6" ht="12.75">
      <c r="A36660" s="2">
        <v>43875.21775462963</v>
      </c>
      <c r="B36660" t="str">
        <f>HYPERLINK("https://twitter.com/AA_Ical_","@AA_Ical_")</f>
        <v>@AA_Ical_</v>
      </c>
      <c r="C36660" t="s">
        <v>2963</v>
      </c>
      <c r="D36660">
        <v>207</v>
      </c>
      <c r="E36660">
        <v>0</v>
      </c>
      <c r="F36660">
        <v>1509</v>
      </c>
    </row>
    <row r="36661" spans="1:6" ht="12.75">
      <c r="A36661" s="2">
        <v>43875.21775462963</v>
      </c>
      <c r="B36661" t="str">
        <f>HYPERLINK("https://twitter.com/mjenar2","@mjenar2")</f>
        <v>@mjenar2</v>
      </c>
      <c r="C36661" t="s">
        <v>9538</v>
      </c>
      <c r="D36661">
        <v>69</v>
      </c>
      <c r="E36661">
        <v>0</v>
      </c>
      <c r="F36661">
        <v>457</v>
      </c>
    </row>
    <row r="36662" spans="1:6" ht="12.75">
      <c r="A36662" s="2">
        <v>43875.217615740738</v>
      </c>
      <c r="B36662" t="str">
        <f>HYPERLINK("https://twitter.com/ikiprojeck","@ikiprojeck")</f>
        <v>@ikiprojeck</v>
      </c>
      <c r="C36662" t="s">
        <v>15132</v>
      </c>
      <c r="D36662">
        <v>0</v>
      </c>
      <c r="E36662">
        <v>0</v>
      </c>
      <c r="F36662">
        <v>2</v>
      </c>
    </row>
    <row r="36663" spans="1:6" ht="12.75">
      <c r="A36663" s="2">
        <v>43875.217372685191</v>
      </c>
      <c r="B36663" t="str">
        <f>HYPERLINK("https://twitter.com/CintaNKRI08","@CintaNKRI08")</f>
        <v>@CintaNKRI08</v>
      </c>
      <c r="C36663" t="s">
        <v>10407</v>
      </c>
      <c r="D36663">
        <v>2</v>
      </c>
      <c r="E36663">
        <v>0</v>
      </c>
      <c r="F36663">
        <v>6000</v>
      </c>
    </row>
    <row r="36664" spans="1:6" ht="12.75">
      <c r="A36664" s="2">
        <v>43875.217337962968</v>
      </c>
      <c r="B36664" t="str">
        <f>HYPERLINK("https://twitter.com/AEkopurnomo","@AEkopurnomo")</f>
        <v>@AEkopurnomo</v>
      </c>
      <c r="C36664" t="s">
        <v>2963</v>
      </c>
      <c r="D36664">
        <v>207</v>
      </c>
      <c r="E36664">
        <v>0</v>
      </c>
      <c r="F36664">
        <v>153</v>
      </c>
    </row>
    <row r="36665" spans="1:6" ht="12.75">
      <c r="A36665" s="2">
        <v>43875.217303240745</v>
      </c>
      <c r="B36665" t="str">
        <f>HYPERLINK("https://twitter.com/Diowicaksn","@Diowicaksn")</f>
        <v>@Diowicaksn</v>
      </c>
      <c r="C36665" t="s">
        <v>2963</v>
      </c>
      <c r="D36665">
        <v>207</v>
      </c>
      <c r="E36665">
        <v>0</v>
      </c>
      <c r="F36665">
        <v>28</v>
      </c>
    </row>
    <row r="36666" spans="1:6" ht="12.75">
      <c r="A36666" s="2">
        <v>43875.217280092591</v>
      </c>
      <c r="B36666" t="str">
        <f>HYPERLINK("https://twitter.com/vidz120299","@vidz120299")</f>
        <v>@vidz120299</v>
      </c>
      <c r="C36666" t="s">
        <v>2963</v>
      </c>
      <c r="D36666">
        <v>207</v>
      </c>
      <c r="E36666">
        <v>0</v>
      </c>
      <c r="F36666">
        <v>73</v>
      </c>
    </row>
    <row r="36667" spans="1:6" ht="12.75">
      <c r="A36667" s="2">
        <v>43875.217129629629</v>
      </c>
      <c r="B36667" t="str">
        <f>HYPERLINK("https://twitter.com/hajinewsonline","@hajinewsonline")</f>
        <v>@hajinewsonline</v>
      </c>
      <c r="C36667" t="s">
        <v>15133</v>
      </c>
      <c r="D36667">
        <v>0</v>
      </c>
      <c r="E36667">
        <v>0</v>
      </c>
      <c r="F36667">
        <v>19</v>
      </c>
    </row>
    <row r="36668" spans="1:6" ht="12.75">
      <c r="A36668" s="2">
        <v>43875.217129629629</v>
      </c>
      <c r="B36668" t="str">
        <f>HYPERLINK("https://twitter.com/liviaputriHerm1","@liviaputriHerm1")</f>
        <v>@liviaputriHerm1</v>
      </c>
      <c r="C36668" t="s">
        <v>175</v>
      </c>
      <c r="D36668">
        <v>5209</v>
      </c>
      <c r="E36668">
        <v>0</v>
      </c>
      <c r="F36668">
        <v>0</v>
      </c>
    </row>
    <row r="36669" spans="1:6" ht="12.75">
      <c r="A36669" s="2">
        <v>43875.216956018514</v>
      </c>
      <c r="B36669" t="str">
        <f>HYPERLINK("https://twitter.com/IbhamJ","@IbhamJ")</f>
        <v>@IbhamJ</v>
      </c>
      <c r="C36669" t="s">
        <v>9538</v>
      </c>
      <c r="D36669">
        <v>69</v>
      </c>
      <c r="E36669">
        <v>0</v>
      </c>
      <c r="F36669">
        <v>767</v>
      </c>
    </row>
    <row r="36670" spans="1:6" ht="12.75">
      <c r="A36670" s="2">
        <v>43875.216817129629</v>
      </c>
      <c r="B36670" t="str">
        <f>HYPERLINK("https://twitter.com/ary0900","@ary0900")</f>
        <v>@ary0900</v>
      </c>
      <c r="C36670" t="s">
        <v>15134</v>
      </c>
      <c r="D36670">
        <v>0</v>
      </c>
      <c r="E36670">
        <v>0</v>
      </c>
      <c r="F36670">
        <v>101</v>
      </c>
    </row>
    <row r="36671" spans="1:6" ht="12.75">
      <c r="A36671" s="2">
        <v>43875.216782407406</v>
      </c>
      <c r="B36671" t="str">
        <f>HYPERLINK("https://twitter.com/AlbarokahToko","@AlbarokahToko")</f>
        <v>@AlbarokahToko</v>
      </c>
      <c r="C36671" t="s">
        <v>2963</v>
      </c>
      <c r="D36671">
        <v>207</v>
      </c>
      <c r="E36671">
        <v>0</v>
      </c>
      <c r="F36671">
        <v>139</v>
      </c>
    </row>
    <row r="36672" spans="1:6" ht="12.75">
      <c r="A36672" s="2">
        <v>43875.216319444444</v>
      </c>
      <c r="B36672" t="str">
        <f>HYPERLINK("https://twitter.com/Sangabuana17","@Sangabuana17")</f>
        <v>@Sangabuana17</v>
      </c>
      <c r="C36672" t="s">
        <v>10407</v>
      </c>
      <c r="D36672">
        <v>22</v>
      </c>
      <c r="E36672">
        <v>0</v>
      </c>
      <c r="F36672">
        <v>106</v>
      </c>
    </row>
    <row r="36673" spans="1:6" ht="12.75">
      <c r="A36673" s="2">
        <v>43875.216307870374</v>
      </c>
      <c r="B36673" t="str">
        <f>HYPERLINK("https://twitter.com/fatkurfadhilah","@fatkurfadhilah")</f>
        <v>@fatkurfadhilah</v>
      </c>
      <c r="C36673" t="s">
        <v>2963</v>
      </c>
      <c r="D36673">
        <v>207</v>
      </c>
      <c r="E36673">
        <v>0</v>
      </c>
      <c r="F36673">
        <v>234</v>
      </c>
    </row>
    <row r="36674" spans="1:6" ht="12.75">
      <c r="A36674" s="2">
        <v>43875.216296296298</v>
      </c>
      <c r="B36674" t="str">
        <f>HYPERLINK("https://twitter.com/brownsugarxboba","@brownsugarxboba")</f>
        <v>@brownsugarxboba</v>
      </c>
      <c r="C36674" t="s">
        <v>2137</v>
      </c>
      <c r="D36674">
        <v>7</v>
      </c>
      <c r="E36674">
        <v>0</v>
      </c>
      <c r="F36674">
        <v>545</v>
      </c>
    </row>
    <row r="36675" spans="1:6" ht="12.75">
      <c r="A36675" s="2">
        <v>43875.216064814813</v>
      </c>
      <c r="B36675" t="str">
        <f>HYPERLINK("https://twitter.com/NyiGiri","@NyiGiri")</f>
        <v>@NyiGiri</v>
      </c>
      <c r="C36675" t="s">
        <v>15070</v>
      </c>
      <c r="D36675">
        <v>14</v>
      </c>
      <c r="E36675">
        <v>0</v>
      </c>
      <c r="F36675">
        <v>3548</v>
      </c>
    </row>
    <row r="36676" spans="1:6" ht="12.75">
      <c r="A36676" s="2">
        <v>43875.216041666667</v>
      </c>
      <c r="B36676" t="str">
        <f>HYPERLINK("https://twitter.com/mukhrosridho","@mukhrosridho")</f>
        <v>@mukhrosridho</v>
      </c>
      <c r="C36676" t="s">
        <v>2963</v>
      </c>
      <c r="D36676">
        <v>207</v>
      </c>
      <c r="E36676">
        <v>0</v>
      </c>
      <c r="F36676">
        <v>62</v>
      </c>
    </row>
    <row r="36677" spans="1:6" ht="12.75">
      <c r="A36677" s="2">
        <v>43875.215937500005</v>
      </c>
      <c r="B36677" t="str">
        <f>HYPERLINK("https://twitter.com/ddellaniera","@ddellaniera")</f>
        <v>@ddellaniera</v>
      </c>
      <c r="C36677" t="s">
        <v>2963</v>
      </c>
      <c r="D36677">
        <v>207</v>
      </c>
      <c r="E36677">
        <v>0</v>
      </c>
      <c r="F36677">
        <v>310</v>
      </c>
    </row>
    <row r="36678" spans="1:6" ht="12.75">
      <c r="A36678" s="2">
        <v>43875.215891203705</v>
      </c>
      <c r="B36678" t="str">
        <f>HYPERLINK("https://twitter.com/dilarangmasukc1","@dilarangmasukc1")</f>
        <v>@dilarangmasukc1</v>
      </c>
      <c r="C36678" t="s">
        <v>15135</v>
      </c>
      <c r="D36678">
        <v>0</v>
      </c>
      <c r="E36678">
        <v>0</v>
      </c>
      <c r="F36678">
        <v>50</v>
      </c>
    </row>
    <row r="36679" spans="1:6" ht="12.75">
      <c r="A36679" s="2">
        <v>43875.215833333335</v>
      </c>
      <c r="B36679" t="str">
        <f>HYPERLINK("https://twitter.com/stiyvan","@stiyvan")</f>
        <v>@stiyvan</v>
      </c>
      <c r="C36679" t="s">
        <v>2963</v>
      </c>
      <c r="D36679">
        <v>207</v>
      </c>
      <c r="E36679">
        <v>0</v>
      </c>
      <c r="F36679">
        <v>173</v>
      </c>
    </row>
    <row r="36680" spans="1:6" ht="12.75">
      <c r="A36680" s="2">
        <v>43875.215486111112</v>
      </c>
      <c r="B36680" t="str">
        <f>HYPERLINK("https://twitter.com/diskominfokotim","@diskominfokotim")</f>
        <v>@diskominfokotim</v>
      </c>
      <c r="C36680" t="s">
        <v>8571</v>
      </c>
      <c r="D36680">
        <v>33</v>
      </c>
      <c r="E36680">
        <v>0</v>
      </c>
      <c r="F36680">
        <v>191</v>
      </c>
    </row>
    <row r="36681" spans="1:6" ht="12.75">
      <c r="A36681" s="2">
        <v>43875.215381944443</v>
      </c>
      <c r="B36681" t="str">
        <f>HYPERLINK("https://twitter.com/towneystark","@towneystark")</f>
        <v>@towneystark</v>
      </c>
      <c r="C36681" t="s">
        <v>2963</v>
      </c>
      <c r="D36681">
        <v>207</v>
      </c>
      <c r="E36681">
        <v>0</v>
      </c>
      <c r="F36681">
        <v>5</v>
      </c>
    </row>
    <row r="36682" spans="1:6" ht="12.75">
      <c r="A36682" s="2">
        <v>43875.215300925927</v>
      </c>
      <c r="B36682" t="str">
        <f>HYPERLINK("https://twitter.com/VIVAcoid","@VIVAcoid")</f>
        <v>@VIVAcoid</v>
      </c>
      <c r="C36682" t="s">
        <v>14908</v>
      </c>
      <c r="D36682">
        <v>6</v>
      </c>
      <c r="E36682">
        <v>0</v>
      </c>
      <c r="F36682">
        <v>4169052</v>
      </c>
    </row>
    <row r="36683" spans="1:6" ht="12.75">
      <c r="A36683" s="2">
        <v>43875.215300925927</v>
      </c>
      <c r="B36683" t="str">
        <f>HYPERLINK("https://twitter.com/the_schloss","@the_schloss")</f>
        <v>@the_schloss</v>
      </c>
      <c r="C36683" t="s">
        <v>15136</v>
      </c>
      <c r="D36683">
        <v>0</v>
      </c>
      <c r="E36683">
        <v>1</v>
      </c>
      <c r="F36683">
        <v>450</v>
      </c>
    </row>
    <row r="36684" spans="1:6" ht="12.75">
      <c r="A36684" s="2">
        <v>43875.215092592596</v>
      </c>
      <c r="B36684" t="str">
        <f>HYPERLINK("https://twitter.com/EkaMenata","@EkaMenata")</f>
        <v>@EkaMenata</v>
      </c>
      <c r="C36684" t="s">
        <v>15137</v>
      </c>
      <c r="D36684">
        <v>0</v>
      </c>
      <c r="E36684">
        <v>0</v>
      </c>
      <c r="F36684">
        <v>4</v>
      </c>
    </row>
    <row r="36685" spans="1:6" ht="12.75">
      <c r="A36685" s="2">
        <v>43875.21497685185</v>
      </c>
      <c r="B36685" t="str">
        <f>HYPERLINK("https://twitter.com/vivanewscom","@vivanewscom")</f>
        <v>@vivanewscom</v>
      </c>
      <c r="C36685" t="s">
        <v>36</v>
      </c>
      <c r="D36685">
        <v>6</v>
      </c>
      <c r="E36685">
        <v>15</v>
      </c>
      <c r="F36685">
        <v>4059</v>
      </c>
    </row>
    <row r="36686" spans="1:6" ht="12.75">
      <c r="A36686" s="2">
        <v>43875.214826388888</v>
      </c>
      <c r="B36686" t="str">
        <f>HYPERLINK("https://twitter.com/hanjenif","@hanjenif")</f>
        <v>@hanjenif</v>
      </c>
      <c r="C36686" t="s">
        <v>2122</v>
      </c>
      <c r="D36686">
        <v>163</v>
      </c>
      <c r="E36686">
        <v>0</v>
      </c>
      <c r="F36686">
        <v>4446</v>
      </c>
    </row>
    <row r="36687" spans="1:6" ht="12.75">
      <c r="A36687" s="2">
        <v>43875.214780092589</v>
      </c>
      <c r="B36687" t="str">
        <f>HYPERLINK("https://twitter.com/BungaLabu1","@BungaLabu1")</f>
        <v>@BungaLabu1</v>
      </c>
      <c r="C36687" t="s">
        <v>11778</v>
      </c>
      <c r="D36687">
        <v>11</v>
      </c>
      <c r="E36687">
        <v>0</v>
      </c>
      <c r="F36687">
        <v>14</v>
      </c>
    </row>
    <row r="36688" spans="1:6" ht="12.75">
      <c r="A36688" s="2">
        <v>43875.214745370366</v>
      </c>
      <c r="B36688" t="str">
        <f>HYPERLINK("https://twitter.com/DayangMilenial","@DayangMilenial")</f>
        <v>@DayangMilenial</v>
      </c>
      <c r="C36688" t="s">
        <v>10407</v>
      </c>
      <c r="D36688">
        <v>22</v>
      </c>
      <c r="E36688">
        <v>0</v>
      </c>
      <c r="F36688">
        <v>1707</v>
      </c>
    </row>
    <row r="36689" spans="1:6" ht="12.75">
      <c r="A36689" s="2">
        <v>43875.214722222227</v>
      </c>
      <c r="B36689" t="str">
        <f>HYPERLINK("https://twitter.com/asmiasm10411428","@asmiasm10411428")</f>
        <v>@asmiasm10411428</v>
      </c>
      <c r="C36689" t="s">
        <v>10196</v>
      </c>
      <c r="D36689">
        <v>116</v>
      </c>
      <c r="E36689">
        <v>0</v>
      </c>
      <c r="F36689">
        <v>8</v>
      </c>
    </row>
    <row r="36690" spans="1:6" ht="12.75">
      <c r="A36690" s="2">
        <v>43875.214722222227</v>
      </c>
      <c r="B36690" t="str">
        <f>HYPERLINK("https://twitter.com/salammuly109gm1","@salammuly109gm1")</f>
        <v>@salammuly109gm1</v>
      </c>
      <c r="C36690" t="s">
        <v>7373</v>
      </c>
      <c r="D36690">
        <v>58</v>
      </c>
      <c r="E36690">
        <v>0</v>
      </c>
      <c r="F36690">
        <v>627</v>
      </c>
    </row>
    <row r="36691" spans="1:6" ht="12.75">
      <c r="A36691" s="2">
        <v>43875.214398148149</v>
      </c>
      <c r="B36691" t="str">
        <f>HYPERLINK("https://twitter.com/RasudoFM","@RasudoFM")</f>
        <v>@RasudoFM</v>
      </c>
      <c r="C36691" t="s">
        <v>15138</v>
      </c>
      <c r="D36691">
        <v>0</v>
      </c>
      <c r="E36691">
        <v>0</v>
      </c>
      <c r="F36691">
        <v>1060</v>
      </c>
    </row>
    <row r="36692" spans="1:6" ht="12.75">
      <c r="A36692" s="2">
        <v>43875.214201388888</v>
      </c>
      <c r="B36692" t="str">
        <f>HYPERLINK("https://twitter.com/prytnma","@prytnma")</f>
        <v>@prytnma</v>
      </c>
      <c r="C36692" t="s">
        <v>15139</v>
      </c>
      <c r="D36692">
        <v>2</v>
      </c>
      <c r="E36692">
        <v>0</v>
      </c>
      <c r="F36692">
        <v>410</v>
      </c>
    </row>
    <row r="36693" spans="1:6" ht="12.75">
      <c r="A36693" s="2">
        <v>43875.214062500003</v>
      </c>
      <c r="B36693" t="str">
        <f>HYPERLINK("https://twitter.com/gunadiagung","@gunadiagung")</f>
        <v>@gunadiagung</v>
      </c>
      <c r="C36693" t="s">
        <v>15140</v>
      </c>
      <c r="D36693">
        <v>0</v>
      </c>
      <c r="E36693">
        <v>0</v>
      </c>
      <c r="F36693">
        <v>455</v>
      </c>
    </row>
    <row r="36694" spans="1:6" ht="12.75">
      <c r="A36694" s="2">
        <v>43875.214050925926</v>
      </c>
      <c r="B36694" t="str">
        <f>HYPERLINK("https://twitter.com/prytnma","@prytnma")</f>
        <v>@prytnma</v>
      </c>
      <c r="C36694" t="s">
        <v>15141</v>
      </c>
      <c r="D36694">
        <v>2</v>
      </c>
      <c r="E36694">
        <v>0</v>
      </c>
      <c r="F36694">
        <v>410</v>
      </c>
    </row>
    <row r="36695" spans="1:6" ht="12.75">
      <c r="A36695" s="2">
        <v>43875.213854166665</v>
      </c>
      <c r="B36695" t="str">
        <f>HYPERLINK("https://twitter.com/5angkan","@5angkan")</f>
        <v>@5angkan</v>
      </c>
      <c r="C36695" t="s">
        <v>15142</v>
      </c>
      <c r="D36695">
        <v>3</v>
      </c>
      <c r="E36695">
        <v>0</v>
      </c>
      <c r="F36695">
        <v>139</v>
      </c>
    </row>
    <row r="36696" spans="1:6" ht="12.75">
      <c r="A36696" s="2">
        <v>43875.213842592595</v>
      </c>
      <c r="B36696" t="str">
        <f>HYPERLINK("https://twitter.com/adungbandung","@adungbandung")</f>
        <v>@adungbandung</v>
      </c>
      <c r="C36696" t="s">
        <v>10407</v>
      </c>
      <c r="D36696">
        <v>22</v>
      </c>
      <c r="E36696">
        <v>0</v>
      </c>
      <c r="F36696">
        <v>244</v>
      </c>
    </row>
    <row r="36697" spans="1:6" ht="12.75">
      <c r="A36697" s="2">
        <v>43875.213622685187</v>
      </c>
      <c r="B36697" t="str">
        <f>HYPERLINK("https://twitter.com/agung_nusanjaya","@agung_nusanjaya")</f>
        <v>@agung_nusanjaya</v>
      </c>
      <c r="C36697" t="s">
        <v>15143</v>
      </c>
      <c r="D36697">
        <v>0</v>
      </c>
      <c r="E36697">
        <v>0</v>
      </c>
      <c r="F36697">
        <v>751</v>
      </c>
    </row>
    <row r="36698" spans="1:6" ht="12.75">
      <c r="A36698" s="2">
        <v>43875.213564814811</v>
      </c>
      <c r="B36698" t="str">
        <f>HYPERLINK("https://twitter.com/taufiknur__","@taufiknur__")</f>
        <v>@taufiknur__</v>
      </c>
      <c r="C36698" t="s">
        <v>9964</v>
      </c>
      <c r="D36698">
        <v>458</v>
      </c>
      <c r="E36698">
        <v>0</v>
      </c>
      <c r="F36698">
        <v>205</v>
      </c>
    </row>
    <row r="36699" spans="1:6" ht="12.75">
      <c r="A36699" s="2">
        <v>43875.213541666672</v>
      </c>
      <c r="B36699" t="str">
        <f>HYPERLINK("https://twitter.com/B_Hendratmo1","@B_Hendratmo1")</f>
        <v>@B_Hendratmo1</v>
      </c>
      <c r="C36699" t="s">
        <v>15144</v>
      </c>
      <c r="D36699">
        <v>4</v>
      </c>
      <c r="E36699">
        <v>0</v>
      </c>
      <c r="F36699">
        <v>1673</v>
      </c>
    </row>
    <row r="36700" spans="1:6" ht="12.75">
      <c r="A36700" s="2">
        <v>43875.213379629626</v>
      </c>
      <c r="B36700" t="str">
        <f>HYPERLINK("https://twitter.com/RinjaniJB","@RinjaniJB")</f>
        <v>@RinjaniJB</v>
      </c>
      <c r="C36700" t="s">
        <v>15141</v>
      </c>
      <c r="D36700">
        <v>2</v>
      </c>
      <c r="E36700">
        <v>0</v>
      </c>
      <c r="F36700">
        <v>19163</v>
      </c>
    </row>
    <row r="36701" spans="1:6" ht="12.75">
      <c r="A36701" s="2">
        <v>43875.213275462964</v>
      </c>
      <c r="B36701" t="str">
        <f>HYPERLINK("https://twitter.com/rafdaayu","@rafdaayu")</f>
        <v>@rafdaayu</v>
      </c>
      <c r="C36701" t="s">
        <v>2963</v>
      </c>
      <c r="D36701">
        <v>207</v>
      </c>
      <c r="E36701">
        <v>0</v>
      </c>
      <c r="F36701">
        <v>156</v>
      </c>
    </row>
    <row r="36702" spans="1:6" ht="12.75">
      <c r="A36702" s="2">
        <v>43875.213194444441</v>
      </c>
      <c r="B36702" t="str">
        <f>HYPERLINK("https://twitter.com/K_Ompu","@K_Ompu")</f>
        <v>@K_Ompu</v>
      </c>
      <c r="C36702" t="s">
        <v>10526</v>
      </c>
      <c r="D36702">
        <v>92</v>
      </c>
      <c r="E36702">
        <v>0</v>
      </c>
      <c r="F36702">
        <v>152</v>
      </c>
    </row>
    <row r="36703" spans="1:6" ht="12.75">
      <c r="A36703" s="2">
        <v>43875.213136574079</v>
      </c>
      <c r="B36703" t="str">
        <f>HYPERLINK("https://twitter.com/FYozze","@FYozze")</f>
        <v>@FYozze</v>
      </c>
      <c r="C36703" t="s">
        <v>2122</v>
      </c>
      <c r="D36703">
        <v>163</v>
      </c>
      <c r="E36703">
        <v>0</v>
      </c>
      <c r="F36703">
        <v>1348</v>
      </c>
    </row>
    <row r="36704" spans="1:6" ht="12.75">
      <c r="A36704" s="2">
        <v>43875.213067129633</v>
      </c>
      <c r="B36704" t="str">
        <f>HYPERLINK("https://twitter.com/bagasydhn","@bagasydhn")</f>
        <v>@bagasydhn</v>
      </c>
      <c r="C36704" t="s">
        <v>2963</v>
      </c>
      <c r="D36704">
        <v>207</v>
      </c>
      <c r="E36704">
        <v>0</v>
      </c>
      <c r="F36704">
        <v>108</v>
      </c>
    </row>
    <row r="36705" spans="1:6" ht="12.75">
      <c r="A36705" s="2">
        <v>43875.213055555556</v>
      </c>
      <c r="B36705" t="str">
        <f>HYPERLINK("https://twitter.com/tatamardu","@tatamardu")</f>
        <v>@tatamardu</v>
      </c>
      <c r="C36705" t="s">
        <v>11733</v>
      </c>
      <c r="D36705">
        <v>64</v>
      </c>
      <c r="E36705">
        <v>0</v>
      </c>
      <c r="F36705">
        <v>233</v>
      </c>
    </row>
    <row r="36706" spans="1:6" ht="12.75">
      <c r="A36706" s="2">
        <v>43875.212997685187</v>
      </c>
      <c r="B36706" t="str">
        <f>HYPERLINK("https://twitter.com/Verbum_Ang","@Verbum_Ang")</f>
        <v>@Verbum_Ang</v>
      </c>
      <c r="C36706" t="s">
        <v>2963</v>
      </c>
      <c r="D36706">
        <v>207</v>
      </c>
      <c r="E36706">
        <v>0</v>
      </c>
      <c r="F36706">
        <v>1404</v>
      </c>
    </row>
    <row r="36707" spans="1:6" ht="12.75">
      <c r="A36707" s="2">
        <v>43875.212962962964</v>
      </c>
      <c r="B36707" t="str">
        <f>HYPERLINK("https://twitter.com/bmustainah","@bmustainah")</f>
        <v>@bmustainah</v>
      </c>
      <c r="C36707" t="s">
        <v>2963</v>
      </c>
      <c r="D36707">
        <v>207</v>
      </c>
      <c r="E36707">
        <v>0</v>
      </c>
      <c r="F36707">
        <v>336</v>
      </c>
    </row>
    <row r="36708" spans="1:6" ht="12.75">
      <c r="A36708" s="2">
        <v>43875.21293981481</v>
      </c>
      <c r="B36708" t="str">
        <f>HYPERLINK("https://twitter.com/int4nm4rw4n","@int4nm4rw4n")</f>
        <v>@int4nm4rw4n</v>
      </c>
      <c r="C36708" t="s">
        <v>11071</v>
      </c>
      <c r="D36708">
        <v>49</v>
      </c>
      <c r="E36708">
        <v>0</v>
      </c>
      <c r="F36708">
        <v>412</v>
      </c>
    </row>
    <row r="36709" spans="1:6" ht="12.75">
      <c r="A36709" s="2">
        <v>43875.212905092594</v>
      </c>
      <c r="B36709" t="str">
        <f>HYPERLINK("https://twitter.com/CintaNKRI08","@CintaNKRI08")</f>
        <v>@CintaNKRI08</v>
      </c>
      <c r="C36709" t="s">
        <v>15145</v>
      </c>
      <c r="D36709">
        <v>2</v>
      </c>
      <c r="E36709">
        <v>7</v>
      </c>
      <c r="F36709">
        <v>6000</v>
      </c>
    </row>
    <row r="36710" spans="1:6" ht="12.75">
      <c r="A36710" s="2">
        <v>43875.212650462963</v>
      </c>
      <c r="B36710" t="str">
        <f>HYPERLINK("https://twitter.com/isis_alvesk","@isis_alvesk")</f>
        <v>@isis_alvesk</v>
      </c>
      <c r="C36710" t="s">
        <v>15146</v>
      </c>
      <c r="D36710">
        <v>0</v>
      </c>
      <c r="E36710">
        <v>1</v>
      </c>
      <c r="F36710">
        <v>336</v>
      </c>
    </row>
    <row r="36711" spans="1:6" ht="12.75">
      <c r="A36711" s="2">
        <v>43875.212476851855</v>
      </c>
      <c r="B36711" t="str">
        <f>HYPERLINK("https://twitter.com/AAlfatih18","@AAlfatih18")</f>
        <v>@AAlfatih18</v>
      </c>
      <c r="C36711" t="s">
        <v>2963</v>
      </c>
      <c r="D36711">
        <v>207</v>
      </c>
      <c r="E36711">
        <v>0</v>
      </c>
      <c r="F36711">
        <v>12</v>
      </c>
    </row>
    <row r="36712" spans="1:6" ht="12.75">
      <c r="A36712" s="2">
        <v>43875.212349537032</v>
      </c>
      <c r="B36712" t="str">
        <f>HYPERLINK("https://twitter.com/RinjaniJB","@RinjaniJB")</f>
        <v>@RinjaniJB</v>
      </c>
      <c r="C36712" t="s">
        <v>15139</v>
      </c>
      <c r="D36712">
        <v>2</v>
      </c>
      <c r="E36712">
        <v>0</v>
      </c>
      <c r="F36712">
        <v>19163</v>
      </c>
    </row>
    <row r="36713" spans="1:6" ht="12.75">
      <c r="A36713" s="2">
        <v>43875.212337962963</v>
      </c>
      <c r="B36713" t="str">
        <f>HYPERLINK("https://twitter.com/el_ghoffar","@el_ghoffar")</f>
        <v>@el_ghoffar</v>
      </c>
      <c r="C36713" t="s">
        <v>2963</v>
      </c>
      <c r="D36713">
        <v>207</v>
      </c>
      <c r="E36713">
        <v>0</v>
      </c>
      <c r="F36713">
        <v>313</v>
      </c>
    </row>
    <row r="36714" spans="1:6" ht="12.75">
      <c r="A36714" s="2">
        <v>43875.212337962963</v>
      </c>
      <c r="B36714" t="str">
        <f>HYPERLINK("https://twitter.com/Rob55584031","@Rob55584031")</f>
        <v>@Rob55584031</v>
      </c>
      <c r="C36714" t="s">
        <v>15147</v>
      </c>
      <c r="D36714">
        <v>0</v>
      </c>
      <c r="E36714">
        <v>0</v>
      </c>
      <c r="F36714">
        <v>11</v>
      </c>
    </row>
    <row r="36715" spans="1:6" ht="12.75">
      <c r="A36715" s="2">
        <v>43875.212233796294</v>
      </c>
      <c r="B36715" t="str">
        <f>HYPERLINK("https://twitter.com/pandapotan_tua","@pandapotan_tua")</f>
        <v>@pandapotan_tua</v>
      </c>
      <c r="C36715" t="s">
        <v>15148</v>
      </c>
      <c r="D36715">
        <v>4</v>
      </c>
      <c r="E36715">
        <v>0</v>
      </c>
      <c r="F36715">
        <v>1494</v>
      </c>
    </row>
    <row r="36716" spans="1:6" ht="12.75">
      <c r="A36716" s="2">
        <v>43875.212233796294</v>
      </c>
      <c r="B36716" t="str">
        <f>HYPERLINK("https://twitter.com/AchsultanN","@AchsultanN")</f>
        <v>@AchsultanN</v>
      </c>
      <c r="C36716" t="s">
        <v>15149</v>
      </c>
      <c r="D36716">
        <v>0</v>
      </c>
      <c r="E36716">
        <v>1</v>
      </c>
      <c r="F36716">
        <v>13</v>
      </c>
    </row>
    <row r="36717" spans="1:6" ht="12.75">
      <c r="A36717" s="2">
        <v>43875.212083333332</v>
      </c>
      <c r="B36717" t="str">
        <f>HYPERLINK("https://twitter.com/prytnma","@prytnma")</f>
        <v>@prytnma</v>
      </c>
      <c r="C36717" t="s">
        <v>9113</v>
      </c>
      <c r="D36717">
        <v>227</v>
      </c>
      <c r="E36717">
        <v>0</v>
      </c>
      <c r="F36717">
        <v>410</v>
      </c>
    </row>
    <row r="36718" spans="1:6" ht="12.75">
      <c r="A36718" s="2">
        <v>43875.211956018524</v>
      </c>
      <c r="B36718" t="str">
        <f>HYPERLINK("https://twitter.com/SOPA_1317","@SOPA_1317")</f>
        <v>@SOPA_1317</v>
      </c>
      <c r="C36718" t="s">
        <v>2963</v>
      </c>
      <c r="D36718">
        <v>207</v>
      </c>
      <c r="E36718">
        <v>0</v>
      </c>
      <c r="F36718">
        <v>461</v>
      </c>
    </row>
    <row r="36719" spans="1:6" ht="12.75">
      <c r="A36719" s="2">
        <v>43875.211909722224</v>
      </c>
      <c r="B36719" t="str">
        <f>HYPERLINK("https://twitter.com/woerit_wae","@woerit_wae")</f>
        <v>@woerit_wae</v>
      </c>
      <c r="C36719" t="s">
        <v>8233</v>
      </c>
      <c r="D36719">
        <v>243</v>
      </c>
      <c r="E36719">
        <v>0</v>
      </c>
      <c r="F36719">
        <v>336</v>
      </c>
    </row>
    <row r="36720" spans="1:6" ht="12.75">
      <c r="A36720" s="2">
        <v>43875.211898148147</v>
      </c>
      <c r="B36720" t="str">
        <f>HYPERLINK("https://twitter.com/araapriani78","@araapriani78")</f>
        <v>@araapriani78</v>
      </c>
      <c r="C36720" t="s">
        <v>2963</v>
      </c>
      <c r="D36720">
        <v>207</v>
      </c>
      <c r="E36720">
        <v>0</v>
      </c>
      <c r="F36720">
        <v>898</v>
      </c>
    </row>
    <row r="36721" spans="1:6" ht="12.75">
      <c r="A36721" s="2">
        <v>43875.211886574078</v>
      </c>
      <c r="B36721" t="str">
        <f>HYPERLINK("https://twitter.com/BudiatnoGomarus","@BudiatnoGomarus")</f>
        <v>@BudiatnoGomarus</v>
      </c>
      <c r="C36721" t="s">
        <v>2963</v>
      </c>
      <c r="D36721">
        <v>207</v>
      </c>
      <c r="E36721">
        <v>0</v>
      </c>
      <c r="F36721">
        <v>3559</v>
      </c>
    </row>
    <row r="36722" spans="1:6" ht="12.75">
      <c r="A36722" s="2">
        <v>43875.211817129632</v>
      </c>
      <c r="B36722" t="str">
        <f>HYPERLINK("https://twitter.com/kesamenkid","@kesamenkid")</f>
        <v>@kesamenkid</v>
      </c>
      <c r="C36722" t="s">
        <v>9119</v>
      </c>
      <c r="D36722">
        <v>39</v>
      </c>
      <c r="E36722">
        <v>0</v>
      </c>
      <c r="F36722">
        <v>155</v>
      </c>
    </row>
    <row r="36723" spans="1:6" ht="12.75">
      <c r="A36723" s="2">
        <v>43875.211817129632</v>
      </c>
      <c r="B36723" t="str">
        <f>HYPERLINK("https://twitter.com/krishnaae","@krishnaae")</f>
        <v>@krishnaae</v>
      </c>
      <c r="C36723" t="s">
        <v>2963</v>
      </c>
      <c r="D36723">
        <v>207</v>
      </c>
      <c r="E36723">
        <v>0</v>
      </c>
      <c r="F36723">
        <v>356</v>
      </c>
    </row>
    <row r="36724" spans="1:6" ht="12.75">
      <c r="A36724" s="2">
        <v>43875.211793981478</v>
      </c>
      <c r="B36724" t="str">
        <f>HYPERLINK("https://twitter.com/CintaNKRI08","@CintaNKRI08")</f>
        <v>@CintaNKRI08</v>
      </c>
      <c r="C36724" t="s">
        <v>10407</v>
      </c>
      <c r="D36724">
        <v>22</v>
      </c>
      <c r="E36724">
        <v>0</v>
      </c>
      <c r="F36724">
        <v>6000</v>
      </c>
    </row>
    <row r="36725" spans="1:6" ht="12.75">
      <c r="A36725" s="2">
        <v>43875.211770833332</v>
      </c>
      <c r="B36725" t="str">
        <f>HYPERLINK("https://twitter.com/Alvaro_Arvano","@Alvaro_Arvano")</f>
        <v>@Alvaro_Arvano</v>
      </c>
      <c r="C36725" t="s">
        <v>15150</v>
      </c>
      <c r="D36725">
        <v>0</v>
      </c>
      <c r="E36725">
        <v>0</v>
      </c>
      <c r="F36725">
        <v>0</v>
      </c>
    </row>
    <row r="36726" spans="1:6" ht="12.75">
      <c r="A36726" s="2">
        <v>43875.211736111116</v>
      </c>
      <c r="B36726" t="str">
        <f>HYPERLINK("https://twitter.com/ggombun","@ggombun")</f>
        <v>@ggombun</v>
      </c>
      <c r="C36726" t="s">
        <v>9021</v>
      </c>
      <c r="D36726">
        <v>128</v>
      </c>
      <c r="E36726">
        <v>0</v>
      </c>
      <c r="F36726">
        <v>525</v>
      </c>
    </row>
    <row r="36727" spans="1:6" ht="12.75">
      <c r="A36727" s="2">
        <v>43875.211655092593</v>
      </c>
      <c r="B36727" t="str">
        <f>HYPERLINK("https://twitter.com/cemarapacet","@cemarapacet")</f>
        <v>@cemarapacet</v>
      </c>
      <c r="C36727" t="s">
        <v>2963</v>
      </c>
      <c r="D36727">
        <v>207</v>
      </c>
      <c r="E36727">
        <v>0</v>
      </c>
      <c r="F36727">
        <v>1538</v>
      </c>
    </row>
    <row r="36728" spans="1:6" ht="12.75">
      <c r="A36728" s="2">
        <v>43875.211608796293</v>
      </c>
      <c r="B36728" t="str">
        <f>HYPERLINK("https://twitter.com/___TERSISIH_Q6R","@___TERSISIH_Q6R")</f>
        <v>@___TERSISIH_Q6R</v>
      </c>
      <c r="C36728" t="s">
        <v>10196</v>
      </c>
      <c r="D36728">
        <v>116</v>
      </c>
      <c r="E36728">
        <v>0</v>
      </c>
      <c r="F36728">
        <v>2284</v>
      </c>
    </row>
    <row r="36729" spans="1:6" ht="12.75">
      <c r="A36729" s="2">
        <v>43875.211550925931</v>
      </c>
      <c r="B36729" t="str">
        <f>HYPERLINK("https://twitter.com/boeton84","@boeton84")</f>
        <v>@boeton84</v>
      </c>
      <c r="C36729" t="s">
        <v>2963</v>
      </c>
      <c r="D36729">
        <v>207</v>
      </c>
      <c r="E36729">
        <v>0</v>
      </c>
      <c r="F36729">
        <v>2304</v>
      </c>
    </row>
    <row r="36730" spans="1:6" ht="12.75">
      <c r="A36730" s="2">
        <v>43875.211469907408</v>
      </c>
      <c r="B36730" t="str">
        <f>HYPERLINK("https://twitter.com/milaaaazr","@milaaaazr")</f>
        <v>@milaaaazr</v>
      </c>
      <c r="C36730" t="s">
        <v>2963</v>
      </c>
      <c r="D36730">
        <v>207</v>
      </c>
      <c r="E36730">
        <v>0</v>
      </c>
      <c r="F36730">
        <v>8</v>
      </c>
    </row>
    <row r="36731" spans="1:6" ht="12.75">
      <c r="A36731" s="2">
        <v>43875.211423611108</v>
      </c>
      <c r="B36731" t="str">
        <f>HYPERLINK("https://twitter.com/BHD_8","@BHD_8")</f>
        <v>@BHD_8</v>
      </c>
      <c r="C36731" t="s">
        <v>10542</v>
      </c>
      <c r="D36731">
        <v>120</v>
      </c>
      <c r="E36731">
        <v>0</v>
      </c>
      <c r="F36731">
        <v>12131</v>
      </c>
    </row>
    <row r="36732" spans="1:6" ht="12.75">
      <c r="A36732" s="2">
        <v>43875.211388888885</v>
      </c>
      <c r="B36732" t="str">
        <f>HYPERLINK("https://twitter.com/NilaKencana8","@NilaKencana8")</f>
        <v>@NilaKencana8</v>
      </c>
      <c r="C36732" t="s">
        <v>15151</v>
      </c>
      <c r="D36732">
        <v>2</v>
      </c>
      <c r="E36732">
        <v>5</v>
      </c>
      <c r="F36732">
        <v>4495</v>
      </c>
    </row>
    <row r="36733" spans="1:6" ht="12.75">
      <c r="A36733" s="2">
        <v>43875.211388888885</v>
      </c>
      <c r="B36733" t="str">
        <f>HYPERLINK("https://twitter.com/BHD_8","@BHD_8")</f>
        <v>@BHD_8</v>
      </c>
      <c r="C36733" t="s">
        <v>15152</v>
      </c>
      <c r="D36733">
        <v>2</v>
      </c>
      <c r="E36733">
        <v>2</v>
      </c>
      <c r="F36733">
        <v>12131</v>
      </c>
    </row>
    <row r="36734" spans="1:6" ht="12.75">
      <c r="A36734" s="2">
        <v>43875.211365740739</v>
      </c>
      <c r="B36734" t="str">
        <f>HYPERLINK("https://twitter.com/NyiGiri","@NyiGiri")</f>
        <v>@NyiGiri</v>
      </c>
      <c r="C36734" t="s">
        <v>2963</v>
      </c>
      <c r="D36734">
        <v>207</v>
      </c>
      <c r="E36734">
        <v>0</v>
      </c>
      <c r="F36734">
        <v>3548</v>
      </c>
    </row>
    <row r="36735" spans="1:6" ht="12.75">
      <c r="A36735" s="2">
        <v>43875.21125</v>
      </c>
      <c r="B36735" t="str">
        <f>HYPERLINK("https://twitter.com/idenyaedi","@idenyaedi")</f>
        <v>@idenyaedi</v>
      </c>
      <c r="C36735" t="s">
        <v>2963</v>
      </c>
      <c r="D36735">
        <v>207</v>
      </c>
      <c r="E36735">
        <v>0</v>
      </c>
      <c r="F36735">
        <v>208</v>
      </c>
    </row>
    <row r="36736" spans="1:6" ht="12.75">
      <c r="A36736" s="2">
        <v>43875.211238425924</v>
      </c>
      <c r="B36736" t="str">
        <f>HYPERLINK("https://twitter.com/amirsyahoke","@amirsyahoke")</f>
        <v>@amirsyahoke</v>
      </c>
      <c r="C36736" t="s">
        <v>2963</v>
      </c>
      <c r="D36736">
        <v>207</v>
      </c>
      <c r="E36736">
        <v>0</v>
      </c>
      <c r="F36736">
        <v>438</v>
      </c>
    </row>
    <row r="36737" spans="1:6" ht="12.75">
      <c r="A36737" s="2">
        <v>43875.211111111115</v>
      </c>
      <c r="B36737" t="str">
        <f>HYPERLINK("https://twitter.com/CintaNKRI08","@CintaNKRI08")</f>
        <v>@CintaNKRI08</v>
      </c>
      <c r="C36737" t="s">
        <v>15145</v>
      </c>
      <c r="D36737">
        <v>22</v>
      </c>
      <c r="E36737">
        <v>48</v>
      </c>
      <c r="F36737">
        <v>6000</v>
      </c>
    </row>
    <row r="36738" spans="1:6" ht="12.75">
      <c r="A36738" s="2">
        <v>43875.211053240739</v>
      </c>
      <c r="B36738" t="str">
        <f>HYPERLINK("https://twitter.com/sangamei","@sangamei")</f>
        <v>@sangamei</v>
      </c>
      <c r="C36738" t="s">
        <v>2963</v>
      </c>
      <c r="D36738">
        <v>207</v>
      </c>
      <c r="E36738">
        <v>0</v>
      </c>
      <c r="F36738">
        <v>1608</v>
      </c>
    </row>
    <row r="36739" spans="1:6" ht="12.75">
      <c r="A36739" s="2">
        <v>43875.211018518516</v>
      </c>
      <c r="B36739" t="str">
        <f>HYPERLINK("https://twitter.com/RivaldiZakie","@RivaldiZakie")</f>
        <v>@RivaldiZakie</v>
      </c>
      <c r="C36739" t="s">
        <v>2963</v>
      </c>
      <c r="D36739">
        <v>207</v>
      </c>
      <c r="E36739">
        <v>0</v>
      </c>
      <c r="F36739">
        <v>15</v>
      </c>
    </row>
    <row r="36740" spans="1:6" ht="12.75">
      <c r="A36740" s="2">
        <v>43875.21092592593</v>
      </c>
      <c r="B36740" t="str">
        <f>HYPERLINK("https://twitter.com/A_akbar9","@A_akbar9")</f>
        <v>@A_akbar9</v>
      </c>
      <c r="C36740" t="s">
        <v>2963</v>
      </c>
      <c r="D36740">
        <v>207</v>
      </c>
      <c r="E36740">
        <v>0</v>
      </c>
      <c r="F36740">
        <v>255</v>
      </c>
    </row>
    <row r="36741" spans="1:6" ht="12.75">
      <c r="A36741" s="2">
        <v>43875.210833333331</v>
      </c>
      <c r="B36741" t="str">
        <f>HYPERLINK("https://twitter.com/TiaSari_93","@TiaSari_93")</f>
        <v>@TiaSari_93</v>
      </c>
      <c r="C36741" t="s">
        <v>2963</v>
      </c>
      <c r="D36741">
        <v>207</v>
      </c>
      <c r="E36741">
        <v>0</v>
      </c>
      <c r="F36741">
        <v>362</v>
      </c>
    </row>
    <row r="36742" spans="1:6" ht="12.75">
      <c r="A36742" s="2">
        <v>43875.210752314815</v>
      </c>
      <c r="B36742" t="str">
        <f>HYPERLINK("https://twitter.com/AChamplads","@AChamplads")</f>
        <v>@AChamplads</v>
      </c>
      <c r="C36742" t="s">
        <v>15153</v>
      </c>
      <c r="D36742">
        <v>0</v>
      </c>
      <c r="E36742">
        <v>0</v>
      </c>
      <c r="F36742">
        <v>29</v>
      </c>
    </row>
    <row r="36743" spans="1:6" ht="12.75">
      <c r="A36743" s="2">
        <v>43875.210729166662</v>
      </c>
      <c r="B36743" t="str">
        <f>HYPERLINK("https://twitter.com/hilmanmunawar","@hilmanmunawar")</f>
        <v>@hilmanmunawar</v>
      </c>
      <c r="C36743" t="s">
        <v>2963</v>
      </c>
      <c r="D36743">
        <v>207</v>
      </c>
      <c r="E36743">
        <v>0</v>
      </c>
      <c r="F36743">
        <v>188</v>
      </c>
    </row>
    <row r="36744" spans="1:6" ht="12.75">
      <c r="A36744" s="2">
        <v>43875.210717592592</v>
      </c>
      <c r="B36744" t="str">
        <f>HYPERLINK("https://twitter.com/CahAbhirup","@CahAbhirup")</f>
        <v>@CahAbhirup</v>
      </c>
      <c r="C36744" t="s">
        <v>2963</v>
      </c>
      <c r="D36744">
        <v>207</v>
      </c>
      <c r="E36744">
        <v>0</v>
      </c>
      <c r="F36744">
        <v>52</v>
      </c>
    </row>
    <row r="36745" spans="1:6" ht="12.75">
      <c r="A36745" s="2">
        <v>43875.210648148146</v>
      </c>
      <c r="B36745" t="str">
        <f>HYPERLINK("https://twitter.com/J4lakBali","@J4lakBali")</f>
        <v>@J4lakBali</v>
      </c>
      <c r="C36745" t="s">
        <v>15148</v>
      </c>
      <c r="D36745">
        <v>4</v>
      </c>
      <c r="E36745">
        <v>0</v>
      </c>
      <c r="F36745">
        <v>2430</v>
      </c>
    </row>
    <row r="36746" spans="1:6" ht="12.75">
      <c r="A36746" s="2">
        <v>43875.210543981477</v>
      </c>
      <c r="B36746" t="str">
        <f>HYPERLINK("https://twitter.com/wahyu_aditya49","@wahyu_aditya49")</f>
        <v>@wahyu_aditya49</v>
      </c>
      <c r="C36746" t="s">
        <v>2963</v>
      </c>
      <c r="D36746">
        <v>207</v>
      </c>
      <c r="E36746">
        <v>0</v>
      </c>
      <c r="F36746">
        <v>109</v>
      </c>
    </row>
    <row r="36747" spans="1:6" ht="12.75">
      <c r="A36747" s="2">
        <v>43875.210509259261</v>
      </c>
      <c r="B36747" t="str">
        <f>HYPERLINK("https://twitter.com/Tiara_jkt","@Tiara_jkt")</f>
        <v>@Tiara_jkt</v>
      </c>
      <c r="C36747" t="s">
        <v>12849</v>
      </c>
      <c r="D36747">
        <v>56</v>
      </c>
      <c r="E36747">
        <v>0</v>
      </c>
      <c r="F36747">
        <v>1162</v>
      </c>
    </row>
    <row r="36748" spans="1:6" ht="12.75">
      <c r="A36748" s="2">
        <v>43875.210347222222</v>
      </c>
      <c r="B36748" t="str">
        <f>HYPERLINK("https://twitter.com/indovoices_com","@indovoices_com")</f>
        <v>@indovoices_com</v>
      </c>
      <c r="C36748" t="s">
        <v>15154</v>
      </c>
      <c r="D36748">
        <v>0</v>
      </c>
      <c r="E36748">
        <v>0</v>
      </c>
      <c r="F36748">
        <v>121</v>
      </c>
    </row>
    <row r="36749" spans="1:6" ht="12.75">
      <c r="A36749" s="2">
        <v>43875.210289351853</v>
      </c>
      <c r="B36749" t="str">
        <f>HYPERLINK("https://twitter.com/soenardo","@soenardo")</f>
        <v>@soenardo</v>
      </c>
      <c r="C36749" t="s">
        <v>15154</v>
      </c>
      <c r="D36749">
        <v>0</v>
      </c>
      <c r="E36749">
        <v>0</v>
      </c>
      <c r="F36749">
        <v>50</v>
      </c>
    </row>
    <row r="36750" spans="1:6" ht="12.75">
      <c r="A36750" s="2">
        <v>43875.210277777776</v>
      </c>
      <c r="B36750" t="str">
        <f>HYPERLINK("https://twitter.com/apriwahari","@apriwahari")</f>
        <v>@apriwahari</v>
      </c>
      <c r="C36750" t="s">
        <v>10330</v>
      </c>
      <c r="D36750">
        <v>184</v>
      </c>
      <c r="E36750">
        <v>0</v>
      </c>
      <c r="F36750">
        <v>62</v>
      </c>
    </row>
    <row r="36751" spans="1:6" ht="12.75">
      <c r="A36751" s="2">
        <v>43875.210115740745</v>
      </c>
      <c r="B36751" t="str">
        <f>HYPERLINK("https://twitter.com/mohmahfudmd","@mohmahfudmd")</f>
        <v>@mohmahfudmd</v>
      </c>
      <c r="C36751" t="s">
        <v>14892</v>
      </c>
      <c r="D36751">
        <v>207</v>
      </c>
      <c r="E36751">
        <v>649</v>
      </c>
      <c r="F36751">
        <v>3221909</v>
      </c>
    </row>
    <row r="36752" spans="1:6" ht="12.75">
      <c r="A36752" s="2">
        <v>43875.209814814814</v>
      </c>
      <c r="B36752" t="str">
        <f>HYPERLINK("https://twitter.com/BPJSTKinfo","@BPJSTKinfo")</f>
        <v>@BPJSTKinfo</v>
      </c>
      <c r="C36752" t="s">
        <v>15155</v>
      </c>
      <c r="D36752">
        <v>0</v>
      </c>
      <c r="E36752">
        <v>0</v>
      </c>
      <c r="F36752">
        <v>88745</v>
      </c>
    </row>
    <row r="36753" spans="1:6" ht="12.75">
      <c r="A36753" s="2">
        <v>43875.209791666668</v>
      </c>
      <c r="B36753" t="str">
        <f>HYPERLINK("https://twitter.com/KamaruddinUddin","@KamaruddinUddin")</f>
        <v>@KamaruddinUddin</v>
      </c>
      <c r="C36753" t="s">
        <v>15156</v>
      </c>
      <c r="D36753">
        <v>0</v>
      </c>
      <c r="E36753">
        <v>0</v>
      </c>
      <c r="F36753">
        <v>1</v>
      </c>
    </row>
    <row r="36754" spans="1:6" ht="12.75">
      <c r="A36754" s="2">
        <v>43875.209733796291</v>
      </c>
      <c r="B36754" t="str">
        <f>HYPERLINK("https://twitter.com/HarryEshage","@HarryEshage")</f>
        <v>@HarryEshage</v>
      </c>
      <c r="C36754" t="s">
        <v>15157</v>
      </c>
      <c r="D36754">
        <v>0</v>
      </c>
      <c r="E36754">
        <v>0</v>
      </c>
      <c r="F36754">
        <v>0</v>
      </c>
    </row>
    <row r="36755" spans="1:6" ht="12.75">
      <c r="A36755" s="2">
        <v>43875.209699074076</v>
      </c>
      <c r="B36755" t="str">
        <f>HYPERLINK("https://twitter.com/BillTemporo","@BillTemporo")</f>
        <v>@BillTemporo</v>
      </c>
      <c r="C36755" t="s">
        <v>889</v>
      </c>
      <c r="D36755">
        <v>0</v>
      </c>
      <c r="E36755">
        <v>0</v>
      </c>
      <c r="F36755">
        <v>11</v>
      </c>
    </row>
    <row r="36756" spans="1:6" ht="12.75">
      <c r="A36756" s="2">
        <v>43875.209155092598</v>
      </c>
      <c r="B36756" t="str">
        <f>HYPERLINK("https://twitter.com/GilangGumilarDS","@GilangGumilarDS")</f>
        <v>@GilangGumilarDS</v>
      </c>
      <c r="C36756" t="s">
        <v>15158</v>
      </c>
      <c r="D36756">
        <v>10</v>
      </c>
      <c r="E36756">
        <v>0</v>
      </c>
      <c r="F36756">
        <v>219</v>
      </c>
    </row>
    <row r="36757" spans="1:6" ht="12.75">
      <c r="A36757" s="2">
        <v>43875.208958333329</v>
      </c>
      <c r="B36757" t="str">
        <f>HYPERLINK("https://twitter.com/FirhansyahAlpr1","@FirhansyahAlpr1")</f>
        <v>@FirhansyahAlpr1</v>
      </c>
      <c r="C36757" t="s">
        <v>9263</v>
      </c>
      <c r="D36757">
        <v>61</v>
      </c>
      <c r="E36757">
        <v>0</v>
      </c>
      <c r="F36757">
        <v>8</v>
      </c>
    </row>
    <row r="36758" spans="1:6" ht="12.75">
      <c r="A36758" s="2">
        <v>43875.208854166667</v>
      </c>
      <c r="B36758" t="str">
        <f>HYPERLINK("https://twitter.com/permadimoest","@permadimoest")</f>
        <v>@permadimoest</v>
      </c>
      <c r="C36758" t="s">
        <v>8252</v>
      </c>
      <c r="D36758">
        <v>469</v>
      </c>
      <c r="E36758">
        <v>0</v>
      </c>
      <c r="F36758">
        <v>3</v>
      </c>
    </row>
    <row r="36759" spans="1:6" ht="12.75">
      <c r="A36759" s="2">
        <v>43875.208703703705</v>
      </c>
      <c r="B36759" t="str">
        <f>HYPERLINK("https://twitter.com/JagoanMelon","@JagoanMelon")</f>
        <v>@JagoanMelon</v>
      </c>
      <c r="C36759" t="s">
        <v>15159</v>
      </c>
      <c r="D36759">
        <v>0</v>
      </c>
      <c r="E36759">
        <v>0</v>
      </c>
      <c r="F36759">
        <v>453</v>
      </c>
    </row>
    <row r="36760" spans="1:6" ht="12.75">
      <c r="A36760" s="2">
        <v>43875.208692129629</v>
      </c>
      <c r="B36760" t="str">
        <f>HYPERLINK("https://twitter.com/AyummaTanaka","@AyummaTanaka")</f>
        <v>@AyummaTanaka</v>
      </c>
      <c r="C36760" t="s">
        <v>2161</v>
      </c>
      <c r="D36760">
        <v>0</v>
      </c>
      <c r="E36760">
        <v>0</v>
      </c>
      <c r="F36760">
        <v>1097</v>
      </c>
    </row>
    <row r="36761" spans="1:6" ht="12.75">
      <c r="A36761" s="2">
        <v>43875.208090277782</v>
      </c>
      <c r="B36761" t="str">
        <f>HYPERLINK("https://twitter.com/toshiohohohoho","@toshiohohohoho")</f>
        <v>@toshiohohohoho</v>
      </c>
      <c r="C36761" t="s">
        <v>9964</v>
      </c>
      <c r="D36761">
        <v>458</v>
      </c>
      <c r="E36761">
        <v>0</v>
      </c>
      <c r="F36761">
        <v>102</v>
      </c>
    </row>
    <row r="36762" spans="1:6" ht="12.75">
      <c r="A36762" s="2">
        <v>43875.207962962959</v>
      </c>
      <c r="B36762" t="str">
        <f>HYPERLINK("https://twitter.com/FajarThama","@FajarThama")</f>
        <v>@FajarThama</v>
      </c>
      <c r="C36762" t="s">
        <v>15160</v>
      </c>
      <c r="D36762">
        <v>1</v>
      </c>
      <c r="E36762">
        <v>0</v>
      </c>
      <c r="F36762">
        <v>217</v>
      </c>
    </row>
    <row r="36763" spans="1:6" ht="12.75">
      <c r="A36763" s="2">
        <v>43875.207731481481</v>
      </c>
      <c r="B36763" t="str">
        <f>HYPERLINK("https://twitter.com/Bubut871","@Bubut871")</f>
        <v>@Bubut871</v>
      </c>
      <c r="C36763" t="s">
        <v>15161</v>
      </c>
      <c r="D36763">
        <v>3</v>
      </c>
      <c r="E36763">
        <v>0</v>
      </c>
      <c r="F36763">
        <v>1615</v>
      </c>
    </row>
    <row r="36764" spans="1:6" ht="12.75">
      <c r="A36764" s="2">
        <v>43875.207615740743</v>
      </c>
      <c r="B36764" t="str">
        <f>HYPERLINK("https://twitter.com/trah1967","@trah1967")</f>
        <v>@trah1967</v>
      </c>
      <c r="C36764" t="s">
        <v>9538</v>
      </c>
      <c r="D36764">
        <v>69</v>
      </c>
      <c r="E36764">
        <v>0</v>
      </c>
      <c r="F36764">
        <v>1962</v>
      </c>
    </row>
    <row r="36765" spans="1:6" ht="12.75">
      <c r="A36765" s="2">
        <v>43875.207476851851</v>
      </c>
      <c r="B36765" t="str">
        <f>HYPERLINK("https://twitter.com/KamaruddinUddin","@KamaruddinUddin")</f>
        <v>@KamaruddinUddin</v>
      </c>
      <c r="C36765" t="s">
        <v>15162</v>
      </c>
      <c r="D36765">
        <v>0</v>
      </c>
      <c r="E36765">
        <v>0</v>
      </c>
      <c r="F36765">
        <v>1</v>
      </c>
    </row>
    <row r="36766" spans="1:6" ht="12.75">
      <c r="A36766" s="2">
        <v>43875.207268518519</v>
      </c>
      <c r="B36766" t="str">
        <f>HYPERLINK("https://twitter.com/K_Ompu","@K_Ompu")</f>
        <v>@K_Ompu</v>
      </c>
      <c r="C36766" t="s">
        <v>11425</v>
      </c>
      <c r="D36766">
        <v>168</v>
      </c>
      <c r="E36766">
        <v>0</v>
      </c>
      <c r="F36766">
        <v>152</v>
      </c>
    </row>
    <row r="36767" spans="1:6" ht="12.75">
      <c r="A36767" s="2">
        <v>43875.20716435185</v>
      </c>
      <c r="B36767" t="str">
        <f>HYPERLINK("https://twitter.com/MohammadKhafi12","@MohammadKhafi12")</f>
        <v>@MohammadKhafi12</v>
      </c>
      <c r="C36767" t="s">
        <v>15163</v>
      </c>
      <c r="D36767">
        <v>0</v>
      </c>
      <c r="E36767">
        <v>0</v>
      </c>
      <c r="F36767">
        <v>667</v>
      </c>
    </row>
    <row r="36768" spans="1:6" ht="12.75">
      <c r="A36768" s="2">
        <v>43875.206956018519</v>
      </c>
      <c r="B36768" t="str">
        <f>HYPERLINK("https://twitter.com/lord_sbt","@lord_sbt")</f>
        <v>@lord_sbt</v>
      </c>
      <c r="C36768" t="s">
        <v>15164</v>
      </c>
      <c r="D36768">
        <v>0</v>
      </c>
      <c r="E36768">
        <v>0</v>
      </c>
      <c r="F36768">
        <v>709</v>
      </c>
    </row>
    <row r="36769" spans="1:6" ht="12.75">
      <c r="A36769" s="2">
        <v>43875.206469907411</v>
      </c>
      <c r="B36769" t="str">
        <f>HYPERLINK("https://twitter.com/apriwahari","@apriwahari")</f>
        <v>@apriwahari</v>
      </c>
      <c r="C36769" t="s">
        <v>8881</v>
      </c>
      <c r="D36769">
        <v>242</v>
      </c>
      <c r="E36769">
        <v>0</v>
      </c>
      <c r="F36769">
        <v>62</v>
      </c>
    </row>
    <row r="36770" spans="1:6" ht="12.75">
      <c r="A36770" s="2">
        <v>43875.206354166672</v>
      </c>
      <c r="B36770" t="str">
        <f>HYPERLINK("https://twitter.com/marthinleeh","@marthinleeh")</f>
        <v>@marthinleeh</v>
      </c>
      <c r="C36770" t="s">
        <v>15165</v>
      </c>
      <c r="D36770">
        <v>0</v>
      </c>
      <c r="E36770">
        <v>0</v>
      </c>
      <c r="F36770">
        <v>357</v>
      </c>
    </row>
    <row r="36771" spans="1:6" ht="12.75">
      <c r="A36771" s="2">
        <v>43875.206203703703</v>
      </c>
      <c r="B36771" t="str">
        <f>HYPERLINK("https://twitter.com/AMRONboy","@AMRONboy")</f>
        <v>@AMRONboy</v>
      </c>
      <c r="C36771" t="s">
        <v>15166</v>
      </c>
      <c r="D36771">
        <v>0</v>
      </c>
      <c r="E36771">
        <v>0</v>
      </c>
      <c r="F36771">
        <v>31</v>
      </c>
    </row>
    <row r="36772" spans="1:6" ht="12.75">
      <c r="A36772" s="2">
        <v>43875.205520833333</v>
      </c>
      <c r="B36772" t="str">
        <f>HYPERLINK("https://twitter.com/lord_sbt","@lord_sbt")</f>
        <v>@lord_sbt</v>
      </c>
      <c r="C36772" t="s">
        <v>10542</v>
      </c>
      <c r="D36772">
        <v>120</v>
      </c>
      <c r="E36772">
        <v>0</v>
      </c>
      <c r="F36772">
        <v>709</v>
      </c>
    </row>
    <row r="36773" spans="1:6" ht="12.75">
      <c r="A36773" s="2">
        <v>43875.205416666664</v>
      </c>
      <c r="B36773" t="str">
        <f>HYPERLINK("https://twitter.com/rian76cupy","@rian76cupy")</f>
        <v>@rian76cupy</v>
      </c>
      <c r="C36773" t="s">
        <v>15167</v>
      </c>
      <c r="D36773">
        <v>0</v>
      </c>
      <c r="E36773">
        <v>0</v>
      </c>
      <c r="F36773">
        <v>202</v>
      </c>
    </row>
    <row r="36774" spans="1:6" ht="12.75">
      <c r="A36774" s="2">
        <v>43875.205011574071</v>
      </c>
      <c r="B36774" t="str">
        <f>HYPERLINK("https://twitter.com/NShofi_","@NShofi_")</f>
        <v>@NShofi_</v>
      </c>
      <c r="C36774" t="s">
        <v>9964</v>
      </c>
      <c r="D36774">
        <v>458</v>
      </c>
      <c r="E36774">
        <v>0</v>
      </c>
      <c r="F36774">
        <v>30</v>
      </c>
    </row>
    <row r="36775" spans="1:6" ht="12.75">
      <c r="A36775" s="2">
        <v>43875.204988425925</v>
      </c>
      <c r="B36775" t="str">
        <f>HYPERLINK("https://twitter.com/damayaja2","@damayaja2")</f>
        <v>@damayaja2</v>
      </c>
      <c r="C36775" t="s">
        <v>11390</v>
      </c>
      <c r="D36775">
        <v>69</v>
      </c>
      <c r="E36775">
        <v>0</v>
      </c>
      <c r="F36775">
        <v>19</v>
      </c>
    </row>
    <row r="36776" spans="1:6" ht="12.75">
      <c r="A36776" s="2">
        <v>43875.204965277779</v>
      </c>
      <c r="B36776" t="str">
        <f>HYPERLINK("https://twitter.com/Tiara_jkt","@Tiara_jkt")</f>
        <v>@Tiara_jkt</v>
      </c>
      <c r="C36776" t="s">
        <v>13985</v>
      </c>
      <c r="D36776">
        <v>9</v>
      </c>
      <c r="E36776">
        <v>0</v>
      </c>
      <c r="F36776">
        <v>1162</v>
      </c>
    </row>
    <row r="36777" spans="1:6" ht="12.75">
      <c r="A36777" s="2">
        <v>43875.20480324074</v>
      </c>
      <c r="B36777" t="str">
        <f>HYPERLINK("https://twitter.com/MohammadKhafi12","@MohammadKhafi12")</f>
        <v>@MohammadKhafi12</v>
      </c>
      <c r="C36777" t="s">
        <v>15168</v>
      </c>
      <c r="D36777">
        <v>0</v>
      </c>
      <c r="E36777">
        <v>0</v>
      </c>
      <c r="F36777">
        <v>667</v>
      </c>
    </row>
    <row r="36778" spans="1:6" ht="12.75">
      <c r="A36778" s="2">
        <v>43875.204699074078</v>
      </c>
      <c r="B36778" t="str">
        <f>HYPERLINK("https://twitter.com/maridup_m","@maridup_m")</f>
        <v>@maridup_m</v>
      </c>
      <c r="C36778" t="s">
        <v>10462</v>
      </c>
      <c r="D36778">
        <v>220</v>
      </c>
      <c r="E36778">
        <v>0</v>
      </c>
      <c r="F36778">
        <v>19</v>
      </c>
    </row>
    <row r="36779" spans="1:6" ht="12.75">
      <c r="A36779" s="2">
        <v>43875.20447916667</v>
      </c>
      <c r="B36779" t="str">
        <f>HYPERLINK("https://twitter.com/soem_art","@soem_art")</f>
        <v>@soem_art</v>
      </c>
      <c r="C36779" t="s">
        <v>2134</v>
      </c>
      <c r="D36779">
        <v>975</v>
      </c>
      <c r="E36779">
        <v>0</v>
      </c>
      <c r="F36779">
        <v>633</v>
      </c>
    </row>
    <row r="36780" spans="1:6" ht="12.75">
      <c r="A36780" s="2">
        <v>43875.204328703709</v>
      </c>
      <c r="B36780" t="str">
        <f>HYPERLINK("https://twitter.com/jovizky","@jovizky")</f>
        <v>@jovizky</v>
      </c>
      <c r="C36780" t="s">
        <v>12834</v>
      </c>
      <c r="D36780">
        <v>410</v>
      </c>
      <c r="E36780">
        <v>0</v>
      </c>
      <c r="F36780">
        <v>242</v>
      </c>
    </row>
    <row r="36781" spans="1:6" ht="12.75">
      <c r="A36781" s="2">
        <v>43875.204016203701</v>
      </c>
      <c r="B36781" t="str">
        <f>HYPERLINK("https://twitter.com/marthinleeh","@marthinleeh")</f>
        <v>@marthinleeh</v>
      </c>
      <c r="C36781" t="s">
        <v>10957</v>
      </c>
      <c r="D36781">
        <v>43</v>
      </c>
      <c r="E36781">
        <v>0</v>
      </c>
      <c r="F36781">
        <v>357</v>
      </c>
    </row>
    <row r="36782" spans="1:6" ht="12.75">
      <c r="A36782" s="2">
        <v>43875.203935185185</v>
      </c>
      <c r="B36782" t="str">
        <f>HYPERLINK("https://twitter.com/kopral_jon00","@kopral_jon00")</f>
        <v>@kopral_jon00</v>
      </c>
      <c r="C36782" t="s">
        <v>12080</v>
      </c>
      <c r="D36782">
        <v>11</v>
      </c>
      <c r="E36782">
        <v>0</v>
      </c>
      <c r="F36782">
        <v>807</v>
      </c>
    </row>
    <row r="36783" spans="1:6" ht="12.75">
      <c r="A36783" s="2">
        <v>43875.203796296293</v>
      </c>
      <c r="B36783" t="str">
        <f>HYPERLINK("https://twitter.com/LadangGersang","@LadangGersang")</f>
        <v>@LadangGersang</v>
      </c>
      <c r="C36783" t="s">
        <v>15169</v>
      </c>
      <c r="D36783">
        <v>0</v>
      </c>
      <c r="E36783">
        <v>0</v>
      </c>
      <c r="F36783">
        <v>20</v>
      </c>
    </row>
    <row r="36784" spans="1:6" ht="12.75">
      <c r="A36784" s="2">
        <v>43875.203541666662</v>
      </c>
      <c r="B36784" t="str">
        <f>HYPERLINK("https://twitter.com/K_Ompu","@K_Ompu")</f>
        <v>@K_Ompu</v>
      </c>
      <c r="C36784" t="s">
        <v>2122</v>
      </c>
      <c r="D36784">
        <v>163</v>
      </c>
      <c r="E36784">
        <v>0</v>
      </c>
      <c r="F36784">
        <v>152</v>
      </c>
    </row>
    <row r="36785" spans="1:6" ht="12.75">
      <c r="A36785" s="2">
        <v>43875.203449074077</v>
      </c>
      <c r="B36785" t="str">
        <f>HYPERLINK("https://twitter.com/Koces871","@Koces871")</f>
        <v>@Koces871</v>
      </c>
      <c r="C36785" t="s">
        <v>11121</v>
      </c>
      <c r="D36785">
        <v>9</v>
      </c>
      <c r="E36785">
        <v>0</v>
      </c>
      <c r="F36785">
        <v>1722</v>
      </c>
    </row>
    <row r="36786" spans="1:6" ht="12.75">
      <c r="A36786" s="2">
        <v>43875.203356481477</v>
      </c>
      <c r="B36786" t="str">
        <f>HYPERLINK("https://twitter.com/Lukman88755658","@Lukman88755658")</f>
        <v>@Lukman88755658</v>
      </c>
      <c r="C36786" t="s">
        <v>15170</v>
      </c>
      <c r="D36786">
        <v>3</v>
      </c>
      <c r="E36786">
        <v>0</v>
      </c>
      <c r="F36786">
        <v>298</v>
      </c>
    </row>
    <row r="36787" spans="1:6" ht="12.75">
      <c r="A36787" s="2">
        <v>43875.203090277777</v>
      </c>
      <c r="B36787" t="str">
        <f>HYPERLINK("https://twitter.com/NandoMagnifico","@NandoMagnifico")</f>
        <v>@NandoMagnifico</v>
      </c>
      <c r="C36787" t="s">
        <v>9021</v>
      </c>
      <c r="D36787">
        <v>128</v>
      </c>
      <c r="E36787">
        <v>0</v>
      </c>
      <c r="F36787">
        <v>221</v>
      </c>
    </row>
    <row r="36788" spans="1:6" ht="12.75">
      <c r="A36788" s="2">
        <v>43875.202962962961</v>
      </c>
      <c r="B36788" t="str">
        <f>HYPERLINK("https://twitter.com/Lukman88755658","@Lukman88755658")</f>
        <v>@Lukman88755658</v>
      </c>
      <c r="C36788" t="s">
        <v>12794</v>
      </c>
      <c r="D36788">
        <v>65</v>
      </c>
      <c r="E36788">
        <v>0</v>
      </c>
      <c r="F36788">
        <v>298</v>
      </c>
    </row>
    <row r="36789" spans="1:6" ht="12.75">
      <c r="A36789" s="2">
        <v>43875.202523148153</v>
      </c>
      <c r="B36789" t="str">
        <f>HYPERLINK("https://twitter.com/MohammadKhafi12","@MohammadKhafi12")</f>
        <v>@MohammadKhafi12</v>
      </c>
      <c r="C36789" t="s">
        <v>15171</v>
      </c>
      <c r="D36789">
        <v>0</v>
      </c>
      <c r="E36789">
        <v>0</v>
      </c>
      <c r="F36789">
        <v>667</v>
      </c>
    </row>
    <row r="36790" spans="1:6" ht="12.75">
      <c r="A36790" s="2">
        <v>43875.202476851853</v>
      </c>
      <c r="B36790" t="str">
        <f>HYPERLINK("https://twitter.com/Kertadimedja81","@Kertadimedja81")</f>
        <v>@Kertadimedja81</v>
      </c>
      <c r="C36790" t="s">
        <v>15172</v>
      </c>
      <c r="D36790">
        <v>2</v>
      </c>
      <c r="E36790">
        <v>3</v>
      </c>
      <c r="F36790">
        <v>50</v>
      </c>
    </row>
    <row r="36791" spans="1:6" ht="12.75">
      <c r="A36791" s="2">
        <v>43875.202372685184</v>
      </c>
      <c r="B36791" t="str">
        <f>HYPERLINK("https://twitter.com/aubertvin1","@aubertvin1")</f>
        <v>@aubertvin1</v>
      </c>
      <c r="C36791" t="s">
        <v>15173</v>
      </c>
      <c r="D36791">
        <v>0</v>
      </c>
      <c r="E36791">
        <v>1</v>
      </c>
      <c r="F36791">
        <v>421</v>
      </c>
    </row>
    <row r="36792" spans="1:6" ht="12.75">
      <c r="A36792" s="2">
        <v>43875.201215277775</v>
      </c>
      <c r="B36792" t="str">
        <f>HYPERLINK("https://twitter.com/elinnurmalina","@elinnurmalina")</f>
        <v>@elinnurmalina</v>
      </c>
      <c r="C36792" t="s">
        <v>11330</v>
      </c>
      <c r="D36792">
        <v>110</v>
      </c>
      <c r="E36792">
        <v>0</v>
      </c>
      <c r="F36792">
        <v>454</v>
      </c>
    </row>
    <row r="36793" spans="1:6" ht="12.75">
      <c r="A36793" s="2">
        <v>43875.20113425926</v>
      </c>
      <c r="B36793" t="str">
        <f>HYPERLINK("https://twitter.com/Lukman88755658","@Lukman88755658")</f>
        <v>@Lukman88755658</v>
      </c>
      <c r="C36793" t="s">
        <v>12450</v>
      </c>
      <c r="D36793">
        <v>71</v>
      </c>
      <c r="E36793">
        <v>0</v>
      </c>
      <c r="F36793">
        <v>298</v>
      </c>
    </row>
    <row r="36794" spans="1:6" ht="12.75">
      <c r="A36794" s="2">
        <v>43875.200370370367</v>
      </c>
      <c r="B36794" t="str">
        <f>HYPERLINK("https://twitter.com/HbHendro","@HbHendro")</f>
        <v>@HbHendro</v>
      </c>
      <c r="C36794" t="s">
        <v>15174</v>
      </c>
      <c r="D36794">
        <v>0</v>
      </c>
      <c r="E36794">
        <v>0</v>
      </c>
      <c r="F36794">
        <v>233</v>
      </c>
    </row>
    <row r="36795" spans="1:6" ht="12.75">
      <c r="A36795" s="2">
        <v>43875.20012731482</v>
      </c>
      <c r="B36795" t="str">
        <f>HYPERLINK("https://twitter.com/Ghozy_babahin","@Ghozy_babahin")</f>
        <v>@Ghozy_babahin</v>
      </c>
      <c r="C36795" t="s">
        <v>15175</v>
      </c>
      <c r="D36795">
        <v>0</v>
      </c>
      <c r="E36795">
        <v>0</v>
      </c>
      <c r="F36795">
        <v>264</v>
      </c>
    </row>
    <row r="36796" spans="1:6" ht="12.75">
      <c r="A36796" s="2">
        <v>43875.199942129635</v>
      </c>
      <c r="B36796" t="str">
        <f>HYPERLINK("https://twitter.com/vanidiana","@vanidiana")</f>
        <v>@vanidiana</v>
      </c>
      <c r="C36796" t="s">
        <v>12845</v>
      </c>
      <c r="D36796">
        <v>34</v>
      </c>
      <c r="E36796">
        <v>0</v>
      </c>
      <c r="F36796">
        <v>571</v>
      </c>
    </row>
    <row r="36797" spans="1:6" ht="12.75">
      <c r="A36797" s="2">
        <v>43875.199814814812</v>
      </c>
      <c r="B36797" t="str">
        <f>HYPERLINK("https://twitter.com/beten5","@beten5")</f>
        <v>@beten5</v>
      </c>
      <c r="C36797" t="s">
        <v>175</v>
      </c>
      <c r="D36797">
        <v>5209</v>
      </c>
      <c r="E36797">
        <v>0</v>
      </c>
      <c r="F36797">
        <v>6</v>
      </c>
    </row>
    <row r="36798" spans="1:6" ht="12.75">
      <c r="A36798" s="2">
        <v>43875.199629629627</v>
      </c>
      <c r="B36798" t="str">
        <f>HYPERLINK("https://twitter.com/LauraFadillah1","@LauraFadillah1")</f>
        <v>@LauraFadillah1</v>
      </c>
      <c r="C36798" t="s">
        <v>10739</v>
      </c>
      <c r="D36798">
        <v>226</v>
      </c>
      <c r="E36798">
        <v>0</v>
      </c>
      <c r="F36798">
        <v>314</v>
      </c>
    </row>
    <row r="36799" spans="1:6" ht="12.75">
      <c r="A36799" s="2">
        <v>43875.199432870373</v>
      </c>
      <c r="B36799" t="str">
        <f>HYPERLINK("https://twitter.com/arivpermana","@arivpermana")</f>
        <v>@arivpermana</v>
      </c>
      <c r="C36799" t="s">
        <v>15176</v>
      </c>
      <c r="D36799">
        <v>0</v>
      </c>
      <c r="E36799">
        <v>0</v>
      </c>
      <c r="F36799">
        <v>39</v>
      </c>
    </row>
    <row r="36800" spans="1:6" ht="12.75">
      <c r="A36800" s="2">
        <v>43875.199282407411</v>
      </c>
      <c r="B36800" t="str">
        <f>HYPERLINK("https://twitter.com/sdrajat","@sdrajat")</f>
        <v>@sdrajat</v>
      </c>
      <c r="C36800" t="s">
        <v>11322</v>
      </c>
      <c r="D36800">
        <v>55</v>
      </c>
      <c r="E36800">
        <v>0</v>
      </c>
      <c r="F36800">
        <v>429</v>
      </c>
    </row>
    <row r="36801" spans="1:6" ht="12.75">
      <c r="A36801" s="2">
        <v>43875.198807870373</v>
      </c>
      <c r="B36801" t="str">
        <f>HYPERLINK("https://twitter.com/reynaraa12","@reynaraa12")</f>
        <v>@reynaraa12</v>
      </c>
      <c r="C36801" t="s">
        <v>15177</v>
      </c>
      <c r="D36801">
        <v>0</v>
      </c>
      <c r="E36801">
        <v>0</v>
      </c>
      <c r="F36801">
        <v>20</v>
      </c>
    </row>
    <row r="36802" spans="1:6" ht="12.75">
      <c r="A36802" s="2">
        <v>43875.198726851857</v>
      </c>
      <c r="B36802" t="str">
        <f>HYPERLINK("https://twitter.com/fauz13","@fauz13")</f>
        <v>@fauz13</v>
      </c>
      <c r="C36802" t="s">
        <v>15178</v>
      </c>
      <c r="D36802">
        <v>0</v>
      </c>
      <c r="E36802">
        <v>0</v>
      </c>
      <c r="F36802">
        <v>308</v>
      </c>
    </row>
    <row r="36803" spans="1:6" ht="12.75">
      <c r="A36803" s="2">
        <v>43875.198425925926</v>
      </c>
      <c r="B36803" t="str">
        <f>HYPERLINK("https://twitter.com/aguscosmo","@aguscosmo")</f>
        <v>@aguscosmo</v>
      </c>
      <c r="C36803" t="s">
        <v>14584</v>
      </c>
      <c r="D36803">
        <v>32</v>
      </c>
      <c r="E36803">
        <v>0</v>
      </c>
      <c r="F36803">
        <v>313</v>
      </c>
    </row>
    <row r="36804" spans="1:6" ht="12.75">
      <c r="A36804" s="2">
        <v>43875.197615740741</v>
      </c>
      <c r="B36804" t="str">
        <f>HYPERLINK("https://twitter.com/AChamplads","@AChamplads")</f>
        <v>@AChamplads</v>
      </c>
      <c r="C36804" t="s">
        <v>11167</v>
      </c>
      <c r="D36804">
        <v>150</v>
      </c>
      <c r="E36804">
        <v>0</v>
      </c>
      <c r="F36804">
        <v>29</v>
      </c>
    </row>
    <row r="36805" spans="1:6" ht="12.75">
      <c r="A36805" s="2">
        <v>43875.197534722218</v>
      </c>
      <c r="B36805" t="str">
        <f>HYPERLINK("https://twitter.com/FataSail","@FataSail")</f>
        <v>@FataSail</v>
      </c>
      <c r="C36805" t="s">
        <v>10266</v>
      </c>
      <c r="D36805">
        <v>243</v>
      </c>
      <c r="E36805">
        <v>0</v>
      </c>
      <c r="F36805">
        <v>81</v>
      </c>
    </row>
    <row r="36806" spans="1:6" ht="12.75">
      <c r="A36806" s="2">
        <v>43875.197442129633</v>
      </c>
      <c r="B36806" t="str">
        <f>HYPERLINK("https://twitter.com/aguscosmo","@aguscosmo")</f>
        <v>@aguscosmo</v>
      </c>
      <c r="C36806" t="s">
        <v>13299</v>
      </c>
      <c r="D36806">
        <v>98</v>
      </c>
      <c r="E36806">
        <v>0</v>
      </c>
      <c r="F36806">
        <v>313</v>
      </c>
    </row>
    <row r="36807" spans="1:6" ht="12.75">
      <c r="A36807" s="2">
        <v>43875.197268518517</v>
      </c>
      <c r="B36807" t="str">
        <f>HYPERLINK("https://twitter.com/muzam8","@muzam8")</f>
        <v>@muzam8</v>
      </c>
      <c r="C36807" t="s">
        <v>15179</v>
      </c>
      <c r="D36807">
        <v>0</v>
      </c>
      <c r="E36807">
        <v>0</v>
      </c>
      <c r="F36807">
        <v>664</v>
      </c>
    </row>
    <row r="36808" spans="1:6" ht="12.75">
      <c r="A36808" s="2">
        <v>43875.196956018517</v>
      </c>
      <c r="B36808" t="str">
        <f>HYPERLINK("https://twitter.com/Gendorowo3","@Gendorowo3")</f>
        <v>@Gendorowo3</v>
      </c>
      <c r="C36808" t="s">
        <v>15180</v>
      </c>
      <c r="D36808">
        <v>0</v>
      </c>
      <c r="E36808">
        <v>0</v>
      </c>
      <c r="F36808">
        <v>90</v>
      </c>
    </row>
    <row r="36809" spans="1:6" ht="12.75">
      <c r="A36809" s="2">
        <v>43875.19694444444</v>
      </c>
      <c r="B36809" t="str">
        <f>HYPERLINK("https://twitter.com/MrsRachelIn","@MrsRachelIn")</f>
        <v>@MrsRachelIn</v>
      </c>
      <c r="C36809" t="s">
        <v>15181</v>
      </c>
      <c r="D36809">
        <v>0</v>
      </c>
      <c r="E36809">
        <v>0</v>
      </c>
      <c r="F36809">
        <v>3074</v>
      </c>
    </row>
    <row r="36810" spans="1:6" ht="12.75">
      <c r="A36810" s="2">
        <v>43875.196759259255</v>
      </c>
      <c r="B36810" t="str">
        <f>HYPERLINK("https://twitter.com/aguscosmo","@aguscosmo")</f>
        <v>@aguscosmo</v>
      </c>
      <c r="C36810" t="s">
        <v>10588</v>
      </c>
      <c r="D36810">
        <v>96</v>
      </c>
      <c r="E36810">
        <v>0</v>
      </c>
      <c r="F36810">
        <v>313</v>
      </c>
    </row>
    <row r="36811" spans="1:6" ht="12.75">
      <c r="A36811" s="2">
        <v>43875.196458333332</v>
      </c>
      <c r="B36811" t="str">
        <f>HYPERLINK("https://twitter.com/ResubunT","@ResubunT")</f>
        <v>@ResubunT</v>
      </c>
      <c r="C36811" t="s">
        <v>2122</v>
      </c>
      <c r="D36811">
        <v>163</v>
      </c>
      <c r="E36811">
        <v>0</v>
      </c>
      <c r="F36811">
        <v>2167</v>
      </c>
    </row>
    <row r="36812" spans="1:6" ht="12.75">
      <c r="A36812" s="2">
        <v>43875.196215277778</v>
      </c>
      <c r="B36812" t="str">
        <f>HYPERLINK("https://twitter.com/starrkynr","@starrkynr")</f>
        <v>@starrkynr</v>
      </c>
      <c r="C36812" t="s">
        <v>15182</v>
      </c>
      <c r="D36812">
        <v>0</v>
      </c>
      <c r="E36812">
        <v>0</v>
      </c>
      <c r="F36812">
        <v>166</v>
      </c>
    </row>
    <row r="36813" spans="1:6" ht="12.75">
      <c r="A36813" s="2">
        <v>43875.195925925931</v>
      </c>
      <c r="B36813" t="str">
        <f>HYPERLINK("https://twitter.com/agskprmn","@agskprmn")</f>
        <v>@agskprmn</v>
      </c>
      <c r="C36813" t="s">
        <v>13053</v>
      </c>
      <c r="D36813">
        <v>37</v>
      </c>
      <c r="E36813">
        <v>0</v>
      </c>
      <c r="F36813">
        <v>376</v>
      </c>
    </row>
    <row r="36814" spans="1:6" ht="12.75">
      <c r="A36814" s="2">
        <v>43875.195393518516</v>
      </c>
      <c r="B36814" t="str">
        <f>HYPERLINK("https://twitter.com/prytnma","@prytnma")</f>
        <v>@prytnma</v>
      </c>
      <c r="C36814" t="s">
        <v>11424</v>
      </c>
      <c r="D36814">
        <v>43</v>
      </c>
      <c r="E36814">
        <v>0</v>
      </c>
      <c r="F36814">
        <v>410</v>
      </c>
    </row>
    <row r="36815" spans="1:6" ht="12.75">
      <c r="A36815" s="2">
        <v>43875.195347222223</v>
      </c>
      <c r="B36815" t="str">
        <f>HYPERLINK("https://twitter.com/Jaewongsingsong","@Jaewongsingsong")</f>
        <v>@Jaewongsingsong</v>
      </c>
      <c r="C36815" t="s">
        <v>2144</v>
      </c>
      <c r="D36815">
        <v>17</v>
      </c>
      <c r="E36815">
        <v>0</v>
      </c>
      <c r="F36815">
        <v>833</v>
      </c>
    </row>
    <row r="36816" spans="1:6" ht="12.75">
      <c r="A36816" s="2">
        <v>43875.194409722222</v>
      </c>
      <c r="B36816" t="str">
        <f>HYPERLINK("https://twitter.com/eCp9HtNV7mdr2WK","@eCp9HtNV7mdr2WK")</f>
        <v>@eCp9HtNV7mdr2WK</v>
      </c>
      <c r="C36816" t="s">
        <v>15183</v>
      </c>
      <c r="D36816">
        <v>0</v>
      </c>
      <c r="E36816">
        <v>0</v>
      </c>
      <c r="F36816">
        <v>24</v>
      </c>
    </row>
    <row r="36817" spans="1:6" ht="12.75">
      <c r="A36817" s="2">
        <v>43875.194270833337</v>
      </c>
      <c r="B36817" t="str">
        <f>HYPERLINK("https://twitter.com/prytnma","@prytnma")</f>
        <v>@prytnma</v>
      </c>
      <c r="C36817" t="s">
        <v>12849</v>
      </c>
      <c r="D36817">
        <v>56</v>
      </c>
      <c r="E36817">
        <v>0</v>
      </c>
      <c r="F36817">
        <v>410</v>
      </c>
    </row>
    <row r="36818" spans="1:6" ht="12.75">
      <c r="A36818" s="2">
        <v>43875.194212962961</v>
      </c>
      <c r="B36818" t="str">
        <f>HYPERLINK("https://twitter.com/Laxyyta","@Laxyyta")</f>
        <v>@Laxyyta</v>
      </c>
      <c r="C36818" t="s">
        <v>8394</v>
      </c>
      <c r="D36818">
        <v>21</v>
      </c>
      <c r="E36818">
        <v>0</v>
      </c>
      <c r="F36818">
        <v>137</v>
      </c>
    </row>
    <row r="36819" spans="1:6" ht="12.75">
      <c r="A36819" s="2">
        <v>43875.194120370375</v>
      </c>
      <c r="B36819" t="str">
        <f>HYPERLINK("https://twitter.com/anwar_A78","@anwar_A78")</f>
        <v>@anwar_A78</v>
      </c>
      <c r="C36819" t="s">
        <v>10196</v>
      </c>
      <c r="D36819">
        <v>116</v>
      </c>
      <c r="E36819">
        <v>0</v>
      </c>
      <c r="F36819">
        <v>3169</v>
      </c>
    </row>
    <row r="36820" spans="1:6" ht="12.75">
      <c r="A36820" s="2">
        <v>43875.194074074076</v>
      </c>
      <c r="B36820" t="str">
        <f>HYPERLINK("https://twitter.com/RiyanSypttr","@RiyanSypttr")</f>
        <v>@RiyanSypttr</v>
      </c>
      <c r="C36820" t="s">
        <v>15184</v>
      </c>
      <c r="D36820">
        <v>0</v>
      </c>
      <c r="E36820">
        <v>0</v>
      </c>
      <c r="F36820">
        <v>20</v>
      </c>
    </row>
    <row r="36821" spans="1:6" ht="12.75">
      <c r="A36821" s="2">
        <v>43875.193981481483</v>
      </c>
      <c r="B36821" t="str">
        <f>HYPERLINK("https://twitter.com/MrsRachelIn","@MrsRachelIn")</f>
        <v>@MrsRachelIn</v>
      </c>
      <c r="C36821" t="s">
        <v>15185</v>
      </c>
      <c r="D36821">
        <v>0</v>
      </c>
      <c r="E36821">
        <v>2</v>
      </c>
      <c r="F36821">
        <v>3074</v>
      </c>
    </row>
    <row r="36822" spans="1:6" ht="12.75">
      <c r="A36822" s="2">
        <v>43875.193414351852</v>
      </c>
      <c r="B36822" t="str">
        <f>HYPERLINK("https://twitter.com/Cesiliaida","@Cesiliaida")</f>
        <v>@Cesiliaida</v>
      </c>
      <c r="C36822" t="s">
        <v>15186</v>
      </c>
      <c r="D36822">
        <v>36</v>
      </c>
      <c r="E36822">
        <v>0</v>
      </c>
      <c r="F36822">
        <v>404</v>
      </c>
    </row>
    <row r="36823" spans="1:6" ht="12.75">
      <c r="A36823" s="2">
        <v>43875.193182870367</v>
      </c>
      <c r="B36823" t="str">
        <f>HYPERLINK("https://twitter.com/Gendorowo3","@Gendorowo3")</f>
        <v>@Gendorowo3</v>
      </c>
      <c r="C36823" t="s">
        <v>15187</v>
      </c>
      <c r="D36823">
        <v>5</v>
      </c>
      <c r="E36823">
        <v>0</v>
      </c>
      <c r="F36823">
        <v>90</v>
      </c>
    </row>
    <row r="36824" spans="1:6" ht="12.75">
      <c r="A36824" s="2">
        <v>43875.193136574075</v>
      </c>
      <c r="B36824" t="str">
        <f>HYPERLINK("https://twitter.com/Bubut871","@Bubut871")</f>
        <v>@Bubut871</v>
      </c>
      <c r="C36824" t="s">
        <v>11580</v>
      </c>
      <c r="D36824">
        <v>26</v>
      </c>
      <c r="E36824">
        <v>0</v>
      </c>
      <c r="F36824">
        <v>1615</v>
      </c>
    </row>
    <row r="36825" spans="1:6" ht="12.75">
      <c r="A36825" s="2">
        <v>43875.193043981482</v>
      </c>
      <c r="B36825" t="str">
        <f>HYPERLINK("https://twitter.com/sitikha3019","@sitikha3019")</f>
        <v>@sitikha3019</v>
      </c>
      <c r="C36825" t="s">
        <v>15188</v>
      </c>
      <c r="D36825">
        <v>0</v>
      </c>
      <c r="E36825">
        <v>2</v>
      </c>
      <c r="F36825">
        <v>98</v>
      </c>
    </row>
    <row r="36826" spans="1:6" ht="12.75">
      <c r="A36826" s="2">
        <v>43875.193043981482</v>
      </c>
      <c r="B36826" t="str">
        <f>HYPERLINK("https://twitter.com/Hit_DX","@Hit_DX")</f>
        <v>@Hit_DX</v>
      </c>
      <c r="C36826" t="s">
        <v>8881</v>
      </c>
      <c r="D36826">
        <v>242</v>
      </c>
      <c r="E36826">
        <v>0</v>
      </c>
      <c r="F36826">
        <v>2505</v>
      </c>
    </row>
    <row r="36827" spans="1:6" ht="12.75">
      <c r="A36827" s="2">
        <v>43875.192719907413</v>
      </c>
      <c r="B36827" t="str">
        <f>HYPERLINK("https://twitter.com/hendrik75737103","@hendrik75737103")</f>
        <v>@hendrik75737103</v>
      </c>
      <c r="C36827" t="s">
        <v>15189</v>
      </c>
      <c r="D36827">
        <v>0</v>
      </c>
      <c r="E36827">
        <v>0</v>
      </c>
      <c r="F36827">
        <v>3</v>
      </c>
    </row>
    <row r="36828" spans="1:6" ht="12.75">
      <c r="A36828" s="2">
        <v>43875.192696759259</v>
      </c>
      <c r="B36828" t="str">
        <f>HYPERLINK("https://twitter.com/Jalu34496659","@Jalu34496659")</f>
        <v>@Jalu34496659</v>
      </c>
      <c r="C36828" t="s">
        <v>15190</v>
      </c>
      <c r="D36828">
        <v>0</v>
      </c>
      <c r="E36828">
        <v>1</v>
      </c>
      <c r="F36828">
        <v>184</v>
      </c>
    </row>
    <row r="36829" spans="1:6" ht="12.75">
      <c r="A36829" s="2">
        <v>43875.192685185189</v>
      </c>
      <c r="B36829" t="str">
        <f>HYPERLINK("https://twitter.com/asharisetya","@asharisetya")</f>
        <v>@asharisetya</v>
      </c>
      <c r="C36829" t="s">
        <v>11167</v>
      </c>
      <c r="D36829">
        <v>150</v>
      </c>
      <c r="E36829">
        <v>0</v>
      </c>
      <c r="F36829">
        <v>453</v>
      </c>
    </row>
    <row r="36830" spans="1:6" ht="12.75">
      <c r="A36830" s="2">
        <v>43875.192488425921</v>
      </c>
      <c r="B36830" t="str">
        <f>HYPERLINK("https://twitter.com/Asmoro30615921","@Asmoro30615921")</f>
        <v>@Asmoro30615921</v>
      </c>
      <c r="C36830" t="s">
        <v>15191</v>
      </c>
      <c r="D36830">
        <v>0</v>
      </c>
      <c r="E36830">
        <v>0</v>
      </c>
      <c r="F36830">
        <v>6</v>
      </c>
    </row>
    <row r="36831" spans="1:6" ht="12.75">
      <c r="A36831" s="2">
        <v>43875.192199074074</v>
      </c>
      <c r="B36831" t="str">
        <f>HYPERLINK("https://twitter.com/prytnma","@prytnma")</f>
        <v>@prytnma</v>
      </c>
      <c r="C36831" t="s">
        <v>9373</v>
      </c>
      <c r="D36831">
        <v>94</v>
      </c>
      <c r="E36831">
        <v>0</v>
      </c>
      <c r="F36831">
        <v>410</v>
      </c>
    </row>
    <row r="36832" spans="1:6" ht="12.75">
      <c r="A36832" s="2">
        <v>43875.192152777774</v>
      </c>
      <c r="B36832" t="str">
        <f>HYPERLINK("https://twitter.com/wtanto","@wtanto")</f>
        <v>@wtanto</v>
      </c>
      <c r="C36832" t="s">
        <v>11954</v>
      </c>
      <c r="D36832">
        <v>42</v>
      </c>
      <c r="E36832">
        <v>0</v>
      </c>
      <c r="F36832">
        <v>27</v>
      </c>
    </row>
    <row r="36833" spans="1:6" ht="12.75">
      <c r="A36833" s="2">
        <v>43875.192002314812</v>
      </c>
      <c r="B36833" t="str">
        <f t="shared" ref="B36833:B36834" si="410">HYPERLINK("https://twitter.com/prytnma","@prytnma")</f>
        <v>@prytnma</v>
      </c>
      <c r="C36833" t="s">
        <v>7390</v>
      </c>
      <c r="D36833">
        <v>74</v>
      </c>
      <c r="E36833">
        <v>0</v>
      </c>
      <c r="F36833">
        <v>410</v>
      </c>
    </row>
    <row r="36834" spans="1:6" ht="12.75">
      <c r="A36834" s="2">
        <v>43875.191909722227</v>
      </c>
      <c r="B36834" t="str">
        <f t="shared" si="410"/>
        <v>@prytnma</v>
      </c>
      <c r="C36834" t="s">
        <v>9947</v>
      </c>
      <c r="D36834">
        <v>308</v>
      </c>
      <c r="E36834">
        <v>0</v>
      </c>
      <c r="F36834">
        <v>410</v>
      </c>
    </row>
    <row r="36835" spans="1:6" ht="12.75">
      <c r="A36835" s="2">
        <v>43875.191736111112</v>
      </c>
      <c r="B36835" t="str">
        <f>HYPERLINK("https://twitter.com/aguscosmo","@aguscosmo")</f>
        <v>@aguscosmo</v>
      </c>
      <c r="C36835" t="s">
        <v>3038</v>
      </c>
      <c r="D36835">
        <v>99</v>
      </c>
      <c r="E36835">
        <v>0</v>
      </c>
      <c r="F36835">
        <v>313</v>
      </c>
    </row>
    <row r="36836" spans="1:6" ht="12.75">
      <c r="A36836" s="2">
        <v>43875.191550925927</v>
      </c>
      <c r="B36836" t="str">
        <f>HYPERLINK("https://twitter.com/Santoso26166908","@Santoso26166908")</f>
        <v>@Santoso26166908</v>
      </c>
      <c r="C36836" t="s">
        <v>10588</v>
      </c>
      <c r="D36836">
        <v>96</v>
      </c>
      <c r="E36836">
        <v>0</v>
      </c>
      <c r="F36836">
        <v>440</v>
      </c>
    </row>
    <row r="36837" spans="1:6" ht="12.75">
      <c r="A36837" s="2">
        <v>43875.19131944445</v>
      </c>
      <c r="B36837" t="str">
        <f>HYPERLINK("https://twitter.com/Nov_andre2","@Nov_andre2")</f>
        <v>@Nov_andre2</v>
      </c>
      <c r="C36837" t="s">
        <v>7803</v>
      </c>
      <c r="D36837">
        <v>287</v>
      </c>
      <c r="E36837">
        <v>0</v>
      </c>
      <c r="F36837">
        <v>1667</v>
      </c>
    </row>
    <row r="36838" spans="1:6" ht="12.75">
      <c r="A36838" s="2">
        <v>43875.191122685181</v>
      </c>
      <c r="B36838" t="str">
        <f>HYPERLINK("https://twitter.com/keke_121","@keke_121")</f>
        <v>@keke_121</v>
      </c>
      <c r="C36838" t="s">
        <v>15192</v>
      </c>
      <c r="D36838">
        <v>0</v>
      </c>
      <c r="E36838">
        <v>0</v>
      </c>
      <c r="F36838">
        <v>635</v>
      </c>
    </row>
    <row r="36839" spans="1:6" ht="12.75">
      <c r="A36839" s="2">
        <v>43875.191111111111</v>
      </c>
      <c r="B36839" t="str">
        <f>HYPERLINK("https://twitter.com/Bambam30424539","@Bambam30424539")</f>
        <v>@Bambam30424539</v>
      </c>
      <c r="C36839" t="s">
        <v>11425</v>
      </c>
      <c r="D36839">
        <v>168</v>
      </c>
      <c r="E36839">
        <v>0</v>
      </c>
      <c r="F36839">
        <v>241</v>
      </c>
    </row>
    <row r="36840" spans="1:6" ht="12.75">
      <c r="A36840" s="2">
        <v>43875.190949074073</v>
      </c>
      <c r="B36840" t="str">
        <f>HYPERLINK("https://twitter.com/Riswan6945299","@Riswan6945299")</f>
        <v>@Riswan6945299</v>
      </c>
      <c r="C36840" t="s">
        <v>10121</v>
      </c>
      <c r="D36840">
        <v>131</v>
      </c>
      <c r="E36840">
        <v>0</v>
      </c>
      <c r="F36840">
        <v>148</v>
      </c>
    </row>
    <row r="36841" spans="1:6" ht="12.75">
      <c r="A36841" s="2">
        <v>43875.190810185188</v>
      </c>
      <c r="B36841" t="str">
        <f>HYPERLINK("https://twitter.com/PradityaBeni","@PradityaBeni")</f>
        <v>@PradityaBeni</v>
      </c>
      <c r="C36841" t="s">
        <v>9119</v>
      </c>
      <c r="D36841">
        <v>39</v>
      </c>
      <c r="E36841">
        <v>0</v>
      </c>
      <c r="F36841">
        <v>1292</v>
      </c>
    </row>
    <row r="36842" spans="1:6" ht="12.75">
      <c r="A36842" s="2">
        <v>43875.190335648149</v>
      </c>
      <c r="B36842" t="str">
        <f>HYPERLINK("https://twitter.com/aguscosmo","@aguscosmo")</f>
        <v>@aguscosmo</v>
      </c>
      <c r="C36842" t="s">
        <v>11086</v>
      </c>
      <c r="D36842">
        <v>76</v>
      </c>
      <c r="E36842">
        <v>0</v>
      </c>
      <c r="F36842">
        <v>313</v>
      </c>
    </row>
    <row r="36843" spans="1:6" ht="12.75">
      <c r="A36843" s="2">
        <v>43875.19023148148</v>
      </c>
      <c r="B36843" t="str">
        <f>HYPERLINK("https://twitter.com/waroengbranded","@waroengbranded")</f>
        <v>@waroengbranded</v>
      </c>
      <c r="C36843" t="s">
        <v>15079</v>
      </c>
      <c r="D36843">
        <v>226</v>
      </c>
      <c r="E36843">
        <v>0</v>
      </c>
      <c r="F36843">
        <v>395</v>
      </c>
    </row>
    <row r="36844" spans="1:6" ht="12.75">
      <c r="A36844" s="2">
        <v>43875.190162037034</v>
      </c>
      <c r="B36844" t="str">
        <f>HYPERLINK("https://twitter.com/wni_jmsri","@wni_jmsri")</f>
        <v>@wni_jmsri</v>
      </c>
      <c r="C36844" t="s">
        <v>15193</v>
      </c>
      <c r="D36844">
        <v>32</v>
      </c>
      <c r="E36844">
        <v>0</v>
      </c>
      <c r="F36844">
        <v>195</v>
      </c>
    </row>
    <row r="36845" spans="1:6" ht="12.75">
      <c r="A36845" s="2">
        <v>43875.190034722225</v>
      </c>
      <c r="B36845" t="str">
        <f>HYPERLINK("https://twitter.com/aguscosmo","@aguscosmo")</f>
        <v>@aguscosmo</v>
      </c>
      <c r="C36845" t="s">
        <v>11451</v>
      </c>
      <c r="D36845">
        <v>83</v>
      </c>
      <c r="E36845">
        <v>0</v>
      </c>
      <c r="F36845">
        <v>313</v>
      </c>
    </row>
    <row r="36846" spans="1:6" ht="12.75">
      <c r="A36846" s="2">
        <v>43875.189907407403</v>
      </c>
      <c r="B36846" t="str">
        <f>HYPERLINK("https://twitter.com/LaingenLisa","@LaingenLisa")</f>
        <v>@LaingenLisa</v>
      </c>
      <c r="C36846" t="s">
        <v>11580</v>
      </c>
      <c r="D36846">
        <v>26</v>
      </c>
      <c r="E36846">
        <v>0</v>
      </c>
      <c r="F36846">
        <v>2817</v>
      </c>
    </row>
    <row r="36847" spans="1:6" ht="12.75">
      <c r="A36847" s="2">
        <v>43875.189456018517</v>
      </c>
      <c r="B36847" t="str">
        <f>HYPERLINK("https://twitter.com/MLaksito","@MLaksito")</f>
        <v>@MLaksito</v>
      </c>
      <c r="C36847" t="s">
        <v>5168</v>
      </c>
      <c r="D36847">
        <v>327</v>
      </c>
      <c r="E36847">
        <v>0</v>
      </c>
      <c r="F36847">
        <v>527</v>
      </c>
    </row>
    <row r="36848" spans="1:6" ht="12.75">
      <c r="A36848" s="2">
        <v>43875.189444444448</v>
      </c>
      <c r="B36848" t="str">
        <f>HYPERLINK("https://twitter.com/lestaluhu212","@lestaluhu212")</f>
        <v>@lestaluhu212</v>
      </c>
      <c r="C36848" t="s">
        <v>8252</v>
      </c>
      <c r="D36848">
        <v>469</v>
      </c>
      <c r="E36848">
        <v>0</v>
      </c>
      <c r="F36848">
        <v>162</v>
      </c>
    </row>
    <row r="36849" spans="1:6" ht="12.75">
      <c r="A36849" s="2">
        <v>43875.188784722224</v>
      </c>
      <c r="B36849" t="str">
        <f>HYPERLINK("https://twitter.com/FaqihSyahrir","@FaqihSyahrir")</f>
        <v>@FaqihSyahrir</v>
      </c>
      <c r="C36849" t="s">
        <v>13757</v>
      </c>
      <c r="D36849">
        <v>33</v>
      </c>
      <c r="E36849">
        <v>0</v>
      </c>
      <c r="F36849">
        <v>590</v>
      </c>
    </row>
    <row r="36850" spans="1:6" ht="12.75">
      <c r="A36850" s="2">
        <v>43875.188541666663</v>
      </c>
      <c r="B36850" t="str">
        <f>HYPERLINK("https://twitter.com/kamuusiapaaaaaa","@kamuusiapaaaaaa")</f>
        <v>@kamuusiapaaaaaa</v>
      </c>
      <c r="C36850" t="s">
        <v>15194</v>
      </c>
      <c r="D36850">
        <v>0</v>
      </c>
      <c r="E36850">
        <v>0</v>
      </c>
      <c r="F36850">
        <v>237</v>
      </c>
    </row>
    <row r="36851" spans="1:6" ht="12.75">
      <c r="A36851" s="2">
        <v>43875.188321759255</v>
      </c>
      <c r="B36851" t="str">
        <f>HYPERLINK("https://twitter.com/Riswan6945299","@Riswan6945299")</f>
        <v>@Riswan6945299</v>
      </c>
      <c r="C36851" t="s">
        <v>9113</v>
      </c>
      <c r="D36851">
        <v>227</v>
      </c>
      <c r="E36851">
        <v>0</v>
      </c>
      <c r="F36851">
        <v>148</v>
      </c>
    </row>
    <row r="36852" spans="1:6" ht="12.75">
      <c r="A36852" s="2">
        <v>43875.187615740739</v>
      </c>
      <c r="B36852" t="str">
        <f>HYPERLINK("https://twitter.com/Rockavankaa94","@Rockavankaa94")</f>
        <v>@Rockavankaa94</v>
      </c>
      <c r="C36852" t="s">
        <v>9096</v>
      </c>
      <c r="D36852">
        <v>127</v>
      </c>
      <c r="E36852">
        <v>0</v>
      </c>
      <c r="F36852">
        <v>171</v>
      </c>
    </row>
    <row r="36853" spans="1:6" ht="12.75">
      <c r="A36853" s="2">
        <v>43875.18748842593</v>
      </c>
      <c r="B36853" t="str">
        <f>HYPERLINK("https://twitter.com/yamaneko88","@yamaneko88")</f>
        <v>@yamaneko88</v>
      </c>
      <c r="C36853" t="s">
        <v>15195</v>
      </c>
      <c r="D36853">
        <v>0</v>
      </c>
      <c r="E36853">
        <v>0</v>
      </c>
      <c r="F36853">
        <v>50</v>
      </c>
    </row>
    <row r="36854" spans="1:6" ht="12.75">
      <c r="A36854" s="2">
        <v>43875.187395833331</v>
      </c>
      <c r="B36854" t="str">
        <f>HYPERLINK("https://twitter.com/ummychasan","@ummychasan")</f>
        <v>@ummychasan</v>
      </c>
      <c r="C36854" t="s">
        <v>11071</v>
      </c>
      <c r="D36854">
        <v>49</v>
      </c>
      <c r="E36854">
        <v>0</v>
      </c>
      <c r="F36854">
        <v>4295</v>
      </c>
    </row>
    <row r="36855" spans="1:6" ht="12.75">
      <c r="A36855" s="2">
        <v>43875.186689814815</v>
      </c>
      <c r="B36855" t="str">
        <f>HYPERLINK("https://twitter.com/rinajulianii","@rinajulianii")</f>
        <v>@rinajulianii</v>
      </c>
      <c r="C36855" t="s">
        <v>8233</v>
      </c>
      <c r="D36855">
        <v>243</v>
      </c>
      <c r="E36855">
        <v>0</v>
      </c>
      <c r="F36855">
        <v>315</v>
      </c>
    </row>
    <row r="36856" spans="1:6" ht="12.75">
      <c r="A36856" s="2">
        <v>43875.186666666668</v>
      </c>
      <c r="B36856" t="str">
        <f>HYPERLINK("https://twitter.com/BENSRM1","@BENSRM1")</f>
        <v>@BENSRM1</v>
      </c>
      <c r="C36856" t="s">
        <v>15196</v>
      </c>
      <c r="D36856">
        <v>0</v>
      </c>
      <c r="E36856">
        <v>0</v>
      </c>
      <c r="F36856">
        <v>66</v>
      </c>
    </row>
    <row r="36857" spans="1:6" ht="12.75">
      <c r="A36857" s="2">
        <v>43875.186620370368</v>
      </c>
      <c r="B36857" t="str">
        <f>HYPERLINK("https://twitter.com/isis_timm","@isis_timm")</f>
        <v>@isis_timm</v>
      </c>
      <c r="C36857" t="s">
        <v>15197</v>
      </c>
      <c r="D36857">
        <v>0</v>
      </c>
      <c r="E36857">
        <v>1</v>
      </c>
      <c r="F36857">
        <v>660</v>
      </c>
    </row>
    <row r="36858" spans="1:6" ht="12.75">
      <c r="A36858" s="2">
        <v>43875.186307870375</v>
      </c>
      <c r="B36858" t="str">
        <f>HYPERLINK("https://twitter.com/ny_tan_jun_kim","@ny_tan_jun_kim")</f>
        <v>@ny_tan_jun_kim</v>
      </c>
      <c r="C36858" t="s">
        <v>7411</v>
      </c>
      <c r="D36858">
        <v>127</v>
      </c>
      <c r="E36858">
        <v>0</v>
      </c>
      <c r="F36858">
        <v>89</v>
      </c>
    </row>
    <row r="36859" spans="1:6" ht="12.75">
      <c r="A36859" s="2">
        <v>43875.185578703706</v>
      </c>
      <c r="B36859" t="str">
        <f>HYPERLINK("https://twitter.com/raiderazor","@raiderazor")</f>
        <v>@raiderazor</v>
      </c>
      <c r="C36859" t="s">
        <v>10126</v>
      </c>
      <c r="D36859">
        <v>56</v>
      </c>
      <c r="E36859">
        <v>0</v>
      </c>
      <c r="F36859">
        <v>404</v>
      </c>
    </row>
    <row r="36860" spans="1:6" ht="12.75">
      <c r="A36860" s="2">
        <v>43875.185196759259</v>
      </c>
      <c r="B36860" t="str">
        <f>HYPERLINK("https://twitter.com/Nitizen_Zen","@Nitizen_Zen")</f>
        <v>@Nitizen_Zen</v>
      </c>
      <c r="C36860" t="s">
        <v>15198</v>
      </c>
      <c r="D36860">
        <v>1</v>
      </c>
      <c r="E36860">
        <v>0</v>
      </c>
      <c r="F36860">
        <v>454</v>
      </c>
    </row>
    <row r="36861" spans="1:6" ht="12.75">
      <c r="A36861" s="2">
        <v>43875.185057870374</v>
      </c>
      <c r="B36861" t="str">
        <f>HYPERLINK("https://twitter.com/Bubut871","@Bubut871")</f>
        <v>@Bubut871</v>
      </c>
      <c r="C36861" t="s">
        <v>10859</v>
      </c>
      <c r="D36861">
        <v>25</v>
      </c>
      <c r="E36861">
        <v>0</v>
      </c>
      <c r="F36861">
        <v>1615</v>
      </c>
    </row>
    <row r="36862" spans="1:6" ht="12.75">
      <c r="A36862" s="2">
        <v>43875.185046296298</v>
      </c>
      <c r="B36862" t="str">
        <f>HYPERLINK("https://twitter.com/MrsRachelIn","@MrsRachelIn")</f>
        <v>@MrsRachelIn</v>
      </c>
      <c r="C36862" t="s">
        <v>37</v>
      </c>
      <c r="D36862">
        <v>0</v>
      </c>
      <c r="E36862">
        <v>3</v>
      </c>
      <c r="F36862">
        <v>3074</v>
      </c>
    </row>
    <row r="36863" spans="1:6" ht="12.75">
      <c r="A36863" s="2">
        <v>43875.184930555552</v>
      </c>
      <c r="B36863" t="str">
        <f>HYPERLINK("https://twitter.com/rudysarwa","@rudysarwa")</f>
        <v>@rudysarwa</v>
      </c>
      <c r="C36863" t="s">
        <v>15199</v>
      </c>
      <c r="D36863">
        <v>0</v>
      </c>
      <c r="E36863">
        <v>0</v>
      </c>
      <c r="F36863">
        <v>1366</v>
      </c>
    </row>
    <row r="36864" spans="1:6" ht="12.75">
      <c r="A36864" s="2">
        <v>43875.184733796297</v>
      </c>
      <c r="B36864" t="str">
        <f>HYPERLINK("https://twitter.com/ricky_ismail","@ricky_ismail")</f>
        <v>@ricky_ismail</v>
      </c>
      <c r="C36864" t="s">
        <v>2134</v>
      </c>
      <c r="D36864">
        <v>975</v>
      </c>
      <c r="E36864">
        <v>0</v>
      </c>
      <c r="F36864">
        <v>306</v>
      </c>
    </row>
    <row r="36865" spans="1:6" ht="12.75">
      <c r="A36865" s="2">
        <v>43875.184675925921</v>
      </c>
      <c r="B36865" t="str">
        <f>HYPERLINK("https://twitter.com/LaRose78992426","@LaRose78992426")</f>
        <v>@LaRose78992426</v>
      </c>
      <c r="C36865" t="s">
        <v>12738</v>
      </c>
      <c r="D36865">
        <v>68</v>
      </c>
      <c r="E36865">
        <v>0</v>
      </c>
      <c r="F36865">
        <v>257</v>
      </c>
    </row>
    <row r="36866" spans="1:6" ht="12.75">
      <c r="A36866" s="2">
        <v>43875.184305555551</v>
      </c>
      <c r="B36866" t="str">
        <f>HYPERLINK("https://twitter.com/adeteriyanaa","@adeteriyanaa")</f>
        <v>@adeteriyanaa</v>
      </c>
      <c r="C36866" t="s">
        <v>11071</v>
      </c>
      <c r="D36866">
        <v>49</v>
      </c>
      <c r="E36866">
        <v>0</v>
      </c>
      <c r="F36866">
        <v>641</v>
      </c>
    </row>
    <row r="36867" spans="1:6" ht="12.75">
      <c r="A36867" s="2">
        <v>43875.184282407412</v>
      </c>
      <c r="B36867" t="str">
        <f>HYPERLINK("https://twitter.com/azzurafarh","@azzurafarh")</f>
        <v>@azzurafarh</v>
      </c>
      <c r="C36867" t="s">
        <v>9021</v>
      </c>
      <c r="D36867">
        <v>128</v>
      </c>
      <c r="E36867">
        <v>0</v>
      </c>
      <c r="F36867">
        <v>1189</v>
      </c>
    </row>
    <row r="36868" spans="1:6" ht="12.75">
      <c r="A36868" s="2">
        <v>43875.184027777781</v>
      </c>
      <c r="B36868" t="str">
        <f>HYPERLINK("https://twitter.com/saimun2509","@saimun2509")</f>
        <v>@saimun2509</v>
      </c>
      <c r="C36868" t="s">
        <v>11425</v>
      </c>
      <c r="D36868">
        <v>168</v>
      </c>
      <c r="E36868">
        <v>0</v>
      </c>
      <c r="F36868">
        <v>119</v>
      </c>
    </row>
    <row r="36869" spans="1:6" ht="12.75">
      <c r="A36869" s="2">
        <v>43875.184027777781</v>
      </c>
      <c r="B36869" t="str">
        <f>HYPERLINK("https://twitter.com/OrlandoSL01","@OrlandoSL01")</f>
        <v>@OrlandoSL01</v>
      </c>
      <c r="C36869" t="s">
        <v>2142</v>
      </c>
      <c r="D36869">
        <v>4</v>
      </c>
      <c r="E36869">
        <v>0</v>
      </c>
      <c r="F36869">
        <v>250</v>
      </c>
    </row>
    <row r="36870" spans="1:6" ht="12.75">
      <c r="A36870" s="2">
        <v>43875.183888888889</v>
      </c>
      <c r="B36870" t="str">
        <f>HYPERLINK("https://twitter.com/Laxyyta","@Laxyyta")</f>
        <v>@Laxyyta</v>
      </c>
      <c r="C36870" t="s">
        <v>11425</v>
      </c>
      <c r="D36870">
        <v>168</v>
      </c>
      <c r="E36870">
        <v>0</v>
      </c>
      <c r="F36870">
        <v>137</v>
      </c>
    </row>
    <row r="36871" spans="1:6" ht="12.75">
      <c r="A36871" s="2">
        <v>43875.183842592596</v>
      </c>
      <c r="B36871" t="str">
        <f>HYPERLINK("https://twitter.com/adeteriyanaa","@adeteriyanaa")</f>
        <v>@adeteriyanaa</v>
      </c>
      <c r="C36871" t="s">
        <v>15200</v>
      </c>
      <c r="D36871">
        <v>1</v>
      </c>
      <c r="E36871">
        <v>0</v>
      </c>
      <c r="F36871">
        <v>641</v>
      </c>
    </row>
    <row r="36872" spans="1:6" ht="12.75">
      <c r="A36872" s="2">
        <v>43875.183287037042</v>
      </c>
      <c r="B36872" t="str">
        <f>HYPERLINK("https://twitter.com/Laxyyta","@Laxyyta")</f>
        <v>@Laxyyta</v>
      </c>
      <c r="C36872" t="s">
        <v>8881</v>
      </c>
      <c r="D36872">
        <v>242</v>
      </c>
      <c r="E36872">
        <v>0</v>
      </c>
      <c r="F36872">
        <v>137</v>
      </c>
    </row>
    <row r="36873" spans="1:6" ht="12.75">
      <c r="A36873" s="2">
        <v>43875.183148148149</v>
      </c>
      <c r="B36873" t="str">
        <f>HYPERLINK("https://twitter.com/mr_wndy","@mr_wndy")</f>
        <v>@mr_wndy</v>
      </c>
      <c r="C36873" t="s">
        <v>15201</v>
      </c>
      <c r="D36873">
        <v>7</v>
      </c>
      <c r="E36873">
        <v>0</v>
      </c>
      <c r="F36873">
        <v>428</v>
      </c>
    </row>
    <row r="36874" spans="1:6" ht="12.75">
      <c r="A36874" s="2">
        <v>43875.182858796295</v>
      </c>
      <c r="B36874" t="str">
        <f>HYPERLINK("https://twitter.com/ny_tan_jun_kim","@ny_tan_jun_kim")</f>
        <v>@ny_tan_jun_kim</v>
      </c>
      <c r="C36874" t="s">
        <v>15202</v>
      </c>
      <c r="D36874">
        <v>0</v>
      </c>
      <c r="E36874">
        <v>1</v>
      </c>
      <c r="F36874">
        <v>89</v>
      </c>
    </row>
    <row r="36875" spans="1:6" ht="12.75">
      <c r="A36875" s="2">
        <v>43875.182847222226</v>
      </c>
      <c r="B36875" t="str">
        <f>HYPERLINK("https://twitter.com/galery_kecil","@galery_kecil")</f>
        <v>@galery_kecil</v>
      </c>
      <c r="C36875" t="s">
        <v>15203</v>
      </c>
      <c r="D36875">
        <v>0</v>
      </c>
      <c r="E36875">
        <v>0</v>
      </c>
      <c r="F36875">
        <v>104</v>
      </c>
    </row>
    <row r="36876" spans="1:6" ht="12.75">
      <c r="A36876" s="2">
        <v>43875.182326388887</v>
      </c>
      <c r="B36876" t="str">
        <f>HYPERLINK("https://twitter.com/LampungTV","@LampungTV")</f>
        <v>@LampungTV</v>
      </c>
      <c r="C36876" t="s">
        <v>38</v>
      </c>
      <c r="D36876">
        <v>0</v>
      </c>
      <c r="E36876">
        <v>0</v>
      </c>
      <c r="F36876">
        <v>858</v>
      </c>
    </row>
    <row r="36877" spans="1:6" ht="12.75">
      <c r="A36877" s="2">
        <v>43875.182326388887</v>
      </c>
      <c r="B36877" t="str">
        <f>HYPERLINK("https://twitter.com/vtvindonesia","@vtvindonesia")</f>
        <v>@vtvindonesia</v>
      </c>
      <c r="C36877" t="s">
        <v>38</v>
      </c>
      <c r="D36877">
        <v>0</v>
      </c>
      <c r="E36877">
        <v>0</v>
      </c>
      <c r="F36877">
        <v>1423</v>
      </c>
    </row>
    <row r="36878" spans="1:6" ht="12.75">
      <c r="A36878" s="2">
        <v>43875.182060185187</v>
      </c>
      <c r="B36878" t="str">
        <f>HYPERLINK("https://twitter.com/Nurdin14231788","@Nurdin14231788")</f>
        <v>@Nurdin14231788</v>
      </c>
      <c r="C36878" t="s">
        <v>15204</v>
      </c>
      <c r="D36878">
        <v>0</v>
      </c>
      <c r="E36878">
        <v>0</v>
      </c>
      <c r="F36878">
        <v>9</v>
      </c>
    </row>
    <row r="36879" spans="1:6" ht="12.75">
      <c r="A36879" s="2">
        <v>43875.181874999995</v>
      </c>
      <c r="B36879" t="str">
        <f>HYPERLINK("https://twitter.com/OrlandoSL01","@OrlandoSL01")</f>
        <v>@OrlandoSL01</v>
      </c>
      <c r="C36879" t="s">
        <v>15205</v>
      </c>
      <c r="D36879">
        <v>0</v>
      </c>
      <c r="E36879">
        <v>0</v>
      </c>
      <c r="F36879">
        <v>250</v>
      </c>
    </row>
    <row r="36880" spans="1:6" ht="12.75">
      <c r="A36880" s="2">
        <v>43875.181724537033</v>
      </c>
      <c r="B36880" t="str">
        <f>HYPERLINK("https://twitter.com/shoghirudin","@shoghirudin")</f>
        <v>@shoghirudin</v>
      </c>
      <c r="C36880" t="s">
        <v>15206</v>
      </c>
      <c r="D36880">
        <v>0</v>
      </c>
      <c r="E36880">
        <v>0</v>
      </c>
      <c r="F36880">
        <v>2</v>
      </c>
    </row>
    <row r="36881" spans="1:6" ht="12.75">
      <c r="A36881" s="2">
        <v>43875.181701388894</v>
      </c>
      <c r="B36881" t="str">
        <f>HYPERLINK("https://twitter.com/MrsRachelIn","@MrsRachelIn")</f>
        <v>@MrsRachelIn</v>
      </c>
      <c r="C36881" t="s">
        <v>15207</v>
      </c>
      <c r="D36881">
        <v>0</v>
      </c>
      <c r="E36881">
        <v>0</v>
      </c>
      <c r="F36881">
        <v>3074</v>
      </c>
    </row>
    <row r="36882" spans="1:6" ht="12.75">
      <c r="A36882" s="2">
        <v>43875.181666666671</v>
      </c>
      <c r="B36882" t="str">
        <f>HYPERLINK("https://twitter.com/Bubut871","@Bubut871")</f>
        <v>@Bubut871</v>
      </c>
      <c r="C36882" t="s">
        <v>11425</v>
      </c>
      <c r="D36882">
        <v>168</v>
      </c>
      <c r="E36882">
        <v>0</v>
      </c>
      <c r="F36882">
        <v>1615</v>
      </c>
    </row>
    <row r="36883" spans="1:6" ht="12.75">
      <c r="A36883" s="2">
        <v>43875.181296296301</v>
      </c>
      <c r="B36883" t="str">
        <f>HYPERLINK("https://twitter.com/rakjat4","@rakjat4")</f>
        <v>@rakjat4</v>
      </c>
      <c r="C36883" t="s">
        <v>9538</v>
      </c>
      <c r="D36883">
        <v>69</v>
      </c>
      <c r="E36883">
        <v>0</v>
      </c>
      <c r="F36883">
        <v>944</v>
      </c>
    </row>
    <row r="36884" spans="1:6" ht="12.75">
      <c r="A36884" s="2">
        <v>43875.181261574078</v>
      </c>
      <c r="B36884" t="str">
        <f>HYPERLINK("https://twitter.com/RadioElshinta","@RadioElshinta")</f>
        <v>@RadioElshinta</v>
      </c>
      <c r="C36884" t="s">
        <v>39</v>
      </c>
      <c r="D36884">
        <v>1</v>
      </c>
      <c r="E36884">
        <v>1</v>
      </c>
      <c r="F36884">
        <v>3633160</v>
      </c>
    </row>
    <row r="36885" spans="1:6" ht="12.75">
      <c r="A36885" s="2">
        <v>43875.180231481485</v>
      </c>
      <c r="B36885" t="str">
        <f>HYPERLINK("https://twitter.com/exaranda","@exaranda")</f>
        <v>@exaranda</v>
      </c>
      <c r="C36885" t="s">
        <v>15208</v>
      </c>
      <c r="D36885">
        <v>0</v>
      </c>
      <c r="E36885">
        <v>0</v>
      </c>
      <c r="F36885">
        <v>1</v>
      </c>
    </row>
    <row r="36886" spans="1:6" ht="12.75">
      <c r="A36886" s="2">
        <v>43875.180196759262</v>
      </c>
      <c r="B36886" t="str">
        <f>HYPERLINK("https://twitter.com/KavindraOemar","@KavindraOemar")</f>
        <v>@KavindraOemar</v>
      </c>
      <c r="C36886" t="s">
        <v>9538</v>
      </c>
      <c r="D36886">
        <v>69</v>
      </c>
      <c r="E36886">
        <v>0</v>
      </c>
      <c r="F36886">
        <v>3665</v>
      </c>
    </row>
    <row r="36887" spans="1:6" ht="12.75">
      <c r="A36887" s="2">
        <v>43875.18005787037</v>
      </c>
      <c r="B36887" t="str">
        <f t="shared" ref="B36887:B36888" si="411">HYPERLINK("https://twitter.com/ivanchristi3","@ivanchristi3")</f>
        <v>@ivanchristi3</v>
      </c>
      <c r="C36887" t="s">
        <v>11071</v>
      </c>
      <c r="D36887">
        <v>49</v>
      </c>
      <c r="E36887">
        <v>0</v>
      </c>
      <c r="F36887">
        <v>916</v>
      </c>
    </row>
    <row r="36888" spans="1:6" ht="12.75">
      <c r="A36888" s="2">
        <v>43875.17931712963</v>
      </c>
      <c r="B36888" t="str">
        <f t="shared" si="411"/>
        <v>@ivanchristi3</v>
      </c>
      <c r="C36888" t="s">
        <v>15209</v>
      </c>
      <c r="D36888">
        <v>1</v>
      </c>
      <c r="E36888">
        <v>2</v>
      </c>
      <c r="F36888">
        <v>916</v>
      </c>
    </row>
    <row r="36889" spans="1:6" ht="12.75">
      <c r="A36889" s="2">
        <v>43875.179201388892</v>
      </c>
      <c r="B36889" t="str">
        <f>HYPERLINK("https://twitter.com/JokoFighter01","@JokoFighter01")</f>
        <v>@JokoFighter01</v>
      </c>
      <c r="C36889" t="s">
        <v>12849</v>
      </c>
      <c r="D36889">
        <v>56</v>
      </c>
      <c r="E36889">
        <v>0</v>
      </c>
      <c r="F36889">
        <v>532</v>
      </c>
    </row>
    <row r="36890" spans="1:6" ht="12.75">
      <c r="A36890" s="2">
        <v>43875.179097222222</v>
      </c>
      <c r="B36890" t="str">
        <f>HYPERLINK("https://twitter.com/aguscosmo","@aguscosmo")</f>
        <v>@aguscosmo</v>
      </c>
      <c r="C36890" t="s">
        <v>12279</v>
      </c>
      <c r="D36890">
        <v>51</v>
      </c>
      <c r="E36890">
        <v>0</v>
      </c>
      <c r="F36890">
        <v>313</v>
      </c>
    </row>
    <row r="36891" spans="1:6" ht="12.75">
      <c r="A36891" s="2">
        <v>43875.178437499999</v>
      </c>
      <c r="B36891" t="str">
        <f>HYPERLINK("https://twitter.com/EvaKurn67450672","@EvaKurn67450672")</f>
        <v>@EvaKurn67450672</v>
      </c>
      <c r="C36891" t="s">
        <v>15210</v>
      </c>
      <c r="D36891">
        <v>0</v>
      </c>
      <c r="E36891">
        <v>0</v>
      </c>
      <c r="F36891">
        <v>0</v>
      </c>
    </row>
    <row r="36892" spans="1:6" ht="12.75">
      <c r="A36892" s="2">
        <v>43875.178414351853</v>
      </c>
      <c r="B36892" t="str">
        <f>HYPERLINK("https://twitter.com/elan_ghusma","@elan_ghusma")</f>
        <v>@elan_ghusma</v>
      </c>
      <c r="C36892" t="s">
        <v>15211</v>
      </c>
      <c r="D36892">
        <v>16</v>
      </c>
      <c r="E36892">
        <v>0</v>
      </c>
      <c r="F36892">
        <v>3125</v>
      </c>
    </row>
    <row r="36893" spans="1:6" ht="12.75">
      <c r="A36893" s="2">
        <v>43875.17833333333</v>
      </c>
      <c r="B36893" t="str">
        <f>HYPERLINK("https://twitter.com/AyunindyaRizkya","@AyunindyaRizkya")</f>
        <v>@AyunindyaRizkya</v>
      </c>
      <c r="C36893" t="s">
        <v>12738</v>
      </c>
      <c r="D36893">
        <v>68</v>
      </c>
      <c r="E36893">
        <v>0</v>
      </c>
      <c r="F36893">
        <v>3550</v>
      </c>
    </row>
    <row r="36894" spans="1:6" ht="12.75">
      <c r="A36894" s="2">
        <v>43875.178217592591</v>
      </c>
      <c r="B36894" t="str">
        <f>HYPERLINK("https://twitter.com/Anomdx","@Anomdx")</f>
        <v>@Anomdx</v>
      </c>
      <c r="C36894" t="s">
        <v>15212</v>
      </c>
      <c r="D36894">
        <v>0</v>
      </c>
      <c r="E36894">
        <v>0</v>
      </c>
      <c r="F36894">
        <v>32</v>
      </c>
    </row>
    <row r="36895" spans="1:6" ht="12.75">
      <c r="A36895" s="2">
        <v>43875.17800925926</v>
      </c>
      <c r="B36895" t="str">
        <f>HYPERLINK("https://twitter.com/spiderr__matrix","@spiderr__matrix")</f>
        <v>@spiderr__matrix</v>
      </c>
      <c r="C36895" t="s">
        <v>11071</v>
      </c>
      <c r="D36895">
        <v>49</v>
      </c>
      <c r="E36895">
        <v>0</v>
      </c>
      <c r="F36895">
        <v>4756</v>
      </c>
    </row>
    <row r="36896" spans="1:6" ht="12.75">
      <c r="A36896" s="2">
        <v>43875.17796296296</v>
      </c>
      <c r="B36896" t="str">
        <f>HYPERLINK("https://twitter.com/LaRose78992426","@LaRose78992426")</f>
        <v>@LaRose78992426</v>
      </c>
      <c r="C36896" t="s">
        <v>14852</v>
      </c>
      <c r="D36896">
        <v>97</v>
      </c>
      <c r="E36896">
        <v>0</v>
      </c>
      <c r="F36896">
        <v>257</v>
      </c>
    </row>
    <row r="36897" spans="1:6" ht="12.75">
      <c r="A36897" s="2">
        <v>43875.177881944444</v>
      </c>
      <c r="B36897" t="str">
        <f>HYPERLINK("https://twitter.com/BintangAlberto","@BintangAlberto")</f>
        <v>@BintangAlberto</v>
      </c>
      <c r="C36897" t="s">
        <v>2144</v>
      </c>
      <c r="D36897">
        <v>17</v>
      </c>
      <c r="E36897">
        <v>0</v>
      </c>
      <c r="F36897">
        <v>246</v>
      </c>
    </row>
    <row r="36898" spans="1:6" ht="12.75">
      <c r="A36898" s="2">
        <v>43875.177754629629</v>
      </c>
      <c r="B36898" t="str">
        <f>HYPERLINK("https://twitter.com/denimuhammad_","@denimuhammad_")</f>
        <v>@denimuhammad_</v>
      </c>
      <c r="C36898" t="s">
        <v>13035</v>
      </c>
      <c r="D36898">
        <v>6</v>
      </c>
      <c r="E36898">
        <v>0</v>
      </c>
      <c r="F36898">
        <v>52</v>
      </c>
    </row>
    <row r="36899" spans="1:6" ht="12.75">
      <c r="A36899" s="2">
        <v>43875.177372685182</v>
      </c>
      <c r="B36899" t="str">
        <f>HYPERLINK("https://twitter.com/chan_kwok","@chan_kwok")</f>
        <v>@chan_kwok</v>
      </c>
      <c r="C36899" t="s">
        <v>2144</v>
      </c>
      <c r="D36899">
        <v>17</v>
      </c>
      <c r="E36899">
        <v>0</v>
      </c>
      <c r="F36899">
        <v>1578</v>
      </c>
    </row>
    <row r="36900" spans="1:6" ht="12.75">
      <c r="A36900" s="2">
        <v>43875.177361111113</v>
      </c>
      <c r="B36900" t="str">
        <f>HYPERLINK("https://twitter.com/shoping_smart","@shoping_smart")</f>
        <v>@shoping_smart</v>
      </c>
      <c r="C36900" t="s">
        <v>175</v>
      </c>
      <c r="D36900">
        <v>5209</v>
      </c>
      <c r="E36900">
        <v>0</v>
      </c>
      <c r="F36900">
        <v>0</v>
      </c>
    </row>
    <row r="36901" spans="1:6" ht="12.75">
      <c r="A36901" s="2">
        <v>43875.177118055552</v>
      </c>
      <c r="B36901" t="str">
        <f>HYPERLINK("https://twitter.com/pcnu_subang","@pcnu_subang")</f>
        <v>@pcnu_subang</v>
      </c>
      <c r="C36901" t="s">
        <v>40</v>
      </c>
      <c r="D36901">
        <v>0</v>
      </c>
      <c r="E36901">
        <v>0</v>
      </c>
      <c r="F36901">
        <v>6</v>
      </c>
    </row>
    <row r="36902" spans="1:6" ht="12.75">
      <c r="A36902" s="2">
        <v>43875.177118055552</v>
      </c>
      <c r="B36902" t="str">
        <f>HYPERLINK("https://twitter.com/santriberkat","@santriberkat")</f>
        <v>@santriberkat</v>
      </c>
      <c r="C36902" t="s">
        <v>15213</v>
      </c>
      <c r="D36902">
        <v>0</v>
      </c>
      <c r="E36902">
        <v>0</v>
      </c>
      <c r="F36902">
        <v>4</v>
      </c>
    </row>
    <row r="36903" spans="1:6" ht="12.75">
      <c r="A36903" s="2">
        <v>43875.176724537036</v>
      </c>
      <c r="B36903" t="str">
        <f>HYPERLINK("https://twitter.com/Nitizen_Zen","@Nitizen_Zen")</f>
        <v>@Nitizen_Zen</v>
      </c>
      <c r="C36903" t="s">
        <v>10542</v>
      </c>
      <c r="D36903">
        <v>120</v>
      </c>
      <c r="E36903">
        <v>0</v>
      </c>
      <c r="F36903">
        <v>454</v>
      </c>
    </row>
    <row r="36904" spans="1:6" ht="12.75">
      <c r="A36904" s="2">
        <v>43875.176678240736</v>
      </c>
      <c r="B36904" t="str">
        <f>HYPERLINK("https://twitter.com/mahmudfauzinas1","@mahmudfauzinas1")</f>
        <v>@mahmudfauzinas1</v>
      </c>
      <c r="C36904" t="s">
        <v>2144</v>
      </c>
      <c r="D36904">
        <v>17</v>
      </c>
      <c r="E36904">
        <v>0</v>
      </c>
      <c r="F36904">
        <v>103</v>
      </c>
    </row>
    <row r="36905" spans="1:6" ht="12.75">
      <c r="A36905" s="2">
        <v>43875.176006944443</v>
      </c>
      <c r="B36905" t="str">
        <f>HYPERLINK("https://twitter.com/ALUNG_ASN","@ALUNG_ASN")</f>
        <v>@ALUNG_ASN</v>
      </c>
      <c r="C36905" t="s">
        <v>15214</v>
      </c>
      <c r="D36905">
        <v>41</v>
      </c>
      <c r="E36905">
        <v>0</v>
      </c>
      <c r="F36905">
        <v>235</v>
      </c>
    </row>
    <row r="36906" spans="1:6" ht="12.75">
      <c r="A36906" s="2">
        <v>43875.175543981481</v>
      </c>
      <c r="B36906" t="str">
        <f>HYPERLINK("https://twitter.com/ybvoi","@ybvoi")</f>
        <v>@ybvoi</v>
      </c>
      <c r="C36906" t="s">
        <v>15215</v>
      </c>
      <c r="D36906">
        <v>0</v>
      </c>
      <c r="E36906">
        <v>0</v>
      </c>
      <c r="F36906">
        <v>52</v>
      </c>
    </row>
    <row r="36907" spans="1:6" ht="12.75">
      <c r="A36907" s="2">
        <v>43875.175439814819</v>
      </c>
      <c r="B36907" t="str">
        <f>HYPERLINK("https://twitter.com/royalavell","@royalavell")</f>
        <v>@royalavell</v>
      </c>
      <c r="C36907" t="s">
        <v>5168</v>
      </c>
      <c r="D36907">
        <v>327</v>
      </c>
      <c r="E36907">
        <v>0</v>
      </c>
      <c r="F36907">
        <v>1053</v>
      </c>
    </row>
    <row r="36908" spans="1:6" ht="12.75">
      <c r="A36908" s="2">
        <v>43875.175324074073</v>
      </c>
      <c r="B36908" t="str">
        <f>HYPERLINK("https://twitter.com/tribunnews","@tribunnews")</f>
        <v>@tribunnews</v>
      </c>
      <c r="C36908" t="s">
        <v>41</v>
      </c>
      <c r="D36908">
        <v>0</v>
      </c>
      <c r="E36908">
        <v>0</v>
      </c>
      <c r="F36908">
        <v>873083</v>
      </c>
    </row>
    <row r="36909" spans="1:6" ht="12.75">
      <c r="A36909" s="2">
        <v>43875.175092592588</v>
      </c>
      <c r="B36909" t="str">
        <f>HYPERLINK("https://twitter.com/FerdianPutu","@FerdianPutu")</f>
        <v>@FerdianPutu</v>
      </c>
      <c r="C36909" t="s">
        <v>2144</v>
      </c>
      <c r="D36909">
        <v>17</v>
      </c>
      <c r="E36909">
        <v>0</v>
      </c>
      <c r="F36909">
        <v>42</v>
      </c>
    </row>
    <row r="36910" spans="1:6" ht="12.75">
      <c r="A36910" s="2">
        <v>43875.174942129626</v>
      </c>
      <c r="B36910" t="str">
        <f>HYPERLINK("https://twitter.com/tribunnews","@tribunnews")</f>
        <v>@tribunnews</v>
      </c>
      <c r="C36910" t="s">
        <v>42</v>
      </c>
      <c r="D36910">
        <v>1</v>
      </c>
      <c r="E36910">
        <v>4</v>
      </c>
      <c r="F36910">
        <v>873083</v>
      </c>
    </row>
    <row r="36911" spans="1:6" ht="12.75">
      <c r="A36911" s="2">
        <v>43875.174803240741</v>
      </c>
      <c r="B36911" t="str">
        <f>HYPERLINK("https://twitter.com/BudiatnoGomarus","@BudiatnoGomarus")</f>
        <v>@BudiatnoGomarus</v>
      </c>
      <c r="C36911" t="s">
        <v>15216</v>
      </c>
      <c r="D36911">
        <v>0</v>
      </c>
      <c r="E36911">
        <v>0</v>
      </c>
      <c r="F36911">
        <v>3559</v>
      </c>
    </row>
    <row r="36912" spans="1:6" ht="12.75">
      <c r="A36912" s="2">
        <v>43875.174699074079</v>
      </c>
      <c r="B36912" t="str">
        <f>HYPERLINK("https://twitter.com/fadjroeL","@fadjroeL")</f>
        <v>@fadjroeL</v>
      </c>
      <c r="C36912" t="s">
        <v>15217</v>
      </c>
      <c r="D36912">
        <v>17</v>
      </c>
      <c r="E36912">
        <v>89</v>
      </c>
      <c r="F36912">
        <v>994732</v>
      </c>
    </row>
    <row r="36913" spans="1:6" ht="12.75">
      <c r="A36913" s="2">
        <v>43875.174687499995</v>
      </c>
      <c r="B36913" t="str">
        <f>HYPERLINK("https://twitter.com/andy_marwandy","@andy_marwandy")</f>
        <v>@andy_marwandy</v>
      </c>
      <c r="C36913" t="s">
        <v>15218</v>
      </c>
      <c r="D36913">
        <v>0</v>
      </c>
      <c r="E36913">
        <v>0</v>
      </c>
      <c r="F36913">
        <v>1</v>
      </c>
    </row>
    <row r="36914" spans="1:6" ht="12.75">
      <c r="A36914" s="2">
        <v>43875.174305555556</v>
      </c>
      <c r="B36914" t="str">
        <f>HYPERLINK("https://twitter.com/ALUNG_ASN","@ALUNG_ASN")</f>
        <v>@ALUNG_ASN</v>
      </c>
      <c r="C36914" t="s">
        <v>2173</v>
      </c>
      <c r="D36914">
        <v>1335</v>
      </c>
      <c r="E36914">
        <v>0</v>
      </c>
      <c r="F36914">
        <v>235</v>
      </c>
    </row>
    <row r="36915" spans="1:6" ht="12.75">
      <c r="A36915" s="2">
        <v>43875.173981481479</v>
      </c>
      <c r="B36915" t="str">
        <f>HYPERLINK("https://twitter.com/JakartaTour","@JakartaTour")</f>
        <v>@JakartaTour</v>
      </c>
      <c r="C36915" t="s">
        <v>15219</v>
      </c>
      <c r="D36915">
        <v>0</v>
      </c>
      <c r="E36915">
        <v>0</v>
      </c>
      <c r="F36915">
        <v>1287</v>
      </c>
    </row>
    <row r="36916" spans="1:6" ht="12.75">
      <c r="A36916" s="2">
        <v>43875.173912037033</v>
      </c>
      <c r="B36916" t="str">
        <f>HYPERLINK("https://twitter.com/ivanchristi3","@ivanchristi3")</f>
        <v>@ivanchristi3</v>
      </c>
      <c r="C36916" t="s">
        <v>6771</v>
      </c>
      <c r="D36916">
        <v>74</v>
      </c>
      <c r="E36916">
        <v>0</v>
      </c>
      <c r="F36916">
        <v>916</v>
      </c>
    </row>
    <row r="36917" spans="1:6" ht="12.75">
      <c r="A36917" s="2">
        <v>43875.17386574074</v>
      </c>
      <c r="B36917" t="str">
        <f>HYPERLINK("https://twitter.com/Andilagisinau","@Andilagisinau")</f>
        <v>@Andilagisinau</v>
      </c>
      <c r="C36917" t="s">
        <v>9373</v>
      </c>
      <c r="D36917">
        <v>94</v>
      </c>
      <c r="E36917">
        <v>0</v>
      </c>
      <c r="F36917">
        <v>1852</v>
      </c>
    </row>
    <row r="36918" spans="1:6" ht="12.75">
      <c r="A36918" s="2">
        <v>43875.173819444448</v>
      </c>
      <c r="B36918" t="str">
        <f>HYPERLINK("https://twitter.com/shoghirudin","@shoghirudin")</f>
        <v>@shoghirudin</v>
      </c>
      <c r="C36918" t="s">
        <v>15220</v>
      </c>
      <c r="D36918">
        <v>0</v>
      </c>
      <c r="E36918">
        <v>0</v>
      </c>
      <c r="F36918">
        <v>2</v>
      </c>
    </row>
    <row r="36919" spans="1:6" ht="12.75">
      <c r="A36919" s="2">
        <v>43875.173680555556</v>
      </c>
      <c r="B36919" t="str">
        <f>HYPERLINK("https://twitter.com/Radar_Aktual","@Radar_Aktual")</f>
        <v>@Radar_Aktual</v>
      </c>
      <c r="C36919" t="s">
        <v>43</v>
      </c>
      <c r="D36919">
        <v>0</v>
      </c>
      <c r="E36919">
        <v>0</v>
      </c>
      <c r="F36919">
        <v>97</v>
      </c>
    </row>
    <row r="36920" spans="1:6" ht="12.75">
      <c r="A36920" s="2">
        <v>43875.173344907409</v>
      </c>
      <c r="B36920" t="str">
        <f>HYPERLINK("https://twitter.com/Andilagisinau","@Andilagisinau")</f>
        <v>@Andilagisinau</v>
      </c>
      <c r="C36920" t="s">
        <v>10121</v>
      </c>
      <c r="D36920">
        <v>131</v>
      </c>
      <c r="E36920">
        <v>0</v>
      </c>
      <c r="F36920">
        <v>1852</v>
      </c>
    </row>
    <row r="36921" spans="1:6" ht="12.75">
      <c r="A36921" s="2">
        <v>43875.173333333332</v>
      </c>
      <c r="B36921" t="str">
        <f t="shared" ref="B36921:B36922" si="412">HYPERLINK("https://twitter.com/tribunnews","@tribunnews")</f>
        <v>@tribunnews</v>
      </c>
      <c r="C36921" t="s">
        <v>44</v>
      </c>
      <c r="D36921">
        <v>0</v>
      </c>
      <c r="E36921">
        <v>1</v>
      </c>
      <c r="F36921">
        <v>873083</v>
      </c>
    </row>
    <row r="36922" spans="1:6" ht="12.75">
      <c r="A36922" s="2">
        <v>43875.173009259262</v>
      </c>
      <c r="B36922" t="str">
        <f t="shared" si="412"/>
        <v>@tribunnews</v>
      </c>
      <c r="C36922" t="s">
        <v>15221</v>
      </c>
      <c r="D36922">
        <v>0</v>
      </c>
      <c r="E36922">
        <v>0</v>
      </c>
      <c r="F36922">
        <v>873083</v>
      </c>
    </row>
    <row r="36923" spans="1:6" ht="12.75">
      <c r="A36923" s="2">
        <v>43875.172997685186</v>
      </c>
      <c r="B36923" t="str">
        <f>HYPERLINK("https://twitter.com/GusSuranto","@GusSuranto")</f>
        <v>@GusSuranto</v>
      </c>
      <c r="C36923" t="s">
        <v>15222</v>
      </c>
      <c r="D36923">
        <v>0</v>
      </c>
      <c r="E36923">
        <v>0</v>
      </c>
      <c r="F36923">
        <v>0</v>
      </c>
    </row>
    <row r="36924" spans="1:6" ht="12.75">
      <c r="A36924" s="2">
        <v>43875.172418981485</v>
      </c>
      <c r="B36924" t="str">
        <f>HYPERLINK("https://twitter.com/mudjib_trisatya","@mudjib_trisatya")</f>
        <v>@mudjib_trisatya</v>
      </c>
      <c r="C36924" t="s">
        <v>15223</v>
      </c>
      <c r="D36924">
        <v>2</v>
      </c>
      <c r="E36924">
        <v>0</v>
      </c>
      <c r="F36924">
        <v>2428</v>
      </c>
    </row>
    <row r="36925" spans="1:6" ht="12.75">
      <c r="A36925" s="2">
        <v>43875.172407407408</v>
      </c>
      <c r="B36925" t="str">
        <f>HYPERLINK("https://twitter.com/Irmakus26507728","@Irmakus26507728")</f>
        <v>@Irmakus26507728</v>
      </c>
      <c r="C36925" t="s">
        <v>15224</v>
      </c>
      <c r="D36925">
        <v>0</v>
      </c>
      <c r="E36925">
        <v>0</v>
      </c>
      <c r="F36925">
        <v>11</v>
      </c>
    </row>
    <row r="36926" spans="1:6" ht="12.75">
      <c r="A36926" s="2">
        <v>43875.171736111108</v>
      </c>
      <c r="B36926" t="str">
        <f>HYPERLINK("https://twitter.com/Alie_Fahnoor","@Alie_Fahnoor")</f>
        <v>@Alie_Fahnoor</v>
      </c>
      <c r="C36926" t="s">
        <v>15225</v>
      </c>
      <c r="D36926">
        <v>2</v>
      </c>
      <c r="E36926">
        <v>0</v>
      </c>
      <c r="F36926">
        <v>441</v>
      </c>
    </row>
    <row r="36927" spans="1:6" ht="12.75">
      <c r="A36927" s="2">
        <v>43875.171006944445</v>
      </c>
      <c r="B36927" t="str">
        <f>HYPERLINK("https://twitter.com/StandBehindJKW","@StandBehindJKW")</f>
        <v>@StandBehindJKW</v>
      </c>
      <c r="C36927" t="s">
        <v>175</v>
      </c>
      <c r="D36927">
        <v>5209</v>
      </c>
      <c r="E36927">
        <v>0</v>
      </c>
      <c r="F36927">
        <v>2638</v>
      </c>
    </row>
    <row r="36928" spans="1:6" ht="12.75">
      <c r="A36928" s="2">
        <v>43875.170763888891</v>
      </c>
      <c r="B36928" t="str">
        <f>HYPERLINK("https://twitter.com/BeritaMillenial","@BeritaMillenial")</f>
        <v>@BeritaMillenial</v>
      </c>
      <c r="C36928" t="s">
        <v>15226</v>
      </c>
      <c r="D36928">
        <v>0</v>
      </c>
      <c r="E36928">
        <v>0</v>
      </c>
      <c r="F36928">
        <v>31</v>
      </c>
    </row>
    <row r="36929" spans="1:6" ht="12.75">
      <c r="A36929" s="2">
        <v>43875.170659722222</v>
      </c>
      <c r="B36929" t="str">
        <f>HYPERLINK("https://twitter.com/mistercebong","@mistercebong")</f>
        <v>@mistercebong</v>
      </c>
      <c r="C36929" t="s">
        <v>15227</v>
      </c>
      <c r="D36929">
        <v>0</v>
      </c>
      <c r="E36929">
        <v>0</v>
      </c>
      <c r="F36929">
        <v>9935</v>
      </c>
    </row>
    <row r="36930" spans="1:6" ht="12.75">
      <c r="A36930" s="2">
        <v>43875.170567129629</v>
      </c>
      <c r="B36930" t="str">
        <f t="shared" ref="B36930:B36931" si="413">HYPERLINK("https://twitter.com/gun_mastercuan","@gun_mastercuan")</f>
        <v>@gun_mastercuan</v>
      </c>
      <c r="C36930" t="s">
        <v>11778</v>
      </c>
      <c r="D36930">
        <v>11</v>
      </c>
      <c r="E36930">
        <v>0</v>
      </c>
      <c r="F36930">
        <v>551</v>
      </c>
    </row>
    <row r="36931" spans="1:6" ht="12.75">
      <c r="A36931" s="2">
        <v>43875.170532407406</v>
      </c>
      <c r="B36931" t="str">
        <f t="shared" si="413"/>
        <v>@gun_mastercuan</v>
      </c>
      <c r="C36931" t="s">
        <v>2134</v>
      </c>
      <c r="D36931">
        <v>975</v>
      </c>
      <c r="E36931">
        <v>0</v>
      </c>
      <c r="F36931">
        <v>551</v>
      </c>
    </row>
    <row r="36932" spans="1:6" ht="12.75">
      <c r="A36932" s="2">
        <v>43875.170347222222</v>
      </c>
      <c r="B36932" t="str">
        <f>HYPERLINK("https://twitter.com/elan_ghusma","@elan_ghusma")</f>
        <v>@elan_ghusma</v>
      </c>
      <c r="C36932" t="s">
        <v>9538</v>
      </c>
      <c r="D36932">
        <v>69</v>
      </c>
      <c r="E36932">
        <v>0</v>
      </c>
      <c r="F36932">
        <v>3125</v>
      </c>
    </row>
    <row r="36933" spans="1:6" ht="12.75">
      <c r="A36933" s="2">
        <v>43875.170231481483</v>
      </c>
      <c r="B36933" t="str">
        <f>HYPERLINK("https://twitter.com/ALUNG_ASN","@ALUNG_ASN")</f>
        <v>@ALUNG_ASN</v>
      </c>
      <c r="C36933" t="s">
        <v>3038</v>
      </c>
      <c r="D36933">
        <v>99</v>
      </c>
      <c r="E36933">
        <v>0</v>
      </c>
      <c r="F36933">
        <v>235</v>
      </c>
    </row>
    <row r="36934" spans="1:6" ht="12.75">
      <c r="A36934" s="2">
        <v>43875.170162037037</v>
      </c>
      <c r="B36934" t="str">
        <f>HYPERLINK("https://twitter.com/aguscosmo","@aguscosmo")</f>
        <v>@aguscosmo</v>
      </c>
      <c r="C36934" t="s">
        <v>10196</v>
      </c>
      <c r="D36934">
        <v>116</v>
      </c>
      <c r="E36934">
        <v>0</v>
      </c>
      <c r="F36934">
        <v>313</v>
      </c>
    </row>
    <row r="36935" spans="1:6" ht="12.75">
      <c r="A36935" s="2">
        <v>43875.169976851852</v>
      </c>
      <c r="B36935" t="str">
        <f>HYPERLINK("https://twitter.com/dinisatashya","@dinisatashya")</f>
        <v>@dinisatashya</v>
      </c>
      <c r="C36935" t="s">
        <v>14184</v>
      </c>
      <c r="D36935">
        <v>44</v>
      </c>
      <c r="E36935">
        <v>0</v>
      </c>
      <c r="F36935">
        <v>694</v>
      </c>
    </row>
    <row r="36936" spans="1:6" ht="12.75">
      <c r="A36936" s="2">
        <v>43875.169722222221</v>
      </c>
      <c r="B36936" t="str">
        <f>HYPERLINK("https://twitter.com/mudjib_trisatya","@mudjib_trisatya")</f>
        <v>@mudjib_trisatya</v>
      </c>
      <c r="C36936" t="s">
        <v>15228</v>
      </c>
      <c r="D36936">
        <v>34</v>
      </c>
      <c r="E36936">
        <v>0</v>
      </c>
      <c r="F36936">
        <v>2428</v>
      </c>
    </row>
    <row r="36937" spans="1:6" ht="12.75">
      <c r="A36937" s="2">
        <v>43875.169351851851</v>
      </c>
      <c r="B36937" t="str">
        <f>HYPERLINK("https://twitter.com/SantiLim14","@SantiLim14")</f>
        <v>@SantiLim14</v>
      </c>
      <c r="C36937" t="s">
        <v>11266</v>
      </c>
      <c r="D36937">
        <v>5</v>
      </c>
      <c r="E36937">
        <v>0</v>
      </c>
      <c r="F36937">
        <v>3989</v>
      </c>
    </row>
    <row r="36938" spans="1:6" ht="12.75">
      <c r="A36938" s="2">
        <v>43875.169293981482</v>
      </c>
      <c r="B36938" t="str">
        <f>HYPERLINK("https://twitter.com/PCNUMedan","@PCNUMedan")</f>
        <v>@PCNUMedan</v>
      </c>
      <c r="C36938" t="s">
        <v>15229</v>
      </c>
      <c r="D36938">
        <v>3</v>
      </c>
      <c r="E36938">
        <v>0</v>
      </c>
      <c r="F36938">
        <v>226</v>
      </c>
    </row>
    <row r="36939" spans="1:6" ht="12.75">
      <c r="A36939" s="2">
        <v>43875.169212962966</v>
      </c>
      <c r="B36939" t="str">
        <f>HYPERLINK("https://twitter.com/mudjib_trisatya","@mudjib_trisatya")</f>
        <v>@mudjib_trisatya</v>
      </c>
      <c r="C36939" t="s">
        <v>15230</v>
      </c>
      <c r="D36939">
        <v>38</v>
      </c>
      <c r="E36939">
        <v>0</v>
      </c>
      <c r="F36939">
        <v>2428</v>
      </c>
    </row>
    <row r="36940" spans="1:6" ht="12.75">
      <c r="A36940" s="2">
        <v>43875.16920138889</v>
      </c>
      <c r="B36940" t="str">
        <f>HYPERLINK("https://twitter.com/rianntears","@rianntears")</f>
        <v>@rianntears</v>
      </c>
      <c r="C36940" t="s">
        <v>9732</v>
      </c>
      <c r="D36940">
        <v>49</v>
      </c>
      <c r="E36940">
        <v>0</v>
      </c>
      <c r="F36940">
        <v>1178</v>
      </c>
    </row>
    <row r="36941" spans="1:6" ht="12.75">
      <c r="A36941" s="2">
        <v>43875.16909722222</v>
      </c>
      <c r="B36941" t="str">
        <f>HYPERLINK("https://twitter.com/ALUNG_ASN","@ALUNG_ASN")</f>
        <v>@ALUNG_ASN</v>
      </c>
      <c r="C36941" t="s">
        <v>10687</v>
      </c>
      <c r="D36941">
        <v>773</v>
      </c>
      <c r="E36941">
        <v>0</v>
      </c>
      <c r="F36941">
        <v>235</v>
      </c>
    </row>
    <row r="36942" spans="1:6" ht="12.75">
      <c r="A36942" s="2">
        <v>43875.168773148151</v>
      </c>
      <c r="B36942" t="str">
        <f>HYPERLINK("https://twitter.com/Yulia59465244","@Yulia59465244")</f>
        <v>@Yulia59465244</v>
      </c>
      <c r="C36942" t="s">
        <v>15231</v>
      </c>
      <c r="D36942">
        <v>0</v>
      </c>
      <c r="E36942">
        <v>0</v>
      </c>
      <c r="F36942">
        <v>0</v>
      </c>
    </row>
    <row r="36943" spans="1:6" ht="12.75">
      <c r="A36943" s="2">
        <v>43875.168738425928</v>
      </c>
      <c r="B36943" t="str">
        <f t="shared" ref="B36943:B36944" si="414">HYPERLINK("https://twitter.com/mudjib_trisatya","@mudjib_trisatya")</f>
        <v>@mudjib_trisatya</v>
      </c>
      <c r="C36943" t="s">
        <v>15232</v>
      </c>
      <c r="D36943">
        <v>27</v>
      </c>
      <c r="E36943">
        <v>0</v>
      </c>
      <c r="F36943">
        <v>2428</v>
      </c>
    </row>
    <row r="36944" spans="1:6" ht="12.75">
      <c r="A36944" s="2">
        <v>43875.168460648143</v>
      </c>
      <c r="B36944" t="str">
        <f t="shared" si="414"/>
        <v>@mudjib_trisatya</v>
      </c>
      <c r="C36944" t="s">
        <v>15233</v>
      </c>
      <c r="D36944">
        <v>32</v>
      </c>
      <c r="E36944">
        <v>0</v>
      </c>
      <c r="F36944">
        <v>2428</v>
      </c>
    </row>
    <row r="36945" spans="1:6" ht="12.75">
      <c r="A36945" s="2">
        <v>43875.168182870373</v>
      </c>
      <c r="B36945" t="str">
        <f t="shared" ref="B36945:B36947" si="415">HYPERLINK("https://twitter.com/StandBehindJKW","@StandBehindJKW")</f>
        <v>@StandBehindJKW</v>
      </c>
      <c r="C36945" t="s">
        <v>15234</v>
      </c>
      <c r="D36945">
        <v>2</v>
      </c>
      <c r="E36945">
        <v>0</v>
      </c>
      <c r="F36945">
        <v>2638</v>
      </c>
    </row>
    <row r="36946" spans="1:6" ht="12.75">
      <c r="A36946" s="2">
        <v>43875.168136574073</v>
      </c>
      <c r="B36946" t="str">
        <f t="shared" si="415"/>
        <v>@StandBehindJKW</v>
      </c>
      <c r="C36946" t="s">
        <v>15235</v>
      </c>
      <c r="D36946">
        <v>3</v>
      </c>
      <c r="E36946">
        <v>0</v>
      </c>
      <c r="F36946">
        <v>2638</v>
      </c>
    </row>
    <row r="36947" spans="1:6" ht="12.75">
      <c r="A36947" s="2">
        <v>43875.16810185185</v>
      </c>
      <c r="B36947" t="str">
        <f t="shared" si="415"/>
        <v>@StandBehindJKW</v>
      </c>
      <c r="C36947" t="s">
        <v>15161</v>
      </c>
      <c r="D36947">
        <v>3</v>
      </c>
      <c r="E36947">
        <v>0</v>
      </c>
      <c r="F36947">
        <v>2638</v>
      </c>
    </row>
    <row r="36948" spans="1:6" ht="12.75">
      <c r="A36948" s="2">
        <v>43875.167997685188</v>
      </c>
      <c r="B36948" t="str">
        <f>HYPERLINK("https://twitter.com/HafidahNurSuli2","@HafidahNurSuli2")</f>
        <v>@HafidahNurSuli2</v>
      </c>
      <c r="C36948" t="s">
        <v>7803</v>
      </c>
      <c r="D36948">
        <v>287</v>
      </c>
      <c r="E36948">
        <v>0</v>
      </c>
      <c r="F36948">
        <v>209</v>
      </c>
    </row>
    <row r="36949" spans="1:6" ht="12.75">
      <c r="A36949" s="2">
        <v>43875.167986111112</v>
      </c>
      <c r="B36949" t="str">
        <f>HYPERLINK("https://twitter.com/aguscosmo","@aguscosmo")</f>
        <v>@aguscosmo</v>
      </c>
      <c r="C36949" t="s">
        <v>2122</v>
      </c>
      <c r="D36949">
        <v>163</v>
      </c>
      <c r="E36949">
        <v>0</v>
      </c>
      <c r="F36949">
        <v>313</v>
      </c>
    </row>
    <row r="36950" spans="1:6" ht="12.75">
      <c r="A36950" s="2">
        <v>43875.167858796296</v>
      </c>
      <c r="B36950" t="str">
        <f>HYPERLINK("https://twitter.com/gandung_dan","@gandung_dan")</f>
        <v>@gandung_dan</v>
      </c>
      <c r="C36950" t="s">
        <v>10526</v>
      </c>
      <c r="D36950">
        <v>92</v>
      </c>
      <c r="E36950">
        <v>0</v>
      </c>
      <c r="F36950">
        <v>154</v>
      </c>
    </row>
    <row r="36951" spans="1:6" ht="12.75">
      <c r="A36951" s="2">
        <v>43875.167824074073</v>
      </c>
      <c r="B36951" t="str">
        <f>HYPERLINK("https://twitter.com/Garrsett","@Garrsett")</f>
        <v>@Garrsett</v>
      </c>
      <c r="C36951" t="s">
        <v>7803</v>
      </c>
      <c r="D36951">
        <v>287</v>
      </c>
      <c r="E36951">
        <v>0</v>
      </c>
      <c r="F36951">
        <v>1382</v>
      </c>
    </row>
    <row r="36952" spans="1:6" ht="12.75">
      <c r="A36952" s="2">
        <v>43875.167604166665</v>
      </c>
      <c r="B36952" t="str">
        <f>HYPERLINK("https://twitter.com/mudjib_trisatya","@mudjib_trisatya")</f>
        <v>@mudjib_trisatya</v>
      </c>
      <c r="C36952" t="s">
        <v>10802</v>
      </c>
      <c r="D36952">
        <v>485</v>
      </c>
      <c r="E36952">
        <v>0</v>
      </c>
      <c r="F36952">
        <v>2428</v>
      </c>
    </row>
    <row r="36953" spans="1:6" ht="12.75">
      <c r="A36953" s="2">
        <v>43875.167476851857</v>
      </c>
      <c r="B36953" t="str">
        <f>HYPERLINK("https://twitter.com/AgusSup39011241","@AgusSup39011241")</f>
        <v>@AgusSup39011241</v>
      </c>
      <c r="C36953" t="s">
        <v>12702</v>
      </c>
      <c r="D36953">
        <v>33</v>
      </c>
      <c r="E36953">
        <v>0</v>
      </c>
      <c r="F36953">
        <v>10009</v>
      </c>
    </row>
    <row r="36954" spans="1:6" ht="12.75">
      <c r="A36954" s="2">
        <v>43875.167384259257</v>
      </c>
      <c r="B36954" t="str">
        <f>HYPERLINK("https://twitter.com/SayfulalFatih","@SayfulalFatih")</f>
        <v>@SayfulalFatih</v>
      </c>
      <c r="C36954" t="s">
        <v>15236</v>
      </c>
      <c r="D36954">
        <v>6</v>
      </c>
      <c r="E36954">
        <v>0</v>
      </c>
      <c r="F36954">
        <v>375</v>
      </c>
    </row>
    <row r="36955" spans="1:6" ht="12.75">
      <c r="A36955" s="2">
        <v>43875.167372685188</v>
      </c>
      <c r="B36955" t="str">
        <f>HYPERLINK("https://twitter.com/mudjib_trisatya","@mudjib_trisatya")</f>
        <v>@mudjib_trisatya</v>
      </c>
      <c r="C36955" t="s">
        <v>15237</v>
      </c>
      <c r="D36955">
        <v>1</v>
      </c>
      <c r="E36955">
        <v>0</v>
      </c>
      <c r="F36955">
        <v>2428</v>
      </c>
    </row>
    <row r="36956" spans="1:6" ht="12.75">
      <c r="A36956" s="2">
        <v>43875.167210648149</v>
      </c>
      <c r="B36956" t="str">
        <f>HYPERLINK("https://twitter.com/FerdianPutu","@FerdianPutu")</f>
        <v>@FerdianPutu</v>
      </c>
      <c r="C36956" t="s">
        <v>15238</v>
      </c>
      <c r="D36956">
        <v>1</v>
      </c>
      <c r="E36956">
        <v>0</v>
      </c>
      <c r="F36956">
        <v>42</v>
      </c>
    </row>
    <row r="36957" spans="1:6" ht="12.75">
      <c r="A36957" s="2">
        <v>43875.166851851856</v>
      </c>
      <c r="B36957" t="str">
        <f>HYPERLINK("https://twitter.com/ALUNG_ASN","@ALUNG_ASN")</f>
        <v>@ALUNG_ASN</v>
      </c>
      <c r="C36957" t="s">
        <v>9263</v>
      </c>
      <c r="D36957">
        <v>61</v>
      </c>
      <c r="E36957">
        <v>0</v>
      </c>
      <c r="F36957">
        <v>235</v>
      </c>
    </row>
    <row r="36958" spans="1:6" ht="12.75">
      <c r="A36958" s="2">
        <v>43875.166724537034</v>
      </c>
      <c r="B36958" t="str">
        <f>HYPERLINK("https://twitter.com/fath_attaqi","@fath_attaqi")</f>
        <v>@fath_attaqi</v>
      </c>
      <c r="C36958" t="s">
        <v>10526</v>
      </c>
      <c r="D36958">
        <v>92</v>
      </c>
      <c r="E36958">
        <v>0</v>
      </c>
      <c r="F36958">
        <v>1156</v>
      </c>
    </row>
    <row r="36959" spans="1:6" ht="12.75">
      <c r="A36959" s="2">
        <v>43875.166261574079</v>
      </c>
      <c r="B36959" t="str">
        <f>HYPERLINK("https://twitter.com/kopisanger","@kopisanger")</f>
        <v>@kopisanger</v>
      </c>
      <c r="C36959" t="s">
        <v>15239</v>
      </c>
      <c r="D36959">
        <v>0</v>
      </c>
      <c r="E36959">
        <v>0</v>
      </c>
      <c r="F36959">
        <v>508</v>
      </c>
    </row>
    <row r="36960" spans="1:6" ht="12.75">
      <c r="A36960" s="2">
        <v>43875.165219907409</v>
      </c>
      <c r="B36960" t="str">
        <f>HYPERLINK("https://twitter.com/Hendfry_Gerard","@Hendfry_Gerard")</f>
        <v>@Hendfry_Gerard</v>
      </c>
      <c r="C36960" t="s">
        <v>175</v>
      </c>
      <c r="D36960">
        <v>5209</v>
      </c>
      <c r="E36960">
        <v>0</v>
      </c>
      <c r="F36960">
        <v>2019</v>
      </c>
    </row>
    <row r="36961" spans="1:6" ht="12.75">
      <c r="A36961" s="2">
        <v>43875.165000000001</v>
      </c>
      <c r="B36961" t="str">
        <f>HYPERLINK("https://twitter.com/ALUNG_ASN","@ALUNG_ASN")</f>
        <v>@ALUNG_ASN</v>
      </c>
      <c r="C36961" t="s">
        <v>12675</v>
      </c>
      <c r="D36961">
        <v>1050</v>
      </c>
      <c r="E36961">
        <v>0</v>
      </c>
      <c r="F36961">
        <v>235</v>
      </c>
    </row>
    <row r="36962" spans="1:6" ht="12.75">
      <c r="A36962" s="2">
        <v>43875.164826388893</v>
      </c>
      <c r="B36962" t="str">
        <f>HYPERLINK("https://twitter.com/Andilagisinau","@Andilagisinau")</f>
        <v>@Andilagisinau</v>
      </c>
      <c r="C36962" t="s">
        <v>10196</v>
      </c>
      <c r="D36962">
        <v>116</v>
      </c>
      <c r="E36962">
        <v>0</v>
      </c>
      <c r="F36962">
        <v>1852</v>
      </c>
    </row>
    <row r="36963" spans="1:6" ht="12.75">
      <c r="A36963" s="2">
        <v>43875.164756944447</v>
      </c>
      <c r="B36963" t="str">
        <f>HYPERLINK("https://twitter.com/UstianaRestian","@UstianaRestian")</f>
        <v>@UstianaRestian</v>
      </c>
      <c r="C36963" t="s">
        <v>45</v>
      </c>
      <c r="D36963">
        <v>0</v>
      </c>
      <c r="E36963">
        <v>0</v>
      </c>
      <c r="F36963">
        <v>613</v>
      </c>
    </row>
    <row r="36964" spans="1:6" ht="12.75">
      <c r="A36964" s="2">
        <v>43875.164282407408</v>
      </c>
      <c r="B36964" t="str">
        <f t="shared" ref="B36964:B36965" si="416">HYPERLINK("https://twitter.com/Hendfry_Gerard","@Hendfry_Gerard")</f>
        <v>@Hendfry_Gerard</v>
      </c>
      <c r="C36964" t="s">
        <v>10542</v>
      </c>
      <c r="D36964">
        <v>120</v>
      </c>
      <c r="E36964">
        <v>0</v>
      </c>
      <c r="F36964">
        <v>2019</v>
      </c>
    </row>
    <row r="36965" spans="1:6" ht="12.75">
      <c r="A36965" s="2">
        <v>43875.163645833338</v>
      </c>
      <c r="B36965" t="str">
        <f t="shared" si="416"/>
        <v>@Hendfry_Gerard</v>
      </c>
      <c r="C36965" t="s">
        <v>8233</v>
      </c>
      <c r="D36965">
        <v>243</v>
      </c>
      <c r="E36965">
        <v>0</v>
      </c>
      <c r="F36965">
        <v>2019</v>
      </c>
    </row>
    <row r="36966" spans="1:6" ht="12.75">
      <c r="A36966" s="2">
        <v>43875.163611111115</v>
      </c>
      <c r="B36966" t="str">
        <f>HYPERLINK("https://twitter.com/Sky_benzema","@Sky_benzema")</f>
        <v>@Sky_benzema</v>
      </c>
      <c r="C36966" t="s">
        <v>15240</v>
      </c>
      <c r="D36966">
        <v>0</v>
      </c>
      <c r="E36966">
        <v>0</v>
      </c>
      <c r="F36966">
        <v>22</v>
      </c>
    </row>
    <row r="36967" spans="1:6" ht="12.75">
      <c r="A36967" s="2">
        <v>43875.162511574075</v>
      </c>
      <c r="B36967" t="str">
        <f>HYPERLINK("https://twitter.com/Maskanonim","@Maskanonim")</f>
        <v>@Maskanonim</v>
      </c>
      <c r="C36967" t="s">
        <v>8233</v>
      </c>
      <c r="D36967">
        <v>243</v>
      </c>
      <c r="E36967">
        <v>0</v>
      </c>
      <c r="F36967">
        <v>55</v>
      </c>
    </row>
    <row r="36968" spans="1:6" ht="12.75">
      <c r="A36968" s="2">
        <v>43875.16206018519</v>
      </c>
      <c r="B36968" t="str">
        <f>HYPERLINK("https://twitter.com/meryharison","@meryharison")</f>
        <v>@meryharison</v>
      </c>
      <c r="C36968" t="s">
        <v>11266</v>
      </c>
      <c r="D36968">
        <v>5</v>
      </c>
      <c r="E36968">
        <v>0</v>
      </c>
      <c r="F36968">
        <v>1185</v>
      </c>
    </row>
    <row r="36969" spans="1:6" ht="12.75">
      <c r="A36969" s="2">
        <v>43875.161840277782</v>
      </c>
      <c r="B36969" t="str">
        <f>HYPERLINK("https://twitter.com/Kkaebsongg21_","@Kkaebsongg21_")</f>
        <v>@Kkaebsongg21_</v>
      </c>
      <c r="C36969" t="s">
        <v>12088</v>
      </c>
      <c r="D36969">
        <v>4</v>
      </c>
      <c r="E36969">
        <v>0</v>
      </c>
      <c r="F36969">
        <v>3340</v>
      </c>
    </row>
    <row r="36970" spans="1:6" ht="12.75">
      <c r="A36970" s="2">
        <v>43875.161643518513</v>
      </c>
      <c r="B36970" t="str">
        <f>HYPERLINK("https://twitter.com/kezia_stal","@kezia_stal")</f>
        <v>@kezia_stal</v>
      </c>
      <c r="C36970" t="s">
        <v>9186</v>
      </c>
      <c r="D36970">
        <v>94</v>
      </c>
      <c r="E36970">
        <v>0</v>
      </c>
      <c r="F36970">
        <v>14</v>
      </c>
    </row>
    <row r="36971" spans="1:6" ht="12.75">
      <c r="A36971" s="2">
        <v>43875.161145833335</v>
      </c>
      <c r="B36971" t="str">
        <f>HYPERLINK("https://twitter.com/Kkaebsongg21_","@Kkaebsongg21_")</f>
        <v>@Kkaebsongg21_</v>
      </c>
      <c r="C36971" t="s">
        <v>9021</v>
      </c>
      <c r="D36971">
        <v>128</v>
      </c>
      <c r="E36971">
        <v>0</v>
      </c>
      <c r="F36971">
        <v>3340</v>
      </c>
    </row>
    <row r="36972" spans="1:6" ht="12.75">
      <c r="A36972" s="2">
        <v>43875.160775462966</v>
      </c>
      <c r="B36972" t="str">
        <f>HYPERLINK("https://twitter.com/twottok","@twottok")</f>
        <v>@twottok</v>
      </c>
      <c r="C36972" t="s">
        <v>15241</v>
      </c>
      <c r="D36972">
        <v>6</v>
      </c>
      <c r="E36972">
        <v>0</v>
      </c>
      <c r="F36972">
        <v>2716</v>
      </c>
    </row>
    <row r="36973" spans="1:6" ht="12.75">
      <c r="A36973" s="2">
        <v>43875.16070601852</v>
      </c>
      <c r="B36973" t="str">
        <f>HYPERLINK("https://twitter.com/PartBurungGalak","@PartBurungGalak")</f>
        <v>@PartBurungGalak</v>
      </c>
      <c r="C36973" t="s">
        <v>10542</v>
      </c>
      <c r="D36973">
        <v>120</v>
      </c>
      <c r="E36973">
        <v>0</v>
      </c>
      <c r="F36973">
        <v>7012</v>
      </c>
    </row>
    <row r="36974" spans="1:6" ht="12.75">
      <c r="A36974" s="2">
        <v>43875.160636574074</v>
      </c>
      <c r="B36974" t="str">
        <f>HYPERLINK("https://twitter.com/chfkwv","@chfkwv")</f>
        <v>@chfkwv</v>
      </c>
      <c r="C36974" t="s">
        <v>15242</v>
      </c>
      <c r="D36974">
        <v>0</v>
      </c>
      <c r="E36974">
        <v>0</v>
      </c>
      <c r="F36974">
        <v>197</v>
      </c>
    </row>
    <row r="36975" spans="1:6" ht="12.75">
      <c r="A36975" s="2">
        <v>43875.160254629634</v>
      </c>
      <c r="B36975" t="str">
        <f>HYPERLINK("https://twitter.com/arieflipp_id","@arieflipp_id")</f>
        <v>@arieflipp_id</v>
      </c>
      <c r="C36975" t="s">
        <v>175</v>
      </c>
      <c r="D36975">
        <v>5209</v>
      </c>
      <c r="E36975">
        <v>0</v>
      </c>
      <c r="F36975">
        <v>28800</v>
      </c>
    </row>
    <row r="36976" spans="1:6" ht="12.75">
      <c r="A36976" s="2">
        <v>43875.160231481481</v>
      </c>
      <c r="B36976" t="str">
        <f>HYPERLINK("https://twitter.com/SimanSMN","@SimanSMN")</f>
        <v>@SimanSMN</v>
      </c>
      <c r="C36976" t="s">
        <v>7803</v>
      </c>
      <c r="D36976">
        <v>287</v>
      </c>
      <c r="E36976">
        <v>0</v>
      </c>
      <c r="F36976">
        <v>548</v>
      </c>
    </row>
    <row r="36977" spans="1:6" ht="12.75">
      <c r="A36977" s="2">
        <v>43875.160219907411</v>
      </c>
      <c r="B36977" t="str">
        <f>HYPERLINK("https://twitter.com/rakyatkecilaja","@rakyatkecilaja")</f>
        <v>@rakyatkecilaja</v>
      </c>
      <c r="C36977" t="s">
        <v>2122</v>
      </c>
      <c r="D36977">
        <v>163</v>
      </c>
      <c r="E36977">
        <v>0</v>
      </c>
      <c r="F36977">
        <v>634</v>
      </c>
    </row>
    <row r="36978" spans="1:6" ht="12.75">
      <c r="A36978" s="2">
        <v>43875.159918981481</v>
      </c>
      <c r="B36978" t="str">
        <f>HYPERLINK("https://twitter.com/sketsanewscom","@sketsanewscom")</f>
        <v>@sketsanewscom</v>
      </c>
      <c r="C36978" t="s">
        <v>46</v>
      </c>
      <c r="D36978">
        <v>0</v>
      </c>
      <c r="E36978">
        <v>0</v>
      </c>
      <c r="F36978">
        <v>10857</v>
      </c>
    </row>
    <row r="36979" spans="1:6" ht="12.75">
      <c r="A36979" s="2">
        <v>43875.159687499996</v>
      </c>
      <c r="B36979" t="str">
        <f>HYPERLINK("https://twitter.com/pamujism","@pamujism")</f>
        <v>@pamujism</v>
      </c>
      <c r="C36979" t="s">
        <v>11167</v>
      </c>
      <c r="D36979">
        <v>150</v>
      </c>
      <c r="E36979">
        <v>0</v>
      </c>
      <c r="F36979">
        <v>535</v>
      </c>
    </row>
    <row r="36980" spans="1:6" ht="12.75">
      <c r="A36980" s="2">
        <v>43875.159687499996</v>
      </c>
      <c r="B36980" t="str">
        <f>HYPERLINK("https://twitter.com/anton_harjo","@anton_harjo")</f>
        <v>@anton_harjo</v>
      </c>
      <c r="C36980" t="s">
        <v>15243</v>
      </c>
      <c r="D36980">
        <v>394</v>
      </c>
      <c r="E36980">
        <v>0</v>
      </c>
      <c r="F36980">
        <v>150</v>
      </c>
    </row>
    <row r="36981" spans="1:6" ht="12.75">
      <c r="A36981" s="2">
        <v>43875.159375000003</v>
      </c>
      <c r="B36981" t="str">
        <f>HYPERLINK("https://twitter.com/TumisToge_","@TumisToge_")</f>
        <v>@TumisToge_</v>
      </c>
      <c r="C36981" t="s">
        <v>10121</v>
      </c>
      <c r="D36981">
        <v>131</v>
      </c>
      <c r="E36981">
        <v>0</v>
      </c>
      <c r="F36981">
        <v>1829</v>
      </c>
    </row>
    <row r="36982" spans="1:6" ht="12.75">
      <c r="A36982" s="2">
        <v>43875.15902777778</v>
      </c>
      <c r="B36982" t="str">
        <f>HYPERLINK("https://twitter.com/ToddyLauw1","@ToddyLauw1")</f>
        <v>@ToddyLauw1</v>
      </c>
      <c r="C36982" t="s">
        <v>15244</v>
      </c>
      <c r="D36982">
        <v>198</v>
      </c>
      <c r="E36982">
        <v>0</v>
      </c>
      <c r="F36982">
        <v>531</v>
      </c>
    </row>
    <row r="36983" spans="1:6" ht="12.75">
      <c r="A36983" s="2">
        <v>43875.158831018518</v>
      </c>
      <c r="B36983" t="str">
        <f>HYPERLINK("https://twitter.com/himawannk","@himawannk")</f>
        <v>@himawannk</v>
      </c>
      <c r="C36983" t="s">
        <v>47</v>
      </c>
      <c r="D36983">
        <v>1</v>
      </c>
      <c r="E36983">
        <v>1</v>
      </c>
      <c r="F36983">
        <v>12305</v>
      </c>
    </row>
    <row r="36984" spans="1:6" ht="12.75">
      <c r="A36984" s="2">
        <v>43875.158425925925</v>
      </c>
      <c r="B36984" t="str">
        <f>HYPERLINK("https://twitter.com/Lotusian_Comic","@Lotusian_Comic")</f>
        <v>@Lotusian_Comic</v>
      </c>
      <c r="C36984" t="s">
        <v>9113</v>
      </c>
      <c r="D36984">
        <v>227</v>
      </c>
      <c r="E36984">
        <v>0</v>
      </c>
      <c r="F36984">
        <v>36</v>
      </c>
    </row>
    <row r="36985" spans="1:6" ht="12.75">
      <c r="A36985" s="2">
        <v>43875.157511574071</v>
      </c>
      <c r="B36985" t="str">
        <f>HYPERLINK("https://twitter.com/ivanchristi3","@ivanchristi3")</f>
        <v>@ivanchristi3</v>
      </c>
      <c r="C36985" t="s">
        <v>15245</v>
      </c>
      <c r="D36985">
        <v>1</v>
      </c>
      <c r="E36985">
        <v>0</v>
      </c>
      <c r="F36985">
        <v>916</v>
      </c>
    </row>
    <row r="36986" spans="1:6" ht="12.75">
      <c r="A36986" s="2">
        <v>43875.157314814816</v>
      </c>
      <c r="B36986" t="str">
        <f>HYPERLINK("https://twitter.com/bardikempit","@bardikempit")</f>
        <v>@bardikempit</v>
      </c>
      <c r="C36986" t="s">
        <v>14184</v>
      </c>
      <c r="D36986">
        <v>44</v>
      </c>
      <c r="E36986">
        <v>0</v>
      </c>
      <c r="F36986">
        <v>1542</v>
      </c>
    </row>
    <row r="36987" spans="1:6" ht="12.75">
      <c r="A36987" s="2">
        <v>43875.157025462962</v>
      </c>
      <c r="B36987" t="str">
        <f>HYPERLINK("https://twitter.com/BustamyKarmen","@BustamyKarmen")</f>
        <v>@BustamyKarmen</v>
      </c>
      <c r="C36987" t="s">
        <v>15246</v>
      </c>
      <c r="D36987">
        <v>0</v>
      </c>
      <c r="E36987">
        <v>0</v>
      </c>
      <c r="F36987">
        <v>0</v>
      </c>
    </row>
    <row r="36988" spans="1:6" ht="12.75">
      <c r="A36988" s="2">
        <v>43875.156840277778</v>
      </c>
      <c r="B36988" t="str">
        <f>HYPERLINK("https://twitter.com/Andilagisinau","@Andilagisinau")</f>
        <v>@Andilagisinau</v>
      </c>
      <c r="C36988" t="s">
        <v>13315</v>
      </c>
      <c r="D36988">
        <v>46</v>
      </c>
      <c r="E36988">
        <v>0</v>
      </c>
      <c r="F36988">
        <v>1852</v>
      </c>
    </row>
    <row r="36989" spans="1:6" ht="12.75">
      <c r="A36989" s="2">
        <v>43875.156770833331</v>
      </c>
      <c r="B36989" t="str">
        <f>HYPERLINK("https://twitter.com/arieflipp","@arieflipp")</f>
        <v>@arieflipp</v>
      </c>
      <c r="C36989" t="s">
        <v>175</v>
      </c>
      <c r="D36989">
        <v>5209</v>
      </c>
      <c r="E36989">
        <v>0</v>
      </c>
      <c r="F36989">
        <v>5985</v>
      </c>
    </row>
    <row r="36990" spans="1:6" ht="12.75">
      <c r="A36990" s="2">
        <v>43875.156134259261</v>
      </c>
      <c r="B36990" t="str">
        <f>HYPERLINK("https://twitter.com/heartbreakhev","@heartbreakhev")</f>
        <v>@heartbreakhev</v>
      </c>
      <c r="C36990" t="s">
        <v>15247</v>
      </c>
      <c r="D36990">
        <v>0</v>
      </c>
      <c r="E36990">
        <v>0</v>
      </c>
      <c r="F36990">
        <v>778</v>
      </c>
    </row>
    <row r="36991" spans="1:6" ht="12.75">
      <c r="A36991" s="2">
        <v>43875.155127314814</v>
      </c>
      <c r="B36991" t="str">
        <f>HYPERLINK("https://twitter.com/MrsRachelIn","@MrsRachelIn")</f>
        <v>@MrsRachelIn</v>
      </c>
      <c r="C36991" t="s">
        <v>15248</v>
      </c>
      <c r="D36991">
        <v>0</v>
      </c>
      <c r="E36991">
        <v>1</v>
      </c>
      <c r="F36991">
        <v>3074</v>
      </c>
    </row>
    <row r="36992" spans="1:6" ht="12.75">
      <c r="A36992" s="2">
        <v>43875.154976851853</v>
      </c>
      <c r="B36992" t="str">
        <f>HYPERLINK("https://twitter.com/mwkayis","@mwkayis")</f>
        <v>@mwkayis</v>
      </c>
      <c r="C36992" t="s">
        <v>11425</v>
      </c>
      <c r="D36992">
        <v>169</v>
      </c>
      <c r="E36992">
        <v>0</v>
      </c>
      <c r="F36992">
        <v>490</v>
      </c>
    </row>
    <row r="36993" spans="1:6" ht="12.75">
      <c r="A36993" s="2">
        <v>43875.154583333337</v>
      </c>
      <c r="B36993" t="str">
        <f>HYPERLINK("https://twitter.com/antikhilafahclb","@antikhilafahclb")</f>
        <v>@antikhilafahclb</v>
      </c>
      <c r="C36993" t="s">
        <v>10266</v>
      </c>
      <c r="D36993">
        <v>243</v>
      </c>
      <c r="E36993">
        <v>0</v>
      </c>
      <c r="F36993">
        <v>16</v>
      </c>
    </row>
    <row r="36994" spans="1:6" ht="12.75">
      <c r="A36994" s="2">
        <v>43875.154351851852</v>
      </c>
      <c r="B36994" t="str">
        <f>HYPERLINK("https://twitter.com/sudrajatasep17","@sudrajatasep17")</f>
        <v>@sudrajatasep17</v>
      </c>
      <c r="C36994" t="s">
        <v>5624</v>
      </c>
      <c r="D36994">
        <v>105</v>
      </c>
      <c r="E36994">
        <v>0</v>
      </c>
      <c r="F36994">
        <v>4241</v>
      </c>
    </row>
    <row r="36995" spans="1:6" ht="12.75">
      <c r="A36995" s="2">
        <v>43875.154282407406</v>
      </c>
      <c r="B36995" t="str">
        <f>HYPERLINK("https://twitter.com/kalkua1","@kalkua1")</f>
        <v>@kalkua1</v>
      </c>
      <c r="C36995" t="s">
        <v>2122</v>
      </c>
      <c r="D36995">
        <v>163</v>
      </c>
      <c r="E36995">
        <v>0</v>
      </c>
      <c r="F36995">
        <v>3920</v>
      </c>
    </row>
    <row r="36996" spans="1:6" ht="12.75">
      <c r="A36996" s="2">
        <v>43875.154224537036</v>
      </c>
      <c r="B36996" t="str">
        <f>HYPERLINK("https://twitter.com/GakdiSewa","@GakdiSewa")</f>
        <v>@GakdiSewa</v>
      </c>
      <c r="C36996" t="s">
        <v>14795</v>
      </c>
      <c r="D36996">
        <v>786</v>
      </c>
      <c r="E36996">
        <v>0</v>
      </c>
      <c r="F36996">
        <v>71</v>
      </c>
    </row>
    <row r="36997" spans="1:6" ht="12.75">
      <c r="A36997" s="2">
        <v>43875.153032407412</v>
      </c>
      <c r="B36997" t="str">
        <f>HYPERLINK("https://twitter.com/ALUNG_ASN","@ALUNG_ASN")</f>
        <v>@ALUNG_ASN</v>
      </c>
      <c r="C36997" t="s">
        <v>9113</v>
      </c>
      <c r="D36997">
        <v>227</v>
      </c>
      <c r="E36997">
        <v>0</v>
      </c>
      <c r="F36997">
        <v>235</v>
      </c>
    </row>
    <row r="36998" spans="1:6" ht="12.75">
      <c r="A36998" s="2">
        <v>43875.152951388889</v>
      </c>
      <c r="B36998" t="str">
        <f>HYPERLINK("https://twitter.com/chemot69","@chemot69")</f>
        <v>@chemot69</v>
      </c>
      <c r="C36998" t="s">
        <v>175</v>
      </c>
      <c r="D36998">
        <v>5209</v>
      </c>
      <c r="E36998">
        <v>0</v>
      </c>
      <c r="F36998">
        <v>386</v>
      </c>
    </row>
    <row r="36999" spans="1:6" ht="12.75">
      <c r="A36999" s="2">
        <v>43875.152337962965</v>
      </c>
      <c r="B36999" t="str">
        <f>HYPERLINK("https://twitter.com/htssurabaya","@htssurabaya")</f>
        <v>@htssurabaya</v>
      </c>
      <c r="C36999" t="s">
        <v>15249</v>
      </c>
      <c r="D36999">
        <v>2</v>
      </c>
      <c r="E36999">
        <v>0</v>
      </c>
      <c r="F36999">
        <v>3</v>
      </c>
    </row>
    <row r="37000" spans="1:6" ht="12.75">
      <c r="A37000" s="2">
        <v>43875.15225694445</v>
      </c>
      <c r="B37000" t="str">
        <f>HYPERLINK("https://twitter.com/violachie","@violachie")</f>
        <v>@violachie</v>
      </c>
      <c r="C37000" t="s">
        <v>5168</v>
      </c>
      <c r="D37000">
        <v>327</v>
      </c>
      <c r="E37000">
        <v>0</v>
      </c>
      <c r="F37000">
        <v>162</v>
      </c>
    </row>
    <row r="37001" spans="1:6" ht="12.75">
      <c r="A37001" s="2">
        <v>43875.151365740741</v>
      </c>
      <c r="B37001" t="str">
        <f>HYPERLINK("https://twitter.com/guffybach","@guffybach")</f>
        <v>@guffybach</v>
      </c>
      <c r="C37001" t="s">
        <v>9113</v>
      </c>
      <c r="D37001">
        <v>227</v>
      </c>
      <c r="E37001">
        <v>0</v>
      </c>
      <c r="F37001">
        <v>355</v>
      </c>
    </row>
    <row r="37002" spans="1:6" ht="12.75">
      <c r="A37002" s="2">
        <v>43875.15043981481</v>
      </c>
      <c r="B37002" t="str">
        <f>HYPERLINK("https://twitter.com/ALUNG_ASN","@ALUNG_ASN")</f>
        <v>@ALUNG_ASN</v>
      </c>
      <c r="C37002" t="s">
        <v>11566</v>
      </c>
      <c r="D37002">
        <v>92</v>
      </c>
      <c r="E37002">
        <v>0</v>
      </c>
      <c r="F37002">
        <v>235</v>
      </c>
    </row>
    <row r="37003" spans="1:6" ht="12.75">
      <c r="A37003" s="2">
        <v>43875.15043981481</v>
      </c>
      <c r="B37003" t="str">
        <f>HYPERLINK("https://twitter.com/Denis73048995","@Denis73048995")</f>
        <v>@Denis73048995</v>
      </c>
      <c r="C37003" t="s">
        <v>15250</v>
      </c>
      <c r="D37003">
        <v>0</v>
      </c>
      <c r="E37003">
        <v>0</v>
      </c>
      <c r="F37003">
        <v>93</v>
      </c>
    </row>
    <row r="37004" spans="1:6" ht="12.75">
      <c r="A37004" s="2">
        <v>43875.150370370371</v>
      </c>
      <c r="B37004" t="str">
        <f>HYPERLINK("https://twitter.com/akhmadriyadi03","@akhmadriyadi03")</f>
        <v>@akhmadriyadi03</v>
      </c>
      <c r="C37004" t="s">
        <v>12679</v>
      </c>
      <c r="D37004">
        <v>715</v>
      </c>
      <c r="E37004">
        <v>0</v>
      </c>
      <c r="F37004">
        <v>103</v>
      </c>
    </row>
    <row r="37005" spans="1:6" ht="12.75">
      <c r="A37005" s="2">
        <v>43875.150300925925</v>
      </c>
      <c r="B37005" t="str">
        <f>HYPERLINK("https://twitter.com/macdaddybrownn","@macdaddybrownn")</f>
        <v>@macdaddybrownn</v>
      </c>
      <c r="C37005" t="s">
        <v>15251</v>
      </c>
      <c r="D37005">
        <v>0</v>
      </c>
      <c r="E37005">
        <v>2</v>
      </c>
      <c r="F37005">
        <v>350</v>
      </c>
    </row>
    <row r="37006" spans="1:6" ht="12.75">
      <c r="A37006" s="2">
        <v>43875.150057870371</v>
      </c>
      <c r="B37006" t="str">
        <f>HYPERLINK("https://twitter.com/Nitizen_Zen","@Nitizen_Zen")</f>
        <v>@Nitizen_Zen</v>
      </c>
      <c r="C37006" t="s">
        <v>8233</v>
      </c>
      <c r="D37006">
        <v>243</v>
      </c>
      <c r="E37006">
        <v>0</v>
      </c>
      <c r="F37006">
        <v>454</v>
      </c>
    </row>
    <row r="37007" spans="1:6" ht="12.75">
      <c r="A37007" s="2">
        <v>43875.149351851855</v>
      </c>
      <c r="B37007" t="str">
        <f>HYPERLINK("https://twitter.com/hendar1994","@hendar1994")</f>
        <v>@hendar1994</v>
      </c>
      <c r="C37007" t="s">
        <v>14998</v>
      </c>
      <c r="D37007">
        <v>3</v>
      </c>
      <c r="E37007">
        <v>0</v>
      </c>
      <c r="F37007">
        <v>23</v>
      </c>
    </row>
    <row r="37008" spans="1:6" ht="12.75">
      <c r="A37008" s="2">
        <v>43875.148935185185</v>
      </c>
      <c r="B37008" t="str">
        <f>HYPERLINK("https://twitter.com/FerdianPutu","@FerdianPutu")</f>
        <v>@FerdianPutu</v>
      </c>
      <c r="C37008" t="s">
        <v>8470</v>
      </c>
      <c r="D37008">
        <v>127</v>
      </c>
      <c r="E37008">
        <v>0</v>
      </c>
      <c r="F37008">
        <v>42</v>
      </c>
    </row>
    <row r="37009" spans="1:6" ht="12.75">
      <c r="A37009" s="2">
        <v>43875.148842592593</v>
      </c>
      <c r="B37009" t="str">
        <f>HYPERLINK("https://twitter.com/AgusSup39011241","@AgusSup39011241")</f>
        <v>@AgusSup39011241</v>
      </c>
      <c r="C37009" t="s">
        <v>8881</v>
      </c>
      <c r="D37009">
        <v>242</v>
      </c>
      <c r="E37009">
        <v>0</v>
      </c>
      <c r="F37009">
        <v>10009</v>
      </c>
    </row>
    <row r="37010" spans="1:6" ht="12.75">
      <c r="A37010" s="2">
        <v>43875.148576388892</v>
      </c>
      <c r="B37010" t="str">
        <f>HYPERLINK("https://twitter.com/KavindraOemar","@KavindraOemar")</f>
        <v>@KavindraOemar</v>
      </c>
      <c r="C37010" t="s">
        <v>15252</v>
      </c>
      <c r="D37010">
        <v>0</v>
      </c>
      <c r="E37010">
        <v>0</v>
      </c>
      <c r="F37010">
        <v>3665</v>
      </c>
    </row>
    <row r="37011" spans="1:6" ht="12.75">
      <c r="A37011" s="2">
        <v>43875.148287037038</v>
      </c>
      <c r="B37011" t="str">
        <f>HYPERLINK("https://twitter.com/Ikblwdnsyh97_","@Ikblwdnsyh97_")</f>
        <v>@Ikblwdnsyh97_</v>
      </c>
      <c r="C37011" t="s">
        <v>15253</v>
      </c>
      <c r="D37011">
        <v>14</v>
      </c>
      <c r="E37011">
        <v>0</v>
      </c>
      <c r="F37011">
        <v>41</v>
      </c>
    </row>
    <row r="37012" spans="1:6" ht="12.75">
      <c r="A37012" s="2">
        <v>43875.148182870369</v>
      </c>
      <c r="B37012" t="str">
        <f>HYPERLINK("https://twitter.com/Dedien5","@Dedien5")</f>
        <v>@Dedien5</v>
      </c>
      <c r="C37012" t="s">
        <v>15254</v>
      </c>
      <c r="D37012">
        <v>0</v>
      </c>
      <c r="E37012">
        <v>1</v>
      </c>
      <c r="F37012">
        <v>5</v>
      </c>
    </row>
    <row r="37013" spans="1:6" ht="12.75">
      <c r="A37013" s="2">
        <v>43875.148043981477</v>
      </c>
      <c r="B37013" t="str">
        <f>HYPERLINK("https://twitter.com/Nitizen_Zen","@Nitizen_Zen")</f>
        <v>@Nitizen_Zen</v>
      </c>
      <c r="C37013" t="s">
        <v>8744</v>
      </c>
      <c r="D37013">
        <v>3</v>
      </c>
      <c r="E37013">
        <v>0</v>
      </c>
      <c r="F37013">
        <v>454</v>
      </c>
    </row>
    <row r="37014" spans="1:6" ht="12.75">
      <c r="A37014" s="2">
        <v>43875.147997685184</v>
      </c>
      <c r="B37014" t="str">
        <f>HYPERLINK("https://twitter.com/AgusSup39011241","@AgusSup39011241")</f>
        <v>@AgusSup39011241</v>
      </c>
      <c r="C37014" t="s">
        <v>10526</v>
      </c>
      <c r="D37014">
        <v>92</v>
      </c>
      <c r="E37014">
        <v>0</v>
      </c>
      <c r="F37014">
        <v>10009</v>
      </c>
    </row>
    <row r="37015" spans="1:6" ht="12.75">
      <c r="A37015" s="2">
        <v>43875.147881944446</v>
      </c>
      <c r="B37015" t="str">
        <f>HYPERLINK("https://twitter.com/Oncom11011","@Oncom11011")</f>
        <v>@Oncom11011</v>
      </c>
      <c r="C37015" t="s">
        <v>12679</v>
      </c>
      <c r="D37015">
        <v>715</v>
      </c>
      <c r="E37015">
        <v>0</v>
      </c>
      <c r="F37015">
        <v>42</v>
      </c>
    </row>
    <row r="37016" spans="1:6" ht="12.75">
      <c r="A37016" s="2">
        <v>43875.147291666668</v>
      </c>
      <c r="B37016" t="str">
        <f>HYPERLINK("https://twitter.com/Hamjawi1","@Hamjawi1")</f>
        <v>@Hamjawi1</v>
      </c>
      <c r="C37016" t="s">
        <v>11121</v>
      </c>
      <c r="D37016">
        <v>9</v>
      </c>
      <c r="E37016">
        <v>0</v>
      </c>
      <c r="F37016">
        <v>1486</v>
      </c>
    </row>
    <row r="37017" spans="1:6" ht="12.75">
      <c r="A37017" s="2">
        <v>43875.147187499999</v>
      </c>
      <c r="B37017" t="str">
        <f>HYPERLINK("https://twitter.com/AgusSup39011241","@AgusSup39011241")</f>
        <v>@AgusSup39011241</v>
      </c>
      <c r="C37017" t="s">
        <v>2122</v>
      </c>
      <c r="D37017">
        <v>163</v>
      </c>
      <c r="E37017">
        <v>0</v>
      </c>
      <c r="F37017">
        <v>10009</v>
      </c>
    </row>
    <row r="37018" spans="1:6" ht="12.75">
      <c r="A37018" s="2">
        <v>43875.146909722222</v>
      </c>
      <c r="B37018" t="str">
        <f>HYPERLINK("https://twitter.com/el2andi","@el2andi")</f>
        <v>@el2andi</v>
      </c>
      <c r="C37018" t="s">
        <v>10167</v>
      </c>
      <c r="D37018">
        <v>19</v>
      </c>
      <c r="E37018">
        <v>0</v>
      </c>
      <c r="F37018">
        <v>113</v>
      </c>
    </row>
    <row r="37019" spans="1:6" ht="12.75">
      <c r="A37019" s="2">
        <v>43875.146898148145</v>
      </c>
      <c r="B37019" t="str">
        <f>HYPERLINK("https://twitter.com/Harian_Jogja","@Harian_Jogja")</f>
        <v>@Harian_Jogja</v>
      </c>
      <c r="C37019" t="s">
        <v>48</v>
      </c>
      <c r="D37019">
        <v>1</v>
      </c>
      <c r="E37019">
        <v>0</v>
      </c>
      <c r="F37019">
        <v>153150</v>
      </c>
    </row>
    <row r="37020" spans="1:6" ht="12.75">
      <c r="A37020" s="2">
        <v>43875.146828703699</v>
      </c>
      <c r="B37020" t="str">
        <f>HYPERLINK("https://twitter.com/Nitizen_Zen","@Nitizen_Zen")</f>
        <v>@Nitizen_Zen</v>
      </c>
      <c r="C37020" t="s">
        <v>9263</v>
      </c>
      <c r="D37020">
        <v>61</v>
      </c>
      <c r="E37020">
        <v>0</v>
      </c>
      <c r="F37020">
        <v>454</v>
      </c>
    </row>
    <row r="37021" spans="1:6" ht="12.75">
      <c r="A37021" s="2">
        <v>43875.146689814814</v>
      </c>
      <c r="B37021" t="str">
        <f>HYPERLINK("https://twitter.com/sketsanewscom","@sketsanewscom")</f>
        <v>@sketsanewscom</v>
      </c>
      <c r="C37021" t="s">
        <v>15255</v>
      </c>
      <c r="D37021">
        <v>0</v>
      </c>
      <c r="E37021">
        <v>0</v>
      </c>
      <c r="F37021">
        <v>10857</v>
      </c>
    </row>
    <row r="37022" spans="1:6" ht="12.75">
      <c r="A37022" s="2">
        <v>43875.145474537036</v>
      </c>
      <c r="B37022" t="str">
        <f>HYPERLINK("https://twitter.com/ResubunT","@ResubunT")</f>
        <v>@ResubunT</v>
      </c>
      <c r="C37022" t="s">
        <v>15256</v>
      </c>
      <c r="D37022">
        <v>3</v>
      </c>
      <c r="E37022">
        <v>0</v>
      </c>
      <c r="F37022">
        <v>2167</v>
      </c>
    </row>
    <row r="37023" spans="1:6" ht="12.75">
      <c r="A37023" s="2">
        <v>43875.145381944443</v>
      </c>
      <c r="B37023" t="str">
        <f>HYPERLINK("https://twitter.com/Nitizen_Zen","@Nitizen_Zen")</f>
        <v>@Nitizen_Zen</v>
      </c>
      <c r="C37023" t="s">
        <v>10121</v>
      </c>
      <c r="D37023">
        <v>131</v>
      </c>
      <c r="E37023">
        <v>0</v>
      </c>
      <c r="F37023">
        <v>454</v>
      </c>
    </row>
    <row r="37024" spans="1:6" ht="12.75">
      <c r="A37024" s="2">
        <v>43875.144872685181</v>
      </c>
      <c r="B37024" t="str">
        <f>HYPERLINK("https://twitter.com/FerdianPutu","@FerdianPutu")</f>
        <v>@FerdianPutu</v>
      </c>
      <c r="C37024" t="s">
        <v>8881</v>
      </c>
      <c r="D37024">
        <v>242</v>
      </c>
      <c r="E37024">
        <v>0</v>
      </c>
      <c r="F37024">
        <v>42</v>
      </c>
    </row>
    <row r="37025" spans="1:6" ht="12.75">
      <c r="A37025" s="2">
        <v>43875.144166666665</v>
      </c>
      <c r="B37025" t="str">
        <f>HYPERLINK("https://twitter.com/capkucing","@capkucing")</f>
        <v>@capkucing</v>
      </c>
      <c r="C37025" t="s">
        <v>11730</v>
      </c>
      <c r="D37025">
        <v>3</v>
      </c>
      <c r="E37025">
        <v>0</v>
      </c>
      <c r="F37025">
        <v>127</v>
      </c>
    </row>
    <row r="37026" spans="1:6" ht="12.75">
      <c r="A37026" s="2">
        <v>43875.143738425926</v>
      </c>
      <c r="B37026" t="str">
        <f>HYPERLINK("https://twitter.com/alex_hunter146","@alex_hunter146")</f>
        <v>@alex_hunter146</v>
      </c>
      <c r="C37026" t="s">
        <v>15257</v>
      </c>
      <c r="D37026">
        <v>0</v>
      </c>
      <c r="E37026">
        <v>0</v>
      </c>
      <c r="F37026">
        <v>1364</v>
      </c>
    </row>
    <row r="37027" spans="1:6" ht="12.75">
      <c r="A37027" s="2">
        <v>43875.143495370372</v>
      </c>
      <c r="B37027" t="str">
        <f>HYPERLINK("https://twitter.com/faqirah82","@faqirah82")</f>
        <v>@faqirah82</v>
      </c>
      <c r="C37027" t="s">
        <v>8881</v>
      </c>
      <c r="D37027">
        <v>242</v>
      </c>
      <c r="E37027">
        <v>0</v>
      </c>
      <c r="F37027">
        <v>1782</v>
      </c>
    </row>
    <row r="37028" spans="1:6" ht="12.75">
      <c r="A37028" s="2">
        <v>43875.143414351856</v>
      </c>
      <c r="B37028" t="str">
        <f>HYPERLINK("https://twitter.com/IndonesiaMedia","@IndonesiaMedia")</f>
        <v>@IndonesiaMedia</v>
      </c>
      <c r="C37028" t="s">
        <v>49</v>
      </c>
      <c r="D37028">
        <v>0</v>
      </c>
      <c r="E37028">
        <v>0</v>
      </c>
      <c r="F37028">
        <v>880</v>
      </c>
    </row>
    <row r="37029" spans="1:6" ht="12.75">
      <c r="A37029" s="2">
        <v>43875.14298611111</v>
      </c>
      <c r="B37029" t="str">
        <f>HYPERLINK("https://twitter.com/ivanchristi3","@ivanchristi3")</f>
        <v>@ivanchristi3</v>
      </c>
      <c r="C37029" t="s">
        <v>15258</v>
      </c>
      <c r="D37029">
        <v>0</v>
      </c>
      <c r="E37029">
        <v>0</v>
      </c>
      <c r="F37029">
        <v>916</v>
      </c>
    </row>
    <row r="37030" spans="1:6" ht="12.75">
      <c r="A37030" s="2">
        <v>43875.142222222217</v>
      </c>
      <c r="B37030" t="str">
        <f>HYPERLINK("https://twitter.com/heintje_han","@heintje_han")</f>
        <v>@heintje_han</v>
      </c>
      <c r="C37030" t="s">
        <v>10542</v>
      </c>
      <c r="D37030">
        <v>120</v>
      </c>
      <c r="E37030">
        <v>0</v>
      </c>
      <c r="F37030">
        <v>230</v>
      </c>
    </row>
    <row r="37031" spans="1:6" ht="12.75">
      <c r="A37031" s="2">
        <v>43875.142025462963</v>
      </c>
      <c r="B37031" t="str">
        <f>HYPERLINK("https://twitter.com/bimatashwirul","@bimatashwirul")</f>
        <v>@bimatashwirul</v>
      </c>
      <c r="C37031" t="s">
        <v>15259</v>
      </c>
      <c r="D37031">
        <v>0</v>
      </c>
      <c r="E37031">
        <v>0</v>
      </c>
      <c r="F37031">
        <v>49</v>
      </c>
    </row>
    <row r="37032" spans="1:6" ht="12.75">
      <c r="A37032" s="2">
        <v>43875.141643518524</v>
      </c>
      <c r="B37032" t="str">
        <f>HYPERLINK("https://twitter.com/Gulai_puyu","@Gulai_puyu")</f>
        <v>@Gulai_puyu</v>
      </c>
      <c r="C37032" t="s">
        <v>12940</v>
      </c>
      <c r="D37032">
        <v>92</v>
      </c>
      <c r="E37032">
        <v>0</v>
      </c>
      <c r="F37032">
        <v>451</v>
      </c>
    </row>
    <row r="37033" spans="1:6" ht="12.75">
      <c r="A37033" s="2">
        <v>43875.141203703708</v>
      </c>
      <c r="B37033" t="str">
        <f>HYPERLINK("https://twitter.com/JihadibH","@JihadibH")</f>
        <v>@JihadibH</v>
      </c>
      <c r="C37033" t="s">
        <v>15260</v>
      </c>
      <c r="D37033">
        <v>0</v>
      </c>
      <c r="E37033">
        <v>0</v>
      </c>
      <c r="F37033">
        <v>449</v>
      </c>
    </row>
    <row r="37034" spans="1:6" ht="12.75">
      <c r="A37034" s="2">
        <v>43875.141006944439</v>
      </c>
      <c r="B37034" t="str">
        <f>HYPERLINK("https://twitter.com/AmidalaNiang","@AmidalaNiang")</f>
        <v>@AmidalaNiang</v>
      </c>
      <c r="C37034" t="s">
        <v>7411</v>
      </c>
      <c r="D37034">
        <v>127</v>
      </c>
      <c r="E37034">
        <v>0</v>
      </c>
      <c r="F37034">
        <v>1478</v>
      </c>
    </row>
    <row r="37035" spans="1:6" ht="12.75">
      <c r="A37035" s="2">
        <v>43875.140775462962</v>
      </c>
      <c r="B37035" t="str">
        <f>HYPERLINK("https://twitter.com/Miraichigokun","@Miraichigokun")</f>
        <v>@Miraichigokun</v>
      </c>
      <c r="C37035" t="s">
        <v>8233</v>
      </c>
      <c r="D37035">
        <v>243</v>
      </c>
      <c r="E37035">
        <v>0</v>
      </c>
      <c r="F37035">
        <v>118</v>
      </c>
    </row>
    <row r="37036" spans="1:6" ht="12.75">
      <c r="A37036" s="2">
        <v>43875.139872685184</v>
      </c>
      <c r="B37036" t="str">
        <f>HYPERLINK("https://twitter.com/RadioElshinta","@RadioElshinta")</f>
        <v>@RadioElshinta</v>
      </c>
      <c r="C37036" t="s">
        <v>15261</v>
      </c>
      <c r="D37036">
        <v>1</v>
      </c>
      <c r="E37036">
        <v>0</v>
      </c>
      <c r="F37036">
        <v>3633160</v>
      </c>
    </row>
    <row r="37037" spans="1:6" ht="12.75">
      <c r="A37037" s="2">
        <v>43875.13853009259</v>
      </c>
      <c r="B37037" t="str">
        <f>HYPERLINK("https://twitter.com/JakartaStar","@JakartaStar")</f>
        <v>@JakartaStar</v>
      </c>
      <c r="C37037" t="s">
        <v>10121</v>
      </c>
      <c r="D37037">
        <v>131</v>
      </c>
      <c r="E37037">
        <v>0</v>
      </c>
      <c r="F37037">
        <v>5465</v>
      </c>
    </row>
    <row r="37038" spans="1:6" ht="12.75">
      <c r="A37038" s="2">
        <v>43875.138495370367</v>
      </c>
      <c r="B37038" t="str">
        <f>HYPERLINK("https://twitter.com/worobotto","@worobotto")</f>
        <v>@worobotto</v>
      </c>
      <c r="C37038" t="s">
        <v>9538</v>
      </c>
      <c r="D37038">
        <v>69</v>
      </c>
      <c r="E37038">
        <v>0</v>
      </c>
      <c r="F37038">
        <v>60</v>
      </c>
    </row>
    <row r="37039" spans="1:6" ht="12.75">
      <c r="A37039" s="2">
        <v>43875.138483796298</v>
      </c>
      <c r="B37039" t="str">
        <f>HYPERLINK("https://twitter.com/iniesteh","@iniesteh")</f>
        <v>@iniesteh</v>
      </c>
      <c r="C37039" t="s">
        <v>15262</v>
      </c>
      <c r="D37039">
        <v>0</v>
      </c>
      <c r="E37039">
        <v>0</v>
      </c>
      <c r="F37039">
        <v>1695</v>
      </c>
    </row>
    <row r="37040" spans="1:6" ht="12.75">
      <c r="A37040" s="2">
        <v>43875.138402777782</v>
      </c>
      <c r="B37040" t="str">
        <f>HYPERLINK("https://twitter.com/AlbarokahToko","@AlbarokahToko")</f>
        <v>@AlbarokahToko</v>
      </c>
      <c r="C37040" t="s">
        <v>11425</v>
      </c>
      <c r="D37040">
        <v>169</v>
      </c>
      <c r="E37040">
        <v>0</v>
      </c>
      <c r="F37040">
        <v>139</v>
      </c>
    </row>
    <row r="37041" spans="1:6" ht="12.75">
      <c r="A37041" s="2">
        <v>43875.138298611113</v>
      </c>
      <c r="B37041" t="str">
        <f>HYPERLINK("https://twitter.com/PartBurungGalak","@PartBurungGalak")</f>
        <v>@PartBurungGalak</v>
      </c>
      <c r="C37041" t="s">
        <v>9263</v>
      </c>
      <c r="D37041">
        <v>61</v>
      </c>
      <c r="E37041">
        <v>0</v>
      </c>
      <c r="F37041">
        <v>7012</v>
      </c>
    </row>
    <row r="37042" spans="1:6" ht="12.75">
      <c r="A37042" s="2">
        <v>43875.13784722222</v>
      </c>
      <c r="B37042" t="str">
        <f>HYPERLINK("https://twitter.com/Miraichigokun","@Miraichigokun")</f>
        <v>@Miraichigokun</v>
      </c>
      <c r="C37042" t="s">
        <v>9021</v>
      </c>
      <c r="D37042">
        <v>128</v>
      </c>
      <c r="E37042">
        <v>0</v>
      </c>
      <c r="F37042">
        <v>118</v>
      </c>
    </row>
    <row r="37043" spans="1:6" ht="12.75">
      <c r="A37043" s="2">
        <v>43875.137303240743</v>
      </c>
      <c r="B37043" t="str">
        <f>HYPERLINK("https://twitter.com/AlbarokahToko","@AlbarokahToko")</f>
        <v>@AlbarokahToko</v>
      </c>
      <c r="C37043" t="s">
        <v>12940</v>
      </c>
      <c r="D37043">
        <v>92</v>
      </c>
      <c r="E37043">
        <v>0</v>
      </c>
      <c r="F37043">
        <v>139</v>
      </c>
    </row>
    <row r="37044" spans="1:6" ht="12.75">
      <c r="A37044" s="2">
        <v>43875.137175925927</v>
      </c>
      <c r="B37044" t="str">
        <f>HYPERLINK("https://twitter.com/ivanchristi3","@ivanchristi3")</f>
        <v>@ivanchristi3</v>
      </c>
      <c r="C37044" t="s">
        <v>15263</v>
      </c>
      <c r="D37044">
        <v>1</v>
      </c>
      <c r="E37044">
        <v>1</v>
      </c>
      <c r="F37044">
        <v>916</v>
      </c>
    </row>
    <row r="37045" spans="1:6" ht="12.75">
      <c r="A37045" s="2">
        <v>43875.136817129634</v>
      </c>
      <c r="B37045" t="str">
        <f>HYPERLINK("https://twitter.com/didie_soeharto","@didie_soeharto")</f>
        <v>@didie_soeharto</v>
      </c>
      <c r="C37045" t="s">
        <v>15264</v>
      </c>
      <c r="D37045">
        <v>1</v>
      </c>
      <c r="E37045">
        <v>3</v>
      </c>
      <c r="F37045">
        <v>1208</v>
      </c>
    </row>
    <row r="37046" spans="1:6" ht="12.75">
      <c r="A37046" s="2">
        <v>43875.135914351849</v>
      </c>
      <c r="B37046" t="str">
        <f>HYPERLINK("https://twitter.com/Amigosaying","@Amigosaying")</f>
        <v>@Amigosaying</v>
      </c>
      <c r="C37046" t="s">
        <v>15265</v>
      </c>
      <c r="D37046">
        <v>1</v>
      </c>
      <c r="E37046">
        <v>0</v>
      </c>
      <c r="F37046">
        <v>2033</v>
      </c>
    </row>
    <row r="37047" spans="1:6" ht="12.75">
      <c r="A37047" s="2">
        <v>43875.135393518518</v>
      </c>
      <c r="B37047" t="str">
        <f>HYPERLINK("https://twitter.com/askur0101","@askur0101")</f>
        <v>@askur0101</v>
      </c>
      <c r="C37047" t="s">
        <v>15266</v>
      </c>
      <c r="D37047">
        <v>0</v>
      </c>
      <c r="E37047">
        <v>1</v>
      </c>
      <c r="F37047">
        <v>861</v>
      </c>
    </row>
    <row r="37048" spans="1:6" ht="12.75">
      <c r="A37048" s="2">
        <v>43875.134999999995</v>
      </c>
      <c r="B37048" t="str">
        <f>HYPERLINK("https://twitter.com/sedotanpopais","@sedotanpopais")</f>
        <v>@sedotanpopais</v>
      </c>
      <c r="C37048" t="s">
        <v>13053</v>
      </c>
      <c r="D37048">
        <v>37</v>
      </c>
      <c r="E37048">
        <v>0</v>
      </c>
      <c r="F37048">
        <v>406</v>
      </c>
    </row>
    <row r="37049" spans="1:6" ht="12.75">
      <c r="A37049" s="2">
        <v>43875.134780092594</v>
      </c>
      <c r="B37049" t="str">
        <f>HYPERLINK("https://twitter.com/radaraktual","@radaraktual")</f>
        <v>@radaraktual</v>
      </c>
      <c r="C37049" t="s">
        <v>43</v>
      </c>
      <c r="D37049">
        <v>0</v>
      </c>
      <c r="E37049">
        <v>0</v>
      </c>
      <c r="F37049">
        <v>72</v>
      </c>
    </row>
    <row r="37050" spans="1:6" ht="12.75">
      <c r="A37050" s="2">
        <v>43875.134745370371</v>
      </c>
      <c r="B37050" t="str">
        <f>HYPERLINK("https://twitter.com/ElshintaTegal_","@ElshintaTegal_")</f>
        <v>@ElshintaTegal_</v>
      </c>
      <c r="C37050" t="s">
        <v>15160</v>
      </c>
      <c r="D37050">
        <v>1</v>
      </c>
      <c r="E37050">
        <v>0</v>
      </c>
      <c r="F37050">
        <v>29</v>
      </c>
    </row>
    <row r="37051" spans="1:6" ht="12.75">
      <c r="A37051" s="2">
        <v>43875.134571759263</v>
      </c>
      <c r="B37051" t="str">
        <f>HYPERLINK("https://twitter.com/gerryndo","@gerryndo")</f>
        <v>@gerryndo</v>
      </c>
      <c r="C37051" t="s">
        <v>10207</v>
      </c>
      <c r="D37051">
        <v>32</v>
      </c>
      <c r="E37051">
        <v>0</v>
      </c>
      <c r="F37051">
        <v>575</v>
      </c>
    </row>
    <row r="37052" spans="1:6" ht="12.75">
      <c r="A37052" s="2">
        <v>43875.134548611109</v>
      </c>
      <c r="B37052" t="str">
        <f>HYPERLINK("https://twitter.com/mugiarso74","@mugiarso74")</f>
        <v>@mugiarso74</v>
      </c>
      <c r="C37052" t="s">
        <v>13779</v>
      </c>
      <c r="D37052">
        <v>3</v>
      </c>
      <c r="E37052">
        <v>0</v>
      </c>
      <c r="F37052">
        <v>100</v>
      </c>
    </row>
    <row r="37053" spans="1:6" ht="12.75">
      <c r="A37053" s="2">
        <v>43875.134108796294</v>
      </c>
      <c r="B37053" t="str">
        <f>HYPERLINK("https://twitter.com/Hariyanto_oeto","@Hariyanto_oeto")</f>
        <v>@Hariyanto_oeto</v>
      </c>
      <c r="C37053" t="s">
        <v>175</v>
      </c>
      <c r="D37053">
        <v>5209</v>
      </c>
      <c r="E37053">
        <v>0</v>
      </c>
      <c r="F37053">
        <v>108</v>
      </c>
    </row>
    <row r="37054" spans="1:6" ht="12.75">
      <c r="A37054" s="2">
        <v>43875.133912037039</v>
      </c>
      <c r="B37054" t="str">
        <f>HYPERLINK("https://twitter.com/ivanchristi3","@ivanchristi3")</f>
        <v>@ivanchristi3</v>
      </c>
      <c r="C37054" t="s">
        <v>15267</v>
      </c>
      <c r="D37054">
        <v>0</v>
      </c>
      <c r="E37054">
        <v>0</v>
      </c>
      <c r="F37054">
        <v>916</v>
      </c>
    </row>
    <row r="37055" spans="1:6" ht="12.75">
      <c r="A37055" s="2">
        <v>43875.133703703701</v>
      </c>
      <c r="B37055" t="str">
        <f>HYPERLINK("https://twitter.com/remajapkc","@remajapkc")</f>
        <v>@remajapkc</v>
      </c>
      <c r="C37055" t="s">
        <v>15268</v>
      </c>
      <c r="D37055">
        <v>0</v>
      </c>
      <c r="E37055">
        <v>0</v>
      </c>
      <c r="F37055">
        <v>54</v>
      </c>
    </row>
    <row r="37056" spans="1:6" ht="12.75">
      <c r="A37056" s="2">
        <v>43875.133692129632</v>
      </c>
      <c r="B37056" t="str">
        <f>HYPERLINK("https://twitter.com/1MenujuDamai","@1MenujuDamai")</f>
        <v>@1MenujuDamai</v>
      </c>
      <c r="C37056" t="s">
        <v>9119</v>
      </c>
      <c r="D37056">
        <v>39</v>
      </c>
      <c r="E37056">
        <v>0</v>
      </c>
      <c r="F37056">
        <v>2571</v>
      </c>
    </row>
    <row r="37057" spans="1:6" ht="12.75">
      <c r="A37057" s="2">
        <v>43875.133634259255</v>
      </c>
      <c r="B37057" t="str">
        <f>HYPERLINK("https://twitter.com/BucekHerman","@BucekHerman")</f>
        <v>@BucekHerman</v>
      </c>
      <c r="C37057" t="s">
        <v>8881</v>
      </c>
      <c r="D37057">
        <v>242</v>
      </c>
      <c r="E37057">
        <v>0</v>
      </c>
      <c r="F37057">
        <v>1484</v>
      </c>
    </row>
    <row r="37058" spans="1:6" ht="12.75">
      <c r="A37058" s="2">
        <v>43875.133333333331</v>
      </c>
      <c r="B37058" t="str">
        <f>HYPERLINK("https://twitter.com/IndraRyanto1","@IndraRyanto1")</f>
        <v>@IndraRyanto1</v>
      </c>
      <c r="C37058" t="s">
        <v>15269</v>
      </c>
      <c r="D37058">
        <v>0</v>
      </c>
      <c r="E37058">
        <v>0</v>
      </c>
      <c r="F37058">
        <v>28</v>
      </c>
    </row>
    <row r="37059" spans="1:6" ht="12.75">
      <c r="A37059" s="2">
        <v>43875.133090277777</v>
      </c>
      <c r="B37059" t="str">
        <f>HYPERLINK("https://twitter.com/si_sam","@si_sam")</f>
        <v>@si_sam</v>
      </c>
      <c r="C37059" t="s">
        <v>15270</v>
      </c>
      <c r="D37059">
        <v>76</v>
      </c>
      <c r="E37059">
        <v>0</v>
      </c>
      <c r="F37059">
        <v>845</v>
      </c>
    </row>
    <row r="37060" spans="1:6" ht="12.75">
      <c r="A37060" s="2">
        <v>43875.133009259254</v>
      </c>
      <c r="B37060" t="str">
        <f>HYPERLINK("https://twitter.com/AlbarokahToko","@AlbarokahToko")</f>
        <v>@AlbarokahToko</v>
      </c>
      <c r="C37060" t="s">
        <v>7408</v>
      </c>
      <c r="D37060">
        <v>31</v>
      </c>
      <c r="E37060">
        <v>0</v>
      </c>
      <c r="F37060">
        <v>139</v>
      </c>
    </row>
    <row r="37061" spans="1:6" ht="12.75">
      <c r="A37061" s="2">
        <v>43875.132962962962</v>
      </c>
      <c r="B37061" t="str">
        <f>HYPERLINK("https://twitter.com/JakartaStar","@JakartaStar")</f>
        <v>@JakartaStar</v>
      </c>
      <c r="C37061" t="s">
        <v>8744</v>
      </c>
      <c r="D37061">
        <v>3</v>
      </c>
      <c r="E37061">
        <v>0</v>
      </c>
      <c r="F37061">
        <v>5465</v>
      </c>
    </row>
    <row r="37062" spans="1:6" ht="12.75">
      <c r="A37062" s="2">
        <v>43875.132858796293</v>
      </c>
      <c r="B37062" t="str">
        <f>HYPERLINK("https://twitter.com/WGaong","@WGaong")</f>
        <v>@WGaong</v>
      </c>
      <c r="C37062" t="s">
        <v>2133</v>
      </c>
      <c r="D37062">
        <v>91</v>
      </c>
      <c r="E37062">
        <v>0</v>
      </c>
      <c r="F37062">
        <v>5</v>
      </c>
    </row>
    <row r="37063" spans="1:6" ht="12.75">
      <c r="A37063" s="2">
        <v>43875.132662037038</v>
      </c>
      <c r="B37063" t="str">
        <f>HYPERLINK("https://twitter.com/NanaSuryacandra","@NanaSuryacandra")</f>
        <v>@NanaSuryacandra</v>
      </c>
      <c r="C37063" t="s">
        <v>8571</v>
      </c>
      <c r="D37063">
        <v>33</v>
      </c>
      <c r="E37063">
        <v>0</v>
      </c>
      <c r="F37063">
        <v>699</v>
      </c>
    </row>
    <row r="37064" spans="1:6" ht="12.75">
      <c r="A37064" s="2">
        <v>43875.132581018523</v>
      </c>
      <c r="B37064" t="str">
        <f>HYPERLINK("https://twitter.com/AzisAditya8","@AzisAditya8")</f>
        <v>@AzisAditya8</v>
      </c>
      <c r="C37064" t="s">
        <v>50</v>
      </c>
      <c r="D37064">
        <v>0</v>
      </c>
      <c r="E37064">
        <v>0</v>
      </c>
      <c r="F37064">
        <v>2</v>
      </c>
    </row>
    <row r="37065" spans="1:6" ht="12.75">
      <c r="A37065" s="2">
        <v>43875.132430555561</v>
      </c>
      <c r="B37065" t="str">
        <f>HYPERLINK("https://twitter.com/RadioElshinta","@RadioElshinta")</f>
        <v>@RadioElshinta</v>
      </c>
      <c r="C37065" t="s">
        <v>39</v>
      </c>
      <c r="D37065">
        <v>1</v>
      </c>
      <c r="E37065">
        <v>0</v>
      </c>
      <c r="F37065">
        <v>3633160</v>
      </c>
    </row>
    <row r="37066" spans="1:6" ht="12.75">
      <c r="A37066" s="2">
        <v>43875.132164351853</v>
      </c>
      <c r="B37066" t="str">
        <f>HYPERLINK("https://twitter.com/Bollemeyeer","@Bollemeyeer")</f>
        <v>@Bollemeyeer</v>
      </c>
      <c r="C37066" t="s">
        <v>15271</v>
      </c>
      <c r="D37066">
        <v>0</v>
      </c>
      <c r="E37066">
        <v>0</v>
      </c>
      <c r="F37066">
        <v>597</v>
      </c>
    </row>
    <row r="37067" spans="1:6" ht="12.75">
      <c r="A37067" s="2">
        <v>43875.131504629629</v>
      </c>
      <c r="B37067" t="str">
        <f>HYPERLINK("https://twitter.com/KBRI_Kuwait","@KBRI_Kuwait")</f>
        <v>@KBRI_Kuwait</v>
      </c>
      <c r="C37067" t="s">
        <v>15272</v>
      </c>
      <c r="D37067">
        <v>1</v>
      </c>
      <c r="E37067">
        <v>1</v>
      </c>
      <c r="F37067">
        <v>2521</v>
      </c>
    </row>
    <row r="37068" spans="1:6" ht="12.75">
      <c r="A37068" s="2">
        <v>43875.130706018521</v>
      </c>
      <c r="B37068" t="str">
        <f>HYPERLINK("https://twitter.com/Wahyou31710741","@Wahyou31710741")</f>
        <v>@Wahyou31710741</v>
      </c>
      <c r="C37068" t="s">
        <v>8881</v>
      </c>
      <c r="D37068">
        <v>242</v>
      </c>
      <c r="E37068">
        <v>0</v>
      </c>
      <c r="F37068">
        <v>175</v>
      </c>
    </row>
    <row r="37069" spans="1:6" ht="12.75">
      <c r="A37069" s="2">
        <v>43875.129861111112</v>
      </c>
      <c r="B37069" t="str">
        <f>HYPERLINK("https://twitter.com/mnsurbakti","@mnsurbakti")</f>
        <v>@mnsurbakti</v>
      </c>
      <c r="C37069" t="s">
        <v>9538</v>
      </c>
      <c r="D37069">
        <v>69</v>
      </c>
      <c r="E37069">
        <v>0</v>
      </c>
      <c r="F37069">
        <v>570</v>
      </c>
    </row>
    <row r="37070" spans="1:6" ht="12.75">
      <c r="A37070" s="2">
        <v>43875.129756944443</v>
      </c>
      <c r="B37070" t="str">
        <f>HYPERLINK("https://twitter.com/ojeckerz","@ojeckerz")</f>
        <v>@ojeckerz</v>
      </c>
      <c r="C37070" t="s">
        <v>10462</v>
      </c>
      <c r="D37070">
        <v>220</v>
      </c>
      <c r="E37070">
        <v>0</v>
      </c>
      <c r="F37070">
        <v>247</v>
      </c>
    </row>
    <row r="37071" spans="1:6" ht="12.75">
      <c r="A37071" s="2">
        <v>43875.129131944443</v>
      </c>
      <c r="B37071" t="str">
        <f>HYPERLINK("https://twitter.com/JakartaStar","@JakartaStar")</f>
        <v>@JakartaStar</v>
      </c>
      <c r="C37071" t="s">
        <v>8233</v>
      </c>
      <c r="D37071">
        <v>243</v>
      </c>
      <c r="E37071">
        <v>0</v>
      </c>
      <c r="F37071">
        <v>5465</v>
      </c>
    </row>
    <row r="37072" spans="1:6" ht="12.75">
      <c r="A37072" s="2">
        <v>43875.128761574073</v>
      </c>
      <c r="B37072" t="str">
        <f>HYPERLINK("https://twitter.com/iyak77","@iyak77")</f>
        <v>@iyak77</v>
      </c>
      <c r="C37072" t="s">
        <v>15273</v>
      </c>
      <c r="D37072">
        <v>11</v>
      </c>
      <c r="E37072">
        <v>0</v>
      </c>
      <c r="F37072">
        <v>21</v>
      </c>
    </row>
    <row r="37073" spans="1:6" ht="12.75">
      <c r="A37073" s="2">
        <v>43875.127847222218</v>
      </c>
      <c r="B37073" t="str">
        <f>HYPERLINK("https://twitter.com/Goez101","@Goez101")</f>
        <v>@Goez101</v>
      </c>
      <c r="C37073" t="s">
        <v>14005</v>
      </c>
      <c r="D37073">
        <v>83</v>
      </c>
      <c r="E37073">
        <v>0</v>
      </c>
      <c r="F37073">
        <v>19</v>
      </c>
    </row>
    <row r="37074" spans="1:6" ht="12.75">
      <c r="A37074" s="2">
        <v>43875.127453703702</v>
      </c>
      <c r="B37074" t="str">
        <f>HYPERLINK("https://twitter.com/MaryamAleya","@MaryamAleya")</f>
        <v>@MaryamAleya</v>
      </c>
      <c r="C37074" t="s">
        <v>15274</v>
      </c>
      <c r="D37074">
        <v>7</v>
      </c>
      <c r="E37074">
        <v>0</v>
      </c>
      <c r="F37074">
        <v>1658</v>
      </c>
    </row>
    <row r="37075" spans="1:6" ht="12.75">
      <c r="A37075" s="2">
        <v>43875.127349537041</v>
      </c>
      <c r="B37075" t="str">
        <f>HYPERLINK("https://twitter.com/Lukman88755658","@Lukman88755658")</f>
        <v>@Lukman88755658</v>
      </c>
      <c r="C37075" t="s">
        <v>15275</v>
      </c>
      <c r="D37075">
        <v>2</v>
      </c>
      <c r="E37075">
        <v>0</v>
      </c>
      <c r="F37075">
        <v>298</v>
      </c>
    </row>
    <row r="37076" spans="1:6" ht="12.75">
      <c r="A37076" s="2">
        <v>43875.127268518518</v>
      </c>
      <c r="B37076" t="str">
        <f>HYPERLINK("https://twitter.com/Goez101","@Goez101")</f>
        <v>@Goez101</v>
      </c>
      <c r="C37076" t="s">
        <v>5624</v>
      </c>
      <c r="D37076">
        <v>105</v>
      </c>
      <c r="E37076">
        <v>0</v>
      </c>
      <c r="F37076">
        <v>19</v>
      </c>
    </row>
    <row r="37077" spans="1:6" ht="12.75">
      <c r="A37077" s="2">
        <v>43875.127245370371</v>
      </c>
      <c r="B37077" t="str">
        <f>HYPERLINK("https://twitter.com/Frantaga1","@Frantaga1")</f>
        <v>@Frantaga1</v>
      </c>
      <c r="C37077" t="s">
        <v>10531</v>
      </c>
      <c r="D37077">
        <v>91</v>
      </c>
      <c r="E37077">
        <v>0</v>
      </c>
      <c r="F37077">
        <v>524</v>
      </c>
    </row>
    <row r="37078" spans="1:6" ht="12.75">
      <c r="A37078" s="2">
        <v>43875.126388888893</v>
      </c>
      <c r="B37078" t="str">
        <f>HYPERLINK("https://twitter.com/Lukman88755658","@Lukman88755658")</f>
        <v>@Lukman88755658</v>
      </c>
      <c r="C37078" t="s">
        <v>15148</v>
      </c>
      <c r="D37078">
        <v>4</v>
      </c>
      <c r="E37078">
        <v>0</v>
      </c>
      <c r="F37078">
        <v>298</v>
      </c>
    </row>
    <row r="37079" spans="1:6" ht="12.75">
      <c r="A37079" s="2">
        <v>43875.126215277778</v>
      </c>
      <c r="B37079" t="str">
        <f>HYPERLINK("https://twitter.com/alex_hunter146","@alex_hunter146")</f>
        <v>@alex_hunter146</v>
      </c>
      <c r="C37079" t="s">
        <v>15276</v>
      </c>
      <c r="D37079">
        <v>0</v>
      </c>
      <c r="E37079">
        <v>0</v>
      </c>
      <c r="F37079">
        <v>1364</v>
      </c>
    </row>
    <row r="37080" spans="1:6" ht="12.75">
      <c r="A37080" s="2">
        <v>43875.126157407409</v>
      </c>
      <c r="B37080" t="str">
        <f>HYPERLINK("https://twitter.com/becak125cc","@becak125cc")</f>
        <v>@becak125cc</v>
      </c>
      <c r="C37080" t="s">
        <v>15277</v>
      </c>
      <c r="D37080">
        <v>69</v>
      </c>
      <c r="E37080">
        <v>0</v>
      </c>
      <c r="F37080">
        <v>495</v>
      </c>
    </row>
    <row r="37081" spans="1:6" ht="12.75">
      <c r="A37081" s="2">
        <v>43875.125717592593</v>
      </c>
      <c r="B37081" t="str">
        <f>HYPERLINK("https://twitter.com/Frantaga1","@Frantaga1")</f>
        <v>@Frantaga1</v>
      </c>
      <c r="C37081" t="s">
        <v>13045</v>
      </c>
      <c r="D37081">
        <v>3</v>
      </c>
      <c r="E37081">
        <v>0</v>
      </c>
      <c r="F37081">
        <v>524</v>
      </c>
    </row>
    <row r="37082" spans="1:6" ht="12.75">
      <c r="A37082" s="2">
        <v>43875.125231481477</v>
      </c>
      <c r="B37082" t="str">
        <f>HYPERLINK("https://twitter.com/pandebaik","@pandebaik")</f>
        <v>@pandebaik</v>
      </c>
      <c r="C37082" t="s">
        <v>9021</v>
      </c>
      <c r="D37082">
        <v>128</v>
      </c>
      <c r="E37082">
        <v>0</v>
      </c>
      <c r="F37082">
        <v>1668</v>
      </c>
    </row>
    <row r="37083" spans="1:6" ht="12.75">
      <c r="A37083" s="2">
        <v>43875.125196759254</v>
      </c>
      <c r="B37083" t="str">
        <f>HYPERLINK("https://twitter.com/bts_juseyo","@bts_juseyo")</f>
        <v>@bts_juseyo</v>
      </c>
      <c r="C37083" t="s">
        <v>15278</v>
      </c>
      <c r="D37083">
        <v>0</v>
      </c>
      <c r="E37083">
        <v>0</v>
      </c>
      <c r="F37083">
        <v>432</v>
      </c>
    </row>
    <row r="37084" spans="1:6" ht="12.75">
      <c r="A37084" s="2">
        <v>43875.125173611115</v>
      </c>
      <c r="B37084" t="str">
        <f>HYPERLINK("https://twitter.com/Joglosemarnews","@Joglosemarnews")</f>
        <v>@Joglosemarnews</v>
      </c>
      <c r="C37084" t="s">
        <v>51</v>
      </c>
      <c r="D37084">
        <v>0</v>
      </c>
      <c r="E37084">
        <v>0</v>
      </c>
      <c r="F37084">
        <v>301</v>
      </c>
    </row>
    <row r="37085" spans="1:6" ht="12.75">
      <c r="A37085" s="2">
        <v>43875.12501157407</v>
      </c>
      <c r="B37085" t="str">
        <f>HYPERLINK("https://twitter.com/TjahjadiJudono","@TjahjadiJudono")</f>
        <v>@TjahjadiJudono</v>
      </c>
      <c r="C37085" t="s">
        <v>15279</v>
      </c>
      <c r="D37085">
        <v>0</v>
      </c>
      <c r="E37085">
        <v>0</v>
      </c>
      <c r="F37085">
        <v>1022</v>
      </c>
    </row>
    <row r="37086" spans="1:6" ht="12.75">
      <c r="A37086" s="2">
        <v>43875.124803240746</v>
      </c>
      <c r="B37086" t="str">
        <f>HYPERLINK("https://twitter.com/yogapraditow","@yogapraditow")</f>
        <v>@yogapraditow</v>
      </c>
      <c r="C37086" t="s">
        <v>14625</v>
      </c>
      <c r="D37086">
        <v>29</v>
      </c>
      <c r="E37086">
        <v>0</v>
      </c>
      <c r="F37086">
        <v>404</v>
      </c>
    </row>
    <row r="37087" spans="1:6" ht="12.75">
      <c r="A37087" s="2">
        <v>43875.124502314815</v>
      </c>
      <c r="B37087" t="str">
        <f>HYPERLINK("https://twitter.com/ratmo70","@ratmo70")</f>
        <v>@ratmo70</v>
      </c>
      <c r="C37087" t="s">
        <v>15280</v>
      </c>
      <c r="D37087">
        <v>0</v>
      </c>
      <c r="E37087">
        <v>0</v>
      </c>
      <c r="F37087">
        <v>87</v>
      </c>
    </row>
    <row r="37088" spans="1:6" ht="12.75">
      <c r="A37088" s="2">
        <v>43875.124155092592</v>
      </c>
      <c r="B37088" t="str">
        <f>HYPERLINK("https://twitter.com/su7loo","@su7loo")</f>
        <v>@su7loo</v>
      </c>
      <c r="C37088" t="s">
        <v>9263</v>
      </c>
      <c r="D37088">
        <v>61</v>
      </c>
      <c r="E37088">
        <v>0</v>
      </c>
      <c r="F37088">
        <v>970</v>
      </c>
    </row>
    <row r="37089" spans="1:6" ht="12.75">
      <c r="A37089" s="2">
        <v>43875.12394675926</v>
      </c>
      <c r="B37089" t="str">
        <f>HYPERLINK("https://twitter.com/bts_juseyo","@bts_juseyo")</f>
        <v>@bts_juseyo</v>
      </c>
      <c r="C37089" t="s">
        <v>15281</v>
      </c>
      <c r="D37089">
        <v>0</v>
      </c>
      <c r="E37089">
        <v>0</v>
      </c>
      <c r="F37089">
        <v>432</v>
      </c>
    </row>
    <row r="37090" spans="1:6" ht="12.75">
      <c r="A37090" s="2">
        <v>43875.123831018514</v>
      </c>
      <c r="B37090" t="str">
        <f>HYPERLINK("https://twitter.com/Arleniaprillia1","@Arleniaprillia1")</f>
        <v>@Arleniaprillia1</v>
      </c>
      <c r="C37090" t="s">
        <v>15282</v>
      </c>
      <c r="D37090">
        <v>0</v>
      </c>
      <c r="E37090">
        <v>0</v>
      </c>
      <c r="F37090">
        <v>189</v>
      </c>
    </row>
    <row r="37091" spans="1:6" ht="12.75">
      <c r="A37091" s="2">
        <v>43875.123611111107</v>
      </c>
      <c r="B37091" t="str">
        <f>HYPERLINK("https://twitter.com/RichelleEdita","@RichelleEdita")</f>
        <v>@RichelleEdita</v>
      </c>
      <c r="C37091" t="s">
        <v>13772</v>
      </c>
      <c r="D37091">
        <v>28</v>
      </c>
      <c r="E37091">
        <v>0</v>
      </c>
      <c r="F37091">
        <v>782</v>
      </c>
    </row>
    <row r="37092" spans="1:6" ht="12.75">
      <c r="A37092" s="2">
        <v>43875.123541666668</v>
      </c>
      <c r="B37092" t="str">
        <f>HYPERLINK("https://twitter.com/alex_hunter146","@alex_hunter146")</f>
        <v>@alex_hunter146</v>
      </c>
      <c r="C37092" t="s">
        <v>15283</v>
      </c>
      <c r="D37092">
        <v>0</v>
      </c>
      <c r="E37092">
        <v>0</v>
      </c>
      <c r="F37092">
        <v>1364</v>
      </c>
    </row>
    <row r="37093" spans="1:6" ht="12.75">
      <c r="A37093" s="2">
        <v>43875.12290509259</v>
      </c>
      <c r="B37093" t="str">
        <f>HYPERLINK("https://twitter.com/mbakrezty","@mbakrezty")</f>
        <v>@mbakrezty</v>
      </c>
      <c r="C37093" t="s">
        <v>9113</v>
      </c>
      <c r="D37093">
        <v>227</v>
      </c>
      <c r="E37093">
        <v>0</v>
      </c>
      <c r="F37093">
        <v>2722</v>
      </c>
    </row>
    <row r="37094" spans="1:6" ht="12.75">
      <c r="A37094" s="2">
        <v>43875.122337962966</v>
      </c>
      <c r="B37094" t="str">
        <f>HYPERLINK("https://twitter.com/HussV3","@HussV3")</f>
        <v>@HussV3</v>
      </c>
      <c r="C37094" t="s">
        <v>15284</v>
      </c>
      <c r="D37094">
        <v>0</v>
      </c>
      <c r="E37094">
        <v>0</v>
      </c>
      <c r="F37094">
        <v>30</v>
      </c>
    </row>
    <row r="37095" spans="1:6" ht="12.75">
      <c r="A37095" s="2">
        <v>43875.122129629628</v>
      </c>
      <c r="B37095" t="str">
        <f>HYPERLINK("https://twitter.com/jerrysetiawaan","@jerrysetiawaan")</f>
        <v>@jerrysetiawaan</v>
      </c>
      <c r="C37095" t="s">
        <v>9981</v>
      </c>
      <c r="D37095">
        <v>22</v>
      </c>
      <c r="E37095">
        <v>0</v>
      </c>
      <c r="F37095">
        <v>506</v>
      </c>
    </row>
    <row r="37096" spans="1:6" ht="12.75">
      <c r="A37096" s="2">
        <v>43875.121863425928</v>
      </c>
      <c r="B37096" t="str">
        <f>HYPERLINK("https://twitter.com/Arifngk","@Arifngk")</f>
        <v>@Arifngk</v>
      </c>
      <c r="C37096" t="s">
        <v>10526</v>
      </c>
      <c r="D37096">
        <v>92</v>
      </c>
      <c r="E37096">
        <v>0</v>
      </c>
      <c r="F37096">
        <v>507</v>
      </c>
    </row>
    <row r="37097" spans="1:6" ht="12.75">
      <c r="A37097" s="2">
        <v>43875.121840277774</v>
      </c>
      <c r="B37097" t="str">
        <f>HYPERLINK("https://twitter.com/DNglinggi","@DNglinggi")</f>
        <v>@DNglinggi</v>
      </c>
      <c r="C37097" t="s">
        <v>15285</v>
      </c>
      <c r="D37097">
        <v>0</v>
      </c>
      <c r="E37097">
        <v>0</v>
      </c>
      <c r="F37097">
        <v>26</v>
      </c>
    </row>
    <row r="37098" spans="1:6" ht="12.75">
      <c r="A37098" s="2">
        <v>43875.121828703705</v>
      </c>
      <c r="B37098" t="str">
        <f>HYPERLINK("https://twitter.com/barryaje","@barryaje")</f>
        <v>@barryaje</v>
      </c>
      <c r="C37098" t="s">
        <v>15286</v>
      </c>
      <c r="D37098">
        <v>0</v>
      </c>
      <c r="E37098">
        <v>0</v>
      </c>
      <c r="F37098">
        <v>677</v>
      </c>
    </row>
    <row r="37099" spans="1:6" ht="12.75">
      <c r="A37099" s="2">
        <v>43875.121666666666</v>
      </c>
      <c r="B37099" t="str">
        <f>HYPERLINK("https://twitter.com/Goez101","@Goez101")</f>
        <v>@Goez101</v>
      </c>
      <c r="C37099" t="s">
        <v>15287</v>
      </c>
      <c r="D37099">
        <v>5</v>
      </c>
      <c r="E37099">
        <v>0</v>
      </c>
      <c r="F37099">
        <v>19</v>
      </c>
    </row>
    <row r="37100" spans="1:6" ht="12.75">
      <c r="A37100" s="2">
        <v>43875.121458333335</v>
      </c>
      <c r="B37100" t="str">
        <f>HYPERLINK("https://twitter.com/taertawalah","@taertawalah")</f>
        <v>@taertawalah</v>
      </c>
      <c r="C37100" t="s">
        <v>175</v>
      </c>
      <c r="D37100">
        <v>5209</v>
      </c>
      <c r="E37100">
        <v>0</v>
      </c>
      <c r="F37100">
        <v>880</v>
      </c>
    </row>
    <row r="37101" spans="1:6" ht="12.75">
      <c r="A37101" s="2">
        <v>43875.121412037042</v>
      </c>
      <c r="B37101" t="str">
        <f>HYPERLINK("https://twitter.com/qumaroni","@qumaroni")</f>
        <v>@qumaroni</v>
      </c>
      <c r="C37101" t="s">
        <v>15288</v>
      </c>
      <c r="D37101">
        <v>0</v>
      </c>
      <c r="E37101">
        <v>0</v>
      </c>
      <c r="F37101">
        <v>1511</v>
      </c>
    </row>
    <row r="37102" spans="1:6" ht="12.75">
      <c r="A37102" s="2">
        <v>43875.121400462958</v>
      </c>
      <c r="B37102" t="str">
        <f>HYPERLINK("https://twitter.com/petrelalminanga","@petrelalminanga")</f>
        <v>@petrelalminanga</v>
      </c>
      <c r="C37102" t="s">
        <v>9538</v>
      </c>
      <c r="D37102">
        <v>69</v>
      </c>
      <c r="E37102">
        <v>0</v>
      </c>
      <c r="F37102">
        <v>320</v>
      </c>
    </row>
    <row r="37103" spans="1:6" ht="12.75">
      <c r="A37103" s="2">
        <v>43875.121134259258</v>
      </c>
      <c r="B37103" t="str">
        <f>HYPERLINK("https://twitter.com/bts_juseyo","@bts_juseyo")</f>
        <v>@bts_juseyo</v>
      </c>
      <c r="C37103" t="s">
        <v>175</v>
      </c>
      <c r="D37103">
        <v>5209</v>
      </c>
      <c r="E37103">
        <v>0</v>
      </c>
      <c r="F37103">
        <v>432</v>
      </c>
    </row>
    <row r="37104" spans="1:6" ht="12.75">
      <c r="A37104" s="2">
        <v>43875.121053240742</v>
      </c>
      <c r="B37104" t="str">
        <f>HYPERLINK("https://twitter.com/barryaje","@barryaje")</f>
        <v>@barryaje</v>
      </c>
      <c r="C37104" t="s">
        <v>7390</v>
      </c>
      <c r="D37104">
        <v>74</v>
      </c>
      <c r="E37104">
        <v>0</v>
      </c>
      <c r="F37104">
        <v>677</v>
      </c>
    </row>
    <row r="37105" spans="1:6" ht="12.75">
      <c r="A37105" s="2">
        <v>43875.120891203704</v>
      </c>
      <c r="B37105" t="str">
        <f>HYPERLINK("https://twitter.com/ucupus","@ucupus")</f>
        <v>@ucupus</v>
      </c>
      <c r="C37105" t="s">
        <v>9964</v>
      </c>
      <c r="D37105">
        <v>458</v>
      </c>
      <c r="E37105">
        <v>0</v>
      </c>
      <c r="F37105">
        <v>240</v>
      </c>
    </row>
    <row r="37106" spans="1:6" ht="12.75">
      <c r="A37106" s="2">
        <v>43875.120787037042</v>
      </c>
      <c r="B37106" t="str">
        <f>HYPERLINK("https://twitter.com/DwiRios","@DwiRios")</f>
        <v>@DwiRios</v>
      </c>
      <c r="C37106" t="s">
        <v>5168</v>
      </c>
      <c r="D37106">
        <v>327</v>
      </c>
      <c r="E37106">
        <v>0</v>
      </c>
      <c r="F37106">
        <v>251</v>
      </c>
    </row>
    <row r="37107" spans="1:6" ht="12.75">
      <c r="A37107" s="2">
        <v>43875.120706018519</v>
      </c>
      <c r="B37107" t="str">
        <f>HYPERLINK("https://twitter.com/JakartaStar","@JakartaStar")</f>
        <v>@JakartaStar</v>
      </c>
      <c r="C37107" t="s">
        <v>12849</v>
      </c>
      <c r="D37107">
        <v>56</v>
      </c>
      <c r="E37107">
        <v>0</v>
      </c>
      <c r="F37107">
        <v>5465</v>
      </c>
    </row>
    <row r="37108" spans="1:6" ht="12.75">
      <c r="A37108" s="2">
        <v>43875.120682870373</v>
      </c>
      <c r="B37108" t="str">
        <f t="shared" ref="B37108:B37110" si="417">HYPERLINK("https://twitter.com/HendarwatiH","@HendarwatiH")</f>
        <v>@HendarwatiH</v>
      </c>
      <c r="C37108" t="s">
        <v>15289</v>
      </c>
      <c r="D37108">
        <v>3</v>
      </c>
      <c r="E37108">
        <v>0</v>
      </c>
      <c r="F37108">
        <v>2110</v>
      </c>
    </row>
    <row r="37109" spans="1:6" ht="12.75">
      <c r="A37109" s="2">
        <v>43875.120208333334</v>
      </c>
      <c r="B37109" t="str">
        <f t="shared" si="417"/>
        <v>@HendarwatiH</v>
      </c>
      <c r="C37109" t="s">
        <v>15290</v>
      </c>
      <c r="D37109">
        <v>1</v>
      </c>
      <c r="E37109">
        <v>0</v>
      </c>
      <c r="F37109">
        <v>2110</v>
      </c>
    </row>
    <row r="37110" spans="1:6" ht="12.75">
      <c r="A37110" s="2">
        <v>43875.119629629626</v>
      </c>
      <c r="B37110" t="str">
        <f t="shared" si="417"/>
        <v>@HendarwatiH</v>
      </c>
      <c r="C37110" t="s">
        <v>9113</v>
      </c>
      <c r="D37110">
        <v>227</v>
      </c>
      <c r="E37110">
        <v>0</v>
      </c>
      <c r="F37110">
        <v>2110</v>
      </c>
    </row>
    <row r="37111" spans="1:6" ht="12.75">
      <c r="A37111" s="2">
        <v>43875.119004629625</v>
      </c>
      <c r="B37111" t="str">
        <f>HYPERLINK("https://twitter.com/frasaku_","@frasaku_")</f>
        <v>@frasaku_</v>
      </c>
      <c r="C37111" t="s">
        <v>10196</v>
      </c>
      <c r="D37111">
        <v>116</v>
      </c>
      <c r="E37111">
        <v>0</v>
      </c>
      <c r="F37111">
        <v>6654</v>
      </c>
    </row>
    <row r="37112" spans="1:6" ht="12.75">
      <c r="A37112" s="2">
        <v>43875.11891203704</v>
      </c>
      <c r="B37112" t="str">
        <f>HYPERLINK("https://twitter.com/nihImeldaBie","@nihImeldaBie")</f>
        <v>@nihImeldaBie</v>
      </c>
      <c r="C37112" t="s">
        <v>9981</v>
      </c>
      <c r="D37112">
        <v>22</v>
      </c>
      <c r="E37112">
        <v>0</v>
      </c>
      <c r="F37112">
        <v>389</v>
      </c>
    </row>
    <row r="37113" spans="1:6" ht="12.75">
      <c r="A37113" s="2">
        <v>43875.118483796294</v>
      </c>
      <c r="B37113" t="str">
        <f>HYPERLINK("https://twitter.com/bosennkuruss","@bosennkuruss")</f>
        <v>@bosennkuruss</v>
      </c>
      <c r="C37113" t="s">
        <v>9021</v>
      </c>
      <c r="D37113">
        <v>128</v>
      </c>
      <c r="E37113">
        <v>0</v>
      </c>
      <c r="F37113">
        <v>1167</v>
      </c>
    </row>
    <row r="37114" spans="1:6" ht="12.75">
      <c r="A37114" s="2">
        <v>43875.118171296301</v>
      </c>
      <c r="B37114" t="str">
        <f>HYPERLINK("https://twitter.com/djakarta6221","@djakarta6221")</f>
        <v>@djakarta6221</v>
      </c>
      <c r="C37114" t="s">
        <v>15291</v>
      </c>
      <c r="D37114">
        <v>0</v>
      </c>
      <c r="E37114">
        <v>0</v>
      </c>
      <c r="F37114">
        <v>417</v>
      </c>
    </row>
    <row r="37115" spans="1:6" ht="12.75">
      <c r="A37115" s="2">
        <v>43875.11791666667</v>
      </c>
      <c r="B37115" t="str">
        <f>HYPERLINK("https://twitter.com/jiraq","@jiraq")</f>
        <v>@jiraq</v>
      </c>
      <c r="C37115" t="s">
        <v>15292</v>
      </c>
      <c r="D37115">
        <v>0</v>
      </c>
      <c r="E37115">
        <v>0</v>
      </c>
      <c r="F37115">
        <v>2029</v>
      </c>
    </row>
    <row r="37116" spans="1:6" ht="12.75">
      <c r="A37116" s="2">
        <v>43875.11787037037</v>
      </c>
      <c r="B37116" t="str">
        <f>HYPERLINK("https://twitter.com/anungwi","@anungwi")</f>
        <v>@anungwi</v>
      </c>
      <c r="C37116" t="s">
        <v>12679</v>
      </c>
      <c r="D37116">
        <v>715</v>
      </c>
      <c r="E37116">
        <v>0</v>
      </c>
      <c r="F37116">
        <v>57</v>
      </c>
    </row>
    <row r="37117" spans="1:6" ht="12.75">
      <c r="A37117" s="2">
        <v>43875.117731481485</v>
      </c>
      <c r="B37117" t="str">
        <f>HYPERLINK("https://twitter.com/thomas7suherman","@thomas7suherman")</f>
        <v>@thomas7suherman</v>
      </c>
      <c r="C37117" t="s">
        <v>7411</v>
      </c>
      <c r="D37117">
        <v>127</v>
      </c>
      <c r="E37117">
        <v>0</v>
      </c>
      <c r="F37117">
        <v>1999</v>
      </c>
    </row>
    <row r="37118" spans="1:6" ht="12.75">
      <c r="A37118" s="2">
        <v>43875.117326388892</v>
      </c>
      <c r="B37118" t="str">
        <f>HYPERLINK("https://twitter.com/dtsputra","@dtsputra")</f>
        <v>@dtsputra</v>
      </c>
      <c r="C37118" t="s">
        <v>15277</v>
      </c>
      <c r="D37118">
        <v>69</v>
      </c>
      <c r="E37118">
        <v>0</v>
      </c>
      <c r="F37118">
        <v>39</v>
      </c>
    </row>
    <row r="37119" spans="1:6" ht="12.75">
      <c r="A37119" s="2">
        <v>43875.116435185184</v>
      </c>
      <c r="B37119" t="str">
        <f>HYPERLINK("https://twitter.com/frasaku_","@frasaku_")</f>
        <v>@frasaku_</v>
      </c>
      <c r="C37119" t="s">
        <v>175</v>
      </c>
      <c r="D37119">
        <v>5209</v>
      </c>
      <c r="E37119">
        <v>0</v>
      </c>
      <c r="F37119">
        <v>6654</v>
      </c>
    </row>
    <row r="37120" spans="1:6" ht="12.75">
      <c r="A37120" s="2">
        <v>43875.11519675926</v>
      </c>
      <c r="B37120" t="str">
        <f>HYPERLINK("https://twitter.com/B35API","@B35API")</f>
        <v>@B35API</v>
      </c>
      <c r="C37120" t="s">
        <v>11167</v>
      </c>
      <c r="D37120">
        <v>150</v>
      </c>
      <c r="E37120">
        <v>0</v>
      </c>
      <c r="F37120">
        <v>505</v>
      </c>
    </row>
    <row r="37121" spans="1:6" ht="12.75">
      <c r="A37121" s="2">
        <v>43875.114652777775</v>
      </c>
      <c r="B37121" t="str">
        <f>HYPERLINK("https://twitter.com/dtsputra","@dtsputra")</f>
        <v>@dtsputra</v>
      </c>
      <c r="C37121" t="s">
        <v>10266</v>
      </c>
      <c r="D37121">
        <v>243</v>
      </c>
      <c r="E37121">
        <v>0</v>
      </c>
      <c r="F37121">
        <v>39</v>
      </c>
    </row>
    <row r="37122" spans="1:6" ht="12.75">
      <c r="A37122" s="2">
        <v>43875.114085648151</v>
      </c>
      <c r="B37122" t="str">
        <f>HYPERLINK("https://twitter.com/BADKID47","@BADKID47")</f>
        <v>@BADKID47</v>
      </c>
      <c r="C37122" t="s">
        <v>5168</v>
      </c>
      <c r="D37122">
        <v>327</v>
      </c>
      <c r="E37122">
        <v>0</v>
      </c>
      <c r="F37122">
        <v>808</v>
      </c>
    </row>
    <row r="37123" spans="1:6" ht="12.75">
      <c r="A37123" s="2">
        <v>43875.113564814819</v>
      </c>
      <c r="B37123" t="str">
        <f>HYPERLINK("https://twitter.com/Malik_sancho","@Malik_sancho")</f>
        <v>@Malik_sancho</v>
      </c>
      <c r="C37123" t="s">
        <v>15293</v>
      </c>
      <c r="D37123">
        <v>3</v>
      </c>
      <c r="E37123">
        <v>0</v>
      </c>
      <c r="F37123">
        <v>2503</v>
      </c>
    </row>
    <row r="37124" spans="1:6" ht="12.75">
      <c r="A37124" s="2">
        <v>43875.112870370373</v>
      </c>
      <c r="B37124" t="str">
        <f>HYPERLINK("https://twitter.com/sondangsway","@sondangsway")</f>
        <v>@sondangsway</v>
      </c>
      <c r="C37124" t="s">
        <v>9096</v>
      </c>
      <c r="D37124">
        <v>127</v>
      </c>
      <c r="E37124">
        <v>0</v>
      </c>
      <c r="F37124">
        <v>301</v>
      </c>
    </row>
    <row r="37125" spans="1:6" ht="12.75">
      <c r="A37125" s="2">
        <v>43875.112071759257</v>
      </c>
      <c r="B37125" t="str">
        <f>HYPERLINK("https://twitter.com/thenightk1ng","@thenightk1ng")</f>
        <v>@thenightk1ng</v>
      </c>
      <c r="C37125" t="s">
        <v>8233</v>
      </c>
      <c r="D37125">
        <v>243</v>
      </c>
      <c r="E37125">
        <v>0</v>
      </c>
      <c r="F37125">
        <v>565</v>
      </c>
    </row>
    <row r="37126" spans="1:6" ht="12.75">
      <c r="A37126" s="2">
        <v>43875.111493055556</v>
      </c>
      <c r="B37126" t="str">
        <f>HYPERLINK("https://twitter.com/harris_pradana","@harris_pradana")</f>
        <v>@harris_pradana</v>
      </c>
      <c r="C37126" t="s">
        <v>9964</v>
      </c>
      <c r="D37126">
        <v>458</v>
      </c>
      <c r="E37126">
        <v>0</v>
      </c>
      <c r="F37126">
        <v>222</v>
      </c>
    </row>
    <row r="37127" spans="1:6" ht="12.75">
      <c r="A37127" s="2">
        <v>43875.111435185187</v>
      </c>
      <c r="B37127" t="str">
        <f>HYPERLINK("https://twitter.com/teguhtrinanda","@teguhtrinanda")</f>
        <v>@teguhtrinanda</v>
      </c>
      <c r="C37127" t="s">
        <v>175</v>
      </c>
      <c r="D37127">
        <v>5209</v>
      </c>
      <c r="E37127">
        <v>0</v>
      </c>
      <c r="F37127">
        <v>2709</v>
      </c>
    </row>
    <row r="37128" spans="1:6" ht="12.75">
      <c r="A37128" s="2">
        <v>43875.110497685186</v>
      </c>
      <c r="B37128" t="str">
        <f>HYPERLINK("https://twitter.com/irsyad_arashf","@irsyad_arashf")</f>
        <v>@irsyad_arashf</v>
      </c>
      <c r="C37128" t="s">
        <v>5168</v>
      </c>
      <c r="D37128">
        <v>327</v>
      </c>
      <c r="E37128">
        <v>0</v>
      </c>
      <c r="F37128">
        <v>283</v>
      </c>
    </row>
    <row r="37129" spans="1:6" ht="12.75">
      <c r="A37129" s="2">
        <v>43875.109884259262</v>
      </c>
      <c r="B37129" t="str">
        <f>HYPERLINK("https://twitter.com/sinyovandlahom","@sinyovandlahom")</f>
        <v>@sinyovandlahom</v>
      </c>
      <c r="C37129" t="s">
        <v>10526</v>
      </c>
      <c r="D37129">
        <v>92</v>
      </c>
      <c r="E37129">
        <v>0</v>
      </c>
      <c r="F37129">
        <v>1281</v>
      </c>
    </row>
    <row r="37130" spans="1:6" ht="12.75">
      <c r="A37130" s="2">
        <v>43875.109768518523</v>
      </c>
      <c r="B37130" t="str">
        <f>HYPERLINK("https://twitter.com/SitumorangSteve","@SitumorangSteve")</f>
        <v>@SitumorangSteve</v>
      </c>
      <c r="C37130" t="s">
        <v>15294</v>
      </c>
      <c r="D37130">
        <v>0</v>
      </c>
      <c r="E37130">
        <v>0</v>
      </c>
      <c r="F37130">
        <v>96</v>
      </c>
    </row>
    <row r="37131" spans="1:6" ht="12.75">
      <c r="A37131" s="2">
        <v>43875.10974537037</v>
      </c>
      <c r="B37131" t="str">
        <f>HYPERLINK("https://twitter.com/DonnyHamzahHrp","@DonnyHamzahHrp")</f>
        <v>@DonnyHamzahHrp</v>
      </c>
      <c r="C37131" t="s">
        <v>15295</v>
      </c>
      <c r="D37131">
        <v>0</v>
      </c>
      <c r="E37131">
        <v>0</v>
      </c>
      <c r="F37131">
        <v>909</v>
      </c>
    </row>
    <row r="37132" spans="1:6" ht="12.75">
      <c r="A37132" s="2">
        <v>43875.109085648146</v>
      </c>
      <c r="B37132" t="str">
        <f>HYPERLINK("https://twitter.com/harihoree1","@harihoree1")</f>
        <v>@harihoree1</v>
      </c>
      <c r="C37132" t="s">
        <v>9538</v>
      </c>
      <c r="D37132">
        <v>69</v>
      </c>
      <c r="E37132">
        <v>0</v>
      </c>
      <c r="F37132">
        <v>1258</v>
      </c>
    </row>
    <row r="37133" spans="1:6" ht="12.75">
      <c r="A37133" s="2">
        <v>43875.108969907407</v>
      </c>
      <c r="B37133" t="str">
        <f>HYPERLINK("https://twitter.com/mustikari","@mustikari")</f>
        <v>@mustikari</v>
      </c>
      <c r="C37133" t="s">
        <v>10266</v>
      </c>
      <c r="D37133">
        <v>243</v>
      </c>
      <c r="E37133">
        <v>0</v>
      </c>
      <c r="F37133">
        <v>583</v>
      </c>
    </row>
    <row r="37134" spans="1:6" ht="12.75">
      <c r="A37134" s="2">
        <v>43875.108796296292</v>
      </c>
      <c r="B37134" t="str">
        <f>HYPERLINK("https://twitter.com/binarkiani","@binarkiani")</f>
        <v>@binarkiani</v>
      </c>
      <c r="C37134" t="s">
        <v>8233</v>
      </c>
      <c r="D37134">
        <v>243</v>
      </c>
      <c r="E37134">
        <v>0</v>
      </c>
      <c r="F37134">
        <v>604</v>
      </c>
    </row>
    <row r="37135" spans="1:6" ht="12.75">
      <c r="A37135" s="2">
        <v>43875.108796296292</v>
      </c>
      <c r="B37135" t="str">
        <f t="shared" ref="B37135:B37136" si="418">HYPERLINK("https://twitter.com/kip13392274","@kip13392274")</f>
        <v>@kip13392274</v>
      </c>
      <c r="C37135" t="s">
        <v>6355</v>
      </c>
      <c r="D37135">
        <v>237</v>
      </c>
      <c r="E37135">
        <v>0</v>
      </c>
      <c r="F37135">
        <v>137</v>
      </c>
    </row>
    <row r="37136" spans="1:6" ht="12.75">
      <c r="A37136" s="2">
        <v>43875.108472222222</v>
      </c>
      <c r="B37136" t="str">
        <f t="shared" si="418"/>
        <v>@kip13392274</v>
      </c>
      <c r="C37136" t="s">
        <v>11330</v>
      </c>
      <c r="D37136">
        <v>110</v>
      </c>
      <c r="E37136">
        <v>0</v>
      </c>
      <c r="F37136">
        <v>137</v>
      </c>
    </row>
    <row r="37137" spans="1:6" ht="12.75">
      <c r="A37137" s="2">
        <v>43875.108078703706</v>
      </c>
      <c r="B37137" t="str">
        <f>HYPERLINK("https://twitter.com/Bamin_Achmad","@Bamin_Achmad")</f>
        <v>@Bamin_Achmad</v>
      </c>
      <c r="C37137" t="s">
        <v>15170</v>
      </c>
      <c r="D37137">
        <v>3</v>
      </c>
      <c r="E37137">
        <v>0</v>
      </c>
      <c r="F37137">
        <v>2701</v>
      </c>
    </row>
    <row r="37138" spans="1:6" ht="12.75">
      <c r="A37138" s="2">
        <v>43875.107916666668</v>
      </c>
      <c r="B37138" t="str">
        <f>HYPERLINK("https://twitter.com/hp_astoro","@hp_astoro")</f>
        <v>@hp_astoro</v>
      </c>
      <c r="C37138" t="s">
        <v>15103</v>
      </c>
      <c r="D37138">
        <v>45</v>
      </c>
      <c r="E37138">
        <v>0</v>
      </c>
      <c r="F37138">
        <v>641</v>
      </c>
    </row>
    <row r="37139" spans="1:6" ht="12.75">
      <c r="A37139" s="2">
        <v>43875.107731481483</v>
      </c>
      <c r="B37139" t="str">
        <f>HYPERLINK("https://twitter.com/thomas7suherman","@thomas7suherman")</f>
        <v>@thomas7suherman</v>
      </c>
      <c r="C37139" t="s">
        <v>3038</v>
      </c>
      <c r="D37139">
        <v>99</v>
      </c>
      <c r="E37139">
        <v>0</v>
      </c>
      <c r="F37139">
        <v>1999</v>
      </c>
    </row>
    <row r="37140" spans="1:6" ht="12.75">
      <c r="A37140" s="2">
        <v>43875.107638888891</v>
      </c>
      <c r="B37140" t="str">
        <f>HYPERLINK("https://twitter.com/saefudin_zuhrii","@saefudin_zuhrii")</f>
        <v>@saefudin_zuhrii</v>
      </c>
      <c r="C37140" t="s">
        <v>15296</v>
      </c>
      <c r="D37140">
        <v>0</v>
      </c>
      <c r="E37140">
        <v>1</v>
      </c>
      <c r="F37140">
        <v>193</v>
      </c>
    </row>
    <row r="37141" spans="1:6" ht="12.75">
      <c r="A37141" s="2">
        <v>43875.107476851852</v>
      </c>
      <c r="B37141" t="str">
        <f>HYPERLINK("https://twitter.com/hp_astoro","@hp_astoro")</f>
        <v>@hp_astoro</v>
      </c>
      <c r="C37141" t="s">
        <v>14365</v>
      </c>
      <c r="D37141">
        <v>79</v>
      </c>
      <c r="E37141">
        <v>0</v>
      </c>
      <c r="F37141">
        <v>641</v>
      </c>
    </row>
    <row r="37142" spans="1:6" ht="12.75">
      <c r="A37142" s="2">
        <v>43875.107349537036</v>
      </c>
      <c r="B37142" t="str">
        <f>HYPERLINK("https://twitter.com/AzieBozes","@AzieBozes")</f>
        <v>@AzieBozes</v>
      </c>
      <c r="C37142" t="s">
        <v>10330</v>
      </c>
      <c r="D37142">
        <v>184</v>
      </c>
      <c r="E37142">
        <v>0</v>
      </c>
      <c r="F37142">
        <v>232</v>
      </c>
    </row>
    <row r="37143" spans="1:6" ht="12.75">
      <c r="A37143" s="2">
        <v>43875.107106481482</v>
      </c>
      <c r="B37143" t="str">
        <f>HYPERLINK("https://twitter.com/fuckFPI_HTI","@fuckFPI_HTI")</f>
        <v>@fuckFPI_HTI</v>
      </c>
      <c r="C37143" t="s">
        <v>9113</v>
      </c>
      <c r="D37143">
        <v>227</v>
      </c>
      <c r="E37143">
        <v>0</v>
      </c>
      <c r="F37143">
        <v>72</v>
      </c>
    </row>
    <row r="37144" spans="1:6" ht="12.75">
      <c r="A37144" s="2">
        <v>43875.106689814813</v>
      </c>
      <c r="B37144" t="str">
        <f>HYPERLINK("https://twitter.com/parikesit_88","@parikesit_88")</f>
        <v>@parikesit_88</v>
      </c>
      <c r="C37144" t="s">
        <v>9096</v>
      </c>
      <c r="D37144">
        <v>127</v>
      </c>
      <c r="E37144">
        <v>0</v>
      </c>
      <c r="F37144">
        <v>2231</v>
      </c>
    </row>
    <row r="37145" spans="1:6" ht="12.75">
      <c r="A37145" s="2">
        <v>43875.106354166666</v>
      </c>
      <c r="B37145" t="str">
        <f>HYPERLINK("https://twitter.com/sindyoctavian","@sindyoctavian")</f>
        <v>@sindyoctavian</v>
      </c>
      <c r="C37145" t="s">
        <v>7803</v>
      </c>
      <c r="D37145">
        <v>287</v>
      </c>
      <c r="E37145">
        <v>0</v>
      </c>
      <c r="F37145">
        <v>665</v>
      </c>
    </row>
    <row r="37146" spans="1:6" ht="12.75">
      <c r="A37146" s="2">
        <v>43875.10628472222</v>
      </c>
      <c r="B37146" t="str">
        <f>HYPERLINK("https://twitter.com/picklesnut","@picklesnut")</f>
        <v>@picklesnut</v>
      </c>
      <c r="C37146" t="s">
        <v>11086</v>
      </c>
      <c r="D37146">
        <v>76</v>
      </c>
      <c r="E37146">
        <v>0</v>
      </c>
      <c r="F37146">
        <v>455</v>
      </c>
    </row>
    <row r="37147" spans="1:6" ht="12.75">
      <c r="A37147" s="2">
        <v>43875.106053240743</v>
      </c>
      <c r="B37147" t="str">
        <f>HYPERLINK("https://twitter.com/saefudin_zuhrii","@saefudin_zuhrii")</f>
        <v>@saefudin_zuhrii</v>
      </c>
      <c r="C37147" t="s">
        <v>15297</v>
      </c>
      <c r="D37147">
        <v>0</v>
      </c>
      <c r="E37147">
        <v>1</v>
      </c>
      <c r="F37147">
        <v>193</v>
      </c>
    </row>
    <row r="37148" spans="1:6" ht="12.75">
      <c r="A37148" s="2">
        <v>43875.105949074074</v>
      </c>
      <c r="B37148" t="str">
        <f>HYPERLINK("https://twitter.com/roynoldb","@roynoldb")</f>
        <v>@roynoldb</v>
      </c>
      <c r="C37148" t="s">
        <v>13245</v>
      </c>
      <c r="D37148">
        <v>11</v>
      </c>
      <c r="E37148">
        <v>0</v>
      </c>
      <c r="F37148">
        <v>78</v>
      </c>
    </row>
    <row r="37149" spans="1:6" ht="12.75">
      <c r="A37149" s="2">
        <v>43875.105949074074</v>
      </c>
      <c r="B37149" t="str">
        <f>HYPERLINK("https://twitter.com/hp_astoro","@hp_astoro")</f>
        <v>@hp_astoro</v>
      </c>
      <c r="C37149" t="s">
        <v>2122</v>
      </c>
      <c r="D37149">
        <v>163</v>
      </c>
      <c r="E37149">
        <v>0</v>
      </c>
      <c r="F37149">
        <v>641</v>
      </c>
    </row>
    <row r="37150" spans="1:6" ht="12.75">
      <c r="A37150" s="2">
        <v>43875.105937500004</v>
      </c>
      <c r="B37150" t="str">
        <f>HYPERLINK("https://twitter.com/FerryM1","@FerryM1")</f>
        <v>@FerryM1</v>
      </c>
      <c r="C37150" t="s">
        <v>10526</v>
      </c>
      <c r="D37150">
        <v>92</v>
      </c>
      <c r="E37150">
        <v>0</v>
      </c>
      <c r="F37150">
        <v>2312</v>
      </c>
    </row>
    <row r="37151" spans="1:6" ht="12.75">
      <c r="A37151" s="2">
        <v>43875.105891203704</v>
      </c>
      <c r="B37151" t="str">
        <f>HYPERLINK("https://twitter.com/mafia_n0","@mafia_n0")</f>
        <v>@mafia_n0</v>
      </c>
      <c r="C37151" t="s">
        <v>15298</v>
      </c>
      <c r="D37151">
        <v>0</v>
      </c>
      <c r="E37151">
        <v>0</v>
      </c>
      <c r="F37151">
        <v>187</v>
      </c>
    </row>
    <row r="37152" spans="1:6" ht="12.75">
      <c r="A37152" s="2">
        <v>43875.10564814815</v>
      </c>
      <c r="B37152" t="str">
        <f t="shared" ref="B37152:B37153" si="419">HYPERLINK("https://twitter.com/ArmanSetyoYP","@ArmanSetyoYP")</f>
        <v>@ArmanSetyoYP</v>
      </c>
      <c r="C37152" t="s">
        <v>2122</v>
      </c>
      <c r="D37152">
        <v>163</v>
      </c>
      <c r="E37152">
        <v>0</v>
      </c>
      <c r="F37152">
        <v>609</v>
      </c>
    </row>
    <row r="37153" spans="1:6" ht="12.75">
      <c r="A37153" s="2">
        <v>43875.105138888888</v>
      </c>
      <c r="B37153" t="str">
        <f t="shared" si="419"/>
        <v>@ArmanSetyoYP</v>
      </c>
      <c r="C37153" t="s">
        <v>13286</v>
      </c>
      <c r="D37153">
        <v>5</v>
      </c>
      <c r="E37153">
        <v>0</v>
      </c>
      <c r="F37153">
        <v>609</v>
      </c>
    </row>
    <row r="37154" spans="1:6" ht="12.75">
      <c r="A37154" s="2">
        <v>43875.105081018519</v>
      </c>
      <c r="B37154" t="str">
        <f>HYPERLINK("https://twitter.com/jiraq","@jiraq")</f>
        <v>@jiraq</v>
      </c>
      <c r="C37154" t="s">
        <v>10957</v>
      </c>
      <c r="D37154">
        <v>43</v>
      </c>
      <c r="E37154">
        <v>0</v>
      </c>
      <c r="F37154">
        <v>2029</v>
      </c>
    </row>
    <row r="37155" spans="1:6" ht="12.75">
      <c r="A37155" s="2">
        <v>43875.104953703703</v>
      </c>
      <c r="B37155" t="str">
        <f>HYPERLINK("https://twitter.com/Toni90857606","@Toni90857606")</f>
        <v>@Toni90857606</v>
      </c>
      <c r="C37155" t="s">
        <v>11322</v>
      </c>
      <c r="D37155">
        <v>55</v>
      </c>
      <c r="E37155">
        <v>0</v>
      </c>
      <c r="F37155">
        <v>71</v>
      </c>
    </row>
    <row r="37156" spans="1:6" ht="12.75">
      <c r="A37156" s="2">
        <v>43875.104803240742</v>
      </c>
      <c r="B37156" t="str">
        <f>HYPERLINK("https://twitter.com/SelySuryani","@SelySuryani")</f>
        <v>@SelySuryani</v>
      </c>
      <c r="C37156" t="s">
        <v>5168</v>
      </c>
      <c r="D37156">
        <v>327</v>
      </c>
      <c r="E37156">
        <v>0</v>
      </c>
      <c r="F37156">
        <v>43</v>
      </c>
    </row>
    <row r="37157" spans="1:6" ht="12.75">
      <c r="A37157" s="2">
        <v>43875.104270833333</v>
      </c>
      <c r="B37157" t="str">
        <f>HYPERLINK("https://twitter.com/Nitizen_Zen","@Nitizen_Zen")</f>
        <v>@Nitizen_Zen</v>
      </c>
      <c r="C37157" t="s">
        <v>15299</v>
      </c>
      <c r="D37157">
        <v>37</v>
      </c>
      <c r="E37157">
        <v>0</v>
      </c>
      <c r="F37157">
        <v>454</v>
      </c>
    </row>
    <row r="37158" spans="1:6" ht="12.75">
      <c r="A37158" s="2">
        <v>43875.104120370372</v>
      </c>
      <c r="B37158" t="str">
        <f>HYPERLINK("https://twitter.com/Purwa_wicak","@Purwa_wicak")</f>
        <v>@Purwa_wicak</v>
      </c>
      <c r="C37158" t="s">
        <v>10330</v>
      </c>
      <c r="D37158">
        <v>184</v>
      </c>
      <c r="E37158">
        <v>0</v>
      </c>
      <c r="F37158">
        <v>268</v>
      </c>
    </row>
    <row r="37159" spans="1:6" ht="12.75">
      <c r="A37159" s="2">
        <v>43875.103483796294</v>
      </c>
      <c r="B37159" t="str">
        <f>HYPERLINK("https://twitter.com/NurlisAnindyaS","@NurlisAnindyaS")</f>
        <v>@NurlisAnindyaS</v>
      </c>
      <c r="C37159" t="s">
        <v>8233</v>
      </c>
      <c r="D37159">
        <v>243</v>
      </c>
      <c r="E37159">
        <v>0</v>
      </c>
      <c r="F37159">
        <v>874</v>
      </c>
    </row>
    <row r="37160" spans="1:6" ht="12.75">
      <c r="A37160" s="2">
        <v>43875.102604166663</v>
      </c>
      <c r="B37160" t="str">
        <f>HYPERLINK("https://twitter.com/Purwa_wicak","@Purwa_wicak")</f>
        <v>@Purwa_wicak</v>
      </c>
      <c r="C37160" t="s">
        <v>2122</v>
      </c>
      <c r="D37160">
        <v>163</v>
      </c>
      <c r="E37160">
        <v>0</v>
      </c>
      <c r="F37160">
        <v>268</v>
      </c>
    </row>
    <row r="37161" spans="1:6" ht="12.75">
      <c r="A37161" s="2">
        <v>43875.102488425924</v>
      </c>
      <c r="B37161" t="str">
        <f>HYPERLINK("https://twitter.com/Nitizen_Zen","@Nitizen_Zen")</f>
        <v>@Nitizen_Zen</v>
      </c>
      <c r="C37161" t="s">
        <v>11438</v>
      </c>
      <c r="D37161">
        <v>59</v>
      </c>
      <c r="E37161">
        <v>0</v>
      </c>
      <c r="F37161">
        <v>454</v>
      </c>
    </row>
    <row r="37162" spans="1:6" ht="12.75">
      <c r="A37162" s="2">
        <v>43875.102476851855</v>
      </c>
      <c r="B37162" t="str">
        <f>HYPERLINK("https://twitter.com/carhire121","@carhire121")</f>
        <v>@carhire121</v>
      </c>
      <c r="C37162" t="s">
        <v>15300</v>
      </c>
      <c r="D37162">
        <v>0</v>
      </c>
      <c r="E37162">
        <v>0</v>
      </c>
      <c r="F37162">
        <v>219</v>
      </c>
    </row>
    <row r="37163" spans="1:6" ht="12.75">
      <c r="A37163" s="2">
        <v>43875.102407407408</v>
      </c>
      <c r="B37163" t="str">
        <f>HYPERLINK("https://twitter.com/sweet_cake49","@sweet_cake49")</f>
        <v>@sweet_cake49</v>
      </c>
      <c r="C37163" t="s">
        <v>5168</v>
      </c>
      <c r="D37163">
        <v>327</v>
      </c>
      <c r="E37163">
        <v>0</v>
      </c>
      <c r="F37163">
        <v>17</v>
      </c>
    </row>
    <row r="37164" spans="1:6" ht="12.75">
      <c r="A37164" s="2">
        <v>43875.102361111116</v>
      </c>
      <c r="B37164" t="str">
        <f>HYPERLINK("https://twitter.com/dtsputra","@dtsputra")</f>
        <v>@dtsputra</v>
      </c>
      <c r="C37164" t="s">
        <v>15301</v>
      </c>
      <c r="D37164">
        <v>45</v>
      </c>
      <c r="E37164">
        <v>0</v>
      </c>
      <c r="F37164">
        <v>39</v>
      </c>
    </row>
    <row r="37165" spans="1:6" ht="12.75">
      <c r="A37165" s="2">
        <v>43875.102314814816</v>
      </c>
      <c r="B37165" t="str">
        <f>HYPERLINK("https://twitter.com/AprinandesF","@AprinandesF")</f>
        <v>@AprinandesF</v>
      </c>
      <c r="C37165" t="s">
        <v>6982</v>
      </c>
      <c r="D37165">
        <v>78</v>
      </c>
      <c r="E37165">
        <v>0</v>
      </c>
      <c r="F37165">
        <v>59</v>
      </c>
    </row>
    <row r="37166" spans="1:6" ht="12.75">
      <c r="A37166" s="2">
        <v>43875.102152777778</v>
      </c>
      <c r="B37166" t="str">
        <f>HYPERLINK("https://twitter.com/mamunrazaq","@mamunrazaq")</f>
        <v>@mamunrazaq</v>
      </c>
      <c r="C37166" t="s">
        <v>10526</v>
      </c>
      <c r="D37166">
        <v>92</v>
      </c>
      <c r="E37166">
        <v>0</v>
      </c>
      <c r="F37166">
        <v>2103</v>
      </c>
    </row>
    <row r="37167" spans="1:6" ht="12.75">
      <c r="A37167" s="2">
        <v>43875.101863425924</v>
      </c>
      <c r="B37167" t="str">
        <f>HYPERLINK("https://twitter.com/Toni90857606","@Toni90857606")</f>
        <v>@Toni90857606</v>
      </c>
      <c r="C37167" t="s">
        <v>9263</v>
      </c>
      <c r="D37167">
        <v>61</v>
      </c>
      <c r="E37167">
        <v>0</v>
      </c>
      <c r="F37167">
        <v>71</v>
      </c>
    </row>
    <row r="37168" spans="1:6" ht="12.75">
      <c r="A37168" s="2">
        <v>43875.101527777777</v>
      </c>
      <c r="B37168" t="str">
        <f>HYPERLINK("https://twitter.com/mamunrazaq","@mamunrazaq")</f>
        <v>@mamunrazaq</v>
      </c>
      <c r="C37168" t="s">
        <v>10397</v>
      </c>
      <c r="D37168">
        <v>65</v>
      </c>
      <c r="E37168">
        <v>0</v>
      </c>
      <c r="F37168">
        <v>2103</v>
      </c>
    </row>
    <row r="37169" spans="1:6" ht="12.75">
      <c r="A37169" s="2">
        <v>43875.101423611108</v>
      </c>
      <c r="B37169" t="str">
        <f>HYPERLINK("https://twitter.com/hanggonomurtopo","@hanggonomurtopo")</f>
        <v>@hanggonomurtopo</v>
      </c>
      <c r="C37169" t="s">
        <v>15302</v>
      </c>
      <c r="D37169">
        <v>0</v>
      </c>
      <c r="E37169">
        <v>0</v>
      </c>
      <c r="F37169">
        <v>125</v>
      </c>
    </row>
    <row r="37170" spans="1:6" ht="12.75">
      <c r="A37170" s="2">
        <v>43875.101423611108</v>
      </c>
      <c r="B37170" t="str">
        <f>HYPERLINK("https://twitter.com/dionfathah","@dionfathah")</f>
        <v>@dionfathah</v>
      </c>
      <c r="C37170" t="s">
        <v>15302</v>
      </c>
      <c r="D37170">
        <v>0</v>
      </c>
      <c r="E37170">
        <v>0</v>
      </c>
      <c r="F37170">
        <v>124</v>
      </c>
    </row>
    <row r="37171" spans="1:6" ht="12.75">
      <c r="A37171" s="2">
        <v>43875.101412037038</v>
      </c>
      <c r="B37171" t="str">
        <f>HYPERLINK("https://twitter.com/analisawidya4","@analisawidya4")</f>
        <v>@analisawidya4</v>
      </c>
      <c r="C37171" t="s">
        <v>15302</v>
      </c>
      <c r="D37171">
        <v>0</v>
      </c>
      <c r="E37171">
        <v>0</v>
      </c>
      <c r="F37171">
        <v>122</v>
      </c>
    </row>
    <row r="37172" spans="1:6" ht="12.75">
      <c r="A37172" s="2">
        <v>43875.101412037038</v>
      </c>
      <c r="B37172" t="str">
        <f>HYPERLINK("https://twitter.com/Susilatifa193","@Susilatifa193")</f>
        <v>@Susilatifa193</v>
      </c>
      <c r="C37172" t="s">
        <v>15302</v>
      </c>
      <c r="D37172">
        <v>0</v>
      </c>
      <c r="E37172">
        <v>0</v>
      </c>
      <c r="F37172">
        <v>52</v>
      </c>
    </row>
    <row r="37173" spans="1:6" ht="12.75">
      <c r="A37173" s="2">
        <v>43875.101412037038</v>
      </c>
      <c r="B37173" t="str">
        <f>HYPERLINK("https://twitter.com/ayu_larasayu1","@ayu_larasayu1")</f>
        <v>@ayu_larasayu1</v>
      </c>
      <c r="C37173" t="s">
        <v>15302</v>
      </c>
      <c r="D37173">
        <v>0</v>
      </c>
      <c r="E37173">
        <v>0</v>
      </c>
      <c r="F37173">
        <v>158</v>
      </c>
    </row>
    <row r="37174" spans="1:6" ht="12.75">
      <c r="A37174" s="2">
        <v>43875.101412037038</v>
      </c>
      <c r="B37174" t="str">
        <f>HYPERLINK("https://twitter.com/diyahkumalasar7","@diyahkumalasar7")</f>
        <v>@diyahkumalasar7</v>
      </c>
      <c r="C37174" t="s">
        <v>15302</v>
      </c>
      <c r="D37174">
        <v>0</v>
      </c>
      <c r="E37174">
        <v>0</v>
      </c>
      <c r="F37174">
        <v>37</v>
      </c>
    </row>
    <row r="37175" spans="1:6" ht="12.75">
      <c r="A37175" s="2">
        <v>43875.101412037038</v>
      </c>
      <c r="B37175" t="str">
        <f>HYPERLINK("https://twitter.com/liadarmagita","@liadarmagita")</f>
        <v>@liadarmagita</v>
      </c>
      <c r="C37175" t="s">
        <v>15302</v>
      </c>
      <c r="D37175">
        <v>0</v>
      </c>
      <c r="E37175">
        <v>0</v>
      </c>
      <c r="F37175">
        <v>130</v>
      </c>
    </row>
    <row r="37176" spans="1:6" ht="12.75">
      <c r="A37176" s="2">
        <v>43875.101412037038</v>
      </c>
      <c r="B37176" t="str">
        <f>HYPERLINK("https://twitter.com/maryamedina002","@maryamedina002")</f>
        <v>@maryamedina002</v>
      </c>
      <c r="C37176" t="s">
        <v>15302</v>
      </c>
      <c r="D37176">
        <v>0</v>
      </c>
      <c r="E37176">
        <v>0</v>
      </c>
      <c r="F37176">
        <v>124</v>
      </c>
    </row>
    <row r="37177" spans="1:6" ht="12.75">
      <c r="A37177" s="2">
        <v>43875.101412037038</v>
      </c>
      <c r="B37177" t="str">
        <f>HYPERLINK("https://twitter.com/hildaasegaff","@hildaasegaff")</f>
        <v>@hildaasegaff</v>
      </c>
      <c r="C37177" t="s">
        <v>15302</v>
      </c>
      <c r="D37177">
        <v>0</v>
      </c>
      <c r="E37177">
        <v>0</v>
      </c>
      <c r="F37177">
        <v>122</v>
      </c>
    </row>
    <row r="37178" spans="1:6" ht="12.75">
      <c r="A37178" s="2">
        <v>43875.101412037038</v>
      </c>
      <c r="B37178" t="str">
        <f>HYPERLINK("https://twitter.com/Jayaneg14","@Jayaneg14")</f>
        <v>@Jayaneg14</v>
      </c>
      <c r="C37178" t="s">
        <v>15302</v>
      </c>
      <c r="D37178">
        <v>0</v>
      </c>
      <c r="E37178">
        <v>0</v>
      </c>
      <c r="F37178">
        <v>36</v>
      </c>
    </row>
    <row r="37179" spans="1:6" ht="12.75">
      <c r="A37179" s="2">
        <v>43875.101273148146</v>
      </c>
      <c r="B37179" t="str">
        <f>HYPERLINK("https://twitter.com/PetrusSubagyo","@PetrusSubagyo")</f>
        <v>@PetrusSubagyo</v>
      </c>
      <c r="C37179" t="s">
        <v>11425</v>
      </c>
      <c r="D37179">
        <v>169</v>
      </c>
      <c r="E37179">
        <v>0</v>
      </c>
      <c r="F37179">
        <v>59</v>
      </c>
    </row>
    <row r="37180" spans="1:6" ht="12.75">
      <c r="A37180" s="2">
        <v>43875.10119212963</v>
      </c>
      <c r="B37180" t="str">
        <f>HYPERLINK("https://twitter.com/syupeodinie","@syupeodinie")</f>
        <v>@syupeodinie</v>
      </c>
      <c r="C37180" t="s">
        <v>8233</v>
      </c>
      <c r="D37180">
        <v>243</v>
      </c>
      <c r="E37180">
        <v>0</v>
      </c>
      <c r="F37180">
        <v>860</v>
      </c>
    </row>
    <row r="37181" spans="1:6" ht="12.75">
      <c r="A37181" s="2">
        <v>43875.101122685184</v>
      </c>
      <c r="B37181" t="str">
        <f>HYPERLINK("https://twitter.com/DiblokVienny","@DiblokVienny")</f>
        <v>@DiblokVienny</v>
      </c>
      <c r="C37181" t="s">
        <v>5168</v>
      </c>
      <c r="D37181">
        <v>327</v>
      </c>
      <c r="E37181">
        <v>0</v>
      </c>
      <c r="F37181">
        <v>217</v>
      </c>
    </row>
    <row r="37182" spans="1:6" ht="12.75">
      <c r="A37182" s="2">
        <v>43875.101076388892</v>
      </c>
      <c r="B37182" t="str">
        <f>HYPERLINK("https://twitter.com/mamunrazaq","@mamunrazaq")</f>
        <v>@mamunrazaq</v>
      </c>
      <c r="C37182" t="s">
        <v>10319</v>
      </c>
      <c r="D37182">
        <v>139</v>
      </c>
      <c r="E37182">
        <v>0</v>
      </c>
      <c r="F37182">
        <v>2103</v>
      </c>
    </row>
    <row r="37183" spans="1:6" ht="12.75">
      <c r="A37183" s="2">
        <v>43875.100972222222</v>
      </c>
      <c r="B37183" t="str">
        <f>HYPERLINK("https://twitter.com/Yudhacleverley","@Yudhacleverley")</f>
        <v>@Yudhacleverley</v>
      </c>
      <c r="C37183" t="s">
        <v>2122</v>
      </c>
      <c r="D37183">
        <v>163</v>
      </c>
      <c r="E37183">
        <v>0</v>
      </c>
      <c r="F37183">
        <v>154</v>
      </c>
    </row>
    <row r="37184" spans="1:6" ht="12.75">
      <c r="A37184" s="2">
        <v>43875.100787037038</v>
      </c>
      <c r="B37184" t="str">
        <f>HYPERLINK("https://twitter.com/sinyovandlahom","@sinyovandlahom")</f>
        <v>@sinyovandlahom</v>
      </c>
      <c r="C37184" t="s">
        <v>2122</v>
      </c>
      <c r="D37184">
        <v>163</v>
      </c>
      <c r="E37184">
        <v>0</v>
      </c>
      <c r="F37184">
        <v>1281</v>
      </c>
    </row>
    <row r="37185" spans="1:6" ht="12.75">
      <c r="A37185" s="2">
        <v>43875.100335648152</v>
      </c>
      <c r="B37185" t="str">
        <f>HYPERLINK("https://twitter.com/abethcia","@abethcia")</f>
        <v>@abethcia</v>
      </c>
      <c r="C37185" t="s">
        <v>8881</v>
      </c>
      <c r="D37185">
        <v>242</v>
      </c>
      <c r="E37185">
        <v>0</v>
      </c>
      <c r="F37185">
        <v>717</v>
      </c>
    </row>
    <row r="37186" spans="1:6" ht="12.75">
      <c r="A37186" s="2">
        <v>43875.100150462968</v>
      </c>
      <c r="B37186" t="str">
        <f>HYPERLINK("https://twitter.com/linus19189840","@linus19189840")</f>
        <v>@linus19189840</v>
      </c>
      <c r="C37186" t="s">
        <v>15303</v>
      </c>
      <c r="D37186">
        <v>0</v>
      </c>
      <c r="E37186">
        <v>0</v>
      </c>
      <c r="F37186">
        <v>13</v>
      </c>
    </row>
    <row r="37187" spans="1:6" ht="12.75">
      <c r="A37187" s="2">
        <v>43875.099548611106</v>
      </c>
      <c r="B37187" t="str">
        <f>HYPERLINK("https://twitter.com/AbyAlan_","@AbyAlan_")</f>
        <v>@AbyAlan_</v>
      </c>
      <c r="C37187" t="s">
        <v>15304</v>
      </c>
      <c r="D37187">
        <v>0</v>
      </c>
      <c r="E37187">
        <v>1</v>
      </c>
      <c r="F37187">
        <v>427</v>
      </c>
    </row>
    <row r="37188" spans="1:6" ht="12.75">
      <c r="A37188" s="2">
        <v>43875.099421296298</v>
      </c>
      <c r="B37188" t="str">
        <f>HYPERLINK("https://twitter.com/DaulatSnjaya","@DaulatSnjaya")</f>
        <v>@DaulatSnjaya</v>
      </c>
      <c r="C37188" t="s">
        <v>2134</v>
      </c>
      <c r="D37188">
        <v>975</v>
      </c>
      <c r="E37188">
        <v>0</v>
      </c>
      <c r="F37188">
        <v>92</v>
      </c>
    </row>
    <row r="37189" spans="1:6" ht="12.75">
      <c r="A37189" s="2">
        <v>43875.099305555559</v>
      </c>
      <c r="B37189" t="str">
        <f>HYPERLINK("https://twitter.com/Bamin_Achmad","@Bamin_Achmad")</f>
        <v>@Bamin_Achmad</v>
      </c>
      <c r="C37189" t="s">
        <v>11390</v>
      </c>
      <c r="D37189">
        <v>69</v>
      </c>
      <c r="E37189">
        <v>0</v>
      </c>
      <c r="F37189">
        <v>2701</v>
      </c>
    </row>
    <row r="37190" spans="1:6" ht="12.75">
      <c r="A37190" s="2">
        <v>43875.099293981482</v>
      </c>
      <c r="B37190" t="str">
        <f t="shared" ref="B37190:B37191" si="420">HYPERLINK("https://twitter.com/mamunrazaq","@mamunrazaq")</f>
        <v>@mamunrazaq</v>
      </c>
      <c r="C37190" t="s">
        <v>10196</v>
      </c>
      <c r="D37190">
        <v>116</v>
      </c>
      <c r="E37190">
        <v>0</v>
      </c>
      <c r="F37190">
        <v>2103</v>
      </c>
    </row>
    <row r="37191" spans="1:6" ht="12.75">
      <c r="A37191" s="2">
        <v>43875.099247685182</v>
      </c>
      <c r="B37191" t="str">
        <f t="shared" si="420"/>
        <v>@mamunrazaq</v>
      </c>
      <c r="C37191" t="s">
        <v>10462</v>
      </c>
      <c r="D37191">
        <v>220</v>
      </c>
      <c r="E37191">
        <v>0</v>
      </c>
      <c r="F37191">
        <v>2103</v>
      </c>
    </row>
    <row r="37192" spans="1:6" ht="12.75">
      <c r="A37192" s="2">
        <v>43875.099108796298</v>
      </c>
      <c r="B37192" t="str">
        <f>HYPERLINK("https://twitter.com/pardede_tamim","@pardede_tamim")</f>
        <v>@pardede_tamim</v>
      </c>
      <c r="C37192" t="s">
        <v>15305</v>
      </c>
      <c r="D37192">
        <v>0</v>
      </c>
      <c r="E37192">
        <v>1</v>
      </c>
      <c r="F37192">
        <v>20</v>
      </c>
    </row>
    <row r="37193" spans="1:6" ht="12.75">
      <c r="A37193" s="2">
        <v>43875.099074074074</v>
      </c>
      <c r="B37193" t="str">
        <f>HYPERLINK("https://twitter.com/julieaza","@julieaza")</f>
        <v>@julieaza</v>
      </c>
      <c r="C37193" t="s">
        <v>12940</v>
      </c>
      <c r="D37193">
        <v>92</v>
      </c>
      <c r="E37193">
        <v>0</v>
      </c>
      <c r="F37193">
        <v>50</v>
      </c>
    </row>
    <row r="37194" spans="1:6" ht="12.75">
      <c r="A37194" s="2">
        <v>43875.098993055552</v>
      </c>
      <c r="B37194" t="str">
        <f>HYPERLINK("https://twitter.com/periani","@periani")</f>
        <v>@periani</v>
      </c>
      <c r="C37194" t="s">
        <v>14228</v>
      </c>
      <c r="D37194">
        <v>14</v>
      </c>
      <c r="E37194">
        <v>0</v>
      </c>
      <c r="F37194">
        <v>2996</v>
      </c>
    </row>
    <row r="37195" spans="1:6" ht="12.75">
      <c r="A37195" s="2">
        <v>43875.098912037036</v>
      </c>
      <c r="B37195" t="str">
        <f>HYPERLINK("https://twitter.com/manxcatmom","@manxcatmom")</f>
        <v>@manxcatmom</v>
      </c>
      <c r="C37195" t="s">
        <v>15306</v>
      </c>
      <c r="D37195">
        <v>0</v>
      </c>
      <c r="E37195">
        <v>0</v>
      </c>
      <c r="F37195">
        <v>394</v>
      </c>
    </row>
    <row r="37196" spans="1:6" ht="12.75">
      <c r="A37196" s="2">
        <v>43875.098796296297</v>
      </c>
      <c r="B37196" t="str">
        <f>HYPERLINK("https://twitter.com/Regazzyx","@Regazzyx")</f>
        <v>@Regazzyx</v>
      </c>
      <c r="C37196" t="s">
        <v>14691</v>
      </c>
      <c r="D37196">
        <v>11</v>
      </c>
      <c r="E37196">
        <v>0</v>
      </c>
      <c r="F37196">
        <v>3396</v>
      </c>
    </row>
    <row r="37197" spans="1:6" ht="12.75">
      <c r="A37197" s="2">
        <v>43875.098680555559</v>
      </c>
      <c r="B37197" t="str">
        <f t="shared" ref="B37197:B37198" si="421">HYPERLINK("https://twitter.com/YoyokSubandriy3","@YoyokSubandriy3")</f>
        <v>@YoyokSubandriy3</v>
      </c>
      <c r="C37197" t="s">
        <v>9947</v>
      </c>
      <c r="D37197">
        <v>308</v>
      </c>
      <c r="E37197">
        <v>0</v>
      </c>
      <c r="F37197">
        <v>1353</v>
      </c>
    </row>
    <row r="37198" spans="1:6" ht="12.75">
      <c r="A37198" s="2">
        <v>43875.098541666666</v>
      </c>
      <c r="B37198" t="str">
        <f t="shared" si="421"/>
        <v>@YoyokSubandriy3</v>
      </c>
      <c r="C37198" t="s">
        <v>8881</v>
      </c>
      <c r="D37198">
        <v>242</v>
      </c>
      <c r="E37198">
        <v>0</v>
      </c>
      <c r="F37198">
        <v>1353</v>
      </c>
    </row>
    <row r="37199" spans="1:6" ht="12.75">
      <c r="A37199" s="2">
        <v>43875.09851851852</v>
      </c>
      <c r="B37199" t="str">
        <f>HYPERLINK("https://twitter.com/mamunrazaq","@mamunrazaq")</f>
        <v>@mamunrazaq</v>
      </c>
      <c r="C37199" t="s">
        <v>8881</v>
      </c>
      <c r="D37199">
        <v>242</v>
      </c>
      <c r="E37199">
        <v>0</v>
      </c>
      <c r="F37199">
        <v>2103</v>
      </c>
    </row>
    <row r="37200" spans="1:6" ht="12.75">
      <c r="A37200" s="2">
        <v>43875.098506944443</v>
      </c>
      <c r="B37200" t="str">
        <f>HYPERLINK("https://twitter.com/mpitryani","@mpitryani")</f>
        <v>@mpitryani</v>
      </c>
      <c r="C37200" t="s">
        <v>10319</v>
      </c>
      <c r="D37200">
        <v>139</v>
      </c>
      <c r="E37200">
        <v>0</v>
      </c>
      <c r="F37200">
        <v>234</v>
      </c>
    </row>
    <row r="37201" spans="1:6" ht="12.75">
      <c r="A37201" s="2">
        <v>43875.098368055551</v>
      </c>
      <c r="B37201" t="str">
        <f>HYPERLINK("https://twitter.com/mamunrazaq","@mamunrazaq")</f>
        <v>@mamunrazaq</v>
      </c>
      <c r="C37201" t="s">
        <v>2122</v>
      </c>
      <c r="D37201">
        <v>163</v>
      </c>
      <c r="E37201">
        <v>0</v>
      </c>
      <c r="F37201">
        <v>2103</v>
      </c>
    </row>
    <row r="37202" spans="1:6" ht="12.75">
      <c r="A37202" s="2">
        <v>43875.098298611112</v>
      </c>
      <c r="B37202" t="str">
        <f>HYPERLINK("https://twitter.com/JIMsihombing","@JIMsihombing")</f>
        <v>@JIMsihombing</v>
      </c>
      <c r="C37202" t="s">
        <v>8881</v>
      </c>
      <c r="D37202">
        <v>242</v>
      </c>
      <c r="E37202">
        <v>0</v>
      </c>
      <c r="F37202">
        <v>743</v>
      </c>
    </row>
    <row r="37203" spans="1:6" ht="12.75">
      <c r="A37203" s="2">
        <v>43875.097974537042</v>
      </c>
      <c r="B37203" t="str">
        <f>HYPERLINK("https://twitter.com/sabhatansabiz","@sabhatansabiz")</f>
        <v>@sabhatansabiz</v>
      </c>
      <c r="C37203" t="s">
        <v>15307</v>
      </c>
      <c r="D37203">
        <v>2</v>
      </c>
      <c r="E37203">
        <v>0</v>
      </c>
      <c r="F37203">
        <v>1583</v>
      </c>
    </row>
    <row r="37204" spans="1:6" ht="12.75">
      <c r="A37204" s="2">
        <v>43875.097951388889</v>
      </c>
      <c r="B37204" t="str">
        <f>HYPERLINK("https://twitter.com/P3nj3l4j4h_id","@P3nj3l4j4h_id")</f>
        <v>@P3nj3l4j4h_id</v>
      </c>
      <c r="C37204" t="s">
        <v>15170</v>
      </c>
      <c r="D37204">
        <v>3</v>
      </c>
      <c r="E37204">
        <v>0</v>
      </c>
      <c r="F37204">
        <v>15364</v>
      </c>
    </row>
    <row r="37205" spans="1:6" ht="12.75">
      <c r="A37205" s="2">
        <v>43875.097754629634</v>
      </c>
      <c r="B37205" t="str">
        <f>HYPERLINK("https://twitter.com/imaedesu","@imaedesu")</f>
        <v>@imaedesu</v>
      </c>
      <c r="C37205" t="s">
        <v>9964</v>
      </c>
      <c r="D37205">
        <v>458</v>
      </c>
      <c r="E37205">
        <v>0</v>
      </c>
      <c r="F37205">
        <v>195</v>
      </c>
    </row>
    <row r="37206" spans="1:6" ht="12.75">
      <c r="A37206" s="2">
        <v>43875.097453703704</v>
      </c>
      <c r="B37206" t="str">
        <f>HYPERLINK("https://twitter.com/medcom_id","@medcom_id")</f>
        <v>@medcom_id</v>
      </c>
      <c r="C37206" t="s">
        <v>13333</v>
      </c>
      <c r="D37206">
        <v>0</v>
      </c>
      <c r="E37206">
        <v>0</v>
      </c>
      <c r="F37206">
        <v>18077</v>
      </c>
    </row>
    <row r="37207" spans="1:6" ht="12.75">
      <c r="A37207" s="2">
        <v>43875.097337962958</v>
      </c>
      <c r="B37207" t="str">
        <f>HYPERLINK("https://twitter.com/yasminazafira","@yasminazafira")</f>
        <v>@yasminazafira</v>
      </c>
      <c r="C37207" t="s">
        <v>13419</v>
      </c>
      <c r="D37207">
        <v>74</v>
      </c>
      <c r="E37207">
        <v>0</v>
      </c>
      <c r="F37207">
        <v>820</v>
      </c>
    </row>
    <row r="37208" spans="1:6" ht="12.75">
      <c r="A37208" s="2">
        <v>43875.097326388888</v>
      </c>
      <c r="B37208" t="str">
        <f>HYPERLINK("https://twitter.com/mamunrazaq","@mamunrazaq")</f>
        <v>@mamunrazaq</v>
      </c>
      <c r="C37208" t="s">
        <v>175</v>
      </c>
      <c r="D37208">
        <v>5209</v>
      </c>
      <c r="E37208">
        <v>0</v>
      </c>
      <c r="F37208">
        <v>2103</v>
      </c>
    </row>
    <row r="37209" spans="1:6" ht="12.75">
      <c r="A37209" s="2">
        <v>43875.097291666665</v>
      </c>
      <c r="B37209" t="str">
        <f>HYPERLINK("https://twitter.com/indijazilah23","@indijazilah23")</f>
        <v>@indijazilah23</v>
      </c>
      <c r="C37209" t="s">
        <v>2137</v>
      </c>
      <c r="D37209">
        <v>7</v>
      </c>
      <c r="E37209">
        <v>0</v>
      </c>
      <c r="F37209">
        <v>418</v>
      </c>
    </row>
    <row r="37210" spans="1:6" ht="12.75">
      <c r="A37210" s="2">
        <v>43875.097048611111</v>
      </c>
      <c r="B37210" t="str">
        <f>HYPERLINK("https://twitter.com/ojandanny1","@ojandanny1")</f>
        <v>@ojandanny1</v>
      </c>
      <c r="C37210" t="s">
        <v>9113</v>
      </c>
      <c r="D37210">
        <v>227</v>
      </c>
      <c r="E37210">
        <v>0</v>
      </c>
      <c r="F37210">
        <v>24</v>
      </c>
    </row>
    <row r="37211" spans="1:6" ht="12.75">
      <c r="A37211" s="2">
        <v>43875.096990740742</v>
      </c>
      <c r="B37211" t="str">
        <f>HYPERLINK("https://twitter.com/wisanggeni_084","@wisanggeni_084")</f>
        <v>@wisanggeni_084</v>
      </c>
      <c r="C37211" t="s">
        <v>12450</v>
      </c>
      <c r="D37211">
        <v>71</v>
      </c>
      <c r="E37211">
        <v>0</v>
      </c>
      <c r="F37211">
        <v>15789</v>
      </c>
    </row>
    <row r="37212" spans="1:6" ht="12.75">
      <c r="A37212" s="2">
        <v>43875.096921296295</v>
      </c>
      <c r="B37212" t="str">
        <f t="shared" ref="B37212:B37213" si="422">HYPERLINK("https://twitter.com/yasminazafira","@yasminazafira")</f>
        <v>@yasminazafira</v>
      </c>
      <c r="C37212" t="s">
        <v>13563</v>
      </c>
      <c r="D37212">
        <v>61</v>
      </c>
      <c r="E37212">
        <v>0</v>
      </c>
      <c r="F37212">
        <v>820</v>
      </c>
    </row>
    <row r="37213" spans="1:6" ht="12.75">
      <c r="A37213" s="2">
        <v>43875.096678240741</v>
      </c>
      <c r="B37213" t="str">
        <f t="shared" si="422"/>
        <v>@yasminazafira</v>
      </c>
      <c r="C37213" t="s">
        <v>11086</v>
      </c>
      <c r="D37213">
        <v>76</v>
      </c>
      <c r="E37213">
        <v>0</v>
      </c>
      <c r="F37213">
        <v>820</v>
      </c>
    </row>
    <row r="37214" spans="1:6" ht="12.75">
      <c r="A37214" s="2">
        <v>43875.096550925926</v>
      </c>
      <c r="B37214" t="str">
        <f>HYPERLINK("https://twitter.com/InfoPasuruan","@InfoPasuruan")</f>
        <v>@InfoPasuruan</v>
      </c>
      <c r="C37214" t="s">
        <v>15308</v>
      </c>
      <c r="D37214">
        <v>0</v>
      </c>
      <c r="E37214">
        <v>0</v>
      </c>
      <c r="F37214">
        <v>5301</v>
      </c>
    </row>
    <row r="37215" spans="1:6" ht="12.75">
      <c r="A37215" s="2">
        <v>43875.096388888887</v>
      </c>
      <c r="B37215" t="str">
        <f>HYPERLINK("https://twitter.com/YoyokSubandriy3","@YoyokSubandriy3")</f>
        <v>@YoyokSubandriy3</v>
      </c>
      <c r="C37215" t="s">
        <v>13471</v>
      </c>
      <c r="D37215">
        <v>2</v>
      </c>
      <c r="E37215">
        <v>0</v>
      </c>
      <c r="F37215">
        <v>1353</v>
      </c>
    </row>
    <row r="37216" spans="1:6" ht="12.75">
      <c r="A37216" s="2">
        <v>43875.096307870372</v>
      </c>
      <c r="B37216" t="str">
        <f>HYPERLINK("https://twitter.com/insomniasl33p","@insomniasl33p")</f>
        <v>@insomniasl33p</v>
      </c>
      <c r="C37216" t="s">
        <v>6982</v>
      </c>
      <c r="D37216">
        <v>78</v>
      </c>
      <c r="E37216">
        <v>0</v>
      </c>
      <c r="F37216">
        <v>80</v>
      </c>
    </row>
    <row r="37217" spans="1:6" ht="12.75">
      <c r="A37217" s="2">
        <v>43875.096203703702</v>
      </c>
      <c r="B37217" t="str">
        <f>HYPERLINK("https://twitter.com/updatedotid","@updatedotid")</f>
        <v>@updatedotid</v>
      </c>
      <c r="C37217" t="s">
        <v>15307</v>
      </c>
      <c r="D37217">
        <v>2</v>
      </c>
      <c r="E37217">
        <v>0</v>
      </c>
      <c r="F37217">
        <v>1617</v>
      </c>
    </row>
    <row r="37218" spans="1:6" ht="12.75">
      <c r="A37218" s="2">
        <v>43875.096041666664</v>
      </c>
      <c r="B37218" t="str">
        <f>HYPERLINK("https://twitter.com/toxynusca","@toxynusca")</f>
        <v>@toxynusca</v>
      </c>
      <c r="C37218" t="s">
        <v>13779</v>
      </c>
      <c r="D37218">
        <v>3</v>
      </c>
      <c r="E37218">
        <v>0</v>
      </c>
      <c r="F37218">
        <v>156</v>
      </c>
    </row>
    <row r="37219" spans="1:6" ht="12.75">
      <c r="A37219" s="2">
        <v>43875.095995370371</v>
      </c>
      <c r="B37219" t="str">
        <f>HYPERLINK("https://twitter.com/RananTurnip","@RananTurnip")</f>
        <v>@RananTurnip</v>
      </c>
      <c r="C37219" t="s">
        <v>8233</v>
      </c>
      <c r="D37219">
        <v>243</v>
      </c>
      <c r="E37219">
        <v>0</v>
      </c>
      <c r="F37219">
        <v>121</v>
      </c>
    </row>
    <row r="37220" spans="1:6" ht="12.75">
      <c r="A37220" s="2">
        <v>43875.095868055556</v>
      </c>
      <c r="B37220" t="str">
        <f>HYPERLINK("https://twitter.com/radar_malang","@radar_malang")</f>
        <v>@radar_malang</v>
      </c>
      <c r="C37220" t="s">
        <v>15309</v>
      </c>
      <c r="D37220">
        <v>2</v>
      </c>
      <c r="E37220">
        <v>0</v>
      </c>
      <c r="F37220">
        <v>108476</v>
      </c>
    </row>
    <row r="37221" spans="1:6" ht="12.75">
      <c r="A37221" s="2">
        <v>43875.095856481479</v>
      </c>
      <c r="B37221" t="str">
        <f>HYPERLINK("https://twitter.com/yasminazafira","@yasminazafira")</f>
        <v>@yasminazafira</v>
      </c>
      <c r="C37221" t="s">
        <v>11451</v>
      </c>
      <c r="D37221">
        <v>83</v>
      </c>
      <c r="E37221">
        <v>0</v>
      </c>
      <c r="F37221">
        <v>820</v>
      </c>
    </row>
    <row r="37222" spans="1:6" ht="12.75">
      <c r="A37222" s="2">
        <v>43875.095763888894</v>
      </c>
      <c r="B37222" t="str">
        <f>HYPERLINK("https://twitter.com/MakobarNews","@MakobarNews")</f>
        <v>@MakobarNews</v>
      </c>
      <c r="C37222" t="s">
        <v>52</v>
      </c>
      <c r="D37222">
        <v>0</v>
      </c>
      <c r="E37222">
        <v>0</v>
      </c>
      <c r="F37222">
        <v>427</v>
      </c>
    </row>
    <row r="37223" spans="1:6" ht="12.75">
      <c r="A37223" s="2">
        <v>43875.095636574071</v>
      </c>
      <c r="B37223" t="str">
        <f>HYPERLINK("https://twitter.com/ali_hasan110","@ali_hasan110")</f>
        <v>@ali_hasan110</v>
      </c>
      <c r="C37223" t="s">
        <v>15225</v>
      </c>
      <c r="D37223">
        <v>2</v>
      </c>
      <c r="E37223">
        <v>0</v>
      </c>
      <c r="F37223">
        <v>4191</v>
      </c>
    </row>
    <row r="37224" spans="1:6" ht="12.75">
      <c r="A37224" s="2">
        <v>43875.09547453704</v>
      </c>
      <c r="B37224" t="str">
        <f>HYPERLINK("https://twitter.com/mamunrazaq","@mamunrazaq")</f>
        <v>@mamunrazaq</v>
      </c>
      <c r="C37224" t="s">
        <v>9113</v>
      </c>
      <c r="D37224">
        <v>227</v>
      </c>
      <c r="E37224">
        <v>0</v>
      </c>
      <c r="F37224">
        <v>2103</v>
      </c>
    </row>
    <row r="37225" spans="1:6" ht="12.75">
      <c r="A37225" s="2">
        <v>43875.095324074078</v>
      </c>
      <c r="B37225" t="str">
        <f>HYPERLINK("https://twitter.com/haro_arnold","@haro_arnold")</f>
        <v>@haro_arnold</v>
      </c>
      <c r="C37225" t="s">
        <v>14541</v>
      </c>
      <c r="D37225">
        <v>5</v>
      </c>
      <c r="E37225">
        <v>0</v>
      </c>
      <c r="F37225">
        <v>4481</v>
      </c>
    </row>
    <row r="37226" spans="1:6" ht="12.75">
      <c r="A37226" s="2">
        <v>43875.095173611116</v>
      </c>
      <c r="B37226" t="str">
        <f>HYPERLINK("https://twitter.com/budibudisaja","@budibudisaja")</f>
        <v>@budibudisaja</v>
      </c>
      <c r="C37226" t="s">
        <v>2122</v>
      </c>
      <c r="D37226">
        <v>163</v>
      </c>
      <c r="E37226">
        <v>0</v>
      </c>
      <c r="F37226">
        <v>133</v>
      </c>
    </row>
    <row r="37227" spans="1:6" ht="12.75">
      <c r="A37227" s="2">
        <v>43875.094988425924</v>
      </c>
      <c r="B37227" t="str">
        <f>HYPERLINK("https://twitter.com/ali_hasan110","@ali_hasan110")</f>
        <v>@ali_hasan110</v>
      </c>
      <c r="C37227" t="s">
        <v>4071</v>
      </c>
      <c r="D37227">
        <v>2</v>
      </c>
      <c r="E37227">
        <v>0</v>
      </c>
      <c r="F37227">
        <v>4191</v>
      </c>
    </row>
    <row r="37228" spans="1:6" ht="12.75">
      <c r="A37228" s="2">
        <v>43875.094930555555</v>
      </c>
      <c r="B37228" t="str">
        <f>HYPERLINK("https://twitter.com/insomniasl33p","@insomniasl33p")</f>
        <v>@insomniasl33p</v>
      </c>
      <c r="C37228" t="s">
        <v>11368</v>
      </c>
      <c r="D37228">
        <v>72</v>
      </c>
      <c r="E37228">
        <v>0</v>
      </c>
      <c r="F37228">
        <v>80</v>
      </c>
    </row>
    <row r="37229" spans="1:6" ht="12.75">
      <c r="A37229" s="2">
        <v>43875.094849537039</v>
      </c>
      <c r="B37229" t="str">
        <f>HYPERLINK("https://twitter.com/AmstrongBiring","@AmstrongBiring")</f>
        <v>@AmstrongBiring</v>
      </c>
      <c r="C37229" t="s">
        <v>10462</v>
      </c>
      <c r="D37229">
        <v>220</v>
      </c>
      <c r="E37229">
        <v>0</v>
      </c>
      <c r="F37229">
        <v>1969</v>
      </c>
    </row>
    <row r="37230" spans="1:6" ht="12.75">
      <c r="A37230" s="2">
        <v>43875.094837962963</v>
      </c>
      <c r="B37230" t="str">
        <f>HYPERLINK("https://twitter.com/prabu_yudistyra","@prabu_yudistyra")</f>
        <v>@prabu_yudistyra</v>
      </c>
      <c r="C37230" t="s">
        <v>12679</v>
      </c>
      <c r="D37230">
        <v>715</v>
      </c>
      <c r="E37230">
        <v>0</v>
      </c>
      <c r="F37230">
        <v>424</v>
      </c>
    </row>
    <row r="37231" spans="1:6" ht="12.75">
      <c r="A37231" s="2">
        <v>43875.094837962963</v>
      </c>
      <c r="B37231" t="str">
        <f>HYPERLINK("https://twitter.com/riausky","@riausky")</f>
        <v>@riausky</v>
      </c>
      <c r="C37231" t="s">
        <v>53</v>
      </c>
      <c r="D37231">
        <v>0</v>
      </c>
      <c r="E37231">
        <v>0</v>
      </c>
      <c r="F37231">
        <v>1184</v>
      </c>
    </row>
    <row r="37232" spans="1:6" ht="12.75">
      <c r="A37232" s="2">
        <v>43875.094722222224</v>
      </c>
      <c r="B37232" t="str">
        <f>HYPERLINK("https://twitter.com/AmstrongBiring","@AmstrongBiring")</f>
        <v>@AmstrongBiring</v>
      </c>
      <c r="C37232" t="s">
        <v>2122</v>
      </c>
      <c r="D37232">
        <v>163</v>
      </c>
      <c r="E37232">
        <v>0</v>
      </c>
      <c r="F37232">
        <v>1969</v>
      </c>
    </row>
    <row r="37233" spans="1:6" ht="12.75">
      <c r="A37233" s="2">
        <v>43875.094699074078</v>
      </c>
      <c r="B37233" t="str">
        <f t="shared" ref="B37233:B37234" si="423">HYPERLINK("https://twitter.com/insomniasl33p","@insomniasl33p")</f>
        <v>@insomniasl33p</v>
      </c>
      <c r="C37233" t="s">
        <v>8470</v>
      </c>
      <c r="D37233">
        <v>127</v>
      </c>
      <c r="E37233">
        <v>0</v>
      </c>
      <c r="F37233">
        <v>80</v>
      </c>
    </row>
    <row r="37234" spans="1:6" ht="12.75">
      <c r="A37234" s="2">
        <v>43875.094629629632</v>
      </c>
      <c r="B37234" t="str">
        <f t="shared" si="423"/>
        <v>@insomniasl33p</v>
      </c>
      <c r="C37234" t="s">
        <v>7803</v>
      </c>
      <c r="D37234">
        <v>287</v>
      </c>
      <c r="E37234">
        <v>0</v>
      </c>
      <c r="F37234">
        <v>80</v>
      </c>
    </row>
    <row r="37235" spans="1:6" ht="12.75">
      <c r="A37235" s="2">
        <v>43875.094618055555</v>
      </c>
      <c r="B37235" t="str">
        <f>HYPERLINK("https://twitter.com/Purwa_wicak","@Purwa_wicak")</f>
        <v>@Purwa_wicak</v>
      </c>
      <c r="C37235" t="s">
        <v>10526</v>
      </c>
      <c r="D37235">
        <v>92</v>
      </c>
      <c r="E37235">
        <v>0</v>
      </c>
      <c r="F37235">
        <v>268</v>
      </c>
    </row>
    <row r="37236" spans="1:6" ht="12.75">
      <c r="A37236" s="2">
        <v>43875.094548611116</v>
      </c>
      <c r="B37236" t="str">
        <f t="shared" ref="B37236:B37237" si="424">HYPERLINK("https://twitter.com/SahabatSaber","@SahabatSaber")</f>
        <v>@SahabatSaber</v>
      </c>
      <c r="C37236" t="s">
        <v>12794</v>
      </c>
      <c r="D37236">
        <v>65</v>
      </c>
      <c r="E37236">
        <v>0</v>
      </c>
      <c r="F37236">
        <v>8876</v>
      </c>
    </row>
    <row r="37237" spans="1:6" ht="12.75">
      <c r="A37237" s="2">
        <v>43875.094513888893</v>
      </c>
      <c r="B37237" t="str">
        <f t="shared" si="424"/>
        <v>@SahabatSaber</v>
      </c>
      <c r="C37237" t="s">
        <v>15310</v>
      </c>
      <c r="D37237">
        <v>3</v>
      </c>
      <c r="E37237">
        <v>8</v>
      </c>
      <c r="F37237">
        <v>8876</v>
      </c>
    </row>
    <row r="37238" spans="1:6" ht="12.75">
      <c r="A37238" s="2">
        <v>43875.09438657407</v>
      </c>
      <c r="B37238" t="str">
        <f>HYPERLINK("https://twitter.com/insomniasl33p","@insomniasl33p")</f>
        <v>@insomniasl33p</v>
      </c>
      <c r="C37238" t="s">
        <v>10319</v>
      </c>
      <c r="D37238">
        <v>139</v>
      </c>
      <c r="E37238">
        <v>0</v>
      </c>
      <c r="F37238">
        <v>80</v>
      </c>
    </row>
    <row r="37239" spans="1:6" ht="12.75">
      <c r="A37239" s="2">
        <v>43875.094363425931</v>
      </c>
      <c r="B37239" t="str">
        <f>HYPERLINK("https://twitter.com/AmstrongBiring","@AmstrongBiring")</f>
        <v>@AmstrongBiring</v>
      </c>
      <c r="C37239" t="s">
        <v>8470</v>
      </c>
      <c r="D37239">
        <v>127</v>
      </c>
      <c r="E37239">
        <v>0</v>
      </c>
      <c r="F37239">
        <v>1969</v>
      </c>
    </row>
    <row r="37240" spans="1:6" ht="12.75">
      <c r="A37240" s="2">
        <v>43875.094201388885</v>
      </c>
      <c r="B37240" t="str">
        <f>HYPERLINK("https://twitter.com/insomniasl33p","@insomniasl33p")</f>
        <v>@insomniasl33p</v>
      </c>
      <c r="C37240" t="s">
        <v>10462</v>
      </c>
      <c r="D37240">
        <v>220</v>
      </c>
      <c r="E37240">
        <v>0</v>
      </c>
      <c r="F37240">
        <v>80</v>
      </c>
    </row>
    <row r="37241" spans="1:6" ht="12.75">
      <c r="A37241" s="2">
        <v>43875.093993055554</v>
      </c>
      <c r="B37241" t="str">
        <f>HYPERLINK("https://twitter.com/Purwa_wicak","@Purwa_wicak")</f>
        <v>@Purwa_wicak</v>
      </c>
      <c r="C37241" t="s">
        <v>10121</v>
      </c>
      <c r="D37241">
        <v>131</v>
      </c>
      <c r="E37241">
        <v>0</v>
      </c>
      <c r="F37241">
        <v>268</v>
      </c>
    </row>
    <row r="37242" spans="1:6" ht="12.75">
      <c r="A37242" s="2">
        <v>43875.093981481477</v>
      </c>
      <c r="B37242" t="str">
        <f>HYPERLINK("https://twitter.com/Bubut871","@Bubut871")</f>
        <v>@Bubut871</v>
      </c>
      <c r="C37242" t="s">
        <v>15311</v>
      </c>
      <c r="D37242">
        <v>1</v>
      </c>
      <c r="E37242">
        <v>0</v>
      </c>
      <c r="F37242">
        <v>1615</v>
      </c>
    </row>
    <row r="37243" spans="1:6" ht="12.75">
      <c r="A37243" s="2">
        <v>43875.093310185184</v>
      </c>
      <c r="B37243" t="str">
        <f t="shared" ref="B37243:B37244" si="425">HYPERLINK("https://twitter.com/yasminazafira","@yasminazafira")</f>
        <v>@yasminazafira</v>
      </c>
      <c r="C37243" t="s">
        <v>11368</v>
      </c>
      <c r="D37243">
        <v>72</v>
      </c>
      <c r="E37243">
        <v>0</v>
      </c>
      <c r="F37243">
        <v>820</v>
      </c>
    </row>
    <row r="37244" spans="1:6" ht="12.75">
      <c r="A37244" s="2">
        <v>43875.092962962968</v>
      </c>
      <c r="B37244" t="str">
        <f t="shared" si="425"/>
        <v>@yasminazafira</v>
      </c>
      <c r="C37244" t="s">
        <v>2122</v>
      </c>
      <c r="D37244">
        <v>163</v>
      </c>
      <c r="E37244">
        <v>0</v>
      </c>
      <c r="F37244">
        <v>820</v>
      </c>
    </row>
    <row r="37245" spans="1:6" ht="12.75">
      <c r="A37245" s="2">
        <v>43875.092928240745</v>
      </c>
      <c r="B37245" t="str">
        <f>HYPERLINK("https://twitter.com/YoyokSubandriy3","@YoyokSubandriy3")</f>
        <v>@YoyokSubandriy3</v>
      </c>
      <c r="C37245" t="s">
        <v>2122</v>
      </c>
      <c r="D37245">
        <v>163</v>
      </c>
      <c r="E37245">
        <v>0</v>
      </c>
      <c r="F37245">
        <v>1353</v>
      </c>
    </row>
    <row r="37246" spans="1:6" ht="12.75">
      <c r="A37246" s="2">
        <v>43875.09269675926</v>
      </c>
      <c r="B37246" t="str">
        <f>HYPERLINK("https://twitter.com/yasminazafira","@yasminazafira")</f>
        <v>@yasminazafira</v>
      </c>
      <c r="C37246" t="s">
        <v>12940</v>
      </c>
      <c r="D37246">
        <v>92</v>
      </c>
      <c r="E37246">
        <v>0</v>
      </c>
      <c r="F37246">
        <v>820</v>
      </c>
    </row>
    <row r="37247" spans="1:6" ht="12.75">
      <c r="A37247" s="2">
        <v>43875.092638888891</v>
      </c>
      <c r="B37247" t="str">
        <f>HYPERLINK("https://twitter.com/insomniasl33p","@insomniasl33p")</f>
        <v>@insomniasl33p</v>
      </c>
      <c r="C37247" t="s">
        <v>9113</v>
      </c>
      <c r="D37247">
        <v>227</v>
      </c>
      <c r="E37247">
        <v>0</v>
      </c>
      <c r="F37247">
        <v>80</v>
      </c>
    </row>
    <row r="37248" spans="1:6" ht="12.75">
      <c r="A37248" s="2">
        <v>43875.092627314814</v>
      </c>
      <c r="B37248" t="str">
        <f>HYPERLINK("https://twitter.com/panduaguss","@panduaguss")</f>
        <v>@panduaguss</v>
      </c>
      <c r="C37248" t="s">
        <v>15312</v>
      </c>
      <c r="D37248">
        <v>0</v>
      </c>
      <c r="E37248">
        <v>0</v>
      </c>
      <c r="F37248">
        <v>200</v>
      </c>
    </row>
    <row r="37249" spans="1:6" ht="12.75">
      <c r="A37249" s="2">
        <v>43875.092453703706</v>
      </c>
      <c r="B37249" t="str">
        <f>HYPERLINK("https://twitter.com/yasminazafira","@yasminazafira")</f>
        <v>@yasminazafira</v>
      </c>
      <c r="C37249" t="s">
        <v>7803</v>
      </c>
      <c r="D37249">
        <v>287</v>
      </c>
      <c r="E37249">
        <v>0</v>
      </c>
      <c r="F37249">
        <v>820</v>
      </c>
    </row>
    <row r="37250" spans="1:6" ht="12.75">
      <c r="A37250" s="2">
        <v>43875.091805555552</v>
      </c>
      <c r="B37250" t="str">
        <f>HYPERLINK("https://twitter.com/xxx_ri_ri_","@xxx_ri_ri_")</f>
        <v>@xxx_ri_ri_</v>
      </c>
      <c r="C37250" t="s">
        <v>5168</v>
      </c>
      <c r="D37250">
        <v>327</v>
      </c>
      <c r="E37250">
        <v>0</v>
      </c>
      <c r="F37250">
        <v>588</v>
      </c>
    </row>
    <row r="37251" spans="1:6" ht="12.75">
      <c r="A37251" s="2">
        <v>43875.091643518521</v>
      </c>
      <c r="B37251" t="str">
        <f>HYPERLINK("https://twitter.com/neen4noor","@neen4noor")</f>
        <v>@neen4noor</v>
      </c>
      <c r="C37251" t="s">
        <v>11425</v>
      </c>
      <c r="D37251">
        <v>169</v>
      </c>
      <c r="E37251">
        <v>0</v>
      </c>
      <c r="F37251">
        <v>892</v>
      </c>
    </row>
    <row r="37252" spans="1:6" ht="12.75">
      <c r="A37252" s="2">
        <v>43875.091261574074</v>
      </c>
      <c r="B37252" t="str">
        <f>HYPERLINK("https://twitter.com/autobots5699","@autobots5699")</f>
        <v>@autobots5699</v>
      </c>
      <c r="C37252" t="s">
        <v>15313</v>
      </c>
      <c r="D37252">
        <v>0</v>
      </c>
      <c r="E37252">
        <v>0</v>
      </c>
      <c r="F37252">
        <v>195</v>
      </c>
    </row>
    <row r="37253" spans="1:6" ht="12.75">
      <c r="A37253" s="2">
        <v>43875.091192129628</v>
      </c>
      <c r="B37253" t="str">
        <f>HYPERLINK("https://twitter.com/1MenujuDamai","@1MenujuDamai")</f>
        <v>@1MenujuDamai</v>
      </c>
      <c r="C37253" t="s">
        <v>9538</v>
      </c>
      <c r="D37253">
        <v>69</v>
      </c>
      <c r="E37253">
        <v>0</v>
      </c>
      <c r="F37253">
        <v>2571</v>
      </c>
    </row>
    <row r="37254" spans="1:6" ht="12.75">
      <c r="A37254" s="2">
        <v>43875.091168981482</v>
      </c>
      <c r="B37254" t="str">
        <f>HYPERLINK("https://twitter.com/yasminazafira","@yasminazafira")</f>
        <v>@yasminazafira</v>
      </c>
      <c r="C37254" t="s">
        <v>10462</v>
      </c>
      <c r="D37254">
        <v>220</v>
      </c>
      <c r="E37254">
        <v>0</v>
      </c>
      <c r="F37254">
        <v>820</v>
      </c>
    </row>
    <row r="37255" spans="1:6" ht="12.75">
      <c r="A37255" s="2">
        <v>43875.091134259259</v>
      </c>
      <c r="B37255" t="str">
        <f>HYPERLINK("https://twitter.com/ilerkecoa","@ilerkecoa")</f>
        <v>@ilerkecoa</v>
      </c>
      <c r="C37255" t="s">
        <v>15314</v>
      </c>
      <c r="D37255">
        <v>0</v>
      </c>
      <c r="E37255">
        <v>0</v>
      </c>
      <c r="F37255">
        <v>23</v>
      </c>
    </row>
    <row r="37256" spans="1:6" ht="12.75">
      <c r="A37256" s="2">
        <v>43875.090949074074</v>
      </c>
      <c r="B37256" t="str">
        <f>HYPERLINK("https://twitter.com/jimmy_atp","@jimmy_atp")</f>
        <v>@jimmy_atp</v>
      </c>
      <c r="C37256" t="s">
        <v>15315</v>
      </c>
      <c r="D37256">
        <v>0</v>
      </c>
      <c r="E37256">
        <v>1</v>
      </c>
      <c r="F37256">
        <v>2643</v>
      </c>
    </row>
    <row r="37257" spans="1:6" ht="12.75">
      <c r="A37257" s="2">
        <v>43875.090740740736</v>
      </c>
      <c r="B37257" t="str">
        <f>HYPERLINK("https://twitter.com/ElshintaTegal_","@ElshintaTegal_")</f>
        <v>@ElshintaTegal_</v>
      </c>
      <c r="C37257" t="s">
        <v>15160</v>
      </c>
      <c r="D37257">
        <v>2</v>
      </c>
      <c r="E37257">
        <v>0</v>
      </c>
      <c r="F37257">
        <v>29</v>
      </c>
    </row>
    <row r="37258" spans="1:6" ht="12.75">
      <c r="A37258" s="2">
        <v>43875.09039351852</v>
      </c>
      <c r="B37258" t="str">
        <f>HYPERLINK("https://twitter.com/Phanea4","@Phanea4")</f>
        <v>@Phanea4</v>
      </c>
      <c r="C37258" t="s">
        <v>15316</v>
      </c>
      <c r="D37258">
        <v>0</v>
      </c>
      <c r="E37258">
        <v>0</v>
      </c>
      <c r="F37258">
        <v>88</v>
      </c>
    </row>
    <row r="37259" spans="1:6" ht="12.75">
      <c r="A37259" s="2">
        <v>43875.090208333335</v>
      </c>
      <c r="B37259" t="str">
        <f>HYPERLINK("https://twitter.com/ivanchristi3","@ivanchristi3")</f>
        <v>@ivanchristi3</v>
      </c>
      <c r="C37259" t="s">
        <v>15317</v>
      </c>
      <c r="D37259">
        <v>0</v>
      </c>
      <c r="E37259">
        <v>0</v>
      </c>
      <c r="F37259">
        <v>916</v>
      </c>
    </row>
    <row r="37260" spans="1:6" ht="12.75">
      <c r="A37260" s="2">
        <v>43875.089687500003</v>
      </c>
      <c r="B37260" t="str">
        <f>HYPERLINK("https://twitter.com/jennyfebe","@jennyfebe")</f>
        <v>@jennyfebe</v>
      </c>
      <c r="C37260" t="s">
        <v>10706</v>
      </c>
      <c r="D37260">
        <v>204</v>
      </c>
      <c r="E37260">
        <v>0</v>
      </c>
      <c r="F37260">
        <v>461</v>
      </c>
    </row>
    <row r="37261" spans="1:6" ht="12.75">
      <c r="A37261" s="2">
        <v>43875.089571759258</v>
      </c>
      <c r="B37261" t="str">
        <f>HYPERLINK("https://twitter.com/harihariono1","@harihariono1")</f>
        <v>@harihariono1</v>
      </c>
      <c r="C37261" t="s">
        <v>10330</v>
      </c>
      <c r="D37261">
        <v>184</v>
      </c>
      <c r="E37261">
        <v>0</v>
      </c>
      <c r="F37261">
        <v>9328</v>
      </c>
    </row>
    <row r="37262" spans="1:6" ht="12.75">
      <c r="A37262" s="2">
        <v>43875.089374999996</v>
      </c>
      <c r="B37262" t="str">
        <f>HYPERLINK("https://twitter.com/sugenghartanto","@sugenghartanto")</f>
        <v>@sugenghartanto</v>
      </c>
      <c r="C37262" t="s">
        <v>15318</v>
      </c>
      <c r="D37262">
        <v>0</v>
      </c>
      <c r="E37262">
        <v>0</v>
      </c>
      <c r="F37262">
        <v>20</v>
      </c>
    </row>
    <row r="37263" spans="1:6" ht="12.75">
      <c r="A37263" s="2">
        <v>43875.08866898148</v>
      </c>
      <c r="B37263" t="str">
        <f>HYPERLINK("https://twitter.com/ArielFatR","@ArielFatR")</f>
        <v>@ArielFatR</v>
      </c>
      <c r="C37263" t="s">
        <v>15319</v>
      </c>
      <c r="D37263">
        <v>0</v>
      </c>
      <c r="E37263">
        <v>0</v>
      </c>
      <c r="F37263">
        <v>567</v>
      </c>
    </row>
    <row r="37264" spans="1:6" ht="12.75">
      <c r="A37264" s="2">
        <v>43875.088425925926</v>
      </c>
      <c r="B37264" t="str">
        <f>HYPERLINK("https://twitter.com/paskal_17","@paskal_17")</f>
        <v>@paskal_17</v>
      </c>
      <c r="C37264" t="s">
        <v>5168</v>
      </c>
      <c r="D37264">
        <v>327</v>
      </c>
      <c r="E37264">
        <v>0</v>
      </c>
      <c r="F37264">
        <v>421</v>
      </c>
    </row>
    <row r="37265" spans="1:6" ht="12.75">
      <c r="A37265" s="2">
        <v>43875.088229166664</v>
      </c>
      <c r="B37265" t="str">
        <f>HYPERLINK("https://twitter.com/RadioElshinta","@RadioElshinta")</f>
        <v>@RadioElshinta</v>
      </c>
      <c r="C37265" t="s">
        <v>15320</v>
      </c>
      <c r="D37265">
        <v>1</v>
      </c>
      <c r="E37265">
        <v>0</v>
      </c>
      <c r="F37265">
        <v>3633160</v>
      </c>
    </row>
    <row r="37266" spans="1:6" ht="12.75">
      <c r="A37266" s="2">
        <v>43875.087916666671</v>
      </c>
      <c r="B37266" t="str">
        <f>HYPERLINK("https://twitter.com/MegaSar22531862","@MegaSar22531862")</f>
        <v>@MegaSar22531862</v>
      </c>
      <c r="C37266" t="s">
        <v>15321</v>
      </c>
      <c r="D37266">
        <v>0</v>
      </c>
      <c r="E37266">
        <v>0</v>
      </c>
      <c r="F37266">
        <v>405</v>
      </c>
    </row>
    <row r="37267" spans="1:6" ht="12.75">
      <c r="A37267" s="2">
        <v>43875.087858796294</v>
      </c>
      <c r="B37267" t="str">
        <f>HYPERLINK("https://twitter.com/UjangSpn","@UjangSpn")</f>
        <v>@UjangSpn</v>
      </c>
      <c r="C37267" t="s">
        <v>12834</v>
      </c>
      <c r="D37267">
        <v>410</v>
      </c>
      <c r="E37267">
        <v>0</v>
      </c>
      <c r="F37267">
        <v>521</v>
      </c>
    </row>
    <row r="37268" spans="1:6" ht="12.75">
      <c r="A37268" s="2">
        <v>43875.087638888886</v>
      </c>
      <c r="B37268" t="str">
        <f>HYPERLINK("https://twitter.com/idhin78_saputra","@idhin78_saputra")</f>
        <v>@idhin78_saputra</v>
      </c>
      <c r="C37268" t="s">
        <v>10462</v>
      </c>
      <c r="D37268">
        <v>220</v>
      </c>
      <c r="E37268">
        <v>0</v>
      </c>
      <c r="F37268">
        <v>209</v>
      </c>
    </row>
    <row r="37269" spans="1:6" ht="12.75">
      <c r="A37269" s="2">
        <v>43875.087511574078</v>
      </c>
      <c r="B37269" t="str">
        <f>HYPERLINK("https://twitter.com/RadioElshinta","@RadioElshinta")</f>
        <v>@RadioElshinta</v>
      </c>
      <c r="C37269" t="s">
        <v>39</v>
      </c>
      <c r="D37269">
        <v>2</v>
      </c>
      <c r="E37269">
        <v>0</v>
      </c>
      <c r="F37269">
        <v>3633160</v>
      </c>
    </row>
    <row r="37270" spans="1:6" ht="12.75">
      <c r="A37270" s="2">
        <v>43875.087453703702</v>
      </c>
      <c r="B37270" t="str">
        <f>HYPERLINK("https://twitter.com/RamadanAfdi","@RamadanAfdi")</f>
        <v>@RamadanAfdi</v>
      </c>
      <c r="C37270" t="s">
        <v>2122</v>
      </c>
      <c r="D37270">
        <v>163</v>
      </c>
      <c r="E37270">
        <v>0</v>
      </c>
      <c r="F37270">
        <v>5830</v>
      </c>
    </row>
    <row r="37271" spans="1:6" ht="12.75">
      <c r="A37271" s="2">
        <v>43875.087083333332</v>
      </c>
      <c r="B37271" t="str">
        <f>HYPERLINK("https://twitter.com/SiswadiMargo","@SiswadiMargo")</f>
        <v>@SiswadiMargo</v>
      </c>
      <c r="C37271" t="s">
        <v>15322</v>
      </c>
      <c r="D37271">
        <v>1</v>
      </c>
      <c r="E37271">
        <v>0</v>
      </c>
      <c r="F37271">
        <v>60</v>
      </c>
    </row>
    <row r="37272" spans="1:6" ht="12.75">
      <c r="A37272" s="2">
        <v>43875.08693287037</v>
      </c>
      <c r="B37272" t="str">
        <f>HYPERLINK("https://twitter.com/Ayik31246012","@Ayik31246012")</f>
        <v>@Ayik31246012</v>
      </c>
      <c r="C37272" t="s">
        <v>9947</v>
      </c>
      <c r="D37272">
        <v>308</v>
      </c>
      <c r="E37272">
        <v>0</v>
      </c>
      <c r="F37272">
        <v>13</v>
      </c>
    </row>
    <row r="37273" spans="1:6" ht="12.75">
      <c r="A37273" s="2">
        <v>43875.086724537032</v>
      </c>
      <c r="B37273" t="str">
        <f>HYPERLINK("https://twitter.com/jumriadiat","@jumriadiat")</f>
        <v>@jumriadiat</v>
      </c>
      <c r="C37273" t="s">
        <v>9096</v>
      </c>
      <c r="D37273">
        <v>127</v>
      </c>
      <c r="E37273">
        <v>0</v>
      </c>
      <c r="F37273">
        <v>141</v>
      </c>
    </row>
    <row r="37274" spans="1:6" ht="12.75">
      <c r="A37274" s="2">
        <v>43875.086238425924</v>
      </c>
      <c r="B37274" t="str">
        <f>HYPERLINK("https://twitter.com/IamYogas","@IamYogas")</f>
        <v>@IamYogas</v>
      </c>
      <c r="C37274" t="s">
        <v>2122</v>
      </c>
      <c r="D37274">
        <v>163</v>
      </c>
      <c r="E37274">
        <v>0</v>
      </c>
      <c r="F37274">
        <v>269</v>
      </c>
    </row>
    <row r="37275" spans="1:6" ht="12.75">
      <c r="A37275" s="2">
        <v>43875.086226851854</v>
      </c>
      <c r="B37275" t="str">
        <f>HYPERLINK("https://twitter.com/notthatcool21","@notthatcool21")</f>
        <v>@notthatcool21</v>
      </c>
      <c r="C37275" t="s">
        <v>8233</v>
      </c>
      <c r="D37275">
        <v>243</v>
      </c>
      <c r="E37275">
        <v>0</v>
      </c>
      <c r="F37275">
        <v>93</v>
      </c>
    </row>
    <row r="37276" spans="1:6" ht="12.75">
      <c r="A37276" s="2">
        <v>43875.086215277777</v>
      </c>
      <c r="B37276" t="str">
        <f>HYPERLINK("https://twitter.com/Biyan_tr","@Biyan_tr")</f>
        <v>@Biyan_tr</v>
      </c>
      <c r="C37276" t="s">
        <v>11425</v>
      </c>
      <c r="D37276">
        <v>169</v>
      </c>
      <c r="E37276">
        <v>0</v>
      </c>
      <c r="F37276">
        <v>10</v>
      </c>
    </row>
    <row r="37277" spans="1:6" ht="12.75">
      <c r="A37277" s="2">
        <v>43875.085787037038</v>
      </c>
      <c r="B37277" t="str">
        <f>HYPERLINK("https://twitter.com/putrabinadamss","@putrabinadamss")</f>
        <v>@putrabinadamss</v>
      </c>
      <c r="C37277" t="s">
        <v>7820</v>
      </c>
      <c r="D37277">
        <v>138</v>
      </c>
      <c r="E37277">
        <v>0</v>
      </c>
      <c r="F37277">
        <v>735</v>
      </c>
    </row>
    <row r="37278" spans="1:6" ht="12.75">
      <c r="A37278" s="2">
        <v>43875.085682870369</v>
      </c>
      <c r="B37278" t="str">
        <f>HYPERLINK("https://twitter.com/MulyaOutlook","@MulyaOutlook")</f>
        <v>@MulyaOutlook</v>
      </c>
      <c r="C37278" t="s">
        <v>15323</v>
      </c>
      <c r="D37278">
        <v>1</v>
      </c>
      <c r="E37278">
        <v>0</v>
      </c>
      <c r="F37278">
        <v>304</v>
      </c>
    </row>
    <row r="37279" spans="1:6" ht="12.75">
      <c r="A37279" s="2">
        <v>43875.08520833333</v>
      </c>
      <c r="B37279" t="str">
        <f>HYPERLINK("https://twitter.com/idhin78_saputra","@idhin78_saputra")</f>
        <v>@idhin78_saputra</v>
      </c>
      <c r="C37279" t="s">
        <v>9096</v>
      </c>
      <c r="D37279">
        <v>127</v>
      </c>
      <c r="E37279">
        <v>0</v>
      </c>
      <c r="F37279">
        <v>209</v>
      </c>
    </row>
    <row r="37280" spans="1:6" ht="12.75">
      <c r="A37280" s="2">
        <v>43875.085127314815</v>
      </c>
      <c r="B37280" t="str">
        <f>HYPERLINK("https://twitter.com/DamaiituindahN","@DamaiituindahN")</f>
        <v>@DamaiituindahN</v>
      </c>
      <c r="C37280" t="s">
        <v>5168</v>
      </c>
      <c r="D37280">
        <v>327</v>
      </c>
      <c r="E37280">
        <v>0</v>
      </c>
      <c r="F37280">
        <v>138</v>
      </c>
    </row>
    <row r="37281" spans="1:6" ht="12.75">
      <c r="A37281" s="2">
        <v>43875.085069444445</v>
      </c>
      <c r="B37281" t="str">
        <f>HYPERLINK("https://twitter.com/moesa_jp02","@moesa_jp02")</f>
        <v>@moesa_jp02</v>
      </c>
      <c r="C37281" t="s">
        <v>8394</v>
      </c>
      <c r="D37281">
        <v>21</v>
      </c>
      <c r="E37281">
        <v>0</v>
      </c>
      <c r="F37281">
        <v>1316</v>
      </c>
    </row>
    <row r="37282" spans="1:6" ht="12.75">
      <c r="A37282" s="2">
        <v>43875.084247685183</v>
      </c>
      <c r="B37282" t="str">
        <f>HYPERLINK("https://twitter.com/umar_amat","@umar_amat")</f>
        <v>@umar_amat</v>
      </c>
      <c r="C37282" t="s">
        <v>15324</v>
      </c>
      <c r="D37282">
        <v>3</v>
      </c>
      <c r="E37282">
        <v>0</v>
      </c>
      <c r="F37282">
        <v>0</v>
      </c>
    </row>
    <row r="37283" spans="1:6" ht="12.75">
      <c r="A37283" s="2">
        <v>43875.083715277782</v>
      </c>
      <c r="B37283" t="str">
        <f t="shared" ref="B37283:B37284" si="426">HYPERLINK("https://twitter.com/Politicleaks","@Politicleaks")</f>
        <v>@Politicleaks</v>
      </c>
      <c r="C37283" t="s">
        <v>15325</v>
      </c>
      <c r="D37283">
        <v>1</v>
      </c>
      <c r="E37283">
        <v>0</v>
      </c>
      <c r="F37283">
        <v>2842</v>
      </c>
    </row>
    <row r="37284" spans="1:6" ht="12.75">
      <c r="A37284" s="2">
        <v>43875.083645833336</v>
      </c>
      <c r="B37284" t="str">
        <f t="shared" si="426"/>
        <v>@Politicleaks</v>
      </c>
      <c r="C37284" t="s">
        <v>15326</v>
      </c>
      <c r="D37284">
        <v>2</v>
      </c>
      <c r="E37284">
        <v>0</v>
      </c>
      <c r="F37284">
        <v>2842</v>
      </c>
    </row>
    <row r="37285" spans="1:6" ht="12.75">
      <c r="A37285" s="2">
        <v>43875.08357638889</v>
      </c>
      <c r="B37285" t="str">
        <f>HYPERLINK("https://twitter.com/bagasyoga_p","@bagasyoga_p")</f>
        <v>@bagasyoga_p</v>
      </c>
      <c r="C37285" t="s">
        <v>9021</v>
      </c>
      <c r="D37285">
        <v>128</v>
      </c>
      <c r="E37285">
        <v>0</v>
      </c>
      <c r="F37285">
        <v>163</v>
      </c>
    </row>
    <row r="37286" spans="1:6" ht="12.75">
      <c r="A37286" s="2">
        <v>43875.083229166667</v>
      </c>
      <c r="B37286" t="str">
        <f>HYPERLINK("https://twitter.com/Jimmykiiing88","@Jimmykiiing88")</f>
        <v>@Jimmykiiing88</v>
      </c>
      <c r="C37286" t="s">
        <v>15327</v>
      </c>
      <c r="D37286">
        <v>0</v>
      </c>
      <c r="E37286">
        <v>0</v>
      </c>
      <c r="F37286">
        <v>1185</v>
      </c>
    </row>
    <row r="37287" spans="1:6" ht="12.75">
      <c r="A37287" s="2">
        <v>43875.083136574074</v>
      </c>
      <c r="B37287" t="str">
        <f>HYPERLINK("https://twitter.com/berasaptebal","@berasaptebal")</f>
        <v>@berasaptebal</v>
      </c>
      <c r="C37287" t="s">
        <v>15328</v>
      </c>
      <c r="D37287">
        <v>0</v>
      </c>
      <c r="E37287">
        <v>0</v>
      </c>
      <c r="F37287">
        <v>102</v>
      </c>
    </row>
    <row r="37288" spans="1:6" ht="12.75">
      <c r="A37288" s="2">
        <v>43875.082534722227</v>
      </c>
      <c r="B37288" t="str">
        <f>HYPERLINK("https://twitter.com/Ari3Pras","@Ari3Pras")</f>
        <v>@Ari3Pras</v>
      </c>
      <c r="C37288" t="s">
        <v>15329</v>
      </c>
      <c r="D37288">
        <v>0</v>
      </c>
      <c r="E37288">
        <v>2</v>
      </c>
      <c r="F37288">
        <v>7280</v>
      </c>
    </row>
    <row r="37289" spans="1:6" ht="12.75">
      <c r="A37289" s="2">
        <v>43875.081516203703</v>
      </c>
      <c r="B37289" t="str">
        <f>HYPERLINK("https://twitter.com/sueb_soleh","@sueb_soleh")</f>
        <v>@sueb_soleh</v>
      </c>
      <c r="C37289" t="s">
        <v>9538</v>
      </c>
      <c r="D37289">
        <v>69</v>
      </c>
      <c r="E37289">
        <v>0</v>
      </c>
      <c r="F37289">
        <v>664</v>
      </c>
    </row>
    <row r="37290" spans="1:6" ht="12.75">
      <c r="A37290" s="2">
        <v>43875.081006944441</v>
      </c>
      <c r="B37290" t="str">
        <f>HYPERLINK("https://twitter.com/ivanchristi3","@ivanchristi3")</f>
        <v>@ivanchristi3</v>
      </c>
      <c r="C37290" t="s">
        <v>10957</v>
      </c>
      <c r="D37290">
        <v>43</v>
      </c>
      <c r="E37290">
        <v>0</v>
      </c>
      <c r="F37290">
        <v>916</v>
      </c>
    </row>
    <row r="37291" spans="1:6" ht="12.75">
      <c r="A37291" s="2">
        <v>43875.080983796295</v>
      </c>
      <c r="B37291" t="str">
        <f>HYPERLINK("https://twitter.com/ANgewelagi","@ANgewelagi")</f>
        <v>@ANgewelagi</v>
      </c>
      <c r="C37291" t="s">
        <v>15330</v>
      </c>
      <c r="D37291">
        <v>0</v>
      </c>
      <c r="E37291">
        <v>1</v>
      </c>
      <c r="F37291">
        <v>42</v>
      </c>
    </row>
    <row r="37292" spans="1:6" ht="12.75">
      <c r="A37292" s="2">
        <v>43875.080972222218</v>
      </c>
      <c r="B37292" t="str">
        <f t="shared" ref="B37292:B37293" si="427">HYPERLINK("https://twitter.com/JanuarSeba","@JanuarSeba")</f>
        <v>@JanuarSeba</v>
      </c>
      <c r="C37292" t="s">
        <v>15331</v>
      </c>
      <c r="D37292">
        <v>1</v>
      </c>
      <c r="E37292">
        <v>0</v>
      </c>
      <c r="F37292">
        <v>559</v>
      </c>
    </row>
    <row r="37293" spans="1:6" ht="12.75">
      <c r="A37293" s="2">
        <v>43875.080613425926</v>
      </c>
      <c r="B37293" t="str">
        <f t="shared" si="427"/>
        <v>@JanuarSeba</v>
      </c>
      <c r="C37293" t="s">
        <v>15326</v>
      </c>
      <c r="D37293">
        <v>2</v>
      </c>
      <c r="E37293">
        <v>0</v>
      </c>
      <c r="F37293">
        <v>559</v>
      </c>
    </row>
    <row r="37294" spans="1:6" ht="12.75">
      <c r="A37294" s="2">
        <v>43875.080324074079</v>
      </c>
      <c r="B37294" t="str">
        <f>HYPERLINK("https://twitter.com/Ari3Pras","@Ari3Pras")</f>
        <v>@Ari3Pras</v>
      </c>
      <c r="C37294" t="s">
        <v>15332</v>
      </c>
      <c r="D37294">
        <v>1</v>
      </c>
      <c r="E37294">
        <v>0</v>
      </c>
      <c r="F37294">
        <v>7280</v>
      </c>
    </row>
    <row r="37295" spans="1:6" ht="12.75">
      <c r="A37295" s="2">
        <v>43875.080254629633</v>
      </c>
      <c r="B37295" t="str">
        <f>HYPERLINK("https://twitter.com/hendra0201","@hendra0201")</f>
        <v>@hendra0201</v>
      </c>
      <c r="C37295" t="s">
        <v>15333</v>
      </c>
      <c r="D37295">
        <v>48</v>
      </c>
      <c r="E37295">
        <v>0</v>
      </c>
      <c r="F37295">
        <v>1175</v>
      </c>
    </row>
    <row r="37296" spans="1:6" ht="12.75">
      <c r="A37296" s="2">
        <v>43875.080138888894</v>
      </c>
      <c r="B37296" t="str">
        <f>HYPERLINK("https://twitter.com/IamYogas","@IamYogas")</f>
        <v>@IamYogas</v>
      </c>
      <c r="C37296" t="s">
        <v>8233</v>
      </c>
      <c r="D37296">
        <v>243</v>
      </c>
      <c r="E37296">
        <v>0</v>
      </c>
      <c r="F37296">
        <v>269</v>
      </c>
    </row>
    <row r="37297" spans="1:6" ht="12.75">
      <c r="A37297" s="2">
        <v>43875.07984953704</v>
      </c>
      <c r="B37297" t="str">
        <f>HYPERLINK("https://twitter.com/su7loo","@su7loo")</f>
        <v>@su7loo</v>
      </c>
      <c r="C37297" t="s">
        <v>3038</v>
      </c>
      <c r="D37297">
        <v>99</v>
      </c>
      <c r="E37297">
        <v>0</v>
      </c>
      <c r="F37297">
        <v>970</v>
      </c>
    </row>
    <row r="37298" spans="1:6" ht="12.75">
      <c r="A37298" s="2">
        <v>43875.079560185186</v>
      </c>
      <c r="B37298" t="str">
        <f>HYPERLINK("https://twitter.com/gorgodai","@gorgodai")</f>
        <v>@gorgodai</v>
      </c>
      <c r="C37298" t="s">
        <v>5168</v>
      </c>
      <c r="D37298">
        <v>327</v>
      </c>
      <c r="E37298">
        <v>0</v>
      </c>
      <c r="F37298">
        <v>288</v>
      </c>
    </row>
    <row r="37299" spans="1:6" ht="12.75">
      <c r="A37299" s="2">
        <v>43875.079039351855</v>
      </c>
      <c r="B37299" t="str">
        <f>HYPERLINK("https://twitter.com/RaineMbleketek","@RaineMbleketek")</f>
        <v>@RaineMbleketek</v>
      </c>
      <c r="C37299" t="s">
        <v>15334</v>
      </c>
      <c r="D37299">
        <v>3</v>
      </c>
      <c r="E37299">
        <v>0</v>
      </c>
      <c r="F37299">
        <v>437</v>
      </c>
    </row>
    <row r="37300" spans="1:6" ht="12.75">
      <c r="A37300" s="2">
        <v>43875.078877314816</v>
      </c>
      <c r="B37300" t="str">
        <f>HYPERLINK("https://twitter.com/agussprasetio","@agussprasetio")</f>
        <v>@agussprasetio</v>
      </c>
      <c r="C37300" t="s">
        <v>11330</v>
      </c>
      <c r="D37300">
        <v>110</v>
      </c>
      <c r="E37300">
        <v>0</v>
      </c>
      <c r="F37300">
        <v>1756</v>
      </c>
    </row>
    <row r="37301" spans="1:6" ht="12.75">
      <c r="A37301" s="2">
        <v>43875.078657407408</v>
      </c>
      <c r="B37301" t="str">
        <f>HYPERLINK("https://twitter.com/CYudas","@CYudas")</f>
        <v>@CYudas</v>
      </c>
      <c r="C37301" t="s">
        <v>11167</v>
      </c>
      <c r="D37301">
        <v>150</v>
      </c>
      <c r="E37301">
        <v>0</v>
      </c>
      <c r="F37301">
        <v>33</v>
      </c>
    </row>
    <row r="37302" spans="1:6" ht="12.75">
      <c r="A37302" s="2">
        <v>43875.078506944439</v>
      </c>
      <c r="B37302" t="str">
        <f>HYPERLINK("https://twitter.com/alexgundul","@alexgundul")</f>
        <v>@alexgundul</v>
      </c>
      <c r="C37302" t="s">
        <v>15186</v>
      </c>
      <c r="D37302">
        <v>28</v>
      </c>
      <c r="E37302">
        <v>0</v>
      </c>
      <c r="F37302">
        <v>224</v>
      </c>
    </row>
    <row r="37303" spans="1:6" ht="12.75">
      <c r="A37303" s="2">
        <v>43875.078125</v>
      </c>
      <c r="B37303" t="str">
        <f>HYPERLINK("https://twitter.com/hendra0201","@hendra0201")</f>
        <v>@hendra0201</v>
      </c>
      <c r="C37303" t="s">
        <v>12834</v>
      </c>
      <c r="D37303">
        <v>410</v>
      </c>
      <c r="E37303">
        <v>0</v>
      </c>
      <c r="F37303">
        <v>1175</v>
      </c>
    </row>
    <row r="37304" spans="1:6" ht="12.75">
      <c r="A37304" s="2">
        <v>43875.078032407408</v>
      </c>
      <c r="B37304" t="str">
        <f>HYPERLINK("https://twitter.com/sukatanyaj","@sukatanyaj")</f>
        <v>@sukatanyaj</v>
      </c>
      <c r="C37304" t="s">
        <v>9538</v>
      </c>
      <c r="D37304">
        <v>69</v>
      </c>
      <c r="E37304">
        <v>0</v>
      </c>
      <c r="F37304">
        <v>5691</v>
      </c>
    </row>
    <row r="37305" spans="1:6" ht="12.75">
      <c r="A37305" s="2">
        <v>43875.077789351853</v>
      </c>
      <c r="B37305" t="str">
        <f>HYPERLINK("https://twitter.com/takdirmenyamar","@takdirmenyamar")</f>
        <v>@takdirmenyamar</v>
      </c>
      <c r="C37305" t="s">
        <v>15335</v>
      </c>
      <c r="D37305">
        <v>0</v>
      </c>
      <c r="E37305">
        <v>0</v>
      </c>
      <c r="F37305">
        <v>85</v>
      </c>
    </row>
    <row r="37306" spans="1:6" ht="12.75">
      <c r="A37306" s="2">
        <v>43875.077662037038</v>
      </c>
      <c r="B37306" t="str">
        <f>HYPERLINK("https://twitter.com/Nursucahyo983","@Nursucahyo983")</f>
        <v>@Nursucahyo983</v>
      </c>
      <c r="C37306" t="s">
        <v>175</v>
      </c>
      <c r="D37306">
        <v>5209</v>
      </c>
      <c r="E37306">
        <v>0</v>
      </c>
      <c r="F37306">
        <v>29</v>
      </c>
    </row>
    <row r="37307" spans="1:6" ht="12.75">
      <c r="A37307" s="2">
        <v>43875.077303240745</v>
      </c>
      <c r="B37307" t="str">
        <f>HYPERLINK("https://twitter.com/BeguNur2","@BeguNur2")</f>
        <v>@BeguNur2</v>
      </c>
      <c r="C37307" t="s">
        <v>10526</v>
      </c>
      <c r="D37307">
        <v>92</v>
      </c>
      <c r="E37307">
        <v>0</v>
      </c>
      <c r="F37307">
        <v>56</v>
      </c>
    </row>
    <row r="37308" spans="1:6" ht="12.75">
      <c r="A37308" s="2">
        <v>43875.077280092592</v>
      </c>
      <c r="B37308" t="str">
        <f>HYPERLINK("https://twitter.com/AlbarokahToko","@AlbarokahToko")</f>
        <v>@AlbarokahToko</v>
      </c>
      <c r="C37308" t="s">
        <v>11566</v>
      </c>
      <c r="D37308">
        <v>92</v>
      </c>
      <c r="E37308">
        <v>0</v>
      </c>
      <c r="F37308">
        <v>139</v>
      </c>
    </row>
    <row r="37309" spans="1:6" ht="12.75">
      <c r="A37309" s="2">
        <v>43875.077245370368</v>
      </c>
      <c r="B37309" t="str">
        <f t="shared" ref="B37309:B37310" si="428">HYPERLINK("https://twitter.com/jehosuann","@jehosuann")</f>
        <v>@jehosuann</v>
      </c>
      <c r="C37309" t="s">
        <v>11451</v>
      </c>
      <c r="D37309">
        <v>83</v>
      </c>
      <c r="E37309">
        <v>0</v>
      </c>
      <c r="F37309">
        <v>79</v>
      </c>
    </row>
    <row r="37310" spans="1:6" ht="12.75">
      <c r="A37310" s="2">
        <v>43875.077210648145</v>
      </c>
      <c r="B37310" t="str">
        <f t="shared" si="428"/>
        <v>@jehosuann</v>
      </c>
      <c r="C37310" t="s">
        <v>13772</v>
      </c>
      <c r="D37310">
        <v>28</v>
      </c>
      <c r="E37310">
        <v>0</v>
      </c>
      <c r="F37310">
        <v>79</v>
      </c>
    </row>
    <row r="37311" spans="1:6" ht="12.75">
      <c r="A37311" s="2">
        <v>43875.077094907407</v>
      </c>
      <c r="B37311" t="str">
        <f>HYPERLINK("https://twitter.com/cciic6","@cciic6")</f>
        <v>@cciic6</v>
      </c>
      <c r="C37311" t="s">
        <v>11167</v>
      </c>
      <c r="D37311">
        <v>150</v>
      </c>
      <c r="E37311">
        <v>0</v>
      </c>
      <c r="F37311">
        <v>0</v>
      </c>
    </row>
    <row r="37312" spans="1:6" ht="12.75">
      <c r="A37312" s="2">
        <v>43875.077060185184</v>
      </c>
      <c r="B37312" t="str">
        <f>HYPERLINK("https://twitter.com/_chrisfreeman__","@_chrisfreeman__")</f>
        <v>@_chrisfreeman__</v>
      </c>
      <c r="C37312" t="s">
        <v>15336</v>
      </c>
      <c r="D37312">
        <v>0</v>
      </c>
      <c r="E37312">
        <v>1</v>
      </c>
      <c r="F37312">
        <v>1321</v>
      </c>
    </row>
    <row r="37313" spans="1:6" ht="12.75">
      <c r="A37313" s="2">
        <v>43875.076909722222</v>
      </c>
      <c r="B37313" t="str">
        <f>HYPERLINK("https://twitter.com/nova_rer","@nova_rer")</f>
        <v>@nova_rer</v>
      </c>
      <c r="C37313" t="s">
        <v>15337</v>
      </c>
      <c r="D37313">
        <v>0</v>
      </c>
      <c r="E37313">
        <v>0</v>
      </c>
      <c r="F37313">
        <v>2</v>
      </c>
    </row>
    <row r="37314" spans="1:6" ht="12.75">
      <c r="A37314" s="2">
        <v>43875.07677083333</v>
      </c>
      <c r="B37314" t="str">
        <f>HYPERLINK("https://twitter.com/tampubolon_rado","@tampubolon_rado")</f>
        <v>@tampubolon_rado</v>
      </c>
      <c r="C37314" t="s">
        <v>15338</v>
      </c>
      <c r="D37314">
        <v>0</v>
      </c>
      <c r="E37314">
        <v>0</v>
      </c>
      <c r="F37314">
        <v>41</v>
      </c>
    </row>
    <row r="37315" spans="1:6" ht="12.75">
      <c r="A37315" s="2">
        <v>43875.076643518521</v>
      </c>
      <c r="B37315" t="str">
        <f>HYPERLINK("https://twitter.com/calon_binatang","@calon_binatang")</f>
        <v>@calon_binatang</v>
      </c>
      <c r="C37315" t="s">
        <v>15339</v>
      </c>
      <c r="D37315">
        <v>0</v>
      </c>
      <c r="E37315">
        <v>0</v>
      </c>
      <c r="F37315">
        <v>343</v>
      </c>
    </row>
    <row r="37316" spans="1:6" ht="12.75">
      <c r="A37316" s="2">
        <v>43875.076319444444</v>
      </c>
      <c r="B37316" t="str">
        <f>HYPERLINK("https://twitter.com/Yos5Ku","@Yos5Ku")</f>
        <v>@Yos5Ku</v>
      </c>
      <c r="C37316" t="s">
        <v>9947</v>
      </c>
      <c r="D37316">
        <v>308</v>
      </c>
      <c r="E37316">
        <v>0</v>
      </c>
      <c r="F37316">
        <v>1346</v>
      </c>
    </row>
    <row r="37317" spans="1:6" ht="12.75">
      <c r="A37317" s="2">
        <v>43875.075856481482</v>
      </c>
      <c r="B37317" t="str">
        <f>HYPERLINK("https://twitter.com/paulusphoek","@paulusphoek")</f>
        <v>@paulusphoek</v>
      </c>
      <c r="C37317" t="s">
        <v>15340</v>
      </c>
      <c r="D37317">
        <v>0</v>
      </c>
      <c r="E37317">
        <v>0</v>
      </c>
      <c r="F37317">
        <v>193</v>
      </c>
    </row>
    <row r="37318" spans="1:6" ht="12.75">
      <c r="A37318" s="2">
        <v>43875.075775462959</v>
      </c>
      <c r="B37318" t="str">
        <f>HYPERLINK("https://twitter.com/Nawat_Adws","@Nawat_Adws")</f>
        <v>@Nawat_Adws</v>
      </c>
      <c r="C37318" t="s">
        <v>15341</v>
      </c>
      <c r="D37318">
        <v>0</v>
      </c>
      <c r="E37318">
        <v>0</v>
      </c>
      <c r="F37318">
        <v>1123</v>
      </c>
    </row>
    <row r="37319" spans="1:6" ht="12.75">
      <c r="A37319" s="2">
        <v>43875.075740740736</v>
      </c>
      <c r="B37319" t="str">
        <f>HYPERLINK("https://twitter.com/Yos5Ku","@Yos5Ku")</f>
        <v>@Yos5Ku</v>
      </c>
      <c r="C37319" t="s">
        <v>10266</v>
      </c>
      <c r="D37319">
        <v>243</v>
      </c>
      <c r="E37319">
        <v>0</v>
      </c>
      <c r="F37319">
        <v>1346</v>
      </c>
    </row>
    <row r="37320" spans="1:6" ht="12.75">
      <c r="A37320" s="2">
        <v>43875.075023148151</v>
      </c>
      <c r="B37320" t="str">
        <f>HYPERLINK("https://twitter.com/bayusuke","@bayusuke")</f>
        <v>@bayusuke</v>
      </c>
      <c r="C37320" t="s">
        <v>11079</v>
      </c>
      <c r="D37320">
        <v>36</v>
      </c>
      <c r="E37320">
        <v>0</v>
      </c>
      <c r="F37320">
        <v>114</v>
      </c>
    </row>
    <row r="37321" spans="1:6" ht="12.75">
      <c r="A37321" s="2">
        <v>43875.074999999997</v>
      </c>
      <c r="B37321" t="str">
        <f>HYPERLINK("https://twitter.com/KingJava12","@KingJava12")</f>
        <v>@KingJava12</v>
      </c>
      <c r="C37321" t="s">
        <v>10739</v>
      </c>
      <c r="D37321">
        <v>226</v>
      </c>
      <c r="E37321">
        <v>0</v>
      </c>
      <c r="F37321">
        <v>1325</v>
      </c>
    </row>
    <row r="37322" spans="1:6" ht="12.75">
      <c r="A37322" s="2">
        <v>43875.074942129635</v>
      </c>
      <c r="B37322" t="str">
        <f>HYPERLINK("https://twitter.com/Dukun081","@Dukun081")</f>
        <v>@Dukun081</v>
      </c>
      <c r="C37322" t="s">
        <v>12834</v>
      </c>
      <c r="D37322">
        <v>410</v>
      </c>
      <c r="E37322">
        <v>0</v>
      </c>
      <c r="F37322">
        <v>959</v>
      </c>
    </row>
    <row r="37323" spans="1:6" ht="12.75">
      <c r="A37323" s="2">
        <v>43875.074259259258</v>
      </c>
      <c r="B37323" t="str">
        <f>HYPERLINK("https://twitter.com/ptrxsch","@ptrxsch")</f>
        <v>@ptrxsch</v>
      </c>
      <c r="C37323" t="s">
        <v>7803</v>
      </c>
      <c r="D37323">
        <v>287</v>
      </c>
      <c r="E37323">
        <v>0</v>
      </c>
      <c r="F37323">
        <v>173</v>
      </c>
    </row>
    <row r="37324" spans="1:6" ht="12.75">
      <c r="A37324" s="2">
        <v>43875.074224537035</v>
      </c>
      <c r="B37324" t="str">
        <f>HYPERLINK("https://twitter.com/Raflesia1108","@Raflesia1108")</f>
        <v>@Raflesia1108</v>
      </c>
      <c r="C37324" t="s">
        <v>9113</v>
      </c>
      <c r="D37324">
        <v>227</v>
      </c>
      <c r="E37324">
        <v>0</v>
      </c>
      <c r="F37324">
        <v>38</v>
      </c>
    </row>
    <row r="37325" spans="1:6" ht="12.75">
      <c r="A37325" s="2">
        <v>43875.073773148149</v>
      </c>
      <c r="B37325" t="str">
        <f>HYPERLINK("https://twitter.com/jehosuann","@jehosuann")</f>
        <v>@jehosuann</v>
      </c>
      <c r="C37325" t="s">
        <v>11954</v>
      </c>
      <c r="D37325">
        <v>42</v>
      </c>
      <c r="E37325">
        <v>0</v>
      </c>
      <c r="F37325">
        <v>79</v>
      </c>
    </row>
    <row r="37326" spans="1:6" ht="12.75">
      <c r="A37326" s="2">
        <v>43875.073206018518</v>
      </c>
      <c r="B37326" t="str">
        <f>HYPERLINK("https://twitter.com/FerryM1","@FerryM1")</f>
        <v>@FerryM1</v>
      </c>
      <c r="C37326" t="s">
        <v>11071</v>
      </c>
      <c r="D37326">
        <v>49</v>
      </c>
      <c r="E37326">
        <v>0</v>
      </c>
      <c r="F37326">
        <v>2312</v>
      </c>
    </row>
    <row r="37327" spans="1:6" ht="12.75">
      <c r="A37327" s="2">
        <v>43875.073136574079</v>
      </c>
      <c r="B37327" t="str">
        <f>HYPERLINK("https://twitter.com/edo_macho","@edo_macho")</f>
        <v>@edo_macho</v>
      </c>
      <c r="C37327" t="s">
        <v>15342</v>
      </c>
      <c r="D37327">
        <v>0</v>
      </c>
      <c r="E37327">
        <v>0</v>
      </c>
      <c r="F37327">
        <v>7269</v>
      </c>
    </row>
    <row r="37328" spans="1:6" ht="12.75">
      <c r="A37328" s="2">
        <v>43875.073124999995</v>
      </c>
      <c r="B37328" t="str">
        <f>HYPERLINK("https://twitter.com/alooyy","@alooyy")</f>
        <v>@alooyy</v>
      </c>
      <c r="C37328" t="s">
        <v>12679</v>
      </c>
      <c r="D37328">
        <v>715</v>
      </c>
      <c r="E37328">
        <v>0</v>
      </c>
      <c r="F37328">
        <v>764</v>
      </c>
    </row>
    <row r="37329" spans="1:6" ht="12.75">
      <c r="A37329" s="2">
        <v>43875.072893518518</v>
      </c>
      <c r="B37329" t="str">
        <f>HYPERLINK("https://twitter.com/Azzam38875628","@Azzam38875628")</f>
        <v>@Azzam38875628</v>
      </c>
      <c r="C37329" t="s">
        <v>15343</v>
      </c>
      <c r="D37329">
        <v>0</v>
      </c>
      <c r="E37329">
        <v>0</v>
      </c>
      <c r="F37329">
        <v>74</v>
      </c>
    </row>
    <row r="37330" spans="1:6" ht="12.75">
      <c r="A37330" s="2">
        <v>43875.072870370372</v>
      </c>
      <c r="B37330" t="str">
        <f>HYPERLINK("https://twitter.com/PJustitia7","@PJustitia7")</f>
        <v>@PJustitia7</v>
      </c>
      <c r="C37330" t="s">
        <v>15344</v>
      </c>
      <c r="D37330">
        <v>0</v>
      </c>
      <c r="E37330">
        <v>0</v>
      </c>
      <c r="F37330">
        <v>650</v>
      </c>
    </row>
    <row r="37331" spans="1:6" ht="12.75">
      <c r="A37331" s="2">
        <v>43875.072858796295</v>
      </c>
      <c r="B37331" t="str">
        <f>HYPERLINK("https://twitter.com/padosgarwo1","@padosgarwo1")</f>
        <v>@padosgarwo1</v>
      </c>
      <c r="C37331" t="s">
        <v>175</v>
      </c>
      <c r="D37331">
        <v>5209</v>
      </c>
      <c r="E37331">
        <v>0</v>
      </c>
      <c r="F37331">
        <v>0</v>
      </c>
    </row>
    <row r="37332" spans="1:6" ht="12.75">
      <c r="A37332" s="2">
        <v>43875.072708333333</v>
      </c>
      <c r="B37332" t="str">
        <f>HYPERLINK("https://twitter.com/veraagustian_","@veraagustian_")</f>
        <v>@veraagustian_</v>
      </c>
      <c r="C37332" t="s">
        <v>9263</v>
      </c>
      <c r="D37332">
        <v>61</v>
      </c>
      <c r="E37332">
        <v>0</v>
      </c>
      <c r="F37332">
        <v>2944</v>
      </c>
    </row>
    <row r="37333" spans="1:6" ht="12.75">
      <c r="A37333" s="2">
        <v>43875.072627314818</v>
      </c>
      <c r="B37333" t="str">
        <f t="shared" ref="B37333:B37334" si="429">HYPERLINK("https://twitter.com/tianjona","@tianjona")</f>
        <v>@tianjona</v>
      </c>
      <c r="C37333" t="s">
        <v>6771</v>
      </c>
      <c r="D37333">
        <v>74</v>
      </c>
      <c r="E37333">
        <v>0</v>
      </c>
      <c r="F37333">
        <v>42</v>
      </c>
    </row>
    <row r="37334" spans="1:6" ht="12.75">
      <c r="A37334" s="2">
        <v>43875.072430555556</v>
      </c>
      <c r="B37334" t="str">
        <f t="shared" si="429"/>
        <v>@tianjona</v>
      </c>
      <c r="C37334" t="s">
        <v>10319</v>
      </c>
      <c r="D37334">
        <v>139</v>
      </c>
      <c r="E37334">
        <v>0</v>
      </c>
      <c r="F37334">
        <v>42</v>
      </c>
    </row>
    <row r="37335" spans="1:6" ht="12.75">
      <c r="A37335" s="2">
        <v>43875.072372685187</v>
      </c>
      <c r="B37335" t="str">
        <f>HYPERLINK("https://twitter.com/stevanustand","@stevanustand")</f>
        <v>@stevanustand</v>
      </c>
      <c r="C37335" t="s">
        <v>11071</v>
      </c>
      <c r="D37335">
        <v>49</v>
      </c>
      <c r="E37335">
        <v>0</v>
      </c>
      <c r="F37335">
        <v>1756</v>
      </c>
    </row>
    <row r="37336" spans="1:6" ht="12.75">
      <c r="A37336" s="2">
        <v>43875.072280092594</v>
      </c>
      <c r="B37336" t="str">
        <f>HYPERLINK("https://twitter.com/ZweiSusanto","@ZweiSusanto")</f>
        <v>@ZweiSusanto</v>
      </c>
      <c r="C37336" t="s">
        <v>9119</v>
      </c>
      <c r="D37336">
        <v>39</v>
      </c>
      <c r="E37336">
        <v>0</v>
      </c>
      <c r="F37336">
        <v>181</v>
      </c>
    </row>
    <row r="37337" spans="1:6" ht="12.75">
      <c r="A37337" s="2">
        <v>43875.072118055556</v>
      </c>
      <c r="B37337" t="str">
        <f t="shared" ref="B37337:B37338" si="430">HYPERLINK("https://twitter.com/salahsambungya","@salahsambungya")</f>
        <v>@salahsambungya</v>
      </c>
      <c r="C37337" t="s">
        <v>15345</v>
      </c>
      <c r="D37337">
        <v>1</v>
      </c>
      <c r="E37337">
        <v>0</v>
      </c>
      <c r="F37337">
        <v>5092</v>
      </c>
    </row>
    <row r="37338" spans="1:6" ht="12.75">
      <c r="A37338" s="2">
        <v>43875.072060185186</v>
      </c>
      <c r="B37338" t="str">
        <f t="shared" si="430"/>
        <v>@salahsambungya</v>
      </c>
      <c r="C37338" t="s">
        <v>15148</v>
      </c>
      <c r="D37338">
        <v>4</v>
      </c>
      <c r="E37338">
        <v>0</v>
      </c>
      <c r="F37338">
        <v>5092</v>
      </c>
    </row>
    <row r="37339" spans="1:6" ht="12.75">
      <c r="A37339" s="2">
        <v>43875.071967592594</v>
      </c>
      <c r="B37339" t="str">
        <f>HYPERLINK("https://twitter.com/justdriverz","@justdriverz")</f>
        <v>@justdriverz</v>
      </c>
      <c r="C37339" t="s">
        <v>175</v>
      </c>
      <c r="D37339">
        <v>5209</v>
      </c>
      <c r="E37339">
        <v>0</v>
      </c>
      <c r="F37339">
        <v>66</v>
      </c>
    </row>
    <row r="37340" spans="1:6" ht="12.75">
      <c r="A37340" s="2">
        <v>43875.071851851855</v>
      </c>
      <c r="B37340" t="str">
        <f>HYPERLINK("https://twitter.com/salahsambungya","@salahsambungya")</f>
        <v>@salahsambungya</v>
      </c>
      <c r="C37340" t="s">
        <v>15275</v>
      </c>
      <c r="D37340">
        <v>2</v>
      </c>
      <c r="E37340">
        <v>0</v>
      </c>
      <c r="F37340">
        <v>5092</v>
      </c>
    </row>
    <row r="37341" spans="1:6" ht="12.75">
      <c r="A37341" s="2">
        <v>43875.071805555555</v>
      </c>
      <c r="B37341" t="str">
        <f>HYPERLINK("https://twitter.com/drizthecreator","@drizthecreator")</f>
        <v>@drizthecreator</v>
      </c>
      <c r="C37341" t="s">
        <v>15346</v>
      </c>
      <c r="D37341">
        <v>0</v>
      </c>
      <c r="E37341">
        <v>0</v>
      </c>
      <c r="F37341">
        <v>990</v>
      </c>
    </row>
    <row r="37342" spans="1:6" ht="12.75">
      <c r="A37342" s="2">
        <v>43875.071562500001</v>
      </c>
      <c r="B37342" t="str">
        <f>HYPERLINK("https://twitter.com/Nitizen_Zen","@Nitizen_Zen")</f>
        <v>@Nitizen_Zen</v>
      </c>
      <c r="C37342" t="s">
        <v>15347</v>
      </c>
      <c r="D37342">
        <v>3</v>
      </c>
      <c r="E37342">
        <v>0</v>
      </c>
      <c r="F37342">
        <v>454</v>
      </c>
    </row>
    <row r="37343" spans="1:6" ht="12.75">
      <c r="A37343" s="2">
        <v>43875.071134259255</v>
      </c>
      <c r="B37343" t="str">
        <f>HYPERLINK("https://twitter.com/jehosuann","@jehosuann")</f>
        <v>@jehosuann</v>
      </c>
      <c r="C37343" t="s">
        <v>7411</v>
      </c>
      <c r="D37343">
        <v>127</v>
      </c>
      <c r="E37343">
        <v>0</v>
      </c>
      <c r="F37343">
        <v>79</v>
      </c>
    </row>
    <row r="37344" spans="1:6" ht="12.75">
      <c r="A37344" s="2">
        <v>43875.071053240739</v>
      </c>
      <c r="B37344" t="str">
        <f>HYPERLINK("https://twitter.com/Rahman_Nashir","@Rahman_Nashir")</f>
        <v>@Rahman_Nashir</v>
      </c>
      <c r="C37344" t="s">
        <v>11322</v>
      </c>
      <c r="D37344">
        <v>55</v>
      </c>
      <c r="E37344">
        <v>0</v>
      </c>
      <c r="F37344">
        <v>2925</v>
      </c>
    </row>
    <row r="37345" spans="1:6" ht="12.75">
      <c r="A37345" s="2">
        <v>43875.07099537037</v>
      </c>
      <c r="B37345" t="str">
        <f>HYPERLINK("https://twitter.com/jiraq","@jiraq")</f>
        <v>@jiraq</v>
      </c>
      <c r="C37345" t="s">
        <v>12794</v>
      </c>
      <c r="D37345">
        <v>65</v>
      </c>
      <c r="E37345">
        <v>0</v>
      </c>
      <c r="F37345">
        <v>2029</v>
      </c>
    </row>
    <row r="37346" spans="1:6" ht="12.75">
      <c r="A37346" s="2">
        <v>43875.07094907407</v>
      </c>
      <c r="B37346" t="str">
        <f>HYPERLINK("https://twitter.com/stevanustand","@stevanustand")</f>
        <v>@stevanustand</v>
      </c>
      <c r="C37346" t="s">
        <v>10397</v>
      </c>
      <c r="D37346">
        <v>65</v>
      </c>
      <c r="E37346">
        <v>0</v>
      </c>
      <c r="F37346">
        <v>1756</v>
      </c>
    </row>
    <row r="37347" spans="1:6" ht="12.75">
      <c r="A37347" s="2">
        <v>43875.070879629631</v>
      </c>
      <c r="B37347" t="str">
        <f>HYPERLINK("https://twitter.com/BinarisSitumor1","@BinarisSitumor1")</f>
        <v>@BinarisSitumor1</v>
      </c>
      <c r="C37347" t="s">
        <v>8720</v>
      </c>
      <c r="D37347">
        <v>37</v>
      </c>
      <c r="E37347">
        <v>0</v>
      </c>
      <c r="F37347">
        <v>280</v>
      </c>
    </row>
    <row r="37348" spans="1:6" ht="12.75">
      <c r="A37348" s="2">
        <v>43875.070729166662</v>
      </c>
      <c r="B37348" t="str">
        <f>HYPERLINK("https://twitter.com/SonHaji57795944","@SonHaji57795944")</f>
        <v>@SonHaji57795944</v>
      </c>
      <c r="C37348" t="s">
        <v>11322</v>
      </c>
      <c r="D37348">
        <v>55</v>
      </c>
      <c r="E37348">
        <v>0</v>
      </c>
      <c r="F37348">
        <v>73</v>
      </c>
    </row>
    <row r="37349" spans="1:6" ht="12.75">
      <c r="A37349" s="2">
        <v>43875.070706018523</v>
      </c>
      <c r="B37349" t="str">
        <f>HYPERLINK("https://twitter.com/bangcepe7","@bangcepe7")</f>
        <v>@bangcepe7</v>
      </c>
      <c r="C37349" t="s">
        <v>12679</v>
      </c>
      <c r="D37349">
        <v>715</v>
      </c>
      <c r="E37349">
        <v>0</v>
      </c>
      <c r="F37349">
        <v>548</v>
      </c>
    </row>
    <row r="37350" spans="1:6" ht="12.75">
      <c r="A37350" s="2">
        <v>43875.070439814815</v>
      </c>
      <c r="B37350" t="str">
        <f>HYPERLINK("https://twitter.com/jehosuann","@jehosuann")</f>
        <v>@jehosuann</v>
      </c>
      <c r="C37350" t="s">
        <v>15005</v>
      </c>
      <c r="D37350">
        <v>60</v>
      </c>
      <c r="E37350">
        <v>0</v>
      </c>
      <c r="F37350">
        <v>79</v>
      </c>
    </row>
    <row r="37351" spans="1:6" ht="12.75">
      <c r="A37351" s="2">
        <v>43875.069467592592</v>
      </c>
      <c r="B37351" t="str">
        <f>HYPERLINK("https://twitter.com/triemankys","@triemankys")</f>
        <v>@triemankys</v>
      </c>
      <c r="C37351" t="s">
        <v>15348</v>
      </c>
      <c r="D37351">
        <v>0</v>
      </c>
      <c r="E37351">
        <v>0</v>
      </c>
      <c r="F37351">
        <v>58</v>
      </c>
    </row>
    <row r="37352" spans="1:6" ht="12.75">
      <c r="A37352" s="2">
        <v>43875.069201388891</v>
      </c>
      <c r="B37352" t="str">
        <f>HYPERLINK("https://twitter.com/spheniscidaeDO","@spheniscidaeDO")</f>
        <v>@spheniscidaeDO</v>
      </c>
      <c r="C37352" t="s">
        <v>5168</v>
      </c>
      <c r="D37352">
        <v>327</v>
      </c>
      <c r="E37352">
        <v>0</v>
      </c>
      <c r="F37352">
        <v>631</v>
      </c>
    </row>
    <row r="37353" spans="1:6" ht="12.75">
      <c r="A37353" s="2">
        <v>43875.068923611107</v>
      </c>
      <c r="B37353" t="str">
        <f>HYPERLINK("https://twitter.com/veryluckylady88","@veryluckylady88")</f>
        <v>@veryluckylady88</v>
      </c>
      <c r="C37353" t="s">
        <v>15349</v>
      </c>
      <c r="D37353">
        <v>5</v>
      </c>
      <c r="E37353">
        <v>0</v>
      </c>
      <c r="F37353">
        <v>10136</v>
      </c>
    </row>
    <row r="37354" spans="1:6" ht="12.75">
      <c r="A37354" s="2">
        <v>43875.068807870368</v>
      </c>
      <c r="B37354" t="str">
        <f>HYPERLINK("https://twitter.com/ZweiSusanto","@ZweiSusanto")</f>
        <v>@ZweiSusanto</v>
      </c>
      <c r="C37354" t="s">
        <v>9538</v>
      </c>
      <c r="D37354">
        <v>69</v>
      </c>
      <c r="E37354">
        <v>0</v>
      </c>
      <c r="F37354">
        <v>181</v>
      </c>
    </row>
    <row r="37355" spans="1:6" ht="12.75">
      <c r="A37355" s="2">
        <v>43875.068749999999</v>
      </c>
      <c r="B37355" t="str">
        <f>HYPERLINK("https://twitter.com/koecing_pasar","@koecing_pasar")</f>
        <v>@koecing_pasar</v>
      </c>
      <c r="C37355" t="s">
        <v>15350</v>
      </c>
      <c r="D37355">
        <v>0</v>
      </c>
      <c r="E37355">
        <v>0</v>
      </c>
      <c r="F37355">
        <v>1217</v>
      </c>
    </row>
    <row r="37356" spans="1:6" ht="12.75">
      <c r="A37356" s="2">
        <v>43875.06858796296</v>
      </c>
      <c r="B37356" t="str">
        <f>HYPERLINK("https://twitter.com/Bhaggava","@Bhaggava")</f>
        <v>@Bhaggava</v>
      </c>
      <c r="C37356" t="s">
        <v>15351</v>
      </c>
      <c r="D37356">
        <v>0</v>
      </c>
      <c r="E37356">
        <v>0</v>
      </c>
      <c r="F37356">
        <v>23</v>
      </c>
    </row>
    <row r="37357" spans="1:6" ht="12.75">
      <c r="A37357" s="2">
        <v>43875.068113425921</v>
      </c>
      <c r="B37357" t="str">
        <f>HYPERLINK("https://twitter.com/hendra0201","@hendra0201")</f>
        <v>@hendra0201</v>
      </c>
      <c r="C37357" t="s">
        <v>6355</v>
      </c>
      <c r="D37357">
        <v>237</v>
      </c>
      <c r="E37357">
        <v>0</v>
      </c>
      <c r="F37357">
        <v>1175</v>
      </c>
    </row>
    <row r="37358" spans="1:6" ht="12.75">
      <c r="A37358" s="2">
        <v>43875.067858796298</v>
      </c>
      <c r="B37358" t="str">
        <f>HYPERLINK("https://twitter.com/sedodd23","@sedodd23")</f>
        <v>@sedodd23</v>
      </c>
      <c r="C37358" t="s">
        <v>15352</v>
      </c>
      <c r="D37358">
        <v>0</v>
      </c>
      <c r="E37358">
        <v>0</v>
      </c>
      <c r="F37358">
        <v>155</v>
      </c>
    </row>
    <row r="37359" spans="1:6" ht="12.75">
      <c r="A37359" s="2">
        <v>43875.067858796298</v>
      </c>
      <c r="B37359" t="str">
        <f>HYPERLINK("https://twitter.com/SenoWaee","@SenoWaee")</f>
        <v>@SenoWaee</v>
      </c>
      <c r="C37359" t="s">
        <v>8233</v>
      </c>
      <c r="D37359">
        <v>243</v>
      </c>
      <c r="E37359">
        <v>0</v>
      </c>
      <c r="F37359">
        <v>1831</v>
      </c>
    </row>
    <row r="37360" spans="1:6" ht="12.75">
      <c r="A37360" s="2">
        <v>43875.067847222221</v>
      </c>
      <c r="B37360" t="str">
        <f>HYPERLINK("https://twitter.com/SonHaji57795944","@SonHaji57795944")</f>
        <v>@SonHaji57795944</v>
      </c>
      <c r="C37360" t="s">
        <v>10196</v>
      </c>
      <c r="D37360">
        <v>116</v>
      </c>
      <c r="E37360">
        <v>0</v>
      </c>
      <c r="F37360">
        <v>73</v>
      </c>
    </row>
    <row r="37361" spans="1:6" ht="12.75">
      <c r="A37361" s="2">
        <v>43875.067777777775</v>
      </c>
      <c r="B37361" t="str">
        <f>HYPERLINK("https://twitter.com/ranirikast","@ranirikast")</f>
        <v>@ranirikast</v>
      </c>
      <c r="C37361" t="s">
        <v>7803</v>
      </c>
      <c r="D37361">
        <v>287</v>
      </c>
      <c r="E37361">
        <v>0</v>
      </c>
      <c r="F37361">
        <v>216</v>
      </c>
    </row>
    <row r="37362" spans="1:6" ht="12.75">
      <c r="A37362" s="2">
        <v>43875.067372685182</v>
      </c>
      <c r="B37362" t="str">
        <f>HYPERLINK("https://twitter.com/sarcasmincess","@sarcasmincess")</f>
        <v>@sarcasmincess</v>
      </c>
      <c r="C37362" t="s">
        <v>15353</v>
      </c>
      <c r="D37362">
        <v>0</v>
      </c>
      <c r="E37362">
        <v>0</v>
      </c>
      <c r="F37362">
        <v>238</v>
      </c>
    </row>
    <row r="37363" spans="1:6" ht="12.75">
      <c r="A37363" s="2">
        <v>43875.066944444443</v>
      </c>
      <c r="B37363" t="str">
        <f>HYPERLINK("https://twitter.com/becak125cc","@becak125cc")</f>
        <v>@becak125cc</v>
      </c>
      <c r="C37363" t="s">
        <v>8394</v>
      </c>
      <c r="D37363">
        <v>21</v>
      </c>
      <c r="E37363">
        <v>0</v>
      </c>
      <c r="F37363">
        <v>495</v>
      </c>
    </row>
    <row r="37364" spans="1:6" ht="12.75">
      <c r="A37364" s="2">
        <v>43875.066655092596</v>
      </c>
      <c r="B37364" t="str">
        <f>HYPERLINK("https://twitter.com/SenoWaee","@SenoWaee")</f>
        <v>@SenoWaee</v>
      </c>
      <c r="C37364" t="s">
        <v>15354</v>
      </c>
      <c r="D37364">
        <v>32</v>
      </c>
      <c r="E37364">
        <v>0</v>
      </c>
      <c r="F37364">
        <v>1831</v>
      </c>
    </row>
    <row r="37365" spans="1:6" ht="12.75">
      <c r="A37365" s="2">
        <v>43875.06659722222</v>
      </c>
      <c r="B37365" t="str">
        <f>HYPERLINK("https://twitter.com/becak125cc","@becak125cc")</f>
        <v>@becak125cc</v>
      </c>
      <c r="C37365" t="s">
        <v>14861</v>
      </c>
      <c r="D37365">
        <v>12</v>
      </c>
      <c r="E37365">
        <v>0</v>
      </c>
      <c r="F37365">
        <v>495</v>
      </c>
    </row>
    <row r="37366" spans="1:6" ht="12.75">
      <c r="A37366" s="2">
        <v>43875.066516203704</v>
      </c>
      <c r="B37366" t="str">
        <f>HYPERLINK("https://twitter.com/ArdianAndreas","@ArdianAndreas")</f>
        <v>@ArdianAndreas</v>
      </c>
      <c r="C37366" t="s">
        <v>15355</v>
      </c>
      <c r="D37366">
        <v>0</v>
      </c>
      <c r="E37366">
        <v>0</v>
      </c>
      <c r="F37366">
        <v>168</v>
      </c>
    </row>
    <row r="37367" spans="1:6" ht="12.75">
      <c r="A37367" s="2">
        <v>43875.066400462965</v>
      </c>
      <c r="B37367" t="str">
        <f>HYPERLINK("https://twitter.com/Anahisinvida","@Anahisinvida")</f>
        <v>@Anahisinvida</v>
      </c>
      <c r="C37367" t="s">
        <v>15356</v>
      </c>
      <c r="D37367">
        <v>0</v>
      </c>
      <c r="E37367">
        <v>0</v>
      </c>
      <c r="F37367">
        <v>783</v>
      </c>
    </row>
    <row r="37368" spans="1:6" ht="12.75">
      <c r="A37368" s="2">
        <v>43875.066261574073</v>
      </c>
      <c r="B37368" t="str">
        <f>HYPERLINK("https://twitter.com/SenoWaee","@SenoWaee")</f>
        <v>@SenoWaee</v>
      </c>
      <c r="C37368" t="s">
        <v>12849</v>
      </c>
      <c r="D37368">
        <v>56</v>
      </c>
      <c r="E37368">
        <v>0</v>
      </c>
      <c r="F37368">
        <v>1831</v>
      </c>
    </row>
    <row r="37369" spans="1:6" ht="12.75">
      <c r="A37369" s="2">
        <v>43875.066111111111</v>
      </c>
      <c r="B37369" t="str">
        <f>HYPERLINK("https://twitter.com/sukabbanjar","@sukabbanjar")</f>
        <v>@sukabbanjar</v>
      </c>
      <c r="C37369" t="s">
        <v>11167</v>
      </c>
      <c r="D37369">
        <v>150</v>
      </c>
      <c r="E37369">
        <v>0</v>
      </c>
      <c r="F37369">
        <v>26</v>
      </c>
    </row>
    <row r="37370" spans="1:6" ht="12.75">
      <c r="A37370" s="2">
        <v>43875.066064814819</v>
      </c>
      <c r="B37370" t="str">
        <f>HYPERLINK("https://twitter.com/becak125cc","@becak125cc")</f>
        <v>@becak125cc</v>
      </c>
      <c r="C37370" t="s">
        <v>11659</v>
      </c>
      <c r="D37370">
        <v>63</v>
      </c>
      <c r="E37370">
        <v>0</v>
      </c>
      <c r="F37370">
        <v>495</v>
      </c>
    </row>
    <row r="37371" spans="1:6" ht="12.75">
      <c r="A37371" s="2">
        <v>43875.06585648148</v>
      </c>
      <c r="B37371" t="str">
        <f>HYPERLINK("https://twitter.com/Agusta_515","@Agusta_515")</f>
        <v>@Agusta_515</v>
      </c>
      <c r="C37371" t="s">
        <v>15357</v>
      </c>
      <c r="D37371">
        <v>0</v>
      </c>
      <c r="E37371">
        <v>0</v>
      </c>
      <c r="F37371">
        <v>600</v>
      </c>
    </row>
    <row r="37372" spans="1:6" ht="12.75">
      <c r="A37372" s="2">
        <v>43875.06585648148</v>
      </c>
      <c r="B37372" t="str">
        <f>HYPERLINK("https://twitter.com/venomize","@venomize")</f>
        <v>@venomize</v>
      </c>
      <c r="C37372" t="s">
        <v>15358</v>
      </c>
      <c r="D37372">
        <v>0</v>
      </c>
      <c r="E37372">
        <v>1</v>
      </c>
      <c r="F37372">
        <v>492</v>
      </c>
    </row>
    <row r="37373" spans="1:6" ht="12.75">
      <c r="A37373" s="2">
        <v>43875.065821759257</v>
      </c>
      <c r="B37373" t="str">
        <f t="shared" ref="B37373:B37374" si="431">HYPERLINK("https://twitter.com/becak125cc","@becak125cc")</f>
        <v>@becak125cc</v>
      </c>
      <c r="C37373" t="s">
        <v>12450</v>
      </c>
      <c r="D37373">
        <v>71</v>
      </c>
      <c r="E37373">
        <v>0</v>
      </c>
      <c r="F37373">
        <v>495</v>
      </c>
    </row>
    <row r="37374" spans="1:6" ht="12.75">
      <c r="A37374" s="2">
        <v>43875.065717592588</v>
      </c>
      <c r="B37374" t="str">
        <f t="shared" si="431"/>
        <v>@becak125cc</v>
      </c>
      <c r="C37374" t="s">
        <v>11390</v>
      </c>
      <c r="D37374">
        <v>69</v>
      </c>
      <c r="E37374">
        <v>0</v>
      </c>
      <c r="F37374">
        <v>495</v>
      </c>
    </row>
    <row r="37375" spans="1:6" ht="12.75">
      <c r="A37375" s="2">
        <v>43875.065717592588</v>
      </c>
      <c r="B37375" t="str">
        <f>HYPERLINK("https://twitter.com/SenoWaee","@SenoWaee")</f>
        <v>@SenoWaee</v>
      </c>
      <c r="C37375" t="s">
        <v>10190</v>
      </c>
      <c r="D37375">
        <v>14</v>
      </c>
      <c r="E37375">
        <v>0</v>
      </c>
      <c r="F37375">
        <v>1831</v>
      </c>
    </row>
    <row r="37376" spans="1:6" ht="12.75">
      <c r="A37376" s="2">
        <v>43875.065671296295</v>
      </c>
      <c r="B37376" t="str">
        <f>HYPERLINK("https://twitter.com/koecing_pasar","@koecing_pasar")</f>
        <v>@koecing_pasar</v>
      </c>
      <c r="C37376" t="s">
        <v>15359</v>
      </c>
      <c r="D37376">
        <v>4</v>
      </c>
      <c r="E37376">
        <v>0</v>
      </c>
      <c r="F37376">
        <v>1217</v>
      </c>
    </row>
    <row r="37377" spans="1:6" ht="12.75">
      <c r="A37377" s="2">
        <v>43875.065648148149</v>
      </c>
      <c r="B37377" t="str">
        <f>HYPERLINK("https://twitter.com/becak125cc","@becak125cc")</f>
        <v>@becak125cc</v>
      </c>
      <c r="C37377" t="s">
        <v>5624</v>
      </c>
      <c r="D37377">
        <v>105</v>
      </c>
      <c r="E37377">
        <v>0</v>
      </c>
      <c r="F37377">
        <v>495</v>
      </c>
    </row>
    <row r="37378" spans="1:6" ht="12.75">
      <c r="A37378" s="2">
        <v>43875.065462962964</v>
      </c>
      <c r="B37378" t="str">
        <f>HYPERLINK("https://twitter.com/Nitizen_Zen","@Nitizen_Zen")</f>
        <v>@Nitizen_Zen</v>
      </c>
      <c r="C37378" t="s">
        <v>14861</v>
      </c>
      <c r="D37378">
        <v>12</v>
      </c>
      <c r="E37378">
        <v>0</v>
      </c>
      <c r="F37378">
        <v>454</v>
      </c>
    </row>
    <row r="37379" spans="1:6" ht="12.75">
      <c r="A37379" s="2">
        <v>43875.065428240741</v>
      </c>
      <c r="B37379" t="str">
        <f>HYPERLINK("https://twitter.com/GaniSetyanto","@GaniSetyanto")</f>
        <v>@GaniSetyanto</v>
      </c>
      <c r="C37379" t="s">
        <v>175</v>
      </c>
      <c r="D37379">
        <v>5209</v>
      </c>
      <c r="E37379">
        <v>0</v>
      </c>
      <c r="F37379">
        <v>31</v>
      </c>
    </row>
    <row r="37380" spans="1:6" ht="12.75">
      <c r="A37380" s="2">
        <v>43875.065196759257</v>
      </c>
      <c r="B37380" t="str">
        <f>HYPERLINK("https://twitter.com/audiseptiani","@audiseptiani")</f>
        <v>@audiseptiani</v>
      </c>
      <c r="C37380" t="s">
        <v>7411</v>
      </c>
      <c r="D37380">
        <v>127</v>
      </c>
      <c r="E37380">
        <v>0</v>
      </c>
      <c r="F37380">
        <v>3053</v>
      </c>
    </row>
    <row r="37381" spans="1:6" ht="12.75">
      <c r="A37381" s="2">
        <v>43875.065196759257</v>
      </c>
      <c r="B37381" t="str">
        <f>HYPERLINK("https://twitter.com/olivia_aletea","@olivia_aletea")</f>
        <v>@olivia_aletea</v>
      </c>
      <c r="C37381" t="s">
        <v>15228</v>
      </c>
      <c r="D37381">
        <v>34</v>
      </c>
      <c r="E37381">
        <v>0</v>
      </c>
      <c r="F37381">
        <v>77</v>
      </c>
    </row>
    <row r="37382" spans="1:6" ht="12.75">
      <c r="A37382" s="2">
        <v>43875.065185185187</v>
      </c>
      <c r="B37382" t="str">
        <f>HYPERLINK("https://twitter.com/GmayelAmen","@GmayelAmen")</f>
        <v>@GmayelAmen</v>
      </c>
      <c r="C37382" t="s">
        <v>15103</v>
      </c>
      <c r="D37382">
        <v>45</v>
      </c>
      <c r="E37382">
        <v>0</v>
      </c>
      <c r="F37382">
        <v>1263</v>
      </c>
    </row>
    <row r="37383" spans="1:6" ht="12.75">
      <c r="A37383" s="2">
        <v>43875.065011574072</v>
      </c>
      <c r="B37383" t="str">
        <f>HYPERLINK("https://twitter.com/audiseptiani","@audiseptiani")</f>
        <v>@audiseptiani</v>
      </c>
      <c r="C37383" t="s">
        <v>8881</v>
      </c>
      <c r="D37383">
        <v>242</v>
      </c>
      <c r="E37383">
        <v>0</v>
      </c>
      <c r="F37383">
        <v>3053</v>
      </c>
    </row>
    <row r="37384" spans="1:6" ht="12.75">
      <c r="A37384" s="2">
        <v>43875.065000000002</v>
      </c>
      <c r="B37384" t="str">
        <f>HYPERLINK("https://twitter.com/agatya_cn","@agatya_cn")</f>
        <v>@agatya_cn</v>
      </c>
      <c r="C37384" t="s">
        <v>15360</v>
      </c>
      <c r="D37384">
        <v>2</v>
      </c>
      <c r="E37384">
        <v>0</v>
      </c>
      <c r="F37384">
        <v>139</v>
      </c>
    </row>
    <row r="37385" spans="1:6" ht="12.75">
      <c r="A37385" s="2">
        <v>43875.064872685187</v>
      </c>
      <c r="B37385" t="str">
        <f>HYPERLINK("https://twitter.com/permbambungan","@permbambungan")</f>
        <v>@permbambungan</v>
      </c>
      <c r="C37385" t="s">
        <v>54</v>
      </c>
      <c r="D37385">
        <v>0</v>
      </c>
      <c r="E37385">
        <v>0</v>
      </c>
      <c r="F37385">
        <v>100</v>
      </c>
    </row>
    <row r="37386" spans="1:6" ht="12.75">
      <c r="A37386" s="2">
        <v>43875.064722222218</v>
      </c>
      <c r="B37386" t="str">
        <f>HYPERLINK("https://twitter.com/Nawat_Adws","@Nawat_Adws")</f>
        <v>@Nawat_Adws</v>
      </c>
      <c r="C37386" t="s">
        <v>15361</v>
      </c>
      <c r="D37386">
        <v>0</v>
      </c>
      <c r="E37386">
        <v>0</v>
      </c>
      <c r="F37386">
        <v>1123</v>
      </c>
    </row>
    <row r="37387" spans="1:6" ht="12.75">
      <c r="A37387" s="2">
        <v>43875.064675925925</v>
      </c>
      <c r="B37387" t="str">
        <f>HYPERLINK("https://twitter.com/Nitizen_Zen","@Nitizen_Zen")</f>
        <v>@Nitizen_Zen</v>
      </c>
      <c r="C37387" t="s">
        <v>13286</v>
      </c>
      <c r="D37387">
        <v>5</v>
      </c>
      <c r="E37387">
        <v>0</v>
      </c>
      <c r="F37387">
        <v>454</v>
      </c>
    </row>
    <row r="37388" spans="1:6" ht="12.75">
      <c r="A37388" s="2">
        <v>43875.06454861111</v>
      </c>
      <c r="B37388" t="str">
        <f>HYPERLINK("https://twitter.com/Ji39602453","@Ji39602453")</f>
        <v>@Ji39602453</v>
      </c>
      <c r="C37388" t="s">
        <v>11764</v>
      </c>
      <c r="D37388">
        <v>24</v>
      </c>
      <c r="E37388">
        <v>0</v>
      </c>
      <c r="F37388">
        <v>237</v>
      </c>
    </row>
    <row r="37389" spans="1:6" ht="12.75">
      <c r="A37389" s="2">
        <v>43875.064444444448</v>
      </c>
      <c r="B37389" t="str">
        <f>HYPERLINK("https://twitter.com/PPNG_DRF","@PPNG_DRF")</f>
        <v>@PPNG_DRF</v>
      </c>
      <c r="C37389" t="s">
        <v>15362</v>
      </c>
      <c r="D37389">
        <v>0</v>
      </c>
      <c r="E37389">
        <v>0</v>
      </c>
      <c r="F37389">
        <v>442</v>
      </c>
    </row>
    <row r="37390" spans="1:6" ht="12.75">
      <c r="A37390" s="2">
        <v>43875.064189814817</v>
      </c>
      <c r="B37390" t="str">
        <f>HYPERLINK("https://twitter.com/RaharjoAditya","@RaharjoAditya")</f>
        <v>@RaharjoAditya</v>
      </c>
      <c r="C37390" t="s">
        <v>15363</v>
      </c>
      <c r="D37390">
        <v>354</v>
      </c>
      <c r="E37390">
        <v>0</v>
      </c>
      <c r="F37390">
        <v>208</v>
      </c>
    </row>
    <row r="37391" spans="1:6" ht="12.75">
      <c r="A37391" s="2">
        <v>43875.063831018517</v>
      </c>
      <c r="B37391" t="str">
        <f>HYPERLINK("https://twitter.com/Nitizen_Zen","@Nitizen_Zen")</f>
        <v>@Nitizen_Zen</v>
      </c>
      <c r="C37391" t="s">
        <v>12940</v>
      </c>
      <c r="D37391">
        <v>92</v>
      </c>
      <c r="E37391">
        <v>0</v>
      </c>
      <c r="F37391">
        <v>454</v>
      </c>
    </row>
    <row r="37392" spans="1:6" ht="12.75">
      <c r="A37392" s="2">
        <v>43875.063634259262</v>
      </c>
      <c r="B37392" t="str">
        <f>HYPERLINK("https://twitter.com/Sya_Stark","@Sya_Stark")</f>
        <v>@Sya_Stark</v>
      </c>
      <c r="C37392" t="s">
        <v>15364</v>
      </c>
      <c r="D37392">
        <v>0</v>
      </c>
      <c r="E37392">
        <v>0</v>
      </c>
      <c r="F37392">
        <v>12</v>
      </c>
    </row>
    <row r="37393" spans="1:6" ht="12.75">
      <c r="A37393" s="2">
        <v>43875.063611111109</v>
      </c>
      <c r="B37393" t="str">
        <f>HYPERLINK("https://twitter.com/becak125cc","@becak125cc")</f>
        <v>@becak125cc</v>
      </c>
      <c r="C37393" t="s">
        <v>7390</v>
      </c>
      <c r="D37393">
        <v>74</v>
      </c>
      <c r="E37393">
        <v>0</v>
      </c>
      <c r="F37393">
        <v>495</v>
      </c>
    </row>
    <row r="37394" spans="1:6" ht="12.75">
      <c r="A37394" s="2">
        <v>43875.063564814816</v>
      </c>
      <c r="B37394" t="str">
        <f>HYPERLINK("https://twitter.com/koecing_pasar","@koecing_pasar")</f>
        <v>@koecing_pasar</v>
      </c>
      <c r="C37394" t="s">
        <v>9113</v>
      </c>
      <c r="D37394">
        <v>227</v>
      </c>
      <c r="E37394">
        <v>0</v>
      </c>
      <c r="F37394">
        <v>1217</v>
      </c>
    </row>
    <row r="37395" spans="1:6" ht="12.75">
      <c r="A37395" s="2">
        <v>43875.063564814816</v>
      </c>
      <c r="B37395" t="str">
        <f>HYPERLINK("https://twitter.com/becak125cc","@becak125cc")</f>
        <v>@becak125cc</v>
      </c>
      <c r="C37395" t="s">
        <v>11451</v>
      </c>
      <c r="D37395">
        <v>83</v>
      </c>
      <c r="E37395">
        <v>0</v>
      </c>
      <c r="F37395">
        <v>495</v>
      </c>
    </row>
    <row r="37396" spans="1:6" ht="12.75">
      <c r="A37396" s="2">
        <v>43875.063425925924</v>
      </c>
      <c r="B37396" t="str">
        <f>HYPERLINK("https://twitter.com/AryadiNursanto1","@AryadiNursanto1")</f>
        <v>@AryadiNursanto1</v>
      </c>
      <c r="C37396" t="s">
        <v>10875</v>
      </c>
      <c r="D37396">
        <v>287</v>
      </c>
      <c r="E37396">
        <v>0</v>
      </c>
      <c r="F37396">
        <v>12</v>
      </c>
    </row>
    <row r="37397" spans="1:6" ht="12.75">
      <c r="A37397" s="2">
        <v>43875.063217592593</v>
      </c>
      <c r="B37397" t="str">
        <f>HYPERLINK("https://twitter.com/77bayoe","@77bayoe")</f>
        <v>@77bayoe</v>
      </c>
      <c r="C37397" t="s">
        <v>15365</v>
      </c>
      <c r="D37397">
        <v>2</v>
      </c>
      <c r="E37397">
        <v>0</v>
      </c>
      <c r="F37397">
        <v>2201</v>
      </c>
    </row>
    <row r="37398" spans="1:6" ht="12.75">
      <c r="A37398" s="2">
        <v>43875.063194444447</v>
      </c>
      <c r="B37398" t="str">
        <f>HYPERLINK("https://twitter.com/harihariono1","@harihariono1")</f>
        <v>@harihariono1</v>
      </c>
      <c r="C37398" t="s">
        <v>15347</v>
      </c>
      <c r="D37398">
        <v>3</v>
      </c>
      <c r="E37398">
        <v>0</v>
      </c>
      <c r="F37398">
        <v>9328</v>
      </c>
    </row>
    <row r="37399" spans="1:6" ht="12.75">
      <c r="A37399" s="2">
        <v>43875.062557870369</v>
      </c>
      <c r="B37399" t="str">
        <f t="shared" ref="B37399:B37400" si="432">HYPERLINK("https://twitter.com/veraagustian_","@veraagustian_")</f>
        <v>@veraagustian_</v>
      </c>
      <c r="C37399" t="s">
        <v>12332</v>
      </c>
      <c r="D37399">
        <v>48</v>
      </c>
      <c r="E37399">
        <v>0</v>
      </c>
      <c r="F37399">
        <v>2944</v>
      </c>
    </row>
    <row r="37400" spans="1:6" ht="12.75">
      <c r="A37400" s="2">
        <v>43875.062534722223</v>
      </c>
      <c r="B37400" t="str">
        <f t="shared" si="432"/>
        <v>@veraagustian_</v>
      </c>
      <c r="C37400" t="s">
        <v>12906</v>
      </c>
      <c r="D37400">
        <v>55</v>
      </c>
      <c r="E37400">
        <v>0</v>
      </c>
      <c r="F37400">
        <v>2944</v>
      </c>
    </row>
    <row r="37401" spans="1:6" ht="12.75">
      <c r="A37401" s="2">
        <v>43875.062349537038</v>
      </c>
      <c r="B37401" t="str">
        <f>HYPERLINK("https://twitter.com/lukmanalwahid","@lukmanalwahid")</f>
        <v>@lukmanalwahid</v>
      </c>
      <c r="C37401" t="s">
        <v>15366</v>
      </c>
      <c r="D37401">
        <v>0</v>
      </c>
      <c r="E37401">
        <v>0</v>
      </c>
      <c r="F37401">
        <v>43</v>
      </c>
    </row>
    <row r="37402" spans="1:6" ht="12.75">
      <c r="A37402" s="2">
        <v>43875.062071759261</v>
      </c>
      <c r="B37402" t="str">
        <f>HYPERLINK("https://twitter.com/sarcasmincess","@sarcasmincess")</f>
        <v>@sarcasmincess</v>
      </c>
      <c r="C37402" t="s">
        <v>15367</v>
      </c>
      <c r="D37402">
        <v>0</v>
      </c>
      <c r="E37402">
        <v>1</v>
      </c>
      <c r="F37402">
        <v>238</v>
      </c>
    </row>
    <row r="37403" spans="1:6" ht="12.75">
      <c r="A37403" s="2">
        <v>43875.061874999999</v>
      </c>
      <c r="B37403" t="str">
        <f>HYPERLINK("https://twitter.com/Piala96676876","@Piala96676876")</f>
        <v>@Piala96676876</v>
      </c>
      <c r="C37403" t="s">
        <v>15368</v>
      </c>
      <c r="D37403">
        <v>0</v>
      </c>
      <c r="E37403">
        <v>1</v>
      </c>
      <c r="F37403">
        <v>1145</v>
      </c>
    </row>
    <row r="37404" spans="1:6" ht="12.75">
      <c r="A37404" s="2">
        <v>43875.061874999999</v>
      </c>
      <c r="B37404" t="str">
        <f>HYPERLINK("https://twitter.com/agatya_cn","@agatya_cn")</f>
        <v>@agatya_cn</v>
      </c>
      <c r="C37404" t="s">
        <v>10462</v>
      </c>
      <c r="D37404">
        <v>220</v>
      </c>
      <c r="E37404">
        <v>0</v>
      </c>
      <c r="F37404">
        <v>139</v>
      </c>
    </row>
    <row r="37405" spans="1:6" ht="12.75">
      <c r="A37405" s="2">
        <v>43875.061828703707</v>
      </c>
      <c r="B37405" t="str">
        <f>HYPERLINK("https://twitter.com/lindz_lin","@lindz_lin")</f>
        <v>@lindz_lin</v>
      </c>
      <c r="C37405" t="s">
        <v>175</v>
      </c>
      <c r="D37405">
        <v>5209</v>
      </c>
      <c r="E37405">
        <v>0</v>
      </c>
      <c r="F37405">
        <v>61</v>
      </c>
    </row>
    <row r="37406" spans="1:6" ht="12.75">
      <c r="A37406" s="2">
        <v>43875.061736111107</v>
      </c>
      <c r="B37406" t="str">
        <f>HYPERLINK("https://twitter.com/agatya_cn","@agatya_cn")</f>
        <v>@agatya_cn</v>
      </c>
      <c r="C37406" t="s">
        <v>13712</v>
      </c>
      <c r="D37406">
        <v>26</v>
      </c>
      <c r="E37406">
        <v>0</v>
      </c>
      <c r="F37406">
        <v>139</v>
      </c>
    </row>
    <row r="37407" spans="1:6" ht="12.75">
      <c r="A37407" s="2">
        <v>43875.061666666668</v>
      </c>
      <c r="B37407" t="str">
        <f>HYPERLINK("https://twitter.com/becak125cc","@becak125cc")</f>
        <v>@becak125cc</v>
      </c>
      <c r="C37407" t="s">
        <v>11566</v>
      </c>
      <c r="D37407">
        <v>92</v>
      </c>
      <c r="E37407">
        <v>0</v>
      </c>
      <c r="F37407">
        <v>495</v>
      </c>
    </row>
    <row r="37408" spans="1:6" ht="12.75">
      <c r="A37408" s="2">
        <v>43875.061631944445</v>
      </c>
      <c r="B37408" t="str">
        <f>HYPERLINK("https://twitter.com/RicoPreivet","@RicoPreivet")</f>
        <v>@RicoPreivet</v>
      </c>
      <c r="C37408" t="s">
        <v>5168</v>
      </c>
      <c r="D37408">
        <v>327</v>
      </c>
      <c r="E37408">
        <v>0</v>
      </c>
      <c r="F37408">
        <v>14607</v>
      </c>
    </row>
    <row r="37409" spans="1:6" ht="12.75">
      <c r="A37409" s="2">
        <v>43875.061469907407</v>
      </c>
      <c r="B37409" t="str">
        <f>HYPERLINK("https://twitter.com/GASSPOL12","@GASSPOL12")</f>
        <v>@GASSPOL12</v>
      </c>
      <c r="C37409" t="s">
        <v>11425</v>
      </c>
      <c r="D37409">
        <v>169</v>
      </c>
      <c r="E37409">
        <v>0</v>
      </c>
      <c r="F37409">
        <v>113</v>
      </c>
    </row>
    <row r="37410" spans="1:6" ht="12.75">
      <c r="A37410" s="2">
        <v>43875.061469907407</v>
      </c>
      <c r="B37410" t="str">
        <f>HYPERLINK("https://twitter.com/becak125cc","@becak125cc")</f>
        <v>@becak125cc</v>
      </c>
      <c r="C37410" t="s">
        <v>10462</v>
      </c>
      <c r="D37410">
        <v>220</v>
      </c>
      <c r="E37410">
        <v>0</v>
      </c>
      <c r="F37410">
        <v>495</v>
      </c>
    </row>
    <row r="37411" spans="1:6" ht="12.75">
      <c r="A37411" s="2">
        <v>43875.061365740738</v>
      </c>
      <c r="B37411" t="str">
        <f>HYPERLINK("https://twitter.com/ndaru_wardani","@ndaru_wardani")</f>
        <v>@ndaru_wardani</v>
      </c>
      <c r="C37411" t="s">
        <v>15369</v>
      </c>
      <c r="D37411">
        <v>2</v>
      </c>
      <c r="E37411">
        <v>0</v>
      </c>
      <c r="F37411">
        <v>265</v>
      </c>
    </row>
    <row r="37412" spans="1:6" ht="12.75">
      <c r="A37412" s="2">
        <v>43875.06113425926</v>
      </c>
      <c r="B37412" t="str">
        <f>HYPERLINK("https://twitter.com/mariagabriee","@mariagabriee")</f>
        <v>@mariagabriee</v>
      </c>
      <c r="C37412" t="s">
        <v>15370</v>
      </c>
      <c r="D37412">
        <v>0</v>
      </c>
      <c r="E37412">
        <v>0</v>
      </c>
      <c r="F37412">
        <v>3</v>
      </c>
    </row>
    <row r="37413" spans="1:6" ht="12.75">
      <c r="A37413" s="2">
        <v>43875.060914351852</v>
      </c>
      <c r="B37413" t="str">
        <f>HYPERLINK("https://twitter.com/harihariono1","@harihariono1")</f>
        <v>@harihariono1</v>
      </c>
      <c r="C37413" t="s">
        <v>14861</v>
      </c>
      <c r="D37413">
        <v>12</v>
      </c>
      <c r="E37413">
        <v>0</v>
      </c>
      <c r="F37413">
        <v>9328</v>
      </c>
    </row>
    <row r="37414" spans="1:6" ht="12.75">
      <c r="A37414" s="2">
        <v>43875.060833333337</v>
      </c>
      <c r="B37414" t="str">
        <f>HYPERLINK("https://twitter.com/kanuhate","@kanuhate")</f>
        <v>@kanuhate</v>
      </c>
      <c r="C37414" t="s">
        <v>15371</v>
      </c>
      <c r="D37414">
        <v>1</v>
      </c>
      <c r="E37414">
        <v>0</v>
      </c>
      <c r="F37414">
        <v>750</v>
      </c>
    </row>
    <row r="37415" spans="1:6" ht="12.75">
      <c r="A37415" s="2">
        <v>43875.060486111106</v>
      </c>
      <c r="B37415" t="str">
        <f>HYPERLINK("https://twitter.com/Puteriswift_","@Puteriswift_")</f>
        <v>@Puteriswift_</v>
      </c>
      <c r="C37415" t="s">
        <v>15372</v>
      </c>
      <c r="D37415">
        <v>0</v>
      </c>
      <c r="E37415">
        <v>0</v>
      </c>
      <c r="F37415">
        <v>285</v>
      </c>
    </row>
    <row r="37416" spans="1:6" ht="12.75">
      <c r="A37416" s="2">
        <v>43875.060462962967</v>
      </c>
      <c r="B37416" t="str">
        <f>HYPERLINK("https://twitter.com/becak125cc","@becak125cc")</f>
        <v>@becak125cc</v>
      </c>
      <c r="C37416" t="s">
        <v>11368</v>
      </c>
      <c r="D37416">
        <v>72</v>
      </c>
      <c r="E37416">
        <v>0</v>
      </c>
      <c r="F37416">
        <v>495</v>
      </c>
    </row>
    <row r="37417" spans="1:6" ht="12.75">
      <c r="A37417" s="2">
        <v>43875.060416666667</v>
      </c>
      <c r="B37417" t="str">
        <f>HYPERLINK("https://twitter.com/kompascom","@kompascom")</f>
        <v>@kompascom</v>
      </c>
      <c r="C37417" t="s">
        <v>55</v>
      </c>
      <c r="D37417">
        <v>1</v>
      </c>
      <c r="E37417">
        <v>2</v>
      </c>
      <c r="F37417">
        <v>7496986</v>
      </c>
    </row>
    <row r="37418" spans="1:6" ht="12.75">
      <c r="A37418" s="2">
        <v>43875.060381944444</v>
      </c>
      <c r="B37418" t="str">
        <f>HYPERLINK("https://twitter.com/becak125cc","@becak125cc")</f>
        <v>@becak125cc</v>
      </c>
      <c r="C37418" t="s">
        <v>8470</v>
      </c>
      <c r="D37418">
        <v>127</v>
      </c>
      <c r="E37418">
        <v>0</v>
      </c>
      <c r="F37418">
        <v>495</v>
      </c>
    </row>
    <row r="37419" spans="1:6" ht="12.75">
      <c r="A37419" s="2">
        <v>43875.060370370367</v>
      </c>
      <c r="B37419" t="str">
        <f>HYPERLINK("https://twitter.com/PJustitia7","@PJustitia7")</f>
        <v>@PJustitia7</v>
      </c>
      <c r="C37419" t="s">
        <v>15373</v>
      </c>
      <c r="D37419">
        <v>2</v>
      </c>
      <c r="E37419">
        <v>3</v>
      </c>
      <c r="F37419">
        <v>650</v>
      </c>
    </row>
    <row r="37420" spans="1:6" ht="12.75">
      <c r="A37420" s="2">
        <v>43875.060324074075</v>
      </c>
      <c r="B37420" t="str">
        <f>HYPERLINK("https://twitter.com/marioosvaldo7","@marioosvaldo7")</f>
        <v>@marioosvaldo7</v>
      </c>
      <c r="C37420" t="s">
        <v>9947</v>
      </c>
      <c r="D37420">
        <v>308</v>
      </c>
      <c r="E37420">
        <v>0</v>
      </c>
      <c r="F37420">
        <v>188</v>
      </c>
    </row>
    <row r="37421" spans="1:6" ht="12.75">
      <c r="A37421" s="2">
        <v>43875.060219907406</v>
      </c>
      <c r="B37421" t="str">
        <f>HYPERLINK("https://twitter.com/Ca91786","@Ca91786")</f>
        <v>@Ca91786</v>
      </c>
      <c r="C37421" t="s">
        <v>15374</v>
      </c>
      <c r="D37421">
        <v>1</v>
      </c>
      <c r="E37421">
        <v>1</v>
      </c>
      <c r="F37421">
        <v>189</v>
      </c>
    </row>
    <row r="37422" spans="1:6" ht="12.75">
      <c r="A37422" s="2">
        <v>43875.060092592597</v>
      </c>
      <c r="B37422" t="str">
        <f>HYPERLINK("https://twitter.com/MamTin4","@MamTin4")</f>
        <v>@MamTin4</v>
      </c>
      <c r="C37422" t="s">
        <v>15375</v>
      </c>
      <c r="D37422">
        <v>0</v>
      </c>
      <c r="E37422">
        <v>0</v>
      </c>
      <c r="F37422">
        <v>51</v>
      </c>
    </row>
    <row r="37423" spans="1:6" ht="12.75">
      <c r="A37423" s="2">
        <v>43875.059791666667</v>
      </c>
      <c r="B37423" t="str">
        <f>HYPERLINK("https://twitter.com/Ronggolawe02","@Ronggolawe02")</f>
        <v>@Ronggolawe02</v>
      </c>
      <c r="C37423" t="s">
        <v>13772</v>
      </c>
      <c r="D37423">
        <v>28</v>
      </c>
      <c r="E37423">
        <v>0</v>
      </c>
      <c r="F37423">
        <v>5036</v>
      </c>
    </row>
    <row r="37424" spans="1:6" ht="12.75">
      <c r="A37424" s="2">
        <v>43875.059398148151</v>
      </c>
      <c r="B37424" t="str">
        <f>HYPERLINK("https://twitter.com/scsuroso","@scsuroso")</f>
        <v>@scsuroso</v>
      </c>
      <c r="C37424" t="s">
        <v>15376</v>
      </c>
      <c r="D37424">
        <v>0</v>
      </c>
      <c r="E37424">
        <v>0</v>
      </c>
      <c r="F37424">
        <v>328</v>
      </c>
    </row>
    <row r="37425" spans="1:6" ht="12.75">
      <c r="A37425" s="2">
        <v>43875.059305555551</v>
      </c>
      <c r="B37425" t="str">
        <f>HYPERLINK("https://twitter.com/nagategang","@nagategang")</f>
        <v>@nagategang</v>
      </c>
      <c r="C37425" t="s">
        <v>8881</v>
      </c>
      <c r="D37425">
        <v>242</v>
      </c>
      <c r="E37425">
        <v>0</v>
      </c>
      <c r="F37425">
        <v>460</v>
      </c>
    </row>
    <row r="37426" spans="1:6" ht="12.75">
      <c r="A37426" s="2">
        <v>43875.059270833328</v>
      </c>
      <c r="B37426" t="str">
        <f>HYPERLINK("https://twitter.com/hasn0religi0n","@hasn0religi0n")</f>
        <v>@hasn0religi0n</v>
      </c>
      <c r="C37426" t="s">
        <v>15377</v>
      </c>
      <c r="D37426">
        <v>0</v>
      </c>
      <c r="E37426">
        <v>1</v>
      </c>
      <c r="F37426">
        <v>663</v>
      </c>
    </row>
    <row r="37427" spans="1:6" ht="12.75">
      <c r="A37427" s="2">
        <v>43875.059259259258</v>
      </c>
      <c r="B37427" t="str">
        <f>HYPERLINK("https://twitter.com/_wni_","@_wni_")</f>
        <v>@_wni_</v>
      </c>
      <c r="C37427" t="s">
        <v>15378</v>
      </c>
      <c r="D37427">
        <v>0</v>
      </c>
      <c r="E37427">
        <v>0</v>
      </c>
      <c r="F37427">
        <v>8</v>
      </c>
    </row>
    <row r="37428" spans="1:6" ht="12.75">
      <c r="A37428" s="2">
        <v>43875.059247685189</v>
      </c>
      <c r="B37428" t="str">
        <f>HYPERLINK("https://twitter.com/becak125cc","@becak125cc")</f>
        <v>@becak125cc</v>
      </c>
      <c r="C37428" t="s">
        <v>10397</v>
      </c>
      <c r="D37428">
        <v>65</v>
      </c>
      <c r="E37428">
        <v>0</v>
      </c>
      <c r="F37428">
        <v>495</v>
      </c>
    </row>
    <row r="37429" spans="1:6" ht="12.75">
      <c r="A37429" s="2">
        <v>43875.059027777781</v>
      </c>
      <c r="B37429" t="str">
        <f>HYPERLINK("https://twitter.com/dicktactor","@dicktactor")</f>
        <v>@dicktactor</v>
      </c>
      <c r="C37429" t="s">
        <v>15379</v>
      </c>
      <c r="D37429">
        <v>0</v>
      </c>
      <c r="E37429">
        <v>0</v>
      </c>
      <c r="F37429">
        <v>261</v>
      </c>
    </row>
    <row r="37430" spans="1:6" ht="12.75">
      <c r="A37430" s="2">
        <v>43875.059004629627</v>
      </c>
      <c r="B37430" t="str">
        <f>HYPERLINK("https://twitter.com/jiraq","@jiraq")</f>
        <v>@jiraq</v>
      </c>
      <c r="C37430" t="s">
        <v>14324</v>
      </c>
      <c r="D37430">
        <v>42</v>
      </c>
      <c r="E37430">
        <v>0</v>
      </c>
      <c r="F37430">
        <v>2029</v>
      </c>
    </row>
    <row r="37431" spans="1:6" ht="12.75">
      <c r="A37431" s="2">
        <v>43875.058854166666</v>
      </c>
      <c r="B37431" t="str">
        <f>HYPERLINK("https://twitter.com/Moro26424364","@Moro26424364")</f>
        <v>@Moro26424364</v>
      </c>
      <c r="C37431" t="s">
        <v>15380</v>
      </c>
      <c r="D37431">
        <v>0</v>
      </c>
      <c r="E37431">
        <v>0</v>
      </c>
      <c r="F37431">
        <v>252</v>
      </c>
    </row>
    <row r="37432" spans="1:6" ht="12.75">
      <c r="A37432" s="2">
        <v>43875.058622685188</v>
      </c>
      <c r="B37432" t="str">
        <f>HYPERLINK("https://twitter.com/rygarizky","@rygarizky")</f>
        <v>@rygarizky</v>
      </c>
      <c r="C37432" t="s">
        <v>5168</v>
      </c>
      <c r="D37432">
        <v>327</v>
      </c>
      <c r="E37432">
        <v>0</v>
      </c>
      <c r="F37432">
        <v>394</v>
      </c>
    </row>
    <row r="37433" spans="1:6" ht="12.75">
      <c r="A37433" s="2">
        <v>43875.058263888888</v>
      </c>
      <c r="B37433" t="str">
        <f>HYPERLINK("https://twitter.com/sarcasmincess","@sarcasmincess")</f>
        <v>@sarcasmincess</v>
      </c>
      <c r="C37433" t="s">
        <v>15381</v>
      </c>
      <c r="D37433">
        <v>0</v>
      </c>
      <c r="E37433">
        <v>3</v>
      </c>
      <c r="F37433">
        <v>238</v>
      </c>
    </row>
    <row r="37434" spans="1:6" ht="12.75">
      <c r="A37434" s="2">
        <v>43875.058194444442</v>
      </c>
      <c r="B37434" t="str">
        <f>HYPERLINK("https://twitter.com/jiraq","@jiraq")</f>
        <v>@jiraq</v>
      </c>
      <c r="C37434" t="s">
        <v>11580</v>
      </c>
      <c r="D37434">
        <v>26</v>
      </c>
      <c r="E37434">
        <v>0</v>
      </c>
      <c r="F37434">
        <v>2029</v>
      </c>
    </row>
    <row r="37435" spans="1:6" ht="12.75">
      <c r="A37435" s="2">
        <v>43875.058032407411</v>
      </c>
      <c r="B37435" t="str">
        <f>HYPERLINK("https://twitter.com/Puteriswift_","@Puteriswift_")</f>
        <v>@Puteriswift_</v>
      </c>
      <c r="C37435" t="s">
        <v>15382</v>
      </c>
      <c r="D37435">
        <v>0</v>
      </c>
      <c r="E37435">
        <v>1</v>
      </c>
      <c r="F37435">
        <v>285</v>
      </c>
    </row>
    <row r="37436" spans="1:6" ht="12.75">
      <c r="A37436" s="2">
        <v>43875.057928240742</v>
      </c>
      <c r="B37436" t="str">
        <f>HYPERLINK("https://twitter.com/aziz5_abdul","@aziz5_abdul")</f>
        <v>@aziz5_abdul</v>
      </c>
      <c r="C37436" t="s">
        <v>8881</v>
      </c>
      <c r="D37436">
        <v>242</v>
      </c>
      <c r="E37436">
        <v>0</v>
      </c>
      <c r="F37436">
        <v>369</v>
      </c>
    </row>
    <row r="37437" spans="1:6" ht="12.75">
      <c r="A37437" s="2">
        <v>43875.057719907403</v>
      </c>
      <c r="B37437" t="str">
        <f>HYPERLINK("https://twitter.com/_wni_","@_wni_")</f>
        <v>@_wni_</v>
      </c>
      <c r="C37437" t="s">
        <v>15383</v>
      </c>
      <c r="D37437">
        <v>0</v>
      </c>
      <c r="E37437">
        <v>1</v>
      </c>
      <c r="F37437">
        <v>8</v>
      </c>
    </row>
    <row r="37438" spans="1:6" ht="12.75">
      <c r="A37438" s="2">
        <v>43875.05768518518</v>
      </c>
      <c r="B37438" t="str">
        <f>HYPERLINK("https://twitter.com/JKDaulay","@JKDaulay")</f>
        <v>@JKDaulay</v>
      </c>
      <c r="C37438" t="s">
        <v>15384</v>
      </c>
      <c r="D37438">
        <v>17</v>
      </c>
      <c r="E37438">
        <v>0</v>
      </c>
      <c r="F37438">
        <v>2713</v>
      </c>
    </row>
    <row r="37439" spans="1:6" ht="12.75">
      <c r="A37439" s="2">
        <v>43875.057592592595</v>
      </c>
      <c r="B37439" t="str">
        <f>HYPERLINK("https://twitter.com/Rini_gading","@Rini_gading")</f>
        <v>@Rini_gading</v>
      </c>
      <c r="C37439" t="s">
        <v>15385</v>
      </c>
      <c r="D37439">
        <v>57</v>
      </c>
      <c r="E37439">
        <v>0</v>
      </c>
      <c r="F37439">
        <v>213</v>
      </c>
    </row>
    <row r="37440" spans="1:6" ht="12.75">
      <c r="A37440" s="2">
        <v>43875.057592592595</v>
      </c>
      <c r="B37440" t="str">
        <f>HYPERLINK("https://twitter.com/becak125cc","@becak125cc")</f>
        <v>@becak125cc</v>
      </c>
      <c r="C37440" t="s">
        <v>12332</v>
      </c>
      <c r="D37440">
        <v>48</v>
      </c>
      <c r="E37440">
        <v>0</v>
      </c>
      <c r="F37440">
        <v>495</v>
      </c>
    </row>
    <row r="37441" spans="1:6" ht="12.75">
      <c r="A37441" s="2">
        <v>43875.057569444441</v>
      </c>
      <c r="B37441" t="str">
        <f>HYPERLINK("https://twitter.com/MkUltraHandlers","@MkUltraHandlers")</f>
        <v>@MkUltraHandlers</v>
      </c>
      <c r="C37441" t="s">
        <v>15386</v>
      </c>
      <c r="D37441">
        <v>0</v>
      </c>
      <c r="E37441">
        <v>0</v>
      </c>
      <c r="F37441">
        <v>907</v>
      </c>
    </row>
    <row r="37442" spans="1:6" ht="12.75">
      <c r="A37442" s="2">
        <v>43875.05740740741</v>
      </c>
      <c r="B37442" t="str">
        <f>HYPERLINK("https://twitter.com/_wni_","@_wni_")</f>
        <v>@_wni_</v>
      </c>
      <c r="C37442" t="s">
        <v>15387</v>
      </c>
      <c r="D37442">
        <v>0</v>
      </c>
      <c r="E37442">
        <v>0</v>
      </c>
      <c r="F37442">
        <v>8</v>
      </c>
    </row>
    <row r="37443" spans="1:6" ht="12.75">
      <c r="A37443" s="2">
        <v>43875.057071759264</v>
      </c>
      <c r="B37443" t="str">
        <f>HYPERLINK("https://twitter.com/antojudhisthira","@antojudhisthira")</f>
        <v>@antojudhisthira</v>
      </c>
      <c r="C37443" t="s">
        <v>15388</v>
      </c>
      <c r="D37443">
        <v>0</v>
      </c>
      <c r="E37443">
        <v>0</v>
      </c>
      <c r="F37443">
        <v>823</v>
      </c>
    </row>
    <row r="37444" spans="1:6" ht="12.75">
      <c r="A37444" s="2">
        <v>43875.057060185187</v>
      </c>
      <c r="B37444" t="str">
        <f>HYPERLINK("https://twitter.com/CeciliaSuwanda1","@CeciliaSuwanda1")</f>
        <v>@CeciliaSuwanda1</v>
      </c>
      <c r="C37444" t="s">
        <v>9096</v>
      </c>
      <c r="D37444">
        <v>127</v>
      </c>
      <c r="E37444">
        <v>0</v>
      </c>
      <c r="F37444">
        <v>4794</v>
      </c>
    </row>
    <row r="37445" spans="1:6" ht="12.75">
      <c r="A37445" s="2">
        <v>43875.05673611111</v>
      </c>
      <c r="B37445" t="str">
        <f>HYPERLINK("https://twitter.com/Lily_Raimun","@Lily_Raimun")</f>
        <v>@Lily_Raimun</v>
      </c>
      <c r="C37445" t="s">
        <v>13286</v>
      </c>
      <c r="D37445">
        <v>5</v>
      </c>
      <c r="E37445">
        <v>0</v>
      </c>
      <c r="F37445">
        <v>1141</v>
      </c>
    </row>
    <row r="37446" spans="1:6" ht="12.75">
      <c r="A37446" s="2">
        <v>43875.05673611111</v>
      </c>
      <c r="B37446" t="str">
        <f>HYPERLINK("https://twitter.com/antonnino77","@antonnino77")</f>
        <v>@antonnino77</v>
      </c>
      <c r="C37446" t="s">
        <v>15389</v>
      </c>
      <c r="D37446">
        <v>0</v>
      </c>
      <c r="E37446">
        <v>0</v>
      </c>
      <c r="F37446">
        <v>39</v>
      </c>
    </row>
    <row r="37447" spans="1:6" ht="12.75">
      <c r="A37447" s="2">
        <v>43875.056539351848</v>
      </c>
      <c r="B37447" t="str">
        <f>HYPERLINK("https://twitter.com/becak125cc","@becak125cc")</f>
        <v>@becak125cc</v>
      </c>
      <c r="C37447" t="s">
        <v>14248</v>
      </c>
      <c r="D37447">
        <v>63</v>
      </c>
      <c r="E37447">
        <v>0</v>
      </c>
      <c r="F37447">
        <v>495</v>
      </c>
    </row>
    <row r="37448" spans="1:6" ht="12.75">
      <c r="A37448" s="2">
        <v>43875.056423611109</v>
      </c>
      <c r="B37448" t="str">
        <f>HYPERLINK("https://twitter.com/H4l1mun_D1n61n","@H4l1mun_D1n61n")</f>
        <v>@H4l1mun_D1n61n</v>
      </c>
      <c r="C37448" t="s">
        <v>11425</v>
      </c>
      <c r="D37448">
        <v>169</v>
      </c>
      <c r="E37448">
        <v>0</v>
      </c>
      <c r="F37448">
        <v>3434</v>
      </c>
    </row>
    <row r="37449" spans="1:6" ht="12.75">
      <c r="A37449" s="2">
        <v>43875.05636574074</v>
      </c>
      <c r="B37449" t="str">
        <f>HYPERLINK("https://twitter.com/Nawat_Adws","@Nawat_Adws")</f>
        <v>@Nawat_Adws</v>
      </c>
      <c r="C37449" t="s">
        <v>15390</v>
      </c>
      <c r="D37449">
        <v>0</v>
      </c>
      <c r="E37449">
        <v>0</v>
      </c>
      <c r="F37449">
        <v>1123</v>
      </c>
    </row>
    <row r="37450" spans="1:6" ht="12.75">
      <c r="A37450" s="2">
        <v>43875.056342592594</v>
      </c>
      <c r="B37450" t="str">
        <f>HYPERLINK("https://twitter.com/becak125cc","@becak125cc")</f>
        <v>@becak125cc</v>
      </c>
      <c r="C37450" t="s">
        <v>7803</v>
      </c>
      <c r="D37450">
        <v>287</v>
      </c>
      <c r="E37450">
        <v>0</v>
      </c>
      <c r="F37450">
        <v>495</v>
      </c>
    </row>
    <row r="37451" spans="1:6" ht="12.75">
      <c r="A37451" s="2">
        <v>43875.056215277778</v>
      </c>
      <c r="B37451" t="str">
        <f>HYPERLINK("https://twitter.com/PrideIndonesia","@PrideIndonesia")</f>
        <v>@PrideIndonesia</v>
      </c>
      <c r="C37451" t="s">
        <v>8233</v>
      </c>
      <c r="D37451">
        <v>243</v>
      </c>
      <c r="E37451">
        <v>0</v>
      </c>
      <c r="F37451">
        <v>847</v>
      </c>
    </row>
    <row r="37452" spans="1:6" ht="12.75">
      <c r="A37452" s="2">
        <v>43875.056168981479</v>
      </c>
      <c r="B37452" t="str">
        <f>HYPERLINK("https://twitter.com/abespawnie","@abespawnie")</f>
        <v>@abespawnie</v>
      </c>
      <c r="C37452" t="s">
        <v>6834</v>
      </c>
      <c r="D37452">
        <v>20</v>
      </c>
      <c r="E37452">
        <v>0</v>
      </c>
      <c r="F37452">
        <v>300</v>
      </c>
    </row>
    <row r="37453" spans="1:6" ht="12.75">
      <c r="A37453" s="2">
        <v>43875.056157407409</v>
      </c>
      <c r="B37453" t="str">
        <f>HYPERLINK("https://twitter.com/ANgewelagi","@ANgewelagi")</f>
        <v>@ANgewelagi</v>
      </c>
      <c r="C37453" t="s">
        <v>15391</v>
      </c>
      <c r="D37453">
        <v>0</v>
      </c>
      <c r="E37453">
        <v>0</v>
      </c>
      <c r="F37453">
        <v>42</v>
      </c>
    </row>
    <row r="37454" spans="1:6" ht="12.75">
      <c r="A37454" s="2">
        <v>43875.056111111116</v>
      </c>
      <c r="B37454" t="str">
        <f>HYPERLINK("https://twitter.com/becak125cc","@becak125cc")</f>
        <v>@becak125cc</v>
      </c>
      <c r="C37454" t="s">
        <v>14050</v>
      </c>
      <c r="D37454">
        <v>58</v>
      </c>
      <c r="E37454">
        <v>0</v>
      </c>
      <c r="F37454">
        <v>495</v>
      </c>
    </row>
    <row r="37455" spans="1:6" ht="12.75">
      <c r="A37455" s="2">
        <v>43875.056064814809</v>
      </c>
      <c r="B37455" t="str">
        <f>HYPERLINK("https://twitter.com/julieaza","@julieaza")</f>
        <v>@julieaza</v>
      </c>
      <c r="C37455" t="s">
        <v>11424</v>
      </c>
      <c r="D37455">
        <v>43</v>
      </c>
      <c r="E37455">
        <v>0</v>
      </c>
      <c r="F37455">
        <v>50</v>
      </c>
    </row>
    <row r="37456" spans="1:6" ht="12.75">
      <c r="A37456" s="2">
        <v>43875.055474537032</v>
      </c>
      <c r="B37456" t="str">
        <f>HYPERLINK("https://twitter.com/catreonot","@catreonot")</f>
        <v>@catreonot</v>
      </c>
      <c r="C37456" t="s">
        <v>5168</v>
      </c>
      <c r="D37456">
        <v>327</v>
      </c>
      <c r="E37456">
        <v>0</v>
      </c>
      <c r="F37456">
        <v>198</v>
      </c>
    </row>
    <row r="37457" spans="1:6" ht="12.75">
      <c r="A37457" s="2">
        <v>43875.055428240739</v>
      </c>
      <c r="B37457" t="str">
        <f>HYPERLINK("https://twitter.com/dragonivys","@dragonivys")</f>
        <v>@dragonivys</v>
      </c>
      <c r="C37457" t="s">
        <v>8233</v>
      </c>
      <c r="D37457">
        <v>243</v>
      </c>
      <c r="E37457">
        <v>0</v>
      </c>
      <c r="F37457">
        <v>776</v>
      </c>
    </row>
    <row r="37458" spans="1:6" ht="12.75">
      <c r="A37458" s="2">
        <v>43875.055358796293</v>
      </c>
      <c r="B37458" t="str">
        <f>HYPERLINK("https://twitter.com/DitoHumam","@DitoHumam")</f>
        <v>@DitoHumam</v>
      </c>
      <c r="C37458" t="s">
        <v>15392</v>
      </c>
      <c r="D37458">
        <v>3</v>
      </c>
      <c r="E37458">
        <v>0</v>
      </c>
      <c r="F37458">
        <v>71</v>
      </c>
    </row>
    <row r="37459" spans="1:6" ht="12.75">
      <c r="A37459" s="2">
        <v>43875.055347222224</v>
      </c>
      <c r="B37459" t="str">
        <f>HYPERLINK("https://twitter.com/n_alfah","@n_alfah")</f>
        <v>@n_alfah</v>
      </c>
      <c r="C37459" t="s">
        <v>8233</v>
      </c>
      <c r="D37459">
        <v>243</v>
      </c>
      <c r="E37459">
        <v>0</v>
      </c>
      <c r="F37459">
        <v>392</v>
      </c>
    </row>
    <row r="37460" spans="1:6" ht="12.75">
      <c r="A37460" s="2">
        <v>43875.055243055554</v>
      </c>
      <c r="B37460" t="str">
        <f>HYPERLINK("https://twitter.com/lukmannh_nur","@lukmannh_nur")</f>
        <v>@lukmannh_nur</v>
      </c>
      <c r="C37460" t="s">
        <v>15392</v>
      </c>
      <c r="D37460">
        <v>3</v>
      </c>
      <c r="E37460">
        <v>0</v>
      </c>
      <c r="F37460">
        <v>71</v>
      </c>
    </row>
    <row r="37461" spans="1:6" ht="12.75">
      <c r="A37461" s="2">
        <v>43875.055092592593</v>
      </c>
      <c r="B37461" t="str">
        <f>HYPERLINK("https://twitter.com/Kmsil1","@Kmsil1")</f>
        <v>@Kmsil1</v>
      </c>
      <c r="C37461" t="s">
        <v>15393</v>
      </c>
      <c r="D37461">
        <v>0</v>
      </c>
      <c r="E37461">
        <v>0</v>
      </c>
      <c r="F37461">
        <v>4</v>
      </c>
    </row>
    <row r="37462" spans="1:6" ht="12.75">
      <c r="A37462" s="2">
        <v>43875.055023148147</v>
      </c>
      <c r="B37462" t="str">
        <f>HYPERLINK("https://twitter.com/77bayoe","@77bayoe")</f>
        <v>@77bayoe</v>
      </c>
      <c r="C37462" t="s">
        <v>10121</v>
      </c>
      <c r="D37462">
        <v>131</v>
      </c>
      <c r="E37462">
        <v>0</v>
      </c>
      <c r="F37462">
        <v>2201</v>
      </c>
    </row>
    <row r="37463" spans="1:6" ht="12.75">
      <c r="A37463" s="2">
        <v>43875.054942129631</v>
      </c>
      <c r="B37463" t="str">
        <f>HYPERLINK("https://twitter.com/BacilMembusuk","@BacilMembusuk")</f>
        <v>@BacilMembusuk</v>
      </c>
      <c r="C37463" t="s">
        <v>9947</v>
      </c>
      <c r="D37463">
        <v>308</v>
      </c>
      <c r="E37463">
        <v>0</v>
      </c>
      <c r="F37463">
        <v>349</v>
      </c>
    </row>
    <row r="37464" spans="1:6" ht="12.75">
      <c r="A37464" s="2">
        <v>43875.054942129631</v>
      </c>
      <c r="B37464" t="str">
        <f>HYPERLINK("https://twitter.com/CharismaIn69","@CharismaIn69")</f>
        <v>@CharismaIn69</v>
      </c>
      <c r="C37464" t="s">
        <v>56</v>
      </c>
      <c r="D37464">
        <v>0</v>
      </c>
      <c r="E37464">
        <v>0</v>
      </c>
      <c r="F37464">
        <v>703</v>
      </c>
    </row>
    <row r="37465" spans="1:6" ht="12.75">
      <c r="A37465" s="2">
        <v>43875.054895833338</v>
      </c>
      <c r="B37465" t="str">
        <f>HYPERLINK("https://twitter.com/adlanggrain","@adlanggrain")</f>
        <v>@adlanggrain</v>
      </c>
      <c r="C37465" t="s">
        <v>10687</v>
      </c>
      <c r="D37465">
        <v>773</v>
      </c>
      <c r="E37465">
        <v>0</v>
      </c>
      <c r="F37465">
        <v>30</v>
      </c>
    </row>
    <row r="37466" spans="1:6" ht="12.75">
      <c r="A37466" s="2">
        <v>43875.054641203707</v>
      </c>
      <c r="B37466" t="str">
        <f>HYPERLINK("https://twitter.com/77bayoe","@77bayoe")</f>
        <v>@77bayoe</v>
      </c>
      <c r="C37466" t="s">
        <v>12367</v>
      </c>
      <c r="D37466">
        <v>12</v>
      </c>
      <c r="E37466">
        <v>0</v>
      </c>
      <c r="F37466">
        <v>2201</v>
      </c>
    </row>
    <row r="37467" spans="1:6" ht="12.75">
      <c r="A37467" s="2">
        <v>43875.054583333331</v>
      </c>
      <c r="B37467" t="str">
        <f>HYPERLINK("https://twitter.com/dabgendon","@dabgendon")</f>
        <v>@dabgendon</v>
      </c>
      <c r="C37467" t="s">
        <v>10330</v>
      </c>
      <c r="D37467">
        <v>184</v>
      </c>
      <c r="E37467">
        <v>0</v>
      </c>
      <c r="F37467">
        <v>1242</v>
      </c>
    </row>
    <row r="37468" spans="1:6" ht="12.75">
      <c r="A37468" s="2">
        <v>43875.054560185185</v>
      </c>
      <c r="B37468" t="str">
        <f>HYPERLINK("https://twitter.com/spiningit46","@spiningit46")</f>
        <v>@spiningit46</v>
      </c>
      <c r="C37468" t="s">
        <v>175</v>
      </c>
      <c r="D37468">
        <v>5209</v>
      </c>
      <c r="E37468">
        <v>0</v>
      </c>
      <c r="F37468">
        <v>72</v>
      </c>
    </row>
    <row r="37469" spans="1:6" ht="12.75">
      <c r="A37469" s="2">
        <v>43875.054479166662</v>
      </c>
      <c r="B37469" t="str">
        <f t="shared" ref="B37469:B37470" si="433">HYPERLINK("https://twitter.com/77bayoe","@77bayoe")</f>
        <v>@77bayoe</v>
      </c>
      <c r="C37469" t="s">
        <v>10859</v>
      </c>
      <c r="D37469">
        <v>25</v>
      </c>
      <c r="E37469">
        <v>0</v>
      </c>
      <c r="F37469">
        <v>2201</v>
      </c>
    </row>
    <row r="37470" spans="1:6" ht="12.75">
      <c r="A37470" s="2">
        <v>43875.054074074069</v>
      </c>
      <c r="B37470" t="str">
        <f t="shared" si="433"/>
        <v>@77bayoe</v>
      </c>
      <c r="C37470" t="s">
        <v>11425</v>
      </c>
      <c r="D37470">
        <v>169</v>
      </c>
      <c r="E37470">
        <v>0</v>
      </c>
      <c r="F37470">
        <v>2201</v>
      </c>
    </row>
    <row r="37471" spans="1:6" ht="12.75">
      <c r="A37471" s="2">
        <v>43875.05363425926</v>
      </c>
      <c r="B37471" t="str">
        <f>HYPERLINK("https://twitter.com/wisanggeni_084","@wisanggeni_084")</f>
        <v>@wisanggeni_084</v>
      </c>
      <c r="C37471" t="s">
        <v>15369</v>
      </c>
      <c r="D37471">
        <v>2</v>
      </c>
      <c r="E37471">
        <v>0</v>
      </c>
      <c r="F37471">
        <v>15789</v>
      </c>
    </row>
    <row r="37472" spans="1:6" ht="12.75">
      <c r="A37472" s="2">
        <v>43875.053472222222</v>
      </c>
      <c r="B37472" t="str">
        <f>HYPERLINK("https://twitter.com/hallocantiqq","@hallocantiqq")</f>
        <v>@hallocantiqq</v>
      </c>
      <c r="C37472" t="s">
        <v>15394</v>
      </c>
      <c r="D37472">
        <v>0</v>
      </c>
      <c r="E37472">
        <v>0</v>
      </c>
      <c r="F37472">
        <v>278</v>
      </c>
    </row>
    <row r="37473" spans="1:6" ht="12.75">
      <c r="A37473" s="2">
        <v>43875.053449074076</v>
      </c>
      <c r="B37473" t="str">
        <f>HYPERLINK("https://twitter.com/becak125cc","@becak125cc")</f>
        <v>@becak125cc</v>
      </c>
      <c r="C37473" t="s">
        <v>12612</v>
      </c>
      <c r="D37473">
        <v>11</v>
      </c>
      <c r="E37473">
        <v>0</v>
      </c>
      <c r="F37473">
        <v>495</v>
      </c>
    </row>
    <row r="37474" spans="1:6" ht="12.75">
      <c r="A37474" s="2">
        <v>43875.052835648152</v>
      </c>
      <c r="B37474" t="str">
        <f>HYPERLINK("https://twitter.com/rmtyo","@rmtyo")</f>
        <v>@rmtyo</v>
      </c>
      <c r="C37474" t="s">
        <v>12834</v>
      </c>
      <c r="D37474">
        <v>410</v>
      </c>
      <c r="E37474">
        <v>0</v>
      </c>
      <c r="F37474">
        <v>1846</v>
      </c>
    </row>
    <row r="37475" spans="1:6" ht="12.75">
      <c r="A37475" s="2">
        <v>43875.052557870367</v>
      </c>
      <c r="B37475" t="str">
        <f>HYPERLINK("https://twitter.com/in_hoping","@in_hoping")</f>
        <v>@in_hoping</v>
      </c>
      <c r="C37475" t="s">
        <v>7803</v>
      </c>
      <c r="D37475">
        <v>287</v>
      </c>
      <c r="E37475">
        <v>0</v>
      </c>
      <c r="F37475">
        <v>217</v>
      </c>
    </row>
    <row r="37476" spans="1:6" ht="12.75">
      <c r="A37476" s="2">
        <v>43875.052465277782</v>
      </c>
      <c r="B37476" t="str">
        <f>HYPERLINK("https://twitter.com/18frz","@18frz")</f>
        <v>@18frz</v>
      </c>
      <c r="C37476" t="s">
        <v>8470</v>
      </c>
      <c r="D37476">
        <v>127</v>
      </c>
      <c r="E37476">
        <v>0</v>
      </c>
      <c r="F37476">
        <v>242</v>
      </c>
    </row>
    <row r="37477" spans="1:6" ht="12.75">
      <c r="A37477" s="2">
        <v>43875.052245370374</v>
      </c>
      <c r="B37477" t="str">
        <f>HYPERLINK("https://twitter.com/Lukman_HARP","@Lukman_HARP")</f>
        <v>@Lukman_HARP</v>
      </c>
      <c r="C37477" t="s">
        <v>14921</v>
      </c>
      <c r="D37477">
        <v>2</v>
      </c>
      <c r="E37477">
        <v>0</v>
      </c>
      <c r="F37477">
        <v>1059</v>
      </c>
    </row>
    <row r="37478" spans="1:6" ht="12.75">
      <c r="A37478" s="2">
        <v>43875.051921296297</v>
      </c>
      <c r="B37478" t="str">
        <f>HYPERLINK("https://twitter.com/Budiprasetyo_33","@Budiprasetyo_33")</f>
        <v>@Budiprasetyo_33</v>
      </c>
      <c r="C37478" t="s">
        <v>8720</v>
      </c>
      <c r="D37478">
        <v>37</v>
      </c>
      <c r="E37478">
        <v>0</v>
      </c>
      <c r="F37478">
        <v>15</v>
      </c>
    </row>
    <row r="37479" spans="1:6" ht="12.75">
      <c r="A37479" s="2">
        <v>43875.05190972222</v>
      </c>
      <c r="B37479" t="str">
        <f>HYPERLINK("https://twitter.com/madcixx","@madcixx")</f>
        <v>@madcixx</v>
      </c>
      <c r="C37479" t="s">
        <v>9119</v>
      </c>
      <c r="D37479">
        <v>39</v>
      </c>
      <c r="E37479">
        <v>0</v>
      </c>
      <c r="F37479">
        <v>287</v>
      </c>
    </row>
    <row r="37480" spans="1:6" ht="12.75">
      <c r="A37480" s="2">
        <v>43875.051782407405</v>
      </c>
      <c r="B37480" t="str">
        <f>HYPERLINK("https://twitter.com/SalfRiandy9","@SalfRiandy9")</f>
        <v>@SalfRiandy9</v>
      </c>
      <c r="C37480" t="s">
        <v>10121</v>
      </c>
      <c r="D37480">
        <v>131</v>
      </c>
      <c r="E37480">
        <v>0</v>
      </c>
      <c r="F37480">
        <v>202</v>
      </c>
    </row>
    <row r="37481" spans="1:6" ht="12.75">
      <c r="A37481" s="2">
        <v>43875.051770833335</v>
      </c>
      <c r="B37481" t="str">
        <f>HYPERLINK("https://twitter.com/jiraq","@jiraq")</f>
        <v>@jiraq</v>
      </c>
      <c r="C37481" t="s">
        <v>15395</v>
      </c>
      <c r="D37481">
        <v>0</v>
      </c>
      <c r="E37481">
        <v>0</v>
      </c>
      <c r="F37481">
        <v>2029</v>
      </c>
    </row>
    <row r="37482" spans="1:6" ht="12.75">
      <c r="A37482" s="2">
        <v>43875.051458333328</v>
      </c>
      <c r="B37482" t="str">
        <f>HYPERLINK("https://twitter.com/abespawnie","@abespawnie")</f>
        <v>@abespawnie</v>
      </c>
      <c r="C37482" t="s">
        <v>2122</v>
      </c>
      <c r="D37482">
        <v>163</v>
      </c>
      <c r="E37482">
        <v>0</v>
      </c>
      <c r="F37482">
        <v>300</v>
      </c>
    </row>
    <row r="37483" spans="1:6" ht="12.75">
      <c r="A37483" s="2">
        <v>43875.05133101852</v>
      </c>
      <c r="B37483" t="str">
        <f>HYPERLINK("https://twitter.com/Boyzneboyzone","@Boyzneboyzone")</f>
        <v>@Boyzneboyzone</v>
      </c>
      <c r="C37483" t="s">
        <v>15396</v>
      </c>
      <c r="D37483">
        <v>0</v>
      </c>
      <c r="E37483">
        <v>0</v>
      </c>
      <c r="F37483">
        <v>1735</v>
      </c>
    </row>
    <row r="37484" spans="1:6" ht="12.75">
      <c r="A37484" s="2">
        <v>43875.051307870366</v>
      </c>
      <c r="B37484" t="str">
        <f>HYPERLINK("https://twitter.com/ShimbahG","@ShimbahG")</f>
        <v>@ShimbahG</v>
      </c>
      <c r="C37484" t="s">
        <v>15397</v>
      </c>
      <c r="D37484">
        <v>0</v>
      </c>
      <c r="E37484">
        <v>0</v>
      </c>
      <c r="F37484">
        <v>0</v>
      </c>
    </row>
    <row r="37485" spans="1:6" ht="12.75">
      <c r="A37485" s="2">
        <v>43875.051284722227</v>
      </c>
      <c r="B37485" t="str">
        <f>HYPERLINK("https://twitter.com/DhenAbie","@DhenAbie")</f>
        <v>@DhenAbie</v>
      </c>
      <c r="C37485" t="s">
        <v>14326</v>
      </c>
      <c r="D37485">
        <v>48</v>
      </c>
      <c r="E37485">
        <v>0</v>
      </c>
      <c r="F37485">
        <v>175</v>
      </c>
    </row>
    <row r="37486" spans="1:6" ht="12.75">
      <c r="A37486" s="2">
        <v>43875.050902777773</v>
      </c>
      <c r="B37486" t="str">
        <f>HYPERLINK("https://twitter.com/albarmuges_","@albarmuges_")</f>
        <v>@albarmuges_</v>
      </c>
      <c r="C37486" t="s">
        <v>15398</v>
      </c>
      <c r="D37486">
        <v>4</v>
      </c>
      <c r="E37486">
        <v>0</v>
      </c>
      <c r="F37486">
        <v>526</v>
      </c>
    </row>
    <row r="37487" spans="1:6" ht="12.75">
      <c r="A37487" s="2">
        <v>43875.050775462965</v>
      </c>
      <c r="B37487" t="str">
        <f>HYPERLINK("https://twitter.com/arys_gunawan","@arys_gunawan")</f>
        <v>@arys_gunawan</v>
      </c>
      <c r="C37487" t="s">
        <v>8233</v>
      </c>
      <c r="D37487">
        <v>243</v>
      </c>
      <c r="E37487">
        <v>0</v>
      </c>
      <c r="F37487">
        <v>1464</v>
      </c>
    </row>
    <row r="37488" spans="1:6" ht="12.75">
      <c r="A37488" s="2">
        <v>43875.050706018519</v>
      </c>
      <c r="B37488" t="str">
        <f>HYPERLINK("https://twitter.com/ANgewelagi","@ANgewelagi")</f>
        <v>@ANgewelagi</v>
      </c>
      <c r="C37488" t="s">
        <v>15399</v>
      </c>
      <c r="D37488">
        <v>1</v>
      </c>
      <c r="E37488">
        <v>1</v>
      </c>
      <c r="F37488">
        <v>42</v>
      </c>
    </row>
    <row r="37489" spans="1:6" ht="12.75">
      <c r="A37489" s="2">
        <v>43875.050671296296</v>
      </c>
      <c r="B37489" t="str">
        <f>HYPERLINK("https://twitter.com/bwgade1","@bwgade1")</f>
        <v>@bwgade1</v>
      </c>
      <c r="C37489" t="s">
        <v>14005</v>
      </c>
      <c r="D37489">
        <v>83</v>
      </c>
      <c r="E37489">
        <v>0</v>
      </c>
      <c r="F37489">
        <v>9</v>
      </c>
    </row>
    <row r="37490" spans="1:6" ht="12.75">
      <c r="A37490" s="2">
        <v>43875.050266203703</v>
      </c>
      <c r="B37490" t="str">
        <f>HYPERLINK("https://twitter.com/toms98750690","@toms98750690")</f>
        <v>@toms98750690</v>
      </c>
      <c r="C37490" t="s">
        <v>11728</v>
      </c>
      <c r="D37490">
        <v>55</v>
      </c>
      <c r="E37490">
        <v>0</v>
      </c>
      <c r="F37490">
        <v>80</v>
      </c>
    </row>
    <row r="37491" spans="1:6" ht="12.75">
      <c r="A37491" s="2">
        <v>43875.050034722226</v>
      </c>
      <c r="B37491" t="str">
        <f>HYPERLINK("https://twitter.com/RachmatBawono","@RachmatBawono")</f>
        <v>@RachmatBawono</v>
      </c>
      <c r="C37491" t="s">
        <v>175</v>
      </c>
      <c r="D37491">
        <v>5209</v>
      </c>
      <c r="E37491">
        <v>0</v>
      </c>
      <c r="F37491">
        <v>343</v>
      </c>
    </row>
    <row r="37492" spans="1:6" ht="12.75">
      <c r="A37492" s="2">
        <v>43875.049953703703</v>
      </c>
      <c r="B37492" t="str">
        <f>HYPERLINK("https://twitter.com/bhenytarika28","@bhenytarika28")</f>
        <v>@bhenytarika28</v>
      </c>
      <c r="C37492" t="s">
        <v>15400</v>
      </c>
      <c r="D37492">
        <v>2</v>
      </c>
      <c r="E37492">
        <v>3</v>
      </c>
      <c r="F37492">
        <v>7148</v>
      </c>
    </row>
    <row r="37493" spans="1:6" ht="12.75">
      <c r="A37493" s="2">
        <v>43875.049687499995</v>
      </c>
      <c r="B37493" t="str">
        <f>HYPERLINK("https://twitter.com/aladin_archer","@aladin_archer")</f>
        <v>@aladin_archer</v>
      </c>
      <c r="C37493" t="s">
        <v>15401</v>
      </c>
      <c r="D37493">
        <v>0</v>
      </c>
      <c r="E37493">
        <v>0</v>
      </c>
      <c r="F37493">
        <v>25</v>
      </c>
    </row>
    <row r="37494" spans="1:6" ht="12.75">
      <c r="A37494" s="2">
        <v>43875.04960648148</v>
      </c>
      <c r="B37494" t="str">
        <f>HYPERLINK("https://twitter.com/depe_76","@depe_76")</f>
        <v>@depe_76</v>
      </c>
      <c r="C37494" t="s">
        <v>10588</v>
      </c>
      <c r="D37494">
        <v>96</v>
      </c>
      <c r="E37494">
        <v>0</v>
      </c>
      <c r="F37494">
        <v>476</v>
      </c>
    </row>
    <row r="37495" spans="1:6" ht="12.75">
      <c r="A37495" s="2">
        <v>43875.049537037034</v>
      </c>
      <c r="B37495" t="str">
        <f>HYPERLINK("https://twitter.com/anita81692023","@anita81692023")</f>
        <v>@anita81692023</v>
      </c>
      <c r="C37495" t="s">
        <v>15402</v>
      </c>
      <c r="D37495">
        <v>4</v>
      </c>
      <c r="E37495">
        <v>2</v>
      </c>
      <c r="F37495">
        <v>61</v>
      </c>
    </row>
    <row r="37496" spans="1:6" ht="12.75">
      <c r="A37496" s="2">
        <v>43875.049479166672</v>
      </c>
      <c r="B37496" t="str">
        <f>HYPERLINK("https://twitter.com/spiningit46","@spiningit46")</f>
        <v>@spiningit46</v>
      </c>
      <c r="C37496" t="s">
        <v>10266</v>
      </c>
      <c r="D37496">
        <v>243</v>
      </c>
      <c r="E37496">
        <v>0</v>
      </c>
      <c r="F37496">
        <v>72</v>
      </c>
    </row>
    <row r="37497" spans="1:6" ht="12.75">
      <c r="A37497" s="2">
        <v>43875.049386574072</v>
      </c>
      <c r="B37497" t="str">
        <f>HYPERLINK("https://twitter.com/Kadalgurun1990","@Kadalgurun1990")</f>
        <v>@Kadalgurun1990</v>
      </c>
      <c r="C37497" t="s">
        <v>15403</v>
      </c>
      <c r="D37497">
        <v>2</v>
      </c>
      <c r="E37497">
        <v>0</v>
      </c>
      <c r="F37497">
        <v>392</v>
      </c>
    </row>
    <row r="37498" spans="1:6" ht="12.75">
      <c r="A37498" s="2">
        <v>43875.049212962964</v>
      </c>
      <c r="B37498" t="str">
        <f>HYPERLINK("https://twitter.com/Yudistira671","@Yudistira671")</f>
        <v>@Yudistira671</v>
      </c>
      <c r="C37498" t="s">
        <v>15404</v>
      </c>
      <c r="D37498">
        <v>0</v>
      </c>
      <c r="E37498">
        <v>0</v>
      </c>
      <c r="F37498">
        <v>2202</v>
      </c>
    </row>
    <row r="37499" spans="1:6" ht="12.75">
      <c r="A37499" s="2">
        <v>43875.049108796295</v>
      </c>
      <c r="B37499" t="str">
        <f>HYPERLINK("https://twitter.com/joe_bon_two","@joe_bon_two")</f>
        <v>@joe_bon_two</v>
      </c>
      <c r="C37499" t="s">
        <v>15405</v>
      </c>
      <c r="D37499">
        <v>1</v>
      </c>
      <c r="E37499">
        <v>0</v>
      </c>
      <c r="F37499">
        <v>748</v>
      </c>
    </row>
    <row r="37500" spans="1:6" ht="12.75">
      <c r="A37500" s="2">
        <v>43875.048310185186</v>
      </c>
      <c r="B37500" t="str">
        <f>HYPERLINK("https://twitter.com/Xaver25761586","@Xaver25761586")</f>
        <v>@Xaver25761586</v>
      </c>
      <c r="C37500" t="s">
        <v>15406</v>
      </c>
      <c r="D37500">
        <v>22</v>
      </c>
      <c r="E37500">
        <v>0</v>
      </c>
      <c r="F37500">
        <v>440</v>
      </c>
    </row>
    <row r="37501" spans="1:6" ht="12.75">
      <c r="A37501" s="2">
        <v>43875.04824074074</v>
      </c>
      <c r="B37501" t="str">
        <f>HYPERLINK("https://twitter.com/hendrii_k","@hendrii_k")</f>
        <v>@hendrii_k</v>
      </c>
      <c r="C37501" t="s">
        <v>15407</v>
      </c>
      <c r="D37501">
        <v>0</v>
      </c>
      <c r="E37501">
        <v>0</v>
      </c>
      <c r="F37501">
        <v>57</v>
      </c>
    </row>
    <row r="37502" spans="1:6" ht="12.75">
      <c r="A37502" s="2">
        <v>43875.048217592594</v>
      </c>
      <c r="B37502" t="str">
        <f>HYPERLINK("https://twitter.com/DenBagu11122372","@DenBagu11122372")</f>
        <v>@DenBagu11122372</v>
      </c>
      <c r="C37502" t="s">
        <v>175</v>
      </c>
      <c r="D37502">
        <v>5209</v>
      </c>
      <c r="E37502">
        <v>0</v>
      </c>
      <c r="F37502">
        <v>51</v>
      </c>
    </row>
    <row r="37503" spans="1:6" ht="12.75">
      <c r="A37503" s="2">
        <v>43875.047916666663</v>
      </c>
      <c r="B37503" t="str">
        <f>HYPERLINK("https://twitter.com/PapaBear2019","@PapaBear2019")</f>
        <v>@PapaBear2019</v>
      </c>
      <c r="C37503" t="s">
        <v>10266</v>
      </c>
      <c r="D37503">
        <v>243</v>
      </c>
      <c r="E37503">
        <v>0</v>
      </c>
      <c r="F37503">
        <v>7479</v>
      </c>
    </row>
    <row r="37504" spans="1:6" ht="12.75">
      <c r="A37504" s="2">
        <v>43875.04788194444</v>
      </c>
      <c r="B37504" t="str">
        <f>HYPERLINK("https://twitter.com/ElshintaTegal_","@ElshintaTegal_")</f>
        <v>@ElshintaTegal_</v>
      </c>
      <c r="C37504" t="s">
        <v>15408</v>
      </c>
      <c r="D37504">
        <v>2</v>
      </c>
      <c r="E37504">
        <v>0</v>
      </c>
      <c r="F37504">
        <v>29</v>
      </c>
    </row>
    <row r="37505" spans="1:6" ht="12.75">
      <c r="A37505" s="2">
        <v>43875.047662037032</v>
      </c>
      <c r="B37505" t="str">
        <f>HYPERLINK("https://twitter.com/ruwah","@ruwah")</f>
        <v>@ruwah</v>
      </c>
      <c r="C37505" t="s">
        <v>9113</v>
      </c>
      <c r="D37505">
        <v>227</v>
      </c>
      <c r="E37505">
        <v>0</v>
      </c>
      <c r="F37505">
        <v>78</v>
      </c>
    </row>
    <row r="37506" spans="1:6" ht="12.75">
      <c r="A37506" s="2">
        <v>43875.047546296293</v>
      </c>
      <c r="B37506" t="str">
        <f>HYPERLINK("https://twitter.com/pangerancagak","@pangerancagak")</f>
        <v>@pangerancagak</v>
      </c>
      <c r="C37506" t="s">
        <v>9096</v>
      </c>
      <c r="D37506">
        <v>127</v>
      </c>
      <c r="E37506">
        <v>0</v>
      </c>
      <c r="F37506">
        <v>104</v>
      </c>
    </row>
    <row r="37507" spans="1:6" ht="12.75">
      <c r="A37507" s="2">
        <v>43875.047476851847</v>
      </c>
      <c r="B37507" t="str">
        <f>HYPERLINK("https://twitter.com/PapaBear2019","@PapaBear2019")</f>
        <v>@PapaBear2019</v>
      </c>
      <c r="C37507" t="s">
        <v>6982</v>
      </c>
      <c r="D37507">
        <v>78</v>
      </c>
      <c r="E37507">
        <v>0</v>
      </c>
      <c r="F37507">
        <v>7479</v>
      </c>
    </row>
    <row r="37508" spans="1:6" ht="12.75">
      <c r="A37508" s="2">
        <v>43875.047430555554</v>
      </c>
      <c r="B37508" t="str">
        <f>HYPERLINK("https://twitter.com/kswrdhna","@kswrdhna")</f>
        <v>@kswrdhna</v>
      </c>
      <c r="C37508" t="s">
        <v>15409</v>
      </c>
      <c r="D37508">
        <v>1</v>
      </c>
      <c r="E37508">
        <v>0</v>
      </c>
      <c r="F37508">
        <v>231</v>
      </c>
    </row>
    <row r="37509" spans="1:6" ht="12.75">
      <c r="A37509" s="2">
        <v>43875.047349537039</v>
      </c>
      <c r="B37509" t="str">
        <f t="shared" ref="B37509:B37510" si="434">HYPERLINK("https://twitter.com/PapaBear2019","@PapaBear2019")</f>
        <v>@PapaBear2019</v>
      </c>
      <c r="C37509" t="s">
        <v>7803</v>
      </c>
      <c r="D37509">
        <v>287</v>
      </c>
      <c r="E37509">
        <v>0</v>
      </c>
      <c r="F37509">
        <v>7479</v>
      </c>
    </row>
    <row r="37510" spans="1:6" ht="12.75">
      <c r="A37510" s="2">
        <v>43875.047199074077</v>
      </c>
      <c r="B37510" t="str">
        <f t="shared" si="434"/>
        <v>@PapaBear2019</v>
      </c>
      <c r="C37510" t="s">
        <v>8470</v>
      </c>
      <c r="D37510">
        <v>127</v>
      </c>
      <c r="E37510">
        <v>0</v>
      </c>
      <c r="F37510">
        <v>7479</v>
      </c>
    </row>
    <row r="37511" spans="1:6" ht="12.75">
      <c r="A37511" s="2">
        <v>43875.047083333338</v>
      </c>
      <c r="B37511" t="str">
        <f>HYPERLINK("https://twitter.com/mudha_satriya","@mudha_satriya")</f>
        <v>@mudha_satriya</v>
      </c>
      <c r="C37511" t="s">
        <v>15410</v>
      </c>
      <c r="D37511">
        <v>1</v>
      </c>
      <c r="E37511">
        <v>0</v>
      </c>
      <c r="F37511">
        <v>1878</v>
      </c>
    </row>
    <row r="37512" spans="1:6" ht="12.75">
      <c r="A37512" s="2">
        <v>43875.046990740739</v>
      </c>
      <c r="B37512" t="str">
        <f>HYPERLINK("https://twitter.com/PapaBear2019","@PapaBear2019")</f>
        <v>@PapaBear2019</v>
      </c>
      <c r="C37512" t="s">
        <v>10319</v>
      </c>
      <c r="D37512">
        <v>139</v>
      </c>
      <c r="E37512">
        <v>0</v>
      </c>
      <c r="F37512">
        <v>7479</v>
      </c>
    </row>
    <row r="37513" spans="1:6" ht="12.75">
      <c r="A37513" s="2">
        <v>43875.046979166669</v>
      </c>
      <c r="B37513" t="str">
        <f t="shared" ref="B37513:B37514" si="435">HYPERLINK("https://twitter.com/xemail69","@xemail69")</f>
        <v>@xemail69</v>
      </c>
      <c r="C37513" t="s">
        <v>7373</v>
      </c>
      <c r="D37513">
        <v>58</v>
      </c>
      <c r="E37513">
        <v>0</v>
      </c>
      <c r="F37513">
        <v>371</v>
      </c>
    </row>
    <row r="37514" spans="1:6" ht="12.75">
      <c r="A37514" s="2">
        <v>43875.046828703707</v>
      </c>
      <c r="B37514" t="str">
        <f t="shared" si="435"/>
        <v>@xemail69</v>
      </c>
      <c r="C37514" t="s">
        <v>12794</v>
      </c>
      <c r="D37514">
        <v>65</v>
      </c>
      <c r="E37514">
        <v>0</v>
      </c>
      <c r="F37514">
        <v>371</v>
      </c>
    </row>
    <row r="37515" spans="1:6" ht="12.75">
      <c r="A37515" s="2">
        <v>43875.046828703707</v>
      </c>
      <c r="B37515" t="str">
        <f t="shared" ref="B37515:B37516" si="436">HYPERLINK("https://twitter.com/PapaBear2019","@PapaBear2019")</f>
        <v>@PapaBear2019</v>
      </c>
      <c r="C37515" t="s">
        <v>10462</v>
      </c>
      <c r="D37515">
        <v>220</v>
      </c>
      <c r="E37515">
        <v>0</v>
      </c>
      <c r="F37515">
        <v>7479</v>
      </c>
    </row>
    <row r="37516" spans="1:6" ht="12.75">
      <c r="A37516" s="2">
        <v>43875.046770833331</v>
      </c>
      <c r="B37516" t="str">
        <f t="shared" si="436"/>
        <v>@PapaBear2019</v>
      </c>
      <c r="C37516" t="s">
        <v>9113</v>
      </c>
      <c r="D37516">
        <v>227</v>
      </c>
      <c r="E37516">
        <v>0</v>
      </c>
      <c r="F37516">
        <v>7479</v>
      </c>
    </row>
    <row r="37517" spans="1:6" ht="12.75">
      <c r="A37517" s="2">
        <v>43875.046712962961</v>
      </c>
      <c r="B37517" t="str">
        <f>HYPERLINK("https://twitter.com/whathefv","@whathefv")</f>
        <v>@whathefv</v>
      </c>
      <c r="C37517" t="s">
        <v>8233</v>
      </c>
      <c r="D37517">
        <v>243</v>
      </c>
      <c r="E37517">
        <v>0</v>
      </c>
      <c r="F37517">
        <v>386</v>
      </c>
    </row>
    <row r="37518" spans="1:6" ht="12.75">
      <c r="A37518" s="2">
        <v>43875.046550925923</v>
      </c>
      <c r="B37518" t="str">
        <f>HYPERLINK("https://twitter.com/PapaBear2019","@PapaBear2019")</f>
        <v>@PapaBear2019</v>
      </c>
      <c r="C37518" t="s">
        <v>8881</v>
      </c>
      <c r="D37518">
        <v>242</v>
      </c>
      <c r="E37518">
        <v>0</v>
      </c>
      <c r="F37518">
        <v>7479</v>
      </c>
    </row>
    <row r="37519" spans="1:6" ht="12.75">
      <c r="A37519" s="2">
        <v>43875.0465162037</v>
      </c>
      <c r="B37519" t="str">
        <f>HYPERLINK("https://twitter.com/mudha_satriya","@mudha_satriya")</f>
        <v>@mudha_satriya</v>
      </c>
      <c r="C37519" t="s">
        <v>175</v>
      </c>
      <c r="D37519">
        <v>5209</v>
      </c>
      <c r="E37519">
        <v>0</v>
      </c>
      <c r="F37519">
        <v>1878</v>
      </c>
    </row>
    <row r="37520" spans="1:6" ht="12.75">
      <c r="A37520" s="2">
        <v>43875.046400462961</v>
      </c>
      <c r="B37520" t="str">
        <f>HYPERLINK("https://twitter.com/AdeCand65866045","@AdeCand65866045")</f>
        <v>@AdeCand65866045</v>
      </c>
      <c r="C37520" t="s">
        <v>12679</v>
      </c>
      <c r="D37520">
        <v>715</v>
      </c>
      <c r="E37520">
        <v>0</v>
      </c>
      <c r="F37520">
        <v>159</v>
      </c>
    </row>
    <row r="37521" spans="1:6" ht="12.75">
      <c r="A37521" s="2">
        <v>43875.046365740738</v>
      </c>
      <c r="B37521" t="str">
        <f>HYPERLINK("https://twitter.com/nara_killjoy","@nara_killjoy")</f>
        <v>@nara_killjoy</v>
      </c>
      <c r="C37521" t="s">
        <v>57</v>
      </c>
      <c r="D37521">
        <v>0</v>
      </c>
      <c r="E37521">
        <v>0</v>
      </c>
      <c r="F37521">
        <v>713</v>
      </c>
    </row>
    <row r="37522" spans="1:6" ht="12.75">
      <c r="A37522" s="2">
        <v>43875.04614583333</v>
      </c>
      <c r="B37522" t="str">
        <f>HYPERLINK("https://twitter.com/RadioElshinta","@RadioElshinta")</f>
        <v>@RadioElshinta</v>
      </c>
      <c r="C37522" t="s">
        <v>58</v>
      </c>
      <c r="D37522">
        <v>2</v>
      </c>
      <c r="E37522">
        <v>4</v>
      </c>
      <c r="F37522">
        <v>3633160</v>
      </c>
    </row>
    <row r="37523" spans="1:6" ht="12.75">
      <c r="A37523" s="2">
        <v>43875.046134259261</v>
      </c>
      <c r="B37523" t="str">
        <f>HYPERLINK("https://twitter.com/05panji2","@05panji2")</f>
        <v>@05panji2</v>
      </c>
      <c r="C37523" t="s">
        <v>15411</v>
      </c>
      <c r="D37523">
        <v>0</v>
      </c>
      <c r="E37523">
        <v>0</v>
      </c>
      <c r="F37523">
        <v>316</v>
      </c>
    </row>
    <row r="37524" spans="1:6" ht="12.75">
      <c r="A37524" s="2">
        <v>43875.046111111107</v>
      </c>
      <c r="B37524" t="str">
        <f>HYPERLINK("https://twitter.com/spiningit46","@spiningit46")</f>
        <v>@spiningit46</v>
      </c>
      <c r="C37524" t="s">
        <v>9947</v>
      </c>
      <c r="D37524">
        <v>308</v>
      </c>
      <c r="E37524">
        <v>0</v>
      </c>
      <c r="F37524">
        <v>72</v>
      </c>
    </row>
    <row r="37525" spans="1:6" ht="12.75">
      <c r="A37525" s="2">
        <v>43875.046087962968</v>
      </c>
      <c r="B37525" t="str">
        <f>HYPERLINK("https://twitter.com/AndTovia","@AndTovia")</f>
        <v>@AndTovia</v>
      </c>
      <c r="C37525" t="s">
        <v>15412</v>
      </c>
      <c r="D37525">
        <v>0</v>
      </c>
      <c r="E37525">
        <v>0</v>
      </c>
      <c r="F37525">
        <v>91</v>
      </c>
    </row>
    <row r="37526" spans="1:6" ht="12.75">
      <c r="A37526" s="2">
        <v>43875.046076388884</v>
      </c>
      <c r="B37526" t="str">
        <f>HYPERLINK("https://twitter.com/RachmatBawono","@RachmatBawono")</f>
        <v>@RachmatBawono</v>
      </c>
      <c r="C37526" t="s">
        <v>12834</v>
      </c>
      <c r="D37526">
        <v>410</v>
      </c>
      <c r="E37526">
        <v>0</v>
      </c>
      <c r="F37526">
        <v>343</v>
      </c>
    </row>
    <row r="37527" spans="1:6" ht="12.75">
      <c r="A37527" s="2">
        <v>43875.045486111107</v>
      </c>
      <c r="B37527" t="str">
        <f>HYPERLINK("https://twitter.com/RadioElshinta","@RadioElshinta")</f>
        <v>@RadioElshinta</v>
      </c>
      <c r="C37527" t="s">
        <v>15413</v>
      </c>
      <c r="D37527">
        <v>1</v>
      </c>
      <c r="E37527">
        <v>0</v>
      </c>
      <c r="F37527">
        <v>3633160</v>
      </c>
    </row>
    <row r="37528" spans="1:6" ht="12.75">
      <c r="A37528" s="2">
        <v>43875.045289351852</v>
      </c>
      <c r="B37528" t="str">
        <f>HYPERLINK("https://twitter.com/beatrice_health","@beatrice_health")</f>
        <v>@beatrice_health</v>
      </c>
      <c r="C37528" t="s">
        <v>14740</v>
      </c>
      <c r="D37528">
        <v>40</v>
      </c>
      <c r="E37528">
        <v>0</v>
      </c>
      <c r="F37528">
        <v>59</v>
      </c>
    </row>
    <row r="37529" spans="1:6" ht="12.75">
      <c r="A37529" s="2">
        <v>43875.045231481483</v>
      </c>
      <c r="B37529" t="str">
        <f>HYPERLINK("https://twitter.com/vgrafisia","@vgrafisia")</f>
        <v>@vgrafisia</v>
      </c>
      <c r="C37529" t="s">
        <v>14740</v>
      </c>
      <c r="D37529">
        <v>40</v>
      </c>
      <c r="E37529">
        <v>0</v>
      </c>
      <c r="F37529">
        <v>877</v>
      </c>
    </row>
    <row r="37530" spans="1:6" ht="12.75">
      <c r="A37530" s="2">
        <v>43875.045219907406</v>
      </c>
      <c r="B37530" t="str">
        <f>HYPERLINK("https://twitter.com/Chissyamel","@Chissyamel")</f>
        <v>@Chissyamel</v>
      </c>
      <c r="C37530" t="s">
        <v>15414</v>
      </c>
      <c r="D37530">
        <v>0</v>
      </c>
      <c r="E37530">
        <v>0</v>
      </c>
      <c r="F37530">
        <v>2</v>
      </c>
    </row>
    <row r="37531" spans="1:6" ht="12.75">
      <c r="A37531" s="2">
        <v>43875.044907407406</v>
      </c>
      <c r="B37531" t="str">
        <f>HYPERLINK("https://twitter.com/hendrii_k","@hendrii_k")</f>
        <v>@hendrii_k</v>
      </c>
      <c r="C37531" t="s">
        <v>15415</v>
      </c>
      <c r="D37531">
        <v>0</v>
      </c>
      <c r="E37531">
        <v>0</v>
      </c>
      <c r="F37531">
        <v>57</v>
      </c>
    </row>
    <row r="37532" spans="1:6" ht="12.75">
      <c r="A37532" s="2">
        <v>43875.044849537036</v>
      </c>
      <c r="B37532" t="str">
        <f>HYPERLINK("https://twitter.com/DoyoxKusumo","@DoyoxKusumo")</f>
        <v>@DoyoxKusumo</v>
      </c>
      <c r="C37532" t="s">
        <v>175</v>
      </c>
      <c r="D37532">
        <v>5209</v>
      </c>
      <c r="E37532">
        <v>0</v>
      </c>
      <c r="F37532">
        <v>26</v>
      </c>
    </row>
    <row r="37533" spans="1:6" ht="12.75">
      <c r="A37533" s="2">
        <v>43875.04409722222</v>
      </c>
      <c r="B37533" t="str">
        <f>HYPERLINK("https://twitter.com/heru_kamizawa","@heru_kamizawa")</f>
        <v>@heru_kamizawa</v>
      </c>
      <c r="C37533" t="s">
        <v>2444</v>
      </c>
      <c r="D37533">
        <v>49</v>
      </c>
      <c r="E37533">
        <v>0</v>
      </c>
      <c r="F37533">
        <v>456</v>
      </c>
    </row>
    <row r="37534" spans="1:6" ht="12.75">
      <c r="A37534" s="2">
        <v>43875.043946759259</v>
      </c>
      <c r="B37534" t="str">
        <f>HYPERLINK("https://twitter.com/BinarisSitumor1","@BinarisSitumor1")</f>
        <v>@BinarisSitumor1</v>
      </c>
      <c r="C37534" t="s">
        <v>11167</v>
      </c>
      <c r="D37534">
        <v>150</v>
      </c>
      <c r="E37534">
        <v>0</v>
      </c>
      <c r="F37534">
        <v>280</v>
      </c>
    </row>
    <row r="37535" spans="1:6" ht="12.75">
      <c r="A37535" s="2">
        <v>43875.043634259258</v>
      </c>
      <c r="B37535" t="str">
        <f>HYPERLINK("https://twitter.com/B12_7HON","@B12_7HON")</f>
        <v>@B12_7HON</v>
      </c>
      <c r="C37535" t="s">
        <v>15416</v>
      </c>
      <c r="D37535">
        <v>0</v>
      </c>
      <c r="E37535">
        <v>0</v>
      </c>
      <c r="F37535">
        <v>82</v>
      </c>
    </row>
    <row r="37536" spans="1:6" ht="12.75">
      <c r="A37536" s="2">
        <v>43875.043553240743</v>
      </c>
      <c r="B37536" t="str">
        <f>HYPERLINK("https://twitter.com/UdaFirman29","@UdaFirman29")</f>
        <v>@UdaFirman29</v>
      </c>
      <c r="C37536" t="s">
        <v>15417</v>
      </c>
      <c r="D37536">
        <v>7</v>
      </c>
      <c r="E37536">
        <v>0</v>
      </c>
      <c r="F37536">
        <v>222</v>
      </c>
    </row>
    <row r="37537" spans="1:6" ht="12.75">
      <c r="A37537" s="2">
        <v>43875.043495370366</v>
      </c>
      <c r="B37537" t="str">
        <f>HYPERLINK("https://twitter.com/JokoHerry1","@JokoHerry1")</f>
        <v>@JokoHerry1</v>
      </c>
      <c r="C37537" t="s">
        <v>9947</v>
      </c>
      <c r="D37537">
        <v>308</v>
      </c>
      <c r="E37537">
        <v>0</v>
      </c>
      <c r="F37537">
        <v>64</v>
      </c>
    </row>
    <row r="37538" spans="1:6" ht="12.75">
      <c r="A37538" s="2">
        <v>43875.043437500004</v>
      </c>
      <c r="B37538" t="str">
        <f>HYPERLINK("https://twitter.com/Haluan_","@Haluan_")</f>
        <v>@Haluan_</v>
      </c>
      <c r="C37538" t="s">
        <v>61</v>
      </c>
      <c r="D37538">
        <v>0</v>
      </c>
      <c r="E37538">
        <v>0</v>
      </c>
      <c r="F37538">
        <v>1442</v>
      </c>
    </row>
    <row r="37539" spans="1:6" ht="12.75">
      <c r="A37539" s="2">
        <v>43875.043414351851</v>
      </c>
      <c r="B37539" t="str">
        <f>HYPERLINK("https://twitter.com/Boyzneboyzone","@Boyzneboyzone")</f>
        <v>@Boyzneboyzone</v>
      </c>
      <c r="C37539" t="s">
        <v>9113</v>
      </c>
      <c r="D37539">
        <v>227</v>
      </c>
      <c r="E37539">
        <v>0</v>
      </c>
      <c r="F37539">
        <v>1735</v>
      </c>
    </row>
    <row r="37540" spans="1:6" ht="12.75">
      <c r="A37540" s="2">
        <v>43875.043368055558</v>
      </c>
      <c r="B37540" t="str">
        <f>HYPERLINK("https://twitter.com/kbharianaceh","@kbharianaceh")</f>
        <v>@kbharianaceh</v>
      </c>
      <c r="C37540" t="s">
        <v>15418</v>
      </c>
      <c r="D37540">
        <v>0</v>
      </c>
      <c r="E37540">
        <v>0</v>
      </c>
      <c r="F37540">
        <v>1186</v>
      </c>
    </row>
    <row r="37541" spans="1:6" ht="12.75">
      <c r="A37541" s="2">
        <v>43875.043194444443</v>
      </c>
      <c r="B37541" t="str">
        <f>HYPERLINK("https://twitter.com/BarikatulHikmah","@BarikatulHikmah")</f>
        <v>@BarikatulHikmah</v>
      </c>
      <c r="C37541" t="s">
        <v>8233</v>
      </c>
      <c r="D37541">
        <v>243</v>
      </c>
      <c r="E37541">
        <v>0</v>
      </c>
      <c r="F37541">
        <v>2908</v>
      </c>
    </row>
    <row r="37542" spans="1:6" ht="12.75">
      <c r="A37542" s="2">
        <v>43875.043182870373</v>
      </c>
      <c r="B37542" t="str">
        <f>HYPERLINK("https://twitter.com/MABukar_44","@MABukar_44")</f>
        <v>@MABukar_44</v>
      </c>
      <c r="C37542" t="s">
        <v>15419</v>
      </c>
      <c r="D37542">
        <v>0</v>
      </c>
      <c r="E37542">
        <v>0</v>
      </c>
      <c r="F37542">
        <v>22</v>
      </c>
    </row>
    <row r="37543" spans="1:6" ht="12.75">
      <c r="A37543" s="2">
        <v>43875.042893518519</v>
      </c>
      <c r="B37543" t="str">
        <f>HYPERLINK("https://twitter.com/wisanggeni_084","@wisanggeni_084")</f>
        <v>@wisanggeni_084</v>
      </c>
      <c r="C37543" t="s">
        <v>15403</v>
      </c>
      <c r="D37543">
        <v>2</v>
      </c>
      <c r="E37543">
        <v>0</v>
      </c>
      <c r="F37543">
        <v>15789</v>
      </c>
    </row>
    <row r="37544" spans="1:6" ht="12.75">
      <c r="A37544" s="2">
        <v>43875.042754629627</v>
      </c>
      <c r="B37544" t="str">
        <f>HYPERLINK("https://twitter.com/Gus_Arifin","@Gus_Arifin")</f>
        <v>@Gus_Arifin</v>
      </c>
      <c r="C37544" t="s">
        <v>13712</v>
      </c>
      <c r="D37544">
        <v>26</v>
      </c>
      <c r="E37544">
        <v>0</v>
      </c>
      <c r="F37544">
        <v>5425</v>
      </c>
    </row>
    <row r="37545" spans="1:6" ht="12.75">
      <c r="A37545" s="2">
        <v>43875.042465277773</v>
      </c>
      <c r="B37545" t="str">
        <f>HYPERLINK("https://twitter.com/Mr_Hunowu","@Mr_Hunowu")</f>
        <v>@Mr_Hunowu</v>
      </c>
      <c r="C37545" t="s">
        <v>59</v>
      </c>
      <c r="D37545">
        <v>0</v>
      </c>
      <c r="E37545">
        <v>0</v>
      </c>
      <c r="F37545">
        <v>336</v>
      </c>
    </row>
    <row r="37546" spans="1:6" ht="12.75">
      <c r="A37546" s="2">
        <v>43875.042430555557</v>
      </c>
      <c r="B37546" t="str">
        <f>HYPERLINK("https://twitter.com/koerniawanr02","@koerniawanr02")</f>
        <v>@koerniawanr02</v>
      </c>
      <c r="C37546" t="s">
        <v>11330</v>
      </c>
      <c r="D37546">
        <v>110</v>
      </c>
      <c r="E37546">
        <v>0</v>
      </c>
      <c r="F37546">
        <v>1051</v>
      </c>
    </row>
    <row r="37547" spans="1:6" ht="12.75">
      <c r="A37547" s="2">
        <v>43875.042395833334</v>
      </c>
      <c r="B37547" t="str">
        <f>HYPERLINK("https://twitter.com/ANgewelagi","@ANgewelagi")</f>
        <v>@ANgewelagi</v>
      </c>
      <c r="C37547" t="s">
        <v>15420</v>
      </c>
      <c r="D37547">
        <v>0</v>
      </c>
      <c r="E37547">
        <v>0</v>
      </c>
      <c r="F37547">
        <v>42</v>
      </c>
    </row>
    <row r="37548" spans="1:6" ht="12.75">
      <c r="A37548" s="2">
        <v>43875.042071759264</v>
      </c>
      <c r="B37548" t="str">
        <f>HYPERLINK("https://twitter.com/sanuri118","@sanuri118")</f>
        <v>@sanuri118</v>
      </c>
      <c r="C37548" t="s">
        <v>10859</v>
      </c>
      <c r="D37548">
        <v>25</v>
      </c>
      <c r="E37548">
        <v>0</v>
      </c>
      <c r="F37548">
        <v>1432</v>
      </c>
    </row>
    <row r="37549" spans="1:6" ht="12.75">
      <c r="A37549" s="2">
        <v>43875.042048611111</v>
      </c>
      <c r="B37549" t="str">
        <f>HYPERLINK("https://twitter.com/Duta_Matahari","@Duta_Matahari")</f>
        <v>@Duta_Matahari</v>
      </c>
      <c r="C37549" t="s">
        <v>10196</v>
      </c>
      <c r="D37549">
        <v>116</v>
      </c>
      <c r="E37549">
        <v>0</v>
      </c>
      <c r="F37549">
        <v>346</v>
      </c>
    </row>
    <row r="37550" spans="1:6" ht="12.75">
      <c r="A37550" s="2">
        <v>43875.041886574079</v>
      </c>
      <c r="B37550" t="str">
        <f>HYPERLINK("https://twitter.com/suprinakmolgin1","@suprinakmolgin1")</f>
        <v>@suprinakmolgin1</v>
      </c>
      <c r="C37550" t="s">
        <v>15421</v>
      </c>
      <c r="D37550">
        <v>0</v>
      </c>
      <c r="E37550">
        <v>0</v>
      </c>
      <c r="F37550">
        <v>0</v>
      </c>
    </row>
    <row r="37551" spans="1:6" ht="12.75">
      <c r="A37551" s="2">
        <v>43875.041851851856</v>
      </c>
      <c r="B37551" t="str">
        <f>HYPERLINK("https://twitter.com/NannyAlexendry","@NannyAlexendry")</f>
        <v>@NannyAlexendry</v>
      </c>
      <c r="C37551" t="s">
        <v>9373</v>
      </c>
      <c r="D37551">
        <v>94</v>
      </c>
      <c r="E37551">
        <v>0</v>
      </c>
      <c r="F37551">
        <v>2875</v>
      </c>
    </row>
    <row r="37552" spans="1:6" ht="12.75">
      <c r="A37552" s="2">
        <v>43875.04178240741</v>
      </c>
      <c r="B37552" t="str">
        <f>HYPERLINK("https://twitter.com/muflih_moh","@muflih_moh")</f>
        <v>@muflih_moh</v>
      </c>
      <c r="C37552" t="s">
        <v>9947</v>
      </c>
      <c r="D37552">
        <v>308</v>
      </c>
      <c r="E37552">
        <v>0</v>
      </c>
      <c r="F37552">
        <v>1100</v>
      </c>
    </row>
    <row r="37553" spans="1:6" ht="12.75">
      <c r="A37553" s="2">
        <v>43875.041388888887</v>
      </c>
      <c r="B37553" t="str">
        <f>HYPERLINK("https://twitter.com/ismirza74","@ismirza74")</f>
        <v>@ismirza74</v>
      </c>
      <c r="C37553" t="s">
        <v>175</v>
      </c>
      <c r="D37553">
        <v>5209</v>
      </c>
      <c r="E37553">
        <v>0</v>
      </c>
      <c r="F37553">
        <v>527</v>
      </c>
    </row>
    <row r="37554" spans="1:6" ht="12.75">
      <c r="A37554" s="2">
        <v>43875.041203703702</v>
      </c>
      <c r="B37554" t="str">
        <f>HYPERLINK("https://twitter.com/JokoHerry1","@JokoHerry1")</f>
        <v>@JokoHerry1</v>
      </c>
      <c r="C37554" t="s">
        <v>2122</v>
      </c>
      <c r="D37554">
        <v>163</v>
      </c>
      <c r="E37554">
        <v>0</v>
      </c>
      <c r="F37554">
        <v>64</v>
      </c>
    </row>
    <row r="37555" spans="1:6" ht="12.75">
      <c r="A37555" s="2">
        <v>43875.04105324074</v>
      </c>
      <c r="B37555" t="str">
        <f>HYPERLINK("https://twitter.com/Salmanrizi_","@Salmanrizi_")</f>
        <v>@Salmanrizi_</v>
      </c>
      <c r="C37555" t="s">
        <v>10295</v>
      </c>
      <c r="D37555">
        <v>82</v>
      </c>
      <c r="E37555">
        <v>0</v>
      </c>
      <c r="F37555">
        <v>320</v>
      </c>
    </row>
    <row r="37556" spans="1:6" ht="12.75">
      <c r="A37556" s="2">
        <v>43875.040902777779</v>
      </c>
      <c r="B37556" t="str">
        <f>HYPERLINK("https://twitter.com/sanuri118","@sanuri118")</f>
        <v>@sanuri118</v>
      </c>
      <c r="C37556" t="s">
        <v>11425</v>
      </c>
      <c r="D37556">
        <v>169</v>
      </c>
      <c r="E37556">
        <v>0</v>
      </c>
      <c r="F37556">
        <v>1432</v>
      </c>
    </row>
    <row r="37557" spans="1:6" ht="12.75">
      <c r="A37557" s="2">
        <v>43875.040879629625</v>
      </c>
      <c r="B37557" t="str">
        <f>HYPERLINK("https://twitter.com/p4pi11on","@p4pi11on")</f>
        <v>@p4pi11on</v>
      </c>
      <c r="C37557" t="s">
        <v>11764</v>
      </c>
      <c r="D37557">
        <v>24</v>
      </c>
      <c r="E37557">
        <v>0</v>
      </c>
      <c r="F37557">
        <v>1114</v>
      </c>
    </row>
    <row r="37558" spans="1:6" ht="12.75">
      <c r="A37558" s="2">
        <v>43875.040821759263</v>
      </c>
      <c r="B37558" t="str">
        <f>HYPERLINK("https://twitter.com/beatrice_health","@beatrice_health")</f>
        <v>@beatrice_health</v>
      </c>
      <c r="C37558" t="s">
        <v>4151</v>
      </c>
      <c r="D37558">
        <v>10</v>
      </c>
      <c r="E37558">
        <v>0</v>
      </c>
      <c r="F37558">
        <v>59</v>
      </c>
    </row>
    <row r="37559" spans="1:6" ht="12.75">
      <c r="A37559" s="2">
        <v>43875.04078703704</v>
      </c>
      <c r="B37559" t="str">
        <f>HYPERLINK("https://twitter.com/Yuu_Naii","@Yuu_Naii")</f>
        <v>@Yuu_Naii</v>
      </c>
      <c r="C37559" t="s">
        <v>4151</v>
      </c>
      <c r="D37559">
        <v>10</v>
      </c>
      <c r="E37559">
        <v>0</v>
      </c>
      <c r="F37559">
        <v>343</v>
      </c>
    </row>
    <row r="37560" spans="1:6" ht="12.75">
      <c r="A37560" s="2">
        <v>43875.040775462963</v>
      </c>
      <c r="B37560" t="str">
        <f>HYPERLINK("https://twitter.com/ANgewelagi","@ANgewelagi")</f>
        <v>@ANgewelagi</v>
      </c>
      <c r="C37560" t="s">
        <v>15422</v>
      </c>
      <c r="D37560">
        <v>0</v>
      </c>
      <c r="E37560">
        <v>0</v>
      </c>
      <c r="F37560">
        <v>42</v>
      </c>
    </row>
    <row r="37561" spans="1:6" ht="12.75">
      <c r="A37561" s="2">
        <v>43875.040671296301</v>
      </c>
      <c r="B37561" t="str">
        <f>HYPERLINK("https://twitter.com/alhdrs","@alhdrs")</f>
        <v>@alhdrs</v>
      </c>
      <c r="C37561" t="s">
        <v>15423</v>
      </c>
      <c r="D37561">
        <v>0</v>
      </c>
      <c r="E37561">
        <v>0</v>
      </c>
      <c r="F37561">
        <v>132</v>
      </c>
    </row>
    <row r="37562" spans="1:6" ht="12.75">
      <c r="A37562" s="2">
        <v>43875.040671296301</v>
      </c>
      <c r="B37562" t="str">
        <f>HYPERLINK("https://twitter.com/icboemi","@icboemi")</f>
        <v>@icboemi</v>
      </c>
      <c r="C37562" t="s">
        <v>10542</v>
      </c>
      <c r="D37562">
        <v>120</v>
      </c>
      <c r="E37562">
        <v>0</v>
      </c>
      <c r="F37562">
        <v>345</v>
      </c>
    </row>
    <row r="37563" spans="1:6" ht="12.75">
      <c r="A37563" s="2">
        <v>43875.040590277778</v>
      </c>
      <c r="B37563" t="str">
        <f>HYPERLINK("https://twitter.com/muflih_moh","@muflih_moh")</f>
        <v>@muflih_moh</v>
      </c>
      <c r="C37563" t="s">
        <v>13712</v>
      </c>
      <c r="D37563">
        <v>26</v>
      </c>
      <c r="E37563">
        <v>0</v>
      </c>
      <c r="F37563">
        <v>1100</v>
      </c>
    </row>
    <row r="37564" spans="1:6" ht="12.75">
      <c r="A37564" s="2">
        <v>43875.040555555555</v>
      </c>
      <c r="B37564" t="str">
        <f>HYPERLINK("https://twitter.com/Nawat_Adws","@Nawat_Adws")</f>
        <v>@Nawat_Adws</v>
      </c>
      <c r="C37564" t="s">
        <v>15424</v>
      </c>
      <c r="D37564">
        <v>0</v>
      </c>
      <c r="E37564">
        <v>0</v>
      </c>
      <c r="F37564">
        <v>1123</v>
      </c>
    </row>
    <row r="37565" spans="1:6" ht="12.75">
      <c r="A37565" s="2">
        <v>43875.040555555555</v>
      </c>
      <c r="B37565" t="str">
        <f>HYPERLINK("https://twitter.com/indozonemedia","@indozonemedia")</f>
        <v>@indozonemedia</v>
      </c>
      <c r="C37565" t="s">
        <v>60</v>
      </c>
      <c r="D37565">
        <v>0</v>
      </c>
      <c r="E37565">
        <v>0</v>
      </c>
      <c r="F37565">
        <v>1787941</v>
      </c>
    </row>
    <row r="37566" spans="1:6" ht="12.75">
      <c r="A37566" s="2">
        <v>43875.040509259255</v>
      </c>
      <c r="B37566" t="str">
        <f>HYPERLINK("https://twitter.com/idanial","@idanial")</f>
        <v>@idanial</v>
      </c>
      <c r="C37566" t="s">
        <v>15425</v>
      </c>
      <c r="D37566">
        <v>0</v>
      </c>
      <c r="E37566">
        <v>0</v>
      </c>
      <c r="F37566">
        <v>304</v>
      </c>
    </row>
    <row r="37567" spans="1:6" ht="12.75">
      <c r="A37567" s="2">
        <v>43875.040381944447</v>
      </c>
      <c r="B37567" t="str">
        <f>HYPERLINK("https://twitter.com/akufollowjangan","@akufollowjangan")</f>
        <v>@akufollowjangan</v>
      </c>
      <c r="C37567" t="s">
        <v>5168</v>
      </c>
      <c r="D37567">
        <v>327</v>
      </c>
      <c r="E37567">
        <v>0</v>
      </c>
      <c r="F37567">
        <v>209</v>
      </c>
    </row>
    <row r="37568" spans="1:6" ht="12.75">
      <c r="A37568" s="2">
        <v>43875.040243055555</v>
      </c>
      <c r="B37568" t="str">
        <f>HYPERLINK("https://twitter.com/YEngran","@YEngran")</f>
        <v>@YEngran</v>
      </c>
      <c r="C37568" t="s">
        <v>15426</v>
      </c>
      <c r="D37568">
        <v>0</v>
      </c>
      <c r="E37568">
        <v>1</v>
      </c>
      <c r="F37568">
        <v>246</v>
      </c>
    </row>
    <row r="37569" spans="1:6" ht="12.75">
      <c r="A37569" s="2">
        <v>43875.040023148147</v>
      </c>
      <c r="B37569" t="str">
        <f>HYPERLINK("https://twitter.com/manadopost_id","@manadopost_id")</f>
        <v>@manadopost_id</v>
      </c>
      <c r="C37569" t="s">
        <v>15255</v>
      </c>
      <c r="D37569">
        <v>0</v>
      </c>
      <c r="E37569">
        <v>0</v>
      </c>
      <c r="F37569">
        <v>933</v>
      </c>
    </row>
    <row r="37570" spans="1:6" ht="12.75">
      <c r="A37570" s="2">
        <v>43875.039918981478</v>
      </c>
      <c r="B37570" t="str">
        <f>HYPERLINK("https://twitter.com/chairulachir","@chairulachir")</f>
        <v>@chairulachir</v>
      </c>
      <c r="C37570" t="s">
        <v>13173</v>
      </c>
      <c r="D37570">
        <v>5</v>
      </c>
      <c r="E37570">
        <v>0</v>
      </c>
      <c r="F37570">
        <v>2417</v>
      </c>
    </row>
    <row r="37571" spans="1:6" ht="12.75">
      <c r="A37571" s="2">
        <v>43875.039849537032</v>
      </c>
      <c r="B37571" t="str">
        <f>HYPERLINK("https://twitter.com/Wizqi1","@Wizqi1")</f>
        <v>@Wizqi1</v>
      </c>
      <c r="C37571" t="s">
        <v>9022</v>
      </c>
      <c r="D37571">
        <v>2</v>
      </c>
      <c r="E37571">
        <v>0</v>
      </c>
      <c r="F37571">
        <v>138</v>
      </c>
    </row>
    <row r="37572" spans="1:6" ht="12.75">
      <c r="A37572" s="2">
        <v>43875.039814814816</v>
      </c>
      <c r="B37572" t="str">
        <f>HYPERLINK("https://twitter.com/ANgewelagi","@ANgewelagi")</f>
        <v>@ANgewelagi</v>
      </c>
      <c r="C37572" t="s">
        <v>15427</v>
      </c>
      <c r="D37572">
        <v>0</v>
      </c>
      <c r="E37572">
        <v>0</v>
      </c>
      <c r="F37572">
        <v>42</v>
      </c>
    </row>
    <row r="37573" spans="1:6" ht="12.75">
      <c r="A37573" s="2">
        <v>43875.039687500001</v>
      </c>
      <c r="B37573" t="str">
        <f>HYPERLINK("https://twitter.com/haluan_lampung","@haluan_lampung")</f>
        <v>@haluan_lampung</v>
      </c>
      <c r="C37573" t="s">
        <v>61</v>
      </c>
      <c r="D37573">
        <v>0</v>
      </c>
      <c r="E37573">
        <v>0</v>
      </c>
      <c r="F37573">
        <v>2</v>
      </c>
    </row>
    <row r="37574" spans="1:6" ht="12.75">
      <c r="A37574" s="2">
        <v>43875.039664351847</v>
      </c>
      <c r="B37574" t="str">
        <f t="shared" ref="B37574:B37575" si="437">HYPERLINK("https://twitter.com/NannyAlexendry","@NannyAlexendry")</f>
        <v>@NannyAlexendry</v>
      </c>
      <c r="C37574" t="s">
        <v>15428</v>
      </c>
      <c r="D37574">
        <v>3</v>
      </c>
      <c r="E37574">
        <v>0</v>
      </c>
      <c r="F37574">
        <v>2875</v>
      </c>
    </row>
    <row r="37575" spans="1:6" ht="12.75">
      <c r="A37575" s="2">
        <v>43875.039629629631</v>
      </c>
      <c r="B37575" t="str">
        <f t="shared" si="437"/>
        <v>@NannyAlexendry</v>
      </c>
      <c r="C37575" t="s">
        <v>15429</v>
      </c>
      <c r="D37575">
        <v>12</v>
      </c>
      <c r="E37575">
        <v>0</v>
      </c>
      <c r="F37575">
        <v>2875</v>
      </c>
    </row>
    <row r="37576" spans="1:6" ht="12.75">
      <c r="A37576" s="2">
        <v>43875.0394212963</v>
      </c>
      <c r="B37576" t="str">
        <f>HYPERLINK("https://twitter.com/__beritaterkini","@__beritaterkini")</f>
        <v>@__beritaterkini</v>
      </c>
      <c r="C37576" t="s">
        <v>15430</v>
      </c>
      <c r="D37576">
        <v>0</v>
      </c>
      <c r="E37576">
        <v>0</v>
      </c>
      <c r="F37576">
        <v>414</v>
      </c>
    </row>
    <row r="37577" spans="1:6" ht="12.75">
      <c r="A37577" s="2">
        <v>43875.039166666669</v>
      </c>
      <c r="B37577" t="str">
        <f>HYPERLINK("https://twitter.com/Benantonius","@Benantonius")</f>
        <v>@Benantonius</v>
      </c>
      <c r="C37577" t="s">
        <v>11425</v>
      </c>
      <c r="D37577">
        <v>169</v>
      </c>
      <c r="E37577">
        <v>0</v>
      </c>
      <c r="F37577">
        <v>544</v>
      </c>
    </row>
    <row r="37578" spans="1:6" ht="12.75">
      <c r="A37578" s="2">
        <v>43875.039120370369</v>
      </c>
      <c r="B37578" t="str">
        <f>HYPERLINK("https://twitter.com/ANgewelagi","@ANgewelagi")</f>
        <v>@ANgewelagi</v>
      </c>
      <c r="C37578" t="s">
        <v>15431</v>
      </c>
      <c r="D37578">
        <v>0</v>
      </c>
      <c r="E37578">
        <v>0</v>
      </c>
      <c r="F37578">
        <v>42</v>
      </c>
    </row>
    <row r="37579" spans="1:6" ht="12.75">
      <c r="A37579" s="2">
        <v>43875.0390625</v>
      </c>
      <c r="B37579" t="str">
        <f>HYPERLINK("https://twitter.com/Rnldi_m","@Rnldi_m")</f>
        <v>@Rnldi_m</v>
      </c>
      <c r="C37579" t="s">
        <v>11167</v>
      </c>
      <c r="D37579">
        <v>150</v>
      </c>
      <c r="E37579">
        <v>0</v>
      </c>
      <c r="F37579">
        <v>285</v>
      </c>
    </row>
    <row r="37580" spans="1:6" ht="12.75">
      <c r="A37580" s="2">
        <v>43875.038900462961</v>
      </c>
      <c r="B37580" t="str">
        <f>HYPERLINK("https://twitter.com/tiarkris","@tiarkris")</f>
        <v>@tiarkris</v>
      </c>
      <c r="C37580" t="s">
        <v>10531</v>
      </c>
      <c r="D37580">
        <v>91</v>
      </c>
      <c r="E37580">
        <v>0</v>
      </c>
      <c r="F37580">
        <v>716</v>
      </c>
    </row>
    <row r="37581" spans="1:6" ht="12.75">
      <c r="A37581" s="2">
        <v>43875.038738425923</v>
      </c>
      <c r="B37581" t="str">
        <f>HYPERLINK("https://twitter.com/Gokong_83","@Gokong_83")</f>
        <v>@Gokong_83</v>
      </c>
      <c r="C37581" t="s">
        <v>12180</v>
      </c>
      <c r="D37581">
        <v>23</v>
      </c>
      <c r="E37581">
        <v>0</v>
      </c>
      <c r="F37581">
        <v>65</v>
      </c>
    </row>
    <row r="37582" spans="1:6" ht="12.75">
      <c r="A37582" s="2">
        <v>43875.038634259261</v>
      </c>
      <c r="B37582" t="str">
        <f>HYPERLINK("https://twitter.com/elidameryy","@elidameryy")</f>
        <v>@elidameryy</v>
      </c>
      <c r="C37582" t="s">
        <v>7803</v>
      </c>
      <c r="D37582">
        <v>287</v>
      </c>
      <c r="E37582">
        <v>0</v>
      </c>
      <c r="F37582">
        <v>672</v>
      </c>
    </row>
    <row r="37583" spans="1:6" ht="12.75">
      <c r="A37583" s="2">
        <v>43875.038576388892</v>
      </c>
      <c r="B37583" t="str">
        <f>HYPERLINK("https://twitter.com/Firdaus07610087","@Firdaus07610087")</f>
        <v>@Firdaus07610087</v>
      </c>
      <c r="C37583" t="s">
        <v>13712</v>
      </c>
      <c r="D37583">
        <v>26</v>
      </c>
      <c r="E37583">
        <v>0</v>
      </c>
      <c r="F37583">
        <v>304</v>
      </c>
    </row>
    <row r="37584" spans="1:6" ht="12.75">
      <c r="A37584" s="2">
        <v>43875.038472222222</v>
      </c>
      <c r="B37584" t="str">
        <f>HYPERLINK("https://twitter.com/suprinakmolgin1","@suprinakmolgin1")</f>
        <v>@suprinakmolgin1</v>
      </c>
      <c r="C37584" t="s">
        <v>15432</v>
      </c>
      <c r="D37584">
        <v>0</v>
      </c>
      <c r="E37584">
        <v>0</v>
      </c>
      <c r="F37584">
        <v>0</v>
      </c>
    </row>
    <row r="37585" spans="1:6" ht="12.75">
      <c r="A37585" s="2">
        <v>43875.038217592592</v>
      </c>
      <c r="B37585" t="str">
        <f>HYPERLINK("https://twitter.com/Kadalgurun1990","@Kadalgurun1990")</f>
        <v>@Kadalgurun1990</v>
      </c>
      <c r="C37585" t="s">
        <v>2122</v>
      </c>
      <c r="D37585">
        <v>163</v>
      </c>
      <c r="E37585">
        <v>0</v>
      </c>
      <c r="F37585">
        <v>392</v>
      </c>
    </row>
    <row r="37586" spans="1:6" ht="12.75">
      <c r="A37586" s="2">
        <v>43875.038194444445</v>
      </c>
      <c r="B37586" t="str">
        <f>HYPERLINK("https://twitter.com/Yudhashanny1","@Yudhashanny1")</f>
        <v>@Yudhashanny1</v>
      </c>
      <c r="C37586" t="s">
        <v>15433</v>
      </c>
      <c r="D37586">
        <v>11</v>
      </c>
      <c r="E37586">
        <v>0</v>
      </c>
      <c r="F37586">
        <v>350</v>
      </c>
    </row>
    <row r="37587" spans="1:6" ht="12.75">
      <c r="A37587" s="2">
        <v>43875.038078703699</v>
      </c>
      <c r="B37587" t="str">
        <f>HYPERLINK("https://twitter.com/julieaza","@julieaza")</f>
        <v>@julieaza</v>
      </c>
      <c r="C37587" t="s">
        <v>10196</v>
      </c>
      <c r="D37587">
        <v>116</v>
      </c>
      <c r="E37587">
        <v>0</v>
      </c>
      <c r="F37587">
        <v>50</v>
      </c>
    </row>
    <row r="37588" spans="1:6" ht="12.75">
      <c r="A37588" s="2">
        <v>43875.038020833337</v>
      </c>
      <c r="B37588" t="str">
        <f>HYPERLINK("https://twitter.com/marpaung913","@marpaung913")</f>
        <v>@marpaung913</v>
      </c>
      <c r="C37588" t="s">
        <v>15434</v>
      </c>
      <c r="D37588">
        <v>0</v>
      </c>
      <c r="E37588">
        <v>0</v>
      </c>
      <c r="F37588">
        <v>524</v>
      </c>
    </row>
    <row r="37589" spans="1:6" ht="12.75">
      <c r="A37589" s="2">
        <v>43875.037974537037</v>
      </c>
      <c r="B37589" t="str">
        <f>HYPERLINK("https://twitter.com/Yoestahmada","@Yoestahmada")</f>
        <v>@Yoestahmada</v>
      </c>
      <c r="C37589" t="s">
        <v>15435</v>
      </c>
      <c r="D37589">
        <v>0</v>
      </c>
      <c r="E37589">
        <v>0</v>
      </c>
      <c r="F37589">
        <v>717</v>
      </c>
    </row>
    <row r="37590" spans="1:6" ht="12.75">
      <c r="A37590" s="2">
        <v>43875.037939814814</v>
      </c>
      <c r="B37590" t="str">
        <f>HYPERLINK("https://twitter.com/anita81692023","@anita81692023")</f>
        <v>@anita81692023</v>
      </c>
      <c r="C37590" t="s">
        <v>15436</v>
      </c>
      <c r="D37590">
        <v>2</v>
      </c>
      <c r="E37590">
        <v>4</v>
      </c>
      <c r="F37590">
        <v>61</v>
      </c>
    </row>
    <row r="37591" spans="1:6" ht="12.75">
      <c r="A37591" s="2">
        <v>43875.037881944445</v>
      </c>
      <c r="B37591" t="str">
        <f>HYPERLINK("https://twitter.com/julieaza","@julieaza")</f>
        <v>@julieaza</v>
      </c>
      <c r="C37591" t="s">
        <v>9113</v>
      </c>
      <c r="D37591">
        <v>227</v>
      </c>
      <c r="E37591">
        <v>0</v>
      </c>
      <c r="F37591">
        <v>50</v>
      </c>
    </row>
    <row r="37592" spans="1:6" ht="12.75">
      <c r="A37592" s="2">
        <v>43875.037650462968</v>
      </c>
      <c r="B37592" t="str">
        <f>HYPERLINK("https://twitter.com/Sandikafath","@Sandikafath")</f>
        <v>@Sandikafath</v>
      </c>
      <c r="C37592" t="s">
        <v>15437</v>
      </c>
      <c r="D37592">
        <v>98</v>
      </c>
      <c r="E37592">
        <v>0</v>
      </c>
      <c r="F37592">
        <v>211</v>
      </c>
    </row>
    <row r="37593" spans="1:6" ht="12.75">
      <c r="A37593" s="2">
        <v>43875.037418981483</v>
      </c>
      <c r="B37593" t="str">
        <f>HYPERLINK("https://twitter.com/DoddyMJ","@DoddyMJ")</f>
        <v>@DoddyMJ</v>
      </c>
      <c r="C37593" t="s">
        <v>15438</v>
      </c>
      <c r="D37593">
        <v>0</v>
      </c>
      <c r="E37593">
        <v>0</v>
      </c>
      <c r="F37593">
        <v>298</v>
      </c>
    </row>
    <row r="37594" spans="1:6" ht="12.75">
      <c r="A37594" s="2">
        <v>43875.037349537037</v>
      </c>
      <c r="B37594" t="str">
        <f>HYPERLINK("https://twitter.com/77bayoe","@77bayoe")</f>
        <v>@77bayoe</v>
      </c>
      <c r="C37594" t="s">
        <v>11566</v>
      </c>
      <c r="D37594">
        <v>92</v>
      </c>
      <c r="E37594">
        <v>0</v>
      </c>
      <c r="F37594">
        <v>2201</v>
      </c>
    </row>
    <row r="37595" spans="1:6" ht="12.75">
      <c r="A37595" s="2">
        <v>43875.037326388891</v>
      </c>
      <c r="B37595" t="str">
        <f>HYPERLINK("https://twitter.com/BudiKacle","@BudiKacle")</f>
        <v>@BudiKacle</v>
      </c>
      <c r="C37595" t="s">
        <v>15439</v>
      </c>
      <c r="D37595">
        <v>1</v>
      </c>
      <c r="E37595">
        <v>4</v>
      </c>
      <c r="F37595">
        <v>0</v>
      </c>
    </row>
    <row r="37596" spans="1:6" ht="12.75">
      <c r="A37596" s="2">
        <v>43875.037314814814</v>
      </c>
      <c r="B37596" t="str">
        <f>HYPERLINK("https://twitter.com/zakir_sabara","@zakir_sabara")</f>
        <v>@zakir_sabara</v>
      </c>
      <c r="C37596" t="s">
        <v>12679</v>
      </c>
      <c r="D37596">
        <v>715</v>
      </c>
      <c r="E37596">
        <v>0</v>
      </c>
      <c r="F37596">
        <v>5851</v>
      </c>
    </row>
    <row r="37597" spans="1:6" ht="12.75">
      <c r="A37597" s="2">
        <v>43875.037245370375</v>
      </c>
      <c r="B37597" t="str">
        <f t="shared" ref="B37597:B37598" si="438">HYPERLINK("https://twitter.com/julieaza","@julieaza")</f>
        <v>@julieaza</v>
      </c>
      <c r="C37597" t="s">
        <v>10957</v>
      </c>
      <c r="D37597">
        <v>43</v>
      </c>
      <c r="E37597">
        <v>0</v>
      </c>
      <c r="F37597">
        <v>50</v>
      </c>
    </row>
    <row r="37598" spans="1:6" ht="12.75">
      <c r="A37598" s="2">
        <v>43875.036759259259</v>
      </c>
      <c r="B37598" t="str">
        <f t="shared" si="438"/>
        <v>@julieaza</v>
      </c>
      <c r="C37598" t="s">
        <v>2122</v>
      </c>
      <c r="D37598">
        <v>163</v>
      </c>
      <c r="E37598">
        <v>0</v>
      </c>
      <c r="F37598">
        <v>50</v>
      </c>
    </row>
    <row r="37599" spans="1:6" ht="12.75">
      <c r="A37599" s="2">
        <v>43875.036747685182</v>
      </c>
      <c r="B37599" t="str">
        <f>HYPERLINK("https://twitter.com/veraagustian_","@veraagustian_")</f>
        <v>@veraagustian_</v>
      </c>
      <c r="C37599" t="s">
        <v>15440</v>
      </c>
      <c r="D37599">
        <v>0</v>
      </c>
      <c r="E37599">
        <v>1</v>
      </c>
      <c r="F37599">
        <v>2944</v>
      </c>
    </row>
    <row r="37600" spans="1:6" ht="12.75">
      <c r="A37600" s="2">
        <v>43875.036469907413</v>
      </c>
      <c r="B37600" t="str">
        <f>HYPERLINK("https://twitter.com/verdiborneo","@verdiborneo")</f>
        <v>@verdiborneo</v>
      </c>
      <c r="C37600" t="s">
        <v>15441</v>
      </c>
      <c r="D37600">
        <v>0</v>
      </c>
      <c r="E37600">
        <v>0</v>
      </c>
      <c r="F37600">
        <v>170</v>
      </c>
    </row>
    <row r="37601" spans="1:6" ht="12.75">
      <c r="A37601" s="2">
        <v>43875.036261574074</v>
      </c>
      <c r="B37601" t="str">
        <f>HYPERLINK("https://twitter.com/saifulmisyar","@saifulmisyar")</f>
        <v>@saifulmisyar</v>
      </c>
      <c r="C37601" t="s">
        <v>15398</v>
      </c>
      <c r="D37601">
        <v>4</v>
      </c>
      <c r="E37601">
        <v>0</v>
      </c>
      <c r="F37601">
        <v>2138</v>
      </c>
    </row>
    <row r="37602" spans="1:6" ht="12.75">
      <c r="A37602" s="2">
        <v>43875.036134259259</v>
      </c>
      <c r="B37602" t="str">
        <f>HYPERLINK("https://twitter.com/77bayoe","@77bayoe")</f>
        <v>@77bayoe</v>
      </c>
      <c r="C37602" t="s">
        <v>13814</v>
      </c>
      <c r="D37602">
        <v>4</v>
      </c>
      <c r="E37602">
        <v>0</v>
      </c>
      <c r="F37602">
        <v>2201</v>
      </c>
    </row>
    <row r="37603" spans="1:6" ht="12.75">
      <c r="A37603" s="2">
        <v>43875.036111111112</v>
      </c>
      <c r="B37603" t="str">
        <f>HYPERLINK("https://twitter.com/veraagustian_","@veraagustian_")</f>
        <v>@veraagustian_</v>
      </c>
      <c r="C37603" t="s">
        <v>13173</v>
      </c>
      <c r="D37603">
        <v>5</v>
      </c>
      <c r="E37603">
        <v>0</v>
      </c>
      <c r="F37603">
        <v>2944</v>
      </c>
    </row>
    <row r="37604" spans="1:6" ht="12.75">
      <c r="A37604" s="2">
        <v>43875.035960648151</v>
      </c>
      <c r="B37604" t="str">
        <f>HYPERLINK("https://twitter.com/umiesmelani","@umiesmelani")</f>
        <v>@umiesmelani</v>
      </c>
      <c r="C37604" t="s">
        <v>8233</v>
      </c>
      <c r="D37604">
        <v>243</v>
      </c>
      <c r="E37604">
        <v>0</v>
      </c>
      <c r="F37604">
        <v>1122</v>
      </c>
    </row>
    <row r="37605" spans="1:6" ht="12.75">
      <c r="A37605" s="2">
        <v>43875.035844907412</v>
      </c>
      <c r="B37605" t="str">
        <f>HYPERLINK("https://twitter.com/raihan_oo7","@raihan_oo7")</f>
        <v>@raihan_oo7</v>
      </c>
      <c r="C37605" t="s">
        <v>15442</v>
      </c>
      <c r="D37605">
        <v>0</v>
      </c>
      <c r="E37605">
        <v>0</v>
      </c>
      <c r="F37605">
        <v>1839</v>
      </c>
    </row>
    <row r="37606" spans="1:6" ht="12.75">
      <c r="A37606" s="2">
        <v>43875.035497685181</v>
      </c>
      <c r="B37606" t="str">
        <f>HYPERLINK("https://twitter.com/pour71","@pour71")</f>
        <v>@pour71</v>
      </c>
      <c r="C37606" t="s">
        <v>13245</v>
      </c>
      <c r="D37606">
        <v>11</v>
      </c>
      <c r="E37606">
        <v>0</v>
      </c>
      <c r="F37606">
        <v>409</v>
      </c>
    </row>
    <row r="37607" spans="1:6" ht="12.75">
      <c r="A37607" s="2">
        <v>43875.035474537042</v>
      </c>
      <c r="B37607" t="str">
        <f>HYPERLINK("https://twitter.com/sistrey","@sistrey")</f>
        <v>@sistrey</v>
      </c>
      <c r="C37607" t="s">
        <v>5168</v>
      </c>
      <c r="D37607">
        <v>328</v>
      </c>
      <c r="E37607">
        <v>0</v>
      </c>
      <c r="F37607">
        <v>354</v>
      </c>
    </row>
    <row r="37608" spans="1:6" ht="12.75">
      <c r="A37608" s="2">
        <v>43875.035381944443</v>
      </c>
      <c r="B37608" t="str">
        <f>HYPERLINK("https://twitter.com/wp_dong","@wp_dong")</f>
        <v>@wp_dong</v>
      </c>
      <c r="C37608" t="s">
        <v>15443</v>
      </c>
      <c r="D37608">
        <v>0</v>
      </c>
      <c r="E37608">
        <v>0</v>
      </c>
      <c r="F37608">
        <v>401</v>
      </c>
    </row>
    <row r="37609" spans="1:6" ht="12.75">
      <c r="A37609" s="2">
        <v>43875.035196759258</v>
      </c>
      <c r="B37609" t="str">
        <f>HYPERLINK("https://twitter.com/sihata_D","@sihata_D")</f>
        <v>@sihata_D</v>
      </c>
      <c r="C37609" t="s">
        <v>13299</v>
      </c>
      <c r="D37609">
        <v>98</v>
      </c>
      <c r="E37609">
        <v>0</v>
      </c>
      <c r="F37609">
        <v>5</v>
      </c>
    </row>
    <row r="37610" spans="1:6" ht="12.75">
      <c r="A37610" s="2">
        <v>43875.035150462965</v>
      </c>
      <c r="B37610" t="str">
        <f>HYPERLINK("https://twitter.com/77bayoe","@77bayoe")</f>
        <v>@77bayoe</v>
      </c>
      <c r="C37610" t="s">
        <v>10196</v>
      </c>
      <c r="D37610">
        <v>116</v>
      </c>
      <c r="E37610">
        <v>0</v>
      </c>
      <c r="F37610">
        <v>2201</v>
      </c>
    </row>
    <row r="37611" spans="1:6" ht="12.75">
      <c r="A37611" s="2">
        <v>43875.035092592589</v>
      </c>
      <c r="B37611" t="str">
        <f>HYPERLINK("https://twitter.com/ediedot108","@ediedot108")</f>
        <v>@ediedot108</v>
      </c>
      <c r="C37611" t="s">
        <v>15444</v>
      </c>
      <c r="D37611">
        <v>19</v>
      </c>
      <c r="E37611">
        <v>0</v>
      </c>
      <c r="F37611">
        <v>2254</v>
      </c>
    </row>
    <row r="37612" spans="1:6" ht="12.75">
      <c r="A37612" s="2">
        <v>43875.035011574073</v>
      </c>
      <c r="B37612" t="str">
        <f>HYPERLINK("https://twitter.com/Nawat_Adws","@Nawat_Adws")</f>
        <v>@Nawat_Adws</v>
      </c>
      <c r="C37612" t="s">
        <v>15445</v>
      </c>
      <c r="D37612">
        <v>0</v>
      </c>
      <c r="E37612">
        <v>1</v>
      </c>
      <c r="F37612">
        <v>1123</v>
      </c>
    </row>
    <row r="37613" spans="1:6" ht="12.75">
      <c r="A37613" s="2">
        <v>43875.034826388888</v>
      </c>
      <c r="B37613" t="str">
        <f>HYPERLINK("https://twitter.com/77bayoe","@77bayoe")</f>
        <v>@77bayoe</v>
      </c>
      <c r="C37613" t="s">
        <v>14761</v>
      </c>
      <c r="D37613">
        <v>18</v>
      </c>
      <c r="E37613">
        <v>0</v>
      </c>
      <c r="F37613">
        <v>2201</v>
      </c>
    </row>
    <row r="37614" spans="1:6" ht="12.75">
      <c r="A37614" s="2">
        <v>43875.034502314811</v>
      </c>
      <c r="B37614" t="str">
        <f>HYPERLINK("https://twitter.com/2024GanjarRisma","@2024GanjarRisma")</f>
        <v>@2024GanjarRisma</v>
      </c>
      <c r="C37614" t="s">
        <v>9113</v>
      </c>
      <c r="D37614">
        <v>227</v>
      </c>
      <c r="E37614">
        <v>0</v>
      </c>
      <c r="F37614">
        <v>1560</v>
      </c>
    </row>
    <row r="37615" spans="1:6" ht="12.75">
      <c r="A37615" s="2">
        <v>43875.034456018519</v>
      </c>
      <c r="B37615" t="str">
        <f>HYPERLINK("https://twitter.com/77bayoe","@77bayoe")</f>
        <v>@77bayoe</v>
      </c>
      <c r="C37615" t="s">
        <v>11071</v>
      </c>
      <c r="D37615">
        <v>49</v>
      </c>
      <c r="E37615">
        <v>0</v>
      </c>
      <c r="F37615">
        <v>2201</v>
      </c>
    </row>
    <row r="37616" spans="1:6" ht="12.75">
      <c r="A37616" s="2">
        <v>43875.034328703703</v>
      </c>
      <c r="B37616" t="str">
        <f t="shared" ref="B37616:B37617" si="439">HYPERLINK("https://twitter.com/SandyAndDandy1","@SandyAndDandy1")</f>
        <v>@SandyAndDandy1</v>
      </c>
      <c r="C37616" t="s">
        <v>15446</v>
      </c>
      <c r="D37616">
        <v>0</v>
      </c>
      <c r="E37616">
        <v>0</v>
      </c>
      <c r="F37616">
        <v>138</v>
      </c>
    </row>
    <row r="37617" spans="1:6" ht="12.75">
      <c r="A37617" s="2">
        <v>43875.034317129626</v>
      </c>
      <c r="B37617" t="str">
        <f t="shared" si="439"/>
        <v>@SandyAndDandy1</v>
      </c>
      <c r="C37617" t="s">
        <v>62</v>
      </c>
      <c r="D37617">
        <v>0</v>
      </c>
      <c r="E37617">
        <v>0</v>
      </c>
      <c r="F37617">
        <v>138</v>
      </c>
    </row>
    <row r="37618" spans="1:6" ht="12.75">
      <c r="A37618" s="2">
        <v>43875.034189814818</v>
      </c>
      <c r="B37618" t="str">
        <f>HYPERLINK("https://twitter.com/kamila_widya","@kamila_widya")</f>
        <v>@kamila_widya</v>
      </c>
      <c r="C37618" t="s">
        <v>15447</v>
      </c>
      <c r="D37618">
        <v>0</v>
      </c>
      <c r="E37618">
        <v>0</v>
      </c>
      <c r="F37618">
        <v>846</v>
      </c>
    </row>
    <row r="37619" spans="1:6" ht="12.75">
      <c r="A37619" s="2">
        <v>43875.034131944441</v>
      </c>
      <c r="B37619" t="str">
        <f>HYPERLINK("https://twitter.com/veraagustian_","@veraagustian_")</f>
        <v>@veraagustian_</v>
      </c>
      <c r="C37619" t="s">
        <v>15448</v>
      </c>
      <c r="D37619">
        <v>0</v>
      </c>
      <c r="E37619">
        <v>0</v>
      </c>
      <c r="F37619">
        <v>2944</v>
      </c>
    </row>
    <row r="37620" spans="1:6" ht="12.75">
      <c r="A37620" s="2">
        <v>43875.03392361111</v>
      </c>
      <c r="B37620" t="str">
        <f>HYPERLINK("https://twitter.com/dubie_tina","@dubie_tina")</f>
        <v>@dubie_tina</v>
      </c>
      <c r="C37620" t="s">
        <v>15449</v>
      </c>
      <c r="D37620">
        <v>3</v>
      </c>
      <c r="E37620">
        <v>0</v>
      </c>
      <c r="F37620">
        <v>1022</v>
      </c>
    </row>
    <row r="37621" spans="1:6" ht="12.75">
      <c r="A37621" s="2">
        <v>43875.033865740741</v>
      </c>
      <c r="B37621" t="str">
        <f>HYPERLINK("https://twitter.com/Achmadfauzi2601","@Achmadfauzi2601")</f>
        <v>@Achmadfauzi2601</v>
      </c>
      <c r="C37621" t="s">
        <v>2134</v>
      </c>
      <c r="D37621">
        <v>975</v>
      </c>
      <c r="E37621">
        <v>0</v>
      </c>
      <c r="F37621">
        <v>20</v>
      </c>
    </row>
    <row r="37622" spans="1:6" ht="12.75">
      <c r="A37622" s="2">
        <v>43875.033819444448</v>
      </c>
      <c r="B37622" t="str">
        <f>HYPERLINK("https://twitter.com/lucky09AR","@lucky09AR")</f>
        <v>@lucky09AR</v>
      </c>
      <c r="C37622" t="s">
        <v>15450</v>
      </c>
      <c r="D37622">
        <v>0</v>
      </c>
      <c r="E37622">
        <v>0</v>
      </c>
      <c r="F37622">
        <v>10</v>
      </c>
    </row>
    <row r="37623" spans="1:6" ht="12.75">
      <c r="A37623" s="2">
        <v>43875.033784722225</v>
      </c>
      <c r="B37623" t="str">
        <f>HYPERLINK("https://twitter.com/dubie_tina","@dubie_tina")</f>
        <v>@dubie_tina</v>
      </c>
      <c r="C37623" t="s">
        <v>10397</v>
      </c>
      <c r="D37623">
        <v>65</v>
      </c>
      <c r="E37623">
        <v>0</v>
      </c>
      <c r="F37623">
        <v>1022</v>
      </c>
    </row>
    <row r="37624" spans="1:6" ht="12.75">
      <c r="A37624" s="2">
        <v>43875.033657407403</v>
      </c>
      <c r="B37624" t="str">
        <f>HYPERLINK("https://twitter.com/jamzsay","@jamzsay")</f>
        <v>@jamzsay</v>
      </c>
      <c r="C37624" t="s">
        <v>8233</v>
      </c>
      <c r="D37624">
        <v>243</v>
      </c>
      <c r="E37624">
        <v>0</v>
      </c>
      <c r="F37624">
        <v>1297</v>
      </c>
    </row>
    <row r="37625" spans="1:6" ht="12.75">
      <c r="A37625" s="2">
        <v>43875.033657407403</v>
      </c>
      <c r="B37625" t="str">
        <f>HYPERLINK("https://twitter.com/Paolo95954454","@Paolo95954454")</f>
        <v>@Paolo95954454</v>
      </c>
      <c r="C37625" t="s">
        <v>15451</v>
      </c>
      <c r="D37625">
        <v>0</v>
      </c>
      <c r="E37625">
        <v>0</v>
      </c>
      <c r="F37625">
        <v>18</v>
      </c>
    </row>
    <row r="37626" spans="1:6" ht="12.75">
      <c r="A37626" s="2">
        <v>43875.033645833333</v>
      </c>
      <c r="B37626" t="str">
        <f>HYPERLINK("https://twitter.com/winarto_sarsidi","@winarto_sarsidi")</f>
        <v>@winarto_sarsidi</v>
      </c>
      <c r="C37626" t="s">
        <v>10169</v>
      </c>
      <c r="D37626">
        <v>47</v>
      </c>
      <c r="E37626">
        <v>0</v>
      </c>
      <c r="F37626">
        <v>4776</v>
      </c>
    </row>
    <row r="37627" spans="1:6" ht="12.75">
      <c r="A37627" s="2">
        <v>43875.033553240741</v>
      </c>
      <c r="B37627" t="str">
        <f>HYPERLINK("https://twitter.com/duwi_astuti","@duwi_astuti")</f>
        <v>@duwi_astuti</v>
      </c>
      <c r="C37627" t="s">
        <v>5168</v>
      </c>
      <c r="D37627">
        <v>328</v>
      </c>
      <c r="E37627">
        <v>0</v>
      </c>
      <c r="F37627">
        <v>363</v>
      </c>
    </row>
    <row r="37628" spans="1:6" ht="12.75">
      <c r="A37628" s="2">
        <v>43875.033518518518</v>
      </c>
      <c r="B37628" t="str">
        <f>HYPERLINK("https://twitter.com/JustFeddy","@JustFeddy")</f>
        <v>@JustFeddy</v>
      </c>
      <c r="C37628" t="s">
        <v>12458</v>
      </c>
      <c r="D37628">
        <v>39</v>
      </c>
      <c r="E37628">
        <v>0</v>
      </c>
      <c r="F37628">
        <v>537</v>
      </c>
    </row>
    <row r="37629" spans="1:6" ht="12.75">
      <c r="A37629" s="2">
        <v>43875.033356481479</v>
      </c>
      <c r="B37629" t="str">
        <f>HYPERLINK("https://twitter.com/nikky_iffa","@nikky_iffa")</f>
        <v>@nikky_iffa</v>
      </c>
      <c r="C37629" t="s">
        <v>10431</v>
      </c>
      <c r="D37629">
        <v>4</v>
      </c>
      <c r="E37629">
        <v>0</v>
      </c>
      <c r="F37629">
        <v>224</v>
      </c>
    </row>
    <row r="37630" spans="1:6" ht="12.75">
      <c r="A37630" s="2">
        <v>43875.03334490741</v>
      </c>
      <c r="B37630" t="str">
        <f>HYPERLINK("https://twitter.com/Say22FulL","@Say22FulL")</f>
        <v>@Say22FulL</v>
      </c>
      <c r="C37630" t="s">
        <v>15452</v>
      </c>
      <c r="D37630">
        <v>0</v>
      </c>
      <c r="E37630">
        <v>0</v>
      </c>
      <c r="F37630">
        <v>81</v>
      </c>
    </row>
    <row r="37631" spans="1:6" ht="12.75">
      <c r="A37631" s="2">
        <v>43875.033287037033</v>
      </c>
      <c r="B37631" t="str">
        <f>HYPERLINK("https://twitter.com/2024GanjarRisma","@2024GanjarRisma")</f>
        <v>@2024GanjarRisma</v>
      </c>
      <c r="C37631" t="s">
        <v>10121</v>
      </c>
      <c r="D37631">
        <v>131</v>
      </c>
      <c r="E37631">
        <v>0</v>
      </c>
      <c r="F37631">
        <v>1560</v>
      </c>
    </row>
    <row r="37632" spans="1:6" ht="12.75">
      <c r="A37632" s="2">
        <v>43875.033148148148</v>
      </c>
      <c r="B37632" t="str">
        <f>HYPERLINK("https://twitter.com/JustFeddy","@JustFeddy")</f>
        <v>@JustFeddy</v>
      </c>
      <c r="C37632" t="s">
        <v>12450</v>
      </c>
      <c r="D37632">
        <v>71</v>
      </c>
      <c r="E37632">
        <v>0</v>
      </c>
      <c r="F37632">
        <v>537</v>
      </c>
    </row>
    <row r="37633" spans="1:6" ht="12.75">
      <c r="A37633" s="2">
        <v>43875.032870370371</v>
      </c>
      <c r="B37633" t="str">
        <f>HYPERLINK("https://twitter.com/pedjuangnkri","@pedjuangnkri")</f>
        <v>@pedjuangnkri</v>
      </c>
      <c r="C37633" t="s">
        <v>9096</v>
      </c>
      <c r="D37633">
        <v>127</v>
      </c>
      <c r="E37633">
        <v>0</v>
      </c>
      <c r="F37633">
        <v>148</v>
      </c>
    </row>
    <row r="37634" spans="1:6" ht="12.75">
      <c r="A37634" s="2">
        <v>43875.032754629632</v>
      </c>
      <c r="B37634" t="str">
        <f>HYPERLINK("https://twitter.com/ElshintaTegal_","@ElshintaTegal_")</f>
        <v>@ElshintaTegal_</v>
      </c>
      <c r="C37634" t="s">
        <v>63</v>
      </c>
      <c r="D37634">
        <v>0</v>
      </c>
      <c r="E37634">
        <v>0</v>
      </c>
      <c r="F37634">
        <v>29</v>
      </c>
    </row>
    <row r="37635" spans="1:6" ht="12.75">
      <c r="A37635" s="2">
        <v>43875.032719907409</v>
      </c>
      <c r="B37635" t="str">
        <f>HYPERLINK("https://twitter.com/LHAPRIE","@LHAPRIE")</f>
        <v>@LHAPRIE</v>
      </c>
      <c r="C37635" t="s">
        <v>15453</v>
      </c>
      <c r="D37635">
        <v>0</v>
      </c>
      <c r="E37635">
        <v>2</v>
      </c>
      <c r="F37635">
        <v>191</v>
      </c>
    </row>
    <row r="37636" spans="1:6" ht="12.75">
      <c r="A37636" s="2">
        <v>43875.032534722224</v>
      </c>
      <c r="B37636" t="str">
        <f>HYPERLINK("https://twitter.com/JustFeddy","@JustFeddy")</f>
        <v>@JustFeddy</v>
      </c>
      <c r="C37636" t="s">
        <v>13315</v>
      </c>
      <c r="D37636">
        <v>46</v>
      </c>
      <c r="E37636">
        <v>0</v>
      </c>
      <c r="F37636">
        <v>537</v>
      </c>
    </row>
    <row r="37637" spans="1:6" ht="12.75">
      <c r="A37637" s="2">
        <v>43875.032442129625</v>
      </c>
      <c r="B37637" t="str">
        <f>HYPERLINK("https://twitter.com/sagerumanispait","@sagerumanispait")</f>
        <v>@sagerumanispait</v>
      </c>
      <c r="C37637" t="s">
        <v>175</v>
      </c>
      <c r="D37637">
        <v>5209</v>
      </c>
      <c r="E37637">
        <v>0</v>
      </c>
      <c r="F37637">
        <v>352</v>
      </c>
    </row>
    <row r="37638" spans="1:6" ht="12.75">
      <c r="A37638" s="2">
        <v>43875.032210648147</v>
      </c>
      <c r="B37638" t="str">
        <f>HYPERLINK("https://twitter.com/mar_tob","@mar_tob")</f>
        <v>@mar_tob</v>
      </c>
      <c r="C37638" t="s">
        <v>7803</v>
      </c>
      <c r="D37638">
        <v>287</v>
      </c>
      <c r="E37638">
        <v>0</v>
      </c>
      <c r="F37638">
        <v>80</v>
      </c>
    </row>
    <row r="37639" spans="1:6" ht="12.75">
      <c r="A37639" s="2">
        <v>43875.032175925924</v>
      </c>
      <c r="B37639" t="str">
        <f>HYPERLINK("https://twitter.com/AhlulQohwah","@AhlulQohwah")</f>
        <v>@AhlulQohwah</v>
      </c>
      <c r="C37639" t="s">
        <v>15360</v>
      </c>
      <c r="D37639">
        <v>2</v>
      </c>
      <c r="E37639">
        <v>0</v>
      </c>
      <c r="F37639">
        <v>9973</v>
      </c>
    </row>
    <row r="37640" spans="1:6" ht="12.75">
      <c r="A37640" s="2">
        <v>43875.032060185185</v>
      </c>
      <c r="B37640" t="str">
        <f>HYPERLINK("https://twitter.com/Adesidarta","@Adesidarta")</f>
        <v>@Adesidarta</v>
      </c>
      <c r="C37640" t="s">
        <v>8720</v>
      </c>
      <c r="D37640">
        <v>37</v>
      </c>
      <c r="E37640">
        <v>0</v>
      </c>
      <c r="F37640">
        <v>293</v>
      </c>
    </row>
    <row r="37641" spans="1:6" ht="12.75">
      <c r="A37641" s="2">
        <v>43875.031875000001</v>
      </c>
      <c r="B37641" t="str">
        <f>HYPERLINK("https://twitter.com/Umar_IbnuKhatab","@Umar_IbnuKhatab")</f>
        <v>@Umar_IbnuKhatab</v>
      </c>
      <c r="C37641" t="s">
        <v>8252</v>
      </c>
      <c r="D37641">
        <v>469</v>
      </c>
      <c r="E37641">
        <v>0</v>
      </c>
      <c r="F37641">
        <v>1227</v>
      </c>
    </row>
    <row r="37642" spans="1:6" ht="12.75">
      <c r="A37642" s="2">
        <v>43875.031851851847</v>
      </c>
      <c r="B37642" t="str">
        <f>HYPERLINK("https://twitter.com/JokoHerry1","@JokoHerry1")</f>
        <v>@JokoHerry1</v>
      </c>
      <c r="C37642" t="s">
        <v>10330</v>
      </c>
      <c r="D37642">
        <v>184</v>
      </c>
      <c r="E37642">
        <v>0</v>
      </c>
      <c r="F37642">
        <v>64</v>
      </c>
    </row>
    <row r="37643" spans="1:6" ht="12.75">
      <c r="A37643" s="2">
        <v>43875.031550925924</v>
      </c>
      <c r="B37643" t="str">
        <f>HYPERLINK("https://twitter.com/Daffa40770840","@Daffa40770840")</f>
        <v>@Daffa40770840</v>
      </c>
      <c r="C37643" t="s">
        <v>13757</v>
      </c>
      <c r="D37643">
        <v>33</v>
      </c>
      <c r="E37643">
        <v>0</v>
      </c>
      <c r="F37643">
        <v>109</v>
      </c>
    </row>
    <row r="37644" spans="1:6" ht="12.75">
      <c r="A37644" s="2">
        <v>43875.031527777777</v>
      </c>
      <c r="B37644" t="str">
        <f>HYPERLINK("https://twitter.com/sgla__","@sgla__")</f>
        <v>@sgla__</v>
      </c>
      <c r="C37644" t="s">
        <v>2137</v>
      </c>
      <c r="D37644">
        <v>7</v>
      </c>
      <c r="E37644">
        <v>0</v>
      </c>
      <c r="F37644">
        <v>392</v>
      </c>
    </row>
    <row r="37645" spans="1:6" ht="12.75">
      <c r="A37645" s="2">
        <v>43875.0315162037</v>
      </c>
      <c r="B37645" t="str">
        <f>HYPERLINK("https://twitter.com/AufarHafiz","@AufarHafiz")</f>
        <v>@AufarHafiz</v>
      </c>
      <c r="C37645" t="s">
        <v>8252</v>
      </c>
      <c r="D37645">
        <v>469</v>
      </c>
      <c r="E37645">
        <v>0</v>
      </c>
      <c r="F37645">
        <v>511</v>
      </c>
    </row>
    <row r="37646" spans="1:6" ht="12.75">
      <c r="A37646" s="2">
        <v>43875.0315162037</v>
      </c>
      <c r="B37646" t="str">
        <f>HYPERLINK("https://twitter.com/blackpink828","@blackpink828")</f>
        <v>@blackpink828</v>
      </c>
      <c r="C37646" t="s">
        <v>5168</v>
      </c>
      <c r="D37646">
        <v>328</v>
      </c>
      <c r="E37646">
        <v>0</v>
      </c>
      <c r="F37646">
        <v>2822</v>
      </c>
    </row>
    <row r="37647" spans="1:6" ht="12.75">
      <c r="A37647" s="2">
        <v>43875.031423611115</v>
      </c>
      <c r="B37647" t="str">
        <f>HYPERLINK("https://twitter.com/wiedwongkenthir","@wiedwongkenthir")</f>
        <v>@wiedwongkenthir</v>
      </c>
      <c r="C37647" t="s">
        <v>8233</v>
      </c>
      <c r="D37647">
        <v>243</v>
      </c>
      <c r="E37647">
        <v>0</v>
      </c>
      <c r="F37647">
        <v>1144</v>
      </c>
    </row>
    <row r="37648" spans="1:6" ht="12.75">
      <c r="A37648" s="2">
        <v>43875.03123842593</v>
      </c>
      <c r="B37648" t="str">
        <f>HYPERLINK("https://twitter.com/AdiHermawan1207","@AdiHermawan1207")</f>
        <v>@AdiHermawan1207</v>
      </c>
      <c r="C37648" t="s">
        <v>175</v>
      </c>
      <c r="D37648">
        <v>5209</v>
      </c>
      <c r="E37648">
        <v>0</v>
      </c>
      <c r="F37648">
        <v>3</v>
      </c>
    </row>
    <row r="37649" spans="1:6" ht="12.75">
      <c r="A37649" s="2">
        <v>43875.031134259261</v>
      </c>
      <c r="B37649" t="str">
        <f>HYPERLINK("https://twitter.com/Yudistira671","@Yudistira671")</f>
        <v>@Yudistira671</v>
      </c>
      <c r="C37649" t="s">
        <v>15454</v>
      </c>
      <c r="D37649">
        <v>1</v>
      </c>
      <c r="E37649">
        <v>0</v>
      </c>
      <c r="F37649">
        <v>2202</v>
      </c>
    </row>
    <row r="37650" spans="1:6" ht="12.75">
      <c r="A37650" s="2">
        <v>43875.031018518523</v>
      </c>
      <c r="B37650" t="str">
        <f>HYPERLINK("https://twitter.com/TitisRamanda","@TitisRamanda")</f>
        <v>@TitisRamanda</v>
      </c>
      <c r="C37650" t="s">
        <v>15270</v>
      </c>
      <c r="D37650">
        <v>76</v>
      </c>
      <c r="E37650">
        <v>0</v>
      </c>
      <c r="F37650">
        <v>26</v>
      </c>
    </row>
    <row r="37651" spans="1:6" ht="12.75">
      <c r="A37651" s="2">
        <v>43875.030949074076</v>
      </c>
      <c r="B37651" t="str">
        <f>HYPERLINK("https://twitter.com/HerryAkuyague","@HerryAkuyague")</f>
        <v>@HerryAkuyague</v>
      </c>
      <c r="C37651" t="s">
        <v>15455</v>
      </c>
      <c r="D37651">
        <v>0</v>
      </c>
      <c r="E37651">
        <v>1</v>
      </c>
      <c r="F37651">
        <v>128</v>
      </c>
    </row>
    <row r="37652" spans="1:6" ht="12.75">
      <c r="A37652" s="2">
        <v>43875.0309375</v>
      </c>
      <c r="B37652" t="str">
        <f>HYPERLINK("https://twitter.com/AriePutraWijay1","@AriePutraWijay1")</f>
        <v>@AriePutraWijay1</v>
      </c>
      <c r="C37652" t="s">
        <v>6982</v>
      </c>
      <c r="D37652">
        <v>78</v>
      </c>
      <c r="E37652">
        <v>0</v>
      </c>
      <c r="F37652">
        <v>117</v>
      </c>
    </row>
    <row r="37653" spans="1:6" ht="12.75">
      <c r="A37653" s="2">
        <v>43875.0309375</v>
      </c>
      <c r="B37653" t="str">
        <f>HYPERLINK("https://twitter.com/mftiskandar","@mftiskandar")</f>
        <v>@mftiskandar</v>
      </c>
      <c r="C37653" t="s">
        <v>15456</v>
      </c>
      <c r="D37653">
        <v>0</v>
      </c>
      <c r="E37653">
        <v>0</v>
      </c>
      <c r="F37653">
        <v>343</v>
      </c>
    </row>
    <row r="37654" spans="1:6" ht="12.75">
      <c r="A37654" s="2">
        <v>43875.030752314815</v>
      </c>
      <c r="B37654" t="str">
        <f>HYPERLINK("https://twitter.com/Alridha","@Alridha")</f>
        <v>@Alridha</v>
      </c>
      <c r="C37654" t="s">
        <v>15457</v>
      </c>
      <c r="D37654">
        <v>519</v>
      </c>
      <c r="E37654">
        <v>0</v>
      </c>
      <c r="F37654">
        <v>271</v>
      </c>
    </row>
    <row r="37655" spans="1:6" ht="12.75">
      <c r="A37655" s="2">
        <v>43875.030648148153</v>
      </c>
      <c r="B37655" t="str">
        <f>HYPERLINK("https://twitter.com/marpaung913","@marpaung913")</f>
        <v>@marpaung913</v>
      </c>
      <c r="C37655" t="s">
        <v>15458</v>
      </c>
      <c r="D37655">
        <v>0</v>
      </c>
      <c r="E37655">
        <v>1</v>
      </c>
      <c r="F37655">
        <v>524</v>
      </c>
    </row>
    <row r="37656" spans="1:6" ht="12.75">
      <c r="A37656" s="2">
        <v>43875.03061342593</v>
      </c>
      <c r="B37656" t="str">
        <f>HYPERLINK("https://twitter.com/Arie26Ahmad","@Arie26Ahmad")</f>
        <v>@Arie26Ahmad</v>
      </c>
      <c r="C37656" t="s">
        <v>8252</v>
      </c>
      <c r="D37656">
        <v>469</v>
      </c>
      <c r="E37656">
        <v>0</v>
      </c>
      <c r="F37656">
        <v>344</v>
      </c>
    </row>
    <row r="37657" spans="1:6" ht="12.75">
      <c r="A37657" s="2">
        <v>43875.030590277776</v>
      </c>
      <c r="B37657" t="str">
        <f>HYPERLINK("https://twitter.com/fckow","@fckow")</f>
        <v>@fckow</v>
      </c>
      <c r="C37657" t="s">
        <v>5168</v>
      </c>
      <c r="D37657">
        <v>328</v>
      </c>
      <c r="E37657">
        <v>0</v>
      </c>
      <c r="F37657">
        <v>2806</v>
      </c>
    </row>
    <row r="37658" spans="1:6" ht="12.75">
      <c r="A37658" s="2">
        <v>43875.030266203699</v>
      </c>
      <c r="B37658" t="str">
        <f>HYPERLINK("https://twitter.com/KompasTV","@KompasTV")</f>
        <v>@KompasTV</v>
      </c>
      <c r="C37658" t="s">
        <v>15459</v>
      </c>
      <c r="D37658">
        <v>1</v>
      </c>
      <c r="E37658">
        <v>1</v>
      </c>
      <c r="F37658">
        <v>2940925</v>
      </c>
    </row>
    <row r="37659" spans="1:6" ht="12.75">
      <c r="A37659" s="2">
        <v>43875.030173611114</v>
      </c>
      <c r="B37659" t="str">
        <f>HYPERLINK("https://twitter.com/Yudistira671","@Yudistira671")</f>
        <v>@Yudistira671</v>
      </c>
      <c r="C37659" t="s">
        <v>12849</v>
      </c>
      <c r="D37659">
        <v>56</v>
      </c>
      <c r="E37659">
        <v>0</v>
      </c>
      <c r="F37659">
        <v>2202</v>
      </c>
    </row>
    <row r="37660" spans="1:6" ht="12.75">
      <c r="A37660" s="2">
        <v>43875.02961805556</v>
      </c>
      <c r="B37660" t="str">
        <f>HYPERLINK("https://twitter.com/BPop4ever","@BPop4ever")</f>
        <v>@BPop4ever</v>
      </c>
      <c r="C37660" t="s">
        <v>10706</v>
      </c>
      <c r="D37660">
        <v>204</v>
      </c>
      <c r="E37660">
        <v>0</v>
      </c>
      <c r="F37660">
        <v>77</v>
      </c>
    </row>
    <row r="37661" spans="1:6" ht="12.75">
      <c r="A37661" s="2">
        <v>43875.029502314814</v>
      </c>
      <c r="B37661" t="str">
        <f>HYPERLINK("https://twitter.com/chiekoshee","@chiekoshee")</f>
        <v>@chiekoshee</v>
      </c>
      <c r="C37661" t="s">
        <v>8233</v>
      </c>
      <c r="D37661">
        <v>243</v>
      </c>
      <c r="E37661">
        <v>0</v>
      </c>
      <c r="F37661">
        <v>133</v>
      </c>
    </row>
    <row r="37662" spans="1:6" ht="12.75">
      <c r="A37662" s="2">
        <v>43875.029444444444</v>
      </c>
      <c r="B37662" t="str">
        <f>HYPERLINK("https://twitter.com/D_rayanS","@D_rayanS")</f>
        <v>@D_rayanS</v>
      </c>
      <c r="C37662" t="s">
        <v>15460</v>
      </c>
      <c r="D37662">
        <v>1</v>
      </c>
      <c r="E37662">
        <v>1</v>
      </c>
      <c r="F37662">
        <v>2108</v>
      </c>
    </row>
    <row r="37663" spans="1:6" ht="12.75">
      <c r="A37663" s="2">
        <v>43875.029374999998</v>
      </c>
      <c r="B37663" t="str">
        <f>HYPERLINK("https://twitter.com/dezkaa","@dezkaa")</f>
        <v>@dezkaa</v>
      </c>
      <c r="C37663" t="s">
        <v>9021</v>
      </c>
      <c r="D37663">
        <v>128</v>
      </c>
      <c r="E37663">
        <v>0</v>
      </c>
      <c r="F37663">
        <v>315</v>
      </c>
    </row>
    <row r="37664" spans="1:6" ht="12.75">
      <c r="A37664" s="2">
        <v>43875.029374999998</v>
      </c>
      <c r="B37664" t="str">
        <f>HYPERLINK("https://twitter.com/Rhoonee","@Rhoonee")</f>
        <v>@Rhoonee</v>
      </c>
      <c r="C37664" t="s">
        <v>8252</v>
      </c>
      <c r="D37664">
        <v>469</v>
      </c>
      <c r="E37664">
        <v>0</v>
      </c>
      <c r="F37664">
        <v>665</v>
      </c>
    </row>
    <row r="37665" spans="1:6" ht="12.75">
      <c r="A37665" s="2">
        <v>43875.029351851852</v>
      </c>
      <c r="B37665" t="str">
        <f>HYPERLINK("https://twitter.com/harrisperdana","@harrisperdana")</f>
        <v>@harrisperdana</v>
      </c>
      <c r="C37665" t="s">
        <v>9964</v>
      </c>
      <c r="D37665">
        <v>458</v>
      </c>
      <c r="E37665">
        <v>0</v>
      </c>
      <c r="F37665">
        <v>446</v>
      </c>
    </row>
    <row r="37666" spans="1:6" ht="12.75">
      <c r="A37666" s="2">
        <v>43875.029328703706</v>
      </c>
      <c r="B37666" t="str">
        <f>HYPERLINK("https://twitter.com/AnandaMerindu","@AnandaMerindu")</f>
        <v>@AnandaMerindu</v>
      </c>
      <c r="C37666" t="s">
        <v>9538</v>
      </c>
      <c r="D37666">
        <v>69</v>
      </c>
      <c r="E37666">
        <v>0</v>
      </c>
      <c r="F37666">
        <v>106</v>
      </c>
    </row>
    <row r="37667" spans="1:6" ht="12.75">
      <c r="A37667" s="2">
        <v>43875.029131944444</v>
      </c>
      <c r="B37667" t="str">
        <f>HYPERLINK("https://twitter.com/SaluyuK","@SaluyuK")</f>
        <v>@SaluyuK</v>
      </c>
      <c r="C37667" t="s">
        <v>15461</v>
      </c>
      <c r="D37667">
        <v>0</v>
      </c>
      <c r="E37667">
        <v>0</v>
      </c>
      <c r="F37667">
        <v>92</v>
      </c>
    </row>
    <row r="37668" spans="1:6" ht="12.75">
      <c r="A37668" s="2">
        <v>43875.028946759259</v>
      </c>
      <c r="B37668" t="str">
        <f>HYPERLINK("https://twitter.com/weynzo","@weynzo")</f>
        <v>@weynzo</v>
      </c>
      <c r="C37668" t="s">
        <v>5168</v>
      </c>
      <c r="D37668">
        <v>328</v>
      </c>
      <c r="E37668">
        <v>0</v>
      </c>
      <c r="F37668">
        <v>231</v>
      </c>
    </row>
    <row r="37669" spans="1:6" ht="12.75">
      <c r="A37669" s="2">
        <v>43875.028842592597</v>
      </c>
      <c r="B37669" t="str">
        <f>HYPERLINK("https://twitter.com/suradiparlan5","@suradiparlan5")</f>
        <v>@suradiparlan5</v>
      </c>
      <c r="C37669" t="s">
        <v>12903</v>
      </c>
      <c r="D37669">
        <v>13</v>
      </c>
      <c r="E37669">
        <v>0</v>
      </c>
      <c r="F37669">
        <v>1336</v>
      </c>
    </row>
    <row r="37670" spans="1:6" ht="12.75">
      <c r="A37670" s="2">
        <v>43875.028807870374</v>
      </c>
      <c r="B37670" t="str">
        <f>HYPERLINK("https://twitter.com/PurbaSiantar","@PurbaSiantar")</f>
        <v>@PurbaSiantar</v>
      </c>
      <c r="C37670" t="s">
        <v>10266</v>
      </c>
      <c r="D37670">
        <v>243</v>
      </c>
      <c r="E37670">
        <v>0</v>
      </c>
      <c r="F37670">
        <v>12</v>
      </c>
    </row>
    <row r="37671" spans="1:6" ht="12.75">
      <c r="A37671" s="2">
        <v>43875.028761574074</v>
      </c>
      <c r="B37671" t="str">
        <f>HYPERLINK("https://twitter.com/alpin_aktam18","@alpin_aktam18")</f>
        <v>@alpin_aktam18</v>
      </c>
      <c r="C37671" t="s">
        <v>15462</v>
      </c>
      <c r="D37671">
        <v>0</v>
      </c>
      <c r="E37671">
        <v>2</v>
      </c>
      <c r="F37671">
        <v>5719</v>
      </c>
    </row>
    <row r="37672" spans="1:6" ht="12.75">
      <c r="A37672" s="2">
        <v>43875.028645833328</v>
      </c>
      <c r="B37672" t="str">
        <f>HYPERLINK("https://twitter.com/Rina_septiani11","@Rina_septiani11")</f>
        <v>@Rina_septiani11</v>
      </c>
      <c r="C37672" t="s">
        <v>15463</v>
      </c>
      <c r="D37672">
        <v>44</v>
      </c>
      <c r="E37672">
        <v>0</v>
      </c>
      <c r="F37672">
        <v>114</v>
      </c>
    </row>
    <row r="37673" spans="1:6" ht="12.75">
      <c r="A37673" s="2">
        <v>43875.028645833328</v>
      </c>
      <c r="B37673" t="str">
        <f>HYPERLINK("https://twitter.com/ariadisiswanto4","@ariadisiswanto4")</f>
        <v>@ariadisiswanto4</v>
      </c>
      <c r="C37673" t="s">
        <v>3799</v>
      </c>
      <c r="D37673">
        <v>3650</v>
      </c>
      <c r="E37673">
        <v>0</v>
      </c>
      <c r="F37673">
        <v>4</v>
      </c>
    </row>
    <row r="37674" spans="1:6" ht="12.75">
      <c r="A37674" s="2">
        <v>43875.028402777782</v>
      </c>
      <c r="B37674" t="str">
        <f>HYPERLINK("https://twitter.com/kamuusiapaaaaaa","@kamuusiapaaaaaa")</f>
        <v>@kamuusiapaaaaaa</v>
      </c>
      <c r="C37674" t="s">
        <v>15464</v>
      </c>
      <c r="D37674">
        <v>0</v>
      </c>
      <c r="E37674">
        <v>0</v>
      </c>
      <c r="F37674">
        <v>237</v>
      </c>
    </row>
    <row r="37675" spans="1:6" ht="12.75">
      <c r="A37675" s="2">
        <v>43875.028344907405</v>
      </c>
      <c r="B37675" t="str">
        <f>HYPERLINK("https://twitter.com/poeputrii","@poeputrii")</f>
        <v>@poeputrii</v>
      </c>
      <c r="C37675" t="s">
        <v>15465</v>
      </c>
      <c r="D37675">
        <v>2</v>
      </c>
      <c r="E37675">
        <v>0</v>
      </c>
      <c r="F37675">
        <v>472</v>
      </c>
    </row>
    <row r="37676" spans="1:6" ht="12.75">
      <c r="A37676" s="2">
        <v>43875.028148148151</v>
      </c>
      <c r="B37676" t="str">
        <f>HYPERLINK("https://twitter.com/ediedot108","@ediedot108")</f>
        <v>@ediedot108</v>
      </c>
      <c r="C37676" t="s">
        <v>10875</v>
      </c>
      <c r="D37676">
        <v>287</v>
      </c>
      <c r="E37676">
        <v>0</v>
      </c>
      <c r="F37676">
        <v>2254</v>
      </c>
    </row>
    <row r="37677" spans="1:6" ht="12.75">
      <c r="A37677" s="2">
        <v>43875.028113425928</v>
      </c>
      <c r="B37677" t="str">
        <f>HYPERLINK("https://twitter.com/JustFeddy","@JustFeddy")</f>
        <v>@JustFeddy</v>
      </c>
      <c r="C37677" t="s">
        <v>9096</v>
      </c>
      <c r="D37677">
        <v>127</v>
      </c>
      <c r="E37677">
        <v>0</v>
      </c>
      <c r="F37677">
        <v>537</v>
      </c>
    </row>
    <row r="37678" spans="1:6" ht="12.75">
      <c r="A37678" s="2">
        <v>43875.027847222227</v>
      </c>
      <c r="B37678" t="str">
        <f>HYPERLINK("https://twitter.com/LC01L","@LC01L")</f>
        <v>@LC01L</v>
      </c>
      <c r="C37678" t="s">
        <v>3038</v>
      </c>
      <c r="D37678">
        <v>99</v>
      </c>
      <c r="E37678">
        <v>0</v>
      </c>
      <c r="F37678">
        <v>226</v>
      </c>
    </row>
    <row r="37679" spans="1:6" ht="12.75">
      <c r="A37679" s="2">
        <v>43875.027835648143</v>
      </c>
      <c r="B37679" t="str">
        <f>HYPERLINK("https://twitter.com/APalestin42","@APalestin42")</f>
        <v>@APalestin42</v>
      </c>
      <c r="C37679" t="s">
        <v>15274</v>
      </c>
      <c r="D37679">
        <v>7</v>
      </c>
      <c r="E37679">
        <v>0</v>
      </c>
      <c r="F37679">
        <v>218</v>
      </c>
    </row>
    <row r="37680" spans="1:6" ht="12.75">
      <c r="A37680" s="2">
        <v>43875.027627314819</v>
      </c>
      <c r="B37680" t="str">
        <f>HYPERLINK("https://twitter.com/harihariono1","@harihariono1")</f>
        <v>@harihariono1</v>
      </c>
      <c r="C37680" t="s">
        <v>2122</v>
      </c>
      <c r="D37680">
        <v>163</v>
      </c>
      <c r="E37680">
        <v>0</v>
      </c>
      <c r="F37680">
        <v>9328</v>
      </c>
    </row>
    <row r="37681" spans="1:6" ht="12.75">
      <c r="A37681" s="2">
        <v>43875.027557870373</v>
      </c>
      <c r="B37681" t="str">
        <f>HYPERLINK("https://twitter.com/LC01L","@LC01L")</f>
        <v>@LC01L</v>
      </c>
      <c r="C37681" t="s">
        <v>11425</v>
      </c>
      <c r="D37681">
        <v>169</v>
      </c>
      <c r="E37681">
        <v>0</v>
      </c>
      <c r="F37681">
        <v>226</v>
      </c>
    </row>
    <row r="37682" spans="1:6" ht="12.75">
      <c r="A37682" s="2">
        <v>43875.027499999997</v>
      </c>
      <c r="B37682" t="str">
        <f>HYPERLINK("https://twitter.com/justbob616","@justbob616")</f>
        <v>@justbob616</v>
      </c>
      <c r="C37682" t="s">
        <v>10330</v>
      </c>
      <c r="D37682">
        <v>184</v>
      </c>
      <c r="E37682">
        <v>0</v>
      </c>
      <c r="F37682">
        <v>702</v>
      </c>
    </row>
    <row r="37683" spans="1:6" ht="12.75">
      <c r="A37683" s="2">
        <v>43875.02747685185</v>
      </c>
      <c r="B37683" t="str">
        <f>HYPERLINK("https://twitter.com/LC01L","@LC01L")</f>
        <v>@LC01L</v>
      </c>
      <c r="C37683" t="s">
        <v>9096</v>
      </c>
      <c r="D37683">
        <v>127</v>
      </c>
      <c r="E37683">
        <v>0</v>
      </c>
      <c r="F37683">
        <v>226</v>
      </c>
    </row>
    <row r="37684" spans="1:6" ht="12.75">
      <c r="A37684" s="2">
        <v>43875.027465277773</v>
      </c>
      <c r="B37684" t="str">
        <f>HYPERLINK("https://twitter.com/Kurus_Tulus","@Kurus_Tulus")</f>
        <v>@Kurus_Tulus</v>
      </c>
      <c r="C37684" t="s">
        <v>8881</v>
      </c>
      <c r="D37684">
        <v>242</v>
      </c>
      <c r="E37684">
        <v>0</v>
      </c>
      <c r="F37684">
        <v>1117</v>
      </c>
    </row>
    <row r="37685" spans="1:6" ht="12.75">
      <c r="A37685" s="2">
        <v>43875.027349537035</v>
      </c>
      <c r="B37685" t="str">
        <f>HYPERLINK("https://twitter.com/vic_novic","@vic_novic")</f>
        <v>@vic_novic</v>
      </c>
      <c r="C37685" t="s">
        <v>15466</v>
      </c>
      <c r="D37685">
        <v>0</v>
      </c>
      <c r="E37685">
        <v>0</v>
      </c>
      <c r="F37685">
        <v>81</v>
      </c>
    </row>
    <row r="37686" spans="1:6" ht="12.75">
      <c r="A37686" s="2">
        <v>43875.027245370366</v>
      </c>
      <c r="B37686" t="str">
        <f>HYPERLINK("https://twitter.com/mmarleyt","@mmarleyt")</f>
        <v>@mmarleyt</v>
      </c>
      <c r="C37686" t="s">
        <v>11390</v>
      </c>
      <c r="D37686">
        <v>69</v>
      </c>
      <c r="E37686">
        <v>0</v>
      </c>
      <c r="F37686">
        <v>2014</v>
      </c>
    </row>
    <row r="37687" spans="1:6" ht="12.75">
      <c r="A37687" s="2">
        <v>43875.02716435185</v>
      </c>
      <c r="B37687" t="str">
        <f>HYPERLINK("https://twitter.com/sanuri118","@sanuri118")</f>
        <v>@sanuri118</v>
      </c>
      <c r="C37687" t="s">
        <v>11390</v>
      </c>
      <c r="D37687">
        <v>69</v>
      </c>
      <c r="E37687">
        <v>0</v>
      </c>
      <c r="F37687">
        <v>1432</v>
      </c>
    </row>
    <row r="37688" spans="1:6" ht="12.75">
      <c r="A37688" s="2">
        <v>43875.02716435185</v>
      </c>
      <c r="B37688" t="str">
        <f>HYPERLINK("https://twitter.com/jipang10","@jipang10")</f>
        <v>@jipang10</v>
      </c>
      <c r="C37688" t="s">
        <v>15467</v>
      </c>
      <c r="D37688">
        <v>0</v>
      </c>
      <c r="E37688">
        <v>0</v>
      </c>
      <c r="F37688">
        <v>433</v>
      </c>
    </row>
    <row r="37689" spans="1:6" ht="12.75">
      <c r="A37689" s="2">
        <v>43875.027141203704</v>
      </c>
      <c r="B37689" t="str">
        <f>HYPERLINK("https://twitter.com/juspri_mn","@juspri_mn")</f>
        <v>@juspri_mn</v>
      </c>
      <c r="C37689" t="s">
        <v>15468</v>
      </c>
      <c r="D37689">
        <v>0</v>
      </c>
      <c r="E37689">
        <v>0</v>
      </c>
      <c r="F37689">
        <v>789</v>
      </c>
    </row>
    <row r="37690" spans="1:6" ht="12.75">
      <c r="A37690" s="2">
        <v>43875.026967592596</v>
      </c>
      <c r="B37690" t="str">
        <f>HYPERLINK("https://twitter.com/NannyAlexendry","@NannyAlexendry")</f>
        <v>@NannyAlexendry</v>
      </c>
      <c r="C37690" t="s">
        <v>2122</v>
      </c>
      <c r="D37690">
        <v>163</v>
      </c>
      <c r="E37690">
        <v>0</v>
      </c>
      <c r="F37690">
        <v>2875</v>
      </c>
    </row>
    <row r="37691" spans="1:6" ht="12.75">
      <c r="A37691" s="2">
        <v>43875.026921296296</v>
      </c>
      <c r="B37691" t="str">
        <f>HYPERLINK("https://twitter.com/aditabon","@aditabon")</f>
        <v>@aditabon</v>
      </c>
      <c r="C37691" t="s">
        <v>11167</v>
      </c>
      <c r="D37691">
        <v>150</v>
      </c>
      <c r="E37691">
        <v>0</v>
      </c>
      <c r="F37691">
        <v>323</v>
      </c>
    </row>
    <row r="37692" spans="1:6" ht="12.75">
      <c r="A37692" s="2">
        <v>43875.026886574073</v>
      </c>
      <c r="B37692" t="str">
        <f>HYPERLINK("https://twitter.com/sagerumanispait","@sagerumanispait")</f>
        <v>@sagerumanispait</v>
      </c>
      <c r="C37692" t="s">
        <v>9964</v>
      </c>
      <c r="D37692">
        <v>458</v>
      </c>
      <c r="E37692">
        <v>0</v>
      </c>
      <c r="F37692">
        <v>352</v>
      </c>
    </row>
    <row r="37693" spans="1:6" ht="12.75">
      <c r="A37693" s="2">
        <v>43875.026874999996</v>
      </c>
      <c r="B37693" t="str">
        <f>HYPERLINK("https://twitter.com/INA_NKRI","@INA_NKRI")</f>
        <v>@INA_NKRI</v>
      </c>
      <c r="C37693" t="s">
        <v>11566</v>
      </c>
      <c r="D37693">
        <v>92</v>
      </c>
      <c r="E37693">
        <v>0</v>
      </c>
      <c r="F37693">
        <v>280</v>
      </c>
    </row>
    <row r="37694" spans="1:6" ht="12.75">
      <c r="A37694" s="2">
        <v>43875.026851851857</v>
      </c>
      <c r="B37694" t="str">
        <f>HYPERLINK("https://twitter.com/ahmad_subana","@ahmad_subana")</f>
        <v>@ahmad_subana</v>
      </c>
      <c r="C37694" t="s">
        <v>11390</v>
      </c>
      <c r="D37694">
        <v>69</v>
      </c>
      <c r="E37694">
        <v>0</v>
      </c>
      <c r="F37694">
        <v>5436</v>
      </c>
    </row>
    <row r="37695" spans="1:6" ht="12.75">
      <c r="A37695" s="2">
        <v>43875.026597222226</v>
      </c>
      <c r="B37695" t="str">
        <f>HYPERLINK("https://twitter.com/harihariono1","@harihariono1")</f>
        <v>@harihariono1</v>
      </c>
      <c r="C37695" t="s">
        <v>13245</v>
      </c>
      <c r="D37695">
        <v>11</v>
      </c>
      <c r="E37695">
        <v>0</v>
      </c>
      <c r="F37695">
        <v>9328</v>
      </c>
    </row>
    <row r="37696" spans="1:6" ht="12.75">
      <c r="A37696" s="2">
        <v>43875.026562500003</v>
      </c>
      <c r="B37696" t="str">
        <f>HYPERLINK("https://twitter.com/baracks255","@baracks255")</f>
        <v>@baracks255</v>
      </c>
      <c r="C37696" t="s">
        <v>15469</v>
      </c>
      <c r="D37696">
        <v>1</v>
      </c>
      <c r="E37696">
        <v>2</v>
      </c>
      <c r="F37696">
        <v>59</v>
      </c>
    </row>
    <row r="37697" spans="1:6" ht="12.75">
      <c r="A37697" s="2">
        <v>43875.026273148149</v>
      </c>
      <c r="B37697" t="str">
        <f>HYPERLINK("https://twitter.com/toranaga3000","@toranaga3000")</f>
        <v>@toranaga3000</v>
      </c>
      <c r="C37697" t="s">
        <v>12679</v>
      </c>
      <c r="D37697">
        <v>715</v>
      </c>
      <c r="E37697">
        <v>0</v>
      </c>
      <c r="F37697">
        <v>2420</v>
      </c>
    </row>
    <row r="37698" spans="1:6" ht="12.75">
      <c r="A37698" s="2">
        <v>43875.026180555556</v>
      </c>
      <c r="B37698" t="str">
        <f>HYPERLINK("https://twitter.com/XianGie2","@XianGie2")</f>
        <v>@XianGie2</v>
      </c>
      <c r="C37698" t="s">
        <v>15470</v>
      </c>
      <c r="D37698">
        <v>0</v>
      </c>
      <c r="E37698">
        <v>0</v>
      </c>
      <c r="F37698">
        <v>3</v>
      </c>
    </row>
    <row r="37699" spans="1:6" ht="12.75">
      <c r="A37699" s="2">
        <v>43875.02615740741</v>
      </c>
      <c r="B37699" t="str">
        <f>HYPERLINK("https://twitter.com/CeciliaSuwanda1","@CeciliaSuwanda1")</f>
        <v>@CeciliaSuwanda1</v>
      </c>
      <c r="C37699" t="s">
        <v>11425</v>
      </c>
      <c r="D37699">
        <v>169</v>
      </c>
      <c r="E37699">
        <v>0</v>
      </c>
      <c r="F37699">
        <v>4794</v>
      </c>
    </row>
    <row r="37700" spans="1:6" ht="12.75">
      <c r="A37700" s="2">
        <v>43875.026122685187</v>
      </c>
      <c r="B37700" t="str">
        <f>HYPERLINK("https://twitter.com/dejafu_ck","@dejafu_ck")</f>
        <v>@dejafu_ck</v>
      </c>
      <c r="C37700" t="s">
        <v>11167</v>
      </c>
      <c r="D37700">
        <v>150</v>
      </c>
      <c r="E37700">
        <v>0</v>
      </c>
      <c r="F37700">
        <v>6</v>
      </c>
    </row>
    <row r="37701" spans="1:6" ht="12.75">
      <c r="A37701" s="2">
        <v>43875.026064814811</v>
      </c>
      <c r="B37701" t="str">
        <f>HYPERLINK("https://twitter.com/Suaracebong","@Suaracebong")</f>
        <v>@Suaracebong</v>
      </c>
      <c r="C37701" t="s">
        <v>15471</v>
      </c>
      <c r="D37701">
        <v>237</v>
      </c>
      <c r="E37701">
        <v>0</v>
      </c>
      <c r="F37701">
        <v>1170</v>
      </c>
    </row>
    <row r="37702" spans="1:6" ht="12.75">
      <c r="A37702" s="2">
        <v>43875.025821759264</v>
      </c>
      <c r="B37702" t="str">
        <f>HYPERLINK("https://twitter.com/KurniadiRinto","@KurniadiRinto")</f>
        <v>@KurniadiRinto</v>
      </c>
      <c r="C37702" t="s">
        <v>15472</v>
      </c>
      <c r="D37702">
        <v>0</v>
      </c>
      <c r="E37702">
        <v>0</v>
      </c>
      <c r="F37702">
        <v>35</v>
      </c>
    </row>
    <row r="37703" spans="1:6" ht="12.75">
      <c r="A37703" s="2">
        <v>43875.025729166664</v>
      </c>
      <c r="B37703" t="str">
        <f>HYPERLINK("https://twitter.com/gitainta","@gitainta")</f>
        <v>@gitainta</v>
      </c>
      <c r="C37703" t="s">
        <v>15473</v>
      </c>
      <c r="D37703">
        <v>2</v>
      </c>
      <c r="E37703">
        <v>0</v>
      </c>
      <c r="F37703">
        <v>106</v>
      </c>
    </row>
    <row r="37704" spans="1:6" ht="12.75">
      <c r="A37704" s="2">
        <v>43875.025682870371</v>
      </c>
      <c r="B37704" t="str">
        <f>HYPERLINK("https://twitter.com/idyaachim","@idyaachim")</f>
        <v>@idyaachim</v>
      </c>
      <c r="C37704" t="s">
        <v>15474</v>
      </c>
      <c r="D37704">
        <v>0</v>
      </c>
      <c r="E37704">
        <v>0</v>
      </c>
      <c r="F37704">
        <v>730</v>
      </c>
    </row>
    <row r="37705" spans="1:6" ht="12.75">
      <c r="A37705" s="2">
        <v>43875.025682870371</v>
      </c>
      <c r="B37705" t="str">
        <f>HYPERLINK("https://twitter.com/aldofrizi4","@aldofrizi4")</f>
        <v>@aldofrizi4</v>
      </c>
      <c r="C37705" t="s">
        <v>15475</v>
      </c>
      <c r="D37705">
        <v>0</v>
      </c>
      <c r="E37705">
        <v>0</v>
      </c>
      <c r="F37705">
        <v>20</v>
      </c>
    </row>
    <row r="37706" spans="1:6" ht="12.75">
      <c r="A37706" s="2">
        <v>43875.025636574079</v>
      </c>
      <c r="B37706" t="str">
        <f>HYPERLINK("https://twitter.com/Aryo82819046","@Aryo82819046")</f>
        <v>@Aryo82819046</v>
      </c>
      <c r="C37706" t="s">
        <v>8252</v>
      </c>
      <c r="D37706">
        <v>469</v>
      </c>
      <c r="E37706">
        <v>0</v>
      </c>
      <c r="F37706">
        <v>1149</v>
      </c>
    </row>
    <row r="37707" spans="1:6" ht="12.75">
      <c r="A37707" s="2">
        <v>43875.025277777779</v>
      </c>
      <c r="B37707" t="str">
        <f>HYPERLINK("https://twitter.com/clairedeluene","@clairedeluene")</f>
        <v>@clairedeluene</v>
      </c>
      <c r="C37707" t="s">
        <v>9021</v>
      </c>
      <c r="D37707">
        <v>128</v>
      </c>
      <c r="E37707">
        <v>0</v>
      </c>
      <c r="F37707">
        <v>1152</v>
      </c>
    </row>
    <row r="37708" spans="1:6" ht="12.75">
      <c r="A37708" s="2">
        <v>43875.025266203702</v>
      </c>
      <c r="B37708" t="str">
        <f>HYPERLINK("https://twitter.com/RendyAWicaksono","@RendyAWicaksono")</f>
        <v>@RendyAWicaksono</v>
      </c>
      <c r="C37708" t="s">
        <v>5168</v>
      </c>
      <c r="D37708">
        <v>328</v>
      </c>
      <c r="E37708">
        <v>0</v>
      </c>
      <c r="F37708">
        <v>663</v>
      </c>
    </row>
    <row r="37709" spans="1:6" ht="12.75">
      <c r="A37709" s="2">
        <v>43875.025208333333</v>
      </c>
      <c r="B37709" t="str">
        <f>HYPERLINK("https://twitter.com/yonsbungshu","@yonsbungshu")</f>
        <v>@yonsbungshu</v>
      </c>
      <c r="C37709" t="s">
        <v>15476</v>
      </c>
      <c r="D37709">
        <v>0</v>
      </c>
      <c r="E37709">
        <v>0</v>
      </c>
      <c r="F37709">
        <v>249</v>
      </c>
    </row>
    <row r="37710" spans="1:6" ht="12.75">
      <c r="A37710" s="2">
        <v>43875.025185185186</v>
      </c>
      <c r="B37710" t="str">
        <f>HYPERLINK("https://twitter.com/Jume99_","@Jume99_")</f>
        <v>@Jume99_</v>
      </c>
      <c r="C37710" t="s">
        <v>7803</v>
      </c>
      <c r="D37710">
        <v>287</v>
      </c>
      <c r="E37710">
        <v>0</v>
      </c>
      <c r="F37710">
        <v>212</v>
      </c>
    </row>
    <row r="37711" spans="1:6" ht="12.75">
      <c r="A37711" s="2">
        <v>43875.025046296301</v>
      </c>
      <c r="B37711" t="str">
        <f>HYPERLINK("https://twitter.com/2024GanjarRisma","@2024GanjarRisma")</f>
        <v>@2024GanjarRisma</v>
      </c>
      <c r="C37711" t="s">
        <v>3038</v>
      </c>
      <c r="D37711">
        <v>99</v>
      </c>
      <c r="E37711">
        <v>0</v>
      </c>
      <c r="F37711">
        <v>1560</v>
      </c>
    </row>
    <row r="37712" spans="1:6" ht="12.75">
      <c r="A37712" s="2">
        <v>43875.024907407409</v>
      </c>
      <c r="B37712" t="str">
        <f>HYPERLINK("https://twitter.com/RadioElshinta","@RadioElshinta")</f>
        <v>@RadioElshinta</v>
      </c>
      <c r="C37712" t="s">
        <v>12501</v>
      </c>
      <c r="D37712">
        <v>1</v>
      </c>
      <c r="E37712">
        <v>0</v>
      </c>
      <c r="F37712">
        <v>3633160</v>
      </c>
    </row>
    <row r="37713" spans="1:6" ht="12.75">
      <c r="A37713" s="2">
        <v>43875.024710648147</v>
      </c>
      <c r="B37713" t="str">
        <f t="shared" ref="B37713:B37714" si="440">HYPERLINK("https://twitter.com/pour71","@pour71")</f>
        <v>@pour71</v>
      </c>
      <c r="C37713" t="s">
        <v>11399</v>
      </c>
      <c r="D37713">
        <v>1</v>
      </c>
      <c r="E37713">
        <v>0</v>
      </c>
      <c r="F37713">
        <v>409</v>
      </c>
    </row>
    <row r="37714" spans="1:6" ht="12.75">
      <c r="A37714" s="2">
        <v>43875.024687500001</v>
      </c>
      <c r="B37714" t="str">
        <f t="shared" si="440"/>
        <v>@pour71</v>
      </c>
      <c r="C37714" t="s">
        <v>15477</v>
      </c>
      <c r="D37714">
        <v>2</v>
      </c>
      <c r="E37714">
        <v>0</v>
      </c>
      <c r="F37714">
        <v>409</v>
      </c>
    </row>
    <row r="37715" spans="1:6" ht="12.75">
      <c r="A37715" s="2">
        <v>43875.024594907409</v>
      </c>
      <c r="B37715" t="str">
        <f>HYPERLINK("https://twitter.com/putrimarsellina","@putrimarsellina")</f>
        <v>@putrimarsellina</v>
      </c>
      <c r="C37715" t="s">
        <v>13173</v>
      </c>
      <c r="D37715">
        <v>5</v>
      </c>
      <c r="E37715">
        <v>0</v>
      </c>
      <c r="F37715">
        <v>457</v>
      </c>
    </row>
    <row r="37716" spans="1:6" ht="12.75">
      <c r="A37716" s="2">
        <v>43875.024537037039</v>
      </c>
      <c r="B37716" t="str">
        <f>HYPERLINK("https://twitter.com/Bukanhiu","@Bukanhiu")</f>
        <v>@Bukanhiu</v>
      </c>
      <c r="C37716" t="s">
        <v>15478</v>
      </c>
      <c r="D37716">
        <v>0</v>
      </c>
      <c r="E37716">
        <v>0</v>
      </c>
      <c r="F37716">
        <v>513</v>
      </c>
    </row>
    <row r="37717" spans="1:6" ht="12.75">
      <c r="A37717" s="2">
        <v>43875.023969907408</v>
      </c>
      <c r="B37717" t="str">
        <f>HYPERLINK("https://twitter.com/HerryAkuyague","@HerryAkuyague")</f>
        <v>@HerryAkuyague</v>
      </c>
      <c r="C37717" t="s">
        <v>15479</v>
      </c>
      <c r="D37717">
        <v>0</v>
      </c>
      <c r="E37717">
        <v>0</v>
      </c>
      <c r="F37717">
        <v>128</v>
      </c>
    </row>
    <row r="37718" spans="1:6" ht="12.75">
      <c r="A37718" s="2">
        <v>43875.023587962962</v>
      </c>
      <c r="B37718" t="str">
        <f>HYPERLINK("https://twitter.com/__beritaterkini","@__beritaterkini")</f>
        <v>@__beritaterkini</v>
      </c>
      <c r="C37718" t="s">
        <v>15480</v>
      </c>
      <c r="D37718">
        <v>0</v>
      </c>
      <c r="E37718">
        <v>0</v>
      </c>
      <c r="F37718">
        <v>414</v>
      </c>
    </row>
    <row r="37719" spans="1:6" ht="12.75">
      <c r="A37719" s="2">
        <v>43875.023541666669</v>
      </c>
      <c r="B37719" t="str">
        <f>HYPERLINK("https://twitter.com/irhamgoes","@irhamgoes")</f>
        <v>@irhamgoes</v>
      </c>
      <c r="C37719" t="s">
        <v>15481</v>
      </c>
      <c r="D37719">
        <v>2</v>
      </c>
      <c r="E37719">
        <v>0</v>
      </c>
      <c r="F37719">
        <v>37</v>
      </c>
    </row>
    <row r="37720" spans="1:6" ht="12.75">
      <c r="A37720" s="2">
        <v>43875.023530092592</v>
      </c>
      <c r="B37720" t="str">
        <f>HYPERLINK("https://twitter.com/merdekadotcom","@merdekadotcom")</f>
        <v>@merdekadotcom</v>
      </c>
      <c r="C37720" t="s">
        <v>15482</v>
      </c>
      <c r="D37720">
        <v>1</v>
      </c>
      <c r="E37720">
        <v>1</v>
      </c>
      <c r="F37720">
        <v>230398</v>
      </c>
    </row>
    <row r="37721" spans="1:6" ht="12.75">
      <c r="A37721" s="2">
        <v>43875.0234375</v>
      </c>
      <c r="B37721" t="str">
        <f>HYPERLINK("https://twitter.com/Kalevi_Agung","@Kalevi_Agung")</f>
        <v>@Kalevi_Agung</v>
      </c>
      <c r="C37721" t="s">
        <v>15483</v>
      </c>
      <c r="D37721">
        <v>1</v>
      </c>
      <c r="E37721">
        <v>2</v>
      </c>
      <c r="F37721">
        <v>54</v>
      </c>
    </row>
    <row r="37722" spans="1:6" ht="12.75">
      <c r="A37722" s="2">
        <v>43875.023368055554</v>
      </c>
      <c r="B37722" t="str">
        <f>HYPERLINK("https://twitter.com/sniperalhambra1","@sniperalhambra1")</f>
        <v>@sniperalhambra1</v>
      </c>
      <c r="C37722" t="s">
        <v>13757</v>
      </c>
      <c r="D37722">
        <v>33</v>
      </c>
      <c r="E37722">
        <v>0</v>
      </c>
      <c r="F37722">
        <v>408</v>
      </c>
    </row>
    <row r="37723" spans="1:6" ht="12.75">
      <c r="A37723" s="2">
        <v>43875.023321759261</v>
      </c>
      <c r="B37723" t="str">
        <f>HYPERLINK("https://twitter.com/herlambang_tan","@herlambang_tan")</f>
        <v>@herlambang_tan</v>
      </c>
      <c r="C37723" t="s">
        <v>15484</v>
      </c>
      <c r="D37723">
        <v>1</v>
      </c>
      <c r="E37723">
        <v>0</v>
      </c>
      <c r="F37723">
        <v>2340</v>
      </c>
    </row>
    <row r="37724" spans="1:6" ht="12.75">
      <c r="A37724" s="2">
        <v>43875.023182870369</v>
      </c>
      <c r="B37724" t="str">
        <f>HYPERLINK("https://twitter.com/Arief22151540","@Arief22151540")</f>
        <v>@Arief22151540</v>
      </c>
      <c r="C37724" t="s">
        <v>15485</v>
      </c>
      <c r="D37724">
        <v>3</v>
      </c>
      <c r="E37724">
        <v>0</v>
      </c>
      <c r="F37724">
        <v>44</v>
      </c>
    </row>
    <row r="37725" spans="1:6" ht="12.75">
      <c r="A37725" s="2">
        <v>43875.023148148146</v>
      </c>
      <c r="B37725" t="str">
        <f>HYPERLINK("https://twitter.com/syfsalsab","@syfsalsab")</f>
        <v>@syfsalsab</v>
      </c>
      <c r="C37725" t="s">
        <v>8208</v>
      </c>
      <c r="D37725">
        <v>897</v>
      </c>
      <c r="E37725">
        <v>0</v>
      </c>
      <c r="F37725">
        <v>14</v>
      </c>
    </row>
    <row r="37726" spans="1:6" ht="12.75">
      <c r="A37726" s="2">
        <v>43875.023136574076</v>
      </c>
      <c r="B37726" t="str">
        <f>HYPERLINK("https://twitter.com/esa_seth","@esa_seth")</f>
        <v>@esa_seth</v>
      </c>
      <c r="C37726" t="s">
        <v>12318</v>
      </c>
      <c r="D37726">
        <v>20</v>
      </c>
      <c r="E37726">
        <v>0</v>
      </c>
      <c r="F37726">
        <v>353</v>
      </c>
    </row>
    <row r="37727" spans="1:6" ht="12.75">
      <c r="A37727" s="2">
        <v>43875.022870370369</v>
      </c>
      <c r="B37727" t="str">
        <f>HYPERLINK("https://twitter.com/IkanAsapBara","@IkanAsapBara")</f>
        <v>@IkanAsapBara</v>
      </c>
      <c r="C37727" t="s">
        <v>5624</v>
      </c>
      <c r="D37727">
        <v>105</v>
      </c>
      <c r="E37727">
        <v>0</v>
      </c>
      <c r="F37727">
        <v>145</v>
      </c>
    </row>
    <row r="37728" spans="1:6" ht="12.75">
      <c r="A37728" s="2">
        <v>43875.022812499999</v>
      </c>
      <c r="B37728" t="str">
        <f>HYPERLINK("https://twitter.com/Mochhamsyah","@Mochhamsyah")</f>
        <v>@Mochhamsyah</v>
      </c>
      <c r="C37728" t="s">
        <v>64</v>
      </c>
      <c r="D37728">
        <v>0</v>
      </c>
      <c r="E37728">
        <v>0</v>
      </c>
      <c r="F37728">
        <v>17</v>
      </c>
    </row>
    <row r="37729" spans="1:6" ht="12.75">
      <c r="A37729" s="2">
        <v>43875.022662037038</v>
      </c>
      <c r="B37729" t="str">
        <f>HYPERLINK("https://twitter.com/parikesit_88","@parikesit_88")</f>
        <v>@parikesit_88</v>
      </c>
      <c r="C37729" t="s">
        <v>11425</v>
      </c>
      <c r="D37729">
        <v>169</v>
      </c>
      <c r="E37729">
        <v>0</v>
      </c>
      <c r="F37729">
        <v>2231</v>
      </c>
    </row>
    <row r="37730" spans="1:6" ht="12.75">
      <c r="A37730" s="2">
        <v>43875.022546296299</v>
      </c>
      <c r="B37730" t="str">
        <f>HYPERLINK("https://twitter.com/doyokijay","@doyokijay")</f>
        <v>@doyokijay</v>
      </c>
      <c r="C37730" t="s">
        <v>8881</v>
      </c>
      <c r="D37730">
        <v>242</v>
      </c>
      <c r="E37730">
        <v>0</v>
      </c>
      <c r="F37730">
        <v>304</v>
      </c>
    </row>
    <row r="37731" spans="1:6" ht="12.75">
      <c r="A37731" s="2">
        <v>43875.022534722222</v>
      </c>
      <c r="B37731" t="str">
        <f>HYPERLINK("https://twitter.com/jamzsay","@jamzsay")</f>
        <v>@jamzsay</v>
      </c>
      <c r="C37731" t="s">
        <v>10330</v>
      </c>
      <c r="D37731">
        <v>184</v>
      </c>
      <c r="E37731">
        <v>0</v>
      </c>
      <c r="F37731">
        <v>1297</v>
      </c>
    </row>
    <row r="37732" spans="1:6" ht="12.75">
      <c r="A37732" s="2">
        <v>43875.022499999999</v>
      </c>
      <c r="B37732" t="str">
        <f>HYPERLINK("https://twitter.com/nellalupitaa","@nellalupitaa")</f>
        <v>@nellalupitaa</v>
      </c>
      <c r="C37732" t="s">
        <v>8233</v>
      </c>
      <c r="D37732">
        <v>243</v>
      </c>
      <c r="E37732">
        <v>0</v>
      </c>
      <c r="F37732">
        <v>439</v>
      </c>
    </row>
    <row r="37733" spans="1:6" ht="12.75">
      <c r="A37733" s="2">
        <v>43875.022453703699</v>
      </c>
      <c r="B37733" t="str">
        <f>HYPERLINK("https://twitter.com/alpin_aktam18","@alpin_aktam18")</f>
        <v>@alpin_aktam18</v>
      </c>
      <c r="C37733" t="s">
        <v>9096</v>
      </c>
      <c r="D37733">
        <v>127</v>
      </c>
      <c r="E37733">
        <v>0</v>
      </c>
      <c r="F37733">
        <v>5719</v>
      </c>
    </row>
    <row r="37734" spans="1:6" ht="12.75">
      <c r="A37734" s="2">
        <v>43875.022407407407</v>
      </c>
      <c r="B37734" t="str">
        <f>HYPERLINK("https://twitter.com/Suwarno906","@Suwarno906")</f>
        <v>@Suwarno906</v>
      </c>
      <c r="C37734" t="s">
        <v>9096</v>
      </c>
      <c r="D37734">
        <v>127</v>
      </c>
      <c r="E37734">
        <v>0</v>
      </c>
      <c r="F37734">
        <v>453</v>
      </c>
    </row>
    <row r="37735" spans="1:6" ht="12.75">
      <c r="A37735" s="2">
        <v>43875.022349537037</v>
      </c>
      <c r="B37735" t="str">
        <f>HYPERLINK("https://twitter.com/77bayoe","@77bayoe")</f>
        <v>@77bayoe</v>
      </c>
      <c r="C37735" t="s">
        <v>15486</v>
      </c>
      <c r="D37735">
        <v>8</v>
      </c>
      <c r="E37735">
        <v>0</v>
      </c>
      <c r="F37735">
        <v>2201</v>
      </c>
    </row>
    <row r="37736" spans="1:6" ht="12.75">
      <c r="A37736" s="2">
        <v>43875.022337962961</v>
      </c>
      <c r="B37736" t="str">
        <f>HYPERLINK("https://twitter.com/DeniRadja3","@DeniRadja3")</f>
        <v>@DeniRadja3</v>
      </c>
      <c r="C37736" t="s">
        <v>175</v>
      </c>
      <c r="D37736">
        <v>5209</v>
      </c>
      <c r="E37736">
        <v>0</v>
      </c>
      <c r="F37736">
        <v>10</v>
      </c>
    </row>
    <row r="37737" spans="1:6" ht="12.75">
      <c r="A37737" s="2">
        <v>43875.022326388891</v>
      </c>
      <c r="B37737" t="str">
        <f>HYPERLINK("https://twitter.com/doyokijay","@doyokijay")</f>
        <v>@doyokijay</v>
      </c>
      <c r="C37737" t="s">
        <v>10319</v>
      </c>
      <c r="D37737">
        <v>139</v>
      </c>
      <c r="E37737">
        <v>0</v>
      </c>
      <c r="F37737">
        <v>304</v>
      </c>
    </row>
    <row r="37738" spans="1:6" ht="12.75">
      <c r="A37738" s="2">
        <v>43875.022199074076</v>
      </c>
      <c r="B37738" t="str">
        <f>HYPERLINK("https://twitter.com/nellalupitaa","@nellalupitaa")</f>
        <v>@nellalupitaa</v>
      </c>
      <c r="C37738" t="s">
        <v>10330</v>
      </c>
      <c r="D37738">
        <v>184</v>
      </c>
      <c r="E37738">
        <v>0</v>
      </c>
      <c r="F37738">
        <v>439</v>
      </c>
    </row>
    <row r="37739" spans="1:6" ht="12.75">
      <c r="A37739" s="2">
        <v>43875.022025462968</v>
      </c>
      <c r="B37739" t="str">
        <f>HYPERLINK("https://twitter.com/Mencari_Safaat","@Mencari_Safaat")</f>
        <v>@Mencari_Safaat</v>
      </c>
      <c r="C37739" t="s">
        <v>15487</v>
      </c>
      <c r="D37739">
        <v>0</v>
      </c>
      <c r="E37739">
        <v>0</v>
      </c>
      <c r="F37739">
        <v>22</v>
      </c>
    </row>
    <row r="37740" spans="1:6" ht="12.75">
      <c r="A37740" s="2">
        <v>43875.022013888884</v>
      </c>
      <c r="B37740" t="str">
        <f>HYPERLINK("https://twitter.com/pour71","@pour71")</f>
        <v>@pour71</v>
      </c>
      <c r="C37740" t="s">
        <v>5624</v>
      </c>
      <c r="D37740">
        <v>105</v>
      </c>
      <c r="E37740">
        <v>0</v>
      </c>
      <c r="F37740">
        <v>409</v>
      </c>
    </row>
    <row r="37741" spans="1:6" ht="12.75">
      <c r="A37741" s="2">
        <v>43875.021782407406</v>
      </c>
      <c r="B37741" t="str">
        <f>HYPERLINK("https://twitter.com/ks_PDIP_Projo","@ks_PDIP_Projo")</f>
        <v>@ks_PDIP_Projo</v>
      </c>
      <c r="C37741" t="s">
        <v>7390</v>
      </c>
      <c r="D37741">
        <v>74</v>
      </c>
      <c r="E37741">
        <v>0</v>
      </c>
      <c r="F37741">
        <v>5059</v>
      </c>
    </row>
    <row r="37742" spans="1:6" ht="12.75">
      <c r="A37742" s="2">
        <v>43875.02144675926</v>
      </c>
      <c r="B37742" t="str">
        <f>HYPERLINK("https://twitter.com/pour71","@pour71")</f>
        <v>@pour71</v>
      </c>
      <c r="C37742" t="s">
        <v>7373</v>
      </c>
      <c r="D37742">
        <v>58</v>
      </c>
      <c r="E37742">
        <v>0</v>
      </c>
      <c r="F37742">
        <v>409</v>
      </c>
    </row>
    <row r="37743" spans="1:6" ht="12.75">
      <c r="A37743" s="2">
        <v>43875.02144675926</v>
      </c>
      <c r="B37743" t="str">
        <f>HYPERLINK("https://twitter.com/ucujoenathan","@ucujoenathan")</f>
        <v>@ucujoenathan</v>
      </c>
      <c r="C37743" t="s">
        <v>15488</v>
      </c>
      <c r="D37743">
        <v>0</v>
      </c>
      <c r="E37743">
        <v>0</v>
      </c>
      <c r="F37743">
        <v>317</v>
      </c>
    </row>
    <row r="37744" spans="1:6" ht="12.75">
      <c r="A37744" s="2">
        <v>43875.021307870367</v>
      </c>
      <c r="B37744" t="str">
        <f>HYPERLINK("https://twitter.com/ks_PDIP_Projo","@ks_PDIP_Projo")</f>
        <v>@ks_PDIP_Projo</v>
      </c>
      <c r="C37744" t="s">
        <v>15489</v>
      </c>
      <c r="D37744">
        <v>1</v>
      </c>
      <c r="E37744">
        <v>0</v>
      </c>
      <c r="F37744">
        <v>5059</v>
      </c>
    </row>
    <row r="37745" spans="1:6" ht="12.75">
      <c r="A37745" s="2">
        <v>43875.021296296298</v>
      </c>
      <c r="B37745" t="str">
        <f>HYPERLINK("https://twitter.com/FajarArdhian","@FajarArdhian")</f>
        <v>@FajarArdhian</v>
      </c>
      <c r="C37745" t="s">
        <v>15253</v>
      </c>
      <c r="D37745">
        <v>14</v>
      </c>
      <c r="E37745">
        <v>0</v>
      </c>
      <c r="F37745">
        <v>299</v>
      </c>
    </row>
    <row r="37746" spans="1:6" ht="12.75">
      <c r="A37746" s="2">
        <v>43875.021134259259</v>
      </c>
      <c r="B37746" t="str">
        <f>HYPERLINK("https://twitter.com/toms98750690","@toms98750690")</f>
        <v>@toms98750690</v>
      </c>
      <c r="C37746" t="s">
        <v>9096</v>
      </c>
      <c r="D37746">
        <v>127</v>
      </c>
      <c r="E37746">
        <v>0</v>
      </c>
      <c r="F37746">
        <v>80</v>
      </c>
    </row>
    <row r="37747" spans="1:6" ht="12.75">
      <c r="A37747" s="2">
        <v>43875.021087962959</v>
      </c>
      <c r="B37747" t="str">
        <f>HYPERLINK("https://twitter.com/hoontress","@hoontress")</f>
        <v>@hoontress</v>
      </c>
      <c r="C37747" t="s">
        <v>9021</v>
      </c>
      <c r="D37747">
        <v>128</v>
      </c>
      <c r="E37747">
        <v>0</v>
      </c>
      <c r="F37747">
        <v>1639</v>
      </c>
    </row>
    <row r="37748" spans="1:6" ht="12.75">
      <c r="A37748" s="2">
        <v>43875.02107638889</v>
      </c>
      <c r="B37748" t="str">
        <f>HYPERLINK("https://twitter.com/juwadi_arry999","@juwadi_arry999")</f>
        <v>@juwadi_arry999</v>
      </c>
      <c r="C37748" t="s">
        <v>8470</v>
      </c>
      <c r="D37748">
        <v>127</v>
      </c>
      <c r="E37748">
        <v>0</v>
      </c>
      <c r="F37748">
        <v>110</v>
      </c>
    </row>
    <row r="37749" spans="1:6" ht="12.75">
      <c r="A37749" s="2">
        <v>43875.021018518513</v>
      </c>
      <c r="B37749" t="str">
        <f>HYPERLINK("https://twitter.com/77bayoe","@77bayoe")</f>
        <v>@77bayoe</v>
      </c>
      <c r="C37749" t="s">
        <v>13315</v>
      </c>
      <c r="D37749">
        <v>46</v>
      </c>
      <c r="E37749">
        <v>0</v>
      </c>
      <c r="F37749">
        <v>2201</v>
      </c>
    </row>
    <row r="37750" spans="1:6" ht="12.75">
      <c r="A37750" s="2">
        <v>43875.020833333328</v>
      </c>
      <c r="B37750" t="str">
        <f>HYPERLINK("https://twitter.com/Rendyananta","@Rendyananta")</f>
        <v>@Rendyananta</v>
      </c>
      <c r="C37750" t="s">
        <v>15490</v>
      </c>
      <c r="D37750">
        <v>0</v>
      </c>
      <c r="E37750">
        <v>0</v>
      </c>
      <c r="F37750">
        <v>292</v>
      </c>
    </row>
    <row r="37751" spans="1:6" ht="12.75">
      <c r="A37751" s="2">
        <v>43875.020694444444</v>
      </c>
      <c r="B37751" t="str">
        <f>HYPERLINK("https://twitter.com/suradiparlan5","@suradiparlan5")</f>
        <v>@suradiparlan5</v>
      </c>
      <c r="C37751" t="s">
        <v>15491</v>
      </c>
      <c r="D37751">
        <v>2</v>
      </c>
      <c r="E37751">
        <v>0</v>
      </c>
      <c r="F37751">
        <v>1336</v>
      </c>
    </row>
    <row r="37752" spans="1:6" ht="12.75">
      <c r="A37752" s="2">
        <v>43875.020567129628</v>
      </c>
      <c r="B37752" t="str">
        <f>HYPERLINK("https://twitter.com/GL0WINII","@GL0WINII")</f>
        <v>@GL0WINII</v>
      </c>
      <c r="C37752" t="s">
        <v>15492</v>
      </c>
      <c r="D37752">
        <v>0</v>
      </c>
      <c r="E37752">
        <v>0</v>
      </c>
      <c r="F37752">
        <v>256</v>
      </c>
    </row>
    <row r="37753" spans="1:6" ht="12.75">
      <c r="A37753" s="2">
        <v>43875.02043981482</v>
      </c>
      <c r="B37753" t="str">
        <f>HYPERLINK("https://twitter.com/Kucinghitam6661","@Kucinghitam6661")</f>
        <v>@Kucinghitam6661</v>
      </c>
      <c r="C37753" t="s">
        <v>7803</v>
      </c>
      <c r="D37753">
        <v>287</v>
      </c>
      <c r="E37753">
        <v>0</v>
      </c>
      <c r="F37753">
        <v>14</v>
      </c>
    </row>
    <row r="37754" spans="1:6" ht="12.75">
      <c r="A37754" s="2">
        <v>43875.020428240736</v>
      </c>
      <c r="B37754" t="str">
        <f>HYPERLINK("https://twitter.com/fardinaratri","@fardinaratri")</f>
        <v>@fardinaratri</v>
      </c>
      <c r="C37754" t="s">
        <v>8233</v>
      </c>
      <c r="D37754">
        <v>243</v>
      </c>
      <c r="E37754">
        <v>0</v>
      </c>
      <c r="F37754">
        <v>214</v>
      </c>
    </row>
    <row r="37755" spans="1:6" ht="12.75">
      <c r="A37755" s="2">
        <v>43875.020289351851</v>
      </c>
      <c r="B37755" t="str">
        <f>HYPERLINK("https://twitter.com/herlambang_tan","@herlambang_tan")</f>
        <v>@herlambang_tan</v>
      </c>
      <c r="C37755" t="s">
        <v>15493</v>
      </c>
      <c r="D37755">
        <v>0</v>
      </c>
      <c r="E37755">
        <v>1</v>
      </c>
      <c r="F37755">
        <v>2340</v>
      </c>
    </row>
    <row r="37756" spans="1:6" ht="12.75">
      <c r="A37756" s="2">
        <v>43875.020254629635</v>
      </c>
      <c r="B37756" t="str">
        <f>HYPERLINK("https://twitter.com/DenBagus1878","@DenBagus1878")</f>
        <v>@DenBagus1878</v>
      </c>
      <c r="C37756" t="s">
        <v>15494</v>
      </c>
      <c r="D37756">
        <v>1</v>
      </c>
      <c r="E37756">
        <v>3</v>
      </c>
      <c r="F37756">
        <v>31</v>
      </c>
    </row>
    <row r="37757" spans="1:6" ht="12.75">
      <c r="A37757" s="2">
        <v>43875.020243055551</v>
      </c>
      <c r="B37757" t="str">
        <f>HYPERLINK("https://twitter.com/ErpelaHeri","@ErpelaHeri")</f>
        <v>@ErpelaHeri</v>
      </c>
      <c r="C37757" t="s">
        <v>15495</v>
      </c>
      <c r="D37757">
        <v>0</v>
      </c>
      <c r="E37757">
        <v>0</v>
      </c>
      <c r="F37757">
        <v>60</v>
      </c>
    </row>
    <row r="37758" spans="1:6" ht="12.75">
      <c r="A37758" s="2">
        <v>43875.020162037035</v>
      </c>
      <c r="B37758" t="str">
        <f>HYPERLINK("https://twitter.com/Cahkuwut","@Cahkuwut")</f>
        <v>@Cahkuwut</v>
      </c>
      <c r="C37758" t="s">
        <v>15069</v>
      </c>
      <c r="D37758">
        <v>5</v>
      </c>
      <c r="E37758">
        <v>0</v>
      </c>
      <c r="F37758">
        <v>606</v>
      </c>
    </row>
    <row r="37759" spans="1:6" ht="12.75">
      <c r="A37759" s="2">
        <v>43875.020138888889</v>
      </c>
      <c r="B37759" t="str">
        <f>HYPERLINK("https://twitter.com/oktaniLLa","@oktaniLLa")</f>
        <v>@oktaniLLa</v>
      </c>
      <c r="C37759" t="s">
        <v>5168</v>
      </c>
      <c r="D37759">
        <v>328</v>
      </c>
      <c r="E37759">
        <v>0</v>
      </c>
      <c r="F37759">
        <v>416</v>
      </c>
    </row>
    <row r="37760" spans="1:6" ht="12.75">
      <c r="A37760" s="2">
        <v>43875.020127314812</v>
      </c>
      <c r="B37760" t="str">
        <f>HYPERLINK("https://twitter.com/veraagustian_","@veraagustian_")</f>
        <v>@veraagustian_</v>
      </c>
      <c r="C37760" t="s">
        <v>11566</v>
      </c>
      <c r="D37760">
        <v>92</v>
      </c>
      <c r="E37760">
        <v>0</v>
      </c>
      <c r="F37760">
        <v>2944</v>
      </c>
    </row>
    <row r="37761" spans="1:6" ht="12.75">
      <c r="A37761" s="2">
        <v>43875.019988425927</v>
      </c>
      <c r="B37761" t="str">
        <f>HYPERLINK("https://twitter.com/ks_PDIP_Projo","@ks_PDIP_Projo")</f>
        <v>@ks_PDIP_Projo</v>
      </c>
      <c r="C37761" t="s">
        <v>10121</v>
      </c>
      <c r="D37761">
        <v>131</v>
      </c>
      <c r="E37761">
        <v>0</v>
      </c>
      <c r="F37761">
        <v>5059</v>
      </c>
    </row>
    <row r="37762" spans="1:6" ht="12.75">
      <c r="A37762" s="2">
        <v>43875.019918981481</v>
      </c>
      <c r="B37762" t="str">
        <f>HYPERLINK("https://twitter.com/pour71","@pour71")</f>
        <v>@pour71</v>
      </c>
      <c r="C37762" t="s">
        <v>8470</v>
      </c>
      <c r="D37762">
        <v>127</v>
      </c>
      <c r="E37762">
        <v>0</v>
      </c>
      <c r="F37762">
        <v>409</v>
      </c>
    </row>
    <row r="37763" spans="1:6" ht="12.75">
      <c r="A37763" s="2">
        <v>43875.019918981481</v>
      </c>
      <c r="B37763" t="str">
        <f>HYPERLINK("https://twitter.com/juwadi_arry999","@juwadi_arry999")</f>
        <v>@juwadi_arry999</v>
      </c>
      <c r="C37763" t="s">
        <v>10295</v>
      </c>
      <c r="D37763">
        <v>82</v>
      </c>
      <c r="E37763">
        <v>0</v>
      </c>
      <c r="F37763">
        <v>110</v>
      </c>
    </row>
    <row r="37764" spans="1:6" ht="12.75">
      <c r="A37764" s="2">
        <v>43875.019872685181</v>
      </c>
      <c r="B37764" t="str">
        <f>HYPERLINK("https://twitter.com/ienuli","@ienuli")</f>
        <v>@ienuli</v>
      </c>
      <c r="C37764" t="s">
        <v>15496</v>
      </c>
      <c r="D37764">
        <v>0</v>
      </c>
      <c r="E37764">
        <v>0</v>
      </c>
      <c r="F37764">
        <v>1393</v>
      </c>
    </row>
    <row r="37765" spans="1:6" ht="12.75">
      <c r="A37765" s="2">
        <v>43875.019861111112</v>
      </c>
      <c r="B37765" t="str">
        <f>HYPERLINK("https://twitter.com/Karangkarakali1","@Karangkarakali1")</f>
        <v>@Karangkarakali1</v>
      </c>
      <c r="C37765" t="s">
        <v>7020</v>
      </c>
      <c r="D37765">
        <v>32</v>
      </c>
      <c r="E37765">
        <v>0</v>
      </c>
      <c r="F37765">
        <v>32</v>
      </c>
    </row>
    <row r="37766" spans="1:6" ht="12.75">
      <c r="A37766" s="2">
        <v>43875.01972222222</v>
      </c>
      <c r="B37766" t="str">
        <f>HYPERLINK("https://twitter.com/uccupp","@uccupp")</f>
        <v>@uccupp</v>
      </c>
      <c r="C37766" t="s">
        <v>10802</v>
      </c>
      <c r="D37766">
        <v>485</v>
      </c>
      <c r="E37766">
        <v>0</v>
      </c>
      <c r="F37766">
        <v>446</v>
      </c>
    </row>
    <row r="37767" spans="1:6" ht="12.75">
      <c r="A37767" s="2">
        <v>43875.01971064815</v>
      </c>
      <c r="B37767" t="str">
        <f>HYPERLINK("https://twitter.com/AAR63028211","@AAR63028211")</f>
        <v>@AAR63028211</v>
      </c>
      <c r="C37767" t="s">
        <v>15497</v>
      </c>
      <c r="D37767">
        <v>0</v>
      </c>
      <c r="E37767">
        <v>2</v>
      </c>
      <c r="F37767">
        <v>195</v>
      </c>
    </row>
    <row r="37768" spans="1:6" ht="12.75">
      <c r="A37768" s="2">
        <v>43875.01971064815</v>
      </c>
      <c r="B37768" t="str">
        <f>HYPERLINK("https://twitter.com/juwadi_arry999","@juwadi_arry999")</f>
        <v>@juwadi_arry999</v>
      </c>
      <c r="C37768" t="s">
        <v>10462</v>
      </c>
      <c r="D37768">
        <v>220</v>
      </c>
      <c r="E37768">
        <v>0</v>
      </c>
      <c r="F37768">
        <v>110</v>
      </c>
    </row>
    <row r="37769" spans="1:6" ht="12.75">
      <c r="A37769" s="2">
        <v>43875.019699074073</v>
      </c>
      <c r="B37769" t="str">
        <f>HYPERLINK("https://twitter.com/Pedjoeang02","@Pedjoeang02")</f>
        <v>@Pedjoeang02</v>
      </c>
      <c r="C37769" t="s">
        <v>15498</v>
      </c>
      <c r="D37769">
        <v>0</v>
      </c>
      <c r="E37769">
        <v>0</v>
      </c>
      <c r="F37769">
        <v>330</v>
      </c>
    </row>
    <row r="37770" spans="1:6" ht="12.75">
      <c r="A37770" s="2">
        <v>43875.019675925927</v>
      </c>
      <c r="B37770" t="str">
        <f>HYPERLINK("https://twitter.com/uccupp","@uccupp")</f>
        <v>@uccupp</v>
      </c>
      <c r="C37770" t="s">
        <v>15499</v>
      </c>
      <c r="D37770">
        <v>13</v>
      </c>
      <c r="E37770">
        <v>0</v>
      </c>
      <c r="F37770">
        <v>446</v>
      </c>
    </row>
    <row r="37771" spans="1:6" ht="12.75">
      <c r="A37771" s="2">
        <v>43875.019629629634</v>
      </c>
      <c r="B37771" t="str">
        <f>HYPERLINK("https://twitter.com/pour71","@pour71")</f>
        <v>@pour71</v>
      </c>
      <c r="C37771" t="s">
        <v>10319</v>
      </c>
      <c r="D37771">
        <v>139</v>
      </c>
      <c r="E37771">
        <v>0</v>
      </c>
      <c r="F37771">
        <v>409</v>
      </c>
    </row>
    <row r="37772" spans="1:6" ht="12.75">
      <c r="A37772" s="2">
        <v>43875.01944444445</v>
      </c>
      <c r="B37772" t="str">
        <f>HYPERLINK("https://twitter.com/Cahkuwut","@Cahkuwut")</f>
        <v>@Cahkuwut</v>
      </c>
      <c r="C37772" t="s">
        <v>14853</v>
      </c>
      <c r="D37772">
        <v>6</v>
      </c>
      <c r="E37772">
        <v>0</v>
      </c>
      <c r="F37772">
        <v>606</v>
      </c>
    </row>
    <row r="37773" spans="1:6" ht="12.75">
      <c r="A37773" s="2">
        <v>43875.01944444445</v>
      </c>
      <c r="B37773" t="str">
        <f>HYPERLINK("https://twitter.com/juwadi_arry999","@juwadi_arry999")</f>
        <v>@juwadi_arry999</v>
      </c>
      <c r="C37773" t="s">
        <v>11368</v>
      </c>
      <c r="D37773">
        <v>72</v>
      </c>
      <c r="E37773">
        <v>0</v>
      </c>
      <c r="F37773">
        <v>110</v>
      </c>
    </row>
    <row r="37774" spans="1:6" ht="12.75">
      <c r="A37774" s="2">
        <v>43875.019212962958</v>
      </c>
      <c r="B37774" t="str">
        <f>HYPERLINK("https://twitter.com/kevindionm","@kevindionm")</f>
        <v>@kevindionm</v>
      </c>
      <c r="C37774" t="s">
        <v>11167</v>
      </c>
      <c r="D37774">
        <v>150</v>
      </c>
      <c r="E37774">
        <v>0</v>
      </c>
      <c r="F37774">
        <v>331</v>
      </c>
    </row>
    <row r="37775" spans="1:6" ht="12.75">
      <c r="A37775" s="2">
        <v>43875.019189814819</v>
      </c>
      <c r="B37775" t="str">
        <f>HYPERLINK("https://twitter.com/paquitacumadebu","@paquitacumadebu")</f>
        <v>@paquitacumadebu</v>
      </c>
      <c r="C37775" t="s">
        <v>15500</v>
      </c>
      <c r="D37775">
        <v>2</v>
      </c>
      <c r="E37775">
        <v>0</v>
      </c>
      <c r="F37775">
        <v>1695</v>
      </c>
    </row>
    <row r="37776" spans="1:6" ht="12.75">
      <c r="A37776" s="2">
        <v>43875.019131944442</v>
      </c>
      <c r="B37776" t="str">
        <f>HYPERLINK("https://twitter.com/Dani86113065","@Dani86113065")</f>
        <v>@Dani86113065</v>
      </c>
      <c r="C37776" t="s">
        <v>15501</v>
      </c>
      <c r="D37776">
        <v>1</v>
      </c>
      <c r="E37776">
        <v>0</v>
      </c>
      <c r="F37776">
        <v>438</v>
      </c>
    </row>
    <row r="37777" spans="1:6" ht="12.75">
      <c r="A37777" s="2">
        <v>43875.019131944442</v>
      </c>
      <c r="B37777" t="str">
        <f>HYPERLINK("https://twitter.com/R19519215","@R19519215")</f>
        <v>@R19519215</v>
      </c>
      <c r="C37777" t="s">
        <v>15502</v>
      </c>
      <c r="D37777">
        <v>0</v>
      </c>
      <c r="E37777">
        <v>1</v>
      </c>
      <c r="F37777">
        <v>0</v>
      </c>
    </row>
    <row r="37778" spans="1:6" ht="12.75">
      <c r="A37778" s="2">
        <v>43875.019074074073</v>
      </c>
      <c r="B37778" t="str">
        <f>HYPERLINK("https://twitter.com/sungainiil","@sungainiil")</f>
        <v>@sungainiil</v>
      </c>
      <c r="C37778" t="s">
        <v>11167</v>
      </c>
      <c r="D37778">
        <v>150</v>
      </c>
      <c r="E37778">
        <v>0</v>
      </c>
      <c r="F37778">
        <v>319</v>
      </c>
    </row>
    <row r="37779" spans="1:6" ht="12.75">
      <c r="A37779" s="2">
        <v>43875.019074074073</v>
      </c>
      <c r="B37779" t="str">
        <f>HYPERLINK("https://twitter.com/suradiparlan5","@suradiparlan5")</f>
        <v>@suradiparlan5</v>
      </c>
      <c r="C37779" t="s">
        <v>2096</v>
      </c>
      <c r="D37779">
        <v>11</v>
      </c>
      <c r="E37779">
        <v>0</v>
      </c>
      <c r="F37779">
        <v>1336</v>
      </c>
    </row>
    <row r="37780" spans="1:6" ht="12.75">
      <c r="A37780" s="2">
        <v>43875.018877314811</v>
      </c>
      <c r="B37780" t="str">
        <f>HYPERLINK("https://twitter.com/RudyTank","@RudyTank")</f>
        <v>@RudyTank</v>
      </c>
      <c r="C37780" t="s">
        <v>11954</v>
      </c>
      <c r="D37780">
        <v>42</v>
      </c>
      <c r="E37780">
        <v>0</v>
      </c>
      <c r="F37780">
        <v>1075</v>
      </c>
    </row>
    <row r="37781" spans="1:6" ht="12.75">
      <c r="A37781" s="2">
        <v>43875.018796296295</v>
      </c>
      <c r="B37781" t="str">
        <f>HYPERLINK("https://twitter.com/Just__JeJe","@Just__JeJe")</f>
        <v>@Just__JeJe</v>
      </c>
      <c r="C37781" t="s">
        <v>14509</v>
      </c>
      <c r="D37781">
        <v>26</v>
      </c>
      <c r="E37781">
        <v>0</v>
      </c>
      <c r="F37781">
        <v>177</v>
      </c>
    </row>
    <row r="37782" spans="1:6" ht="12.75">
      <c r="A37782" s="2">
        <v>43875.018692129626</v>
      </c>
      <c r="B37782" t="str">
        <f>HYPERLINK("https://twitter.com/miraabeul","@miraabeul")</f>
        <v>@miraabeul</v>
      </c>
      <c r="C37782" t="s">
        <v>5168</v>
      </c>
      <c r="D37782">
        <v>328</v>
      </c>
      <c r="E37782">
        <v>0</v>
      </c>
      <c r="F37782">
        <v>220</v>
      </c>
    </row>
    <row r="37783" spans="1:6" ht="12.75">
      <c r="A37783" s="2">
        <v>43875.018692129626</v>
      </c>
      <c r="B37783" t="str">
        <f>HYPERLINK("https://twitter.com/AgusAbu7","@AgusAbu7")</f>
        <v>@AgusAbu7</v>
      </c>
      <c r="C37783" t="s">
        <v>15503</v>
      </c>
      <c r="D37783">
        <v>0</v>
      </c>
      <c r="E37783">
        <v>0</v>
      </c>
      <c r="F37783">
        <v>65</v>
      </c>
    </row>
    <row r="37784" spans="1:6" ht="12.75">
      <c r="A37784" s="2">
        <v>43875.018599537041</v>
      </c>
      <c r="B37784" t="str">
        <f>HYPERLINK("https://twitter.com/Usep210","@Usep210")</f>
        <v>@Usep210</v>
      </c>
      <c r="C37784" t="s">
        <v>15069</v>
      </c>
      <c r="D37784">
        <v>5</v>
      </c>
      <c r="E37784">
        <v>0</v>
      </c>
      <c r="F37784">
        <v>4756</v>
      </c>
    </row>
    <row r="37785" spans="1:6" ht="12.75">
      <c r="A37785" s="2">
        <v>43875.018576388888</v>
      </c>
      <c r="B37785" t="str">
        <f>HYPERLINK("https://twitter.com/batamtoday","@batamtoday")</f>
        <v>@batamtoday</v>
      </c>
      <c r="C37785" t="s">
        <v>15504</v>
      </c>
      <c r="D37785">
        <v>0</v>
      </c>
      <c r="E37785">
        <v>0</v>
      </c>
      <c r="F37785">
        <v>27063</v>
      </c>
    </row>
    <row r="37786" spans="1:6" ht="12.75">
      <c r="A37786" s="2">
        <v>43875.01829861111</v>
      </c>
      <c r="B37786" t="str">
        <f>HYPERLINK("https://twitter.com/YusufNusantara1","@YusufNusantara1")</f>
        <v>@YusufNusantara1</v>
      </c>
      <c r="C37786" t="s">
        <v>14852</v>
      </c>
      <c r="D37786">
        <v>97</v>
      </c>
      <c r="E37786">
        <v>0</v>
      </c>
      <c r="F37786">
        <v>686</v>
      </c>
    </row>
    <row r="37787" spans="1:6" ht="12.75">
      <c r="A37787" s="2">
        <v>43875.018229166672</v>
      </c>
      <c r="B37787" t="str">
        <f>HYPERLINK("https://twitter.com/dahriku","@dahriku")</f>
        <v>@dahriku</v>
      </c>
      <c r="C37787" t="s">
        <v>65</v>
      </c>
      <c r="D37787">
        <v>0</v>
      </c>
      <c r="E37787">
        <v>0</v>
      </c>
      <c r="F37787">
        <v>22</v>
      </c>
    </row>
    <row r="37788" spans="1:6" ht="12.75">
      <c r="A37788" s="2">
        <v>43875.018125000002</v>
      </c>
      <c r="B37788" t="str">
        <f>HYPERLINK("https://twitter.com/SKHery8","@SKHery8")</f>
        <v>@SKHery8</v>
      </c>
      <c r="C37788" t="s">
        <v>9113</v>
      </c>
      <c r="D37788">
        <v>227</v>
      </c>
      <c r="E37788">
        <v>0</v>
      </c>
      <c r="F37788">
        <v>3326</v>
      </c>
    </row>
    <row r="37789" spans="1:6" ht="12.75">
      <c r="A37789" s="2">
        <v>43875.018090277779</v>
      </c>
      <c r="B37789" t="str">
        <f>HYPERLINK("https://twitter.com/Atypicalien","@Atypicalien")</f>
        <v>@Atypicalien</v>
      </c>
      <c r="C37789" t="s">
        <v>15505</v>
      </c>
      <c r="D37789">
        <v>2</v>
      </c>
      <c r="E37789">
        <v>3</v>
      </c>
      <c r="F37789">
        <v>1</v>
      </c>
    </row>
    <row r="37790" spans="1:6" ht="12.75">
      <c r="A37790" s="2">
        <v>43875.017835648148</v>
      </c>
      <c r="B37790" t="str">
        <f>HYPERLINK("https://twitter.com/juwadi_arry999","@juwadi_arry999")</f>
        <v>@juwadi_arry999</v>
      </c>
      <c r="C37790" t="s">
        <v>14499</v>
      </c>
      <c r="D37790">
        <v>54</v>
      </c>
      <c r="E37790">
        <v>0</v>
      </c>
      <c r="F37790">
        <v>110</v>
      </c>
    </row>
    <row r="37791" spans="1:6" ht="12.75">
      <c r="A37791" s="2">
        <v>43875.017777777779</v>
      </c>
      <c r="B37791" t="str">
        <f>HYPERLINK("https://twitter.com/berahlaq","@berahlaq")</f>
        <v>@berahlaq</v>
      </c>
      <c r="C37791" t="s">
        <v>13053</v>
      </c>
      <c r="D37791">
        <v>37</v>
      </c>
      <c r="E37791">
        <v>0</v>
      </c>
      <c r="F37791">
        <v>110</v>
      </c>
    </row>
    <row r="37792" spans="1:6" ht="12.75">
      <c r="A37792" s="2">
        <v>43875.017766203702</v>
      </c>
      <c r="B37792" t="str">
        <f>HYPERLINK("https://twitter.com/moesa_jp02","@moesa_jp02")</f>
        <v>@moesa_jp02</v>
      </c>
      <c r="C37792" t="s">
        <v>15506</v>
      </c>
      <c r="D37792">
        <v>0</v>
      </c>
      <c r="E37792">
        <v>0</v>
      </c>
      <c r="F37792">
        <v>1316</v>
      </c>
    </row>
    <row r="37793" spans="1:6" ht="12.75">
      <c r="A37793" s="2">
        <v>43875.017731481479</v>
      </c>
      <c r="B37793" t="str">
        <f>HYPERLINK("https://twitter.com/ks_PDIP_Projo","@ks_PDIP_Projo")</f>
        <v>@ks_PDIP_Projo</v>
      </c>
      <c r="C37793" t="s">
        <v>8881</v>
      </c>
      <c r="D37793">
        <v>242</v>
      </c>
      <c r="E37793">
        <v>0</v>
      </c>
      <c r="F37793">
        <v>5059</v>
      </c>
    </row>
    <row r="37794" spans="1:6" ht="12.75">
      <c r="A37794" s="2">
        <v>43875.01767361111</v>
      </c>
      <c r="B37794" t="str">
        <f>HYPERLINK("https://twitter.com/mulyono09281912","@mulyono09281912")</f>
        <v>@mulyono09281912</v>
      </c>
      <c r="C37794" t="s">
        <v>15507</v>
      </c>
      <c r="D37794">
        <v>0</v>
      </c>
      <c r="E37794">
        <v>0</v>
      </c>
      <c r="F37794">
        <v>51</v>
      </c>
    </row>
    <row r="37795" spans="1:6" ht="12.75">
      <c r="A37795" s="2">
        <v>43875.01762731481</v>
      </c>
      <c r="B37795" t="str">
        <f>HYPERLINK("https://twitter.com/Gregoriusigo_","@Gregoriusigo_")</f>
        <v>@Gregoriusigo_</v>
      </c>
      <c r="C37795" t="s">
        <v>15508</v>
      </c>
      <c r="D37795">
        <v>0</v>
      </c>
      <c r="E37795">
        <v>0</v>
      </c>
      <c r="F37795">
        <v>74</v>
      </c>
    </row>
    <row r="37796" spans="1:6" ht="12.75">
      <c r="A37796" s="2">
        <v>43875.017534722225</v>
      </c>
      <c r="B37796" t="str">
        <f>HYPERLINK("https://twitter.com/Cahkuwut","@Cahkuwut")</f>
        <v>@Cahkuwut</v>
      </c>
      <c r="C37796" t="s">
        <v>15509</v>
      </c>
      <c r="D37796">
        <v>20</v>
      </c>
      <c r="E37796">
        <v>0</v>
      </c>
      <c r="F37796">
        <v>606</v>
      </c>
    </row>
    <row r="37797" spans="1:6" ht="12.75">
      <c r="A37797" s="2">
        <v>43875.017453703702</v>
      </c>
      <c r="B37797" t="str">
        <f>HYPERLINK("https://twitter.com/juwadi_arry999","@juwadi_arry999")</f>
        <v>@juwadi_arry999</v>
      </c>
      <c r="C37797" t="s">
        <v>15214</v>
      </c>
      <c r="D37797">
        <v>41</v>
      </c>
      <c r="E37797">
        <v>0</v>
      </c>
      <c r="F37797">
        <v>110</v>
      </c>
    </row>
    <row r="37798" spans="1:6" ht="12.75">
      <c r="A37798" s="2">
        <v>43875.017430555556</v>
      </c>
      <c r="B37798" t="str">
        <f>HYPERLINK("https://twitter.com/noldie","@noldie")</f>
        <v>@noldie</v>
      </c>
      <c r="C37798" t="s">
        <v>15510</v>
      </c>
      <c r="D37798">
        <v>0</v>
      </c>
      <c r="E37798">
        <v>2</v>
      </c>
      <c r="F37798">
        <v>73</v>
      </c>
    </row>
    <row r="37799" spans="1:6" ht="12.75">
      <c r="A37799" s="2">
        <v>43875.017361111109</v>
      </c>
      <c r="B37799" t="str">
        <f>HYPERLINK("https://twitter.com/sir_usil","@sir_usil")</f>
        <v>@sir_usil</v>
      </c>
      <c r="C37799" t="s">
        <v>9113</v>
      </c>
      <c r="D37799">
        <v>227</v>
      </c>
      <c r="E37799">
        <v>0</v>
      </c>
      <c r="F37799">
        <v>218</v>
      </c>
    </row>
    <row r="37800" spans="1:6" ht="12.75">
      <c r="A37800" s="2">
        <v>43875.017314814817</v>
      </c>
      <c r="B37800" t="str">
        <f>HYPERLINK("https://twitter.com/TahuXBakso","@TahuXBakso")</f>
        <v>@TahuXBakso</v>
      </c>
      <c r="C37800" t="s">
        <v>15511</v>
      </c>
      <c r="D37800">
        <v>0</v>
      </c>
      <c r="E37800">
        <v>2</v>
      </c>
      <c r="F37800">
        <v>255</v>
      </c>
    </row>
    <row r="37801" spans="1:6" ht="12.75">
      <c r="A37801" s="2">
        <v>43875.017233796301</v>
      </c>
      <c r="B37801" t="str">
        <f>HYPERLINK("https://twitter.com/BarzanyWA","@BarzanyWA")</f>
        <v>@BarzanyWA</v>
      </c>
      <c r="C37801" t="s">
        <v>12679</v>
      </c>
      <c r="D37801">
        <v>715</v>
      </c>
      <c r="E37801">
        <v>0</v>
      </c>
      <c r="F37801">
        <v>509</v>
      </c>
    </row>
    <row r="37802" spans="1:6" ht="12.75">
      <c r="A37802" s="2">
        <v>43875.017164351855</v>
      </c>
      <c r="B37802" t="str">
        <f>HYPERLINK("https://twitter.com/mufashi","@mufashi")</f>
        <v>@mufashi</v>
      </c>
      <c r="C37802" t="s">
        <v>15512</v>
      </c>
      <c r="D37802">
        <v>1</v>
      </c>
      <c r="E37802">
        <v>0</v>
      </c>
      <c r="F37802">
        <v>1018</v>
      </c>
    </row>
    <row r="37803" spans="1:6" ht="12.75">
      <c r="A37803" s="2">
        <v>43875.017118055555</v>
      </c>
      <c r="B37803" t="str">
        <f>HYPERLINK("https://twitter.com/kairocity22","@kairocity22")</f>
        <v>@kairocity22</v>
      </c>
      <c r="C37803" t="s">
        <v>15513</v>
      </c>
      <c r="D37803">
        <v>0</v>
      </c>
      <c r="E37803">
        <v>0</v>
      </c>
      <c r="F37803">
        <v>71</v>
      </c>
    </row>
    <row r="37804" spans="1:6" ht="12.75">
      <c r="A37804" s="2">
        <v>43875.016759259262</v>
      </c>
      <c r="B37804" t="str">
        <f>HYPERLINK("https://twitter.com/batamtoday","@batamtoday")</f>
        <v>@batamtoday</v>
      </c>
      <c r="C37804" t="s">
        <v>15514</v>
      </c>
      <c r="D37804">
        <v>0</v>
      </c>
      <c r="E37804">
        <v>0</v>
      </c>
      <c r="F37804">
        <v>27063</v>
      </c>
    </row>
    <row r="37805" spans="1:6" ht="12.75">
      <c r="A37805" s="2">
        <v>43875.016759259262</v>
      </c>
      <c r="B37805" t="str">
        <f>HYPERLINK("https://twitter.com/dolcemaria738","@dolcemaria738")</f>
        <v>@dolcemaria738</v>
      </c>
      <c r="C37805" t="s">
        <v>5168</v>
      </c>
      <c r="D37805">
        <v>328</v>
      </c>
      <c r="E37805">
        <v>0</v>
      </c>
      <c r="F37805">
        <v>223</v>
      </c>
    </row>
    <row r="37806" spans="1:6" ht="12.75">
      <c r="A37806" s="2">
        <v>43875.016759259262</v>
      </c>
      <c r="B37806" t="str">
        <f>HYPERLINK("https://twitter.com/Megalimsaputri","@Megalimsaputri")</f>
        <v>@Megalimsaputri</v>
      </c>
      <c r="C37806" t="s">
        <v>2444</v>
      </c>
      <c r="D37806">
        <v>49</v>
      </c>
      <c r="E37806">
        <v>0</v>
      </c>
      <c r="F37806">
        <v>254</v>
      </c>
    </row>
    <row r="37807" spans="1:6" ht="12.75">
      <c r="A37807" s="2">
        <v>43875.016608796301</v>
      </c>
      <c r="B37807" t="str">
        <f>HYPERLINK("https://twitter.com/AriefAnarya","@AriefAnarya")</f>
        <v>@AriefAnarya</v>
      </c>
      <c r="C37807" t="s">
        <v>2122</v>
      </c>
      <c r="D37807">
        <v>163</v>
      </c>
      <c r="E37807">
        <v>0</v>
      </c>
      <c r="F37807">
        <v>2677</v>
      </c>
    </row>
    <row r="37808" spans="1:6" ht="12.75">
      <c r="A37808" s="2">
        <v>43875.016423611116</v>
      </c>
      <c r="B37808" t="str">
        <f>HYPERLINK("https://twitter.com/bekkobeb","@bekkobeb")</f>
        <v>@bekkobeb</v>
      </c>
      <c r="C37808" t="s">
        <v>5168</v>
      </c>
      <c r="D37808">
        <v>328</v>
      </c>
      <c r="E37808">
        <v>0</v>
      </c>
      <c r="F37808">
        <v>108</v>
      </c>
    </row>
    <row r="37809" spans="1:6" ht="12.75">
      <c r="A37809" s="2">
        <v>43875.016377314816</v>
      </c>
      <c r="B37809" t="str">
        <f>HYPERLINK("https://twitter.com/fitrisnto","@fitrisnto")</f>
        <v>@fitrisnto</v>
      </c>
      <c r="C37809" t="s">
        <v>15515</v>
      </c>
      <c r="D37809">
        <v>0</v>
      </c>
      <c r="E37809">
        <v>0</v>
      </c>
      <c r="F37809">
        <v>1</v>
      </c>
    </row>
    <row r="37810" spans="1:6" ht="12.75">
      <c r="A37810" s="2">
        <v>43875.016365740739</v>
      </c>
      <c r="B37810" t="str">
        <f>HYPERLINK("https://twitter.com/suradiparlan5","@suradiparlan5")</f>
        <v>@suradiparlan5</v>
      </c>
      <c r="C37810" t="s">
        <v>14852</v>
      </c>
      <c r="D37810">
        <v>97</v>
      </c>
      <c r="E37810">
        <v>0</v>
      </c>
      <c r="F37810">
        <v>1336</v>
      </c>
    </row>
    <row r="37811" spans="1:6" ht="12.75">
      <c r="A37811" s="2">
        <v>43875.016273148147</v>
      </c>
      <c r="B37811" t="str">
        <f>HYPERLINK("https://twitter.com/jamzsay","@jamzsay")</f>
        <v>@jamzsay</v>
      </c>
      <c r="C37811" t="s">
        <v>15516</v>
      </c>
      <c r="D37811">
        <v>2</v>
      </c>
      <c r="E37811">
        <v>0</v>
      </c>
      <c r="F37811">
        <v>1297</v>
      </c>
    </row>
    <row r="37812" spans="1:6" ht="12.75">
      <c r="A37812" s="2">
        <v>43875.016041666662</v>
      </c>
      <c r="B37812" t="str">
        <f>HYPERLINK("https://twitter.com/juwadi_arry999","@juwadi_arry999")</f>
        <v>@juwadi_arry999</v>
      </c>
      <c r="C37812" t="s">
        <v>7803</v>
      </c>
      <c r="D37812">
        <v>287</v>
      </c>
      <c r="E37812">
        <v>0</v>
      </c>
      <c r="F37812">
        <v>110</v>
      </c>
    </row>
    <row r="37813" spans="1:6" ht="12.75">
      <c r="A37813" s="2">
        <v>43875.016006944439</v>
      </c>
      <c r="B37813" t="str">
        <f>HYPERLINK("https://twitter.com/dolcemaria738","@dolcemaria738")</f>
        <v>@dolcemaria738</v>
      </c>
      <c r="C37813" t="s">
        <v>10121</v>
      </c>
      <c r="D37813">
        <v>131</v>
      </c>
      <c r="E37813">
        <v>0</v>
      </c>
      <c r="F37813">
        <v>223</v>
      </c>
    </row>
    <row r="37814" spans="1:6" ht="12.75">
      <c r="A37814" s="2">
        <v>43875.015659722223</v>
      </c>
      <c r="B37814" t="str">
        <f>HYPERLINK("https://twitter.com/Astalnov75","@Astalnov75")</f>
        <v>@Astalnov75</v>
      </c>
      <c r="C37814" t="s">
        <v>15517</v>
      </c>
      <c r="D37814">
        <v>0</v>
      </c>
      <c r="E37814">
        <v>0</v>
      </c>
      <c r="F37814">
        <v>1</v>
      </c>
    </row>
    <row r="37815" spans="1:6" ht="12.75">
      <c r="A37815" s="2">
        <v>43875.01563657407</v>
      </c>
      <c r="B37815" t="str">
        <f>HYPERLINK("https://twitter.com/juwadi_arry999","@juwadi_arry999")</f>
        <v>@juwadi_arry999</v>
      </c>
      <c r="C37815" t="s">
        <v>11364</v>
      </c>
      <c r="D37815">
        <v>66</v>
      </c>
      <c r="E37815">
        <v>0</v>
      </c>
      <c r="F37815">
        <v>110</v>
      </c>
    </row>
    <row r="37816" spans="1:6" ht="12.75">
      <c r="A37816" s="2">
        <v>43875.015590277777</v>
      </c>
      <c r="B37816" t="str">
        <f>HYPERLINK("https://twitter.com/nadinemawar","@nadinemawar")</f>
        <v>@nadinemawar</v>
      </c>
      <c r="C37816" t="s">
        <v>15518</v>
      </c>
      <c r="D37816">
        <v>0</v>
      </c>
      <c r="E37816">
        <v>0</v>
      </c>
      <c r="F37816">
        <v>71</v>
      </c>
    </row>
    <row r="37817" spans="1:6" ht="12.75">
      <c r="A37817" s="2">
        <v>43875.015590277777</v>
      </c>
      <c r="B37817" t="str">
        <f>HYPERLINK("https://twitter.com/Umar_IbnuKhatab","@Umar_IbnuKhatab")</f>
        <v>@Umar_IbnuKhatab</v>
      </c>
      <c r="C37817" t="s">
        <v>2134</v>
      </c>
      <c r="D37817">
        <v>975</v>
      </c>
      <c r="E37817">
        <v>0</v>
      </c>
      <c r="F37817">
        <v>1227</v>
      </c>
    </row>
    <row r="37818" spans="1:6" ht="12.75">
      <c r="A37818" s="2">
        <v>43875.015555555554</v>
      </c>
      <c r="B37818" t="str">
        <f>HYPERLINK("https://twitter.com/Nawat_Adws","@Nawat_Adws")</f>
        <v>@Nawat_Adws</v>
      </c>
      <c r="C37818" t="s">
        <v>15519</v>
      </c>
      <c r="D37818">
        <v>0</v>
      </c>
      <c r="E37818">
        <v>1</v>
      </c>
      <c r="F37818">
        <v>1123</v>
      </c>
    </row>
    <row r="37819" spans="1:6" ht="12.75">
      <c r="A37819" s="2">
        <v>43875.015497685185</v>
      </c>
      <c r="B37819" t="str">
        <f>HYPERLINK("https://twitter.com/Amy_Anwar","@Amy_Anwar")</f>
        <v>@Amy_Anwar</v>
      </c>
      <c r="C37819" t="s">
        <v>11566</v>
      </c>
      <c r="D37819">
        <v>92</v>
      </c>
      <c r="E37819">
        <v>0</v>
      </c>
      <c r="F37819">
        <v>1107</v>
      </c>
    </row>
    <row r="37820" spans="1:6" ht="12.75">
      <c r="A37820" s="2">
        <v>43875.015416666662</v>
      </c>
      <c r="B37820" t="str">
        <f>HYPERLINK("https://twitter.com/ratnaaaaps","@ratnaaaaps")</f>
        <v>@ratnaaaaps</v>
      </c>
      <c r="C37820" t="s">
        <v>9113</v>
      </c>
      <c r="D37820">
        <v>227</v>
      </c>
      <c r="E37820">
        <v>0</v>
      </c>
      <c r="F37820">
        <v>33</v>
      </c>
    </row>
    <row r="37821" spans="1:6" ht="12.75">
      <c r="A37821" s="2">
        <v>43875.015185185184</v>
      </c>
      <c r="B37821" t="str">
        <f>HYPERLINK("https://twitter.com/Rizkyam61710899","@Rizkyam61710899")</f>
        <v>@Rizkyam61710899</v>
      </c>
      <c r="C37821" t="s">
        <v>175</v>
      </c>
      <c r="D37821">
        <v>5209</v>
      </c>
      <c r="E37821">
        <v>0</v>
      </c>
      <c r="F37821">
        <v>8</v>
      </c>
    </row>
    <row r="37822" spans="1:6" ht="12.75">
      <c r="A37822" s="2">
        <v>43875.015185185184</v>
      </c>
      <c r="B37822" t="str">
        <f>HYPERLINK("https://twitter.com/HasugianSandri","@HasugianSandri")</f>
        <v>@HasugianSandri</v>
      </c>
      <c r="C37822" t="s">
        <v>15520</v>
      </c>
      <c r="D37822">
        <v>0</v>
      </c>
      <c r="E37822">
        <v>0</v>
      </c>
      <c r="F37822">
        <v>14</v>
      </c>
    </row>
    <row r="37823" spans="1:6" ht="12.75">
      <c r="A37823" s="2">
        <v>43875.015092592592</v>
      </c>
      <c r="B37823" t="str">
        <f>HYPERLINK("https://twitter.com/marpaung913","@marpaung913")</f>
        <v>@marpaung913</v>
      </c>
      <c r="C37823" t="s">
        <v>15521</v>
      </c>
      <c r="D37823">
        <v>0</v>
      </c>
      <c r="E37823">
        <v>0</v>
      </c>
      <c r="F37823">
        <v>524</v>
      </c>
    </row>
    <row r="37824" spans="1:6" ht="12.75">
      <c r="A37824" s="2">
        <v>43875.014849537038</v>
      </c>
      <c r="B37824" t="str">
        <f>HYPERLINK("https://twitter.com/su7loo","@su7loo")</f>
        <v>@su7loo</v>
      </c>
      <c r="C37824" t="s">
        <v>15522</v>
      </c>
      <c r="D37824">
        <v>0</v>
      </c>
      <c r="E37824">
        <v>0</v>
      </c>
      <c r="F37824">
        <v>970</v>
      </c>
    </row>
    <row r="37825" spans="1:6" ht="12.75">
      <c r="A37825" s="2">
        <v>43875.014664351853</v>
      </c>
      <c r="B37825" t="str">
        <f>HYPERLINK("https://twitter.com/JohnIrwan4","@JohnIrwan4")</f>
        <v>@JohnIrwan4</v>
      </c>
      <c r="C37825" t="s">
        <v>14436</v>
      </c>
      <c r="D37825">
        <v>4</v>
      </c>
      <c r="E37825">
        <v>0</v>
      </c>
      <c r="F37825">
        <v>2096</v>
      </c>
    </row>
    <row r="37826" spans="1:6" ht="12.75">
      <c r="A37826" s="2">
        <v>43875.014664351853</v>
      </c>
      <c r="B37826" t="str">
        <f>HYPERLINK("https://twitter.com/Albyalatas","@Albyalatas")</f>
        <v>@Albyalatas</v>
      </c>
      <c r="C37826" t="s">
        <v>9732</v>
      </c>
      <c r="D37826">
        <v>49</v>
      </c>
      <c r="E37826">
        <v>0</v>
      </c>
      <c r="F37826">
        <v>884</v>
      </c>
    </row>
    <row r="37827" spans="1:6" ht="12.75">
      <c r="A37827" s="2">
        <v>43875.014467592591</v>
      </c>
      <c r="B37827" t="str">
        <f>HYPERLINK("https://twitter.com/farukmuhamadc","@farukmuhamadc")</f>
        <v>@farukmuhamadc</v>
      </c>
      <c r="C37827" t="s">
        <v>5168</v>
      </c>
      <c r="D37827">
        <v>328</v>
      </c>
      <c r="E37827">
        <v>0</v>
      </c>
      <c r="F37827">
        <v>1728</v>
      </c>
    </row>
    <row r="37828" spans="1:6" ht="12.75">
      <c r="A37828" s="2">
        <v>43875.014432870375</v>
      </c>
      <c r="B37828" t="str">
        <f>HYPERLINK("https://twitter.com/AbdulRizal3793","@AbdulRizal3793")</f>
        <v>@AbdulRizal3793</v>
      </c>
      <c r="C37828" t="s">
        <v>15523</v>
      </c>
      <c r="D37828">
        <v>0</v>
      </c>
      <c r="E37828">
        <v>0</v>
      </c>
      <c r="F37828">
        <v>382</v>
      </c>
    </row>
    <row r="37829" spans="1:6" ht="12.75">
      <c r="A37829" s="2">
        <v>43875.014293981483</v>
      </c>
      <c r="B37829" t="str">
        <f>HYPERLINK("https://twitter.com/SlametMuslim","@SlametMuslim")</f>
        <v>@SlametMuslim</v>
      </c>
      <c r="C37829" t="s">
        <v>15524</v>
      </c>
      <c r="D37829">
        <v>0</v>
      </c>
      <c r="E37829">
        <v>0</v>
      </c>
      <c r="F37829">
        <v>7464</v>
      </c>
    </row>
    <row r="37830" spans="1:6" ht="12.75">
      <c r="A37830" s="2">
        <v>43875.01427083333</v>
      </c>
      <c r="B37830" t="str">
        <f>HYPERLINK("https://twitter.com/sir_usil","@sir_usil")</f>
        <v>@sir_usil</v>
      </c>
      <c r="C37830" t="s">
        <v>6982</v>
      </c>
      <c r="D37830">
        <v>78</v>
      </c>
      <c r="E37830">
        <v>0</v>
      </c>
      <c r="F37830">
        <v>218</v>
      </c>
    </row>
    <row r="37831" spans="1:6" ht="12.75">
      <c r="A37831" s="2">
        <v>43875.014212962968</v>
      </c>
      <c r="B37831" t="str">
        <f>HYPERLINK("https://twitter.com/RZIDN","@RZIDN")</f>
        <v>@RZIDN</v>
      </c>
      <c r="C37831" t="s">
        <v>175</v>
      </c>
      <c r="D37831">
        <v>5209</v>
      </c>
      <c r="E37831">
        <v>0</v>
      </c>
      <c r="F37831">
        <v>765</v>
      </c>
    </row>
    <row r="37832" spans="1:6" ht="12.75">
      <c r="A37832" s="2">
        <v>43875.014189814814</v>
      </c>
      <c r="B37832" t="str">
        <f>HYPERLINK("https://twitter.com/paquitacumadebu","@paquitacumadebu")</f>
        <v>@paquitacumadebu</v>
      </c>
      <c r="C37832" t="s">
        <v>15107</v>
      </c>
      <c r="D37832">
        <v>4</v>
      </c>
      <c r="E37832">
        <v>0</v>
      </c>
      <c r="F37832">
        <v>1695</v>
      </c>
    </row>
    <row r="37833" spans="1:6" ht="12.75">
      <c r="A37833" s="2">
        <v>43875.013912037037</v>
      </c>
      <c r="B37833" t="str">
        <f>HYPERLINK("https://twitter.com/ElshintaTegal_","@ElshintaTegal_")</f>
        <v>@ElshintaTegal_</v>
      </c>
      <c r="C37833" t="s">
        <v>15525</v>
      </c>
      <c r="D37833">
        <v>1</v>
      </c>
      <c r="E37833">
        <v>0</v>
      </c>
      <c r="F37833">
        <v>29</v>
      </c>
    </row>
    <row r="37834" spans="1:6" ht="12.75">
      <c r="A37834" s="2">
        <v>43875.013854166667</v>
      </c>
      <c r="B37834" t="str">
        <f>HYPERLINK("https://twitter.com/MamatBo","@MamatBo")</f>
        <v>@MamatBo</v>
      </c>
      <c r="C37834" t="s">
        <v>15526</v>
      </c>
      <c r="D37834">
        <v>0</v>
      </c>
      <c r="E37834">
        <v>0</v>
      </c>
      <c r="F37834">
        <v>51</v>
      </c>
    </row>
    <row r="37835" spans="1:6" ht="12.75">
      <c r="A37835" s="2">
        <v>43875.013796296298</v>
      </c>
      <c r="B37835" t="str">
        <f>HYPERLINK("https://twitter.com/IshakSitorus","@IshakSitorus")</f>
        <v>@IshakSitorus</v>
      </c>
      <c r="C37835" t="s">
        <v>15527</v>
      </c>
      <c r="D37835">
        <v>0</v>
      </c>
      <c r="E37835">
        <v>0</v>
      </c>
      <c r="F37835">
        <v>114</v>
      </c>
    </row>
    <row r="37836" spans="1:6" ht="12.75">
      <c r="A37836" s="2">
        <v>43875.013692129629</v>
      </c>
      <c r="B37836" t="str">
        <f>HYPERLINK("https://twitter.com/husnipru","@husnipru")</f>
        <v>@husnipru</v>
      </c>
      <c r="C37836" t="s">
        <v>14436</v>
      </c>
      <c r="D37836">
        <v>4</v>
      </c>
      <c r="E37836">
        <v>0</v>
      </c>
      <c r="F37836">
        <v>823</v>
      </c>
    </row>
    <row r="37837" spans="1:6" ht="12.75">
      <c r="A37837" s="2">
        <v>43875.01363425926</v>
      </c>
      <c r="B37837" t="str">
        <f>HYPERLINK("https://twitter.com/saprie2020","@saprie2020")</f>
        <v>@saprie2020</v>
      </c>
      <c r="C37837" t="s">
        <v>10196</v>
      </c>
      <c r="D37837">
        <v>116</v>
      </c>
      <c r="E37837">
        <v>0</v>
      </c>
      <c r="F37837">
        <v>819</v>
      </c>
    </row>
    <row r="37838" spans="1:6" ht="12.75">
      <c r="A37838" s="2">
        <v>43875.01362268519</v>
      </c>
      <c r="B37838" t="str">
        <f>HYPERLINK("https://twitter.com/ArmandGusman","@ArmandGusman")</f>
        <v>@ArmandGusman</v>
      </c>
      <c r="C37838" t="s">
        <v>15528</v>
      </c>
      <c r="D37838">
        <v>0</v>
      </c>
      <c r="E37838">
        <v>1</v>
      </c>
      <c r="F37838">
        <v>191</v>
      </c>
    </row>
    <row r="37839" spans="1:6" ht="12.75">
      <c r="A37839" s="2">
        <v>43875.01362268519</v>
      </c>
      <c r="B37839" t="str">
        <f>HYPERLINK("https://twitter.com/Jelantik5","@Jelantik5")</f>
        <v>@Jelantik5</v>
      </c>
      <c r="C37839" t="s">
        <v>8233</v>
      </c>
      <c r="D37839">
        <v>243</v>
      </c>
      <c r="E37839">
        <v>0</v>
      </c>
      <c r="F37839">
        <v>6374</v>
      </c>
    </row>
    <row r="37840" spans="1:6" ht="12.75">
      <c r="A37840" s="2">
        <v>43875.013506944444</v>
      </c>
      <c r="B37840" t="str">
        <f>HYPERLINK("https://twitter.com/HR_jangkrik","@HR_jangkrik")</f>
        <v>@HR_jangkrik</v>
      </c>
      <c r="C37840" t="s">
        <v>10121</v>
      </c>
      <c r="D37840">
        <v>131</v>
      </c>
      <c r="E37840">
        <v>0</v>
      </c>
      <c r="F37840">
        <v>211</v>
      </c>
    </row>
    <row r="37841" spans="1:6" ht="12.75">
      <c r="A37841" s="2">
        <v>43875.013101851851</v>
      </c>
      <c r="B37841" t="str">
        <f>HYPERLINK("https://twitter.com/Yellow03502628","@Yellow03502628")</f>
        <v>@Yellow03502628</v>
      </c>
      <c r="C37841" t="s">
        <v>10462</v>
      </c>
      <c r="D37841">
        <v>220</v>
      </c>
      <c r="E37841">
        <v>0</v>
      </c>
      <c r="F37841">
        <v>14</v>
      </c>
    </row>
    <row r="37842" spans="1:6" ht="12.75">
      <c r="A37842" s="2">
        <v>43875.013067129628</v>
      </c>
      <c r="B37842" t="str">
        <f>HYPERLINK("https://twitter.com/ratwin","@ratwin")</f>
        <v>@ratwin</v>
      </c>
      <c r="C37842" t="s">
        <v>12940</v>
      </c>
      <c r="D37842">
        <v>92</v>
      </c>
      <c r="E37842">
        <v>0</v>
      </c>
      <c r="F37842">
        <v>342</v>
      </c>
    </row>
    <row r="37843" spans="1:6" ht="12.75">
      <c r="A37843" s="2">
        <v>43875.013067129628</v>
      </c>
      <c r="B37843" t="str">
        <f>HYPERLINK("https://twitter.com/penjaganeraka11","@penjaganeraka11")</f>
        <v>@penjaganeraka11</v>
      </c>
      <c r="C37843" t="s">
        <v>15529</v>
      </c>
      <c r="D37843">
        <v>0</v>
      </c>
      <c r="E37843">
        <v>0</v>
      </c>
      <c r="F37843">
        <v>597</v>
      </c>
    </row>
    <row r="37844" spans="1:6" ht="12.75">
      <c r="A37844" s="2">
        <v>43875.012743055559</v>
      </c>
      <c r="B37844" t="str">
        <f>HYPERLINK("https://twitter.com/tanpa_batas_","@tanpa_batas_")</f>
        <v>@tanpa_batas_</v>
      </c>
      <c r="C37844" t="s">
        <v>15530</v>
      </c>
      <c r="D37844">
        <v>0</v>
      </c>
      <c r="E37844">
        <v>0</v>
      </c>
      <c r="F37844">
        <v>2</v>
      </c>
    </row>
    <row r="37845" spans="1:6" ht="12.75">
      <c r="A37845" s="2">
        <v>43875.012650462959</v>
      </c>
      <c r="B37845" t="str">
        <f>HYPERLINK("https://twitter.com/fransisca_ardy","@fransisca_ardy")</f>
        <v>@fransisca_ardy</v>
      </c>
      <c r="C37845" t="s">
        <v>15531</v>
      </c>
      <c r="D37845">
        <v>0</v>
      </c>
      <c r="E37845">
        <v>1</v>
      </c>
      <c r="F37845">
        <v>1135</v>
      </c>
    </row>
    <row r="37846" spans="1:6" ht="12.75">
      <c r="A37846" s="2">
        <v>43875.012592592597</v>
      </c>
      <c r="B37846" t="str">
        <f>HYPERLINK("https://twitter.com/YOGA_sangMantan","@YOGA_sangMantan")</f>
        <v>@YOGA_sangMantan</v>
      </c>
      <c r="C37846" t="s">
        <v>15532</v>
      </c>
      <c r="D37846">
        <v>0</v>
      </c>
      <c r="E37846">
        <v>0</v>
      </c>
      <c r="F37846">
        <v>0</v>
      </c>
    </row>
    <row r="37847" spans="1:6" ht="12.75">
      <c r="A37847" s="2">
        <v>43875.012511574074</v>
      </c>
      <c r="B37847" t="str">
        <f>HYPERLINK("https://twitter.com/ArniChairul","@ArniChairul")</f>
        <v>@ArniChairul</v>
      </c>
      <c r="C37847" t="s">
        <v>11778</v>
      </c>
      <c r="D37847">
        <v>11</v>
      </c>
      <c r="E37847">
        <v>0</v>
      </c>
      <c r="F37847">
        <v>18</v>
      </c>
    </row>
    <row r="37848" spans="1:6" ht="12.75">
      <c r="A37848" s="2">
        <v>43875.012488425928</v>
      </c>
      <c r="B37848" t="str">
        <f>HYPERLINK("https://twitter.com/gowestmor","@gowestmor")</f>
        <v>@gowestmor</v>
      </c>
      <c r="C37848" t="s">
        <v>11368</v>
      </c>
      <c r="D37848">
        <v>72</v>
      </c>
      <c r="E37848">
        <v>0</v>
      </c>
      <c r="F37848">
        <v>1584</v>
      </c>
    </row>
    <row r="37849" spans="1:6" ht="12.75">
      <c r="A37849" s="2">
        <v>43875.012430555551</v>
      </c>
      <c r="B37849" t="str">
        <f>HYPERLINK("https://twitter.com/budimandjatmiko","@budimandjatmiko")</f>
        <v>@budimandjatmiko</v>
      </c>
      <c r="C37849" t="s">
        <v>15533</v>
      </c>
      <c r="D37849">
        <v>0</v>
      </c>
      <c r="E37849">
        <v>1</v>
      </c>
      <c r="F37849">
        <v>788577</v>
      </c>
    </row>
    <row r="37850" spans="1:6" ht="12.75">
      <c r="A37850" s="2">
        <v>43875.012407407412</v>
      </c>
      <c r="B37850" t="str">
        <f>HYPERLINK("https://twitter.com/gowestmor","@gowestmor")</f>
        <v>@gowestmor</v>
      </c>
      <c r="C37850" t="s">
        <v>8470</v>
      </c>
      <c r="D37850">
        <v>127</v>
      </c>
      <c r="E37850">
        <v>0</v>
      </c>
      <c r="F37850">
        <v>1584</v>
      </c>
    </row>
    <row r="37851" spans="1:6" ht="12.75">
      <c r="A37851" s="2">
        <v>43875.012395833328</v>
      </c>
      <c r="B37851" t="str">
        <f>HYPERLINK("https://twitter.com/wiradisuta","@wiradisuta")</f>
        <v>@wiradisuta</v>
      </c>
      <c r="C37851" t="s">
        <v>15534</v>
      </c>
      <c r="D37851">
        <v>0</v>
      </c>
      <c r="E37851">
        <v>0</v>
      </c>
      <c r="F37851">
        <v>1687</v>
      </c>
    </row>
    <row r="37852" spans="1:6" ht="12.75">
      <c r="A37852" s="2">
        <v>43875.012372685189</v>
      </c>
      <c r="B37852" t="str">
        <f>HYPERLINK("https://twitter.com/marpaung913","@marpaung913")</f>
        <v>@marpaung913</v>
      </c>
      <c r="C37852" t="s">
        <v>15535</v>
      </c>
      <c r="D37852">
        <v>0</v>
      </c>
      <c r="E37852">
        <v>0</v>
      </c>
      <c r="F37852">
        <v>524</v>
      </c>
    </row>
    <row r="37853" spans="1:6" ht="12.75">
      <c r="A37853" s="2">
        <v>43875.012372685189</v>
      </c>
      <c r="B37853" t="str">
        <f>HYPERLINK("https://twitter.com/dila_romadhon","@dila_romadhon")</f>
        <v>@dila_romadhon</v>
      </c>
      <c r="C37853" t="s">
        <v>10266</v>
      </c>
      <c r="D37853">
        <v>243</v>
      </c>
      <c r="E37853">
        <v>0</v>
      </c>
      <c r="F37853">
        <v>125</v>
      </c>
    </row>
    <row r="37854" spans="1:6" ht="12.75">
      <c r="A37854" s="2">
        <v>43875.012210648143</v>
      </c>
      <c r="B37854" t="str">
        <f>HYPERLINK("https://twitter.com/RadioElshinta","@RadioElshinta")</f>
        <v>@RadioElshinta</v>
      </c>
      <c r="C37854" t="s">
        <v>66</v>
      </c>
      <c r="D37854">
        <v>1</v>
      </c>
      <c r="E37854">
        <v>3</v>
      </c>
      <c r="F37854">
        <v>3633160</v>
      </c>
    </row>
    <row r="37855" spans="1:6" ht="12.75">
      <c r="A37855" s="2">
        <v>43875.012106481481</v>
      </c>
      <c r="B37855" t="str">
        <f>HYPERLINK("https://twitter.com/ayu_wandirae","@ayu_wandirae")</f>
        <v>@ayu_wandirae</v>
      </c>
      <c r="C37855" t="s">
        <v>10706</v>
      </c>
      <c r="D37855">
        <v>204</v>
      </c>
      <c r="E37855">
        <v>0</v>
      </c>
      <c r="F37855">
        <v>774</v>
      </c>
    </row>
    <row r="37856" spans="1:6" ht="12.75">
      <c r="A37856" s="2">
        <v>43875.012048611112</v>
      </c>
      <c r="B37856" t="str">
        <f>HYPERLINK("https://twitter.com/paquitacumadebu","@paquitacumadebu")</f>
        <v>@paquitacumadebu</v>
      </c>
      <c r="C37856" t="s">
        <v>12367</v>
      </c>
      <c r="D37856">
        <v>12</v>
      </c>
      <c r="E37856">
        <v>0</v>
      </c>
      <c r="F37856">
        <v>1695</v>
      </c>
    </row>
    <row r="37857" spans="1:6" ht="12.75">
      <c r="A37857" s="2">
        <v>43875.012013888889</v>
      </c>
      <c r="B37857" t="str">
        <f>HYPERLINK("https://twitter.com/MuhAly75","@MuhAly75")</f>
        <v>@MuhAly75</v>
      </c>
      <c r="C37857" t="s">
        <v>15536</v>
      </c>
      <c r="D37857">
        <v>5</v>
      </c>
      <c r="E37857">
        <v>0</v>
      </c>
      <c r="F37857">
        <v>130</v>
      </c>
    </row>
    <row r="37858" spans="1:6" ht="12.75">
      <c r="A37858" s="2">
        <v>43875.012002314819</v>
      </c>
      <c r="B37858" t="str">
        <f>HYPERLINK("https://twitter.com/gowestmor","@gowestmor")</f>
        <v>@gowestmor</v>
      </c>
      <c r="C37858" t="s">
        <v>10319</v>
      </c>
      <c r="D37858">
        <v>139</v>
      </c>
      <c r="E37858">
        <v>0</v>
      </c>
      <c r="F37858">
        <v>1584</v>
      </c>
    </row>
    <row r="37859" spans="1:6" ht="12.75">
      <c r="A37859" s="2">
        <v>43875.011921296296</v>
      </c>
      <c r="B37859" t="str">
        <f>HYPERLINK("https://twitter.com/lucifferkicci","@lucifferkicci")</f>
        <v>@lucifferkicci</v>
      </c>
      <c r="C37859" t="s">
        <v>10196</v>
      </c>
      <c r="D37859">
        <v>116</v>
      </c>
      <c r="E37859">
        <v>0</v>
      </c>
      <c r="F37859">
        <v>2745</v>
      </c>
    </row>
    <row r="37860" spans="1:6" ht="12.75">
      <c r="A37860" s="2">
        <v>43875.01189814815</v>
      </c>
      <c r="B37860" t="str">
        <f>HYPERLINK("https://twitter.com/lordkrasak","@lordkrasak")</f>
        <v>@lordkrasak</v>
      </c>
      <c r="C37860" t="s">
        <v>15537</v>
      </c>
      <c r="D37860">
        <v>1</v>
      </c>
      <c r="E37860">
        <v>0</v>
      </c>
      <c r="F37860">
        <v>291</v>
      </c>
    </row>
    <row r="37861" spans="1:6" ht="12.75">
      <c r="A37861" s="2">
        <v>43875.01185185185</v>
      </c>
      <c r="B37861" t="str">
        <f>HYPERLINK("https://twitter.com/deathbyluck13th","@deathbyluck13th")</f>
        <v>@deathbyluck13th</v>
      </c>
      <c r="C37861" t="s">
        <v>15538</v>
      </c>
      <c r="D37861">
        <v>0</v>
      </c>
      <c r="E37861">
        <v>1</v>
      </c>
      <c r="F37861">
        <v>350</v>
      </c>
    </row>
    <row r="37862" spans="1:6" ht="12.75">
      <c r="A37862" s="2">
        <v>43875.011840277773</v>
      </c>
      <c r="B37862" t="str">
        <f>HYPERLINK("https://twitter.com/SemboyanR","@SemboyanR")</f>
        <v>@SemboyanR</v>
      </c>
      <c r="C37862" t="s">
        <v>8252</v>
      </c>
      <c r="D37862">
        <v>469</v>
      </c>
      <c r="E37862">
        <v>0</v>
      </c>
      <c r="F37862">
        <v>1254</v>
      </c>
    </row>
    <row r="37863" spans="1:6" ht="12.75">
      <c r="A37863" s="2">
        <v>43875.01180555555</v>
      </c>
      <c r="B37863" t="str">
        <f>HYPERLINK("https://twitter.com/justbob616","@justbob616")</f>
        <v>@justbob616</v>
      </c>
      <c r="C37863" t="s">
        <v>15539</v>
      </c>
      <c r="D37863">
        <v>0</v>
      </c>
      <c r="E37863">
        <v>1</v>
      </c>
      <c r="F37863">
        <v>702</v>
      </c>
    </row>
    <row r="37864" spans="1:6" ht="12.75">
      <c r="A37864" s="2">
        <v>43875.011759259258</v>
      </c>
      <c r="B37864" t="str">
        <f>HYPERLINK("https://twitter.com/ks_PDIP_Projo","@ks_PDIP_Projo")</f>
        <v>@ks_PDIP_Projo</v>
      </c>
      <c r="C37864" t="s">
        <v>9947</v>
      </c>
      <c r="D37864">
        <v>308</v>
      </c>
      <c r="E37864">
        <v>0</v>
      </c>
      <c r="F37864">
        <v>5059</v>
      </c>
    </row>
    <row r="37865" spans="1:6" ht="12.75">
      <c r="A37865" s="2">
        <v>43875.011666666665</v>
      </c>
      <c r="B37865" t="str">
        <f>HYPERLINK("https://twitter.com/lordkrasak","@lordkrasak")</f>
        <v>@lordkrasak</v>
      </c>
      <c r="C37865" t="s">
        <v>10542</v>
      </c>
      <c r="D37865">
        <v>120</v>
      </c>
      <c r="E37865">
        <v>0</v>
      </c>
      <c r="F37865">
        <v>291</v>
      </c>
    </row>
    <row r="37866" spans="1:6" ht="12.75">
      <c r="A37866" s="2">
        <v>43875.011620370366</v>
      </c>
      <c r="B37866" t="str">
        <f>HYPERLINK("https://twitter.com/arisw89","@arisw89")</f>
        <v>@arisw89</v>
      </c>
      <c r="C37866" t="s">
        <v>8233</v>
      </c>
      <c r="D37866">
        <v>243</v>
      </c>
      <c r="E37866">
        <v>0</v>
      </c>
      <c r="F37866">
        <v>401</v>
      </c>
    </row>
    <row r="37867" spans="1:6" ht="12.75">
      <c r="A37867" s="2">
        <v>43875.011608796296</v>
      </c>
      <c r="B37867" t="str">
        <f>HYPERLINK("https://twitter.com/Jelantik5","@Jelantik5")</f>
        <v>@Jelantik5</v>
      </c>
      <c r="C37867" t="s">
        <v>15540</v>
      </c>
      <c r="D37867">
        <v>2</v>
      </c>
      <c r="E37867">
        <v>0</v>
      </c>
      <c r="F37867">
        <v>6374</v>
      </c>
    </row>
    <row r="37868" spans="1:6" ht="12.75">
      <c r="A37868" s="2">
        <v>43875.011388888888</v>
      </c>
      <c r="B37868" t="str">
        <f>HYPERLINK("https://twitter.com/syamhariary_ary","@syamhariary_ary")</f>
        <v>@syamhariary_ary</v>
      </c>
      <c r="C37868" t="s">
        <v>8252</v>
      </c>
      <c r="D37868">
        <v>469</v>
      </c>
      <c r="E37868">
        <v>0</v>
      </c>
      <c r="F37868">
        <v>320</v>
      </c>
    </row>
    <row r="37869" spans="1:6" ht="12.75">
      <c r="A37869" s="2">
        <v>43875.011249999996</v>
      </c>
      <c r="B37869" t="str">
        <f>HYPERLINK("https://twitter.com/abglawas","@abglawas")</f>
        <v>@abglawas</v>
      </c>
      <c r="C37869" t="s">
        <v>67</v>
      </c>
      <c r="D37869">
        <v>0</v>
      </c>
      <c r="E37869">
        <v>0</v>
      </c>
      <c r="F37869">
        <v>104</v>
      </c>
    </row>
    <row r="37870" spans="1:6" ht="12.75">
      <c r="A37870" s="2">
        <v>43875.011041666672</v>
      </c>
      <c r="B37870" t="str">
        <f>HYPERLINK("https://twitter.com/maklumatID","@maklumatID")</f>
        <v>@maklumatID</v>
      </c>
      <c r="C37870" t="s">
        <v>15541</v>
      </c>
      <c r="D37870">
        <v>0</v>
      </c>
      <c r="E37870">
        <v>0</v>
      </c>
      <c r="F37870">
        <v>79</v>
      </c>
    </row>
    <row r="37871" spans="1:6" ht="12.75">
      <c r="A37871" s="2">
        <v>43875.010937500003</v>
      </c>
      <c r="B37871" t="str">
        <f>HYPERLINK("https://twitter.com/kairocity22","@kairocity22")</f>
        <v>@kairocity22</v>
      </c>
      <c r="C37871" t="s">
        <v>15542</v>
      </c>
      <c r="D37871">
        <v>0</v>
      </c>
      <c r="E37871">
        <v>1</v>
      </c>
      <c r="F37871">
        <v>71</v>
      </c>
    </row>
    <row r="37872" spans="1:6" ht="12.75">
      <c r="A37872" s="2">
        <v>43875.010914351849</v>
      </c>
      <c r="B37872" t="str">
        <f>HYPERLINK("https://twitter.com/ks_PDIP_Projo","@ks_PDIP_Projo")</f>
        <v>@ks_PDIP_Projo</v>
      </c>
      <c r="C37872" t="s">
        <v>12738</v>
      </c>
      <c r="D37872">
        <v>68</v>
      </c>
      <c r="E37872">
        <v>0</v>
      </c>
      <c r="F37872">
        <v>5059</v>
      </c>
    </row>
    <row r="37873" spans="1:6" ht="12.75">
      <c r="A37873" s="2">
        <v>43875.010868055557</v>
      </c>
      <c r="B37873" t="str">
        <f>HYPERLINK("https://twitter.com/marisa_QRI","@marisa_QRI")</f>
        <v>@marisa_QRI</v>
      </c>
      <c r="C37873" t="s">
        <v>175</v>
      </c>
      <c r="D37873">
        <v>5209</v>
      </c>
      <c r="E37873">
        <v>0</v>
      </c>
      <c r="F37873">
        <v>143</v>
      </c>
    </row>
    <row r="37874" spans="1:6" ht="12.75">
      <c r="A37874" s="2">
        <v>43875.010682870372</v>
      </c>
      <c r="B37874" t="str">
        <f>HYPERLINK("https://twitter.com/RobertBerto2","@RobertBerto2")</f>
        <v>@RobertBerto2</v>
      </c>
      <c r="C37874" t="s">
        <v>9096</v>
      </c>
      <c r="D37874">
        <v>127</v>
      </c>
      <c r="E37874">
        <v>0</v>
      </c>
      <c r="F37874">
        <v>42</v>
      </c>
    </row>
    <row r="37875" spans="1:6" ht="12.75">
      <c r="A37875" s="2">
        <v>43875.010289351849</v>
      </c>
      <c r="B37875" t="str">
        <f>HYPERLINK("https://twitter.com/ricaricaricha","@ricaricaricha")</f>
        <v>@ricaricaricha</v>
      </c>
      <c r="C37875" t="s">
        <v>12396</v>
      </c>
      <c r="D37875">
        <v>0</v>
      </c>
      <c r="E37875">
        <v>0</v>
      </c>
      <c r="F37875">
        <v>244</v>
      </c>
    </row>
    <row r="37876" spans="1:6" ht="12.75">
      <c r="A37876" s="2">
        <v>43875.010208333333</v>
      </c>
      <c r="B37876" t="str">
        <f>HYPERLINK("https://twitter.com/ESitohag","@ESitohag")</f>
        <v>@ESitohag</v>
      </c>
      <c r="C37876" t="s">
        <v>15543</v>
      </c>
      <c r="D37876">
        <v>0</v>
      </c>
      <c r="E37876">
        <v>0</v>
      </c>
      <c r="F37876">
        <v>1820</v>
      </c>
    </row>
    <row r="37877" spans="1:6" ht="12.75">
      <c r="A37877" s="2">
        <v>43875.009942129633</v>
      </c>
      <c r="B37877" t="str">
        <f>HYPERLINK("https://twitter.com/Umar16287409","@Umar16287409")</f>
        <v>@Umar16287409</v>
      </c>
      <c r="C37877" t="s">
        <v>15544</v>
      </c>
      <c r="D37877">
        <v>0</v>
      </c>
      <c r="E37877">
        <v>0</v>
      </c>
      <c r="F37877">
        <v>39</v>
      </c>
    </row>
    <row r="37878" spans="1:6" ht="12.75">
      <c r="A37878" s="2">
        <v>43875.009826388894</v>
      </c>
      <c r="B37878" t="str">
        <f>HYPERLINK("https://twitter.com/paquitacumadebu","@paquitacumadebu")</f>
        <v>@paquitacumadebu</v>
      </c>
      <c r="C37878" t="s">
        <v>11425</v>
      </c>
      <c r="D37878">
        <v>169</v>
      </c>
      <c r="E37878">
        <v>0</v>
      </c>
      <c r="F37878">
        <v>1695</v>
      </c>
    </row>
    <row r="37879" spans="1:6" ht="12.75">
      <c r="A37879" s="2">
        <v>43875.00944444444</v>
      </c>
      <c r="B37879" t="str">
        <f>HYPERLINK("https://twitter.com/dianarostanti","@dianarostanti")</f>
        <v>@dianarostanti</v>
      </c>
      <c r="C37879" t="s">
        <v>7803</v>
      </c>
      <c r="D37879">
        <v>287</v>
      </c>
      <c r="E37879">
        <v>0</v>
      </c>
      <c r="F37879">
        <v>4</v>
      </c>
    </row>
    <row r="37880" spans="1:6" ht="12.75">
      <c r="A37880" s="2">
        <v>43875.009293981479</v>
      </c>
      <c r="B37880" t="str">
        <f>HYPERLINK("https://twitter.com/Cahkuwut","@Cahkuwut")</f>
        <v>@Cahkuwut</v>
      </c>
      <c r="C37880" t="s">
        <v>13315</v>
      </c>
      <c r="D37880">
        <v>46</v>
      </c>
      <c r="E37880">
        <v>0</v>
      </c>
      <c r="F37880">
        <v>606</v>
      </c>
    </row>
    <row r="37881" spans="1:6" ht="12.75">
      <c r="A37881" s="2">
        <v>43875.009212962963</v>
      </c>
      <c r="B37881" t="str">
        <f>HYPERLINK("https://twitter.com/ratnidp","@ratnidp")</f>
        <v>@ratnidp</v>
      </c>
      <c r="C37881" t="s">
        <v>10266</v>
      </c>
      <c r="D37881">
        <v>243</v>
      </c>
      <c r="E37881">
        <v>0</v>
      </c>
      <c r="F37881">
        <v>1276</v>
      </c>
    </row>
    <row r="37882" spans="1:6" ht="12.75">
      <c r="A37882" s="2">
        <v>43875.009097222224</v>
      </c>
      <c r="B37882" t="str">
        <f>HYPERLINK("https://twitter.com/nana040461","@nana040461")</f>
        <v>@nana040461</v>
      </c>
      <c r="C37882" t="s">
        <v>10207</v>
      </c>
      <c r="D37882">
        <v>32</v>
      </c>
      <c r="E37882">
        <v>0</v>
      </c>
      <c r="F37882">
        <v>1822</v>
      </c>
    </row>
    <row r="37883" spans="1:6" ht="12.75">
      <c r="A37883" s="2">
        <v>43875.008993055555</v>
      </c>
      <c r="B37883" t="str">
        <f>HYPERLINK("https://twitter.com/trueblue27_","@trueblue27_")</f>
        <v>@trueblue27_</v>
      </c>
      <c r="C37883" t="s">
        <v>7803</v>
      </c>
      <c r="D37883">
        <v>287</v>
      </c>
      <c r="E37883">
        <v>0</v>
      </c>
      <c r="F37883">
        <v>409</v>
      </c>
    </row>
    <row r="37884" spans="1:6" ht="12.75">
      <c r="A37884" s="2">
        <v>43875.008993055555</v>
      </c>
      <c r="B37884" t="str">
        <f>HYPERLINK("https://twitter.com/mufashi","@mufashi")</f>
        <v>@mufashi</v>
      </c>
      <c r="C37884" t="s">
        <v>15545</v>
      </c>
      <c r="D37884">
        <v>1</v>
      </c>
      <c r="E37884">
        <v>0</v>
      </c>
      <c r="F37884">
        <v>1018</v>
      </c>
    </row>
    <row r="37885" spans="1:6" ht="12.75">
      <c r="A37885" s="2">
        <v>43875.008969907409</v>
      </c>
      <c r="B37885" t="str">
        <f>HYPERLINK("https://twitter.com/abonbabi","@abonbabi")</f>
        <v>@abonbabi</v>
      </c>
      <c r="C37885" t="s">
        <v>13035</v>
      </c>
      <c r="D37885">
        <v>6</v>
      </c>
      <c r="E37885">
        <v>0</v>
      </c>
      <c r="F37885">
        <v>511</v>
      </c>
    </row>
    <row r="37886" spans="1:6" ht="12.75">
      <c r="A37886" s="2">
        <v>43875.008587962962</v>
      </c>
      <c r="B37886" t="str">
        <f>HYPERLINK("https://twitter.com/FloDeQueen","@FloDeQueen")</f>
        <v>@FloDeQueen</v>
      </c>
      <c r="C37886" t="s">
        <v>15546</v>
      </c>
      <c r="D37886">
        <v>1</v>
      </c>
      <c r="E37886">
        <v>4</v>
      </c>
      <c r="F37886">
        <v>2685</v>
      </c>
    </row>
    <row r="37887" spans="1:6" ht="12.75">
      <c r="A37887" s="2">
        <v>43875.008275462962</v>
      </c>
      <c r="B37887" t="str">
        <f>HYPERLINK("https://twitter.com/ray_slamet","@ray_slamet")</f>
        <v>@ray_slamet</v>
      </c>
      <c r="C37887" t="s">
        <v>10126</v>
      </c>
      <c r="D37887">
        <v>56</v>
      </c>
      <c r="E37887">
        <v>0</v>
      </c>
      <c r="F37887">
        <v>845</v>
      </c>
    </row>
    <row r="37888" spans="1:6" ht="12.75">
      <c r="A37888" s="2">
        <v>43875.008194444439</v>
      </c>
      <c r="B37888" t="str">
        <f>HYPERLINK("https://twitter.com/nik3_902000yaho","@nik3_902000yaho")</f>
        <v>@nik3_902000yaho</v>
      </c>
      <c r="C37888" t="s">
        <v>9947</v>
      </c>
      <c r="D37888">
        <v>308</v>
      </c>
      <c r="E37888">
        <v>0</v>
      </c>
      <c r="F37888">
        <v>24</v>
      </c>
    </row>
    <row r="37889" spans="1:6" ht="12.75">
      <c r="A37889" s="2">
        <v>43875.008055555554</v>
      </c>
      <c r="B37889" t="str">
        <f>HYPERLINK("https://twitter.com/AstoetiS","@AstoetiS")</f>
        <v>@AstoetiS</v>
      </c>
      <c r="C37889" t="s">
        <v>9947</v>
      </c>
      <c r="D37889">
        <v>308</v>
      </c>
      <c r="E37889">
        <v>0</v>
      </c>
      <c r="F37889">
        <v>1</v>
      </c>
    </row>
    <row r="37890" spans="1:6" ht="12.75">
      <c r="A37890" s="2">
        <v>43875.007962962962</v>
      </c>
      <c r="B37890" t="str">
        <f>HYPERLINK("https://twitter.com/dedisagala24","@dedisagala24")</f>
        <v>@dedisagala24</v>
      </c>
      <c r="C37890" t="s">
        <v>9096</v>
      </c>
      <c r="D37890">
        <v>127</v>
      </c>
      <c r="E37890">
        <v>0</v>
      </c>
      <c r="F37890">
        <v>1621</v>
      </c>
    </row>
    <row r="37891" spans="1:6" ht="12.75">
      <c r="A37891" s="2">
        <v>43875.007789351846</v>
      </c>
      <c r="B37891" t="str">
        <f>HYPERLINK("https://twitter.com/jaya1perkasa","@jaya1perkasa")</f>
        <v>@jaya1perkasa</v>
      </c>
      <c r="C37891" t="s">
        <v>15547</v>
      </c>
      <c r="D37891">
        <v>14</v>
      </c>
      <c r="E37891">
        <v>0</v>
      </c>
      <c r="F37891">
        <v>616</v>
      </c>
    </row>
    <row r="37892" spans="1:6" ht="12.75">
      <c r="A37892" s="2">
        <v>43875.007638888885</v>
      </c>
      <c r="B37892" t="str">
        <f>HYPERLINK("https://twitter.com/Epoynono","@Epoynono")</f>
        <v>@Epoynono</v>
      </c>
      <c r="C37892" t="s">
        <v>11733</v>
      </c>
      <c r="D37892">
        <v>64</v>
      </c>
      <c r="E37892">
        <v>0</v>
      </c>
      <c r="F37892">
        <v>271</v>
      </c>
    </row>
    <row r="37893" spans="1:6" ht="12.75">
      <c r="A37893" s="2">
        <v>43875.007557870369</v>
      </c>
      <c r="B37893" t="str">
        <f>HYPERLINK("https://twitter.com/rnamidub","@rnamidub")</f>
        <v>@rnamidub</v>
      </c>
      <c r="C37893" t="s">
        <v>2444</v>
      </c>
      <c r="D37893">
        <v>49</v>
      </c>
      <c r="E37893">
        <v>0</v>
      </c>
      <c r="F37893">
        <v>452</v>
      </c>
    </row>
    <row r="37894" spans="1:6" ht="12.75">
      <c r="A37894" s="2">
        <v>43875.0075462963</v>
      </c>
      <c r="B37894" t="str">
        <f>HYPERLINK("https://twitter.com/MasboyyBoy","@MasboyyBoy")</f>
        <v>@MasboyyBoy</v>
      </c>
      <c r="C37894" t="s">
        <v>15229</v>
      </c>
      <c r="D37894">
        <v>3</v>
      </c>
      <c r="E37894">
        <v>0</v>
      </c>
      <c r="F37894">
        <v>38</v>
      </c>
    </row>
    <row r="37895" spans="1:6" ht="12.75">
      <c r="A37895" s="2">
        <v>43875.0075</v>
      </c>
      <c r="B37895" t="str">
        <f>HYPERLINK("https://twitter.com/AlfredoDeBocori","@AlfredoDeBocori")</f>
        <v>@AlfredoDeBocori</v>
      </c>
      <c r="C37895" t="s">
        <v>12940</v>
      </c>
      <c r="D37895">
        <v>92</v>
      </c>
      <c r="E37895">
        <v>0</v>
      </c>
      <c r="F37895">
        <v>674</v>
      </c>
    </row>
    <row r="37896" spans="1:6" ht="12.75">
      <c r="A37896" s="2">
        <v>43875.007465277777</v>
      </c>
      <c r="B37896" t="str">
        <f>HYPERLINK("https://twitter.com/icboemi","@icboemi")</f>
        <v>@icboemi</v>
      </c>
      <c r="C37896" t="s">
        <v>12612</v>
      </c>
      <c r="D37896">
        <v>11</v>
      </c>
      <c r="E37896">
        <v>0</v>
      </c>
      <c r="F37896">
        <v>345</v>
      </c>
    </row>
    <row r="37897" spans="1:6" ht="12.75">
      <c r="A37897" s="2">
        <v>43875.00744212963</v>
      </c>
      <c r="B37897" t="str">
        <f>HYPERLINK("https://twitter.com/Instantkharma","@Instantkharma")</f>
        <v>@Instantkharma</v>
      </c>
      <c r="C37897" t="s">
        <v>15277</v>
      </c>
      <c r="D37897">
        <v>69</v>
      </c>
      <c r="E37897">
        <v>0</v>
      </c>
      <c r="F37897">
        <v>464</v>
      </c>
    </row>
    <row r="37898" spans="1:6" ht="12.75">
      <c r="A37898" s="2">
        <v>43875.007418981477</v>
      </c>
      <c r="B37898" t="str">
        <f>HYPERLINK("https://twitter.com/jodi_wirawan","@jodi_wirawan")</f>
        <v>@jodi_wirawan</v>
      </c>
      <c r="C37898" t="s">
        <v>12493</v>
      </c>
      <c r="D37898">
        <v>7</v>
      </c>
      <c r="E37898">
        <v>0</v>
      </c>
      <c r="F37898">
        <v>150</v>
      </c>
    </row>
    <row r="37899" spans="1:6" ht="12.75">
      <c r="A37899" s="2">
        <v>43875.007418981477</v>
      </c>
      <c r="B37899" t="str">
        <f>HYPERLINK("https://twitter.com/hafidzahzah","@hafidzahzah")</f>
        <v>@hafidzahzah</v>
      </c>
      <c r="C37899" t="s">
        <v>15548</v>
      </c>
      <c r="D37899">
        <v>0</v>
      </c>
      <c r="E37899">
        <v>0</v>
      </c>
      <c r="F37899">
        <v>39</v>
      </c>
    </row>
    <row r="37900" spans="1:6" ht="12.75">
      <c r="A37900" s="2">
        <v>43875.007384259261</v>
      </c>
      <c r="B37900" t="str">
        <f>HYPERLINK("https://twitter.com/IshakSitorus","@IshakSitorus")</f>
        <v>@IshakSitorus</v>
      </c>
      <c r="C37900" t="s">
        <v>2122</v>
      </c>
      <c r="D37900">
        <v>163</v>
      </c>
      <c r="E37900">
        <v>0</v>
      </c>
      <c r="F37900">
        <v>114</v>
      </c>
    </row>
    <row r="37901" spans="1:6" ht="12.75">
      <c r="A37901" s="2">
        <v>43875.007164351853</v>
      </c>
      <c r="B37901" t="str">
        <f>HYPERLINK("https://twitter.com/AceAstarot","@AceAstarot")</f>
        <v>@AceAstarot</v>
      </c>
      <c r="C37901" t="s">
        <v>15549</v>
      </c>
      <c r="D37901">
        <v>0</v>
      </c>
      <c r="E37901">
        <v>0</v>
      </c>
      <c r="F37901">
        <v>10</v>
      </c>
    </row>
    <row r="37902" spans="1:6" ht="12.75">
      <c r="A37902" s="2">
        <v>43875.007118055553</v>
      </c>
      <c r="B37902" t="str">
        <f>HYPERLINK("https://twitter.com/dedisagala24","@dedisagala24")</f>
        <v>@dedisagala24</v>
      </c>
      <c r="C37902" t="s">
        <v>14005</v>
      </c>
      <c r="D37902">
        <v>83</v>
      </c>
      <c r="E37902">
        <v>0</v>
      </c>
      <c r="F37902">
        <v>1621</v>
      </c>
    </row>
    <row r="37903" spans="1:6" ht="12.75">
      <c r="A37903" s="2">
        <v>43875.006863425922</v>
      </c>
      <c r="B37903" t="str">
        <f>HYPERLINK("https://twitter.com/fbangapadang","@fbangapadang")</f>
        <v>@fbangapadang</v>
      </c>
      <c r="C37903" t="s">
        <v>10330</v>
      </c>
      <c r="D37903">
        <v>184</v>
      </c>
      <c r="E37903">
        <v>0</v>
      </c>
      <c r="F37903">
        <v>1147</v>
      </c>
    </row>
    <row r="37904" spans="1:6" ht="12.75">
      <c r="A37904" s="2">
        <v>43875.006828703699</v>
      </c>
      <c r="B37904" t="str">
        <f>HYPERLINK("https://twitter.com/qwertyudom","@qwertyudom")</f>
        <v>@qwertyudom</v>
      </c>
      <c r="C37904" t="s">
        <v>5168</v>
      </c>
      <c r="D37904">
        <v>328</v>
      </c>
      <c r="E37904">
        <v>0</v>
      </c>
      <c r="F37904">
        <v>18</v>
      </c>
    </row>
    <row r="37905" spans="1:6" ht="12.75">
      <c r="A37905" s="2">
        <v>43875.00675925926</v>
      </c>
      <c r="B37905" t="str">
        <f>HYPERLINK("https://twitter.com/roi_chakep","@roi_chakep")</f>
        <v>@roi_chakep</v>
      </c>
      <c r="C37905" t="s">
        <v>15550</v>
      </c>
      <c r="D37905">
        <v>0</v>
      </c>
      <c r="E37905">
        <v>0</v>
      </c>
      <c r="F37905">
        <v>85</v>
      </c>
    </row>
    <row r="37906" spans="1:6" ht="12.75">
      <c r="A37906" s="2">
        <v>43875.006736111114</v>
      </c>
      <c r="B37906" t="str">
        <f>HYPERLINK("https://twitter.com/svargadrinks","@svargadrinks")</f>
        <v>@svargadrinks</v>
      </c>
      <c r="C37906" t="s">
        <v>10526</v>
      </c>
      <c r="D37906">
        <v>92</v>
      </c>
      <c r="E37906">
        <v>0</v>
      </c>
      <c r="F37906">
        <v>26</v>
      </c>
    </row>
    <row r="37907" spans="1:6" ht="12.75">
      <c r="A37907" s="2">
        <v>43875.006620370375</v>
      </c>
      <c r="B37907" t="str">
        <f>HYPERLINK("https://twitter.com/KoboiBengek","@KoboiBengek")</f>
        <v>@KoboiBengek</v>
      </c>
      <c r="C37907" t="s">
        <v>14943</v>
      </c>
      <c r="D37907">
        <v>4</v>
      </c>
      <c r="E37907">
        <v>0</v>
      </c>
      <c r="F37907">
        <v>2272</v>
      </c>
    </row>
    <row r="37908" spans="1:6" ht="12.75">
      <c r="A37908" s="2">
        <v>43875.006585648152</v>
      </c>
      <c r="B37908" t="str">
        <f>HYPERLINK("https://twitter.com/pour71","@pour71")</f>
        <v>@pour71</v>
      </c>
      <c r="C37908" t="s">
        <v>15551</v>
      </c>
      <c r="D37908">
        <v>3</v>
      </c>
      <c r="E37908">
        <v>0</v>
      </c>
      <c r="F37908">
        <v>409</v>
      </c>
    </row>
    <row r="37909" spans="1:6" ht="12.75">
      <c r="A37909" s="2">
        <v>43875.006493055553</v>
      </c>
      <c r="B37909" t="str">
        <f>HYPERLINK("https://twitter.com/barkahjogis","@barkahjogis")</f>
        <v>@barkahjogis</v>
      </c>
      <c r="C37909" t="s">
        <v>68</v>
      </c>
      <c r="D37909">
        <v>0</v>
      </c>
      <c r="E37909">
        <v>0</v>
      </c>
      <c r="F37909">
        <v>359</v>
      </c>
    </row>
    <row r="37910" spans="1:6" ht="12.75">
      <c r="A37910" s="2">
        <v>43875.006435185191</v>
      </c>
      <c r="B37910" t="str">
        <f>HYPERLINK("https://twitter.com/MonoKaritas","@MonoKaritas")</f>
        <v>@MonoKaritas</v>
      </c>
      <c r="C37910" t="s">
        <v>15552</v>
      </c>
      <c r="D37910">
        <v>1</v>
      </c>
      <c r="E37910">
        <v>0</v>
      </c>
      <c r="F37910">
        <v>278</v>
      </c>
    </row>
    <row r="37911" spans="1:6" ht="12.75">
      <c r="A37911" s="2">
        <v>43875.006388888884</v>
      </c>
      <c r="B37911" t="str">
        <f>HYPERLINK("https://twitter.com/inishabrina","@inishabrina")</f>
        <v>@inishabrina</v>
      </c>
      <c r="C37911" t="s">
        <v>175</v>
      </c>
      <c r="D37911">
        <v>5209</v>
      </c>
      <c r="E37911">
        <v>0</v>
      </c>
      <c r="F37911">
        <v>7</v>
      </c>
    </row>
    <row r="37912" spans="1:6" ht="12.75">
      <c r="A37912" s="2">
        <v>43875.006365740745</v>
      </c>
      <c r="B37912" t="str">
        <f>HYPERLINK("https://twitter.com/manikunique","@manikunique")</f>
        <v>@manikunique</v>
      </c>
      <c r="C37912" t="s">
        <v>15553</v>
      </c>
      <c r="D37912">
        <v>0</v>
      </c>
      <c r="E37912">
        <v>0</v>
      </c>
      <c r="F37912">
        <v>134</v>
      </c>
    </row>
    <row r="37913" spans="1:6" ht="12.75">
      <c r="A37913" s="2">
        <v>43875.006354166668</v>
      </c>
      <c r="B37913" t="str">
        <f>HYPERLINK("https://twitter.com/MonoKaritas","@MonoKaritas")</f>
        <v>@MonoKaritas</v>
      </c>
      <c r="C37913" t="s">
        <v>15554</v>
      </c>
      <c r="D37913">
        <v>4</v>
      </c>
      <c r="E37913">
        <v>0</v>
      </c>
      <c r="F37913">
        <v>278</v>
      </c>
    </row>
    <row r="37914" spans="1:6" ht="12.75">
      <c r="A37914" s="2">
        <v>43875.006203703699</v>
      </c>
      <c r="B37914" t="str">
        <f>HYPERLINK("https://twitter.com/fbangapadang","@fbangapadang")</f>
        <v>@fbangapadang</v>
      </c>
      <c r="C37914" t="s">
        <v>10542</v>
      </c>
      <c r="D37914">
        <v>120</v>
      </c>
      <c r="E37914">
        <v>0</v>
      </c>
      <c r="F37914">
        <v>1147</v>
      </c>
    </row>
    <row r="37915" spans="1:6" ht="12.75">
      <c r="A37915" s="2">
        <v>43875.00608796296</v>
      </c>
      <c r="B37915" t="str">
        <f>HYPERLINK("https://twitter.com/pour71","@pour71")</f>
        <v>@pour71</v>
      </c>
      <c r="C37915" t="s">
        <v>14248</v>
      </c>
      <c r="D37915">
        <v>63</v>
      </c>
      <c r="E37915">
        <v>0</v>
      </c>
      <c r="F37915">
        <v>409</v>
      </c>
    </row>
    <row r="37916" spans="1:6" ht="12.75">
      <c r="A37916" s="2">
        <v>43875.006064814814</v>
      </c>
      <c r="B37916" t="str">
        <f>HYPERLINK("https://twitter.com/__beritaterkini","@__beritaterkini")</f>
        <v>@__beritaterkini</v>
      </c>
      <c r="C37916" t="s">
        <v>69</v>
      </c>
      <c r="D37916">
        <v>0</v>
      </c>
      <c r="E37916">
        <v>0</v>
      </c>
      <c r="F37916">
        <v>414</v>
      </c>
    </row>
    <row r="37917" spans="1:6" ht="12.75">
      <c r="A37917" s="2">
        <v>43875.005995370375</v>
      </c>
      <c r="B37917" t="str">
        <f>HYPERLINK("https://twitter.com/babgei1971","@babgei1971")</f>
        <v>@babgei1971</v>
      </c>
      <c r="C37917" t="s">
        <v>15555</v>
      </c>
      <c r="D37917">
        <v>0</v>
      </c>
      <c r="E37917">
        <v>1</v>
      </c>
      <c r="F37917">
        <v>588</v>
      </c>
    </row>
    <row r="37918" spans="1:6" ht="12.75">
      <c r="A37918" s="2">
        <v>43875.005949074075</v>
      </c>
      <c r="B37918" t="str">
        <f>HYPERLINK("https://twitter.com/KeyfaraQ","@KeyfaraQ")</f>
        <v>@KeyfaraQ</v>
      </c>
      <c r="C37918" t="s">
        <v>15556</v>
      </c>
      <c r="D37918">
        <v>0</v>
      </c>
      <c r="E37918">
        <v>0</v>
      </c>
      <c r="F37918">
        <v>794</v>
      </c>
    </row>
    <row r="37919" spans="1:6" ht="12.75">
      <c r="A37919" s="2">
        <v>43875.005937499998</v>
      </c>
      <c r="B37919" t="str">
        <f>HYPERLINK("https://twitter.com/Erwin60778595","@Erwin60778595")</f>
        <v>@Erwin60778595</v>
      </c>
      <c r="C37919" t="s">
        <v>15557</v>
      </c>
      <c r="D37919">
        <v>0</v>
      </c>
      <c r="E37919">
        <v>0</v>
      </c>
      <c r="F37919">
        <v>18</v>
      </c>
    </row>
    <row r="37920" spans="1:6" ht="12.75">
      <c r="A37920" s="2">
        <v>43875.005868055552</v>
      </c>
      <c r="B37920" t="str">
        <f>HYPERLINK("https://twitter.com/bngkhrnnsy","@bngkhrnnsy")</f>
        <v>@bngkhrnnsy</v>
      </c>
      <c r="C37920" t="s">
        <v>175</v>
      </c>
      <c r="D37920">
        <v>5209</v>
      </c>
      <c r="E37920">
        <v>0</v>
      </c>
      <c r="F37920">
        <v>595</v>
      </c>
    </row>
    <row r="37921" spans="1:6" ht="12.75">
      <c r="A37921" s="2">
        <v>43875.005787037036</v>
      </c>
      <c r="B37921" t="str">
        <f>HYPERLINK("https://twitter.com/ErickPapua","@ErickPapua")</f>
        <v>@ErickPapua</v>
      </c>
      <c r="C37921" t="s">
        <v>9113</v>
      </c>
      <c r="D37921">
        <v>227</v>
      </c>
      <c r="E37921">
        <v>0</v>
      </c>
      <c r="F37921">
        <v>946</v>
      </c>
    </row>
    <row r="37922" spans="1:6" ht="12.75">
      <c r="A37922" s="2">
        <v>43875.005787037036</v>
      </c>
      <c r="B37922" t="str">
        <f>HYPERLINK("https://twitter.com/shinichikudo991","@shinichikudo991")</f>
        <v>@shinichikudo991</v>
      </c>
      <c r="C37922" t="s">
        <v>11954</v>
      </c>
      <c r="D37922">
        <v>42</v>
      </c>
      <c r="E37922">
        <v>0</v>
      </c>
      <c r="F37922">
        <v>5742</v>
      </c>
    </row>
    <row r="37923" spans="1:6" ht="12.75">
      <c r="A37923" s="2">
        <v>43875.005682870367</v>
      </c>
      <c r="B37923" t="str">
        <f>HYPERLINK("https://twitter.com/TVNDRN","@TVNDRN")</f>
        <v>@TVNDRN</v>
      </c>
      <c r="C37923" t="s">
        <v>15558</v>
      </c>
      <c r="D37923">
        <v>26</v>
      </c>
      <c r="E37923">
        <v>0</v>
      </c>
      <c r="F37923">
        <v>757</v>
      </c>
    </row>
    <row r="37924" spans="1:6" ht="12.75">
      <c r="A37924" s="2">
        <v>43875.005659722221</v>
      </c>
      <c r="B37924" t="str">
        <f>HYPERLINK("https://twitter.com/Freeman231103","@Freeman231103")</f>
        <v>@Freeman231103</v>
      </c>
      <c r="C37924" t="s">
        <v>12600</v>
      </c>
      <c r="D37924">
        <v>14</v>
      </c>
      <c r="E37924">
        <v>0</v>
      </c>
      <c r="F37924">
        <v>49</v>
      </c>
    </row>
    <row r="37925" spans="1:6" ht="12.75">
      <c r="A37925" s="2">
        <v>43875.005625000005</v>
      </c>
      <c r="B37925" t="str">
        <f>HYPERLINK("https://twitter.com/Paulus_willy","@Paulus_willy")</f>
        <v>@Paulus_willy</v>
      </c>
      <c r="C37925" t="s">
        <v>5624</v>
      </c>
      <c r="D37925">
        <v>105</v>
      </c>
      <c r="E37925">
        <v>0</v>
      </c>
      <c r="F37925">
        <v>1520</v>
      </c>
    </row>
    <row r="37926" spans="1:6" ht="12.75">
      <c r="A37926" s="2">
        <v>43875.005578703705</v>
      </c>
      <c r="B37926" t="str">
        <f>HYPERLINK("https://twitter.com/Prasriandi","@Prasriandi")</f>
        <v>@Prasriandi</v>
      </c>
      <c r="C37926" t="s">
        <v>5168</v>
      </c>
      <c r="D37926">
        <v>328</v>
      </c>
      <c r="E37926">
        <v>0</v>
      </c>
      <c r="F37926">
        <v>824</v>
      </c>
    </row>
    <row r="37927" spans="1:6" ht="12.75">
      <c r="A37927" s="2">
        <v>43875.005567129629</v>
      </c>
      <c r="B37927" t="str">
        <f>HYPERLINK("https://twitter.com/pour71","@pour71")</f>
        <v>@pour71</v>
      </c>
      <c r="C37927" t="s">
        <v>7803</v>
      </c>
      <c r="D37927">
        <v>287</v>
      </c>
      <c r="E37927">
        <v>0</v>
      </c>
      <c r="F37927">
        <v>409</v>
      </c>
    </row>
    <row r="37928" spans="1:6" ht="12.75">
      <c r="A37928" s="2">
        <v>43875.005532407406</v>
      </c>
      <c r="B37928" t="str">
        <f>HYPERLINK("https://twitter.com/itsmeheIIo","@itsmeheIIo")</f>
        <v>@itsmeheIIo</v>
      </c>
      <c r="C37928" t="s">
        <v>5168</v>
      </c>
      <c r="D37928">
        <v>328</v>
      </c>
      <c r="E37928">
        <v>0</v>
      </c>
      <c r="F37928">
        <v>89</v>
      </c>
    </row>
    <row r="37929" spans="1:6" ht="12.75">
      <c r="A37929" s="2">
        <v>43875.005324074074</v>
      </c>
      <c r="B37929" t="str">
        <f>HYPERLINK("https://twitter.com/hilariouswibi","@hilariouswibi")</f>
        <v>@hilariouswibi</v>
      </c>
      <c r="C37929" t="s">
        <v>9186</v>
      </c>
      <c r="D37929">
        <v>94</v>
      </c>
      <c r="E37929">
        <v>0</v>
      </c>
      <c r="F37929">
        <v>181</v>
      </c>
    </row>
    <row r="37930" spans="1:6" ht="12.75">
      <c r="A37930" s="2">
        <v>43875.005219907413</v>
      </c>
      <c r="B37930" t="str">
        <f>HYPERLINK("https://twitter.com/Thumbna24587423","@Thumbna24587423")</f>
        <v>@Thumbna24587423</v>
      </c>
      <c r="C37930" t="s">
        <v>15070</v>
      </c>
      <c r="D37930">
        <v>14</v>
      </c>
      <c r="E37930">
        <v>0</v>
      </c>
      <c r="F37930">
        <v>569</v>
      </c>
    </row>
    <row r="37931" spans="1:6" ht="12.75">
      <c r="A37931" s="2">
        <v>43875.005173611113</v>
      </c>
      <c r="B37931" t="str">
        <f>HYPERLINK("https://twitter.com/nik3_902000yaho","@nik3_902000yaho")</f>
        <v>@nik3_902000yaho</v>
      </c>
      <c r="C37931" t="s">
        <v>2122</v>
      </c>
      <c r="D37931">
        <v>163</v>
      </c>
      <c r="E37931">
        <v>0</v>
      </c>
      <c r="F37931">
        <v>24</v>
      </c>
    </row>
    <row r="37932" spans="1:6" ht="12.75">
      <c r="A37932" s="2">
        <v>43875.005150462966</v>
      </c>
      <c r="B37932" t="str">
        <f>HYPERLINK("https://twitter.com/DenBagus1878","@DenBagus1878")</f>
        <v>@DenBagus1878</v>
      </c>
      <c r="C37932" t="s">
        <v>15559</v>
      </c>
      <c r="D37932">
        <v>0</v>
      </c>
      <c r="E37932">
        <v>0</v>
      </c>
      <c r="F37932">
        <v>31</v>
      </c>
    </row>
    <row r="37933" spans="1:6" ht="12.75">
      <c r="A37933" s="2">
        <v>43875.005115740743</v>
      </c>
      <c r="B37933" t="str">
        <f>HYPERLINK("https://twitter.com/MonoKaritas","@MonoKaritas")</f>
        <v>@MonoKaritas</v>
      </c>
      <c r="C37933" t="s">
        <v>13563</v>
      </c>
      <c r="D37933">
        <v>61</v>
      </c>
      <c r="E37933">
        <v>0</v>
      </c>
      <c r="F37933">
        <v>278</v>
      </c>
    </row>
    <row r="37934" spans="1:6" ht="12.75">
      <c r="A37934" s="2">
        <v>43875.005057870367</v>
      </c>
      <c r="B37934" t="str">
        <f>HYPERLINK("https://twitter.com/cici_ds","@cici_ds")</f>
        <v>@cici_ds</v>
      </c>
      <c r="C37934" t="s">
        <v>175</v>
      </c>
      <c r="D37934">
        <v>5209</v>
      </c>
      <c r="E37934">
        <v>0</v>
      </c>
      <c r="F37934">
        <v>456</v>
      </c>
    </row>
    <row r="37935" spans="1:6" ht="12.75">
      <c r="A37935" s="2">
        <v>43875.005000000005</v>
      </c>
      <c r="B37935" t="str">
        <f>HYPERLINK("https://twitter.com/EdiKemput","@EdiKemput")</f>
        <v>@EdiKemput</v>
      </c>
      <c r="C37935" t="s">
        <v>10207</v>
      </c>
      <c r="D37935">
        <v>32</v>
      </c>
      <c r="E37935">
        <v>0</v>
      </c>
      <c r="F37935">
        <v>1760</v>
      </c>
    </row>
    <row r="37936" spans="1:6" ht="12.75">
      <c r="A37936" s="2">
        <v>43875.004976851851</v>
      </c>
      <c r="B37936" t="str">
        <f>HYPERLINK("https://twitter.com/Irwangu38569435","@Irwangu38569435")</f>
        <v>@Irwangu38569435</v>
      </c>
      <c r="C37936" t="s">
        <v>15560</v>
      </c>
      <c r="D37936">
        <v>1</v>
      </c>
      <c r="E37936">
        <v>0</v>
      </c>
      <c r="F37936">
        <v>1</v>
      </c>
    </row>
    <row r="37937" spans="1:6" ht="12.75">
      <c r="A37937" s="2">
        <v>43875.004837962959</v>
      </c>
      <c r="B37937" t="str">
        <f>HYPERLINK("https://twitter.com/Agungradis","@Agungradis")</f>
        <v>@Agungradis</v>
      </c>
      <c r="C37937" t="s">
        <v>10687</v>
      </c>
      <c r="D37937">
        <v>773</v>
      </c>
      <c r="E37937">
        <v>0</v>
      </c>
      <c r="F37937">
        <v>233</v>
      </c>
    </row>
    <row r="37938" spans="1:6" ht="12.75">
      <c r="A37938" s="2">
        <v>43875.004699074074</v>
      </c>
      <c r="B37938" t="str">
        <f>HYPERLINK("https://twitter.com/gadisresidu_b3","@gadisresidu_b3")</f>
        <v>@gadisresidu_b3</v>
      </c>
      <c r="C37938" t="s">
        <v>15561</v>
      </c>
      <c r="D37938">
        <v>1</v>
      </c>
      <c r="E37938">
        <v>0</v>
      </c>
      <c r="F37938">
        <v>1602</v>
      </c>
    </row>
    <row r="37939" spans="1:6" ht="12.75">
      <c r="A37939" s="2">
        <v>43875.004571759258</v>
      </c>
      <c r="B37939" t="str">
        <f>HYPERLINK("https://twitter.com/andygracia80","@andygracia80")</f>
        <v>@andygracia80</v>
      </c>
      <c r="C37939" t="s">
        <v>15562</v>
      </c>
      <c r="D37939">
        <v>44</v>
      </c>
      <c r="E37939">
        <v>0</v>
      </c>
      <c r="F37939">
        <v>207</v>
      </c>
    </row>
    <row r="37940" spans="1:6" ht="12.75">
      <c r="A37940" s="2">
        <v>43875.004513888889</v>
      </c>
      <c r="B37940" t="str">
        <f>HYPERLINK("https://twitter.com/UnyuBack","@UnyuBack")</f>
        <v>@UnyuBack</v>
      </c>
      <c r="C37940" t="s">
        <v>15563</v>
      </c>
      <c r="D37940">
        <v>0</v>
      </c>
      <c r="E37940">
        <v>0</v>
      </c>
      <c r="F37940">
        <v>941</v>
      </c>
    </row>
    <row r="37941" spans="1:6" ht="12.75">
      <c r="A37941" s="2">
        <v>43875.004467592589</v>
      </c>
      <c r="B37941" t="str">
        <f>HYPERLINK("https://twitter.com/MonoKaritas","@MonoKaritas")</f>
        <v>@MonoKaritas</v>
      </c>
      <c r="C37941" t="s">
        <v>13554</v>
      </c>
      <c r="D37941">
        <v>47</v>
      </c>
      <c r="E37941">
        <v>0</v>
      </c>
      <c r="F37941">
        <v>278</v>
      </c>
    </row>
    <row r="37942" spans="1:6" ht="12.75">
      <c r="A37942" s="2">
        <v>43875.004432870366</v>
      </c>
      <c r="B37942" t="str">
        <f>HYPERLINK("https://twitter.com/PengarangPublik","@PengarangPublik")</f>
        <v>@PengarangPublik</v>
      </c>
      <c r="C37942" t="s">
        <v>15564</v>
      </c>
      <c r="D37942">
        <v>0</v>
      </c>
      <c r="E37942">
        <v>5</v>
      </c>
      <c r="F37942">
        <v>33</v>
      </c>
    </row>
    <row r="37943" spans="1:6" ht="12.75">
      <c r="A37943" s="2">
        <v>43875.004375000004</v>
      </c>
      <c r="B37943" t="str">
        <f>HYPERLINK("https://twitter.com/im_starrysky","@im_starrysky")</f>
        <v>@im_starrysky</v>
      </c>
      <c r="C37943" t="s">
        <v>10875</v>
      </c>
      <c r="D37943">
        <v>287</v>
      </c>
      <c r="E37943">
        <v>0</v>
      </c>
      <c r="F37943">
        <v>2603</v>
      </c>
    </row>
    <row r="37944" spans="1:6" ht="12.75">
      <c r="A37944" s="2">
        <v>43875.004328703704</v>
      </c>
      <c r="B37944" t="str">
        <f>HYPERLINK("https://twitter.com/nidandh","@nidandh")</f>
        <v>@nidandh</v>
      </c>
      <c r="C37944" t="s">
        <v>11167</v>
      </c>
      <c r="D37944">
        <v>150</v>
      </c>
      <c r="E37944">
        <v>0</v>
      </c>
      <c r="F37944">
        <v>695</v>
      </c>
    </row>
    <row r="37945" spans="1:6" ht="12.75">
      <c r="A37945" s="2">
        <v>43875.003935185188</v>
      </c>
      <c r="B37945" t="str">
        <f>HYPERLINK("https://twitter.com/prasetyatf","@prasetyatf")</f>
        <v>@prasetyatf</v>
      </c>
      <c r="C37945" t="s">
        <v>15565</v>
      </c>
      <c r="D37945">
        <v>0</v>
      </c>
      <c r="E37945">
        <v>0</v>
      </c>
      <c r="F37945">
        <v>4</v>
      </c>
    </row>
    <row r="37946" spans="1:6" ht="12.75">
      <c r="A37946" s="2">
        <v>43875.003877314812</v>
      </c>
      <c r="B37946" t="str">
        <f>HYPERLINK("https://twitter.com/hendri92189000","@hendri92189000")</f>
        <v>@hendri92189000</v>
      </c>
      <c r="C37946" t="s">
        <v>15566</v>
      </c>
      <c r="D37946">
        <v>1</v>
      </c>
      <c r="E37946">
        <v>2</v>
      </c>
      <c r="F37946">
        <v>3378</v>
      </c>
    </row>
    <row r="37947" spans="1:6" ht="12.75">
      <c r="A37947" s="2">
        <v>43875.003842592589</v>
      </c>
      <c r="B37947" t="str">
        <f>HYPERLINK("https://twitter.com/VIVAcoid","@VIVAcoid")</f>
        <v>@VIVAcoid</v>
      </c>
      <c r="C37947" t="s">
        <v>14436</v>
      </c>
      <c r="D37947">
        <v>4</v>
      </c>
      <c r="E37947">
        <v>0</v>
      </c>
      <c r="F37947">
        <v>4169052</v>
      </c>
    </row>
    <row r="37948" spans="1:6" ht="12.75">
      <c r="A37948" s="2">
        <v>43875.003807870366</v>
      </c>
      <c r="B37948" t="str">
        <f>HYPERLINK("https://twitter.com/EdwardRayhan","@EdwardRayhan")</f>
        <v>@EdwardRayhan</v>
      </c>
      <c r="C37948" t="s">
        <v>10319</v>
      </c>
      <c r="D37948">
        <v>139</v>
      </c>
      <c r="E37948">
        <v>0</v>
      </c>
      <c r="F37948">
        <v>9</v>
      </c>
    </row>
    <row r="37949" spans="1:6" ht="12.75">
      <c r="A37949" s="2">
        <v>43875.003761574073</v>
      </c>
      <c r="B37949" t="str">
        <f>HYPERLINK("https://twitter.com/mudha_satriya","@mudha_satriya")</f>
        <v>@mudha_satriya</v>
      </c>
      <c r="C37949" t="s">
        <v>15567</v>
      </c>
      <c r="D37949">
        <v>2</v>
      </c>
      <c r="E37949">
        <v>0</v>
      </c>
      <c r="F37949">
        <v>1878</v>
      </c>
    </row>
    <row r="37950" spans="1:6" ht="12.75">
      <c r="A37950" s="2">
        <v>43875.00372685185</v>
      </c>
      <c r="B37950" t="str">
        <f>HYPERLINK("https://twitter.com/ryubrcs","@ryubrcs")</f>
        <v>@ryubrcs</v>
      </c>
      <c r="C37950" t="s">
        <v>9947</v>
      </c>
      <c r="D37950">
        <v>308</v>
      </c>
      <c r="E37950">
        <v>0</v>
      </c>
      <c r="F37950">
        <v>1</v>
      </c>
    </row>
    <row r="37951" spans="1:6" ht="12.75">
      <c r="A37951" s="2">
        <v>43875.003692129627</v>
      </c>
      <c r="B37951" t="str">
        <f>HYPERLINK("https://twitter.com/kompetitormekdi","@kompetitormekdi")</f>
        <v>@kompetitormekdi</v>
      </c>
      <c r="C37951" t="s">
        <v>15568</v>
      </c>
      <c r="D37951">
        <v>0</v>
      </c>
      <c r="E37951">
        <v>0</v>
      </c>
      <c r="F37951">
        <v>9</v>
      </c>
    </row>
    <row r="37952" spans="1:6" ht="12.75">
      <c r="A37952" s="2">
        <v>43875.003530092596</v>
      </c>
      <c r="B37952" t="str">
        <f>HYPERLINK("https://twitter.com/vivanewscom","@vivanewscom")</f>
        <v>@vivanewscom</v>
      </c>
      <c r="C37952" t="s">
        <v>70</v>
      </c>
      <c r="D37952">
        <v>4</v>
      </c>
      <c r="E37952">
        <v>4</v>
      </c>
      <c r="F37952">
        <v>4059</v>
      </c>
    </row>
    <row r="37953" spans="1:6" ht="12.75">
      <c r="A37953" s="2">
        <v>43875.003530092596</v>
      </c>
      <c r="B37953" t="str">
        <f>HYPERLINK("https://twitter.com/H4NES234","@H4NES234")</f>
        <v>@H4NES234</v>
      </c>
      <c r="C37953" t="s">
        <v>9096</v>
      </c>
      <c r="D37953">
        <v>127</v>
      </c>
      <c r="E37953">
        <v>0</v>
      </c>
      <c r="F37953">
        <v>2214</v>
      </c>
    </row>
    <row r="37954" spans="1:6" ht="12.75">
      <c r="A37954" s="2">
        <v>43875.003518518519</v>
      </c>
      <c r="B37954" t="str">
        <f>HYPERLINK("https://twitter.com/inatamb49","@inatamb49")</f>
        <v>@inatamb49</v>
      </c>
      <c r="C37954" t="s">
        <v>9096</v>
      </c>
      <c r="D37954">
        <v>127</v>
      </c>
      <c r="E37954">
        <v>0</v>
      </c>
      <c r="F37954">
        <v>588</v>
      </c>
    </row>
    <row r="37955" spans="1:6" ht="12.75">
      <c r="A37955" s="2">
        <v>43875.003483796296</v>
      </c>
      <c r="B37955" t="str">
        <f>HYPERLINK("https://twitter.com/dededeky","@dededeky")</f>
        <v>@dededeky</v>
      </c>
      <c r="C37955" t="s">
        <v>15569</v>
      </c>
      <c r="D37955">
        <v>0</v>
      </c>
      <c r="E37955">
        <v>0</v>
      </c>
      <c r="F37955">
        <v>504</v>
      </c>
    </row>
    <row r="37956" spans="1:6" ht="12.75">
      <c r="A37956" s="2">
        <v>43875.003472222219</v>
      </c>
      <c r="B37956" t="str">
        <f>HYPERLINK("https://twitter.com/MonoKaritas","@MonoKaritas")</f>
        <v>@MonoKaritas</v>
      </c>
      <c r="C37956" t="s">
        <v>7411</v>
      </c>
      <c r="D37956">
        <v>127</v>
      </c>
      <c r="E37956">
        <v>0</v>
      </c>
      <c r="F37956">
        <v>278</v>
      </c>
    </row>
    <row r="37957" spans="1:6" ht="12.75">
      <c r="A37957" s="2">
        <v>43875.003321759257</v>
      </c>
      <c r="B37957" t="str">
        <f>HYPERLINK("https://twitter.com/suradiparlan5","@suradiparlan5")</f>
        <v>@suradiparlan5</v>
      </c>
      <c r="C37957" t="s">
        <v>14324</v>
      </c>
      <c r="D37957">
        <v>42</v>
      </c>
      <c r="E37957">
        <v>0</v>
      </c>
      <c r="F37957">
        <v>1336</v>
      </c>
    </row>
    <row r="37958" spans="1:6" ht="12.75">
      <c r="A37958" s="2">
        <v>43875.003298611111</v>
      </c>
      <c r="B37958" t="str">
        <f>HYPERLINK("https://twitter.com/DedieRuji","@DedieRuji")</f>
        <v>@DedieRuji</v>
      </c>
      <c r="C37958" t="s">
        <v>15570</v>
      </c>
      <c r="D37958">
        <v>0</v>
      </c>
      <c r="E37958">
        <v>0</v>
      </c>
      <c r="F37958">
        <v>423</v>
      </c>
    </row>
    <row r="37959" spans="1:6" ht="12.75">
      <c r="A37959" s="2">
        <v>43875.003275462965</v>
      </c>
      <c r="B37959" t="str">
        <f>HYPERLINK("https://twitter.com/eddy_AS_111","@eddy_AS_111")</f>
        <v>@eddy_AS_111</v>
      </c>
      <c r="C37959" t="s">
        <v>9947</v>
      </c>
      <c r="D37959">
        <v>308</v>
      </c>
      <c r="E37959">
        <v>0</v>
      </c>
      <c r="F37959">
        <v>201</v>
      </c>
    </row>
    <row r="37960" spans="1:6" ht="12.75">
      <c r="A37960" s="2">
        <v>43875.00309027778</v>
      </c>
      <c r="B37960" t="str">
        <f>HYPERLINK("https://twitter.com/N1ngW4ng1","@N1ngW4ng1")</f>
        <v>@N1ngW4ng1</v>
      </c>
      <c r="C37960" t="s">
        <v>15571</v>
      </c>
      <c r="D37960">
        <v>1</v>
      </c>
      <c r="E37960">
        <v>0</v>
      </c>
      <c r="F37960">
        <v>3255</v>
      </c>
    </row>
    <row r="37961" spans="1:6" ht="12.75">
      <c r="A37961" s="2">
        <v>43875.002986111111</v>
      </c>
      <c r="B37961" t="str">
        <f>HYPERLINK("https://twitter.com/suradiparlan5","@suradiparlan5")</f>
        <v>@suradiparlan5</v>
      </c>
      <c r="C37961" t="s">
        <v>10121</v>
      </c>
      <c r="D37961">
        <v>131</v>
      </c>
      <c r="E37961">
        <v>0</v>
      </c>
      <c r="F37961">
        <v>1336</v>
      </c>
    </row>
    <row r="37962" spans="1:6" ht="12.75">
      <c r="A37962" s="2">
        <v>43875.002743055556</v>
      </c>
      <c r="B37962" t="str">
        <f>HYPERLINK("https://twitter.com/NilaKencana8","@NilaKencana8")</f>
        <v>@NilaKencana8</v>
      </c>
      <c r="C37962" t="s">
        <v>15572</v>
      </c>
      <c r="D37962">
        <v>1</v>
      </c>
      <c r="E37962">
        <v>2</v>
      </c>
      <c r="F37962">
        <v>4495</v>
      </c>
    </row>
    <row r="37963" spans="1:6" ht="12.75">
      <c r="A37963" s="2">
        <v>43875.002685185187</v>
      </c>
      <c r="B37963" t="str">
        <f>HYPERLINK("https://twitter.com/saraahputtri","@saraahputtri")</f>
        <v>@saraahputtri</v>
      </c>
      <c r="C37963" t="s">
        <v>10196</v>
      </c>
      <c r="D37963">
        <v>116</v>
      </c>
      <c r="E37963">
        <v>0</v>
      </c>
      <c r="F37963">
        <v>627</v>
      </c>
    </row>
    <row r="37964" spans="1:6" ht="12.75">
      <c r="A37964" s="2">
        <v>43875.002627314811</v>
      </c>
      <c r="B37964" t="str">
        <f>HYPERLINK("https://twitter.com/mudha_satriya","@mudha_satriya")</f>
        <v>@mudha_satriya</v>
      </c>
      <c r="C37964" t="s">
        <v>13167</v>
      </c>
      <c r="D37964">
        <v>6</v>
      </c>
      <c r="E37964">
        <v>0</v>
      </c>
      <c r="F37964">
        <v>1878</v>
      </c>
    </row>
    <row r="37965" spans="1:6" ht="12.75">
      <c r="A37965" s="2">
        <v>43875.002569444448</v>
      </c>
      <c r="B37965" t="str">
        <f>HYPERLINK("https://twitter.com/threeratno","@threeratno")</f>
        <v>@threeratno</v>
      </c>
      <c r="C37965" t="s">
        <v>15573</v>
      </c>
      <c r="D37965">
        <v>0</v>
      </c>
      <c r="E37965">
        <v>1</v>
      </c>
      <c r="F37965">
        <v>161</v>
      </c>
    </row>
    <row r="37966" spans="1:6" ht="12.75">
      <c r="A37966" s="2">
        <v>43875.002569444448</v>
      </c>
      <c r="B37966" t="str">
        <f>HYPERLINK("https://twitter.com/SlametMuslim","@SlametMuslim")</f>
        <v>@SlametMuslim</v>
      </c>
      <c r="C37966" t="s">
        <v>15574</v>
      </c>
      <c r="D37966">
        <v>0</v>
      </c>
      <c r="E37966">
        <v>0</v>
      </c>
      <c r="F37966">
        <v>7464</v>
      </c>
    </row>
    <row r="37967" spans="1:6" ht="12.75">
      <c r="A37967" s="2">
        <v>43875.002442129626</v>
      </c>
      <c r="B37967" t="str">
        <f>HYPERLINK("https://twitter.com/Irwan_saputra01","@Irwan_saputra01")</f>
        <v>@Irwan_saputra01</v>
      </c>
      <c r="C37967" t="s">
        <v>71</v>
      </c>
      <c r="D37967">
        <v>0</v>
      </c>
      <c r="E37967">
        <v>0</v>
      </c>
      <c r="F37967">
        <v>91</v>
      </c>
    </row>
    <row r="37968" spans="1:6" ht="12.75">
      <c r="A37968" s="2">
        <v>43875.002407407403</v>
      </c>
      <c r="B37968" t="str">
        <f>HYPERLINK("https://twitter.com/kiyaauulL","@kiyaauulL")</f>
        <v>@kiyaauulL</v>
      </c>
      <c r="C37968" t="s">
        <v>14420</v>
      </c>
      <c r="D37968">
        <v>8</v>
      </c>
      <c r="E37968">
        <v>0</v>
      </c>
      <c r="F37968">
        <v>1123</v>
      </c>
    </row>
    <row r="37969" spans="1:6" ht="12.75">
      <c r="A37969" s="2">
        <v>43875.002337962964</v>
      </c>
      <c r="B37969" t="str">
        <f>HYPERLINK("https://twitter.com/suradiparlan5","@suradiparlan5")</f>
        <v>@suradiparlan5</v>
      </c>
      <c r="C37969" t="s">
        <v>15575</v>
      </c>
      <c r="D37969">
        <v>1</v>
      </c>
      <c r="E37969">
        <v>0</v>
      </c>
      <c r="F37969">
        <v>1336</v>
      </c>
    </row>
    <row r="37970" spans="1:6" ht="12.75">
      <c r="A37970" s="2">
        <v>43875.002233796295</v>
      </c>
      <c r="B37970" t="str">
        <f>HYPERLINK("https://twitter.com/MonoKaritas","@MonoKaritas")</f>
        <v>@MonoKaritas</v>
      </c>
      <c r="C37970" t="s">
        <v>2122</v>
      </c>
      <c r="D37970">
        <v>163</v>
      </c>
      <c r="E37970">
        <v>0</v>
      </c>
      <c r="F37970">
        <v>278</v>
      </c>
    </row>
    <row r="37971" spans="1:6" ht="12.75">
      <c r="A37971" s="2">
        <v>43875.002187499995</v>
      </c>
      <c r="B37971" t="str">
        <f>HYPERLINK("https://twitter.com/Jaga_indonesia1","@Jaga_indonesia1")</f>
        <v>@Jaga_indonesia1</v>
      </c>
      <c r="C37971" t="s">
        <v>8571</v>
      </c>
      <c r="D37971">
        <v>33</v>
      </c>
      <c r="E37971">
        <v>0</v>
      </c>
      <c r="F37971">
        <v>761</v>
      </c>
    </row>
    <row r="37972" spans="1:6" ht="12.75">
      <c r="A37972" s="2">
        <v>43875.002083333333</v>
      </c>
      <c r="B37972" t="str">
        <f>HYPERLINK("https://twitter.com/wisnu_widhiarto","@wisnu_widhiarto")</f>
        <v>@wisnu_widhiarto</v>
      </c>
      <c r="C37972" t="s">
        <v>9096</v>
      </c>
      <c r="D37972">
        <v>127</v>
      </c>
      <c r="E37972">
        <v>0</v>
      </c>
      <c r="F37972">
        <v>34</v>
      </c>
    </row>
    <row r="37973" spans="1:6" ht="12.75">
      <c r="A37973" s="2">
        <v>43875.002013888894</v>
      </c>
      <c r="B37973" t="str">
        <f>HYPERLINK("https://twitter.com/DedieRuji","@DedieRuji")</f>
        <v>@DedieRuji</v>
      </c>
      <c r="C37973" t="s">
        <v>15576</v>
      </c>
      <c r="D37973">
        <v>0</v>
      </c>
      <c r="E37973">
        <v>0</v>
      </c>
      <c r="F37973">
        <v>423</v>
      </c>
    </row>
    <row r="37974" spans="1:6" ht="12.75">
      <c r="A37974" s="2">
        <v>43875.002013888894</v>
      </c>
      <c r="B37974" t="str">
        <f>HYPERLINK("https://twitter.com/ikhwahtop","@ikhwahtop")</f>
        <v>@ikhwahtop</v>
      </c>
      <c r="C37974" t="s">
        <v>15577</v>
      </c>
      <c r="D37974">
        <v>1</v>
      </c>
      <c r="E37974">
        <v>0</v>
      </c>
      <c r="F37974">
        <v>522</v>
      </c>
    </row>
    <row r="37975" spans="1:6" ht="12.75">
      <c r="A37975" s="2">
        <v>43875.001747685186</v>
      </c>
      <c r="B37975" t="str">
        <f>HYPERLINK("https://twitter.com/ilhamhd_59","@ilhamhd_59")</f>
        <v>@ilhamhd_59</v>
      </c>
      <c r="C37975" t="s">
        <v>5168</v>
      </c>
      <c r="D37975">
        <v>328</v>
      </c>
      <c r="E37975">
        <v>0</v>
      </c>
      <c r="F37975">
        <v>64</v>
      </c>
    </row>
    <row r="37976" spans="1:6" ht="12.75">
      <c r="A37976" s="2">
        <v>43875.001435185186</v>
      </c>
      <c r="B37976" t="str">
        <f>HYPERLINK("https://twitter.com/HisbullohMuhib","@HisbullohMuhib")</f>
        <v>@HisbullohMuhib</v>
      </c>
      <c r="C37976" t="s">
        <v>15578</v>
      </c>
      <c r="D37976">
        <v>0</v>
      </c>
      <c r="E37976">
        <v>0</v>
      </c>
      <c r="F37976">
        <v>163</v>
      </c>
    </row>
    <row r="37977" spans="1:6" ht="12.75">
      <c r="A37977" s="2">
        <v>43875.001226851848</v>
      </c>
      <c r="B37977" t="str">
        <f>HYPERLINK("https://twitter.com/Sra_Isis","@Sra_Isis")</f>
        <v>@Sra_Isis</v>
      </c>
      <c r="C37977" t="s">
        <v>15579</v>
      </c>
      <c r="D37977">
        <v>0</v>
      </c>
      <c r="E37977">
        <v>2</v>
      </c>
      <c r="F37977">
        <v>171</v>
      </c>
    </row>
    <row r="37978" spans="1:6" ht="12.75">
      <c r="A37978" s="2">
        <v>43875.001168981486</v>
      </c>
      <c r="B37978" t="str">
        <f>HYPERLINK("https://twitter.com/MmgTopek","@MmgTopek")</f>
        <v>@MmgTopek</v>
      </c>
      <c r="C37978" t="s">
        <v>9947</v>
      </c>
      <c r="D37978">
        <v>308</v>
      </c>
      <c r="E37978">
        <v>0</v>
      </c>
      <c r="F37978">
        <v>1459</v>
      </c>
    </row>
    <row r="37979" spans="1:6" ht="12.75">
      <c r="A37979" s="2">
        <v>43875.001134259262</v>
      </c>
      <c r="B37979" t="str">
        <f>HYPERLINK("https://twitter.com/Jaga_indonesia1","@Jaga_indonesia1")</f>
        <v>@Jaga_indonesia1</v>
      </c>
      <c r="C37979" t="s">
        <v>12367</v>
      </c>
      <c r="D37979">
        <v>12</v>
      </c>
      <c r="E37979">
        <v>0</v>
      </c>
      <c r="F37979">
        <v>761</v>
      </c>
    </row>
    <row r="37980" spans="1:6" ht="12.75">
      <c r="A37980" s="2">
        <v>43875.001030092593</v>
      </c>
      <c r="B37980" t="str">
        <f>HYPERLINK("https://twitter.com/Zaindamai","@Zaindamai")</f>
        <v>@Zaindamai</v>
      </c>
      <c r="C37980" t="s">
        <v>9113</v>
      </c>
      <c r="D37980">
        <v>227</v>
      </c>
      <c r="E37980">
        <v>0</v>
      </c>
      <c r="F37980">
        <v>1353</v>
      </c>
    </row>
    <row r="37981" spans="1:6" ht="12.75">
      <c r="A37981" s="2">
        <v>43875.000949074078</v>
      </c>
      <c r="B37981" t="str">
        <f>HYPERLINK("https://twitter.com/Koharrasmadi1","@Koharrasmadi1")</f>
        <v>@Koharrasmadi1</v>
      </c>
      <c r="C37981" t="s">
        <v>15580</v>
      </c>
      <c r="D37981">
        <v>0</v>
      </c>
      <c r="E37981">
        <v>2</v>
      </c>
      <c r="F37981">
        <v>371</v>
      </c>
    </row>
    <row r="37982" spans="1:6" ht="12.75">
      <c r="A37982" s="2">
        <v>43875.000810185185</v>
      </c>
      <c r="B37982" t="str">
        <f>HYPERLINK("https://twitter.com/mudha_satriya","@mudha_satriya")</f>
        <v>@mudha_satriya</v>
      </c>
      <c r="C37982" t="s">
        <v>15581</v>
      </c>
      <c r="D37982">
        <v>1</v>
      </c>
      <c r="E37982">
        <v>0</v>
      </c>
      <c r="F37982">
        <v>1878</v>
      </c>
    </row>
    <row r="37983" spans="1:6" ht="12.75">
      <c r="A37983" s="2">
        <v>43875.000798611116</v>
      </c>
      <c r="B37983" t="str">
        <f>HYPERLINK("https://twitter.com/Jaga_indonesia1","@Jaga_indonesia1")</f>
        <v>@Jaga_indonesia1</v>
      </c>
      <c r="C37983" t="s">
        <v>15582</v>
      </c>
      <c r="D37983">
        <v>55</v>
      </c>
      <c r="E37983">
        <v>0</v>
      </c>
      <c r="F37983">
        <v>761</v>
      </c>
    </row>
    <row r="37984" spans="1:6" ht="12.75">
      <c r="A37984" s="2">
        <v>43875.00072916667</v>
      </c>
      <c r="B37984" t="str">
        <f>HYPERLINK("https://twitter.com/JKadrun","@JKadrun")</f>
        <v>@JKadrun</v>
      </c>
      <c r="C37984" t="s">
        <v>12679</v>
      </c>
      <c r="D37984">
        <v>715</v>
      </c>
      <c r="E37984">
        <v>0</v>
      </c>
      <c r="F37984">
        <v>220</v>
      </c>
    </row>
    <row r="37985" spans="1:6" ht="12.75">
      <c r="A37985" s="2">
        <v>43875.000706018516</v>
      </c>
      <c r="B37985" t="str">
        <f>HYPERLINK("https://twitter.com/ESitohag","@ESitohag")</f>
        <v>@ESitohag</v>
      </c>
      <c r="C37985" t="s">
        <v>12367</v>
      </c>
      <c r="D37985">
        <v>12</v>
      </c>
      <c r="E37985">
        <v>0</v>
      </c>
      <c r="F37985">
        <v>1820</v>
      </c>
    </row>
    <row r="37986" spans="1:6" ht="12.75">
      <c r="A37986" s="2">
        <v>43875.000706018516</v>
      </c>
      <c r="B37986" t="str">
        <f>HYPERLINK("https://twitter.com/Kristinatalitha","@Kristinatalitha")</f>
        <v>@Kristinatalitha</v>
      </c>
      <c r="C37986" t="s">
        <v>2122</v>
      </c>
      <c r="D37986">
        <v>163</v>
      </c>
      <c r="E37986">
        <v>0</v>
      </c>
      <c r="F37986">
        <v>178</v>
      </c>
    </row>
    <row r="37987" spans="1:6" ht="12.75">
      <c r="A37987" s="2">
        <v>43875.00068287037</v>
      </c>
      <c r="B37987" t="str">
        <f>HYPERLINK("https://twitter.com/trisnowidibagus","@trisnowidibagus")</f>
        <v>@trisnowidibagus</v>
      </c>
      <c r="C37987" t="s">
        <v>15583</v>
      </c>
      <c r="D37987">
        <v>0</v>
      </c>
      <c r="E37987">
        <v>0</v>
      </c>
      <c r="F37987">
        <v>460</v>
      </c>
    </row>
    <row r="37988" spans="1:6" ht="12.75">
      <c r="A37988" s="2">
        <v>43875.000578703708</v>
      </c>
      <c r="B37988" t="str">
        <f>HYPERLINK("https://twitter.com/soepono42","@soepono42")</f>
        <v>@soepono42</v>
      </c>
      <c r="C37988" t="s">
        <v>15584</v>
      </c>
      <c r="D37988">
        <v>62</v>
      </c>
      <c r="E37988">
        <v>0</v>
      </c>
      <c r="F37988">
        <v>1207</v>
      </c>
    </row>
    <row r="37989" spans="1:6" ht="12.75">
      <c r="A37989" s="2">
        <v>43875.000509259262</v>
      </c>
      <c r="B37989" t="str">
        <f>HYPERLINK("https://twitter.com/suradiparlan5","@suradiparlan5")</f>
        <v>@suradiparlan5</v>
      </c>
      <c r="C37989" t="s">
        <v>2122</v>
      </c>
      <c r="D37989">
        <v>163</v>
      </c>
      <c r="E37989">
        <v>0</v>
      </c>
      <c r="F37989">
        <v>1336</v>
      </c>
    </row>
    <row r="37990" spans="1:6" ht="12.75">
      <c r="A37990" s="2">
        <v>43875.000474537039</v>
      </c>
      <c r="B37990" t="str">
        <f>HYPERLINK("https://twitter.com/budimandjatmiko","@budimandjatmiko")</f>
        <v>@budimandjatmiko</v>
      </c>
      <c r="C37990" t="s">
        <v>15585</v>
      </c>
      <c r="D37990">
        <v>1</v>
      </c>
      <c r="E37990">
        <v>6</v>
      </c>
      <c r="F37990">
        <v>788577</v>
      </c>
    </row>
    <row r="37991" spans="1:6" ht="12.75">
      <c r="A37991" s="2">
        <v>43875.000428240739</v>
      </c>
      <c r="B37991" t="str">
        <f>HYPERLINK("https://twitter.com/odie88rdz","@odie88rdz")</f>
        <v>@odie88rdz</v>
      </c>
      <c r="C37991" t="s">
        <v>15586</v>
      </c>
      <c r="D37991">
        <v>0</v>
      </c>
      <c r="E37991">
        <v>0</v>
      </c>
      <c r="F37991">
        <v>102</v>
      </c>
    </row>
    <row r="37992" spans="1:6" ht="12.75">
      <c r="A37992" s="2">
        <v>43875.000405092593</v>
      </c>
      <c r="B37992" t="str">
        <f>HYPERLINK("https://twitter.com/tussyindra","@tussyindra")</f>
        <v>@tussyindra</v>
      </c>
      <c r="C37992" t="s">
        <v>15587</v>
      </c>
      <c r="D37992">
        <v>0</v>
      </c>
      <c r="E37992">
        <v>0</v>
      </c>
      <c r="F37992">
        <v>636</v>
      </c>
    </row>
    <row r="37993" spans="1:6" ht="12.75">
      <c r="A37993" s="2">
        <v>43875.0003125</v>
      </c>
      <c r="B37993" t="str">
        <f>HYPERLINK("https://twitter.com/soepono42","@soepono42")</f>
        <v>@soepono42</v>
      </c>
      <c r="C37993" t="s">
        <v>10330</v>
      </c>
      <c r="D37993">
        <v>184</v>
      </c>
      <c r="E37993">
        <v>0</v>
      </c>
      <c r="F37993">
        <v>1207</v>
      </c>
    </row>
    <row r="37994" spans="1:6" ht="12.75">
      <c r="A37994" s="2">
        <v>43875.000254629631</v>
      </c>
      <c r="B37994" t="str">
        <f>HYPERLINK("https://twitter.com/syamhariary_ary","@syamhariary_ary")</f>
        <v>@syamhariary_ary</v>
      </c>
      <c r="C37994" t="s">
        <v>12679</v>
      </c>
      <c r="D37994">
        <v>715</v>
      </c>
      <c r="E37994">
        <v>0</v>
      </c>
      <c r="F37994">
        <v>320</v>
      </c>
    </row>
    <row r="37995" spans="1:6" ht="12.75">
      <c r="A37995" s="2">
        <v>43875.000173611115</v>
      </c>
      <c r="B37995" t="str">
        <f>HYPERLINK("https://twitter.com/Among79","@Among79")</f>
        <v>@Among79</v>
      </c>
      <c r="C37995" t="s">
        <v>12450</v>
      </c>
      <c r="D37995">
        <v>71</v>
      </c>
      <c r="E37995">
        <v>0</v>
      </c>
      <c r="F37995">
        <v>389</v>
      </c>
    </row>
    <row r="37996" spans="1:6" ht="12.75">
      <c r="A37996" s="2">
        <v>43875.000023148154</v>
      </c>
      <c r="B37996" t="str">
        <f>HYPERLINK("https://twitter.com/DidiBonek","@DidiBonek")</f>
        <v>@DidiBonek</v>
      </c>
      <c r="C37996" t="s">
        <v>9947</v>
      </c>
      <c r="D37996">
        <v>308</v>
      </c>
      <c r="E37996">
        <v>0</v>
      </c>
      <c r="F37996">
        <v>55</v>
      </c>
    </row>
    <row r="37997" spans="1:6" ht="12.75">
      <c r="A37997" s="2">
        <v>43874.999861111108</v>
      </c>
      <c r="B37997" t="str">
        <f>HYPERLINK("https://twitter.com/Hali__lintar","@Hali__lintar")</f>
        <v>@Hali__lintar</v>
      </c>
      <c r="C37997" t="s">
        <v>5624</v>
      </c>
      <c r="D37997">
        <v>105</v>
      </c>
      <c r="E37997">
        <v>0</v>
      </c>
      <c r="F37997">
        <v>9302</v>
      </c>
    </row>
    <row r="37998" spans="1:6" ht="12.75">
      <c r="A37998" s="2">
        <v>43874.999745370369</v>
      </c>
      <c r="B37998" t="str">
        <f>HYPERLINK("https://twitter.com/SayurLodehBTW2","@SayurLodehBTW2")</f>
        <v>@SayurLodehBTW2</v>
      </c>
      <c r="C37998" t="s">
        <v>8233</v>
      </c>
      <c r="D37998">
        <v>243</v>
      </c>
      <c r="E37998">
        <v>0</v>
      </c>
      <c r="F37998">
        <v>623</v>
      </c>
    </row>
    <row r="37999" spans="1:6" ht="12.75">
      <c r="A37999" s="2">
        <v>43874.999594907407</v>
      </c>
      <c r="B37999" t="str">
        <f>HYPERLINK("https://twitter.com/suradiparlan5","@suradiparlan5")</f>
        <v>@suradiparlan5</v>
      </c>
      <c r="C37999" t="s">
        <v>13286</v>
      </c>
      <c r="D37999">
        <v>5</v>
      </c>
      <c r="E37999">
        <v>0</v>
      </c>
      <c r="F37999">
        <v>1336</v>
      </c>
    </row>
    <row r="38000" spans="1:6" ht="12.75">
      <c r="A38000" s="2">
        <v>43874.999537037038</v>
      </c>
      <c r="B38000" t="str">
        <f>HYPERLINK("https://twitter.com/triandrik","@triandrik")</f>
        <v>@triandrik</v>
      </c>
      <c r="C38000" t="s">
        <v>14332</v>
      </c>
      <c r="D38000">
        <v>1</v>
      </c>
      <c r="E38000">
        <v>0</v>
      </c>
      <c r="F38000">
        <v>747</v>
      </c>
    </row>
    <row r="38001" spans="1:6" ht="12.75">
      <c r="A38001" s="2">
        <v>43874.999293981484</v>
      </c>
      <c r="B38001" t="str">
        <f>HYPERLINK("https://twitter.com/superradioid","@superradioid")</f>
        <v>@superradioid</v>
      </c>
      <c r="C38001" t="s">
        <v>15588</v>
      </c>
      <c r="D38001">
        <v>0</v>
      </c>
      <c r="E38001">
        <v>0</v>
      </c>
      <c r="F38001">
        <v>64</v>
      </c>
    </row>
    <row r="38002" spans="1:6" ht="12.75">
      <c r="A38002" s="2">
        <v>43874.999247685184</v>
      </c>
      <c r="B38002" t="str">
        <f>HYPERLINK("https://twitter.com/triandrik","@triandrik")</f>
        <v>@triandrik</v>
      </c>
      <c r="C38002" t="s">
        <v>15589</v>
      </c>
      <c r="D38002">
        <v>0</v>
      </c>
      <c r="E38002">
        <v>0</v>
      </c>
      <c r="F38002">
        <v>747</v>
      </c>
    </row>
    <row r="38003" spans="1:6" ht="12.75">
      <c r="A38003" s="2">
        <v>43874.999201388884</v>
      </c>
      <c r="B38003" t="str">
        <f>HYPERLINK("https://twitter.com/DamaiNKRI1","@DamaiNKRI1")</f>
        <v>@DamaiNKRI1</v>
      </c>
      <c r="C38003" t="s">
        <v>15590</v>
      </c>
      <c r="D38003">
        <v>0</v>
      </c>
      <c r="E38003">
        <v>0</v>
      </c>
      <c r="F38003">
        <v>684</v>
      </c>
    </row>
    <row r="38004" spans="1:6" ht="12.75">
      <c r="A38004" s="2">
        <v>43874.99899305556</v>
      </c>
      <c r="B38004" t="str">
        <f>HYPERLINK("https://twitter.com/Zulfika35354359","@Zulfika35354359")</f>
        <v>@Zulfika35354359</v>
      </c>
      <c r="C38004" t="s">
        <v>15591</v>
      </c>
      <c r="D38004">
        <v>1</v>
      </c>
      <c r="E38004">
        <v>0</v>
      </c>
      <c r="F38004">
        <v>1899</v>
      </c>
    </row>
    <row r="38005" spans="1:6" ht="12.75">
      <c r="A38005" s="2">
        <v>43874.998877314814</v>
      </c>
      <c r="B38005" t="str">
        <f>HYPERLINK("https://twitter.com/heaIIing","@heaIIing")</f>
        <v>@heaIIing</v>
      </c>
      <c r="C38005" t="s">
        <v>15592</v>
      </c>
      <c r="D38005">
        <v>0</v>
      </c>
      <c r="E38005">
        <v>0</v>
      </c>
      <c r="F38005">
        <v>9</v>
      </c>
    </row>
    <row r="38006" spans="1:6" ht="12.75">
      <c r="A38006" s="2">
        <v>43874.998831018514</v>
      </c>
      <c r="B38006" t="str">
        <f t="shared" ref="B38006:B38007" si="441">HYPERLINK("https://twitter.com/Among79","@Among79")</f>
        <v>@Among79</v>
      </c>
      <c r="C38006" t="s">
        <v>11425</v>
      </c>
      <c r="D38006">
        <v>169</v>
      </c>
      <c r="E38006">
        <v>0</v>
      </c>
      <c r="F38006">
        <v>389</v>
      </c>
    </row>
    <row r="38007" spans="1:6" ht="12.75">
      <c r="A38007" s="2">
        <v>43874.998576388884</v>
      </c>
      <c r="B38007" t="str">
        <f t="shared" si="441"/>
        <v>@Among79</v>
      </c>
      <c r="C38007" t="s">
        <v>2122</v>
      </c>
      <c r="D38007">
        <v>163</v>
      </c>
      <c r="E38007">
        <v>0</v>
      </c>
      <c r="F38007">
        <v>389</v>
      </c>
    </row>
    <row r="38008" spans="1:6" ht="12.75">
      <c r="A38008" s="2">
        <v>43874.998564814814</v>
      </c>
      <c r="B38008" t="str">
        <f>HYPERLINK("https://twitter.com/jjsengui","@jjsengui")</f>
        <v>@jjsengui</v>
      </c>
      <c r="C38008" t="s">
        <v>14326</v>
      </c>
      <c r="D38008">
        <v>48</v>
      </c>
      <c r="E38008">
        <v>0</v>
      </c>
      <c r="F38008">
        <v>826</v>
      </c>
    </row>
    <row r="38009" spans="1:6" ht="12.75">
      <c r="A38009" s="2">
        <v>43874.998553240745</v>
      </c>
      <c r="B38009" t="str">
        <f>HYPERLINK("https://twitter.com/mudha_satriya","@mudha_satriya")</f>
        <v>@mudha_satriya</v>
      </c>
      <c r="C38009" t="s">
        <v>15229</v>
      </c>
      <c r="D38009">
        <v>3</v>
      </c>
      <c r="E38009">
        <v>0</v>
      </c>
      <c r="F38009">
        <v>1878</v>
      </c>
    </row>
    <row r="38010" spans="1:6" ht="12.75">
      <c r="A38010" s="2">
        <v>43874.998483796298</v>
      </c>
      <c r="B38010" t="str">
        <f>HYPERLINK("https://twitter.com/Pengela10752509","@Pengela10752509")</f>
        <v>@Pengela10752509</v>
      </c>
      <c r="C38010" t="s">
        <v>9096</v>
      </c>
      <c r="D38010">
        <v>127</v>
      </c>
      <c r="E38010">
        <v>0</v>
      </c>
      <c r="F38010">
        <v>298</v>
      </c>
    </row>
    <row r="38011" spans="1:6" ht="12.75">
      <c r="A38011" s="2">
        <v>43874.998472222222</v>
      </c>
      <c r="B38011" t="str">
        <f>HYPERLINK("https://twitter.com/efrasiana4","@efrasiana4")</f>
        <v>@efrasiana4</v>
      </c>
      <c r="C38011" t="s">
        <v>9947</v>
      </c>
      <c r="D38011">
        <v>308</v>
      </c>
      <c r="E38011">
        <v>0</v>
      </c>
      <c r="F38011">
        <v>1334</v>
      </c>
    </row>
    <row r="38012" spans="1:6" ht="12.75">
      <c r="A38012" s="2">
        <v>43874.998344907406</v>
      </c>
      <c r="B38012" t="str">
        <f>HYPERLINK("https://twitter.com/babgei1971","@babgei1971")</f>
        <v>@babgei1971</v>
      </c>
      <c r="C38012" t="s">
        <v>11330</v>
      </c>
      <c r="D38012">
        <v>110</v>
      </c>
      <c r="E38012">
        <v>0</v>
      </c>
      <c r="F38012">
        <v>588</v>
      </c>
    </row>
    <row r="38013" spans="1:6" ht="12.75">
      <c r="A38013" s="2">
        <v>43874.998101851852</v>
      </c>
      <c r="B38013" t="str">
        <f>HYPERLINK("https://twitter.com/SlametMuslim","@SlametMuslim")</f>
        <v>@SlametMuslim</v>
      </c>
      <c r="C38013" t="s">
        <v>15593</v>
      </c>
      <c r="D38013">
        <v>0</v>
      </c>
      <c r="E38013">
        <v>0</v>
      </c>
      <c r="F38013">
        <v>7464</v>
      </c>
    </row>
    <row r="38014" spans="1:6" ht="12.75">
      <c r="A38014" s="2">
        <v>43874.998067129629</v>
      </c>
      <c r="B38014" t="str">
        <f>HYPERLINK("https://twitter.com/andalasiy","@andalasiy")</f>
        <v>@andalasiy</v>
      </c>
      <c r="C38014" t="s">
        <v>15594</v>
      </c>
      <c r="D38014">
        <v>0</v>
      </c>
      <c r="E38014">
        <v>0</v>
      </c>
      <c r="F38014">
        <v>155</v>
      </c>
    </row>
    <row r="38015" spans="1:6" ht="12.75">
      <c r="A38015" s="2">
        <v>43874.99800925926</v>
      </c>
      <c r="B38015" t="str">
        <f>HYPERLINK("https://twitter.com/Jono_Fortunate","@Jono_Fortunate")</f>
        <v>@Jono_Fortunate</v>
      </c>
      <c r="C38015" t="s">
        <v>15595</v>
      </c>
      <c r="D38015">
        <v>0</v>
      </c>
      <c r="E38015">
        <v>0</v>
      </c>
      <c r="F38015">
        <v>524</v>
      </c>
    </row>
    <row r="38016" spans="1:6" ht="12.75">
      <c r="A38016" s="2">
        <v>43874.997881944444</v>
      </c>
      <c r="B38016" t="str">
        <f>HYPERLINK("https://twitter.com/suryandaruuu","@suryandaruuu")</f>
        <v>@suryandaruuu</v>
      </c>
      <c r="C38016" t="s">
        <v>15596</v>
      </c>
      <c r="D38016">
        <v>0</v>
      </c>
      <c r="E38016">
        <v>0</v>
      </c>
      <c r="F38016">
        <v>431</v>
      </c>
    </row>
    <row r="38017" spans="1:6" ht="12.75">
      <c r="A38017" s="2">
        <v>43874.997789351852</v>
      </c>
      <c r="B38017" t="str">
        <f>HYPERLINK("https://twitter.com/Yuda068","@Yuda068")</f>
        <v>@Yuda068</v>
      </c>
      <c r="C38017" t="s">
        <v>11394</v>
      </c>
      <c r="D38017">
        <v>18</v>
      </c>
      <c r="E38017">
        <v>0</v>
      </c>
      <c r="F38017">
        <v>7513</v>
      </c>
    </row>
    <row r="38018" spans="1:6" ht="12.75">
      <c r="A38018" s="2">
        <v>43874.997743055559</v>
      </c>
      <c r="B38018" t="str">
        <f>HYPERLINK("https://twitter.com/galih__________","@galih__________")</f>
        <v>@galih__________</v>
      </c>
      <c r="C38018" t="s">
        <v>6982</v>
      </c>
      <c r="D38018">
        <v>78</v>
      </c>
      <c r="E38018">
        <v>0</v>
      </c>
      <c r="F38018">
        <v>6</v>
      </c>
    </row>
    <row r="38019" spans="1:6" ht="12.75">
      <c r="A38019" s="2">
        <v>43874.997731481482</v>
      </c>
      <c r="B38019" t="str">
        <f>HYPERLINK("https://twitter.com/AJudakusumah","@AJudakusumah")</f>
        <v>@AJudakusumah</v>
      </c>
      <c r="C38019" t="s">
        <v>11425</v>
      </c>
      <c r="D38019">
        <v>169</v>
      </c>
      <c r="E38019">
        <v>0</v>
      </c>
      <c r="F38019">
        <v>3069</v>
      </c>
    </row>
    <row r="38020" spans="1:6" ht="12.75">
      <c r="A38020" s="2">
        <v>43874.997685185182</v>
      </c>
      <c r="B38020" t="str">
        <f>HYPERLINK("https://twitter.com/christclaudi","@christclaudi")</f>
        <v>@christclaudi</v>
      </c>
      <c r="C38020" t="s">
        <v>175</v>
      </c>
      <c r="D38020">
        <v>5209</v>
      </c>
      <c r="E38020">
        <v>0</v>
      </c>
      <c r="F38020">
        <v>133</v>
      </c>
    </row>
    <row r="38021" spans="1:6" ht="12.75">
      <c r="A38021" s="2">
        <v>43874.997523148151</v>
      </c>
      <c r="B38021" t="str">
        <f>HYPERLINK("https://twitter.com/SKaspani_ong","@SKaspani_ong")</f>
        <v>@SKaspani_ong</v>
      </c>
      <c r="C38021" t="s">
        <v>15597</v>
      </c>
      <c r="D38021">
        <v>0</v>
      </c>
      <c r="E38021">
        <v>1</v>
      </c>
      <c r="F38021">
        <v>4399</v>
      </c>
    </row>
    <row r="38022" spans="1:6" ht="12.75">
      <c r="A38022" s="2">
        <v>43874.997476851851</v>
      </c>
      <c r="B38022" t="str">
        <f>HYPERLINK("https://twitter.com/Paulus_willy","@Paulus_willy")</f>
        <v>@Paulus_willy</v>
      </c>
      <c r="C38022" t="s">
        <v>14326</v>
      </c>
      <c r="D38022">
        <v>48</v>
      </c>
      <c r="E38022">
        <v>0</v>
      </c>
      <c r="F38022">
        <v>1520</v>
      </c>
    </row>
    <row r="38023" spans="1:6" ht="12.75">
      <c r="A38023" s="2">
        <v>43874.997453703705</v>
      </c>
      <c r="B38023" t="str">
        <f>HYPERLINK("https://twitter.com/damar_prakasa","@damar_prakasa")</f>
        <v>@damar_prakasa</v>
      </c>
      <c r="C38023" t="s">
        <v>8233</v>
      </c>
      <c r="D38023">
        <v>243</v>
      </c>
      <c r="E38023">
        <v>0</v>
      </c>
      <c r="F38023">
        <v>9</v>
      </c>
    </row>
    <row r="38024" spans="1:6" ht="12.75">
      <c r="A38024" s="2">
        <v>43874.997407407413</v>
      </c>
      <c r="B38024" t="str">
        <f>HYPERLINK("https://twitter.com/tywhyn__","@tywhyn__")</f>
        <v>@tywhyn__</v>
      </c>
      <c r="C38024" t="s">
        <v>10462</v>
      </c>
      <c r="D38024">
        <v>220</v>
      </c>
      <c r="E38024">
        <v>0</v>
      </c>
      <c r="F38024">
        <v>127</v>
      </c>
    </row>
    <row r="38025" spans="1:6" ht="12.75">
      <c r="A38025" s="2">
        <v>43874.997349537036</v>
      </c>
      <c r="B38025" t="str">
        <f>HYPERLINK("https://twitter.com/Bigbacot","@Bigbacot")</f>
        <v>@Bigbacot</v>
      </c>
      <c r="C38025" t="s">
        <v>9096</v>
      </c>
      <c r="D38025">
        <v>127</v>
      </c>
      <c r="E38025">
        <v>0</v>
      </c>
      <c r="F38025">
        <v>379</v>
      </c>
    </row>
    <row r="38026" spans="1:6" ht="12.75">
      <c r="A38026" s="2">
        <v>43874.997152777782</v>
      </c>
      <c r="B38026" t="str">
        <f>HYPERLINK("https://twitter.com/senyamsenyum04","@senyamsenyum04")</f>
        <v>@senyamsenyum04</v>
      </c>
      <c r="C38026" t="s">
        <v>15598</v>
      </c>
      <c r="D38026">
        <v>0</v>
      </c>
      <c r="E38026">
        <v>0</v>
      </c>
      <c r="F38026">
        <v>146</v>
      </c>
    </row>
    <row r="38027" spans="1:6" ht="12.75">
      <c r="A38027" s="2">
        <v>43874.997141203705</v>
      </c>
      <c r="B38027" t="str">
        <f>HYPERLINK("https://twitter.com/klelur028","@klelur028")</f>
        <v>@klelur028</v>
      </c>
      <c r="C38027" t="s">
        <v>10266</v>
      </c>
      <c r="D38027">
        <v>243</v>
      </c>
      <c r="E38027">
        <v>0</v>
      </c>
      <c r="F38027">
        <v>3482</v>
      </c>
    </row>
    <row r="38028" spans="1:6" ht="12.75">
      <c r="A38028" s="2">
        <v>43874.997083333335</v>
      </c>
      <c r="B38028" t="str">
        <f>HYPERLINK("https://twitter.com/PManjorang","@PManjorang")</f>
        <v>@PManjorang</v>
      </c>
      <c r="C38028" t="s">
        <v>9947</v>
      </c>
      <c r="D38028">
        <v>308</v>
      </c>
      <c r="E38028">
        <v>0</v>
      </c>
      <c r="F38028">
        <v>11</v>
      </c>
    </row>
    <row r="38029" spans="1:6" ht="12.75">
      <c r="A38029" s="2">
        <v>43874.997083333335</v>
      </c>
      <c r="B38029" t="str">
        <f>HYPERLINK("https://twitter.com/Guardia55403430","@Guardia55403430")</f>
        <v>@Guardia55403430</v>
      </c>
      <c r="C38029" t="s">
        <v>11566</v>
      </c>
      <c r="D38029">
        <v>92</v>
      </c>
      <c r="E38029">
        <v>0</v>
      </c>
      <c r="F38029">
        <v>472</v>
      </c>
    </row>
    <row r="38030" spans="1:6" ht="12.75">
      <c r="A38030" s="2">
        <v>43874.996921296297</v>
      </c>
      <c r="B38030" t="str">
        <f>HYPERLINK("https://twitter.com/Nila_Widuri","@Nila_Widuri")</f>
        <v>@Nila_Widuri</v>
      </c>
      <c r="C38030" t="s">
        <v>8252</v>
      </c>
      <c r="D38030">
        <v>469</v>
      </c>
      <c r="E38030">
        <v>0</v>
      </c>
      <c r="F38030">
        <v>386</v>
      </c>
    </row>
    <row r="38031" spans="1:6" ht="12.75">
      <c r="A38031" s="2">
        <v>43874.996747685189</v>
      </c>
      <c r="B38031" t="str">
        <f>HYPERLINK("https://twitter.com/maftuh_anan","@maftuh_anan")</f>
        <v>@maftuh_anan</v>
      </c>
      <c r="C38031" t="s">
        <v>2137</v>
      </c>
      <c r="D38031">
        <v>7</v>
      </c>
      <c r="E38031">
        <v>0</v>
      </c>
      <c r="F38031">
        <v>923</v>
      </c>
    </row>
    <row r="38032" spans="1:6" ht="12.75">
      <c r="A38032" s="2">
        <v>43874.996597222227</v>
      </c>
      <c r="B38032" t="str">
        <f>HYPERLINK("https://twitter.com/Donal_golan","@Donal_golan")</f>
        <v>@Donal_golan</v>
      </c>
      <c r="C38032" t="s">
        <v>72</v>
      </c>
      <c r="D38032">
        <v>2</v>
      </c>
      <c r="E38032">
        <v>3</v>
      </c>
      <c r="F38032">
        <v>706</v>
      </c>
    </row>
    <row r="38033" spans="1:6" ht="12.75">
      <c r="A38033" s="2">
        <v>43874.996435185181</v>
      </c>
      <c r="B38033" t="str">
        <f>HYPERLINK("https://twitter.com/nel_anastasia","@nel_anastasia")</f>
        <v>@nel_anastasia</v>
      </c>
      <c r="C38033" t="s">
        <v>10588</v>
      </c>
      <c r="D38033">
        <v>96</v>
      </c>
      <c r="E38033">
        <v>0</v>
      </c>
      <c r="F38033">
        <v>25</v>
      </c>
    </row>
    <row r="38034" spans="1:6" ht="12.75">
      <c r="A38034" s="2">
        <v>43874.996423611112</v>
      </c>
      <c r="B38034" t="str">
        <f>HYPERLINK("https://twitter.com/ArdiansyahIvan","@ArdiansyahIvan")</f>
        <v>@ArdiansyahIvan</v>
      </c>
      <c r="C38034" t="s">
        <v>9947</v>
      </c>
      <c r="D38034">
        <v>308</v>
      </c>
      <c r="E38034">
        <v>0</v>
      </c>
      <c r="F38034">
        <v>1215</v>
      </c>
    </row>
    <row r="38035" spans="1:6" ht="12.75">
      <c r="A38035" s="2">
        <v>43874.996388888889</v>
      </c>
      <c r="B38035" t="str">
        <f>HYPERLINK("https://twitter.com/mkhairulafif","@mkhairulafif")</f>
        <v>@mkhairulafif</v>
      </c>
      <c r="C38035" t="s">
        <v>10126</v>
      </c>
      <c r="D38035">
        <v>56</v>
      </c>
      <c r="E38035">
        <v>0</v>
      </c>
      <c r="F38035">
        <v>341</v>
      </c>
    </row>
    <row r="38036" spans="1:6" ht="12.75">
      <c r="A38036" s="2">
        <v>43874.996377314819</v>
      </c>
      <c r="B38036" t="str">
        <f>HYPERLINK("https://twitter.com/Among79","@Among79")</f>
        <v>@Among79</v>
      </c>
      <c r="C38036" t="s">
        <v>11566</v>
      </c>
      <c r="D38036">
        <v>92</v>
      </c>
      <c r="E38036">
        <v>0</v>
      </c>
      <c r="F38036">
        <v>389</v>
      </c>
    </row>
    <row r="38037" spans="1:6" ht="12.75">
      <c r="A38037" s="2">
        <v>43874.996319444443</v>
      </c>
      <c r="B38037" t="str">
        <f>HYPERLINK("https://twitter.com/Orchid212X1","@Orchid212X1")</f>
        <v>@Orchid212X1</v>
      </c>
      <c r="C38037" t="s">
        <v>2444</v>
      </c>
      <c r="D38037">
        <v>49</v>
      </c>
      <c r="E38037">
        <v>0</v>
      </c>
      <c r="F38037">
        <v>16</v>
      </c>
    </row>
    <row r="38038" spans="1:6" ht="12.75">
      <c r="A38038" s="2">
        <v>43874.996261574073</v>
      </c>
      <c r="B38038" t="str">
        <f>HYPERLINK("https://twitter.com/Sagimin65864707","@Sagimin65864707")</f>
        <v>@Sagimin65864707</v>
      </c>
      <c r="C38038" t="s">
        <v>15599</v>
      </c>
      <c r="D38038">
        <v>0</v>
      </c>
      <c r="E38038">
        <v>0</v>
      </c>
      <c r="F38038">
        <v>1</v>
      </c>
    </row>
    <row r="38039" spans="1:6" ht="12.75">
      <c r="A38039" s="2">
        <v>43874.996030092589</v>
      </c>
      <c r="B38039" t="str">
        <f>HYPERLINK("https://twitter.com/fazaZain2","@fazaZain2")</f>
        <v>@fazaZain2</v>
      </c>
      <c r="C38039" t="s">
        <v>15600</v>
      </c>
      <c r="D38039">
        <v>0</v>
      </c>
      <c r="E38039">
        <v>0</v>
      </c>
      <c r="F38039">
        <v>6</v>
      </c>
    </row>
    <row r="38040" spans="1:6" ht="12.75">
      <c r="A38040" s="2">
        <v>43874.99600694445</v>
      </c>
      <c r="B38040" t="str">
        <f>HYPERLINK("https://twitter.com/didi_armayanto","@didi_armayanto")</f>
        <v>@didi_armayanto</v>
      </c>
      <c r="C38040" t="s">
        <v>15601</v>
      </c>
      <c r="D38040">
        <v>1</v>
      </c>
      <c r="E38040">
        <v>1</v>
      </c>
      <c r="F38040">
        <v>4647</v>
      </c>
    </row>
    <row r="38041" spans="1:6" ht="12.75">
      <c r="A38041" s="2">
        <v>43874.995995370366</v>
      </c>
      <c r="B38041" t="str">
        <f>HYPERLINK("https://twitter.com/JustYazz17","@JustYazz17")</f>
        <v>@JustYazz17</v>
      </c>
      <c r="C38041" t="s">
        <v>15602</v>
      </c>
      <c r="D38041">
        <v>0</v>
      </c>
      <c r="E38041">
        <v>0</v>
      </c>
      <c r="F38041">
        <v>46</v>
      </c>
    </row>
    <row r="38042" spans="1:6" ht="12.75">
      <c r="A38042" s="2">
        <v>43874.995995370366</v>
      </c>
      <c r="B38042" t="str">
        <f>HYPERLINK("https://twitter.com/AlfredoDeBocori","@AlfredoDeBocori")</f>
        <v>@AlfredoDeBocori</v>
      </c>
      <c r="C38042" t="s">
        <v>12794</v>
      </c>
      <c r="D38042">
        <v>65</v>
      </c>
      <c r="E38042">
        <v>0</v>
      </c>
      <c r="F38042">
        <v>674</v>
      </c>
    </row>
    <row r="38043" spans="1:6" ht="12.75">
      <c r="A38043" s="2">
        <v>43874.995925925927</v>
      </c>
      <c r="B38043" t="str">
        <f>HYPERLINK("https://twitter.com/ToniSugiri","@ToniSugiri")</f>
        <v>@ToniSugiri</v>
      </c>
      <c r="C38043" t="s">
        <v>15603</v>
      </c>
      <c r="D38043">
        <v>0</v>
      </c>
      <c r="E38043">
        <v>0</v>
      </c>
      <c r="F38043">
        <v>1525</v>
      </c>
    </row>
    <row r="38044" spans="1:6" ht="12.75">
      <c r="A38044" s="2">
        <v>43874.995879629627</v>
      </c>
      <c r="B38044" t="str">
        <f>HYPERLINK("https://twitter.com/rentama9","@rentama9")</f>
        <v>@rentama9</v>
      </c>
      <c r="C38044" t="s">
        <v>15604</v>
      </c>
      <c r="D38044">
        <v>0</v>
      </c>
      <c r="E38044">
        <v>1</v>
      </c>
      <c r="F38044">
        <v>1307</v>
      </c>
    </row>
    <row r="38045" spans="1:6" ht="12.75">
      <c r="A38045" s="2">
        <v>43874.995706018519</v>
      </c>
      <c r="B38045" t="str">
        <f>HYPERLINK("https://twitter.com/lordanrijon","@lordanrijon")</f>
        <v>@lordanrijon</v>
      </c>
      <c r="C38045" t="s">
        <v>13053</v>
      </c>
      <c r="D38045">
        <v>37</v>
      </c>
      <c r="E38045">
        <v>0</v>
      </c>
      <c r="F38045">
        <v>435</v>
      </c>
    </row>
    <row r="38046" spans="1:6" ht="12.75">
      <c r="A38046" s="2">
        <v>43874.995439814811</v>
      </c>
      <c r="B38046" t="str">
        <f>HYPERLINK("https://twitter.com/Freeman231103","@Freeman231103")</f>
        <v>@Freeman231103</v>
      </c>
      <c r="C38046" t="s">
        <v>73</v>
      </c>
      <c r="D38046">
        <v>0</v>
      </c>
      <c r="E38046">
        <v>0</v>
      </c>
      <c r="F38046">
        <v>49</v>
      </c>
    </row>
    <row r="38047" spans="1:6" ht="12.75">
      <c r="A38047" s="2">
        <v>43874.995439814811</v>
      </c>
      <c r="B38047" t="str">
        <f>HYPERLINK("https://twitter.com/zikrina24","@zikrina24")</f>
        <v>@zikrina24</v>
      </c>
      <c r="C38047" t="s">
        <v>9964</v>
      </c>
      <c r="D38047">
        <v>458</v>
      </c>
      <c r="E38047">
        <v>0</v>
      </c>
      <c r="F38047">
        <v>461</v>
      </c>
    </row>
    <row r="38048" spans="1:6" ht="12.75">
      <c r="A38048" s="2">
        <v>43874.995405092588</v>
      </c>
      <c r="B38048" t="str">
        <f>HYPERLINK("https://twitter.com/doyokijay","@doyokijay")</f>
        <v>@doyokijay</v>
      </c>
      <c r="C38048" t="s">
        <v>15605</v>
      </c>
      <c r="D38048">
        <v>2</v>
      </c>
      <c r="E38048">
        <v>0</v>
      </c>
      <c r="F38048">
        <v>304</v>
      </c>
    </row>
    <row r="38049" spans="1:6" ht="12.75">
      <c r="A38049" s="2">
        <v>43874.995393518519</v>
      </c>
      <c r="B38049" t="str">
        <f>HYPERLINK("https://twitter.com/hardiankristi","@hardiankristi")</f>
        <v>@hardiankristi</v>
      </c>
      <c r="C38049" t="s">
        <v>175</v>
      </c>
      <c r="D38049">
        <v>5209</v>
      </c>
      <c r="E38049">
        <v>0</v>
      </c>
      <c r="F38049">
        <v>7</v>
      </c>
    </row>
    <row r="38050" spans="1:6" ht="12.75">
      <c r="A38050" s="2">
        <v>43874.995289351849</v>
      </c>
      <c r="B38050" t="str">
        <f>HYPERLINK("https://twitter.com/AlHijaz46792964","@AlHijaz46792964")</f>
        <v>@AlHijaz46792964</v>
      </c>
      <c r="C38050" t="s">
        <v>8252</v>
      </c>
      <c r="D38050">
        <v>469</v>
      </c>
      <c r="E38050">
        <v>0</v>
      </c>
      <c r="F38050">
        <v>323</v>
      </c>
    </row>
    <row r="38051" spans="1:6" ht="12.75">
      <c r="A38051" s="2">
        <v>43874.995266203703</v>
      </c>
      <c r="B38051" t="str">
        <f>HYPERLINK("https://twitter.com/RanggaWahyudi19","@RanggaWahyudi19")</f>
        <v>@RanggaWahyudi19</v>
      </c>
      <c r="C38051" t="s">
        <v>15606</v>
      </c>
      <c r="D38051">
        <v>0</v>
      </c>
      <c r="E38051">
        <v>0</v>
      </c>
      <c r="F38051">
        <v>887</v>
      </c>
    </row>
    <row r="38052" spans="1:6" ht="12.75">
      <c r="A38052" s="2">
        <v>43874.99518518518</v>
      </c>
      <c r="B38052" t="str">
        <f>HYPERLINK("https://twitter.com/Deviasaputri6","@Deviasaputri6")</f>
        <v>@Deviasaputri6</v>
      </c>
      <c r="C38052" t="s">
        <v>15607</v>
      </c>
      <c r="D38052">
        <v>0</v>
      </c>
      <c r="E38052">
        <v>2</v>
      </c>
      <c r="F38052">
        <v>689</v>
      </c>
    </row>
    <row r="38053" spans="1:6" ht="12.75">
      <c r="A38053" s="2">
        <v>43874.995162037041</v>
      </c>
      <c r="B38053" t="str">
        <f>HYPERLINK("https://twitter.com/republikaonline","@republikaonline")</f>
        <v>@republikaonline</v>
      </c>
      <c r="C38053" t="s">
        <v>15608</v>
      </c>
      <c r="D38053">
        <v>1</v>
      </c>
      <c r="E38053">
        <v>7</v>
      </c>
      <c r="F38053">
        <v>1210210</v>
      </c>
    </row>
    <row r="38054" spans="1:6" ht="12.75">
      <c r="A38054" s="2">
        <v>43874.994988425926</v>
      </c>
      <c r="B38054" t="str">
        <f>HYPERLINK("https://twitter.com/kdlji","@kdlji")</f>
        <v>@kdlji</v>
      </c>
      <c r="C38054" t="s">
        <v>15609</v>
      </c>
      <c r="D38054">
        <v>0</v>
      </c>
      <c r="E38054">
        <v>0</v>
      </c>
      <c r="F38054">
        <v>0</v>
      </c>
    </row>
    <row r="38055" spans="1:6" ht="12.75">
      <c r="A38055" s="2">
        <v>43874.994976851856</v>
      </c>
      <c r="B38055" t="str">
        <f>HYPERLINK("https://twitter.com/thesoleils","@thesoleils")</f>
        <v>@thesoleils</v>
      </c>
      <c r="C38055" t="s">
        <v>9964</v>
      </c>
      <c r="D38055">
        <v>458</v>
      </c>
      <c r="E38055">
        <v>0</v>
      </c>
      <c r="F38055">
        <v>67</v>
      </c>
    </row>
    <row r="38056" spans="1:6" ht="12.75">
      <c r="A38056" s="2">
        <v>43874.99490740741</v>
      </c>
      <c r="B38056" t="str">
        <f>HYPERLINK("https://twitter.com/rizkihdayat212","@rizkihdayat212")</f>
        <v>@rizkihdayat212</v>
      </c>
      <c r="C38056" t="s">
        <v>8233</v>
      </c>
      <c r="D38056">
        <v>243</v>
      </c>
      <c r="E38056">
        <v>0</v>
      </c>
      <c r="F38056">
        <v>47</v>
      </c>
    </row>
    <row r="38057" spans="1:6" ht="12.75">
      <c r="A38057" s="2">
        <v>43874.994837962964</v>
      </c>
      <c r="B38057" t="str">
        <f>HYPERLINK("https://twitter.com/becak125cc","@becak125cc")</f>
        <v>@becak125cc</v>
      </c>
      <c r="C38057" t="s">
        <v>2122</v>
      </c>
      <c r="D38057">
        <v>163</v>
      </c>
      <c r="E38057">
        <v>0</v>
      </c>
      <c r="F38057">
        <v>495</v>
      </c>
    </row>
    <row r="38058" spans="1:6" ht="12.75">
      <c r="A38058" s="2">
        <v>43874.994826388887</v>
      </c>
      <c r="B38058" t="str">
        <f>HYPERLINK("https://twitter.com/nu_online","@nu_online")</f>
        <v>@nu_online</v>
      </c>
      <c r="C38058" t="s">
        <v>74</v>
      </c>
      <c r="D38058">
        <v>3</v>
      </c>
      <c r="E38058">
        <v>27</v>
      </c>
      <c r="F38058">
        <v>489456</v>
      </c>
    </row>
    <row r="38059" spans="1:6" ht="12.75">
      <c r="A38059" s="2">
        <v>43874.994803240741</v>
      </c>
      <c r="B38059" t="str">
        <f>HYPERLINK("https://twitter.com/AswinJohan","@AswinJohan")</f>
        <v>@AswinJohan</v>
      </c>
      <c r="C38059" t="s">
        <v>10266</v>
      </c>
      <c r="D38059">
        <v>243</v>
      </c>
      <c r="E38059">
        <v>0</v>
      </c>
      <c r="F38059">
        <v>37</v>
      </c>
    </row>
    <row r="38060" spans="1:6" ht="12.75">
      <c r="A38060" s="2">
        <v>43874.994803240741</v>
      </c>
      <c r="B38060" t="str">
        <f>HYPERLINK("https://twitter.com/Epoynono","@Epoynono")</f>
        <v>@Epoynono</v>
      </c>
      <c r="C38060" t="s">
        <v>12641</v>
      </c>
      <c r="D38060">
        <v>70</v>
      </c>
      <c r="E38060">
        <v>0</v>
      </c>
      <c r="F38060">
        <v>271</v>
      </c>
    </row>
    <row r="38061" spans="1:6" ht="12.75">
      <c r="A38061" s="2">
        <v>43874.994756944448</v>
      </c>
      <c r="B38061" t="str">
        <f>HYPERLINK("https://twitter.com/Freeman231103","@Freeman231103")</f>
        <v>@Freeman231103</v>
      </c>
      <c r="C38061" t="s">
        <v>12458</v>
      </c>
      <c r="D38061">
        <v>39</v>
      </c>
      <c r="E38061">
        <v>0</v>
      </c>
      <c r="F38061">
        <v>49</v>
      </c>
    </row>
    <row r="38062" spans="1:6" ht="12.75">
      <c r="A38062" s="2">
        <v>43874.994722222225</v>
      </c>
      <c r="B38062" t="str">
        <f>HYPERLINK("https://twitter.com/gunoto777","@gunoto777")</f>
        <v>@gunoto777</v>
      </c>
      <c r="C38062" t="s">
        <v>10542</v>
      </c>
      <c r="D38062">
        <v>120</v>
      </c>
      <c r="E38062">
        <v>0</v>
      </c>
      <c r="F38062">
        <v>1038</v>
      </c>
    </row>
    <row r="38063" spans="1:6" ht="12.75">
      <c r="A38063" s="2">
        <v>43874.994641203702</v>
      </c>
      <c r="B38063" t="str">
        <f>HYPERLINK("https://twitter.com/dwikybhagaskara","@dwikybhagaskara")</f>
        <v>@dwikybhagaskara</v>
      </c>
      <c r="C38063" t="s">
        <v>175</v>
      </c>
      <c r="D38063">
        <v>5209</v>
      </c>
      <c r="E38063">
        <v>0</v>
      </c>
      <c r="F38063">
        <v>92</v>
      </c>
    </row>
    <row r="38064" spans="1:6" ht="12.75">
      <c r="A38064" s="2">
        <v>43874.994641203702</v>
      </c>
      <c r="B38064" t="str">
        <f>HYPERLINK("https://twitter.com/johhhnygudhel","@johhhnygudhel")</f>
        <v>@johhhnygudhel</v>
      </c>
      <c r="C38064" t="s">
        <v>7408</v>
      </c>
      <c r="D38064">
        <v>31</v>
      </c>
      <c r="E38064">
        <v>0</v>
      </c>
      <c r="F38064">
        <v>2400</v>
      </c>
    </row>
    <row r="38065" spans="1:6" ht="12.75">
      <c r="A38065" s="2">
        <v>43874.994560185187</v>
      </c>
      <c r="B38065" t="str">
        <f>HYPERLINK("https://twitter.com/SilaTiga","@SilaTiga")</f>
        <v>@SilaTiga</v>
      </c>
      <c r="C38065" t="s">
        <v>15610</v>
      </c>
      <c r="D38065">
        <v>0</v>
      </c>
      <c r="E38065">
        <v>0</v>
      </c>
      <c r="F38065">
        <v>1202</v>
      </c>
    </row>
    <row r="38066" spans="1:6" ht="12.75">
      <c r="A38066" s="2">
        <v>43874.994456018518</v>
      </c>
      <c r="B38066" t="str">
        <f>HYPERLINK("https://twitter.com/jwhsibarani","@jwhsibarani")</f>
        <v>@jwhsibarani</v>
      </c>
      <c r="C38066" t="s">
        <v>3038</v>
      </c>
      <c r="D38066">
        <v>99</v>
      </c>
      <c r="E38066">
        <v>0</v>
      </c>
      <c r="F38066">
        <v>57</v>
      </c>
    </row>
    <row r="38067" spans="1:6" ht="12.75">
      <c r="A38067" s="2">
        <v>43874.994432870371</v>
      </c>
      <c r="B38067" t="str">
        <f>HYPERLINK("https://twitter.com/Ajizah27","@Ajizah27")</f>
        <v>@Ajizah27</v>
      </c>
      <c r="C38067" t="s">
        <v>175</v>
      </c>
      <c r="D38067">
        <v>5209</v>
      </c>
      <c r="E38067">
        <v>0</v>
      </c>
      <c r="F38067">
        <v>435</v>
      </c>
    </row>
    <row r="38068" spans="1:6" ht="12.75">
      <c r="A38068" s="2">
        <v>43874.994421296295</v>
      </c>
      <c r="B38068" t="str">
        <f>HYPERLINK("https://twitter.com/mbakrezty","@mbakrezty")</f>
        <v>@mbakrezty</v>
      </c>
      <c r="C38068" t="s">
        <v>10266</v>
      </c>
      <c r="D38068">
        <v>243</v>
      </c>
      <c r="E38068">
        <v>0</v>
      </c>
      <c r="F38068">
        <v>2722</v>
      </c>
    </row>
    <row r="38069" spans="1:6" ht="12.75">
      <c r="A38069" s="2">
        <v>43874.994386574079</v>
      </c>
      <c r="B38069" t="str">
        <f>HYPERLINK("https://twitter.com/AbyAlan_","@AbyAlan_")</f>
        <v>@AbyAlan_</v>
      </c>
      <c r="C38069" t="s">
        <v>15611</v>
      </c>
      <c r="D38069">
        <v>0</v>
      </c>
      <c r="E38069">
        <v>1</v>
      </c>
      <c r="F38069">
        <v>427</v>
      </c>
    </row>
    <row r="38070" spans="1:6" ht="12.75">
      <c r="A38070" s="2">
        <v>43874.99428240741</v>
      </c>
      <c r="B38070" t="str">
        <f>HYPERLINK("https://twitter.com/ccaallmeraa","@ccaallmeraa")</f>
        <v>@ccaallmeraa</v>
      </c>
      <c r="C38070" t="s">
        <v>15612</v>
      </c>
      <c r="D38070">
        <v>0</v>
      </c>
      <c r="E38070">
        <v>1</v>
      </c>
      <c r="F38070">
        <v>801</v>
      </c>
    </row>
    <row r="38071" spans="1:6" ht="12.75">
      <c r="A38071" s="2">
        <v>43874.994259259256</v>
      </c>
      <c r="B38071" t="str">
        <f>HYPERLINK("https://twitter.com/Paulus_willy","@Paulus_willy")</f>
        <v>@Paulus_willy</v>
      </c>
      <c r="C38071" t="s">
        <v>10196</v>
      </c>
      <c r="D38071">
        <v>116</v>
      </c>
      <c r="E38071">
        <v>0</v>
      </c>
      <c r="F38071">
        <v>1520</v>
      </c>
    </row>
    <row r="38072" spans="1:6" ht="12.75">
      <c r="A38072" s="2">
        <v>43874.994062500002</v>
      </c>
      <c r="B38072" t="str">
        <f>HYPERLINK("https://twitter.com/bud_firdaus","@bud_firdaus")</f>
        <v>@bud_firdaus</v>
      </c>
      <c r="C38072" t="s">
        <v>15613</v>
      </c>
      <c r="D38072">
        <v>0</v>
      </c>
      <c r="E38072">
        <v>0</v>
      </c>
      <c r="F38072">
        <v>417</v>
      </c>
    </row>
    <row r="38073" spans="1:6" ht="12.75">
      <c r="A38073" s="2">
        <v>43874.994050925925</v>
      </c>
      <c r="B38073" t="str">
        <f>HYPERLINK("https://twitter.com/_ediyusuf","@_ediyusuf")</f>
        <v>@_ediyusuf</v>
      </c>
      <c r="C38073" t="s">
        <v>2122</v>
      </c>
      <c r="D38073">
        <v>163</v>
      </c>
      <c r="E38073">
        <v>0</v>
      </c>
      <c r="F38073">
        <v>423</v>
      </c>
    </row>
    <row r="38074" spans="1:6" ht="12.75">
      <c r="A38074" s="2">
        <v>43874.994039351848</v>
      </c>
      <c r="B38074" t="str">
        <f>HYPERLINK("https://twitter.com/becak125cc","@becak125cc")</f>
        <v>@becak125cc</v>
      </c>
      <c r="C38074" t="s">
        <v>12671</v>
      </c>
      <c r="D38074">
        <v>37</v>
      </c>
      <c r="E38074">
        <v>0</v>
      </c>
      <c r="F38074">
        <v>495</v>
      </c>
    </row>
    <row r="38075" spans="1:6" ht="12.75">
      <c r="A38075" s="2">
        <v>43874.993993055556</v>
      </c>
      <c r="B38075" t="str">
        <f>HYPERLINK("https://twitter.com/Oryzea2","@Oryzea2")</f>
        <v>@Oryzea2</v>
      </c>
      <c r="C38075" t="s">
        <v>4873</v>
      </c>
      <c r="D38075">
        <v>1792</v>
      </c>
      <c r="E38075">
        <v>0</v>
      </c>
      <c r="F38075">
        <v>11</v>
      </c>
    </row>
    <row r="38076" spans="1:6" ht="12.75">
      <c r="A38076" s="2">
        <v>43874.99391203704</v>
      </c>
      <c r="B38076" t="str">
        <f>HYPERLINK("https://twitter.com/UstianaRestian","@UstianaRestian")</f>
        <v>@UstianaRestian</v>
      </c>
      <c r="C38076" t="s">
        <v>75</v>
      </c>
      <c r="D38076">
        <v>0</v>
      </c>
      <c r="E38076">
        <v>0</v>
      </c>
      <c r="F38076">
        <v>613</v>
      </c>
    </row>
    <row r="38077" spans="1:6" ht="12.75">
      <c r="A38077" s="2">
        <v>43874.993900462963</v>
      </c>
      <c r="B38077" t="str">
        <f>HYPERLINK("https://twitter.com/EBidari","@EBidari")</f>
        <v>@EBidari</v>
      </c>
      <c r="C38077" t="s">
        <v>10266</v>
      </c>
      <c r="D38077">
        <v>243</v>
      </c>
      <c r="E38077">
        <v>0</v>
      </c>
      <c r="F38077">
        <v>57</v>
      </c>
    </row>
    <row r="38078" spans="1:6" ht="12.75">
      <c r="A38078" s="2">
        <v>43874.993888888886</v>
      </c>
      <c r="B38078" t="str">
        <f>HYPERLINK("https://twitter.com/MondyJacob","@MondyJacob")</f>
        <v>@MondyJacob</v>
      </c>
      <c r="C38078" t="s">
        <v>9113</v>
      </c>
      <c r="D38078">
        <v>227</v>
      </c>
      <c r="E38078">
        <v>0</v>
      </c>
      <c r="F38078">
        <v>183</v>
      </c>
    </row>
    <row r="38079" spans="1:6" ht="12.75">
      <c r="A38079" s="2">
        <v>43874.993831018517</v>
      </c>
      <c r="B38079" t="str">
        <f>HYPERLINK("https://twitter.com/Politikasyikk","@Politikasyikk")</f>
        <v>@Politikasyikk</v>
      </c>
      <c r="C38079" t="s">
        <v>15614</v>
      </c>
      <c r="D38079">
        <v>0</v>
      </c>
      <c r="E38079">
        <v>0</v>
      </c>
      <c r="F38079">
        <v>21</v>
      </c>
    </row>
    <row r="38080" spans="1:6" ht="12.75">
      <c r="A38080" s="2">
        <v>43874.993773148148</v>
      </c>
      <c r="B38080" t="str">
        <f>HYPERLINK("https://twitter.com/BadjaNuswantara","@BadjaNuswantara")</f>
        <v>@BadjaNuswantara</v>
      </c>
      <c r="C38080" t="s">
        <v>9096</v>
      </c>
      <c r="D38080">
        <v>127</v>
      </c>
      <c r="E38080">
        <v>0</v>
      </c>
      <c r="F38080">
        <v>42256</v>
      </c>
    </row>
    <row r="38081" spans="1:6" ht="12.75">
      <c r="A38081" s="2">
        <v>43874.993680555555</v>
      </c>
      <c r="B38081" t="str">
        <f>HYPERLINK("https://twitter.com/BoehariMarumam2","@BoehariMarumam2")</f>
        <v>@BoehariMarumam2</v>
      </c>
      <c r="C38081" t="s">
        <v>15615</v>
      </c>
      <c r="D38081">
        <v>0</v>
      </c>
      <c r="E38081">
        <v>1</v>
      </c>
      <c r="F38081">
        <v>606</v>
      </c>
    </row>
    <row r="38082" spans="1:6" ht="12.75">
      <c r="A38082" s="2">
        <v>43874.993668981479</v>
      </c>
      <c r="B38082" t="str">
        <f>HYPERLINK("https://twitter.com/Paulus_willy","@Paulus_willy")</f>
        <v>@Paulus_willy</v>
      </c>
      <c r="C38082" t="s">
        <v>15616</v>
      </c>
      <c r="D38082">
        <v>23</v>
      </c>
      <c r="E38082">
        <v>0</v>
      </c>
      <c r="F38082">
        <v>1520</v>
      </c>
    </row>
    <row r="38083" spans="1:6" ht="12.75">
      <c r="A38083" s="2">
        <v>43874.993587962963</v>
      </c>
      <c r="B38083" t="str">
        <f>HYPERLINK("https://twitter.com/Codet61772301","@Codet61772301")</f>
        <v>@Codet61772301</v>
      </c>
      <c r="C38083" t="s">
        <v>10196</v>
      </c>
      <c r="D38083">
        <v>116</v>
      </c>
      <c r="E38083">
        <v>0</v>
      </c>
      <c r="F38083">
        <v>11</v>
      </c>
    </row>
    <row r="38084" spans="1:6" ht="12.75">
      <c r="A38084" s="2">
        <v>43874.993506944447</v>
      </c>
      <c r="B38084" t="str">
        <f>HYPERLINK("https://twitter.com/iniherman2","@iniherman2")</f>
        <v>@iniherman2</v>
      </c>
      <c r="C38084" t="s">
        <v>9119</v>
      </c>
      <c r="D38084">
        <v>39</v>
      </c>
      <c r="E38084">
        <v>0</v>
      </c>
      <c r="F38084">
        <v>336</v>
      </c>
    </row>
    <row r="38085" spans="1:6" ht="12.75">
      <c r="A38085" s="2">
        <v>43874.993402777778</v>
      </c>
      <c r="B38085" t="str">
        <f>HYPERLINK("https://twitter.com/999abrielle","@999abrielle")</f>
        <v>@999abrielle</v>
      </c>
      <c r="C38085" t="s">
        <v>5624</v>
      </c>
      <c r="D38085">
        <v>105</v>
      </c>
      <c r="E38085">
        <v>0</v>
      </c>
      <c r="F38085">
        <v>27</v>
      </c>
    </row>
    <row r="38086" spans="1:6" ht="12.75">
      <c r="A38086" s="2">
        <v>43874.993344907409</v>
      </c>
      <c r="B38086" t="str">
        <f>HYPERLINK("https://twitter.com/jwhsibarani","@jwhsibarani")</f>
        <v>@jwhsibarani</v>
      </c>
      <c r="C38086" t="s">
        <v>10121</v>
      </c>
      <c r="D38086">
        <v>131</v>
      </c>
      <c r="E38086">
        <v>0</v>
      </c>
      <c r="F38086">
        <v>57</v>
      </c>
    </row>
    <row r="38087" spans="1:6" ht="12.75">
      <c r="A38087" s="2">
        <v>43874.993321759262</v>
      </c>
      <c r="B38087" t="str">
        <f>HYPERLINK("https://twitter.com/Epoynono","@Epoynono")</f>
        <v>@Epoynono</v>
      </c>
      <c r="C38087" t="s">
        <v>6837</v>
      </c>
      <c r="D38087">
        <v>5</v>
      </c>
      <c r="E38087">
        <v>0</v>
      </c>
      <c r="F38087">
        <v>271</v>
      </c>
    </row>
    <row r="38088" spans="1:6" ht="12.75">
      <c r="A38088" s="2">
        <v>43874.993321759262</v>
      </c>
      <c r="B38088" t="str">
        <f>HYPERLINK("https://twitter.com/AswinJohan","@AswinJohan")</f>
        <v>@AswinJohan</v>
      </c>
      <c r="C38088" t="s">
        <v>9947</v>
      </c>
      <c r="D38088">
        <v>308</v>
      </c>
      <c r="E38088">
        <v>0</v>
      </c>
      <c r="F38088">
        <v>37</v>
      </c>
    </row>
    <row r="38089" spans="1:6" ht="12.75">
      <c r="A38089" s="2">
        <v>43874.993136574078</v>
      </c>
      <c r="B38089" t="str">
        <f>HYPERLINK("https://twitter.com/Setyabu87910464","@Setyabu87910464")</f>
        <v>@Setyabu87910464</v>
      </c>
      <c r="C38089" t="s">
        <v>15617</v>
      </c>
      <c r="D38089">
        <v>2</v>
      </c>
      <c r="E38089">
        <v>0</v>
      </c>
      <c r="F38089">
        <v>1536</v>
      </c>
    </row>
    <row r="38090" spans="1:6" ht="12.75">
      <c r="A38090" s="2">
        <v>43874.993020833332</v>
      </c>
      <c r="B38090" t="str">
        <f>HYPERLINK("https://twitter.com/DAY6Y0UNGK","@DAY6Y0UNGK")</f>
        <v>@DAY6Y0UNGK</v>
      </c>
      <c r="C38090" t="s">
        <v>9964</v>
      </c>
      <c r="D38090">
        <v>458</v>
      </c>
      <c r="E38090">
        <v>0</v>
      </c>
      <c r="F38090">
        <v>181</v>
      </c>
    </row>
    <row r="38091" spans="1:6" ht="12.75">
      <c r="A38091" s="2">
        <v>43874.993020833332</v>
      </c>
      <c r="B38091" t="str">
        <f>HYPERLINK("https://twitter.com/Epoynono","@Epoynono")</f>
        <v>@Epoynono</v>
      </c>
      <c r="C38091" t="s">
        <v>10196</v>
      </c>
      <c r="D38091">
        <v>116</v>
      </c>
      <c r="E38091">
        <v>0</v>
      </c>
      <c r="F38091">
        <v>271</v>
      </c>
    </row>
    <row r="38092" spans="1:6" ht="12.75">
      <c r="A38092" s="2">
        <v>43874.992951388893</v>
      </c>
      <c r="B38092" t="str">
        <f>HYPERLINK("https://twitter.com/BuchoriSutrisno","@BuchoriSutrisno")</f>
        <v>@BuchoriSutrisno</v>
      </c>
      <c r="C38092" t="s">
        <v>9538</v>
      </c>
      <c r="D38092">
        <v>69</v>
      </c>
      <c r="E38092">
        <v>0</v>
      </c>
      <c r="F38092">
        <v>292</v>
      </c>
    </row>
    <row r="38093" spans="1:6" ht="12.75">
      <c r="A38093" s="2">
        <v>43874.992905092593</v>
      </c>
      <c r="B38093" t="str">
        <f>HYPERLINK("https://twitter.com/Zemie_Net","@Zemie_Net")</f>
        <v>@Zemie_Net</v>
      </c>
      <c r="C38093" t="s">
        <v>12180</v>
      </c>
      <c r="D38093">
        <v>23</v>
      </c>
      <c r="E38093">
        <v>0</v>
      </c>
      <c r="F38093">
        <v>230</v>
      </c>
    </row>
    <row r="38094" spans="1:6" ht="12.75">
      <c r="A38094" s="2">
        <v>43874.992847222224</v>
      </c>
      <c r="B38094" t="str">
        <f>HYPERLINK("https://twitter.com/Epoynono","@Epoynono")</f>
        <v>@Epoynono</v>
      </c>
      <c r="C38094" t="s">
        <v>10266</v>
      </c>
      <c r="D38094">
        <v>243</v>
      </c>
      <c r="E38094">
        <v>0</v>
      </c>
      <c r="F38094">
        <v>271</v>
      </c>
    </row>
    <row r="38095" spans="1:6" ht="12.75">
      <c r="A38095" s="2">
        <v>43874.992812500001</v>
      </c>
      <c r="B38095" t="str">
        <f>HYPERLINK("https://twitter.com/bnasmarmata","@bnasmarmata")</f>
        <v>@bnasmarmata</v>
      </c>
      <c r="C38095" t="s">
        <v>11425</v>
      </c>
      <c r="D38095">
        <v>169</v>
      </c>
      <c r="E38095">
        <v>0</v>
      </c>
      <c r="F38095">
        <v>755</v>
      </c>
    </row>
    <row r="38096" spans="1:6" ht="12.75">
      <c r="A38096" s="2">
        <v>43874.992754629631</v>
      </c>
      <c r="B38096" t="str">
        <f>HYPERLINK("https://twitter.com/vialitarahmani","@vialitarahmani")</f>
        <v>@vialitarahmani</v>
      </c>
      <c r="C38096" t="s">
        <v>5168</v>
      </c>
      <c r="D38096">
        <v>328</v>
      </c>
      <c r="E38096">
        <v>0</v>
      </c>
      <c r="F38096">
        <v>303</v>
      </c>
    </row>
    <row r="38097" spans="1:6" ht="12.75">
      <c r="A38097" s="2">
        <v>43874.992650462962</v>
      </c>
      <c r="B38097" t="str">
        <f>HYPERLINK("https://twitter.com/wiradisuta","@wiradisuta")</f>
        <v>@wiradisuta</v>
      </c>
      <c r="C38097" t="s">
        <v>15618</v>
      </c>
      <c r="D38097">
        <v>0</v>
      </c>
      <c r="E38097">
        <v>0</v>
      </c>
      <c r="F38097">
        <v>1687</v>
      </c>
    </row>
    <row r="38098" spans="1:6" ht="12.75">
      <c r="A38098" s="2">
        <v>43874.992638888885</v>
      </c>
      <c r="B38098" t="str">
        <f>HYPERLINK("https://twitter.com/yennsss","@yennsss")</f>
        <v>@yennsss</v>
      </c>
      <c r="C38098" t="s">
        <v>175</v>
      </c>
      <c r="D38098">
        <v>5209</v>
      </c>
      <c r="E38098">
        <v>0</v>
      </c>
      <c r="F38098">
        <v>520</v>
      </c>
    </row>
    <row r="38099" spans="1:6" ht="12.75">
      <c r="A38099" s="2">
        <v>43874.9925</v>
      </c>
      <c r="B38099" t="str">
        <f>HYPERLINK("https://twitter.com/becak125cc","@becak125cc")</f>
        <v>@becak125cc</v>
      </c>
      <c r="C38099" t="s">
        <v>11733</v>
      </c>
      <c r="D38099">
        <v>64</v>
      </c>
      <c r="E38099">
        <v>0</v>
      </c>
      <c r="F38099">
        <v>495</v>
      </c>
    </row>
    <row r="38100" spans="1:6" ht="12.75">
      <c r="A38100" s="2">
        <v>43874.9924537037</v>
      </c>
      <c r="B38100" t="str">
        <f>HYPERLINK("https://twitter.com/roni_prastiawan","@roni_prastiawan")</f>
        <v>@roni_prastiawan</v>
      </c>
      <c r="C38100" t="s">
        <v>11566</v>
      </c>
      <c r="D38100">
        <v>92</v>
      </c>
      <c r="E38100">
        <v>0</v>
      </c>
      <c r="F38100">
        <v>262</v>
      </c>
    </row>
    <row r="38101" spans="1:6" ht="12.75">
      <c r="A38101" s="2">
        <v>43874.99217592593</v>
      </c>
      <c r="B38101" t="str">
        <f t="shared" ref="B38101:B38103" si="442">HYPERLINK("https://twitter.com/Epoynono","@Epoynono")</f>
        <v>@Epoynono</v>
      </c>
      <c r="C38101" t="s">
        <v>8881</v>
      </c>
      <c r="D38101">
        <v>242</v>
      </c>
      <c r="E38101">
        <v>0</v>
      </c>
      <c r="F38101">
        <v>271</v>
      </c>
    </row>
    <row r="38102" spans="1:6" ht="12.75">
      <c r="A38102" s="2">
        <v>43874.992118055554</v>
      </c>
      <c r="B38102" t="str">
        <f t="shared" si="442"/>
        <v>@Epoynono</v>
      </c>
      <c r="C38102" t="s">
        <v>14602</v>
      </c>
      <c r="D38102">
        <v>47</v>
      </c>
      <c r="E38102">
        <v>0</v>
      </c>
      <c r="F38102">
        <v>271</v>
      </c>
    </row>
    <row r="38103" spans="1:6" ht="12.75">
      <c r="A38103" s="2">
        <v>43874.992048611108</v>
      </c>
      <c r="B38103" t="str">
        <f t="shared" si="442"/>
        <v>@Epoynono</v>
      </c>
      <c r="C38103" t="s">
        <v>10462</v>
      </c>
      <c r="D38103">
        <v>220</v>
      </c>
      <c r="E38103">
        <v>0</v>
      </c>
      <c r="F38103">
        <v>271</v>
      </c>
    </row>
    <row r="38104" spans="1:6" ht="12.75">
      <c r="A38104" s="2">
        <v>43874.991967592592</v>
      </c>
      <c r="B38104" t="str">
        <f>HYPERLINK("https://twitter.com/Horizon32636692","@Horizon32636692")</f>
        <v>@Horizon32636692</v>
      </c>
      <c r="C38104" t="s">
        <v>15619</v>
      </c>
      <c r="D38104">
        <v>16</v>
      </c>
      <c r="E38104">
        <v>0</v>
      </c>
      <c r="F38104">
        <v>273</v>
      </c>
    </row>
    <row r="38105" spans="1:6" ht="12.75">
      <c r="A38105" s="2">
        <v>43874.991909722223</v>
      </c>
      <c r="B38105" t="str">
        <f>HYPERLINK("https://twitter.com/putkup_","@putkup_")</f>
        <v>@putkup_</v>
      </c>
      <c r="C38105" t="s">
        <v>5168</v>
      </c>
      <c r="D38105">
        <v>328</v>
      </c>
      <c r="E38105">
        <v>0</v>
      </c>
      <c r="F38105">
        <v>1474</v>
      </c>
    </row>
    <row r="38106" spans="1:6" ht="12.75">
      <c r="A38106" s="2">
        <v>43874.991886574076</v>
      </c>
      <c r="B38106" t="str">
        <f>HYPERLINK("https://twitter.com/shaveria8","@shaveria8")</f>
        <v>@shaveria8</v>
      </c>
      <c r="C38106" t="s">
        <v>15620</v>
      </c>
      <c r="D38106">
        <v>1</v>
      </c>
      <c r="E38106">
        <v>0</v>
      </c>
      <c r="F38106">
        <v>14</v>
      </c>
    </row>
    <row r="38107" spans="1:6" ht="12.75">
      <c r="A38107" s="2">
        <v>43874.991886574076</v>
      </c>
      <c r="B38107" t="str">
        <f>HYPERLINK("https://twitter.com/BaruMasuk8","@BaruMasuk8")</f>
        <v>@BaruMasuk8</v>
      </c>
      <c r="C38107" t="s">
        <v>15621</v>
      </c>
      <c r="D38107">
        <v>0</v>
      </c>
      <c r="E38107">
        <v>0</v>
      </c>
      <c r="F38107">
        <v>4</v>
      </c>
    </row>
    <row r="38108" spans="1:6" ht="12.75">
      <c r="A38108" s="2">
        <v>43874.991759259261</v>
      </c>
      <c r="B38108" t="str">
        <f>HYPERLINK("https://twitter.com/waendhut","@waendhut")</f>
        <v>@waendhut</v>
      </c>
      <c r="C38108" t="s">
        <v>9113</v>
      </c>
      <c r="D38108">
        <v>227</v>
      </c>
      <c r="E38108">
        <v>0</v>
      </c>
      <c r="F38108">
        <v>2293</v>
      </c>
    </row>
    <row r="38109" spans="1:6" ht="12.75">
      <c r="A38109" s="2">
        <v>43874.991666666669</v>
      </c>
      <c r="B38109" t="str">
        <f>HYPERLINK("https://twitter.com/ogielord","@ogielord")</f>
        <v>@ogielord</v>
      </c>
      <c r="C38109" t="s">
        <v>11425</v>
      </c>
      <c r="D38109">
        <v>169</v>
      </c>
      <c r="E38109">
        <v>0</v>
      </c>
      <c r="F38109">
        <v>1337</v>
      </c>
    </row>
    <row r="38110" spans="1:6" ht="12.75">
      <c r="A38110" s="2">
        <v>43874.991643518515</v>
      </c>
      <c r="B38110" t="str">
        <f>HYPERLINK("https://twitter.com/MasTrimo9","@MasTrimo9")</f>
        <v>@MasTrimo9</v>
      </c>
      <c r="C38110" t="s">
        <v>9119</v>
      </c>
      <c r="D38110">
        <v>39</v>
      </c>
      <c r="E38110">
        <v>0</v>
      </c>
      <c r="F38110">
        <v>275</v>
      </c>
    </row>
    <row r="38111" spans="1:6" ht="12.75">
      <c r="A38111" s="2">
        <v>43874.991562499999</v>
      </c>
      <c r="B38111" t="str">
        <f>HYPERLINK("https://twitter.com/gunatthaphanda","@gunatthaphanda")</f>
        <v>@gunatthaphanda</v>
      </c>
      <c r="C38111" t="s">
        <v>11167</v>
      </c>
      <c r="D38111">
        <v>150</v>
      </c>
      <c r="E38111">
        <v>0</v>
      </c>
      <c r="F38111">
        <v>827</v>
      </c>
    </row>
    <row r="38112" spans="1:6" ht="12.75">
      <c r="A38112" s="2">
        <v>43874.991435185184</v>
      </c>
      <c r="B38112" t="str">
        <f>HYPERLINK("https://twitter.com/faqirah82","@faqirah82")</f>
        <v>@faqirah82</v>
      </c>
      <c r="C38112" t="s">
        <v>9096</v>
      </c>
      <c r="D38112">
        <v>127</v>
      </c>
      <c r="E38112">
        <v>0</v>
      </c>
      <c r="F38112">
        <v>1782</v>
      </c>
    </row>
    <row r="38113" spans="1:6" ht="12.75">
      <c r="A38113" s="2">
        <v>43874.991423611107</v>
      </c>
      <c r="B38113" t="str">
        <f>HYPERLINK("https://twitter.com/vorsia16","@vorsia16")</f>
        <v>@vorsia16</v>
      </c>
      <c r="C38113" t="s">
        <v>10196</v>
      </c>
      <c r="D38113">
        <v>116</v>
      </c>
      <c r="E38113">
        <v>0</v>
      </c>
      <c r="F38113">
        <v>16</v>
      </c>
    </row>
    <row r="38114" spans="1:6" ht="12.75">
      <c r="A38114" s="2">
        <v>43874.991319444445</v>
      </c>
      <c r="B38114" t="str">
        <f>HYPERLINK("https://twitter.com/indah_dewii","@indah_dewii")</f>
        <v>@indah_dewii</v>
      </c>
      <c r="C38114" t="s">
        <v>175</v>
      </c>
      <c r="D38114">
        <v>5209</v>
      </c>
      <c r="E38114">
        <v>0</v>
      </c>
      <c r="F38114">
        <v>284</v>
      </c>
    </row>
    <row r="38115" spans="1:6" ht="12.75">
      <c r="A38115" s="2">
        <v>43874.991307870368</v>
      </c>
      <c r="B38115" t="str">
        <f>HYPERLINK("https://twitter.com/danieliqbale","@danieliqbale")</f>
        <v>@danieliqbale</v>
      </c>
      <c r="C38115" t="s">
        <v>12427</v>
      </c>
      <c r="D38115">
        <v>329</v>
      </c>
      <c r="E38115">
        <v>0</v>
      </c>
      <c r="F38115">
        <v>557</v>
      </c>
    </row>
    <row r="38116" spans="1:6" ht="12.75">
      <c r="A38116" s="2">
        <v>43874.991307870368</v>
      </c>
      <c r="B38116" t="str">
        <f>HYPERLINK("https://twitter.com/rofvania","@rofvania")</f>
        <v>@rofvania</v>
      </c>
      <c r="C38116" t="s">
        <v>9021</v>
      </c>
      <c r="D38116">
        <v>128</v>
      </c>
      <c r="E38116">
        <v>0</v>
      </c>
      <c r="F38116">
        <v>1032</v>
      </c>
    </row>
    <row r="38117" spans="1:6" ht="12.75">
      <c r="A38117" s="2">
        <v>43874.991261574076</v>
      </c>
      <c r="B38117" t="str">
        <f>HYPERLINK("https://twitter.com/gunoto777","@gunoto777")</f>
        <v>@gunoto777</v>
      </c>
      <c r="C38117" t="s">
        <v>10266</v>
      </c>
      <c r="D38117">
        <v>243</v>
      </c>
      <c r="E38117">
        <v>0</v>
      </c>
      <c r="F38117">
        <v>1038</v>
      </c>
    </row>
    <row r="38118" spans="1:6" ht="12.75">
      <c r="A38118" s="2">
        <v>43874.991203703699</v>
      </c>
      <c r="B38118" t="str">
        <f>HYPERLINK("https://twitter.com/farfifah","@farfifah")</f>
        <v>@farfifah</v>
      </c>
      <c r="C38118" t="s">
        <v>15622</v>
      </c>
      <c r="D38118">
        <v>0</v>
      </c>
      <c r="E38118">
        <v>0</v>
      </c>
      <c r="F38118">
        <v>53</v>
      </c>
    </row>
    <row r="38119" spans="1:6" ht="12.75">
      <c r="A38119" s="2">
        <v>43874.991168981476</v>
      </c>
      <c r="B38119" t="str">
        <f>HYPERLINK("https://twitter.com/Usep210","@Usep210")</f>
        <v>@Usep210</v>
      </c>
      <c r="C38119" t="s">
        <v>14228</v>
      </c>
      <c r="D38119">
        <v>14</v>
      </c>
      <c r="E38119">
        <v>0</v>
      </c>
      <c r="F38119">
        <v>4756</v>
      </c>
    </row>
    <row r="38120" spans="1:6" ht="12.75">
      <c r="A38120" s="2">
        <v>43874.991157407407</v>
      </c>
      <c r="B38120" t="str">
        <f>HYPERLINK("https://twitter.com/diyanboim","@diyanboim")</f>
        <v>@diyanboim</v>
      </c>
      <c r="C38120" t="s">
        <v>8233</v>
      </c>
      <c r="D38120">
        <v>243</v>
      </c>
      <c r="E38120">
        <v>0</v>
      </c>
      <c r="F38120">
        <v>801</v>
      </c>
    </row>
    <row r="38121" spans="1:6" ht="12.75">
      <c r="A38121" s="2">
        <v>43874.991087962961</v>
      </c>
      <c r="B38121" t="str">
        <f>HYPERLINK("https://twitter.com/DatuakAtuk","@DatuakAtuk")</f>
        <v>@DatuakAtuk</v>
      </c>
      <c r="C38121" t="s">
        <v>15623</v>
      </c>
      <c r="D38121">
        <v>0</v>
      </c>
      <c r="E38121">
        <v>1</v>
      </c>
      <c r="F38121">
        <v>644</v>
      </c>
    </row>
    <row r="38122" spans="1:6" ht="12.75">
      <c r="A38122" s="2">
        <v>43874.991076388891</v>
      </c>
      <c r="B38122" t="str">
        <f>HYPERLINK("https://twitter.com/BaliHanafi","@BaliHanafi")</f>
        <v>@BaliHanafi</v>
      </c>
      <c r="C38122" t="s">
        <v>15624</v>
      </c>
      <c r="D38122">
        <v>898</v>
      </c>
      <c r="E38122">
        <v>0</v>
      </c>
      <c r="F38122">
        <v>402</v>
      </c>
    </row>
    <row r="38123" spans="1:6" ht="12.75">
      <c r="A38123" s="2">
        <v>43874.991064814814</v>
      </c>
      <c r="B38123" t="str">
        <f>HYPERLINK("https://twitter.com/gunoto777","@gunoto777")</f>
        <v>@gunoto777</v>
      </c>
      <c r="C38123" t="s">
        <v>12279</v>
      </c>
      <c r="D38123">
        <v>51</v>
      </c>
      <c r="E38123">
        <v>0</v>
      </c>
      <c r="F38123">
        <v>1038</v>
      </c>
    </row>
    <row r="38124" spans="1:6" ht="12.75">
      <c r="A38124" s="2">
        <v>43874.991041666668</v>
      </c>
      <c r="B38124" t="str">
        <f>HYPERLINK("https://twitter.com/Hian76061213","@Hian76061213")</f>
        <v>@Hian76061213</v>
      </c>
      <c r="C38124" t="s">
        <v>14573</v>
      </c>
      <c r="D38124">
        <v>48</v>
      </c>
      <c r="E38124">
        <v>0</v>
      </c>
      <c r="F38124">
        <v>83</v>
      </c>
    </row>
    <row r="38125" spans="1:6" ht="12.75">
      <c r="A38125" s="2">
        <v>43874.991006944445</v>
      </c>
      <c r="B38125" t="str">
        <f>HYPERLINK("https://twitter.com/ZulfikarZ4karia","@ZulfikarZ4karia")</f>
        <v>@ZulfikarZ4karia</v>
      </c>
      <c r="C38125" t="s">
        <v>14213</v>
      </c>
      <c r="D38125">
        <v>30</v>
      </c>
      <c r="E38125">
        <v>0</v>
      </c>
      <c r="F38125">
        <v>1653</v>
      </c>
    </row>
    <row r="38126" spans="1:6" ht="12.75">
      <c r="A38126" s="2">
        <v>43874.990949074076</v>
      </c>
      <c r="B38126" t="str">
        <f>HYPERLINK("https://twitter.com/HasanVeryl","@HasanVeryl")</f>
        <v>@HasanVeryl</v>
      </c>
      <c r="C38126" t="s">
        <v>15625</v>
      </c>
      <c r="D38126">
        <v>1</v>
      </c>
      <c r="E38126">
        <v>0</v>
      </c>
      <c r="F38126">
        <v>91</v>
      </c>
    </row>
    <row r="38127" spans="1:6" ht="12.75">
      <c r="A38127" s="2">
        <v>43874.990937499999</v>
      </c>
      <c r="B38127" t="str">
        <f>HYPERLINK("https://twitter.com/becak125cc","@becak125cc")</f>
        <v>@becak125cc</v>
      </c>
      <c r="C38127" t="s">
        <v>15562</v>
      </c>
      <c r="D38127">
        <v>44</v>
      </c>
      <c r="E38127">
        <v>0</v>
      </c>
      <c r="F38127">
        <v>495</v>
      </c>
    </row>
    <row r="38128" spans="1:6" ht="12.75">
      <c r="A38128" s="2">
        <v>43874.990694444445</v>
      </c>
      <c r="B38128" t="str">
        <f>HYPERLINK("https://twitter.com/saktindra85","@saktindra85")</f>
        <v>@saktindra85</v>
      </c>
      <c r="C38128" t="s">
        <v>9113</v>
      </c>
      <c r="D38128">
        <v>227</v>
      </c>
      <c r="E38128">
        <v>0</v>
      </c>
      <c r="F38128">
        <v>448</v>
      </c>
    </row>
    <row r="38129" spans="1:6" ht="12.75">
      <c r="A38129" s="2">
        <v>43874.990682870368</v>
      </c>
      <c r="B38129" t="str">
        <f>HYPERLINK("https://twitter.com/eddies_song","@eddies_song")</f>
        <v>@eddies_song</v>
      </c>
      <c r="C38129" t="s">
        <v>10330</v>
      </c>
      <c r="D38129">
        <v>184</v>
      </c>
      <c r="E38129">
        <v>0</v>
      </c>
      <c r="F38129">
        <v>1232</v>
      </c>
    </row>
    <row r="38130" spans="1:6" ht="12.75">
      <c r="A38130" s="2">
        <v>43874.990601851852</v>
      </c>
      <c r="B38130" t="str">
        <f>HYPERLINK("https://twitter.com/becak125cc","@becak125cc")</f>
        <v>@becak125cc</v>
      </c>
      <c r="C38130" t="s">
        <v>10319</v>
      </c>
      <c r="D38130">
        <v>139</v>
      </c>
      <c r="E38130">
        <v>0</v>
      </c>
      <c r="F38130">
        <v>495</v>
      </c>
    </row>
    <row r="38131" spans="1:6" ht="12.75">
      <c r="A38131" s="2">
        <v>43874.990590277783</v>
      </c>
      <c r="B38131" t="str">
        <f>HYPERLINK("https://twitter.com/bnasmarmata","@bnasmarmata")</f>
        <v>@bnasmarmata</v>
      </c>
      <c r="C38131" t="s">
        <v>10266</v>
      </c>
      <c r="D38131">
        <v>243</v>
      </c>
      <c r="E38131">
        <v>0</v>
      </c>
      <c r="F38131">
        <v>755</v>
      </c>
    </row>
    <row r="38132" spans="1:6" ht="12.75">
      <c r="A38132" s="2">
        <v>43874.990578703699</v>
      </c>
      <c r="B38132" t="str">
        <f>HYPERLINK("https://twitter.com/DamaiituindahN","@DamaiituindahN")</f>
        <v>@DamaiituindahN</v>
      </c>
      <c r="C38132" t="s">
        <v>9113</v>
      </c>
      <c r="D38132">
        <v>227</v>
      </c>
      <c r="E38132">
        <v>0</v>
      </c>
      <c r="F38132">
        <v>138</v>
      </c>
    </row>
    <row r="38133" spans="1:6" ht="12.75">
      <c r="A38133" s="2">
        <v>43874.990578703699</v>
      </c>
      <c r="B38133" t="str">
        <f>HYPERLINK("https://twitter.com/Izaifshfy","@Izaifshfy")</f>
        <v>@Izaifshfy</v>
      </c>
      <c r="C38133" t="s">
        <v>15626</v>
      </c>
      <c r="D38133">
        <v>195</v>
      </c>
      <c r="E38133">
        <v>0</v>
      </c>
      <c r="F38133">
        <v>5</v>
      </c>
    </row>
    <row r="38134" spans="1:6" ht="12.75">
      <c r="A38134" s="2">
        <v>43874.990567129629</v>
      </c>
      <c r="B38134" t="str">
        <f>HYPERLINK("https://twitter.com/Yuda068","@Yuda068")</f>
        <v>@Yuda068</v>
      </c>
      <c r="C38134" t="s">
        <v>7803</v>
      </c>
      <c r="D38134">
        <v>287</v>
      </c>
      <c r="E38134">
        <v>0</v>
      </c>
      <c r="F38134">
        <v>7513</v>
      </c>
    </row>
    <row r="38135" spans="1:6" ht="12.75">
      <c r="A38135" s="2">
        <v>43874.990439814814</v>
      </c>
      <c r="B38135" t="str">
        <f>HYPERLINK("https://twitter.com/Zulfika35354359","@Zulfika35354359")</f>
        <v>@Zulfika35354359</v>
      </c>
      <c r="C38135" t="s">
        <v>11322</v>
      </c>
      <c r="D38135">
        <v>55</v>
      </c>
      <c r="E38135">
        <v>0</v>
      </c>
      <c r="F38135">
        <v>1899</v>
      </c>
    </row>
    <row r="38136" spans="1:6" ht="12.75">
      <c r="A38136" s="2">
        <v>43874.990381944444</v>
      </c>
      <c r="B38136" t="str">
        <f>HYPERLINK("https://twitter.com/ISIS_Balik_NO","@ISIS_Balik_NO")</f>
        <v>@ISIS_Balik_NO</v>
      </c>
      <c r="C38136" t="s">
        <v>15627</v>
      </c>
      <c r="D38136">
        <v>4348</v>
      </c>
      <c r="E38136">
        <v>0</v>
      </c>
      <c r="F38136">
        <v>5890</v>
      </c>
    </row>
    <row r="38137" spans="1:6" ht="12.75">
      <c r="A38137" s="2">
        <v>43874.990381944444</v>
      </c>
      <c r="B38137" t="str">
        <f>HYPERLINK("https://twitter.com/mamihanafi","@mamihanafi")</f>
        <v>@mamihanafi</v>
      </c>
      <c r="C38137" t="s">
        <v>8394</v>
      </c>
      <c r="D38137">
        <v>21</v>
      </c>
      <c r="E38137">
        <v>0</v>
      </c>
      <c r="F38137">
        <v>1455</v>
      </c>
    </row>
    <row r="38138" spans="1:6" ht="12.75">
      <c r="A38138" s="2">
        <v>43874.990370370375</v>
      </c>
      <c r="B38138" t="str">
        <f>HYPERLINK("https://twitter.com/trenzsolo","@trenzsolo")</f>
        <v>@trenzsolo</v>
      </c>
      <c r="C38138" t="s">
        <v>15628</v>
      </c>
      <c r="D38138">
        <v>0</v>
      </c>
      <c r="E38138">
        <v>1</v>
      </c>
      <c r="F38138">
        <v>1285</v>
      </c>
    </row>
    <row r="38139" spans="1:6" ht="12.75">
      <c r="A38139" s="2">
        <v>43874.990335648152</v>
      </c>
      <c r="B38139" t="str">
        <f>HYPERLINK("https://twitter.com/Arik_Way","@Arik_Way")</f>
        <v>@Arik_Way</v>
      </c>
      <c r="C38139" t="s">
        <v>7803</v>
      </c>
      <c r="D38139">
        <v>287</v>
      </c>
      <c r="E38139">
        <v>0</v>
      </c>
      <c r="F38139">
        <v>50</v>
      </c>
    </row>
    <row r="38140" spans="1:6" ht="12.75">
      <c r="A38140" s="2">
        <v>43874.99019675926</v>
      </c>
      <c r="B38140" t="str">
        <f>HYPERLINK("https://twitter.com/susandia_w","@susandia_w")</f>
        <v>@susandia_w</v>
      </c>
      <c r="C38140" t="s">
        <v>12940</v>
      </c>
      <c r="D38140">
        <v>92</v>
      </c>
      <c r="E38140">
        <v>0</v>
      </c>
      <c r="F38140">
        <v>35</v>
      </c>
    </row>
    <row r="38141" spans="1:6" ht="12.75">
      <c r="A38141" s="2">
        <v>43874.990173611106</v>
      </c>
      <c r="B38141" t="str">
        <f>HYPERLINK("https://twitter.com/hp_astoro","@hp_astoro")</f>
        <v>@hp_astoro</v>
      </c>
      <c r="C38141" t="s">
        <v>14573</v>
      </c>
      <c r="D38141">
        <v>48</v>
      </c>
      <c r="E38141">
        <v>0</v>
      </c>
      <c r="F38141">
        <v>641</v>
      </c>
    </row>
    <row r="38142" spans="1:6" ht="12.75">
      <c r="A38142" s="2">
        <v>43874.99013888889</v>
      </c>
      <c r="B38142" t="str">
        <f>HYPERLINK("https://twitter.com/rismaaaaaaaaa_","@rismaaaaaaaaa_")</f>
        <v>@rismaaaaaaaaa_</v>
      </c>
      <c r="C38142" t="s">
        <v>9021</v>
      </c>
      <c r="D38142">
        <v>128</v>
      </c>
      <c r="E38142">
        <v>0</v>
      </c>
      <c r="F38142">
        <v>822</v>
      </c>
    </row>
    <row r="38143" spans="1:6" ht="12.75">
      <c r="A38143" s="2">
        <v>43874.990081018521</v>
      </c>
      <c r="B38143" t="str">
        <f>HYPERLINK("https://twitter.com/DutaHapsara","@DutaHapsara")</f>
        <v>@DutaHapsara</v>
      </c>
      <c r="C38143" t="s">
        <v>11330</v>
      </c>
      <c r="D38143">
        <v>110</v>
      </c>
      <c r="E38143">
        <v>0</v>
      </c>
      <c r="F38143">
        <v>3036</v>
      </c>
    </row>
    <row r="38144" spans="1:6" ht="12.75">
      <c r="A38144" s="2">
        <v>43874.990023148144</v>
      </c>
      <c r="B38144" t="str">
        <f>HYPERLINK("https://twitter.com/denisuharyanto1","@denisuharyanto1")</f>
        <v>@denisuharyanto1</v>
      </c>
      <c r="C38144" t="s">
        <v>11764</v>
      </c>
      <c r="D38144">
        <v>24</v>
      </c>
      <c r="E38144">
        <v>0</v>
      </c>
      <c r="F38144">
        <v>125</v>
      </c>
    </row>
    <row r="38145" spans="1:6" ht="12.75">
      <c r="A38145" s="2">
        <v>43874.989930555559</v>
      </c>
      <c r="B38145" t="str">
        <f>HYPERLINK("https://twitter.com/WahyudinSh24","@WahyudinSh24")</f>
        <v>@WahyudinSh24</v>
      </c>
      <c r="C38145" t="s">
        <v>15629</v>
      </c>
      <c r="D38145">
        <v>0</v>
      </c>
      <c r="E38145">
        <v>0</v>
      </c>
      <c r="F38145">
        <v>133</v>
      </c>
    </row>
    <row r="38146" spans="1:6" ht="12.75">
      <c r="A38146" s="2">
        <v>43874.989791666667</v>
      </c>
      <c r="B38146" t="str">
        <f>HYPERLINK("https://twitter.com/sriagustinisin1","@sriagustinisin1")</f>
        <v>@sriagustinisin1</v>
      </c>
      <c r="C38146" t="s">
        <v>9113</v>
      </c>
      <c r="D38146">
        <v>227</v>
      </c>
      <c r="E38146">
        <v>0</v>
      </c>
      <c r="F38146">
        <v>0</v>
      </c>
    </row>
    <row r="38147" spans="1:6" ht="12.75">
      <c r="A38147" s="2">
        <v>43874.989768518513</v>
      </c>
      <c r="B38147" t="str">
        <f>HYPERLINK("https://twitter.com/ccaesarsaladd","@ccaesarsaladd")</f>
        <v>@ccaesarsaladd</v>
      </c>
      <c r="C38147" t="s">
        <v>8233</v>
      </c>
      <c r="D38147">
        <v>243</v>
      </c>
      <c r="E38147">
        <v>0</v>
      </c>
      <c r="F38147">
        <v>1061</v>
      </c>
    </row>
    <row r="38148" spans="1:6" ht="12.75">
      <c r="A38148" s="2">
        <v>43874.989768518513</v>
      </c>
      <c r="B38148" t="str">
        <f>HYPERLINK("https://twitter.com/Dr_Moulin","@Dr_Moulin")</f>
        <v>@Dr_Moulin</v>
      </c>
      <c r="C38148" t="s">
        <v>15630</v>
      </c>
      <c r="D38148">
        <v>0</v>
      </c>
      <c r="E38148">
        <v>1</v>
      </c>
      <c r="F38148">
        <v>177</v>
      </c>
    </row>
    <row r="38149" spans="1:6" ht="12.75">
      <c r="A38149" s="2">
        <v>43874.989710648151</v>
      </c>
      <c r="B38149" t="str">
        <f>HYPERLINK("https://twitter.com/NicoNugraha","@NicoNugraha")</f>
        <v>@NicoNugraha</v>
      </c>
      <c r="C38149" t="s">
        <v>15631</v>
      </c>
      <c r="D38149">
        <v>0</v>
      </c>
      <c r="E38149">
        <v>0</v>
      </c>
      <c r="F38149">
        <v>419</v>
      </c>
    </row>
    <row r="38150" spans="1:6" ht="12.75">
      <c r="A38150" s="2">
        <v>43874.989652777775</v>
      </c>
      <c r="B38150" t="str">
        <f>HYPERLINK("https://twitter.com/Alfian54449262","@Alfian54449262")</f>
        <v>@Alfian54449262</v>
      </c>
      <c r="C38150" t="s">
        <v>15632</v>
      </c>
      <c r="D38150">
        <v>2</v>
      </c>
      <c r="E38150">
        <v>0</v>
      </c>
      <c r="F38150">
        <v>136</v>
      </c>
    </row>
    <row r="38151" spans="1:6" ht="12.75">
      <c r="A38151" s="2">
        <v>43874.989502314813</v>
      </c>
      <c r="B38151" t="str">
        <f>HYPERLINK("https://twitter.com/Uki23","@Uki23")</f>
        <v>@Uki23</v>
      </c>
      <c r="C38151" t="s">
        <v>15633</v>
      </c>
      <c r="D38151">
        <v>0</v>
      </c>
      <c r="E38151">
        <v>0</v>
      </c>
      <c r="F38151">
        <v>29024</v>
      </c>
    </row>
    <row r="38152" spans="1:6" ht="12.75">
      <c r="A38152" s="2">
        <v>43874.98946759259</v>
      </c>
      <c r="B38152" t="str">
        <f>HYPERLINK("https://twitter.com/becak125cc","@becak125cc")</f>
        <v>@becak125cc</v>
      </c>
      <c r="C38152" t="s">
        <v>14584</v>
      </c>
      <c r="D38152">
        <v>32</v>
      </c>
      <c r="E38152">
        <v>0</v>
      </c>
      <c r="F38152">
        <v>495</v>
      </c>
    </row>
    <row r="38153" spans="1:6" ht="12.75">
      <c r="A38153" s="2">
        <v>43874.989432870367</v>
      </c>
      <c r="B38153" t="str">
        <f>HYPERLINK("https://twitter.com/mielkyadwi","@mielkyadwi")</f>
        <v>@mielkyadwi</v>
      </c>
      <c r="C38153" t="s">
        <v>15634</v>
      </c>
      <c r="D38153">
        <v>0</v>
      </c>
      <c r="E38153">
        <v>1</v>
      </c>
      <c r="F38153">
        <v>279</v>
      </c>
    </row>
    <row r="38154" spans="1:6" ht="12.75">
      <c r="A38154" s="2">
        <v>43874.989386574074</v>
      </c>
      <c r="B38154" t="str">
        <f>HYPERLINK("https://twitter.com/mukabahagia","@mukabahagia")</f>
        <v>@mukabahagia</v>
      </c>
      <c r="C38154" t="s">
        <v>7803</v>
      </c>
      <c r="D38154">
        <v>287</v>
      </c>
      <c r="E38154">
        <v>0</v>
      </c>
      <c r="F38154">
        <v>1146</v>
      </c>
    </row>
    <row r="38155" spans="1:6" ht="12.75">
      <c r="A38155" s="2">
        <v>43874.989375000005</v>
      </c>
      <c r="B38155" t="str">
        <f>HYPERLINK("https://twitter.com/SBak4r","@SBak4r")</f>
        <v>@SBak4r</v>
      </c>
      <c r="C38155" t="s">
        <v>15635</v>
      </c>
      <c r="D38155">
        <v>0</v>
      </c>
      <c r="E38155">
        <v>1</v>
      </c>
      <c r="F38155">
        <v>97</v>
      </c>
    </row>
    <row r="38156" spans="1:6" ht="12.75">
      <c r="A38156" s="2">
        <v>43874.989270833335</v>
      </c>
      <c r="B38156" t="str">
        <f>HYPERLINK("https://twitter.com/AlexanderGantos","@AlexanderGantos")</f>
        <v>@AlexanderGantos</v>
      </c>
      <c r="C38156" t="s">
        <v>53</v>
      </c>
      <c r="D38156">
        <v>0</v>
      </c>
      <c r="E38156">
        <v>0</v>
      </c>
      <c r="F38156">
        <v>231</v>
      </c>
    </row>
    <row r="38157" spans="1:6" ht="12.75">
      <c r="A38157" s="2">
        <v>43874.989247685182</v>
      </c>
      <c r="B38157" t="str">
        <f>HYPERLINK("https://twitter.com/whisktea","@whisktea")</f>
        <v>@whisktea</v>
      </c>
      <c r="C38157" t="s">
        <v>5168</v>
      </c>
      <c r="D38157">
        <v>328</v>
      </c>
      <c r="E38157">
        <v>0</v>
      </c>
      <c r="F38157">
        <v>424</v>
      </c>
    </row>
    <row r="38158" spans="1:6" ht="12.75">
      <c r="A38158" s="2">
        <v>43874.989212962959</v>
      </c>
      <c r="B38158" t="str">
        <f>HYPERLINK("https://twitter.com/rifkimiftahh","@rifkimiftahh")</f>
        <v>@rifkimiftahh</v>
      </c>
      <c r="C38158" t="s">
        <v>5168</v>
      </c>
      <c r="D38158">
        <v>328</v>
      </c>
      <c r="E38158">
        <v>0</v>
      </c>
      <c r="F38158">
        <v>139</v>
      </c>
    </row>
    <row r="38159" spans="1:6" ht="12.75">
      <c r="A38159" s="2">
        <v>43874.988865740743</v>
      </c>
      <c r="B38159" t="str">
        <f>HYPERLINK("https://twitter.com/IGANSulastrini","@IGANSulastrini")</f>
        <v>@IGANSulastrini</v>
      </c>
      <c r="C38159" t="s">
        <v>15636</v>
      </c>
      <c r="D38159">
        <v>1</v>
      </c>
      <c r="E38159">
        <v>0</v>
      </c>
      <c r="F38159">
        <v>3488</v>
      </c>
    </row>
    <row r="38160" spans="1:6" ht="12.75">
      <c r="A38160" s="2">
        <v>43874.988807870366</v>
      </c>
      <c r="B38160" t="str">
        <f>HYPERLINK("https://twitter.com/Yuda068","@Yuda068")</f>
        <v>@Yuda068</v>
      </c>
      <c r="C38160" t="s">
        <v>8233</v>
      </c>
      <c r="D38160">
        <v>243</v>
      </c>
      <c r="E38160">
        <v>0</v>
      </c>
      <c r="F38160">
        <v>7513</v>
      </c>
    </row>
    <row r="38161" spans="1:6" ht="12.75">
      <c r="A38161" s="2">
        <v>43874.988796296297</v>
      </c>
      <c r="B38161" t="str">
        <f>HYPERLINK("https://twitter.com/IGANSulastrini","@IGANSulastrini")</f>
        <v>@IGANSulastrini</v>
      </c>
      <c r="C38161" t="s">
        <v>15637</v>
      </c>
      <c r="D38161">
        <v>1</v>
      </c>
      <c r="E38161">
        <v>0</v>
      </c>
      <c r="F38161">
        <v>3488</v>
      </c>
    </row>
    <row r="38162" spans="1:6" ht="12.75">
      <c r="A38162" s="2">
        <v>43874.988750000004</v>
      </c>
      <c r="B38162" t="str">
        <f>HYPERLINK("https://twitter.com/gunoto777","@gunoto777")</f>
        <v>@gunoto777</v>
      </c>
      <c r="C38162" t="s">
        <v>3038</v>
      </c>
      <c r="D38162">
        <v>99</v>
      </c>
      <c r="E38162">
        <v>0</v>
      </c>
      <c r="F38162">
        <v>1038</v>
      </c>
    </row>
    <row r="38163" spans="1:6" ht="12.75">
      <c r="A38163" s="2">
        <v>43874.988668981481</v>
      </c>
      <c r="B38163" t="str">
        <f>HYPERLINK("https://twitter.com/GASSPOL12","@GASSPOL12")</f>
        <v>@GASSPOL12</v>
      </c>
      <c r="C38163" t="s">
        <v>9096</v>
      </c>
      <c r="D38163">
        <v>127</v>
      </c>
      <c r="E38163">
        <v>0</v>
      </c>
      <c r="F38163">
        <v>113</v>
      </c>
    </row>
    <row r="38164" spans="1:6" ht="12.75">
      <c r="A38164" s="2">
        <v>43874.988611111112</v>
      </c>
      <c r="B38164" t="str">
        <f>HYPERLINK("https://twitter.com/khoiruddinasror","@khoiruddinasror")</f>
        <v>@khoiruddinasror</v>
      </c>
      <c r="C38164" t="s">
        <v>15638</v>
      </c>
      <c r="D38164">
        <v>0</v>
      </c>
      <c r="E38164">
        <v>0</v>
      </c>
      <c r="F38164">
        <v>1638</v>
      </c>
    </row>
    <row r="38165" spans="1:6" ht="12.75">
      <c r="A38165" s="2">
        <v>43874.98847222222</v>
      </c>
      <c r="B38165" t="str">
        <f>HYPERLINK("https://twitter.com/becak125cc","@becak125cc")</f>
        <v>@becak125cc</v>
      </c>
      <c r="C38165" t="s">
        <v>13315</v>
      </c>
      <c r="D38165">
        <v>46</v>
      </c>
      <c r="E38165">
        <v>0</v>
      </c>
      <c r="F38165">
        <v>495</v>
      </c>
    </row>
    <row r="38166" spans="1:6" ht="12.75">
      <c r="A38166" s="2">
        <v>43874.988229166665</v>
      </c>
      <c r="B38166" t="str">
        <f>HYPERLINK("https://twitter.com/Arya29449000","@Arya29449000")</f>
        <v>@Arya29449000</v>
      </c>
      <c r="C38166" t="s">
        <v>14761</v>
      </c>
      <c r="D38166">
        <v>18</v>
      </c>
      <c r="E38166">
        <v>0</v>
      </c>
      <c r="F38166">
        <v>1408</v>
      </c>
    </row>
    <row r="38167" spans="1:6" ht="12.75">
      <c r="A38167" s="2">
        <v>43874.988206018519</v>
      </c>
      <c r="B38167" t="str">
        <f>HYPERLINK("https://twitter.com/becak125cc","@becak125cc")</f>
        <v>@becak125cc</v>
      </c>
      <c r="C38167" t="s">
        <v>15639</v>
      </c>
      <c r="D38167">
        <v>25</v>
      </c>
      <c r="E38167">
        <v>0</v>
      </c>
      <c r="F38167">
        <v>495</v>
      </c>
    </row>
    <row r="38168" spans="1:6" ht="12.75">
      <c r="A38168" s="2">
        <v>43874.988136574073</v>
      </c>
      <c r="B38168" t="str">
        <f>HYPERLINK("https://twitter.com/mbaRien","@mbaRien")</f>
        <v>@mbaRien</v>
      </c>
      <c r="C38168" t="s">
        <v>2444</v>
      </c>
      <c r="D38168">
        <v>49</v>
      </c>
      <c r="E38168">
        <v>0</v>
      </c>
      <c r="F38168">
        <v>329</v>
      </c>
    </row>
    <row r="38169" spans="1:6" ht="12.75">
      <c r="A38169" s="2">
        <v>43874.98810185185</v>
      </c>
      <c r="B38169" t="str">
        <f>HYPERLINK("https://twitter.com/Angkara72941672","@Angkara72941672")</f>
        <v>@Angkara72941672</v>
      </c>
      <c r="C38169" t="s">
        <v>15640</v>
      </c>
      <c r="D38169">
        <v>0</v>
      </c>
      <c r="E38169">
        <v>1</v>
      </c>
      <c r="F38169">
        <v>527</v>
      </c>
    </row>
    <row r="38170" spans="1:6" ht="12.75">
      <c r="A38170" s="2">
        <v>43874.988067129627</v>
      </c>
      <c r="B38170" t="str">
        <f>HYPERLINK("https://twitter.com/adam_bhara","@adam_bhara")</f>
        <v>@adam_bhara</v>
      </c>
      <c r="C38170" t="s">
        <v>15641</v>
      </c>
      <c r="D38170">
        <v>0</v>
      </c>
      <c r="E38170">
        <v>0</v>
      </c>
      <c r="F38170">
        <v>36</v>
      </c>
    </row>
    <row r="38171" spans="1:6" ht="12.75">
      <c r="A38171" s="2">
        <v>43874.988043981481</v>
      </c>
      <c r="B38171" t="str">
        <f>HYPERLINK("https://twitter.com/Epoynono","@Epoynono")</f>
        <v>@Epoynono</v>
      </c>
      <c r="C38171" t="s">
        <v>13445</v>
      </c>
      <c r="D38171">
        <v>44</v>
      </c>
      <c r="E38171">
        <v>0</v>
      </c>
      <c r="F38171">
        <v>271</v>
      </c>
    </row>
    <row r="38172" spans="1:6" ht="12.75">
      <c r="A38172" s="2">
        <v>43874.987974537042</v>
      </c>
      <c r="B38172" t="str">
        <f>HYPERLINK("https://twitter.com/Setoy_marley","@Setoy_marley")</f>
        <v>@Setoy_marley</v>
      </c>
      <c r="C38172" t="s">
        <v>8233</v>
      </c>
      <c r="D38172">
        <v>243</v>
      </c>
      <c r="E38172">
        <v>0</v>
      </c>
      <c r="F38172">
        <v>263</v>
      </c>
    </row>
    <row r="38173" spans="1:6" ht="12.75">
      <c r="A38173" s="2">
        <v>43874.987962962958</v>
      </c>
      <c r="B38173" t="str">
        <f>HYPERLINK("https://twitter.com/DanielEdaud","@DanielEdaud")</f>
        <v>@DanielEdaud</v>
      </c>
      <c r="C38173" t="s">
        <v>7803</v>
      </c>
      <c r="D38173">
        <v>287</v>
      </c>
      <c r="E38173">
        <v>0</v>
      </c>
      <c r="F38173">
        <v>380</v>
      </c>
    </row>
    <row r="38174" spans="1:6" ht="12.75">
      <c r="A38174" s="2">
        <v>43874.987916666665</v>
      </c>
      <c r="B38174" t="str">
        <f>HYPERLINK("https://twitter.com/shinichikudo991","@shinichikudo991")</f>
        <v>@shinichikudo991</v>
      </c>
      <c r="C38174" t="s">
        <v>15605</v>
      </c>
      <c r="D38174">
        <v>2</v>
      </c>
      <c r="E38174">
        <v>0</v>
      </c>
      <c r="F38174">
        <v>5742</v>
      </c>
    </row>
    <row r="38175" spans="1:6" ht="12.75">
      <c r="A38175" s="2">
        <v>43874.987905092596</v>
      </c>
      <c r="B38175" t="str">
        <f>HYPERLINK("https://twitter.com/veraagustian_","@veraagustian_")</f>
        <v>@veraagustian_</v>
      </c>
      <c r="C38175" t="s">
        <v>15642</v>
      </c>
      <c r="D38175">
        <v>1</v>
      </c>
      <c r="E38175">
        <v>0</v>
      </c>
      <c r="F38175">
        <v>2944</v>
      </c>
    </row>
    <row r="38176" spans="1:6" ht="12.75">
      <c r="A38176" s="2">
        <v>43874.987881944442</v>
      </c>
      <c r="B38176" t="str">
        <f>HYPERLINK("https://twitter.com/Andes_1976","@Andes_1976")</f>
        <v>@Andes_1976</v>
      </c>
      <c r="C38176" t="s">
        <v>15643</v>
      </c>
      <c r="D38176">
        <v>0</v>
      </c>
      <c r="E38176">
        <v>0</v>
      </c>
      <c r="F38176">
        <v>324</v>
      </c>
    </row>
    <row r="38177" spans="1:6" ht="12.75">
      <c r="A38177" s="2">
        <v>43874.987881944442</v>
      </c>
      <c r="B38177" t="str">
        <f>HYPERLINK("https://twitter.com/FendyElmusthafa","@FendyElmusthafa")</f>
        <v>@FendyElmusthafa</v>
      </c>
      <c r="C38177" t="s">
        <v>13712</v>
      </c>
      <c r="D38177">
        <v>26</v>
      </c>
      <c r="E38177">
        <v>0</v>
      </c>
      <c r="F38177">
        <v>184</v>
      </c>
    </row>
    <row r="38178" spans="1:6" ht="12.75">
      <c r="A38178" s="2">
        <v>43874.987870370373</v>
      </c>
      <c r="B38178" t="str">
        <f>HYPERLINK("https://twitter.com/MuadzTomo","@MuadzTomo")</f>
        <v>@MuadzTomo</v>
      </c>
      <c r="C38178" t="s">
        <v>76</v>
      </c>
      <c r="D38178">
        <v>0</v>
      </c>
      <c r="E38178">
        <v>0</v>
      </c>
      <c r="F38178">
        <v>235</v>
      </c>
    </row>
    <row r="38179" spans="1:6" ht="12.75">
      <c r="A38179" s="2">
        <v>43874.987835648149</v>
      </c>
      <c r="B38179" t="str">
        <f>HYPERLINK("https://twitter.com/JustJulyo","@JustJulyo")</f>
        <v>@JustJulyo</v>
      </c>
      <c r="C38179" t="s">
        <v>2088</v>
      </c>
      <c r="D38179">
        <v>16116</v>
      </c>
      <c r="E38179">
        <v>0</v>
      </c>
      <c r="F38179">
        <v>14921</v>
      </c>
    </row>
    <row r="38180" spans="1:6" ht="12.75">
      <c r="A38180" s="2">
        <v>43874.987789351857</v>
      </c>
      <c r="B38180" t="str">
        <f>HYPERLINK("https://twitter.com/hp_astoro","@hp_astoro")</f>
        <v>@hp_astoro</v>
      </c>
      <c r="C38180" t="s">
        <v>12380</v>
      </c>
      <c r="D38180">
        <v>47</v>
      </c>
      <c r="E38180">
        <v>0</v>
      </c>
      <c r="F38180">
        <v>641</v>
      </c>
    </row>
    <row r="38181" spans="1:6" ht="12.75">
      <c r="A38181" s="2">
        <v>43874.987766203703</v>
      </c>
      <c r="B38181" t="str">
        <f>HYPERLINK("https://twitter.com/AlfredoDeBocori","@AlfredoDeBocori")</f>
        <v>@AlfredoDeBocori</v>
      </c>
      <c r="C38181" t="s">
        <v>12287</v>
      </c>
      <c r="D38181">
        <v>33</v>
      </c>
      <c r="E38181">
        <v>0</v>
      </c>
      <c r="F38181">
        <v>674</v>
      </c>
    </row>
    <row r="38182" spans="1:6" ht="12.75">
      <c r="A38182" s="2">
        <v>43874.987754629634</v>
      </c>
      <c r="B38182" t="str">
        <f>HYPERLINK("https://twitter.com/rosiandika7","@rosiandika7")</f>
        <v>@rosiandika7</v>
      </c>
      <c r="C38182" t="s">
        <v>9113</v>
      </c>
      <c r="D38182">
        <v>227</v>
      </c>
      <c r="E38182">
        <v>0</v>
      </c>
      <c r="F38182">
        <v>144</v>
      </c>
    </row>
    <row r="38183" spans="1:6" ht="12.75">
      <c r="A38183" s="2">
        <v>43874.98773148148</v>
      </c>
      <c r="B38183" t="str">
        <f>HYPERLINK("https://twitter.com/ni2ekninot","@ni2ekninot")</f>
        <v>@ni2ekninot</v>
      </c>
      <c r="C38183" t="s">
        <v>9186</v>
      </c>
      <c r="D38183">
        <v>94</v>
      </c>
      <c r="E38183">
        <v>0</v>
      </c>
      <c r="F38183">
        <v>37</v>
      </c>
    </row>
    <row r="38184" spans="1:6" ht="12.75">
      <c r="A38184" s="2">
        <v>43874.98773148148</v>
      </c>
      <c r="B38184" t="str">
        <f>HYPERLINK("https://twitter.com/Ardi48_o","@Ardi48_o")</f>
        <v>@Ardi48_o</v>
      </c>
      <c r="C38184" t="s">
        <v>5168</v>
      </c>
      <c r="D38184">
        <v>328</v>
      </c>
      <c r="E38184">
        <v>0</v>
      </c>
      <c r="F38184">
        <v>125</v>
      </c>
    </row>
    <row r="38185" spans="1:6" ht="12.75">
      <c r="A38185" s="2">
        <v>43874.987719907411</v>
      </c>
      <c r="B38185" t="str">
        <f>HYPERLINK("https://twitter.com/becak125cc","@becak125cc")</f>
        <v>@becak125cc</v>
      </c>
      <c r="C38185" t="s">
        <v>14967</v>
      </c>
      <c r="D38185">
        <v>21</v>
      </c>
      <c r="E38185">
        <v>0</v>
      </c>
      <c r="F38185">
        <v>495</v>
      </c>
    </row>
    <row r="38186" spans="1:6" ht="12.75">
      <c r="A38186" s="2">
        <v>43874.987650462965</v>
      </c>
      <c r="B38186" t="str">
        <f>HYPERLINK("https://twitter.com/Yohananabila01","@Yohananabila01")</f>
        <v>@Yohananabila01</v>
      </c>
      <c r="C38186" t="s">
        <v>10196</v>
      </c>
      <c r="D38186">
        <v>116</v>
      </c>
      <c r="E38186">
        <v>0</v>
      </c>
      <c r="F38186">
        <v>2115</v>
      </c>
    </row>
    <row r="38187" spans="1:6" ht="12.75">
      <c r="A38187" s="2">
        <v>43874.987638888888</v>
      </c>
      <c r="B38187" t="str">
        <f>HYPERLINK("https://twitter.com/harjanto6","@harjanto6")</f>
        <v>@harjanto6</v>
      </c>
      <c r="C38187" t="s">
        <v>15644</v>
      </c>
      <c r="D38187">
        <v>2</v>
      </c>
      <c r="E38187">
        <v>4</v>
      </c>
      <c r="F38187">
        <v>2522</v>
      </c>
    </row>
    <row r="38188" spans="1:6" ht="12.75">
      <c r="A38188" s="2">
        <v>43874.987546296295</v>
      </c>
      <c r="B38188" t="str">
        <f>HYPERLINK("https://twitter.com/gunoto777","@gunoto777")</f>
        <v>@gunoto777</v>
      </c>
      <c r="C38188" t="s">
        <v>8881</v>
      </c>
      <c r="D38188">
        <v>242</v>
      </c>
      <c r="E38188">
        <v>0</v>
      </c>
      <c r="F38188">
        <v>1038</v>
      </c>
    </row>
    <row r="38189" spans="1:6" ht="12.75">
      <c r="A38189" s="2">
        <v>43874.987511574072</v>
      </c>
      <c r="B38189" t="str">
        <f>HYPERLINK("https://twitter.com/asli_lanang","@asli_lanang")</f>
        <v>@asli_lanang</v>
      </c>
      <c r="C38189" t="s">
        <v>15645</v>
      </c>
      <c r="D38189">
        <v>0</v>
      </c>
      <c r="E38189">
        <v>0</v>
      </c>
      <c r="F38189">
        <v>121</v>
      </c>
    </row>
    <row r="38190" spans="1:6" ht="12.75">
      <c r="A38190" s="2">
        <v>43874.987442129626</v>
      </c>
      <c r="B38190" t="str">
        <f>HYPERLINK("https://twitter.com/viviandeella","@viviandeella")</f>
        <v>@viviandeella</v>
      </c>
      <c r="C38190" t="s">
        <v>15582</v>
      </c>
      <c r="D38190">
        <v>55</v>
      </c>
      <c r="E38190">
        <v>0</v>
      </c>
      <c r="F38190">
        <v>9334</v>
      </c>
    </row>
    <row r="38191" spans="1:6" ht="12.75">
      <c r="A38191" s="2">
        <v>43874.987291666665</v>
      </c>
      <c r="B38191" t="str">
        <f>HYPERLINK("https://twitter.com/Blegodesign","@Blegodesign")</f>
        <v>@Blegodesign</v>
      </c>
      <c r="C38191" t="s">
        <v>15646</v>
      </c>
      <c r="D38191">
        <v>0</v>
      </c>
      <c r="E38191">
        <v>2</v>
      </c>
      <c r="F38191">
        <v>387</v>
      </c>
    </row>
    <row r="38192" spans="1:6" ht="12.75">
      <c r="A38192" s="2">
        <v>43874.987268518518</v>
      </c>
      <c r="B38192" t="str">
        <f>HYPERLINK("https://twitter.com/togapltg","@togapltg")</f>
        <v>@togapltg</v>
      </c>
      <c r="C38192" t="s">
        <v>15647</v>
      </c>
      <c r="D38192">
        <v>0</v>
      </c>
      <c r="E38192">
        <v>0</v>
      </c>
      <c r="F38192">
        <v>1</v>
      </c>
    </row>
    <row r="38193" spans="1:6" ht="12.75">
      <c r="A38193" s="2">
        <v>43874.987199074079</v>
      </c>
      <c r="B38193" t="str">
        <f>HYPERLINK("https://twitter.com/Adistraaa","@Adistraaa")</f>
        <v>@Adistraaa</v>
      </c>
      <c r="C38193" t="s">
        <v>8252</v>
      </c>
      <c r="D38193">
        <v>469</v>
      </c>
      <c r="E38193">
        <v>0</v>
      </c>
      <c r="F38193">
        <v>449</v>
      </c>
    </row>
    <row r="38194" spans="1:6" ht="12.75">
      <c r="A38194" s="2">
        <v>43874.987060185187</v>
      </c>
      <c r="B38194" t="str">
        <f>HYPERLINK("https://twitter.com/susandia_w","@susandia_w")</f>
        <v>@susandia_w</v>
      </c>
      <c r="C38194" t="s">
        <v>12738</v>
      </c>
      <c r="D38194">
        <v>68</v>
      </c>
      <c r="E38194">
        <v>0</v>
      </c>
      <c r="F38194">
        <v>35</v>
      </c>
    </row>
    <row r="38195" spans="1:6" ht="12.75">
      <c r="A38195" s="2">
        <v>43874.987025462964</v>
      </c>
      <c r="B38195" t="str">
        <f>HYPERLINK("https://twitter.com/GKawi369","@GKawi369")</f>
        <v>@GKawi369</v>
      </c>
      <c r="C38195" t="s">
        <v>15277</v>
      </c>
      <c r="D38195">
        <v>69</v>
      </c>
      <c r="E38195">
        <v>0</v>
      </c>
      <c r="F38195">
        <v>993</v>
      </c>
    </row>
    <row r="38196" spans="1:6" ht="12.75">
      <c r="A38196" s="2">
        <v>43874.986990740741</v>
      </c>
      <c r="B38196" t="str">
        <f>HYPERLINK("https://twitter.com/UrubingDilah","@UrubingDilah")</f>
        <v>@UrubingDilah</v>
      </c>
      <c r="C38196" t="s">
        <v>10330</v>
      </c>
      <c r="D38196">
        <v>184</v>
      </c>
      <c r="E38196">
        <v>0</v>
      </c>
      <c r="F38196">
        <v>1326</v>
      </c>
    </row>
    <row r="38197" spans="1:6" ht="12.75">
      <c r="A38197" s="2">
        <v>43874.986932870372</v>
      </c>
      <c r="B38197" t="str">
        <f>HYPERLINK("https://twitter.com/ray_slamet","@ray_slamet")</f>
        <v>@ray_slamet</v>
      </c>
      <c r="C38197" t="s">
        <v>15648</v>
      </c>
      <c r="D38197">
        <v>2</v>
      </c>
      <c r="E38197">
        <v>0</v>
      </c>
      <c r="F38197">
        <v>845</v>
      </c>
    </row>
    <row r="38198" spans="1:6" ht="12.75">
      <c r="A38198" s="2">
        <v>43874.986747685187</v>
      </c>
      <c r="B38198" t="str">
        <f>HYPERLINK("https://twitter.com/GKawi369","@GKawi369")</f>
        <v>@GKawi369</v>
      </c>
      <c r="C38198" t="s">
        <v>12794</v>
      </c>
      <c r="D38198">
        <v>65</v>
      </c>
      <c r="E38198">
        <v>0</v>
      </c>
      <c r="F38198">
        <v>993</v>
      </c>
    </row>
    <row r="38199" spans="1:6" ht="12.75">
      <c r="A38199" s="2">
        <v>43874.986701388887</v>
      </c>
      <c r="B38199" t="str">
        <f>HYPERLINK("https://twitter.com/eko2471","@eko2471")</f>
        <v>@eko2471</v>
      </c>
      <c r="C38199" t="s">
        <v>15649</v>
      </c>
      <c r="D38199">
        <v>2</v>
      </c>
      <c r="E38199">
        <v>4</v>
      </c>
      <c r="F38199">
        <v>1169</v>
      </c>
    </row>
    <row r="38200" spans="1:6" ht="15.75" customHeight="1">
      <c r="A38200" s="3">
        <v>43874.982534722221</v>
      </c>
      <c r="B38200" t="str">
        <f>HYPERLINK("https://twitter.com/robbymaulana","@robbymaulana")</f>
        <v>@robbymaulana</v>
      </c>
      <c r="C38200" t="s">
        <v>77</v>
      </c>
      <c r="D38200">
        <v>0</v>
      </c>
      <c r="E38200">
        <v>0</v>
      </c>
      <c r="F38200">
        <v>98</v>
      </c>
    </row>
    <row r="38201" spans="1:6" ht="15.75" customHeight="1">
      <c r="A38201" s="3">
        <v>43874.981620370367</v>
      </c>
      <c r="B38201" t="str">
        <f>HYPERLINK("https://twitter.com/Handika2311","@Handika2311")</f>
        <v>@Handika2311</v>
      </c>
      <c r="C38201" t="s">
        <v>78</v>
      </c>
      <c r="D38201">
        <v>0</v>
      </c>
      <c r="E38201">
        <v>0</v>
      </c>
      <c r="F38201">
        <v>102</v>
      </c>
    </row>
    <row r="38202" spans="1:6" ht="15.75" customHeight="1">
      <c r="A38202" s="3">
        <v>43874.981249999997</v>
      </c>
      <c r="B38202" t="str">
        <f>HYPERLINK("https://twitter.com/Realitarakyat01","@Realitarakyat01")</f>
        <v>@Realitarakyat01</v>
      </c>
      <c r="C38202" t="s">
        <v>79</v>
      </c>
      <c r="D38202">
        <v>0</v>
      </c>
      <c r="E38202">
        <v>0</v>
      </c>
      <c r="F38202">
        <v>121</v>
      </c>
    </row>
    <row r="38203" spans="1:6" ht="15.75" customHeight="1">
      <c r="A38203" s="3">
        <v>43874.980127314819</v>
      </c>
      <c r="B38203" t="str">
        <f>HYPERLINK("https://twitter.com/Masrukh44936932","@Masrukh44936932")</f>
        <v>@Masrukh44936932</v>
      </c>
      <c r="D38203">
        <v>0</v>
      </c>
      <c r="E38203">
        <v>0</v>
      </c>
      <c r="F38203">
        <v>7</v>
      </c>
    </row>
    <row r="38204" spans="1:6" ht="15.75" customHeight="1">
      <c r="A38204" s="3">
        <v>43874.978483796294</v>
      </c>
      <c r="B38204" t="str">
        <f>HYPERLINK("https://twitter.com/_arietrbgs","@_arietrbgs")</f>
        <v>@_arietrbgs</v>
      </c>
      <c r="C38204" t="s">
        <v>80</v>
      </c>
      <c r="D38204">
        <v>0</v>
      </c>
      <c r="E38204">
        <v>0</v>
      </c>
      <c r="F38204">
        <v>376</v>
      </c>
    </row>
    <row r="38205" spans="1:6" ht="15.75" customHeight="1">
      <c r="A38205" s="3">
        <v>43874.978217592594</v>
      </c>
      <c r="B38205" t="str">
        <f>HYPERLINK("https://twitter.com/upikq22","@upikq22")</f>
        <v>@upikq22</v>
      </c>
      <c r="C38205" t="s">
        <v>81</v>
      </c>
      <c r="D38205">
        <v>0</v>
      </c>
      <c r="E38205">
        <v>1</v>
      </c>
      <c r="F38205">
        <v>847</v>
      </c>
    </row>
    <row r="38206" spans="1:6" ht="15.75" customHeight="1">
      <c r="A38206" s="3">
        <v>43874.977071759262</v>
      </c>
      <c r="B38206" t="str">
        <f>HYPERLINK("https://twitter.com/Ion82130964","@Ion82130964")</f>
        <v>@Ion82130964</v>
      </c>
      <c r="C38206" t="s">
        <v>82</v>
      </c>
      <c r="D38206">
        <v>0</v>
      </c>
      <c r="E38206">
        <v>0</v>
      </c>
      <c r="F38206">
        <v>17</v>
      </c>
    </row>
    <row r="38207" spans="1:6" ht="15.75" customHeight="1">
      <c r="A38207" s="3">
        <v>43874.976423611108</v>
      </c>
      <c r="B38207" t="str">
        <f>HYPERLINK("https://twitter.com/__beritaterkini","@__beritaterkini")</f>
        <v>@__beritaterkini</v>
      </c>
      <c r="C38207" t="s">
        <v>83</v>
      </c>
      <c r="D38207">
        <v>0</v>
      </c>
      <c r="E38207">
        <v>0</v>
      </c>
      <c r="F38207">
        <v>414</v>
      </c>
    </row>
    <row r="38208" spans="1:6" ht="15.75" customHeight="1">
      <c r="A38208" s="3">
        <v>43874.975081018521</v>
      </c>
      <c r="B38208" t="str">
        <f>HYPERLINK("https://twitter.com/iNewsID","@iNewsID")</f>
        <v>@iNewsID</v>
      </c>
      <c r="C38208" t="s">
        <v>84</v>
      </c>
      <c r="D38208">
        <v>0</v>
      </c>
      <c r="E38208">
        <v>0</v>
      </c>
      <c r="F38208">
        <v>1253</v>
      </c>
    </row>
    <row r="38209" spans="1:6" ht="15.75" customHeight="1">
      <c r="A38209" s="3">
        <v>43874.974872685183</v>
      </c>
      <c r="B38209" t="str">
        <f>HYPERLINK("https://twitter.com/Hali__lintar","@Hali__lintar")</f>
        <v>@Hali__lintar</v>
      </c>
      <c r="C38209" t="s">
        <v>85</v>
      </c>
      <c r="D38209">
        <v>0</v>
      </c>
      <c r="E38209">
        <v>0</v>
      </c>
      <c r="F38209">
        <v>9302</v>
      </c>
    </row>
    <row r="38210" spans="1:6" ht="15.75" customHeight="1">
      <c r="A38210" s="3">
        <v>43874.974803240737</v>
      </c>
      <c r="B38210" t="str">
        <f>HYPERLINK("https://twitter.com/AgungNurd","@AgungNurd")</f>
        <v>@AgungNurd</v>
      </c>
      <c r="C38210" t="s">
        <v>86</v>
      </c>
      <c r="D38210">
        <v>0</v>
      </c>
      <c r="E38210">
        <v>0</v>
      </c>
      <c r="F38210">
        <v>381</v>
      </c>
    </row>
    <row r="38211" spans="1:6" ht="15.75" customHeight="1">
      <c r="A38211" s="3">
        <v>43874.973715277782</v>
      </c>
      <c r="B38211" t="str">
        <f>HYPERLINK("https://twitter.com/ciuzo","@ciuzo")</f>
        <v>@ciuzo</v>
      </c>
      <c r="C38211" t="s">
        <v>87</v>
      </c>
      <c r="D38211">
        <v>0</v>
      </c>
      <c r="E38211">
        <v>0</v>
      </c>
      <c r="F38211">
        <v>56</v>
      </c>
    </row>
    <row r="38212" spans="1:6" ht="15.75" customHeight="1">
      <c r="A38212" s="3">
        <v>43874.971203703702</v>
      </c>
      <c r="B38212" t="str">
        <f>HYPERLINK("https://twitter.com/Bnie18","@Bnie18")</f>
        <v>@Bnie18</v>
      </c>
      <c r="C38212" t="s">
        <v>88</v>
      </c>
      <c r="D38212">
        <v>0</v>
      </c>
      <c r="E38212">
        <v>0</v>
      </c>
      <c r="F38212">
        <v>1631</v>
      </c>
    </row>
    <row r="38213" spans="1:6" ht="15.75" customHeight="1">
      <c r="A38213" s="3">
        <v>43874.971099537041</v>
      </c>
      <c r="B38213" t="str">
        <f>HYPERLINK("https://twitter.com/RadioElshinta","@RadioElshinta")</f>
        <v>@RadioElshinta</v>
      </c>
      <c r="C38213" t="s">
        <v>89</v>
      </c>
      <c r="D38213">
        <v>1</v>
      </c>
      <c r="E38213">
        <v>1</v>
      </c>
      <c r="F38213">
        <v>3633160</v>
      </c>
    </row>
    <row r="38214" spans="1:6" ht="15.75" customHeight="1">
      <c r="A38214" s="3">
        <v>43874.970879629633</v>
      </c>
      <c r="B38214" t="str">
        <f>HYPERLINK("https://twitter.com/soloposdotcom","@soloposdotcom")</f>
        <v>@soloposdotcom</v>
      </c>
      <c r="C38214" t="s">
        <v>90</v>
      </c>
      <c r="D38214">
        <v>1</v>
      </c>
      <c r="E38214">
        <v>0</v>
      </c>
      <c r="F38214">
        <v>59814</v>
      </c>
    </row>
    <row r="38215" spans="1:6" ht="15.75" customHeight="1">
      <c r="A38215" s="3">
        <v>43874.970138888893</v>
      </c>
      <c r="B38215" t="str">
        <f>HYPERLINK("https://twitter.com/detikcom","@detikcom")</f>
        <v>@detikcom</v>
      </c>
      <c r="C38215" t="s">
        <v>87</v>
      </c>
      <c r="D38215">
        <v>4</v>
      </c>
      <c r="E38215">
        <v>18</v>
      </c>
      <c r="F38215">
        <v>15663959</v>
      </c>
    </row>
    <row r="38216" spans="1:6" ht="15.75" customHeight="1">
      <c r="A38216" s="3">
        <v>43874.967719907407</v>
      </c>
      <c r="B38216" t="str">
        <f>HYPERLINK("https://twitter.com/andrias98","@andrias98")</f>
        <v>@andrias98</v>
      </c>
      <c r="C38216" t="s">
        <v>91</v>
      </c>
      <c r="D38216">
        <v>0</v>
      </c>
      <c r="E38216">
        <v>0</v>
      </c>
      <c r="F38216">
        <v>5109</v>
      </c>
    </row>
    <row r="38217" spans="1:6" ht="15.75" customHeight="1">
      <c r="A38217" s="3">
        <v>43874.966689814813</v>
      </c>
      <c r="B38217" t="str">
        <f>HYPERLINK("https://twitter.com/koran_rakcer","@koran_rakcer")</f>
        <v>@koran_rakcer</v>
      </c>
      <c r="C38217" t="s">
        <v>92</v>
      </c>
      <c r="D38217">
        <v>0</v>
      </c>
      <c r="E38217">
        <v>1</v>
      </c>
      <c r="F38217">
        <v>656</v>
      </c>
    </row>
    <row r="38218" spans="1:6" ht="15.75" customHeight="1">
      <c r="A38218" s="3">
        <v>43874.966504629629</v>
      </c>
      <c r="B38218" t="str">
        <f>HYPERLINK("https://twitter.com/Rasheed_inn","@Rasheed_inn")</f>
        <v>@Rasheed_inn</v>
      </c>
      <c r="C38218" t="s">
        <v>93</v>
      </c>
      <c r="D38218">
        <v>0</v>
      </c>
      <c r="E38218">
        <v>0</v>
      </c>
      <c r="F38218">
        <v>3470</v>
      </c>
    </row>
    <row r="38219" spans="1:6" ht="15.75" customHeight="1">
      <c r="A38219" s="3">
        <v>43874.963912037041</v>
      </c>
      <c r="B38219" t="str">
        <f>HYPERLINK("https://twitter.com/_bekasinews","@_bekasinews")</f>
        <v>@_bekasinews</v>
      </c>
      <c r="C38219" t="s">
        <v>94</v>
      </c>
      <c r="D38219">
        <v>0</v>
      </c>
      <c r="E38219">
        <v>0</v>
      </c>
      <c r="F38219">
        <v>204</v>
      </c>
    </row>
    <row r="38220" spans="1:6" ht="15.75" customHeight="1">
      <c r="A38220" s="3">
        <v>43874.963888888888</v>
      </c>
      <c r="B38220" t="str">
        <f>HYPERLINK("https://twitter.com/jumianto_RK","@jumianto_RK")</f>
        <v>@jumianto_RK</v>
      </c>
      <c r="C38220" t="s">
        <v>95</v>
      </c>
      <c r="D38220">
        <v>0</v>
      </c>
      <c r="E38220">
        <v>1</v>
      </c>
      <c r="F38220">
        <v>3362</v>
      </c>
    </row>
    <row r="38221" spans="1:6" ht="15.75" customHeight="1">
      <c r="A38221" s="3">
        <v>43874.961956018524</v>
      </c>
      <c r="B38221" t="str">
        <f>HYPERLINK("https://twitter.com/FeriPurwo","@FeriPurwo")</f>
        <v>@FeriPurwo</v>
      </c>
      <c r="C38221" t="s">
        <v>96</v>
      </c>
      <c r="D38221">
        <v>0</v>
      </c>
      <c r="E38221">
        <v>0</v>
      </c>
      <c r="F38221">
        <v>17209</v>
      </c>
    </row>
    <row r="38222" spans="1:6" ht="15.75" customHeight="1">
      <c r="A38222" s="3">
        <v>43874.961817129632</v>
      </c>
      <c r="B38222" t="str">
        <f>HYPERLINK("https://twitter.com/rmol_id","@rmol_id")</f>
        <v>@rmol_id</v>
      </c>
      <c r="C38222" t="s">
        <v>97</v>
      </c>
      <c r="D38222">
        <v>1</v>
      </c>
      <c r="E38222">
        <v>2</v>
      </c>
      <c r="F38222">
        <v>160765</v>
      </c>
    </row>
    <row r="38223" spans="1:6" ht="15.75" customHeight="1">
      <c r="A38223" s="3">
        <v>43874.961180555554</v>
      </c>
      <c r="B38223" t="str">
        <f>HYPERLINK("https://twitter.com/republikaonline","@republikaonline")</f>
        <v>@republikaonline</v>
      </c>
      <c r="C38223" t="s">
        <v>98</v>
      </c>
      <c r="D38223">
        <v>1</v>
      </c>
      <c r="E38223">
        <v>3</v>
      </c>
      <c r="F38223">
        <v>1210209</v>
      </c>
    </row>
    <row r="38224" spans="1:6" ht="15.75" customHeight="1">
      <c r="A38224" s="3">
        <v>43874.960717592592</v>
      </c>
      <c r="B38224" t="str">
        <f>HYPERLINK("https://twitter.com/Citrans","@Citrans")</f>
        <v>@Citrans</v>
      </c>
      <c r="C38224" t="s">
        <v>99</v>
      </c>
      <c r="D38224">
        <v>0</v>
      </c>
      <c r="E38224">
        <v>0</v>
      </c>
      <c r="F38224">
        <v>1164</v>
      </c>
    </row>
    <row r="38225" spans="1:6" ht="15.75" customHeight="1">
      <c r="A38225" s="3">
        <v>43874.960613425923</v>
      </c>
      <c r="B38225" t="str">
        <f>HYPERLINK("https://twitter.com/fatur_wae","@fatur_wae")</f>
        <v>@fatur_wae</v>
      </c>
      <c r="C38225" t="s">
        <v>100</v>
      </c>
      <c r="D38225">
        <v>0</v>
      </c>
      <c r="E38225">
        <v>0</v>
      </c>
      <c r="F38225">
        <v>1135</v>
      </c>
    </row>
    <row r="38226" spans="1:6" ht="15.75" customHeight="1">
      <c r="A38226" s="3">
        <v>43874.960335648153</v>
      </c>
      <c r="B38226" t="str">
        <f>HYPERLINK("https://twitter.com/opinirakyatcil1","@opinirakyatcil1")</f>
        <v>@opinirakyatcil1</v>
      </c>
      <c r="C38226" t="s">
        <v>101</v>
      </c>
      <c r="D38226">
        <v>0</v>
      </c>
      <c r="E38226">
        <v>0</v>
      </c>
      <c r="F38226">
        <v>0</v>
      </c>
    </row>
    <row r="38227" spans="1:6" ht="15.75" customHeight="1">
      <c r="A38227" s="3">
        <v>43874.960173611107</v>
      </c>
      <c r="B38227" t="str">
        <f>HYPERLINK("https://twitter.com/katatodaycom","@katatodaycom")</f>
        <v>@katatodaycom</v>
      </c>
      <c r="C38227" t="s">
        <v>78</v>
      </c>
      <c r="D38227">
        <v>0</v>
      </c>
      <c r="E38227">
        <v>0</v>
      </c>
      <c r="F38227">
        <v>860</v>
      </c>
    </row>
    <row r="38228" spans="1:6" ht="15.75" customHeight="1">
      <c r="A38228" s="3">
        <v>43874.959155092598</v>
      </c>
      <c r="B38228" t="str">
        <f>HYPERLINK("https://twitter.com/koran_rakcer","@koran_rakcer")</f>
        <v>@koran_rakcer</v>
      </c>
      <c r="C38228" t="s">
        <v>102</v>
      </c>
      <c r="D38228">
        <v>0</v>
      </c>
      <c r="E38228">
        <v>0</v>
      </c>
      <c r="F38228">
        <v>656</v>
      </c>
    </row>
    <row r="38229" spans="1:6" ht="15.75" customHeight="1">
      <c r="A38229" s="3">
        <v>43874.958333333328</v>
      </c>
      <c r="B38229" t="str">
        <f>HYPERLINK("https://twitter.com/CNNIDdaily","@CNNIDdaily")</f>
        <v>@CNNIDdaily</v>
      </c>
      <c r="C38229" t="s">
        <v>103</v>
      </c>
      <c r="D38229">
        <v>1</v>
      </c>
      <c r="E38229">
        <v>3</v>
      </c>
      <c r="F38229">
        <v>115830</v>
      </c>
    </row>
    <row r="38230" spans="1:6" ht="15.75" customHeight="1">
      <c r="A38230" s="3">
        <v>43874.956620370373</v>
      </c>
      <c r="B38230" t="str">
        <f>HYPERLINK("https://twitter.com/kabinawa5","@kabinawa5")</f>
        <v>@kabinawa5</v>
      </c>
      <c r="C38230" t="s">
        <v>104</v>
      </c>
      <c r="D38230">
        <v>0</v>
      </c>
      <c r="E38230">
        <v>0</v>
      </c>
      <c r="F38230">
        <v>1845</v>
      </c>
    </row>
    <row r="38231" spans="1:6" ht="15.75" customHeight="1">
      <c r="A38231" s="3">
        <v>43874.956550925926</v>
      </c>
      <c r="B38231" t="str">
        <f>HYPERLINK("https://twitter.com/Bujangkaram1","@Bujangkaram1")</f>
        <v>@Bujangkaram1</v>
      </c>
      <c r="C38231" t="s">
        <v>105</v>
      </c>
      <c r="D38231">
        <v>0</v>
      </c>
      <c r="E38231">
        <v>0</v>
      </c>
      <c r="F38231">
        <v>4</v>
      </c>
    </row>
    <row r="38232" spans="1:6" ht="15.75" customHeight="1">
      <c r="A38232" s="3">
        <v>43874.956342592588</v>
      </c>
      <c r="B38232" t="str">
        <f>HYPERLINK("https://twitter.com/NicholasYesayaM","@NicholasYesayaM")</f>
        <v>@NicholasYesayaM</v>
      </c>
      <c r="C38232" t="s">
        <v>106</v>
      </c>
      <c r="D38232">
        <v>1</v>
      </c>
      <c r="E38232">
        <v>0</v>
      </c>
      <c r="F38232">
        <v>463</v>
      </c>
    </row>
    <row r="38233" spans="1:6" ht="15.75" customHeight="1">
      <c r="A38233" s="3">
        <v>43874.955671296295</v>
      </c>
      <c r="B38233" t="str">
        <f>HYPERLINK("https://twitter.com/Bujangkaram1","@Bujangkaram1")</f>
        <v>@Bujangkaram1</v>
      </c>
      <c r="C38233" t="s">
        <v>107</v>
      </c>
      <c r="D38233">
        <v>0</v>
      </c>
      <c r="E38233">
        <v>0</v>
      </c>
      <c r="F38233">
        <v>4</v>
      </c>
    </row>
    <row r="38234" spans="1:6" ht="15.75" customHeight="1">
      <c r="A38234" s="3">
        <v>43874.955347222218</v>
      </c>
      <c r="B38234" t="str">
        <f>HYPERLINK("https://twitter.com/sigitwid","@sigitwid")</f>
        <v>@sigitwid</v>
      </c>
      <c r="C38234" t="s">
        <v>108</v>
      </c>
      <c r="D38234">
        <v>1</v>
      </c>
      <c r="E38234">
        <v>3</v>
      </c>
      <c r="F38234">
        <v>7936</v>
      </c>
    </row>
    <row r="38235" spans="1:6" ht="15.75" customHeight="1">
      <c r="A38235" s="3">
        <v>43874.954976851848</v>
      </c>
      <c r="B38235" t="str">
        <f>HYPERLINK("https://twitter.com/abukhoir03","@abukhoir03")</f>
        <v>@abukhoir03</v>
      </c>
      <c r="C38235" t="s">
        <v>109</v>
      </c>
      <c r="D38235">
        <v>0</v>
      </c>
      <c r="E38235">
        <v>0</v>
      </c>
      <c r="F38235">
        <v>271</v>
      </c>
    </row>
    <row r="38236" spans="1:6" ht="15.75" customHeight="1">
      <c r="A38236" s="3">
        <v>43874.953263888892</v>
      </c>
      <c r="B38236" t="str">
        <f>HYPERLINK("https://twitter.com/FerdinandHaean2","@FerdinandHaean2")</f>
        <v>@FerdinandHaean2</v>
      </c>
      <c r="C38236" t="s">
        <v>110</v>
      </c>
      <c r="D38236">
        <v>5</v>
      </c>
      <c r="E38236">
        <v>24</v>
      </c>
      <c r="F38236">
        <v>45810</v>
      </c>
    </row>
    <row r="38237" spans="1:6" ht="15.75" customHeight="1">
      <c r="A38237" s="3">
        <v>43874.953148148154</v>
      </c>
      <c r="B38237" t="str">
        <f>HYPERLINK("https://twitter.com/shoghirudin","@shoghirudin")</f>
        <v>@shoghirudin</v>
      </c>
      <c r="C38237" t="s">
        <v>111</v>
      </c>
      <c r="D38237">
        <v>0</v>
      </c>
      <c r="E38237">
        <v>1</v>
      </c>
      <c r="F38237">
        <v>2</v>
      </c>
    </row>
    <row r="38238" spans="1:6" ht="15.75" customHeight="1">
      <c r="A38238" s="3">
        <v>43874.951782407406</v>
      </c>
      <c r="B38238" t="str">
        <f>HYPERLINK("https://twitter.com/_wistu","@_wistu")</f>
        <v>@_wistu</v>
      </c>
      <c r="C38238" t="s">
        <v>112</v>
      </c>
      <c r="D38238">
        <v>0</v>
      </c>
      <c r="E38238">
        <v>0</v>
      </c>
      <c r="F38238">
        <v>449</v>
      </c>
    </row>
    <row r="38239" spans="1:6" ht="15.75" customHeight="1">
      <c r="A38239" s="3">
        <v>43874.95107638889</v>
      </c>
      <c r="B38239" t="str">
        <f>HYPERLINK("https://twitter.com/sirodjudin01","@sirodjudin01")</f>
        <v>@sirodjudin01</v>
      </c>
      <c r="C38239" t="s">
        <v>113</v>
      </c>
      <c r="D38239">
        <v>0</v>
      </c>
      <c r="E38239">
        <v>0</v>
      </c>
      <c r="F38239">
        <v>8019</v>
      </c>
    </row>
    <row r="38240" spans="1:6" ht="15.75" customHeight="1">
      <c r="A38240" s="3">
        <v>43874.947939814811</v>
      </c>
      <c r="B38240" t="str">
        <f>HYPERLINK("https://twitter.com/rmol_id","@rmol_id")</f>
        <v>@rmol_id</v>
      </c>
      <c r="C38240" t="s">
        <v>114</v>
      </c>
      <c r="D38240">
        <v>1</v>
      </c>
      <c r="E38240">
        <v>7</v>
      </c>
      <c r="F38240">
        <v>160765</v>
      </c>
    </row>
    <row r="38241" spans="1:6" ht="15.75" customHeight="1">
      <c r="A38241" s="3">
        <v>43874.947928240741</v>
      </c>
      <c r="B38241" t="str">
        <f>HYPERLINK("https://twitter.com/herlambang_tan","@herlambang_tan")</f>
        <v>@herlambang_tan</v>
      </c>
      <c r="C38241" t="s">
        <v>115</v>
      </c>
      <c r="D38241">
        <v>0</v>
      </c>
      <c r="E38241">
        <v>0</v>
      </c>
      <c r="F38241">
        <v>2340</v>
      </c>
    </row>
    <row r="38242" spans="1:6" ht="15.75" customHeight="1">
      <c r="A38242" s="3">
        <v>43874.946956018517</v>
      </c>
      <c r="B38242" t="str">
        <f>HYPERLINK("https://twitter.com/LoVeMaTa","@LoVeMaTa")</f>
        <v>@LoVeMaTa</v>
      </c>
      <c r="C38242" t="s">
        <v>20</v>
      </c>
      <c r="D38242">
        <v>1</v>
      </c>
      <c r="E38242">
        <v>1</v>
      </c>
      <c r="F38242">
        <v>292</v>
      </c>
    </row>
    <row r="38243" spans="1:6" ht="15.75" customHeight="1">
      <c r="A38243" s="3">
        <v>43874.945706018523</v>
      </c>
      <c r="B38243" t="str">
        <f>HYPERLINK("https://twitter.com/CNNIndonesia","@CNNIndonesia")</f>
        <v>@CNNIndonesia</v>
      </c>
      <c r="C38243" t="s">
        <v>46</v>
      </c>
      <c r="D38243">
        <v>5</v>
      </c>
      <c r="E38243">
        <v>12</v>
      </c>
      <c r="F38243">
        <v>618499</v>
      </c>
    </row>
    <row r="38244" spans="1:6" ht="15.75" customHeight="1">
      <c r="A38244" s="3">
        <v>43874.945208333331</v>
      </c>
      <c r="B38244" t="str">
        <f>HYPERLINK("https://twitter.com/ciuzo","@ciuzo")</f>
        <v>@ciuzo</v>
      </c>
      <c r="C38244" t="s">
        <v>20</v>
      </c>
      <c r="D38244">
        <v>0</v>
      </c>
      <c r="E38244">
        <v>0</v>
      </c>
      <c r="F38244">
        <v>56</v>
      </c>
    </row>
    <row r="38245" spans="1:6" ht="15.75" customHeight="1">
      <c r="A38245" s="3">
        <v>43874.945185185185</v>
      </c>
      <c r="B38245" t="str">
        <f>HYPERLINK("https://twitter.com/kumparan","@kumparan")</f>
        <v>@kumparan</v>
      </c>
      <c r="C38245" t="s">
        <v>116</v>
      </c>
      <c r="D38245">
        <v>2</v>
      </c>
      <c r="E38245">
        <v>16</v>
      </c>
      <c r="F38245">
        <v>321827</v>
      </c>
    </row>
    <row r="38246" spans="1:6" ht="15.75" customHeight="1">
      <c r="A38246" s="3">
        <v>43874.945</v>
      </c>
      <c r="B38246" t="str">
        <f>HYPERLINK("https://twitter.com/detikcom","@detikcom")</f>
        <v>@detikcom</v>
      </c>
      <c r="C38246" t="s">
        <v>20</v>
      </c>
      <c r="D38246">
        <v>30</v>
      </c>
      <c r="E38246">
        <v>101</v>
      </c>
      <c r="F38246">
        <v>15663959</v>
      </c>
    </row>
    <row r="38247" spans="1:6" ht="15.75" customHeight="1">
      <c r="A38247" s="3">
        <v>43874.944548611107</v>
      </c>
      <c r="B38247" t="str">
        <f>HYPERLINK("https://twitter.com/leehandoko","@leehandoko")</f>
        <v>@leehandoko</v>
      </c>
      <c r="C38247" t="s">
        <v>117</v>
      </c>
      <c r="D38247">
        <v>2</v>
      </c>
      <c r="E38247">
        <v>6</v>
      </c>
      <c r="F38247">
        <v>1355</v>
      </c>
    </row>
    <row r="38248" spans="1:6" ht="15.75" customHeight="1">
      <c r="A38248" s="3">
        <v>43874.943483796298</v>
      </c>
      <c r="B38248" t="str">
        <f>HYPERLINK("https://twitter.com/Nofianthok","@Nofianthok")</f>
        <v>@Nofianthok</v>
      </c>
      <c r="C38248" t="s">
        <v>118</v>
      </c>
      <c r="D38248">
        <v>1</v>
      </c>
      <c r="E38248">
        <v>3</v>
      </c>
      <c r="F38248">
        <v>2178</v>
      </c>
    </row>
    <row r="38249" spans="1:6" ht="15.75" customHeight="1">
      <c r="A38249" s="3">
        <v>43874.94332175926</v>
      </c>
      <c r="B38249" t="str">
        <f>HYPERLINK("https://twitter.com/Bee_amacora","@Bee_amacora")</f>
        <v>@Bee_amacora</v>
      </c>
      <c r="C38249" t="s">
        <v>119</v>
      </c>
      <c r="D38249">
        <v>0</v>
      </c>
      <c r="E38249">
        <v>0</v>
      </c>
      <c r="F38249">
        <v>676</v>
      </c>
    </row>
    <row r="38250" spans="1:6" ht="15.75" customHeight="1">
      <c r="A38250" s="3">
        <v>43874.943043981482</v>
      </c>
      <c r="B38250" t="str">
        <f>HYPERLINK("https://twitter.com/dheedoet","@dheedoet")</f>
        <v>@dheedoet</v>
      </c>
      <c r="C38250" t="s">
        <v>120</v>
      </c>
      <c r="D38250">
        <v>0</v>
      </c>
      <c r="E38250">
        <v>0</v>
      </c>
      <c r="F38250">
        <v>151</v>
      </c>
    </row>
    <row r="38251" spans="1:6" ht="15.75" customHeight="1">
      <c r="A38251" s="3">
        <v>43874.942835648151</v>
      </c>
      <c r="B38251" t="str">
        <f>HYPERLINK("https://twitter.com/WiraPra90","@WiraPra90")</f>
        <v>@WiraPra90</v>
      </c>
      <c r="C38251" t="s">
        <v>121</v>
      </c>
      <c r="D38251">
        <v>0</v>
      </c>
      <c r="E38251">
        <v>0</v>
      </c>
      <c r="F38251">
        <v>1431</v>
      </c>
    </row>
    <row r="38252" spans="1:6" ht="15.75" customHeight="1">
      <c r="A38252" s="3">
        <v>43874.942152777774</v>
      </c>
      <c r="B38252" t="str">
        <f>HYPERLINK("https://twitter.com/zicolrnz","@zicolrnz")</f>
        <v>@zicolrnz</v>
      </c>
      <c r="C38252" t="s">
        <v>122</v>
      </c>
      <c r="D38252">
        <v>1</v>
      </c>
      <c r="E38252">
        <v>0</v>
      </c>
      <c r="F38252">
        <v>167</v>
      </c>
    </row>
    <row r="38253" spans="1:6" ht="15.75" customHeight="1">
      <c r="A38253" s="3">
        <v>43874.941840277781</v>
      </c>
      <c r="B38253" t="str">
        <f>HYPERLINK("https://twitter.com/EKODJONZHI","@EKODJONZHI")</f>
        <v>@EKODJONZHI</v>
      </c>
      <c r="C38253" t="s">
        <v>123</v>
      </c>
      <c r="D38253">
        <v>2</v>
      </c>
      <c r="E38253">
        <v>6</v>
      </c>
      <c r="F38253">
        <v>4008</v>
      </c>
    </row>
    <row r="38254" spans="1:6" ht="15.75" customHeight="1">
      <c r="A38254" s="3">
        <v>43874.941562499997</v>
      </c>
      <c r="B38254" t="str">
        <f>HYPERLINK("https://twitter.com/Aslipriok1973","@Aslipriok1973")</f>
        <v>@Aslipriok1973</v>
      </c>
      <c r="C38254" t="s">
        <v>124</v>
      </c>
      <c r="D38254">
        <v>0</v>
      </c>
      <c r="E38254">
        <v>1</v>
      </c>
      <c r="F38254">
        <v>1381</v>
      </c>
    </row>
    <row r="38255" spans="1:6" ht="15.75" customHeight="1">
      <c r="A38255" s="3">
        <v>43874.940937499996</v>
      </c>
      <c r="B38255" t="str">
        <f>HYPERLINK("https://twitter.com/joshua_elmike","@joshua_elmike")</f>
        <v>@joshua_elmike</v>
      </c>
      <c r="C38255" t="s">
        <v>125</v>
      </c>
      <c r="D38255">
        <v>0</v>
      </c>
      <c r="E38255">
        <v>0</v>
      </c>
      <c r="F38255">
        <v>980</v>
      </c>
    </row>
    <row r="38256" spans="1:6" ht="15.75" customHeight="1">
      <c r="A38256" s="3">
        <v>43874.939953703702</v>
      </c>
      <c r="B38256" t="str">
        <f>HYPERLINK("https://twitter.com/Dean_Nathali","@Dean_Nathali")</f>
        <v>@Dean_Nathali</v>
      </c>
      <c r="C38256" t="s">
        <v>126</v>
      </c>
      <c r="D38256">
        <v>0</v>
      </c>
      <c r="E38256">
        <v>1</v>
      </c>
      <c r="F38256">
        <v>29</v>
      </c>
    </row>
    <row r="38257" spans="1:6" ht="15.75" customHeight="1">
      <c r="A38257" s="3">
        <v>43874.939027777778</v>
      </c>
      <c r="B38257" t="str">
        <f>HYPERLINK("https://twitter.com/UstianaRestian","@UstianaRestian")</f>
        <v>@UstianaRestian</v>
      </c>
      <c r="C38257" t="s">
        <v>127</v>
      </c>
      <c r="D38257">
        <v>0</v>
      </c>
      <c r="E38257">
        <v>1</v>
      </c>
      <c r="F38257">
        <v>613</v>
      </c>
    </row>
    <row r="38258" spans="1:6" ht="15.75" customHeight="1">
      <c r="A38258" s="3">
        <v>43874.935219907406</v>
      </c>
      <c r="B38258" t="str">
        <f>HYPERLINK("https://twitter.com/AnggunS53552236","@AnggunS53552236")</f>
        <v>@AnggunS53552236</v>
      </c>
      <c r="C38258" t="s">
        <v>128</v>
      </c>
      <c r="D38258">
        <v>0</v>
      </c>
      <c r="E38258">
        <v>0</v>
      </c>
      <c r="F38258">
        <v>182</v>
      </c>
    </row>
    <row r="38259" spans="1:6" ht="15.75" customHeight="1">
      <c r="A38259" s="3">
        <v>43874.934374999997</v>
      </c>
      <c r="B38259" t="str">
        <f>HYPERLINK("https://twitter.com/Mela_669","@Mela_669")</f>
        <v>@Mela_669</v>
      </c>
      <c r="C38259" t="s">
        <v>129</v>
      </c>
      <c r="D38259">
        <v>0</v>
      </c>
      <c r="E38259">
        <v>1</v>
      </c>
      <c r="F38259">
        <v>802</v>
      </c>
    </row>
    <row r="38260" spans="1:6" ht="15.75" customHeight="1">
      <c r="A38260" s="3">
        <v>43874.93277777778</v>
      </c>
      <c r="B38260" t="str">
        <f>HYPERLINK("https://twitter.com/CahayaTiga8","@CahayaTiga8")</f>
        <v>@CahayaTiga8</v>
      </c>
      <c r="C38260" t="s">
        <v>130</v>
      </c>
      <c r="D38260">
        <v>0</v>
      </c>
      <c r="E38260">
        <v>0</v>
      </c>
      <c r="F38260">
        <v>451</v>
      </c>
    </row>
    <row r="38261" spans="1:6" ht="15.75" customHeight="1">
      <c r="A38261" s="3">
        <v>43874.93236111111</v>
      </c>
      <c r="B38261" t="str">
        <f>HYPERLINK("https://twitter.com/wongndeso333","@wongndeso333")</f>
        <v>@wongndeso333</v>
      </c>
      <c r="C38261" t="s">
        <v>131</v>
      </c>
      <c r="D38261">
        <v>0</v>
      </c>
      <c r="E38261">
        <v>1</v>
      </c>
      <c r="F38261">
        <v>4596</v>
      </c>
    </row>
    <row r="38262" spans="1:6" ht="15.75" customHeight="1">
      <c r="A38262" s="3">
        <v>43874.931828703702</v>
      </c>
      <c r="B38262" t="str">
        <f>HYPERLINK("https://twitter.com/dartriw","@dartriw")</f>
        <v>@dartriw</v>
      </c>
      <c r="C38262" t="s">
        <v>132</v>
      </c>
      <c r="D38262">
        <v>0</v>
      </c>
      <c r="E38262">
        <v>0</v>
      </c>
      <c r="F38262">
        <v>13</v>
      </c>
    </row>
    <row r="38263" spans="1:6" ht="15.75" customHeight="1">
      <c r="A38263" s="3">
        <v>43874.930532407408</v>
      </c>
      <c r="B38263" t="str">
        <f>HYPERLINK("https://twitter.com/dhimasdyo","@dhimasdyo")</f>
        <v>@dhimasdyo</v>
      </c>
      <c r="C38263" t="s">
        <v>133</v>
      </c>
      <c r="D38263">
        <v>0</v>
      </c>
      <c r="E38263">
        <v>0</v>
      </c>
      <c r="F38263">
        <v>296</v>
      </c>
    </row>
    <row r="38264" spans="1:6" ht="15.75" customHeight="1">
      <c r="A38264" s="3">
        <v>43874.924988425926</v>
      </c>
      <c r="B38264" t="str">
        <f>HYPERLINK("https://twitter.com/chirp__john","@chirp__john")</f>
        <v>@chirp__john</v>
      </c>
      <c r="C38264" t="s">
        <v>134</v>
      </c>
      <c r="D38264">
        <v>0</v>
      </c>
      <c r="E38264">
        <v>1</v>
      </c>
      <c r="F38264">
        <v>5935</v>
      </c>
    </row>
    <row r="38265" spans="1:6" ht="15.75" customHeight="1">
      <c r="A38265" s="3">
        <v>43874.923402777778</v>
      </c>
      <c r="B38265" t="str">
        <f>HYPERLINK("https://twitter.com/tandanVradio","@tandanVradio")</f>
        <v>@tandanVradio</v>
      </c>
      <c r="C38265" t="s">
        <v>135</v>
      </c>
      <c r="D38265">
        <v>0</v>
      </c>
      <c r="E38265">
        <v>2</v>
      </c>
      <c r="F38265">
        <v>2732</v>
      </c>
    </row>
    <row r="38266" spans="1:6" ht="15.75" customHeight="1">
      <c r="A38266" s="3">
        <v>43874.923020833332</v>
      </c>
      <c r="B38266" t="str">
        <f>HYPERLINK("https://twitter.com/zlametabidin","@zlametabidin")</f>
        <v>@zlametabidin</v>
      </c>
      <c r="C38266" t="s">
        <v>136</v>
      </c>
      <c r="D38266">
        <v>2</v>
      </c>
      <c r="E38266">
        <v>4</v>
      </c>
      <c r="F38266">
        <v>1768</v>
      </c>
    </row>
    <row r="38267" spans="1:6" ht="15.75" customHeight="1">
      <c r="A38267" s="3">
        <v>43874.922986111109</v>
      </c>
      <c r="B38267" t="str">
        <f>HYPERLINK("https://twitter.com/ElkWahyu","@ElkWahyu")</f>
        <v>@ElkWahyu</v>
      </c>
      <c r="C38267" t="s">
        <v>137</v>
      </c>
      <c r="D38267">
        <v>0</v>
      </c>
      <c r="E38267">
        <v>0</v>
      </c>
      <c r="F38267">
        <v>677</v>
      </c>
    </row>
    <row r="38268" spans="1:6" ht="15.75" customHeight="1">
      <c r="A38268" s="3">
        <v>43874.919386574074</v>
      </c>
      <c r="B38268" t="str">
        <f>HYPERLINK("https://twitter.com/FreddyArsyad2","@FreddyArsyad2")</f>
        <v>@FreddyArsyad2</v>
      </c>
      <c r="C38268" t="s">
        <v>138</v>
      </c>
      <c r="D38268">
        <v>0</v>
      </c>
      <c r="E38268">
        <v>0</v>
      </c>
      <c r="F38268">
        <v>3</v>
      </c>
    </row>
    <row r="38269" spans="1:6" ht="15.75" customHeight="1">
      <c r="A38269" s="3">
        <v>43874.918900462959</v>
      </c>
      <c r="B38269" t="str">
        <f>HYPERLINK("https://twitter.com/Jalu34496659","@Jalu34496659")</f>
        <v>@Jalu34496659</v>
      </c>
      <c r="C38269" t="s">
        <v>139</v>
      </c>
      <c r="D38269">
        <v>2</v>
      </c>
      <c r="E38269">
        <v>2</v>
      </c>
      <c r="F38269">
        <v>184</v>
      </c>
    </row>
    <row r="38270" spans="1:6" ht="15.75" customHeight="1">
      <c r="A38270" s="3">
        <v>43874.917627314819</v>
      </c>
      <c r="B38270" t="str">
        <f>HYPERLINK("https://twitter.com/ciuzo","@ciuzo")</f>
        <v>@ciuzo</v>
      </c>
      <c r="C38270" t="s">
        <v>140</v>
      </c>
      <c r="D38270">
        <v>0</v>
      </c>
      <c r="E38270">
        <v>0</v>
      </c>
      <c r="F38270">
        <v>56</v>
      </c>
    </row>
    <row r="38271" spans="1:6" ht="15.75" customHeight="1">
      <c r="A38271" s="3">
        <v>43874.916400462964</v>
      </c>
      <c r="B38271" t="str">
        <f>HYPERLINK("https://twitter.com/detikcom","@detikcom")</f>
        <v>@detikcom</v>
      </c>
      <c r="C38271" t="s">
        <v>140</v>
      </c>
      <c r="D38271">
        <v>2</v>
      </c>
      <c r="E38271">
        <v>5</v>
      </c>
      <c r="F38271">
        <v>15663959</v>
      </c>
    </row>
    <row r="38272" spans="1:6" ht="15.75" customHeight="1">
      <c r="A38272" s="3">
        <v>43874.916388888887</v>
      </c>
      <c r="B38272" t="str">
        <f>HYPERLINK("https://twitter.com/jibrilmf1","@jibrilmf1")</f>
        <v>@jibrilmf1</v>
      </c>
      <c r="C38272" t="s">
        <v>141</v>
      </c>
      <c r="D38272">
        <v>0</v>
      </c>
      <c r="E38272">
        <v>1</v>
      </c>
      <c r="F38272">
        <v>99</v>
      </c>
    </row>
    <row r="38273" spans="1:6" ht="15.75" customHeight="1">
      <c r="A38273" s="3">
        <v>43874.916192129633</v>
      </c>
      <c r="B38273" t="str">
        <f>HYPERLINK("https://twitter.com/stenleypranata1","@stenleypranata1")</f>
        <v>@stenleypranata1</v>
      </c>
      <c r="C38273" t="s">
        <v>142</v>
      </c>
      <c r="D38273">
        <v>0</v>
      </c>
      <c r="E38273">
        <v>1</v>
      </c>
      <c r="F38273">
        <v>2</v>
      </c>
    </row>
    <row r="38274" spans="1:6" ht="15.75" customHeight="1">
      <c r="A38274" s="3">
        <v>43874.91605324074</v>
      </c>
      <c r="B38274" t="str">
        <f>HYPERLINK("https://twitter.com/gorba_psi","@gorba_psi")</f>
        <v>@gorba_psi</v>
      </c>
      <c r="C38274" t="s">
        <v>143</v>
      </c>
      <c r="D38274">
        <v>4</v>
      </c>
      <c r="E38274">
        <v>4</v>
      </c>
      <c r="F38274">
        <v>1615</v>
      </c>
    </row>
    <row r="38275" spans="1:6" ht="15.75" customHeight="1">
      <c r="A38275" s="3">
        <v>43874.914710648147</v>
      </c>
      <c r="B38275" t="str">
        <f>HYPERLINK("https://twitter.com/OziOzyOji","@OziOzyOji")</f>
        <v>@OziOzyOji</v>
      </c>
      <c r="C38275" t="s">
        <v>144</v>
      </c>
      <c r="D38275">
        <v>0</v>
      </c>
      <c r="E38275">
        <v>0</v>
      </c>
      <c r="F38275">
        <v>214</v>
      </c>
    </row>
    <row r="38276" spans="1:6" ht="15.75" customHeight="1">
      <c r="A38276" s="3">
        <v>43874.913263888884</v>
      </c>
      <c r="B38276" t="str">
        <f>HYPERLINK("https://twitter.com/KompasTV","@KompasTV")</f>
        <v>@KompasTV</v>
      </c>
      <c r="C38276" t="s">
        <v>145</v>
      </c>
      <c r="D38276">
        <v>0</v>
      </c>
      <c r="E38276">
        <v>6</v>
      </c>
      <c r="F38276">
        <v>2940923</v>
      </c>
    </row>
    <row r="38277" spans="1:6" ht="15.75" customHeight="1">
      <c r="A38277" s="3">
        <v>43874.913229166668</v>
      </c>
      <c r="B38277" t="str">
        <f>HYPERLINK("https://twitter.com/ToleransiVs","@ToleransiVs")</f>
        <v>@ToleransiVs</v>
      </c>
      <c r="C38277" t="s">
        <v>146</v>
      </c>
      <c r="D38277">
        <v>0</v>
      </c>
      <c r="E38277">
        <v>0</v>
      </c>
      <c r="F38277">
        <v>1</v>
      </c>
    </row>
    <row r="38278" spans="1:6" ht="15.75" customHeight="1">
      <c r="A38278" s="3">
        <v>43874.911759259259</v>
      </c>
      <c r="B38278" t="str">
        <f>HYPERLINK("https://twitter.com/MafaziNaufal","@MafaziNaufal")</f>
        <v>@MafaziNaufal</v>
      </c>
      <c r="C38278" t="s">
        <v>147</v>
      </c>
      <c r="D38278">
        <v>0</v>
      </c>
      <c r="E38278">
        <v>0</v>
      </c>
      <c r="F38278">
        <v>44</v>
      </c>
    </row>
    <row r="38279" spans="1:6" ht="15.75" customHeight="1">
      <c r="A38279" s="3">
        <v>43874.910983796297</v>
      </c>
      <c r="B38279" t="str">
        <f>HYPERLINK("https://twitter.com/Jokowinomics_id","@Jokowinomics_id")</f>
        <v>@Jokowinomics_id</v>
      </c>
      <c r="C38279" t="s">
        <v>148</v>
      </c>
      <c r="D38279">
        <v>6</v>
      </c>
      <c r="E38279">
        <v>11</v>
      </c>
      <c r="F38279">
        <v>1628</v>
      </c>
    </row>
    <row r="38280" spans="1:6" ht="15.75" customHeight="1">
      <c r="A38280" s="3">
        <v>43874.910057870366</v>
      </c>
      <c r="B38280" t="str">
        <f>HYPERLINK("https://twitter.com/Metro_TV","@Metro_TV")</f>
        <v>@Metro_TV</v>
      </c>
      <c r="C38280" t="s">
        <v>149</v>
      </c>
      <c r="D38280">
        <v>1</v>
      </c>
      <c r="E38280">
        <v>4</v>
      </c>
      <c r="F38280">
        <v>10508854</v>
      </c>
    </row>
    <row r="38281" spans="1:6" ht="15.75" customHeight="1">
      <c r="A38281" s="3">
        <v>43874.909745370373</v>
      </c>
      <c r="B38281" t="str">
        <f>HYPERLINK("https://twitter.com/rmol_id","@rmol_id")</f>
        <v>@rmol_id</v>
      </c>
      <c r="C38281" t="s">
        <v>150</v>
      </c>
      <c r="D38281">
        <v>0</v>
      </c>
      <c r="E38281">
        <v>2</v>
      </c>
      <c r="F38281">
        <v>160765</v>
      </c>
    </row>
    <row r="38282" spans="1:6" ht="15.75" customHeight="1">
      <c r="A38282" s="3">
        <v>43874.908356481479</v>
      </c>
      <c r="B38282" t="str">
        <f>HYPERLINK("https://twitter.com/jpnncom","@jpnncom")</f>
        <v>@jpnncom</v>
      </c>
      <c r="C38282" t="s">
        <v>151</v>
      </c>
      <c r="D38282">
        <v>0</v>
      </c>
      <c r="E38282">
        <v>0</v>
      </c>
      <c r="F38282">
        <v>49438</v>
      </c>
    </row>
    <row r="38283" spans="1:6" ht="15.75" customHeight="1">
      <c r="A38283" s="3">
        <v>43874.90788194444</v>
      </c>
      <c r="B38283" t="str">
        <f>HYPERLINK("https://twitter.com/Partijon_GL","@Partijon_GL")</f>
        <v>@Partijon_GL</v>
      </c>
      <c r="C38283" t="s">
        <v>152</v>
      </c>
      <c r="D38283">
        <v>0</v>
      </c>
      <c r="E38283">
        <v>5</v>
      </c>
      <c r="F38283">
        <v>7242</v>
      </c>
    </row>
    <row r="38284" spans="1:6" ht="15.75" customHeight="1">
      <c r="A38284" s="3">
        <v>43874.907847222217</v>
      </c>
      <c r="B38284" t="str">
        <f>HYPERLINK("https://twitter.com/ParmonanganRaja","@ParmonanganRaja")</f>
        <v>@ParmonanganRaja</v>
      </c>
      <c r="C38284" t="s">
        <v>153</v>
      </c>
      <c r="D38284">
        <v>0</v>
      </c>
      <c r="E38284">
        <v>0</v>
      </c>
      <c r="F38284">
        <v>182</v>
      </c>
    </row>
    <row r="38285" spans="1:6" ht="15.75" customHeight="1">
      <c r="A38285" s="3">
        <v>43874.907476851848</v>
      </c>
      <c r="B38285" t="str">
        <f>HYPERLINK("https://twitter.com/taufikmappaenre","@taufikmappaenre")</f>
        <v>@taufikmappaenre</v>
      </c>
      <c r="C38285" t="s">
        <v>154</v>
      </c>
      <c r="D38285">
        <v>0</v>
      </c>
      <c r="E38285">
        <v>0</v>
      </c>
      <c r="F38285">
        <v>58</v>
      </c>
    </row>
    <row r="38286" spans="1:6" ht="15.75" customHeight="1">
      <c r="A38286" s="3">
        <v>43874.906435185185</v>
      </c>
      <c r="B38286" t="str">
        <f>HYPERLINK("https://twitter.com/tvOneNews","@tvOneNews")</f>
        <v>@tvOneNews</v>
      </c>
      <c r="C38286" t="s">
        <v>155</v>
      </c>
      <c r="D38286">
        <v>0</v>
      </c>
      <c r="E38286">
        <v>8</v>
      </c>
      <c r="F38286">
        <v>8714368</v>
      </c>
    </row>
    <row r="38287" spans="1:6" ht="15.75" customHeight="1">
      <c r="A38287" s="3">
        <v>43874.905821759261</v>
      </c>
      <c r="B38287" t="str">
        <f>HYPERLINK("https://twitter.com/wongmlaku","@wongmlaku")</f>
        <v>@wongmlaku</v>
      </c>
      <c r="C38287" t="s">
        <v>156</v>
      </c>
      <c r="D38287">
        <v>1</v>
      </c>
      <c r="E38287">
        <v>1</v>
      </c>
      <c r="F38287">
        <v>6215</v>
      </c>
    </row>
    <row r="38288" spans="1:6" ht="15.75" customHeight="1">
      <c r="A38288" s="3">
        <v>43874.905682870369</v>
      </c>
      <c r="B38288" t="str">
        <f>HYPERLINK("https://twitter.com/jatim_nasdem_id","@jatim_nasdem_id")</f>
        <v>@jatim_nasdem_id</v>
      </c>
      <c r="C38288" t="s">
        <v>157</v>
      </c>
      <c r="D38288">
        <v>0</v>
      </c>
      <c r="E38288">
        <v>0</v>
      </c>
      <c r="F38288">
        <v>137</v>
      </c>
    </row>
    <row r="38289" spans="1:6" ht="15.75" customHeight="1">
      <c r="A38289" s="3">
        <v>43874.903263888889</v>
      </c>
      <c r="B38289" t="str">
        <f>HYPERLINK("https://twitter.com/LusiHQ","@LusiHQ")</f>
        <v>@LusiHQ</v>
      </c>
      <c r="C38289" t="s">
        <v>158</v>
      </c>
      <c r="D38289">
        <v>18</v>
      </c>
      <c r="E38289">
        <v>30</v>
      </c>
      <c r="F38289">
        <v>17685</v>
      </c>
    </row>
    <row r="38290" spans="1:6" ht="15.75" customHeight="1">
      <c r="A38290" s="3">
        <v>43874.903229166666</v>
      </c>
      <c r="B38290" t="str">
        <f>HYPERLINK("https://twitter.com/cvlpritcvlt","@cvlpritcvlt")</f>
        <v>@cvlpritcvlt</v>
      </c>
      <c r="C38290" t="s">
        <v>159</v>
      </c>
      <c r="D38290">
        <v>0</v>
      </c>
      <c r="E38290">
        <v>0</v>
      </c>
      <c r="F38290">
        <v>543</v>
      </c>
    </row>
    <row r="38291" spans="1:6" ht="15.75" customHeight="1">
      <c r="A38291" s="3">
        <v>43874.902719907404</v>
      </c>
      <c r="B38291" t="str">
        <f>HYPERLINK("https://twitter.com/rizkyqbay","@rizkyqbay")</f>
        <v>@rizkyqbay</v>
      </c>
      <c r="C38291" t="s">
        <v>160</v>
      </c>
      <c r="D38291">
        <v>0</v>
      </c>
      <c r="E38291">
        <v>0</v>
      </c>
      <c r="F38291">
        <v>34</v>
      </c>
    </row>
    <row r="38292" spans="1:6" ht="15.75" customHeight="1">
      <c r="A38292" s="3">
        <v>43874.902685185181</v>
      </c>
      <c r="B38292" t="str">
        <f>HYPERLINK("https://twitter.com/Andi_sTwitt","@Andi_sTwitt")</f>
        <v>@Andi_sTwitt</v>
      </c>
      <c r="C38292" t="s">
        <v>161</v>
      </c>
      <c r="D38292">
        <v>0</v>
      </c>
      <c r="E38292">
        <v>0</v>
      </c>
      <c r="F38292">
        <v>313</v>
      </c>
    </row>
    <row r="38293" spans="1:6" ht="15.75" customHeight="1">
      <c r="A38293" s="3">
        <v>43874.900787037041</v>
      </c>
      <c r="B38293" t="str">
        <f>HYPERLINK("https://twitter.com/bisnisindgroup","@bisnisindgroup")</f>
        <v>@bisnisindgroup</v>
      </c>
      <c r="C38293" t="s">
        <v>162</v>
      </c>
      <c r="D38293">
        <v>0</v>
      </c>
      <c r="E38293">
        <v>0</v>
      </c>
      <c r="F38293">
        <v>7299</v>
      </c>
    </row>
    <row r="38294" spans="1:6" ht="15.75" customHeight="1">
      <c r="A38294" s="3">
        <v>43874.900775462964</v>
      </c>
      <c r="B38294" t="str">
        <f>HYPERLINK("https://twitter.com/Bisniscom","@Bisniscom")</f>
        <v>@Bisniscom</v>
      </c>
      <c r="C38294" t="s">
        <v>163</v>
      </c>
      <c r="D38294">
        <v>0</v>
      </c>
      <c r="E38294">
        <v>1</v>
      </c>
      <c r="F38294">
        <v>992523</v>
      </c>
    </row>
    <row r="38295" spans="1:6" ht="15.75" customHeight="1">
      <c r="A38295" s="3">
        <v>43874.899953703702</v>
      </c>
      <c r="B38295" t="str">
        <f>HYPERLINK("https://twitter.com/SINTIACLAUDIA7","@SINTIACLAUDIA7")</f>
        <v>@SINTIACLAUDIA7</v>
      </c>
      <c r="C38295" t="s">
        <v>164</v>
      </c>
      <c r="D38295">
        <v>0</v>
      </c>
      <c r="E38295">
        <v>0</v>
      </c>
      <c r="F38295">
        <v>0</v>
      </c>
    </row>
    <row r="38296" spans="1:6" ht="15.75" customHeight="1">
      <c r="A38296" s="3">
        <v>43874.897546296299</v>
      </c>
      <c r="B38296" t="str">
        <f>HYPERLINK("https://twitter.com/FaktualN","@FaktualN")</f>
        <v>@FaktualN</v>
      </c>
      <c r="C38296" t="s">
        <v>165</v>
      </c>
      <c r="D38296">
        <v>0</v>
      </c>
      <c r="E38296">
        <v>0</v>
      </c>
      <c r="F38296">
        <v>20</v>
      </c>
    </row>
    <row r="38297" spans="1:6" ht="15.75" customHeight="1">
      <c r="A38297" s="3">
        <v>43874.896944444445</v>
      </c>
      <c r="B38297" t="str">
        <f>HYPERLINK("https://twitter.com/9iomarco","@9iomarco")</f>
        <v>@9iomarco</v>
      </c>
      <c r="C38297" t="s">
        <v>166</v>
      </c>
      <c r="D38297">
        <v>1</v>
      </c>
      <c r="E38297">
        <v>1</v>
      </c>
      <c r="F38297">
        <v>304</v>
      </c>
    </row>
    <row r="38298" spans="1:6" ht="15.75" customHeight="1">
      <c r="A38298" s="3">
        <v>43874.896898148145</v>
      </c>
      <c r="B38298" t="str">
        <f>HYPERLINK("https://twitter.com/Harian_Jogja","@Harian_Jogja")</f>
        <v>@Harian_Jogja</v>
      </c>
      <c r="C38298" t="s">
        <v>167</v>
      </c>
      <c r="D38298">
        <v>0</v>
      </c>
      <c r="E38298">
        <v>3</v>
      </c>
      <c r="F38298">
        <v>153150</v>
      </c>
    </row>
    <row r="38299" spans="1:6" ht="15.75" customHeight="1">
      <c r="A38299" s="3">
        <v>43874.89571759259</v>
      </c>
      <c r="B38299" t="str">
        <f>HYPERLINK("https://twitter.com/HeriBassista","@HeriBassista")</f>
        <v>@HeriBassista</v>
      </c>
      <c r="C38299" t="s">
        <v>168</v>
      </c>
      <c r="D38299">
        <v>0</v>
      </c>
      <c r="E38299">
        <v>4</v>
      </c>
      <c r="F38299">
        <v>4488</v>
      </c>
    </row>
    <row r="38300" spans="1:6" ht="15.75" customHeight="1">
      <c r="A38300" s="3">
        <v>43874.895324074074</v>
      </c>
      <c r="B38300" t="str">
        <f>HYPERLINK("https://twitter.com/LeviVirsi","@LeviVirsi")</f>
        <v>@LeviVirsi</v>
      </c>
      <c r="C38300" t="s">
        <v>169</v>
      </c>
      <c r="D38300">
        <v>0</v>
      </c>
      <c r="E38300">
        <v>0</v>
      </c>
      <c r="F38300">
        <v>48</v>
      </c>
    </row>
    <row r="38301" spans="1:6" ht="15.75" customHeight="1">
      <c r="A38301" s="3">
        <v>43874.894699074073</v>
      </c>
      <c r="B38301" t="str">
        <f>HYPERLINK("https://twitter.com/BGaber62","@BGaber62")</f>
        <v>@BGaber62</v>
      </c>
      <c r="C38301" t="s">
        <v>170</v>
      </c>
      <c r="D38301">
        <v>4</v>
      </c>
      <c r="E38301">
        <v>4</v>
      </c>
      <c r="F38301">
        <v>159</v>
      </c>
    </row>
    <row r="38302" spans="1:6" ht="15.75" customHeight="1">
      <c r="A38302" s="3">
        <v>43874.894004629634</v>
      </c>
      <c r="B38302" t="str">
        <f>HYPERLINK("https://twitter.com/chirp__john","@chirp__john")</f>
        <v>@chirp__john</v>
      </c>
      <c r="C38302" t="s">
        <v>171</v>
      </c>
      <c r="D38302">
        <v>0</v>
      </c>
      <c r="E38302">
        <v>0</v>
      </c>
      <c r="F38302">
        <v>5935</v>
      </c>
    </row>
    <row r="38303" spans="1:6" ht="15.75" customHeight="1">
      <c r="A38303" s="3">
        <v>43874.892893518518</v>
      </c>
      <c r="B38303" t="str">
        <f>HYPERLINK("https://twitter.com/SINTIACLAUDIA7","@SINTIACLAUDIA7")</f>
        <v>@SINTIACLAUDIA7</v>
      </c>
      <c r="C38303" t="s">
        <v>164</v>
      </c>
      <c r="D38303">
        <v>0</v>
      </c>
      <c r="E38303">
        <v>0</v>
      </c>
      <c r="F38303">
        <v>0</v>
      </c>
    </row>
    <row r="38304" spans="1:6" ht="15.75" customHeight="1">
      <c r="A38304" s="3">
        <v>43874.891909722224</v>
      </c>
      <c r="B38304" t="str">
        <f>HYPERLINK("https://twitter.com/shakiraizzatul","@shakiraizzatul")</f>
        <v>@shakiraizzatul</v>
      </c>
      <c r="C38304" t="s">
        <v>172</v>
      </c>
      <c r="D38304">
        <v>4</v>
      </c>
      <c r="E38304">
        <v>4</v>
      </c>
      <c r="F38304">
        <v>252</v>
      </c>
    </row>
    <row r="38305" spans="1:6" ht="15.75" customHeight="1">
      <c r="A38305" s="3">
        <v>43874.891226851847</v>
      </c>
      <c r="B38305" t="str">
        <f>HYPERLINK("https://twitter.com/yunankingstar1","@yunankingstar1")</f>
        <v>@yunankingstar1</v>
      </c>
      <c r="C38305" t="s">
        <v>173</v>
      </c>
      <c r="D38305">
        <v>0</v>
      </c>
      <c r="E38305">
        <v>0</v>
      </c>
      <c r="F38305">
        <v>40</v>
      </c>
    </row>
    <row r="38306" spans="1:6" ht="15.75" customHeight="1">
      <c r="A38306" s="3">
        <v>43874.889178240745</v>
      </c>
      <c r="B38306" t="str">
        <f>HYPERLINK("https://twitter.com/RinaAdriana0","@RinaAdriana0")</f>
        <v>@RinaAdriana0</v>
      </c>
      <c r="D38306">
        <v>0</v>
      </c>
      <c r="E38306">
        <v>0</v>
      </c>
      <c r="F38306">
        <v>100</v>
      </c>
    </row>
    <row r="38307" spans="1:6" ht="15.75" customHeight="1">
      <c r="A38307" s="3">
        <v>43874.888553240744</v>
      </c>
      <c r="B38307" t="str">
        <f>HYPERLINK("https://twitter.com/JulianiAndika","@JulianiAndika")</f>
        <v>@JulianiAndika</v>
      </c>
      <c r="D38307">
        <v>2</v>
      </c>
      <c r="E38307">
        <v>6</v>
      </c>
      <c r="F38307">
        <v>153</v>
      </c>
    </row>
    <row r="38308" spans="1:6" ht="15.75" customHeight="1">
      <c r="A38308" s="3">
        <v>43874.888136574074</v>
      </c>
      <c r="B38308" t="str">
        <f>HYPERLINK("https://twitter.com/SINTIACLAUDIA7","@SINTIACLAUDIA7")</f>
        <v>@SINTIACLAUDIA7</v>
      </c>
      <c r="C38308" t="s">
        <v>164</v>
      </c>
      <c r="D38308">
        <v>0</v>
      </c>
      <c r="E38308">
        <v>0</v>
      </c>
      <c r="F38308">
        <v>0</v>
      </c>
    </row>
    <row r="38309" spans="1:6" ht="15.75" customHeight="1">
      <c r="A38309" s="3">
        <v>43874.888067129628</v>
      </c>
      <c r="B38309" t="str">
        <f>HYPERLINK("https://twitter.com/sarwonobs","@sarwonobs")</f>
        <v>@sarwonobs</v>
      </c>
      <c r="C38309" t="s">
        <v>174</v>
      </c>
      <c r="D38309">
        <v>0</v>
      </c>
      <c r="E38309">
        <v>0</v>
      </c>
      <c r="F38309">
        <v>203</v>
      </c>
    </row>
    <row r="38310" spans="1:6" ht="15.75" customHeight="1">
      <c r="A38310" s="3">
        <v>43874.884745370371</v>
      </c>
      <c r="B38310" t="str">
        <f>HYPERLINK("https://twitter.com/Kabar24","@Kabar24")</f>
        <v>@Kabar24</v>
      </c>
      <c r="C38310" t="s">
        <v>176</v>
      </c>
      <c r="D38310">
        <v>0</v>
      </c>
      <c r="E38310">
        <v>0</v>
      </c>
      <c r="F38310">
        <v>20013</v>
      </c>
    </row>
    <row r="38311" spans="1:6" ht="15.75" customHeight="1">
      <c r="A38311" s="3">
        <v>43874.884745370371</v>
      </c>
      <c r="B38311" t="str">
        <f>HYPERLINK("https://twitter.com/Bisniscom","@Bisniscom")</f>
        <v>@Bisniscom</v>
      </c>
      <c r="C38311" t="s">
        <v>176</v>
      </c>
      <c r="D38311">
        <v>1</v>
      </c>
      <c r="E38311">
        <v>1</v>
      </c>
      <c r="F38311">
        <v>992523</v>
      </c>
    </row>
    <row r="38312" spans="1:6" ht="15.75" customHeight="1">
      <c r="A38312" s="3">
        <v>43874.884270833332</v>
      </c>
      <c r="B38312" t="str">
        <f>HYPERLINK("https://twitter.com/Lanang_SaJati","@Lanang_SaJati")</f>
        <v>@Lanang_SaJati</v>
      </c>
      <c r="C38312" t="s">
        <v>178</v>
      </c>
      <c r="D38312">
        <v>0</v>
      </c>
      <c r="E38312">
        <v>0</v>
      </c>
      <c r="F38312">
        <v>130</v>
      </c>
    </row>
    <row r="38313" spans="1:6" ht="15.75" customHeight="1">
      <c r="A38313" s="3">
        <v>43874.884050925924</v>
      </c>
      <c r="B38313" t="str">
        <f>HYPERLINK("https://twitter.com/jpnncom","@jpnncom")</f>
        <v>@jpnncom</v>
      </c>
      <c r="C38313" t="s">
        <v>179</v>
      </c>
      <c r="D38313">
        <v>1</v>
      </c>
      <c r="E38313">
        <v>0</v>
      </c>
      <c r="F38313">
        <v>49438</v>
      </c>
    </row>
    <row r="38314" spans="1:6" ht="15.75" customHeight="1">
      <c r="A38314" s="3">
        <v>43874.884016203709</v>
      </c>
      <c r="B38314" t="str">
        <f>HYPERLINK("https://twitter.com/udafajri","@udafajri")</f>
        <v>@udafajri</v>
      </c>
      <c r="C38314" t="s">
        <v>180</v>
      </c>
      <c r="D38314">
        <v>0</v>
      </c>
      <c r="E38314">
        <v>0</v>
      </c>
      <c r="F38314">
        <v>88</v>
      </c>
    </row>
    <row r="38315" spans="1:6" ht="15.75" customHeight="1">
      <c r="A38315" s="3">
        <v>43874.882731481484</v>
      </c>
      <c r="B38315" t="str">
        <f>HYPERLINK("https://twitter.com/antmegapolitan","@antmegapolitan")</f>
        <v>@antmegapolitan</v>
      </c>
      <c r="D38315">
        <v>0</v>
      </c>
      <c r="E38315">
        <v>0</v>
      </c>
      <c r="F38315">
        <v>181</v>
      </c>
    </row>
    <row r="38316" spans="1:6" ht="15.75" customHeight="1">
      <c r="A38316" s="3">
        <v>43874.882407407407</v>
      </c>
      <c r="B38316" t="str">
        <f>HYPERLINK("https://twitter.com/Realitarakyat01","@Realitarakyat01")</f>
        <v>@Realitarakyat01</v>
      </c>
      <c r="C38316" t="s">
        <v>181</v>
      </c>
      <c r="D38316">
        <v>0</v>
      </c>
      <c r="E38316">
        <v>0</v>
      </c>
      <c r="F38316">
        <v>121</v>
      </c>
    </row>
    <row r="38317" spans="1:6" ht="15.75" customHeight="1">
      <c r="A38317" s="3">
        <v>43874.881967592592</v>
      </c>
      <c r="B38317" t="str">
        <f>HYPERLINK("https://twitter.com/alineadotid","@alineadotid")</f>
        <v>@alineadotid</v>
      </c>
      <c r="C38317" t="s">
        <v>182</v>
      </c>
      <c r="D38317">
        <v>0</v>
      </c>
      <c r="E38317">
        <v>3</v>
      </c>
      <c r="F38317">
        <v>612028</v>
      </c>
    </row>
    <row r="38318" spans="1:6" ht="15.75" customHeight="1">
      <c r="A38318" s="3">
        <v>43874.881608796291</v>
      </c>
      <c r="B38318" t="str">
        <f>HYPERLINK("https://twitter.com/iina_surbakti","@iina_surbakti")</f>
        <v>@iina_surbakti</v>
      </c>
      <c r="C38318" t="s">
        <v>183</v>
      </c>
      <c r="D38318">
        <v>0</v>
      </c>
      <c r="E38318">
        <v>1</v>
      </c>
      <c r="F38318">
        <v>555</v>
      </c>
    </row>
    <row r="38319" spans="1:6" ht="15.75" customHeight="1">
      <c r="A38319" s="3">
        <v>43874.881192129629</v>
      </c>
      <c r="B38319" t="str">
        <f>HYPERLINK("https://twitter.com/noranekocchi","@noranekocchi")</f>
        <v>@noranekocchi</v>
      </c>
      <c r="C38319" t="s">
        <v>184</v>
      </c>
      <c r="D38319">
        <v>0</v>
      </c>
      <c r="E38319">
        <v>0</v>
      </c>
      <c r="F38319">
        <v>262</v>
      </c>
    </row>
    <row r="38320" spans="1:6" ht="15.75" customHeight="1">
      <c r="A38320" s="3">
        <v>43874.88118055556</v>
      </c>
      <c r="B38320" t="str">
        <f>HYPERLINK("https://twitter.com/hendrachmanaa","@hendrachmanaa")</f>
        <v>@hendrachmanaa</v>
      </c>
      <c r="C38320" t="s">
        <v>185</v>
      </c>
      <c r="D38320">
        <v>0</v>
      </c>
      <c r="E38320">
        <v>1</v>
      </c>
      <c r="F38320">
        <v>2189</v>
      </c>
    </row>
    <row r="38321" spans="1:6" ht="15.75" customHeight="1">
      <c r="A38321" s="3">
        <v>43874.880347222221</v>
      </c>
      <c r="B38321" t="str">
        <f>HYPERLINK("https://twitter.com/kiblatnet","@kiblatnet")</f>
        <v>@kiblatnet</v>
      </c>
      <c r="C38321" t="s">
        <v>186</v>
      </c>
      <c r="D38321">
        <v>0</v>
      </c>
      <c r="E38321">
        <v>0</v>
      </c>
      <c r="F38321">
        <v>20760</v>
      </c>
    </row>
    <row r="38322" spans="1:6" ht="15.75" customHeight="1">
      <c r="A38322" s="3">
        <v>43874.879340277781</v>
      </c>
      <c r="B38322" t="str">
        <f>HYPERLINK("https://twitter.com/cnrofii","@cnrofii")</f>
        <v>@cnrofii</v>
      </c>
      <c r="C38322" t="s">
        <v>187</v>
      </c>
      <c r="D38322">
        <v>0</v>
      </c>
      <c r="E38322">
        <v>1</v>
      </c>
      <c r="F38322">
        <v>354</v>
      </c>
    </row>
    <row r="38323" spans="1:6" ht="15.75" customHeight="1">
      <c r="A38323" s="3">
        <v>43874.878946759258</v>
      </c>
      <c r="B38323" t="str">
        <f>HYPERLINK("https://twitter.com/d0ddy2112","@d0ddy2112")</f>
        <v>@d0ddy2112</v>
      </c>
      <c r="C38323" t="s">
        <v>188</v>
      </c>
      <c r="D38323">
        <v>0</v>
      </c>
      <c r="E38323">
        <v>0</v>
      </c>
      <c r="F38323">
        <v>308</v>
      </c>
    </row>
    <row r="38324" spans="1:6" ht="15.75" customHeight="1">
      <c r="A38324" s="3">
        <v>43874.878541666665</v>
      </c>
      <c r="B38324" t="str">
        <f>HYPERLINK("https://twitter.com/HarianKalteng","@HarianKalteng")</f>
        <v>@HarianKalteng</v>
      </c>
      <c r="C38324" t="s">
        <v>189</v>
      </c>
      <c r="D38324">
        <v>0</v>
      </c>
      <c r="E38324">
        <v>0</v>
      </c>
      <c r="F38324">
        <v>422</v>
      </c>
    </row>
    <row r="38325" spans="1:6" ht="15.75" customHeight="1">
      <c r="A38325" s="3">
        <v>43874.876944444448</v>
      </c>
      <c r="B38325" t="str">
        <f>HYPERLINK("https://twitter.com/DsSupriyady","@DsSupriyady")</f>
        <v>@DsSupriyady</v>
      </c>
      <c r="C38325" t="s">
        <v>190</v>
      </c>
      <c r="D38325">
        <v>0</v>
      </c>
      <c r="E38325">
        <v>0</v>
      </c>
      <c r="F38325">
        <v>3866</v>
      </c>
    </row>
    <row r="38326" spans="1:6" ht="15.75" customHeight="1">
      <c r="A38326" s="3">
        <v>43874.876493055555</v>
      </c>
      <c r="B38326" t="str">
        <f>HYPERLINK("https://twitter.com/jokowibekerjaID","@jokowibekerjaID")</f>
        <v>@jokowibekerjaID</v>
      </c>
      <c r="C38326" t="s">
        <v>191</v>
      </c>
      <c r="D38326">
        <v>0</v>
      </c>
      <c r="E38326">
        <v>0</v>
      </c>
      <c r="F38326">
        <v>397</v>
      </c>
    </row>
    <row r="38327" spans="1:6" ht="15.75" customHeight="1">
      <c r="A38327" s="3">
        <v>43874.875902777778</v>
      </c>
      <c r="B38327" t="str">
        <f>HYPERLINK("https://twitter.com/MNCNewsroom","@MNCNewsroom")</f>
        <v>@MNCNewsroom</v>
      </c>
      <c r="C38327" t="s">
        <v>192</v>
      </c>
      <c r="D38327">
        <v>0</v>
      </c>
      <c r="E38327">
        <v>0</v>
      </c>
      <c r="F38327">
        <v>17544</v>
      </c>
    </row>
    <row r="38328" spans="1:6" ht="15.75" customHeight="1">
      <c r="A38328" s="3">
        <v>43874.875023148154</v>
      </c>
      <c r="B38328" t="str">
        <f>HYPERLINK("https://twitter.com/BornTof06071122","@BornTof06071122")</f>
        <v>@BornTof06071122</v>
      </c>
      <c r="C38328" t="s">
        <v>193</v>
      </c>
      <c r="D38328">
        <v>0</v>
      </c>
      <c r="E38328">
        <v>0</v>
      </c>
      <c r="F38328">
        <v>912</v>
      </c>
    </row>
    <row r="38329" spans="1:6" ht="15.75" customHeight="1">
      <c r="A38329" s="3">
        <v>43874.874942129631</v>
      </c>
      <c r="B38329" t="str">
        <f>HYPERLINK("https://twitter.com/Bulemasyadi1","@Bulemasyadi1")</f>
        <v>@Bulemasyadi1</v>
      </c>
      <c r="C38329" t="s">
        <v>194</v>
      </c>
      <c r="D38329">
        <v>0</v>
      </c>
      <c r="E38329">
        <v>0</v>
      </c>
      <c r="F38329">
        <v>121</v>
      </c>
    </row>
    <row r="38330" spans="1:6" ht="15.75" customHeight="1">
      <c r="A38330" s="3">
        <v>43874.87462962963</v>
      </c>
      <c r="B38330" t="str">
        <f>HYPERLINK("https://twitter.com/wisanggeni_084","@wisanggeni_084")</f>
        <v>@wisanggeni_084</v>
      </c>
      <c r="C38330" t="s">
        <v>195</v>
      </c>
      <c r="D38330">
        <v>11</v>
      </c>
      <c r="E38330">
        <v>22</v>
      </c>
      <c r="F38330">
        <v>15789</v>
      </c>
    </row>
    <row r="38331" spans="1:6" ht="15.75" customHeight="1">
      <c r="A38331" s="3">
        <v>43874.87427083333</v>
      </c>
      <c r="B38331" t="str">
        <f>HYPERLINK("https://twitter.com/KartelEgo","@KartelEgo")</f>
        <v>@KartelEgo</v>
      </c>
      <c r="C38331" t="s">
        <v>196</v>
      </c>
      <c r="D38331">
        <v>1</v>
      </c>
      <c r="E38331">
        <v>3</v>
      </c>
      <c r="F38331">
        <v>1394</v>
      </c>
    </row>
    <row r="38332" spans="1:6" ht="15.75" customHeight="1">
      <c r="A38332" s="3">
        <v>43874.873078703706</v>
      </c>
      <c r="B38332" t="str">
        <f>HYPERLINK("https://twitter.com/reoraja","@reoraja")</f>
        <v>@reoraja</v>
      </c>
      <c r="C38332" t="s">
        <v>197</v>
      </c>
      <c r="D38332">
        <v>1</v>
      </c>
      <c r="E38332">
        <v>0</v>
      </c>
      <c r="F38332">
        <v>955</v>
      </c>
    </row>
    <row r="38333" spans="1:6" ht="15.75" customHeight="1">
      <c r="A38333" s="3">
        <v>43874.872858796298</v>
      </c>
      <c r="B38333" t="str">
        <f>HYPERLINK("https://twitter.com/AntonStefanus","@AntonStefanus")</f>
        <v>@AntonStefanus</v>
      </c>
      <c r="C38333" t="s">
        <v>198</v>
      </c>
      <c r="D38333">
        <v>0</v>
      </c>
      <c r="E38333">
        <v>0</v>
      </c>
      <c r="F38333">
        <v>1603</v>
      </c>
    </row>
    <row r="38334" spans="1:6" ht="15.75" customHeight="1">
      <c r="A38334" s="3">
        <v>43874.870486111111</v>
      </c>
      <c r="B38334" t="str">
        <f>HYPERLINK("https://twitter.com/GunawanTHENEXT","@GunawanTHENEXT")</f>
        <v>@GunawanTHENEXT</v>
      </c>
      <c r="C38334" t="s">
        <v>199</v>
      </c>
      <c r="D38334">
        <v>2</v>
      </c>
      <c r="E38334">
        <v>4</v>
      </c>
      <c r="F38334">
        <v>1271</v>
      </c>
    </row>
    <row r="38335" spans="1:6" ht="15.75" customHeight="1">
      <c r="A38335" s="3">
        <v>43874.869687500002</v>
      </c>
      <c r="B38335" t="str">
        <f>HYPERLINK("https://twitter.com/SBak4r","@SBak4r")</f>
        <v>@SBak4r</v>
      </c>
      <c r="C38335" t="s">
        <v>200</v>
      </c>
      <c r="D38335">
        <v>0</v>
      </c>
      <c r="E38335">
        <v>1</v>
      </c>
      <c r="F38335">
        <v>97</v>
      </c>
    </row>
    <row r="38336" spans="1:6" ht="15.75" customHeight="1">
      <c r="A38336" s="3">
        <v>43874.869537037041</v>
      </c>
      <c r="B38336" t="str">
        <f>HYPERLINK("https://twitter.com/jokowibekerjaID","@jokowibekerjaID")</f>
        <v>@jokowibekerjaID</v>
      </c>
      <c r="C38336" t="s">
        <v>201</v>
      </c>
      <c r="D38336">
        <v>0</v>
      </c>
      <c r="E38336">
        <v>0</v>
      </c>
      <c r="F38336">
        <v>397</v>
      </c>
    </row>
    <row r="38337" spans="1:6" ht="15.75" customHeight="1">
      <c r="A38337" s="3">
        <v>43874.868055555555</v>
      </c>
      <c r="B38337" t="str">
        <f>HYPERLINK("https://twitter.com/Metro_TV","@Metro_TV")</f>
        <v>@Metro_TV</v>
      </c>
      <c r="C38337" t="s">
        <v>202</v>
      </c>
      <c r="D38337">
        <v>1</v>
      </c>
      <c r="E38337">
        <v>1</v>
      </c>
      <c r="F38337">
        <v>10508854</v>
      </c>
    </row>
    <row r="38338" spans="1:6" ht="15.75" customHeight="1">
      <c r="A38338" s="3">
        <v>43874.867430555554</v>
      </c>
      <c r="B38338" t="str">
        <f>HYPERLINK("https://twitter.com/cnixjuang","@cnixjuang")</f>
        <v>@cnixjuang</v>
      </c>
      <c r="C38338" t="s">
        <v>203</v>
      </c>
      <c r="D38338">
        <v>1</v>
      </c>
      <c r="E38338">
        <v>2</v>
      </c>
      <c r="F38338">
        <v>1330</v>
      </c>
    </row>
    <row r="38339" spans="1:6" ht="15.75" customHeight="1">
      <c r="A38339" s="3">
        <v>43874.867245370369</v>
      </c>
      <c r="B38339" t="str">
        <f>HYPERLINK("https://twitter.com/tribunnews","@tribunnews")</f>
        <v>@tribunnews</v>
      </c>
      <c r="C38339" t="s">
        <v>204</v>
      </c>
      <c r="D38339">
        <v>1</v>
      </c>
      <c r="E38339">
        <v>4</v>
      </c>
      <c r="F38339">
        <v>873082</v>
      </c>
    </row>
    <row r="38340" spans="1:6" ht="15.75" customHeight="1">
      <c r="A38340" s="3">
        <v>43874.866979166662</v>
      </c>
      <c r="B38340" t="str">
        <f t="shared" ref="B38340:B38341" si="443">HYPERLINK("https://twitter.com/cnixjuang","@cnixjuang")</f>
        <v>@cnixjuang</v>
      </c>
      <c r="C38340" t="s">
        <v>205</v>
      </c>
      <c r="D38340">
        <v>0</v>
      </c>
      <c r="E38340">
        <v>1</v>
      </c>
      <c r="F38340">
        <v>1330</v>
      </c>
    </row>
    <row r="38341" spans="1:6" ht="15.75" customHeight="1">
      <c r="A38341" s="3">
        <v>43874.866018518514</v>
      </c>
      <c r="B38341" t="str">
        <f t="shared" si="443"/>
        <v>@cnixjuang</v>
      </c>
      <c r="C38341" t="s">
        <v>206</v>
      </c>
      <c r="D38341">
        <v>0</v>
      </c>
      <c r="E38341">
        <v>1</v>
      </c>
      <c r="F38341">
        <v>1330</v>
      </c>
    </row>
    <row r="38342" spans="1:6" ht="15.75" customHeight="1">
      <c r="A38342" s="3">
        <v>43874.865763888884</v>
      </c>
      <c r="B38342" t="str">
        <f>HYPERLINK("https://twitter.com/AlbertSolo2","@AlbertSolo2")</f>
        <v>@AlbertSolo2</v>
      </c>
      <c r="C38342" t="s">
        <v>207</v>
      </c>
      <c r="D38342">
        <v>1</v>
      </c>
      <c r="E38342">
        <v>1</v>
      </c>
      <c r="F38342">
        <v>678</v>
      </c>
    </row>
    <row r="38343" spans="1:6" ht="15.75" customHeight="1">
      <c r="A38343" s="3">
        <v>43874.86513888889</v>
      </c>
      <c r="B38343" t="str">
        <f>HYPERLINK("https://twitter.com/joniagussuparta","@joniagussuparta")</f>
        <v>@joniagussuparta</v>
      </c>
      <c r="C38343" t="s">
        <v>208</v>
      </c>
      <c r="D38343">
        <v>1</v>
      </c>
      <c r="E38343">
        <v>0</v>
      </c>
      <c r="F38343">
        <v>79</v>
      </c>
    </row>
    <row r="38344" spans="1:6" ht="15.75" customHeight="1">
      <c r="A38344" s="3">
        <v>43874.864398148144</v>
      </c>
      <c r="B38344" t="str">
        <f>HYPERLINK("https://twitter.com/Antara_Kalteng","@Antara_Kalteng")</f>
        <v>@Antara_Kalteng</v>
      </c>
      <c r="C38344" t="s">
        <v>189</v>
      </c>
      <c r="D38344">
        <v>0</v>
      </c>
      <c r="E38344">
        <v>0</v>
      </c>
      <c r="F38344">
        <v>4632</v>
      </c>
    </row>
    <row r="38345" spans="1:6" ht="15.75" customHeight="1">
      <c r="A38345" s="3">
        <v>43874.862685185188</v>
      </c>
      <c r="B38345" t="str">
        <f>HYPERLINK("https://twitter.com/MetroTVNewsRoom","@MetroTVNewsRoom")</f>
        <v>@MetroTVNewsRoom</v>
      </c>
      <c r="C38345" t="s">
        <v>209</v>
      </c>
      <c r="D38345">
        <v>3</v>
      </c>
      <c r="E38345">
        <v>2</v>
      </c>
      <c r="F38345">
        <v>506055</v>
      </c>
    </row>
    <row r="38346" spans="1:6" ht="15.75" customHeight="1">
      <c r="A38346" s="3">
        <v>43874.862442129626</v>
      </c>
      <c r="B38346" t="str">
        <f>HYPERLINK("https://twitter.com/tjhinfar21","@tjhinfar21")</f>
        <v>@tjhinfar21</v>
      </c>
      <c r="C38346" t="s">
        <v>210</v>
      </c>
      <c r="D38346">
        <v>116</v>
      </c>
      <c r="E38346">
        <v>294</v>
      </c>
      <c r="F38346">
        <v>14449</v>
      </c>
    </row>
    <row r="38347" spans="1:6" ht="15.75" customHeight="1">
      <c r="A38347" s="3">
        <v>43874.861689814818</v>
      </c>
      <c r="B38347" t="str">
        <f>HYPERLINK("https://twitter.com/PojokNU","@PojokNU")</f>
        <v>@PojokNU</v>
      </c>
      <c r="C38347" t="s">
        <v>211</v>
      </c>
      <c r="D38347">
        <v>0</v>
      </c>
      <c r="E38347">
        <v>0</v>
      </c>
      <c r="F38347">
        <v>696</v>
      </c>
    </row>
    <row r="38348" spans="1:6" ht="15.75" customHeight="1">
      <c r="A38348" s="3">
        <v>43874.860810185186</v>
      </c>
      <c r="B38348" t="str">
        <f>HYPERLINK("https://twitter.com/kompascom","@kompascom")</f>
        <v>@kompascom</v>
      </c>
      <c r="C38348" t="s">
        <v>212</v>
      </c>
      <c r="D38348">
        <v>3</v>
      </c>
      <c r="E38348">
        <v>5</v>
      </c>
      <c r="F38348">
        <v>7496984</v>
      </c>
    </row>
    <row r="38349" spans="1:6" ht="15.75" customHeight="1">
      <c r="A38349" s="3">
        <v>43874.860185185185</v>
      </c>
      <c r="B38349" t="str">
        <f>HYPERLINK("https://twitter.com/DamailahRI","@DamailahRI")</f>
        <v>@DamailahRI</v>
      </c>
      <c r="C38349" t="s">
        <v>213</v>
      </c>
      <c r="D38349">
        <v>0</v>
      </c>
      <c r="E38349">
        <v>1</v>
      </c>
      <c r="F38349">
        <v>32108</v>
      </c>
    </row>
    <row r="38350" spans="1:6" ht="15.75" customHeight="1">
      <c r="A38350" s="3">
        <v>43874.859849537039</v>
      </c>
      <c r="B38350" t="str">
        <f>HYPERLINK("https://twitter.com/agung__setya","@agung__setya")</f>
        <v>@agung__setya</v>
      </c>
      <c r="C38350" t="s">
        <v>214</v>
      </c>
      <c r="D38350">
        <v>0</v>
      </c>
      <c r="E38350">
        <v>1</v>
      </c>
      <c r="F38350">
        <v>141</v>
      </c>
    </row>
    <row r="38351" spans="1:6" ht="15.75" customHeight="1">
      <c r="A38351" s="3">
        <v>43874.859791666662</v>
      </c>
      <c r="B38351" t="str">
        <f>HYPERLINK("https://twitter.com/jokowibekerjaID","@jokowibekerjaID")</f>
        <v>@jokowibekerjaID</v>
      </c>
      <c r="C38351" t="s">
        <v>215</v>
      </c>
      <c r="D38351">
        <v>0</v>
      </c>
      <c r="E38351">
        <v>0</v>
      </c>
      <c r="F38351">
        <v>397</v>
      </c>
    </row>
    <row r="38352" spans="1:6" ht="15.75" customHeight="1">
      <c r="A38352" s="3">
        <v>43874.859710648147</v>
      </c>
      <c r="B38352" t="str">
        <f>HYPERLINK("https://twitter.com/Jokowi_FClub","@Jokowi_FClub")</f>
        <v>@Jokowi_FClub</v>
      </c>
      <c r="C38352" t="s">
        <v>191</v>
      </c>
      <c r="D38352">
        <v>0</v>
      </c>
      <c r="E38352">
        <v>0</v>
      </c>
      <c r="F38352">
        <v>246</v>
      </c>
    </row>
    <row r="38353" spans="1:6" ht="15.75" customHeight="1">
      <c r="A38353" s="3">
        <v>43874.859131944446</v>
      </c>
      <c r="B38353" t="str">
        <f>HYPERLINK("https://twitter.com/wisanggeni_084","@wisanggeni_084")</f>
        <v>@wisanggeni_084</v>
      </c>
      <c r="C38353" t="s">
        <v>216</v>
      </c>
      <c r="D38353">
        <v>33</v>
      </c>
      <c r="E38353">
        <v>63</v>
      </c>
      <c r="F38353">
        <v>15789</v>
      </c>
    </row>
    <row r="38354" spans="1:6" ht="15.75" customHeight="1">
      <c r="A38354" s="3">
        <v>43874.858900462961</v>
      </c>
      <c r="B38354" t="str">
        <f>HYPERLINK("https://twitter.com/DamailahRI","@DamailahRI")</f>
        <v>@DamailahRI</v>
      </c>
      <c r="C38354" t="s">
        <v>217</v>
      </c>
      <c r="D38354">
        <v>0</v>
      </c>
      <c r="E38354">
        <v>0</v>
      </c>
      <c r="F38354">
        <v>32108</v>
      </c>
    </row>
    <row r="38355" spans="1:6" ht="15.75" customHeight="1">
      <c r="A38355" s="3">
        <v>43874.856979166667</v>
      </c>
      <c r="B38355" t="str">
        <f>HYPERLINK("https://twitter.com/kumparan","@kumparan")</f>
        <v>@kumparan</v>
      </c>
      <c r="C38355" t="s">
        <v>218</v>
      </c>
      <c r="D38355">
        <v>1</v>
      </c>
      <c r="E38355">
        <v>0</v>
      </c>
      <c r="F38355">
        <v>321827</v>
      </c>
    </row>
    <row r="38356" spans="1:6" ht="15.75" customHeight="1">
      <c r="A38356" s="3">
        <v>43874.855937500004</v>
      </c>
      <c r="B38356" t="str">
        <f>HYPERLINK("https://twitter.com/LuwitaEmilly878","@LuwitaEmilly878")</f>
        <v>@LuwitaEmilly878</v>
      </c>
      <c r="C38356" t="s">
        <v>219</v>
      </c>
      <c r="D38356">
        <v>1</v>
      </c>
      <c r="E38356">
        <v>9</v>
      </c>
      <c r="F38356">
        <v>11693</v>
      </c>
    </row>
    <row r="38357" spans="1:6" ht="15.75" customHeight="1">
      <c r="A38357" s="3">
        <v>43874.85565972222</v>
      </c>
      <c r="B38357" t="str">
        <f>HYPERLINK("https://twitter.com/sirajapadoha","@sirajapadoha")</f>
        <v>@sirajapadoha</v>
      </c>
      <c r="C38357" t="s">
        <v>220</v>
      </c>
      <c r="D38357">
        <v>15</v>
      </c>
      <c r="E38357">
        <v>31</v>
      </c>
      <c r="F38357">
        <v>2400</v>
      </c>
    </row>
    <row r="38358" spans="1:6" ht="15.75" customHeight="1">
      <c r="A38358" s="3">
        <v>43874.854953703703</v>
      </c>
      <c r="B38358" t="str">
        <f>HYPERLINK("https://twitter.com/WahabiLucu","@WahabiLucu")</f>
        <v>@WahabiLucu</v>
      </c>
      <c r="C38358" t="s">
        <v>221</v>
      </c>
      <c r="D38358">
        <v>3</v>
      </c>
      <c r="E38358">
        <v>20</v>
      </c>
      <c r="F38358">
        <v>24466</v>
      </c>
    </row>
    <row r="38359" spans="1:6" ht="15.75" customHeight="1">
      <c r="A38359" s="3">
        <v>43874.853506944448</v>
      </c>
      <c r="B38359" t="str">
        <f>HYPERLINK("https://twitter.com/cnixjuang","@cnixjuang")</f>
        <v>@cnixjuang</v>
      </c>
      <c r="C38359" t="s">
        <v>222</v>
      </c>
      <c r="D38359">
        <v>0</v>
      </c>
      <c r="E38359">
        <v>0</v>
      </c>
      <c r="F38359">
        <v>1330</v>
      </c>
    </row>
    <row r="38360" spans="1:6" ht="15.75" customHeight="1">
      <c r="A38360" s="3">
        <v>43874.853483796294</v>
      </c>
      <c r="B38360" t="str">
        <f>HYPERLINK("https://twitter.com/voaindonesia","@voaindonesia")</f>
        <v>@voaindonesia</v>
      </c>
      <c r="C38360" t="s">
        <v>223</v>
      </c>
      <c r="D38360">
        <v>0</v>
      </c>
      <c r="E38360">
        <v>3</v>
      </c>
      <c r="F38360">
        <v>307607</v>
      </c>
    </row>
    <row r="38361" spans="1:6" ht="15.75" customHeight="1">
      <c r="A38361" s="3">
        <v>43874.853321759263</v>
      </c>
      <c r="B38361" t="str">
        <f>HYPERLINK("https://twitter.com/jokowibekerjaID","@jokowibekerjaID")</f>
        <v>@jokowibekerjaID</v>
      </c>
      <c r="C38361" t="s">
        <v>224</v>
      </c>
      <c r="D38361">
        <v>0</v>
      </c>
      <c r="E38361">
        <v>0</v>
      </c>
      <c r="F38361">
        <v>397</v>
      </c>
    </row>
    <row r="38362" spans="1:6" ht="15.75" customHeight="1">
      <c r="A38362" s="3">
        <v>43874.853055555555</v>
      </c>
      <c r="B38362" t="str">
        <f>HYPERLINK("https://twitter.com/gadisresidu_b3","@gadisresidu_b3")</f>
        <v>@gadisresidu_b3</v>
      </c>
      <c r="C38362" t="s">
        <v>225</v>
      </c>
      <c r="D38362">
        <v>0</v>
      </c>
      <c r="E38362">
        <v>0</v>
      </c>
      <c r="F38362">
        <v>1602</v>
      </c>
    </row>
    <row r="38363" spans="1:6" ht="15.75" customHeight="1">
      <c r="A38363" s="3">
        <v>43874.852233796293</v>
      </c>
      <c r="B38363" t="str">
        <f>HYPERLINK("https://twitter.com/Mela_669","@Mela_669")</f>
        <v>@Mela_669</v>
      </c>
      <c r="C38363" t="s">
        <v>226</v>
      </c>
      <c r="D38363">
        <v>0</v>
      </c>
      <c r="E38363">
        <v>1</v>
      </c>
      <c r="F38363">
        <v>802</v>
      </c>
    </row>
    <row r="38364" spans="1:6" ht="15.75" customHeight="1">
      <c r="A38364" s="3">
        <v>43874.852222222224</v>
      </c>
      <c r="B38364" t="str">
        <f>HYPERLINK("https://twitter.com/FaGtng","@FaGtng")</f>
        <v>@FaGtng</v>
      </c>
      <c r="C38364" t="s">
        <v>227</v>
      </c>
      <c r="D38364">
        <v>6</v>
      </c>
      <c r="E38364">
        <v>21</v>
      </c>
      <c r="F38364">
        <v>15955</v>
      </c>
    </row>
    <row r="38365" spans="1:6" ht="15.75" customHeight="1">
      <c r="A38365" s="3">
        <v>43874.852175925931</v>
      </c>
      <c r="B38365" t="str">
        <f>HYPERLINK("https://twitter.com/cnixjuang","@cnixjuang")</f>
        <v>@cnixjuang</v>
      </c>
      <c r="C38365" t="s">
        <v>228</v>
      </c>
      <c r="D38365">
        <v>0</v>
      </c>
      <c r="E38365">
        <v>0</v>
      </c>
      <c r="F38365">
        <v>1330</v>
      </c>
    </row>
    <row r="38366" spans="1:6" ht="15.75" customHeight="1">
      <c r="A38366" s="3">
        <v>43874.851875</v>
      </c>
      <c r="B38366" t="str">
        <f>HYPERLINK("https://twitter.com/aceh_antaranews","@aceh_antaranews")</f>
        <v>@aceh_antaranews</v>
      </c>
      <c r="C38366" t="s">
        <v>229</v>
      </c>
      <c r="D38366">
        <v>0</v>
      </c>
      <c r="E38366">
        <v>0</v>
      </c>
      <c r="F38366">
        <v>1821</v>
      </c>
    </row>
    <row r="38367" spans="1:6" ht="15.75" customHeight="1">
      <c r="A38367" s="3">
        <v>43874.851585648154</v>
      </c>
      <c r="B38367" t="str">
        <f>HYPERLINK("https://twitter.com/ediedot108","@ediedot108")</f>
        <v>@ediedot108</v>
      </c>
      <c r="C38367" t="s">
        <v>230</v>
      </c>
      <c r="D38367">
        <v>1</v>
      </c>
      <c r="E38367">
        <v>0</v>
      </c>
      <c r="F38367">
        <v>2254</v>
      </c>
    </row>
    <row r="38368" spans="1:6" ht="15.75" customHeight="1">
      <c r="A38368" s="3">
        <v>43874.851446759261</v>
      </c>
      <c r="B38368" t="str">
        <f>HYPERLINK("https://twitter.com/cnixjuang","@cnixjuang")</f>
        <v>@cnixjuang</v>
      </c>
      <c r="C38368" t="s">
        <v>231</v>
      </c>
      <c r="D38368">
        <v>0</v>
      </c>
      <c r="E38368">
        <v>0</v>
      </c>
      <c r="F38368">
        <v>1330</v>
      </c>
    </row>
    <row r="38369" spans="1:6" ht="15.75" customHeight="1">
      <c r="A38369" s="3">
        <v>43874.851400462961</v>
      </c>
      <c r="B38369" t="str">
        <f>HYPERLINK("https://twitter.com/MelayuSejahtera","@MelayuSejahtera")</f>
        <v>@MelayuSejahtera</v>
      </c>
      <c r="C38369" t="s">
        <v>232</v>
      </c>
      <c r="D38369">
        <v>0</v>
      </c>
      <c r="E38369">
        <v>1</v>
      </c>
      <c r="F38369">
        <v>2080</v>
      </c>
    </row>
    <row r="38370" spans="1:6" ht="15.75" customHeight="1">
      <c r="A38370" s="3">
        <v>43874.850763888884</v>
      </c>
      <c r="B38370" t="str">
        <f>HYPERLINK("https://twitter.com/aryndadimas","@aryndadimas")</f>
        <v>@aryndadimas</v>
      </c>
      <c r="C38370" t="s">
        <v>233</v>
      </c>
      <c r="D38370">
        <v>1</v>
      </c>
      <c r="E38370">
        <v>0</v>
      </c>
      <c r="F38370">
        <v>281</v>
      </c>
    </row>
    <row r="38371" spans="1:6" ht="15.75" customHeight="1">
      <c r="A38371" s="3">
        <v>43874.85050925926</v>
      </c>
      <c r="B38371" t="str">
        <f>HYPERLINK("https://twitter.com/Jokowi_FClub","@Jokowi_FClub")</f>
        <v>@Jokowi_FClub</v>
      </c>
      <c r="C38371" t="s">
        <v>201</v>
      </c>
      <c r="D38371">
        <v>0</v>
      </c>
      <c r="E38371">
        <v>0</v>
      </c>
      <c r="F38371">
        <v>246</v>
      </c>
    </row>
    <row r="38372" spans="1:6" ht="15.75" customHeight="1">
      <c r="A38372" s="3">
        <v>43874.848483796297</v>
      </c>
      <c r="B38372" t="str">
        <f>HYPERLINK("https://twitter.com/cnixjuang","@cnixjuang")</f>
        <v>@cnixjuang</v>
      </c>
      <c r="C38372" t="s">
        <v>234</v>
      </c>
      <c r="D38372">
        <v>0</v>
      </c>
      <c r="E38372">
        <v>0</v>
      </c>
      <c r="F38372">
        <v>1330</v>
      </c>
    </row>
    <row r="38373" spans="1:6" ht="15.75" customHeight="1">
      <c r="A38373" s="3">
        <v>43874.847754629634</v>
      </c>
      <c r="B38373" t="str">
        <f>HYPERLINK("https://twitter.com/ediedot108","@ediedot108")</f>
        <v>@ediedot108</v>
      </c>
      <c r="C38373" t="s">
        <v>235</v>
      </c>
      <c r="D38373">
        <v>1</v>
      </c>
      <c r="E38373">
        <v>0</v>
      </c>
      <c r="F38373">
        <v>2254</v>
      </c>
    </row>
    <row r="38374" spans="1:6" ht="15.75" customHeight="1">
      <c r="A38374" s="3">
        <v>43874.847407407404</v>
      </c>
      <c r="B38374" t="str">
        <f>HYPERLINK("https://twitter.com/Ca91786","@Ca91786")</f>
        <v>@Ca91786</v>
      </c>
      <c r="C38374" t="s">
        <v>236</v>
      </c>
      <c r="D38374">
        <v>0</v>
      </c>
      <c r="E38374">
        <v>2</v>
      </c>
      <c r="F38374">
        <v>189</v>
      </c>
    </row>
    <row r="38375" spans="1:6" ht="15.75" customHeight="1">
      <c r="A38375" s="3">
        <v>43874.845578703702</v>
      </c>
      <c r="B38375" t="str">
        <f>HYPERLINK("https://twitter.com/idpenamini","@idpenamini")</f>
        <v>@idpenamini</v>
      </c>
      <c r="C38375" t="s">
        <v>237</v>
      </c>
      <c r="D38375">
        <v>0</v>
      </c>
      <c r="E38375">
        <v>0</v>
      </c>
      <c r="F38375">
        <v>168</v>
      </c>
    </row>
    <row r="38376" spans="1:6" ht="15.75" customHeight="1">
      <c r="A38376" s="3">
        <v>43874.84510416667</v>
      </c>
      <c r="B38376" t="str">
        <f>HYPERLINK("https://twitter.com/wbintoro101209","@wbintoro101209")</f>
        <v>@wbintoro101209</v>
      </c>
      <c r="C38376" t="s">
        <v>238</v>
      </c>
      <c r="D38376">
        <v>0</v>
      </c>
      <c r="E38376">
        <v>1</v>
      </c>
      <c r="F38376">
        <v>300</v>
      </c>
    </row>
    <row r="38377" spans="1:6" ht="15.75" customHeight="1">
      <c r="A38377" s="3">
        <v>43874.844722222224</v>
      </c>
      <c r="B38377" t="str">
        <f>HYPERLINK("https://twitter.com/e6acb0a4004e4a2","@e6acb0a4004e4a2")</f>
        <v>@e6acb0a4004e4a2</v>
      </c>
      <c r="C38377" t="s">
        <v>239</v>
      </c>
      <c r="D38377">
        <v>0</v>
      </c>
      <c r="E38377">
        <v>0</v>
      </c>
      <c r="F38377">
        <v>246</v>
      </c>
    </row>
    <row r="38378" spans="1:6" ht="15.75" customHeight="1">
      <c r="A38378" s="3">
        <v>43874.844212962962</v>
      </c>
      <c r="B38378" t="str">
        <f>HYPERLINK("https://twitter.com/ceknricekcom_id","@ceknricekcom_id")</f>
        <v>@ceknricekcom_id</v>
      </c>
      <c r="C38378" t="s">
        <v>240</v>
      </c>
      <c r="D38378">
        <v>0</v>
      </c>
      <c r="E38378">
        <v>0</v>
      </c>
      <c r="F38378">
        <v>29556</v>
      </c>
    </row>
    <row r="38379" spans="1:6" ht="15.75" customHeight="1">
      <c r="A38379" s="3">
        <v>43874.84275462963</v>
      </c>
      <c r="B38379" t="str">
        <f>HYPERLINK("https://twitter.com/shinichikudo991","@shinichikudo991")</f>
        <v>@shinichikudo991</v>
      </c>
      <c r="C38379" t="s">
        <v>241</v>
      </c>
      <c r="D38379">
        <v>23</v>
      </c>
      <c r="E38379">
        <v>41</v>
      </c>
      <c r="F38379">
        <v>5742</v>
      </c>
    </row>
    <row r="38380" spans="1:6" ht="15.75" customHeight="1">
      <c r="A38380" s="3">
        <v>43874.840509259258</v>
      </c>
      <c r="B38380" t="str">
        <f>HYPERLINK("https://twitter.com/arifinbebe","@arifinbebe")</f>
        <v>@arifinbebe</v>
      </c>
      <c r="C38380" t="s">
        <v>242</v>
      </c>
      <c r="D38380">
        <v>0</v>
      </c>
      <c r="E38380">
        <v>0</v>
      </c>
      <c r="F38380">
        <v>328</v>
      </c>
    </row>
    <row r="38381" spans="1:6" ht="15.75" customHeight="1">
      <c r="A38381" s="3">
        <v>43874.840324074074</v>
      </c>
      <c r="B38381" t="str">
        <f>HYPERLINK("https://twitter.com/merdekadotcom","@merdekadotcom")</f>
        <v>@merdekadotcom</v>
      </c>
      <c r="C38381" t="s">
        <v>243</v>
      </c>
      <c r="D38381">
        <v>0</v>
      </c>
      <c r="E38381">
        <v>1</v>
      </c>
      <c r="F38381">
        <v>230398</v>
      </c>
    </row>
    <row r="38382" spans="1:6" ht="15.75" customHeight="1">
      <c r="A38382" s="3">
        <v>43874.839363425926</v>
      </c>
      <c r="B38382" t="str">
        <f>HYPERLINK("https://twitter.com/CNNIndonesia","@CNNIndonesia")</f>
        <v>@CNNIndonesia</v>
      </c>
      <c r="C38382" t="s">
        <v>244</v>
      </c>
      <c r="D38382">
        <v>2</v>
      </c>
      <c r="E38382">
        <v>16</v>
      </c>
      <c r="F38382">
        <v>618499</v>
      </c>
    </row>
    <row r="38383" spans="1:6" ht="15.75" customHeight="1">
      <c r="A38383" s="3">
        <v>43874.838252314818</v>
      </c>
      <c r="B38383" t="str">
        <f t="shared" ref="B38383:B38384" si="444">HYPERLINK("https://twitter.com/mochamadarip","@mochamadarip")</f>
        <v>@mochamadarip</v>
      </c>
      <c r="C38383" t="s">
        <v>245</v>
      </c>
      <c r="D38383">
        <v>68</v>
      </c>
      <c r="E38383">
        <v>157</v>
      </c>
      <c r="F38383">
        <v>26148</v>
      </c>
    </row>
    <row r="38384" spans="1:6" ht="15.75" customHeight="1">
      <c r="A38384" s="3">
        <v>43874.838159722218</v>
      </c>
      <c r="B38384" t="str">
        <f t="shared" si="444"/>
        <v>@mochamadarip</v>
      </c>
      <c r="C38384" t="s">
        <v>246</v>
      </c>
      <c r="D38384">
        <v>32</v>
      </c>
      <c r="E38384">
        <v>47</v>
      </c>
      <c r="F38384">
        <v>26148</v>
      </c>
    </row>
    <row r="38385" spans="1:6" ht="15.75" customHeight="1">
      <c r="A38385" s="3">
        <v>43874.836284722223</v>
      </c>
      <c r="B38385" t="str">
        <f>HYPERLINK("https://twitter.com/onlyaidee","@onlyaidee")</f>
        <v>@onlyaidee</v>
      </c>
      <c r="C38385" t="s">
        <v>247</v>
      </c>
      <c r="D38385">
        <v>0</v>
      </c>
      <c r="E38385">
        <v>0</v>
      </c>
      <c r="F38385">
        <v>777</v>
      </c>
    </row>
    <row r="38386" spans="1:6" ht="15.75" customHeight="1">
      <c r="A38386" s="3">
        <v>43874.836238425924</v>
      </c>
      <c r="B38386" t="str">
        <f>HYPERLINK("https://twitter.com/__beritaterkini","@__beritaterkini")</f>
        <v>@__beritaterkini</v>
      </c>
      <c r="C38386" t="s">
        <v>248</v>
      </c>
      <c r="D38386">
        <v>0</v>
      </c>
      <c r="E38386">
        <v>0</v>
      </c>
      <c r="F38386">
        <v>414</v>
      </c>
    </row>
    <row r="38387" spans="1:6" ht="15.75" customHeight="1">
      <c r="A38387" s="3">
        <v>43874.835763888885</v>
      </c>
      <c r="B38387" t="str">
        <f>HYPERLINK("https://twitter.com/ceknricekcom_id","@ceknricekcom_id")</f>
        <v>@ceknricekcom_id</v>
      </c>
      <c r="C38387" t="s">
        <v>249</v>
      </c>
      <c r="D38387">
        <v>0</v>
      </c>
      <c r="E38387">
        <v>0</v>
      </c>
      <c r="F38387">
        <v>29556</v>
      </c>
    </row>
    <row r="38388" spans="1:6" ht="15.75" customHeight="1">
      <c r="A38388" s="3">
        <v>43874.8356712963</v>
      </c>
      <c r="B38388" t="str">
        <f>HYPERLINK("https://twitter.com/yodiwijaya","@yodiwijaya")</f>
        <v>@yodiwijaya</v>
      </c>
      <c r="C38388" t="s">
        <v>250</v>
      </c>
      <c r="D38388">
        <v>11</v>
      </c>
      <c r="E38388">
        <v>29</v>
      </c>
      <c r="F38388">
        <v>471</v>
      </c>
    </row>
    <row r="38389" spans="1:6" ht="15.75" customHeight="1">
      <c r="A38389" s="3">
        <v>43874.834918981476</v>
      </c>
      <c r="B38389" t="str">
        <f>HYPERLINK("https://twitter.com/republikaonline","@republikaonline")</f>
        <v>@republikaonline</v>
      </c>
      <c r="C38389" t="s">
        <v>251</v>
      </c>
      <c r="D38389">
        <v>0</v>
      </c>
      <c r="E38389">
        <v>5</v>
      </c>
      <c r="F38389">
        <v>1210209</v>
      </c>
    </row>
    <row r="38390" spans="1:6" ht="15.75" customHeight="1">
      <c r="A38390" s="3">
        <v>43874.83458333333</v>
      </c>
      <c r="B38390" t="str">
        <f>HYPERLINK("https://twitter.com/emerson_yuntho","@emerson_yuntho")</f>
        <v>@emerson_yuntho</v>
      </c>
      <c r="C38390" t="s">
        <v>252</v>
      </c>
      <c r="D38390">
        <v>0</v>
      </c>
      <c r="E38390">
        <v>1</v>
      </c>
      <c r="F38390">
        <v>46006</v>
      </c>
    </row>
    <row r="38391" spans="1:6" ht="15.75" customHeight="1">
      <c r="A38391" s="3">
        <v>43874.83457175926</v>
      </c>
      <c r="B38391" t="str">
        <f>HYPERLINK("https://twitter.com/zarazettirazr","@zarazettirazr")</f>
        <v>@zarazettirazr</v>
      </c>
      <c r="C38391" t="s">
        <v>253</v>
      </c>
      <c r="D38391">
        <v>30</v>
      </c>
      <c r="E38391">
        <v>150</v>
      </c>
      <c r="F38391">
        <v>250083</v>
      </c>
    </row>
    <row r="38392" spans="1:6" ht="15.75" customHeight="1">
      <c r="A38392" s="3">
        <v>43874.833807870367</v>
      </c>
      <c r="B38392" t="str">
        <f>HYPERLINK("https://twitter.com/Chimol79","@Chimol79")</f>
        <v>@Chimol79</v>
      </c>
      <c r="C38392" t="s">
        <v>254</v>
      </c>
      <c r="D38392">
        <v>0</v>
      </c>
      <c r="E38392">
        <v>1</v>
      </c>
      <c r="F38392">
        <v>1162</v>
      </c>
    </row>
    <row r="38393" spans="1:6" ht="15.75" customHeight="1">
      <c r="A38393" s="3">
        <v>43874.83293981482</v>
      </c>
      <c r="B38393" t="str">
        <f>HYPERLINK("https://twitter.com/iqbalirfany","@iqbalirfany")</f>
        <v>@iqbalirfany</v>
      </c>
      <c r="C38393" t="s">
        <v>255</v>
      </c>
      <c r="D38393">
        <v>0</v>
      </c>
      <c r="E38393">
        <v>0</v>
      </c>
      <c r="F38393">
        <v>1265</v>
      </c>
    </row>
    <row r="38394" spans="1:6" ht="15.75" customHeight="1">
      <c r="A38394" s="3">
        <v>43874.831932870366</v>
      </c>
      <c r="B38394" t="str">
        <f>HYPERLINK("https://twitter.com/hbasuni","@hbasuni")</f>
        <v>@hbasuni</v>
      </c>
      <c r="C38394" t="s">
        <v>256</v>
      </c>
      <c r="D38394">
        <v>0</v>
      </c>
      <c r="E38394">
        <v>1</v>
      </c>
      <c r="F38394">
        <v>481</v>
      </c>
    </row>
    <row r="38395" spans="1:6" ht="15.75" customHeight="1">
      <c r="A38395" s="3">
        <v>43874.831261574072</v>
      </c>
      <c r="B38395" t="str">
        <f>HYPERLINK("https://twitter.com/Alhaqq51399","@Alhaqq51399")</f>
        <v>@Alhaqq51399</v>
      </c>
      <c r="C38395" t="s">
        <v>257</v>
      </c>
      <c r="D38395">
        <v>0</v>
      </c>
      <c r="E38395">
        <v>0</v>
      </c>
      <c r="F38395">
        <v>19</v>
      </c>
    </row>
    <row r="38396" spans="1:6" ht="15.75" customHeight="1">
      <c r="A38396" s="3">
        <v>43874.831076388888</v>
      </c>
      <c r="B38396" t="str">
        <f>HYPERLINK("https://twitter.com/batak4indonesia","@batak4indonesia")</f>
        <v>@batak4indonesia</v>
      </c>
      <c r="C38396" t="s">
        <v>258</v>
      </c>
      <c r="D38396">
        <v>1</v>
      </c>
      <c r="E38396">
        <v>0</v>
      </c>
      <c r="F38396">
        <v>31</v>
      </c>
    </row>
    <row r="38397" spans="1:6" ht="15.75" customHeight="1">
      <c r="A38397" s="3">
        <v>43874.830092592594</v>
      </c>
      <c r="B38397" t="str">
        <f>HYPERLINK("https://twitter.com/detikcom","@detikcom")</f>
        <v>@detikcom</v>
      </c>
      <c r="C38397" t="s">
        <v>259</v>
      </c>
      <c r="D38397">
        <v>0</v>
      </c>
      <c r="E38397">
        <v>7</v>
      </c>
      <c r="F38397">
        <v>15663959</v>
      </c>
    </row>
    <row r="38398" spans="1:6" ht="15.75" customHeight="1">
      <c r="A38398" s="3">
        <v>43874.829398148147</v>
      </c>
      <c r="B38398" t="str">
        <f>HYPERLINK("https://twitter.com/susanto6282","@susanto6282")</f>
        <v>@susanto6282</v>
      </c>
      <c r="C38398" t="s">
        <v>260</v>
      </c>
      <c r="D38398">
        <v>0</v>
      </c>
      <c r="E38398">
        <v>0</v>
      </c>
      <c r="F38398">
        <v>33</v>
      </c>
    </row>
    <row r="38399" spans="1:6" ht="15.75" customHeight="1">
      <c r="A38399" s="3">
        <v>43874.828240740739</v>
      </c>
      <c r="B38399" t="str">
        <f>HYPERLINK("https://twitter.com/seruanhl","@seruanhl")</f>
        <v>@seruanhl</v>
      </c>
      <c r="C38399" t="s">
        <v>261</v>
      </c>
      <c r="D38399">
        <v>39</v>
      </c>
      <c r="E38399">
        <v>103</v>
      </c>
      <c r="F38399">
        <v>12004</v>
      </c>
    </row>
    <row r="38400" spans="1:6" ht="15.75" customHeight="1">
      <c r="A38400" s="3">
        <v>43874.828067129631</v>
      </c>
      <c r="B38400" t="str">
        <f>HYPERLINK("https://twitter.com/cnixjuang","@cnixjuang")</f>
        <v>@cnixjuang</v>
      </c>
      <c r="C38400" t="s">
        <v>262</v>
      </c>
      <c r="D38400">
        <v>1</v>
      </c>
      <c r="E38400">
        <v>0</v>
      </c>
      <c r="F38400">
        <v>1330</v>
      </c>
    </row>
    <row r="38401" spans="1:6" ht="15.75" customHeight="1">
      <c r="A38401" s="3">
        <v>43874.8277662037</v>
      </c>
      <c r="B38401" t="str">
        <f>HYPERLINK("https://twitter.com/rya_nugrohoi","@rya_nugrohoi")</f>
        <v>@rya_nugrohoi</v>
      </c>
      <c r="C38401" t="s">
        <v>263</v>
      </c>
      <c r="D38401">
        <v>0</v>
      </c>
      <c r="E38401">
        <v>0</v>
      </c>
      <c r="F38401">
        <v>613</v>
      </c>
    </row>
    <row r="38402" spans="1:6" ht="15.75" customHeight="1">
      <c r="A38402" s="3">
        <v>43874.826666666668</v>
      </c>
      <c r="B38402" t="str">
        <f>HYPERLINK("https://twitter.com/ishom94","@ishom94")</f>
        <v>@ishom94</v>
      </c>
      <c r="C38402" t="s">
        <v>264</v>
      </c>
      <c r="D38402">
        <v>1</v>
      </c>
      <c r="E38402">
        <v>0</v>
      </c>
      <c r="F38402">
        <v>10</v>
      </c>
    </row>
    <row r="38403" spans="1:6" ht="15.75" customHeight="1">
      <c r="A38403" s="3">
        <v>43874.826099537036</v>
      </c>
      <c r="B38403" t="str">
        <f>HYPERLINK("https://twitter.com/zarazettirazr","@zarazettirazr")</f>
        <v>@zarazettirazr</v>
      </c>
      <c r="C38403" t="s">
        <v>265</v>
      </c>
      <c r="D38403">
        <v>203</v>
      </c>
      <c r="E38403">
        <v>518</v>
      </c>
      <c r="F38403">
        <v>250083</v>
      </c>
    </row>
    <row r="38404" spans="1:6" ht="15.75" customHeight="1">
      <c r="A38404" s="3">
        <v>43874.825497685189</v>
      </c>
      <c r="B38404" t="str">
        <f>HYPERLINK("https://twitter.com/cnixjuang","@cnixjuang")</f>
        <v>@cnixjuang</v>
      </c>
      <c r="C38404" t="s">
        <v>266</v>
      </c>
      <c r="D38404">
        <v>1</v>
      </c>
      <c r="E38404">
        <v>0</v>
      </c>
      <c r="F38404">
        <v>1330</v>
      </c>
    </row>
    <row r="38405" spans="1:6" ht="15.75" customHeight="1">
      <c r="A38405" s="3">
        <v>43874.825416666667</v>
      </c>
      <c r="B38405" t="str">
        <f>HYPERLINK("https://twitter.com/robikinemhas","@robikinemhas")</f>
        <v>@robikinemhas</v>
      </c>
      <c r="C38405" t="s">
        <v>267</v>
      </c>
      <c r="D38405">
        <v>1</v>
      </c>
      <c r="E38405">
        <v>9</v>
      </c>
      <c r="F38405">
        <v>8857</v>
      </c>
    </row>
    <row r="38406" spans="1:6" ht="15.75" customHeight="1">
      <c r="A38406" s="3">
        <v>43874.825370370367</v>
      </c>
      <c r="B38406" t="str">
        <f>HYPERLINK("https://twitter.com/AhmadDiqi","@AhmadDiqi")</f>
        <v>@AhmadDiqi</v>
      </c>
      <c r="C38406" t="s">
        <v>268</v>
      </c>
      <c r="D38406">
        <v>1</v>
      </c>
      <c r="E38406">
        <v>4</v>
      </c>
      <c r="F38406">
        <v>532</v>
      </c>
    </row>
    <row r="38407" spans="1:6" ht="15.75" customHeight="1">
      <c r="A38407" s="3">
        <v>43874.824756944443</v>
      </c>
      <c r="B38407" t="str">
        <f>HYPERLINK("https://twitter.com/faisalfx96","@faisalfx96")</f>
        <v>@faisalfx96</v>
      </c>
      <c r="C38407" t="s">
        <v>269</v>
      </c>
      <c r="D38407">
        <v>0</v>
      </c>
      <c r="E38407">
        <v>1</v>
      </c>
      <c r="F38407">
        <v>1930</v>
      </c>
    </row>
    <row r="38408" spans="1:6" ht="15.75" customHeight="1">
      <c r="A38408" s="3">
        <v>43874.823391203703</v>
      </c>
      <c r="B38408" t="str">
        <f>HYPERLINK("https://twitter.com/widyo_onjeh","@widyo_onjeh")</f>
        <v>@widyo_onjeh</v>
      </c>
      <c r="C38408" t="s">
        <v>270</v>
      </c>
      <c r="D38408">
        <v>0</v>
      </c>
      <c r="E38408">
        <v>2</v>
      </c>
      <c r="F38408">
        <v>246</v>
      </c>
    </row>
    <row r="38409" spans="1:6" ht="15.75" customHeight="1">
      <c r="A38409" s="3">
        <v>43874.823321759264</v>
      </c>
      <c r="B38409" t="str">
        <f>HYPERLINK("https://twitter.com/rekaroki","@rekaroki")</f>
        <v>@rekaroki</v>
      </c>
      <c r="C38409" t="s">
        <v>271</v>
      </c>
      <c r="D38409">
        <v>0</v>
      </c>
      <c r="E38409">
        <v>0</v>
      </c>
      <c r="F38409">
        <v>773</v>
      </c>
    </row>
    <row r="38410" spans="1:6" ht="15.75" customHeight="1">
      <c r="A38410" s="3">
        <v>43874.822557870371</v>
      </c>
      <c r="B38410" t="str">
        <f>HYPERLINK("https://twitter.com/Metro_TV","@Metro_TV")</f>
        <v>@Metro_TV</v>
      </c>
      <c r="C38410" t="s">
        <v>272</v>
      </c>
      <c r="D38410">
        <v>3</v>
      </c>
      <c r="E38410">
        <v>3</v>
      </c>
      <c r="F38410">
        <v>10508854</v>
      </c>
    </row>
    <row r="38411" spans="1:6" ht="15.75" customHeight="1">
      <c r="A38411" s="3">
        <v>43874.822557870371</v>
      </c>
      <c r="B38411" t="str">
        <f>HYPERLINK("https://twitter.com/InfoRiau_ID","@InfoRiau_ID")</f>
        <v>@InfoRiau_ID</v>
      </c>
      <c r="C38411" t="s">
        <v>273</v>
      </c>
      <c r="D38411">
        <v>0</v>
      </c>
      <c r="E38411">
        <v>0</v>
      </c>
      <c r="F38411">
        <v>142</v>
      </c>
    </row>
    <row r="38412" spans="1:6" ht="15.75" customHeight="1">
      <c r="A38412" s="3">
        <v>43874.821932870371</v>
      </c>
      <c r="B38412" t="str">
        <f>HYPERLINK("https://twitter.com/republika_tv","@republika_tv")</f>
        <v>@republika_tv</v>
      </c>
      <c r="C38412" t="s">
        <v>274</v>
      </c>
      <c r="D38412">
        <v>0</v>
      </c>
      <c r="E38412">
        <v>0</v>
      </c>
      <c r="F38412">
        <v>5</v>
      </c>
    </row>
    <row r="38413" spans="1:6" ht="15.75" customHeight="1">
      <c r="A38413" s="3">
        <v>43874.821782407409</v>
      </c>
      <c r="B38413" t="str">
        <f>HYPERLINK("https://twitter.com/DhimazAriya","@DhimazAriya")</f>
        <v>@DhimazAriya</v>
      </c>
      <c r="C38413" t="s">
        <v>275</v>
      </c>
      <c r="D38413">
        <v>0</v>
      </c>
      <c r="E38413">
        <v>0</v>
      </c>
      <c r="F38413">
        <v>1654</v>
      </c>
    </row>
    <row r="38414" spans="1:6" ht="15.75" customHeight="1">
      <c r="A38414" s="3">
        <v>43874.82166666667</v>
      </c>
      <c r="B38414" t="str">
        <f>HYPERLINK("https://twitter.com/Metro_TV","@Metro_TV")</f>
        <v>@Metro_TV</v>
      </c>
      <c r="C38414" t="s">
        <v>276</v>
      </c>
      <c r="D38414">
        <v>4</v>
      </c>
      <c r="E38414">
        <v>7</v>
      </c>
      <c r="F38414">
        <v>10508854</v>
      </c>
    </row>
    <row r="38415" spans="1:6" ht="15.75" customHeight="1">
      <c r="A38415" s="3">
        <v>43874.821643518517</v>
      </c>
      <c r="B38415" t="str">
        <f>HYPERLINK("https://twitter.com/cnixjuang","@cnixjuang")</f>
        <v>@cnixjuang</v>
      </c>
      <c r="C38415" t="s">
        <v>277</v>
      </c>
      <c r="D38415">
        <v>1</v>
      </c>
      <c r="E38415">
        <v>1</v>
      </c>
      <c r="F38415">
        <v>1330</v>
      </c>
    </row>
    <row r="38416" spans="1:6" ht="15.75" customHeight="1">
      <c r="A38416" s="3">
        <v>43874.820243055554</v>
      </c>
      <c r="B38416" t="str">
        <f>HYPERLINK("https://twitter.com/Metro_TV","@Metro_TV")</f>
        <v>@Metro_TV</v>
      </c>
      <c r="C38416" t="s">
        <v>278</v>
      </c>
      <c r="D38416">
        <v>23</v>
      </c>
      <c r="E38416">
        <v>126</v>
      </c>
      <c r="F38416">
        <v>10508854</v>
      </c>
    </row>
    <row r="38417" spans="1:6" ht="15.75" customHeight="1">
      <c r="A38417" s="3">
        <v>43874.819930555561</v>
      </c>
      <c r="B38417" t="str">
        <f>HYPERLINK("https://twitter.com/okezonenews","@okezonenews")</f>
        <v>@okezonenews</v>
      </c>
      <c r="C38417" t="s">
        <v>279</v>
      </c>
      <c r="D38417">
        <v>1</v>
      </c>
      <c r="E38417">
        <v>4</v>
      </c>
      <c r="F38417">
        <v>1743741</v>
      </c>
    </row>
    <row r="38418" spans="1:6" ht="15.75" customHeight="1">
      <c r="A38418" s="3">
        <v>43874.816898148143</v>
      </c>
      <c r="B38418" t="str">
        <f>HYPERLINK("https://twitter.com/hemaviton99","@hemaviton99")</f>
        <v>@hemaviton99</v>
      </c>
      <c r="C38418" t="s">
        <v>280</v>
      </c>
      <c r="D38418">
        <v>0</v>
      </c>
      <c r="E38418">
        <v>0</v>
      </c>
      <c r="F38418">
        <v>3455</v>
      </c>
    </row>
    <row r="38419" spans="1:6" ht="15.75" customHeight="1">
      <c r="A38419" s="3">
        <v>43874.816412037035</v>
      </c>
      <c r="B38419" t="str">
        <f>HYPERLINK("https://twitter.com/20detik","@20detik")</f>
        <v>@20detik</v>
      </c>
      <c r="C38419" t="s">
        <v>281</v>
      </c>
      <c r="D38419">
        <v>0</v>
      </c>
      <c r="E38419">
        <v>0</v>
      </c>
      <c r="F38419">
        <v>80586</v>
      </c>
    </row>
    <row r="38420" spans="1:6" ht="15.75" customHeight="1">
      <c r="A38420" s="3">
        <v>43874.815937499996</v>
      </c>
      <c r="B38420" t="str">
        <f>HYPERLINK("https://twitter.com/malkhaththath","@malkhaththath")</f>
        <v>@malkhaththath</v>
      </c>
      <c r="C38420" t="s">
        <v>282</v>
      </c>
      <c r="D38420">
        <v>0</v>
      </c>
      <c r="E38420">
        <v>0</v>
      </c>
      <c r="F38420">
        <v>1185</v>
      </c>
    </row>
    <row r="38421" spans="1:6" ht="15.75" customHeight="1">
      <c r="A38421" s="3">
        <v>43874.815925925926</v>
      </c>
      <c r="B38421" t="str">
        <f>HYPERLINK("https://twitter.com/suaraislamID","@suaraislamID")</f>
        <v>@suaraislamID</v>
      </c>
      <c r="C38421" t="s">
        <v>282</v>
      </c>
      <c r="D38421">
        <v>1</v>
      </c>
      <c r="E38421">
        <v>0</v>
      </c>
      <c r="F38421">
        <v>41</v>
      </c>
    </row>
    <row r="38422" spans="1:6" ht="15.75" customHeight="1">
      <c r="A38422" s="3">
        <v>43874.815729166672</v>
      </c>
      <c r="B38422" t="str">
        <f>HYPERLINK("https://twitter.com/Syahriansam","@Syahriansam")</f>
        <v>@Syahriansam</v>
      </c>
      <c r="C38422" t="s">
        <v>283</v>
      </c>
      <c r="D38422">
        <v>0</v>
      </c>
      <c r="E38422">
        <v>0</v>
      </c>
      <c r="F38422">
        <v>156</v>
      </c>
    </row>
    <row r="38423" spans="1:6" ht="15.75" customHeight="1">
      <c r="A38423" s="3">
        <v>43874.815648148149</v>
      </c>
      <c r="B38423" t="str">
        <f>HYPERLINK("https://twitter.com/PikiranUmat","@PikiranUmat")</f>
        <v>@PikiranUmat</v>
      </c>
      <c r="C38423" t="s">
        <v>282</v>
      </c>
      <c r="D38423">
        <v>0</v>
      </c>
      <c r="E38423">
        <v>0</v>
      </c>
      <c r="F38423">
        <v>227</v>
      </c>
    </row>
    <row r="38424" spans="1:6" ht="15.75" customHeight="1">
      <c r="A38424" s="3">
        <v>43874.815486111111</v>
      </c>
      <c r="B38424" t="str">
        <f>HYPERLINK("https://twitter.com/AchmadSyabani7","@AchmadSyabani7")</f>
        <v>@AchmadSyabani7</v>
      </c>
      <c r="C38424" t="s">
        <v>284</v>
      </c>
      <c r="D38424">
        <v>0</v>
      </c>
      <c r="E38424">
        <v>2</v>
      </c>
      <c r="F38424">
        <v>1602</v>
      </c>
    </row>
    <row r="38425" spans="1:6" ht="15.75" customHeight="1">
      <c r="A38425" s="3">
        <v>43874.815486111111</v>
      </c>
      <c r="B38425" t="str">
        <f>HYPERLINK("https://twitter.com/fendizoei9","@fendizoei9")</f>
        <v>@fendizoei9</v>
      </c>
      <c r="C38425" t="s">
        <v>285</v>
      </c>
      <c r="D38425">
        <v>0</v>
      </c>
      <c r="E38425">
        <v>0</v>
      </c>
      <c r="F38425">
        <v>42</v>
      </c>
    </row>
    <row r="38426" spans="1:6" ht="15.75" customHeight="1">
      <c r="A38426" s="3">
        <v>43874.814641203702</v>
      </c>
      <c r="B38426" t="str">
        <f>HYPERLINK("https://twitter.com/FerdinandHaean2","@FerdinandHaean2")</f>
        <v>@FerdinandHaean2</v>
      </c>
      <c r="C38426" t="s">
        <v>286</v>
      </c>
      <c r="D38426">
        <v>1</v>
      </c>
      <c r="E38426">
        <v>8</v>
      </c>
      <c r="F38426">
        <v>45810</v>
      </c>
    </row>
    <row r="38427" spans="1:6" ht="15.75" customHeight="1">
      <c r="A38427" s="3">
        <v>43874.814618055556</v>
      </c>
      <c r="B38427" t="str">
        <f>HYPERLINK("https://twitter.com/AnggaPPh","@AnggaPPh")</f>
        <v>@AnggaPPh</v>
      </c>
      <c r="C38427" t="s">
        <v>287</v>
      </c>
      <c r="D38427">
        <v>7</v>
      </c>
      <c r="E38427">
        <v>3</v>
      </c>
      <c r="F38427">
        <v>855</v>
      </c>
    </row>
    <row r="38428" spans="1:6" ht="15.75" customHeight="1">
      <c r="A38428" s="3">
        <v>43874.81454861111</v>
      </c>
      <c r="B38428" t="str">
        <f>HYPERLINK("https://twitter.com/ICM212","@ICM212")</f>
        <v>@ICM212</v>
      </c>
      <c r="C38428" t="s">
        <v>288</v>
      </c>
      <c r="D38428">
        <v>0</v>
      </c>
      <c r="E38428">
        <v>0</v>
      </c>
      <c r="F38428">
        <v>625</v>
      </c>
    </row>
    <row r="38429" spans="1:6" ht="15.75" customHeight="1">
      <c r="A38429" s="3">
        <v>43874.814525462964</v>
      </c>
      <c r="B38429" t="str">
        <f>HYPERLINK("https://twitter.com/zarazettirazr","@zarazettirazr")</f>
        <v>@zarazettirazr</v>
      </c>
      <c r="C38429" t="s">
        <v>289</v>
      </c>
      <c r="D38429">
        <v>33</v>
      </c>
      <c r="E38429">
        <v>157</v>
      </c>
      <c r="F38429">
        <v>250083</v>
      </c>
    </row>
    <row r="38430" spans="1:6" ht="15.75" customHeight="1">
      <c r="A38430" s="3">
        <v>43874.813518518524</v>
      </c>
      <c r="B38430" t="str">
        <f>HYPERLINK("https://twitter.com/DsSupriyady","@DsSupriyady")</f>
        <v>@DsSupriyady</v>
      </c>
      <c r="C38430" t="s">
        <v>290</v>
      </c>
      <c r="D38430">
        <v>0</v>
      </c>
      <c r="E38430">
        <v>0</v>
      </c>
      <c r="F38430">
        <v>3866</v>
      </c>
    </row>
    <row r="38431" spans="1:6" ht="15.75" customHeight="1">
      <c r="A38431" s="3">
        <v>43874.813344907408</v>
      </c>
      <c r="B38431" t="str">
        <f>HYPERLINK("https://twitter.com/fendizoei9","@fendizoei9")</f>
        <v>@fendizoei9</v>
      </c>
      <c r="C38431" t="s">
        <v>291</v>
      </c>
      <c r="D38431">
        <v>0</v>
      </c>
      <c r="E38431">
        <v>0</v>
      </c>
      <c r="F38431">
        <v>42</v>
      </c>
    </row>
    <row r="38432" spans="1:6" ht="15.75" customHeight="1">
      <c r="A38432" s="3">
        <v>43874.81287037037</v>
      </c>
      <c r="B38432" t="str">
        <f>HYPERLINK("https://twitter.com/detikcom","@detikcom")</f>
        <v>@detikcom</v>
      </c>
      <c r="C38432" t="s">
        <v>292</v>
      </c>
      <c r="D38432">
        <v>4</v>
      </c>
      <c r="E38432">
        <v>16</v>
      </c>
      <c r="F38432">
        <v>15663959</v>
      </c>
    </row>
    <row r="38433" spans="1:6" ht="15.75" customHeight="1">
      <c r="A38433" s="3">
        <v>43874.810844907406</v>
      </c>
      <c r="B38433" t="str">
        <f>HYPERLINK("https://twitter.com/DIRAN91464376","@DIRAN91464376")</f>
        <v>@DIRAN91464376</v>
      </c>
      <c r="C38433" t="s">
        <v>293</v>
      </c>
      <c r="D38433">
        <v>0</v>
      </c>
      <c r="E38433">
        <v>0</v>
      </c>
      <c r="F38433">
        <v>186</v>
      </c>
    </row>
    <row r="38434" spans="1:6" ht="15.75" customHeight="1">
      <c r="A38434" s="3">
        <v>43874.810347222221</v>
      </c>
      <c r="B38434" t="str">
        <f>HYPERLINK("https://twitter.com/republikaonline","@republikaonline")</f>
        <v>@republikaonline</v>
      </c>
      <c r="C38434" t="s">
        <v>294</v>
      </c>
      <c r="D38434">
        <v>2</v>
      </c>
      <c r="E38434">
        <v>1</v>
      </c>
      <c r="F38434">
        <v>1210209</v>
      </c>
    </row>
    <row r="38435" spans="1:6" ht="15.75" customHeight="1">
      <c r="A38435" s="3">
        <v>43874.809282407412</v>
      </c>
      <c r="B38435" t="str">
        <f>HYPERLINK("https://twitter.com/makLambeTurah","@makLambeTurah")</f>
        <v>@makLambeTurah</v>
      </c>
      <c r="C38435" t="s">
        <v>295</v>
      </c>
      <c r="D38435">
        <v>22</v>
      </c>
      <c r="E38435">
        <v>24</v>
      </c>
      <c r="F38435">
        <v>134136</v>
      </c>
    </row>
    <row r="38436" spans="1:6" ht="15.75" customHeight="1">
      <c r="A38436" s="3">
        <v>43874.809062500004</v>
      </c>
      <c r="B38436" t="str">
        <f>HYPERLINK("https://twitter.com/forddyce92","@forddyce92")</f>
        <v>@forddyce92</v>
      </c>
      <c r="C38436" t="s">
        <v>296</v>
      </c>
      <c r="D38436">
        <v>0</v>
      </c>
      <c r="E38436">
        <v>0</v>
      </c>
      <c r="F38436">
        <v>24</v>
      </c>
    </row>
    <row r="38437" spans="1:6" ht="15.75" customHeight="1">
      <c r="A38437" s="3">
        <v>43874.808923611112</v>
      </c>
      <c r="B38437" t="str">
        <f>HYPERLINK("https://twitter.com/bezetrossoneri","@bezetrossoneri")</f>
        <v>@bezetrossoneri</v>
      </c>
      <c r="C38437" t="s">
        <v>297</v>
      </c>
      <c r="D38437">
        <v>1</v>
      </c>
      <c r="E38437">
        <v>0</v>
      </c>
      <c r="F38437">
        <v>2190</v>
      </c>
    </row>
    <row r="38438" spans="1:6" ht="15.75" customHeight="1">
      <c r="A38438" s="3">
        <v>43874.807789351849</v>
      </c>
      <c r="B38438" t="str">
        <f>HYPERLINK("https://twitter.com/dewakarbinawa","@dewakarbinawa")</f>
        <v>@dewakarbinawa</v>
      </c>
      <c r="C38438" t="s">
        <v>298</v>
      </c>
      <c r="D38438">
        <v>0</v>
      </c>
      <c r="E38438">
        <v>3</v>
      </c>
      <c r="F38438">
        <v>3959</v>
      </c>
    </row>
    <row r="38439" spans="1:6" ht="15.75" customHeight="1">
      <c r="A38439" s="3">
        <v>43874.807499999995</v>
      </c>
      <c r="B38439" t="str">
        <f>HYPERLINK("https://twitter.com/jr_kw19","@jr_kw19")</f>
        <v>@jr_kw19</v>
      </c>
      <c r="C38439" t="s">
        <v>299</v>
      </c>
      <c r="D38439">
        <v>25</v>
      </c>
      <c r="E38439">
        <v>26</v>
      </c>
      <c r="F38439">
        <v>39437</v>
      </c>
    </row>
    <row r="38440" spans="1:6" ht="15.75" customHeight="1">
      <c r="A38440" s="3">
        <v>43874.807384259257</v>
      </c>
      <c r="B38440" t="str">
        <f>HYPERLINK("https://twitter.com/20detik","@20detik")</f>
        <v>@20detik</v>
      </c>
      <c r="C38440" t="s">
        <v>300</v>
      </c>
      <c r="D38440">
        <v>0</v>
      </c>
      <c r="E38440">
        <v>0</v>
      </c>
      <c r="F38440">
        <v>80586</v>
      </c>
    </row>
    <row r="38441" spans="1:6" ht="15.75" customHeight="1">
      <c r="A38441" s="3">
        <v>43874.806562500002</v>
      </c>
      <c r="B38441" t="str">
        <f>HYPERLINK("https://twitter.com/merdekadotcom","@merdekadotcom")</f>
        <v>@merdekadotcom</v>
      </c>
      <c r="C38441" t="s">
        <v>301</v>
      </c>
      <c r="D38441">
        <v>0</v>
      </c>
      <c r="E38441">
        <v>1</v>
      </c>
      <c r="F38441">
        <v>230398</v>
      </c>
    </row>
    <row r="38442" spans="1:6" ht="15.75" customHeight="1">
      <c r="A38442" s="3">
        <v>43874.806157407409</v>
      </c>
      <c r="B38442" t="str">
        <f>HYPERLINK("https://twitter.com/okezonenews","@okezonenews")</f>
        <v>@okezonenews</v>
      </c>
      <c r="C38442" t="s">
        <v>302</v>
      </c>
      <c r="D38442">
        <v>0</v>
      </c>
      <c r="E38442">
        <v>0</v>
      </c>
      <c r="F38442">
        <v>1743741</v>
      </c>
    </row>
    <row r="38443" spans="1:6" ht="15.75" customHeight="1">
      <c r="A38443" s="3">
        <v>43874.806111111116</v>
      </c>
      <c r="B38443" t="str">
        <f>HYPERLINK("https://twitter.com/dalamkesunyian","@dalamkesunyian")</f>
        <v>@dalamkesunyian</v>
      </c>
      <c r="C38443" t="s">
        <v>303</v>
      </c>
      <c r="D38443">
        <v>0</v>
      </c>
      <c r="E38443">
        <v>0</v>
      </c>
      <c r="F38443">
        <v>109</v>
      </c>
    </row>
    <row r="38444" spans="1:6" ht="15.75" customHeight="1">
      <c r="A38444" s="3">
        <v>43874.805891203709</v>
      </c>
      <c r="B38444" t="str">
        <f>HYPERLINK("https://twitter.com/Kang_Pandu01","@Kang_Pandu01")</f>
        <v>@Kang_Pandu01</v>
      </c>
      <c r="C38444" t="s">
        <v>304</v>
      </c>
      <c r="D38444">
        <v>0</v>
      </c>
      <c r="E38444">
        <v>0</v>
      </c>
      <c r="F38444">
        <v>1363</v>
      </c>
    </row>
    <row r="38445" spans="1:6" ht="15.75" customHeight="1">
      <c r="A38445" s="3">
        <v>43874.804976851854</v>
      </c>
      <c r="B38445" t="str">
        <f>HYPERLINK("https://twitter.com/TeddyIrjaya","@TeddyIrjaya")</f>
        <v>@TeddyIrjaya</v>
      </c>
      <c r="C38445" t="s">
        <v>305</v>
      </c>
      <c r="D38445">
        <v>1</v>
      </c>
      <c r="E38445">
        <v>1</v>
      </c>
      <c r="F38445">
        <v>665</v>
      </c>
    </row>
    <row r="38446" spans="1:6" ht="15.75" customHeight="1">
      <c r="A38446" s="3">
        <v>43874.804131944446</v>
      </c>
      <c r="B38446" t="str">
        <f>HYPERLINK("https://twitter.com/zarazettirazr","@zarazettirazr")</f>
        <v>@zarazettirazr</v>
      </c>
      <c r="C38446" t="s">
        <v>306</v>
      </c>
      <c r="D38446">
        <v>0</v>
      </c>
      <c r="E38446">
        <v>13</v>
      </c>
      <c r="F38446">
        <v>250083</v>
      </c>
    </row>
    <row r="38447" spans="1:6" ht="15.75" customHeight="1">
      <c r="A38447" s="3">
        <v>43874.804062499999</v>
      </c>
      <c r="B38447" t="str">
        <f>HYPERLINK("https://twitter.com/burungpipit74","@burungpipit74")</f>
        <v>@burungpipit74</v>
      </c>
      <c r="C38447" t="s">
        <v>307</v>
      </c>
      <c r="D38447">
        <v>0</v>
      </c>
      <c r="E38447">
        <v>2</v>
      </c>
      <c r="F38447">
        <v>3207</v>
      </c>
    </row>
    <row r="38448" spans="1:6" ht="15.75" customHeight="1">
      <c r="A38448" s="3">
        <v>43874.802407407406</v>
      </c>
      <c r="B38448" t="str">
        <f>HYPERLINK("https://twitter.com/MalangPostNews","@MalangPostNews")</f>
        <v>@MalangPostNews</v>
      </c>
      <c r="C38448" t="s">
        <v>308</v>
      </c>
      <c r="D38448">
        <v>0</v>
      </c>
      <c r="E38448">
        <v>0</v>
      </c>
      <c r="F38448">
        <v>4</v>
      </c>
    </row>
    <row r="38449" spans="1:6" ht="15.75" customHeight="1">
      <c r="A38449" s="3">
        <v>43874.801655092597</v>
      </c>
      <c r="B38449" t="str">
        <f>HYPERLINK("https://twitter.com/bahmandor","@bahmandor")</f>
        <v>@bahmandor</v>
      </c>
      <c r="C38449" t="s">
        <v>309</v>
      </c>
      <c r="D38449">
        <v>0</v>
      </c>
      <c r="E38449">
        <v>1</v>
      </c>
      <c r="F38449">
        <v>1495</v>
      </c>
    </row>
    <row r="38450" spans="1:6" ht="15.75" customHeight="1">
      <c r="A38450" s="3">
        <v>43874.801307870366</v>
      </c>
      <c r="B38450" t="str">
        <f>HYPERLINK("https://twitter.com/mochamadarip","@mochamadarip")</f>
        <v>@mochamadarip</v>
      </c>
      <c r="C38450" t="s">
        <v>310</v>
      </c>
      <c r="D38450">
        <v>30</v>
      </c>
      <c r="E38450">
        <v>34</v>
      </c>
      <c r="F38450">
        <v>26148</v>
      </c>
    </row>
    <row r="38451" spans="1:6" ht="15.75" customHeight="1">
      <c r="A38451" s="3">
        <v>43874.800821759258</v>
      </c>
      <c r="B38451" t="str">
        <f>HYPERLINK("https://twitter.com/Ari3Pras","@Ari3Pras")</f>
        <v>@Ari3Pras</v>
      </c>
      <c r="C38451" t="s">
        <v>311</v>
      </c>
      <c r="D38451">
        <v>22</v>
      </c>
      <c r="E38451">
        <v>33</v>
      </c>
      <c r="F38451">
        <v>7280</v>
      </c>
    </row>
    <row r="38452" spans="1:6" ht="15.75" customHeight="1">
      <c r="A38452" s="3">
        <v>43874.800173611111</v>
      </c>
      <c r="B38452" t="str">
        <f>HYPERLINK("https://twitter.com/siagiansulben","@siagiansulben")</f>
        <v>@siagiansulben</v>
      </c>
      <c r="D38452">
        <v>0</v>
      </c>
      <c r="E38452">
        <v>0</v>
      </c>
      <c r="F38452">
        <v>1004</v>
      </c>
    </row>
    <row r="38453" spans="1:6" ht="15.75" customHeight="1">
      <c r="A38453" s="3">
        <v>43874.799884259264</v>
      </c>
      <c r="B38453" t="str">
        <f>HYPERLINK("https://twitter.com/temanspesial","@temanspesial")</f>
        <v>@temanspesial</v>
      </c>
      <c r="C38453" t="s">
        <v>312</v>
      </c>
      <c r="D38453">
        <v>0</v>
      </c>
      <c r="E38453">
        <v>0</v>
      </c>
      <c r="F38453">
        <v>76</v>
      </c>
    </row>
    <row r="38454" spans="1:6" ht="15.75" customHeight="1">
      <c r="A38454" s="3">
        <v>43874.799467592587</v>
      </c>
      <c r="B38454" t="str">
        <f>HYPERLINK("https://twitter.com/Gumanti95485609","@Gumanti95485609")</f>
        <v>@Gumanti95485609</v>
      </c>
      <c r="C38454" t="s">
        <v>313</v>
      </c>
      <c r="D38454">
        <v>0</v>
      </c>
      <c r="E38454">
        <v>0</v>
      </c>
      <c r="F38454">
        <v>33</v>
      </c>
    </row>
    <row r="38455" spans="1:6" ht="15.75" customHeight="1">
      <c r="A38455" s="3">
        <v>43874.799305555556</v>
      </c>
      <c r="B38455" t="str">
        <f>HYPERLINK("https://twitter.com/Elramangka1","@Elramangka1")</f>
        <v>@Elramangka1</v>
      </c>
      <c r="C38455" t="s">
        <v>314</v>
      </c>
      <c r="D38455">
        <v>0</v>
      </c>
      <c r="E38455">
        <v>0</v>
      </c>
      <c r="F38455">
        <v>8</v>
      </c>
    </row>
    <row r="38456" spans="1:6" ht="15.75" customHeight="1">
      <c r="A38456" s="3">
        <v>43874.798032407409</v>
      </c>
      <c r="B38456" t="str">
        <f>HYPERLINK("https://twitter.com/wisanggeni_084","@wisanggeni_084")</f>
        <v>@wisanggeni_084</v>
      </c>
      <c r="C38456" t="s">
        <v>315</v>
      </c>
      <c r="D38456">
        <v>28</v>
      </c>
      <c r="E38456">
        <v>49</v>
      </c>
      <c r="F38456">
        <v>15789</v>
      </c>
    </row>
    <row r="38457" spans="1:6" ht="15.75" customHeight="1">
      <c r="A38457" s="3">
        <v>43874.797465277778</v>
      </c>
      <c r="B38457" t="str">
        <f>HYPERLINK("https://twitter.com/lukisaepul","@lukisaepul")</f>
        <v>@lukisaepul</v>
      </c>
      <c r="C38457" t="s">
        <v>316</v>
      </c>
      <c r="D38457">
        <v>0</v>
      </c>
      <c r="E38457">
        <v>0</v>
      </c>
      <c r="F38457">
        <v>788</v>
      </c>
    </row>
    <row r="38458" spans="1:6" ht="15.75" customHeight="1">
      <c r="A38458" s="3">
        <v>43874.79688657407</v>
      </c>
      <c r="B38458" t="str">
        <f>HYPERLINK("https://twitter.com/rajapinjat","@rajapinjat")</f>
        <v>@rajapinjat</v>
      </c>
      <c r="C38458" t="s">
        <v>317</v>
      </c>
      <c r="D38458">
        <v>0</v>
      </c>
      <c r="E38458">
        <v>0</v>
      </c>
      <c r="F38458">
        <v>14</v>
      </c>
    </row>
    <row r="38459" spans="1:6" ht="15.75" customHeight="1">
      <c r="A38459" s="3">
        <v>43874.796817129631</v>
      </c>
      <c r="B38459" t="str">
        <f>HYPERLINK("https://twitter.com/SaikoDamai","@SaikoDamai")</f>
        <v>@SaikoDamai</v>
      </c>
      <c r="C38459" t="s">
        <v>318</v>
      </c>
      <c r="D38459">
        <v>0</v>
      </c>
      <c r="E38459">
        <v>5</v>
      </c>
      <c r="F38459">
        <v>6579</v>
      </c>
    </row>
    <row r="38460" spans="1:6" ht="15.75" customHeight="1">
      <c r="A38460" s="3">
        <v>43874.796724537038</v>
      </c>
      <c r="B38460" t="str">
        <f>HYPERLINK("https://twitter.com/KelianBanjar_GK","@KelianBanjar_GK")</f>
        <v>@KelianBanjar_GK</v>
      </c>
      <c r="C38460" t="s">
        <v>319</v>
      </c>
      <c r="D38460">
        <v>22</v>
      </c>
      <c r="E38460">
        <v>31</v>
      </c>
      <c r="F38460">
        <v>8421</v>
      </c>
    </row>
    <row r="38461" spans="1:6" ht="15.75" customHeight="1">
      <c r="A38461" s="3">
        <v>43874.796412037038</v>
      </c>
      <c r="B38461" t="str">
        <f>HYPERLINK("https://twitter.com/andy_nomicin","@andy_nomicin")</f>
        <v>@andy_nomicin</v>
      </c>
      <c r="C38461" t="s">
        <v>320</v>
      </c>
      <c r="D38461">
        <v>25</v>
      </c>
      <c r="E38461">
        <v>37</v>
      </c>
      <c r="F38461">
        <v>7185</v>
      </c>
    </row>
    <row r="38462" spans="1:6" ht="15.75" customHeight="1">
      <c r="A38462" s="3">
        <v>43874.795891203699</v>
      </c>
      <c r="B38462" t="str">
        <f>HYPERLINK("https://twitter.com/ZoelFawzie","@ZoelFawzie")</f>
        <v>@ZoelFawzie</v>
      </c>
      <c r="C38462" t="s">
        <v>322</v>
      </c>
      <c r="D38462">
        <v>0</v>
      </c>
      <c r="E38462">
        <v>0</v>
      </c>
      <c r="F38462">
        <v>5684</v>
      </c>
    </row>
    <row r="38463" spans="1:6" ht="15.75" customHeight="1">
      <c r="A38463" s="3">
        <v>43874.795219907406</v>
      </c>
      <c r="B38463" t="str">
        <f>HYPERLINK("https://twitter.com/tribunnews","@tribunnews")</f>
        <v>@tribunnews</v>
      </c>
      <c r="C38463" t="s">
        <v>323</v>
      </c>
      <c r="D38463">
        <v>0</v>
      </c>
      <c r="E38463">
        <v>4</v>
      </c>
      <c r="F38463">
        <v>873082</v>
      </c>
    </row>
    <row r="38464" spans="1:6" ht="15.75" customHeight="1">
      <c r="A38464" s="3">
        <v>43874.794965277775</v>
      </c>
      <c r="B38464" t="str">
        <f>HYPERLINK("https://twitter.com/Alviah_maniez","@Alviah_maniez")</f>
        <v>@Alviah_maniez</v>
      </c>
      <c r="C38464" t="s">
        <v>324</v>
      </c>
      <c r="D38464">
        <v>0</v>
      </c>
      <c r="E38464">
        <v>0</v>
      </c>
      <c r="F38464">
        <v>2745</v>
      </c>
    </row>
    <row r="38465" spans="1:6" ht="15.75" customHeight="1">
      <c r="A38465" s="3">
        <v>43874.794837962967</v>
      </c>
      <c r="B38465" t="str">
        <f>HYPERLINK("https://twitter.com/Gumanti95485609","@Gumanti95485609")</f>
        <v>@Gumanti95485609</v>
      </c>
      <c r="C38465" t="s">
        <v>325</v>
      </c>
      <c r="D38465">
        <v>0</v>
      </c>
      <c r="E38465">
        <v>0</v>
      </c>
      <c r="F38465">
        <v>33</v>
      </c>
    </row>
    <row r="38466" spans="1:6" ht="15.75" customHeight="1">
      <c r="A38466" s="3">
        <v>43874.794768518521</v>
      </c>
      <c r="B38466" t="str">
        <f>HYPERLINK("https://twitter.com/arjuno_ireng01","@arjuno_ireng01")</f>
        <v>@arjuno_ireng01</v>
      </c>
      <c r="C38466" t="s">
        <v>326</v>
      </c>
      <c r="D38466">
        <v>29</v>
      </c>
      <c r="E38466">
        <v>46</v>
      </c>
      <c r="F38466">
        <v>10078</v>
      </c>
    </row>
    <row r="38467" spans="1:6" ht="15.75" customHeight="1">
      <c r="A38467" s="3">
        <v>43874.794259259259</v>
      </c>
      <c r="B38467" t="str">
        <f>HYPERLINK("https://twitter.com/jfnogor","@jfnogor")</f>
        <v>@jfnogor</v>
      </c>
      <c r="C38467" t="s">
        <v>327</v>
      </c>
      <c r="D38467">
        <v>0</v>
      </c>
      <c r="E38467">
        <v>0</v>
      </c>
      <c r="F38467">
        <v>589</v>
      </c>
    </row>
    <row r="38468" spans="1:6" ht="15.75" customHeight="1">
      <c r="A38468" s="3">
        <v>43874.793645833328</v>
      </c>
      <c r="B38468" t="str">
        <f>HYPERLINK("https://twitter.com/pradipthatia","@pradipthatia")</f>
        <v>@pradipthatia</v>
      </c>
      <c r="C38468" t="s">
        <v>328</v>
      </c>
      <c r="D38468">
        <v>0</v>
      </c>
      <c r="E38468">
        <v>2</v>
      </c>
      <c r="F38468">
        <v>2139</v>
      </c>
    </row>
    <row r="38469" spans="1:6" ht="15.75" customHeight="1">
      <c r="A38469" s="3">
        <v>43874.793298611112</v>
      </c>
      <c r="B38469" t="str">
        <f>HYPERLINK("https://twitter.com/KelianBanjar_GK","@KelianBanjar_GK")</f>
        <v>@KelianBanjar_GK</v>
      </c>
      <c r="C38469" t="s">
        <v>329</v>
      </c>
      <c r="D38469">
        <v>20</v>
      </c>
      <c r="E38469">
        <v>29</v>
      </c>
      <c r="F38469">
        <v>8421</v>
      </c>
    </row>
    <row r="38470" spans="1:6" ht="15.75" customHeight="1">
      <c r="A38470" s="3">
        <v>43874.79314814815</v>
      </c>
      <c r="B38470" t="str">
        <f>HYPERLINK("https://twitter.com/ulfafs","@ulfafs")</f>
        <v>@ulfafs</v>
      </c>
      <c r="C38470" t="s">
        <v>330</v>
      </c>
      <c r="D38470">
        <v>0</v>
      </c>
      <c r="E38470">
        <v>0</v>
      </c>
      <c r="F38470">
        <v>78</v>
      </c>
    </row>
    <row r="38471" spans="1:6" ht="15.75" customHeight="1">
      <c r="A38471" s="3">
        <v>43874.79305555555</v>
      </c>
      <c r="B38471" t="str">
        <f>HYPERLINK("https://twitter.com/NayKuchikie","@NayKuchikie")</f>
        <v>@NayKuchikie</v>
      </c>
      <c r="C38471" t="s">
        <v>331</v>
      </c>
      <c r="D38471">
        <v>0</v>
      </c>
      <c r="E38471">
        <v>0</v>
      </c>
      <c r="F38471">
        <v>363</v>
      </c>
    </row>
    <row r="38472" spans="1:6" ht="15.75" customHeight="1">
      <c r="A38472" s="3">
        <v>43874.79305555555</v>
      </c>
      <c r="B38472" t="str">
        <f>HYPERLINK("https://twitter.com/StevanyD","@StevanyD")</f>
        <v>@StevanyD</v>
      </c>
      <c r="C38472" t="s">
        <v>332</v>
      </c>
      <c r="D38472">
        <v>0</v>
      </c>
      <c r="E38472">
        <v>0</v>
      </c>
      <c r="F38472">
        <v>1501</v>
      </c>
    </row>
    <row r="38473" spans="1:6" ht="15.75" customHeight="1">
      <c r="A38473" s="3">
        <v>43874.792696759258</v>
      </c>
      <c r="B38473" t="str">
        <f>HYPERLINK("https://twitter.com/hidayatunacom","@hidayatunacom")</f>
        <v>@hidayatunacom</v>
      </c>
      <c r="C38473" t="s">
        <v>333</v>
      </c>
      <c r="D38473">
        <v>0</v>
      </c>
      <c r="E38473">
        <v>1</v>
      </c>
      <c r="F38473">
        <v>466</v>
      </c>
    </row>
    <row r="38474" spans="1:6" ht="15.75" customHeight="1">
      <c r="A38474" s="3">
        <v>43874.792025462964</v>
      </c>
      <c r="B38474" t="str">
        <f>HYPERLINK("https://twitter.com/5Y5_one_70","@5Y5_one_70")</f>
        <v>@5Y5_one_70</v>
      </c>
      <c r="C38474" t="s">
        <v>334</v>
      </c>
      <c r="D38474">
        <v>28</v>
      </c>
      <c r="E38474">
        <v>51</v>
      </c>
      <c r="F38474">
        <v>6626</v>
      </c>
    </row>
    <row r="38475" spans="1:6" ht="15.75" customHeight="1">
      <c r="A38475" s="3">
        <v>43874.792013888888</v>
      </c>
      <c r="B38475" t="str">
        <f>HYPERLINK("https://twitter.com/WahabisLokal","@WahabisLokal")</f>
        <v>@WahabisLokal</v>
      </c>
      <c r="C38475" t="s">
        <v>335</v>
      </c>
      <c r="D38475">
        <v>63</v>
      </c>
      <c r="E38475">
        <v>115</v>
      </c>
      <c r="F38475">
        <v>19425</v>
      </c>
    </row>
    <row r="38476" spans="1:6" ht="15.75" customHeight="1">
      <c r="A38476" s="3">
        <v>43874.791874999995</v>
      </c>
      <c r="B38476" t="str">
        <f>HYPERLINK("https://twitter.com/RiriJreeng","@RiriJreeng")</f>
        <v>@RiriJreeng</v>
      </c>
      <c r="C38476" t="s">
        <v>336</v>
      </c>
      <c r="D38476">
        <v>25</v>
      </c>
      <c r="E38476">
        <v>32</v>
      </c>
      <c r="F38476">
        <v>5681</v>
      </c>
    </row>
    <row r="38477" spans="1:6" ht="15.75" customHeight="1">
      <c r="A38477" s="3">
        <v>43874.79179398148</v>
      </c>
      <c r="B38477" t="str">
        <f>HYPERLINK("https://twitter.com/arjuno_ireng01","@arjuno_ireng01")</f>
        <v>@arjuno_ireng01</v>
      </c>
      <c r="C38477" t="s">
        <v>337</v>
      </c>
      <c r="D38477">
        <v>42</v>
      </c>
      <c r="E38477">
        <v>81</v>
      </c>
      <c r="F38477">
        <v>10078</v>
      </c>
    </row>
    <row r="38478" spans="1:6" ht="15.75" customHeight="1">
      <c r="A38478" s="3">
        <v>43874.79178240741</v>
      </c>
      <c r="B38478" t="str">
        <f>HYPERLINK("https://twitter.com/RinjaniJB","@RinjaniJB")</f>
        <v>@RinjaniJB</v>
      </c>
      <c r="C38478" t="s">
        <v>338</v>
      </c>
      <c r="D38478">
        <v>26</v>
      </c>
      <c r="E38478">
        <v>28</v>
      </c>
      <c r="F38478">
        <v>19163</v>
      </c>
    </row>
    <row r="38479" spans="1:6" ht="15.75" customHeight="1">
      <c r="A38479" s="3">
        <v>43874.791516203702</v>
      </c>
      <c r="B38479" t="str">
        <f>HYPERLINK("https://twitter.com/arjuno_ireng01","@arjuno_ireng01")</f>
        <v>@arjuno_ireng01</v>
      </c>
      <c r="C38479" t="s">
        <v>339</v>
      </c>
      <c r="D38479">
        <v>22</v>
      </c>
      <c r="E38479">
        <v>32</v>
      </c>
      <c r="F38479">
        <v>10078</v>
      </c>
    </row>
    <row r="38480" spans="1:6" ht="15.75" customHeight="1">
      <c r="A38480" s="3">
        <v>43874.791481481487</v>
      </c>
      <c r="B38480" t="str">
        <f>HYPERLINK("https://twitter.com/yonosastra","@yonosastra")</f>
        <v>@yonosastra</v>
      </c>
      <c r="C38480" t="s">
        <v>340</v>
      </c>
      <c r="D38480">
        <v>0</v>
      </c>
      <c r="E38480">
        <v>0</v>
      </c>
      <c r="F38480">
        <v>1039</v>
      </c>
    </row>
    <row r="38481" spans="1:6" ht="15.75" customHeight="1">
      <c r="A38481" s="3">
        <v>43874.791446759264</v>
      </c>
      <c r="B38481" t="str">
        <f>HYPERLINK("https://twitter.com/WahabisLokal","@WahabisLokal")</f>
        <v>@WahabisLokal</v>
      </c>
      <c r="C38481" t="s">
        <v>341</v>
      </c>
      <c r="D38481">
        <v>33</v>
      </c>
      <c r="E38481">
        <v>70</v>
      </c>
      <c r="F38481">
        <v>19425</v>
      </c>
    </row>
    <row r="38482" spans="1:6" ht="15.75" customHeight="1">
      <c r="A38482" s="3">
        <v>43874.789837962962</v>
      </c>
      <c r="B38482" t="str">
        <f>HYPERLINK("https://twitter.com/Berita7dotid","@Berita7dotid")</f>
        <v>@Berita7dotid</v>
      </c>
      <c r="C38482" t="s">
        <v>342</v>
      </c>
      <c r="D38482">
        <v>0</v>
      </c>
      <c r="E38482">
        <v>0</v>
      </c>
      <c r="F38482">
        <v>2554</v>
      </c>
    </row>
    <row r="38483" spans="1:6" ht="15.75" customHeight="1">
      <c r="A38483" s="3">
        <v>43874.78943287037</v>
      </c>
      <c r="B38483" t="str">
        <f>HYPERLINK("https://twitter.com/Je_Ly","@Je_Ly")</f>
        <v>@Je_Ly</v>
      </c>
      <c r="C38483" t="s">
        <v>343</v>
      </c>
      <c r="D38483">
        <v>130</v>
      </c>
      <c r="E38483">
        <v>289</v>
      </c>
      <c r="F38483">
        <v>16549</v>
      </c>
    </row>
    <row r="38484" spans="1:6" ht="15.75" customHeight="1">
      <c r="A38484" s="3">
        <v>43874.787870370375</v>
      </c>
      <c r="B38484" t="str">
        <f>HYPERLINK("https://twitter.com/pikiran_rakyat","@pikiran_rakyat")</f>
        <v>@pikiran_rakyat</v>
      </c>
      <c r="C38484" t="s">
        <v>344</v>
      </c>
      <c r="D38484">
        <v>0</v>
      </c>
      <c r="E38484">
        <v>0</v>
      </c>
      <c r="F38484">
        <v>412437</v>
      </c>
    </row>
    <row r="38485" spans="1:6" ht="15.75" customHeight="1">
      <c r="A38485" s="3">
        <v>43874.787812499999</v>
      </c>
      <c r="B38485" t="str">
        <f>HYPERLINK("https://twitter.com/Bagudek67","@Bagudek67")</f>
        <v>@Bagudek67</v>
      </c>
      <c r="C38485" t="s">
        <v>345</v>
      </c>
      <c r="D38485">
        <v>0</v>
      </c>
      <c r="E38485">
        <v>0</v>
      </c>
      <c r="F38485">
        <v>200</v>
      </c>
    </row>
    <row r="38486" spans="1:6" ht="15.75" customHeight="1">
      <c r="A38486" s="3">
        <v>43874.787777777776</v>
      </c>
      <c r="B38486" t="str">
        <f>HYPERLINK("https://twitter.com/Je_Ly","@Je_Ly")</f>
        <v>@Je_Ly</v>
      </c>
      <c r="C38486" t="s">
        <v>346</v>
      </c>
      <c r="D38486">
        <v>50</v>
      </c>
      <c r="E38486">
        <v>124</v>
      </c>
      <c r="F38486">
        <v>16549</v>
      </c>
    </row>
    <row r="38487" spans="1:6" ht="15.75" customHeight="1">
      <c r="A38487" s="3">
        <v>43874.787106481483</v>
      </c>
      <c r="B38487" t="str">
        <f>HYPERLINK("https://twitter.com/Tommy93507168","@Tommy93507168")</f>
        <v>@Tommy93507168</v>
      </c>
      <c r="C38487" t="s">
        <v>347</v>
      </c>
      <c r="D38487">
        <v>0</v>
      </c>
      <c r="E38487">
        <v>0</v>
      </c>
      <c r="F38487">
        <v>1230</v>
      </c>
    </row>
    <row r="38488" spans="1:6" ht="15.75" customHeight="1">
      <c r="A38488" s="3">
        <v>43874.786863425921</v>
      </c>
      <c r="B38488" t="str">
        <f>HYPERLINK("https://twitter.com/arasardiningrum","@arasardiningrum")</f>
        <v>@arasardiningrum</v>
      </c>
      <c r="C38488" t="s">
        <v>348</v>
      </c>
      <c r="D38488">
        <v>0</v>
      </c>
      <c r="E38488">
        <v>0</v>
      </c>
      <c r="F38488">
        <v>619</v>
      </c>
    </row>
    <row r="38489" spans="1:6" ht="15.75" customHeight="1">
      <c r="A38489" s="3">
        <v>43874.786828703705</v>
      </c>
      <c r="B38489" t="str">
        <f>HYPERLINK("https://twitter.com/jpnncom","@jpnncom")</f>
        <v>@jpnncom</v>
      </c>
      <c r="C38489" t="s">
        <v>349</v>
      </c>
      <c r="D38489">
        <v>0</v>
      </c>
      <c r="E38489">
        <v>1</v>
      </c>
      <c r="F38489">
        <v>49438</v>
      </c>
    </row>
    <row r="38490" spans="1:6" ht="15.75" customHeight="1">
      <c r="A38490" s="3">
        <v>43874.786469907413</v>
      </c>
      <c r="B38490" t="str">
        <f>HYPERLINK("https://twitter.com/Hali__lintar","@Hali__lintar")</f>
        <v>@Hali__lintar</v>
      </c>
      <c r="C38490" t="s">
        <v>350</v>
      </c>
      <c r="D38490">
        <v>2</v>
      </c>
      <c r="E38490">
        <v>3</v>
      </c>
      <c r="F38490">
        <v>9302</v>
      </c>
    </row>
    <row r="38491" spans="1:6" ht="15.75" customHeight="1">
      <c r="A38491" s="3">
        <v>43874.786041666666</v>
      </c>
      <c r="B38491" t="str">
        <f>HYPERLINK("https://twitter.com/MetroTVToday","@MetroTVToday")</f>
        <v>@MetroTVToday</v>
      </c>
      <c r="C38491" t="s">
        <v>351</v>
      </c>
      <c r="D38491">
        <v>1</v>
      </c>
      <c r="E38491">
        <v>2</v>
      </c>
      <c r="F38491">
        <v>97606</v>
      </c>
    </row>
    <row r="38492" spans="1:6" ht="15.75" customHeight="1">
      <c r="A38492" s="3">
        <v>43874.785868055551</v>
      </c>
      <c r="B38492" t="str">
        <f>HYPERLINK("https://twitter.com/PakarLogika","@PakarLogika")</f>
        <v>@PakarLogika</v>
      </c>
      <c r="C38492" t="s">
        <v>352</v>
      </c>
      <c r="D38492">
        <v>33</v>
      </c>
      <c r="E38492">
        <v>48</v>
      </c>
      <c r="F38492">
        <v>53207</v>
      </c>
    </row>
    <row r="38493" spans="1:6" ht="15.75" customHeight="1">
      <c r="A38493" s="3">
        <v>43874.785740740743</v>
      </c>
      <c r="B38493" t="str">
        <f>HYPERLINK("https://twitter.com/Metro_TV","@Metro_TV")</f>
        <v>@Metro_TV</v>
      </c>
      <c r="C38493" t="s">
        <v>351</v>
      </c>
      <c r="D38493">
        <v>3</v>
      </c>
      <c r="E38493">
        <v>6</v>
      </c>
      <c r="F38493">
        <v>10508854</v>
      </c>
    </row>
    <row r="38494" spans="1:6" ht="15.75" customHeight="1">
      <c r="A38494" s="3">
        <v>43874.785694444443</v>
      </c>
      <c r="B38494" t="str">
        <f>HYPERLINK("https://twitter.com/sirodjudin01","@sirodjudin01")</f>
        <v>@sirodjudin01</v>
      </c>
      <c r="C38494" t="s">
        <v>353</v>
      </c>
      <c r="D38494">
        <v>2</v>
      </c>
      <c r="E38494">
        <v>1</v>
      </c>
      <c r="F38494">
        <v>8019</v>
      </c>
    </row>
    <row r="38495" spans="1:6" ht="15.75" customHeight="1">
      <c r="A38495" s="3">
        <v>43874.785462962958</v>
      </c>
      <c r="B38495" t="str">
        <f>HYPERLINK("https://twitter.com/Dy4hPutry","@Dy4hPutry")</f>
        <v>@Dy4hPutry</v>
      </c>
      <c r="C38495" t="s">
        <v>354</v>
      </c>
      <c r="D38495">
        <v>1</v>
      </c>
      <c r="E38495">
        <v>4</v>
      </c>
      <c r="F38495">
        <v>2015</v>
      </c>
    </row>
    <row r="38496" spans="1:6" ht="15.75" customHeight="1">
      <c r="A38496" s="3">
        <v>43874.785162037035</v>
      </c>
      <c r="B38496" t="str">
        <f>HYPERLINK("https://twitter.com/Bagudek67","@Bagudek67")</f>
        <v>@Bagudek67</v>
      </c>
      <c r="C38496" t="s">
        <v>355</v>
      </c>
      <c r="D38496">
        <v>0</v>
      </c>
      <c r="E38496">
        <v>0</v>
      </c>
      <c r="F38496">
        <v>200</v>
      </c>
    </row>
    <row r="38497" spans="1:6" ht="15.75" customHeight="1">
      <c r="A38497" s="3">
        <v>43874.783784722225</v>
      </c>
      <c r="B38497" t="str">
        <f>HYPERLINK("https://twitter.com/__beritaterkini","@__beritaterkini")</f>
        <v>@__beritaterkini</v>
      </c>
      <c r="C38497" t="s">
        <v>356</v>
      </c>
      <c r="D38497">
        <v>0</v>
      </c>
      <c r="E38497">
        <v>0</v>
      </c>
      <c r="F38497">
        <v>414</v>
      </c>
    </row>
    <row r="38498" spans="1:6" ht="15.75" customHeight="1">
      <c r="A38498" s="3">
        <v>43874.783564814818</v>
      </c>
      <c r="B38498" t="str">
        <f>HYPERLINK("https://twitter.com/ZheeOmega","@ZheeOmega")</f>
        <v>@ZheeOmega</v>
      </c>
      <c r="C38498" t="s">
        <v>357</v>
      </c>
      <c r="D38498">
        <v>0</v>
      </c>
      <c r="E38498">
        <v>0</v>
      </c>
      <c r="F38498">
        <v>17788</v>
      </c>
    </row>
    <row r="38499" spans="1:6" ht="15.75" customHeight="1">
      <c r="A38499" s="3">
        <v>43874.78292824074</v>
      </c>
      <c r="B38499" t="str">
        <f>HYPERLINK("https://twitter.com/MKrenthil","@MKrenthil")</f>
        <v>@MKrenthil</v>
      </c>
      <c r="C38499" t="s">
        <v>358</v>
      </c>
      <c r="D38499">
        <v>0</v>
      </c>
      <c r="E38499">
        <v>1</v>
      </c>
      <c r="F38499">
        <v>3448</v>
      </c>
    </row>
    <row r="38500" spans="1:6" ht="15.75" customHeight="1">
      <c r="A38500" s="3">
        <v>43874.780532407407</v>
      </c>
      <c r="B38500" t="str">
        <f>HYPERLINK("https://twitter.com/Bagudek67","@Bagudek67")</f>
        <v>@Bagudek67</v>
      </c>
      <c r="C38500" t="s">
        <v>359</v>
      </c>
      <c r="D38500">
        <v>0</v>
      </c>
      <c r="E38500">
        <v>0</v>
      </c>
      <c r="F38500">
        <v>200</v>
      </c>
    </row>
    <row r="38501" spans="1:6" ht="15.75" customHeight="1">
      <c r="A38501" s="3">
        <v>43874.780393518522</v>
      </c>
      <c r="B38501" t="str">
        <f>HYPERLINK("https://twitter.com/Charuvrat1","@Charuvrat1")</f>
        <v>@Charuvrat1</v>
      </c>
      <c r="C38501" t="s">
        <v>360</v>
      </c>
      <c r="D38501">
        <v>0</v>
      </c>
      <c r="E38501">
        <v>0</v>
      </c>
      <c r="F38501">
        <v>4</v>
      </c>
    </row>
    <row r="38502" spans="1:6" ht="15.75" customHeight="1">
      <c r="A38502" s="3">
        <v>43874.780324074076</v>
      </c>
      <c r="B38502" t="str">
        <f>HYPERLINK("https://twitter.com/Aadesh25823701","@Aadesh25823701")</f>
        <v>@Aadesh25823701</v>
      </c>
      <c r="C38502" t="s">
        <v>360</v>
      </c>
      <c r="D38502">
        <v>0</v>
      </c>
      <c r="E38502">
        <v>0</v>
      </c>
      <c r="F38502">
        <v>1</v>
      </c>
    </row>
    <row r="38503" spans="1:6" ht="15.75" customHeight="1">
      <c r="A38503" s="3">
        <v>43874.78024305556</v>
      </c>
      <c r="B38503" t="str">
        <f>HYPERLINK("https://twitter.com/lembaranbaroe","@lembaranbaroe")</f>
        <v>@lembaranbaroe</v>
      </c>
      <c r="C38503" t="s">
        <v>360</v>
      </c>
      <c r="D38503">
        <v>0</v>
      </c>
      <c r="E38503">
        <v>0</v>
      </c>
      <c r="F38503">
        <v>3723</v>
      </c>
    </row>
    <row r="38504" spans="1:6" ht="15.75" customHeight="1">
      <c r="A38504" s="3">
        <v>43874.780173611114</v>
      </c>
      <c r="B38504" t="str">
        <f>HYPERLINK("https://twitter.com/bagaspatifor","@bagaspatifor")</f>
        <v>@bagaspatifor</v>
      </c>
      <c r="C38504" t="s">
        <v>360</v>
      </c>
      <c r="D38504">
        <v>0</v>
      </c>
      <c r="E38504">
        <v>0</v>
      </c>
      <c r="F38504">
        <v>3</v>
      </c>
    </row>
    <row r="38505" spans="1:6" ht="15.75" customHeight="1">
      <c r="A38505" s="3">
        <v>43874.780115740738</v>
      </c>
      <c r="B38505" t="str">
        <f>HYPERLINK("https://twitter.com/countryRW","@countryRW")</f>
        <v>@countryRW</v>
      </c>
      <c r="C38505" t="s">
        <v>360</v>
      </c>
      <c r="D38505">
        <v>0</v>
      </c>
      <c r="E38505">
        <v>0</v>
      </c>
      <c r="F38505">
        <v>35184</v>
      </c>
    </row>
    <row r="38506" spans="1:6" ht="15.75" customHeight="1">
      <c r="A38506" s="3">
        <v>43874.778854166667</v>
      </c>
      <c r="B38506" t="str">
        <f>HYPERLINK("https://twitter.com/kompascom","@kompascom")</f>
        <v>@kompascom</v>
      </c>
      <c r="C38506" t="s">
        <v>361</v>
      </c>
      <c r="D38506">
        <v>2</v>
      </c>
      <c r="E38506">
        <v>10</v>
      </c>
      <c r="F38506">
        <v>7496984</v>
      </c>
    </row>
    <row r="38507" spans="1:6" ht="15.75" customHeight="1">
      <c r="A38507" s="3">
        <v>43874.778819444444</v>
      </c>
      <c r="B38507" t="str">
        <f>HYPERLINK("https://twitter.com/benwa_99","@benwa_99")</f>
        <v>@benwa_99</v>
      </c>
      <c r="C38507" t="s">
        <v>362</v>
      </c>
      <c r="D38507">
        <v>0</v>
      </c>
      <c r="E38507">
        <v>0</v>
      </c>
      <c r="F38507">
        <v>2424</v>
      </c>
    </row>
    <row r="38508" spans="1:6" ht="15.75" customHeight="1">
      <c r="A38508" s="3">
        <v>43874.776423611111</v>
      </c>
      <c r="B38508" t="str">
        <f>HYPERLINK("https://twitter.com/kumparan","@kumparan")</f>
        <v>@kumparan</v>
      </c>
      <c r="C38508" t="s">
        <v>363</v>
      </c>
      <c r="D38508">
        <v>2</v>
      </c>
      <c r="E38508">
        <v>8</v>
      </c>
      <c r="F38508">
        <v>321827</v>
      </c>
    </row>
    <row r="38509" spans="1:6" ht="15.75" customHeight="1">
      <c r="A38509" s="3">
        <v>43874.776145833333</v>
      </c>
      <c r="B38509" t="str">
        <f>HYPERLINK("https://twitter.com/edwinaldrianto","@edwinaldrianto")</f>
        <v>@edwinaldrianto</v>
      </c>
      <c r="C38509" t="s">
        <v>364</v>
      </c>
      <c r="D38509">
        <v>1</v>
      </c>
      <c r="E38509">
        <v>0</v>
      </c>
      <c r="F38509">
        <v>1213</v>
      </c>
    </row>
    <row r="38510" spans="1:6" ht="15.75" customHeight="1">
      <c r="A38510" s="3">
        <v>43874.775995370372</v>
      </c>
      <c r="B38510" t="str">
        <f>HYPERLINK("https://twitter.com/KelianBanjar_GK","@KelianBanjar_GK")</f>
        <v>@KelianBanjar_GK</v>
      </c>
      <c r="C38510" t="s">
        <v>365</v>
      </c>
      <c r="D38510">
        <v>44</v>
      </c>
      <c r="E38510">
        <v>66</v>
      </c>
      <c r="F38510">
        <v>8421</v>
      </c>
    </row>
    <row r="38511" spans="1:6" ht="15.75" customHeight="1">
      <c r="A38511" s="3">
        <v>43874.775717592594</v>
      </c>
      <c r="B38511" t="str">
        <f>HYPERLINK("https://twitter.com/jenk_kelinn","@jenk_kelinn")</f>
        <v>@jenk_kelinn</v>
      </c>
      <c r="C38511" t="s">
        <v>366</v>
      </c>
      <c r="D38511">
        <v>11</v>
      </c>
      <c r="E38511">
        <v>36</v>
      </c>
      <c r="F38511">
        <v>7615</v>
      </c>
    </row>
    <row r="38512" spans="1:6" ht="15.75" customHeight="1">
      <c r="A38512" s="3">
        <v>43874.772893518515</v>
      </c>
      <c r="B38512" t="str">
        <f>HYPERLINK("https://twitter.com/ZoelFawzie","@ZoelFawzie")</f>
        <v>@ZoelFawzie</v>
      </c>
      <c r="C38512" t="s">
        <v>367</v>
      </c>
      <c r="D38512">
        <v>5</v>
      </c>
      <c r="E38512">
        <v>7</v>
      </c>
      <c r="F38512">
        <v>5684</v>
      </c>
    </row>
    <row r="38513" spans="1:6" ht="15.75" customHeight="1">
      <c r="A38513" s="3">
        <v>43874.772349537037</v>
      </c>
      <c r="B38513" t="str">
        <f>HYPERLINK("https://twitter.com/tr4velcompass","@tr4velcompass")</f>
        <v>@tr4velcompass</v>
      </c>
      <c r="C38513" t="s">
        <v>368</v>
      </c>
      <c r="D38513">
        <v>0</v>
      </c>
      <c r="E38513">
        <v>2</v>
      </c>
      <c r="F38513">
        <v>525</v>
      </c>
    </row>
    <row r="38514" spans="1:6" ht="15.75" customHeight="1">
      <c r="A38514" s="3">
        <v>43874.771840277783</v>
      </c>
      <c r="B38514" t="str">
        <f>HYPERLINK("https://twitter.com/buruhmigran","@buruhmigran")</f>
        <v>@buruhmigran</v>
      </c>
      <c r="C38514" t="s">
        <v>273</v>
      </c>
      <c r="D38514">
        <v>0</v>
      </c>
      <c r="E38514">
        <v>0</v>
      </c>
      <c r="F38514">
        <v>172</v>
      </c>
    </row>
    <row r="38515" spans="1:6" ht="15.75" customHeight="1">
      <c r="A38515" s="3">
        <v>43874.770069444443</v>
      </c>
      <c r="B38515" t="str">
        <f>HYPERLINK("https://twitter.com/itok_sunyoto","@itok_sunyoto")</f>
        <v>@itok_sunyoto</v>
      </c>
      <c r="C38515" t="s">
        <v>369</v>
      </c>
      <c r="D38515">
        <v>0</v>
      </c>
      <c r="E38515">
        <v>0</v>
      </c>
      <c r="F38515">
        <v>4882</v>
      </c>
    </row>
    <row r="38516" spans="1:6" ht="15.75" customHeight="1">
      <c r="A38516" s="3">
        <v>43874.769745370373</v>
      </c>
      <c r="B38516" t="str">
        <f t="shared" ref="B38516:B38517" si="445">HYPERLINK("https://twitter.com/pdipbandingan","@pdipbandingan")</f>
        <v>@pdipbandingan</v>
      </c>
      <c r="C38516" t="s">
        <v>370</v>
      </c>
      <c r="D38516">
        <v>0</v>
      </c>
      <c r="E38516">
        <v>2</v>
      </c>
      <c r="F38516">
        <v>1503</v>
      </c>
    </row>
    <row r="38517" spans="1:6" ht="15.75" customHeight="1">
      <c r="A38517" s="3">
        <v>43874.769212962958</v>
      </c>
      <c r="B38517" t="str">
        <f t="shared" si="445"/>
        <v>@pdipbandingan</v>
      </c>
      <c r="C38517" t="s">
        <v>371</v>
      </c>
      <c r="D38517">
        <v>0</v>
      </c>
      <c r="E38517">
        <v>2</v>
      </c>
      <c r="F38517">
        <v>1503</v>
      </c>
    </row>
    <row r="38518" spans="1:6" ht="15.75" customHeight="1">
      <c r="A38518" s="3">
        <v>43874.769131944442</v>
      </c>
      <c r="B38518" t="str">
        <f>HYPERLINK("https://twitter.com/daniel_soritua","@daniel_soritua")</f>
        <v>@daniel_soritua</v>
      </c>
      <c r="C38518" t="s">
        <v>372</v>
      </c>
      <c r="D38518">
        <v>2</v>
      </c>
      <c r="E38518">
        <v>1</v>
      </c>
      <c r="F38518">
        <v>2441</v>
      </c>
    </row>
    <row r="38519" spans="1:6" ht="15.75" customHeight="1">
      <c r="A38519" s="3">
        <v>43874.769074074073</v>
      </c>
      <c r="B38519" t="str">
        <f>HYPERLINK("https://twitter.com/Namaku_Mei","@Namaku_Mei")</f>
        <v>@Namaku_Mei</v>
      </c>
      <c r="C38519" t="s">
        <v>373</v>
      </c>
      <c r="D38519">
        <v>7</v>
      </c>
      <c r="E38519">
        <v>29</v>
      </c>
      <c r="F38519">
        <v>33475</v>
      </c>
    </row>
    <row r="38520" spans="1:6" ht="15.75" customHeight="1">
      <c r="A38520" s="3">
        <v>43874.76871527778</v>
      </c>
      <c r="B38520" t="str">
        <f>HYPERLINK("https://twitter.com/pdipbandingan","@pdipbandingan")</f>
        <v>@pdipbandingan</v>
      </c>
      <c r="C38520" t="s">
        <v>374</v>
      </c>
      <c r="D38520">
        <v>0</v>
      </c>
      <c r="E38520">
        <v>1</v>
      </c>
      <c r="F38520">
        <v>1503</v>
      </c>
    </row>
    <row r="38521" spans="1:6" ht="15.75" customHeight="1">
      <c r="A38521" s="3">
        <v>43874.767812499995</v>
      </c>
      <c r="B38521" t="str">
        <f>HYPERLINK("https://twitter.com/zack_hu","@zack_hu")</f>
        <v>@zack_hu</v>
      </c>
      <c r="C38521" t="s">
        <v>375</v>
      </c>
      <c r="D38521">
        <v>0</v>
      </c>
      <c r="E38521">
        <v>0</v>
      </c>
      <c r="F38521">
        <v>809</v>
      </c>
    </row>
    <row r="38522" spans="1:6" ht="15.75" customHeight="1">
      <c r="A38522" s="3">
        <v>43874.767326388886</v>
      </c>
      <c r="B38522" t="str">
        <f>HYPERLINK("https://twitter.com/oskar_potas","@oskar_potas")</f>
        <v>@oskar_potas</v>
      </c>
      <c r="C38522" t="s">
        <v>376</v>
      </c>
      <c r="D38522">
        <v>2</v>
      </c>
      <c r="E38522">
        <v>4</v>
      </c>
      <c r="F38522">
        <v>1767</v>
      </c>
    </row>
    <row r="38523" spans="1:6" ht="15.75" customHeight="1">
      <c r="A38523" s="3">
        <v>43874.767245370371</v>
      </c>
      <c r="B38523" t="str">
        <f>HYPERLINK("https://twitter.com/FathraNazrul","@FathraNazrul")</f>
        <v>@FathraNazrul</v>
      </c>
      <c r="C38523" t="s">
        <v>377</v>
      </c>
      <c r="D38523">
        <v>0</v>
      </c>
      <c r="E38523">
        <v>0</v>
      </c>
      <c r="F38523">
        <v>134</v>
      </c>
    </row>
    <row r="38524" spans="1:6" ht="15.75" customHeight="1">
      <c r="A38524" s="3">
        <v>43874.766469907408</v>
      </c>
      <c r="B38524" t="str">
        <f>HYPERLINK("https://twitter.com/Boemi_Pertiwi12","@Boemi_Pertiwi12")</f>
        <v>@Boemi_Pertiwi12</v>
      </c>
      <c r="C38524" t="s">
        <v>378</v>
      </c>
      <c r="D38524">
        <v>5</v>
      </c>
      <c r="E38524">
        <v>19</v>
      </c>
      <c r="F38524">
        <v>18702</v>
      </c>
    </row>
    <row r="38525" spans="1:6" ht="15.75" customHeight="1">
      <c r="A38525" s="3">
        <v>43874.76599537037</v>
      </c>
      <c r="B38525" t="str">
        <f>HYPERLINK("https://twitter.com/GoAcehco","@GoAcehco")</f>
        <v>@GoAcehco</v>
      </c>
      <c r="C38525" t="s">
        <v>379</v>
      </c>
      <c r="D38525">
        <v>0</v>
      </c>
      <c r="E38525">
        <v>0</v>
      </c>
      <c r="F38525">
        <v>4057</v>
      </c>
    </row>
    <row r="38526" spans="1:6" ht="15.75" customHeight="1">
      <c r="A38526" s="3">
        <v>43874.765740740739</v>
      </c>
      <c r="B38526" t="str">
        <f t="shared" ref="B38526:B38527" si="446">HYPERLINK("https://twitter.com/okezonenews","@okezonenews")</f>
        <v>@okezonenews</v>
      </c>
      <c r="C38526" t="s">
        <v>380</v>
      </c>
      <c r="D38526">
        <v>1</v>
      </c>
      <c r="E38526">
        <v>0</v>
      </c>
      <c r="F38526">
        <v>1743741</v>
      </c>
    </row>
    <row r="38527" spans="1:6" ht="15.75" customHeight="1">
      <c r="A38527" s="3">
        <v>43874.7652662037</v>
      </c>
      <c r="B38527" t="str">
        <f t="shared" si="446"/>
        <v>@okezonenews</v>
      </c>
      <c r="C38527" t="s">
        <v>381</v>
      </c>
      <c r="D38527">
        <v>0</v>
      </c>
      <c r="E38527">
        <v>1</v>
      </c>
      <c r="F38527">
        <v>1743741</v>
      </c>
    </row>
    <row r="38528" spans="1:6" ht="15.75" customHeight="1">
      <c r="A38528" s="3">
        <v>43874.764525462961</v>
      </c>
      <c r="B38528" t="str">
        <f>HYPERLINK("https://twitter.com/hrspydh","@hrspydh")</f>
        <v>@hrspydh</v>
      </c>
      <c r="C38528" t="s">
        <v>382</v>
      </c>
      <c r="D38528">
        <v>0</v>
      </c>
      <c r="E38528">
        <v>0</v>
      </c>
      <c r="F38528">
        <v>253</v>
      </c>
    </row>
    <row r="38529" spans="1:6" ht="15.75" customHeight="1">
      <c r="A38529" s="3">
        <v>43874.76425925926</v>
      </c>
      <c r="B38529" t="str">
        <f>HYPERLINK("https://twitter.com/ppmAswaja","@ppmAswaja")</f>
        <v>@ppmAswaja</v>
      </c>
      <c r="C38529" t="s">
        <v>383</v>
      </c>
      <c r="D38529">
        <v>0</v>
      </c>
      <c r="E38529">
        <v>0</v>
      </c>
      <c r="F38529">
        <v>7839</v>
      </c>
    </row>
    <row r="38530" spans="1:6" ht="15.75" customHeight="1">
      <c r="A38530" s="3">
        <v>43874.763217592597</v>
      </c>
      <c r="B38530" t="str">
        <f>HYPERLINK("https://twitter.com/jpnncom","@jpnncom")</f>
        <v>@jpnncom</v>
      </c>
      <c r="C38530" t="s">
        <v>384</v>
      </c>
      <c r="D38530">
        <v>0</v>
      </c>
      <c r="E38530">
        <v>0</v>
      </c>
      <c r="F38530">
        <v>49438</v>
      </c>
    </row>
    <row r="38531" spans="1:6" ht="15.75" customHeight="1">
      <c r="A38531" s="3">
        <v>43874.762881944444</v>
      </c>
      <c r="B38531" t="str">
        <f>HYPERLINK("https://twitter.com/wow_keren","@wow_keren")</f>
        <v>@wow_keren</v>
      </c>
      <c r="C38531" t="s">
        <v>271</v>
      </c>
      <c r="D38531">
        <v>1</v>
      </c>
      <c r="E38531">
        <v>0</v>
      </c>
      <c r="F38531">
        <v>32000</v>
      </c>
    </row>
    <row r="38532" spans="1:6" ht="15.75" customHeight="1">
      <c r="A38532" s="3">
        <v>43874.762326388889</v>
      </c>
      <c r="B38532" t="str">
        <f>HYPERLINK("https://twitter.com/detikcom","@detikcom")</f>
        <v>@detikcom</v>
      </c>
      <c r="C38532" t="s">
        <v>385</v>
      </c>
      <c r="D38532">
        <v>3</v>
      </c>
      <c r="E38532">
        <v>14</v>
      </c>
      <c r="F38532">
        <v>15663959</v>
      </c>
    </row>
    <row r="38533" spans="1:6" ht="15.75" customHeight="1">
      <c r="A38533" s="3">
        <v>43874.761886574073</v>
      </c>
      <c r="B38533" t="str">
        <f>HYPERLINK("https://twitter.com/sirajapadoha","@sirajapadoha")</f>
        <v>@sirajapadoha</v>
      </c>
      <c r="C38533" t="s">
        <v>386</v>
      </c>
      <c r="D38533">
        <v>0</v>
      </c>
      <c r="E38533">
        <v>0</v>
      </c>
      <c r="F38533">
        <v>2400</v>
      </c>
    </row>
    <row r="38534" spans="1:6" ht="15.75" customHeight="1">
      <c r="A38534" s="3">
        <v>43874.761203703703</v>
      </c>
      <c r="B38534" t="str">
        <f>HYPERLINK("https://twitter.com/tribunnews","@tribunnews")</f>
        <v>@tribunnews</v>
      </c>
      <c r="C38534" t="s">
        <v>387</v>
      </c>
      <c r="D38534">
        <v>4</v>
      </c>
      <c r="E38534">
        <v>1</v>
      </c>
      <c r="F38534">
        <v>873082</v>
      </c>
    </row>
    <row r="38535" spans="1:6" ht="15.75" customHeight="1">
      <c r="A38535" s="3">
        <v>43874.760277777779</v>
      </c>
      <c r="B38535" t="str">
        <f>HYPERLINK("https://twitter.com/majalahayah","@majalahayah")</f>
        <v>@majalahayah</v>
      </c>
      <c r="C38535" t="s">
        <v>388</v>
      </c>
      <c r="D38535">
        <v>0</v>
      </c>
      <c r="E38535">
        <v>0</v>
      </c>
      <c r="F38535">
        <v>236</v>
      </c>
    </row>
    <row r="38536" spans="1:6" ht="15.75" customHeight="1">
      <c r="A38536" s="3">
        <v>43874.76017361111</v>
      </c>
      <c r="B38536" t="str">
        <f>HYPERLINK("https://twitter.com/The_Fuad","@The_Fuad")</f>
        <v>@The_Fuad</v>
      </c>
      <c r="C38536" t="s">
        <v>389</v>
      </c>
      <c r="D38536">
        <v>0</v>
      </c>
      <c r="E38536">
        <v>0</v>
      </c>
      <c r="F38536">
        <v>207</v>
      </c>
    </row>
    <row r="38537" spans="1:6" ht="15.75" customHeight="1">
      <c r="A38537" s="3">
        <v>43874.759999999995</v>
      </c>
      <c r="B38537" t="str">
        <f>HYPERLINK("https://twitter.com/Jean_Aprilia97","@Jean_Aprilia97")</f>
        <v>@Jean_Aprilia97</v>
      </c>
      <c r="C38537" t="s">
        <v>390</v>
      </c>
      <c r="D38537">
        <v>143</v>
      </c>
      <c r="E38537">
        <v>467</v>
      </c>
      <c r="F38537">
        <v>10688</v>
      </c>
    </row>
    <row r="38538" spans="1:6" ht="15.75" customHeight="1">
      <c r="A38538" s="3">
        <v>43874.759432870371</v>
      </c>
      <c r="B38538" t="str">
        <f>HYPERLINK("https://twitter.com/Indonesianews15","@Indonesianews15")</f>
        <v>@Indonesianews15</v>
      </c>
      <c r="C38538" t="s">
        <v>392</v>
      </c>
      <c r="D38538">
        <v>2</v>
      </c>
      <c r="E38538">
        <v>1</v>
      </c>
      <c r="F38538">
        <v>12305</v>
      </c>
    </row>
    <row r="38539" spans="1:6" ht="15.75" customHeight="1">
      <c r="A38539" s="3">
        <v>43874.759143518517</v>
      </c>
      <c r="B38539" t="str">
        <f>HYPERLINK("https://twitter.com/SonHaji57795944","@SonHaji57795944")</f>
        <v>@SonHaji57795944</v>
      </c>
      <c r="C38539" t="s">
        <v>393</v>
      </c>
      <c r="D38539">
        <v>2</v>
      </c>
      <c r="E38539">
        <v>2</v>
      </c>
      <c r="F38539">
        <v>72</v>
      </c>
    </row>
    <row r="38540" spans="1:6" ht="15.75" customHeight="1">
      <c r="A38540" s="3">
        <v>43874.759131944447</v>
      </c>
      <c r="B38540" t="str">
        <f>HYPERLINK("https://twitter.com/Vierman27301767","@Vierman27301767")</f>
        <v>@Vierman27301767</v>
      </c>
      <c r="C38540" t="s">
        <v>394</v>
      </c>
      <c r="D38540">
        <v>0</v>
      </c>
      <c r="E38540">
        <v>0</v>
      </c>
      <c r="F38540">
        <v>1129</v>
      </c>
    </row>
    <row r="38541" spans="1:6" ht="15.75" customHeight="1">
      <c r="A38541" s="3">
        <v>43874.758738425924</v>
      </c>
      <c r="B38541" t="str">
        <f>HYPERLINK("https://twitter.com/marsusuka","@marsusuka")</f>
        <v>@marsusuka</v>
      </c>
      <c r="C38541" t="s">
        <v>395</v>
      </c>
      <c r="D38541">
        <v>0</v>
      </c>
      <c r="E38541">
        <v>0</v>
      </c>
      <c r="F38541">
        <v>4</v>
      </c>
    </row>
    <row r="38542" spans="1:6" ht="15.75" customHeight="1">
      <c r="A38542" s="3">
        <v>43874.758379629631</v>
      </c>
      <c r="B38542" t="str">
        <f>HYPERLINK("https://twitter.com/republikaonline","@republikaonline")</f>
        <v>@republikaonline</v>
      </c>
      <c r="C38542" t="s">
        <v>396</v>
      </c>
      <c r="D38542">
        <v>6</v>
      </c>
      <c r="E38542">
        <v>18</v>
      </c>
      <c r="F38542">
        <v>1210209</v>
      </c>
    </row>
    <row r="38543" spans="1:6" ht="15.75" customHeight="1">
      <c r="A38543" s="3">
        <v>43874.757951388892</v>
      </c>
      <c r="B38543" t="str">
        <f t="shared" ref="B38543:B38544" si="447">HYPERLINK("https://twitter.com/StandbehindTrue","@StandbehindTrue")</f>
        <v>@StandbehindTrue</v>
      </c>
      <c r="C38543" t="s">
        <v>397</v>
      </c>
      <c r="D38543">
        <v>0</v>
      </c>
      <c r="E38543">
        <v>0</v>
      </c>
      <c r="F38543">
        <v>263</v>
      </c>
    </row>
    <row r="38544" spans="1:6" ht="15.75" customHeight="1">
      <c r="A38544" s="3">
        <v>43874.756909722222</v>
      </c>
      <c r="B38544" t="str">
        <f t="shared" si="447"/>
        <v>@StandbehindTrue</v>
      </c>
      <c r="C38544" t="s">
        <v>398</v>
      </c>
      <c r="D38544">
        <v>0</v>
      </c>
      <c r="E38544">
        <v>0</v>
      </c>
      <c r="F38544">
        <v>263</v>
      </c>
    </row>
    <row r="38545" spans="1:6" ht="15.75" customHeight="1">
      <c r="A38545" s="3">
        <v>43874.756793981476</v>
      </c>
      <c r="B38545" t="str">
        <f>HYPERLINK("https://twitter.com/Vierman27301767","@Vierman27301767")</f>
        <v>@Vierman27301767</v>
      </c>
      <c r="C38545" t="s">
        <v>399</v>
      </c>
      <c r="D38545">
        <v>0</v>
      </c>
      <c r="E38545">
        <v>0</v>
      </c>
      <c r="F38545">
        <v>1129</v>
      </c>
    </row>
    <row r="38546" spans="1:6" ht="15.75" customHeight="1">
      <c r="A38546" s="3">
        <v>43874.755231481482</v>
      </c>
      <c r="B38546" t="str">
        <f>HYPERLINK("https://twitter.com/GoSumutdotcom","@GoSumutdotcom")</f>
        <v>@GoSumutdotcom</v>
      </c>
      <c r="C38546" t="s">
        <v>379</v>
      </c>
      <c r="D38546">
        <v>0</v>
      </c>
      <c r="E38546">
        <v>0</v>
      </c>
      <c r="F38546">
        <v>4620</v>
      </c>
    </row>
    <row r="38547" spans="1:6" ht="15.75" customHeight="1">
      <c r="A38547" s="3">
        <v>43874.755231481482</v>
      </c>
      <c r="B38547" t="str">
        <f>HYPERLINK("https://twitter.com/GoRiauCom","@GoRiauCom")</f>
        <v>@GoRiauCom</v>
      </c>
      <c r="C38547" t="s">
        <v>379</v>
      </c>
      <c r="D38547">
        <v>0</v>
      </c>
      <c r="E38547">
        <v>0</v>
      </c>
      <c r="F38547">
        <v>84547</v>
      </c>
    </row>
    <row r="38548" spans="1:6" ht="15.75" customHeight="1">
      <c r="A38548" s="3">
        <v>43874.755185185189</v>
      </c>
      <c r="B38548" t="str">
        <f>HYPERLINK("https://twitter.com/Koharrasmadi1","@Koharrasmadi1")</f>
        <v>@Koharrasmadi1</v>
      </c>
      <c r="C38548" t="s">
        <v>400</v>
      </c>
      <c r="D38548">
        <v>1</v>
      </c>
      <c r="E38548">
        <v>2</v>
      </c>
      <c r="F38548">
        <v>371</v>
      </c>
    </row>
    <row r="38549" spans="1:6" ht="15.75" customHeight="1">
      <c r="A38549" s="3">
        <v>43874.755057870367</v>
      </c>
      <c r="B38549" t="str">
        <f>HYPERLINK("https://twitter.com/H4l1mun_D1n61n","@H4l1mun_D1n61n")</f>
        <v>@H4l1mun_D1n61n</v>
      </c>
      <c r="C38549" t="s">
        <v>401</v>
      </c>
      <c r="D38549">
        <v>0</v>
      </c>
      <c r="E38549">
        <v>2</v>
      </c>
      <c r="F38549">
        <v>3434</v>
      </c>
    </row>
    <row r="38550" spans="1:6" ht="15.75" customHeight="1">
      <c r="A38550" s="3">
        <v>43874.753946759258</v>
      </c>
      <c r="B38550" t="str">
        <f>HYPERLINK("https://twitter.com/agit2530","@agit2530")</f>
        <v>@agit2530</v>
      </c>
      <c r="C38550" t="s">
        <v>402</v>
      </c>
      <c r="D38550">
        <v>0</v>
      </c>
      <c r="E38550">
        <v>0</v>
      </c>
      <c r="F38550">
        <v>3187</v>
      </c>
    </row>
    <row r="38551" spans="1:6" ht="15.75" customHeight="1">
      <c r="A38551" s="3">
        <v>43874.753564814819</v>
      </c>
      <c r="B38551" t="str">
        <f>HYPERLINK("https://twitter.com/NugrohoSW","@NugrohoSW")</f>
        <v>@NugrohoSW</v>
      </c>
      <c r="C38551" t="s">
        <v>403</v>
      </c>
      <c r="D38551">
        <v>0</v>
      </c>
      <c r="E38551">
        <v>0</v>
      </c>
      <c r="F38551">
        <v>585</v>
      </c>
    </row>
    <row r="38552" spans="1:6" ht="15.75" customHeight="1">
      <c r="A38552" s="3">
        <v>43874.753530092596</v>
      </c>
      <c r="B38552" t="str">
        <f>HYPERLINK("https://twitter.com/infoPDIPJatim","@infoPDIPJatim")</f>
        <v>@infoPDIPJatim</v>
      </c>
      <c r="C38552" t="s">
        <v>403</v>
      </c>
      <c r="D38552">
        <v>1</v>
      </c>
      <c r="E38552">
        <v>0</v>
      </c>
      <c r="F38552">
        <v>3737</v>
      </c>
    </row>
    <row r="38553" spans="1:6" ht="15.75" customHeight="1">
      <c r="A38553" s="3">
        <v>43874.752824074079</v>
      </c>
      <c r="B38553" t="str">
        <f>HYPERLINK("https://twitter.com/HilmyNauf","@HilmyNauf")</f>
        <v>@HilmyNauf</v>
      </c>
      <c r="C38553" t="s">
        <v>404</v>
      </c>
      <c r="D38553">
        <v>0</v>
      </c>
      <c r="E38553">
        <v>1</v>
      </c>
      <c r="F38553">
        <v>231</v>
      </c>
    </row>
    <row r="38554" spans="1:6" ht="15.75" customHeight="1">
      <c r="A38554" s="3">
        <v>43874.752662037034</v>
      </c>
      <c r="B38554" t="str">
        <f>HYPERLINK("https://twitter.com/Berita7dotid","@Berita7dotid")</f>
        <v>@Berita7dotid</v>
      </c>
      <c r="C38554" t="s">
        <v>405</v>
      </c>
      <c r="D38554">
        <v>0</v>
      </c>
      <c r="E38554">
        <v>0</v>
      </c>
      <c r="F38554">
        <v>2554</v>
      </c>
    </row>
    <row r="38555" spans="1:6" ht="15.75" customHeight="1">
      <c r="A38555" s="3">
        <v>43874.752453703702</v>
      </c>
      <c r="B38555" t="str">
        <f>HYPERLINK("https://twitter.com/ardiwina","@ardiwina")</f>
        <v>@ardiwina</v>
      </c>
      <c r="C38555" t="s">
        <v>406</v>
      </c>
      <c r="D38555">
        <v>0</v>
      </c>
      <c r="E38555">
        <v>0</v>
      </c>
      <c r="F38555">
        <v>90</v>
      </c>
    </row>
    <row r="38556" spans="1:6" ht="15.75" customHeight="1">
      <c r="A38556" s="3">
        <v>43874.752407407403</v>
      </c>
      <c r="B38556" t="str">
        <f>HYPERLINK("https://twitter.com/_al_p","@_al_p")</f>
        <v>@_al_p</v>
      </c>
      <c r="C38556" t="s">
        <v>407</v>
      </c>
      <c r="D38556">
        <v>0</v>
      </c>
      <c r="E38556">
        <v>0</v>
      </c>
      <c r="F38556">
        <v>260</v>
      </c>
    </row>
    <row r="38557" spans="1:6" ht="15.75" customHeight="1">
      <c r="A38557" s="3">
        <v>43874.751319444447</v>
      </c>
      <c r="B38557" t="str">
        <f>HYPERLINK("https://twitter.com/PKB_ID_Official","@PKB_ID_Official")</f>
        <v>@PKB_ID_Official</v>
      </c>
      <c r="C38557" t="s">
        <v>408</v>
      </c>
      <c r="D38557">
        <v>0</v>
      </c>
      <c r="E38557">
        <v>0</v>
      </c>
      <c r="F38557">
        <v>6507</v>
      </c>
    </row>
    <row r="38558" spans="1:6" ht="15.75" customHeight="1">
      <c r="A38558" s="3">
        <v>43874.750625000001</v>
      </c>
      <c r="B38558" t="str">
        <f>HYPERLINK("https://twitter.com/sirajapadoha","@sirajapadoha")</f>
        <v>@sirajapadoha</v>
      </c>
      <c r="C38558" t="s">
        <v>409</v>
      </c>
      <c r="D38558">
        <v>0</v>
      </c>
      <c r="E38558">
        <v>0</v>
      </c>
      <c r="F38558">
        <v>2400</v>
      </c>
    </row>
    <row r="38559" spans="1:6" ht="15.75" customHeight="1">
      <c r="A38559" s="3">
        <v>43874.75</v>
      </c>
      <c r="B38559" t="str">
        <f>HYPERLINK("https://twitter.com/suhardihasyim","@suhardihasyim")</f>
        <v>@suhardihasyim</v>
      </c>
      <c r="C38559" t="s">
        <v>410</v>
      </c>
      <c r="D38559">
        <v>0</v>
      </c>
      <c r="E38559">
        <v>0</v>
      </c>
      <c r="F38559">
        <v>196</v>
      </c>
    </row>
    <row r="38560" spans="1:6" ht="15.75" customHeight="1">
      <c r="A38560" s="3">
        <v>43874.74799768519</v>
      </c>
      <c r="B38560" t="str">
        <f>HYPERLINK("https://twitter.com/antaranews","@antaranews")</f>
        <v>@antaranews</v>
      </c>
      <c r="C38560" t="s">
        <v>411</v>
      </c>
      <c r="D38560">
        <v>3</v>
      </c>
      <c r="E38560">
        <v>16</v>
      </c>
      <c r="F38560">
        <v>1103153</v>
      </c>
    </row>
    <row r="38561" spans="1:6" ht="15.75" customHeight="1">
      <c r="A38561" s="3">
        <v>43874.747349537036</v>
      </c>
      <c r="B38561" t="str">
        <f>HYPERLINK("https://twitter.com/Sondak_Gerard","@Sondak_Gerard")</f>
        <v>@Sondak_Gerard</v>
      </c>
      <c r="C38561" t="s">
        <v>412</v>
      </c>
      <c r="D38561">
        <v>0</v>
      </c>
      <c r="E38561">
        <v>0</v>
      </c>
      <c r="F38561">
        <v>992</v>
      </c>
    </row>
    <row r="38562" spans="1:6" ht="15.75" customHeight="1">
      <c r="A38562" s="3">
        <v>43874.747025462959</v>
      </c>
      <c r="B38562" t="str">
        <f>HYPERLINK("https://twitter.com/tribunnews","@tribunnews")</f>
        <v>@tribunnews</v>
      </c>
      <c r="C38562" t="s">
        <v>413</v>
      </c>
      <c r="D38562">
        <v>12</v>
      </c>
      <c r="E38562">
        <v>22</v>
      </c>
      <c r="F38562">
        <v>873082</v>
      </c>
    </row>
    <row r="38563" spans="1:6" ht="15.75" customHeight="1">
      <c r="A38563" s="3">
        <v>43874.745567129634</v>
      </c>
      <c r="B38563" t="str">
        <f t="shared" ref="B38563:B38565" si="448">HYPERLINK("https://twitter.com/epicentrum_news","@epicentrum_news")</f>
        <v>@epicentrum_news</v>
      </c>
      <c r="C38563" t="s">
        <v>414</v>
      </c>
      <c r="D38563">
        <v>0</v>
      </c>
      <c r="E38563">
        <v>1</v>
      </c>
      <c r="F38563">
        <v>956</v>
      </c>
    </row>
    <row r="38564" spans="1:6" ht="15.75" customHeight="1">
      <c r="A38564" s="3">
        <v>43874.745462962965</v>
      </c>
      <c r="B38564" t="str">
        <f t="shared" si="448"/>
        <v>@epicentrum_news</v>
      </c>
      <c r="C38564" t="s">
        <v>415</v>
      </c>
      <c r="D38564">
        <v>0</v>
      </c>
      <c r="E38564">
        <v>1</v>
      </c>
      <c r="F38564">
        <v>956</v>
      </c>
    </row>
    <row r="38565" spans="1:6" ht="15.75" customHeight="1">
      <c r="A38565" s="3">
        <v>43874.745254629626</v>
      </c>
      <c r="B38565" t="str">
        <f t="shared" si="448"/>
        <v>@epicentrum_news</v>
      </c>
      <c r="C38565" t="s">
        <v>416</v>
      </c>
      <c r="D38565">
        <v>0</v>
      </c>
      <c r="E38565">
        <v>1</v>
      </c>
      <c r="F38565">
        <v>956</v>
      </c>
    </row>
    <row r="38566" spans="1:6" ht="15.75" customHeight="1">
      <c r="A38566" s="3">
        <v>43874.745115740741</v>
      </c>
      <c r="B38566" t="str">
        <f>HYPERLINK("https://twitter.com/crezative","@crezative")</f>
        <v>@crezative</v>
      </c>
      <c r="C38566" t="s">
        <v>417</v>
      </c>
      <c r="D38566">
        <v>0</v>
      </c>
      <c r="E38566">
        <v>0</v>
      </c>
      <c r="F38566">
        <v>8741</v>
      </c>
    </row>
    <row r="38567" spans="1:6" ht="15.75" customHeight="1">
      <c r="A38567" s="3">
        <v>43874.744976851856</v>
      </c>
      <c r="B38567" t="str">
        <f>HYPERLINK("https://twitter.com/epicentrum_news","@epicentrum_news")</f>
        <v>@epicentrum_news</v>
      </c>
      <c r="C38567" t="s">
        <v>418</v>
      </c>
      <c r="D38567">
        <v>0</v>
      </c>
      <c r="E38567">
        <v>1</v>
      </c>
      <c r="F38567">
        <v>956</v>
      </c>
    </row>
    <row r="38568" spans="1:6" ht="15.75" customHeight="1">
      <c r="A38568" s="3">
        <v>43874.743287037039</v>
      </c>
      <c r="B38568" t="str">
        <f>HYPERLINK("https://twitter.com/medcom_id","@medcom_id")</f>
        <v>@medcom_id</v>
      </c>
      <c r="C38568" t="s">
        <v>419</v>
      </c>
      <c r="D38568">
        <v>0</v>
      </c>
      <c r="E38568">
        <v>1</v>
      </c>
      <c r="F38568">
        <v>18077</v>
      </c>
    </row>
    <row r="38569" spans="1:6" ht="15.75" customHeight="1">
      <c r="A38569" s="3">
        <v>43874.742754629631</v>
      </c>
      <c r="B38569" t="str">
        <f>HYPERLINK("https://twitter.com/oroorodowo40","@oroorodowo40")</f>
        <v>@oroorodowo40</v>
      </c>
      <c r="C38569" t="s">
        <v>420</v>
      </c>
      <c r="D38569">
        <v>0</v>
      </c>
      <c r="E38569">
        <v>2</v>
      </c>
      <c r="F38569">
        <v>1569</v>
      </c>
    </row>
    <row r="38570" spans="1:6" ht="15.75" customHeight="1">
      <c r="A38570" s="3">
        <v>43874.741944444446</v>
      </c>
      <c r="B38570" t="str">
        <f>HYPERLINK("https://twitter.com/abbass_ai","@abbass_ai")</f>
        <v>@abbass_ai</v>
      </c>
      <c r="D38570">
        <v>0</v>
      </c>
      <c r="E38570">
        <v>0</v>
      </c>
      <c r="F38570">
        <v>260</v>
      </c>
    </row>
    <row r="38571" spans="1:6" ht="15.75" customHeight="1">
      <c r="A38571" s="3">
        <v>43874.740787037037</v>
      </c>
      <c r="B38571" t="str">
        <f>HYPERLINK("https://twitter.com/tribunnews","@tribunnews")</f>
        <v>@tribunnews</v>
      </c>
      <c r="C38571" t="s">
        <v>421</v>
      </c>
      <c r="D38571">
        <v>0</v>
      </c>
      <c r="E38571">
        <v>0</v>
      </c>
      <c r="F38571">
        <v>873082</v>
      </c>
    </row>
    <row r="38572" spans="1:6" ht="15.75" customHeight="1">
      <c r="A38572" s="3">
        <v>43874.740613425922</v>
      </c>
      <c r="B38572" t="str">
        <f>HYPERLINK("https://twitter.com/eddies_song","@eddies_song")</f>
        <v>@eddies_song</v>
      </c>
      <c r="C38572" t="s">
        <v>422</v>
      </c>
      <c r="D38572">
        <v>1</v>
      </c>
      <c r="E38572">
        <v>1</v>
      </c>
      <c r="F38572">
        <v>1232</v>
      </c>
    </row>
    <row r="38573" spans="1:6" ht="15.75" customHeight="1">
      <c r="A38573" s="3">
        <v>43874.739988425921</v>
      </c>
      <c r="B38573" t="str">
        <f>HYPERLINK("https://twitter.com/kaskus","@kaskus")</f>
        <v>@kaskus</v>
      </c>
      <c r="C38573" t="s">
        <v>423</v>
      </c>
      <c r="D38573">
        <v>0</v>
      </c>
      <c r="E38573">
        <v>1</v>
      </c>
      <c r="F38573">
        <v>2614364</v>
      </c>
    </row>
    <row r="38574" spans="1:6" ht="15.75" customHeight="1">
      <c r="A38574" s="3">
        <v>43874.73704861111</v>
      </c>
      <c r="B38574" t="str">
        <f>HYPERLINK("https://twitter.com/republikaonline","@republikaonline")</f>
        <v>@republikaonline</v>
      </c>
      <c r="C38574" t="s">
        <v>424</v>
      </c>
      <c r="D38574">
        <v>0</v>
      </c>
      <c r="E38574">
        <v>3</v>
      </c>
      <c r="F38574">
        <v>1210209</v>
      </c>
    </row>
    <row r="38575" spans="1:6" ht="15.75" customHeight="1">
      <c r="A38575" s="3">
        <v>43874.736990740741</v>
      </c>
      <c r="B38575" t="str">
        <f>HYPERLINK("https://twitter.com/hendralm","@hendralm")</f>
        <v>@hendralm</v>
      </c>
      <c r="C38575" t="s">
        <v>425</v>
      </c>
      <c r="D38575">
        <v>6</v>
      </c>
      <c r="E38575">
        <v>3</v>
      </c>
      <c r="F38575">
        <v>37717</v>
      </c>
    </row>
    <row r="38576" spans="1:6" ht="15.75" customHeight="1">
      <c r="A38576" s="3">
        <v>43874.736875000002</v>
      </c>
      <c r="B38576" t="str">
        <f>HYPERLINK("https://twitter.com/namakuJo_han","@namakuJo_han")</f>
        <v>@namakuJo_han</v>
      </c>
      <c r="C38576" t="s">
        <v>426</v>
      </c>
      <c r="D38576">
        <v>2</v>
      </c>
      <c r="E38576">
        <v>9</v>
      </c>
      <c r="F38576">
        <v>3223</v>
      </c>
    </row>
    <row r="38577" spans="1:6" ht="15.75" customHeight="1">
      <c r="A38577" s="3">
        <v>43874.736458333333</v>
      </c>
      <c r="B38577" t="str">
        <f>HYPERLINK("https://twitter.com/cy_phe","@cy_phe")</f>
        <v>@cy_phe</v>
      </c>
      <c r="C38577" t="s">
        <v>427</v>
      </c>
      <c r="D38577">
        <v>1</v>
      </c>
      <c r="E38577">
        <v>0</v>
      </c>
      <c r="F38577">
        <v>43</v>
      </c>
    </row>
    <row r="38578" spans="1:6" ht="15.75" customHeight="1">
      <c r="A38578" s="3">
        <v>43874.736388888894</v>
      </c>
      <c r="B38578" t="str">
        <f>HYPERLINK("https://twitter.com/kasman_vandi","@kasman_vandi")</f>
        <v>@kasman_vandi</v>
      </c>
      <c r="C38578" t="s">
        <v>428</v>
      </c>
      <c r="D38578">
        <v>0</v>
      </c>
      <c r="E38578">
        <v>0</v>
      </c>
      <c r="F38578">
        <v>898</v>
      </c>
    </row>
    <row r="38579" spans="1:6" ht="15.75" customHeight="1">
      <c r="A38579" s="3">
        <v>43874.735914351855</v>
      </c>
      <c r="B38579" t="str">
        <f>HYPERLINK("https://twitter.com/bac000d","@bac000d")</f>
        <v>@bac000d</v>
      </c>
      <c r="C38579" t="s">
        <v>429</v>
      </c>
      <c r="D38579">
        <v>0</v>
      </c>
      <c r="E38579">
        <v>0</v>
      </c>
      <c r="F38579">
        <v>1717</v>
      </c>
    </row>
    <row r="38580" spans="1:6" ht="15.75" customHeight="1">
      <c r="A38580" s="3">
        <v>43874.735763888893</v>
      </c>
      <c r="B38580" t="str">
        <f>HYPERLINK("https://twitter.com/sirodjudin01","@sirodjudin01")</f>
        <v>@sirodjudin01</v>
      </c>
      <c r="C38580" t="s">
        <v>430</v>
      </c>
      <c r="D38580">
        <v>1</v>
      </c>
      <c r="E38580">
        <v>2</v>
      </c>
      <c r="F38580">
        <v>8019</v>
      </c>
    </row>
    <row r="38581" spans="1:6" ht="15.75" customHeight="1">
      <c r="A38581" s="3">
        <v>43874.735173611116</v>
      </c>
      <c r="B38581" t="str">
        <f>HYPERLINK("https://twitter.com/Semar47913550","@Semar47913550")</f>
        <v>@Semar47913550</v>
      </c>
      <c r="C38581" t="s">
        <v>431</v>
      </c>
      <c r="D38581">
        <v>0</v>
      </c>
      <c r="E38581">
        <v>0</v>
      </c>
      <c r="F38581">
        <v>29</v>
      </c>
    </row>
    <row r="38582" spans="1:6" ht="15.75" customHeight="1">
      <c r="A38582" s="3">
        <v>43874.735081018516</v>
      </c>
      <c r="B38582" t="str">
        <f>HYPERLINK("https://twitter.com/MattSolar8","@MattSolar8")</f>
        <v>@MattSolar8</v>
      </c>
      <c r="C38582" t="s">
        <v>432</v>
      </c>
      <c r="D38582">
        <v>0</v>
      </c>
      <c r="E38582">
        <v>0</v>
      </c>
      <c r="F38582">
        <v>42</v>
      </c>
    </row>
    <row r="38583" spans="1:6" ht="15.75" customHeight="1">
      <c r="A38583" s="3">
        <v>43874.734594907408</v>
      </c>
      <c r="B38583" t="str">
        <f>HYPERLINK("https://twitter.com/_chowooddadda","@_chowooddadda")</f>
        <v>@_chowooddadda</v>
      </c>
      <c r="C38583" t="s">
        <v>433</v>
      </c>
      <c r="D38583">
        <v>0</v>
      </c>
      <c r="E38583">
        <v>0</v>
      </c>
      <c r="F38583">
        <v>3533</v>
      </c>
    </row>
    <row r="38584" spans="1:6" ht="15.75" customHeight="1">
      <c r="A38584" s="3">
        <v>43874.734479166669</v>
      </c>
      <c r="B38584" t="str">
        <f>HYPERLINK("https://twitter.com/_khasmah","@_khasmah")</f>
        <v>@_khasmah</v>
      </c>
      <c r="C38584" t="s">
        <v>434</v>
      </c>
      <c r="D38584">
        <v>0</v>
      </c>
      <c r="E38584">
        <v>0</v>
      </c>
      <c r="F38584">
        <v>690</v>
      </c>
    </row>
    <row r="38585" spans="1:6" ht="15.75" customHeight="1">
      <c r="A38585" s="3">
        <v>43874.734351851846</v>
      </c>
      <c r="B38585" t="str">
        <f>HYPERLINK("https://twitter.com/SyafiqNawal","@SyafiqNawal")</f>
        <v>@SyafiqNawal</v>
      </c>
      <c r="C38585" t="s">
        <v>435</v>
      </c>
      <c r="D38585">
        <v>0</v>
      </c>
      <c r="E38585">
        <v>1</v>
      </c>
      <c r="F38585">
        <v>8</v>
      </c>
    </row>
    <row r="38586" spans="1:6" ht="15.75" customHeight="1">
      <c r="A38586" s="3">
        <v>43874.733530092592</v>
      </c>
      <c r="B38586" t="str">
        <f>HYPERLINK("https://twitter.com/yoojungmu","@yoojungmu")</f>
        <v>@yoojungmu</v>
      </c>
      <c r="C38586" t="s">
        <v>436</v>
      </c>
      <c r="D38586">
        <v>0</v>
      </c>
      <c r="E38586">
        <v>0</v>
      </c>
      <c r="F38586">
        <v>8653</v>
      </c>
    </row>
    <row r="38587" spans="1:6" ht="15.75" customHeight="1">
      <c r="A38587" s="3">
        <v>43874.732916666668</v>
      </c>
      <c r="B38587" t="str">
        <f>HYPERLINK("https://twitter.com/sirodjudin01","@sirodjudin01")</f>
        <v>@sirodjudin01</v>
      </c>
      <c r="C38587" t="s">
        <v>437</v>
      </c>
      <c r="D38587">
        <v>1</v>
      </c>
      <c r="E38587">
        <v>3</v>
      </c>
      <c r="F38587">
        <v>8019</v>
      </c>
    </row>
    <row r="38588" spans="1:6" ht="15.75" customHeight="1">
      <c r="A38588" s="3">
        <v>43874.732777777783</v>
      </c>
      <c r="B38588" t="str">
        <f>HYPERLINK("https://twitter.com/Gudagulana","@Gudagulana")</f>
        <v>@Gudagulana</v>
      </c>
      <c r="C38588" t="s">
        <v>438</v>
      </c>
      <c r="D38588">
        <v>0</v>
      </c>
      <c r="E38588">
        <v>0</v>
      </c>
      <c r="F38588">
        <v>29</v>
      </c>
    </row>
    <row r="38589" spans="1:6" ht="15.75" customHeight="1">
      <c r="A38589" s="3">
        <v>43874.73232638889</v>
      </c>
      <c r="B38589" t="str">
        <f>HYPERLINK("https://twitter.com/CNNIndonesia","@CNNIndonesia")</f>
        <v>@CNNIndonesia</v>
      </c>
      <c r="C38589" t="s">
        <v>439</v>
      </c>
      <c r="D38589">
        <v>2</v>
      </c>
      <c r="E38589">
        <v>18</v>
      </c>
      <c r="F38589">
        <v>618499</v>
      </c>
    </row>
    <row r="38590" spans="1:6" ht="15.75" customHeight="1">
      <c r="A38590" s="3">
        <v>43874.732222222221</v>
      </c>
      <c r="B38590" t="str">
        <f>HYPERLINK("https://twitter.com/indramana003","@indramana003")</f>
        <v>@indramana003</v>
      </c>
      <c r="C38590" t="s">
        <v>440</v>
      </c>
      <c r="D38590">
        <v>0</v>
      </c>
      <c r="E38590">
        <v>0</v>
      </c>
      <c r="F38590">
        <v>25</v>
      </c>
    </row>
    <row r="38591" spans="1:6" ht="15.75" customHeight="1">
      <c r="A38591" s="3">
        <v>43874.731956018513</v>
      </c>
      <c r="B38591" t="str">
        <f>HYPERLINK("https://twitter.com/rangermera","@rangermera")</f>
        <v>@rangermera</v>
      </c>
      <c r="C38591" t="s">
        <v>441</v>
      </c>
      <c r="D38591">
        <v>0</v>
      </c>
      <c r="E38591">
        <v>0</v>
      </c>
      <c r="F38591">
        <v>82</v>
      </c>
    </row>
    <row r="38592" spans="1:6" ht="15.75" customHeight="1">
      <c r="A38592" s="3">
        <v>43874.731828703705</v>
      </c>
      <c r="B38592" t="str">
        <f>HYPERLINK("https://twitter.com/sirodjudin01","@sirodjudin01")</f>
        <v>@sirodjudin01</v>
      </c>
      <c r="C38592" t="s">
        <v>442</v>
      </c>
      <c r="D38592">
        <v>0</v>
      </c>
      <c r="E38592">
        <v>2</v>
      </c>
      <c r="F38592">
        <v>8019</v>
      </c>
    </row>
    <row r="38593" spans="1:6" ht="15.75" customHeight="1">
      <c r="A38593" s="3">
        <v>43874.73128472222</v>
      </c>
      <c r="B38593" t="str">
        <f>HYPERLINK("https://twitter.com/GoSumbarcom","@GoSumbarcom")</f>
        <v>@GoSumbarcom</v>
      </c>
      <c r="C38593" t="s">
        <v>379</v>
      </c>
      <c r="D38593">
        <v>0</v>
      </c>
      <c r="E38593">
        <v>0</v>
      </c>
      <c r="F38593">
        <v>16406</v>
      </c>
    </row>
    <row r="38594" spans="1:6" ht="15.75" customHeight="1">
      <c r="A38594" s="3">
        <v>43874.731273148151</v>
      </c>
      <c r="B38594" t="str">
        <f>HYPERLINK("https://twitter.com/GoNewsdotco","@GoNewsdotco")</f>
        <v>@GoNewsdotco</v>
      </c>
      <c r="C38594" t="s">
        <v>379</v>
      </c>
      <c r="D38594">
        <v>0</v>
      </c>
      <c r="E38594">
        <v>0</v>
      </c>
      <c r="F38594">
        <v>3782</v>
      </c>
    </row>
    <row r="38595" spans="1:6" ht="15.75" customHeight="1">
      <c r="A38595" s="3">
        <v>43874.731145833328</v>
      </c>
      <c r="B38595" t="str">
        <f>HYPERLINK("https://twitter.com/Gudagulana","@Gudagulana")</f>
        <v>@Gudagulana</v>
      </c>
      <c r="C38595" t="s">
        <v>443</v>
      </c>
      <c r="D38595">
        <v>0</v>
      </c>
      <c r="E38595">
        <v>0</v>
      </c>
      <c r="F38595">
        <v>29</v>
      </c>
    </row>
    <row r="38596" spans="1:6" ht="15.75" customHeight="1">
      <c r="A38596" s="3">
        <v>43874.73064814815</v>
      </c>
      <c r="B38596" t="str">
        <f>HYPERLINK("https://twitter.com/Semar47913550","@Semar47913550")</f>
        <v>@Semar47913550</v>
      </c>
      <c r="C38596" t="s">
        <v>444</v>
      </c>
      <c r="D38596">
        <v>0</v>
      </c>
      <c r="E38596">
        <v>0</v>
      </c>
      <c r="F38596">
        <v>29</v>
      </c>
    </row>
    <row r="38597" spans="1:6" ht="15.75" customHeight="1">
      <c r="A38597" s="3">
        <v>43874.730624999997</v>
      </c>
      <c r="B38597" t="str">
        <f>HYPERLINK("https://twitter.com/IdamanNegri","@IdamanNegri")</f>
        <v>@IdamanNegri</v>
      </c>
      <c r="C38597" t="s">
        <v>445</v>
      </c>
      <c r="D38597">
        <v>0</v>
      </c>
      <c r="E38597">
        <v>0</v>
      </c>
      <c r="F38597">
        <v>12</v>
      </c>
    </row>
    <row r="38598" spans="1:6" ht="15.75" customHeight="1">
      <c r="A38598" s="3">
        <v>43874.730358796296</v>
      </c>
      <c r="B38598" t="str">
        <f>HYPERLINK("https://twitter.com/WinarsihParis","@WinarsihParis")</f>
        <v>@WinarsihParis</v>
      </c>
      <c r="C38598" t="s">
        <v>446</v>
      </c>
      <c r="D38598">
        <v>0</v>
      </c>
      <c r="E38598">
        <v>0</v>
      </c>
      <c r="F38598">
        <v>77</v>
      </c>
    </row>
    <row r="38599" spans="1:6" ht="15.75" customHeight="1">
      <c r="A38599" s="3">
        <v>43874.730092592596</v>
      </c>
      <c r="B38599" t="str">
        <f>HYPERLINK("https://twitter.com/s_semangka","@s_semangka")</f>
        <v>@s_semangka</v>
      </c>
      <c r="C38599" t="s">
        <v>447</v>
      </c>
      <c r="D38599">
        <v>0</v>
      </c>
      <c r="E38599">
        <v>0</v>
      </c>
      <c r="F38599">
        <v>25</v>
      </c>
    </row>
    <row r="38600" spans="1:6" ht="15.75" customHeight="1">
      <c r="A38600" s="3">
        <v>43874.729814814811</v>
      </c>
      <c r="B38600" t="str">
        <f>HYPERLINK("https://twitter.com/WinarsihParis","@WinarsihParis")</f>
        <v>@WinarsihParis</v>
      </c>
      <c r="C38600" t="s">
        <v>448</v>
      </c>
      <c r="D38600">
        <v>0</v>
      </c>
      <c r="E38600">
        <v>0</v>
      </c>
      <c r="F38600">
        <v>77</v>
      </c>
    </row>
    <row r="38601" spans="1:6" ht="15.75" customHeight="1">
      <c r="A38601" s="3">
        <v>43874.729594907403</v>
      </c>
      <c r="B38601" t="str">
        <f>HYPERLINK("https://twitter.com/wahhabicc_jabar","@wahhabicc_jabar")</f>
        <v>@wahhabicc_jabar</v>
      </c>
      <c r="C38601" t="s">
        <v>449</v>
      </c>
      <c r="D38601">
        <v>122</v>
      </c>
      <c r="E38601">
        <v>363</v>
      </c>
      <c r="F38601">
        <v>30137</v>
      </c>
    </row>
    <row r="38602" spans="1:6" ht="15.75" customHeight="1">
      <c r="A38602" s="3">
        <v>43874.72929398148</v>
      </c>
      <c r="B38602" t="str">
        <f>HYPERLINK("https://twitter.com/rangermera","@rangermera")</f>
        <v>@rangermera</v>
      </c>
      <c r="C38602" t="s">
        <v>432</v>
      </c>
      <c r="D38602">
        <v>0</v>
      </c>
      <c r="E38602">
        <v>0</v>
      </c>
      <c r="F38602">
        <v>82</v>
      </c>
    </row>
    <row r="38603" spans="1:6" ht="15.75" customHeight="1">
      <c r="A38603" s="3">
        <v>43874.729178240741</v>
      </c>
      <c r="B38603" t="str">
        <f>HYPERLINK("https://twitter.com/Yahoo_ID","@Yahoo_ID")</f>
        <v>@Yahoo_ID</v>
      </c>
      <c r="C38603" t="s">
        <v>450</v>
      </c>
      <c r="D38603">
        <v>0</v>
      </c>
      <c r="E38603">
        <v>1</v>
      </c>
      <c r="F38603">
        <v>1392234</v>
      </c>
    </row>
    <row r="38604" spans="1:6" ht="15.75" customHeight="1">
      <c r="A38604" s="3">
        <v>43874.729016203702</v>
      </c>
      <c r="B38604" t="str">
        <f>HYPERLINK("https://twitter.com/s_semangka","@s_semangka")</f>
        <v>@s_semangka</v>
      </c>
      <c r="C38604" t="s">
        <v>451</v>
      </c>
      <c r="D38604">
        <v>0</v>
      </c>
      <c r="E38604">
        <v>0</v>
      </c>
      <c r="F38604">
        <v>25</v>
      </c>
    </row>
    <row r="38605" spans="1:6" ht="15.75" customHeight="1">
      <c r="A38605" s="3">
        <v>43874.728749999995</v>
      </c>
      <c r="B38605" t="str">
        <f>HYPERLINK("https://twitter.com/ThePowerOfindo1","@ThePowerOfindo1")</f>
        <v>@ThePowerOfindo1</v>
      </c>
      <c r="C38605" t="s">
        <v>452</v>
      </c>
      <c r="D38605">
        <v>0</v>
      </c>
      <c r="E38605">
        <v>0</v>
      </c>
      <c r="F38605">
        <v>5</v>
      </c>
    </row>
    <row r="38606" spans="1:6" ht="15.75" customHeight="1">
      <c r="A38606" s="3">
        <v>43874.728032407409</v>
      </c>
      <c r="B38606" t="str">
        <f>HYPERLINK("https://twitter.com/Rifaiah95447007","@Rifaiah95447007")</f>
        <v>@Rifaiah95447007</v>
      </c>
      <c r="C38606" t="s">
        <v>453</v>
      </c>
      <c r="D38606">
        <v>0</v>
      </c>
      <c r="E38606">
        <v>0</v>
      </c>
      <c r="F38606">
        <v>65</v>
      </c>
    </row>
    <row r="38607" spans="1:6" ht="15.75" customHeight="1">
      <c r="A38607" s="3">
        <v>43874.728009259255</v>
      </c>
      <c r="B38607" t="str">
        <f>HYPERLINK("https://twitter.com/sirodjudin01","@sirodjudin01")</f>
        <v>@sirodjudin01</v>
      </c>
      <c r="C38607" t="s">
        <v>454</v>
      </c>
      <c r="D38607">
        <v>0</v>
      </c>
      <c r="E38607">
        <v>5</v>
      </c>
      <c r="F38607">
        <v>8019</v>
      </c>
    </row>
    <row r="38608" spans="1:6" ht="15.75" customHeight="1">
      <c r="A38608" s="3">
        <v>43874.727962962963</v>
      </c>
      <c r="B38608" t="str">
        <f>HYPERLINK("https://twitter.com/scorpiocuy","@scorpiocuy")</f>
        <v>@scorpiocuy</v>
      </c>
      <c r="C38608" t="s">
        <v>455</v>
      </c>
      <c r="D38608">
        <v>0</v>
      </c>
      <c r="E38608">
        <v>0</v>
      </c>
      <c r="F38608">
        <v>23</v>
      </c>
    </row>
    <row r="38609" spans="1:6" ht="15.75" customHeight="1">
      <c r="A38609" s="3">
        <v>43874.727164351847</v>
      </c>
      <c r="B38609" t="str">
        <f>HYPERLINK("https://twitter.com/sirodjudin01","@sirodjudin01")</f>
        <v>@sirodjudin01</v>
      </c>
      <c r="C38609" t="s">
        <v>456</v>
      </c>
      <c r="D38609">
        <v>1</v>
      </c>
      <c r="E38609">
        <v>2</v>
      </c>
      <c r="F38609">
        <v>8019</v>
      </c>
    </row>
    <row r="38610" spans="1:6" ht="15.75" customHeight="1">
      <c r="A38610" s="3">
        <v>43874.726747685185</v>
      </c>
      <c r="B38610" t="str">
        <f>HYPERLINK("https://twitter.com/Berita7dotid","@Berita7dotid")</f>
        <v>@Berita7dotid</v>
      </c>
      <c r="C38610" t="s">
        <v>457</v>
      </c>
      <c r="D38610">
        <v>0</v>
      </c>
      <c r="E38610">
        <v>0</v>
      </c>
      <c r="F38610">
        <v>2554</v>
      </c>
    </row>
    <row r="38611" spans="1:6" ht="15.75" customHeight="1">
      <c r="A38611" s="3">
        <v>43874.726377314815</v>
      </c>
      <c r="B38611" t="str">
        <f>HYPERLINK("https://twitter.com/scorpiocuy","@scorpiocuy")</f>
        <v>@scorpiocuy</v>
      </c>
      <c r="C38611" t="s">
        <v>441</v>
      </c>
      <c r="D38611">
        <v>0</v>
      </c>
      <c r="E38611">
        <v>0</v>
      </c>
      <c r="F38611">
        <v>23</v>
      </c>
    </row>
    <row r="38612" spans="1:6" ht="15.75" customHeight="1">
      <c r="A38612" s="3">
        <v>43874.726180555561</v>
      </c>
      <c r="B38612" t="str">
        <f>HYPERLINK("https://twitter.com/republikaonline","@republikaonline")</f>
        <v>@republikaonline</v>
      </c>
      <c r="C38612" t="s">
        <v>458</v>
      </c>
      <c r="D38612">
        <v>1</v>
      </c>
      <c r="E38612">
        <v>4</v>
      </c>
      <c r="F38612">
        <v>1210209</v>
      </c>
    </row>
    <row r="38613" spans="1:6" ht="15.75" customHeight="1">
      <c r="A38613" s="3">
        <v>43874.725844907407</v>
      </c>
      <c r="B38613" t="str">
        <f>HYPERLINK("https://twitter.com/minhyunsc","@minhyunsc")</f>
        <v>@minhyunsc</v>
      </c>
      <c r="C38613" t="s">
        <v>446</v>
      </c>
      <c r="D38613">
        <v>0</v>
      </c>
      <c r="E38613">
        <v>0</v>
      </c>
      <c r="F38613">
        <v>7548</v>
      </c>
    </row>
    <row r="38614" spans="1:6" ht="15.75" customHeight="1">
      <c r="A38614" s="3">
        <v>43874.72556712963</v>
      </c>
      <c r="B38614" t="str">
        <f t="shared" ref="B38614:B38615" si="449">HYPERLINK("https://twitter.com/s_semangka","@s_semangka")</f>
        <v>@s_semangka</v>
      </c>
      <c r="C38614" t="s">
        <v>459</v>
      </c>
      <c r="D38614">
        <v>0</v>
      </c>
      <c r="E38614">
        <v>0</v>
      </c>
      <c r="F38614">
        <v>25</v>
      </c>
    </row>
    <row r="38615" spans="1:6" ht="15.75" customHeight="1">
      <c r="A38615" s="3">
        <v>43874.725300925929</v>
      </c>
      <c r="B38615" t="str">
        <f t="shared" si="449"/>
        <v>@s_semangka</v>
      </c>
      <c r="C38615" t="s">
        <v>441</v>
      </c>
      <c r="D38615">
        <v>0</v>
      </c>
      <c r="E38615">
        <v>0</v>
      </c>
      <c r="F38615">
        <v>25</v>
      </c>
    </row>
    <row r="38616" spans="1:6" ht="15.75" customHeight="1">
      <c r="A38616" s="3">
        <v>43874.724652777775</v>
      </c>
      <c r="B38616" t="str">
        <f>HYPERLINK("https://twitter.com/yvgrh","@yvgrh")</f>
        <v>@yvgrh</v>
      </c>
      <c r="C38616" t="s">
        <v>460</v>
      </c>
      <c r="D38616">
        <v>0</v>
      </c>
      <c r="E38616">
        <v>0</v>
      </c>
      <c r="F38616">
        <v>502</v>
      </c>
    </row>
    <row r="38617" spans="1:6" ht="15.75" customHeight="1">
      <c r="A38617" s="3">
        <v>43874.724317129629</v>
      </c>
      <c r="B38617" t="str">
        <f>HYPERLINK("https://twitter.com/koran_jakarta","@koran_jakarta")</f>
        <v>@koran_jakarta</v>
      </c>
      <c r="C38617" t="s">
        <v>461</v>
      </c>
      <c r="D38617">
        <v>1</v>
      </c>
      <c r="E38617">
        <v>0</v>
      </c>
      <c r="F38617">
        <v>128035</v>
      </c>
    </row>
    <row r="38618" spans="1:6" ht="15.75" customHeight="1">
      <c r="A38618" s="3">
        <v>43874.723981481482</v>
      </c>
      <c r="B38618" t="str">
        <f t="shared" ref="B38618:B38619" si="450">HYPERLINK("https://twitter.com/ApelHiu","@ApelHiu")</f>
        <v>@ApelHiu</v>
      </c>
      <c r="C38618" t="s">
        <v>462</v>
      </c>
      <c r="D38618">
        <v>0</v>
      </c>
      <c r="E38618">
        <v>0</v>
      </c>
      <c r="F38618">
        <v>34</v>
      </c>
    </row>
    <row r="38619" spans="1:6" ht="15.75" customHeight="1">
      <c r="A38619" s="3">
        <v>43874.722905092596</v>
      </c>
      <c r="B38619" t="str">
        <f t="shared" si="450"/>
        <v>@ApelHiu</v>
      </c>
      <c r="C38619" t="s">
        <v>463</v>
      </c>
      <c r="D38619">
        <v>0</v>
      </c>
      <c r="E38619">
        <v>0</v>
      </c>
      <c r="F38619">
        <v>34</v>
      </c>
    </row>
    <row r="38620" spans="1:6" ht="15.75" customHeight="1">
      <c r="A38620" s="3">
        <v>43874.722233796296</v>
      </c>
      <c r="B38620" t="str">
        <f>HYPERLINK("https://twitter.com/DreamersRadioID","@DreamersRadioID")</f>
        <v>@DreamersRadioID</v>
      </c>
      <c r="C38620" t="s">
        <v>29</v>
      </c>
      <c r="D38620">
        <v>2</v>
      </c>
      <c r="E38620">
        <v>1</v>
      </c>
      <c r="F38620">
        <v>75551</v>
      </c>
    </row>
    <row r="38621" spans="1:6" ht="15.75" customHeight="1">
      <c r="A38621" s="3">
        <v>43874.722141203703</v>
      </c>
      <c r="B38621" t="str">
        <f>HYPERLINK("https://twitter.com/AAlfaroqi2","@AAlfaroqi2")</f>
        <v>@AAlfaroqi2</v>
      </c>
      <c r="C38621" t="s">
        <v>464</v>
      </c>
      <c r="D38621">
        <v>0</v>
      </c>
      <c r="E38621">
        <v>0</v>
      </c>
      <c r="F38621">
        <v>289</v>
      </c>
    </row>
    <row r="38622" spans="1:6" ht="15.75" customHeight="1">
      <c r="A38622" s="3">
        <v>43874.721620370372</v>
      </c>
      <c r="B38622" t="str">
        <f>HYPERLINK("https://twitter.com/GoRenoSaputra1","@GoRenoSaputra1")</f>
        <v>@GoRenoSaputra1</v>
      </c>
      <c r="C38622" t="s">
        <v>465</v>
      </c>
      <c r="D38622">
        <v>0</v>
      </c>
      <c r="E38622">
        <v>0</v>
      </c>
      <c r="F38622">
        <v>41</v>
      </c>
    </row>
    <row r="38623" spans="1:6" ht="15.75" customHeight="1">
      <c r="A38623" s="3">
        <v>43874.720393518517</v>
      </c>
      <c r="B38623" t="str">
        <f>HYPERLINK("https://twitter.com/bogiva","@bogiva")</f>
        <v>@bogiva</v>
      </c>
      <c r="C38623" t="s">
        <v>466</v>
      </c>
      <c r="D38623">
        <v>1</v>
      </c>
      <c r="E38623">
        <v>7</v>
      </c>
      <c r="F38623">
        <v>600</v>
      </c>
    </row>
    <row r="38624" spans="1:6" ht="15.75" customHeight="1">
      <c r="A38624" s="3">
        <v>43874.720300925925</v>
      </c>
      <c r="B38624" t="str">
        <f>HYPERLINK("https://twitter.com/AAlfaroqi2","@AAlfaroqi2")</f>
        <v>@AAlfaroqi2</v>
      </c>
      <c r="C38624" t="s">
        <v>467</v>
      </c>
      <c r="D38624">
        <v>0</v>
      </c>
      <c r="E38624">
        <v>0</v>
      </c>
      <c r="F38624">
        <v>289</v>
      </c>
    </row>
    <row r="38625" spans="1:6" ht="15.75" customHeight="1">
      <c r="A38625" s="3">
        <v>43874.720219907409</v>
      </c>
      <c r="B38625" t="str">
        <f>HYPERLINK("https://twitter.com/ElinMoenik2","@ElinMoenik2")</f>
        <v>@ElinMoenik2</v>
      </c>
      <c r="D38625">
        <v>0</v>
      </c>
      <c r="E38625">
        <v>0</v>
      </c>
      <c r="F38625">
        <v>157</v>
      </c>
    </row>
    <row r="38626" spans="1:6" ht="15.75" customHeight="1">
      <c r="A38626" s="3">
        <v>43874.72010416667</v>
      </c>
      <c r="B38626" t="str">
        <f>HYPERLINK("https://twitter.com/ThePowerOfindo1","@ThePowerOfindo1")</f>
        <v>@ThePowerOfindo1</v>
      </c>
      <c r="C38626" t="s">
        <v>468</v>
      </c>
      <c r="D38626">
        <v>0</v>
      </c>
      <c r="E38626">
        <v>0</v>
      </c>
      <c r="F38626">
        <v>5</v>
      </c>
    </row>
    <row r="38627" spans="1:6" ht="15.75" customHeight="1">
      <c r="A38627" s="3">
        <v>43874.719895833332</v>
      </c>
      <c r="B38627" t="str">
        <f>HYPERLINK("https://twitter.com/marjantaufik","@marjantaufik")</f>
        <v>@marjantaufik</v>
      </c>
      <c r="C38627" t="s">
        <v>469</v>
      </c>
      <c r="D38627">
        <v>0</v>
      </c>
      <c r="E38627">
        <v>0</v>
      </c>
      <c r="F38627">
        <v>494</v>
      </c>
    </row>
    <row r="38628" spans="1:6" ht="15.75" customHeight="1">
      <c r="A38628" s="3">
        <v>43874.719768518524</v>
      </c>
      <c r="B38628" t="str">
        <f>HYPERLINK("https://twitter.com/sofiankawar1","@sofiankawar1")</f>
        <v>@sofiankawar1</v>
      </c>
      <c r="C38628" t="s">
        <v>470</v>
      </c>
      <c r="D38628">
        <v>0</v>
      </c>
      <c r="E38628">
        <v>0</v>
      </c>
      <c r="F38628">
        <v>53</v>
      </c>
    </row>
    <row r="38629" spans="1:6" ht="15.75" customHeight="1">
      <c r="A38629" s="3">
        <v>43874.719641203701</v>
      </c>
      <c r="B38629" t="str">
        <f>HYPERLINK("https://twitter.com/gunaripan","@gunaripan")</f>
        <v>@gunaripan</v>
      </c>
      <c r="D38629">
        <v>0</v>
      </c>
      <c r="E38629">
        <v>0</v>
      </c>
      <c r="F38629">
        <v>83</v>
      </c>
    </row>
    <row r="38630" spans="1:6" ht="15.75" customHeight="1">
      <c r="A38630" s="3">
        <v>43874.719571759255</v>
      </c>
      <c r="B38630" t="str">
        <f>HYPERLINK("https://twitter.com/minhyunsc","@minhyunsc")</f>
        <v>@minhyunsc</v>
      </c>
      <c r="C38630" t="s">
        <v>446</v>
      </c>
      <c r="D38630">
        <v>0</v>
      </c>
      <c r="E38630">
        <v>0</v>
      </c>
      <c r="F38630">
        <v>7548</v>
      </c>
    </row>
    <row r="38631" spans="1:6" ht="15.75" customHeight="1">
      <c r="A38631" s="3">
        <v>43874.718611111108</v>
      </c>
      <c r="B38631" t="str">
        <f>HYPERLINK("https://twitter.com/MigaWempy","@MigaWempy")</f>
        <v>@MigaWempy</v>
      </c>
      <c r="C38631" t="s">
        <v>471</v>
      </c>
      <c r="D38631">
        <v>7</v>
      </c>
      <c r="E38631">
        <v>31</v>
      </c>
      <c r="F38631">
        <v>3749</v>
      </c>
    </row>
    <row r="38632" spans="1:6" ht="15.75" customHeight="1">
      <c r="A38632" s="3">
        <v>43874.718541666662</v>
      </c>
      <c r="B38632" t="str">
        <f>HYPERLINK("https://twitter.com/sukasukainsun","@sukasukainsun")</f>
        <v>@sukasukainsun</v>
      </c>
      <c r="C38632" t="s">
        <v>472</v>
      </c>
      <c r="D38632">
        <v>0</v>
      </c>
      <c r="E38632">
        <v>0</v>
      </c>
      <c r="F38632">
        <v>0</v>
      </c>
    </row>
    <row r="38633" spans="1:6" ht="15.75" customHeight="1">
      <c r="A38633" s="3">
        <v>43874.718321759261</v>
      </c>
      <c r="B38633" t="str">
        <f>HYPERLINK("https://twitter.com/okezonenews","@okezonenews")</f>
        <v>@okezonenews</v>
      </c>
      <c r="C38633" t="s">
        <v>473</v>
      </c>
      <c r="D38633">
        <v>0</v>
      </c>
      <c r="E38633">
        <v>1</v>
      </c>
      <c r="F38633">
        <v>1743741</v>
      </c>
    </row>
    <row r="38634" spans="1:6" ht="15.75" customHeight="1">
      <c r="A38634" s="3">
        <v>43874.718263888892</v>
      </c>
      <c r="B38634" t="str">
        <f>HYPERLINK("https://twitter.com/indramana003","@indramana003")</f>
        <v>@indramana003</v>
      </c>
      <c r="C38634" t="s">
        <v>440</v>
      </c>
      <c r="D38634">
        <v>0</v>
      </c>
      <c r="E38634">
        <v>0</v>
      </c>
      <c r="F38634">
        <v>25</v>
      </c>
    </row>
    <row r="38635" spans="1:6" ht="15.75" customHeight="1">
      <c r="A38635" s="3">
        <v>43874.716817129629</v>
      </c>
      <c r="B38635" t="str">
        <f>HYPERLINK("https://twitter.com/Metro_TV","@Metro_TV")</f>
        <v>@Metro_TV</v>
      </c>
      <c r="C38635" t="s">
        <v>474</v>
      </c>
      <c r="D38635">
        <v>7</v>
      </c>
      <c r="E38635">
        <v>21</v>
      </c>
      <c r="F38635">
        <v>10508854</v>
      </c>
    </row>
    <row r="38636" spans="1:6" ht="15.75" customHeight="1">
      <c r="A38636" s="3">
        <v>43874.716377314813</v>
      </c>
      <c r="B38636" t="str">
        <f>HYPERLINK("https://twitter.com/wow_keren","@wow_keren")</f>
        <v>@wow_keren</v>
      </c>
      <c r="C38636" t="s">
        <v>475</v>
      </c>
      <c r="D38636">
        <v>1</v>
      </c>
      <c r="E38636">
        <v>0</v>
      </c>
      <c r="F38636">
        <v>32000</v>
      </c>
    </row>
    <row r="38637" spans="1:6" ht="15.75" customHeight="1">
      <c r="A38637" s="3">
        <v>43874.715891203705</v>
      </c>
      <c r="B38637" t="str">
        <f>HYPERLINK("https://twitter.com/WahabisLokal","@WahabisLokal")</f>
        <v>@WahabisLokal</v>
      </c>
      <c r="C38637" t="s">
        <v>476</v>
      </c>
      <c r="D38637">
        <v>36</v>
      </c>
      <c r="E38637">
        <v>67</v>
      </c>
      <c r="F38637">
        <v>19425</v>
      </c>
    </row>
    <row r="38638" spans="1:6" ht="15.75" customHeight="1">
      <c r="A38638" s="3">
        <v>43874.715868055559</v>
      </c>
      <c r="B38638" t="str">
        <f>HYPERLINK("https://twitter.com/jr_kw19","@jr_kw19")</f>
        <v>@jr_kw19</v>
      </c>
      <c r="C38638" t="s">
        <v>105</v>
      </c>
      <c r="D38638">
        <v>227</v>
      </c>
      <c r="E38638">
        <v>674</v>
      </c>
      <c r="F38638">
        <v>39437</v>
      </c>
    </row>
    <row r="38639" spans="1:6" ht="15.75" customHeight="1">
      <c r="A38639" s="3">
        <v>43874.714861111112</v>
      </c>
      <c r="B38639" t="str">
        <f>HYPERLINK("https://twitter.com/ApelHiu","@ApelHiu")</f>
        <v>@ApelHiu</v>
      </c>
      <c r="C38639" t="s">
        <v>447</v>
      </c>
      <c r="D38639">
        <v>0</v>
      </c>
      <c r="E38639">
        <v>1</v>
      </c>
      <c r="F38639">
        <v>34</v>
      </c>
    </row>
    <row r="38640" spans="1:6" ht="15.75" customHeight="1">
      <c r="A38640" s="3">
        <v>43874.714594907404</v>
      </c>
      <c r="B38640" t="str">
        <f>HYPERLINK("https://twitter.com/minhyunsc","@minhyunsc")</f>
        <v>@minhyunsc</v>
      </c>
      <c r="C38640" t="s">
        <v>477</v>
      </c>
      <c r="D38640">
        <v>0</v>
      </c>
      <c r="E38640">
        <v>0</v>
      </c>
      <c r="F38640">
        <v>7548</v>
      </c>
    </row>
    <row r="38641" spans="1:6" ht="15.75" customHeight="1">
      <c r="A38641" s="3">
        <v>43874.714074074072</v>
      </c>
      <c r="B38641" t="str">
        <f>HYPERLINK("https://twitter.com/scorpiocuy","@scorpiocuy")</f>
        <v>@scorpiocuy</v>
      </c>
      <c r="C38641" t="s">
        <v>440</v>
      </c>
      <c r="D38641">
        <v>0</v>
      </c>
      <c r="E38641">
        <v>0</v>
      </c>
      <c r="F38641">
        <v>23</v>
      </c>
    </row>
    <row r="38642" spans="1:6" ht="15.75" customHeight="1">
      <c r="A38642" s="3">
        <v>43874.71303240741</v>
      </c>
      <c r="B38642" t="str">
        <f>HYPERLINK("https://twitter.com/minhyunsc","@minhyunsc")</f>
        <v>@minhyunsc</v>
      </c>
      <c r="C38642" t="s">
        <v>441</v>
      </c>
      <c r="D38642">
        <v>0</v>
      </c>
      <c r="E38642">
        <v>0</v>
      </c>
      <c r="F38642">
        <v>7548</v>
      </c>
    </row>
    <row r="38643" spans="1:6" ht="15.75" customHeight="1">
      <c r="A38643" s="3">
        <v>43874.712951388894</v>
      </c>
      <c r="B38643" t="str">
        <f>HYPERLINK("https://twitter.com/alu_dra","@alu_dra")</f>
        <v>@alu_dra</v>
      </c>
      <c r="C38643" t="s">
        <v>478</v>
      </c>
      <c r="D38643">
        <v>1</v>
      </c>
      <c r="E38643">
        <v>3</v>
      </c>
      <c r="F38643">
        <v>4115</v>
      </c>
    </row>
    <row r="38644" spans="1:6" ht="15.75" customHeight="1">
      <c r="A38644" s="3">
        <v>43874.712766203702</v>
      </c>
      <c r="B38644" t="str">
        <f>HYPERLINK("https://twitter.com/minhyunsc","@minhyunsc")</f>
        <v>@minhyunsc</v>
      </c>
      <c r="C38644" t="s">
        <v>463</v>
      </c>
      <c r="D38644">
        <v>0</v>
      </c>
      <c r="E38644">
        <v>0</v>
      </c>
      <c r="F38644">
        <v>7548</v>
      </c>
    </row>
    <row r="38645" spans="1:6" ht="15.75" customHeight="1">
      <c r="A38645" s="3">
        <v>43874.712696759263</v>
      </c>
      <c r="B38645" t="str">
        <f t="shared" ref="B38645:B38646" si="451">HYPERLINK("https://twitter.com/mochamadarip","@mochamadarip")</f>
        <v>@mochamadarip</v>
      </c>
      <c r="C38645" t="s">
        <v>479</v>
      </c>
      <c r="D38645">
        <v>37</v>
      </c>
      <c r="E38645">
        <v>64</v>
      </c>
      <c r="F38645">
        <v>26148</v>
      </c>
    </row>
    <row r="38646" spans="1:6" ht="15.75" customHeight="1">
      <c r="A38646" s="3">
        <v>43874.712511574078</v>
      </c>
      <c r="B38646" t="str">
        <f t="shared" si="451"/>
        <v>@mochamadarip</v>
      </c>
      <c r="C38646" t="s">
        <v>480</v>
      </c>
      <c r="D38646">
        <v>30</v>
      </c>
      <c r="E38646">
        <v>40</v>
      </c>
      <c r="F38646">
        <v>26148</v>
      </c>
    </row>
    <row r="38647" spans="1:6" ht="15.75" customHeight="1">
      <c r="A38647" s="3">
        <v>43874.712025462963</v>
      </c>
      <c r="B38647" t="str">
        <f>HYPERLINK("https://twitter.com/muchlis_ar","@muchlis_ar")</f>
        <v>@muchlis_ar</v>
      </c>
      <c r="C38647" t="s">
        <v>481</v>
      </c>
      <c r="D38647">
        <v>0</v>
      </c>
      <c r="E38647">
        <v>2</v>
      </c>
      <c r="F38647">
        <v>11217</v>
      </c>
    </row>
    <row r="38648" spans="1:6" ht="15.75" customHeight="1">
      <c r="A38648" s="3">
        <v>43874.711875000001</v>
      </c>
      <c r="B38648" t="str">
        <f>HYPERLINK("https://twitter.com/kompasiana","@kompasiana")</f>
        <v>@kompasiana</v>
      </c>
      <c r="C38648" t="s">
        <v>482</v>
      </c>
      <c r="D38648">
        <v>1</v>
      </c>
      <c r="E38648">
        <v>3</v>
      </c>
      <c r="F38648">
        <v>927795</v>
      </c>
    </row>
    <row r="38649" spans="1:6" ht="15.75" customHeight="1">
      <c r="A38649" s="3">
        <v>43874.711840277778</v>
      </c>
      <c r="B38649" t="str">
        <f>HYPERLINK("https://twitter.com/tribunnews","@tribunnews")</f>
        <v>@tribunnews</v>
      </c>
      <c r="C38649" t="s">
        <v>483</v>
      </c>
      <c r="D38649">
        <v>0</v>
      </c>
      <c r="E38649">
        <v>2</v>
      </c>
      <c r="F38649">
        <v>873082</v>
      </c>
    </row>
    <row r="38650" spans="1:6" ht="15.75" customHeight="1">
      <c r="A38650" s="3">
        <v>43874.710833333331</v>
      </c>
      <c r="B38650" t="str">
        <f>HYPERLINK("https://twitter.com/kompasiana","@kompasiana")</f>
        <v>@kompasiana</v>
      </c>
      <c r="C38650" t="s">
        <v>482</v>
      </c>
      <c r="D38650">
        <v>0</v>
      </c>
      <c r="E38650">
        <v>1</v>
      </c>
      <c r="F38650">
        <v>927795</v>
      </c>
    </row>
    <row r="38651" spans="1:6" ht="15.75" customHeight="1">
      <c r="A38651" s="3">
        <v>43874.710821759261</v>
      </c>
      <c r="B38651" t="str">
        <f>HYPERLINK("https://twitter.com/Boemi_Pertiwi12","@Boemi_Pertiwi12")</f>
        <v>@Boemi_Pertiwi12</v>
      </c>
      <c r="C38651" t="s">
        <v>484</v>
      </c>
      <c r="D38651">
        <v>2</v>
      </c>
      <c r="E38651">
        <v>9</v>
      </c>
      <c r="F38651">
        <v>18702</v>
      </c>
    </row>
    <row r="38652" spans="1:6" ht="15.75" customHeight="1">
      <c r="A38652" s="3">
        <v>43874.710486111115</v>
      </c>
      <c r="B38652" t="str">
        <f>HYPERLINK("https://twitter.com/w4nw4e","@w4nw4e")</f>
        <v>@w4nw4e</v>
      </c>
      <c r="C38652" t="s">
        <v>485</v>
      </c>
      <c r="D38652">
        <v>2</v>
      </c>
      <c r="E38652">
        <v>14</v>
      </c>
      <c r="F38652">
        <v>7587</v>
      </c>
    </row>
    <row r="38653" spans="1:6" ht="15.75" customHeight="1">
      <c r="A38653" s="3">
        <v>43874.709398148145</v>
      </c>
      <c r="B38653" t="str">
        <f>HYPERLINK("https://twitter.com/okezonenews","@okezonenews")</f>
        <v>@okezonenews</v>
      </c>
      <c r="C38653" t="s">
        <v>486</v>
      </c>
      <c r="D38653">
        <v>0</v>
      </c>
      <c r="E38653">
        <v>2</v>
      </c>
      <c r="F38653">
        <v>1743741</v>
      </c>
    </row>
    <row r="38654" spans="1:6" ht="15.75" customHeight="1">
      <c r="A38654" s="3">
        <v>43874.70930555556</v>
      </c>
      <c r="B38654" t="str">
        <f>HYPERLINK("https://twitter.com/7evenClothes","@7evenClothes")</f>
        <v>@7evenClothes</v>
      </c>
      <c r="C38654" t="s">
        <v>487</v>
      </c>
      <c r="D38654">
        <v>0</v>
      </c>
      <c r="E38654">
        <v>0</v>
      </c>
      <c r="F38654">
        <v>3143</v>
      </c>
    </row>
    <row r="38655" spans="1:6" ht="15.75" customHeight="1">
      <c r="A38655" s="3">
        <v>43874.709050925929</v>
      </c>
      <c r="B38655" t="str">
        <f>HYPERLINK("https://twitter.com/5Y5_one_70","@5Y5_one_70")</f>
        <v>@5Y5_one_70</v>
      </c>
      <c r="C38655" t="s">
        <v>488</v>
      </c>
      <c r="D38655">
        <v>47</v>
      </c>
      <c r="E38655">
        <v>98</v>
      </c>
      <c r="F38655">
        <v>6626</v>
      </c>
    </row>
    <row r="38656" spans="1:6" ht="15.75" customHeight="1">
      <c r="A38656" s="3">
        <v>43874.70894675926</v>
      </c>
      <c r="B38656" t="str">
        <f>HYPERLINK("https://twitter.com/LamanKita_","@LamanKita_")</f>
        <v>@LamanKita_</v>
      </c>
      <c r="C38656" t="s">
        <v>489</v>
      </c>
      <c r="D38656">
        <v>1</v>
      </c>
      <c r="E38656">
        <v>1</v>
      </c>
      <c r="F38656">
        <v>139626</v>
      </c>
    </row>
    <row r="38657" spans="1:6" ht="15.75" customHeight="1">
      <c r="A38657" s="3">
        <v>43874.708425925928</v>
      </c>
      <c r="B38657" t="str">
        <f>HYPERLINK("https://twitter.com/NewsmakerMedcom","@NewsmakerMedcom")</f>
        <v>@NewsmakerMedcom</v>
      </c>
      <c r="C38657" t="s">
        <v>490</v>
      </c>
      <c r="D38657">
        <v>11</v>
      </c>
      <c r="E38657">
        <v>30</v>
      </c>
      <c r="F38657">
        <v>1474</v>
      </c>
    </row>
    <row r="38658" spans="1:6" ht="15.75" customHeight="1">
      <c r="A38658" s="3">
        <v>43874.708402777775</v>
      </c>
      <c r="B38658" t="str">
        <f>HYPERLINK("https://twitter.com/kumparan","@kumparan")</f>
        <v>@kumparan</v>
      </c>
      <c r="C38658" t="s">
        <v>492</v>
      </c>
      <c r="D38658">
        <v>0</v>
      </c>
      <c r="E38658">
        <v>6</v>
      </c>
      <c r="F38658">
        <v>321828</v>
      </c>
    </row>
    <row r="38659" spans="1:6" ht="15.75" customHeight="1">
      <c r="A38659" s="3">
        <v>43874.708344907413</v>
      </c>
      <c r="B38659" t="str">
        <f>HYPERLINK("https://twitter.com/PNawacita","@PNawacita")</f>
        <v>@PNawacita</v>
      </c>
      <c r="C38659" t="s">
        <v>493</v>
      </c>
      <c r="D38659">
        <v>0</v>
      </c>
      <c r="E38659">
        <v>1</v>
      </c>
      <c r="F38659">
        <v>69</v>
      </c>
    </row>
    <row r="38660" spans="1:6" ht="15.75" customHeight="1">
      <c r="A38660" s="3">
        <v>43874.707812499997</v>
      </c>
      <c r="B38660" t="str">
        <f>HYPERLINK("https://twitter.com/Maulida42410037","@Maulida42410037")</f>
        <v>@Maulida42410037</v>
      </c>
      <c r="C38660" t="s">
        <v>494</v>
      </c>
      <c r="D38660">
        <v>0</v>
      </c>
      <c r="E38660">
        <v>1</v>
      </c>
      <c r="F38660">
        <v>58</v>
      </c>
    </row>
    <row r="38661" spans="1:6" ht="15.75" customHeight="1">
      <c r="A38661" s="3">
        <v>43874.705590277779</v>
      </c>
      <c r="B38661" t="str">
        <f>HYPERLINK("https://twitter.com/pikiran_rakyat","@pikiran_rakyat")</f>
        <v>@pikiran_rakyat</v>
      </c>
      <c r="C38661" t="s">
        <v>495</v>
      </c>
      <c r="D38661">
        <v>0</v>
      </c>
      <c r="E38661">
        <v>0</v>
      </c>
      <c r="F38661">
        <v>412437</v>
      </c>
    </row>
    <row r="38662" spans="1:6" ht="15.75" customHeight="1">
      <c r="A38662" s="3">
        <v>43874.705266203702</v>
      </c>
      <c r="B38662" t="str">
        <f>HYPERLINK("https://twitter.com/KeyshaAdinda5","@KeyshaAdinda5")</f>
        <v>@KeyshaAdinda5</v>
      </c>
      <c r="C38662" t="s">
        <v>496</v>
      </c>
      <c r="D38662">
        <v>3</v>
      </c>
      <c r="E38662">
        <v>7</v>
      </c>
      <c r="F38662">
        <v>4095</v>
      </c>
    </row>
    <row r="38663" spans="1:6" ht="15.75" customHeight="1">
      <c r="A38663" s="3">
        <v>43874.705162037033</v>
      </c>
      <c r="B38663" t="str">
        <f t="shared" ref="B38663:B38665" si="452">HYPERLINK("https://twitter.com/IndonesiaRAW","@IndonesiaRAW")</f>
        <v>@IndonesiaRAW</v>
      </c>
      <c r="C38663" t="s">
        <v>497</v>
      </c>
      <c r="D38663">
        <v>1</v>
      </c>
      <c r="E38663">
        <v>1</v>
      </c>
      <c r="F38663">
        <v>201868</v>
      </c>
    </row>
    <row r="38664" spans="1:6" ht="15.75" customHeight="1">
      <c r="A38664" s="3">
        <v>43874.704675925925</v>
      </c>
      <c r="B38664" t="str">
        <f t="shared" si="452"/>
        <v>@IndonesiaRAW</v>
      </c>
      <c r="C38664" t="s">
        <v>498</v>
      </c>
      <c r="D38664">
        <v>1</v>
      </c>
      <c r="E38664">
        <v>2</v>
      </c>
      <c r="F38664">
        <v>201868</v>
      </c>
    </row>
    <row r="38665" spans="1:6" ht="15.75" customHeight="1">
      <c r="A38665" s="3">
        <v>43874.70385416667</v>
      </c>
      <c r="B38665" t="str">
        <f t="shared" si="452"/>
        <v>@IndonesiaRAW</v>
      </c>
      <c r="C38665" t="s">
        <v>499</v>
      </c>
      <c r="D38665">
        <v>1</v>
      </c>
      <c r="E38665">
        <v>1</v>
      </c>
      <c r="F38665">
        <v>201868</v>
      </c>
    </row>
    <row r="38666" spans="1:6" ht="15.75" customHeight="1">
      <c r="A38666" s="3">
        <v>43874.703449074077</v>
      </c>
      <c r="B38666" t="str">
        <f>HYPERLINK("https://twitter.com/Nila_1410","@Nila_1410")</f>
        <v>@Nila_1410</v>
      </c>
      <c r="C38666" t="s">
        <v>500</v>
      </c>
      <c r="D38666">
        <v>0</v>
      </c>
      <c r="E38666">
        <v>0</v>
      </c>
      <c r="F38666">
        <v>340</v>
      </c>
    </row>
    <row r="38667" spans="1:6" ht="15.75" customHeight="1">
      <c r="A38667" s="3">
        <v>43874.703414351854</v>
      </c>
      <c r="B38667" t="str">
        <f>HYPERLINK("https://twitter.com/reecodiawan","@reecodiawan")</f>
        <v>@reecodiawan</v>
      </c>
      <c r="C38667" t="s">
        <v>501</v>
      </c>
      <c r="D38667">
        <v>0</v>
      </c>
      <c r="E38667">
        <v>0</v>
      </c>
      <c r="F38667">
        <v>23</v>
      </c>
    </row>
    <row r="38668" spans="1:6" ht="15.75" customHeight="1">
      <c r="A38668" s="3">
        <v>43874.703368055554</v>
      </c>
      <c r="B38668" t="str">
        <f>HYPERLINK("https://twitter.com/matteo_ardhitio","@matteo_ardhitio")</f>
        <v>@matteo_ardhitio</v>
      </c>
      <c r="C38668" t="s">
        <v>502</v>
      </c>
      <c r="D38668">
        <v>0</v>
      </c>
      <c r="E38668">
        <v>3</v>
      </c>
      <c r="F38668">
        <v>798</v>
      </c>
    </row>
    <row r="38669" spans="1:6" ht="15.75" customHeight="1">
      <c r="A38669" s="3">
        <v>43874.702870370369</v>
      </c>
      <c r="B38669" t="str">
        <f>HYPERLINK("https://twitter.com/BadjaNuswantara","@BadjaNuswantara")</f>
        <v>@BadjaNuswantara</v>
      </c>
      <c r="C38669" t="s">
        <v>503</v>
      </c>
      <c r="D38669">
        <v>47</v>
      </c>
      <c r="E38669">
        <v>64</v>
      </c>
      <c r="F38669">
        <v>42255</v>
      </c>
    </row>
    <row r="38670" spans="1:6" ht="15.75" customHeight="1">
      <c r="A38670" s="3">
        <v>43874.702152777776</v>
      </c>
      <c r="B38670" t="str">
        <f>HYPERLINK("https://twitter.com/kompascom","@kompascom")</f>
        <v>@kompascom</v>
      </c>
      <c r="C38670" t="s">
        <v>504</v>
      </c>
      <c r="D38670">
        <v>0</v>
      </c>
      <c r="E38670">
        <v>1</v>
      </c>
      <c r="F38670">
        <v>7496984</v>
      </c>
    </row>
    <row r="38671" spans="1:6" ht="15.75" customHeight="1">
      <c r="A38671" s="3">
        <v>43874.701435185183</v>
      </c>
      <c r="B38671" t="str">
        <f>HYPERLINK("https://twitter.com/Airin_NZ","@Airin_NZ")</f>
        <v>@Airin_NZ</v>
      </c>
      <c r="C38671" t="s">
        <v>505</v>
      </c>
      <c r="D38671">
        <v>122</v>
      </c>
      <c r="E38671">
        <v>273</v>
      </c>
      <c r="F38671">
        <v>52427</v>
      </c>
    </row>
    <row r="38672" spans="1:6" ht="15.75" customHeight="1">
      <c r="A38672" s="3">
        <v>43874.700995370367</v>
      </c>
      <c r="B38672" t="str">
        <f>HYPERLINK("https://twitter.com/Ifknews1","@Ifknews1")</f>
        <v>@Ifknews1</v>
      </c>
      <c r="C38672" t="s">
        <v>506</v>
      </c>
      <c r="D38672">
        <v>0</v>
      </c>
      <c r="E38672">
        <v>0</v>
      </c>
      <c r="F38672">
        <v>128</v>
      </c>
    </row>
    <row r="38673" spans="1:6" ht="15.75" customHeight="1">
      <c r="A38673" s="3">
        <v>43874.700567129628</v>
      </c>
      <c r="B38673" t="str">
        <f>HYPERLINK("https://twitter.com/tribunnews","@tribunnews")</f>
        <v>@tribunnews</v>
      </c>
      <c r="C38673" t="s">
        <v>507</v>
      </c>
      <c r="D38673">
        <v>1</v>
      </c>
      <c r="E38673">
        <v>1</v>
      </c>
      <c r="F38673">
        <v>873082</v>
      </c>
    </row>
    <row r="38674" spans="1:6" ht="15.75" customHeight="1">
      <c r="A38674" s="3">
        <v>43874.700046296297</v>
      </c>
      <c r="B38674" t="str">
        <f>HYPERLINK("https://twitter.com/KomikPolitik","@KomikPolitik")</f>
        <v>@KomikPolitik</v>
      </c>
      <c r="D38674">
        <v>0</v>
      </c>
      <c r="E38674">
        <v>0</v>
      </c>
      <c r="F38674">
        <v>180</v>
      </c>
    </row>
    <row r="38675" spans="1:6" ht="15.75" customHeight="1">
      <c r="A38675" s="3">
        <v>43874.699687500004</v>
      </c>
      <c r="B38675" t="str">
        <f>HYPERLINK("https://twitter.com/MigaWempy","@MigaWempy")</f>
        <v>@MigaWempy</v>
      </c>
      <c r="C38675" t="s">
        <v>508</v>
      </c>
      <c r="D38675">
        <v>8</v>
      </c>
      <c r="E38675">
        <v>14</v>
      </c>
      <c r="F38675">
        <v>3749</v>
      </c>
    </row>
    <row r="38676" spans="1:6" ht="15.75" customHeight="1">
      <c r="A38676" s="3">
        <v>43874.699641203704</v>
      </c>
      <c r="B38676" t="str">
        <f>HYPERLINK("https://twitter.com/KomikPolitik","@KomikPolitik")</f>
        <v>@KomikPolitik</v>
      </c>
      <c r="D38676">
        <v>0</v>
      </c>
      <c r="E38676">
        <v>0</v>
      </c>
      <c r="F38676">
        <v>180</v>
      </c>
    </row>
    <row r="38677" spans="1:6" ht="15.75" customHeight="1">
      <c r="A38677" s="3">
        <v>43874.699560185181</v>
      </c>
      <c r="B38677" t="str">
        <f>HYPERLINK("https://twitter.com/JohnIrwan4","@JohnIrwan4")</f>
        <v>@JohnIrwan4</v>
      </c>
      <c r="C38677" t="s">
        <v>509</v>
      </c>
      <c r="D38677">
        <v>9</v>
      </c>
      <c r="E38677">
        <v>34</v>
      </c>
      <c r="F38677">
        <v>2096</v>
      </c>
    </row>
    <row r="38678" spans="1:6" ht="15.75" customHeight="1">
      <c r="A38678" s="3">
        <v>43874.699432870373</v>
      </c>
      <c r="B38678" t="str">
        <f>HYPERLINK("https://twitter.com/ndorobbs","@ndorobbs")</f>
        <v>@ndorobbs</v>
      </c>
      <c r="C38678" t="s">
        <v>510</v>
      </c>
      <c r="D38678">
        <v>0</v>
      </c>
      <c r="E38678">
        <v>1</v>
      </c>
      <c r="F38678">
        <v>170</v>
      </c>
    </row>
    <row r="38679" spans="1:6" ht="15.75" customHeight="1">
      <c r="A38679" s="3">
        <v>43874.698333333334</v>
      </c>
      <c r="B38679" t="str">
        <f t="shared" ref="B38679:B38680" si="453">HYPERLINK("https://twitter.com/KomikPolitik","@KomikPolitik")</f>
        <v>@KomikPolitik</v>
      </c>
      <c r="C38679" t="s">
        <v>511</v>
      </c>
      <c r="D38679">
        <v>0</v>
      </c>
      <c r="E38679">
        <v>0</v>
      </c>
      <c r="F38679">
        <v>180</v>
      </c>
    </row>
    <row r="38680" spans="1:6" ht="15.75" customHeight="1">
      <c r="A38680" s="3">
        <v>43874.698182870372</v>
      </c>
      <c r="B38680" t="str">
        <f t="shared" si="453"/>
        <v>@KomikPolitik</v>
      </c>
      <c r="C38680" t="s">
        <v>512</v>
      </c>
      <c r="D38680">
        <v>0</v>
      </c>
      <c r="E38680">
        <v>0</v>
      </c>
      <c r="F38680">
        <v>180</v>
      </c>
    </row>
    <row r="38681" spans="1:6" ht="15.75" customHeight="1">
      <c r="A38681" s="3">
        <v>43874.697916666672</v>
      </c>
      <c r="B38681" t="str">
        <f>HYPERLINK("https://twitter.com/kompascom","@kompascom")</f>
        <v>@kompascom</v>
      </c>
      <c r="C38681" t="s">
        <v>514</v>
      </c>
      <c r="D38681">
        <v>18</v>
      </c>
      <c r="E38681">
        <v>38</v>
      </c>
      <c r="F38681">
        <v>7496984</v>
      </c>
    </row>
    <row r="38682" spans="1:6" ht="15.75" customHeight="1">
      <c r="A38682" s="3">
        <v>43874.697048611109</v>
      </c>
      <c r="B38682" t="str">
        <f>HYPERLINK("https://twitter.com/Barna_byo","@Barna_byo")</f>
        <v>@Barna_byo</v>
      </c>
      <c r="C38682" t="s">
        <v>515</v>
      </c>
      <c r="D38682">
        <v>13</v>
      </c>
      <c r="E38682">
        <v>36</v>
      </c>
      <c r="F38682">
        <v>7832</v>
      </c>
    </row>
    <row r="38683" spans="1:6" ht="15.75" customHeight="1">
      <c r="A38683" s="3">
        <v>43874.697002314817</v>
      </c>
      <c r="B38683" t="str">
        <f>HYPERLINK("https://twitter.com/FathraNazrul","@FathraNazrul")</f>
        <v>@FathraNazrul</v>
      </c>
      <c r="C38683" t="s">
        <v>516</v>
      </c>
      <c r="D38683">
        <v>0</v>
      </c>
      <c r="E38683">
        <v>0</v>
      </c>
      <c r="F38683">
        <v>134</v>
      </c>
    </row>
    <row r="38684" spans="1:6" ht="15.75" customHeight="1">
      <c r="A38684" s="3">
        <v>43874.696898148148</v>
      </c>
      <c r="B38684" t="str">
        <f>HYPERLINK("https://twitter.com/KompasTV","@KompasTV")</f>
        <v>@KompasTV</v>
      </c>
      <c r="C38684" t="s">
        <v>517</v>
      </c>
      <c r="D38684">
        <v>1</v>
      </c>
      <c r="E38684">
        <v>4</v>
      </c>
      <c r="F38684">
        <v>2940924</v>
      </c>
    </row>
    <row r="38685" spans="1:6" ht="15.75" customHeight="1">
      <c r="A38685" s="3">
        <v>43874.696608796294</v>
      </c>
      <c r="B38685" t="str">
        <f>HYPERLINK("https://twitter.com/iNewsID","@iNewsID")</f>
        <v>@iNewsID</v>
      </c>
      <c r="C38685" t="s">
        <v>518</v>
      </c>
      <c r="D38685">
        <v>0</v>
      </c>
      <c r="E38685">
        <v>0</v>
      </c>
      <c r="F38685">
        <v>1253</v>
      </c>
    </row>
    <row r="38686" spans="1:6" ht="15.75" customHeight="1">
      <c r="A38686" s="3">
        <v>43874.696550925924</v>
      </c>
      <c r="B38686" t="str">
        <f>HYPERLINK("https://twitter.com/jpnncom","@jpnncom")</f>
        <v>@jpnncom</v>
      </c>
      <c r="C38686" t="s">
        <v>519</v>
      </c>
      <c r="D38686">
        <v>0</v>
      </c>
      <c r="E38686">
        <v>5</v>
      </c>
      <c r="F38686">
        <v>49438</v>
      </c>
    </row>
    <row r="38687" spans="1:6" ht="15.75" customHeight="1">
      <c r="A38687" s="3">
        <v>43874.69599537037</v>
      </c>
      <c r="B38687" t="str">
        <f>HYPERLINK("https://twitter.com/dhammaratano","@dhammaratano")</f>
        <v>@dhammaratano</v>
      </c>
      <c r="C38687" t="s">
        <v>520</v>
      </c>
      <c r="D38687">
        <v>0</v>
      </c>
      <c r="E38687">
        <v>2</v>
      </c>
      <c r="F38687">
        <v>633</v>
      </c>
    </row>
    <row r="38688" spans="1:6" ht="15.75" customHeight="1">
      <c r="A38688" s="3">
        <v>43874.69594907407</v>
      </c>
      <c r="B38688" t="str">
        <f>HYPERLINK("https://twitter.com/wow_keren","@wow_keren")</f>
        <v>@wow_keren</v>
      </c>
      <c r="C38688" t="s">
        <v>392</v>
      </c>
      <c r="D38688">
        <v>0</v>
      </c>
      <c r="E38688">
        <v>0</v>
      </c>
      <c r="F38688">
        <v>32000</v>
      </c>
    </row>
    <row r="38689" spans="1:6" ht="15.75" customHeight="1">
      <c r="A38689" s="3">
        <v>43874.695833333331</v>
      </c>
      <c r="B38689" t="str">
        <f>HYPERLINK("https://twitter.com/KomikPolitik","@KomikPolitik")</f>
        <v>@KomikPolitik</v>
      </c>
      <c r="C38689" t="s">
        <v>521</v>
      </c>
      <c r="D38689">
        <v>0</v>
      </c>
      <c r="E38689">
        <v>0</v>
      </c>
      <c r="F38689">
        <v>180</v>
      </c>
    </row>
    <row r="38690" spans="1:6" ht="15.75" customHeight="1">
      <c r="A38690" s="3">
        <v>43874.695775462962</v>
      </c>
      <c r="B38690" t="str">
        <f>HYPERLINK("https://twitter.com/SaikoDamai","@SaikoDamai")</f>
        <v>@SaikoDamai</v>
      </c>
      <c r="C38690" t="s">
        <v>522</v>
      </c>
      <c r="D38690">
        <v>2</v>
      </c>
      <c r="E38690">
        <v>3</v>
      </c>
      <c r="F38690">
        <v>6579</v>
      </c>
    </row>
    <row r="38691" spans="1:6" ht="15.75" customHeight="1">
      <c r="A38691" s="3">
        <v>43874.695763888885</v>
      </c>
      <c r="B38691" t="str">
        <f>HYPERLINK("https://twitter.com/cakdev","@cakdev")</f>
        <v>@cakdev</v>
      </c>
      <c r="C38691" t="s">
        <v>523</v>
      </c>
      <c r="D38691">
        <v>0</v>
      </c>
      <c r="E38691">
        <v>0</v>
      </c>
      <c r="F38691">
        <v>21</v>
      </c>
    </row>
    <row r="38692" spans="1:6" ht="15.75" customHeight="1">
      <c r="A38692" s="3">
        <v>43874.695520833338</v>
      </c>
      <c r="B38692" t="str">
        <f>HYPERLINK("https://twitter.com/Jokowi_FClub","@Jokowi_FClub")</f>
        <v>@Jokowi_FClub</v>
      </c>
      <c r="C38692" t="s">
        <v>215</v>
      </c>
      <c r="D38692">
        <v>0</v>
      </c>
      <c r="E38692">
        <v>0</v>
      </c>
      <c r="F38692">
        <v>246</v>
      </c>
    </row>
    <row r="38693" spans="1:6" ht="15.75" customHeight="1">
      <c r="A38693" s="3">
        <v>43874.694814814815</v>
      </c>
      <c r="B38693" t="str">
        <f>HYPERLINK("https://twitter.com/Matromli17","@Matromli17")</f>
        <v>@Matromli17</v>
      </c>
      <c r="C38693" t="s">
        <v>524</v>
      </c>
      <c r="D38693">
        <v>0</v>
      </c>
      <c r="E38693">
        <v>0</v>
      </c>
      <c r="F38693">
        <v>44</v>
      </c>
    </row>
    <row r="38694" spans="1:6" ht="15.75" customHeight="1">
      <c r="A38694" s="3">
        <v>43874.694652777776</v>
      </c>
      <c r="B38694" t="str">
        <f>HYPERLINK("https://twitter.com/SaikoDamai","@SaikoDamai")</f>
        <v>@SaikoDamai</v>
      </c>
      <c r="C38694" t="s">
        <v>525</v>
      </c>
      <c r="D38694">
        <v>0</v>
      </c>
      <c r="E38694">
        <v>6</v>
      </c>
      <c r="F38694">
        <v>6579</v>
      </c>
    </row>
    <row r="38695" spans="1:6" ht="15.75" customHeight="1">
      <c r="A38695" s="3">
        <v>43874.694456018522</v>
      </c>
      <c r="B38695" t="str">
        <f>HYPERLINK("https://twitter.com/rmol_id","@rmol_id")</f>
        <v>@rmol_id</v>
      </c>
      <c r="C38695" t="s">
        <v>526</v>
      </c>
      <c r="D38695">
        <v>2</v>
      </c>
      <c r="E38695">
        <v>2</v>
      </c>
      <c r="F38695">
        <v>160765</v>
      </c>
    </row>
    <row r="38696" spans="1:6" ht="15.75" customHeight="1">
      <c r="A38696" s="3">
        <v>43874.694456018522</v>
      </c>
      <c r="B38696" t="str">
        <f>HYPERLINK("https://twitter.com/tribunnews","@tribunnews")</f>
        <v>@tribunnews</v>
      </c>
      <c r="C38696" t="s">
        <v>527</v>
      </c>
      <c r="D38696">
        <v>1</v>
      </c>
      <c r="E38696">
        <v>5</v>
      </c>
      <c r="F38696">
        <v>873082</v>
      </c>
    </row>
    <row r="38697" spans="1:6" ht="15.75" customHeight="1">
      <c r="A38697" s="3">
        <v>43874.693807870368</v>
      </c>
      <c r="B38697" t="str">
        <f>HYPERLINK("https://twitter.com/cakdev","@cakdev")</f>
        <v>@cakdev</v>
      </c>
      <c r="C38697" t="s">
        <v>528</v>
      </c>
      <c r="D38697">
        <v>0</v>
      </c>
      <c r="E38697">
        <v>0</v>
      </c>
      <c r="F38697">
        <v>21</v>
      </c>
    </row>
    <row r="38698" spans="1:6" ht="15.75" customHeight="1">
      <c r="A38698" s="3">
        <v>43874.693715277783</v>
      </c>
      <c r="B38698" t="str">
        <f>HYPERLINK("https://twitter.com/bro_denot","@bro_denot")</f>
        <v>@bro_denot</v>
      </c>
      <c r="C38698" t="s">
        <v>529</v>
      </c>
      <c r="D38698">
        <v>0</v>
      </c>
      <c r="E38698">
        <v>1</v>
      </c>
      <c r="F38698">
        <v>1708</v>
      </c>
    </row>
    <row r="38699" spans="1:6" ht="15.75" customHeight="1">
      <c r="A38699" s="3">
        <v>43874.693055555559</v>
      </c>
      <c r="B38699" t="str">
        <f>HYPERLINK("https://twitter.com/tribunnews","@tribunnews")</f>
        <v>@tribunnews</v>
      </c>
      <c r="C38699" t="s">
        <v>530</v>
      </c>
      <c r="D38699">
        <v>1</v>
      </c>
      <c r="E38699">
        <v>0</v>
      </c>
      <c r="F38699">
        <v>873082</v>
      </c>
    </row>
    <row r="38700" spans="1:6" ht="15.75" customHeight="1">
      <c r="A38700" s="3">
        <v>43874.69295138889</v>
      </c>
      <c r="B38700" t="str">
        <f>HYPERLINK("https://twitter.com/itsaldtr","@itsaldtr")</f>
        <v>@itsaldtr</v>
      </c>
      <c r="C38700" t="s">
        <v>531</v>
      </c>
      <c r="D38700">
        <v>0</v>
      </c>
      <c r="E38700">
        <v>0</v>
      </c>
      <c r="F38700">
        <v>315</v>
      </c>
    </row>
    <row r="38701" spans="1:6" ht="15.75" customHeight="1">
      <c r="A38701" s="3">
        <v>43874.692916666667</v>
      </c>
      <c r="B38701" t="str">
        <f>HYPERLINK("https://twitter.com/SaikoDamai","@SaikoDamai")</f>
        <v>@SaikoDamai</v>
      </c>
      <c r="C38701" t="s">
        <v>532</v>
      </c>
      <c r="D38701">
        <v>0</v>
      </c>
      <c r="E38701">
        <v>2</v>
      </c>
      <c r="F38701">
        <v>6579</v>
      </c>
    </row>
    <row r="38702" spans="1:6" ht="15.75" customHeight="1">
      <c r="A38702" s="3">
        <v>43874.692442129628</v>
      </c>
      <c r="B38702" t="str">
        <f>HYPERLINK("https://twitter.com/sitisarahdama","@sitisarahdama")</f>
        <v>@sitisarahdama</v>
      </c>
      <c r="C38702" t="s">
        <v>533</v>
      </c>
      <c r="D38702">
        <v>0</v>
      </c>
      <c r="E38702">
        <v>0</v>
      </c>
      <c r="F38702">
        <v>17</v>
      </c>
    </row>
    <row r="38703" spans="1:6" ht="15.75" customHeight="1">
      <c r="A38703" s="3">
        <v>43874.691712962958</v>
      </c>
      <c r="B38703" t="str">
        <f>HYPERLINK("https://twitter.com/eddies_song","@eddies_song")</f>
        <v>@eddies_song</v>
      </c>
      <c r="C38703" t="s">
        <v>534</v>
      </c>
      <c r="D38703">
        <v>0</v>
      </c>
      <c r="E38703">
        <v>0</v>
      </c>
      <c r="F38703">
        <v>1232</v>
      </c>
    </row>
    <row r="38704" spans="1:6" ht="15.75" customHeight="1">
      <c r="A38704" s="3">
        <v>43874.691180555557</v>
      </c>
      <c r="B38704" t="str">
        <f>HYPERLINK("https://twitter.com/sirodjudin_ID","@sirodjudin_ID")</f>
        <v>@sirodjudin_ID</v>
      </c>
      <c r="C38704" t="s">
        <v>535</v>
      </c>
      <c r="D38704">
        <v>0</v>
      </c>
      <c r="E38704">
        <v>1</v>
      </c>
      <c r="F38704">
        <v>3192</v>
      </c>
    </row>
    <row r="38705" spans="1:6" ht="15.75" customHeight="1">
      <c r="A38705" s="3">
        <v>43874.691076388888</v>
      </c>
      <c r="B38705" t="str">
        <f>HYPERLINK("https://twitter.com/farlina_vera","@farlina_vera")</f>
        <v>@farlina_vera</v>
      </c>
      <c r="C38705" t="s">
        <v>536</v>
      </c>
      <c r="D38705">
        <v>0</v>
      </c>
      <c r="E38705">
        <v>0</v>
      </c>
      <c r="F38705">
        <v>950</v>
      </c>
    </row>
    <row r="38706" spans="1:6" ht="15.75" customHeight="1">
      <c r="A38706" s="3">
        <v>43874.690706018519</v>
      </c>
      <c r="B38706" t="str">
        <f t="shared" ref="B38706:B38707" si="454">HYPERLINK("https://twitter.com/sirodjudin_ID","@sirodjudin_ID")</f>
        <v>@sirodjudin_ID</v>
      </c>
      <c r="C38706" t="s">
        <v>537</v>
      </c>
      <c r="D38706">
        <v>0</v>
      </c>
      <c r="E38706">
        <v>1</v>
      </c>
      <c r="F38706">
        <v>3192</v>
      </c>
    </row>
    <row r="38707" spans="1:6" ht="15.75" customHeight="1">
      <c r="A38707" s="3">
        <v>43874.690312499995</v>
      </c>
      <c r="B38707" t="str">
        <f t="shared" si="454"/>
        <v>@sirodjudin_ID</v>
      </c>
      <c r="C38707" t="s">
        <v>538</v>
      </c>
      <c r="D38707">
        <v>1</v>
      </c>
      <c r="E38707">
        <v>5</v>
      </c>
      <c r="F38707">
        <v>3192</v>
      </c>
    </row>
    <row r="38708" spans="1:6" ht="15.75" customHeight="1">
      <c r="A38708" s="3">
        <v>43874.690312499995</v>
      </c>
      <c r="B38708" t="str">
        <f>HYPERLINK("https://twitter.com/SaikoDamai","@SaikoDamai")</f>
        <v>@SaikoDamai</v>
      </c>
      <c r="C38708" t="s">
        <v>539</v>
      </c>
      <c r="D38708">
        <v>0</v>
      </c>
      <c r="E38708">
        <v>0</v>
      </c>
      <c r="F38708">
        <v>6579</v>
      </c>
    </row>
    <row r="38709" spans="1:6" ht="15.75" customHeight="1">
      <c r="A38709" s="3">
        <v>43874.690208333333</v>
      </c>
      <c r="B38709" t="str">
        <f>HYPERLINK("https://twitter.com/Jokowi_FClub","@Jokowi_FClub")</f>
        <v>@Jokowi_FClub</v>
      </c>
      <c r="C38709" t="s">
        <v>224</v>
      </c>
      <c r="D38709">
        <v>0</v>
      </c>
      <c r="E38709">
        <v>0</v>
      </c>
      <c r="F38709">
        <v>246</v>
      </c>
    </row>
    <row r="38710" spans="1:6" ht="15.75" customHeight="1">
      <c r="A38710" s="3">
        <v>43874.690162037034</v>
      </c>
      <c r="B38710" t="str">
        <f>HYPERLINK("https://twitter.com/sirodjudin_ID","@sirodjudin_ID")</f>
        <v>@sirodjudin_ID</v>
      </c>
      <c r="C38710" t="s">
        <v>540</v>
      </c>
      <c r="D38710">
        <v>0</v>
      </c>
      <c r="E38710">
        <v>1</v>
      </c>
      <c r="F38710">
        <v>3192</v>
      </c>
    </row>
    <row r="38711" spans="1:6" ht="15.75" customHeight="1">
      <c r="A38711" s="3">
        <v>43874.689953703702</v>
      </c>
      <c r="B38711" t="str">
        <f>HYPERLINK("https://twitter.com/CiungKana","@CiungKana")</f>
        <v>@CiungKana</v>
      </c>
      <c r="C38711" t="s">
        <v>541</v>
      </c>
      <c r="D38711">
        <v>0</v>
      </c>
      <c r="E38711">
        <v>2</v>
      </c>
      <c r="F38711">
        <v>1823</v>
      </c>
    </row>
    <row r="38712" spans="1:6" ht="15.75" customHeight="1">
      <c r="A38712" s="3">
        <v>43874.689664351856</v>
      </c>
      <c r="B38712" t="str">
        <f>HYPERLINK("https://twitter.com/joxzin72","@joxzin72")</f>
        <v>@joxzin72</v>
      </c>
      <c r="C38712" t="s">
        <v>542</v>
      </c>
      <c r="D38712">
        <v>1</v>
      </c>
      <c r="E38712">
        <v>1</v>
      </c>
      <c r="F38712">
        <v>2373</v>
      </c>
    </row>
    <row r="38713" spans="1:6" ht="15.75" customHeight="1">
      <c r="A38713" s="3">
        <v>43874.688564814816</v>
      </c>
      <c r="B38713" t="str">
        <f>HYPERLINK("https://twitter.com/Haluan_","@Haluan_")</f>
        <v>@Haluan_</v>
      </c>
      <c r="C38713" t="s">
        <v>543</v>
      </c>
      <c r="D38713">
        <v>0</v>
      </c>
      <c r="E38713">
        <v>0</v>
      </c>
      <c r="F38713">
        <v>1442</v>
      </c>
    </row>
    <row r="38714" spans="1:6" ht="15.75" customHeight="1">
      <c r="A38714" s="3">
        <v>43874.68850694444</v>
      </c>
      <c r="B38714" t="str">
        <f>HYPERLINK("https://twitter.com/ZoneVenomWar","@ZoneVenomWar")</f>
        <v>@ZoneVenomWar</v>
      </c>
      <c r="C38714" t="s">
        <v>544</v>
      </c>
      <c r="D38714">
        <v>1</v>
      </c>
      <c r="E38714">
        <v>0</v>
      </c>
      <c r="F38714">
        <v>1617</v>
      </c>
    </row>
    <row r="38715" spans="1:6" ht="15.75" customHeight="1">
      <c r="A38715" s="3">
        <v>43874.687939814816</v>
      </c>
      <c r="B38715" t="str">
        <f>HYPERLINK("https://twitter.com/shinichikudo991","@shinichikudo991")</f>
        <v>@shinichikudo991</v>
      </c>
      <c r="C38715" t="s">
        <v>545</v>
      </c>
      <c r="D38715">
        <v>37</v>
      </c>
      <c r="E38715">
        <v>61</v>
      </c>
      <c r="F38715">
        <v>5742</v>
      </c>
    </row>
    <row r="38716" spans="1:6" ht="15.75" customHeight="1">
      <c r="A38716" s="3">
        <v>43874.687534722223</v>
      </c>
      <c r="B38716" t="str">
        <f>HYPERLINK("https://twitter.com/antarakalbar","@antarakalbar")</f>
        <v>@antarakalbar</v>
      </c>
      <c r="C38716" t="s">
        <v>546</v>
      </c>
      <c r="D38716">
        <v>0</v>
      </c>
      <c r="E38716">
        <v>1</v>
      </c>
      <c r="F38716">
        <v>5213</v>
      </c>
    </row>
    <row r="38717" spans="1:6" ht="15.75" customHeight="1">
      <c r="A38717" s="3">
        <v>43874.687164351853</v>
      </c>
      <c r="B38717" t="str">
        <f>HYPERLINK("https://twitter.com/Hali__lintar","@Hali__lintar")</f>
        <v>@Hali__lintar</v>
      </c>
      <c r="C38717" t="s">
        <v>547</v>
      </c>
      <c r="D38717">
        <v>1</v>
      </c>
      <c r="E38717">
        <v>1</v>
      </c>
      <c r="F38717">
        <v>9302</v>
      </c>
    </row>
    <row r="38718" spans="1:6" ht="15.75" customHeight="1">
      <c r="A38718" s="3">
        <v>43874.686597222222</v>
      </c>
      <c r="B38718" t="str">
        <f>HYPERLINK("https://twitter.com/BatamPos","@BatamPos")</f>
        <v>@BatamPos</v>
      </c>
      <c r="C38718" t="s">
        <v>548</v>
      </c>
      <c r="D38718">
        <v>0</v>
      </c>
      <c r="E38718">
        <v>0</v>
      </c>
      <c r="F38718">
        <v>67353</v>
      </c>
    </row>
    <row r="38719" spans="1:6" ht="15.75" customHeight="1">
      <c r="A38719" s="3">
        <v>43874.686585648145</v>
      </c>
      <c r="B38719" t="str">
        <f>HYPERLINK("https://twitter.com/akantale","@akantale")</f>
        <v>@akantale</v>
      </c>
      <c r="C38719" t="s">
        <v>549</v>
      </c>
      <c r="D38719">
        <v>0</v>
      </c>
      <c r="E38719">
        <v>0</v>
      </c>
      <c r="F38719">
        <v>1491</v>
      </c>
    </row>
    <row r="38720" spans="1:6" ht="15.75" customHeight="1">
      <c r="A38720" s="3">
        <v>43874.68644675926</v>
      </c>
      <c r="B38720" t="str">
        <f>HYPERLINK("https://twitter.com/CNNIndonesia","@CNNIndonesia")</f>
        <v>@CNNIndonesia</v>
      </c>
      <c r="C38720" t="s">
        <v>550</v>
      </c>
      <c r="D38720">
        <v>1</v>
      </c>
      <c r="E38720">
        <v>12</v>
      </c>
      <c r="F38720">
        <v>618499</v>
      </c>
    </row>
    <row r="38721" spans="1:6" ht="15.75" customHeight="1">
      <c r="A38721" s="3">
        <v>43874.686064814814</v>
      </c>
      <c r="B38721" t="str">
        <f>HYPERLINK("https://twitter.com/shinichikudo991","@shinichikudo991")</f>
        <v>@shinichikudo991</v>
      </c>
      <c r="C38721" t="s">
        <v>551</v>
      </c>
      <c r="D38721">
        <v>38</v>
      </c>
      <c r="E38721">
        <v>73</v>
      </c>
      <c r="F38721">
        <v>5742</v>
      </c>
    </row>
    <row r="38722" spans="1:6" ht="15.75" customHeight="1">
      <c r="A38722" s="3">
        <v>43874.685856481483</v>
      </c>
      <c r="B38722" t="str">
        <f t="shared" ref="B38722:B38723" si="455">HYPERLINK("https://twitter.com/okezonenews","@okezonenews")</f>
        <v>@okezonenews</v>
      </c>
      <c r="C38722" t="s">
        <v>552</v>
      </c>
      <c r="D38722">
        <v>1</v>
      </c>
      <c r="E38722">
        <v>4</v>
      </c>
      <c r="F38722">
        <v>1743741</v>
      </c>
    </row>
    <row r="38723" spans="1:6" ht="15.75" customHeight="1">
      <c r="A38723" s="3">
        <v>43874.685104166667</v>
      </c>
      <c r="B38723" t="str">
        <f t="shared" si="455"/>
        <v>@okezonenews</v>
      </c>
      <c r="C38723" t="s">
        <v>553</v>
      </c>
      <c r="D38723">
        <v>1</v>
      </c>
      <c r="E38723">
        <v>1</v>
      </c>
      <c r="F38723">
        <v>1743741</v>
      </c>
    </row>
    <row r="38724" spans="1:6" ht="15.75" customHeight="1">
      <c r="A38724" s="3">
        <v>43874.684791666667</v>
      </c>
      <c r="B38724" t="str">
        <f>HYPERLINK("https://twitter.com/Metrobatam_com","@Metrobatam_com")</f>
        <v>@Metrobatam_com</v>
      </c>
      <c r="C38724" t="s">
        <v>554</v>
      </c>
      <c r="D38724">
        <v>0</v>
      </c>
      <c r="E38724">
        <v>0</v>
      </c>
      <c r="F38724">
        <v>118</v>
      </c>
    </row>
    <row r="38725" spans="1:6" ht="15.75" customHeight="1">
      <c r="A38725" s="3">
        <v>43874.684537037036</v>
      </c>
      <c r="B38725" t="str">
        <f>HYPERLINK("https://twitter.com/ElkWahyu","@ElkWahyu")</f>
        <v>@ElkWahyu</v>
      </c>
      <c r="C38725" t="s">
        <v>555</v>
      </c>
      <c r="D38725">
        <v>0</v>
      </c>
      <c r="E38725">
        <v>0</v>
      </c>
      <c r="F38725">
        <v>677</v>
      </c>
    </row>
    <row r="38726" spans="1:6" ht="15.75" customHeight="1">
      <c r="A38726" s="3">
        <v>43874.68304398148</v>
      </c>
      <c r="B38726" t="str">
        <f>HYPERLINK("https://twitter.com/WahabisLokal","@WahabisLokal")</f>
        <v>@WahabisLokal</v>
      </c>
      <c r="C38726" t="s">
        <v>556</v>
      </c>
      <c r="D38726">
        <v>242</v>
      </c>
      <c r="E38726">
        <v>389</v>
      </c>
      <c r="F38726">
        <v>19425</v>
      </c>
    </row>
    <row r="38727" spans="1:6" ht="15.75" customHeight="1">
      <c r="A38727" s="3">
        <v>43874.682997685188</v>
      </c>
      <c r="B38727" t="str">
        <f>HYPERLINK("https://twitter.com/koar_qoad","@koar_qoad")</f>
        <v>@koar_qoad</v>
      </c>
      <c r="C38727" t="s">
        <v>557</v>
      </c>
      <c r="D38727">
        <v>0</v>
      </c>
      <c r="E38727">
        <v>0</v>
      </c>
      <c r="F38727">
        <v>15</v>
      </c>
    </row>
    <row r="38728" spans="1:6" ht="15.75" customHeight="1">
      <c r="A38728" s="3">
        <v>43874.682303240741</v>
      </c>
      <c r="B38728" t="str">
        <f>HYPERLINK("https://twitter.com/Julia_Zeed","@Julia_Zeed")</f>
        <v>@Julia_Zeed</v>
      </c>
      <c r="C38728" t="s">
        <v>558</v>
      </c>
      <c r="D38728">
        <v>4</v>
      </c>
      <c r="E38728">
        <v>11</v>
      </c>
      <c r="F38728">
        <v>2575</v>
      </c>
    </row>
    <row r="38729" spans="1:6" ht="15.75" customHeight="1">
      <c r="A38729" s="3">
        <v>43874.68204861111</v>
      </c>
      <c r="B38729" t="str">
        <f>HYPERLINK("https://twitter.com/Dwiyana_DKM","@Dwiyana_DKM")</f>
        <v>@Dwiyana_DKM</v>
      </c>
      <c r="C38729" t="s">
        <v>559</v>
      </c>
      <c r="D38729">
        <v>68</v>
      </c>
      <c r="E38729">
        <v>103</v>
      </c>
      <c r="F38729">
        <v>22207</v>
      </c>
    </row>
    <row r="38730" spans="1:6" ht="15.75" customHeight="1">
      <c r="A38730" s="3">
        <v>43874.681331018517</v>
      </c>
      <c r="B38730" t="str">
        <f>HYPERLINK("https://twitter.com/Anoviansyah5","@Anoviansyah5")</f>
        <v>@Anoviansyah5</v>
      </c>
      <c r="C38730" t="s">
        <v>560</v>
      </c>
      <c r="D38730">
        <v>3</v>
      </c>
      <c r="E38730">
        <v>7</v>
      </c>
      <c r="F38730">
        <v>95</v>
      </c>
    </row>
    <row r="38731" spans="1:6" ht="15.75" customHeight="1">
      <c r="A38731" s="3">
        <v>43874.681168981479</v>
      </c>
      <c r="B38731" t="str">
        <f>HYPERLINK("https://twitter.com/MartinusUropma1","@MartinusUropma1")</f>
        <v>@MartinusUropma1</v>
      </c>
      <c r="C38731" t="s">
        <v>561</v>
      </c>
      <c r="D38731">
        <v>0</v>
      </c>
      <c r="E38731">
        <v>0</v>
      </c>
      <c r="F38731">
        <v>69</v>
      </c>
    </row>
    <row r="38732" spans="1:6" ht="15.75" customHeight="1">
      <c r="A38732" s="3">
        <v>43874.680775462963</v>
      </c>
      <c r="B38732" t="str">
        <f>HYPERLINK("https://twitter.com/beritapapua_id","@beritapapua_id")</f>
        <v>@beritapapua_id</v>
      </c>
      <c r="C38732" t="s">
        <v>562</v>
      </c>
      <c r="D38732">
        <v>0</v>
      </c>
      <c r="E38732">
        <v>0</v>
      </c>
      <c r="F38732">
        <v>31</v>
      </c>
    </row>
    <row r="38733" spans="1:6" ht="15.75" customHeight="1">
      <c r="A38733" s="3">
        <v>43874.680081018523</v>
      </c>
      <c r="B38733" t="str">
        <f>HYPERLINK("https://twitter.com/Beritasatu","@Beritasatu")</f>
        <v>@Beritasatu</v>
      </c>
      <c r="C38733" t="s">
        <v>563</v>
      </c>
      <c r="D38733">
        <v>0</v>
      </c>
      <c r="E38733">
        <v>1</v>
      </c>
      <c r="F38733">
        <v>613637</v>
      </c>
    </row>
    <row r="38734" spans="1:6" ht="15.75" customHeight="1">
      <c r="A38734" s="3">
        <v>43874.679085648153</v>
      </c>
      <c r="B38734" t="str">
        <f>HYPERLINK("https://twitter.com/WahabisLokal","@WahabisLokal")</f>
        <v>@WahabisLokal</v>
      </c>
      <c r="C38734" t="s">
        <v>564</v>
      </c>
      <c r="D38734">
        <v>139</v>
      </c>
      <c r="E38734">
        <v>350</v>
      </c>
      <c r="F38734">
        <v>19425</v>
      </c>
    </row>
    <row r="38735" spans="1:6" ht="15.75" customHeight="1">
      <c r="A38735" s="3">
        <v>43874.679027777776</v>
      </c>
      <c r="B38735" t="str">
        <f>HYPERLINK("https://twitter.com/ko_papua","@ko_papua")</f>
        <v>@ko_papua</v>
      </c>
      <c r="C38735" t="s">
        <v>561</v>
      </c>
      <c r="D38735">
        <v>2</v>
      </c>
      <c r="E38735">
        <v>1</v>
      </c>
      <c r="F38735">
        <v>32</v>
      </c>
    </row>
    <row r="38736" spans="1:6" ht="15.75" customHeight="1">
      <c r="A38736" s="3">
        <v>43874.679027777776</v>
      </c>
      <c r="B38736" t="str">
        <f>HYPERLINK("https://twitter.com/tempodotco","@tempodotco")</f>
        <v>@tempodotco</v>
      </c>
      <c r="C38736" t="s">
        <v>565</v>
      </c>
      <c r="D38736">
        <v>4</v>
      </c>
      <c r="E38736">
        <v>7</v>
      </c>
      <c r="F38736">
        <v>1702040</v>
      </c>
    </row>
    <row r="38737" spans="1:6" ht="15.75" customHeight="1">
      <c r="A38737" s="3">
        <v>43874.678993055553</v>
      </c>
      <c r="B38737" t="str">
        <f>HYPERLINK("https://twitter.com/cinnamongirldr","@cinnamongirldr")</f>
        <v>@cinnamongirldr</v>
      </c>
      <c r="C38737" t="s">
        <v>566</v>
      </c>
      <c r="D38737">
        <v>20</v>
      </c>
      <c r="E38737">
        <v>11</v>
      </c>
      <c r="F38737">
        <v>2536</v>
      </c>
    </row>
    <row r="38738" spans="1:6" ht="15.75" customHeight="1">
      <c r="A38738" s="3">
        <v>43874.678969907407</v>
      </c>
      <c r="B38738" t="str">
        <f>HYPERLINK("https://twitter.com/Je_Ly","@Je_Ly")</f>
        <v>@Je_Ly</v>
      </c>
      <c r="C38738" t="s">
        <v>567</v>
      </c>
      <c r="D38738">
        <v>40</v>
      </c>
      <c r="E38738">
        <v>61</v>
      </c>
      <c r="F38738">
        <v>16549</v>
      </c>
    </row>
    <row r="38739" spans="1:6" ht="15.75" customHeight="1">
      <c r="A38739" s="3">
        <v>43874.678715277776</v>
      </c>
      <c r="B38739" t="str">
        <f>HYPERLINK("https://twitter.com/Pang22Saudi","@Pang22Saudi")</f>
        <v>@Pang22Saudi</v>
      </c>
      <c r="C38739" t="s">
        <v>568</v>
      </c>
      <c r="D38739">
        <v>0</v>
      </c>
      <c r="E38739">
        <v>0</v>
      </c>
      <c r="F38739">
        <v>565</v>
      </c>
    </row>
    <row r="38740" spans="1:6" ht="15.75" customHeight="1">
      <c r="A38740" s="3">
        <v>43874.67869212963</v>
      </c>
      <c r="B38740" t="str">
        <f>HYPERLINK("https://twitter.com/ilman__nafian","@ilman__nafian")</f>
        <v>@ilman__nafian</v>
      </c>
      <c r="C38740" t="s">
        <v>569</v>
      </c>
      <c r="D38740">
        <v>0</v>
      </c>
      <c r="E38740">
        <v>2</v>
      </c>
      <c r="F38740">
        <v>1826</v>
      </c>
    </row>
    <row r="38741" spans="1:6" ht="15.75" customHeight="1">
      <c r="A38741" s="3">
        <v>43874.678043981483</v>
      </c>
      <c r="B38741" t="str">
        <f>HYPERLINK("https://twitter.com/ependi_acep","@ependi_acep")</f>
        <v>@ependi_acep</v>
      </c>
      <c r="C38741" t="s">
        <v>570</v>
      </c>
      <c r="D38741">
        <v>0</v>
      </c>
      <c r="E38741">
        <v>0</v>
      </c>
      <c r="F38741">
        <v>29</v>
      </c>
    </row>
    <row r="38742" spans="1:6" ht="15.75" customHeight="1">
      <c r="A38742" s="3">
        <v>43874.67796296296</v>
      </c>
      <c r="B38742" t="str">
        <f>HYPERLINK("https://twitter.com/bulansridevi","@bulansridevi")</f>
        <v>@bulansridevi</v>
      </c>
      <c r="C38742" t="s">
        <v>571</v>
      </c>
      <c r="D38742">
        <v>0</v>
      </c>
      <c r="E38742">
        <v>0</v>
      </c>
      <c r="F38742">
        <v>784</v>
      </c>
    </row>
    <row r="38743" spans="1:6" ht="15.75" customHeight="1">
      <c r="A38743" s="3">
        <v>43874.677824074075</v>
      </c>
      <c r="B38743" t="str">
        <f>HYPERLINK("https://twitter.com/otentikco","@otentikco")</f>
        <v>@otentikco</v>
      </c>
      <c r="C38743" t="s">
        <v>572</v>
      </c>
      <c r="D38743">
        <v>0</v>
      </c>
      <c r="E38743">
        <v>0</v>
      </c>
      <c r="F38743">
        <v>148</v>
      </c>
    </row>
    <row r="38744" spans="1:6" ht="15.75" customHeight="1">
      <c r="A38744" s="3">
        <v>43874.677175925928</v>
      </c>
      <c r="B38744" t="str">
        <f>HYPERLINK("https://twitter.com/wenda_yesi","@wenda_yesi")</f>
        <v>@wenda_yesi</v>
      </c>
      <c r="C38744" t="s">
        <v>561</v>
      </c>
      <c r="D38744">
        <v>0</v>
      </c>
      <c r="E38744">
        <v>0</v>
      </c>
      <c r="F38744">
        <v>27</v>
      </c>
    </row>
    <row r="38745" spans="1:6" ht="15.75" customHeight="1">
      <c r="A38745" s="3">
        <v>43874.675879629634</v>
      </c>
      <c r="B38745" t="str">
        <f>HYPERLINK("https://twitter.com/RepublikTweep","@RepublikTweep")</f>
        <v>@RepublikTweep</v>
      </c>
      <c r="C38745" t="s">
        <v>573</v>
      </c>
      <c r="D38745">
        <v>0</v>
      </c>
      <c r="E38745">
        <v>0</v>
      </c>
      <c r="F38745">
        <v>26983</v>
      </c>
    </row>
    <row r="38746" spans="1:6" ht="15.75" customHeight="1">
      <c r="A38746" s="3">
        <v>43874.675717592589</v>
      </c>
      <c r="B38746" t="str">
        <f>HYPERLINK("https://twitter.com/jpnncom","@jpnncom")</f>
        <v>@jpnncom</v>
      </c>
      <c r="C38746" t="s">
        <v>574</v>
      </c>
      <c r="D38746">
        <v>1</v>
      </c>
      <c r="E38746">
        <v>0</v>
      </c>
      <c r="F38746">
        <v>49438</v>
      </c>
    </row>
    <row r="38747" spans="1:6" ht="15.75" customHeight="1">
      <c r="A38747" s="3">
        <v>43874.675520833334</v>
      </c>
      <c r="B38747" t="str">
        <f>HYPERLINK("https://twitter.com/innovesian","@innovesian")</f>
        <v>@innovesian</v>
      </c>
      <c r="C38747" t="s">
        <v>575</v>
      </c>
      <c r="D38747">
        <v>1</v>
      </c>
      <c r="E38747">
        <v>0</v>
      </c>
      <c r="F38747">
        <v>31965</v>
      </c>
    </row>
    <row r="38748" spans="1:6" ht="15.75" customHeight="1">
      <c r="A38748" s="3">
        <v>43874.675046296295</v>
      </c>
      <c r="B38748" t="str">
        <f>HYPERLINK("https://twitter.com/adji2912","@adji2912")</f>
        <v>@adji2912</v>
      </c>
      <c r="C38748" t="s">
        <v>576</v>
      </c>
      <c r="D38748">
        <v>2</v>
      </c>
      <c r="E38748">
        <v>16</v>
      </c>
      <c r="F38748">
        <v>1529</v>
      </c>
    </row>
    <row r="38749" spans="1:6" ht="15.75" customHeight="1">
      <c r="A38749" s="3">
        <v>43874.674849537041</v>
      </c>
      <c r="B38749" t="str">
        <f>HYPERLINK("https://twitter.com/JubirPresidenRI","@JubirPresidenRI")</f>
        <v>@JubirPresidenRI</v>
      </c>
      <c r="C38749" t="s">
        <v>577</v>
      </c>
      <c r="D38749">
        <v>6</v>
      </c>
      <c r="E38749">
        <v>12</v>
      </c>
      <c r="F38749">
        <v>326</v>
      </c>
    </row>
    <row r="38750" spans="1:6" ht="15.75" customHeight="1">
      <c r="A38750" s="3">
        <v>43874.673900462964</v>
      </c>
      <c r="B38750" t="str">
        <f>HYPERLINK("https://twitter.com/caknawa","@caknawa")</f>
        <v>@caknawa</v>
      </c>
      <c r="C38750" t="s">
        <v>578</v>
      </c>
      <c r="D38750">
        <v>0</v>
      </c>
      <c r="E38750">
        <v>2</v>
      </c>
      <c r="F38750">
        <v>1300</v>
      </c>
    </row>
    <row r="38751" spans="1:6" ht="15.75" customHeight="1">
      <c r="A38751" s="3">
        <v>43874.673842592594</v>
      </c>
      <c r="B38751" t="str">
        <f>HYPERLINK("https://twitter.com/ZoelFawzie","@ZoelFawzie")</f>
        <v>@ZoelFawzie</v>
      </c>
      <c r="C38751" t="s">
        <v>579</v>
      </c>
      <c r="D38751">
        <v>1</v>
      </c>
      <c r="E38751">
        <v>4</v>
      </c>
      <c r="F38751">
        <v>5684</v>
      </c>
    </row>
    <row r="38752" spans="1:6" ht="15.75" customHeight="1">
      <c r="A38752" s="3">
        <v>43874.671458333338</v>
      </c>
      <c r="B38752" t="str">
        <f>HYPERLINK("https://twitter.com/Antara_Kalteng","@Antara_Kalteng")</f>
        <v>@Antara_Kalteng</v>
      </c>
      <c r="C38752" t="s">
        <v>580</v>
      </c>
      <c r="D38752">
        <v>0</v>
      </c>
      <c r="E38752">
        <v>0</v>
      </c>
      <c r="F38752">
        <v>4632</v>
      </c>
    </row>
    <row r="38753" spans="1:6" ht="15.75" customHeight="1">
      <c r="A38753" s="3">
        <v>43874.671041666668</v>
      </c>
      <c r="B38753" t="str">
        <f>HYPERLINK("https://twitter.com/ThayranAzazil","@ThayranAzazil")</f>
        <v>@ThayranAzazil</v>
      </c>
      <c r="C38753" t="s">
        <v>581</v>
      </c>
      <c r="D38753">
        <v>0</v>
      </c>
      <c r="E38753">
        <v>0</v>
      </c>
      <c r="F38753">
        <v>246</v>
      </c>
    </row>
    <row r="38754" spans="1:6" ht="15.75" customHeight="1">
      <c r="A38754" s="3">
        <v>43874.669953703706</v>
      </c>
      <c r="B38754" t="str">
        <f>HYPERLINK("https://twitter.com/sofiankawar1","@sofiankawar1")</f>
        <v>@sofiankawar1</v>
      </c>
      <c r="C38754" t="s">
        <v>582</v>
      </c>
      <c r="D38754">
        <v>0</v>
      </c>
      <c r="E38754">
        <v>0</v>
      </c>
      <c r="F38754">
        <v>53</v>
      </c>
    </row>
    <row r="38755" spans="1:6" ht="15.75" customHeight="1">
      <c r="A38755" s="3">
        <v>43874.669525462959</v>
      </c>
      <c r="B38755" t="str">
        <f>HYPERLINK("https://twitter.com/sastrawanawan","@sastrawanawan")</f>
        <v>@sastrawanawan</v>
      </c>
      <c r="C38755" t="s">
        <v>583</v>
      </c>
      <c r="D38755">
        <v>0</v>
      </c>
      <c r="E38755">
        <v>0</v>
      </c>
      <c r="F38755">
        <v>1762</v>
      </c>
    </row>
    <row r="38756" spans="1:6" ht="15.75" customHeight="1">
      <c r="A38756" s="3">
        <v>43874.669247685189</v>
      </c>
      <c r="B38756" t="str">
        <f>HYPERLINK("https://twitter.com/YudiY2E","@YudiY2E")</f>
        <v>@YudiY2E</v>
      </c>
      <c r="C38756" t="s">
        <v>584</v>
      </c>
      <c r="D38756">
        <v>0</v>
      </c>
      <c r="E38756">
        <v>1</v>
      </c>
      <c r="F38756">
        <v>1114</v>
      </c>
    </row>
    <row r="38757" spans="1:6" ht="15.75" customHeight="1">
      <c r="A38757" s="3">
        <v>43874.669224537036</v>
      </c>
      <c r="B38757" t="str">
        <f>HYPERLINK("https://twitter.com/LestariNKRI","@LestariNKRI")</f>
        <v>@LestariNKRI</v>
      </c>
      <c r="C38757" t="s">
        <v>585</v>
      </c>
      <c r="D38757">
        <v>51</v>
      </c>
      <c r="E38757">
        <v>114</v>
      </c>
      <c r="F38757">
        <v>860</v>
      </c>
    </row>
    <row r="38758" spans="1:6" ht="15.75" customHeight="1">
      <c r="A38758" s="3">
        <v>43874.669178240743</v>
      </c>
      <c r="B38758" t="str">
        <f>HYPERLINK("https://twitter.com/okezonenews","@okezonenews")</f>
        <v>@okezonenews</v>
      </c>
      <c r="C38758" t="s">
        <v>586</v>
      </c>
      <c r="D38758">
        <v>0</v>
      </c>
      <c r="E38758">
        <v>1</v>
      </c>
      <c r="F38758">
        <v>1743741</v>
      </c>
    </row>
    <row r="38759" spans="1:6" ht="15.75" customHeight="1">
      <c r="A38759" s="3">
        <v>43874.669120370367</v>
      </c>
      <c r="B38759" t="str">
        <f>HYPERLINK("https://twitter.com/pikiran_rakyat","@pikiran_rakyat")</f>
        <v>@pikiran_rakyat</v>
      </c>
      <c r="C38759" t="s">
        <v>587</v>
      </c>
      <c r="D38759">
        <v>0</v>
      </c>
      <c r="E38759">
        <v>0</v>
      </c>
      <c r="F38759">
        <v>412437</v>
      </c>
    </row>
    <row r="38760" spans="1:6" ht="15.75" customHeight="1">
      <c r="A38760" s="3">
        <v>43874.667268518519</v>
      </c>
      <c r="B38760" t="str">
        <f>HYPERLINK("https://twitter.com/herlambang_tan","@herlambang_tan")</f>
        <v>@herlambang_tan</v>
      </c>
      <c r="C38760" t="s">
        <v>588</v>
      </c>
      <c r="D38760">
        <v>0</v>
      </c>
      <c r="E38760">
        <v>0</v>
      </c>
      <c r="F38760">
        <v>2340</v>
      </c>
    </row>
    <row r="38761" spans="1:6" ht="15.75" customHeight="1">
      <c r="A38761" s="3">
        <v>43874.666689814811</v>
      </c>
      <c r="B38761" t="str">
        <f>HYPERLINK("https://twitter.com/AyunindyaRizkya","@AyunindyaRizkya")</f>
        <v>@AyunindyaRizkya</v>
      </c>
      <c r="C38761" t="s">
        <v>589</v>
      </c>
      <c r="D38761">
        <v>0</v>
      </c>
      <c r="E38761">
        <v>2</v>
      </c>
      <c r="F38761">
        <v>3550</v>
      </c>
    </row>
    <row r="38762" spans="1:6" ht="15.75" customHeight="1">
      <c r="A38762" s="3">
        <v>43874.666666666672</v>
      </c>
      <c r="B38762" t="str">
        <f>HYPERLINK("https://twitter.com/GesuriID","@GesuriID")</f>
        <v>@GesuriID</v>
      </c>
      <c r="C38762" t="s">
        <v>590</v>
      </c>
      <c r="D38762">
        <v>0</v>
      </c>
      <c r="E38762">
        <v>0</v>
      </c>
      <c r="F38762">
        <v>197413</v>
      </c>
    </row>
    <row r="38763" spans="1:6" ht="15.75" customHeight="1">
      <c r="A38763" s="3">
        <v>43874.666087962964</v>
      </c>
      <c r="B38763" t="str">
        <f>HYPERLINK("https://twitter.com/PPPemudaMu","@PPPemudaMu")</f>
        <v>@PPPemudaMu</v>
      </c>
      <c r="C38763" t="s">
        <v>591</v>
      </c>
      <c r="D38763">
        <v>1</v>
      </c>
      <c r="E38763">
        <v>8</v>
      </c>
      <c r="F38763">
        <v>14371</v>
      </c>
    </row>
    <row r="38764" spans="1:6" ht="15.75" customHeight="1">
      <c r="A38764" s="3">
        <v>43874.664282407408</v>
      </c>
      <c r="B38764" t="str">
        <f>HYPERLINK("https://twitter.com/Frans167","@Frans167")</f>
        <v>@Frans167</v>
      </c>
      <c r="C38764" t="s">
        <v>592</v>
      </c>
      <c r="D38764">
        <v>0</v>
      </c>
      <c r="E38764">
        <v>0</v>
      </c>
      <c r="F38764">
        <v>233</v>
      </c>
    </row>
    <row r="38765" spans="1:6" ht="15.75" customHeight="1">
      <c r="A38765" s="3">
        <v>43874.663877314815</v>
      </c>
      <c r="B38765" t="str">
        <f>HYPERLINK("https://twitter.com/idntimes","@idntimes")</f>
        <v>@idntimes</v>
      </c>
      <c r="C38765" t="s">
        <v>593</v>
      </c>
      <c r="D38765">
        <v>0</v>
      </c>
      <c r="E38765">
        <v>0</v>
      </c>
      <c r="F38765">
        <v>392639</v>
      </c>
    </row>
    <row r="38766" spans="1:6" ht="15.75" customHeight="1">
      <c r="A38766" s="3">
        <v>43874.663726851853</v>
      </c>
      <c r="B38766" t="str">
        <f>HYPERLINK("https://twitter.com/sirodjudin01","@sirodjudin01")</f>
        <v>@sirodjudin01</v>
      </c>
      <c r="C38766" t="s">
        <v>538</v>
      </c>
      <c r="D38766">
        <v>7</v>
      </c>
      <c r="E38766">
        <v>12</v>
      </c>
      <c r="F38766">
        <v>8019</v>
      </c>
    </row>
    <row r="38767" spans="1:6" ht="15.75" customHeight="1">
      <c r="A38767" s="3">
        <v>43874.663344907407</v>
      </c>
      <c r="B38767" t="str">
        <f>HYPERLINK("https://twitter.com/StandbehindTrue","@StandbehindTrue")</f>
        <v>@StandbehindTrue</v>
      </c>
      <c r="C38767" t="s">
        <v>594</v>
      </c>
      <c r="D38767">
        <v>0</v>
      </c>
      <c r="E38767">
        <v>0</v>
      </c>
      <c r="F38767">
        <v>263</v>
      </c>
    </row>
    <row r="38768" spans="1:6" ht="15.75" customHeight="1">
      <c r="A38768" s="3">
        <v>43874.663298611107</v>
      </c>
      <c r="B38768" t="str">
        <f>HYPERLINK("https://twitter.com/jumianto_RK","@jumianto_RK")</f>
        <v>@jumianto_RK</v>
      </c>
      <c r="C38768" t="s">
        <v>595</v>
      </c>
      <c r="D38768">
        <v>2</v>
      </c>
      <c r="E38768">
        <v>3</v>
      </c>
      <c r="F38768">
        <v>3362</v>
      </c>
    </row>
    <row r="38769" spans="1:6" ht="15.75" customHeight="1">
      <c r="A38769" s="3">
        <v>43874.662499999999</v>
      </c>
      <c r="B38769" t="str">
        <f>HYPERLINK("https://twitter.com/kaskus","@kaskus")</f>
        <v>@kaskus</v>
      </c>
      <c r="C38769" t="s">
        <v>596</v>
      </c>
      <c r="D38769">
        <v>1</v>
      </c>
      <c r="E38769">
        <v>3</v>
      </c>
      <c r="F38769">
        <v>2614364</v>
      </c>
    </row>
    <row r="38770" spans="1:6" ht="15.75" customHeight="1">
      <c r="A38770" s="3">
        <v>43874.662118055552</v>
      </c>
      <c r="B38770" t="str">
        <f>HYPERLINK("https://twitter.com/20detik","@20detik")</f>
        <v>@20detik</v>
      </c>
      <c r="C38770" t="s">
        <v>597</v>
      </c>
      <c r="D38770">
        <v>0</v>
      </c>
      <c r="E38770">
        <v>0</v>
      </c>
      <c r="F38770">
        <v>80586</v>
      </c>
    </row>
    <row r="38771" spans="1:6" ht="15.75" customHeight="1">
      <c r="A38771" s="3">
        <v>43874.661400462966</v>
      </c>
      <c r="B38771" t="str">
        <f>HYPERLINK("https://twitter.com/tvOneNews","@tvOneNews")</f>
        <v>@tvOneNews</v>
      </c>
      <c r="C38771" t="s">
        <v>598</v>
      </c>
      <c r="D38771">
        <v>1</v>
      </c>
      <c r="E38771">
        <v>7</v>
      </c>
      <c r="F38771">
        <v>8714368</v>
      </c>
    </row>
    <row r="38772" spans="1:6" ht="15.75" customHeight="1">
      <c r="A38772" s="3">
        <v>43874.658888888887</v>
      </c>
      <c r="B38772" t="str">
        <f>HYPERLINK("https://twitter.com/jumianto_RK","@jumianto_RK")</f>
        <v>@jumianto_RK</v>
      </c>
      <c r="C38772" t="s">
        <v>599</v>
      </c>
      <c r="D38772">
        <v>2</v>
      </c>
      <c r="E38772">
        <v>5</v>
      </c>
      <c r="F38772">
        <v>3362</v>
      </c>
    </row>
    <row r="38773" spans="1:6" ht="15.75" customHeight="1">
      <c r="A38773" s="3">
        <v>43874.658877314811</v>
      </c>
      <c r="B38773" t="str">
        <f>HYPERLINK("https://twitter.com/caknawa","@caknawa")</f>
        <v>@caknawa</v>
      </c>
      <c r="C38773" t="s">
        <v>600</v>
      </c>
      <c r="D38773">
        <v>0</v>
      </c>
      <c r="E38773">
        <v>3</v>
      </c>
      <c r="F38773">
        <v>1300</v>
      </c>
    </row>
    <row r="38774" spans="1:6" ht="15.75" customHeight="1">
      <c r="A38774" s="3">
        <v>43874.658622685187</v>
      </c>
      <c r="B38774" t="str">
        <f>HYPERLINK("https://twitter.com/Barna_byo","@Barna_byo")</f>
        <v>@Barna_byo</v>
      </c>
      <c r="C38774" t="s">
        <v>601</v>
      </c>
      <c r="D38774">
        <v>19</v>
      </c>
      <c r="E38774">
        <v>49</v>
      </c>
      <c r="F38774">
        <v>7832</v>
      </c>
    </row>
    <row r="38775" spans="1:6" ht="15.75" customHeight="1">
      <c r="A38775" s="3">
        <v>43874.658576388887</v>
      </c>
      <c r="B38775" t="str">
        <f>HYPERLINK("https://twitter.com/sirodjudin01","@sirodjudin01")</f>
        <v>@sirodjudin01</v>
      </c>
      <c r="C38775" t="s">
        <v>535</v>
      </c>
      <c r="D38775">
        <v>0</v>
      </c>
      <c r="E38775">
        <v>4</v>
      </c>
      <c r="F38775">
        <v>8019</v>
      </c>
    </row>
    <row r="38776" spans="1:6" ht="15.75" customHeight="1">
      <c r="A38776" s="3">
        <v>43874.658356481479</v>
      </c>
      <c r="B38776" t="str">
        <f>HYPERLINK("https://twitter.com/Jagoanbungkarno","@Jagoanbungkarno")</f>
        <v>@Jagoanbungkarno</v>
      </c>
      <c r="C38776" t="s">
        <v>561</v>
      </c>
      <c r="D38776">
        <v>0</v>
      </c>
      <c r="E38776">
        <v>0</v>
      </c>
      <c r="F38776">
        <v>5</v>
      </c>
    </row>
    <row r="38777" spans="1:6" ht="15.75" customHeight="1">
      <c r="A38777" s="3">
        <v>43874.658009259263</v>
      </c>
      <c r="B38777" t="str">
        <f>HYPERLINK("https://twitter.com/vivanewscom","@vivanewscom")</f>
        <v>@vivanewscom</v>
      </c>
      <c r="C38777" t="s">
        <v>602</v>
      </c>
      <c r="D38777">
        <v>1</v>
      </c>
      <c r="E38777">
        <v>1</v>
      </c>
      <c r="F38777">
        <v>4059</v>
      </c>
    </row>
    <row r="38778" spans="1:6" ht="15.75" customHeight="1">
      <c r="A38778" s="3">
        <v>43874.657766203702</v>
      </c>
      <c r="B38778" t="str">
        <f>HYPERLINK("https://twitter.com/_wistu","@_wistu")</f>
        <v>@_wistu</v>
      </c>
      <c r="C38778" t="s">
        <v>603</v>
      </c>
      <c r="D38778">
        <v>0</v>
      </c>
      <c r="E38778">
        <v>0</v>
      </c>
      <c r="F38778">
        <v>449</v>
      </c>
    </row>
    <row r="38779" spans="1:6" ht="15.75" customHeight="1">
      <c r="A38779" s="3">
        <v>43874.657476851848</v>
      </c>
      <c r="B38779" t="str">
        <f>HYPERLINK("https://twitter.com/sirodjudin01","@sirodjudin01")</f>
        <v>@sirodjudin01</v>
      </c>
      <c r="C38779" t="s">
        <v>537</v>
      </c>
      <c r="D38779">
        <v>0</v>
      </c>
      <c r="E38779">
        <v>3</v>
      </c>
      <c r="F38779">
        <v>8019</v>
      </c>
    </row>
    <row r="38780" spans="1:6" ht="15.75" customHeight="1">
      <c r="A38780" s="3">
        <v>43874.657395833332</v>
      </c>
      <c r="B38780" t="str">
        <f>HYPERLINK("https://twitter.com/StandbehindTrue","@StandbehindTrue")</f>
        <v>@StandbehindTrue</v>
      </c>
      <c r="C38780" t="s">
        <v>604</v>
      </c>
      <c r="D38780">
        <v>0</v>
      </c>
      <c r="E38780">
        <v>0</v>
      </c>
      <c r="F38780">
        <v>263</v>
      </c>
    </row>
    <row r="38781" spans="1:6" ht="15.75" customHeight="1">
      <c r="A38781" s="3">
        <v>43874.657106481478</v>
      </c>
      <c r="B38781" t="str">
        <f t="shared" ref="B38781:B38783" si="456">HYPERLINK("https://twitter.com/covesiacom","@covesiacom")</f>
        <v>@covesiacom</v>
      </c>
      <c r="C38781" t="s">
        <v>605</v>
      </c>
      <c r="D38781">
        <v>0</v>
      </c>
      <c r="E38781">
        <v>0</v>
      </c>
      <c r="F38781">
        <v>6184</v>
      </c>
    </row>
    <row r="38782" spans="1:6" ht="15.75" customHeight="1">
      <c r="A38782" s="3">
        <v>43874.657094907408</v>
      </c>
      <c r="B38782" t="str">
        <f t="shared" si="456"/>
        <v>@covesiacom</v>
      </c>
      <c r="C38782" t="s">
        <v>606</v>
      </c>
      <c r="D38782">
        <v>0</v>
      </c>
      <c r="E38782">
        <v>0</v>
      </c>
      <c r="F38782">
        <v>6184</v>
      </c>
    </row>
    <row r="38783" spans="1:6" ht="15.75" customHeight="1">
      <c r="A38783" s="3">
        <v>43874.657083333332</v>
      </c>
      <c r="B38783" t="str">
        <f t="shared" si="456"/>
        <v>@covesiacom</v>
      </c>
      <c r="C38783" t="s">
        <v>607</v>
      </c>
      <c r="D38783">
        <v>0</v>
      </c>
      <c r="E38783">
        <v>0</v>
      </c>
      <c r="F38783">
        <v>6184</v>
      </c>
    </row>
    <row r="38784" spans="1:6" ht="15.75" customHeight="1">
      <c r="A38784" s="3">
        <v>43874.656967592593</v>
      </c>
      <c r="B38784" t="str">
        <f>HYPERLINK("https://twitter.com/YohannesMainda","@YohannesMainda")</f>
        <v>@YohannesMainda</v>
      </c>
      <c r="C38784" t="s">
        <v>608</v>
      </c>
      <c r="D38784">
        <v>1</v>
      </c>
      <c r="E38784">
        <v>4</v>
      </c>
      <c r="F38784">
        <v>2090</v>
      </c>
    </row>
    <row r="38785" spans="1:6" ht="15.75" customHeight="1">
      <c r="A38785" s="3">
        <v>43874.656724537039</v>
      </c>
      <c r="B38785" t="str">
        <f>HYPERLINK("https://twitter.com/Jernihco","@Jernihco")</f>
        <v>@Jernihco</v>
      </c>
      <c r="C38785" t="s">
        <v>609</v>
      </c>
      <c r="D38785">
        <v>0</v>
      </c>
      <c r="E38785">
        <v>0</v>
      </c>
      <c r="F38785">
        <v>1</v>
      </c>
    </row>
    <row r="38786" spans="1:6" ht="15.75" customHeight="1">
      <c r="A38786" s="3">
        <v>43874.65625</v>
      </c>
      <c r="B38786" t="str">
        <f>HYPERLINK("https://twitter.com/GesuriID","@GesuriID")</f>
        <v>@GesuriID</v>
      </c>
      <c r="C38786" t="s">
        <v>610</v>
      </c>
      <c r="D38786">
        <v>0</v>
      </c>
      <c r="E38786">
        <v>0</v>
      </c>
      <c r="F38786">
        <v>197413</v>
      </c>
    </row>
    <row r="38787" spans="1:6" ht="15.75" customHeight="1">
      <c r="A38787" s="3">
        <v>43874.656018518523</v>
      </c>
      <c r="B38787" t="str">
        <f>HYPERLINK("https://twitter.com/publicanews","@publicanews")</f>
        <v>@publicanews</v>
      </c>
      <c r="C38787" t="s">
        <v>611</v>
      </c>
      <c r="D38787">
        <v>0</v>
      </c>
      <c r="E38787">
        <v>0</v>
      </c>
      <c r="F38787">
        <v>157</v>
      </c>
    </row>
    <row r="38788" spans="1:6" ht="15.75" customHeight="1">
      <c r="A38788" s="3">
        <v>43874.655844907407</v>
      </c>
      <c r="B38788" t="str">
        <f>HYPERLINK("https://twitter.com/innovesian","@innovesian")</f>
        <v>@innovesian</v>
      </c>
      <c r="C38788" t="s">
        <v>612</v>
      </c>
      <c r="D38788">
        <v>0</v>
      </c>
      <c r="E38788">
        <v>2</v>
      </c>
      <c r="F38788">
        <v>31965</v>
      </c>
    </row>
    <row r="38789" spans="1:6" ht="15.75" customHeight="1">
      <c r="A38789" s="3">
        <v>43874.65552083333</v>
      </c>
      <c r="B38789" t="str">
        <f>HYPERLINK("https://twitter.com/afterdinner7pm","@afterdinner7pm")</f>
        <v>@afterdinner7pm</v>
      </c>
      <c r="C38789" t="s">
        <v>613</v>
      </c>
      <c r="D38789">
        <v>0</v>
      </c>
      <c r="E38789">
        <v>0</v>
      </c>
      <c r="F38789">
        <v>673</v>
      </c>
    </row>
    <row r="38790" spans="1:6" ht="15.75" customHeight="1">
      <c r="A38790" s="3">
        <v>43874.655439814815</v>
      </c>
      <c r="B38790" t="str">
        <f>HYPERLINK("https://twitter.com/antaranews","@antaranews")</f>
        <v>@antaranews</v>
      </c>
      <c r="C38790" t="s">
        <v>614</v>
      </c>
      <c r="D38790">
        <v>4</v>
      </c>
      <c r="E38790">
        <v>12</v>
      </c>
      <c r="F38790">
        <v>1103153</v>
      </c>
    </row>
    <row r="38791" spans="1:6" ht="15.75" customHeight="1">
      <c r="A38791" s="3">
        <v>43874.655219907407</v>
      </c>
      <c r="B38791" t="str">
        <f>HYPERLINK("https://twitter.com/DeltrasJ","@DeltrasJ")</f>
        <v>@DeltrasJ</v>
      </c>
      <c r="C38791" t="s">
        <v>615</v>
      </c>
      <c r="D38791">
        <v>0</v>
      </c>
      <c r="E38791">
        <v>0</v>
      </c>
      <c r="F38791">
        <v>15</v>
      </c>
    </row>
    <row r="38792" spans="1:6" ht="15.75" customHeight="1">
      <c r="A38792" s="3">
        <v>43874.655092592591</v>
      </c>
      <c r="B38792" t="str">
        <f>HYPERLINK("https://twitter.com/SuperHutagalung","@SuperHutagalung")</f>
        <v>@SuperHutagalung</v>
      </c>
      <c r="C38792" t="s">
        <v>616</v>
      </c>
      <c r="D38792">
        <v>0</v>
      </c>
      <c r="E38792">
        <v>0</v>
      </c>
      <c r="F38792">
        <v>667</v>
      </c>
    </row>
    <row r="38793" spans="1:6" ht="15.75" customHeight="1">
      <c r="A38793" s="3">
        <v>43874.65425925926</v>
      </c>
      <c r="B38793" t="str">
        <f>HYPERLINK("https://twitter.com/Ganden52421898","@Ganden52421898")</f>
        <v>@Ganden52421898</v>
      </c>
      <c r="C38793" t="s">
        <v>618</v>
      </c>
      <c r="D38793">
        <v>0</v>
      </c>
      <c r="E38793">
        <v>1</v>
      </c>
      <c r="F38793">
        <v>47</v>
      </c>
    </row>
    <row r="38794" spans="1:6" ht="15.75" customHeight="1">
      <c r="A38794" s="3">
        <v>43874.654074074075</v>
      </c>
      <c r="B38794" t="str">
        <f>HYPERLINK("https://twitter.com/DeltrasJ","@DeltrasJ")</f>
        <v>@DeltrasJ</v>
      </c>
      <c r="C38794" t="s">
        <v>620</v>
      </c>
      <c r="D38794">
        <v>0</v>
      </c>
      <c r="E38794">
        <v>0</v>
      </c>
      <c r="F38794">
        <v>15</v>
      </c>
    </row>
    <row r="38795" spans="1:6" ht="15.75" customHeight="1">
      <c r="A38795" s="3">
        <v>43874.653819444444</v>
      </c>
      <c r="B38795" t="str">
        <f>HYPERLINK("https://twitter.com/idntimes","@idntimes")</f>
        <v>@idntimes</v>
      </c>
      <c r="C38795" t="s">
        <v>621</v>
      </c>
      <c r="D38795">
        <v>0</v>
      </c>
      <c r="E38795">
        <v>0</v>
      </c>
      <c r="F38795">
        <v>392639</v>
      </c>
    </row>
    <row r="38796" spans="1:6" ht="15.75" customHeight="1">
      <c r="A38796" s="3">
        <v>43874.653715277775</v>
      </c>
      <c r="B38796" t="str">
        <f>HYPERLINK("https://twitter.com/zaenalkase03","@zaenalkase03")</f>
        <v>@zaenalkase03</v>
      </c>
      <c r="C38796" t="s">
        <v>623</v>
      </c>
      <c r="D38796">
        <v>4</v>
      </c>
      <c r="E38796">
        <v>8</v>
      </c>
      <c r="F38796">
        <v>2807</v>
      </c>
    </row>
    <row r="38797" spans="1:6" ht="15.75" customHeight="1">
      <c r="A38797" s="3">
        <v>43874.653356481482</v>
      </c>
      <c r="B38797" t="str">
        <f>HYPERLINK("https://twitter.com/publicanews","@publicanews")</f>
        <v>@publicanews</v>
      </c>
      <c r="C38797" t="s">
        <v>625</v>
      </c>
      <c r="D38797">
        <v>0</v>
      </c>
      <c r="E38797">
        <v>0</v>
      </c>
      <c r="F38797">
        <v>157</v>
      </c>
    </row>
    <row r="38798" spans="1:6" ht="15.75" customHeight="1">
      <c r="A38798" s="3">
        <v>43874.652835648143</v>
      </c>
      <c r="B38798" t="str">
        <f>HYPERLINK("https://twitter.com/reoraja","@reoraja")</f>
        <v>@reoraja</v>
      </c>
      <c r="C38798" t="s">
        <v>626</v>
      </c>
      <c r="D38798">
        <v>0</v>
      </c>
      <c r="E38798">
        <v>0</v>
      </c>
      <c r="F38798">
        <v>955</v>
      </c>
    </row>
    <row r="38799" spans="1:6" ht="15.75" customHeight="1">
      <c r="A38799" s="3">
        <v>43874.652673611112</v>
      </c>
      <c r="B38799" t="str">
        <f>HYPERLINK("https://twitter.com/tribunnews","@tribunnews")</f>
        <v>@tribunnews</v>
      </c>
      <c r="C38799" t="s">
        <v>627</v>
      </c>
      <c r="D38799">
        <v>0</v>
      </c>
      <c r="E38799">
        <v>1</v>
      </c>
      <c r="F38799">
        <v>873082</v>
      </c>
    </row>
    <row r="38800" spans="1:6" ht="15.75" customHeight="1">
      <c r="A38800" s="3">
        <v>43874.652662037042</v>
      </c>
      <c r="B38800" t="str">
        <f>HYPERLINK("https://twitter.com/detikcom","@detikcom")</f>
        <v>@detikcom</v>
      </c>
      <c r="C38800" t="s">
        <v>628</v>
      </c>
      <c r="D38800">
        <v>56</v>
      </c>
      <c r="E38800">
        <v>396</v>
      </c>
      <c r="F38800">
        <v>15663959</v>
      </c>
    </row>
    <row r="38801" spans="1:6" ht="15.75" customHeight="1">
      <c r="A38801" s="3">
        <v>43874.652453703704</v>
      </c>
      <c r="B38801" t="str">
        <f>HYPERLINK("https://twitter.com/sirodjudin01","@sirodjudin01")</f>
        <v>@sirodjudin01</v>
      </c>
      <c r="C38801" t="s">
        <v>540</v>
      </c>
      <c r="D38801">
        <v>1</v>
      </c>
      <c r="E38801">
        <v>4</v>
      </c>
      <c r="F38801">
        <v>8019</v>
      </c>
    </row>
    <row r="38802" spans="1:6" ht="15.75" customHeight="1">
      <c r="A38802" s="3">
        <v>43874.652291666665</v>
      </c>
      <c r="B38802" t="str">
        <f>HYPERLINK("https://twitter.com/shljsmn","@shljsmn")</f>
        <v>@shljsmn</v>
      </c>
      <c r="C38802" t="s">
        <v>629</v>
      </c>
      <c r="D38802">
        <v>0</v>
      </c>
      <c r="E38802">
        <v>1</v>
      </c>
      <c r="F38802">
        <v>844</v>
      </c>
    </row>
    <row r="38803" spans="1:6" ht="15.75" customHeight="1">
      <c r="A38803" s="3">
        <v>43874.652280092589</v>
      </c>
      <c r="B38803" t="str">
        <f>HYPERLINK("https://twitter.com/and1deRis","@and1deRis")</f>
        <v>@and1deRis</v>
      </c>
      <c r="C38803" t="s">
        <v>630</v>
      </c>
      <c r="D38803">
        <v>20</v>
      </c>
      <c r="E38803">
        <v>23</v>
      </c>
      <c r="F38803">
        <v>4393</v>
      </c>
    </row>
    <row r="38804" spans="1:6" ht="15.75" customHeight="1">
      <c r="A38804" s="3">
        <v>43874.650844907403</v>
      </c>
      <c r="B38804" t="str">
        <f>HYPERLINK("https://twitter.com/jogjacoret","@jogjacoret")</f>
        <v>@jogjacoret</v>
      </c>
      <c r="C38804" t="s">
        <v>631</v>
      </c>
      <c r="D38804">
        <v>0</v>
      </c>
      <c r="E38804">
        <v>0</v>
      </c>
      <c r="F38804">
        <v>1292</v>
      </c>
    </row>
    <row r="38805" spans="1:6" ht="15.75" customHeight="1">
      <c r="A38805" s="3">
        <v>43874.650787037041</v>
      </c>
      <c r="B38805" t="str">
        <f>HYPERLINK("https://twitter.com/wow_keren","@wow_keren")</f>
        <v>@wow_keren</v>
      </c>
      <c r="C38805" t="s">
        <v>632</v>
      </c>
      <c r="D38805">
        <v>1</v>
      </c>
      <c r="E38805">
        <v>0</v>
      </c>
      <c r="F38805">
        <v>32000</v>
      </c>
    </row>
    <row r="38806" spans="1:6" ht="15.75" customHeight="1">
      <c r="A38806" s="3">
        <v>43874.650648148148</v>
      </c>
      <c r="B38806" t="str">
        <f>HYPERLINK("https://twitter.com/bestprofitsby","@bestprofitsby")</f>
        <v>@bestprofitsby</v>
      </c>
      <c r="C38806" t="s">
        <v>633</v>
      </c>
      <c r="D38806">
        <v>0</v>
      </c>
      <c r="E38806">
        <v>0</v>
      </c>
      <c r="F38806">
        <v>83</v>
      </c>
    </row>
    <row r="38807" spans="1:6" ht="15.75" customHeight="1">
      <c r="A38807" s="3">
        <v>43874.650543981479</v>
      </c>
      <c r="B38807" t="str">
        <f>HYPERLINK("https://twitter.com/okezonenews","@okezonenews")</f>
        <v>@okezonenews</v>
      </c>
      <c r="C38807" t="s">
        <v>634</v>
      </c>
      <c r="D38807">
        <v>0</v>
      </c>
      <c r="E38807">
        <v>0</v>
      </c>
      <c r="F38807">
        <v>1743741</v>
      </c>
    </row>
    <row r="38808" spans="1:6" ht="15.75" customHeight="1">
      <c r="A38808" s="3">
        <v>43874.650509259256</v>
      </c>
      <c r="B38808" t="str">
        <f>HYPERLINK("https://twitter.com/AnakKolong___","@AnakKolong___")</f>
        <v>@AnakKolong___</v>
      </c>
      <c r="C38808" t="s">
        <v>635</v>
      </c>
      <c r="D38808">
        <v>417</v>
      </c>
      <c r="E38808">
        <v>853</v>
      </c>
      <c r="F38808">
        <v>5280</v>
      </c>
    </row>
    <row r="38809" spans="1:6" ht="15.75" customHeight="1">
      <c r="A38809" s="3">
        <v>43874.649664351848</v>
      </c>
      <c r="B38809" t="str">
        <f t="shared" ref="B38809:B38810" si="457">HYPERLINK("https://twitter.com/demokrasicoid","@demokrasicoid")</f>
        <v>@demokrasicoid</v>
      </c>
      <c r="C38809" t="s">
        <v>636</v>
      </c>
      <c r="D38809">
        <v>0</v>
      </c>
      <c r="E38809">
        <v>0</v>
      </c>
      <c r="F38809">
        <v>22231</v>
      </c>
    </row>
    <row r="38810" spans="1:6" ht="15.75" customHeight="1">
      <c r="A38810" s="3">
        <v>43874.649641203709</v>
      </c>
      <c r="B38810" t="str">
        <f t="shared" si="457"/>
        <v>@demokrasicoid</v>
      </c>
      <c r="C38810" t="s">
        <v>637</v>
      </c>
      <c r="D38810">
        <v>0</v>
      </c>
      <c r="E38810">
        <v>0</v>
      </c>
      <c r="F38810">
        <v>22231</v>
      </c>
    </row>
    <row r="38811" spans="1:6" ht="15.75" customHeight="1">
      <c r="A38811" s="3">
        <v>43874.649155092593</v>
      </c>
      <c r="B38811" t="str">
        <f>HYPERLINK("https://twitter.com/katatodaycom","@katatodaycom")</f>
        <v>@katatodaycom</v>
      </c>
      <c r="C38811" t="s">
        <v>636</v>
      </c>
      <c r="D38811">
        <v>0</v>
      </c>
      <c r="E38811">
        <v>1</v>
      </c>
      <c r="F38811">
        <v>860</v>
      </c>
    </row>
    <row r="38812" spans="1:6" ht="15.75" customHeight="1">
      <c r="A38812" s="3">
        <v>43874.648541666669</v>
      </c>
      <c r="B38812" t="str">
        <f>HYPERLINK("https://twitter.com/rifqi32bgr","@rifqi32bgr")</f>
        <v>@rifqi32bgr</v>
      </c>
      <c r="C38812" t="s">
        <v>638</v>
      </c>
      <c r="D38812">
        <v>0</v>
      </c>
      <c r="E38812">
        <v>0</v>
      </c>
      <c r="F38812">
        <v>1298</v>
      </c>
    </row>
    <row r="38813" spans="1:6" ht="15.75" customHeight="1">
      <c r="A38813" s="3">
        <v>43874.6480787037</v>
      </c>
      <c r="B38813" t="str">
        <f>HYPERLINK("https://twitter.com/PDIPmagetan","@PDIPmagetan")</f>
        <v>@PDIPmagetan</v>
      </c>
      <c r="C38813" t="s">
        <v>639</v>
      </c>
      <c r="D38813">
        <v>0</v>
      </c>
      <c r="E38813">
        <v>0</v>
      </c>
      <c r="F38813">
        <v>706</v>
      </c>
    </row>
    <row r="38814" spans="1:6" ht="15.75" customHeight="1">
      <c r="A38814" s="3">
        <v>43874.647916666669</v>
      </c>
      <c r="B38814" t="str">
        <f>HYPERLINK("https://twitter.com/IndiraMayori","@IndiraMayori")</f>
        <v>@IndiraMayori</v>
      </c>
      <c r="C38814" t="s">
        <v>561</v>
      </c>
      <c r="D38814">
        <v>0</v>
      </c>
      <c r="E38814">
        <v>0</v>
      </c>
      <c r="F38814">
        <v>97</v>
      </c>
    </row>
    <row r="38815" spans="1:6" ht="15.75" customHeight="1">
      <c r="A38815" s="3">
        <v>43874.647303240738</v>
      </c>
      <c r="B38815" t="str">
        <f>HYPERLINK("https://twitter.com/MrsRachelIn","@MrsRachelIn")</f>
        <v>@MrsRachelIn</v>
      </c>
      <c r="C38815" t="s">
        <v>640</v>
      </c>
      <c r="D38815">
        <v>7</v>
      </c>
      <c r="E38815">
        <v>24</v>
      </c>
      <c r="F38815">
        <v>3074</v>
      </c>
    </row>
    <row r="38816" spans="1:6" ht="15.75" customHeight="1">
      <c r="A38816" s="3">
        <v>43874.646666666667</v>
      </c>
      <c r="B38816" t="str">
        <f>HYPERLINK("https://twitter.com/mirzaphilipo","@mirzaphilipo")</f>
        <v>@mirzaphilipo</v>
      </c>
      <c r="C38816" t="s">
        <v>641</v>
      </c>
      <c r="D38816">
        <v>0</v>
      </c>
      <c r="E38816">
        <v>0</v>
      </c>
      <c r="F38816">
        <v>17</v>
      </c>
    </row>
    <row r="38817" spans="1:6" ht="15.75" customHeight="1">
      <c r="A38817" s="3">
        <v>43874.646215277782</v>
      </c>
      <c r="B38817" t="str">
        <f>HYPERLINK("https://twitter.com/Gitalicious","@Gitalicious")</f>
        <v>@Gitalicious</v>
      </c>
      <c r="C38817" t="s">
        <v>642</v>
      </c>
      <c r="D38817">
        <v>0</v>
      </c>
      <c r="E38817">
        <v>1</v>
      </c>
      <c r="F38817">
        <v>693</v>
      </c>
    </row>
    <row r="38818" spans="1:6" ht="15.75" customHeight="1">
      <c r="A38818" s="3">
        <v>43874.646145833336</v>
      </c>
      <c r="B38818" t="str">
        <f>HYPERLINK("https://twitter.com/NoviaPu59623902","@NoviaPu59623902")</f>
        <v>@NoviaPu59623902</v>
      </c>
      <c r="C38818" t="s">
        <v>561</v>
      </c>
      <c r="D38818">
        <v>0</v>
      </c>
      <c r="E38818">
        <v>0</v>
      </c>
      <c r="F38818">
        <v>594</v>
      </c>
    </row>
    <row r="38819" spans="1:6" ht="15.75" customHeight="1">
      <c r="A38819" s="3">
        <v>43874.645868055552</v>
      </c>
      <c r="B38819" t="str">
        <f>HYPERLINK("https://twitter.com/alineadotid","@alineadotid")</f>
        <v>@alineadotid</v>
      </c>
      <c r="C38819" t="s">
        <v>643</v>
      </c>
      <c r="D38819">
        <v>0</v>
      </c>
      <c r="E38819">
        <v>0</v>
      </c>
      <c r="F38819">
        <v>612028</v>
      </c>
    </row>
    <row r="38820" spans="1:6" ht="15.75" customHeight="1">
      <c r="A38820" s="3">
        <v>43874.645856481482</v>
      </c>
      <c r="B38820" t="str">
        <f>HYPERLINK("https://twitter.com/wand__a","@wand__a")</f>
        <v>@wand__a</v>
      </c>
      <c r="C38820" t="s">
        <v>644</v>
      </c>
      <c r="D38820">
        <v>1</v>
      </c>
      <c r="E38820">
        <v>0</v>
      </c>
      <c r="F38820">
        <v>87</v>
      </c>
    </row>
    <row r="38821" spans="1:6" ht="15.75" customHeight="1">
      <c r="A38821" s="3">
        <v>43874.645162037035</v>
      </c>
      <c r="B38821" t="str">
        <f>HYPERLINK("https://twitter.com/ElkWahyu","@ElkWahyu")</f>
        <v>@ElkWahyu</v>
      </c>
      <c r="C38821" t="s">
        <v>645</v>
      </c>
      <c r="D38821">
        <v>0</v>
      </c>
      <c r="E38821">
        <v>0</v>
      </c>
      <c r="F38821">
        <v>677</v>
      </c>
    </row>
    <row r="38822" spans="1:6" ht="15.75" customHeight="1">
      <c r="A38822" s="3">
        <v>43874.644293981481</v>
      </c>
      <c r="B38822" t="str">
        <f>HYPERLINK("https://twitter.com/inalritonga","@inalritonga")</f>
        <v>@inalritonga</v>
      </c>
      <c r="C38822" t="s">
        <v>646</v>
      </c>
      <c r="D38822">
        <v>0</v>
      </c>
      <c r="E38822">
        <v>0</v>
      </c>
      <c r="F38822">
        <v>745</v>
      </c>
    </row>
    <row r="38823" spans="1:6" ht="15.75" customHeight="1">
      <c r="A38823" s="3">
        <v>43874.644108796296</v>
      </c>
      <c r="B38823" t="str">
        <f>HYPERLINK("https://twitter.com/TeddyIrjaya","@TeddyIrjaya")</f>
        <v>@TeddyIrjaya</v>
      </c>
      <c r="C38823" t="s">
        <v>525</v>
      </c>
      <c r="D38823">
        <v>0</v>
      </c>
      <c r="E38823">
        <v>0</v>
      </c>
      <c r="F38823">
        <v>665</v>
      </c>
    </row>
    <row r="38824" spans="1:6" ht="15.75" customHeight="1">
      <c r="A38824" s="3">
        <v>43874.643935185188</v>
      </c>
      <c r="B38824" t="str">
        <f>HYPERLINK("https://twitter.com/Demokrasiq","@Demokrasiq")</f>
        <v>@Demokrasiq</v>
      </c>
      <c r="C38824" t="s">
        <v>647</v>
      </c>
      <c r="D38824">
        <v>0</v>
      </c>
      <c r="E38824">
        <v>0</v>
      </c>
      <c r="F38824">
        <v>1019</v>
      </c>
    </row>
    <row r="38825" spans="1:6" ht="15.75" customHeight="1">
      <c r="A38825" s="3">
        <v>43874.643888888888</v>
      </c>
      <c r="B38825" t="str">
        <f>HYPERLINK("https://twitter.com/redaksisore_t7","@redaksisore_t7")</f>
        <v>@redaksisore_t7</v>
      </c>
      <c r="C38825" t="s">
        <v>648</v>
      </c>
      <c r="D38825">
        <v>1</v>
      </c>
      <c r="E38825">
        <v>0</v>
      </c>
      <c r="F38825">
        <v>12095</v>
      </c>
    </row>
    <row r="38826" spans="1:6" ht="15.75" customHeight="1">
      <c r="A38826" s="3">
        <v>43874.643877314811</v>
      </c>
      <c r="B38826" t="str">
        <f>HYPERLINK("https://twitter.com/ElshintaDotcom","@ElshintaDotcom")</f>
        <v>@ElshintaDotcom</v>
      </c>
      <c r="C38826" t="s">
        <v>649</v>
      </c>
      <c r="D38826">
        <v>0</v>
      </c>
      <c r="E38826">
        <v>0</v>
      </c>
      <c r="F38826">
        <v>27866</v>
      </c>
    </row>
    <row r="38827" spans="1:6" ht="15.75" customHeight="1">
      <c r="A38827" s="3">
        <v>43874.643784722226</v>
      </c>
      <c r="B38827" t="str">
        <f>HYPERLINK("https://twitter.com/TRANS7","@TRANS7")</f>
        <v>@TRANS7</v>
      </c>
      <c r="C38827" t="s">
        <v>648</v>
      </c>
      <c r="D38827">
        <v>1</v>
      </c>
      <c r="E38827">
        <v>12</v>
      </c>
      <c r="F38827">
        <v>5569041</v>
      </c>
    </row>
    <row r="38828" spans="1:6" ht="15.75" customHeight="1">
      <c r="A38828" s="3">
        <v>43874.64366898148</v>
      </c>
      <c r="B38828" t="str">
        <f>HYPERLINK("https://twitter.com/izzauraf","@izzauraf")</f>
        <v>@izzauraf</v>
      </c>
      <c r="C38828" t="s">
        <v>650</v>
      </c>
      <c r="D38828">
        <v>0</v>
      </c>
      <c r="E38828">
        <v>0</v>
      </c>
      <c r="F38828">
        <v>179</v>
      </c>
    </row>
    <row r="38829" spans="1:6" ht="15.75" customHeight="1">
      <c r="A38829" s="3">
        <v>43874.643634259264</v>
      </c>
      <c r="B38829" t="str">
        <f>HYPERLINK("https://twitter.com/jawapos","@jawapos")</f>
        <v>@jawapos</v>
      </c>
      <c r="C38829" t="s">
        <v>651</v>
      </c>
      <c r="D38829">
        <v>0</v>
      </c>
      <c r="E38829">
        <v>3</v>
      </c>
      <c r="F38829">
        <v>116251</v>
      </c>
    </row>
    <row r="38830" spans="1:6" ht="15.75" customHeight="1">
      <c r="A38830" s="3">
        <v>43874.643136574072</v>
      </c>
      <c r="B38830" t="str">
        <f>HYPERLINK("https://twitter.com/Pang22Saudi","@Pang22Saudi")</f>
        <v>@Pang22Saudi</v>
      </c>
      <c r="C38830" t="s">
        <v>652</v>
      </c>
      <c r="D38830">
        <v>0</v>
      </c>
      <c r="E38830">
        <v>0</v>
      </c>
      <c r="F38830">
        <v>565</v>
      </c>
    </row>
    <row r="38831" spans="1:6" ht="15.75" customHeight="1">
      <c r="A38831" s="3">
        <v>43874.642893518518</v>
      </c>
      <c r="B38831" t="str">
        <f>HYPERLINK("https://twitter.com/Ello_gulai","@Ello_gulai")</f>
        <v>@Ello_gulai</v>
      </c>
      <c r="C38831" t="s">
        <v>653</v>
      </c>
      <c r="D38831">
        <v>0</v>
      </c>
      <c r="E38831">
        <v>0</v>
      </c>
      <c r="F38831">
        <v>777</v>
      </c>
    </row>
    <row r="38832" spans="1:6" ht="15.75" customHeight="1">
      <c r="A38832" s="3">
        <v>43874.642847222218</v>
      </c>
      <c r="B38832" t="str">
        <f>HYPERLINK("https://twitter.com/publicanews","@publicanews")</f>
        <v>@publicanews</v>
      </c>
      <c r="C38832" t="s">
        <v>654</v>
      </c>
      <c r="D38832">
        <v>0</v>
      </c>
      <c r="E38832">
        <v>0</v>
      </c>
      <c r="F38832">
        <v>157</v>
      </c>
    </row>
    <row r="38833" spans="1:6" ht="15.75" customHeight="1">
      <c r="A38833" s="3">
        <v>43874.64262731481</v>
      </c>
      <c r="B38833" t="str">
        <f t="shared" ref="B38833:B38834" si="458">HYPERLINK("https://twitter.com/akuratco","@akuratco")</f>
        <v>@akuratco</v>
      </c>
      <c r="C38833" t="s">
        <v>655</v>
      </c>
      <c r="D38833">
        <v>0</v>
      </c>
      <c r="E38833">
        <v>0</v>
      </c>
      <c r="F38833">
        <v>8455</v>
      </c>
    </row>
    <row r="38834" spans="1:6" ht="15.75" customHeight="1">
      <c r="A38834" s="3">
        <v>43874.642557870371</v>
      </c>
      <c r="B38834" t="str">
        <f t="shared" si="458"/>
        <v>@akuratco</v>
      </c>
      <c r="C38834" t="s">
        <v>656</v>
      </c>
      <c r="D38834">
        <v>0</v>
      </c>
      <c r="E38834">
        <v>0</v>
      </c>
      <c r="F38834">
        <v>8455</v>
      </c>
    </row>
    <row r="38835" spans="1:6" ht="15.75" customHeight="1">
      <c r="A38835" s="3">
        <v>43874.641747685186</v>
      </c>
      <c r="B38835" t="str">
        <f>HYPERLINK("https://twitter.com/yunankingstar1","@yunankingstar1")</f>
        <v>@yunankingstar1</v>
      </c>
      <c r="D38835">
        <v>0</v>
      </c>
      <c r="E38835">
        <v>0</v>
      </c>
      <c r="F38835">
        <v>40</v>
      </c>
    </row>
    <row r="38836" spans="1:6" ht="15.75" customHeight="1">
      <c r="A38836" s="3">
        <v>43874.641273148147</v>
      </c>
      <c r="B38836" t="str">
        <f>HYPERLINK("https://twitter.com/arasardiningrum","@arasardiningrum")</f>
        <v>@arasardiningrum</v>
      </c>
      <c r="C38836" t="s">
        <v>657</v>
      </c>
      <c r="D38836">
        <v>0</v>
      </c>
      <c r="E38836">
        <v>0</v>
      </c>
      <c r="F38836">
        <v>619</v>
      </c>
    </row>
    <row r="38837" spans="1:6" ht="15.75" customHeight="1">
      <c r="A38837" s="3">
        <v>43874.640648148154</v>
      </c>
      <c r="B38837" t="str">
        <f>HYPERLINK("https://twitter.com/idntimes","@idntimes")</f>
        <v>@idntimes</v>
      </c>
      <c r="C38837" t="s">
        <v>658</v>
      </c>
      <c r="D38837">
        <v>0</v>
      </c>
      <c r="E38837">
        <v>1</v>
      </c>
      <c r="F38837">
        <v>392639</v>
      </c>
    </row>
    <row r="38838" spans="1:6" ht="15.75" customHeight="1">
      <c r="A38838" s="3">
        <v>43874.640543981484</v>
      </c>
      <c r="B38838" t="str">
        <f>HYPERLINK("https://twitter.com/validnewsco","@validnewsco")</f>
        <v>@validnewsco</v>
      </c>
      <c r="C38838" t="s">
        <v>659</v>
      </c>
      <c r="D38838">
        <v>2</v>
      </c>
      <c r="E38838">
        <v>0</v>
      </c>
      <c r="F38838">
        <v>33245</v>
      </c>
    </row>
    <row r="38839" spans="1:6" ht="15.75" customHeight="1">
      <c r="A38839" s="3">
        <v>43874.639953703707</v>
      </c>
      <c r="B38839" t="str">
        <f>HYPERLINK("https://twitter.com/N1ngW4ng1","@N1ngW4ng1")</f>
        <v>@N1ngW4ng1</v>
      </c>
      <c r="C38839" t="s">
        <v>660</v>
      </c>
      <c r="D38839">
        <v>81</v>
      </c>
      <c r="E38839">
        <v>238</v>
      </c>
      <c r="F38839">
        <v>3255</v>
      </c>
    </row>
    <row r="38840" spans="1:6" ht="15.75" customHeight="1">
      <c r="A38840" s="3">
        <v>43874.639907407407</v>
      </c>
      <c r="B38840" t="str">
        <f>HYPERLINK("https://twitter.com/d_onenews_com","@d_onenews_com")</f>
        <v>@d_onenews_com</v>
      </c>
      <c r="C38840" t="s">
        <v>661</v>
      </c>
      <c r="D38840">
        <v>0</v>
      </c>
      <c r="E38840">
        <v>0</v>
      </c>
      <c r="F38840">
        <v>108</v>
      </c>
    </row>
    <row r="38841" spans="1:6" ht="15.75" customHeight="1">
      <c r="A38841" s="3">
        <v>43874.639884259261</v>
      </c>
      <c r="B38841" t="str">
        <f>HYPERLINK("https://twitter.com/CNNIndonesia","@CNNIndonesia")</f>
        <v>@CNNIndonesia</v>
      </c>
      <c r="C38841" t="s">
        <v>96</v>
      </c>
      <c r="D38841">
        <v>4</v>
      </c>
      <c r="E38841">
        <v>7</v>
      </c>
      <c r="F38841">
        <v>618499</v>
      </c>
    </row>
    <row r="38842" spans="1:6" ht="15.75" customHeight="1">
      <c r="A38842" s="3">
        <v>43874.639768518522</v>
      </c>
      <c r="B38842" t="str">
        <f>HYPERLINK("https://twitter.com/RonniySoen","@RonniySoen")</f>
        <v>@RonniySoen</v>
      </c>
      <c r="C38842" t="s">
        <v>662</v>
      </c>
      <c r="D38842">
        <v>0</v>
      </c>
      <c r="E38842">
        <v>0</v>
      </c>
      <c r="F38842">
        <v>1612</v>
      </c>
    </row>
    <row r="38843" spans="1:6" ht="15.75" customHeight="1">
      <c r="A38843" s="3">
        <v>43874.639328703706</v>
      </c>
      <c r="B38843" t="str">
        <f>HYPERLINK("https://twitter.com/GroupWgwc","@GroupWgwc")</f>
        <v>@GroupWgwc</v>
      </c>
      <c r="C38843" t="s">
        <v>663</v>
      </c>
      <c r="D38843">
        <v>0</v>
      </c>
      <c r="E38843">
        <v>0</v>
      </c>
      <c r="F38843">
        <v>8</v>
      </c>
    </row>
    <row r="38844" spans="1:6" ht="15.75" customHeight="1">
      <c r="A38844" s="3">
        <v>43874.63925925926</v>
      </c>
      <c r="B38844" t="str">
        <f>HYPERLINK("https://twitter.com/d_fb1","@d_fb1")</f>
        <v>@d_fb1</v>
      </c>
      <c r="C38844" t="s">
        <v>664</v>
      </c>
      <c r="D38844">
        <v>0</v>
      </c>
      <c r="E38844">
        <v>0</v>
      </c>
      <c r="F38844">
        <v>1489</v>
      </c>
    </row>
    <row r="38845" spans="1:6" ht="15.75" customHeight="1">
      <c r="A38845" s="3">
        <v>43874.638402777782</v>
      </c>
      <c r="B38845" t="str">
        <f>HYPERLINK("https://twitter.com/bora2801","@bora2801")</f>
        <v>@bora2801</v>
      </c>
      <c r="C38845" t="s">
        <v>665</v>
      </c>
      <c r="D38845">
        <v>0</v>
      </c>
      <c r="E38845">
        <v>0</v>
      </c>
      <c r="F38845">
        <v>1183</v>
      </c>
    </row>
    <row r="38846" spans="1:6" ht="15.75" customHeight="1">
      <c r="A38846" s="3">
        <v>43874.638043981482</v>
      </c>
      <c r="B38846" t="str">
        <f>HYPERLINK("https://twitter.com/adriankusuma285","@adriankusuma285")</f>
        <v>@adriankusuma285</v>
      </c>
      <c r="C38846" t="s">
        <v>666</v>
      </c>
      <c r="D38846">
        <v>0</v>
      </c>
      <c r="E38846">
        <v>0</v>
      </c>
      <c r="F38846">
        <v>986</v>
      </c>
    </row>
    <row r="38847" spans="1:6" ht="15.75" customHeight="1">
      <c r="A38847" s="3">
        <v>43874.637928240743</v>
      </c>
      <c r="B38847" t="str">
        <f>HYPERLINK("https://twitter.com/Diem4sjaya","@Diem4sjaya")</f>
        <v>@Diem4sjaya</v>
      </c>
      <c r="C38847" t="s">
        <v>667</v>
      </c>
      <c r="D38847">
        <v>0</v>
      </c>
      <c r="E38847">
        <v>0</v>
      </c>
      <c r="F38847">
        <v>2002</v>
      </c>
    </row>
    <row r="38848" spans="1:6" ht="15.75" customHeight="1">
      <c r="A38848" s="3">
        <v>43874.637418981481</v>
      </c>
      <c r="B38848" t="str">
        <f>HYPERLINK("https://twitter.com/sayangicom","@sayangicom")</f>
        <v>@sayangicom</v>
      </c>
      <c r="C38848" t="s">
        <v>668</v>
      </c>
      <c r="D38848">
        <v>0</v>
      </c>
      <c r="E38848">
        <v>0</v>
      </c>
      <c r="F38848">
        <v>1564</v>
      </c>
    </row>
    <row r="38849" spans="1:6" ht="15.75" customHeight="1">
      <c r="A38849" s="3">
        <v>43874.637175925927</v>
      </c>
      <c r="B38849" t="str">
        <f>HYPERLINK("https://twitter.com/KabarGolkarCom","@KabarGolkarCom")</f>
        <v>@KabarGolkarCom</v>
      </c>
      <c r="C38849" t="s">
        <v>669</v>
      </c>
      <c r="D38849">
        <v>1</v>
      </c>
      <c r="E38849">
        <v>8</v>
      </c>
      <c r="F38849">
        <v>2223</v>
      </c>
    </row>
    <row r="38850" spans="1:6" ht="15.75" customHeight="1">
      <c r="A38850" s="3">
        <v>43874.637048611112</v>
      </c>
      <c r="B38850" t="str">
        <f>HYPERLINK("https://twitter.com/_wistu","@_wistu")</f>
        <v>@_wistu</v>
      </c>
      <c r="C38850" t="s">
        <v>603</v>
      </c>
      <c r="D38850">
        <v>0</v>
      </c>
      <c r="E38850">
        <v>0</v>
      </c>
      <c r="F38850">
        <v>449</v>
      </c>
    </row>
    <row r="38851" spans="1:6" ht="15.75" customHeight="1">
      <c r="A38851" s="3">
        <v>43874.636608796296</v>
      </c>
      <c r="B38851" t="str">
        <f>HYPERLINK("https://twitter.com/publicanews","@publicanews")</f>
        <v>@publicanews</v>
      </c>
      <c r="C38851" t="s">
        <v>670</v>
      </c>
      <c r="D38851">
        <v>0</v>
      </c>
      <c r="E38851">
        <v>0</v>
      </c>
      <c r="F38851">
        <v>157</v>
      </c>
    </row>
    <row r="38852" spans="1:6" ht="15.75" customHeight="1">
      <c r="A38852" s="3">
        <v>43874.635972222226</v>
      </c>
      <c r="B38852" t="str">
        <f>HYPERLINK("https://twitter.com/gilangjalu","@gilangjalu")</f>
        <v>@gilangjalu</v>
      </c>
      <c r="C38852" t="s">
        <v>671</v>
      </c>
      <c r="D38852">
        <v>0</v>
      </c>
      <c r="E38852">
        <v>0</v>
      </c>
      <c r="F38852">
        <v>471</v>
      </c>
    </row>
    <row r="38853" spans="1:6" ht="15.75" customHeight="1">
      <c r="A38853" s="3">
        <v>43874.635833333334</v>
      </c>
      <c r="B38853" t="str">
        <f>HYPERLINK("https://twitter.com/adriankusuma285","@adriankusuma285")</f>
        <v>@adriankusuma285</v>
      </c>
      <c r="C38853" t="s">
        <v>672</v>
      </c>
      <c r="D38853">
        <v>0</v>
      </c>
      <c r="E38853">
        <v>0</v>
      </c>
      <c r="F38853">
        <v>986</v>
      </c>
    </row>
    <row r="38854" spans="1:6" ht="15.75" customHeight="1">
      <c r="A38854" s="3">
        <v>43874.635798611111</v>
      </c>
      <c r="B38854" t="str">
        <f>HYPERLINK("https://twitter.com/kumparan","@kumparan")</f>
        <v>@kumparan</v>
      </c>
      <c r="C38854" t="s">
        <v>673</v>
      </c>
      <c r="D38854">
        <v>0</v>
      </c>
      <c r="E38854">
        <v>3</v>
      </c>
      <c r="F38854">
        <v>321828</v>
      </c>
    </row>
    <row r="38855" spans="1:6" ht="15.75" customHeight="1">
      <c r="A38855" s="3">
        <v>43874.635763888888</v>
      </c>
      <c r="B38855" t="str">
        <f>HYPERLINK("https://twitter.com/gunady_678","@gunady_678")</f>
        <v>@gunady_678</v>
      </c>
      <c r="C38855" t="s">
        <v>674</v>
      </c>
      <c r="D38855">
        <v>0</v>
      </c>
      <c r="E38855">
        <v>0</v>
      </c>
      <c r="F38855">
        <v>418</v>
      </c>
    </row>
    <row r="38856" spans="1:6" ht="15.75" customHeight="1">
      <c r="A38856" s="3">
        <v>43874.635717592595</v>
      </c>
      <c r="B38856" t="str">
        <f>HYPERLINK("https://twitter.com/koloni_saham","@koloni_saham")</f>
        <v>@koloni_saham</v>
      </c>
      <c r="C38856" t="s">
        <v>675</v>
      </c>
      <c r="D38856">
        <v>0</v>
      </c>
      <c r="E38856">
        <v>0</v>
      </c>
      <c r="F38856">
        <v>51</v>
      </c>
    </row>
    <row r="38857" spans="1:6" ht="15.75" customHeight="1">
      <c r="A38857" s="3">
        <v>43874.635474537034</v>
      </c>
      <c r="B38857" t="str">
        <f>HYPERLINK("https://twitter.com/aanwangi","@aanwangi")</f>
        <v>@aanwangi</v>
      </c>
      <c r="D38857">
        <v>0</v>
      </c>
      <c r="E38857">
        <v>0</v>
      </c>
      <c r="F38857">
        <v>282</v>
      </c>
    </row>
    <row r="38858" spans="1:6" ht="15.75" customHeight="1">
      <c r="A38858" s="3">
        <v>43874.635416666672</v>
      </c>
      <c r="B38858" t="str">
        <f>HYPERLINK("https://twitter.com/GesuriID","@GesuriID")</f>
        <v>@GesuriID</v>
      </c>
      <c r="C38858" t="s">
        <v>676</v>
      </c>
      <c r="D38858">
        <v>1</v>
      </c>
      <c r="E38858">
        <v>0</v>
      </c>
      <c r="F38858">
        <v>197413</v>
      </c>
    </row>
    <row r="38859" spans="1:6" ht="15.75" customHeight="1">
      <c r="A38859" s="3">
        <v>43874.634548611109</v>
      </c>
      <c r="B38859" t="str">
        <f>HYPERLINK("https://twitter.com/AnakKolong___","@AnakKolong___")</f>
        <v>@AnakKolong___</v>
      </c>
      <c r="C38859" t="s">
        <v>677</v>
      </c>
      <c r="D38859">
        <v>6</v>
      </c>
      <c r="E38859">
        <v>18</v>
      </c>
      <c r="F38859">
        <v>5280</v>
      </c>
    </row>
    <row r="38860" spans="1:6" ht="15.75" customHeight="1">
      <c r="A38860" s="3">
        <v>43874.63449074074</v>
      </c>
      <c r="B38860" t="str">
        <f>HYPERLINK("https://twitter.com/geloraco","@geloraco")</f>
        <v>@geloraco</v>
      </c>
      <c r="C38860" t="s">
        <v>678</v>
      </c>
      <c r="D38860">
        <v>11</v>
      </c>
      <c r="E38860">
        <v>20</v>
      </c>
      <c r="F38860">
        <v>99635</v>
      </c>
    </row>
    <row r="38861" spans="1:6" ht="15.75" customHeight="1">
      <c r="A38861" s="3">
        <v>43874.634467592594</v>
      </c>
      <c r="B38861" t="str">
        <f>HYPERLINK("https://twitter.com/tempodotco","@tempodotco")</f>
        <v>@tempodotco</v>
      </c>
      <c r="C38861" t="s">
        <v>679</v>
      </c>
      <c r="D38861">
        <v>0</v>
      </c>
      <c r="E38861">
        <v>2</v>
      </c>
      <c r="F38861">
        <v>1702040</v>
      </c>
    </row>
    <row r="38862" spans="1:6" ht="15.75" customHeight="1">
      <c r="A38862" s="3">
        <v>43874.63444444444</v>
      </c>
      <c r="B38862" t="str">
        <f>HYPERLINK("https://twitter.com/HethariaGerry","@HethariaGerry")</f>
        <v>@HethariaGerry</v>
      </c>
      <c r="C38862" t="s">
        <v>680</v>
      </c>
      <c r="D38862">
        <v>0</v>
      </c>
      <c r="E38862">
        <v>0</v>
      </c>
      <c r="F38862">
        <v>162</v>
      </c>
    </row>
    <row r="38863" spans="1:6" ht="15.75" customHeight="1">
      <c r="A38863" s="3">
        <v>43874.634409722217</v>
      </c>
      <c r="B38863" t="str">
        <f>HYPERLINK("https://twitter.com/s_jats","@s_jats")</f>
        <v>@s_jats</v>
      </c>
      <c r="C38863" t="s">
        <v>681</v>
      </c>
      <c r="D38863">
        <v>0</v>
      </c>
      <c r="E38863">
        <v>0</v>
      </c>
      <c r="F38863">
        <v>305</v>
      </c>
    </row>
    <row r="38864" spans="1:6" ht="15.75" customHeight="1">
      <c r="A38864" s="3">
        <v>43874.634328703702</v>
      </c>
      <c r="B38864" t="str">
        <f>HYPERLINK("https://twitter.com/BaryShafwatul","@BaryShafwatul")</f>
        <v>@BaryShafwatul</v>
      </c>
      <c r="C38864" t="s">
        <v>682</v>
      </c>
      <c r="D38864">
        <v>0</v>
      </c>
      <c r="E38864">
        <v>0</v>
      </c>
      <c r="F38864">
        <v>6</v>
      </c>
    </row>
    <row r="38865" spans="1:6" ht="15.75" customHeight="1">
      <c r="A38865" s="3">
        <v>43874.634212962963</v>
      </c>
      <c r="B38865" t="str">
        <f>HYPERLINK("https://twitter.com/Vidyaeelahdah","@Vidyaeelahdah")</f>
        <v>@Vidyaeelahdah</v>
      </c>
      <c r="C38865" t="s">
        <v>683</v>
      </c>
      <c r="D38865">
        <v>0</v>
      </c>
      <c r="E38865">
        <v>0</v>
      </c>
      <c r="F38865">
        <v>22</v>
      </c>
    </row>
    <row r="38866" spans="1:6" ht="15.75" customHeight="1">
      <c r="A38866" s="3">
        <v>43874.633958333332</v>
      </c>
      <c r="B38866" t="str">
        <f>HYPERLINK("https://twitter.com/moan1974","@moan1974")</f>
        <v>@moan1974</v>
      </c>
      <c r="C38866" t="s">
        <v>684</v>
      </c>
      <c r="D38866">
        <v>0</v>
      </c>
      <c r="E38866">
        <v>0</v>
      </c>
      <c r="F38866">
        <v>3129</v>
      </c>
    </row>
    <row r="38867" spans="1:6" ht="15.75" customHeight="1">
      <c r="A38867" s="3">
        <v>43874.633564814816</v>
      </c>
      <c r="B38867" t="str">
        <f>HYPERLINK("https://twitter.com/auliarahmanl","@auliarahmanl")</f>
        <v>@auliarahmanl</v>
      </c>
      <c r="C38867" t="s">
        <v>225</v>
      </c>
      <c r="D38867">
        <v>0</v>
      </c>
      <c r="E38867">
        <v>0</v>
      </c>
      <c r="F38867">
        <v>8722</v>
      </c>
    </row>
    <row r="38868" spans="1:6" ht="15.75" customHeight="1">
      <c r="A38868" s="3">
        <v>43874.633402777778</v>
      </c>
      <c r="B38868" t="str">
        <f>HYPERLINK("https://twitter.com/vivanewscom","@vivanewscom")</f>
        <v>@vivanewscom</v>
      </c>
      <c r="C38868" t="s">
        <v>685</v>
      </c>
      <c r="D38868">
        <v>3</v>
      </c>
      <c r="E38868">
        <v>4</v>
      </c>
      <c r="F38868">
        <v>4059</v>
      </c>
    </row>
    <row r="38869" spans="1:6" ht="15.75" customHeight="1">
      <c r="A38869" s="3">
        <v>43874.633368055554</v>
      </c>
      <c r="B38869" t="str">
        <f>HYPERLINK("https://twitter.com/FaktaNew5","@FaktaNew5")</f>
        <v>@FaktaNew5</v>
      </c>
      <c r="C38869" t="s">
        <v>686</v>
      </c>
      <c r="D38869">
        <v>0</v>
      </c>
      <c r="E38869">
        <v>0</v>
      </c>
      <c r="F38869">
        <v>173</v>
      </c>
    </row>
    <row r="38870" spans="1:6" ht="15.75" customHeight="1">
      <c r="A38870" s="3">
        <v>43874.632951388892</v>
      </c>
      <c r="B38870" t="str">
        <f>HYPERLINK("https://twitter.com/geloraco","@geloraco")</f>
        <v>@geloraco</v>
      </c>
      <c r="C38870" t="s">
        <v>664</v>
      </c>
      <c r="D38870">
        <v>1</v>
      </c>
      <c r="E38870">
        <v>1</v>
      </c>
      <c r="F38870">
        <v>99635</v>
      </c>
    </row>
    <row r="38871" spans="1:6" ht="15.75" customHeight="1">
      <c r="A38871" s="3">
        <v>43874.632210648153</v>
      </c>
      <c r="B38871" t="str">
        <f>HYPERLINK("https://twitter.com/dafrnr","@dafrnr")</f>
        <v>@dafrnr</v>
      </c>
      <c r="C38871" t="s">
        <v>687</v>
      </c>
      <c r="D38871">
        <v>0</v>
      </c>
      <c r="E38871">
        <v>0</v>
      </c>
      <c r="F38871">
        <v>181</v>
      </c>
    </row>
    <row r="38872" spans="1:6" ht="15.75" customHeight="1">
      <c r="A38872" s="3">
        <v>43874.632037037038</v>
      </c>
      <c r="B38872" t="str">
        <f t="shared" ref="B38872:B38873" si="459">HYPERLINK("https://twitter.com/Media_linked","@Media_linked")</f>
        <v>@Media_linked</v>
      </c>
      <c r="C38872" t="s">
        <v>688</v>
      </c>
      <c r="D38872">
        <v>0</v>
      </c>
      <c r="E38872">
        <v>0</v>
      </c>
      <c r="F38872">
        <v>172</v>
      </c>
    </row>
    <row r="38873" spans="1:6" ht="15.75" customHeight="1">
      <c r="A38873" s="3">
        <v>43874.632013888884</v>
      </c>
      <c r="B38873" t="str">
        <f t="shared" si="459"/>
        <v>@Media_linked</v>
      </c>
      <c r="C38873" t="s">
        <v>689</v>
      </c>
      <c r="D38873">
        <v>0</v>
      </c>
      <c r="E38873">
        <v>0</v>
      </c>
      <c r="F38873">
        <v>172</v>
      </c>
    </row>
    <row r="38874" spans="1:6" ht="15.75" customHeight="1">
      <c r="A38874" s="3">
        <v>43874.631967592592</v>
      </c>
      <c r="B38874" t="str">
        <f>HYPERLINK("https://twitter.com/rmol_id","@rmol_id")</f>
        <v>@rmol_id</v>
      </c>
      <c r="C38874" t="s">
        <v>690</v>
      </c>
      <c r="D38874">
        <v>1</v>
      </c>
      <c r="E38874">
        <v>2</v>
      </c>
      <c r="F38874">
        <v>160765</v>
      </c>
    </row>
    <row r="38875" spans="1:6" ht="15.75" customHeight="1">
      <c r="A38875" s="3">
        <v>43874.631909722222</v>
      </c>
      <c r="B38875" t="str">
        <f>HYPERLINK("https://twitter.com/SitiKurniaty","@SitiKurniaty")</f>
        <v>@SitiKurniaty</v>
      </c>
      <c r="C38875" t="s">
        <v>691</v>
      </c>
      <c r="D38875">
        <v>0</v>
      </c>
      <c r="E38875">
        <v>0</v>
      </c>
      <c r="F38875">
        <v>135</v>
      </c>
    </row>
    <row r="38876" spans="1:6" ht="15.75" customHeight="1">
      <c r="A38876" s="3">
        <v>43874.63175925926</v>
      </c>
      <c r="B38876" t="str">
        <f>HYPERLINK("https://twitter.com/kisbet_","@kisbet_")</f>
        <v>@kisbet_</v>
      </c>
      <c r="C38876" t="s">
        <v>692</v>
      </c>
      <c r="D38876">
        <v>3</v>
      </c>
      <c r="E38876">
        <v>2</v>
      </c>
      <c r="F38876">
        <v>13760</v>
      </c>
    </row>
    <row r="38877" spans="1:6" ht="15.75" customHeight="1">
      <c r="A38877" s="3">
        <v>43874.63144675926</v>
      </c>
      <c r="B38877" t="str">
        <f>HYPERLINK("https://twitter.com/mrs2508008","@mrs2508008")</f>
        <v>@mrs2508008</v>
      </c>
      <c r="C38877" t="s">
        <v>693</v>
      </c>
      <c r="D38877">
        <v>0</v>
      </c>
      <c r="E38877">
        <v>1</v>
      </c>
      <c r="F38877">
        <v>1667</v>
      </c>
    </row>
    <row r="38878" spans="1:6" ht="15.75" customHeight="1">
      <c r="A38878" s="3">
        <v>43874.631388888884</v>
      </c>
      <c r="B38878" t="str">
        <f>HYPERLINK("https://twitter.com/UmyRina","@UmyRina")</f>
        <v>@UmyRina</v>
      </c>
      <c r="C38878" t="s">
        <v>694</v>
      </c>
      <c r="D38878">
        <v>0</v>
      </c>
      <c r="E38878">
        <v>0</v>
      </c>
      <c r="F38878">
        <v>358</v>
      </c>
    </row>
    <row r="38879" spans="1:6" ht="15.75" customHeight="1">
      <c r="A38879" s="3">
        <v>43874.631111111114</v>
      </c>
      <c r="B38879" t="str">
        <f>HYPERLINK("https://twitter.com/Mela_669","@Mela_669")</f>
        <v>@Mela_669</v>
      </c>
      <c r="C38879" t="s">
        <v>695</v>
      </c>
      <c r="D38879">
        <v>0</v>
      </c>
      <c r="E38879">
        <v>1</v>
      </c>
      <c r="F38879">
        <v>802</v>
      </c>
    </row>
    <row r="38880" spans="1:6" ht="15.75" customHeight="1">
      <c r="A38880" s="3">
        <v>43874.630127314813</v>
      </c>
      <c r="B38880" t="str">
        <f>HYPERLINK("https://twitter.com/tribunnews","@tribunnews")</f>
        <v>@tribunnews</v>
      </c>
      <c r="C38880" t="s">
        <v>696</v>
      </c>
      <c r="D38880">
        <v>0</v>
      </c>
      <c r="E38880">
        <v>3</v>
      </c>
      <c r="F38880">
        <v>873082</v>
      </c>
    </row>
    <row r="38881" spans="1:6" ht="15.75" customHeight="1">
      <c r="A38881" s="3">
        <v>43874.629548611112</v>
      </c>
      <c r="B38881" t="str">
        <f>HYPERLINK("https://twitter.com/ppmAswaja","@ppmAswaja")</f>
        <v>@ppmAswaja</v>
      </c>
      <c r="C38881" t="s">
        <v>697</v>
      </c>
      <c r="D38881">
        <v>0</v>
      </c>
      <c r="E38881">
        <v>0</v>
      </c>
      <c r="F38881">
        <v>7839</v>
      </c>
    </row>
    <row r="38882" spans="1:6" ht="15.75" customHeight="1">
      <c r="A38882" s="3">
        <v>43874.629548611112</v>
      </c>
      <c r="B38882" t="str">
        <f>HYPERLINK("https://twitter.com/kbaswaja","@kbaswaja")</f>
        <v>@kbaswaja</v>
      </c>
      <c r="C38882" t="s">
        <v>697</v>
      </c>
      <c r="D38882">
        <v>0</v>
      </c>
      <c r="E38882">
        <v>0</v>
      </c>
      <c r="F38882">
        <v>11775</v>
      </c>
    </row>
    <row r="38883" spans="1:6" ht="15.75" customHeight="1">
      <c r="A38883" s="3">
        <v>43874.629247685181</v>
      </c>
      <c r="B38883" t="str">
        <f>HYPERLINK("https://twitter.com/gandhi_purwanto","@gandhi_purwanto")</f>
        <v>@gandhi_purwanto</v>
      </c>
      <c r="C38883" t="s">
        <v>698</v>
      </c>
      <c r="D38883">
        <v>0</v>
      </c>
      <c r="E38883">
        <v>0</v>
      </c>
      <c r="F38883">
        <v>635</v>
      </c>
    </row>
    <row r="38884" spans="1:6" ht="15.75" customHeight="1">
      <c r="A38884" s="3">
        <v>43874.629062499997</v>
      </c>
      <c r="B38884" t="str">
        <f>HYPERLINK("https://twitter.com/Santos62658028","@Santos62658028")</f>
        <v>@Santos62658028</v>
      </c>
      <c r="C38884" t="s">
        <v>699</v>
      </c>
      <c r="D38884">
        <v>0</v>
      </c>
      <c r="E38884">
        <v>0</v>
      </c>
      <c r="F38884">
        <v>1422</v>
      </c>
    </row>
    <row r="38885" spans="1:6" ht="15.75" customHeight="1">
      <c r="A38885" s="3">
        <v>43874.629016203704</v>
      </c>
      <c r="B38885" t="str">
        <f>HYPERLINK("https://twitter.com/zonadamai","@zonadamai")</f>
        <v>@zonadamai</v>
      </c>
      <c r="C38885" t="s">
        <v>700</v>
      </c>
      <c r="D38885">
        <v>0</v>
      </c>
      <c r="E38885">
        <v>0</v>
      </c>
      <c r="F38885">
        <v>1092</v>
      </c>
    </row>
    <row r="38886" spans="1:6" ht="15.75" customHeight="1">
      <c r="A38886" s="3">
        <v>43874.628784722227</v>
      </c>
      <c r="B38886" t="str">
        <f>HYPERLINK("https://twitter.com/PDIPmagetan","@PDIPmagetan")</f>
        <v>@PDIPmagetan</v>
      </c>
      <c r="C38886" t="s">
        <v>701</v>
      </c>
      <c r="D38886">
        <v>0</v>
      </c>
      <c r="E38886">
        <v>0</v>
      </c>
      <c r="F38886">
        <v>706</v>
      </c>
    </row>
    <row r="38887" spans="1:6" ht="15.75" customHeight="1">
      <c r="A38887" s="3">
        <v>43874.628530092596</v>
      </c>
      <c r="B38887" t="str">
        <f>HYPERLINK("https://twitter.com/BangsaPlokotho","@BangsaPlokotho")</f>
        <v>@BangsaPlokotho</v>
      </c>
      <c r="C38887" t="s">
        <v>702</v>
      </c>
      <c r="D38887">
        <v>2</v>
      </c>
      <c r="E38887">
        <v>18</v>
      </c>
      <c r="F38887">
        <v>171</v>
      </c>
    </row>
    <row r="38888" spans="1:6" ht="15.75" customHeight="1">
      <c r="A38888" s="3">
        <v>43874.628229166672</v>
      </c>
      <c r="B38888" t="str">
        <f>HYPERLINK("https://twitter.com/zonadamai","@zonadamai")</f>
        <v>@zonadamai</v>
      </c>
      <c r="C38888" t="s">
        <v>703</v>
      </c>
      <c r="D38888">
        <v>0</v>
      </c>
      <c r="E38888">
        <v>0</v>
      </c>
      <c r="F38888">
        <v>1092</v>
      </c>
    </row>
    <row r="38889" spans="1:6" ht="15.75" customHeight="1">
      <c r="A38889" s="3">
        <v>43874.628032407403</v>
      </c>
      <c r="B38889" t="str">
        <f>HYPERLINK("https://twitter.com/josuagirop","@josuagirop")</f>
        <v>@josuagirop</v>
      </c>
      <c r="C38889" t="s">
        <v>704</v>
      </c>
      <c r="D38889">
        <v>0</v>
      </c>
      <c r="E38889">
        <v>0</v>
      </c>
      <c r="F38889">
        <v>137</v>
      </c>
    </row>
    <row r="38890" spans="1:6" ht="15.75" customHeight="1">
      <c r="A38890" s="3">
        <v>43874.627500000002</v>
      </c>
      <c r="B38890" t="str">
        <f>HYPERLINK("https://twitter.com/yohanagril","@yohanagril")</f>
        <v>@yohanagril</v>
      </c>
      <c r="C38890" t="s">
        <v>705</v>
      </c>
      <c r="D38890">
        <v>0</v>
      </c>
      <c r="E38890">
        <v>2</v>
      </c>
      <c r="F38890">
        <v>483</v>
      </c>
    </row>
    <row r="38891" spans="1:6" ht="15.75" customHeight="1">
      <c r="A38891" s="3">
        <v>43874.627141203702</v>
      </c>
      <c r="B38891" t="str">
        <f>HYPERLINK("https://twitter.com/BPPemiluPDIPDKI","@BPPemiluPDIPDKI")</f>
        <v>@BPPemiluPDIPDKI</v>
      </c>
      <c r="C38891" t="s">
        <v>706</v>
      </c>
      <c r="D38891">
        <v>0</v>
      </c>
      <c r="E38891">
        <v>0</v>
      </c>
      <c r="F38891">
        <v>111</v>
      </c>
    </row>
    <row r="38892" spans="1:6" ht="15.75" customHeight="1">
      <c r="A38892" s="3">
        <v>43874.626446759255</v>
      </c>
      <c r="B38892" t="str">
        <f>HYPERLINK("https://twitter.com/gandhi_purwanto","@gandhi_purwanto")</f>
        <v>@gandhi_purwanto</v>
      </c>
      <c r="C38892" t="s">
        <v>707</v>
      </c>
      <c r="D38892">
        <v>0</v>
      </c>
      <c r="E38892">
        <v>0</v>
      </c>
      <c r="F38892">
        <v>635</v>
      </c>
    </row>
    <row r="38893" spans="1:6" ht="15.75" customHeight="1">
      <c r="A38893" s="3">
        <v>43874.625486111108</v>
      </c>
      <c r="B38893" t="str">
        <f>HYPERLINK("https://twitter.com/geloraco","@geloraco")</f>
        <v>@geloraco</v>
      </c>
      <c r="C38893" t="s">
        <v>225</v>
      </c>
      <c r="D38893">
        <v>4</v>
      </c>
      <c r="E38893">
        <v>13</v>
      </c>
      <c r="F38893">
        <v>99635</v>
      </c>
    </row>
    <row r="38894" spans="1:6" ht="15.75" customHeight="1">
      <c r="A38894" s="3">
        <v>43874.625034722223</v>
      </c>
      <c r="B38894" t="str">
        <f>HYPERLINK("https://twitter.com/SayHeiYu","@SayHeiYu")</f>
        <v>@SayHeiYu</v>
      </c>
      <c r="C38894" t="s">
        <v>708</v>
      </c>
      <c r="D38894">
        <v>0</v>
      </c>
      <c r="E38894">
        <v>0</v>
      </c>
      <c r="F38894">
        <v>120179</v>
      </c>
    </row>
    <row r="38895" spans="1:6" ht="15.75" customHeight="1">
      <c r="A38895" s="3">
        <v>43874.624247685184</v>
      </c>
      <c r="B38895" t="str">
        <f>HYPERLINK("https://twitter.com/NKRI_isMe","@NKRI_isMe")</f>
        <v>@NKRI_isMe</v>
      </c>
      <c r="C38895" t="s">
        <v>709</v>
      </c>
      <c r="D38895">
        <v>0</v>
      </c>
      <c r="E38895">
        <v>0</v>
      </c>
      <c r="F38895">
        <v>219</v>
      </c>
    </row>
    <row r="38896" spans="1:6" ht="15.75" customHeight="1">
      <c r="A38896" s="3">
        <v>43874.623726851853</v>
      </c>
      <c r="B38896" t="str">
        <f>HYPERLINK("https://twitter.com/ansyori_riduan","@ansyori_riduan")</f>
        <v>@ansyori_riduan</v>
      </c>
      <c r="C38896" t="s">
        <v>710</v>
      </c>
      <c r="D38896">
        <v>0</v>
      </c>
      <c r="E38896">
        <v>0</v>
      </c>
      <c r="F38896">
        <v>114</v>
      </c>
    </row>
    <row r="38897" spans="1:6" ht="15.75" customHeight="1">
      <c r="A38897" s="3">
        <v>43874.623252314814</v>
      </c>
      <c r="B38897" t="str">
        <f>HYPERLINK("https://twitter.com/SalmaBrecht","@SalmaBrecht")</f>
        <v>@SalmaBrecht</v>
      </c>
      <c r="C38897" t="s">
        <v>711</v>
      </c>
      <c r="D38897">
        <v>56</v>
      </c>
      <c r="E38897">
        <v>165</v>
      </c>
      <c r="F38897">
        <v>13336</v>
      </c>
    </row>
    <row r="38898" spans="1:6" ht="15.75" customHeight="1">
      <c r="A38898" s="3">
        <v>43874.623067129629</v>
      </c>
      <c r="B38898" t="str">
        <f>HYPERLINK("https://twitter.com/jr_kw19","@jr_kw19")</f>
        <v>@jr_kw19</v>
      </c>
      <c r="C38898" t="s">
        <v>712</v>
      </c>
      <c r="D38898">
        <v>40</v>
      </c>
      <c r="E38898">
        <v>56</v>
      </c>
      <c r="F38898">
        <v>39437</v>
      </c>
    </row>
    <row r="38899" spans="1:6" ht="15.75" customHeight="1">
      <c r="A38899" s="3">
        <v>43874.621365740742</v>
      </c>
      <c r="B38899" t="str">
        <f>HYPERLINK("https://twitter.com/k305328330","@k305328330")</f>
        <v>@k305328330</v>
      </c>
      <c r="C38899" t="s">
        <v>713</v>
      </c>
      <c r="D38899">
        <v>0</v>
      </c>
      <c r="E38899">
        <v>0</v>
      </c>
      <c r="F38899">
        <v>884</v>
      </c>
    </row>
    <row r="38900" spans="1:6" ht="15.75" customHeight="1">
      <c r="A38900" s="3">
        <v>43874.62127314815</v>
      </c>
      <c r="B38900" t="str">
        <f>HYPERLINK("https://twitter.com/antmegapolitan","@antmegapolitan")</f>
        <v>@antmegapolitan</v>
      </c>
      <c r="D38900">
        <v>0</v>
      </c>
      <c r="E38900">
        <v>0</v>
      </c>
      <c r="F38900">
        <v>181</v>
      </c>
    </row>
    <row r="38901" spans="1:6" ht="15.75" customHeight="1">
      <c r="A38901" s="3">
        <v>43874.621030092589</v>
      </c>
      <c r="B38901" t="str">
        <f>HYPERLINK("https://twitter.com/jawapos","@jawapos")</f>
        <v>@jawapos</v>
      </c>
      <c r="C38901" t="s">
        <v>714</v>
      </c>
      <c r="D38901">
        <v>0</v>
      </c>
      <c r="E38901">
        <v>0</v>
      </c>
      <c r="F38901">
        <v>116251</v>
      </c>
    </row>
    <row r="38902" spans="1:6" ht="15.75" customHeight="1">
      <c r="A38902" s="3">
        <v>43874.620937500003</v>
      </c>
      <c r="B38902" t="str">
        <f>HYPERLINK("https://twitter.com/Oodhi_tah","@Oodhi_tah")</f>
        <v>@Oodhi_tah</v>
      </c>
      <c r="C38902" t="s">
        <v>715</v>
      </c>
      <c r="D38902">
        <v>0</v>
      </c>
      <c r="E38902">
        <v>0</v>
      </c>
      <c r="F38902">
        <v>251</v>
      </c>
    </row>
    <row r="38903" spans="1:6" ht="15.75" customHeight="1">
      <c r="A38903" s="3">
        <v>43874.620891203704</v>
      </c>
      <c r="B38903" t="str">
        <f>HYPERLINK("https://twitter.com/galamedianews","@galamedianews")</f>
        <v>@galamedianews</v>
      </c>
      <c r="C38903" t="s">
        <v>716</v>
      </c>
      <c r="D38903">
        <v>0</v>
      </c>
      <c r="E38903">
        <v>0</v>
      </c>
      <c r="F38903">
        <v>13707</v>
      </c>
    </row>
    <row r="38904" spans="1:6" ht="15.75" customHeight="1">
      <c r="A38904" s="3">
        <v>43874.620381944449</v>
      </c>
      <c r="B38904" t="str">
        <f>HYPERLINK("https://twitter.com/arasardiningrum","@arasardiningrum")</f>
        <v>@arasardiningrum</v>
      </c>
      <c r="C38904" t="s">
        <v>717</v>
      </c>
      <c r="D38904">
        <v>0</v>
      </c>
      <c r="E38904">
        <v>0</v>
      </c>
      <c r="F38904">
        <v>619</v>
      </c>
    </row>
    <row r="38905" spans="1:6" ht="15.75" customHeight="1">
      <c r="A38905" s="3">
        <v>43874.620011574079</v>
      </c>
      <c r="B38905" t="str">
        <f>HYPERLINK("https://twitter.com/Wiro_Negoro","@Wiro_Negoro")</f>
        <v>@Wiro_Negoro</v>
      </c>
      <c r="C38905" t="s">
        <v>718</v>
      </c>
      <c r="D38905">
        <v>1</v>
      </c>
      <c r="E38905">
        <v>2</v>
      </c>
      <c r="F38905">
        <v>160</v>
      </c>
    </row>
    <row r="38906" spans="1:6" ht="15.75" customHeight="1">
      <c r="A38906" s="3">
        <v>43874.619710648149</v>
      </c>
      <c r="B38906" t="str">
        <f>HYPERLINK("https://twitter.com/inyongmanise","@inyongmanise")</f>
        <v>@inyongmanise</v>
      </c>
      <c r="C38906" t="s">
        <v>719</v>
      </c>
      <c r="D38906">
        <v>0</v>
      </c>
      <c r="E38906">
        <v>2</v>
      </c>
      <c r="F38906">
        <v>9760</v>
      </c>
    </row>
    <row r="38907" spans="1:6" ht="15.75" customHeight="1">
      <c r="A38907" s="3">
        <v>43874.619305555556</v>
      </c>
      <c r="B38907" t="str">
        <f>HYPERLINK("https://twitter.com/ANDRE_OCTA_","@ANDRE_OCTA_")</f>
        <v>@ANDRE_OCTA_</v>
      </c>
      <c r="C38907" t="s">
        <v>720</v>
      </c>
      <c r="D38907">
        <v>1</v>
      </c>
      <c r="E38907">
        <v>1</v>
      </c>
      <c r="F38907">
        <v>16023</v>
      </c>
    </row>
    <row r="38908" spans="1:6" ht="15.75" customHeight="1">
      <c r="A38908" s="3">
        <v>43874.618668981479</v>
      </c>
      <c r="B38908" t="str">
        <f>HYPERLINK("https://twitter.com/_W_T_T_","@_W_T_T_")</f>
        <v>@_W_T_T_</v>
      </c>
      <c r="C38908" t="s">
        <v>721</v>
      </c>
      <c r="D38908">
        <v>0</v>
      </c>
      <c r="E38908">
        <v>0</v>
      </c>
      <c r="F38908">
        <v>540</v>
      </c>
    </row>
    <row r="38909" spans="1:6" ht="15.75" customHeight="1">
      <c r="A38909" s="3">
        <v>43874.618576388893</v>
      </c>
      <c r="B38909" t="str">
        <f>HYPERLINK("https://twitter.com/wisanggeni_084","@wisanggeni_084")</f>
        <v>@wisanggeni_084</v>
      </c>
      <c r="C38909" t="s">
        <v>722</v>
      </c>
      <c r="D38909">
        <v>61</v>
      </c>
      <c r="E38909">
        <v>203</v>
      </c>
      <c r="F38909">
        <v>15789</v>
      </c>
    </row>
    <row r="38910" spans="1:6" ht="15.75" customHeight="1">
      <c r="A38910" s="3">
        <v>43874.616851851853</v>
      </c>
      <c r="B38910" t="str">
        <f>HYPERLINK("https://twitter.com/es_gabus","@es_gabus")</f>
        <v>@es_gabus</v>
      </c>
      <c r="C38910" t="s">
        <v>723</v>
      </c>
      <c r="D38910">
        <v>0</v>
      </c>
      <c r="E38910">
        <v>1</v>
      </c>
      <c r="F38910">
        <v>37</v>
      </c>
    </row>
    <row r="38911" spans="1:6" ht="15.75" customHeight="1">
      <c r="A38911" s="3">
        <v>43874.616493055553</v>
      </c>
      <c r="B38911" t="str">
        <f>HYPERLINK("https://twitter.com/FathraNazrul","@FathraNazrul")</f>
        <v>@FathraNazrul</v>
      </c>
      <c r="C38911" t="s">
        <v>724</v>
      </c>
      <c r="D38911">
        <v>0</v>
      </c>
      <c r="E38911">
        <v>0</v>
      </c>
      <c r="F38911">
        <v>134</v>
      </c>
    </row>
    <row r="38912" spans="1:6" ht="15.75" customHeight="1">
      <c r="A38912" s="3">
        <v>43874.616099537037</v>
      </c>
      <c r="B38912" t="str">
        <f>HYPERLINK("https://twitter.com/kbaswaja","@kbaswaja")</f>
        <v>@kbaswaja</v>
      </c>
      <c r="C38912" t="s">
        <v>725</v>
      </c>
      <c r="D38912">
        <v>0</v>
      </c>
      <c r="E38912">
        <v>0</v>
      </c>
      <c r="F38912">
        <v>11775</v>
      </c>
    </row>
    <row r="38913" spans="1:6" ht="15.75" customHeight="1">
      <c r="A38913" s="3">
        <v>43874.615208333329</v>
      </c>
      <c r="B38913" t="str">
        <f>HYPERLINK("https://twitter.com/DPP_PPP","@DPP_PPP")</f>
        <v>@DPP_PPP</v>
      </c>
      <c r="C38913" t="s">
        <v>726</v>
      </c>
      <c r="D38913">
        <v>2</v>
      </c>
      <c r="E38913">
        <v>13</v>
      </c>
      <c r="F38913">
        <v>43914</v>
      </c>
    </row>
    <row r="38914" spans="1:6" ht="15.75" customHeight="1">
      <c r="A38914" s="3">
        <v>43874.614965277782</v>
      </c>
      <c r="B38914" t="str">
        <f>HYPERLINK("https://twitter.com/kumparan","@kumparan")</f>
        <v>@kumparan</v>
      </c>
      <c r="C38914" t="s">
        <v>727</v>
      </c>
      <c r="D38914">
        <v>1</v>
      </c>
      <c r="E38914">
        <v>7</v>
      </c>
      <c r="F38914">
        <v>321828</v>
      </c>
    </row>
    <row r="38915" spans="1:6" ht="15.75" customHeight="1">
      <c r="A38915" s="3">
        <v>43874.613055555557</v>
      </c>
      <c r="B38915" t="str">
        <f>HYPERLINK("https://twitter.com/angedespoir5","@angedespoir5")</f>
        <v>@angedespoir5</v>
      </c>
      <c r="C38915" t="s">
        <v>728</v>
      </c>
      <c r="D38915">
        <v>22</v>
      </c>
      <c r="E38915">
        <v>71</v>
      </c>
      <c r="F38915">
        <v>4912</v>
      </c>
    </row>
    <row r="38916" spans="1:6" ht="15.75" customHeight="1">
      <c r="A38916" s="3">
        <v>43874.612766203703</v>
      </c>
      <c r="B38916" t="str">
        <f>HYPERLINK("https://twitter.com/cnbcindonesia","@cnbcindonesia")</f>
        <v>@cnbcindonesia</v>
      </c>
      <c r="C38916" t="s">
        <v>729</v>
      </c>
      <c r="D38916">
        <v>4</v>
      </c>
      <c r="E38916">
        <v>2</v>
      </c>
      <c r="F38916">
        <v>29973</v>
      </c>
    </row>
    <row r="38917" spans="1:6" ht="15.75" customHeight="1">
      <c r="A38917" s="3">
        <v>43874.612557870365</v>
      </c>
      <c r="B38917" t="str">
        <f>HYPERLINK("https://twitter.com/FaktaNew5","@FaktaNew5")</f>
        <v>@FaktaNew5</v>
      </c>
      <c r="C38917" t="s">
        <v>730</v>
      </c>
      <c r="D38917">
        <v>0</v>
      </c>
      <c r="E38917">
        <v>0</v>
      </c>
      <c r="F38917">
        <v>173</v>
      </c>
    </row>
    <row r="38918" spans="1:6" ht="15.75" customHeight="1">
      <c r="A38918" s="3">
        <v>43874.612534722226</v>
      </c>
      <c r="B38918" t="str">
        <f>HYPERLINK("https://twitter.com/warekterus","@warekterus")</f>
        <v>@warekterus</v>
      </c>
      <c r="C38918" t="s">
        <v>731</v>
      </c>
      <c r="D38918">
        <v>0</v>
      </c>
      <c r="E38918">
        <v>2</v>
      </c>
      <c r="F38918">
        <v>45</v>
      </c>
    </row>
    <row r="38919" spans="1:6" ht="15.75" customHeight="1">
      <c r="A38919" s="3">
        <v>43874.61241898148</v>
      </c>
      <c r="B38919" t="str">
        <f>HYPERLINK("https://twitter.com/jr_kw19","@jr_kw19")</f>
        <v>@jr_kw19</v>
      </c>
      <c r="C38919" t="s">
        <v>732</v>
      </c>
      <c r="D38919">
        <v>64</v>
      </c>
      <c r="E38919">
        <v>73</v>
      </c>
      <c r="F38919">
        <v>39437</v>
      </c>
    </row>
    <row r="38920" spans="1:6" ht="15.75" customHeight="1">
      <c r="A38920" s="3">
        <v>43874.61204861111</v>
      </c>
      <c r="B38920" t="str">
        <f t="shared" ref="B38920:B38922" si="460">HYPERLINK("https://twitter.com/mochamadarip","@mochamadarip")</f>
        <v>@mochamadarip</v>
      </c>
      <c r="C38920" t="s">
        <v>733</v>
      </c>
      <c r="D38920">
        <v>30</v>
      </c>
      <c r="E38920">
        <v>40</v>
      </c>
      <c r="F38920">
        <v>26148</v>
      </c>
    </row>
    <row r="38921" spans="1:6" ht="15.75" customHeight="1">
      <c r="A38921" s="3">
        <v>43874.612002314811</v>
      </c>
      <c r="B38921" t="str">
        <f t="shared" si="460"/>
        <v>@mochamadarip</v>
      </c>
      <c r="C38921" t="s">
        <v>734</v>
      </c>
      <c r="D38921">
        <v>48</v>
      </c>
      <c r="E38921">
        <v>67</v>
      </c>
      <c r="F38921">
        <v>26148</v>
      </c>
    </row>
    <row r="38922" spans="1:6" ht="15.75" customHeight="1">
      <c r="A38922" s="3">
        <v>43874.611944444448</v>
      </c>
      <c r="B38922" t="str">
        <f t="shared" si="460"/>
        <v>@mochamadarip</v>
      </c>
      <c r="C38922" t="s">
        <v>735</v>
      </c>
      <c r="D38922">
        <v>31</v>
      </c>
      <c r="E38922">
        <v>59</v>
      </c>
      <c r="F38922">
        <v>26148</v>
      </c>
    </row>
    <row r="38923" spans="1:6" ht="15.75" customHeight="1">
      <c r="A38923" s="3">
        <v>43874.611678240741</v>
      </c>
      <c r="B38923" t="str">
        <f>HYPERLINK("https://twitter.com/woelannnn","@woelannnn")</f>
        <v>@woelannnn</v>
      </c>
      <c r="C38923" t="s">
        <v>736</v>
      </c>
      <c r="D38923">
        <v>39</v>
      </c>
      <c r="E38923">
        <v>51</v>
      </c>
      <c r="F38923">
        <v>20782</v>
      </c>
    </row>
    <row r="38924" spans="1:6" ht="15.75" customHeight="1">
      <c r="A38924" s="3">
        <v>43874.611122685186</v>
      </c>
      <c r="B38924" t="str">
        <f>HYPERLINK("https://twitter.com/rmol_id","@rmol_id")</f>
        <v>@rmol_id</v>
      </c>
      <c r="C38924" t="s">
        <v>737</v>
      </c>
      <c r="D38924">
        <v>1</v>
      </c>
      <c r="E38924">
        <v>0</v>
      </c>
      <c r="F38924">
        <v>160765</v>
      </c>
    </row>
    <row r="38925" spans="1:6" ht="15.75" customHeight="1">
      <c r="A38925" s="3">
        <v>43874.611111111109</v>
      </c>
      <c r="B38925" t="str">
        <f>HYPERLINK("https://twitter.com/DreamersRadioID","@DreamersRadioID")</f>
        <v>@DreamersRadioID</v>
      </c>
      <c r="C38925" t="s">
        <v>708</v>
      </c>
      <c r="D38925">
        <v>0</v>
      </c>
      <c r="E38925">
        <v>2</v>
      </c>
      <c r="F38925">
        <v>75551</v>
      </c>
    </row>
    <row r="38926" spans="1:6" ht="15.75" customHeight="1">
      <c r="A38926" s="3">
        <v>43874.610694444447</v>
      </c>
      <c r="B38926" t="str">
        <f>HYPERLINK("https://twitter.com/idntimes","@idntimes")</f>
        <v>@idntimes</v>
      </c>
      <c r="C38926" t="s">
        <v>739</v>
      </c>
      <c r="D38926">
        <v>0</v>
      </c>
      <c r="E38926">
        <v>0</v>
      </c>
      <c r="F38926">
        <v>392639</v>
      </c>
    </row>
    <row r="38927" spans="1:6" ht="15.75" customHeight="1">
      <c r="A38927" s="3">
        <v>43874.610300925924</v>
      </c>
      <c r="B38927" t="str">
        <f>HYPERLINK("https://twitter.com/JPapilaya","@JPapilaya")</f>
        <v>@JPapilaya</v>
      </c>
      <c r="C38927" t="s">
        <v>740</v>
      </c>
      <c r="D38927">
        <v>1</v>
      </c>
      <c r="E38927">
        <v>1</v>
      </c>
      <c r="F38927">
        <v>14</v>
      </c>
    </row>
    <row r="38928" spans="1:6" ht="15.75" customHeight="1">
      <c r="A38928" s="3">
        <v>43874.609953703708</v>
      </c>
      <c r="B38928" t="str">
        <f>HYPERLINK("https://twitter.com/hend_boy","@hend_boy")</f>
        <v>@hend_boy</v>
      </c>
      <c r="C38928" t="s">
        <v>741</v>
      </c>
      <c r="D38928">
        <v>0</v>
      </c>
      <c r="E38928">
        <v>0</v>
      </c>
      <c r="F38928">
        <v>27</v>
      </c>
    </row>
    <row r="38929" spans="1:6" ht="15.75" customHeight="1">
      <c r="A38929" s="3">
        <v>43874.609756944439</v>
      </c>
      <c r="B38929" t="str">
        <f>HYPERLINK("https://twitter.com/Jayabay19479190","@Jayabay19479190")</f>
        <v>@Jayabay19479190</v>
      </c>
      <c r="C38929" t="s">
        <v>742</v>
      </c>
      <c r="D38929">
        <v>1</v>
      </c>
      <c r="E38929">
        <v>4</v>
      </c>
      <c r="F38929">
        <v>1999</v>
      </c>
    </row>
    <row r="38930" spans="1:6" ht="15.75" customHeight="1">
      <c r="A38930" s="3">
        <v>43874.608888888892</v>
      </c>
      <c r="B38930" t="str">
        <f>HYPERLINK("https://twitter.com/P3nj3l4j4h_id","@P3nj3l4j4h_id")</f>
        <v>@P3nj3l4j4h_id</v>
      </c>
      <c r="C38930" t="s">
        <v>743</v>
      </c>
      <c r="D38930">
        <v>50</v>
      </c>
      <c r="E38930">
        <v>92</v>
      </c>
      <c r="F38930">
        <v>15364</v>
      </c>
    </row>
    <row r="38931" spans="1:6" ht="15.75" customHeight="1">
      <c r="A38931" s="3">
        <v>43874.608483796299</v>
      </c>
      <c r="B38931" t="str">
        <f>HYPERLINK("https://twitter.com/JPapilaya","@JPapilaya")</f>
        <v>@JPapilaya</v>
      </c>
      <c r="C38931" t="s">
        <v>744</v>
      </c>
      <c r="D38931">
        <v>0</v>
      </c>
      <c r="E38931">
        <v>0</v>
      </c>
      <c r="F38931">
        <v>14</v>
      </c>
    </row>
    <row r="38932" spans="1:6" ht="15.75" customHeight="1">
      <c r="A38932" s="3">
        <v>43874.608425925922</v>
      </c>
      <c r="B38932" t="str">
        <f>HYPERLINK("https://twitter.com/ANDRE_OCTA_","@ANDRE_OCTA_")</f>
        <v>@ANDRE_OCTA_</v>
      </c>
      <c r="C38932" t="s">
        <v>745</v>
      </c>
      <c r="D38932">
        <v>1</v>
      </c>
      <c r="E38932">
        <v>1</v>
      </c>
      <c r="F38932">
        <v>16023</v>
      </c>
    </row>
    <row r="38933" spans="1:6" ht="15.75" customHeight="1">
      <c r="A38933" s="3">
        <v>43874.608391203699</v>
      </c>
      <c r="B38933" t="str">
        <f>HYPERLINK("https://twitter.com/moeslim_choice","@moeslim_choice")</f>
        <v>@moeslim_choice</v>
      </c>
      <c r="C38933" t="s">
        <v>746</v>
      </c>
      <c r="D38933">
        <v>0</v>
      </c>
      <c r="E38933">
        <v>0</v>
      </c>
      <c r="F38933">
        <v>130</v>
      </c>
    </row>
    <row r="38934" spans="1:6" ht="15.75" customHeight="1">
      <c r="A38934" s="3">
        <v>43874.608101851853</v>
      </c>
      <c r="B38934" t="str">
        <f>HYPERLINK("https://twitter.com/chud_lori","@chud_lori")</f>
        <v>@chud_lori</v>
      </c>
      <c r="C38934" t="s">
        <v>747</v>
      </c>
      <c r="D38934">
        <v>0</v>
      </c>
      <c r="E38934">
        <v>1</v>
      </c>
      <c r="F38934">
        <v>108</v>
      </c>
    </row>
    <row r="38935" spans="1:6" ht="15.75" customHeight="1">
      <c r="A38935" s="3">
        <v>43874.607951388884</v>
      </c>
      <c r="B38935" t="str">
        <f>HYPERLINK("https://twitter.com/Oodhi_tah","@Oodhi_tah")</f>
        <v>@Oodhi_tah</v>
      </c>
      <c r="C38935" t="s">
        <v>748</v>
      </c>
      <c r="D38935">
        <v>1</v>
      </c>
      <c r="E38935">
        <v>2</v>
      </c>
      <c r="F38935">
        <v>251</v>
      </c>
    </row>
    <row r="38936" spans="1:6" ht="15.75" customHeight="1">
      <c r="A38936" s="3">
        <v>43874.607847222222</v>
      </c>
      <c r="B38936" t="str">
        <f>HYPERLINK("https://twitter.com/JPapilaya","@JPapilaya")</f>
        <v>@JPapilaya</v>
      </c>
      <c r="C38936" t="s">
        <v>749</v>
      </c>
      <c r="D38936">
        <v>0</v>
      </c>
      <c r="E38936">
        <v>1</v>
      </c>
      <c r="F38936">
        <v>14</v>
      </c>
    </row>
    <row r="38937" spans="1:6" ht="15.75" customHeight="1">
      <c r="A38937" s="3">
        <v>43874.607499999998</v>
      </c>
      <c r="B38937" t="str">
        <f>HYPERLINK("https://twitter.com/Beritasatu","@Beritasatu")</f>
        <v>@Beritasatu</v>
      </c>
      <c r="C38937" t="s">
        <v>750</v>
      </c>
      <c r="D38937">
        <v>3</v>
      </c>
      <c r="E38937">
        <v>3</v>
      </c>
      <c r="F38937">
        <v>613637</v>
      </c>
    </row>
    <row r="38938" spans="1:6" ht="15.75" customHeight="1">
      <c r="A38938" s="3">
        <v>43874.607453703706</v>
      </c>
      <c r="B38938" t="str">
        <f>HYPERLINK("https://twitter.com/andy_nomicin","@andy_nomicin")</f>
        <v>@andy_nomicin</v>
      </c>
      <c r="C38938" t="s">
        <v>751</v>
      </c>
      <c r="D38938">
        <v>67</v>
      </c>
      <c r="E38938">
        <v>142</v>
      </c>
      <c r="F38938">
        <v>7185</v>
      </c>
    </row>
    <row r="38939" spans="1:6" ht="15.75" customHeight="1">
      <c r="A38939" s="3">
        <v>43874.60737268519</v>
      </c>
      <c r="B38939" t="str">
        <f>HYPERLINK("https://twitter.com/JPapilaya","@JPapilaya")</f>
        <v>@JPapilaya</v>
      </c>
      <c r="C38939" t="s">
        <v>753</v>
      </c>
      <c r="D38939">
        <v>1</v>
      </c>
      <c r="E38939">
        <v>2</v>
      </c>
      <c r="F38939">
        <v>14</v>
      </c>
    </row>
    <row r="38940" spans="1:6" ht="15.75" customHeight="1">
      <c r="A38940" s="3">
        <v>43874.607199074075</v>
      </c>
      <c r="B38940" t="str">
        <f>HYPERLINK("https://twitter.com/BadjaNuswantara","@BadjaNuswantara")</f>
        <v>@BadjaNuswantara</v>
      </c>
      <c r="C38940" t="s">
        <v>754</v>
      </c>
      <c r="D38940">
        <v>83</v>
      </c>
      <c r="E38940">
        <v>134</v>
      </c>
      <c r="F38940">
        <v>42255</v>
      </c>
    </row>
    <row r="38941" spans="1:6" ht="15.75" customHeight="1">
      <c r="A38941" s="3">
        <v>43874.606863425928</v>
      </c>
      <c r="B38941" t="str">
        <f>HYPERLINK("https://twitter.com/JPapilaya","@JPapilaya")</f>
        <v>@JPapilaya</v>
      </c>
      <c r="C38941" t="s">
        <v>755</v>
      </c>
      <c r="D38941">
        <v>0</v>
      </c>
      <c r="E38941">
        <v>0</v>
      </c>
      <c r="F38941">
        <v>14</v>
      </c>
    </row>
    <row r="38942" spans="1:6" ht="15.75" customHeight="1">
      <c r="A38942" s="3">
        <v>43874.60659722222</v>
      </c>
      <c r="B38942" t="str">
        <f>HYPERLINK("https://twitter.com/PEDOMAN_id","@PEDOMAN_id")</f>
        <v>@PEDOMAN_id</v>
      </c>
      <c r="C38942" t="s">
        <v>756</v>
      </c>
      <c r="D38942">
        <v>0</v>
      </c>
      <c r="E38942">
        <v>0</v>
      </c>
      <c r="F38942">
        <v>60401</v>
      </c>
    </row>
    <row r="38943" spans="1:6" ht="15.75" customHeight="1">
      <c r="A38943" s="3">
        <v>43874.606504629628</v>
      </c>
      <c r="B38943" t="str">
        <f>HYPERLINK("https://twitter.com/woelannnn","@woelannnn")</f>
        <v>@woelannnn</v>
      </c>
      <c r="C38943" t="s">
        <v>757</v>
      </c>
      <c r="D38943">
        <v>36</v>
      </c>
      <c r="E38943">
        <v>64</v>
      </c>
      <c r="F38943">
        <v>20782</v>
      </c>
    </row>
    <row r="38944" spans="1:6" ht="15.75" customHeight="1">
      <c r="A38944" s="3">
        <v>43874.606423611112</v>
      </c>
      <c r="B38944" t="str">
        <f>HYPERLINK("https://twitter.com/shinichikudo991","@shinichikudo991")</f>
        <v>@shinichikudo991</v>
      </c>
      <c r="C38944" t="s">
        <v>758</v>
      </c>
      <c r="D38944">
        <v>48</v>
      </c>
      <c r="E38944">
        <v>65</v>
      </c>
      <c r="F38944">
        <v>5742</v>
      </c>
    </row>
    <row r="38945" spans="1:6" ht="15.75" customHeight="1">
      <c r="A38945" s="3">
        <v>43874.606064814812</v>
      </c>
      <c r="B38945" t="str">
        <f>HYPERLINK("https://twitter.com/KelianBanjar_GK","@KelianBanjar_GK")</f>
        <v>@KelianBanjar_GK</v>
      </c>
      <c r="C38945" t="s">
        <v>759</v>
      </c>
      <c r="D38945">
        <v>31</v>
      </c>
      <c r="E38945">
        <v>36</v>
      </c>
      <c r="F38945">
        <v>8421</v>
      </c>
    </row>
    <row r="38946" spans="1:6" ht="15.75" customHeight="1">
      <c r="A38946" s="3">
        <v>43874.606030092589</v>
      </c>
      <c r="B38946" t="str">
        <f t="shared" ref="B38946:B38947" si="461">HYPERLINK("https://twitter.com/othundang","@othundang")</f>
        <v>@othundang</v>
      </c>
      <c r="C38946" t="s">
        <v>760</v>
      </c>
      <c r="D38946">
        <v>0</v>
      </c>
      <c r="E38946">
        <v>0</v>
      </c>
      <c r="F38946">
        <v>273</v>
      </c>
    </row>
    <row r="38947" spans="1:6" ht="15.75" customHeight="1">
      <c r="A38947" s="3">
        <v>43874.606030092589</v>
      </c>
      <c r="B38947" t="str">
        <f t="shared" si="461"/>
        <v>@othundang</v>
      </c>
      <c r="C38947" t="s">
        <v>761</v>
      </c>
      <c r="D38947">
        <v>0</v>
      </c>
      <c r="E38947">
        <v>0</v>
      </c>
      <c r="F38947">
        <v>273</v>
      </c>
    </row>
    <row r="38948" spans="1:6" ht="15.75" customHeight="1">
      <c r="A38948" s="3">
        <v>43874.605821759258</v>
      </c>
      <c r="B38948" t="str">
        <f>HYPERLINK("https://twitter.com/jr_kw19","@jr_kw19")</f>
        <v>@jr_kw19</v>
      </c>
      <c r="C38948" t="s">
        <v>762</v>
      </c>
      <c r="D38948">
        <v>31</v>
      </c>
      <c r="E38948">
        <v>39</v>
      </c>
      <c r="F38948">
        <v>39437</v>
      </c>
    </row>
    <row r="38949" spans="1:6" ht="15.75" customHeight="1">
      <c r="A38949" s="3">
        <v>43874.605729166666</v>
      </c>
      <c r="B38949" t="str">
        <f>HYPERLINK("https://twitter.com/shinichikudo991","@shinichikudo991")</f>
        <v>@shinichikudo991</v>
      </c>
      <c r="C38949" t="s">
        <v>763</v>
      </c>
      <c r="D38949">
        <v>37</v>
      </c>
      <c r="E38949">
        <v>52</v>
      </c>
      <c r="F38949">
        <v>5742</v>
      </c>
    </row>
    <row r="38950" spans="1:6" ht="15.75" customHeight="1">
      <c r="A38950" s="3">
        <v>43874.60560185185</v>
      </c>
      <c r="B38950" t="str">
        <f>HYPERLINK("https://twitter.com/5Y5_one_70","@5Y5_one_70")</f>
        <v>@5Y5_one_70</v>
      </c>
      <c r="C38950" t="s">
        <v>764</v>
      </c>
      <c r="D38950">
        <v>32</v>
      </c>
      <c r="E38950">
        <v>37</v>
      </c>
      <c r="F38950">
        <v>6626</v>
      </c>
    </row>
    <row r="38951" spans="1:6" ht="15.75" customHeight="1">
      <c r="A38951" s="3">
        <v>43874.60538194445</v>
      </c>
      <c r="B38951" t="str">
        <f>HYPERLINK("https://twitter.com/nuchannels","@nuchannels")</f>
        <v>@nuchannels</v>
      </c>
      <c r="C38951" t="s">
        <v>765</v>
      </c>
      <c r="D38951">
        <v>0</v>
      </c>
      <c r="E38951">
        <v>8</v>
      </c>
      <c r="F38951">
        <v>4497</v>
      </c>
    </row>
    <row r="38952" spans="1:6" ht="15.75" customHeight="1">
      <c r="A38952" s="3">
        <v>43874.60533564815</v>
      </c>
      <c r="B38952" t="str">
        <f>HYPERLINK("https://twitter.com/WahabisLokal","@WahabisLokal")</f>
        <v>@WahabisLokal</v>
      </c>
      <c r="C38952" t="s">
        <v>766</v>
      </c>
      <c r="D38952">
        <v>135</v>
      </c>
      <c r="E38952">
        <v>228</v>
      </c>
      <c r="F38952">
        <v>19425</v>
      </c>
    </row>
    <row r="38953" spans="1:6" ht="15.75" customHeight="1">
      <c r="A38953" s="3">
        <v>43874.605243055557</v>
      </c>
      <c r="B38953" t="str">
        <f>HYPERLINK("https://twitter.com/arjuno_ireng01","@arjuno_ireng01")</f>
        <v>@arjuno_ireng01</v>
      </c>
      <c r="C38953" t="s">
        <v>767</v>
      </c>
      <c r="D38953">
        <v>41</v>
      </c>
      <c r="E38953">
        <v>62</v>
      </c>
      <c r="F38953">
        <v>10078</v>
      </c>
    </row>
    <row r="38954" spans="1:6" ht="15.75" customHeight="1">
      <c r="A38954" s="3">
        <v>43874.605150462958</v>
      </c>
      <c r="B38954" t="str">
        <f>HYPERLINK("https://twitter.com/BadjaNuswantara","@BadjaNuswantara")</f>
        <v>@BadjaNuswantara</v>
      </c>
      <c r="C38954" t="s">
        <v>768</v>
      </c>
      <c r="D38954">
        <v>55</v>
      </c>
      <c r="E38954">
        <v>69</v>
      </c>
      <c r="F38954">
        <v>42255</v>
      </c>
    </row>
    <row r="38955" spans="1:6" ht="15.75" customHeight="1">
      <c r="A38955" s="3">
        <v>43874.605150462958</v>
      </c>
      <c r="B38955" t="str">
        <f>HYPERLINK("https://twitter.com/5Y5_one_70","@5Y5_one_70")</f>
        <v>@5Y5_one_70</v>
      </c>
      <c r="C38955" t="s">
        <v>769</v>
      </c>
      <c r="D38955">
        <v>30</v>
      </c>
      <c r="E38955">
        <v>32</v>
      </c>
      <c r="F38955">
        <v>6626</v>
      </c>
    </row>
    <row r="38956" spans="1:6" ht="15.75" customHeight="1">
      <c r="A38956" s="3">
        <v>43874.605057870373</v>
      </c>
      <c r="B38956" t="str">
        <f>HYPERLINK("https://twitter.com/KATADATAcoid","@KATADATAcoid")</f>
        <v>@KATADATAcoid</v>
      </c>
      <c r="C38956" t="s">
        <v>770</v>
      </c>
      <c r="D38956">
        <v>0</v>
      </c>
      <c r="E38956">
        <v>1</v>
      </c>
      <c r="F38956">
        <v>39256</v>
      </c>
    </row>
    <row r="38957" spans="1:6" ht="15.75" customHeight="1">
      <c r="A38957" s="3">
        <v>43874.604988425926</v>
      </c>
      <c r="B38957" t="str">
        <f>HYPERLINK("https://twitter.com/mulanbilqis","@mulanbilqis")</f>
        <v>@mulanbilqis</v>
      </c>
      <c r="C38957" t="s">
        <v>771</v>
      </c>
      <c r="D38957">
        <v>44</v>
      </c>
      <c r="E38957">
        <v>41</v>
      </c>
      <c r="F38957">
        <v>13304</v>
      </c>
    </row>
    <row r="38958" spans="1:6" ht="15.75" customHeight="1">
      <c r="A38958" s="3">
        <v>43874.60491898148</v>
      </c>
      <c r="B38958" t="str">
        <f>HYPERLINK("https://twitter.com/wow_keren","@wow_keren")</f>
        <v>@wow_keren</v>
      </c>
      <c r="C38958" t="s">
        <v>772</v>
      </c>
      <c r="D38958">
        <v>0</v>
      </c>
      <c r="E38958">
        <v>0</v>
      </c>
      <c r="F38958">
        <v>32000</v>
      </c>
    </row>
    <row r="38959" spans="1:6" ht="15.75" customHeight="1">
      <c r="A38959" s="3">
        <v>43874.604467592595</v>
      </c>
      <c r="B38959" t="str">
        <f>HYPERLINK("https://twitter.com/pekok_labil","@pekok_labil")</f>
        <v>@pekok_labil</v>
      </c>
      <c r="C38959" t="s">
        <v>773</v>
      </c>
      <c r="D38959">
        <v>0</v>
      </c>
      <c r="E38959">
        <v>0</v>
      </c>
      <c r="F38959">
        <v>261</v>
      </c>
    </row>
    <row r="38960" spans="1:6" ht="15.75" customHeight="1">
      <c r="A38960" s="3">
        <v>43874.604456018518</v>
      </c>
      <c r="B38960" t="str">
        <f t="shared" ref="B38960:B38961" si="462">HYPERLINK("https://twitter.com/Je_Ly","@Je_Ly")</f>
        <v>@Je_Ly</v>
      </c>
      <c r="C38960" t="s">
        <v>774</v>
      </c>
      <c r="D38960">
        <v>49</v>
      </c>
      <c r="E38960">
        <v>76</v>
      </c>
      <c r="F38960">
        <v>16549</v>
      </c>
    </row>
    <row r="38961" spans="1:6" ht="15.75" customHeight="1">
      <c r="A38961" s="3">
        <v>43874.604398148149</v>
      </c>
      <c r="B38961" t="str">
        <f t="shared" si="462"/>
        <v>@Je_Ly</v>
      </c>
      <c r="C38961" t="s">
        <v>775</v>
      </c>
      <c r="D38961">
        <v>48</v>
      </c>
      <c r="E38961">
        <v>61</v>
      </c>
      <c r="F38961">
        <v>16549</v>
      </c>
    </row>
    <row r="38962" spans="1:6" ht="15.75" customHeight="1">
      <c r="A38962" s="3">
        <v>43874.604305555556</v>
      </c>
      <c r="B38962" t="str">
        <f>HYPERLINK("https://twitter.com/arjuno_ireng01","@arjuno_ireng01")</f>
        <v>@arjuno_ireng01</v>
      </c>
      <c r="C38962" t="s">
        <v>776</v>
      </c>
      <c r="D38962">
        <v>308</v>
      </c>
      <c r="E38962">
        <v>404</v>
      </c>
      <c r="F38962">
        <v>10078</v>
      </c>
    </row>
    <row r="38963" spans="1:6" ht="15.75" customHeight="1">
      <c r="A38963" s="3">
        <v>43874.603622685187</v>
      </c>
      <c r="B38963" t="str">
        <f>HYPERLINK("https://twitter.com/Je_Ly","@Je_Ly")</f>
        <v>@Je_Ly</v>
      </c>
      <c r="C38963" t="s">
        <v>777</v>
      </c>
      <c r="D38963">
        <v>66</v>
      </c>
      <c r="E38963">
        <v>105</v>
      </c>
      <c r="F38963">
        <v>16549</v>
      </c>
    </row>
    <row r="38964" spans="1:6" ht="15.75" customHeight="1">
      <c r="A38964" s="3">
        <v>43874.602731481486</v>
      </c>
      <c r="B38964" t="str">
        <f>HYPERLINK("https://twitter.com/BadjaNuswantara","@BadjaNuswantara")</f>
        <v>@BadjaNuswantara</v>
      </c>
      <c r="C38964" t="s">
        <v>107</v>
      </c>
      <c r="D38964">
        <v>220</v>
      </c>
      <c r="E38964">
        <v>415</v>
      </c>
      <c r="F38964">
        <v>42255</v>
      </c>
    </row>
    <row r="38965" spans="1:6" ht="15.75" customHeight="1">
      <c r="A38965" s="3">
        <v>43874.602106481485</v>
      </c>
      <c r="B38965" t="str">
        <f>HYPERLINK("https://twitter.com/BryanNakupenda","@BryanNakupenda")</f>
        <v>@BryanNakupenda</v>
      </c>
      <c r="C38965" t="s">
        <v>778</v>
      </c>
      <c r="D38965">
        <v>0</v>
      </c>
      <c r="E38965">
        <v>0</v>
      </c>
      <c r="F38965">
        <v>124</v>
      </c>
    </row>
    <row r="38966" spans="1:6" ht="15.75" customHeight="1">
      <c r="A38966" s="3">
        <v>43874.601226851853</v>
      </c>
      <c r="B38966" t="str">
        <f>HYPERLINK("https://twitter.com/dewakarbinawa","@dewakarbinawa")</f>
        <v>@dewakarbinawa</v>
      </c>
      <c r="C38966" t="s">
        <v>779</v>
      </c>
      <c r="D38966">
        <v>4</v>
      </c>
      <c r="E38966">
        <v>2</v>
      </c>
      <c r="F38966">
        <v>3959</v>
      </c>
    </row>
    <row r="38967" spans="1:6" ht="15.75" customHeight="1">
      <c r="A38967" s="3">
        <v>43874.600960648153</v>
      </c>
      <c r="B38967" t="str">
        <f>HYPERLINK("https://twitter.com/cnbcindonesia","@cnbcindonesia")</f>
        <v>@cnbcindonesia</v>
      </c>
      <c r="C38967" t="s">
        <v>780</v>
      </c>
      <c r="D38967">
        <v>2</v>
      </c>
      <c r="E38967">
        <v>1</v>
      </c>
      <c r="F38967">
        <v>29973</v>
      </c>
    </row>
    <row r="38968" spans="1:6" ht="15.75" customHeight="1">
      <c r="A38968" s="3">
        <v>43874.60092592593</v>
      </c>
      <c r="B38968" t="str">
        <f>HYPERLINK("https://twitter.com/maspaushitam","@maspaushitam")</f>
        <v>@maspaushitam</v>
      </c>
      <c r="C38968" t="s">
        <v>781</v>
      </c>
      <c r="D38968">
        <v>0</v>
      </c>
      <c r="E38968">
        <v>4</v>
      </c>
      <c r="F38968">
        <v>18247</v>
      </c>
    </row>
    <row r="38969" spans="1:6" ht="15.75" customHeight="1">
      <c r="A38969" s="3">
        <v>43874.600474537037</v>
      </c>
      <c r="B38969" t="str">
        <f>HYPERLINK("https://twitter.com/JhonniSinaga20","@JhonniSinaga20")</f>
        <v>@JhonniSinaga20</v>
      </c>
      <c r="C38969" t="s">
        <v>782</v>
      </c>
      <c r="D38969">
        <v>0</v>
      </c>
      <c r="E38969">
        <v>0</v>
      </c>
      <c r="F38969">
        <v>527</v>
      </c>
    </row>
    <row r="38970" spans="1:6" ht="15.75" customHeight="1">
      <c r="A38970" s="3">
        <v>43874.600173611107</v>
      </c>
      <c r="B38970" t="str">
        <f>HYPERLINK("https://twitter.com/BayuMeazza","@BayuMeazza")</f>
        <v>@BayuMeazza</v>
      </c>
      <c r="C38970" t="s">
        <v>783</v>
      </c>
      <c r="D38970">
        <v>0</v>
      </c>
      <c r="E38970">
        <v>1</v>
      </c>
      <c r="F38970">
        <v>144</v>
      </c>
    </row>
    <row r="38971" spans="1:6" ht="15.75" customHeight="1">
      <c r="A38971" s="3">
        <v>43874.599490740744</v>
      </c>
      <c r="B38971" t="str">
        <f>HYPERLINK("https://twitter.com/mazbaguzjogja","@mazbaguzjogja")</f>
        <v>@mazbaguzjogja</v>
      </c>
      <c r="C38971" t="s">
        <v>784</v>
      </c>
      <c r="D38971">
        <v>0</v>
      </c>
      <c r="E38971">
        <v>10</v>
      </c>
      <c r="F38971">
        <v>2208</v>
      </c>
    </row>
    <row r="38972" spans="1:6" ht="15.75" customHeight="1">
      <c r="A38972" s="3">
        <v>43874.599386574075</v>
      </c>
      <c r="B38972" t="str">
        <f>HYPERLINK("https://twitter.com/arasardiningrum","@arasardiningrum")</f>
        <v>@arasardiningrum</v>
      </c>
      <c r="C38972" t="s">
        <v>785</v>
      </c>
      <c r="D38972">
        <v>0</v>
      </c>
      <c r="E38972">
        <v>0</v>
      </c>
      <c r="F38972">
        <v>619</v>
      </c>
    </row>
    <row r="38973" spans="1:6" ht="15.75" customHeight="1">
      <c r="A38973" s="3">
        <v>43874.598171296297</v>
      </c>
      <c r="B38973" t="str">
        <f>HYPERLINK("https://twitter.com/ANTARABengkulu","@ANTARABengkulu")</f>
        <v>@ANTARABengkulu</v>
      </c>
      <c r="C38973" t="s">
        <v>786</v>
      </c>
      <c r="D38973">
        <v>0</v>
      </c>
      <c r="E38973">
        <v>0</v>
      </c>
      <c r="F38973">
        <v>2104</v>
      </c>
    </row>
    <row r="38974" spans="1:6" ht="15.75" customHeight="1">
      <c r="A38974" s="3">
        <v>43874.597939814819</v>
      </c>
      <c r="B38974" t="str">
        <f>HYPERLINK("https://twitter.com/ediedot108","@ediedot108")</f>
        <v>@ediedot108</v>
      </c>
      <c r="C38974" t="s">
        <v>787</v>
      </c>
      <c r="D38974">
        <v>1</v>
      </c>
      <c r="E38974">
        <v>2</v>
      </c>
      <c r="F38974">
        <v>2254</v>
      </c>
    </row>
    <row r="38975" spans="1:6" ht="15.75" customHeight="1">
      <c r="A38975" s="3">
        <v>43874.597326388888</v>
      </c>
      <c r="B38975" t="str">
        <f>HYPERLINK("https://twitter.com/okezonenews","@okezonenews")</f>
        <v>@okezonenews</v>
      </c>
      <c r="C38975" t="s">
        <v>788</v>
      </c>
      <c r="D38975">
        <v>0</v>
      </c>
      <c r="E38975">
        <v>0</v>
      </c>
      <c r="F38975">
        <v>1743741</v>
      </c>
    </row>
    <row r="38976" spans="1:6" ht="15.75" customHeight="1">
      <c r="A38976" s="3">
        <v>43874.597280092596</v>
      </c>
      <c r="B38976" t="str">
        <f>HYPERLINK("https://twitter.com/kompascom","@kompascom")</f>
        <v>@kompascom</v>
      </c>
      <c r="C38976" t="s">
        <v>789</v>
      </c>
      <c r="D38976">
        <v>2</v>
      </c>
      <c r="E38976">
        <v>6</v>
      </c>
      <c r="F38976">
        <v>7496984</v>
      </c>
    </row>
    <row r="38977" spans="1:6" ht="15.75" customHeight="1">
      <c r="A38977" s="3">
        <v>43874.596689814818</v>
      </c>
      <c r="B38977" t="str">
        <f>HYPERLINK("https://twitter.com/ana_khoz","@ana_khoz")</f>
        <v>@ana_khoz</v>
      </c>
      <c r="C38977" t="s">
        <v>790</v>
      </c>
      <c r="D38977">
        <v>2</v>
      </c>
      <c r="E38977">
        <v>1</v>
      </c>
      <c r="F38977">
        <v>18708</v>
      </c>
    </row>
    <row r="38978" spans="1:6" ht="15.75" customHeight="1">
      <c r="A38978" s="3">
        <v>43874.596215277779</v>
      </c>
      <c r="B38978" t="str">
        <f>HYPERLINK("https://twitter.com/galamedianews","@galamedianews")</f>
        <v>@galamedianews</v>
      </c>
      <c r="C38978" t="s">
        <v>791</v>
      </c>
      <c r="D38978">
        <v>0</v>
      </c>
      <c r="E38978">
        <v>0</v>
      </c>
      <c r="F38978">
        <v>13707</v>
      </c>
    </row>
    <row r="38979" spans="1:6" ht="15.75" customHeight="1">
      <c r="A38979" s="3">
        <v>43874.596087962964</v>
      </c>
      <c r="B38979" t="str">
        <f>HYPERLINK("https://twitter.com/JayaKatwang15","@JayaKatwang15")</f>
        <v>@JayaKatwang15</v>
      </c>
      <c r="C38979" t="s">
        <v>792</v>
      </c>
      <c r="D38979">
        <v>0</v>
      </c>
      <c r="E38979">
        <v>0</v>
      </c>
      <c r="F38979">
        <v>19</v>
      </c>
    </row>
    <row r="38980" spans="1:6" ht="15.75" customHeight="1">
      <c r="A38980" s="3">
        <v>43874.59574074074</v>
      </c>
      <c r="B38980" t="str">
        <f>HYPERLINK("https://twitter.com/Lukman_HARP","@Lukman_HARP")</f>
        <v>@Lukman_HARP</v>
      </c>
      <c r="C38980" t="s">
        <v>793</v>
      </c>
      <c r="D38980">
        <v>1</v>
      </c>
      <c r="E38980">
        <v>1</v>
      </c>
      <c r="F38980">
        <v>1059</v>
      </c>
    </row>
    <row r="38981" spans="1:6" ht="15.75" customHeight="1">
      <c r="A38981" s="3">
        <v>43874.595601851848</v>
      </c>
      <c r="B38981" t="str">
        <f>HYPERLINK("https://twitter.com/detikcom","@detikcom")</f>
        <v>@detikcom</v>
      </c>
      <c r="C38981" t="s">
        <v>794</v>
      </c>
      <c r="D38981">
        <v>2</v>
      </c>
      <c r="E38981">
        <v>26</v>
      </c>
      <c r="F38981">
        <v>15663959</v>
      </c>
    </row>
    <row r="38982" spans="1:6" ht="15.75" customHeight="1">
      <c r="A38982" s="3">
        <v>43874.595092592594</v>
      </c>
      <c r="B38982" t="str">
        <f>HYPERLINK("https://twitter.com/sadanmubarok","@sadanmubarok")</f>
        <v>@sadanmubarok</v>
      </c>
      <c r="C38982" t="s">
        <v>795</v>
      </c>
      <c r="D38982">
        <v>0</v>
      </c>
      <c r="E38982">
        <v>0</v>
      </c>
      <c r="F38982">
        <v>444</v>
      </c>
    </row>
    <row r="38983" spans="1:6" ht="15.75" customHeight="1">
      <c r="A38983" s="3">
        <v>43874.595069444447</v>
      </c>
      <c r="B38983" t="str">
        <f>HYPERLINK("https://twitter.com/JayaKatwang15","@JayaKatwang15")</f>
        <v>@JayaKatwang15</v>
      </c>
      <c r="C38983" t="s">
        <v>792</v>
      </c>
      <c r="D38983">
        <v>0</v>
      </c>
      <c r="E38983">
        <v>0</v>
      </c>
      <c r="F38983">
        <v>19</v>
      </c>
    </row>
    <row r="38984" spans="1:6" ht="15.75" customHeight="1">
      <c r="A38984" s="3">
        <v>43874.59474537037</v>
      </c>
      <c r="B38984" t="str">
        <f>HYPERLINK("https://twitter.com/MNCsindoweekly","@MNCsindoweekly")</f>
        <v>@MNCsindoweekly</v>
      </c>
      <c r="C38984" t="s">
        <v>796</v>
      </c>
      <c r="D38984">
        <v>0</v>
      </c>
      <c r="E38984">
        <v>0</v>
      </c>
      <c r="F38984">
        <v>109031</v>
      </c>
    </row>
    <row r="38985" spans="1:6" ht="15.75" customHeight="1">
      <c r="A38985" s="3">
        <v>43874.594525462962</v>
      </c>
      <c r="B38985" t="str">
        <f>HYPERLINK("https://twitter.com/JayaKatwang15","@JayaKatwang15")</f>
        <v>@JayaKatwang15</v>
      </c>
      <c r="C38985" t="s">
        <v>792</v>
      </c>
      <c r="D38985">
        <v>0</v>
      </c>
      <c r="E38985">
        <v>0</v>
      </c>
      <c r="F38985">
        <v>19</v>
      </c>
    </row>
    <row r="38986" spans="1:6" ht="15.75" customHeight="1">
      <c r="A38986" s="3">
        <v>43874.594317129631</v>
      </c>
      <c r="B38986" t="str">
        <f>HYPERLINK("https://twitter.com/_milhm","@_milhm")</f>
        <v>@_milhm</v>
      </c>
      <c r="C38986" t="s">
        <v>797</v>
      </c>
      <c r="D38986">
        <v>0</v>
      </c>
      <c r="E38986">
        <v>0</v>
      </c>
      <c r="F38986">
        <v>27</v>
      </c>
    </row>
    <row r="38987" spans="1:6" ht="15.75" customHeight="1">
      <c r="A38987" s="3">
        <v>43874.594201388885</v>
      </c>
      <c r="B38987" t="str">
        <f>HYPERLINK("https://twitter.com/PaijoAryanto__","@PaijoAryanto__")</f>
        <v>@PaijoAryanto__</v>
      </c>
      <c r="C38987" t="s">
        <v>798</v>
      </c>
      <c r="D38987">
        <v>0</v>
      </c>
      <c r="E38987">
        <v>0</v>
      </c>
      <c r="F38987">
        <v>716</v>
      </c>
    </row>
    <row r="38988" spans="1:6" ht="15.75" customHeight="1">
      <c r="A38988" s="3">
        <v>43874.594143518523</v>
      </c>
      <c r="B38988" t="str">
        <f t="shared" ref="B38988:B38989" si="463">HYPERLINK("https://twitter.com/JayaKatwang15","@JayaKatwang15")</f>
        <v>@JayaKatwang15</v>
      </c>
      <c r="C38988" t="s">
        <v>792</v>
      </c>
      <c r="D38988">
        <v>0</v>
      </c>
      <c r="E38988">
        <v>0</v>
      </c>
      <c r="F38988">
        <v>19</v>
      </c>
    </row>
    <row r="38989" spans="1:6" ht="15.75" customHeight="1">
      <c r="A38989" s="3">
        <v>43874.593842592592</v>
      </c>
      <c r="B38989" t="str">
        <f t="shared" si="463"/>
        <v>@JayaKatwang15</v>
      </c>
      <c r="C38989" t="s">
        <v>792</v>
      </c>
      <c r="D38989">
        <v>0</v>
      </c>
      <c r="E38989">
        <v>0</v>
      </c>
      <c r="F38989">
        <v>19</v>
      </c>
    </row>
    <row r="38990" spans="1:6" ht="15.75" customHeight="1">
      <c r="A38990" s="3">
        <v>43874.593587962961</v>
      </c>
      <c r="B38990" t="str">
        <f>HYPERLINK("https://twitter.com/idpenamini","@idpenamini")</f>
        <v>@idpenamini</v>
      </c>
      <c r="C38990" t="s">
        <v>664</v>
      </c>
      <c r="D38990">
        <v>0</v>
      </c>
      <c r="E38990">
        <v>0</v>
      </c>
      <c r="F38990">
        <v>168</v>
      </c>
    </row>
    <row r="38991" spans="1:6" ht="15.75" customHeight="1">
      <c r="A38991" s="3">
        <v>43874.593136574069</v>
      </c>
      <c r="B38991" t="str">
        <f>HYPERLINK("https://twitter.com/CatPaw90","@CatPaw90")</f>
        <v>@CatPaw90</v>
      </c>
      <c r="C38991" t="s">
        <v>799</v>
      </c>
      <c r="D38991">
        <v>0</v>
      </c>
      <c r="E38991">
        <v>0</v>
      </c>
      <c r="F38991">
        <v>227</v>
      </c>
    </row>
    <row r="38992" spans="1:6" ht="15.75" customHeight="1">
      <c r="A38992" s="3">
        <v>43874.592870370368</v>
      </c>
      <c r="B38992" t="str">
        <f>HYPERLINK("https://twitter.com/detikcom","@detikcom")</f>
        <v>@detikcom</v>
      </c>
      <c r="C38992" t="s">
        <v>800</v>
      </c>
      <c r="D38992">
        <v>2</v>
      </c>
      <c r="E38992">
        <v>20</v>
      </c>
      <c r="F38992">
        <v>15663959</v>
      </c>
    </row>
    <row r="38993" spans="1:6" ht="15.75" customHeight="1">
      <c r="A38993" s="3">
        <v>43874.591516203705</v>
      </c>
      <c r="B38993" t="str">
        <f>HYPERLINK("https://twitter.com/antaranews","@antaranews")</f>
        <v>@antaranews</v>
      </c>
      <c r="C38993" t="s">
        <v>801</v>
      </c>
      <c r="D38993">
        <v>0</v>
      </c>
      <c r="E38993">
        <v>3</v>
      </c>
      <c r="F38993">
        <v>1103152</v>
      </c>
    </row>
    <row r="38994" spans="1:6" ht="15.75" customHeight="1">
      <c r="A38994" s="3">
        <v>43874.591099537036</v>
      </c>
      <c r="B38994" t="str">
        <f>HYPERLINK("https://twitter.com/Beritasatu","@Beritasatu")</f>
        <v>@Beritasatu</v>
      </c>
      <c r="C38994" t="s">
        <v>802</v>
      </c>
      <c r="D38994">
        <v>0</v>
      </c>
      <c r="E38994">
        <v>1</v>
      </c>
      <c r="F38994">
        <v>613637</v>
      </c>
    </row>
    <row r="38995" spans="1:6" ht="15.75" customHeight="1">
      <c r="A38995" s="3">
        <v>43874.591041666667</v>
      </c>
      <c r="B38995" t="str">
        <f>HYPERLINK("https://twitter.com/cnewsbanten","@cnewsbanten")</f>
        <v>@cnewsbanten</v>
      </c>
      <c r="C38995" t="s">
        <v>803</v>
      </c>
      <c r="D38995">
        <v>0</v>
      </c>
      <c r="E38995">
        <v>0</v>
      </c>
      <c r="F38995">
        <v>103</v>
      </c>
    </row>
    <row r="38996" spans="1:6" ht="15.75" customHeight="1">
      <c r="A38996" s="3">
        <v>43874.590914351851</v>
      </c>
      <c r="B38996" t="str">
        <f>HYPERLINK("https://twitter.com/Mun4fikunn","@Mun4fikunn")</f>
        <v>@Mun4fikunn</v>
      </c>
      <c r="C38996" t="s">
        <v>804</v>
      </c>
      <c r="D38996">
        <v>9</v>
      </c>
      <c r="E38996">
        <v>8</v>
      </c>
      <c r="F38996">
        <v>1558</v>
      </c>
    </row>
    <row r="38997" spans="1:6" ht="15.75" customHeight="1">
      <c r="A38997" s="3">
        <v>43874.590115740742</v>
      </c>
      <c r="B38997" t="str">
        <f>HYPERLINK("https://twitter.com/String_Singer","@String_Singer")</f>
        <v>@String_Singer</v>
      </c>
      <c r="C38997" t="s">
        <v>805</v>
      </c>
      <c r="D38997">
        <v>0</v>
      </c>
      <c r="E38997">
        <v>0</v>
      </c>
      <c r="F38997">
        <v>688</v>
      </c>
    </row>
    <row r="38998" spans="1:6" ht="15.75" customHeight="1">
      <c r="A38998" s="3">
        <v>43874.588796296295</v>
      </c>
      <c r="B38998" t="str">
        <f>HYPERLINK("https://twitter.com/CallMeNayr","@CallMeNayr")</f>
        <v>@CallMeNayr</v>
      </c>
      <c r="C38998" t="s">
        <v>806</v>
      </c>
      <c r="D38998">
        <v>0</v>
      </c>
      <c r="E38998">
        <v>0</v>
      </c>
      <c r="F38998">
        <v>287</v>
      </c>
    </row>
    <row r="38999" spans="1:6" ht="15.75" customHeight="1">
      <c r="A38999" s="3">
        <v>43874.587523148148</v>
      </c>
      <c r="B38999" t="str">
        <f>HYPERLINK("https://twitter.com/kompascom","@kompascom")</f>
        <v>@kompascom</v>
      </c>
      <c r="C38999" t="s">
        <v>807</v>
      </c>
      <c r="D38999">
        <v>10</v>
      </c>
      <c r="E38999">
        <v>31</v>
      </c>
      <c r="F38999">
        <v>7496984</v>
      </c>
    </row>
    <row r="39000" spans="1:6" ht="15.75" customHeight="1">
      <c r="A39000" s="3">
        <v>43874.586701388893</v>
      </c>
      <c r="B39000" t="str">
        <f>HYPERLINK("https://twitter.com/SarangBerita","@SarangBerita")</f>
        <v>@SarangBerita</v>
      </c>
      <c r="D39000">
        <v>0</v>
      </c>
      <c r="E39000">
        <v>0</v>
      </c>
      <c r="F39000">
        <v>776</v>
      </c>
    </row>
    <row r="39001" spans="1:6" ht="15.75" customHeight="1">
      <c r="A39001" s="3">
        <v>43874.586168981477</v>
      </c>
      <c r="B39001" t="str">
        <f>HYPERLINK("https://twitter.com/gadisresidu_b3","@gadisresidu_b3")</f>
        <v>@gadisresidu_b3</v>
      </c>
      <c r="C39001" t="s">
        <v>808</v>
      </c>
      <c r="D39001">
        <v>0</v>
      </c>
      <c r="E39001">
        <v>1</v>
      </c>
      <c r="F39001">
        <v>1602</v>
      </c>
    </row>
    <row r="39002" spans="1:6" ht="15.75" customHeight="1">
      <c r="A39002" s="3">
        <v>43874.585439814815</v>
      </c>
      <c r="B39002" t="str">
        <f>HYPERLINK("https://twitter.com/jpnncom","@jpnncom")</f>
        <v>@jpnncom</v>
      </c>
      <c r="C39002" t="s">
        <v>809</v>
      </c>
      <c r="D39002">
        <v>1</v>
      </c>
      <c r="E39002">
        <v>2</v>
      </c>
      <c r="F39002">
        <v>49438</v>
      </c>
    </row>
    <row r="39003" spans="1:6" ht="15.75" customHeight="1">
      <c r="A39003" s="3">
        <v>43874.58530092593</v>
      </c>
      <c r="B39003" t="str">
        <f>HYPERLINK("https://twitter.com/mikirdoeloe","@mikirdoeloe")</f>
        <v>@mikirdoeloe</v>
      </c>
      <c r="C39003" t="s">
        <v>810</v>
      </c>
      <c r="D39003">
        <v>0</v>
      </c>
      <c r="E39003">
        <v>0</v>
      </c>
      <c r="F39003">
        <v>36</v>
      </c>
    </row>
    <row r="39004" spans="1:6" ht="15.75" customHeight="1">
      <c r="A39004" s="3">
        <v>43874.584652777776</v>
      </c>
      <c r="B39004" t="str">
        <f>HYPERLINK("https://twitter.com/samsulhadi","@samsulhadi")</f>
        <v>@samsulhadi</v>
      </c>
      <c r="C39004" t="s">
        <v>811</v>
      </c>
      <c r="D39004">
        <v>0</v>
      </c>
      <c r="E39004">
        <v>0</v>
      </c>
      <c r="F39004">
        <v>418</v>
      </c>
    </row>
    <row r="39005" spans="1:6" ht="15.75" customHeight="1">
      <c r="A39005" s="3">
        <v>43874.584560185191</v>
      </c>
      <c r="B39005" t="str">
        <f>HYPERLINK("https://twitter.com/WagimanDeep","@WagimanDeep")</f>
        <v>@WagimanDeep</v>
      </c>
      <c r="C39005" t="s">
        <v>812</v>
      </c>
      <c r="D39005">
        <v>473</v>
      </c>
      <c r="E39005">
        <v>1592</v>
      </c>
      <c r="F39005">
        <v>66059</v>
      </c>
    </row>
    <row r="39006" spans="1:6" ht="15.75" customHeight="1">
      <c r="A39006" s="3">
        <v>43874.584409722222</v>
      </c>
      <c r="B39006" t="str">
        <f>HYPERLINK("https://twitter.com/kumparan","@kumparan")</f>
        <v>@kumparan</v>
      </c>
      <c r="C39006" t="s">
        <v>813</v>
      </c>
      <c r="D39006">
        <v>1</v>
      </c>
      <c r="E39006">
        <v>1</v>
      </c>
      <c r="F39006">
        <v>321828</v>
      </c>
    </row>
    <row r="39007" spans="1:6" ht="15.75" customHeight="1">
      <c r="A39007" s="3">
        <v>43874.584374999999</v>
      </c>
      <c r="B39007" t="str">
        <f>HYPERLINK("https://twitter.com/KabarGolkarCom","@KabarGolkarCom")</f>
        <v>@KabarGolkarCom</v>
      </c>
      <c r="C39007" t="s">
        <v>814</v>
      </c>
      <c r="D39007">
        <v>0</v>
      </c>
      <c r="E39007">
        <v>8</v>
      </c>
      <c r="F39007">
        <v>2223</v>
      </c>
    </row>
    <row r="39008" spans="1:6" ht="15.75" customHeight="1">
      <c r="A39008" s="3">
        <v>43874.584317129629</v>
      </c>
      <c r="B39008" t="str">
        <f>HYPERLINK("https://twitter.com/ferymanurung_","@ferymanurung_")</f>
        <v>@ferymanurung_</v>
      </c>
      <c r="C39008" t="s">
        <v>815</v>
      </c>
      <c r="D39008">
        <v>0</v>
      </c>
      <c r="E39008">
        <v>0</v>
      </c>
      <c r="F39008">
        <v>314</v>
      </c>
    </row>
    <row r="39009" spans="1:6" ht="15.75" customHeight="1">
      <c r="A39009" s="3">
        <v>43874.58384259259</v>
      </c>
      <c r="B39009" t="str">
        <f>HYPERLINK("https://twitter.com/SydSalesman","@SydSalesman")</f>
        <v>@SydSalesman</v>
      </c>
      <c r="C39009" t="s">
        <v>816</v>
      </c>
      <c r="D39009">
        <v>2</v>
      </c>
      <c r="E39009">
        <v>2</v>
      </c>
      <c r="F39009">
        <v>6224</v>
      </c>
    </row>
    <row r="39010" spans="1:6" ht="15.75" customHeight="1">
      <c r="A39010" s="3">
        <v>43874.583611111113</v>
      </c>
      <c r="B39010" t="str">
        <f>HYPERLINK("https://twitter.com/arieflipp","@arieflipp")</f>
        <v>@arieflipp</v>
      </c>
      <c r="C39010" t="s">
        <v>817</v>
      </c>
      <c r="D39010">
        <v>3</v>
      </c>
      <c r="E39010">
        <v>7</v>
      </c>
      <c r="F39010">
        <v>5985</v>
      </c>
    </row>
    <row r="39011" spans="1:6" ht="15.75" customHeight="1">
      <c r="A39011" s="3">
        <v>43874.583460648151</v>
      </c>
      <c r="B39011" t="str">
        <f>HYPERLINK("https://twitter.com/historia_id","@historia_id")</f>
        <v>@historia_id</v>
      </c>
      <c r="C39011" t="s">
        <v>818</v>
      </c>
      <c r="D39011">
        <v>28</v>
      </c>
      <c r="E39011">
        <v>58</v>
      </c>
      <c r="F39011">
        <v>177666</v>
      </c>
    </row>
    <row r="39012" spans="1:6" ht="15.75" customHeight="1">
      <c r="A39012" s="3">
        <v>43874.583368055552</v>
      </c>
      <c r="B39012" t="str">
        <f>HYPERLINK("https://twitter.com/alineadotid","@alineadotid")</f>
        <v>@alineadotid</v>
      </c>
      <c r="C39012" t="s">
        <v>819</v>
      </c>
      <c r="D39012">
        <v>0</v>
      </c>
      <c r="E39012">
        <v>0</v>
      </c>
      <c r="F39012">
        <v>612028</v>
      </c>
    </row>
    <row r="39013" spans="1:6" ht="15.75" customHeight="1">
      <c r="A39013" s="3">
        <v>43874.582951388889</v>
      </c>
      <c r="B39013" t="str">
        <f>HYPERLINK("https://twitter.com/MNCsindoweekly","@MNCsindoweekly")</f>
        <v>@MNCsindoweekly</v>
      </c>
      <c r="C39013" t="s">
        <v>192</v>
      </c>
      <c r="D39013">
        <v>0</v>
      </c>
      <c r="E39013">
        <v>0</v>
      </c>
      <c r="F39013">
        <v>109031</v>
      </c>
    </row>
    <row r="39014" spans="1:6" ht="15.75" customHeight="1">
      <c r="A39014" s="3">
        <v>43874.582314814819</v>
      </c>
      <c r="B39014" t="str">
        <f>HYPERLINK("https://twitter.com/Fatimah4jeng","@Fatimah4jeng")</f>
        <v>@Fatimah4jeng</v>
      </c>
      <c r="C39014" t="s">
        <v>820</v>
      </c>
      <c r="D39014">
        <v>0</v>
      </c>
      <c r="E39014">
        <v>0</v>
      </c>
      <c r="F39014">
        <v>114</v>
      </c>
    </row>
    <row r="39015" spans="1:6" ht="15.75" customHeight="1">
      <c r="A39015" s="3">
        <v>43874.581863425927</v>
      </c>
      <c r="B39015" t="str">
        <f>HYPERLINK("https://twitter.com/demokrasicoid","@demokrasicoid")</f>
        <v>@demokrasicoid</v>
      </c>
      <c r="C39015" t="s">
        <v>636</v>
      </c>
      <c r="D39015">
        <v>2</v>
      </c>
      <c r="E39015">
        <v>2</v>
      </c>
      <c r="F39015">
        <v>22231</v>
      </c>
    </row>
    <row r="39016" spans="1:6" ht="15.75" customHeight="1">
      <c r="A39016" s="3">
        <v>43874.581817129627</v>
      </c>
      <c r="B39016" t="str">
        <f>HYPERLINK("https://twitter.com/ANDRE_OCTA_","@ANDRE_OCTA_")</f>
        <v>@ANDRE_OCTA_</v>
      </c>
      <c r="C39016" t="s">
        <v>821</v>
      </c>
      <c r="D39016">
        <v>1</v>
      </c>
      <c r="E39016">
        <v>1</v>
      </c>
      <c r="F39016">
        <v>16023</v>
      </c>
    </row>
    <row r="39017" spans="1:6" ht="15.75" customHeight="1">
      <c r="A39017" s="3">
        <v>43874.581157407403</v>
      </c>
      <c r="B39017" t="str">
        <f>HYPERLINK("https://twitter.com/NawacitaP","@NawacitaP")</f>
        <v>@NawacitaP</v>
      </c>
      <c r="C39017" t="s">
        <v>822</v>
      </c>
      <c r="D39017">
        <v>0</v>
      </c>
      <c r="E39017">
        <v>0</v>
      </c>
      <c r="F39017">
        <v>111</v>
      </c>
    </row>
    <row r="39018" spans="1:6" ht="15.75" customHeight="1">
      <c r="A39018" s="3">
        <v>43874.579942129625</v>
      </c>
      <c r="B39018" t="str">
        <f>HYPERLINK("https://twitter.com/IwanJuda","@IwanJuda")</f>
        <v>@IwanJuda</v>
      </c>
      <c r="C39018" t="s">
        <v>823</v>
      </c>
      <c r="D39018">
        <v>0</v>
      </c>
      <c r="E39018">
        <v>0</v>
      </c>
      <c r="F39018">
        <v>34</v>
      </c>
    </row>
    <row r="39019" spans="1:6" ht="15.75" customHeight="1">
      <c r="A39019" s="3">
        <v>43874.579699074078</v>
      </c>
      <c r="B39019" t="str">
        <f>HYPERLINK("https://twitter.com/AtikaFaya","@AtikaFaya")</f>
        <v>@AtikaFaya</v>
      </c>
      <c r="C39019" t="s">
        <v>824</v>
      </c>
      <c r="D39019">
        <v>152</v>
      </c>
      <c r="E39019">
        <v>424</v>
      </c>
      <c r="F39019">
        <v>5907</v>
      </c>
    </row>
    <row r="39020" spans="1:6" ht="15.75" customHeight="1">
      <c r="A39020" s="3">
        <v>43874.579409722224</v>
      </c>
      <c r="B39020" t="str">
        <f>HYPERLINK("https://twitter.com/CNNIndonesia","@CNNIndonesia")</f>
        <v>@CNNIndonesia</v>
      </c>
      <c r="C39020" t="s">
        <v>825</v>
      </c>
      <c r="D39020">
        <v>28</v>
      </c>
      <c r="E39020">
        <v>77</v>
      </c>
      <c r="F39020">
        <v>618499</v>
      </c>
    </row>
    <row r="39021" spans="1:6" ht="15.75" customHeight="1">
      <c r="A39021" s="3">
        <v>43874.579201388886</v>
      </c>
      <c r="B39021" t="str">
        <f>HYPERLINK("https://twitter.com/idpenamini","@idpenamini")</f>
        <v>@idpenamini</v>
      </c>
      <c r="C39021" t="s">
        <v>826</v>
      </c>
      <c r="D39021">
        <v>0</v>
      </c>
      <c r="E39021">
        <v>0</v>
      </c>
      <c r="F39021">
        <v>168</v>
      </c>
    </row>
    <row r="39022" spans="1:6" ht="15.75" customHeight="1">
      <c r="A39022" s="3">
        <v>43874.578518518523</v>
      </c>
      <c r="B39022" t="str">
        <f>HYPERLINK("https://twitter.com/kompascom","@kompascom")</f>
        <v>@kompascom</v>
      </c>
      <c r="C39022" t="s">
        <v>827</v>
      </c>
      <c r="D39022">
        <v>0</v>
      </c>
      <c r="E39022">
        <v>1</v>
      </c>
      <c r="F39022">
        <v>7496984</v>
      </c>
    </row>
    <row r="39023" spans="1:6" ht="15.75" customHeight="1">
      <c r="A39023" s="3">
        <v>43874.578368055554</v>
      </c>
      <c r="B39023" t="str">
        <f>HYPERLINK("https://twitter.com/PantunJ2P","@PantunJ2P")</f>
        <v>@PantunJ2P</v>
      </c>
      <c r="C39023" t="s">
        <v>828</v>
      </c>
      <c r="D39023">
        <v>9</v>
      </c>
      <c r="E39023">
        <v>22</v>
      </c>
      <c r="F39023">
        <v>12525</v>
      </c>
    </row>
    <row r="39024" spans="1:6" ht="15.75" customHeight="1">
      <c r="A39024" s="3">
        <v>43874.577986111108</v>
      </c>
      <c r="B39024" t="str">
        <f>HYPERLINK("https://twitter.com/MataMataPolitik","@MataMataPolitik")</f>
        <v>@MataMataPolitik</v>
      </c>
      <c r="C39024" t="s">
        <v>829</v>
      </c>
      <c r="D39024">
        <v>0</v>
      </c>
      <c r="E39024">
        <v>1</v>
      </c>
      <c r="F39024">
        <v>3734</v>
      </c>
    </row>
    <row r="39025" spans="1:6" ht="15.75" customHeight="1">
      <c r="A39025" s="3">
        <v>43874.576956018514</v>
      </c>
      <c r="B39025" t="str">
        <f>HYPERLINK("https://twitter.com/m18895","@m18895")</f>
        <v>@m18895</v>
      </c>
      <c r="C39025" t="s">
        <v>830</v>
      </c>
      <c r="D39025">
        <v>0</v>
      </c>
      <c r="E39025">
        <v>0</v>
      </c>
      <c r="F39025">
        <v>558</v>
      </c>
    </row>
    <row r="39026" spans="1:6" ht="15.75" customHeight="1">
      <c r="A39026" s="3">
        <v>43874.576678240745</v>
      </c>
      <c r="B39026" t="str">
        <f>HYPERLINK("https://twitter.com/NaAlia13","@NaAlia13")</f>
        <v>@NaAlia13</v>
      </c>
      <c r="C39026" t="s">
        <v>831</v>
      </c>
      <c r="D39026">
        <v>0</v>
      </c>
      <c r="E39026">
        <v>0</v>
      </c>
      <c r="F39026">
        <v>1145</v>
      </c>
    </row>
    <row r="39027" spans="1:6" ht="15.75" customHeight="1">
      <c r="A39027" s="3">
        <v>43874.576412037037</v>
      </c>
      <c r="B39027" t="str">
        <f>HYPERLINK("https://twitter.com/SayHeiYu","@SayHeiYu")</f>
        <v>@SayHeiYu</v>
      </c>
      <c r="C39027" t="s">
        <v>29</v>
      </c>
      <c r="D39027">
        <v>0</v>
      </c>
      <c r="E39027">
        <v>0</v>
      </c>
      <c r="F39027">
        <v>120179</v>
      </c>
    </row>
    <row r="39028" spans="1:6" ht="15.75" customHeight="1">
      <c r="A39028" s="3">
        <v>43874.575925925921</v>
      </c>
      <c r="B39028" t="str">
        <f>HYPERLINK("https://twitter.com/JohnKey19396926","@JohnKey19396926")</f>
        <v>@JohnKey19396926</v>
      </c>
      <c r="C39028" t="s">
        <v>561</v>
      </c>
      <c r="D39028">
        <v>0</v>
      </c>
      <c r="E39028">
        <v>0</v>
      </c>
      <c r="F39028">
        <v>112</v>
      </c>
    </row>
    <row r="39029" spans="1:6" ht="15.75" customHeight="1">
      <c r="A39029" s="3">
        <v>43874.575787037036</v>
      </c>
      <c r="B39029" t="str">
        <f>HYPERLINK("https://twitter.com/Pekanbarutuah","@Pekanbarutuah")</f>
        <v>@Pekanbarutuah</v>
      </c>
      <c r="D39029">
        <v>0</v>
      </c>
      <c r="E39029">
        <v>0</v>
      </c>
      <c r="F39029">
        <v>1028</v>
      </c>
    </row>
    <row r="39030" spans="1:6" ht="15.75" customHeight="1">
      <c r="A39030" s="3">
        <v>43874.575717592597</v>
      </c>
      <c r="B39030" t="str">
        <f>HYPERLINK("https://twitter.com/Sinar_Harapan","@Sinar_Harapan")</f>
        <v>@Sinar_Harapan</v>
      </c>
      <c r="C39030" t="s">
        <v>833</v>
      </c>
      <c r="D39030">
        <v>0</v>
      </c>
      <c r="E39030">
        <v>0</v>
      </c>
      <c r="F39030">
        <v>4967</v>
      </c>
    </row>
    <row r="39031" spans="1:6" ht="15.75" customHeight="1">
      <c r="A39031" s="3">
        <v>43874.575474537036</v>
      </c>
      <c r="B39031" t="str">
        <f>HYPERLINK("https://twitter.com/WartaKotaTribun","@WartaKotaTribun")</f>
        <v>@WartaKotaTribun</v>
      </c>
      <c r="C39031" t="s">
        <v>834</v>
      </c>
      <c r="D39031">
        <v>0</v>
      </c>
      <c r="E39031">
        <v>0</v>
      </c>
      <c r="F39031">
        <v>783</v>
      </c>
    </row>
    <row r="39032" spans="1:6" ht="15.75" customHeight="1">
      <c r="A39032" s="3">
        <v>43874.574965277774</v>
      </c>
      <c r="B39032" t="str">
        <f>HYPERLINK("https://twitter.com/Ismail8Kusuma","@Ismail8Kusuma")</f>
        <v>@Ismail8Kusuma</v>
      </c>
      <c r="C39032" t="s">
        <v>835</v>
      </c>
      <c r="D39032">
        <v>1</v>
      </c>
      <c r="E39032">
        <v>2</v>
      </c>
      <c r="F39032">
        <v>91</v>
      </c>
    </row>
    <row r="39033" spans="1:6" ht="15.75" customHeight="1">
      <c r="A39033" s="3">
        <v>43874.574780092589</v>
      </c>
      <c r="B39033" t="str">
        <f>HYPERLINK("https://twitter.com/hanifyahyaasya1","@hanifyahyaasya1")</f>
        <v>@hanifyahyaasya1</v>
      </c>
      <c r="C39033" t="s">
        <v>836</v>
      </c>
      <c r="D39033">
        <v>0</v>
      </c>
      <c r="E39033">
        <v>0</v>
      </c>
      <c r="F39033">
        <v>1432</v>
      </c>
    </row>
    <row r="39034" spans="1:6" ht="15.75" customHeight="1">
      <c r="A39034" s="3">
        <v>43874.573599537034</v>
      </c>
      <c r="B39034" t="str">
        <f>HYPERLINK("https://twitter.com/sorotnews","@sorotnews")</f>
        <v>@sorotnews</v>
      </c>
      <c r="C39034" t="s">
        <v>678</v>
      </c>
      <c r="D39034">
        <v>0</v>
      </c>
      <c r="E39034">
        <v>0</v>
      </c>
      <c r="F39034">
        <v>3409</v>
      </c>
    </row>
    <row r="39035" spans="1:6" ht="15.75" customHeight="1">
      <c r="A39035" s="3">
        <v>43874.573541666672</v>
      </c>
      <c r="B39035" t="str">
        <f>HYPERLINK("https://twitter.com/fajaralam9","@fajaralam9")</f>
        <v>@fajaralam9</v>
      </c>
      <c r="C39035" t="s">
        <v>837</v>
      </c>
      <c r="D39035">
        <v>0</v>
      </c>
      <c r="E39035">
        <v>0</v>
      </c>
      <c r="F39035">
        <v>1912</v>
      </c>
    </row>
    <row r="39036" spans="1:6" ht="15.75" customHeight="1">
      <c r="A39036" s="3">
        <v>43874.573009259257</v>
      </c>
      <c r="B39036" t="str">
        <f>HYPERLINK("https://twitter.com/KontanNews","@KontanNews")</f>
        <v>@KontanNews</v>
      </c>
      <c r="C39036" t="s">
        <v>838</v>
      </c>
      <c r="D39036">
        <v>0</v>
      </c>
      <c r="E39036">
        <v>0</v>
      </c>
      <c r="F39036">
        <v>316253</v>
      </c>
    </row>
    <row r="39037" spans="1:6" ht="15.75" customHeight="1">
      <c r="A39037" s="3">
        <v>43874.572453703702</v>
      </c>
      <c r="B39037" t="str">
        <f>HYPERLINK("https://twitter.com/Athar69046912","@Athar69046912")</f>
        <v>@Athar69046912</v>
      </c>
      <c r="C39037" t="s">
        <v>839</v>
      </c>
      <c r="D39037">
        <v>3</v>
      </c>
      <c r="E39037">
        <v>4</v>
      </c>
      <c r="F39037">
        <v>3282</v>
      </c>
    </row>
    <row r="39038" spans="1:6" ht="15.75" customHeight="1">
      <c r="A39038" s="3">
        <v>43874.57194444444</v>
      </c>
      <c r="B39038" t="str">
        <f>HYPERLINK("https://twitter.com/demokrasicoid","@demokrasicoid")</f>
        <v>@demokrasicoid</v>
      </c>
      <c r="C39038" t="s">
        <v>637</v>
      </c>
      <c r="D39038">
        <v>0</v>
      </c>
      <c r="E39038">
        <v>0</v>
      </c>
      <c r="F39038">
        <v>22231</v>
      </c>
    </row>
    <row r="39039" spans="1:6" ht="15.75" customHeight="1">
      <c r="A39039" s="3">
        <v>43874.571504629625</v>
      </c>
      <c r="B39039" t="str">
        <f>HYPERLINK("https://twitter.com/CNNIDdaily","@CNNIDdaily")</f>
        <v>@CNNIDdaily</v>
      </c>
      <c r="C39039" t="s">
        <v>840</v>
      </c>
      <c r="D39039">
        <v>5</v>
      </c>
      <c r="E39039">
        <v>5</v>
      </c>
      <c r="F39039">
        <v>115830</v>
      </c>
    </row>
    <row r="39040" spans="1:6" ht="15.75" customHeight="1">
      <c r="A39040" s="3">
        <v>43874.570810185185</v>
      </c>
      <c r="B39040" t="str">
        <f>HYPERLINK("https://twitter.com/gundala222","@gundala222")</f>
        <v>@gundala222</v>
      </c>
      <c r="C39040" t="s">
        <v>841</v>
      </c>
      <c r="D39040">
        <v>1</v>
      </c>
      <c r="E39040">
        <v>5</v>
      </c>
      <c r="F39040">
        <v>771</v>
      </c>
    </row>
    <row r="39041" spans="1:6" ht="15.75" customHeight="1">
      <c r="A39041" s="3">
        <v>43874.569467592592</v>
      </c>
      <c r="B39041" t="str">
        <f>HYPERLINK("https://twitter.com/rmol_id","@rmol_id")</f>
        <v>@rmol_id</v>
      </c>
      <c r="C39041" t="s">
        <v>842</v>
      </c>
      <c r="D39041">
        <v>2</v>
      </c>
      <c r="E39041">
        <v>8</v>
      </c>
      <c r="F39041">
        <v>160765</v>
      </c>
    </row>
    <row r="39042" spans="1:6" ht="15.75" customHeight="1">
      <c r="A39042" s="3">
        <v>43874.569131944445</v>
      </c>
      <c r="B39042" t="str">
        <f>HYPERLINK("https://twitter.com/kumparan","@kumparan")</f>
        <v>@kumparan</v>
      </c>
      <c r="C39042" t="s">
        <v>843</v>
      </c>
      <c r="D39042">
        <v>1</v>
      </c>
      <c r="E39042">
        <v>2</v>
      </c>
      <c r="F39042">
        <v>321828</v>
      </c>
    </row>
    <row r="39043" spans="1:6" ht="15.75" customHeight="1">
      <c r="A39043" s="3">
        <v>43874.567546296297</v>
      </c>
      <c r="B39043" t="str">
        <f>HYPERLINK("https://twitter.com/rakyatrukun_","@rakyatrukun_")</f>
        <v>@rakyatrukun_</v>
      </c>
      <c r="C39043" t="s">
        <v>844</v>
      </c>
      <c r="D39043">
        <v>0</v>
      </c>
      <c r="E39043">
        <v>0</v>
      </c>
      <c r="F39043">
        <v>1897</v>
      </c>
    </row>
    <row r="39044" spans="1:6" ht="15.75" customHeight="1">
      <c r="A39044" s="3">
        <v>43874.567349537036</v>
      </c>
      <c r="B39044" t="str">
        <f>HYPERLINK("https://twitter.com/sorotnews","@sorotnews")</f>
        <v>@sorotnews</v>
      </c>
      <c r="C39044" t="s">
        <v>845</v>
      </c>
      <c r="D39044">
        <v>0</v>
      </c>
      <c r="E39044">
        <v>1</v>
      </c>
      <c r="F39044">
        <v>3409</v>
      </c>
    </row>
    <row r="39045" spans="1:6" ht="15.75" customHeight="1">
      <c r="A39045" s="3">
        <v>43874.565312499995</v>
      </c>
      <c r="B39045" t="str">
        <f>HYPERLINK("https://twitter.com/wow_keren","@wow_keren")</f>
        <v>@wow_keren</v>
      </c>
      <c r="C39045" t="s">
        <v>846</v>
      </c>
      <c r="D39045">
        <v>1</v>
      </c>
      <c r="E39045">
        <v>1</v>
      </c>
      <c r="F39045">
        <v>32000</v>
      </c>
    </row>
    <row r="39046" spans="1:6" ht="15.75" customHeight="1">
      <c r="A39046" s="3">
        <v>43874.56459490741</v>
      </c>
      <c r="B39046" t="str">
        <f>HYPERLINK("https://twitter.com/0piPiw","@0piPiw")</f>
        <v>@0piPiw</v>
      </c>
      <c r="C39046" t="s">
        <v>847</v>
      </c>
      <c r="D39046">
        <v>0</v>
      </c>
      <c r="E39046">
        <v>0</v>
      </c>
      <c r="F39046">
        <v>357</v>
      </c>
    </row>
    <row r="39047" spans="1:6" ht="15.75" customHeight="1">
      <c r="A39047" s="3">
        <v>43874.564386574071</v>
      </c>
      <c r="B39047" t="str">
        <f>HYPERLINK("https://twitter.com/cakoneone","@cakoneone")</f>
        <v>@cakoneone</v>
      </c>
      <c r="C39047" t="s">
        <v>848</v>
      </c>
      <c r="D39047">
        <v>0</v>
      </c>
      <c r="E39047">
        <v>0</v>
      </c>
      <c r="F39047">
        <v>284</v>
      </c>
    </row>
    <row r="39048" spans="1:6" ht="15.75" customHeight="1">
      <c r="A39048" s="3">
        <v>43874.564155092594</v>
      </c>
      <c r="B39048" t="str">
        <f>HYPERLINK("https://twitter.com/naniealya","@naniealya")</f>
        <v>@naniealya</v>
      </c>
      <c r="C39048" t="s">
        <v>849</v>
      </c>
      <c r="D39048">
        <v>0</v>
      </c>
      <c r="E39048">
        <v>0</v>
      </c>
      <c r="F39048">
        <v>293</v>
      </c>
    </row>
    <row r="39049" spans="1:6" ht="15.75" customHeight="1">
      <c r="A39049" s="3">
        <v>43874.564062500001</v>
      </c>
      <c r="B39049" t="str">
        <f>HYPERLINK("https://twitter.com/bee0pie","@bee0pie")</f>
        <v>@bee0pie</v>
      </c>
      <c r="C39049" t="s">
        <v>850</v>
      </c>
      <c r="D39049">
        <v>0</v>
      </c>
      <c r="E39049">
        <v>0</v>
      </c>
      <c r="F39049">
        <v>142</v>
      </c>
    </row>
    <row r="39050" spans="1:6" ht="15.75" customHeight="1">
      <c r="A39050" s="3">
        <v>43874.563877314809</v>
      </c>
      <c r="B39050" t="str">
        <f>HYPERLINK("https://twitter.com/longkeey","@longkeey")</f>
        <v>@longkeey</v>
      </c>
      <c r="C39050" t="s">
        <v>851</v>
      </c>
      <c r="D39050">
        <v>0</v>
      </c>
      <c r="E39050">
        <v>0</v>
      </c>
      <c r="F39050">
        <v>398</v>
      </c>
    </row>
    <row r="39051" spans="1:6" ht="15.75" customHeight="1">
      <c r="A39051" s="3">
        <v>43874.56386574074</v>
      </c>
      <c r="B39051" t="str">
        <f>HYPERLINK("https://twitter.com/metrosulawesi","@metrosulawesi")</f>
        <v>@metrosulawesi</v>
      </c>
      <c r="C39051" t="s">
        <v>852</v>
      </c>
      <c r="D39051">
        <v>0</v>
      </c>
      <c r="E39051">
        <v>0</v>
      </c>
      <c r="F39051">
        <v>995</v>
      </c>
    </row>
    <row r="39052" spans="1:6" ht="15.75" customHeight="1">
      <c r="A39052" s="3">
        <v>43874.563761574071</v>
      </c>
      <c r="B39052" t="str">
        <f>HYPERLINK("https://twitter.com/widyazahraaa","@widyazahraaa")</f>
        <v>@widyazahraaa</v>
      </c>
      <c r="C39052" t="s">
        <v>853</v>
      </c>
      <c r="D39052">
        <v>0</v>
      </c>
      <c r="E39052">
        <v>0</v>
      </c>
      <c r="F39052">
        <v>276</v>
      </c>
    </row>
    <row r="39053" spans="1:6" ht="15.75" customHeight="1">
      <c r="A39053" s="3">
        <v>43874.563587962963</v>
      </c>
      <c r="B39053" t="str">
        <f>HYPERLINK("https://twitter.com/PijarKepri","@PijarKepri")</f>
        <v>@PijarKepri</v>
      </c>
      <c r="C39053" t="s">
        <v>854</v>
      </c>
      <c r="D39053">
        <v>0</v>
      </c>
      <c r="E39053">
        <v>0</v>
      </c>
      <c r="F39053">
        <v>10</v>
      </c>
    </row>
    <row r="39054" spans="1:6" ht="15.75" customHeight="1">
      <c r="A39054" s="3">
        <v>43874.563460648147</v>
      </c>
      <c r="B39054" t="str">
        <f>HYPERLINK("https://twitter.com/infolebah","@infolebah")</f>
        <v>@infolebah</v>
      </c>
      <c r="C39054" t="s">
        <v>855</v>
      </c>
      <c r="D39054">
        <v>0</v>
      </c>
      <c r="E39054">
        <v>0</v>
      </c>
      <c r="F39054">
        <v>1144</v>
      </c>
    </row>
    <row r="39055" spans="1:6" ht="15.75" customHeight="1">
      <c r="A39055" s="3">
        <v>43874.562881944439</v>
      </c>
      <c r="B39055" t="str">
        <f>HYPERLINK("https://twitter.com/RZhiigler","@RZhiigler")</f>
        <v>@RZhiigler</v>
      </c>
      <c r="C39055" t="s">
        <v>856</v>
      </c>
      <c r="D39055">
        <v>0</v>
      </c>
      <c r="E39055">
        <v>0</v>
      </c>
      <c r="F39055">
        <v>9</v>
      </c>
    </row>
    <row r="39056" spans="1:6" ht="15.75" customHeight="1">
      <c r="A39056" s="3">
        <v>43874.560787037037</v>
      </c>
      <c r="B39056" t="str">
        <f>HYPERLINK("https://twitter.com/siberpedia","@siberpedia")</f>
        <v>@siberpedia</v>
      </c>
      <c r="C39056" t="s">
        <v>857</v>
      </c>
      <c r="D39056">
        <v>0</v>
      </c>
      <c r="E39056">
        <v>1</v>
      </c>
      <c r="F39056">
        <v>2374</v>
      </c>
    </row>
    <row r="39057" spans="1:6" ht="15.75" customHeight="1">
      <c r="A39057" s="3">
        <v>43874.559074074074</v>
      </c>
      <c r="B39057" t="str">
        <f>HYPERLINK("https://twitter.com/Etam394","@Etam394")</f>
        <v>@Etam394</v>
      </c>
      <c r="D39057">
        <v>0</v>
      </c>
      <c r="E39057">
        <v>0</v>
      </c>
      <c r="F39057">
        <v>3573</v>
      </c>
    </row>
    <row r="39058" spans="1:6" ht="15.75" customHeight="1">
      <c r="A39058" s="3">
        <v>43874.559074074074</v>
      </c>
      <c r="B39058" t="str">
        <f>HYPERLINK("https://twitter.com/kumparan","@kumparan")</f>
        <v>@kumparan</v>
      </c>
      <c r="C39058" t="s">
        <v>858</v>
      </c>
      <c r="D39058">
        <v>1</v>
      </c>
      <c r="E39058">
        <v>7</v>
      </c>
      <c r="F39058">
        <v>321828</v>
      </c>
    </row>
    <row r="39059" spans="1:6" ht="15.75" customHeight="1">
      <c r="A39059" s="3">
        <v>43874.556967592594</v>
      </c>
      <c r="B39059" t="str">
        <f>HYPERLINK("https://twitter.com/harian_riau","@harian_riau")</f>
        <v>@harian_riau</v>
      </c>
      <c r="C39059" t="s">
        <v>859</v>
      </c>
      <c r="D39059">
        <v>1</v>
      </c>
      <c r="E39059">
        <v>0</v>
      </c>
      <c r="F39059">
        <v>663</v>
      </c>
    </row>
    <row r="39060" spans="1:6" ht="15.75" customHeight="1">
      <c r="A39060" s="3">
        <v>43874.556388888886</v>
      </c>
      <c r="B39060" t="str">
        <f>HYPERLINK("https://twitter.com/tribunkaltim","@tribunkaltim")</f>
        <v>@tribunkaltim</v>
      </c>
      <c r="C39060" t="s">
        <v>860</v>
      </c>
      <c r="D39060">
        <v>0</v>
      </c>
      <c r="E39060">
        <v>0</v>
      </c>
      <c r="F39060">
        <v>28662</v>
      </c>
    </row>
    <row r="39061" spans="1:6" ht="15.75" customHeight="1">
      <c r="A39061" s="3">
        <v>43874.554652777777</v>
      </c>
      <c r="B39061" t="str">
        <f>HYPERLINK("https://twitter.com/decanwaskita","@decanwaskita")</f>
        <v>@decanwaskita</v>
      </c>
      <c r="D39061">
        <v>0</v>
      </c>
      <c r="E39061">
        <v>0</v>
      </c>
      <c r="F39061">
        <v>162</v>
      </c>
    </row>
    <row r="39062" spans="1:6" ht="15.75" customHeight="1">
      <c r="A39062" s="3">
        <v>43874.554548611108</v>
      </c>
      <c r="B39062" t="str">
        <f>HYPERLINK("https://twitter.com/suaradotcom","@suaradotcom")</f>
        <v>@suaradotcom</v>
      </c>
      <c r="C39062" t="s">
        <v>861</v>
      </c>
      <c r="D39062">
        <v>0</v>
      </c>
      <c r="E39062">
        <v>0</v>
      </c>
      <c r="F39062">
        <v>24148</v>
      </c>
    </row>
    <row r="39063" spans="1:6" ht="15.75" customHeight="1">
      <c r="A39063" s="3">
        <v>43874.554247685184</v>
      </c>
      <c r="B39063" t="str">
        <f>HYPERLINK("https://twitter.com/Dhealestri","@Dhealestri")</f>
        <v>@Dhealestri</v>
      </c>
      <c r="C39063" t="s">
        <v>862</v>
      </c>
      <c r="D39063">
        <v>0</v>
      </c>
      <c r="E39063">
        <v>0</v>
      </c>
      <c r="F39063">
        <v>194</v>
      </c>
    </row>
    <row r="39064" spans="1:6" ht="15.75" customHeight="1">
      <c r="A39064" s="3">
        <v>43874.554212962961</v>
      </c>
      <c r="B39064" t="str">
        <f>HYPERLINK("https://twitter.com/decanwaskita","@decanwaskita")</f>
        <v>@decanwaskita</v>
      </c>
      <c r="C39064" t="s">
        <v>863</v>
      </c>
      <c r="D39064">
        <v>0</v>
      </c>
      <c r="E39064">
        <v>0</v>
      </c>
      <c r="F39064">
        <v>162</v>
      </c>
    </row>
    <row r="39065" spans="1:6" ht="15.75" customHeight="1">
      <c r="A39065" s="3">
        <v>43874.553784722222</v>
      </c>
      <c r="B39065" t="str">
        <f>HYPERLINK("https://twitter.com/Vi_MAE_","@Vi_MAE_")</f>
        <v>@Vi_MAE_</v>
      </c>
      <c r="C39065" t="s">
        <v>864</v>
      </c>
      <c r="D39065">
        <v>0</v>
      </c>
      <c r="E39065">
        <v>0</v>
      </c>
      <c r="F39065">
        <v>9027</v>
      </c>
    </row>
    <row r="39066" spans="1:6" ht="15.75" customHeight="1">
      <c r="A39066" s="3">
        <v>43874.55269675926</v>
      </c>
      <c r="B39066" t="str">
        <f>HYPERLINK("https://twitter.com/Je_Ly","@Je_Ly")</f>
        <v>@Je_Ly</v>
      </c>
      <c r="C39066" t="s">
        <v>865</v>
      </c>
      <c r="D39066">
        <v>115</v>
      </c>
      <c r="E39066">
        <v>340</v>
      </c>
      <c r="F39066">
        <v>16549</v>
      </c>
    </row>
    <row r="39067" spans="1:6" ht="15.75" customHeight="1">
      <c r="A39067" s="3">
        <v>43874.552361111113</v>
      </c>
      <c r="B39067" t="str">
        <f>HYPERLINK("https://twitter.com/akuikibutoijo","@akuikibutoijo")</f>
        <v>@akuikibutoijo</v>
      </c>
      <c r="C39067" t="s">
        <v>866</v>
      </c>
      <c r="D39067">
        <v>0</v>
      </c>
      <c r="E39067">
        <v>0</v>
      </c>
      <c r="F39067">
        <v>106</v>
      </c>
    </row>
    <row r="39068" spans="1:6" ht="15.75" customHeight="1">
      <c r="A39068" s="3">
        <v>43874.551701388889</v>
      </c>
      <c r="B39068" t="str">
        <f>HYPERLINK("https://twitter.com/infokabinetID","@infokabinetID")</f>
        <v>@infokabinetID</v>
      </c>
      <c r="C39068" t="s">
        <v>201</v>
      </c>
      <c r="D39068">
        <v>0</v>
      </c>
      <c r="E39068">
        <v>0</v>
      </c>
      <c r="F39068">
        <v>211</v>
      </c>
    </row>
    <row r="39069" spans="1:6" ht="15.75" customHeight="1">
      <c r="A39069" s="3">
        <v>43874.551504629635</v>
      </c>
      <c r="B39069" t="str">
        <f>HYPERLINK("https://twitter.com/tribunkaltim","@tribunkaltim")</f>
        <v>@tribunkaltim</v>
      </c>
      <c r="C39069" t="s">
        <v>867</v>
      </c>
      <c r="D39069">
        <v>0</v>
      </c>
      <c r="E39069">
        <v>0</v>
      </c>
      <c r="F39069">
        <v>28662</v>
      </c>
    </row>
    <row r="39070" spans="1:6" ht="15.75" customHeight="1">
      <c r="A39070" s="3">
        <v>43874.551284722227</v>
      </c>
      <c r="B39070" t="str">
        <f>HYPERLINK("https://twitter.com/TariSeptiana3","@TariSeptiana3")</f>
        <v>@TariSeptiana3</v>
      </c>
      <c r="C39070" t="s">
        <v>868</v>
      </c>
      <c r="D39070">
        <v>0</v>
      </c>
      <c r="E39070">
        <v>0</v>
      </c>
      <c r="F39070">
        <v>3</v>
      </c>
    </row>
    <row r="39071" spans="1:6" ht="15.75" customHeight="1">
      <c r="A39071" s="3">
        <v>43874.548981481479</v>
      </c>
      <c r="B39071" t="str">
        <f>HYPERLINK("https://twitter.com/kompascom","@kompascom")</f>
        <v>@kompascom</v>
      </c>
      <c r="C39071" t="s">
        <v>869</v>
      </c>
      <c r="D39071">
        <v>2</v>
      </c>
      <c r="E39071">
        <v>2</v>
      </c>
      <c r="F39071">
        <v>7496984</v>
      </c>
    </row>
    <row r="39072" spans="1:6" ht="15.75" customHeight="1">
      <c r="A39072" s="3">
        <v>43874.54792824074</v>
      </c>
      <c r="B39072" t="str">
        <f>HYPERLINK("https://twitter.com/FFSitoba","@FFSitoba")</f>
        <v>@FFSitoba</v>
      </c>
      <c r="C39072" t="s">
        <v>870</v>
      </c>
      <c r="D39072">
        <v>0</v>
      </c>
      <c r="E39072">
        <v>0</v>
      </c>
      <c r="F39072">
        <v>319</v>
      </c>
    </row>
    <row r="39073" spans="1:6" ht="15.75" customHeight="1">
      <c r="A39073" s="3">
        <v>43874.547071759254</v>
      </c>
      <c r="B39073" t="str">
        <f>HYPERLINK("https://twitter.com/rudyd3li","@rudyd3li")</f>
        <v>@rudyd3li</v>
      </c>
      <c r="C39073" t="s">
        <v>871</v>
      </c>
      <c r="D39073">
        <v>0</v>
      </c>
      <c r="E39073">
        <v>0</v>
      </c>
      <c r="F39073">
        <v>188</v>
      </c>
    </row>
    <row r="39074" spans="1:6" ht="15.75" customHeight="1">
      <c r="A39074" s="3">
        <v>43874.546747685185</v>
      </c>
      <c r="B39074" t="str">
        <f>HYPERLINK("https://twitter.com/QalbuBahasa","@QalbuBahasa")</f>
        <v>@QalbuBahasa</v>
      </c>
      <c r="C39074" t="s">
        <v>872</v>
      </c>
      <c r="D39074">
        <v>5</v>
      </c>
      <c r="E39074">
        <v>14</v>
      </c>
      <c r="F39074">
        <v>107</v>
      </c>
    </row>
    <row r="39075" spans="1:6" ht="15.75" customHeight="1">
      <c r="A39075" s="3">
        <v>43874.545289351852</v>
      </c>
      <c r="B39075" t="str">
        <f>HYPERLINK("https://twitter.com/republikaonline","@republikaonline")</f>
        <v>@republikaonline</v>
      </c>
      <c r="C39075" t="s">
        <v>873</v>
      </c>
      <c r="D39075">
        <v>1</v>
      </c>
      <c r="E39075">
        <v>1</v>
      </c>
      <c r="F39075">
        <v>1210209</v>
      </c>
    </row>
    <row r="39076" spans="1:6" ht="15.75" customHeight="1">
      <c r="A39076" s="3">
        <v>43874.545034722221</v>
      </c>
      <c r="B39076" t="str">
        <f>HYPERLINK("https://twitter.com/KicauSunyi","@KicauSunyi")</f>
        <v>@KicauSunyi</v>
      </c>
      <c r="C39076" t="s">
        <v>874</v>
      </c>
      <c r="D39076">
        <v>2</v>
      </c>
      <c r="E39076">
        <v>2</v>
      </c>
      <c r="F39076">
        <v>3661</v>
      </c>
    </row>
    <row r="39077" spans="1:6" ht="15.75" customHeight="1">
      <c r="A39077" s="3">
        <v>43874.544039351851</v>
      </c>
      <c r="B39077" t="str">
        <f>HYPERLINK("https://twitter.com/jibrilmf1","@jibrilmf1")</f>
        <v>@jibrilmf1</v>
      </c>
      <c r="D39077">
        <v>0</v>
      </c>
      <c r="E39077">
        <v>0</v>
      </c>
      <c r="F39077">
        <v>99</v>
      </c>
    </row>
    <row r="39078" spans="1:6" ht="15.75" customHeight="1">
      <c r="A39078" s="3">
        <v>43874.543020833335</v>
      </c>
      <c r="B39078" t="str">
        <f>HYPERLINK("https://twitter.com/Metrobatam_com","@Metrobatam_com")</f>
        <v>@Metrobatam_com</v>
      </c>
      <c r="C39078" t="s">
        <v>596</v>
      </c>
      <c r="D39078">
        <v>0</v>
      </c>
      <c r="E39078">
        <v>0</v>
      </c>
      <c r="F39078">
        <v>118</v>
      </c>
    </row>
    <row r="39079" spans="1:6" ht="15.75" customHeight="1">
      <c r="A39079" s="3">
        <v>43874.541898148149</v>
      </c>
      <c r="B39079" t="str">
        <f>HYPERLINK("https://twitter.com/Santos62658028","@Santos62658028")</f>
        <v>@Santos62658028</v>
      </c>
      <c r="C39079" t="s">
        <v>875</v>
      </c>
      <c r="D39079">
        <v>0</v>
      </c>
      <c r="E39079">
        <v>0</v>
      </c>
      <c r="F39079">
        <v>1422</v>
      </c>
    </row>
    <row r="39080" spans="1:6" ht="15.75" customHeight="1">
      <c r="A39080" s="3">
        <v>43874.541863425926</v>
      </c>
      <c r="B39080" t="str">
        <f>HYPERLINK("https://twitter.com/jibrilmf1","@jibrilmf1")</f>
        <v>@jibrilmf1</v>
      </c>
      <c r="D39080">
        <v>0</v>
      </c>
      <c r="E39080">
        <v>1</v>
      </c>
      <c r="F39080">
        <v>99</v>
      </c>
    </row>
    <row r="39081" spans="1:6" ht="15.75" customHeight="1">
      <c r="A39081" s="3">
        <v>43874.541759259257</v>
      </c>
      <c r="B39081" t="str">
        <f>HYPERLINK("https://twitter.com/triwul82","@triwul82")</f>
        <v>@triwul82</v>
      </c>
      <c r="C39081" t="s">
        <v>876</v>
      </c>
      <c r="D39081">
        <v>7</v>
      </c>
      <c r="E39081">
        <v>38</v>
      </c>
      <c r="F39081">
        <v>28840</v>
      </c>
    </row>
    <row r="39082" spans="1:6" ht="15.75" customHeight="1">
      <c r="A39082" s="3">
        <v>43874.541689814811</v>
      </c>
      <c r="B39082" t="str">
        <f>HYPERLINK("https://twitter.com/angedespoir5","@angedespoir5")</f>
        <v>@angedespoir5</v>
      </c>
      <c r="C39082" t="s">
        <v>877</v>
      </c>
      <c r="D39082">
        <v>8</v>
      </c>
      <c r="E39082">
        <v>13</v>
      </c>
      <c r="F39082">
        <v>4912</v>
      </c>
    </row>
    <row r="39083" spans="1:6" ht="15.75" customHeight="1">
      <c r="A39083" s="3">
        <v>43874.54074074074</v>
      </c>
      <c r="B39083" t="str">
        <f>HYPERLINK("https://twitter.com/MarcellaAgusti4","@MarcellaAgusti4")</f>
        <v>@MarcellaAgusti4</v>
      </c>
      <c r="C39083" t="s">
        <v>878</v>
      </c>
      <c r="D39083">
        <v>0</v>
      </c>
      <c r="E39083">
        <v>0</v>
      </c>
      <c r="F39083">
        <v>126</v>
      </c>
    </row>
    <row r="39084" spans="1:6" ht="15.75" customHeight="1">
      <c r="A39084" s="3">
        <v>43874.540381944447</v>
      </c>
      <c r="B39084" t="str">
        <f>HYPERLINK("https://twitter.com/KiranaAfifah2","@KiranaAfifah2")</f>
        <v>@KiranaAfifah2</v>
      </c>
      <c r="C39084" t="s">
        <v>879</v>
      </c>
      <c r="D39084">
        <v>0</v>
      </c>
      <c r="E39084">
        <v>0</v>
      </c>
      <c r="F39084">
        <v>137</v>
      </c>
    </row>
    <row r="39085" spans="1:6" ht="15.75" customHeight="1">
      <c r="A39085" s="3">
        <v>43874.538449074069</v>
      </c>
      <c r="B39085" t="str">
        <f>HYPERLINK("https://twitter.com/Rakha_boumi","@Rakha_boumi")</f>
        <v>@Rakha_boumi</v>
      </c>
      <c r="C39085" t="s">
        <v>880</v>
      </c>
      <c r="D39085">
        <v>0</v>
      </c>
      <c r="E39085">
        <v>1</v>
      </c>
      <c r="F39085">
        <v>1354</v>
      </c>
    </row>
    <row r="39086" spans="1:6" ht="15.75" customHeight="1">
      <c r="A39086" s="3">
        <v>43874.537939814814</v>
      </c>
      <c r="B39086" t="str">
        <f>HYPERLINK("https://twitter.com/azfar_28","@azfar_28")</f>
        <v>@azfar_28</v>
      </c>
      <c r="D39086">
        <v>0</v>
      </c>
      <c r="E39086">
        <v>0</v>
      </c>
      <c r="F39086">
        <v>420</v>
      </c>
    </row>
    <row r="39087" spans="1:6" ht="15.75" customHeight="1">
      <c r="A39087" s="3">
        <v>43874.53770833333</v>
      </c>
      <c r="B39087" t="str">
        <f>HYPERLINK("https://twitter.com/CNNIndonesia","@CNNIndonesia")</f>
        <v>@CNNIndonesia</v>
      </c>
      <c r="C39087" t="s">
        <v>876</v>
      </c>
      <c r="D39087">
        <v>6</v>
      </c>
      <c r="E39087">
        <v>17</v>
      </c>
      <c r="F39087">
        <v>618499</v>
      </c>
    </row>
    <row r="39088" spans="1:6" ht="15.75" customHeight="1">
      <c r="A39088" s="3">
        <v>43874.537048611106</v>
      </c>
      <c r="B39088" t="str">
        <f>HYPERLINK("https://twitter.com/moesa_jp02","@moesa_jp02")</f>
        <v>@moesa_jp02</v>
      </c>
      <c r="C39088" t="s">
        <v>875</v>
      </c>
      <c r="D39088">
        <v>0</v>
      </c>
      <c r="E39088">
        <v>1</v>
      </c>
      <c r="F39088">
        <v>1316</v>
      </c>
    </row>
    <row r="39089" spans="1:6" ht="15.75" customHeight="1">
      <c r="A39089" s="3">
        <v>43874.537002314813</v>
      </c>
      <c r="B39089" t="str">
        <f>HYPERLINK("https://twitter.com/DonnieY22829592","@DonnieY22829592")</f>
        <v>@DonnieY22829592</v>
      </c>
      <c r="C39089" t="s">
        <v>881</v>
      </c>
      <c r="D39089">
        <v>0</v>
      </c>
      <c r="E39089">
        <v>0</v>
      </c>
      <c r="F39089">
        <v>187</v>
      </c>
    </row>
    <row r="39090" spans="1:6" ht="15.75" customHeight="1">
      <c r="A39090" s="3">
        <v>43874.536481481482</v>
      </c>
      <c r="B39090" t="str">
        <f>HYPERLINK("https://twitter.com/DharmaFira","@DharmaFira")</f>
        <v>@DharmaFira</v>
      </c>
      <c r="C39090" t="s">
        <v>882</v>
      </c>
      <c r="D39090">
        <v>0</v>
      </c>
      <c r="E39090">
        <v>0</v>
      </c>
      <c r="F39090">
        <v>188</v>
      </c>
    </row>
    <row r="39091" spans="1:6" ht="15.75" customHeight="1">
      <c r="A39091" s="3">
        <v>43874.536250000005</v>
      </c>
      <c r="B39091" t="str">
        <f>HYPERLINK("https://twitter.com/AhlulQohwah","@AhlulQohwah")</f>
        <v>@AhlulQohwah</v>
      </c>
      <c r="C39091" t="s">
        <v>883</v>
      </c>
      <c r="D39091">
        <v>7432</v>
      </c>
      <c r="E39091">
        <v>7561</v>
      </c>
      <c r="F39091">
        <v>9973</v>
      </c>
    </row>
    <row r="39092" spans="1:6" ht="15.75" customHeight="1">
      <c r="A39092" s="3">
        <v>43874.536111111112</v>
      </c>
      <c r="B39092" t="str">
        <f>HYPERLINK("https://twitter.com/9Irma","@9Irma")</f>
        <v>@9Irma</v>
      </c>
      <c r="C39092" t="s">
        <v>884</v>
      </c>
      <c r="D39092">
        <v>0</v>
      </c>
      <c r="E39092">
        <v>0</v>
      </c>
      <c r="F39092">
        <v>15</v>
      </c>
    </row>
    <row r="39093" spans="1:6" ht="15.75" customHeight="1">
      <c r="A39093" s="3">
        <v>43874.535844907412</v>
      </c>
      <c r="B39093" t="str">
        <f>HYPERLINK("https://twitter.com/SariiDwinta","@SariiDwinta")</f>
        <v>@SariiDwinta</v>
      </c>
      <c r="C39093" t="s">
        <v>885</v>
      </c>
      <c r="D39093">
        <v>0</v>
      </c>
      <c r="E39093">
        <v>4</v>
      </c>
      <c r="F39093">
        <v>26</v>
      </c>
    </row>
    <row r="39094" spans="1:6" ht="15.75" customHeight="1">
      <c r="A39094" s="3">
        <v>43874.535798611112</v>
      </c>
      <c r="B39094" t="str">
        <f>HYPERLINK("https://twitter.com/Roma13054710","@Roma13054710")</f>
        <v>@Roma13054710</v>
      </c>
      <c r="C39094" t="s">
        <v>862</v>
      </c>
      <c r="D39094">
        <v>0</v>
      </c>
      <c r="E39094">
        <v>0</v>
      </c>
      <c r="F39094">
        <v>49</v>
      </c>
    </row>
    <row r="39095" spans="1:6" ht="15.75" customHeight="1">
      <c r="A39095" s="3">
        <v>43874.535590277781</v>
      </c>
      <c r="B39095" t="str">
        <f>HYPERLINK("https://twitter.com/OrteghaJoe","@OrteghaJoe")</f>
        <v>@OrteghaJoe</v>
      </c>
      <c r="C39095" t="s">
        <v>886</v>
      </c>
      <c r="D39095">
        <v>0</v>
      </c>
      <c r="E39095">
        <v>0</v>
      </c>
      <c r="F39095">
        <v>297</v>
      </c>
    </row>
    <row r="39096" spans="1:6" ht="15.75" customHeight="1">
      <c r="A39096" s="3">
        <v>43874.53524305555</v>
      </c>
      <c r="B39096" t="str">
        <f>HYPERLINK("https://twitter.com/nemosyus","@nemosyus")</f>
        <v>@nemosyus</v>
      </c>
      <c r="C39096" t="s">
        <v>887</v>
      </c>
      <c r="D39096">
        <v>2</v>
      </c>
      <c r="E39096">
        <v>4</v>
      </c>
      <c r="F39096">
        <v>485</v>
      </c>
    </row>
    <row r="39097" spans="1:6" ht="15.75" customHeight="1">
      <c r="A39097" s="3">
        <v>43874.53402777778</v>
      </c>
      <c r="B39097" t="str">
        <f>HYPERLINK("https://twitter.com/samhudibae","@samhudibae")</f>
        <v>@samhudibae</v>
      </c>
      <c r="C39097" t="s">
        <v>164</v>
      </c>
      <c r="D39097">
        <v>168</v>
      </c>
      <c r="E39097">
        <v>324</v>
      </c>
      <c r="F39097">
        <v>3345</v>
      </c>
    </row>
    <row r="39098" spans="1:6" ht="15.75" customHeight="1">
      <c r="A39098" s="3">
        <v>43874.534004629633</v>
      </c>
      <c r="B39098" t="str">
        <f>HYPERLINK("https://twitter.com/cepu_supriyanto","@cepu_supriyanto")</f>
        <v>@cepu_supriyanto</v>
      </c>
      <c r="C39098" t="s">
        <v>888</v>
      </c>
      <c r="D39098">
        <v>1</v>
      </c>
      <c r="E39098">
        <v>0</v>
      </c>
      <c r="F39098">
        <v>675</v>
      </c>
    </row>
    <row r="39099" spans="1:6" ht="15.75" customHeight="1">
      <c r="A39099" s="3">
        <v>43874.533113425925</v>
      </c>
      <c r="B39099" t="str">
        <f>HYPERLINK("https://twitter.com/lia_aja","@lia_aja")</f>
        <v>@lia_aja</v>
      </c>
      <c r="C39099" t="s">
        <v>890</v>
      </c>
      <c r="D39099">
        <v>0</v>
      </c>
      <c r="E39099">
        <v>0</v>
      </c>
      <c r="F39099">
        <v>81</v>
      </c>
    </row>
    <row r="39100" spans="1:6" ht="15.75" customHeight="1">
      <c r="A39100" s="3">
        <v>43874.532453703709</v>
      </c>
      <c r="B39100" t="str">
        <f>HYPERLINK("https://twitter.com/jibrilmf1","@jibrilmf1")</f>
        <v>@jibrilmf1</v>
      </c>
      <c r="C39100" t="s">
        <v>891</v>
      </c>
      <c r="D39100">
        <v>0</v>
      </c>
      <c r="E39100">
        <v>1</v>
      </c>
      <c r="F39100">
        <v>99</v>
      </c>
    </row>
    <row r="39101" spans="1:6" ht="15.75" customHeight="1">
      <c r="A39101" s="3">
        <v>43874.530266203699</v>
      </c>
      <c r="B39101" t="str">
        <f>HYPERLINK("https://twitter.com/Basori82181275","@Basori82181275")</f>
        <v>@Basori82181275</v>
      </c>
      <c r="C39101" t="s">
        <v>892</v>
      </c>
      <c r="D39101">
        <v>0</v>
      </c>
      <c r="E39101">
        <v>1</v>
      </c>
      <c r="F39101">
        <v>1702</v>
      </c>
    </row>
    <row r="39102" spans="1:6" ht="15.75" customHeight="1">
      <c r="A39102" s="3">
        <v>43874.529293981483</v>
      </c>
      <c r="B39102" t="str">
        <f>HYPERLINK("https://twitter.com/YudiArsawan10","@YudiArsawan10")</f>
        <v>@YudiArsawan10</v>
      </c>
      <c r="C39102" t="s">
        <v>893</v>
      </c>
      <c r="D39102">
        <v>1</v>
      </c>
      <c r="E39102">
        <v>0</v>
      </c>
      <c r="F39102">
        <v>102</v>
      </c>
    </row>
    <row r="39103" spans="1:6" ht="15.75" customHeight="1">
      <c r="A39103" s="3">
        <v>43874.529270833329</v>
      </c>
      <c r="B39103" t="str">
        <f>HYPERLINK("https://twitter.com/jibrilmf1","@jibrilmf1")</f>
        <v>@jibrilmf1</v>
      </c>
      <c r="C39103" t="s">
        <v>894</v>
      </c>
      <c r="D39103">
        <v>0</v>
      </c>
      <c r="E39103">
        <v>1</v>
      </c>
      <c r="F39103">
        <v>99</v>
      </c>
    </row>
    <row r="39104" spans="1:6" ht="15.75" customHeight="1">
      <c r="A39104" s="3">
        <v>43874.528761574074</v>
      </c>
      <c r="B39104" t="str">
        <f>HYPERLINK("https://twitter.com/SLF_PHJ","@SLF_PHJ")</f>
        <v>@SLF_PHJ</v>
      </c>
      <c r="C39104" t="s">
        <v>895</v>
      </c>
      <c r="D39104">
        <v>0</v>
      </c>
      <c r="E39104">
        <v>0</v>
      </c>
      <c r="F39104">
        <v>722</v>
      </c>
    </row>
    <row r="39105" spans="1:6" ht="15.75" customHeight="1">
      <c r="A39105" s="3">
        <v>43874.528715277775</v>
      </c>
      <c r="B39105" t="str">
        <f>HYPERLINK("https://twitter.com/tribunnews","@tribunnews")</f>
        <v>@tribunnews</v>
      </c>
      <c r="C39105" t="s">
        <v>896</v>
      </c>
      <c r="D39105">
        <v>0</v>
      </c>
      <c r="E39105">
        <v>0</v>
      </c>
      <c r="F39105">
        <v>873082</v>
      </c>
    </row>
    <row r="39106" spans="1:6" ht="15.75" customHeight="1">
      <c r="A39106" s="3">
        <v>43874.528506944444</v>
      </c>
      <c r="B39106" t="str">
        <f>HYPERLINK("https://twitter.com/kumparan","@kumparan")</f>
        <v>@kumparan</v>
      </c>
      <c r="C39106" t="s">
        <v>897</v>
      </c>
      <c r="D39106">
        <v>1</v>
      </c>
      <c r="E39106">
        <v>4</v>
      </c>
      <c r="F39106">
        <v>321828</v>
      </c>
    </row>
    <row r="39107" spans="1:6" ht="15.75" customHeight="1">
      <c r="A39107" s="3">
        <v>43874.528032407412</v>
      </c>
      <c r="B39107" t="str">
        <f>HYPERLINK("https://twitter.com/I_Am_Selvi","@I_Am_Selvi")</f>
        <v>@I_Am_Selvi</v>
      </c>
      <c r="C39107" t="s">
        <v>898</v>
      </c>
      <c r="D39107">
        <v>0</v>
      </c>
      <c r="E39107">
        <v>0</v>
      </c>
      <c r="F39107">
        <v>514</v>
      </c>
    </row>
    <row r="39108" spans="1:6" ht="15.75" customHeight="1">
      <c r="A39108" s="3">
        <v>43874.527175925927</v>
      </c>
      <c r="B39108" t="str">
        <f>HYPERLINK("https://twitter.com/republikaonline","@republikaonline")</f>
        <v>@republikaonline</v>
      </c>
      <c r="C39108" t="s">
        <v>899</v>
      </c>
      <c r="D39108">
        <v>10</v>
      </c>
      <c r="E39108">
        <v>18</v>
      </c>
      <c r="F39108">
        <v>1210209</v>
      </c>
    </row>
    <row r="39109" spans="1:6" ht="15.75" customHeight="1">
      <c r="A39109" s="3">
        <v>43874.527083333334</v>
      </c>
      <c r="B39109" t="str">
        <f>HYPERLINK("https://twitter.com/QalbuBahasa","@QalbuBahasa")</f>
        <v>@QalbuBahasa</v>
      </c>
      <c r="C39109" t="s">
        <v>900</v>
      </c>
      <c r="D39109">
        <v>7</v>
      </c>
      <c r="E39109">
        <v>25</v>
      </c>
      <c r="F39109">
        <v>107</v>
      </c>
    </row>
    <row r="39110" spans="1:6" ht="15.75" customHeight="1">
      <c r="A39110" s="3">
        <v>43874.525624999995</v>
      </c>
      <c r="B39110" t="str">
        <f>HYPERLINK("https://twitter.com/Beritasatu","@Beritasatu")</f>
        <v>@Beritasatu</v>
      </c>
      <c r="C39110" t="s">
        <v>901</v>
      </c>
      <c r="D39110">
        <v>1</v>
      </c>
      <c r="E39110">
        <v>1</v>
      </c>
      <c r="F39110">
        <v>613637</v>
      </c>
    </row>
    <row r="39111" spans="1:6" ht="15.75" customHeight="1">
      <c r="A39111" s="3">
        <v>43874.525057870371</v>
      </c>
      <c r="B39111" t="str">
        <f>HYPERLINK("https://twitter.com/indiemediaidnew","@indiemediaidnew")</f>
        <v>@indiemediaidnew</v>
      </c>
      <c r="C39111" t="s">
        <v>902</v>
      </c>
      <c r="D39111">
        <v>0</v>
      </c>
      <c r="E39111">
        <v>0</v>
      </c>
      <c r="F39111">
        <v>4</v>
      </c>
    </row>
    <row r="39112" spans="1:6" ht="15.75" customHeight="1">
      <c r="A39112" s="3">
        <v>43874.525011574078</v>
      </c>
      <c r="B39112" t="str">
        <f>HYPERLINK("https://twitter.com/eddies_song","@eddies_song")</f>
        <v>@eddies_song</v>
      </c>
      <c r="C39112" t="s">
        <v>903</v>
      </c>
      <c r="D39112">
        <v>1</v>
      </c>
      <c r="E39112">
        <v>0</v>
      </c>
      <c r="F39112">
        <v>1232</v>
      </c>
    </row>
    <row r="39113" spans="1:6" ht="15.75" customHeight="1">
      <c r="A39113" s="3">
        <v>43874.524976851855</v>
      </c>
      <c r="B39113" t="str">
        <f>HYPERLINK("https://twitter.com/tribunnews","@tribunnews")</f>
        <v>@tribunnews</v>
      </c>
      <c r="C39113" t="s">
        <v>904</v>
      </c>
      <c r="D39113">
        <v>0</v>
      </c>
      <c r="E39113">
        <v>6</v>
      </c>
      <c r="F39113">
        <v>873082</v>
      </c>
    </row>
    <row r="39114" spans="1:6" ht="15.75" customHeight="1">
      <c r="A39114" s="3">
        <v>43874.524629629625</v>
      </c>
      <c r="B39114" t="str">
        <f>HYPERLINK("https://twitter.com/OrteghaJoe","@OrteghaJoe")</f>
        <v>@OrteghaJoe</v>
      </c>
      <c r="C39114" t="s">
        <v>905</v>
      </c>
      <c r="D39114">
        <v>0</v>
      </c>
      <c r="E39114">
        <v>0</v>
      </c>
      <c r="F39114">
        <v>297</v>
      </c>
    </row>
    <row r="39115" spans="1:6" ht="15.75" customHeight="1">
      <c r="A39115" s="3">
        <v>43874.524409722224</v>
      </c>
      <c r="B39115" t="str">
        <f>HYPERLINK("https://twitter.com/bhenytarika28","@bhenytarika28")</f>
        <v>@bhenytarika28</v>
      </c>
      <c r="C39115" t="s">
        <v>906</v>
      </c>
      <c r="D39115">
        <v>4</v>
      </c>
      <c r="E39115">
        <v>8</v>
      </c>
      <c r="F39115">
        <v>7147</v>
      </c>
    </row>
    <row r="39116" spans="1:6" ht="15.75" customHeight="1">
      <c r="A39116" s="3">
        <v>43874.523101851853</v>
      </c>
      <c r="B39116" t="str">
        <f>HYPERLINK("https://twitter.com/tempodotco","@tempodotco")</f>
        <v>@tempodotco</v>
      </c>
      <c r="C39116" t="s">
        <v>907</v>
      </c>
      <c r="D39116">
        <v>2</v>
      </c>
      <c r="E39116">
        <v>11</v>
      </c>
      <c r="F39116">
        <v>1702040</v>
      </c>
    </row>
    <row r="39117" spans="1:6" ht="15.75" customHeight="1">
      <c r="A39117" s="3">
        <v>43874.522870370369</v>
      </c>
      <c r="B39117" t="str">
        <f>HYPERLINK("https://twitter.com/KicauSunyi","@KicauSunyi")</f>
        <v>@KicauSunyi</v>
      </c>
      <c r="C39117" t="s">
        <v>908</v>
      </c>
      <c r="D39117">
        <v>2</v>
      </c>
      <c r="E39117">
        <v>2</v>
      </c>
      <c r="F39117">
        <v>3661</v>
      </c>
    </row>
    <row r="39118" spans="1:6" ht="15.75" customHeight="1">
      <c r="A39118" s="3">
        <v>43874.522395833337</v>
      </c>
      <c r="B39118" t="str">
        <f>HYPERLINK("https://twitter.com/detikcom","@detikcom")</f>
        <v>@detikcom</v>
      </c>
      <c r="C39118" t="s">
        <v>909</v>
      </c>
      <c r="D39118">
        <v>14</v>
      </c>
      <c r="E39118">
        <v>45</v>
      </c>
      <c r="F39118">
        <v>15663959</v>
      </c>
    </row>
    <row r="39119" spans="1:6" ht="15.75" customHeight="1">
      <c r="A39119" s="3">
        <v>43874.521874999999</v>
      </c>
      <c r="B39119" t="str">
        <f>HYPERLINK("https://twitter.com/BellaChaniago2","@BellaChaniago2")</f>
        <v>@BellaChaniago2</v>
      </c>
      <c r="C39119" t="s">
        <v>910</v>
      </c>
      <c r="D39119">
        <v>0</v>
      </c>
      <c r="E39119">
        <v>0</v>
      </c>
      <c r="F39119">
        <v>177</v>
      </c>
    </row>
    <row r="39120" spans="1:6" ht="15.75" customHeight="1">
      <c r="A39120" s="3">
        <v>43874.521689814814</v>
      </c>
      <c r="B39120" t="str">
        <f>HYPERLINK("https://twitter.com/AnitaDwi5","@AnitaDwi5")</f>
        <v>@AnitaDwi5</v>
      </c>
      <c r="C39120" t="s">
        <v>911</v>
      </c>
      <c r="D39120">
        <v>0</v>
      </c>
      <c r="E39120">
        <v>0</v>
      </c>
      <c r="F39120">
        <v>229</v>
      </c>
    </row>
    <row r="39121" spans="1:6" ht="15.75" customHeight="1">
      <c r="A39121" s="3">
        <v>43874.52134259259</v>
      </c>
      <c r="B39121" t="str">
        <f>HYPERLINK("https://twitter.com/maslachah_anik","@maslachah_anik")</f>
        <v>@maslachah_anik</v>
      </c>
      <c r="C39121" t="s">
        <v>912</v>
      </c>
      <c r="D39121">
        <v>0</v>
      </c>
      <c r="E39121">
        <v>0</v>
      </c>
      <c r="F39121">
        <v>33</v>
      </c>
    </row>
    <row r="39122" spans="1:6" ht="15.75" customHeight="1">
      <c r="A39122" s="3">
        <v>43874.520960648151</v>
      </c>
      <c r="B39122" t="str">
        <f>HYPERLINK("https://twitter.com/vivanewscom","@vivanewscom")</f>
        <v>@vivanewscom</v>
      </c>
      <c r="C39122" t="s">
        <v>913</v>
      </c>
      <c r="D39122">
        <v>2</v>
      </c>
      <c r="E39122">
        <v>1</v>
      </c>
      <c r="F39122">
        <v>4059</v>
      </c>
    </row>
    <row r="39123" spans="1:6" ht="15.75" customHeight="1">
      <c r="A39123" s="3">
        <v>43874.520856481482</v>
      </c>
      <c r="B39123" t="str">
        <f t="shared" ref="B39123:B39124" si="464">HYPERLINK("https://twitter.com/FirzaMegantara","@FirzaMegantara")</f>
        <v>@FirzaMegantara</v>
      </c>
      <c r="C39123" t="s">
        <v>914</v>
      </c>
      <c r="D39123">
        <v>0</v>
      </c>
      <c r="E39123">
        <v>2</v>
      </c>
      <c r="F39123">
        <v>13</v>
      </c>
    </row>
    <row r="39124" spans="1:6" ht="15.75" customHeight="1">
      <c r="A39124" s="3">
        <v>43874.520752314813</v>
      </c>
      <c r="B39124" t="str">
        <f t="shared" si="464"/>
        <v>@FirzaMegantara</v>
      </c>
      <c r="C39124" t="s">
        <v>914</v>
      </c>
      <c r="D39124">
        <v>0</v>
      </c>
      <c r="E39124">
        <v>2</v>
      </c>
      <c r="F39124">
        <v>13</v>
      </c>
    </row>
    <row r="39125" spans="1:6" ht="15.75" customHeight="1">
      <c r="A39125" s="3">
        <v>43874.519687499997</v>
      </c>
      <c r="B39125" t="str">
        <f>HYPERLINK("https://twitter.com/r3nDYwJy","@r3nDYwJy")</f>
        <v>@r3nDYwJy</v>
      </c>
      <c r="C39125" t="s">
        <v>915</v>
      </c>
      <c r="D39125">
        <v>0</v>
      </c>
      <c r="E39125">
        <v>2</v>
      </c>
      <c r="F39125">
        <v>1583</v>
      </c>
    </row>
    <row r="39126" spans="1:6" ht="15.75" customHeight="1">
      <c r="A39126" s="3">
        <v>43874.519201388888</v>
      </c>
      <c r="B39126" t="str">
        <f>HYPERLINK("https://twitter.com/PolWae","@PolWae")</f>
        <v>@PolWae</v>
      </c>
      <c r="C39126" t="s">
        <v>916</v>
      </c>
      <c r="D39126">
        <v>0</v>
      </c>
      <c r="E39126">
        <v>1</v>
      </c>
      <c r="F39126">
        <v>1224</v>
      </c>
    </row>
    <row r="39127" spans="1:6" ht="15.75" customHeight="1">
      <c r="A39127" s="3">
        <v>43874.519178240742</v>
      </c>
      <c r="B39127" t="str">
        <f t="shared" ref="B39127:B39130" si="465">HYPERLINK("https://twitter.com/hermawanasep29","@hermawanasep29")</f>
        <v>@hermawanasep29</v>
      </c>
      <c r="C39127" t="s">
        <v>914</v>
      </c>
      <c r="D39127">
        <v>0</v>
      </c>
      <c r="E39127">
        <v>3</v>
      </c>
      <c r="F39127">
        <v>6</v>
      </c>
    </row>
    <row r="39128" spans="1:6" ht="15.75" customHeight="1">
      <c r="A39128" s="3">
        <v>43874.519097222219</v>
      </c>
      <c r="B39128" t="str">
        <f t="shared" si="465"/>
        <v>@hermawanasep29</v>
      </c>
      <c r="C39128" t="s">
        <v>914</v>
      </c>
      <c r="D39128">
        <v>0</v>
      </c>
      <c r="E39128">
        <v>3</v>
      </c>
      <c r="F39128">
        <v>6</v>
      </c>
    </row>
    <row r="39129" spans="1:6" ht="15.75" customHeight="1">
      <c r="A39129" s="3">
        <v>43874.519004629634</v>
      </c>
      <c r="B39129" t="str">
        <f t="shared" si="465"/>
        <v>@hermawanasep29</v>
      </c>
      <c r="C39129" t="s">
        <v>914</v>
      </c>
      <c r="D39129">
        <v>0</v>
      </c>
      <c r="E39129">
        <v>3</v>
      </c>
      <c r="F39129">
        <v>6</v>
      </c>
    </row>
    <row r="39130" spans="1:6" ht="15.75" customHeight="1">
      <c r="A39130" s="3">
        <v>43874.518923611111</v>
      </c>
      <c r="B39130" t="str">
        <f t="shared" si="465"/>
        <v>@hermawanasep29</v>
      </c>
      <c r="C39130" t="s">
        <v>914</v>
      </c>
      <c r="D39130">
        <v>0</v>
      </c>
      <c r="E39130">
        <v>3</v>
      </c>
      <c r="F39130">
        <v>6</v>
      </c>
    </row>
    <row r="39131" spans="1:6" ht="15.75" customHeight="1">
      <c r="A39131" s="3">
        <v>43874.518692129626</v>
      </c>
      <c r="B39131" t="str">
        <f>HYPERLINK("https://twitter.com/VIVAcoid","@VIVAcoid")</f>
        <v>@VIVAcoid</v>
      </c>
      <c r="C39131" t="s">
        <v>637</v>
      </c>
      <c r="D39131">
        <v>2</v>
      </c>
      <c r="E39131">
        <v>10</v>
      </c>
      <c r="F39131">
        <v>4169052</v>
      </c>
    </row>
    <row r="39132" spans="1:6" ht="15.75" customHeight="1">
      <c r="A39132" s="3">
        <v>43874.517766203702</v>
      </c>
      <c r="B39132" t="str">
        <f t="shared" ref="B39132:B39135" si="466">HYPERLINK("https://twitter.com/bagaskusuma123","@bagaskusuma123")</f>
        <v>@bagaskusuma123</v>
      </c>
      <c r="C39132" t="s">
        <v>914</v>
      </c>
      <c r="D39132">
        <v>0</v>
      </c>
      <c r="E39132">
        <v>3</v>
      </c>
      <c r="F39132">
        <v>9</v>
      </c>
    </row>
    <row r="39133" spans="1:6" ht="15.75" customHeight="1">
      <c r="A39133" s="3">
        <v>43874.517696759256</v>
      </c>
      <c r="B39133" t="str">
        <f t="shared" si="466"/>
        <v>@bagaskusuma123</v>
      </c>
      <c r="C39133" t="s">
        <v>914</v>
      </c>
      <c r="D39133">
        <v>0</v>
      </c>
      <c r="E39133">
        <v>3</v>
      </c>
      <c r="F39133">
        <v>9</v>
      </c>
    </row>
    <row r="39134" spans="1:6" ht="15.75" customHeight="1">
      <c r="A39134" s="3">
        <v>43874.51762731481</v>
      </c>
      <c r="B39134" t="str">
        <f t="shared" si="466"/>
        <v>@bagaskusuma123</v>
      </c>
      <c r="C39134" t="s">
        <v>914</v>
      </c>
      <c r="D39134">
        <v>0</v>
      </c>
      <c r="E39134">
        <v>3</v>
      </c>
      <c r="F39134">
        <v>9</v>
      </c>
    </row>
    <row r="39135" spans="1:6" ht="15.75" customHeight="1">
      <c r="A39135" s="3">
        <v>43874.517557870371</v>
      </c>
      <c r="B39135" t="str">
        <f t="shared" si="466"/>
        <v>@bagaskusuma123</v>
      </c>
      <c r="C39135" t="s">
        <v>914</v>
      </c>
      <c r="D39135">
        <v>0</v>
      </c>
      <c r="E39135">
        <v>3</v>
      </c>
      <c r="F39135">
        <v>9</v>
      </c>
    </row>
    <row r="39136" spans="1:6" ht="15.75" customHeight="1">
      <c r="A39136" s="3">
        <v>43874.516770833332</v>
      </c>
      <c r="B39136" t="str">
        <f>HYPERLINK("https://twitter.com/FarzanaFauzii","@FarzanaFauzii")</f>
        <v>@FarzanaFauzii</v>
      </c>
      <c r="C39136" t="s">
        <v>862</v>
      </c>
      <c r="D39136">
        <v>0</v>
      </c>
      <c r="E39136">
        <v>2</v>
      </c>
      <c r="F39136">
        <v>448</v>
      </c>
    </row>
    <row r="39137" spans="1:6" ht="15.75" customHeight="1">
      <c r="A39137" s="3">
        <v>43874.516724537039</v>
      </c>
      <c r="B39137" t="str">
        <f>HYPERLINK("https://twitter.com/JKDaulay","@JKDaulay")</f>
        <v>@JKDaulay</v>
      </c>
      <c r="C39137" t="s">
        <v>917</v>
      </c>
      <c r="D39137">
        <v>17</v>
      </c>
      <c r="E39137">
        <v>27</v>
      </c>
      <c r="F39137">
        <v>2713</v>
      </c>
    </row>
    <row r="39138" spans="1:6" ht="15.75" customHeight="1">
      <c r="A39138" s="3">
        <v>43874.516458333332</v>
      </c>
      <c r="B39138" t="str">
        <f>HYPERLINK("https://twitter.com/tribunnews","@tribunnews")</f>
        <v>@tribunnews</v>
      </c>
      <c r="C39138" t="s">
        <v>918</v>
      </c>
      <c r="D39138">
        <v>1</v>
      </c>
      <c r="E39138">
        <v>2</v>
      </c>
      <c r="F39138">
        <v>873082</v>
      </c>
    </row>
    <row r="39139" spans="1:6" ht="15.75" customHeight="1">
      <c r="A39139" s="3">
        <v>43874.51290509259</v>
      </c>
      <c r="B39139" t="str">
        <f>HYPERLINK("https://twitter.com/isaljpr","@isaljpr")</f>
        <v>@isaljpr</v>
      </c>
      <c r="C39139" t="s">
        <v>919</v>
      </c>
      <c r="D39139">
        <v>0</v>
      </c>
      <c r="E39139">
        <v>0</v>
      </c>
      <c r="F39139">
        <v>863</v>
      </c>
    </row>
    <row r="39140" spans="1:6" ht="15.75" customHeight="1">
      <c r="A39140" s="3">
        <v>43874.512245370366</v>
      </c>
      <c r="B39140" t="str">
        <f>HYPERLINK("https://twitter.com/eddies_song","@eddies_song")</f>
        <v>@eddies_song</v>
      </c>
      <c r="C39140" t="s">
        <v>920</v>
      </c>
      <c r="D39140">
        <v>2</v>
      </c>
      <c r="E39140">
        <v>1</v>
      </c>
      <c r="F39140">
        <v>1232</v>
      </c>
    </row>
    <row r="39141" spans="1:6" ht="15.75" customHeight="1">
      <c r="A39141" s="3">
        <v>43874.511932870373</v>
      </c>
      <c r="B39141" t="str">
        <f>HYPERLINK("https://twitter.com/tempodotco","@tempodotco")</f>
        <v>@tempodotco</v>
      </c>
      <c r="C39141" t="s">
        <v>921</v>
      </c>
      <c r="D39141">
        <v>17</v>
      </c>
      <c r="E39141">
        <v>37</v>
      </c>
      <c r="F39141">
        <v>1702040</v>
      </c>
    </row>
    <row r="39142" spans="1:6" ht="15.75" customHeight="1">
      <c r="A39142" s="3">
        <v>43874.511886574073</v>
      </c>
      <c r="B39142" t="str">
        <f>HYPERLINK("https://twitter.com/jawapos","@jawapos")</f>
        <v>@jawapos</v>
      </c>
      <c r="C39142" t="s">
        <v>922</v>
      </c>
      <c r="D39142">
        <v>0</v>
      </c>
      <c r="E39142">
        <v>1</v>
      </c>
      <c r="F39142">
        <v>116252</v>
      </c>
    </row>
    <row r="39143" spans="1:6" ht="15.75" customHeight="1">
      <c r="A39143" s="3">
        <v>43874.511793981481</v>
      </c>
      <c r="B39143" t="str">
        <f>HYPERLINK("https://twitter.com/kritikkritis","@kritikkritis")</f>
        <v>@kritikkritis</v>
      </c>
      <c r="C39143" t="s">
        <v>923</v>
      </c>
      <c r="D39143">
        <v>0</v>
      </c>
      <c r="E39143">
        <v>0</v>
      </c>
      <c r="F39143">
        <v>142</v>
      </c>
    </row>
    <row r="39144" spans="1:6" ht="15.75" customHeight="1">
      <c r="A39144" s="3">
        <v>43874.510983796295</v>
      </c>
      <c r="B39144" t="str">
        <f>HYPERLINK("https://twitter.com/alindu9","@alindu9")</f>
        <v>@alindu9</v>
      </c>
      <c r="D39144">
        <v>0</v>
      </c>
      <c r="E39144">
        <v>0</v>
      </c>
      <c r="F39144">
        <v>3</v>
      </c>
    </row>
    <row r="39145" spans="1:6" ht="15.75" customHeight="1">
      <c r="A39145" s="3">
        <v>43874.510983796295</v>
      </c>
      <c r="B39145" t="str">
        <f>HYPERLINK("https://twitter.com/Hans21264486","@Hans21264486")</f>
        <v>@Hans21264486</v>
      </c>
      <c r="C39145" t="s">
        <v>924</v>
      </c>
      <c r="D39145">
        <v>0</v>
      </c>
      <c r="E39145">
        <v>1</v>
      </c>
      <c r="F39145">
        <v>14</v>
      </c>
    </row>
    <row r="39146" spans="1:6" ht="15.75" customHeight="1">
      <c r="A39146" s="3">
        <v>43874.51059027778</v>
      </c>
      <c r="B39146" t="str">
        <f>HYPERLINK("https://twitter.com/infokabinetID","@infokabinetID")</f>
        <v>@infokabinetID</v>
      </c>
      <c r="C39146" t="s">
        <v>215</v>
      </c>
      <c r="D39146">
        <v>0</v>
      </c>
      <c r="E39146">
        <v>0</v>
      </c>
      <c r="F39146">
        <v>211</v>
      </c>
    </row>
    <row r="39147" spans="1:6" ht="15.75" customHeight="1">
      <c r="A39147" s="3">
        <v>43874.508148148147</v>
      </c>
      <c r="B39147" t="str">
        <f>HYPERLINK("https://twitter.com/tempodotco","@tempodotco")</f>
        <v>@tempodotco</v>
      </c>
      <c r="C39147" t="s">
        <v>925</v>
      </c>
      <c r="D39147">
        <v>3</v>
      </c>
      <c r="E39147">
        <v>7</v>
      </c>
      <c r="F39147">
        <v>1702040</v>
      </c>
    </row>
    <row r="39148" spans="1:6" ht="15.75" customHeight="1">
      <c r="A39148" s="3">
        <v>43874.507789351846</v>
      </c>
      <c r="B39148" t="str">
        <f>HYPERLINK("https://twitter.com/pituturfilsuf","@pituturfilsuf")</f>
        <v>@pituturfilsuf</v>
      </c>
      <c r="C39148" t="s">
        <v>926</v>
      </c>
      <c r="D39148">
        <v>1</v>
      </c>
      <c r="E39148">
        <v>2</v>
      </c>
      <c r="F39148">
        <v>442</v>
      </c>
    </row>
    <row r="39149" spans="1:6" ht="15.75" customHeight="1">
      <c r="A39149" s="3">
        <v>43874.506689814814</v>
      </c>
      <c r="B39149" t="str">
        <f>HYPERLINK("https://twitter.com/soffel84103944","@soffel84103944")</f>
        <v>@soffel84103944</v>
      </c>
      <c r="C39149" t="s">
        <v>927</v>
      </c>
      <c r="D39149">
        <v>0</v>
      </c>
      <c r="E39149">
        <v>0</v>
      </c>
      <c r="F39149">
        <v>399</v>
      </c>
    </row>
    <row r="39150" spans="1:6" ht="15.75" customHeight="1">
      <c r="A39150" s="3">
        <v>43874.506678240738</v>
      </c>
      <c r="B39150" t="str">
        <f>HYPERLINK("https://twitter.com/detikcom","@detikcom")</f>
        <v>@detikcom</v>
      </c>
      <c r="C39150" t="s">
        <v>928</v>
      </c>
      <c r="D39150">
        <v>0</v>
      </c>
      <c r="E39150">
        <v>13</v>
      </c>
      <c r="F39150">
        <v>15663959</v>
      </c>
    </row>
    <row r="39151" spans="1:6" ht="15.75" customHeight="1">
      <c r="A39151" s="3">
        <v>43874.505671296298</v>
      </c>
      <c r="B39151" t="str">
        <f>HYPERLINK("https://twitter.com/jurniscom","@jurniscom")</f>
        <v>@jurniscom</v>
      </c>
      <c r="C39151" t="s">
        <v>929</v>
      </c>
      <c r="D39151">
        <v>0</v>
      </c>
      <c r="E39151">
        <v>0</v>
      </c>
      <c r="F39151">
        <v>2374</v>
      </c>
    </row>
    <row r="39152" spans="1:6" ht="15.75" customHeight="1">
      <c r="A39152" s="3">
        <v>43874.50299768518</v>
      </c>
      <c r="B39152" t="str">
        <f>HYPERLINK("https://twitter.com/jibrilmf1","@jibrilmf1")</f>
        <v>@jibrilmf1</v>
      </c>
      <c r="D39152">
        <v>0</v>
      </c>
      <c r="E39152">
        <v>0</v>
      </c>
      <c r="F39152">
        <v>99</v>
      </c>
    </row>
    <row r="39153" spans="1:6" ht="15.75" customHeight="1">
      <c r="A39153" s="3">
        <v>43874.501087962963</v>
      </c>
      <c r="B39153" t="str">
        <f>HYPERLINK("https://twitter.com/tribunnews","@tribunnews")</f>
        <v>@tribunnews</v>
      </c>
      <c r="C39153" t="s">
        <v>930</v>
      </c>
      <c r="D39153">
        <v>0</v>
      </c>
      <c r="E39153">
        <v>4</v>
      </c>
      <c r="F39153">
        <v>873082</v>
      </c>
    </row>
    <row r="39154" spans="1:6" ht="15.75" customHeight="1">
      <c r="A39154" s="3">
        <v>43874.500717592593</v>
      </c>
      <c r="B39154" t="str">
        <f>HYPERLINK("https://twitter.com/sahabatodie","@sahabatodie")</f>
        <v>@sahabatodie</v>
      </c>
      <c r="C39154" t="s">
        <v>931</v>
      </c>
      <c r="D39154">
        <v>0</v>
      </c>
      <c r="E39154">
        <v>2</v>
      </c>
      <c r="F39154">
        <v>4621</v>
      </c>
    </row>
    <row r="39155" spans="1:6" ht="15.75" customHeight="1">
      <c r="A39155" s="3">
        <v>43874.49931712963</v>
      </c>
      <c r="B39155" t="str">
        <f>HYPERLINK("https://twitter.com/emmii_bijak","@emmii_bijak")</f>
        <v>@emmii_bijak</v>
      </c>
      <c r="C39155" t="s">
        <v>932</v>
      </c>
      <c r="D39155">
        <v>1</v>
      </c>
      <c r="E39155">
        <v>1</v>
      </c>
      <c r="F39155">
        <v>16</v>
      </c>
    </row>
    <row r="39156" spans="1:6" ht="15.75" customHeight="1">
      <c r="A39156" s="3">
        <v>43874.498506944445</v>
      </c>
      <c r="B39156" t="str">
        <f>HYPERLINK("https://twitter.com/merdekadotcom","@merdekadotcom")</f>
        <v>@merdekadotcom</v>
      </c>
      <c r="C39156" t="s">
        <v>933</v>
      </c>
      <c r="D39156">
        <v>3</v>
      </c>
      <c r="E39156">
        <v>1</v>
      </c>
      <c r="F39156">
        <v>230398</v>
      </c>
    </row>
    <row r="39157" spans="1:6" ht="15.75" customHeight="1">
      <c r="A39157" s="3">
        <v>43874.497696759259</v>
      </c>
      <c r="B39157" t="str">
        <f>HYPERLINK("https://twitter.com/PTSolidGoldSmg","@PTSolidGoldSmg")</f>
        <v>@PTSolidGoldSmg</v>
      </c>
      <c r="C39157" t="s">
        <v>934</v>
      </c>
      <c r="D39157">
        <v>0</v>
      </c>
      <c r="E39157">
        <v>0</v>
      </c>
      <c r="F39157">
        <v>80</v>
      </c>
    </row>
    <row r="39158" spans="1:6" ht="15.75" customHeight="1">
      <c r="A39158" s="3">
        <v>43874.496759259258</v>
      </c>
      <c r="B39158" t="str">
        <f>HYPERLINK("https://twitter.com/medcom_id","@medcom_id")</f>
        <v>@medcom_id</v>
      </c>
      <c r="C39158" t="s">
        <v>859</v>
      </c>
      <c r="D39158">
        <v>0</v>
      </c>
      <c r="E39158">
        <v>1</v>
      </c>
      <c r="F39158">
        <v>18077</v>
      </c>
    </row>
    <row r="39159" spans="1:6" ht="15.75" customHeight="1">
      <c r="A39159" s="3">
        <v>43874.495347222226</v>
      </c>
      <c r="B39159" t="str">
        <f>HYPERLINK("https://twitter.com/kabarpol","@kabarpol")</f>
        <v>@kabarpol</v>
      </c>
      <c r="C39159" t="s">
        <v>935</v>
      </c>
      <c r="D39159">
        <v>0</v>
      </c>
      <c r="E39159">
        <v>0</v>
      </c>
      <c r="F39159">
        <v>51</v>
      </c>
    </row>
    <row r="39160" spans="1:6" ht="15.75" customHeight="1">
      <c r="A39160" s="3">
        <v>43874.495300925926</v>
      </c>
      <c r="B39160" t="str">
        <f>HYPERLINK("https://twitter.com/kabarpolitik","@kabarpolitik")</f>
        <v>@kabarpolitik</v>
      </c>
      <c r="C39160" t="s">
        <v>935</v>
      </c>
      <c r="D39160">
        <v>0</v>
      </c>
      <c r="E39160">
        <v>0</v>
      </c>
      <c r="F39160">
        <v>16761</v>
      </c>
    </row>
    <row r="39161" spans="1:6" ht="15.75" customHeight="1">
      <c r="A39161" s="3">
        <v>43874.493460648147</v>
      </c>
      <c r="B39161" t="str">
        <f>HYPERLINK("https://twitter.com/FathraNazrul","@FathraNazrul")</f>
        <v>@FathraNazrul</v>
      </c>
      <c r="C39161" t="s">
        <v>936</v>
      </c>
      <c r="D39161">
        <v>0</v>
      </c>
      <c r="E39161">
        <v>0</v>
      </c>
      <c r="F39161">
        <v>134</v>
      </c>
    </row>
    <row r="39162" spans="1:6" ht="15.75" customHeight="1">
      <c r="A39162" s="3">
        <v>43874.49282407407</v>
      </c>
      <c r="B39162" t="str">
        <f>HYPERLINK("https://twitter.com/majalahayah","@majalahayah")</f>
        <v>@majalahayah</v>
      </c>
      <c r="C39162" t="s">
        <v>937</v>
      </c>
      <c r="D39162">
        <v>0</v>
      </c>
      <c r="E39162">
        <v>0</v>
      </c>
      <c r="F39162">
        <v>236</v>
      </c>
    </row>
    <row r="39163" spans="1:6" ht="15.75" customHeight="1">
      <c r="A39163" s="3">
        <v>43874.492245370369</v>
      </c>
      <c r="B39163" t="str">
        <f>HYPERLINK("https://twitter.com/kha_rijal","@kha_rijal")</f>
        <v>@kha_rijal</v>
      </c>
      <c r="C39163" t="s">
        <v>938</v>
      </c>
      <c r="D39163">
        <v>0</v>
      </c>
      <c r="E39163">
        <v>0</v>
      </c>
      <c r="F39163">
        <v>83</v>
      </c>
    </row>
    <row r="39164" spans="1:6" ht="15.75" customHeight="1">
      <c r="A39164" s="3">
        <v>43874.491944444446</v>
      </c>
      <c r="B39164" t="str">
        <f t="shared" ref="B39164:B39165" si="467">HYPERLINK("https://twitter.com/Indopolitika","@Indopolitika")</f>
        <v>@Indopolitika</v>
      </c>
      <c r="C39164" t="s">
        <v>935</v>
      </c>
      <c r="D39164">
        <v>0</v>
      </c>
      <c r="E39164">
        <v>0</v>
      </c>
      <c r="F39164">
        <v>10605</v>
      </c>
    </row>
    <row r="39165" spans="1:6" ht="15.75" customHeight="1">
      <c r="A39165" s="3">
        <v>43874.491782407407</v>
      </c>
      <c r="B39165" t="str">
        <f t="shared" si="467"/>
        <v>@Indopolitika</v>
      </c>
      <c r="C39165" t="s">
        <v>939</v>
      </c>
      <c r="D39165">
        <v>0</v>
      </c>
      <c r="E39165">
        <v>0</v>
      </c>
      <c r="F39165">
        <v>10605</v>
      </c>
    </row>
    <row r="39166" spans="1:6" ht="15.75" customHeight="1">
      <c r="A39166" s="3">
        <v>43874.491701388892</v>
      </c>
      <c r="B39166" t="str">
        <f>HYPERLINK("https://twitter.com/okezonenews","@okezonenews")</f>
        <v>@okezonenews</v>
      </c>
      <c r="C39166" t="s">
        <v>940</v>
      </c>
      <c r="D39166">
        <v>0</v>
      </c>
      <c r="E39166">
        <v>3</v>
      </c>
      <c r="F39166">
        <v>1743741</v>
      </c>
    </row>
    <row r="39167" spans="1:6" ht="15.75" customHeight="1">
      <c r="A39167" s="3">
        <v>43874.490659722222</v>
      </c>
      <c r="B39167" t="str">
        <f>HYPERLINK("https://twitter.com/kbaswaja","@kbaswaja")</f>
        <v>@kbaswaja</v>
      </c>
      <c r="C39167" t="s">
        <v>941</v>
      </c>
      <c r="D39167">
        <v>0</v>
      </c>
      <c r="E39167">
        <v>1</v>
      </c>
      <c r="F39167">
        <v>11775</v>
      </c>
    </row>
    <row r="39168" spans="1:6" ht="15.75" customHeight="1">
      <c r="A39168" s="3">
        <v>43874.490659722222</v>
      </c>
      <c r="B39168" t="str">
        <f>HYPERLINK("https://twitter.com/ppmAswaja","@ppmAswaja")</f>
        <v>@ppmAswaja</v>
      </c>
      <c r="C39168" t="s">
        <v>941</v>
      </c>
      <c r="D39168">
        <v>0</v>
      </c>
      <c r="E39168">
        <v>0</v>
      </c>
      <c r="F39168">
        <v>7839</v>
      </c>
    </row>
    <row r="39169" spans="1:6" ht="15.75" customHeight="1">
      <c r="A39169" s="3">
        <v>43874.489247685182</v>
      </c>
      <c r="B39169" t="str">
        <f>HYPERLINK("https://twitter.com/Ceci_margareth","@Ceci_margareth")</f>
        <v>@Ceci_margareth</v>
      </c>
      <c r="C39169" t="s">
        <v>942</v>
      </c>
      <c r="D39169">
        <v>0</v>
      </c>
      <c r="E39169">
        <v>0</v>
      </c>
      <c r="F39169">
        <v>3</v>
      </c>
    </row>
    <row r="39170" spans="1:6" ht="15.75" customHeight="1">
      <c r="A39170" s="3">
        <v>43874.48914351852</v>
      </c>
      <c r="B39170" t="str">
        <f>HYPERLINK("https://twitter.com/ulan_marbun","@ulan_marbun")</f>
        <v>@ulan_marbun</v>
      </c>
      <c r="C39170" t="s">
        <v>943</v>
      </c>
      <c r="D39170">
        <v>0</v>
      </c>
      <c r="E39170">
        <v>0</v>
      </c>
      <c r="F39170">
        <v>540</v>
      </c>
    </row>
    <row r="39171" spans="1:6" ht="15.75" customHeight="1">
      <c r="A39171" s="3">
        <v>43874.488449074073</v>
      </c>
      <c r="B39171" t="str">
        <f>HYPERLINK("https://twitter.com/AbuyaSalha","@AbuyaSalha")</f>
        <v>@AbuyaSalha</v>
      </c>
      <c r="C39171" t="s">
        <v>944</v>
      </c>
      <c r="D39171">
        <v>0</v>
      </c>
      <c r="E39171">
        <v>0</v>
      </c>
      <c r="F39171">
        <v>1978</v>
      </c>
    </row>
    <row r="39172" spans="1:6" ht="15.75" customHeight="1">
      <c r="A39172" s="3">
        <v>43874.487974537042</v>
      </c>
      <c r="B39172" t="str">
        <f>HYPERLINK("https://twitter.com/hajinewsonline","@hajinewsonline")</f>
        <v>@hajinewsonline</v>
      </c>
      <c r="C39172" t="s">
        <v>945</v>
      </c>
      <c r="D39172">
        <v>0</v>
      </c>
      <c r="E39172">
        <v>0</v>
      </c>
      <c r="F39172">
        <v>19</v>
      </c>
    </row>
    <row r="39173" spans="1:6" ht="15.75" customHeight="1">
      <c r="A39173" s="3">
        <v>43874.487662037034</v>
      </c>
      <c r="B39173" t="str">
        <f>HYPERLINK("https://twitter.com/tribunnews","@tribunnews")</f>
        <v>@tribunnews</v>
      </c>
      <c r="C39173" t="s">
        <v>946</v>
      </c>
      <c r="D39173">
        <v>0</v>
      </c>
      <c r="E39173">
        <v>1</v>
      </c>
      <c r="F39173">
        <v>873082</v>
      </c>
    </row>
    <row r="39174" spans="1:6" ht="15.75" customHeight="1">
      <c r="A39174" s="3">
        <v>43874.487534722226</v>
      </c>
      <c r="B39174" t="str">
        <f>HYPERLINK("https://twitter.com/willy_vws","@willy_vws")</f>
        <v>@willy_vws</v>
      </c>
      <c r="C39174" t="s">
        <v>947</v>
      </c>
      <c r="D39174">
        <v>0</v>
      </c>
      <c r="E39174">
        <v>0</v>
      </c>
      <c r="F39174">
        <v>63</v>
      </c>
    </row>
    <row r="39175" spans="1:6" ht="15.75" customHeight="1">
      <c r="A39175" s="3">
        <v>43874.487453703703</v>
      </c>
      <c r="B39175" t="str">
        <f>HYPERLINK("https://twitter.com/PemikirGL","@PemikirGL")</f>
        <v>@PemikirGL</v>
      </c>
      <c r="C39175" t="s">
        <v>948</v>
      </c>
      <c r="D39175">
        <v>5</v>
      </c>
      <c r="E39175">
        <v>19</v>
      </c>
      <c r="F39175">
        <v>10817</v>
      </c>
    </row>
    <row r="39176" spans="1:6" ht="15.75" customHeight="1">
      <c r="A39176" s="3">
        <v>43874.48710648148</v>
      </c>
      <c r="B39176" t="str">
        <f>HYPERLINK("https://twitter.com/bang_akbar84","@bang_akbar84")</f>
        <v>@bang_akbar84</v>
      </c>
      <c r="C39176" t="s">
        <v>949</v>
      </c>
      <c r="D39176">
        <v>0</v>
      </c>
      <c r="E39176">
        <v>0</v>
      </c>
      <c r="F39176">
        <v>433</v>
      </c>
    </row>
    <row r="39177" spans="1:6" ht="15.75" customHeight="1">
      <c r="A39177" s="3">
        <v>43874.486331018517</v>
      </c>
      <c r="B39177" t="str">
        <f>HYPERLINK("https://twitter.com/agnizar4","@agnizar4")</f>
        <v>@agnizar4</v>
      </c>
      <c r="C39177" t="s">
        <v>950</v>
      </c>
      <c r="D39177">
        <v>0</v>
      </c>
      <c r="E39177">
        <v>1</v>
      </c>
      <c r="F39177">
        <v>1069</v>
      </c>
    </row>
    <row r="39178" spans="1:6" ht="15.75" customHeight="1">
      <c r="A39178" s="3">
        <v>43874.485798611116</v>
      </c>
      <c r="B39178" t="str">
        <f>HYPERLINK("https://twitter.com/riauaktual","@riauaktual")</f>
        <v>@riauaktual</v>
      </c>
      <c r="C39178" t="s">
        <v>951</v>
      </c>
      <c r="D39178">
        <v>3</v>
      </c>
      <c r="E39178">
        <v>0</v>
      </c>
      <c r="F39178">
        <v>2618</v>
      </c>
    </row>
    <row r="39179" spans="1:6" ht="15.75" customHeight="1">
      <c r="A39179" s="3">
        <v>43874.485509259262</v>
      </c>
      <c r="B39179" t="str">
        <f>HYPERLINK("https://twitter.com/manadopost_id","@manadopost_id")</f>
        <v>@manadopost_id</v>
      </c>
      <c r="C39179" t="s">
        <v>952</v>
      </c>
      <c r="D39179">
        <v>0</v>
      </c>
      <c r="E39179">
        <v>0</v>
      </c>
      <c r="F39179">
        <v>933</v>
      </c>
    </row>
    <row r="39180" spans="1:6" ht="15.75" customHeight="1">
      <c r="A39180" s="3">
        <v>43874.485416666663</v>
      </c>
      <c r="B39180" t="str">
        <f>HYPERLINK("https://twitter.com/BaskoroKata","@BaskoroKata")</f>
        <v>@BaskoroKata</v>
      </c>
      <c r="C39180" t="s">
        <v>953</v>
      </c>
      <c r="D39180">
        <v>2</v>
      </c>
      <c r="E39180">
        <v>3</v>
      </c>
      <c r="F39180">
        <v>1098</v>
      </c>
    </row>
    <row r="39181" spans="1:6" ht="15.75" customHeight="1">
      <c r="A39181" s="3">
        <v>43874.485034722224</v>
      </c>
      <c r="B39181" t="str">
        <f>HYPERLINK("https://twitter.com/banserfans","@banserfans")</f>
        <v>@banserfans</v>
      </c>
      <c r="C39181" t="s">
        <v>954</v>
      </c>
      <c r="D39181">
        <v>0</v>
      </c>
      <c r="E39181">
        <v>0</v>
      </c>
      <c r="F39181">
        <v>3363</v>
      </c>
    </row>
    <row r="39182" spans="1:6" ht="15.75" customHeight="1">
      <c r="A39182" s="3">
        <v>43874.4840162037</v>
      </c>
      <c r="B39182" t="str">
        <f>HYPERLINK("https://twitter.com/geloraco","@geloraco")</f>
        <v>@geloraco</v>
      </c>
      <c r="C39182" t="s">
        <v>637</v>
      </c>
      <c r="D39182">
        <v>2</v>
      </c>
      <c r="E39182">
        <v>5</v>
      </c>
      <c r="F39182">
        <v>99635</v>
      </c>
    </row>
    <row r="39183" spans="1:6" ht="15.75" customHeight="1">
      <c r="A39183" s="3">
        <v>43874.482418981483</v>
      </c>
      <c r="B39183" t="str">
        <f>HYPERLINK("https://twitter.com/didienAZHAR","@didienAZHAR")</f>
        <v>@didienAZHAR</v>
      </c>
      <c r="C39183" t="s">
        <v>955</v>
      </c>
      <c r="D39183">
        <v>1</v>
      </c>
      <c r="E39183">
        <v>0</v>
      </c>
      <c r="F39183">
        <v>22623</v>
      </c>
    </row>
    <row r="39184" spans="1:6" ht="15.75" customHeight="1">
      <c r="A39184" s="3">
        <v>43874.482083333336</v>
      </c>
      <c r="B39184" t="str">
        <f>HYPERLINK("https://twitter.com/UstianaRestian","@UstianaRestian")</f>
        <v>@UstianaRestian</v>
      </c>
      <c r="C39184" t="s">
        <v>956</v>
      </c>
      <c r="D39184">
        <v>0</v>
      </c>
      <c r="E39184">
        <v>0</v>
      </c>
      <c r="F39184">
        <v>613</v>
      </c>
    </row>
    <row r="39185" spans="1:6" ht="15.75" customHeight="1">
      <c r="A39185" s="3">
        <v>43874.482071759259</v>
      </c>
      <c r="B39185" t="str">
        <f>HYPERLINK("https://twitter.com/PTSolidGoldSmg","@PTSolidGoldSmg")</f>
        <v>@PTSolidGoldSmg</v>
      </c>
      <c r="C39185" t="s">
        <v>957</v>
      </c>
      <c r="D39185">
        <v>0</v>
      </c>
      <c r="E39185">
        <v>0</v>
      </c>
      <c r="F39185">
        <v>80</v>
      </c>
    </row>
    <row r="39186" spans="1:6" ht="15.75" customHeight="1">
      <c r="A39186" s="3">
        <v>43874.48170138889</v>
      </c>
      <c r="B39186" t="str">
        <f>HYPERLINK("https://twitter.com/p_politik","@p_politik")</f>
        <v>@p_politik</v>
      </c>
      <c r="C39186" t="s">
        <v>958</v>
      </c>
      <c r="D39186">
        <v>1</v>
      </c>
      <c r="E39186">
        <v>2</v>
      </c>
      <c r="F39186">
        <v>31161</v>
      </c>
    </row>
    <row r="39187" spans="1:6" ht="15.75" customHeight="1">
      <c r="A39187" s="3">
        <v>43874.480115740742</v>
      </c>
      <c r="B39187" t="str">
        <f>HYPERLINK("https://twitter.com/kebenaran_21","@kebenaran_21")</f>
        <v>@kebenaran_21</v>
      </c>
      <c r="C39187" t="s">
        <v>959</v>
      </c>
      <c r="D39187">
        <v>0</v>
      </c>
      <c r="E39187">
        <v>0</v>
      </c>
      <c r="F39187">
        <v>166</v>
      </c>
    </row>
    <row r="39188" spans="1:6" ht="15.75" customHeight="1">
      <c r="A39188" s="3">
        <v>43874.479861111111</v>
      </c>
      <c r="B39188" t="str">
        <f>HYPERLINK("https://twitter.com/NasDem","@NasDem")</f>
        <v>@NasDem</v>
      </c>
      <c r="C39188" t="s">
        <v>960</v>
      </c>
      <c r="D39188">
        <v>1</v>
      </c>
      <c r="E39188">
        <v>5</v>
      </c>
      <c r="F39188">
        <v>90943</v>
      </c>
    </row>
    <row r="39189" spans="1:6" ht="15.75" customHeight="1">
      <c r="A39189" s="3">
        <v>43874.479675925926</v>
      </c>
      <c r="B39189" t="str">
        <f>HYPERLINK("https://twitter.com/AbdulMu04377209","@AbdulMu04377209")</f>
        <v>@AbdulMu04377209</v>
      </c>
      <c r="C39189" t="s">
        <v>961</v>
      </c>
      <c r="D39189">
        <v>0</v>
      </c>
      <c r="E39189">
        <v>0</v>
      </c>
      <c r="F39189">
        <v>4149</v>
      </c>
    </row>
    <row r="39190" spans="1:6" ht="15.75" customHeight="1">
      <c r="A39190" s="3">
        <v>43874.479490740741</v>
      </c>
      <c r="B39190" t="str">
        <f>HYPERLINK("https://twitter.com/ibnusagar","@ibnusagar")</f>
        <v>@ibnusagar</v>
      </c>
      <c r="C39190" t="s">
        <v>962</v>
      </c>
      <c r="D39190">
        <v>0</v>
      </c>
      <c r="E39190">
        <v>1</v>
      </c>
      <c r="F39190">
        <v>831</v>
      </c>
    </row>
    <row r="39191" spans="1:6" ht="15.75" customHeight="1">
      <c r="A39191" s="3">
        <v>43874.479432870372</v>
      </c>
      <c r="B39191" t="str">
        <f>HYPERLINK("https://twitter.com/LIRANEWSCOM1","@LIRANEWSCOM1")</f>
        <v>@LIRANEWSCOM1</v>
      </c>
      <c r="C39191" t="s">
        <v>963</v>
      </c>
      <c r="D39191">
        <v>0</v>
      </c>
      <c r="E39191">
        <v>0</v>
      </c>
      <c r="F39191">
        <v>647</v>
      </c>
    </row>
    <row r="39192" spans="1:6" ht="15.75" customHeight="1">
      <c r="A39192" s="3">
        <v>43874.479409722218</v>
      </c>
      <c r="B39192" t="str">
        <f>HYPERLINK("https://twitter.com/GunRomli","@GunRomli")</f>
        <v>@GunRomli</v>
      </c>
      <c r="C39192" t="s">
        <v>964</v>
      </c>
      <c r="D39192">
        <v>49</v>
      </c>
      <c r="E39192">
        <v>101</v>
      </c>
      <c r="F39192">
        <v>184022</v>
      </c>
    </row>
    <row r="39193" spans="1:6" ht="15.75" customHeight="1">
      <c r="A39193" s="3">
        <v>43874.478807870371</v>
      </c>
      <c r="B39193" t="str">
        <f>HYPERLINK("https://twitter.com/dimaskerik1","@dimaskerik1")</f>
        <v>@dimaskerik1</v>
      </c>
      <c r="C39193" t="s">
        <v>965</v>
      </c>
      <c r="D39193">
        <v>0</v>
      </c>
      <c r="E39193">
        <v>0</v>
      </c>
      <c r="F39193">
        <v>172</v>
      </c>
    </row>
    <row r="39194" spans="1:6" ht="15.75" customHeight="1">
      <c r="A39194" s="3">
        <v>43874.478796296295</v>
      </c>
      <c r="B39194" t="str">
        <f>HYPERLINK("https://twitter.com/IsmailMangngaga","@IsmailMangngaga")</f>
        <v>@IsmailMangngaga</v>
      </c>
      <c r="C39194" t="s">
        <v>966</v>
      </c>
      <c r="D39194">
        <v>1</v>
      </c>
      <c r="E39194">
        <v>4</v>
      </c>
      <c r="F39194">
        <v>1085</v>
      </c>
    </row>
    <row r="39195" spans="1:6" ht="15.75" customHeight="1">
      <c r="A39195" s="3">
        <v>43874.478622685187</v>
      </c>
      <c r="B39195" t="str">
        <f>HYPERLINK("https://twitter.com/tribunnews","@tribunnews")</f>
        <v>@tribunnews</v>
      </c>
      <c r="C39195" t="s">
        <v>967</v>
      </c>
      <c r="D39195">
        <v>3</v>
      </c>
      <c r="E39195">
        <v>16</v>
      </c>
      <c r="F39195">
        <v>873082</v>
      </c>
    </row>
    <row r="39196" spans="1:6" ht="15.75" customHeight="1">
      <c r="A39196" s="3">
        <v>43874.478206018517</v>
      </c>
      <c r="B39196" t="str">
        <f>HYPERLINK("https://twitter.com/Pakpeng10","@Pakpeng10")</f>
        <v>@Pakpeng10</v>
      </c>
      <c r="C39196" t="s">
        <v>938</v>
      </c>
      <c r="D39196">
        <v>0</v>
      </c>
      <c r="E39196">
        <v>0</v>
      </c>
      <c r="F39196">
        <v>899</v>
      </c>
    </row>
    <row r="39197" spans="1:6" ht="15.75" customHeight="1">
      <c r="A39197" s="3">
        <v>43874.477592592593</v>
      </c>
      <c r="B39197" t="str">
        <f>HYPERLINK("https://twitter.com/AWokanubun","@AWokanubun")</f>
        <v>@AWokanubun</v>
      </c>
      <c r="C39197" t="s">
        <v>968</v>
      </c>
      <c r="D39197">
        <v>0</v>
      </c>
      <c r="E39197">
        <v>0</v>
      </c>
      <c r="F39197">
        <v>245</v>
      </c>
    </row>
    <row r="39198" spans="1:6" ht="15.75" customHeight="1">
      <c r="A39198" s="3">
        <v>43874.47693287037</v>
      </c>
      <c r="B39198" t="str">
        <f>HYPERLINK("https://twitter.com/Yoenita_Riska","@Yoenita_Riska")</f>
        <v>@Yoenita_Riska</v>
      </c>
      <c r="D39198">
        <v>0</v>
      </c>
      <c r="E39198">
        <v>0</v>
      </c>
      <c r="F39198">
        <v>279</v>
      </c>
    </row>
    <row r="39199" spans="1:6" ht="15.75" customHeight="1">
      <c r="A39199" s="3">
        <v>43874.4768287037</v>
      </c>
      <c r="B39199" t="str">
        <f>HYPERLINK("https://twitter.com/Nusantara_TV","@Nusantara_TV")</f>
        <v>@Nusantara_TV</v>
      </c>
      <c r="C39199" t="s">
        <v>969</v>
      </c>
      <c r="D39199">
        <v>0</v>
      </c>
      <c r="E39199">
        <v>0</v>
      </c>
      <c r="F39199">
        <v>489</v>
      </c>
    </row>
    <row r="39200" spans="1:6" ht="15.75" customHeight="1">
      <c r="A39200" s="3">
        <v>43874.476226851853</v>
      </c>
      <c r="B39200" t="str">
        <f>HYPERLINK("https://twitter.com/Yoenita_Riska","@Yoenita_Riska")</f>
        <v>@Yoenita_Riska</v>
      </c>
      <c r="D39200">
        <v>0</v>
      </c>
      <c r="E39200">
        <v>0</v>
      </c>
      <c r="F39200">
        <v>279</v>
      </c>
    </row>
    <row r="39201" spans="1:6" ht="15.75" customHeight="1">
      <c r="A39201" s="3">
        <v>43874.475300925929</v>
      </c>
      <c r="B39201" t="str">
        <f>HYPERLINK("https://twitter.com/ahmadbepe1","@ahmadbepe1")</f>
        <v>@ahmadbepe1</v>
      </c>
      <c r="C39201" t="s">
        <v>970</v>
      </c>
      <c r="D39201">
        <v>0</v>
      </c>
      <c r="E39201">
        <v>0</v>
      </c>
      <c r="F39201">
        <v>61</v>
      </c>
    </row>
    <row r="39202" spans="1:6" ht="15.75" customHeight="1">
      <c r="A39202" s="3">
        <v>43874.473657407405</v>
      </c>
      <c r="B39202" t="str">
        <f>HYPERLINK("https://twitter.com/agus_salims","@agus_salims")</f>
        <v>@agus_salims</v>
      </c>
      <c r="C39202" t="s">
        <v>971</v>
      </c>
      <c r="D39202">
        <v>0</v>
      </c>
      <c r="E39202">
        <v>1</v>
      </c>
      <c r="F39202">
        <v>1</v>
      </c>
    </row>
    <row r="39203" spans="1:6" ht="15.75" customHeight="1">
      <c r="A39203" s="3">
        <v>43874.473344907412</v>
      </c>
      <c r="B39203" t="str">
        <f>HYPERLINK("https://twitter.com/BatamPos","@BatamPos")</f>
        <v>@BatamPos</v>
      </c>
      <c r="C39203" t="s">
        <v>972</v>
      </c>
      <c r="D39203">
        <v>0</v>
      </c>
      <c r="E39203">
        <v>0</v>
      </c>
      <c r="F39203">
        <v>67353</v>
      </c>
    </row>
    <row r="39204" spans="1:6" ht="15.75" customHeight="1">
      <c r="A39204" s="3">
        <v>43874.472731481481</v>
      </c>
      <c r="B39204" t="str">
        <f>HYPERLINK("https://twitter.com/pasfm","@pasfm")</f>
        <v>@pasfm</v>
      </c>
      <c r="C39204" t="s">
        <v>973</v>
      </c>
      <c r="D39204">
        <v>1</v>
      </c>
      <c r="E39204">
        <v>0</v>
      </c>
      <c r="F39204">
        <v>73422</v>
      </c>
    </row>
    <row r="39205" spans="1:6" ht="15.75" customHeight="1">
      <c r="A39205" s="3">
        <v>43874.471388888887</v>
      </c>
      <c r="B39205" t="str">
        <f>HYPERLINK("https://twitter.com/nxndxi","@nxndxi")</f>
        <v>@nxndxi</v>
      </c>
      <c r="C39205" t="s">
        <v>974</v>
      </c>
      <c r="D39205">
        <v>1</v>
      </c>
      <c r="E39205">
        <v>0</v>
      </c>
      <c r="F39205">
        <v>317</v>
      </c>
    </row>
    <row r="39206" spans="1:6" ht="15.75" customHeight="1">
      <c r="A39206" s="3">
        <v>43874.470358796301</v>
      </c>
      <c r="B39206" t="str">
        <f>HYPERLINK("https://twitter.com/tribunsumsel","@tribunsumsel")</f>
        <v>@tribunsumsel</v>
      </c>
      <c r="C39206" t="s">
        <v>975</v>
      </c>
      <c r="D39206">
        <v>0</v>
      </c>
      <c r="E39206">
        <v>0</v>
      </c>
      <c r="F39206">
        <v>9815</v>
      </c>
    </row>
    <row r="39207" spans="1:6" ht="15.75" customHeight="1">
      <c r="A39207" s="3">
        <v>43874.470023148147</v>
      </c>
      <c r="B39207" t="str">
        <f>HYPERLINK("https://twitter.com/Indosiar","@Indosiar")</f>
        <v>@Indosiar</v>
      </c>
      <c r="C39207" t="s">
        <v>976</v>
      </c>
      <c r="D39207">
        <v>0</v>
      </c>
      <c r="E39207">
        <v>7</v>
      </c>
      <c r="F39207">
        <v>2002633</v>
      </c>
    </row>
    <row r="39208" spans="1:6" ht="15.75" customHeight="1">
      <c r="A39208" s="3">
        <v>43874.469733796301</v>
      </c>
      <c r="B39208" t="str">
        <f>HYPERLINK("https://twitter.com/insidelombok_","@insidelombok_")</f>
        <v>@insidelombok_</v>
      </c>
      <c r="C39208" t="s">
        <v>977</v>
      </c>
      <c r="D39208">
        <v>0</v>
      </c>
      <c r="E39208">
        <v>4</v>
      </c>
      <c r="F39208">
        <v>4596</v>
      </c>
    </row>
    <row r="39209" spans="1:6" ht="15.75" customHeight="1">
      <c r="A39209" s="3">
        <v>43874.469629629632</v>
      </c>
      <c r="B39209" t="str">
        <f>HYPERLINK("https://twitter.com/RakyatInfo3","@RakyatInfo3")</f>
        <v>@RakyatInfo3</v>
      </c>
      <c r="C39209" t="s">
        <v>978</v>
      </c>
      <c r="D39209">
        <v>0</v>
      </c>
      <c r="E39209">
        <v>0</v>
      </c>
      <c r="F39209">
        <v>23</v>
      </c>
    </row>
    <row r="39210" spans="1:6" ht="15.75" customHeight="1">
      <c r="A39210" s="3">
        <v>43874.469375000001</v>
      </c>
      <c r="B39210" t="str">
        <f>HYPERLINK("https://twitter.com/mprgoid","@mprgoid")</f>
        <v>@mprgoid</v>
      </c>
      <c r="D39210">
        <v>0</v>
      </c>
      <c r="E39210">
        <v>1</v>
      </c>
      <c r="F39210">
        <v>20037</v>
      </c>
    </row>
    <row r="39211" spans="1:6" ht="15.75" customHeight="1">
      <c r="A39211" s="3">
        <v>43874.469097222223</v>
      </c>
      <c r="B39211" t="str">
        <f>HYPERLINK("https://twitter.com/BanserGropet","@BanserGropet")</f>
        <v>@BanserGropet</v>
      </c>
      <c r="C39211" t="s">
        <v>979</v>
      </c>
      <c r="D39211">
        <v>0</v>
      </c>
      <c r="E39211">
        <v>0</v>
      </c>
      <c r="F39211">
        <v>201</v>
      </c>
    </row>
    <row r="39212" spans="1:6" ht="15.75" customHeight="1">
      <c r="A39212" s="3">
        <v>43874.466956018514</v>
      </c>
      <c r="B39212" t="str">
        <f>HYPERLINK("https://twitter.com/dimashub2","@dimashub2")</f>
        <v>@dimashub2</v>
      </c>
      <c r="C39212" t="s">
        <v>980</v>
      </c>
      <c r="D39212">
        <v>0</v>
      </c>
      <c r="E39212">
        <v>0</v>
      </c>
      <c r="F39212">
        <v>1037</v>
      </c>
    </row>
    <row r="39213" spans="1:6" ht="15.75" customHeight="1">
      <c r="A39213" s="3">
        <v>43874.466319444444</v>
      </c>
      <c r="B39213" t="str">
        <f>HYPERLINK("https://twitter.com/AKYUQI","@AKYUQI")</f>
        <v>@AKYUQI</v>
      </c>
      <c r="C39213" t="s">
        <v>981</v>
      </c>
      <c r="D39213">
        <v>0</v>
      </c>
      <c r="E39213">
        <v>0</v>
      </c>
      <c r="F39213">
        <v>721</v>
      </c>
    </row>
    <row r="39214" spans="1:6" ht="15.75" customHeight="1">
      <c r="A39214" s="3">
        <v>43874.465300925927</v>
      </c>
      <c r="B39214" t="str">
        <f>HYPERLINK("https://twitter.com/KangSirmadji","@KangSirmadji")</f>
        <v>@KangSirmadji</v>
      </c>
      <c r="C39214" t="s">
        <v>403</v>
      </c>
      <c r="D39214">
        <v>0</v>
      </c>
      <c r="E39214">
        <v>0</v>
      </c>
      <c r="F39214">
        <v>237</v>
      </c>
    </row>
    <row r="39215" spans="1:6" ht="15.75" customHeight="1">
      <c r="A39215" s="3">
        <v>43874.464953703704</v>
      </c>
      <c r="B39215" t="str">
        <f>HYPERLINK("https://twitter.com/kondekturbus_","@kondekturbus_")</f>
        <v>@kondekturbus_</v>
      </c>
      <c r="C39215" t="s">
        <v>982</v>
      </c>
      <c r="D39215">
        <v>1</v>
      </c>
      <c r="E39215">
        <v>1</v>
      </c>
      <c r="F39215">
        <v>13636</v>
      </c>
    </row>
    <row r="39216" spans="1:6" ht="15.75" customHeight="1">
      <c r="A39216" s="3">
        <v>43874.464606481481</v>
      </c>
      <c r="B39216" t="str">
        <f>HYPERLINK("https://twitter.com/faldyrzk","@faldyrzk")</f>
        <v>@faldyrzk</v>
      </c>
      <c r="C39216" t="s">
        <v>983</v>
      </c>
      <c r="D39216">
        <v>0</v>
      </c>
      <c r="E39216">
        <v>0</v>
      </c>
      <c r="F39216">
        <v>558</v>
      </c>
    </row>
    <row r="39217" spans="1:6" ht="15.75" customHeight="1">
      <c r="A39217" s="3">
        <v>43874.464050925926</v>
      </c>
      <c r="B39217" t="str">
        <f>HYPERLINK("https://twitter.com/koesandri","@koesandri")</f>
        <v>@koesandri</v>
      </c>
      <c r="C39217" t="s">
        <v>984</v>
      </c>
      <c r="D39217">
        <v>0</v>
      </c>
      <c r="E39217">
        <v>0</v>
      </c>
      <c r="F39217">
        <v>178</v>
      </c>
    </row>
    <row r="39218" spans="1:6" ht="15.75" customHeight="1">
      <c r="A39218" s="3">
        <v>43874.46366898148</v>
      </c>
      <c r="B39218" t="str">
        <f>HYPERLINK("https://twitter.com/Warga_Plus_62","@Warga_Plus_62")</f>
        <v>@Warga_Plus_62</v>
      </c>
      <c r="C39218" t="s">
        <v>985</v>
      </c>
      <c r="D39218">
        <v>0</v>
      </c>
      <c r="E39218">
        <v>1</v>
      </c>
      <c r="F39218">
        <v>773</v>
      </c>
    </row>
    <row r="39219" spans="1:6" ht="15.75" customHeight="1">
      <c r="A39219" s="3">
        <v>43874.462592592594</v>
      </c>
      <c r="B39219" t="str">
        <f>HYPERLINK("https://twitter.com/jibrilmf1","@jibrilmf1")</f>
        <v>@jibrilmf1</v>
      </c>
      <c r="C39219" t="s">
        <v>986</v>
      </c>
      <c r="D39219">
        <v>0</v>
      </c>
      <c r="E39219">
        <v>0</v>
      </c>
      <c r="F39219">
        <v>99</v>
      </c>
    </row>
    <row r="39220" spans="1:6" ht="15.75" customHeight="1">
      <c r="A39220" s="3">
        <v>43874.462141203709</v>
      </c>
      <c r="B39220" t="str">
        <f>HYPERLINK("https://twitter.com/ZheeOmega","@ZheeOmega")</f>
        <v>@ZheeOmega</v>
      </c>
      <c r="C39220" t="s">
        <v>987</v>
      </c>
      <c r="D39220">
        <v>0</v>
      </c>
      <c r="E39220">
        <v>0</v>
      </c>
      <c r="F39220">
        <v>17788</v>
      </c>
    </row>
    <row r="39221" spans="1:6" ht="15.75" customHeight="1">
      <c r="A39221" s="3">
        <v>43874.461655092593</v>
      </c>
      <c r="B39221" t="str">
        <f>HYPERLINK("https://twitter.com/__Aiek__Channel","@__Aiek__Channel")</f>
        <v>@__Aiek__Channel</v>
      </c>
      <c r="C39221" t="s">
        <v>988</v>
      </c>
      <c r="D39221">
        <v>4</v>
      </c>
      <c r="E39221">
        <v>7</v>
      </c>
      <c r="F39221">
        <v>8719</v>
      </c>
    </row>
    <row r="39222" spans="1:6" ht="15.75" customHeight="1">
      <c r="A39222" s="3">
        <v>43874.461585648147</v>
      </c>
      <c r="B39222" t="str">
        <f>HYPERLINK("https://twitter.com/kantayu","@kantayu")</f>
        <v>@kantayu</v>
      </c>
      <c r="C39222" t="s">
        <v>989</v>
      </c>
      <c r="D39222">
        <v>54</v>
      </c>
      <c r="E39222">
        <v>145</v>
      </c>
      <c r="F39222">
        <v>5289</v>
      </c>
    </row>
    <row r="39223" spans="1:6" ht="15.75" customHeight="1">
      <c r="A39223" s="3">
        <v>43874.460787037038</v>
      </c>
      <c r="B39223" t="str">
        <f>HYPERLINK("https://twitter.com/suaradotcom","@suaradotcom")</f>
        <v>@suaradotcom</v>
      </c>
      <c r="C39223" t="s">
        <v>990</v>
      </c>
      <c r="D39223">
        <v>0</v>
      </c>
      <c r="E39223">
        <v>0</v>
      </c>
      <c r="F39223">
        <v>24148</v>
      </c>
    </row>
    <row r="39224" spans="1:6" ht="15.75" customHeight="1">
      <c r="A39224" s="3">
        <v>43874.460358796292</v>
      </c>
      <c r="B39224" t="str">
        <f>HYPERLINK("https://twitter.com/merahh_putihh","@merahh_putihh")</f>
        <v>@merahh_putihh</v>
      </c>
      <c r="C39224" t="s">
        <v>862</v>
      </c>
      <c r="D39224">
        <v>0</v>
      </c>
      <c r="E39224">
        <v>0</v>
      </c>
      <c r="F39224">
        <v>41</v>
      </c>
    </row>
    <row r="39225" spans="1:6" ht="15.75" customHeight="1">
      <c r="A39225" s="3">
        <v>43874.459699074076</v>
      </c>
      <c r="B39225" t="str">
        <f>HYPERLINK("https://twitter.com/PTSolidGoldSmg","@PTSolidGoldSmg")</f>
        <v>@PTSolidGoldSmg</v>
      </c>
      <c r="C39225" t="s">
        <v>991</v>
      </c>
      <c r="D39225">
        <v>0</v>
      </c>
      <c r="E39225">
        <v>0</v>
      </c>
      <c r="F39225">
        <v>80</v>
      </c>
    </row>
    <row r="39226" spans="1:6" ht="15.75" customHeight="1">
      <c r="A39226" s="3">
        <v>43874.458564814813</v>
      </c>
      <c r="B39226" t="str">
        <f>HYPERLINK("https://twitter.com/Joglosemarnews","@Joglosemarnews")</f>
        <v>@Joglosemarnews</v>
      </c>
      <c r="C39226" t="s">
        <v>992</v>
      </c>
      <c r="D39226">
        <v>0</v>
      </c>
      <c r="E39226">
        <v>0</v>
      </c>
      <c r="F39226">
        <v>301</v>
      </c>
    </row>
    <row r="39227" spans="1:6" ht="15.75" customHeight="1">
      <c r="A39227" s="3">
        <v>43874.457800925928</v>
      </c>
      <c r="B39227" t="str">
        <f>HYPERLINK("https://twitter.com/luxyriz","@luxyriz")</f>
        <v>@luxyriz</v>
      </c>
      <c r="C39227" t="s">
        <v>993</v>
      </c>
      <c r="D39227">
        <v>0</v>
      </c>
      <c r="E39227">
        <v>1</v>
      </c>
      <c r="F39227">
        <v>2270</v>
      </c>
    </row>
    <row r="39228" spans="1:6" ht="15.75" customHeight="1">
      <c r="A39228" s="3">
        <v>43874.457546296297</v>
      </c>
      <c r="B39228" t="str">
        <f>HYPERLINK("https://twitter.com/twitpos","@twitpos")</f>
        <v>@twitpos</v>
      </c>
      <c r="C39228" t="s">
        <v>994</v>
      </c>
      <c r="D39228">
        <v>14</v>
      </c>
      <c r="E39228">
        <v>18</v>
      </c>
      <c r="F39228">
        <v>10568</v>
      </c>
    </row>
    <row r="39229" spans="1:6" ht="15.75" customHeight="1">
      <c r="A39229" s="3">
        <v>43874.456620370373</v>
      </c>
      <c r="B39229" t="str">
        <f>HYPERLINK("https://twitter.com/abadikinicom","@abadikinicom")</f>
        <v>@abadikinicom</v>
      </c>
      <c r="C39229" t="s">
        <v>995</v>
      </c>
      <c r="D39229">
        <v>0</v>
      </c>
      <c r="E39229">
        <v>0</v>
      </c>
      <c r="F39229">
        <v>5379</v>
      </c>
    </row>
    <row r="39230" spans="1:6" ht="15.75" customHeight="1">
      <c r="A39230" s="3">
        <v>43874.455833333333</v>
      </c>
      <c r="B39230" t="str">
        <f>HYPERLINK("https://twitter.com/arga_dermawan","@arga_dermawan")</f>
        <v>@arga_dermawan</v>
      </c>
      <c r="C39230" t="s">
        <v>996</v>
      </c>
      <c r="D39230">
        <v>9</v>
      </c>
      <c r="E39230">
        <v>11</v>
      </c>
      <c r="F39230">
        <v>6</v>
      </c>
    </row>
    <row r="39231" spans="1:6" ht="15.75" customHeight="1">
      <c r="A39231" s="3">
        <v>43874.455636574072</v>
      </c>
      <c r="B39231" t="str">
        <f>HYPERLINK("https://twitter.com/infokabinetID","@infokabinetID")</f>
        <v>@infokabinetID</v>
      </c>
      <c r="C39231" t="s">
        <v>224</v>
      </c>
      <c r="D39231">
        <v>0</v>
      </c>
      <c r="E39231">
        <v>0</v>
      </c>
      <c r="F39231">
        <v>211</v>
      </c>
    </row>
    <row r="39232" spans="1:6" ht="15.75" customHeight="1">
      <c r="A39232" s="3">
        <v>43874.455011574071</v>
      </c>
      <c r="B39232" t="str">
        <f>HYPERLINK("https://twitter.com/Jebes_NTB","@Jebes_NTB")</f>
        <v>@Jebes_NTB</v>
      </c>
      <c r="C39232" t="s">
        <v>997</v>
      </c>
      <c r="D39232">
        <v>0</v>
      </c>
      <c r="E39232">
        <v>0</v>
      </c>
      <c r="F39232">
        <v>0</v>
      </c>
    </row>
    <row r="39233" spans="1:6" ht="15.75" customHeight="1">
      <c r="A39233" s="3">
        <v>43874.454652777778</v>
      </c>
      <c r="B39233" t="str">
        <f>HYPERLINK("https://twitter.com/KomikPolitik","@KomikPolitik")</f>
        <v>@KomikPolitik</v>
      </c>
      <c r="C39233" t="s">
        <v>998</v>
      </c>
      <c r="D39233">
        <v>0</v>
      </c>
      <c r="E39233">
        <v>0</v>
      </c>
      <c r="F39233">
        <v>180</v>
      </c>
    </row>
    <row r="39234" spans="1:6" ht="15.75" customHeight="1">
      <c r="A39234" s="3">
        <v>43874.454375000001</v>
      </c>
      <c r="B39234" t="str">
        <f>HYPERLINK("https://twitter.com/65d68e80b8c143c","@65d68e80b8c143c")</f>
        <v>@65d68e80b8c143c</v>
      </c>
      <c r="C39234" t="s">
        <v>999</v>
      </c>
      <c r="D39234">
        <v>0</v>
      </c>
      <c r="E39234">
        <v>0</v>
      </c>
      <c r="F39234">
        <v>663</v>
      </c>
    </row>
    <row r="39235" spans="1:6" ht="15.75" customHeight="1">
      <c r="A39235" s="3">
        <v>43874.453912037032</v>
      </c>
      <c r="B39235" t="str">
        <f>HYPERLINK("https://twitter.com/KartelEgo","@KartelEgo")</f>
        <v>@KartelEgo</v>
      </c>
      <c r="C39235" t="s">
        <v>1000</v>
      </c>
      <c r="D39235">
        <v>0</v>
      </c>
      <c r="E39235">
        <v>0</v>
      </c>
      <c r="F39235">
        <v>1394</v>
      </c>
    </row>
    <row r="39236" spans="1:6" ht="15.75" customHeight="1">
      <c r="A39236" s="3">
        <v>43874.452465277776</v>
      </c>
      <c r="B39236" t="str">
        <f>HYPERLINK("https://twitter.com/wow_keren","@wow_keren")</f>
        <v>@wow_keren</v>
      </c>
      <c r="C39236" t="s">
        <v>1001</v>
      </c>
      <c r="D39236">
        <v>0</v>
      </c>
      <c r="E39236">
        <v>0</v>
      </c>
      <c r="F39236">
        <v>32000</v>
      </c>
    </row>
    <row r="39237" spans="1:6" ht="15.75" customHeight="1">
      <c r="A39237" s="3">
        <v>43874.452453703707</v>
      </c>
      <c r="B39237" t="str">
        <f>HYPERLINK("https://twitter.com/jurnascom","@jurnascom")</f>
        <v>@jurnascom</v>
      </c>
      <c r="C39237" t="s">
        <v>1002</v>
      </c>
      <c r="D39237">
        <v>0</v>
      </c>
      <c r="E39237">
        <v>0</v>
      </c>
      <c r="F39237">
        <v>24387</v>
      </c>
    </row>
    <row r="39238" spans="1:6" ht="15.75" customHeight="1">
      <c r="A39238" s="3">
        <v>43874.451828703706</v>
      </c>
      <c r="B39238" t="str">
        <f>HYPERLINK("https://twitter.com/KomikPolitik","@KomikPolitik")</f>
        <v>@KomikPolitik</v>
      </c>
      <c r="C39238" t="s">
        <v>1003</v>
      </c>
      <c r="D39238">
        <v>0</v>
      </c>
      <c r="E39238">
        <v>0</v>
      </c>
      <c r="F39238">
        <v>180</v>
      </c>
    </row>
    <row r="39239" spans="1:6" ht="15.75" customHeight="1">
      <c r="A39239" s="3">
        <v>43874.451689814814</v>
      </c>
      <c r="B39239" t="str">
        <f>HYPERLINK("https://twitter.com/buha_manik","@buha_manik")</f>
        <v>@buha_manik</v>
      </c>
      <c r="C39239" t="s">
        <v>1004</v>
      </c>
      <c r="D39239">
        <v>1</v>
      </c>
      <c r="E39239">
        <v>1</v>
      </c>
      <c r="F39239">
        <v>454</v>
      </c>
    </row>
    <row r="39240" spans="1:6" ht="15.75" customHeight="1">
      <c r="A39240" s="3">
        <v>43874.45144675926</v>
      </c>
      <c r="B39240" t="str">
        <f>HYPERLINK("https://twitter.com/KomikPolitik","@KomikPolitik")</f>
        <v>@KomikPolitik</v>
      </c>
      <c r="C39240" t="s">
        <v>1005</v>
      </c>
      <c r="D39240">
        <v>0</v>
      </c>
      <c r="E39240">
        <v>1</v>
      </c>
      <c r="F39240">
        <v>180</v>
      </c>
    </row>
    <row r="39241" spans="1:6" ht="15.75" customHeight="1">
      <c r="A39241" s="3">
        <v>43874.45113425926</v>
      </c>
      <c r="B39241" t="str">
        <f>HYPERLINK("https://twitter.com/tsarina_m","@tsarina_m")</f>
        <v>@tsarina_m</v>
      </c>
      <c r="C39241" t="s">
        <v>1006</v>
      </c>
      <c r="D39241">
        <v>0</v>
      </c>
      <c r="E39241">
        <v>0</v>
      </c>
      <c r="F39241">
        <v>554</v>
      </c>
    </row>
    <row r="39242" spans="1:6" ht="15.75" customHeight="1">
      <c r="A39242" s="3">
        <v>43874.450949074075</v>
      </c>
      <c r="B39242" t="str">
        <f>HYPERLINK("https://twitter.com/heifirman","@heifirman")</f>
        <v>@heifirman</v>
      </c>
      <c r="C39242" t="s">
        <v>1007</v>
      </c>
      <c r="D39242">
        <v>0</v>
      </c>
      <c r="E39242">
        <v>0</v>
      </c>
      <c r="F39242">
        <v>475</v>
      </c>
    </row>
    <row r="39243" spans="1:6" ht="15.75" customHeight="1">
      <c r="A39243" s="3">
        <v>43874.449976851851</v>
      </c>
      <c r="B39243" t="str">
        <f>HYPERLINK("https://twitter.com/Etam394","@Etam394")</f>
        <v>@Etam394</v>
      </c>
      <c r="C39243" t="s">
        <v>1008</v>
      </c>
      <c r="D39243">
        <v>0</v>
      </c>
      <c r="E39243">
        <v>0</v>
      </c>
      <c r="F39243">
        <v>3573</v>
      </c>
    </row>
    <row r="39244" spans="1:6" ht="15.75" customHeight="1">
      <c r="A39244" s="3">
        <v>43874.449386574073</v>
      </c>
      <c r="B39244" t="str">
        <f>HYPERLINK("https://twitter.com/JhonniSinaga20","@JhonniSinaga20")</f>
        <v>@JhonniSinaga20</v>
      </c>
      <c r="C39244" t="s">
        <v>1009</v>
      </c>
      <c r="D39244">
        <v>0</v>
      </c>
      <c r="E39244">
        <v>0</v>
      </c>
      <c r="F39244">
        <v>527</v>
      </c>
    </row>
    <row r="39245" spans="1:6" ht="15.75" customHeight="1">
      <c r="A39245" s="3">
        <v>43874.449189814812</v>
      </c>
      <c r="B39245" t="str">
        <f>HYPERLINK("https://twitter.com/wisanggeni_084","@wisanggeni_084")</f>
        <v>@wisanggeni_084</v>
      </c>
      <c r="C39245" t="s">
        <v>1010</v>
      </c>
      <c r="D39245">
        <v>291</v>
      </c>
      <c r="E39245">
        <v>751</v>
      </c>
      <c r="F39245">
        <v>15789</v>
      </c>
    </row>
    <row r="39246" spans="1:6" ht="15.75" customHeight="1">
      <c r="A39246" s="3">
        <v>43874.449004629627</v>
      </c>
      <c r="B39246" t="str">
        <f>HYPERLINK("https://twitter.com/remotivi","@remotivi")</f>
        <v>@remotivi</v>
      </c>
      <c r="C39246" t="s">
        <v>1011</v>
      </c>
      <c r="D39246">
        <v>42</v>
      </c>
      <c r="E39246">
        <v>88</v>
      </c>
      <c r="F39246">
        <v>68162</v>
      </c>
    </row>
    <row r="39247" spans="1:6" ht="15.75" customHeight="1">
      <c r="A39247" s="3">
        <v>43874.448819444442</v>
      </c>
      <c r="B39247" t="str">
        <f>HYPERLINK("https://twitter.com/cepu_supriyanto","@cepu_supriyanto")</f>
        <v>@cepu_supriyanto</v>
      </c>
      <c r="C39247" t="s">
        <v>215</v>
      </c>
      <c r="D39247">
        <v>0</v>
      </c>
      <c r="E39247">
        <v>0</v>
      </c>
      <c r="F39247">
        <v>675</v>
      </c>
    </row>
    <row r="39248" spans="1:6" ht="15.75" customHeight="1">
      <c r="A39248" s="3">
        <v>43874.448194444441</v>
      </c>
      <c r="B39248" t="str">
        <f>HYPERLINK("https://twitter.com/vietto99","@vietto99")</f>
        <v>@vietto99</v>
      </c>
      <c r="C39248" t="s">
        <v>1012</v>
      </c>
      <c r="D39248">
        <v>1</v>
      </c>
      <c r="E39248">
        <v>1</v>
      </c>
      <c r="F39248">
        <v>1330</v>
      </c>
    </row>
    <row r="39249" spans="1:6" ht="15.75" customHeight="1">
      <c r="A39249" s="3">
        <v>43874.447256944448</v>
      </c>
      <c r="B39249" t="str">
        <f>HYPERLINK("https://twitter.com/portalsatu_aceh","@portalsatu_aceh")</f>
        <v>@portalsatu_aceh</v>
      </c>
      <c r="C39249" t="s">
        <v>1013</v>
      </c>
      <c r="D39249">
        <v>0</v>
      </c>
      <c r="E39249">
        <v>0</v>
      </c>
      <c r="F39249">
        <v>2150</v>
      </c>
    </row>
    <row r="39250" spans="1:6" ht="15.75" customHeight="1">
      <c r="A39250" s="3">
        <v>43874.447210648148</v>
      </c>
      <c r="B39250" t="str">
        <f>HYPERLINK("https://twitter.com/deliknewscom","@deliknewscom")</f>
        <v>@deliknewscom</v>
      </c>
      <c r="C39250" t="s">
        <v>1014</v>
      </c>
      <c r="D39250">
        <v>0</v>
      </c>
      <c r="E39250">
        <v>0</v>
      </c>
      <c r="F39250">
        <v>1498</v>
      </c>
    </row>
    <row r="39251" spans="1:6" ht="15.75" customHeight="1">
      <c r="A39251" s="3">
        <v>43874.447013888886</v>
      </c>
      <c r="B39251" t="str">
        <f>HYPERLINK("https://twitter.com/KomikPolitik","@KomikPolitik")</f>
        <v>@KomikPolitik</v>
      </c>
      <c r="C39251" t="s">
        <v>1015</v>
      </c>
      <c r="D39251">
        <v>0</v>
      </c>
      <c r="E39251">
        <v>1</v>
      </c>
      <c r="F39251">
        <v>180</v>
      </c>
    </row>
    <row r="39252" spans="1:6" ht="15.75" customHeight="1">
      <c r="A39252" s="3">
        <v>43874.446006944447</v>
      </c>
      <c r="B39252" t="str">
        <f>HYPERLINK("https://twitter.com/mr_brocco","@mr_brocco")</f>
        <v>@mr_brocco</v>
      </c>
      <c r="C39252" t="s">
        <v>1016</v>
      </c>
      <c r="D39252">
        <v>0</v>
      </c>
      <c r="E39252">
        <v>3</v>
      </c>
      <c r="F39252">
        <v>5094</v>
      </c>
    </row>
    <row r="39253" spans="1:6" ht="15.75" customHeight="1">
      <c r="A39253" s="3">
        <v>43874.445659722223</v>
      </c>
      <c r="B39253" t="str">
        <f>HYPERLINK("https://twitter.com/Antara_Jabar","@Antara_Jabar")</f>
        <v>@Antara_Jabar</v>
      </c>
      <c r="C39253" t="s">
        <v>1017</v>
      </c>
      <c r="D39253">
        <v>0</v>
      </c>
      <c r="E39253">
        <v>0</v>
      </c>
      <c r="F39253">
        <v>1531</v>
      </c>
    </row>
    <row r="39254" spans="1:6" ht="15.75" customHeight="1">
      <c r="A39254" s="3">
        <v>43874.4449537037</v>
      </c>
      <c r="B39254" t="str">
        <f>HYPERLINK("https://twitter.com/BIndeksnews","@BIndeksnews")</f>
        <v>@BIndeksnews</v>
      </c>
      <c r="C39254" t="s">
        <v>1018</v>
      </c>
      <c r="D39254">
        <v>0</v>
      </c>
      <c r="E39254">
        <v>0</v>
      </c>
      <c r="F39254">
        <v>5</v>
      </c>
    </row>
    <row r="39255" spans="1:6" ht="15.75" customHeight="1">
      <c r="A39255" s="3">
        <v>43874.444155092591</v>
      </c>
      <c r="B39255" t="str">
        <f>HYPERLINK("https://twitter.com/lensaRTV","@lensaRTV")</f>
        <v>@lensaRTV</v>
      </c>
      <c r="C39255" t="s">
        <v>1019</v>
      </c>
      <c r="D39255">
        <v>0</v>
      </c>
      <c r="E39255">
        <v>1</v>
      </c>
      <c r="F39255">
        <v>9501</v>
      </c>
    </row>
    <row r="39256" spans="1:6" ht="15.75" customHeight="1">
      <c r="A39256" s="3">
        <v>43874.442939814813</v>
      </c>
      <c r="B39256" t="str">
        <f>HYPERLINK("https://twitter.com/Jebes_NTB","@Jebes_NTB")</f>
        <v>@Jebes_NTB</v>
      </c>
      <c r="C39256" t="s">
        <v>1020</v>
      </c>
      <c r="D39256">
        <v>0</v>
      </c>
      <c r="E39256">
        <v>0</v>
      </c>
      <c r="F39256">
        <v>0</v>
      </c>
    </row>
    <row r="39257" spans="1:6" ht="15.75" customHeight="1">
      <c r="A39257" s="3">
        <v>43874.442685185189</v>
      </c>
      <c r="B39257" t="str">
        <f>HYPERLINK("https://twitter.com/RinjaniJB","@RinjaniJB")</f>
        <v>@RinjaniJB</v>
      </c>
      <c r="C39257" t="s">
        <v>1021</v>
      </c>
      <c r="D39257">
        <v>23</v>
      </c>
      <c r="E39257">
        <v>55</v>
      </c>
      <c r="F39257">
        <v>19163</v>
      </c>
    </row>
    <row r="39258" spans="1:6" ht="15.75" customHeight="1">
      <c r="A39258" s="3">
        <v>43874.442604166667</v>
      </c>
      <c r="B39258" t="str">
        <f>HYPERLINK("https://twitter.com/yoojungmu","@yoojungmu")</f>
        <v>@yoojungmu</v>
      </c>
      <c r="C39258" t="s">
        <v>1022</v>
      </c>
      <c r="D39258">
        <v>0</v>
      </c>
      <c r="E39258">
        <v>0</v>
      </c>
      <c r="F39258">
        <v>8653</v>
      </c>
    </row>
    <row r="39259" spans="1:6" ht="15.75" customHeight="1">
      <c r="A39259" s="3">
        <v>43874.441631944443</v>
      </c>
      <c r="B39259" t="str">
        <f>HYPERLINK("https://twitter.com/billy4riez","@billy4riez")</f>
        <v>@billy4riez</v>
      </c>
      <c r="C39259" t="s">
        <v>1023</v>
      </c>
      <c r="D39259">
        <v>0</v>
      </c>
      <c r="E39259">
        <v>1</v>
      </c>
      <c r="F39259">
        <v>7946</v>
      </c>
    </row>
    <row r="39260" spans="1:6" ht="15.75" customHeight="1">
      <c r="A39260" s="3">
        <v>43874.43954861111</v>
      </c>
      <c r="B39260" t="str">
        <f>HYPERLINK("https://twitter.com/ABRochim18","@ABRochim18")</f>
        <v>@ABRochim18</v>
      </c>
      <c r="C39260" t="s">
        <v>1024</v>
      </c>
      <c r="D39260">
        <v>1</v>
      </c>
      <c r="E39260">
        <v>2</v>
      </c>
      <c r="F39260">
        <v>1178</v>
      </c>
    </row>
    <row r="39261" spans="1:6" ht="15.75" customHeight="1">
      <c r="A39261" s="3">
        <v>43874.438842592594</v>
      </c>
      <c r="B39261" t="str">
        <f>HYPERLINK("https://twitter.com/DesaKita2","@DesaKita2")</f>
        <v>@DesaKita2</v>
      </c>
      <c r="C39261" t="s">
        <v>1025</v>
      </c>
      <c r="D39261">
        <v>150</v>
      </c>
      <c r="E39261">
        <v>232</v>
      </c>
      <c r="F39261">
        <v>5869</v>
      </c>
    </row>
    <row r="39262" spans="1:6" ht="15.75" customHeight="1">
      <c r="A39262" s="3">
        <v>43874.438807870371</v>
      </c>
      <c r="B39262" t="str">
        <f>HYPERLINK("https://twitter.com/yoojungmu","@yoojungmu")</f>
        <v>@yoojungmu</v>
      </c>
      <c r="C39262" t="s">
        <v>1026</v>
      </c>
      <c r="D39262">
        <v>0</v>
      </c>
      <c r="E39262">
        <v>0</v>
      </c>
      <c r="F39262">
        <v>8653</v>
      </c>
    </row>
    <row r="39263" spans="1:6" ht="15.75" customHeight="1">
      <c r="A39263" s="3">
        <v>43874.438703703709</v>
      </c>
      <c r="B39263" t="str">
        <f>HYPERLINK("https://twitter.com/tempodotco","@tempodotco")</f>
        <v>@tempodotco</v>
      </c>
      <c r="C39263" t="s">
        <v>1027</v>
      </c>
      <c r="D39263">
        <v>0</v>
      </c>
      <c r="E39263">
        <v>2</v>
      </c>
      <c r="F39263">
        <v>1702040</v>
      </c>
    </row>
    <row r="39264" spans="1:6" ht="15.75" customHeight="1">
      <c r="A39264" s="3">
        <v>43874.438425925924</v>
      </c>
      <c r="B39264" t="str">
        <f>HYPERLINK("https://twitter.com/pubinform","@pubinform")</f>
        <v>@pubinform</v>
      </c>
      <c r="C39264" t="s">
        <v>1028</v>
      </c>
      <c r="D39264">
        <v>0</v>
      </c>
      <c r="E39264">
        <v>0</v>
      </c>
      <c r="F39264">
        <v>381</v>
      </c>
    </row>
    <row r="39265" spans="1:6" ht="15.75" customHeight="1">
      <c r="A39265" s="3">
        <v>43874.438043981485</v>
      </c>
      <c r="B39265" t="str">
        <f>HYPERLINK("https://twitter.com/minhyunsc","@minhyunsc")</f>
        <v>@minhyunsc</v>
      </c>
      <c r="C39265" t="s">
        <v>1029</v>
      </c>
      <c r="D39265">
        <v>0</v>
      </c>
      <c r="E39265">
        <v>0</v>
      </c>
      <c r="F39265">
        <v>7548</v>
      </c>
    </row>
    <row r="39266" spans="1:6" ht="15.75" customHeight="1">
      <c r="A39266" s="3">
        <v>43874.437118055561</v>
      </c>
      <c r="B39266" t="str">
        <f>HYPERLINK("https://twitter.com/cepu_supriyanto","@cepu_supriyanto")</f>
        <v>@cepu_supriyanto</v>
      </c>
      <c r="C39266" t="s">
        <v>224</v>
      </c>
      <c r="D39266">
        <v>0</v>
      </c>
      <c r="E39266">
        <v>0</v>
      </c>
      <c r="F39266">
        <v>675</v>
      </c>
    </row>
    <row r="39267" spans="1:6" ht="15.75" customHeight="1">
      <c r="A39267" s="3">
        <v>43874.436921296292</v>
      </c>
      <c r="B39267" t="str">
        <f>HYPERLINK("https://twitter.com/kodokpangeran5","@kodokpangeran5")</f>
        <v>@kodokpangeran5</v>
      </c>
      <c r="C39267" t="s">
        <v>1029</v>
      </c>
      <c r="D39267">
        <v>0</v>
      </c>
      <c r="E39267">
        <v>0</v>
      </c>
      <c r="F39267">
        <v>99</v>
      </c>
    </row>
    <row r="39268" spans="1:6" ht="15.75" customHeight="1">
      <c r="A39268" s="3">
        <v>43874.436249999999</v>
      </c>
      <c r="B39268" t="str">
        <f>HYPERLINK("https://twitter.com/merdekadotcom","@merdekadotcom")</f>
        <v>@merdekadotcom</v>
      </c>
      <c r="C39268" t="s">
        <v>1030</v>
      </c>
      <c r="D39268">
        <v>0</v>
      </c>
      <c r="E39268">
        <v>4</v>
      </c>
      <c r="F39268">
        <v>230398</v>
      </c>
    </row>
    <row r="39269" spans="1:6" ht="15.75" customHeight="1">
      <c r="A39269" s="3">
        <v>43874.436249999999</v>
      </c>
      <c r="B39269" t="str">
        <f>HYPERLINK("https://twitter.com/MonitorCOID","@MonitorCOID")</f>
        <v>@MonitorCOID</v>
      </c>
      <c r="C39269" t="s">
        <v>1031</v>
      </c>
      <c r="D39269">
        <v>0</v>
      </c>
      <c r="E39269">
        <v>0</v>
      </c>
      <c r="F39269">
        <v>2630</v>
      </c>
    </row>
    <row r="39270" spans="1:6" ht="15.75" customHeight="1">
      <c r="A39270" s="3">
        <v>43874.436192129629</v>
      </c>
      <c r="B39270" t="str">
        <f>HYPERLINK("https://twitter.com/tribunnews","@tribunnews")</f>
        <v>@tribunnews</v>
      </c>
      <c r="C39270" t="s">
        <v>1032</v>
      </c>
      <c r="D39270">
        <v>1</v>
      </c>
      <c r="E39270">
        <v>1</v>
      </c>
      <c r="F39270">
        <v>873082</v>
      </c>
    </row>
    <row r="39271" spans="1:6" ht="15.75" customHeight="1">
      <c r="A39271" s="3">
        <v>43874.43540509259</v>
      </c>
      <c r="B39271" t="str">
        <f>HYPERLINK("https://twitter.com/jerry_gemini","@jerry_gemini")</f>
        <v>@jerry_gemini</v>
      </c>
      <c r="C39271" t="s">
        <v>1033</v>
      </c>
      <c r="D39271">
        <v>0</v>
      </c>
      <c r="E39271">
        <v>0</v>
      </c>
      <c r="F39271">
        <v>1666</v>
      </c>
    </row>
    <row r="39272" spans="1:6" ht="15.75" customHeight="1">
      <c r="A39272" s="3">
        <v>43874.43341435185</v>
      </c>
      <c r="B39272" t="str">
        <f>HYPERLINK("https://twitter.com/pantau_com","@pantau_com")</f>
        <v>@pantau_com</v>
      </c>
      <c r="C39272" t="s">
        <v>1034</v>
      </c>
      <c r="D39272">
        <v>0</v>
      </c>
      <c r="E39272">
        <v>0</v>
      </c>
      <c r="F39272">
        <v>2109</v>
      </c>
    </row>
    <row r="39273" spans="1:6" ht="15.75" customHeight="1">
      <c r="A39273" s="3">
        <v>43874.432314814811</v>
      </c>
      <c r="B39273" t="str">
        <f>HYPERLINK("https://twitter.com/nana_shihab","@nana_shihab")</f>
        <v>@nana_shihab</v>
      </c>
      <c r="C39273" t="s">
        <v>1035</v>
      </c>
      <c r="D39273">
        <v>0</v>
      </c>
      <c r="E39273">
        <v>0</v>
      </c>
      <c r="F39273">
        <v>727</v>
      </c>
    </row>
    <row r="39274" spans="1:6" ht="15.75" customHeight="1">
      <c r="A39274" s="3">
        <v>43874.432094907403</v>
      </c>
      <c r="B39274" t="str">
        <f>HYPERLINK("https://twitter.com/tribunnews","@tribunnews")</f>
        <v>@tribunnews</v>
      </c>
      <c r="C39274" t="s">
        <v>1036</v>
      </c>
      <c r="D39274">
        <v>2</v>
      </c>
      <c r="E39274">
        <v>2</v>
      </c>
      <c r="F39274">
        <v>873082</v>
      </c>
    </row>
    <row r="39275" spans="1:6" ht="15.75" customHeight="1">
      <c r="A39275" s="3">
        <v>43874.431215277778</v>
      </c>
      <c r="B39275" t="str">
        <f>HYPERLINK("https://twitter.com/KicauSunyi","@KicauSunyi")</f>
        <v>@KicauSunyi</v>
      </c>
      <c r="C39275" t="s">
        <v>1037</v>
      </c>
      <c r="D39275">
        <v>1</v>
      </c>
      <c r="E39275">
        <v>1</v>
      </c>
      <c r="F39275">
        <v>3661</v>
      </c>
    </row>
    <row r="39276" spans="1:6" ht="15.75" customHeight="1">
      <c r="A39276" s="3">
        <v>43874.430532407408</v>
      </c>
      <c r="B39276" t="str">
        <f>HYPERLINK("https://twitter.com/Bravo_19PAS","@Bravo_19PAS")</f>
        <v>@Bravo_19PAS</v>
      </c>
      <c r="D39276">
        <v>0</v>
      </c>
      <c r="E39276">
        <v>0</v>
      </c>
      <c r="F39276">
        <v>4115</v>
      </c>
    </row>
    <row r="39277" spans="1:6" ht="15.75" customHeight="1">
      <c r="A39277" s="3">
        <v>43874.429756944446</v>
      </c>
      <c r="B39277" t="str">
        <f>HYPERLINK("https://twitter.com/erdobani","@erdobani")</f>
        <v>@erdobani</v>
      </c>
      <c r="C39277" t="s">
        <v>1029</v>
      </c>
      <c r="D39277">
        <v>0</v>
      </c>
      <c r="E39277">
        <v>0</v>
      </c>
      <c r="F39277">
        <v>104</v>
      </c>
    </row>
    <row r="39278" spans="1:6" ht="15.75" customHeight="1">
      <c r="A39278" s="3">
        <v>43874.42869212963</v>
      </c>
      <c r="B39278" t="str">
        <f>HYPERLINK("https://twitter.com/Rudiwaluyo11","@Rudiwaluyo11")</f>
        <v>@Rudiwaluyo11</v>
      </c>
      <c r="C39278" t="s">
        <v>1029</v>
      </c>
      <c r="D39278">
        <v>0</v>
      </c>
      <c r="E39278">
        <v>0</v>
      </c>
      <c r="F39278">
        <v>38</v>
      </c>
    </row>
    <row r="39279" spans="1:6" ht="15.75" customHeight="1">
      <c r="A39279" s="3">
        <v>43874.428171296298</v>
      </c>
      <c r="B39279" t="str">
        <f>HYPERLINK("https://twitter.com/geloraco","@geloraco")</f>
        <v>@geloraco</v>
      </c>
      <c r="C39279" t="s">
        <v>636</v>
      </c>
      <c r="D39279">
        <v>5</v>
      </c>
      <c r="E39279">
        <v>11</v>
      </c>
      <c r="F39279">
        <v>99635</v>
      </c>
    </row>
    <row r="39280" spans="1:6" ht="15.75" customHeight="1">
      <c r="A39280" s="3">
        <v>43874.426412037035</v>
      </c>
      <c r="B39280" t="str">
        <f>HYPERLINK("https://twitter.com/koranmedsos","@koranmedsos")</f>
        <v>@koranmedsos</v>
      </c>
      <c r="C39280" t="s">
        <v>507</v>
      </c>
      <c r="D39280">
        <v>0</v>
      </c>
      <c r="E39280">
        <v>0</v>
      </c>
      <c r="F39280">
        <v>2396</v>
      </c>
    </row>
    <row r="39281" spans="1:6" ht="15.75" customHeight="1">
      <c r="A39281" s="3">
        <v>43874.423391203702</v>
      </c>
      <c r="B39281" t="str">
        <f>HYPERLINK("https://twitter.com/suryaferdian","@suryaferdian")</f>
        <v>@suryaferdian</v>
      </c>
      <c r="C39281" t="s">
        <v>1038</v>
      </c>
      <c r="D39281">
        <v>0</v>
      </c>
      <c r="E39281">
        <v>0</v>
      </c>
      <c r="F39281">
        <v>619</v>
      </c>
    </row>
    <row r="39282" spans="1:6" ht="15.75" customHeight="1">
      <c r="A39282" s="3">
        <v>43874.422951388886</v>
      </c>
      <c r="B39282" t="str">
        <f>HYPERLINK("https://twitter.com/Bisniscom","@Bisniscom")</f>
        <v>@Bisniscom</v>
      </c>
      <c r="C39282" t="s">
        <v>1039</v>
      </c>
      <c r="D39282">
        <v>1</v>
      </c>
      <c r="E39282">
        <v>4</v>
      </c>
      <c r="F39282">
        <v>992523</v>
      </c>
    </row>
    <row r="39283" spans="1:6" ht="15.75" customHeight="1">
      <c r="A39283" s="3">
        <v>43874.422951388886</v>
      </c>
      <c r="B39283" t="str">
        <f>HYPERLINK("https://twitter.com/Kabar24","@Kabar24")</f>
        <v>@Kabar24</v>
      </c>
      <c r="C39283" t="s">
        <v>1039</v>
      </c>
      <c r="D39283">
        <v>1</v>
      </c>
      <c r="E39283">
        <v>1</v>
      </c>
      <c r="F39283">
        <v>20013</v>
      </c>
    </row>
    <row r="39284" spans="1:6" ht="15.75" customHeight="1">
      <c r="A39284" s="3">
        <v>43874.422337962962</v>
      </c>
      <c r="B39284" t="str">
        <f>HYPERLINK("https://twitter.com/Kang_Sholihin","@Kang_Sholihin")</f>
        <v>@Kang_Sholihin</v>
      </c>
      <c r="C39284" t="s">
        <v>1040</v>
      </c>
      <c r="D39284">
        <v>0</v>
      </c>
      <c r="E39284">
        <v>0</v>
      </c>
      <c r="F39284">
        <v>1013</v>
      </c>
    </row>
    <row r="39285" spans="1:6" ht="15.75" customHeight="1">
      <c r="A39285" s="3">
        <v>43874.421817129631</v>
      </c>
      <c r="B39285" t="str">
        <f>HYPERLINK("https://twitter.com/NKRIcintadamai","@NKRIcintadamai")</f>
        <v>@NKRIcintadamai</v>
      </c>
      <c r="C39285" t="s">
        <v>1041</v>
      </c>
      <c r="D39285">
        <v>0</v>
      </c>
      <c r="E39285">
        <v>0</v>
      </c>
      <c r="F39285">
        <v>9640</v>
      </c>
    </row>
    <row r="39286" spans="1:6" ht="15.75" customHeight="1">
      <c r="A39286" s="3">
        <v>43874.421574074076</v>
      </c>
      <c r="B39286" t="str">
        <f>HYPERLINK("https://twitter.com/kodokpangeran5","@kodokpangeran5")</f>
        <v>@kodokpangeran5</v>
      </c>
      <c r="C39286" t="s">
        <v>1042</v>
      </c>
      <c r="D39286">
        <v>0</v>
      </c>
      <c r="E39286">
        <v>0</v>
      </c>
      <c r="F39286">
        <v>99</v>
      </c>
    </row>
    <row r="39287" spans="1:6" ht="15.75" customHeight="1">
      <c r="A39287" s="3">
        <v>43874.4215625</v>
      </c>
      <c r="B39287" t="str">
        <f>HYPERLINK("https://twitter.com/Dsangg77","@Dsangg77")</f>
        <v>@Dsangg77</v>
      </c>
      <c r="C39287" t="s">
        <v>1043</v>
      </c>
      <c r="D39287">
        <v>10</v>
      </c>
      <c r="E39287">
        <v>17</v>
      </c>
      <c r="F39287">
        <v>2861</v>
      </c>
    </row>
    <row r="39288" spans="1:6" ht="15.75" customHeight="1">
      <c r="A39288" s="3">
        <v>43874.420833333337</v>
      </c>
      <c r="B39288" t="str">
        <f>HYPERLINK("https://twitter.com/NasDem","@NasDem")</f>
        <v>@NasDem</v>
      </c>
      <c r="C39288" t="s">
        <v>1044</v>
      </c>
      <c r="D39288">
        <v>2</v>
      </c>
      <c r="E39288">
        <v>3</v>
      </c>
      <c r="F39288">
        <v>90943</v>
      </c>
    </row>
    <row r="39289" spans="1:6" ht="15.75" customHeight="1">
      <c r="A39289" s="3">
        <v>43874.420266203699</v>
      </c>
      <c r="B39289" t="str">
        <f>HYPERLINK("https://twitter.com/WinarsihParis","@WinarsihParis")</f>
        <v>@WinarsihParis</v>
      </c>
      <c r="C39289" t="s">
        <v>1026</v>
      </c>
      <c r="D39289">
        <v>0</v>
      </c>
      <c r="E39289">
        <v>0</v>
      </c>
      <c r="F39289">
        <v>77</v>
      </c>
    </row>
    <row r="39290" spans="1:6" ht="15.75" customHeight="1">
      <c r="A39290" s="3">
        <v>43874.420173611114</v>
      </c>
      <c r="B39290" t="str">
        <f>HYPERLINK("https://twitter.com/jitunews","@jitunews")</f>
        <v>@jitunews</v>
      </c>
      <c r="C39290" t="s">
        <v>1045</v>
      </c>
      <c r="D39290">
        <v>0</v>
      </c>
      <c r="E39290">
        <v>0</v>
      </c>
      <c r="F39290">
        <v>15282</v>
      </c>
    </row>
    <row r="39291" spans="1:6" ht="15.75" customHeight="1">
      <c r="A39291" s="3">
        <v>43874.420081018514</v>
      </c>
      <c r="B39291" t="str">
        <f>HYPERLINK("https://twitter.com/priethalilly","@priethalilly")</f>
        <v>@priethalilly</v>
      </c>
      <c r="C39291" t="s">
        <v>1046</v>
      </c>
      <c r="D39291">
        <v>0</v>
      </c>
      <c r="E39291">
        <v>0</v>
      </c>
      <c r="F39291">
        <v>64</v>
      </c>
    </row>
    <row r="39292" spans="1:6" ht="15.75" customHeight="1">
      <c r="A39292" s="3">
        <v>43874.420023148152</v>
      </c>
      <c r="B39292" t="str">
        <f>HYPERLINK("https://twitter.com/valentinoroti4","@valentinoroti4")</f>
        <v>@valentinoroti4</v>
      </c>
      <c r="C39292" t="s">
        <v>1047</v>
      </c>
      <c r="D39292">
        <v>0</v>
      </c>
      <c r="E39292">
        <v>0</v>
      </c>
      <c r="F39292">
        <v>7</v>
      </c>
    </row>
    <row r="39293" spans="1:6" ht="15.75" customHeight="1">
      <c r="A39293" s="3">
        <v>43874.419930555552</v>
      </c>
      <c r="B39293" t="str">
        <f>HYPERLINK("https://twitter.com/covesiacom","@covesiacom")</f>
        <v>@covesiacom</v>
      </c>
      <c r="C39293" t="s">
        <v>1048</v>
      </c>
      <c r="D39293">
        <v>0</v>
      </c>
      <c r="E39293">
        <v>0</v>
      </c>
      <c r="F39293">
        <v>6184</v>
      </c>
    </row>
    <row r="39294" spans="1:6" ht="15.75" customHeight="1">
      <c r="A39294" s="3">
        <v>43874.418761574074</v>
      </c>
      <c r="B39294" t="str">
        <f>HYPERLINK("https://twitter.com/Rudiwaluyo11","@Rudiwaluyo11")</f>
        <v>@Rudiwaluyo11</v>
      </c>
      <c r="C39294" t="s">
        <v>1026</v>
      </c>
      <c r="D39294">
        <v>0</v>
      </c>
      <c r="E39294">
        <v>0</v>
      </c>
      <c r="F39294">
        <v>38</v>
      </c>
    </row>
    <row r="39295" spans="1:6" ht="15.75" customHeight="1">
      <c r="A39295" s="3">
        <v>43874.41777777778</v>
      </c>
      <c r="B39295" t="str">
        <f>HYPERLINK("https://twitter.com/SanggauI","@SanggauI")</f>
        <v>@SanggauI</v>
      </c>
      <c r="C39295" t="s">
        <v>1049</v>
      </c>
      <c r="D39295">
        <v>0</v>
      </c>
      <c r="E39295">
        <v>0</v>
      </c>
      <c r="F39295">
        <v>0</v>
      </c>
    </row>
    <row r="39296" spans="1:6" ht="15.75" customHeight="1">
      <c r="A39296" s="3">
        <v>43874.417731481481</v>
      </c>
      <c r="B39296" t="str">
        <f>HYPERLINK("https://twitter.com/karinakarinyu","@karinakarinyu")</f>
        <v>@karinakarinyu</v>
      </c>
      <c r="C39296" t="s">
        <v>1047</v>
      </c>
      <c r="D39296">
        <v>0</v>
      </c>
      <c r="E39296">
        <v>0</v>
      </c>
      <c r="F39296">
        <v>25</v>
      </c>
    </row>
    <row r="39297" spans="1:6" ht="15.75" customHeight="1">
      <c r="A39297" s="3">
        <v>43874.416168981479</v>
      </c>
      <c r="B39297" t="str">
        <f>HYPERLINK("https://twitter.com/Klabangijo","@Klabangijo")</f>
        <v>@Klabangijo</v>
      </c>
      <c r="C39297" t="s">
        <v>1050</v>
      </c>
      <c r="D39297">
        <v>0</v>
      </c>
      <c r="E39297">
        <v>0</v>
      </c>
      <c r="F39297">
        <v>442</v>
      </c>
    </row>
    <row r="39298" spans="1:6" ht="15.75" customHeight="1">
      <c r="A39298" s="3">
        <v>43874.414108796293</v>
      </c>
      <c r="B39298" t="str">
        <f>HYPERLINK("https://twitter.com/idntimes","@idntimes")</f>
        <v>@idntimes</v>
      </c>
      <c r="C39298" t="s">
        <v>1051</v>
      </c>
      <c r="D39298">
        <v>1</v>
      </c>
      <c r="E39298">
        <v>0</v>
      </c>
      <c r="F39298">
        <v>392639</v>
      </c>
    </row>
    <row r="39299" spans="1:6" ht="15.75" customHeight="1">
      <c r="A39299" s="3">
        <v>43874.413564814815</v>
      </c>
      <c r="B39299" t="str">
        <f>HYPERLINK("https://twitter.com/rahabganendra","@rahabganendra")</f>
        <v>@rahabganendra</v>
      </c>
      <c r="C39299" t="s">
        <v>1052</v>
      </c>
      <c r="D39299">
        <v>0</v>
      </c>
      <c r="E39299">
        <v>2</v>
      </c>
      <c r="F39299">
        <v>1908</v>
      </c>
    </row>
    <row r="39300" spans="1:6" ht="15.75" customHeight="1">
      <c r="A39300" s="3">
        <v>43874.411412037036</v>
      </c>
      <c r="B39300" t="str">
        <f>HYPERLINK("https://twitter.com/maryatiyati02","@maryatiyati02")</f>
        <v>@maryatiyati02</v>
      </c>
      <c r="C39300" t="s">
        <v>1042</v>
      </c>
      <c r="D39300">
        <v>0</v>
      </c>
      <c r="E39300">
        <v>0</v>
      </c>
      <c r="F39300">
        <v>28</v>
      </c>
    </row>
    <row r="39301" spans="1:6" ht="15.75" customHeight="1">
      <c r="A39301" s="3">
        <v>43874.41134259259</v>
      </c>
      <c r="B39301" t="str">
        <f>HYPERLINK("https://twitter.com/putra_bisma12","@putra_bisma12")</f>
        <v>@putra_bisma12</v>
      </c>
      <c r="C39301" t="s">
        <v>1053</v>
      </c>
      <c r="D39301">
        <v>3</v>
      </c>
      <c r="E39301">
        <v>4</v>
      </c>
      <c r="F39301">
        <v>4174</v>
      </c>
    </row>
    <row r="39302" spans="1:6" ht="15.75" customHeight="1">
      <c r="A39302" s="3">
        <v>43874.410625000004</v>
      </c>
      <c r="B39302" t="str">
        <f>HYPERLINK("https://twitter.com/valentinoroti4","@valentinoroti4")</f>
        <v>@valentinoroti4</v>
      </c>
      <c r="C39302" t="s">
        <v>1026</v>
      </c>
      <c r="D39302">
        <v>0</v>
      </c>
      <c r="E39302">
        <v>0</v>
      </c>
      <c r="F39302">
        <v>7</v>
      </c>
    </row>
    <row r="39303" spans="1:6" ht="15.75" customHeight="1">
      <c r="A39303" s="3">
        <v>43874.410231481481</v>
      </c>
      <c r="B39303" t="str">
        <f>HYPERLINK("https://twitter.com/FerryFPutra","@FerryFPutra")</f>
        <v>@FerryFPutra</v>
      </c>
      <c r="C39303" t="s">
        <v>1054</v>
      </c>
      <c r="D39303">
        <v>0</v>
      </c>
      <c r="E39303">
        <v>0</v>
      </c>
      <c r="F39303">
        <v>219</v>
      </c>
    </row>
    <row r="39304" spans="1:6" ht="15.75" customHeight="1">
      <c r="A39304" s="3">
        <v>43874.409826388888</v>
      </c>
      <c r="B39304" t="str">
        <f>HYPERLINK("https://twitter.com/karinakarinyu","@karinakarinyu")</f>
        <v>@karinakarinyu</v>
      </c>
      <c r="C39304" t="s">
        <v>1029</v>
      </c>
      <c r="D39304">
        <v>0</v>
      </c>
      <c r="E39304">
        <v>0</v>
      </c>
      <c r="F39304">
        <v>25</v>
      </c>
    </row>
    <row r="39305" spans="1:6" ht="15.75" customHeight="1">
      <c r="A39305" s="3">
        <v>43874.409675925926</v>
      </c>
      <c r="B39305" t="str">
        <f>HYPERLINK("https://twitter.com/KemensetnegRI","@KemensetnegRI")</f>
        <v>@KemensetnegRI</v>
      </c>
      <c r="C39305" t="s">
        <v>854</v>
      </c>
      <c r="D39305">
        <v>5</v>
      </c>
      <c r="E39305">
        <v>20</v>
      </c>
      <c r="F39305">
        <v>401849</v>
      </c>
    </row>
    <row r="39306" spans="1:6" ht="15.75" customHeight="1">
      <c r="A39306" s="3">
        <v>43874.407824074078</v>
      </c>
      <c r="B39306" t="str">
        <f>HYPERLINK("https://twitter.com/nkri45pancasila","@nkri45pancasila")</f>
        <v>@nkri45pancasila</v>
      </c>
      <c r="C39306" t="s">
        <v>1055</v>
      </c>
      <c r="D39306">
        <v>0</v>
      </c>
      <c r="E39306">
        <v>0</v>
      </c>
      <c r="F39306">
        <v>1064</v>
      </c>
    </row>
    <row r="39307" spans="1:6" ht="15.75" customHeight="1">
      <c r="A39307" s="3">
        <v>43874.407222222224</v>
      </c>
      <c r="B39307" t="str">
        <f>HYPERLINK("https://twitter.com/FAKTANEWS4","@FAKTANEWS4")</f>
        <v>@FAKTANEWS4</v>
      </c>
      <c r="C39307" t="s">
        <v>1056</v>
      </c>
      <c r="D39307">
        <v>0</v>
      </c>
      <c r="E39307">
        <v>0</v>
      </c>
      <c r="F39307">
        <v>564</v>
      </c>
    </row>
    <row r="39308" spans="1:6" ht="15.75" customHeight="1">
      <c r="A39308" s="3">
        <v>43874.406504629631</v>
      </c>
      <c r="B39308" t="str">
        <f>HYPERLINK("https://twitter.com/Vicksigit","@Vicksigit")</f>
        <v>@Vicksigit</v>
      </c>
      <c r="C39308" t="s">
        <v>1057</v>
      </c>
      <c r="D39308">
        <v>0</v>
      </c>
      <c r="E39308">
        <v>1</v>
      </c>
      <c r="F39308">
        <v>128</v>
      </c>
    </row>
    <row r="39309" spans="1:6" ht="15.75" customHeight="1">
      <c r="A39309" s="3">
        <v>43874.40625</v>
      </c>
      <c r="B39309" t="str">
        <f>HYPERLINK("https://twitter.com/MNCNewsroom","@MNCNewsroom")</f>
        <v>@MNCNewsroom</v>
      </c>
      <c r="C39309" t="s">
        <v>1058</v>
      </c>
      <c r="D39309">
        <v>2</v>
      </c>
      <c r="E39309">
        <v>1</v>
      </c>
      <c r="F39309">
        <v>17544</v>
      </c>
    </row>
    <row r="39310" spans="1:6" ht="15.75" customHeight="1">
      <c r="A39310" s="3">
        <v>43874.406006944446</v>
      </c>
      <c r="B39310" t="str">
        <f>HYPERLINK("https://twitter.com/rmdhnal_","@rmdhnal_")</f>
        <v>@rmdhnal_</v>
      </c>
      <c r="C39310" t="s">
        <v>1059</v>
      </c>
      <c r="D39310">
        <v>0</v>
      </c>
      <c r="E39310">
        <v>2</v>
      </c>
      <c r="F39310">
        <v>118</v>
      </c>
    </row>
    <row r="39311" spans="1:6" ht="15.75" customHeight="1">
      <c r="A39311" s="3">
        <v>43874.405775462961</v>
      </c>
      <c r="B39311" t="str">
        <f>HYPERLINK("https://twitter.com/Vicksigit","@Vicksigit")</f>
        <v>@Vicksigit</v>
      </c>
      <c r="D39311">
        <v>0</v>
      </c>
      <c r="E39311">
        <v>1</v>
      </c>
      <c r="F39311">
        <v>128</v>
      </c>
    </row>
    <row r="39312" spans="1:6" ht="15.75" customHeight="1">
      <c r="A39312" s="3">
        <v>43874.404918981483</v>
      </c>
      <c r="B39312" t="str">
        <f>HYPERLINK("https://twitter.com/MNCsindoweekly","@MNCsindoweekly")</f>
        <v>@MNCsindoweekly</v>
      </c>
      <c r="C39312" t="s">
        <v>1060</v>
      </c>
      <c r="D39312">
        <v>0</v>
      </c>
      <c r="E39312">
        <v>0</v>
      </c>
      <c r="F39312">
        <v>109031</v>
      </c>
    </row>
    <row r="39313" spans="1:6" ht="15.75" customHeight="1">
      <c r="A39313" s="3">
        <v>43874.404780092591</v>
      </c>
      <c r="B39313" t="str">
        <f>HYPERLINK("https://twitter.com/AderadianDian","@AderadianDian")</f>
        <v>@AderadianDian</v>
      </c>
      <c r="C39313" t="s">
        <v>1042</v>
      </c>
      <c r="D39313">
        <v>0</v>
      </c>
      <c r="E39313">
        <v>1</v>
      </c>
      <c r="F39313">
        <v>46</v>
      </c>
    </row>
    <row r="39314" spans="1:6" ht="15.75" customHeight="1">
      <c r="A39314" s="3">
        <v>43874.404131944444</v>
      </c>
      <c r="B39314" t="str">
        <f>HYPERLINK("https://twitter.com/MoelPiliang","@MoelPiliang")</f>
        <v>@MoelPiliang</v>
      </c>
      <c r="C39314" t="s">
        <v>1061</v>
      </c>
      <c r="D39314">
        <v>1</v>
      </c>
      <c r="E39314">
        <v>1</v>
      </c>
      <c r="F39314">
        <v>1324</v>
      </c>
    </row>
    <row r="39315" spans="1:6" ht="15.75" customHeight="1">
      <c r="A39315" s="3">
        <v>43874.403749999998</v>
      </c>
      <c r="B39315" t="str">
        <f>HYPERLINK("https://twitter.com/MNCsindoweekly","@MNCsindoweekly")</f>
        <v>@MNCsindoweekly</v>
      </c>
      <c r="C39315" t="s">
        <v>1062</v>
      </c>
      <c r="D39315">
        <v>0</v>
      </c>
      <c r="E39315">
        <v>0</v>
      </c>
      <c r="F39315">
        <v>109031</v>
      </c>
    </row>
    <row r="39316" spans="1:6" ht="15.75" customHeight="1">
      <c r="A39316" s="3">
        <v>43874.402083333334</v>
      </c>
      <c r="B39316" t="str">
        <f>HYPERLINK("https://twitter.com/ivooxid","@ivooxid")</f>
        <v>@ivooxid</v>
      </c>
      <c r="C39316" t="s">
        <v>1063</v>
      </c>
      <c r="D39316">
        <v>0</v>
      </c>
      <c r="E39316">
        <v>0</v>
      </c>
      <c r="F39316">
        <v>1432</v>
      </c>
    </row>
    <row r="39317" spans="1:6" ht="15.75" customHeight="1">
      <c r="A39317" s="3">
        <v>43874.401817129634</v>
      </c>
      <c r="B39317" t="str">
        <f>HYPERLINK("https://twitter.com/maryatiyati02","@maryatiyati02")</f>
        <v>@maryatiyati02</v>
      </c>
      <c r="C39317" t="s">
        <v>1047</v>
      </c>
      <c r="D39317">
        <v>0</v>
      </c>
      <c r="E39317">
        <v>0</v>
      </c>
      <c r="F39317">
        <v>28</v>
      </c>
    </row>
    <row r="39318" spans="1:6" ht="15.75" customHeight="1">
      <c r="A39318" s="3">
        <v>43874.401724537034</v>
      </c>
      <c r="B39318" t="str">
        <f>HYPERLINK("https://twitter.com/PikirSehat","@PikirSehat")</f>
        <v>@PikirSehat</v>
      </c>
      <c r="C39318" t="s">
        <v>1064</v>
      </c>
      <c r="D39318">
        <v>1</v>
      </c>
      <c r="E39318">
        <v>0</v>
      </c>
      <c r="F39318">
        <v>103</v>
      </c>
    </row>
    <row r="39319" spans="1:6" ht="15.75" customHeight="1">
      <c r="A39319" s="3">
        <v>43874.401678240742</v>
      </c>
      <c r="B39319" t="str">
        <f>HYPERLINK("https://twitter.com/Santos62658028","@Santos62658028")</f>
        <v>@Santos62658028</v>
      </c>
      <c r="C39319" t="s">
        <v>1065</v>
      </c>
      <c r="D39319">
        <v>1</v>
      </c>
      <c r="E39319">
        <v>1</v>
      </c>
      <c r="F39319">
        <v>1422</v>
      </c>
    </row>
    <row r="39320" spans="1:6" ht="15.75" customHeight="1">
      <c r="A39320" s="3">
        <v>43874.400821759264</v>
      </c>
      <c r="B39320" t="str">
        <f>HYPERLINK("https://twitter.com/antobalboa1","@antobalboa1")</f>
        <v>@antobalboa1</v>
      </c>
      <c r="C39320" t="s">
        <v>1047</v>
      </c>
      <c r="D39320">
        <v>1</v>
      </c>
      <c r="E39320">
        <v>0</v>
      </c>
      <c r="F39320">
        <v>6</v>
      </c>
    </row>
    <row r="39321" spans="1:6" ht="15.75" customHeight="1">
      <c r="A39321" s="3">
        <v>43874.399814814809</v>
      </c>
      <c r="B39321" t="str">
        <f>HYPERLINK("https://twitter.com/LeoYae","@LeoYae")</f>
        <v>@LeoYae</v>
      </c>
      <c r="C39321" t="s">
        <v>1066</v>
      </c>
      <c r="D39321">
        <v>0</v>
      </c>
      <c r="E39321">
        <v>0</v>
      </c>
      <c r="F39321">
        <v>3302</v>
      </c>
    </row>
    <row r="39322" spans="1:6" ht="15.75" customHeight="1">
      <c r="A39322" s="3">
        <v>43874.399247685185</v>
      </c>
      <c r="B39322" t="str">
        <f>HYPERLINK("https://twitter.com/lupispasar","@lupispasar")</f>
        <v>@lupispasar</v>
      </c>
      <c r="C39322" t="s">
        <v>1067</v>
      </c>
      <c r="D39322">
        <v>0</v>
      </c>
      <c r="E39322">
        <v>0</v>
      </c>
      <c r="F39322">
        <v>73</v>
      </c>
    </row>
    <row r="39323" spans="1:6" ht="15.75" customHeight="1">
      <c r="A39323" s="3">
        <v>43874.398344907408</v>
      </c>
      <c r="B39323" t="str">
        <f>HYPERLINK("https://twitter.com/joniagussuparta","@joniagussuparta")</f>
        <v>@joniagussuparta</v>
      </c>
      <c r="C39323" t="s">
        <v>1068</v>
      </c>
      <c r="D39323">
        <v>0</v>
      </c>
      <c r="E39323">
        <v>4</v>
      </c>
      <c r="F39323">
        <v>79</v>
      </c>
    </row>
    <row r="39324" spans="1:6" ht="15.75" customHeight="1">
      <c r="A39324" s="3">
        <v>43874.398333333331</v>
      </c>
      <c r="B39324" t="str">
        <f>HYPERLINK("https://twitter.com/NasDem","@NasDem")</f>
        <v>@NasDem</v>
      </c>
      <c r="C39324" t="s">
        <v>1069</v>
      </c>
      <c r="D39324">
        <v>1</v>
      </c>
      <c r="E39324">
        <v>1</v>
      </c>
      <c r="F39324">
        <v>90943</v>
      </c>
    </row>
    <row r="39325" spans="1:6" ht="15.75" customHeight="1">
      <c r="A39325" s="3">
        <v>43874.397835648153</v>
      </c>
      <c r="B39325" t="str">
        <f>HYPERLINK("https://twitter.com/riaudetilcom","@riaudetilcom")</f>
        <v>@riaudetilcom</v>
      </c>
      <c r="C39325" t="s">
        <v>1070</v>
      </c>
      <c r="D39325">
        <v>0</v>
      </c>
      <c r="E39325">
        <v>0</v>
      </c>
      <c r="F39325">
        <v>131</v>
      </c>
    </row>
    <row r="39326" spans="1:6" ht="15.75" customHeight="1">
      <c r="A39326" s="3">
        <v>43874.397719907407</v>
      </c>
      <c r="B39326" t="str">
        <f t="shared" ref="B39326:B39328" si="468">HYPERLINK("https://twitter.com/AnaResti5","@AnaResti5")</f>
        <v>@AnaResti5</v>
      </c>
      <c r="C39326" t="s">
        <v>1071</v>
      </c>
      <c r="D39326">
        <v>0</v>
      </c>
      <c r="E39326">
        <v>0</v>
      </c>
      <c r="F39326">
        <v>9</v>
      </c>
    </row>
    <row r="39327" spans="1:6" ht="15.75" customHeight="1">
      <c r="A39327" s="3">
        <v>43874.397361111114</v>
      </c>
      <c r="B39327" t="str">
        <f t="shared" si="468"/>
        <v>@AnaResti5</v>
      </c>
      <c r="C39327" t="s">
        <v>1072</v>
      </c>
      <c r="D39327">
        <v>0</v>
      </c>
      <c r="E39327">
        <v>0</v>
      </c>
      <c r="F39327">
        <v>9</v>
      </c>
    </row>
    <row r="39328" spans="1:6" ht="15.75" customHeight="1">
      <c r="A39328" s="3">
        <v>43874.396944444445</v>
      </c>
      <c r="B39328" t="str">
        <f t="shared" si="468"/>
        <v>@AnaResti5</v>
      </c>
      <c r="C39328" t="s">
        <v>1073</v>
      </c>
      <c r="D39328">
        <v>0</v>
      </c>
      <c r="E39328">
        <v>0</v>
      </c>
      <c r="F39328">
        <v>9</v>
      </c>
    </row>
    <row r="39329" spans="1:6" ht="15.75" customHeight="1">
      <c r="A39329" s="3">
        <v>43874.396898148145</v>
      </c>
      <c r="B39329" t="str">
        <f>HYPERLINK("https://twitter.com/metrokaltara","@metrokaltara")</f>
        <v>@metrokaltara</v>
      </c>
      <c r="C39329" t="s">
        <v>1074</v>
      </c>
      <c r="D39329">
        <v>0</v>
      </c>
      <c r="E39329">
        <v>0</v>
      </c>
      <c r="F39329">
        <v>525</v>
      </c>
    </row>
    <row r="39330" spans="1:6" ht="15.75" customHeight="1">
      <c r="A39330" s="3">
        <v>43874.396770833337</v>
      </c>
      <c r="B39330" t="str">
        <f>HYPERLINK("https://twitter.com/radiokaltara","@radiokaltara")</f>
        <v>@radiokaltara</v>
      </c>
      <c r="C39330" t="s">
        <v>1074</v>
      </c>
      <c r="D39330">
        <v>0</v>
      </c>
      <c r="E39330">
        <v>0</v>
      </c>
      <c r="F39330">
        <v>77</v>
      </c>
    </row>
    <row r="39331" spans="1:6" ht="15.75" customHeight="1">
      <c r="A39331" s="3">
        <v>43874.396747685183</v>
      </c>
      <c r="B39331" t="str">
        <f>HYPERLINK("https://twitter.com/Reza_kaltara","@Reza_kaltara")</f>
        <v>@Reza_kaltara</v>
      </c>
      <c r="C39331" t="s">
        <v>1074</v>
      </c>
      <c r="D39331">
        <v>0</v>
      </c>
      <c r="E39331">
        <v>0</v>
      </c>
      <c r="F39331">
        <v>137</v>
      </c>
    </row>
    <row r="39332" spans="1:6" ht="15.75" customHeight="1">
      <c r="A39332" s="3">
        <v>43874.396678240737</v>
      </c>
      <c r="B39332" t="str">
        <f>HYPERLINK("https://twitter.com/AnaResti5","@AnaResti5")</f>
        <v>@AnaResti5</v>
      </c>
      <c r="C39332" t="s">
        <v>1075</v>
      </c>
      <c r="D39332">
        <v>0</v>
      </c>
      <c r="E39332">
        <v>0</v>
      </c>
      <c r="F39332">
        <v>9</v>
      </c>
    </row>
    <row r="39333" spans="1:6" ht="15.75" customHeight="1">
      <c r="A39333" s="3">
        <v>43874.396145833336</v>
      </c>
      <c r="B39333" t="str">
        <f>HYPERLINK("https://twitter.com/lightsunnysmile","@lightsunnysmile")</f>
        <v>@lightsunnysmile</v>
      </c>
      <c r="C39333" t="s">
        <v>1076</v>
      </c>
      <c r="D39333">
        <v>0</v>
      </c>
      <c r="E39333">
        <v>0</v>
      </c>
      <c r="F39333">
        <v>136</v>
      </c>
    </row>
    <row r="39334" spans="1:6" ht="15.75" customHeight="1">
      <c r="A39334" s="3">
        <v>43874.396030092597</v>
      </c>
      <c r="B39334" t="str">
        <f>HYPERLINK("https://twitter.com/AnaResti5","@AnaResti5")</f>
        <v>@AnaResti5</v>
      </c>
      <c r="C39334" t="s">
        <v>1077</v>
      </c>
      <c r="D39334">
        <v>0</v>
      </c>
      <c r="E39334">
        <v>0</v>
      </c>
      <c r="F39334">
        <v>9</v>
      </c>
    </row>
    <row r="39335" spans="1:6" ht="15.75" customHeight="1">
      <c r="A39335" s="3">
        <v>43874.395694444444</v>
      </c>
      <c r="B39335" t="str">
        <f>HYPERLINK("https://twitter.com/indoposonline","@indoposonline")</f>
        <v>@indoposonline</v>
      </c>
      <c r="C39335" t="s">
        <v>1078</v>
      </c>
      <c r="D39335">
        <v>0</v>
      </c>
      <c r="E39335">
        <v>0</v>
      </c>
      <c r="F39335">
        <v>3556</v>
      </c>
    </row>
    <row r="39336" spans="1:6" ht="15.75" customHeight="1">
      <c r="A39336" s="3">
        <v>43874.395509259259</v>
      </c>
      <c r="B39336" t="str">
        <f>HYPERLINK("https://twitter.com/NawacitaP","@NawacitaP")</f>
        <v>@NawacitaP</v>
      </c>
      <c r="C39336" t="s">
        <v>1079</v>
      </c>
      <c r="D39336">
        <v>0</v>
      </c>
      <c r="E39336">
        <v>0</v>
      </c>
      <c r="F39336">
        <v>111</v>
      </c>
    </row>
    <row r="39337" spans="1:6" ht="15.75" customHeight="1">
      <c r="A39337" s="3">
        <v>43874.395289351851</v>
      </c>
      <c r="B39337" t="str">
        <f>HYPERLINK("https://twitter.com/AnaResti5","@AnaResti5")</f>
        <v>@AnaResti5</v>
      </c>
      <c r="C39337" t="s">
        <v>1080</v>
      </c>
      <c r="D39337">
        <v>0</v>
      </c>
      <c r="E39337">
        <v>0</v>
      </c>
      <c r="F39337">
        <v>9</v>
      </c>
    </row>
    <row r="39338" spans="1:6" ht="15.75" customHeight="1">
      <c r="A39338" s="3">
        <v>43874.395266203705</v>
      </c>
      <c r="B39338" t="str">
        <f>HYPERLINK("https://twitter.com/AhsanHadziq","@AhsanHadziq")</f>
        <v>@AhsanHadziq</v>
      </c>
      <c r="C39338" t="s">
        <v>1081</v>
      </c>
      <c r="D39338">
        <v>1</v>
      </c>
      <c r="E39338">
        <v>0</v>
      </c>
      <c r="F39338">
        <v>945</v>
      </c>
    </row>
    <row r="39339" spans="1:6" ht="15.75" customHeight="1">
      <c r="A39339" s="3">
        <v>43874.395138888889</v>
      </c>
      <c r="B39339" t="str">
        <f>HYPERLINK("https://twitter.com/newsmerahputih","@newsmerahputih")</f>
        <v>@newsmerahputih</v>
      </c>
      <c r="C39339" t="s">
        <v>1082</v>
      </c>
      <c r="D39339">
        <v>0</v>
      </c>
      <c r="E39339">
        <v>0</v>
      </c>
      <c r="F39339">
        <v>8745</v>
      </c>
    </row>
    <row r="39340" spans="1:6" ht="15.75" customHeight="1">
      <c r="A39340" s="3">
        <v>43874.394363425927</v>
      </c>
      <c r="B39340" t="str">
        <f>HYPERLINK("https://twitter.com/joniagussuparta","@joniagussuparta")</f>
        <v>@joniagussuparta</v>
      </c>
      <c r="C39340" t="s">
        <v>1083</v>
      </c>
      <c r="D39340">
        <v>0</v>
      </c>
      <c r="E39340">
        <v>0</v>
      </c>
      <c r="F39340">
        <v>79</v>
      </c>
    </row>
    <row r="39341" spans="1:6" ht="15.75" customHeight="1">
      <c r="A39341" s="3">
        <v>43874.393993055557</v>
      </c>
      <c r="B39341" t="str">
        <f>HYPERLINK("https://twitter.com/putra_pin","@putra_pin")</f>
        <v>@putra_pin</v>
      </c>
      <c r="C39341" t="s">
        <v>1084</v>
      </c>
      <c r="D39341">
        <v>0</v>
      </c>
      <c r="E39341">
        <v>0</v>
      </c>
      <c r="F39341">
        <v>68</v>
      </c>
    </row>
    <row r="39342" spans="1:6" ht="15.75" customHeight="1">
      <c r="A39342" s="3">
        <v>43874.393530092595</v>
      </c>
      <c r="B39342" t="str">
        <f>HYPERLINK("https://twitter.com/ppp_jateng","@ppp_jateng")</f>
        <v>@ppp_jateng</v>
      </c>
      <c r="C39342" t="s">
        <v>1085</v>
      </c>
      <c r="D39342">
        <v>1</v>
      </c>
      <c r="E39342">
        <v>1</v>
      </c>
      <c r="F39342">
        <v>754</v>
      </c>
    </row>
    <row r="39343" spans="1:6" ht="15.75" customHeight="1">
      <c r="A39343" s="3">
        <v>43874.393055555556</v>
      </c>
      <c r="B39343" t="str">
        <f>HYPERLINK("https://twitter.com/joniagussuparta","@joniagussuparta")</f>
        <v>@joniagussuparta</v>
      </c>
      <c r="C39343" t="s">
        <v>1086</v>
      </c>
      <c r="D39343">
        <v>0</v>
      </c>
      <c r="E39343">
        <v>0</v>
      </c>
      <c r="F39343">
        <v>79</v>
      </c>
    </row>
    <row r="39344" spans="1:6" ht="15.75" customHeight="1">
      <c r="A39344" s="3">
        <v>43874.391932870371</v>
      </c>
      <c r="B39344" t="str">
        <f>HYPERLINK("https://twitter.com/fikar5758","@fikar5758")</f>
        <v>@fikar5758</v>
      </c>
      <c r="C39344" t="s">
        <v>1087</v>
      </c>
      <c r="D39344">
        <v>0</v>
      </c>
      <c r="E39344">
        <v>0</v>
      </c>
      <c r="F39344">
        <v>306</v>
      </c>
    </row>
    <row r="39345" spans="1:6" ht="15.75" customHeight="1">
      <c r="A39345" s="3">
        <v>43874.391921296294</v>
      </c>
      <c r="B39345" t="str">
        <f>HYPERLINK("https://twitter.com/almirabr","@almirabr")</f>
        <v>@almirabr</v>
      </c>
      <c r="C39345" t="s">
        <v>1088</v>
      </c>
      <c r="D39345">
        <v>0</v>
      </c>
      <c r="E39345">
        <v>0</v>
      </c>
      <c r="F39345">
        <v>16</v>
      </c>
    </row>
    <row r="39346" spans="1:6" ht="15.75" customHeight="1">
      <c r="A39346" s="3">
        <v>43874.391018518523</v>
      </c>
      <c r="B39346" t="str">
        <f>HYPERLINK("https://twitter.com/jawapos","@jawapos")</f>
        <v>@jawapos</v>
      </c>
      <c r="C39346" t="s">
        <v>1089</v>
      </c>
      <c r="D39346">
        <v>4</v>
      </c>
      <c r="E39346">
        <v>17</v>
      </c>
      <c r="F39346">
        <v>116252</v>
      </c>
    </row>
    <row r="39347" spans="1:6" ht="15.75" customHeight="1">
      <c r="A39347" s="3">
        <v>43874.390347222223</v>
      </c>
      <c r="B39347" t="str">
        <f>HYPERLINK("https://twitter.com/kaumrisau","@kaumrisau")</f>
        <v>@kaumrisau</v>
      </c>
      <c r="C39347" t="s">
        <v>1090</v>
      </c>
      <c r="D39347">
        <v>0</v>
      </c>
      <c r="E39347">
        <v>0</v>
      </c>
      <c r="F39347">
        <v>251266</v>
      </c>
    </row>
    <row r="39348" spans="1:6" ht="15.75" customHeight="1">
      <c r="A39348" s="3">
        <v>43874.390185185184</v>
      </c>
      <c r="B39348" t="str">
        <f>HYPERLINK("https://twitter.com/WartaKotaTribun","@WartaKotaTribun")</f>
        <v>@WartaKotaTribun</v>
      </c>
      <c r="C39348" t="s">
        <v>1091</v>
      </c>
      <c r="D39348">
        <v>0</v>
      </c>
      <c r="E39348">
        <v>0</v>
      </c>
      <c r="F39348">
        <v>783</v>
      </c>
    </row>
    <row r="39349" spans="1:6" ht="15.75" customHeight="1">
      <c r="A39349" s="3">
        <v>43874.389224537037</v>
      </c>
      <c r="B39349" t="str">
        <f>HYPERLINK("https://twitter.com/dodygy","@dodygy")</f>
        <v>@dodygy</v>
      </c>
      <c r="C39349" t="s">
        <v>1092</v>
      </c>
      <c r="D39349">
        <v>0</v>
      </c>
      <c r="E39349">
        <v>0</v>
      </c>
      <c r="F39349">
        <v>31</v>
      </c>
    </row>
    <row r="39350" spans="1:6" ht="15.75" customHeight="1">
      <c r="A39350" s="3">
        <v>43874.387280092589</v>
      </c>
      <c r="B39350" t="str">
        <f>HYPERLINK("https://twitter.com/MNCNewsroom","@MNCNewsroom")</f>
        <v>@MNCNewsroom</v>
      </c>
      <c r="C39350" t="s">
        <v>1093</v>
      </c>
      <c r="D39350">
        <v>0</v>
      </c>
      <c r="E39350">
        <v>0</v>
      </c>
      <c r="F39350">
        <v>17544</v>
      </c>
    </row>
    <row r="39351" spans="1:6" ht="15.75" customHeight="1">
      <c r="A39351" s="3">
        <v>43874.387002314819</v>
      </c>
      <c r="B39351" t="str">
        <f>HYPERLINK("https://twitter.com/SKaspani_ong","@SKaspani_ong")</f>
        <v>@SKaspani_ong</v>
      </c>
      <c r="C39351" t="s">
        <v>1094</v>
      </c>
      <c r="D39351">
        <v>24</v>
      </c>
      <c r="E39351">
        <v>77</v>
      </c>
      <c r="F39351">
        <v>4399</v>
      </c>
    </row>
    <row r="39352" spans="1:6" ht="15.75" customHeight="1">
      <c r="A39352" s="3">
        <v>43874.38685185185</v>
      </c>
      <c r="B39352" t="str">
        <f>HYPERLINK("https://twitter.com/AstonoD","@AstonoD")</f>
        <v>@AstonoD</v>
      </c>
      <c r="C39352" t="s">
        <v>1095</v>
      </c>
      <c r="D39352">
        <v>0</v>
      </c>
      <c r="E39352">
        <v>1</v>
      </c>
      <c r="F39352">
        <v>1</v>
      </c>
    </row>
    <row r="39353" spans="1:6" ht="15.75" customHeight="1">
      <c r="A39353" s="3">
        <v>43874.382893518516</v>
      </c>
      <c r="B39353" t="str">
        <f>HYPERLINK("https://twitter.com/rischa98027470","@rischa98027470")</f>
        <v>@rischa98027470</v>
      </c>
      <c r="C39353" t="s">
        <v>1096</v>
      </c>
      <c r="D39353">
        <v>0</v>
      </c>
      <c r="E39353">
        <v>0</v>
      </c>
      <c r="F39353">
        <v>103</v>
      </c>
    </row>
    <row r="39354" spans="1:6" ht="15.75" customHeight="1">
      <c r="A39354" s="3">
        <v>43874.382094907407</v>
      </c>
      <c r="B39354" t="str">
        <f>HYPERLINK("https://twitter.com/kei_zt","@kei_zt")</f>
        <v>@kei_zt</v>
      </c>
      <c r="C39354" t="s">
        <v>1097</v>
      </c>
      <c r="D39354">
        <v>0</v>
      </c>
      <c r="E39354">
        <v>0</v>
      </c>
      <c r="F39354">
        <v>60</v>
      </c>
    </row>
    <row r="39355" spans="1:6" ht="15.75" customHeight="1">
      <c r="A39355" s="3">
        <v>43874.381643518514</v>
      </c>
      <c r="B39355" t="str">
        <f>HYPERLINK("https://twitter.com/doddyjasman2","@doddyjasman2")</f>
        <v>@doddyjasman2</v>
      </c>
      <c r="C39355" t="s">
        <v>1098</v>
      </c>
      <c r="D39355">
        <v>0</v>
      </c>
      <c r="E39355">
        <v>0</v>
      </c>
      <c r="F39355">
        <v>220</v>
      </c>
    </row>
    <row r="39356" spans="1:6" ht="15.75" customHeight="1">
      <c r="A39356" s="3">
        <v>43874.381145833337</v>
      </c>
      <c r="B39356" t="str">
        <f>HYPERLINK("https://twitter.com/callmedhany_","@callmedhany_")</f>
        <v>@callmedhany_</v>
      </c>
      <c r="C39356" t="s">
        <v>1099</v>
      </c>
      <c r="D39356">
        <v>0</v>
      </c>
      <c r="E39356">
        <v>0</v>
      </c>
      <c r="F39356">
        <v>21</v>
      </c>
    </row>
    <row r="39357" spans="1:6" ht="15.75" customHeight="1">
      <c r="A39357" s="3">
        <v>43874.379837962959</v>
      </c>
      <c r="B39357" t="str">
        <f>HYPERLINK("https://twitter.com/younkq","@younkq")</f>
        <v>@younkq</v>
      </c>
      <c r="C39357" t="s">
        <v>1100</v>
      </c>
      <c r="D39357">
        <v>0</v>
      </c>
      <c r="E39357">
        <v>1</v>
      </c>
      <c r="F39357">
        <v>363</v>
      </c>
    </row>
    <row r="39358" spans="1:6" ht="15.75" customHeight="1">
      <c r="A39358" s="3">
        <v>43874.37704861111</v>
      </c>
      <c r="B39358" t="str">
        <f>HYPERLINK("https://twitter.com/YudiPur27288286","@YudiPur27288286")</f>
        <v>@YudiPur27288286</v>
      </c>
      <c r="C39358" t="s">
        <v>1101</v>
      </c>
      <c r="D39358">
        <v>0</v>
      </c>
      <c r="E39358">
        <v>1</v>
      </c>
      <c r="F39358">
        <v>478</v>
      </c>
    </row>
    <row r="39359" spans="1:6" ht="15.75" customHeight="1">
      <c r="A39359" s="3">
        <v>43874.375428240739</v>
      </c>
      <c r="B39359" t="str">
        <f>HYPERLINK("https://twitter.com/tvOneNews","@tvOneNews")</f>
        <v>@tvOneNews</v>
      </c>
      <c r="C39359" t="s">
        <v>1102</v>
      </c>
      <c r="D39359">
        <v>4</v>
      </c>
      <c r="E39359">
        <v>5</v>
      </c>
      <c r="F39359">
        <v>8714368</v>
      </c>
    </row>
    <row r="39360" spans="1:6" ht="15.75" customHeight="1">
      <c r="A39360" s="3">
        <v>43874.375335648147</v>
      </c>
      <c r="B39360" t="str">
        <f>HYPERLINK("https://twitter.com/sayamomoo","@sayamomoo")</f>
        <v>@sayamomoo</v>
      </c>
      <c r="C39360" t="s">
        <v>1103</v>
      </c>
      <c r="D39360">
        <v>0</v>
      </c>
      <c r="E39360">
        <v>0</v>
      </c>
      <c r="F39360">
        <v>142</v>
      </c>
    </row>
    <row r="39361" spans="1:6" ht="15.75" customHeight="1">
      <c r="A39361" s="3">
        <v>43874.375115740739</v>
      </c>
      <c r="B39361" t="str">
        <f>HYPERLINK("https://twitter.com/Yahoo_ID","@Yahoo_ID")</f>
        <v>@Yahoo_ID</v>
      </c>
      <c r="C39361" t="s">
        <v>1104</v>
      </c>
      <c r="D39361">
        <v>0</v>
      </c>
      <c r="E39361">
        <v>0</v>
      </c>
      <c r="F39361">
        <v>1392234</v>
      </c>
    </row>
    <row r="39362" spans="1:6" ht="15.75" customHeight="1">
      <c r="A39362" s="3">
        <v>43874.37501157407</v>
      </c>
      <c r="B39362" t="str">
        <f>HYPERLINK("https://twitter.com/rmol_id","@rmol_id")</f>
        <v>@rmol_id</v>
      </c>
      <c r="C39362" t="s">
        <v>1105</v>
      </c>
      <c r="D39362">
        <v>0</v>
      </c>
      <c r="E39362">
        <v>0</v>
      </c>
      <c r="F39362">
        <v>160765</v>
      </c>
    </row>
    <row r="39363" spans="1:6" ht="15.75" customHeight="1">
      <c r="A39363" s="3">
        <v>43874.375</v>
      </c>
      <c r="B39363" t="str">
        <f>HYPERLINK("https://twitter.com/TirtoID","@TirtoID")</f>
        <v>@TirtoID</v>
      </c>
      <c r="C39363" t="s">
        <v>1106</v>
      </c>
      <c r="D39363">
        <v>98</v>
      </c>
      <c r="E39363">
        <v>390</v>
      </c>
      <c r="F39363">
        <v>477117</v>
      </c>
    </row>
    <row r="39364" spans="1:6" ht="15.75" customHeight="1">
      <c r="A39364" s="3">
        <v>43874.375</v>
      </c>
      <c r="B39364" t="str">
        <f>HYPERLINK("https://twitter.com/tempodotco","@tempodotco")</f>
        <v>@tempodotco</v>
      </c>
      <c r="C39364" t="s">
        <v>1107</v>
      </c>
      <c r="D39364">
        <v>1</v>
      </c>
      <c r="E39364">
        <v>6</v>
      </c>
      <c r="F39364">
        <v>1702040</v>
      </c>
    </row>
    <row r="39365" spans="1:6" ht="15.75" customHeight="1">
      <c r="A39365" s="3">
        <v>43874.374166666668</v>
      </c>
      <c r="B39365" t="str">
        <f>HYPERLINK("https://twitter.com/IxNdheso","@IxNdheso")</f>
        <v>@IxNdheso</v>
      </c>
      <c r="C39365" t="s">
        <v>1108</v>
      </c>
      <c r="D39365">
        <v>19</v>
      </c>
      <c r="E39365">
        <v>47</v>
      </c>
      <c r="F39365">
        <v>1102</v>
      </c>
    </row>
    <row r="39366" spans="1:6" ht="15.75" customHeight="1">
      <c r="A39366" s="3">
        <v>43874.373854166668</v>
      </c>
      <c r="B39366" t="str">
        <f>HYPERLINK("https://twitter.com/kompasiana","@kompasiana")</f>
        <v>@kompasiana</v>
      </c>
      <c r="C39366" t="s">
        <v>1057</v>
      </c>
      <c r="D39366">
        <v>3</v>
      </c>
      <c r="E39366">
        <v>5</v>
      </c>
      <c r="F39366">
        <v>927795</v>
      </c>
    </row>
    <row r="39367" spans="1:6" ht="15.75" customHeight="1">
      <c r="A39367" s="3">
        <v>43874.369432870371</v>
      </c>
      <c r="B39367" t="str">
        <f>HYPERLINK("https://twitter.com/aridhani","@aridhani")</f>
        <v>@aridhani</v>
      </c>
      <c r="C39367" t="s">
        <v>1109</v>
      </c>
      <c r="D39367">
        <v>1</v>
      </c>
      <c r="E39367">
        <v>3</v>
      </c>
      <c r="F39367">
        <v>3600</v>
      </c>
    </row>
    <row r="39368" spans="1:6" ht="15.75" customHeight="1">
      <c r="A39368" s="3">
        <v>43874.369131944448</v>
      </c>
      <c r="B39368" t="str">
        <f>HYPERLINK("https://twitter.com/GIffarles","@GIffarles")</f>
        <v>@GIffarles</v>
      </c>
      <c r="C39368" t="s">
        <v>1110</v>
      </c>
      <c r="D39368">
        <v>0</v>
      </c>
      <c r="E39368">
        <v>0</v>
      </c>
      <c r="F39368">
        <v>295</v>
      </c>
    </row>
    <row r="39369" spans="1:6" ht="15.75" customHeight="1">
      <c r="A39369" s="3">
        <v>43874.367800925931</v>
      </c>
      <c r="B39369" t="str">
        <f>HYPERLINK("https://twitter.com/iFadhil","@iFadhil")</f>
        <v>@iFadhil</v>
      </c>
      <c r="C39369" t="s">
        <v>1111</v>
      </c>
      <c r="D39369">
        <v>0</v>
      </c>
      <c r="E39369">
        <v>0</v>
      </c>
      <c r="F39369">
        <v>510</v>
      </c>
    </row>
    <row r="39370" spans="1:6" ht="15.75" customHeight="1">
      <c r="A39370" s="3">
        <v>43874.367384259254</v>
      </c>
      <c r="B39370" t="str">
        <f>HYPERLINK("https://twitter.com/jurnascom","@jurnascom")</f>
        <v>@jurnascom</v>
      </c>
      <c r="C39370" t="s">
        <v>1112</v>
      </c>
      <c r="D39370">
        <v>0</v>
      </c>
      <c r="E39370">
        <v>0</v>
      </c>
      <c r="F39370">
        <v>24387</v>
      </c>
    </row>
    <row r="39371" spans="1:6" ht="15.75" customHeight="1">
      <c r="A39371" s="3">
        <v>43874.364282407405</v>
      </c>
      <c r="B39371" t="str">
        <f>HYPERLINK("https://twitter.com/INASLI1","@INASLI1")</f>
        <v>@INASLI1</v>
      </c>
      <c r="C39371" t="s">
        <v>1113</v>
      </c>
      <c r="D39371">
        <v>0</v>
      </c>
      <c r="E39371">
        <v>0</v>
      </c>
      <c r="F39371">
        <v>1523</v>
      </c>
    </row>
    <row r="39372" spans="1:6" ht="15.75" customHeight="1">
      <c r="A39372" s="3">
        <v>43874.364236111112</v>
      </c>
      <c r="B39372" t="str">
        <f>HYPERLINK("https://twitter.com/ZoelFawzie","@ZoelFawzie")</f>
        <v>@ZoelFawzie</v>
      </c>
      <c r="C39372" t="s">
        <v>1114</v>
      </c>
      <c r="D39372">
        <v>0</v>
      </c>
      <c r="E39372">
        <v>1</v>
      </c>
      <c r="F39372">
        <v>5684</v>
      </c>
    </row>
    <row r="39373" spans="1:6" ht="15.75" customHeight="1">
      <c r="A39373" s="3">
        <v>43874.359942129631</v>
      </c>
      <c r="B39373" t="str">
        <f>HYPERLINK("https://twitter.com/djakasus","@djakasus")</f>
        <v>@djakasus</v>
      </c>
      <c r="C39373" t="s">
        <v>1115</v>
      </c>
      <c r="D39373">
        <v>0</v>
      </c>
      <c r="E39373">
        <v>0</v>
      </c>
      <c r="F39373">
        <v>508</v>
      </c>
    </row>
    <row r="39374" spans="1:6" ht="15.75" customHeight="1">
      <c r="A39374" s="3">
        <v>43874.359918981485</v>
      </c>
      <c r="B39374" t="str">
        <f>HYPERLINK("https://twitter.com/olarizal","@olarizal")</f>
        <v>@olarizal</v>
      </c>
      <c r="C39374" t="s">
        <v>1116</v>
      </c>
      <c r="D39374">
        <v>0</v>
      </c>
      <c r="E39374">
        <v>5</v>
      </c>
      <c r="F39374">
        <v>3850</v>
      </c>
    </row>
    <row r="39375" spans="1:6" ht="15.75" customHeight="1">
      <c r="A39375" s="3">
        <v>43874.358425925922</v>
      </c>
      <c r="B39375" t="str">
        <f>HYPERLINK("https://twitter.com/PungQ18","@PungQ18")</f>
        <v>@PungQ18</v>
      </c>
      <c r="C39375" t="s">
        <v>1117</v>
      </c>
      <c r="D39375">
        <v>0</v>
      </c>
      <c r="E39375">
        <v>0</v>
      </c>
      <c r="F39375">
        <v>10</v>
      </c>
    </row>
    <row r="39376" spans="1:6" ht="15.75" customHeight="1">
      <c r="A39376" s="3">
        <v>43874.357141203705</v>
      </c>
      <c r="B39376" t="str">
        <f>HYPERLINK("https://twitter.com/historia_id","@historia_id")</f>
        <v>@historia_id</v>
      </c>
      <c r="C39376" t="s">
        <v>818</v>
      </c>
      <c r="D39376">
        <v>36</v>
      </c>
      <c r="E39376">
        <v>74</v>
      </c>
      <c r="F39376">
        <v>177666</v>
      </c>
    </row>
    <row r="39377" spans="1:6" ht="15.75" customHeight="1">
      <c r="A39377" s="3">
        <v>43874.356851851851</v>
      </c>
      <c r="B39377" t="str">
        <f>HYPERLINK("https://twitter.com/flyfluffy","@flyfluffy")</f>
        <v>@flyfluffy</v>
      </c>
      <c r="C39377" t="s">
        <v>1118</v>
      </c>
      <c r="D39377">
        <v>1</v>
      </c>
      <c r="E39377">
        <v>0</v>
      </c>
      <c r="F39377">
        <v>569</v>
      </c>
    </row>
    <row r="39378" spans="1:6" ht="15.75" customHeight="1">
      <c r="A39378" s="3">
        <v>43874.355960648143</v>
      </c>
      <c r="B39378" t="str">
        <f>HYPERLINK("https://twitter.com/MetroIslam","@MetroIslam")</f>
        <v>@MetroIslam</v>
      </c>
      <c r="C39378" t="s">
        <v>1119</v>
      </c>
      <c r="D39378">
        <v>0</v>
      </c>
      <c r="E39378">
        <v>0</v>
      </c>
      <c r="F39378">
        <v>929</v>
      </c>
    </row>
    <row r="39379" spans="1:6" ht="15.75" customHeight="1">
      <c r="A39379" s="3">
        <v>43874.354317129633</v>
      </c>
      <c r="B39379" t="str">
        <f>HYPERLINK("https://twitter.com/djcenud","@djcenud")</f>
        <v>@djcenud</v>
      </c>
      <c r="C39379" t="s">
        <v>1120</v>
      </c>
      <c r="D39379">
        <v>0</v>
      </c>
      <c r="E39379">
        <v>0</v>
      </c>
      <c r="F39379">
        <v>1172</v>
      </c>
    </row>
    <row r="39380" spans="1:6" ht="15.75" customHeight="1">
      <c r="A39380" s="3">
        <v>43874.352800925924</v>
      </c>
      <c r="B39380" t="str">
        <f>HYPERLINK("https://twitter.com/lawjusticeco","@lawjusticeco")</f>
        <v>@lawjusticeco</v>
      </c>
      <c r="C39380" t="s">
        <v>636</v>
      </c>
      <c r="D39380">
        <v>0</v>
      </c>
      <c r="E39380">
        <v>0</v>
      </c>
      <c r="F39380">
        <v>4906</v>
      </c>
    </row>
    <row r="39381" spans="1:6" ht="15.75" customHeight="1">
      <c r="A39381" s="3">
        <v>43874.352094907408</v>
      </c>
      <c r="B39381" t="str">
        <f>HYPERLINK("https://twitter.com/gevanyAN","@gevanyAN")</f>
        <v>@gevanyAN</v>
      </c>
      <c r="C39381" t="s">
        <v>1121</v>
      </c>
      <c r="D39381">
        <v>0</v>
      </c>
      <c r="E39381">
        <v>0</v>
      </c>
      <c r="F39381">
        <v>336</v>
      </c>
    </row>
    <row r="39382" spans="1:6" ht="15.75" customHeight="1">
      <c r="A39382" s="3">
        <v>43874.351817129631</v>
      </c>
      <c r="B39382" t="str">
        <f>HYPERLINK("https://twitter.com/poisons","@poisons")</f>
        <v>@poisons</v>
      </c>
      <c r="C39382" t="s">
        <v>1122</v>
      </c>
      <c r="D39382">
        <v>0</v>
      </c>
      <c r="E39382">
        <v>1</v>
      </c>
      <c r="F39382">
        <v>834</v>
      </c>
    </row>
    <row r="39383" spans="1:6" ht="15.75" customHeight="1">
      <c r="A39383" s="3">
        <v>43874.351585648154</v>
      </c>
      <c r="B39383" t="str">
        <f>HYPERLINK("https://twitter.com/aukankapaul","@aukankapaul")</f>
        <v>@aukankapaul</v>
      </c>
      <c r="C39383" t="s">
        <v>1123</v>
      </c>
      <c r="D39383">
        <v>0</v>
      </c>
      <c r="E39383">
        <v>0</v>
      </c>
      <c r="F39383">
        <v>170</v>
      </c>
    </row>
    <row r="39384" spans="1:6" ht="15.75" customHeight="1">
      <c r="A39384" s="3">
        <v>43874.35092592593</v>
      </c>
      <c r="B39384" t="str">
        <f>HYPERLINK("https://twitter.com/yuhu_yuhu2018","@yuhu_yuhu2018")</f>
        <v>@yuhu_yuhu2018</v>
      </c>
      <c r="C39384" t="s">
        <v>1124</v>
      </c>
      <c r="D39384">
        <v>0</v>
      </c>
      <c r="E39384">
        <v>0</v>
      </c>
      <c r="F39384">
        <v>594</v>
      </c>
    </row>
    <row r="39385" spans="1:6" ht="15.75" customHeight="1">
      <c r="A39385" s="3">
        <v>43874.350532407407</v>
      </c>
      <c r="B39385" t="str">
        <f>HYPERLINK("https://twitter.com/tikautama_","@tikautama_")</f>
        <v>@tikautama_</v>
      </c>
      <c r="C39385" t="s">
        <v>1125</v>
      </c>
      <c r="D39385">
        <v>0</v>
      </c>
      <c r="E39385">
        <v>0</v>
      </c>
      <c r="F39385">
        <v>18</v>
      </c>
    </row>
    <row r="39386" spans="1:6" ht="15.75" customHeight="1">
      <c r="A39386" s="3">
        <v>43874.348252314812</v>
      </c>
      <c r="B39386" t="str">
        <f>HYPERLINK("https://twitter.com/Pinttu16","@Pinttu16")</f>
        <v>@Pinttu16</v>
      </c>
      <c r="C39386" t="s">
        <v>1126</v>
      </c>
      <c r="D39386">
        <v>0</v>
      </c>
      <c r="E39386">
        <v>0</v>
      </c>
      <c r="F39386">
        <v>3</v>
      </c>
    </row>
    <row r="39387" spans="1:6" ht="15.75" customHeight="1">
      <c r="A39387" s="3">
        <v>43874.347407407404</v>
      </c>
      <c r="B39387" t="str">
        <f>HYPERLINK("https://twitter.com/EwexAndik","@EwexAndik")</f>
        <v>@EwexAndik</v>
      </c>
      <c r="C39387" t="s">
        <v>1127</v>
      </c>
      <c r="D39387">
        <v>0</v>
      </c>
      <c r="E39387">
        <v>0</v>
      </c>
      <c r="F39387">
        <v>0</v>
      </c>
    </row>
    <row r="39388" spans="1:6" ht="15.75" customHeight="1">
      <c r="A39388" s="3">
        <v>43874.347233796296</v>
      </c>
      <c r="B39388" t="str">
        <f>HYPERLINK("https://twitter.com/DreamersRadioID","@DreamersRadioID")</f>
        <v>@DreamersRadioID</v>
      </c>
      <c r="C39388" t="s">
        <v>1128</v>
      </c>
      <c r="D39388">
        <v>0</v>
      </c>
      <c r="E39388">
        <v>0</v>
      </c>
      <c r="F39388">
        <v>75551</v>
      </c>
    </row>
    <row r="39389" spans="1:6" ht="15.75" customHeight="1">
      <c r="A39389" s="3">
        <v>43874.347048611111</v>
      </c>
      <c r="B39389" t="str">
        <f>HYPERLINK("https://twitter.com/GishellaFebria1","@GishellaFebria1")</f>
        <v>@GishellaFebria1</v>
      </c>
      <c r="C39389" t="s">
        <v>1129</v>
      </c>
      <c r="D39389">
        <v>0</v>
      </c>
      <c r="E39389">
        <v>0</v>
      </c>
      <c r="F39389">
        <v>44</v>
      </c>
    </row>
    <row r="39390" spans="1:6" ht="15.75" customHeight="1">
      <c r="A39390" s="3">
        <v>43874.345879629633</v>
      </c>
      <c r="B39390" t="str">
        <f>HYPERLINK("https://twitter.com/pikiran_rakyat","@pikiran_rakyat")</f>
        <v>@pikiran_rakyat</v>
      </c>
      <c r="C39390" t="s">
        <v>894</v>
      </c>
      <c r="D39390">
        <v>0</v>
      </c>
      <c r="E39390">
        <v>1</v>
      </c>
      <c r="F39390">
        <v>412437</v>
      </c>
    </row>
    <row r="39391" spans="1:6" ht="15.75" customHeight="1">
      <c r="A39391" s="3">
        <v>43874.345092592594</v>
      </c>
      <c r="B39391" t="str">
        <f>HYPERLINK("https://twitter.com/JKW2SAJA","@JKW2SAJA")</f>
        <v>@JKW2SAJA</v>
      </c>
      <c r="C39391" t="s">
        <v>1130</v>
      </c>
      <c r="D39391">
        <v>0</v>
      </c>
      <c r="E39391">
        <v>3</v>
      </c>
      <c r="F39391">
        <v>1641</v>
      </c>
    </row>
    <row r="39392" spans="1:6" ht="15.75" customHeight="1">
      <c r="A39392" s="3">
        <v>43874.343900462962</v>
      </c>
      <c r="B39392" t="str">
        <f>HYPERLINK("https://twitter.com/LeopolRitihAnt1","@LeopolRitihAnt1")</f>
        <v>@LeopolRitihAnt1</v>
      </c>
      <c r="C39392" t="s">
        <v>1131</v>
      </c>
      <c r="D39392">
        <v>0</v>
      </c>
      <c r="E39392">
        <v>0</v>
      </c>
      <c r="F39392">
        <v>302</v>
      </c>
    </row>
    <row r="39393" spans="1:6" ht="15.75" customHeight="1">
      <c r="A39393" s="3">
        <v>43874.343252314815</v>
      </c>
      <c r="B39393" t="str">
        <f>HYPERLINK("https://twitter.com/oejensaka","@oejensaka")</f>
        <v>@oejensaka</v>
      </c>
      <c r="C39393" t="s">
        <v>1132</v>
      </c>
      <c r="D39393">
        <v>1</v>
      </c>
      <c r="E39393">
        <v>0</v>
      </c>
      <c r="F39393">
        <v>399</v>
      </c>
    </row>
    <row r="39394" spans="1:6" ht="15.75" customHeight="1">
      <c r="A39394" s="3">
        <v>43874.342951388884</v>
      </c>
      <c r="B39394" t="str">
        <f>HYPERLINK("https://twitter.com/ANDRE_OCTA_","@ANDRE_OCTA_")</f>
        <v>@ANDRE_OCTA_</v>
      </c>
      <c r="C39394" t="s">
        <v>1133</v>
      </c>
      <c r="D39394">
        <v>1</v>
      </c>
      <c r="E39394">
        <v>1</v>
      </c>
      <c r="F39394">
        <v>16023</v>
      </c>
    </row>
    <row r="39395" spans="1:6" ht="15.75" customHeight="1">
      <c r="A39395" s="3">
        <v>43874.342835648145</v>
      </c>
      <c r="B39395" t="str">
        <f>HYPERLINK("https://twitter.com/GishellaFebria1","@GishellaFebria1")</f>
        <v>@GishellaFebria1</v>
      </c>
      <c r="C39395" t="s">
        <v>1134</v>
      </c>
      <c r="D39395">
        <v>0</v>
      </c>
      <c r="E39395">
        <v>0</v>
      </c>
      <c r="F39395">
        <v>44</v>
      </c>
    </row>
    <row r="39396" spans="1:6" ht="15.75" customHeight="1">
      <c r="A39396" s="3">
        <v>43874.341840277775</v>
      </c>
      <c r="B39396" t="str">
        <f>HYPERLINK("https://twitter.com/zonadamai","@zonadamai")</f>
        <v>@zonadamai</v>
      </c>
      <c r="C39396" t="s">
        <v>1135</v>
      </c>
      <c r="D39396">
        <v>0</v>
      </c>
      <c r="E39396">
        <v>0</v>
      </c>
      <c r="F39396">
        <v>1092</v>
      </c>
    </row>
    <row r="39397" spans="1:6" ht="15.75" customHeight="1">
      <c r="A39397" s="3">
        <v>43874.34175925926</v>
      </c>
      <c r="B39397" t="str">
        <f>HYPERLINK("https://twitter.com/joswito","@joswito")</f>
        <v>@joswito</v>
      </c>
      <c r="C39397" t="s">
        <v>1136</v>
      </c>
      <c r="D39397">
        <v>0</v>
      </c>
      <c r="E39397">
        <v>0</v>
      </c>
      <c r="F39397">
        <v>1231</v>
      </c>
    </row>
    <row r="39398" spans="1:6" ht="15.75" customHeight="1">
      <c r="A39398" s="3">
        <v>43874.340358796297</v>
      </c>
      <c r="B39398" t="str">
        <f>HYPERLINK("https://twitter.com/Widhi_Waskito","@Widhi_Waskito")</f>
        <v>@Widhi_Waskito</v>
      </c>
      <c r="C39398" t="s">
        <v>1137</v>
      </c>
      <c r="D39398">
        <v>2</v>
      </c>
      <c r="E39398">
        <v>1</v>
      </c>
      <c r="F39398">
        <v>407</v>
      </c>
    </row>
    <row r="39399" spans="1:6" ht="15.75" customHeight="1">
      <c r="A39399" s="3">
        <v>43874.339733796296</v>
      </c>
      <c r="B39399" t="str">
        <f>HYPERLINK("https://twitter.com/s_rsb","@s_rsb")</f>
        <v>@s_rsb</v>
      </c>
      <c r="C39399" t="s">
        <v>1138</v>
      </c>
      <c r="D39399">
        <v>0</v>
      </c>
      <c r="E39399">
        <v>0</v>
      </c>
      <c r="F39399">
        <v>297</v>
      </c>
    </row>
    <row r="39400" spans="1:6" ht="15.75" customHeight="1">
      <c r="A39400" s="3">
        <v>43874.339594907404</v>
      </c>
      <c r="B39400" t="str">
        <f>HYPERLINK("https://twitter.com/zonadamai","@zonadamai")</f>
        <v>@zonadamai</v>
      </c>
      <c r="C39400" t="s">
        <v>1139</v>
      </c>
      <c r="D39400">
        <v>0</v>
      </c>
      <c r="E39400">
        <v>0</v>
      </c>
      <c r="F39400">
        <v>1092</v>
      </c>
    </row>
    <row r="39401" spans="1:6" ht="15.75" customHeight="1">
      <c r="A39401" s="3">
        <v>43874.337048611109</v>
      </c>
      <c r="B39401" t="str">
        <f>HYPERLINK("https://twitter.com/ruhutsitompul","@ruhutsitompul")</f>
        <v>@ruhutsitompul</v>
      </c>
      <c r="C39401" t="s">
        <v>1140</v>
      </c>
      <c r="D39401">
        <v>45</v>
      </c>
      <c r="E39401">
        <v>357</v>
      </c>
      <c r="F39401">
        <v>2156581</v>
      </c>
    </row>
    <row r="39402" spans="1:6" ht="15.75" customHeight="1">
      <c r="A39402" s="3">
        <v>43874.336921296301</v>
      </c>
      <c r="B39402" t="str">
        <f>HYPERLINK("https://twitter.com/Oodhi_tah","@Oodhi_tah")</f>
        <v>@Oodhi_tah</v>
      </c>
      <c r="C39402" t="s">
        <v>1141</v>
      </c>
      <c r="D39402">
        <v>0</v>
      </c>
      <c r="E39402">
        <v>0</v>
      </c>
      <c r="F39402">
        <v>251</v>
      </c>
    </row>
    <row r="39403" spans="1:6" ht="15.75" customHeight="1">
      <c r="A39403" s="3">
        <v>43874.336851851855</v>
      </c>
      <c r="B39403" t="str">
        <f>HYPERLINK("https://twitter.com/lucky_hafner","@lucky_hafner")</f>
        <v>@lucky_hafner</v>
      </c>
      <c r="C39403" t="s">
        <v>1142</v>
      </c>
      <c r="D39403">
        <v>0</v>
      </c>
      <c r="E39403">
        <v>0</v>
      </c>
      <c r="F39403">
        <v>135</v>
      </c>
    </row>
    <row r="39404" spans="1:6" ht="15.75" customHeight="1">
      <c r="A39404" s="3">
        <v>43874.336226851854</v>
      </c>
      <c r="B39404" t="str">
        <f>HYPERLINK("https://twitter.com/hariadhi84","@hariadhi84")</f>
        <v>@hariadhi84</v>
      </c>
      <c r="C39404" t="s">
        <v>1143</v>
      </c>
      <c r="D39404">
        <v>0</v>
      </c>
      <c r="E39404">
        <v>1</v>
      </c>
      <c r="F39404">
        <v>10845</v>
      </c>
    </row>
    <row r="39405" spans="1:6" ht="15.75" customHeight="1">
      <c r="A39405" s="3">
        <v>43874.335092592592</v>
      </c>
      <c r="B39405" t="str">
        <f>HYPERLINK("https://twitter.com/kompasiana","@kompasiana")</f>
        <v>@kompasiana</v>
      </c>
      <c r="C39405" t="s">
        <v>1144</v>
      </c>
      <c r="D39405">
        <v>1</v>
      </c>
      <c r="E39405">
        <v>12</v>
      </c>
      <c r="F39405">
        <v>927795</v>
      </c>
    </row>
    <row r="39406" spans="1:6" ht="15.75" customHeight="1">
      <c r="A39406" s="3">
        <v>43874.331296296295</v>
      </c>
      <c r="B39406" t="str">
        <f>HYPERLINK("https://twitter.com/pikiran_rakyat","@pikiran_rakyat")</f>
        <v>@pikiran_rakyat</v>
      </c>
      <c r="C39406" t="s">
        <v>891</v>
      </c>
      <c r="D39406">
        <v>3</v>
      </c>
      <c r="E39406">
        <v>4</v>
      </c>
      <c r="F39406">
        <v>412437</v>
      </c>
    </row>
    <row r="39407" spans="1:6" ht="15.75" customHeight="1">
      <c r="A39407" s="3">
        <v>43874.331273148149</v>
      </c>
      <c r="B39407" t="str">
        <f>HYPERLINK("https://twitter.com/Dony_brascko","@Dony_brascko")</f>
        <v>@Dony_brascko</v>
      </c>
      <c r="C39407" t="s">
        <v>1145</v>
      </c>
      <c r="D39407">
        <v>0</v>
      </c>
      <c r="E39407">
        <v>0</v>
      </c>
      <c r="F39407">
        <v>0</v>
      </c>
    </row>
    <row r="39408" spans="1:6" ht="15.75" customHeight="1">
      <c r="A39408" s="3">
        <v>43874.329768518517</v>
      </c>
      <c r="B39408" t="str">
        <f t="shared" ref="B39408:B39411" si="469">HYPERLINK("https://twitter.com/Coffee2Talks","@Coffee2Talks")</f>
        <v>@Coffee2Talks</v>
      </c>
      <c r="C39408" t="s">
        <v>1146</v>
      </c>
      <c r="D39408">
        <v>2</v>
      </c>
      <c r="E39408">
        <v>7</v>
      </c>
      <c r="F39408">
        <v>81</v>
      </c>
    </row>
    <row r="39409" spans="1:6" ht="15.75" customHeight="1">
      <c r="A39409" s="3">
        <v>43874.329560185186</v>
      </c>
      <c r="B39409" t="str">
        <f t="shared" si="469"/>
        <v>@Coffee2Talks</v>
      </c>
      <c r="C39409" t="s">
        <v>1147</v>
      </c>
      <c r="D39409">
        <v>2</v>
      </c>
      <c r="E39409">
        <v>7</v>
      </c>
      <c r="F39409">
        <v>81</v>
      </c>
    </row>
    <row r="39410" spans="1:6" ht="15.75" customHeight="1">
      <c r="A39410" s="3">
        <v>43874.329363425924</v>
      </c>
      <c r="B39410" t="str">
        <f t="shared" si="469"/>
        <v>@Coffee2Talks</v>
      </c>
      <c r="C39410" t="s">
        <v>1148</v>
      </c>
      <c r="D39410">
        <v>3</v>
      </c>
      <c r="E39410">
        <v>7</v>
      </c>
      <c r="F39410">
        <v>81</v>
      </c>
    </row>
    <row r="39411" spans="1:6" ht="15.75" customHeight="1">
      <c r="A39411" s="3">
        <v>43874.329201388886</v>
      </c>
      <c r="B39411" t="str">
        <f t="shared" si="469"/>
        <v>@Coffee2Talks</v>
      </c>
      <c r="C39411" t="s">
        <v>1149</v>
      </c>
      <c r="D39411">
        <v>3</v>
      </c>
      <c r="E39411">
        <v>7</v>
      </c>
      <c r="F39411">
        <v>81</v>
      </c>
    </row>
    <row r="39412" spans="1:6" ht="15.75" customHeight="1">
      <c r="A39412" s="3">
        <v>43874.329166666663</v>
      </c>
      <c r="B39412" t="str">
        <f>HYPERLINK("https://twitter.com/L3OF14N","@L3OF14N")</f>
        <v>@L3OF14N</v>
      </c>
      <c r="C39412" t="s">
        <v>1150</v>
      </c>
      <c r="D39412">
        <v>0</v>
      </c>
      <c r="E39412">
        <v>0</v>
      </c>
      <c r="F39412">
        <v>1163</v>
      </c>
    </row>
    <row r="39413" spans="1:6" ht="15.75" customHeight="1">
      <c r="A39413" s="3">
        <v>43874.329074074078</v>
      </c>
      <c r="B39413" t="str">
        <f>HYPERLINK("https://twitter.com/Coffee2Talks","@Coffee2Talks")</f>
        <v>@Coffee2Talks</v>
      </c>
      <c r="C39413" t="s">
        <v>1151</v>
      </c>
      <c r="D39413">
        <v>2</v>
      </c>
      <c r="E39413">
        <v>7</v>
      </c>
      <c r="F39413">
        <v>81</v>
      </c>
    </row>
    <row r="39414" spans="1:6" ht="15.75" customHeight="1">
      <c r="A39414" s="3">
        <v>43874.329016203701</v>
      </c>
      <c r="B39414" t="str">
        <f>HYPERLINK("https://twitter.com/DaDer71","@DaDer71")</f>
        <v>@DaDer71</v>
      </c>
      <c r="C39414" t="s">
        <v>1152</v>
      </c>
      <c r="D39414">
        <v>0</v>
      </c>
      <c r="E39414">
        <v>0</v>
      </c>
      <c r="F39414">
        <v>905</v>
      </c>
    </row>
    <row r="39415" spans="1:6" ht="15.75" customHeight="1">
      <c r="A39415" s="3">
        <v>43874.328067129631</v>
      </c>
      <c r="B39415" t="str">
        <f>HYPERLINK("https://twitter.com/ajinatha","@ajinatha")</f>
        <v>@ajinatha</v>
      </c>
      <c r="C39415" t="s">
        <v>1153</v>
      </c>
      <c r="D39415">
        <v>0</v>
      </c>
      <c r="E39415">
        <v>0</v>
      </c>
      <c r="F39415">
        <v>587</v>
      </c>
    </row>
    <row r="39416" spans="1:6" ht="15.75" customHeight="1">
      <c r="A39416" s="3">
        <v>43874.326817129629</v>
      </c>
      <c r="B39416" t="str">
        <f>HYPERLINK("https://twitter.com/wawan_chirp","@wawan_chirp")</f>
        <v>@wawan_chirp</v>
      </c>
      <c r="C39416" t="s">
        <v>1154</v>
      </c>
      <c r="D39416">
        <v>0</v>
      </c>
      <c r="E39416">
        <v>0</v>
      </c>
      <c r="F39416">
        <v>327</v>
      </c>
    </row>
    <row r="39417" spans="1:6" ht="15.75" customHeight="1">
      <c r="A39417" s="3">
        <v>43874.32613425926</v>
      </c>
      <c r="B39417" t="str">
        <f>HYPERLINK("https://twitter.com/dwikyenggar","@dwikyenggar")</f>
        <v>@dwikyenggar</v>
      </c>
      <c r="C39417" t="s">
        <v>1155</v>
      </c>
      <c r="D39417">
        <v>2</v>
      </c>
      <c r="E39417">
        <v>1</v>
      </c>
      <c r="F39417">
        <v>566</v>
      </c>
    </row>
    <row r="39418" spans="1:6" ht="15.75" customHeight="1">
      <c r="A39418" s="3">
        <v>43874.324513888889</v>
      </c>
      <c r="B39418" t="str">
        <f>HYPERLINK("https://twitter.com/ToleransiVs","@ToleransiVs")</f>
        <v>@ToleransiVs</v>
      </c>
      <c r="C39418" t="s">
        <v>1156</v>
      </c>
      <c r="D39418">
        <v>0</v>
      </c>
      <c r="E39418">
        <v>0</v>
      </c>
      <c r="F39418">
        <v>1</v>
      </c>
    </row>
    <row r="39419" spans="1:6" ht="15.75" customHeight="1">
      <c r="A39419" s="3">
        <v>43874.323946759258</v>
      </c>
      <c r="B39419" t="str">
        <f>HYPERLINK("https://twitter.com/Lucky_L4k1","@Lucky_L4k1")</f>
        <v>@Lucky_L4k1</v>
      </c>
      <c r="C39419" t="s">
        <v>1157</v>
      </c>
      <c r="D39419">
        <v>0</v>
      </c>
      <c r="E39419">
        <v>0</v>
      </c>
      <c r="F39419">
        <v>185</v>
      </c>
    </row>
    <row r="39420" spans="1:6" ht="15.75" customHeight="1">
      <c r="A39420" s="3">
        <v>43874.322662037041</v>
      </c>
      <c r="B39420" t="str">
        <f>HYPERLINK("https://twitter.com/AkbarAmir19","@AkbarAmir19")</f>
        <v>@AkbarAmir19</v>
      </c>
      <c r="C39420" t="s">
        <v>1158</v>
      </c>
      <c r="D39420">
        <v>0</v>
      </c>
      <c r="E39420">
        <v>0</v>
      </c>
      <c r="F39420">
        <v>1173</v>
      </c>
    </row>
    <row r="39421" spans="1:6" ht="15.75" customHeight="1">
      <c r="A39421" s="3">
        <v>43874.322268518517</v>
      </c>
      <c r="B39421" t="str">
        <f>HYPERLINK("https://twitter.com/vibizmediacom","@vibizmediacom")</f>
        <v>@vibizmediacom</v>
      </c>
      <c r="C39421" t="s">
        <v>1159</v>
      </c>
      <c r="D39421">
        <v>0</v>
      </c>
      <c r="E39421">
        <v>0</v>
      </c>
      <c r="F39421">
        <v>418</v>
      </c>
    </row>
    <row r="39422" spans="1:6" ht="15.75" customHeight="1">
      <c r="A39422" s="3">
        <v>43874.319687499999</v>
      </c>
      <c r="B39422" t="str">
        <f>HYPERLINK("https://twitter.com/KadalGu","@KadalGu")</f>
        <v>@KadalGu</v>
      </c>
      <c r="C39422" t="s">
        <v>1160</v>
      </c>
      <c r="D39422">
        <v>27</v>
      </c>
      <c r="E39422">
        <v>44</v>
      </c>
      <c r="F39422">
        <v>217</v>
      </c>
    </row>
    <row r="39423" spans="1:6" ht="15.75" customHeight="1">
      <c r="A39423" s="3">
        <v>43874.318912037037</v>
      </c>
      <c r="B39423" t="str">
        <f>HYPERLINK("https://twitter.com/StandbehindTrue","@StandbehindTrue")</f>
        <v>@StandbehindTrue</v>
      </c>
      <c r="C39423" t="s">
        <v>1161</v>
      </c>
      <c r="D39423">
        <v>0</v>
      </c>
      <c r="E39423">
        <v>0</v>
      </c>
      <c r="F39423">
        <v>263</v>
      </c>
    </row>
    <row r="39424" spans="1:6" ht="15.75" customHeight="1">
      <c r="A39424" s="3">
        <v>43874.318009259259</v>
      </c>
      <c r="B39424" t="str">
        <f>HYPERLINK("https://twitter.com/Waki_14","@Waki_14")</f>
        <v>@Waki_14</v>
      </c>
      <c r="C39424" t="s">
        <v>1162</v>
      </c>
      <c r="D39424">
        <v>0</v>
      </c>
      <c r="E39424">
        <v>1</v>
      </c>
      <c r="F39424">
        <v>625</v>
      </c>
    </row>
    <row r="39425" spans="1:6" ht="15.75" customHeight="1">
      <c r="A39425" s="3">
        <v>43874.315578703703</v>
      </c>
      <c r="B39425" t="str">
        <f>HYPERLINK("https://twitter.com/tribunnews","@tribunnews")</f>
        <v>@tribunnews</v>
      </c>
      <c r="C39425" t="s">
        <v>1163</v>
      </c>
      <c r="D39425">
        <v>0</v>
      </c>
      <c r="E39425">
        <v>3</v>
      </c>
      <c r="F39425">
        <v>873082</v>
      </c>
    </row>
    <row r="39426" spans="1:6" ht="15.75" customHeight="1">
      <c r="A39426" s="3">
        <v>43874.310902777783</v>
      </c>
      <c r="B39426" t="str">
        <f>HYPERLINK("https://twitter.com/Aryasaa_","@Aryasaa_")</f>
        <v>@Aryasaa_</v>
      </c>
      <c r="C39426" t="s">
        <v>1164</v>
      </c>
      <c r="D39426">
        <v>0</v>
      </c>
      <c r="E39426">
        <v>1</v>
      </c>
      <c r="F39426">
        <v>790</v>
      </c>
    </row>
    <row r="39427" spans="1:6" ht="15.75" customHeight="1">
      <c r="A39427" s="3">
        <v>43874.309513888889</v>
      </c>
      <c r="B39427" t="str">
        <f>HYPERLINK("https://twitter.com/DenmasBedj0","@DenmasBedj0")</f>
        <v>@DenmasBedj0</v>
      </c>
      <c r="C39427" t="s">
        <v>1165</v>
      </c>
      <c r="D39427">
        <v>1</v>
      </c>
      <c r="E39427">
        <v>3</v>
      </c>
      <c r="F39427">
        <v>1867</v>
      </c>
    </row>
    <row r="39428" spans="1:6" ht="15.75" customHeight="1">
      <c r="A39428" s="3">
        <v>43874.309050925927</v>
      </c>
      <c r="B39428" t="str">
        <f>HYPERLINK("https://twitter.com/rmol_id","@rmol_id")</f>
        <v>@rmol_id</v>
      </c>
      <c r="C39428" t="s">
        <v>1166</v>
      </c>
      <c r="D39428">
        <v>0</v>
      </c>
      <c r="E39428">
        <v>1</v>
      </c>
      <c r="F39428">
        <v>160765</v>
      </c>
    </row>
    <row r="39429" spans="1:6" ht="15.75" customHeight="1">
      <c r="A39429" s="3">
        <v>43874.307164351849</v>
      </c>
      <c r="B39429" t="str">
        <f>HYPERLINK("https://twitter.com/CtGmnu","@CtGmnu")</f>
        <v>@CtGmnu</v>
      </c>
      <c r="C39429" t="s">
        <v>1167</v>
      </c>
      <c r="D39429">
        <v>2</v>
      </c>
      <c r="E39429">
        <v>2</v>
      </c>
      <c r="F39429">
        <v>71</v>
      </c>
    </row>
    <row r="39430" spans="1:6" ht="15.75" customHeight="1">
      <c r="A39430" s="3">
        <v>43874.305648148147</v>
      </c>
      <c r="B39430" t="str">
        <f>HYPERLINK("https://twitter.com/Areefhxc","@Areefhxc")</f>
        <v>@Areefhxc</v>
      </c>
      <c r="C39430" t="s">
        <v>1168</v>
      </c>
      <c r="D39430">
        <v>0</v>
      </c>
      <c r="E39430">
        <v>0</v>
      </c>
      <c r="F39430">
        <v>548</v>
      </c>
    </row>
    <row r="39431" spans="1:6" ht="15.75" customHeight="1">
      <c r="A39431" s="3">
        <v>43874.304733796293</v>
      </c>
      <c r="B39431" t="str">
        <f>HYPERLINK("https://twitter.com/Azazelzzz_","@Azazelzzz_")</f>
        <v>@Azazelzzz_</v>
      </c>
      <c r="C39431" t="s">
        <v>1169</v>
      </c>
      <c r="D39431">
        <v>0</v>
      </c>
      <c r="E39431">
        <v>0</v>
      </c>
      <c r="F39431">
        <v>25</v>
      </c>
    </row>
    <row r="39432" spans="1:6" ht="15.75" customHeight="1">
      <c r="A39432" s="3">
        <v>43874.303252314814</v>
      </c>
      <c r="B39432" t="str">
        <f>HYPERLINK("https://twitter.com/DjokoEdhi1","@DjokoEdhi1")</f>
        <v>@DjokoEdhi1</v>
      </c>
      <c r="C39432" t="s">
        <v>1170</v>
      </c>
      <c r="D39432">
        <v>2</v>
      </c>
      <c r="E39432">
        <v>5</v>
      </c>
      <c r="F39432">
        <v>4475</v>
      </c>
    </row>
    <row r="39433" spans="1:6" ht="15.75" customHeight="1">
      <c r="A39433" s="3">
        <v>43874.302083333328</v>
      </c>
      <c r="B39433" t="str">
        <f>HYPERLINK("https://twitter.com/amienbtg","@amienbtg")</f>
        <v>@amienbtg</v>
      </c>
      <c r="C39433" t="s">
        <v>1171</v>
      </c>
      <c r="D39433">
        <v>0</v>
      </c>
      <c r="E39433">
        <v>1</v>
      </c>
      <c r="F39433">
        <v>1407</v>
      </c>
    </row>
    <row r="39434" spans="1:6" ht="15.75" customHeight="1">
      <c r="A39434" s="3">
        <v>43874.298634259263</v>
      </c>
      <c r="B39434" t="str">
        <f>HYPERLINK("https://twitter.com/septianprayuga","@septianprayuga")</f>
        <v>@septianprayuga</v>
      </c>
      <c r="C39434" t="s">
        <v>1172</v>
      </c>
      <c r="D39434">
        <v>0</v>
      </c>
      <c r="E39434">
        <v>0</v>
      </c>
      <c r="F39434">
        <v>1986</v>
      </c>
    </row>
    <row r="39435" spans="1:6" ht="15.75" customHeight="1">
      <c r="A39435" s="3">
        <v>43874.296574074076</v>
      </c>
      <c r="B39435" t="str">
        <f>HYPERLINK("https://twitter.com/nu_online","@nu_online")</f>
        <v>@nu_online</v>
      </c>
      <c r="C39435" t="s">
        <v>1173</v>
      </c>
      <c r="D39435">
        <v>2</v>
      </c>
      <c r="E39435">
        <v>14</v>
      </c>
      <c r="F39435">
        <v>489455</v>
      </c>
    </row>
    <row r="39436" spans="1:6" ht="15.75" customHeight="1">
      <c r="A39436" s="3">
        <v>43874.294548611113</v>
      </c>
      <c r="B39436" t="str">
        <f>HYPERLINK("https://twitter.com/Azrafs","@Azrafs")</f>
        <v>@Azrafs</v>
      </c>
      <c r="C39436" t="s">
        <v>1174</v>
      </c>
      <c r="D39436">
        <v>0</v>
      </c>
      <c r="E39436">
        <v>0</v>
      </c>
      <c r="F39436">
        <v>182</v>
      </c>
    </row>
    <row r="39437" spans="1:6" ht="15.75" customHeight="1">
      <c r="A39437" s="3">
        <v>43874.292581018519</v>
      </c>
      <c r="B39437" t="str">
        <f>HYPERLINK("https://twitter.com/tribunkaltim","@tribunkaltim")</f>
        <v>@tribunkaltim</v>
      </c>
      <c r="C39437" t="s">
        <v>1175</v>
      </c>
      <c r="D39437">
        <v>1</v>
      </c>
      <c r="E39437">
        <v>2</v>
      </c>
      <c r="F39437">
        <v>28662</v>
      </c>
    </row>
    <row r="39438" spans="1:6" ht="15.75" customHeight="1">
      <c r="A39438" s="3">
        <v>43874.292523148149</v>
      </c>
      <c r="B39438" t="str">
        <f>HYPERLINK("https://twitter.com/bondangtp","@bondangtp")</f>
        <v>@bondangtp</v>
      </c>
      <c r="C39438" t="s">
        <v>1176</v>
      </c>
      <c r="D39438">
        <v>0</v>
      </c>
      <c r="E39438">
        <v>0</v>
      </c>
      <c r="F39438">
        <v>202</v>
      </c>
    </row>
    <row r="39439" spans="1:6" ht="15.75" customHeight="1">
      <c r="A39439" s="3">
        <v>43874.289409722223</v>
      </c>
      <c r="B39439" t="str">
        <f>HYPERLINK("https://twitter.com/republikaonline","@republikaonline")</f>
        <v>@republikaonline</v>
      </c>
      <c r="C39439" t="s">
        <v>1177</v>
      </c>
      <c r="D39439">
        <v>0</v>
      </c>
      <c r="E39439">
        <v>2</v>
      </c>
      <c r="F39439">
        <v>1210209</v>
      </c>
    </row>
    <row r="39440" spans="1:6" ht="15.75" customHeight="1">
      <c r="A39440" s="3">
        <v>43874.288854166662</v>
      </c>
      <c r="B39440" t="str">
        <f>HYPERLINK("https://twitter.com/TuninWS","@TuninWS")</f>
        <v>@TuninWS</v>
      </c>
      <c r="C39440" t="s">
        <v>1178</v>
      </c>
      <c r="D39440">
        <v>0</v>
      </c>
      <c r="E39440">
        <v>0</v>
      </c>
      <c r="F39440">
        <v>21</v>
      </c>
    </row>
    <row r="39441" spans="1:6" ht="15.75" customHeight="1">
      <c r="A39441" s="3">
        <v>43874.288182870368</v>
      </c>
      <c r="B39441" t="str">
        <f>HYPERLINK("https://twitter.com/AnggunS53552236","@AnggunS53552236")</f>
        <v>@AnggunS53552236</v>
      </c>
      <c r="C39441" t="s">
        <v>1179</v>
      </c>
      <c r="D39441">
        <v>0</v>
      </c>
      <c r="E39441">
        <v>0</v>
      </c>
      <c r="F39441">
        <v>182</v>
      </c>
    </row>
    <row r="39442" spans="1:6" ht="15.75" customHeight="1">
      <c r="A39442" s="3">
        <v>43874.285219907411</v>
      </c>
      <c r="B39442" t="str">
        <f>HYPERLINK("https://twitter.com/cagubnyinyir2","@cagubnyinyir2")</f>
        <v>@cagubnyinyir2</v>
      </c>
      <c r="C39442" t="s">
        <v>1180</v>
      </c>
      <c r="D39442">
        <v>7</v>
      </c>
      <c r="E39442">
        <v>13</v>
      </c>
      <c r="F39442">
        <v>4237</v>
      </c>
    </row>
    <row r="39443" spans="1:6" ht="15.75" customHeight="1">
      <c r="A39443" s="3">
        <v>43874.284710648149</v>
      </c>
      <c r="B39443" t="str">
        <f>HYPERLINK("https://twitter.com/satyasuryawan","@satyasuryawan")</f>
        <v>@satyasuryawan</v>
      </c>
      <c r="C39443" t="s">
        <v>1181</v>
      </c>
      <c r="D39443">
        <v>0</v>
      </c>
      <c r="E39443">
        <v>1</v>
      </c>
      <c r="F39443">
        <v>1122</v>
      </c>
    </row>
    <row r="39444" spans="1:6" ht="15.75" customHeight="1">
      <c r="A39444" s="3">
        <v>43874.283715277779</v>
      </c>
      <c r="B39444" t="str">
        <f>HYPERLINK("https://twitter.com/tanyasimi","@tanyasimi")</f>
        <v>@tanyasimi</v>
      </c>
      <c r="C39444" t="s">
        <v>1182</v>
      </c>
      <c r="D39444">
        <v>0</v>
      </c>
      <c r="E39444">
        <v>1</v>
      </c>
      <c r="F39444">
        <v>3543</v>
      </c>
    </row>
    <row r="39445" spans="1:6" ht="15.75" customHeight="1">
      <c r="A39445" s="3">
        <v>43874.283645833333</v>
      </c>
      <c r="B39445" t="str">
        <f>HYPERLINK("https://twitter.com/teguhpur","@teguhpur")</f>
        <v>@teguhpur</v>
      </c>
      <c r="C39445" t="s">
        <v>1183</v>
      </c>
      <c r="D39445">
        <v>0</v>
      </c>
      <c r="E39445">
        <v>0</v>
      </c>
      <c r="F39445">
        <v>533</v>
      </c>
    </row>
    <row r="39446" spans="1:6" ht="15.75" customHeight="1">
      <c r="A39446" s="3">
        <v>43874.28061342593</v>
      </c>
      <c r="B39446" t="str">
        <f>HYPERLINK("https://twitter.com/borokokok_cuit","@borokokok_cuit")</f>
        <v>@borokokok_cuit</v>
      </c>
      <c r="C39446" t="s">
        <v>1184</v>
      </c>
      <c r="D39446">
        <v>0</v>
      </c>
      <c r="E39446">
        <v>0</v>
      </c>
      <c r="F39446">
        <v>18</v>
      </c>
    </row>
    <row r="39447" spans="1:6" ht="15.75" customHeight="1">
      <c r="A39447" s="3">
        <v>43874.277488425927</v>
      </c>
      <c r="B39447" t="str">
        <f>HYPERLINK("https://twitter.com/bondangtp","@bondangtp")</f>
        <v>@bondangtp</v>
      </c>
      <c r="C39447" t="s">
        <v>1185</v>
      </c>
      <c r="D39447">
        <v>0</v>
      </c>
      <c r="E39447">
        <v>0</v>
      </c>
      <c r="F39447">
        <v>202</v>
      </c>
    </row>
    <row r="39448" spans="1:6" ht="15.75" customHeight="1">
      <c r="A39448" s="3">
        <v>43874.277384259258</v>
      </c>
      <c r="B39448" t="str">
        <f>HYPERLINK("https://twitter.com/narasitv","@narasitv")</f>
        <v>@narasitv</v>
      </c>
      <c r="C39448" t="s">
        <v>1186</v>
      </c>
      <c r="D39448">
        <v>0</v>
      </c>
      <c r="E39448">
        <v>5</v>
      </c>
      <c r="F39448">
        <v>40435</v>
      </c>
    </row>
    <row r="39449" spans="1:6" ht="15.75" customHeight="1">
      <c r="A39449" s="3">
        <v>43874.27615740741</v>
      </c>
      <c r="B39449" t="str">
        <f>HYPERLINK("https://twitter.com/RadioElshinta","@RadioElshinta")</f>
        <v>@RadioElshinta</v>
      </c>
      <c r="C39449" t="s">
        <v>1187</v>
      </c>
      <c r="D39449">
        <v>1</v>
      </c>
      <c r="E39449">
        <v>0</v>
      </c>
      <c r="F39449">
        <v>3633160</v>
      </c>
    </row>
    <row r="39450" spans="1:6" ht="15.75" customHeight="1">
      <c r="A39450" s="3">
        <v>43874.275370370371</v>
      </c>
      <c r="B39450" t="str">
        <f>HYPERLINK("https://twitter.com/Om_Djawa","@Om_Djawa")</f>
        <v>@Om_Djawa</v>
      </c>
      <c r="C39450" t="s">
        <v>1188</v>
      </c>
      <c r="D39450">
        <v>0</v>
      </c>
      <c r="E39450">
        <v>3</v>
      </c>
      <c r="F39450">
        <v>685</v>
      </c>
    </row>
    <row r="39451" spans="1:6" ht="15.75" customHeight="1">
      <c r="A39451" s="3">
        <v>43874.275000000001</v>
      </c>
      <c r="B39451" t="str">
        <f>HYPERLINK("https://twitter.com/ani_nyebar","@ani_nyebar")</f>
        <v>@ani_nyebar</v>
      </c>
      <c r="C39451" t="s">
        <v>1189</v>
      </c>
      <c r="D39451">
        <v>1</v>
      </c>
      <c r="E39451">
        <v>2</v>
      </c>
      <c r="F39451">
        <v>86</v>
      </c>
    </row>
    <row r="39452" spans="1:6" ht="15.75" customHeight="1">
      <c r="A39452" s="3">
        <v>43874.274363425924</v>
      </c>
      <c r="B39452" t="str">
        <f>HYPERLINK("https://twitter.com/2Timotius","@2Timotius")</f>
        <v>@2Timotius</v>
      </c>
      <c r="C39452" t="s">
        <v>1190</v>
      </c>
      <c r="D39452">
        <v>0</v>
      </c>
      <c r="E39452">
        <v>1</v>
      </c>
      <c r="F39452">
        <v>227</v>
      </c>
    </row>
    <row r="39453" spans="1:6" ht="15.75" customHeight="1">
      <c r="A39453" s="3">
        <v>43874.273865740739</v>
      </c>
      <c r="B39453" t="str">
        <f>HYPERLINK("https://twitter.com/_UsbinDunda","@_UsbinDunda")</f>
        <v>@_UsbinDunda</v>
      </c>
      <c r="C39453" t="s">
        <v>1191</v>
      </c>
      <c r="D39453">
        <v>1</v>
      </c>
      <c r="E39453">
        <v>1</v>
      </c>
      <c r="F39453">
        <v>317</v>
      </c>
    </row>
    <row r="39454" spans="1:6" ht="15.75" customHeight="1">
      <c r="A39454" s="3">
        <v>43874.271041666667</v>
      </c>
      <c r="B39454" t="str">
        <f>HYPERLINK("https://twitter.com/Fitri98891437","@Fitri98891437")</f>
        <v>@Fitri98891437</v>
      </c>
      <c r="D39454">
        <v>0</v>
      </c>
      <c r="E39454">
        <v>0</v>
      </c>
      <c r="F39454">
        <v>10</v>
      </c>
    </row>
    <row r="39455" spans="1:6" ht="15.75" customHeight="1">
      <c r="A39455" s="3">
        <v>43874.270856481482</v>
      </c>
      <c r="B39455" t="str">
        <f>HYPERLINK("https://twitter.com/SayHeiYu","@SayHeiYu")</f>
        <v>@SayHeiYu</v>
      </c>
      <c r="C39455" t="s">
        <v>1128</v>
      </c>
      <c r="D39455">
        <v>0</v>
      </c>
      <c r="E39455">
        <v>0</v>
      </c>
      <c r="F39455">
        <v>120179</v>
      </c>
    </row>
    <row r="39456" spans="1:6" ht="15.75" customHeight="1">
      <c r="A39456" s="3">
        <v>43874.270312499997</v>
      </c>
      <c r="B39456" t="str">
        <f>HYPERLINK("https://twitter.com/2Timotius","@2Timotius")</f>
        <v>@2Timotius</v>
      </c>
      <c r="C39456" t="s">
        <v>1192</v>
      </c>
      <c r="D39456">
        <v>0</v>
      </c>
      <c r="E39456">
        <v>1</v>
      </c>
      <c r="F39456">
        <v>227</v>
      </c>
    </row>
    <row r="39457" spans="1:6" ht="15.75" customHeight="1">
      <c r="A39457" s="3">
        <v>43874.270277777774</v>
      </c>
      <c r="B39457" t="str">
        <f>HYPERLINK("https://twitter.com/s_kedumpaga","@s_kedumpaga")</f>
        <v>@s_kedumpaga</v>
      </c>
      <c r="C39457" t="s">
        <v>1193</v>
      </c>
      <c r="D39457">
        <v>0</v>
      </c>
      <c r="E39457">
        <v>0</v>
      </c>
      <c r="F39457">
        <v>36</v>
      </c>
    </row>
    <row r="39458" spans="1:6" ht="15.75" customHeight="1">
      <c r="A39458" s="3">
        <v>43874.269803240742</v>
      </c>
      <c r="B39458" t="str">
        <f>HYPERLINK("https://twitter.com/satyasuryawan","@satyasuryawan")</f>
        <v>@satyasuryawan</v>
      </c>
      <c r="C39458" t="s">
        <v>1194</v>
      </c>
      <c r="D39458">
        <v>0</v>
      </c>
      <c r="E39458">
        <v>0</v>
      </c>
      <c r="F39458">
        <v>1122</v>
      </c>
    </row>
    <row r="39459" spans="1:6" ht="15.75" customHeight="1">
      <c r="A39459" s="3">
        <v>43874.268206018518</v>
      </c>
      <c r="B39459" t="str">
        <f>HYPERLINK("https://twitter.com/Wa_Gu_Wa","@Wa_Gu_Wa")</f>
        <v>@Wa_Gu_Wa</v>
      </c>
      <c r="C39459" t="s">
        <v>1195</v>
      </c>
      <c r="D39459">
        <v>0</v>
      </c>
      <c r="E39459">
        <v>0</v>
      </c>
      <c r="F39459">
        <v>300</v>
      </c>
    </row>
    <row r="39460" spans="1:6" ht="15.75" customHeight="1">
      <c r="A39460" s="3">
        <v>43874.267581018517</v>
      </c>
      <c r="B39460" t="str">
        <f>HYPERLINK("https://twitter.com/riduwandaddu","@riduwandaddu")</f>
        <v>@riduwandaddu</v>
      </c>
      <c r="C39460" t="s">
        <v>1196</v>
      </c>
      <c r="D39460">
        <v>0</v>
      </c>
      <c r="E39460">
        <v>1</v>
      </c>
      <c r="F39460">
        <v>668</v>
      </c>
    </row>
    <row r="39461" spans="1:6" ht="15.75" customHeight="1">
      <c r="A39461" s="3">
        <v>43874.2653125</v>
      </c>
      <c r="B39461" t="str">
        <f>HYPERLINK("https://twitter.com/merdekadotcom","@merdekadotcom")</f>
        <v>@merdekadotcom</v>
      </c>
      <c r="C39461" t="s">
        <v>1197</v>
      </c>
      <c r="D39461">
        <v>1</v>
      </c>
      <c r="E39461">
        <v>1</v>
      </c>
      <c r="F39461">
        <v>230398</v>
      </c>
    </row>
    <row r="39462" spans="1:6" ht="15.75" customHeight="1">
      <c r="A39462" s="3">
        <v>43874.263819444444</v>
      </c>
      <c r="B39462" t="str">
        <f>HYPERLINK("https://twitter.com/ANDRE_OCTA_","@ANDRE_OCTA_")</f>
        <v>@ANDRE_OCTA_</v>
      </c>
      <c r="C39462" t="s">
        <v>1198</v>
      </c>
      <c r="D39462">
        <v>1</v>
      </c>
      <c r="E39462">
        <v>1</v>
      </c>
      <c r="F39462">
        <v>16023</v>
      </c>
    </row>
    <row r="39463" spans="1:6" ht="15.75" customHeight="1">
      <c r="A39463" s="3">
        <v>43874.263680555552</v>
      </c>
      <c r="B39463" t="str">
        <f>HYPERLINK("https://twitter.com/MataNajwa","@MataNajwa")</f>
        <v>@MataNajwa</v>
      </c>
      <c r="C39463" t="s">
        <v>1186</v>
      </c>
      <c r="D39463">
        <v>4</v>
      </c>
      <c r="E39463">
        <v>40</v>
      </c>
      <c r="F39463">
        <v>2827899</v>
      </c>
    </row>
    <row r="39464" spans="1:6" ht="15.75" customHeight="1">
      <c r="A39464" s="3">
        <v>43874.263113425928</v>
      </c>
      <c r="B39464" t="str">
        <f>HYPERLINK("https://twitter.com/kopisusudotid","@kopisusudotid")</f>
        <v>@kopisusudotid</v>
      </c>
      <c r="C39464" t="s">
        <v>1199</v>
      </c>
      <c r="D39464">
        <v>0</v>
      </c>
      <c r="E39464">
        <v>1</v>
      </c>
      <c r="F39464">
        <v>295</v>
      </c>
    </row>
    <row r="39465" spans="1:6" ht="15.75" customHeight="1">
      <c r="A39465" s="3">
        <v>43874.262824074074</v>
      </c>
      <c r="B39465" t="str">
        <f>HYPERLINK("https://twitter.com/martinpanj","@martinpanj")</f>
        <v>@martinpanj</v>
      </c>
      <c r="C39465" t="s">
        <v>1200</v>
      </c>
      <c r="D39465">
        <v>1</v>
      </c>
      <c r="E39465">
        <v>2</v>
      </c>
      <c r="F39465">
        <v>1884</v>
      </c>
    </row>
    <row r="39466" spans="1:6" ht="15.75" customHeight="1">
      <c r="A39466" s="3">
        <v>43874.259699074071</v>
      </c>
      <c r="B39466" t="str">
        <f>HYPERLINK("https://twitter.com/CNNIndonesia","@CNNIndonesia")</f>
        <v>@CNNIndonesia</v>
      </c>
      <c r="C39466" t="s">
        <v>596</v>
      </c>
      <c r="D39466">
        <v>2</v>
      </c>
      <c r="E39466">
        <v>17</v>
      </c>
      <c r="F39466">
        <v>618499</v>
      </c>
    </row>
    <row r="39467" spans="1:6" ht="15.75" customHeight="1">
      <c r="A39467" s="3">
        <v>43874.258379629631</v>
      </c>
      <c r="B39467" t="str">
        <f>HYPERLINK("https://twitter.com/VIVAcoid","@VIVAcoid")</f>
        <v>@VIVAcoid</v>
      </c>
      <c r="C39467" t="s">
        <v>637</v>
      </c>
      <c r="D39467">
        <v>31</v>
      </c>
      <c r="E39467">
        <v>125</v>
      </c>
      <c r="F39467">
        <v>4169052</v>
      </c>
    </row>
    <row r="39468" spans="1:6" ht="15.75" customHeight="1">
      <c r="A39468" s="3">
        <v>43874.257858796293</v>
      </c>
      <c r="B39468" t="str">
        <f>HYPERLINK("https://twitter.com/Lohmenz","@Lohmenz")</f>
        <v>@Lohmenz</v>
      </c>
      <c r="C39468" t="s">
        <v>1201</v>
      </c>
      <c r="D39468">
        <v>0</v>
      </c>
      <c r="E39468">
        <v>0</v>
      </c>
      <c r="F39468">
        <v>205</v>
      </c>
    </row>
    <row r="39469" spans="1:6" ht="15.75" customHeight="1">
      <c r="A39469" s="3">
        <v>43874.254664351851</v>
      </c>
      <c r="B39469" t="str">
        <f>HYPERLINK("https://twitter.com/triwasono70","@triwasono70")</f>
        <v>@triwasono70</v>
      </c>
      <c r="C39469" t="s">
        <v>1202</v>
      </c>
      <c r="D39469">
        <v>0</v>
      </c>
      <c r="E39469">
        <v>4</v>
      </c>
      <c r="F39469">
        <v>4957</v>
      </c>
    </row>
    <row r="39470" spans="1:6" ht="15.75" customHeight="1">
      <c r="A39470" s="3">
        <v>43874.250844907408</v>
      </c>
      <c r="B39470" t="str">
        <f>HYPERLINK("https://twitter.com/NatashaJeconiah","@NatashaJeconiah")</f>
        <v>@NatashaJeconiah</v>
      </c>
      <c r="C39470" t="s">
        <v>1203</v>
      </c>
      <c r="D39470">
        <v>0</v>
      </c>
      <c r="E39470">
        <v>0</v>
      </c>
      <c r="F39470">
        <v>300</v>
      </c>
    </row>
    <row r="39471" spans="1:6" ht="15.75" customHeight="1">
      <c r="A39471" s="3">
        <v>43874.250150462962</v>
      </c>
      <c r="B39471" t="str">
        <f>HYPERLINK("https://twitter.com/Joglosemarnews","@Joglosemarnews")</f>
        <v>@Joglosemarnews</v>
      </c>
      <c r="C39471" t="s">
        <v>1204</v>
      </c>
      <c r="D39471">
        <v>0</v>
      </c>
      <c r="E39471">
        <v>0</v>
      </c>
      <c r="F39471">
        <v>301</v>
      </c>
    </row>
    <row r="39472" spans="1:6" ht="15.75" customHeight="1">
      <c r="A39472" s="3">
        <v>43874.25</v>
      </c>
      <c r="B39472" t="str">
        <f>HYPERLINK("https://twitter.com/kompascom","@kompascom")</f>
        <v>@kompascom</v>
      </c>
      <c r="C39472" t="s">
        <v>1205</v>
      </c>
      <c r="D39472">
        <v>5</v>
      </c>
      <c r="E39472">
        <v>20</v>
      </c>
      <c r="F39472">
        <v>7496984</v>
      </c>
    </row>
    <row r="39473" spans="1:6" ht="15.75" customHeight="1">
      <c r="A39473" s="3">
        <v>43874.2496412037</v>
      </c>
      <c r="B39473" t="str">
        <f>HYPERLINK("https://twitter.com/antarasumbar","@antarasumbar")</f>
        <v>@antarasumbar</v>
      </c>
      <c r="C39473" t="s">
        <v>1206</v>
      </c>
      <c r="D39473">
        <v>0</v>
      </c>
      <c r="E39473">
        <v>0</v>
      </c>
      <c r="F39473">
        <v>9016</v>
      </c>
    </row>
    <row r="39474" spans="1:6" ht="15.75" customHeight="1">
      <c r="A39474" s="3">
        <v>43874.249050925922</v>
      </c>
      <c r="B39474" t="str">
        <f>HYPERLINK("https://twitter.com/raymond_frans","@raymond_frans")</f>
        <v>@raymond_frans</v>
      </c>
      <c r="C39474" t="s">
        <v>1207</v>
      </c>
      <c r="D39474">
        <v>0</v>
      </c>
      <c r="E39474">
        <v>1</v>
      </c>
      <c r="F39474">
        <v>356</v>
      </c>
    </row>
    <row r="39475" spans="1:6" ht="15.75" customHeight="1">
      <c r="A39475" s="3">
        <v>43874.238819444443</v>
      </c>
      <c r="B39475" t="str">
        <f>HYPERLINK("https://twitter.com/antarasumbar","@antarasumbar")</f>
        <v>@antarasumbar</v>
      </c>
      <c r="C39475" t="s">
        <v>1208</v>
      </c>
      <c r="D39475">
        <v>1</v>
      </c>
      <c r="E39475">
        <v>0</v>
      </c>
      <c r="F39475">
        <v>9016</v>
      </c>
    </row>
    <row r="39476" spans="1:6" ht="15.75" customHeight="1">
      <c r="A39476" s="3">
        <v>43874.237557870365</v>
      </c>
      <c r="B39476" t="str">
        <f>HYPERLINK("https://twitter.com/kompasiana","@kompasiana")</f>
        <v>@kompasiana</v>
      </c>
      <c r="C39476" t="s">
        <v>1209</v>
      </c>
      <c r="D39476">
        <v>4</v>
      </c>
      <c r="E39476">
        <v>4</v>
      </c>
      <c r="F39476">
        <v>927795</v>
      </c>
    </row>
    <row r="39477" spans="1:6" ht="15.75" customHeight="1">
      <c r="A39477" s="3">
        <v>43874.235752314809</v>
      </c>
      <c r="B39477" t="str">
        <f>HYPERLINK("https://twitter.com/tribunkaltim","@tribunkaltim")</f>
        <v>@tribunkaltim</v>
      </c>
      <c r="C39477" t="s">
        <v>1210</v>
      </c>
      <c r="D39477">
        <v>0</v>
      </c>
      <c r="E39477">
        <v>0</v>
      </c>
      <c r="F39477">
        <v>28662</v>
      </c>
    </row>
    <row r="39478" spans="1:6" ht="15.75" customHeight="1">
      <c r="A39478" s="3">
        <v>43874.231122685189</v>
      </c>
      <c r="B39478" t="str">
        <f>HYPERLINK("https://twitter.com/prasojo_jamin","@prasojo_jamin")</f>
        <v>@prasojo_jamin</v>
      </c>
      <c r="C39478" t="s">
        <v>1211</v>
      </c>
      <c r="D39478">
        <v>0</v>
      </c>
      <c r="E39478">
        <v>0</v>
      </c>
      <c r="F39478">
        <v>31</v>
      </c>
    </row>
    <row r="39479" spans="1:6" ht="15.75" customHeight="1">
      <c r="A39479" s="3">
        <v>43874.231041666666</v>
      </c>
      <c r="B39479" t="str">
        <f>HYPERLINK("https://twitter.com/beritalimacom","@beritalimacom")</f>
        <v>@beritalimacom</v>
      </c>
      <c r="C39479" t="s">
        <v>854</v>
      </c>
      <c r="D39479">
        <v>0</v>
      </c>
      <c r="E39479">
        <v>0</v>
      </c>
      <c r="F39479">
        <v>1444</v>
      </c>
    </row>
    <row r="39480" spans="1:6" ht="15.75" customHeight="1">
      <c r="A39480" s="3">
        <v>43874.226944444439</v>
      </c>
      <c r="B39480" t="str">
        <f>HYPERLINK("https://twitter.com/guidomerung","@guidomerung")</f>
        <v>@guidomerung</v>
      </c>
      <c r="D39480">
        <v>0</v>
      </c>
      <c r="E39480">
        <v>0</v>
      </c>
      <c r="F39480">
        <v>461</v>
      </c>
    </row>
    <row r="39481" spans="1:6" ht="15.75" customHeight="1">
      <c r="A39481" s="3">
        <v>43874.223032407404</v>
      </c>
      <c r="B39481" t="str">
        <f>HYPERLINK("https://twitter.com/sudi_prast","@sudi_prast")</f>
        <v>@sudi_prast</v>
      </c>
      <c r="C39481" t="s">
        <v>1212</v>
      </c>
      <c r="D39481">
        <v>0</v>
      </c>
      <c r="E39481">
        <v>1</v>
      </c>
      <c r="F39481">
        <v>2697</v>
      </c>
    </row>
    <row r="39482" spans="1:6" ht="15.75" customHeight="1">
      <c r="A39482" s="3">
        <v>43874.221446759257</v>
      </c>
      <c r="B39482" t="str">
        <f>HYPERLINK("https://twitter.com/fian_toking","@fian_toking")</f>
        <v>@fian_toking</v>
      </c>
      <c r="C39482" t="s">
        <v>1213</v>
      </c>
      <c r="D39482">
        <v>0</v>
      </c>
      <c r="E39482">
        <v>0</v>
      </c>
      <c r="F39482">
        <v>20</v>
      </c>
    </row>
    <row r="39483" spans="1:6" ht="15.75" customHeight="1">
      <c r="A39483" s="3">
        <v>43874.219826388886</v>
      </c>
      <c r="B39483" t="str">
        <f>HYPERLINK("https://twitter.com/kak_wew","@kak_wew")</f>
        <v>@kak_wew</v>
      </c>
      <c r="C39483" t="s">
        <v>1214</v>
      </c>
      <c r="D39483">
        <v>0</v>
      </c>
      <c r="E39483">
        <v>1</v>
      </c>
      <c r="F39483">
        <v>227</v>
      </c>
    </row>
    <row r="39484" spans="1:6" ht="15.75" customHeight="1">
      <c r="A39484" s="3">
        <v>43874.218136574069</v>
      </c>
      <c r="B39484" t="str">
        <f>HYPERLINK("https://twitter.com/tsjokka","@tsjokka")</f>
        <v>@tsjokka</v>
      </c>
      <c r="C39484" t="s">
        <v>1215</v>
      </c>
      <c r="D39484">
        <v>0</v>
      </c>
      <c r="E39484">
        <v>1</v>
      </c>
      <c r="F39484">
        <v>502</v>
      </c>
    </row>
    <row r="39485" spans="1:6" ht="15.75" customHeight="1">
      <c r="A39485" s="3">
        <v>43874.215219907404</v>
      </c>
      <c r="B39485" t="str">
        <f>HYPERLINK("https://twitter.com/Aqilanazwa11","@Aqilanazwa11")</f>
        <v>@Aqilanazwa11</v>
      </c>
      <c r="C39485" t="s">
        <v>1216</v>
      </c>
      <c r="D39485">
        <v>0</v>
      </c>
      <c r="E39485">
        <v>0</v>
      </c>
      <c r="F39485">
        <v>29</v>
      </c>
    </row>
    <row r="39486" spans="1:6" ht="15.75" customHeight="1">
      <c r="A39486" s="3">
        <v>43874.209791666668</v>
      </c>
      <c r="B39486" t="str">
        <f>HYPERLINK("https://twitter.com/salamkebajikan","@salamkebajikan")</f>
        <v>@salamkebajikan</v>
      </c>
      <c r="C39486" t="s">
        <v>1217</v>
      </c>
      <c r="D39486">
        <v>0</v>
      </c>
      <c r="E39486">
        <v>0</v>
      </c>
      <c r="F39486">
        <v>714</v>
      </c>
    </row>
    <row r="39487" spans="1:6" ht="15.75" customHeight="1">
      <c r="A39487" s="3">
        <v>43874.209675925929</v>
      </c>
      <c r="B39487" t="str">
        <f>HYPERLINK("https://twitter.com/berita_enak","@berita_enak")</f>
        <v>@berita_enak</v>
      </c>
      <c r="C39487" t="s">
        <v>1218</v>
      </c>
      <c r="D39487">
        <v>0</v>
      </c>
      <c r="E39487">
        <v>0</v>
      </c>
      <c r="F39487">
        <v>21</v>
      </c>
    </row>
    <row r="39488" spans="1:6" ht="15.75" customHeight="1">
      <c r="A39488" s="3">
        <v>43874.197638888887</v>
      </c>
      <c r="B39488" t="str">
        <f>HYPERLINK("https://twitter.com/RullyOedaya","@RullyOedaya")</f>
        <v>@RullyOedaya</v>
      </c>
      <c r="C39488" t="s">
        <v>1219</v>
      </c>
      <c r="D39488">
        <v>0</v>
      </c>
      <c r="E39488">
        <v>0</v>
      </c>
      <c r="F39488">
        <v>183</v>
      </c>
    </row>
    <row r="39489" spans="1:6" ht="15.75" customHeight="1">
      <c r="A39489" s="3">
        <v>43874.18751157407</v>
      </c>
      <c r="B39489" t="str">
        <f>HYPERLINK("https://twitter.com/SayHeiYu","@SayHeiYu")</f>
        <v>@SayHeiYu</v>
      </c>
      <c r="C39489" t="s">
        <v>1128</v>
      </c>
      <c r="D39489">
        <v>0</v>
      </c>
      <c r="E39489">
        <v>0</v>
      </c>
      <c r="F39489">
        <v>120179</v>
      </c>
    </row>
    <row r="39490" spans="1:6" ht="15.75" customHeight="1">
      <c r="A39490" s="3">
        <v>43874.186203703706</v>
      </c>
      <c r="B39490" t="str">
        <f>HYPERLINK("https://twitter.com/hendarto3091","@hendarto3091")</f>
        <v>@hendarto3091</v>
      </c>
      <c r="C39490" t="s">
        <v>1220</v>
      </c>
      <c r="D39490">
        <v>0</v>
      </c>
      <c r="E39490">
        <v>0</v>
      </c>
      <c r="F39490">
        <v>74</v>
      </c>
    </row>
    <row r="39491" spans="1:6" ht="15.75" customHeight="1">
      <c r="A39491" s="3">
        <v>43874.179016203707</v>
      </c>
      <c r="B39491" t="str">
        <f>HYPERLINK("https://twitter.com/BabahnoA","@BabahnoA")</f>
        <v>@BabahnoA</v>
      </c>
      <c r="C39491" t="s">
        <v>1221</v>
      </c>
      <c r="D39491">
        <v>0</v>
      </c>
      <c r="E39491">
        <v>3</v>
      </c>
      <c r="F39491">
        <v>2199</v>
      </c>
    </row>
    <row r="39492" spans="1:6" ht="15.75" customHeight="1">
      <c r="A39492" s="3">
        <v>43874.156539351854</v>
      </c>
      <c r="B39492" t="str">
        <f>HYPERLINK("https://twitter.com/RizaTawa","@RizaTawa")</f>
        <v>@RizaTawa</v>
      </c>
      <c r="C39492" t="s">
        <v>1222</v>
      </c>
      <c r="D39492">
        <v>0</v>
      </c>
      <c r="E39492">
        <v>0</v>
      </c>
      <c r="F39492">
        <v>6</v>
      </c>
    </row>
    <row r="39493" spans="1:6" ht="15.75" customHeight="1">
      <c r="A39493" s="3">
        <v>43874.156493055554</v>
      </c>
      <c r="B39493" t="str">
        <f>HYPERLINK("https://twitter.com/ZoelFawzie","@ZoelFawzie")</f>
        <v>@ZoelFawzie</v>
      </c>
      <c r="C39493" t="s">
        <v>1223</v>
      </c>
      <c r="D39493">
        <v>2</v>
      </c>
      <c r="E39493">
        <v>8</v>
      </c>
      <c r="F39493">
        <v>5684</v>
      </c>
    </row>
    <row r="39494" spans="1:6" ht="15.75" customHeight="1">
      <c r="A39494" s="3">
        <v>43874.145266203705</v>
      </c>
      <c r="B39494" t="str">
        <f>HYPERLINK("https://twitter.com/StoffelHalid","@StoffelHalid")</f>
        <v>@StoffelHalid</v>
      </c>
      <c r="C39494" t="s">
        <v>1224</v>
      </c>
      <c r="D39494">
        <v>0</v>
      </c>
      <c r="E39494">
        <v>0</v>
      </c>
      <c r="F39494">
        <v>0</v>
      </c>
    </row>
    <row r="39495" spans="1:6" ht="15.75" customHeight="1">
      <c r="A39495" s="3">
        <v>43874.143796296295</v>
      </c>
      <c r="B39495" t="str">
        <f>HYPERLINK("https://twitter.com/Kabarhariini","@Kabarhariini")</f>
        <v>@Kabarhariini</v>
      </c>
      <c r="C39495" t="s">
        <v>1225</v>
      </c>
      <c r="D39495">
        <v>0</v>
      </c>
      <c r="E39495">
        <v>0</v>
      </c>
      <c r="F39495">
        <v>360</v>
      </c>
    </row>
    <row r="39496" spans="1:6" ht="15.75" customHeight="1">
      <c r="A39496" s="3">
        <v>43874.143125000002</v>
      </c>
      <c r="B39496" t="str">
        <f>HYPERLINK("https://twitter.com/SerikatNews_","@SerikatNews_")</f>
        <v>@SerikatNews_</v>
      </c>
      <c r="C39496" t="s">
        <v>1226</v>
      </c>
      <c r="D39496">
        <v>0</v>
      </c>
      <c r="E39496">
        <v>0</v>
      </c>
      <c r="F39496">
        <v>44</v>
      </c>
    </row>
    <row r="39497" spans="1:6" ht="15.75" customHeight="1">
      <c r="A39497" s="3">
        <v>43874.135925925926</v>
      </c>
      <c r="B39497" t="str">
        <f>HYPERLINK("https://twitter.com/dedysteven80","@dedysteven80")</f>
        <v>@dedysteven80</v>
      </c>
      <c r="C39497" t="s">
        <v>1227</v>
      </c>
      <c r="D39497">
        <v>1</v>
      </c>
      <c r="E39497">
        <v>2</v>
      </c>
      <c r="F39497">
        <v>4808</v>
      </c>
    </row>
    <row r="39498" spans="1:6" ht="15.75" customHeight="1">
      <c r="A39498" s="3">
        <v>43874.128333333334</v>
      </c>
      <c r="B39498" t="str">
        <f>HYPERLINK("https://twitter.com/CNNIndonesia","@CNNIndonesia")</f>
        <v>@CNNIndonesia</v>
      </c>
      <c r="C39498" t="s">
        <v>1028</v>
      </c>
      <c r="D39498">
        <v>3</v>
      </c>
      <c r="E39498">
        <v>8</v>
      </c>
      <c r="F39498">
        <v>618500</v>
      </c>
    </row>
    <row r="39499" spans="1:6" ht="15.75" customHeight="1">
      <c r="A39499" s="3">
        <v>43874.125138888892</v>
      </c>
      <c r="B39499" t="str">
        <f>HYPERLINK("https://twitter.com/Joglosemarnews","@Joglosemarnews")</f>
        <v>@Joglosemarnews</v>
      </c>
      <c r="C39499" t="s">
        <v>1228</v>
      </c>
      <c r="D39499">
        <v>0</v>
      </c>
      <c r="E39499">
        <v>0</v>
      </c>
      <c r="F39499">
        <v>301</v>
      </c>
    </row>
    <row r="39500" spans="1:6" ht="15.75" customHeight="1">
      <c r="A39500" s="3">
        <v>43874.106087962966</v>
      </c>
      <c r="B39500" t="str">
        <f>HYPERLINK("https://twitter.com/susilo","@susilo")</f>
        <v>@susilo</v>
      </c>
      <c r="C39500" t="s">
        <v>1229</v>
      </c>
      <c r="D39500">
        <v>0</v>
      </c>
      <c r="E39500">
        <v>2</v>
      </c>
      <c r="F39500">
        <v>1758</v>
      </c>
    </row>
    <row r="39501" spans="1:6" ht="15.75" customHeight="1">
      <c r="A39501" s="3">
        <v>43874.10292824074</v>
      </c>
      <c r="B39501" t="str">
        <f>HYPERLINK("https://twitter.com/JhonniSinaga20","@JhonniSinaga20")</f>
        <v>@JhonniSinaga20</v>
      </c>
      <c r="C39501" t="s">
        <v>1230</v>
      </c>
      <c r="D39501">
        <v>0</v>
      </c>
      <c r="E39501">
        <v>0</v>
      </c>
      <c r="F39501">
        <v>527</v>
      </c>
    </row>
    <row r="39502" spans="1:6" ht="15.75" customHeight="1">
      <c r="A39502" s="3">
        <v>43874.091203703705</v>
      </c>
      <c r="B39502" t="str">
        <f>HYPERLINK("https://twitter.com/UstianaRestian","@UstianaRestian")</f>
        <v>@UstianaRestian</v>
      </c>
      <c r="C39502" t="s">
        <v>1231</v>
      </c>
      <c r="D39502">
        <v>0</v>
      </c>
      <c r="E39502">
        <v>0</v>
      </c>
      <c r="F39502">
        <v>613</v>
      </c>
    </row>
    <row r="39503" spans="1:6" ht="15.75" customHeight="1">
      <c r="A39503" s="3">
        <v>43874.083530092597</v>
      </c>
      <c r="B39503" t="str">
        <f>HYPERLINK("https://twitter.com/bahmandor","@bahmandor")</f>
        <v>@bahmandor</v>
      </c>
      <c r="C39503" t="s">
        <v>1232</v>
      </c>
      <c r="D39503">
        <v>0</v>
      </c>
      <c r="E39503">
        <v>1</v>
      </c>
      <c r="F39503">
        <v>1495</v>
      </c>
    </row>
    <row r="39504" spans="1:6" ht="15.75" customHeight="1">
      <c r="A39504" s="3">
        <v>43874.081643518519</v>
      </c>
      <c r="B39504" t="str">
        <f>HYPERLINK("https://twitter.com/AnggiNahya","@AnggiNahya")</f>
        <v>@AnggiNahya</v>
      </c>
      <c r="C39504" t="s">
        <v>1233</v>
      </c>
      <c r="D39504">
        <v>0</v>
      </c>
      <c r="E39504">
        <v>0</v>
      </c>
      <c r="F39504">
        <v>162</v>
      </c>
    </row>
    <row r="39505" spans="1:6" ht="15.75" customHeight="1">
      <c r="A39505" s="3">
        <v>43874.079386574071</v>
      </c>
      <c r="B39505" t="str">
        <f>HYPERLINK("https://twitter.com/yustinus_esha","@yustinus_esha")</f>
        <v>@yustinus_esha</v>
      </c>
      <c r="C39505" t="s">
        <v>1234</v>
      </c>
      <c r="D39505">
        <v>0</v>
      </c>
      <c r="E39505">
        <v>0</v>
      </c>
      <c r="F39505">
        <v>1252</v>
      </c>
    </row>
    <row r="39506" spans="1:6" ht="15.75" customHeight="1">
      <c r="A39506" s="3">
        <v>43874.0784375</v>
      </c>
      <c r="B39506" t="str">
        <f>HYPERLINK("https://twitter.com/ridwanibnuhasan","@ridwanibnuhasan")</f>
        <v>@ridwanibnuhasan</v>
      </c>
      <c r="C39506" t="s">
        <v>1235</v>
      </c>
      <c r="D39506">
        <v>0</v>
      </c>
      <c r="E39506">
        <v>0</v>
      </c>
      <c r="F39506">
        <v>266</v>
      </c>
    </row>
    <row r="39507" spans="1:6" ht="15.75" customHeight="1">
      <c r="A39507" s="3">
        <v>43874.077800925923</v>
      </c>
      <c r="B39507" t="str">
        <f>HYPERLINK("https://twitter.com/vivanewscom","@vivanewscom")</f>
        <v>@vivanewscom</v>
      </c>
      <c r="C39507" t="s">
        <v>1236</v>
      </c>
      <c r="D39507">
        <v>7</v>
      </c>
      <c r="E39507">
        <v>9</v>
      </c>
      <c r="F39507">
        <v>4059</v>
      </c>
    </row>
    <row r="39508" spans="1:6" ht="15.75" customHeight="1">
      <c r="A39508" s="3">
        <v>43874.074490740742</v>
      </c>
      <c r="B39508" t="str">
        <f>HYPERLINK("https://twitter.com/AlexanderOscar5","@AlexanderOscar5")</f>
        <v>@AlexanderOscar5</v>
      </c>
      <c r="C39508" t="s">
        <v>1237</v>
      </c>
      <c r="D39508">
        <v>0</v>
      </c>
      <c r="E39508">
        <v>0</v>
      </c>
      <c r="F39508">
        <v>2607</v>
      </c>
    </row>
    <row r="39509" spans="1:6" ht="15.75" customHeight="1">
      <c r="A39509" s="3">
        <v>43874.072997685187</v>
      </c>
      <c r="B39509" t="str">
        <f>HYPERLINK("https://twitter.com/Harian_Jogja","@Harian_Jogja")</f>
        <v>@Harian_Jogja</v>
      </c>
      <c r="C39509" t="s">
        <v>1238</v>
      </c>
      <c r="D39509">
        <v>2</v>
      </c>
      <c r="E39509">
        <v>2</v>
      </c>
      <c r="F39509">
        <v>153150</v>
      </c>
    </row>
    <row r="39510" spans="1:6" ht="15.75" customHeight="1">
      <c r="A39510" s="3">
        <v>43874.068472222221</v>
      </c>
      <c r="B39510" t="str">
        <f>HYPERLINK("https://twitter.com/idntimes","@idntimes")</f>
        <v>@idntimes</v>
      </c>
      <c r="C39510" t="s">
        <v>1239</v>
      </c>
      <c r="D39510">
        <v>0</v>
      </c>
      <c r="E39510">
        <v>1</v>
      </c>
      <c r="F39510">
        <v>392639</v>
      </c>
    </row>
    <row r="39511" spans="1:6" ht="15.75" customHeight="1">
      <c r="A39511" s="3">
        <v>43874.057974537034</v>
      </c>
      <c r="B39511" t="str">
        <f>HYPERLINK("https://twitter.com/accunk_nasr","@accunk_nasr")</f>
        <v>@accunk_nasr</v>
      </c>
      <c r="C39511" t="s">
        <v>1240</v>
      </c>
      <c r="D39511">
        <v>0</v>
      </c>
      <c r="E39511">
        <v>0</v>
      </c>
      <c r="F39511">
        <v>584</v>
      </c>
    </row>
    <row r="39512" spans="1:6" ht="15.75" customHeight="1">
      <c r="A39512" s="3">
        <v>43874.05431712963</v>
      </c>
      <c r="B39512" t="str">
        <f>HYPERLINK("https://twitter.com/EricPrd_","@EricPrd_")</f>
        <v>@EricPrd_</v>
      </c>
      <c r="C39512" t="s">
        <v>1241</v>
      </c>
      <c r="D39512">
        <v>0</v>
      </c>
      <c r="E39512">
        <v>0</v>
      </c>
      <c r="F39512">
        <v>45</v>
      </c>
    </row>
    <row r="39513" spans="1:6" ht="15.75" customHeight="1">
      <c r="A39513" s="3">
        <v>43874.051134259258</v>
      </c>
      <c r="B39513" t="str">
        <f>HYPERLINK("https://twitter.com/angelinaojong","@angelinaojong")</f>
        <v>@angelinaojong</v>
      </c>
      <c r="C39513" t="s">
        <v>1242</v>
      </c>
      <c r="D39513">
        <v>0</v>
      </c>
      <c r="E39513">
        <v>0</v>
      </c>
      <c r="F39513">
        <v>278</v>
      </c>
    </row>
    <row r="39514" spans="1:6" ht="15.75" customHeight="1">
      <c r="A39514" s="3">
        <v>43874.042280092588</v>
      </c>
      <c r="B39514" t="str">
        <f>HYPERLINK("https://twitter.com/EkoSeputro13","@EkoSeputro13")</f>
        <v>@EkoSeputro13</v>
      </c>
      <c r="C39514" t="s">
        <v>1243</v>
      </c>
      <c r="D39514">
        <v>1</v>
      </c>
      <c r="E39514">
        <v>13</v>
      </c>
      <c r="F39514">
        <v>2127</v>
      </c>
    </row>
    <row r="39515" spans="1:6" ht="15.75" customHeight="1">
      <c r="A39515" s="3">
        <v>43874.03696759259</v>
      </c>
      <c r="B39515" t="str">
        <f>HYPERLINK("https://twitter.com/P3nj3l4j4h_id","@P3nj3l4j4h_id")</f>
        <v>@P3nj3l4j4h_id</v>
      </c>
      <c r="C39515" t="s">
        <v>1244</v>
      </c>
      <c r="D39515">
        <v>3</v>
      </c>
      <c r="E39515">
        <v>13</v>
      </c>
      <c r="F39515">
        <v>15364</v>
      </c>
    </row>
    <row r="39516" spans="1:6" ht="15.75" customHeight="1">
      <c r="A39516" s="3">
        <v>43874.035810185189</v>
      </c>
      <c r="B39516" t="str">
        <f>HYPERLINK("https://twitter.com/avaterkedjoed","@avaterkedjoed")</f>
        <v>@avaterkedjoed</v>
      </c>
      <c r="C39516" t="s">
        <v>1245</v>
      </c>
      <c r="D39516">
        <v>0</v>
      </c>
      <c r="E39516">
        <v>0</v>
      </c>
      <c r="F39516">
        <v>133</v>
      </c>
    </row>
    <row r="39517" spans="1:6" ht="15.75" customHeight="1">
      <c r="A39517" s="3">
        <v>43874.034074074079</v>
      </c>
      <c r="B39517" t="str">
        <f>HYPERLINK("https://twitter.com/anamoelya","@anamoelya")</f>
        <v>@anamoelya</v>
      </c>
      <c r="C39517" t="s">
        <v>1246</v>
      </c>
      <c r="D39517">
        <v>0</v>
      </c>
      <c r="E39517">
        <v>1</v>
      </c>
      <c r="F39517">
        <v>1227</v>
      </c>
    </row>
    <row r="39518" spans="1:6" ht="15.75" customHeight="1">
      <c r="A39518" s="3">
        <v>43874.031817129631</v>
      </c>
      <c r="B39518" t="str">
        <f>HYPERLINK("https://twitter.com/Handi08322267","@Handi08322267")</f>
        <v>@Handi08322267</v>
      </c>
      <c r="C39518" t="s">
        <v>1247</v>
      </c>
      <c r="D39518">
        <v>1</v>
      </c>
      <c r="E39518">
        <v>5</v>
      </c>
      <c r="F39518">
        <v>5271</v>
      </c>
    </row>
    <row r="39519" spans="1:6" ht="15.75" customHeight="1">
      <c r="A39519" s="3">
        <v>43874.031018518523</v>
      </c>
      <c r="B39519" t="str">
        <f>HYPERLINK("https://twitter.com/FireBirdFeniks","@FireBirdFeniks")</f>
        <v>@FireBirdFeniks</v>
      </c>
      <c r="C39519" t="s">
        <v>1248</v>
      </c>
      <c r="D39519">
        <v>2</v>
      </c>
      <c r="E39519">
        <v>4</v>
      </c>
      <c r="F39519">
        <v>1746</v>
      </c>
    </row>
    <row r="39520" spans="1:6" ht="15.75" customHeight="1">
      <c r="A39520" s="3">
        <v>43874.030763888892</v>
      </c>
      <c r="B39520" t="str">
        <f>HYPERLINK("https://twitter.com/tigapilarnews","@tigapilarnews")</f>
        <v>@tigapilarnews</v>
      </c>
      <c r="C39520" t="s">
        <v>1249</v>
      </c>
      <c r="D39520">
        <v>0</v>
      </c>
      <c r="E39520">
        <v>1</v>
      </c>
      <c r="F39520">
        <v>57</v>
      </c>
    </row>
    <row r="39521" spans="1:6" ht="15.75" customHeight="1">
      <c r="A39521" s="3">
        <v>43874.029074074075</v>
      </c>
      <c r="B39521" t="str">
        <f>HYPERLINK("https://twitter.com/kanalindonesia","@kanalindonesia")</f>
        <v>@kanalindonesia</v>
      </c>
      <c r="C39521" t="s">
        <v>1250</v>
      </c>
      <c r="D39521">
        <v>0</v>
      </c>
      <c r="E39521">
        <v>0</v>
      </c>
      <c r="F39521">
        <v>84</v>
      </c>
    </row>
    <row r="39522" spans="1:6" ht="15.75" customHeight="1">
      <c r="A39522" s="3">
        <v>43874.028113425928</v>
      </c>
      <c r="B39522" t="str">
        <f>HYPERLINK("https://twitter.com/pakBuena","@pakBuena")</f>
        <v>@pakBuena</v>
      </c>
      <c r="C39522" t="s">
        <v>1251</v>
      </c>
      <c r="D39522">
        <v>0</v>
      </c>
      <c r="E39522">
        <v>0</v>
      </c>
      <c r="F39522">
        <v>415</v>
      </c>
    </row>
    <row r="39523" spans="1:6" ht="15.75" customHeight="1">
      <c r="A39523" s="3">
        <v>43874.017083333332</v>
      </c>
      <c r="B39523" t="str">
        <f>HYPERLINK("https://twitter.com/pdipbandingan","@pdipbandingan")</f>
        <v>@pdipbandingan</v>
      </c>
      <c r="C39523" t="s">
        <v>1252</v>
      </c>
      <c r="D39523">
        <v>0</v>
      </c>
      <c r="E39523">
        <v>1</v>
      </c>
      <c r="F39523">
        <v>1503</v>
      </c>
    </row>
    <row r="39524" spans="1:6" ht="15.75" customHeight="1">
      <c r="A39524" s="3">
        <v>43874.014803240745</v>
      </c>
      <c r="B39524" t="str">
        <f>HYPERLINK("https://twitter.com/PDI_Perjuangan","@PDI_Perjuangan")</f>
        <v>@PDI_Perjuangan</v>
      </c>
      <c r="C39524" t="s">
        <v>1252</v>
      </c>
      <c r="D39524">
        <v>2</v>
      </c>
      <c r="E39524">
        <v>6</v>
      </c>
      <c r="F39524">
        <v>218810</v>
      </c>
    </row>
    <row r="39525" spans="1:6" ht="15.75" customHeight="1">
      <c r="A39525" s="3">
        <v>43874.014699074076</v>
      </c>
      <c r="B39525" t="str">
        <f>HYPERLINK("https://twitter.com/gadisresidu_b3","@gadisresidu_b3")</f>
        <v>@gadisresidu_b3</v>
      </c>
      <c r="C39525" t="s">
        <v>1253</v>
      </c>
      <c r="D39525">
        <v>0</v>
      </c>
      <c r="E39525">
        <v>11</v>
      </c>
      <c r="F39525">
        <v>1602</v>
      </c>
    </row>
    <row r="39526" spans="1:6" ht="15.75" customHeight="1">
      <c r="A39526" s="3">
        <v>43874.004201388889</v>
      </c>
      <c r="B39526" t="str">
        <f>HYPERLINK("https://twitter.com/Zulkiflilubis71","@Zulkiflilubis71")</f>
        <v>@Zulkiflilubis71</v>
      </c>
      <c r="C39526" t="s">
        <v>1254</v>
      </c>
      <c r="D39526">
        <v>5</v>
      </c>
      <c r="E39526">
        <v>13</v>
      </c>
      <c r="F39526">
        <v>13520</v>
      </c>
    </row>
    <row r="39527" spans="1:6" ht="15.75" customHeight="1">
      <c r="A39527" s="3">
        <v>43874.003703703704</v>
      </c>
      <c r="B39527" t="str">
        <f>HYPERLINK("https://twitter.com/harryslyman_","@harryslyman_")</f>
        <v>@harryslyman_</v>
      </c>
      <c r="C39527" t="s">
        <v>1255</v>
      </c>
      <c r="D39527">
        <v>0</v>
      </c>
      <c r="E39527">
        <v>0</v>
      </c>
      <c r="F39527">
        <v>1646</v>
      </c>
    </row>
    <row r="39528" spans="1:6" ht="15.75" customHeight="1">
      <c r="A39528" s="3">
        <v>43874.003159722226</v>
      </c>
      <c r="B39528" t="str">
        <f>HYPERLINK("https://twitter.com/sagakom","@sagakom")</f>
        <v>@sagakom</v>
      </c>
      <c r="C39528" t="s">
        <v>1256</v>
      </c>
      <c r="D39528">
        <v>0</v>
      </c>
      <c r="E39528">
        <v>0</v>
      </c>
      <c r="F39528">
        <v>286</v>
      </c>
    </row>
    <row r="39529" spans="1:6" ht="15.75" customHeight="1">
      <c r="A39529" s="3">
        <v>43874.002129629633</v>
      </c>
      <c r="B39529" t="str">
        <f>HYPERLINK("https://twitter.com/DsSupriyady","@DsSupriyady")</f>
        <v>@DsSupriyady</v>
      </c>
      <c r="C39529" t="s">
        <v>1257</v>
      </c>
      <c r="D39529">
        <v>0</v>
      </c>
      <c r="E39529">
        <v>0</v>
      </c>
      <c r="F39529">
        <v>3866</v>
      </c>
    </row>
    <row r="39530" spans="1:6" ht="15.75" customHeight="1">
      <c r="A39530" s="3">
        <v>43874.001689814817</v>
      </c>
      <c r="B39530" t="str">
        <f>HYPERLINK("https://twitter.com/rawlang","@rawlang")</f>
        <v>@rawlang</v>
      </c>
      <c r="C39530" t="s">
        <v>1258</v>
      </c>
      <c r="D39530">
        <v>0</v>
      </c>
      <c r="E39530">
        <v>0</v>
      </c>
      <c r="F39530">
        <v>131</v>
      </c>
    </row>
    <row r="39531" spans="1:6" ht="15.75" customHeight="1">
      <c r="A39531" s="3">
        <v>43873.997986111106</v>
      </c>
      <c r="B39531" t="str">
        <f>HYPERLINK("https://twitter.com/Onky_Rozie","@Onky_Rozie")</f>
        <v>@Onky_Rozie</v>
      </c>
      <c r="C39531" t="s">
        <v>1259</v>
      </c>
      <c r="D39531">
        <v>0</v>
      </c>
      <c r="E39531">
        <v>2</v>
      </c>
      <c r="F39531">
        <v>93</v>
      </c>
    </row>
    <row r="39532" spans="1:6" ht="15.75" customHeight="1">
      <c r="A39532" s="3">
        <v>43873.997314814813</v>
      </c>
      <c r="B39532" t="str">
        <f>HYPERLINK("https://twitter.com/republikaonline","@republikaonline")</f>
        <v>@republikaonline</v>
      </c>
      <c r="C39532" t="s">
        <v>1260</v>
      </c>
      <c r="D39532">
        <v>0</v>
      </c>
      <c r="E39532">
        <v>3</v>
      </c>
      <c r="F39532">
        <v>1210209</v>
      </c>
    </row>
    <row r="39533" spans="1:6" ht="15.75" customHeight="1">
      <c r="A39533" s="3">
        <v>43873.994351851856</v>
      </c>
      <c r="B39533" t="str">
        <f>HYPERLINK("https://twitter.com/Jokoumb64504158","@Jokoumb64504158")</f>
        <v>@Jokoumb64504158</v>
      </c>
      <c r="C39533" t="s">
        <v>1261</v>
      </c>
      <c r="D39533">
        <v>0</v>
      </c>
      <c r="E39533">
        <v>0</v>
      </c>
      <c r="F39533">
        <v>3356</v>
      </c>
    </row>
    <row r="39534" spans="1:6" ht="15.75" customHeight="1">
      <c r="A39534" s="3">
        <v>43873.992905092593</v>
      </c>
      <c r="B39534" t="str">
        <f>HYPERLINK("https://twitter.com/jevons06","@jevons06")</f>
        <v>@jevons06</v>
      </c>
      <c r="C39534" t="s">
        <v>1262</v>
      </c>
      <c r="D39534">
        <v>0</v>
      </c>
      <c r="E39534">
        <v>0</v>
      </c>
      <c r="F39534">
        <v>170</v>
      </c>
    </row>
    <row r="39535" spans="1:6" ht="15.75" customHeight="1">
      <c r="A39535" s="3">
        <v>43873.990659722222</v>
      </c>
      <c r="B39535" t="str">
        <f>HYPERLINK("https://twitter.com/vivanewscom","@vivanewscom")</f>
        <v>@vivanewscom</v>
      </c>
      <c r="C39535" t="s">
        <v>1263</v>
      </c>
      <c r="D39535">
        <v>2</v>
      </c>
      <c r="E39535">
        <v>1</v>
      </c>
      <c r="F39535">
        <v>4059</v>
      </c>
    </row>
    <row r="39536" spans="1:6" ht="15.75" customHeight="1">
      <c r="A39536" s="3">
        <v>43873.989594907413</v>
      </c>
      <c r="B39536" t="str">
        <f>HYPERLINK("https://twitter.com/iNewsID","@iNewsID")</f>
        <v>@iNewsID</v>
      </c>
      <c r="C39536" t="s">
        <v>1264</v>
      </c>
      <c r="D39536">
        <v>0</v>
      </c>
      <c r="E39536">
        <v>0</v>
      </c>
      <c r="F39536">
        <v>1253</v>
      </c>
    </row>
    <row r="39537" spans="1:6" ht="15.75" customHeight="1">
      <c r="A39537" s="3">
        <v>43873.98914351852</v>
      </c>
      <c r="B39537" t="str">
        <f>HYPERLINK("https://twitter.com/PojokNU","@PojokNU")</f>
        <v>@PojokNU</v>
      </c>
      <c r="C39537" t="s">
        <v>1265</v>
      </c>
      <c r="D39537">
        <v>0</v>
      </c>
      <c r="E39537">
        <v>0</v>
      </c>
      <c r="F39537">
        <v>696</v>
      </c>
    </row>
    <row r="39538" spans="1:6" ht="15.75" customHeight="1">
      <c r="A39538" s="3">
        <v>43873.988206018519</v>
      </c>
      <c r="B39538" t="str">
        <f>HYPERLINK("https://twitter.com/dionMomongan","@dionMomongan")</f>
        <v>@dionMomongan</v>
      </c>
      <c r="C39538" t="s">
        <v>1266</v>
      </c>
      <c r="D39538">
        <v>0</v>
      </c>
      <c r="E39538">
        <v>0</v>
      </c>
      <c r="F39538">
        <v>5084</v>
      </c>
    </row>
    <row r="39539" spans="1:6" ht="15.75" customHeight="1">
      <c r="A39539" s="3">
        <v>43873.987939814819</v>
      </c>
      <c r="B39539" t="str">
        <f>HYPERLINK("https://twitter.com/indozonemedia","@indozonemedia")</f>
        <v>@indozonemedia</v>
      </c>
      <c r="C39539" t="s">
        <v>1267</v>
      </c>
      <c r="D39539">
        <v>0</v>
      </c>
      <c r="E39539">
        <v>1</v>
      </c>
      <c r="F39539">
        <v>1787941</v>
      </c>
    </row>
    <row r="39540" spans="1:6" ht="15.75" customHeight="1">
      <c r="A39540" s="3">
        <v>43873.987222222218</v>
      </c>
      <c r="B39540" t="str">
        <f>HYPERLINK("https://twitter.com/Vendra_Deje","@Vendra_Deje")</f>
        <v>@Vendra_Deje</v>
      </c>
      <c r="C39540" t="s">
        <v>1268</v>
      </c>
      <c r="D39540">
        <v>3</v>
      </c>
      <c r="E39540">
        <v>4</v>
      </c>
      <c r="F39540">
        <v>3132</v>
      </c>
    </row>
    <row r="39541" spans="1:6" ht="15.75" customHeight="1">
      <c r="A39541" s="3">
        <v>43873.986840277779</v>
      </c>
      <c r="B39541" t="str">
        <f>HYPERLINK("https://twitter.com/killinqjo21","@killinqjo21")</f>
        <v>@killinqjo21</v>
      </c>
      <c r="C39541" t="s">
        <v>1269</v>
      </c>
      <c r="D39541">
        <v>0</v>
      </c>
      <c r="E39541">
        <v>0</v>
      </c>
      <c r="F39541">
        <v>55</v>
      </c>
    </row>
    <row r="39542" spans="1:6" ht="15.75" customHeight="1">
      <c r="A39542" s="3">
        <v>43873.984282407408</v>
      </c>
      <c r="B39542" t="str">
        <f>HYPERLINK("https://twitter.com/merdekadotcom","@merdekadotcom")</f>
        <v>@merdekadotcom</v>
      </c>
      <c r="C39542" t="s">
        <v>1270</v>
      </c>
      <c r="D39542">
        <v>2</v>
      </c>
      <c r="E39542">
        <v>4</v>
      </c>
      <c r="F39542">
        <v>230398</v>
      </c>
    </row>
    <row r="39543" spans="1:6" ht="15.75" customHeight="1">
      <c r="A39543" s="3">
        <v>43873.983275462961</v>
      </c>
      <c r="B39543" t="str">
        <f>HYPERLINK("https://twitter.com/Totokalhaqq3","@Totokalhaqq3")</f>
        <v>@Totokalhaqq3</v>
      </c>
      <c r="C39543" t="s">
        <v>1271</v>
      </c>
      <c r="D39543">
        <v>0</v>
      </c>
      <c r="E39543">
        <v>0</v>
      </c>
      <c r="F39543">
        <v>1489</v>
      </c>
    </row>
    <row r="39544" spans="1:6" ht="15.75" customHeight="1">
      <c r="A39544" s="3">
        <v>43873.981342592597</v>
      </c>
      <c r="B39544" t="str">
        <f>HYPERLINK("https://twitter.com/dumplingkisses","@dumplingkisses")</f>
        <v>@dumplingkisses</v>
      </c>
      <c r="C39544" t="s">
        <v>1272</v>
      </c>
      <c r="D39544">
        <v>0</v>
      </c>
      <c r="E39544">
        <v>0</v>
      </c>
      <c r="F39544">
        <v>148</v>
      </c>
    </row>
    <row r="39545" spans="1:6" ht="15.75" customHeight="1">
      <c r="A39545" s="3">
        <v>43873.980972222227</v>
      </c>
      <c r="B39545" t="str">
        <f>HYPERLINK("https://twitter.com/hajinewsonline","@hajinewsonline")</f>
        <v>@hajinewsonline</v>
      </c>
      <c r="C39545" t="s">
        <v>1273</v>
      </c>
      <c r="D39545">
        <v>0</v>
      </c>
      <c r="E39545">
        <v>0</v>
      </c>
      <c r="F39545">
        <v>19</v>
      </c>
    </row>
    <row r="39546" spans="1:6" ht="15.75" customHeight="1">
      <c r="A39546" s="3">
        <v>43873.98055555555</v>
      </c>
      <c r="B39546" t="str">
        <f>HYPERLINK("https://twitter.com/JhonniSinaga20","@JhonniSinaga20")</f>
        <v>@JhonniSinaga20</v>
      </c>
      <c r="C39546" t="s">
        <v>1274</v>
      </c>
      <c r="D39546">
        <v>0</v>
      </c>
      <c r="E39546">
        <v>0</v>
      </c>
      <c r="F39546">
        <v>527</v>
      </c>
    </row>
    <row r="39547" spans="1:6" ht="15.75" customHeight="1">
      <c r="A39547" s="3">
        <v>43873.97923611111</v>
      </c>
      <c r="B39547" t="str">
        <f>HYPERLINK("https://twitter.com/guidomerung","@guidomerung")</f>
        <v>@guidomerung</v>
      </c>
      <c r="D39547">
        <v>0</v>
      </c>
      <c r="E39547">
        <v>0</v>
      </c>
      <c r="F39547">
        <v>461</v>
      </c>
    </row>
    <row r="39548" spans="1:6" ht="15.75" customHeight="1">
      <c r="A39548" s="3">
        <v>43873.975578703699</v>
      </c>
      <c r="B39548" t="str">
        <f>HYPERLINK("https://twitter.com/iNewsID","@iNewsID")</f>
        <v>@iNewsID</v>
      </c>
      <c r="C39548" t="s">
        <v>1275</v>
      </c>
      <c r="D39548">
        <v>0</v>
      </c>
      <c r="E39548">
        <v>0</v>
      </c>
      <c r="F39548">
        <v>1253</v>
      </c>
    </row>
    <row r="39549" spans="1:6" ht="15.75" customHeight="1">
      <c r="A39549" s="3">
        <v>43873.974317129629</v>
      </c>
      <c r="B39549" t="str">
        <f>HYPERLINK("https://twitter.com/RepublikTweep","@RepublikTweep")</f>
        <v>@RepublikTweep</v>
      </c>
      <c r="C39549" t="s">
        <v>1276</v>
      </c>
      <c r="D39549">
        <v>0</v>
      </c>
      <c r="E39549">
        <v>3</v>
      </c>
      <c r="F39549">
        <v>26983</v>
      </c>
    </row>
    <row r="39550" spans="1:6" ht="15.75" customHeight="1">
      <c r="A39550" s="3">
        <v>43873.971655092595</v>
      </c>
      <c r="B39550" t="str">
        <f>HYPERLINK("https://twitter.com/semiaji_w","@semiaji_w")</f>
        <v>@semiaji_w</v>
      </c>
      <c r="D39550">
        <v>1</v>
      </c>
      <c r="E39550">
        <v>2</v>
      </c>
      <c r="F39550">
        <v>23772</v>
      </c>
    </row>
    <row r="39551" spans="1:6" ht="15.75" customHeight="1">
      <c r="A39551" s="3">
        <v>43873.968692129631</v>
      </c>
      <c r="B39551" t="str">
        <f>HYPERLINK("https://twitter.com/swanylicious","@swanylicious")</f>
        <v>@swanylicious</v>
      </c>
      <c r="C39551" t="s">
        <v>1277</v>
      </c>
      <c r="D39551">
        <v>0</v>
      </c>
      <c r="E39551">
        <v>1</v>
      </c>
      <c r="F39551">
        <v>1438</v>
      </c>
    </row>
    <row r="39552" spans="1:6" ht="15.75" customHeight="1">
      <c r="A39552" s="3">
        <v>43873.96811342593</v>
      </c>
      <c r="B39552" t="str">
        <f>HYPERLINK("https://twitter.com/tangselupdates","@tangselupdates")</f>
        <v>@tangselupdates</v>
      </c>
      <c r="C39552" t="s">
        <v>1278</v>
      </c>
      <c r="D39552">
        <v>0</v>
      </c>
      <c r="E39552">
        <v>0</v>
      </c>
      <c r="F39552">
        <v>2413</v>
      </c>
    </row>
    <row r="39553" spans="1:6" ht="15.75" customHeight="1">
      <c r="A39553" s="3">
        <v>43873.967824074076</v>
      </c>
      <c r="B39553" t="str">
        <f>HYPERLINK("https://twitter.com/ivooxid","@ivooxid")</f>
        <v>@ivooxid</v>
      </c>
      <c r="C39553" t="s">
        <v>1279</v>
      </c>
      <c r="D39553">
        <v>0</v>
      </c>
      <c r="E39553">
        <v>0</v>
      </c>
      <c r="F39553">
        <v>1432</v>
      </c>
    </row>
    <row r="39554" spans="1:6" ht="15.75" customHeight="1">
      <c r="A39554" s="3">
        <v>43873.966898148152</v>
      </c>
      <c r="B39554" t="str">
        <f>HYPERLINK("https://twitter.com/acbaidowi","@acbaidowi")</f>
        <v>@acbaidowi</v>
      </c>
      <c r="C39554" t="s">
        <v>1280</v>
      </c>
      <c r="D39554">
        <v>1</v>
      </c>
      <c r="E39554">
        <v>14</v>
      </c>
      <c r="F39554">
        <v>4084</v>
      </c>
    </row>
    <row r="39555" spans="1:6" ht="15.75" customHeight="1">
      <c r="A39555" s="3">
        <v>43873.965914351851</v>
      </c>
      <c r="B39555" t="str">
        <f>HYPERLINK("https://twitter.com/justisiacom","@justisiacom")</f>
        <v>@justisiacom</v>
      </c>
      <c r="C39555" t="s">
        <v>1281</v>
      </c>
      <c r="D39555">
        <v>0</v>
      </c>
      <c r="E39555">
        <v>4</v>
      </c>
      <c r="F39555">
        <v>985</v>
      </c>
    </row>
    <row r="39556" spans="1:6" ht="15.75" customHeight="1">
      <c r="A39556" s="3">
        <v>43873.96497685185</v>
      </c>
      <c r="B39556" t="str">
        <f>HYPERLINK("https://twitter.com/_gayahidup","@_gayahidup")</f>
        <v>@_gayahidup</v>
      </c>
      <c r="C39556" t="s">
        <v>1282</v>
      </c>
      <c r="D39556">
        <v>0</v>
      </c>
      <c r="E39556">
        <v>0</v>
      </c>
      <c r="F39556">
        <v>123</v>
      </c>
    </row>
    <row r="39557" spans="1:6" ht="15.75" customHeight="1">
      <c r="A39557" s="3">
        <v>43873.960787037038</v>
      </c>
      <c r="B39557" t="str">
        <f>HYPERLINK("https://twitter.com/_bekasinews","@_bekasinews")</f>
        <v>@_bekasinews</v>
      </c>
      <c r="C39557" t="s">
        <v>1283</v>
      </c>
      <c r="D39557">
        <v>0</v>
      </c>
      <c r="E39557">
        <v>0</v>
      </c>
      <c r="F39557">
        <v>204</v>
      </c>
    </row>
    <row r="39558" spans="1:6" ht="15.75" customHeight="1">
      <c r="A39558" s="3">
        <v>43873.960532407407</v>
      </c>
      <c r="B39558" t="str">
        <f>HYPERLINK("https://twitter.com/Roman78757463","@Roman78757463")</f>
        <v>@Roman78757463</v>
      </c>
      <c r="C39558" t="s">
        <v>1284</v>
      </c>
      <c r="D39558">
        <v>0</v>
      </c>
      <c r="E39558">
        <v>2</v>
      </c>
      <c r="F39558">
        <v>4</v>
      </c>
    </row>
    <row r="39559" spans="1:6" ht="15.75" customHeight="1">
      <c r="A39559" s="3">
        <v>43873.959756944445</v>
      </c>
      <c r="B39559" t="str">
        <f>HYPERLINK("https://twitter.com/SyaefulAn","@SyaefulAn")</f>
        <v>@SyaefulAn</v>
      </c>
      <c r="C39559" t="s">
        <v>1285</v>
      </c>
      <c r="D39559">
        <v>0</v>
      </c>
      <c r="E39559">
        <v>1</v>
      </c>
      <c r="F39559">
        <v>239</v>
      </c>
    </row>
    <row r="39560" spans="1:6" ht="15.75" customHeight="1">
      <c r="A39560" s="3">
        <v>43873.95921296296</v>
      </c>
      <c r="B39560" t="str">
        <f>HYPERLINK("https://twitter.com/MaspiyuuuK","@MaspiyuuuK")</f>
        <v>@MaspiyuuuK</v>
      </c>
      <c r="C39560" t="s">
        <v>1286</v>
      </c>
      <c r="D39560">
        <v>0</v>
      </c>
      <c r="E39560">
        <v>0</v>
      </c>
      <c r="F39560">
        <v>3</v>
      </c>
    </row>
    <row r="39561" spans="1:6" ht="15.75" customHeight="1">
      <c r="A39561" s="3">
        <v>43873.956724537042</v>
      </c>
      <c r="B39561" t="str">
        <f>HYPERLINK("https://twitter.com/burhansetyabudi","@burhansetyabudi")</f>
        <v>@burhansetyabudi</v>
      </c>
      <c r="C39561" t="s">
        <v>1287</v>
      </c>
      <c r="D39561">
        <v>0</v>
      </c>
      <c r="E39561">
        <v>0</v>
      </c>
      <c r="F39561">
        <v>484</v>
      </c>
    </row>
    <row r="39562" spans="1:6" ht="15.75" customHeight="1">
      <c r="A39562" s="3">
        <v>43873.956724537042</v>
      </c>
      <c r="B39562" t="str">
        <f>HYPERLINK("https://twitter.com/lembaranbaroe","@lembaranbaroe")</f>
        <v>@lembaranbaroe</v>
      </c>
      <c r="C39562" t="s">
        <v>1288</v>
      </c>
      <c r="D39562">
        <v>0</v>
      </c>
      <c r="E39562">
        <v>0</v>
      </c>
      <c r="F39562">
        <v>3723</v>
      </c>
    </row>
    <row r="39563" spans="1:6" ht="15.75" customHeight="1">
      <c r="A39563" s="3">
        <v>43873.956666666665</v>
      </c>
      <c r="B39563" t="str">
        <f>HYPERLINK("https://twitter.com/Ion82130964","@Ion82130964")</f>
        <v>@Ion82130964</v>
      </c>
      <c r="C39563" t="s">
        <v>1289</v>
      </c>
      <c r="D39563">
        <v>0</v>
      </c>
      <c r="E39563">
        <v>0</v>
      </c>
      <c r="F39563">
        <v>17</v>
      </c>
    </row>
    <row r="39564" spans="1:6" ht="15.75" customHeight="1">
      <c r="A39564" s="3">
        <v>43873.956273148149</v>
      </c>
      <c r="B39564" t="str">
        <f>HYPERLINK("https://twitter.com/multiplicious","@multiplicious")</f>
        <v>@multiplicious</v>
      </c>
      <c r="C39564" t="s">
        <v>1290</v>
      </c>
      <c r="D39564">
        <v>0</v>
      </c>
      <c r="E39564">
        <v>0</v>
      </c>
      <c r="F39564">
        <v>72</v>
      </c>
    </row>
    <row r="39565" spans="1:6" ht="15.75" customHeight="1">
      <c r="A39565" s="3">
        <v>43873.955590277779</v>
      </c>
      <c r="B39565" t="str">
        <f>HYPERLINK("https://twitter.com/bagaspatifor","@bagaspatifor")</f>
        <v>@bagaspatifor</v>
      </c>
      <c r="C39565" t="s">
        <v>1288</v>
      </c>
      <c r="D39565">
        <v>0</v>
      </c>
      <c r="E39565">
        <v>0</v>
      </c>
      <c r="F39565">
        <v>3</v>
      </c>
    </row>
    <row r="39566" spans="1:6" ht="15.75" customHeight="1">
      <c r="A39566" s="3">
        <v>43873.955567129626</v>
      </c>
      <c r="B39566" t="str">
        <f>HYPERLINK("https://twitter.com/da_revan","@da_revan")</f>
        <v>@da_revan</v>
      </c>
      <c r="C39566" t="s">
        <v>1291</v>
      </c>
      <c r="D39566">
        <v>0</v>
      </c>
      <c r="E39566">
        <v>0</v>
      </c>
      <c r="F39566">
        <v>118</v>
      </c>
    </row>
    <row r="39567" spans="1:6" ht="15.75" customHeight="1">
      <c r="A39567" s="3">
        <v>43873.95480324074</v>
      </c>
      <c r="B39567" t="str">
        <f>HYPERLINK("https://twitter.com/bhre_wengker84","@bhre_wengker84")</f>
        <v>@bhre_wengker84</v>
      </c>
      <c r="C39567" t="s">
        <v>1292</v>
      </c>
      <c r="D39567">
        <v>0</v>
      </c>
      <c r="E39567">
        <v>3</v>
      </c>
      <c r="F39567">
        <v>5056</v>
      </c>
    </row>
    <row r="39568" spans="1:6" ht="15.75" customHeight="1">
      <c r="A39568" s="3">
        <v>43873.954525462963</v>
      </c>
      <c r="B39568" t="str">
        <f>HYPERLINK("https://twitter.com/Charuvrat1","@Charuvrat1")</f>
        <v>@Charuvrat1</v>
      </c>
      <c r="C39568" t="s">
        <v>1288</v>
      </c>
      <c r="D39568">
        <v>0</v>
      </c>
      <c r="E39568">
        <v>0</v>
      </c>
      <c r="F39568">
        <v>4</v>
      </c>
    </row>
    <row r="39569" spans="1:6" ht="15.75" customHeight="1">
      <c r="A39569" s="3">
        <v>43873.953379629631</v>
      </c>
      <c r="B39569" t="str">
        <f>HYPERLINK("https://twitter.com/Aadesh25823701","@Aadesh25823701")</f>
        <v>@Aadesh25823701</v>
      </c>
      <c r="C39569" t="s">
        <v>1288</v>
      </c>
      <c r="D39569">
        <v>0</v>
      </c>
      <c r="E39569">
        <v>0</v>
      </c>
      <c r="F39569">
        <v>1</v>
      </c>
    </row>
    <row r="39570" spans="1:6" ht="15.75" customHeight="1">
      <c r="A39570" s="3">
        <v>43873.951423611114</v>
      </c>
      <c r="B39570" t="str">
        <f>HYPERLINK("https://twitter.com/KontanNews","@KontanNews")</f>
        <v>@KontanNews</v>
      </c>
      <c r="C39570" t="s">
        <v>1293</v>
      </c>
      <c r="D39570">
        <v>0</v>
      </c>
      <c r="E39570">
        <v>0</v>
      </c>
      <c r="F39570">
        <v>316253</v>
      </c>
    </row>
    <row r="39571" spans="1:6" ht="15.75" customHeight="1">
      <c r="A39571" s="3">
        <v>43873.950578703705</v>
      </c>
      <c r="B39571" t="str">
        <f>HYPERLINK("https://twitter.com/countryRW","@countryRW")</f>
        <v>@countryRW</v>
      </c>
      <c r="C39571" t="s">
        <v>1288</v>
      </c>
      <c r="D39571">
        <v>0</v>
      </c>
      <c r="E39571">
        <v>0</v>
      </c>
      <c r="F39571">
        <v>35184</v>
      </c>
    </row>
    <row r="39572" spans="1:6" ht="15.75" customHeight="1">
      <c r="A39572" s="3">
        <v>43873.949930555551</v>
      </c>
      <c r="B39572" t="str">
        <f>HYPERLINK("https://twitter.com/demokrasicoid","@demokrasicoid")</f>
        <v>@demokrasicoid</v>
      </c>
      <c r="C39572" t="s">
        <v>1294</v>
      </c>
      <c r="D39572">
        <v>0</v>
      </c>
      <c r="E39572">
        <v>0</v>
      </c>
      <c r="F39572">
        <v>22231</v>
      </c>
    </row>
    <row r="39573" spans="1:6" ht="15.75" customHeight="1">
      <c r="A39573" s="3">
        <v>43873.949212962965</v>
      </c>
      <c r="B39573" t="str">
        <f>HYPERLINK("https://twitter.com/teh_tariq","@teh_tariq")</f>
        <v>@teh_tariq</v>
      </c>
      <c r="C39573" t="s">
        <v>1295</v>
      </c>
      <c r="D39573">
        <v>0</v>
      </c>
      <c r="E39573">
        <v>0</v>
      </c>
      <c r="F39573">
        <v>6799</v>
      </c>
    </row>
    <row r="39574" spans="1:6" ht="15.75" customHeight="1">
      <c r="A39574" s="3">
        <v>43873.94809027778</v>
      </c>
      <c r="B39574" t="str">
        <f>HYPERLINK("https://twitter.com/SKaspani_ong","@SKaspani_ong")</f>
        <v>@SKaspani_ong</v>
      </c>
      <c r="C39574" t="s">
        <v>1296</v>
      </c>
      <c r="D39574">
        <v>2</v>
      </c>
      <c r="E39574">
        <v>6</v>
      </c>
      <c r="F39574">
        <v>4399</v>
      </c>
    </row>
    <row r="39575" spans="1:6" ht="15.75" customHeight="1">
      <c r="A39575" s="3">
        <v>43873.947581018518</v>
      </c>
      <c r="B39575" t="str">
        <f>HYPERLINK("https://twitter.com/ferism","@ferism")</f>
        <v>@ferism</v>
      </c>
      <c r="C39575" t="s">
        <v>1297</v>
      </c>
      <c r="D39575">
        <v>0</v>
      </c>
      <c r="E39575">
        <v>0</v>
      </c>
      <c r="F39575">
        <v>313</v>
      </c>
    </row>
    <row r="39576" spans="1:6" ht="15.75" customHeight="1">
      <c r="A39576" s="3">
        <v>43873.946840277778</v>
      </c>
      <c r="B39576" t="str">
        <f>HYPERLINK("https://twitter.com/arinirizk","@arinirizk")</f>
        <v>@arinirizk</v>
      </c>
      <c r="C39576" t="s">
        <v>1298</v>
      </c>
      <c r="D39576">
        <v>0</v>
      </c>
      <c r="E39576">
        <v>0</v>
      </c>
      <c r="F39576">
        <v>91</v>
      </c>
    </row>
    <row r="39577" spans="1:6" ht="15.75" customHeight="1">
      <c r="A39577" s="3">
        <v>43873.946631944447</v>
      </c>
      <c r="B39577" t="str">
        <f>HYPERLINK("https://twitter.com/kompasiana","@kompasiana")</f>
        <v>@kompasiana</v>
      </c>
      <c r="C39577" t="s">
        <v>1299</v>
      </c>
      <c r="D39577">
        <v>0</v>
      </c>
      <c r="E39577">
        <v>0</v>
      </c>
      <c r="F39577">
        <v>927795</v>
      </c>
    </row>
    <row r="39578" spans="1:6" ht="15.75" customHeight="1">
      <c r="A39578" s="3">
        <v>43873.946574074071</v>
      </c>
      <c r="B39578" t="str">
        <f>HYPERLINK("https://twitter.com/AhmadFatkurroh5","@AhmadFatkurroh5")</f>
        <v>@AhmadFatkurroh5</v>
      </c>
      <c r="C39578" t="s">
        <v>1300</v>
      </c>
      <c r="D39578">
        <v>0</v>
      </c>
      <c r="E39578">
        <v>0</v>
      </c>
      <c r="F39578">
        <v>1190</v>
      </c>
    </row>
    <row r="39579" spans="1:6" ht="15.75" customHeight="1">
      <c r="A39579" s="3">
        <v>43873.9453125</v>
      </c>
      <c r="B39579" t="str">
        <f>HYPERLINK("https://twitter.com/Mmahalik2","@Mmahalik2")</f>
        <v>@Mmahalik2</v>
      </c>
      <c r="C39579" t="s">
        <v>1301</v>
      </c>
      <c r="D39579">
        <v>5</v>
      </c>
      <c r="E39579">
        <v>6</v>
      </c>
      <c r="F39579">
        <v>1621</v>
      </c>
    </row>
    <row r="39580" spans="1:6" ht="15.75" customHeight="1">
      <c r="A39580" s="3">
        <v>43873.944965277777</v>
      </c>
      <c r="B39580" t="str">
        <f>HYPERLINK("https://twitter.com/tunnov","@tunnov")</f>
        <v>@tunnov</v>
      </c>
      <c r="C39580" t="s">
        <v>1302</v>
      </c>
      <c r="D39580">
        <v>2</v>
      </c>
      <c r="E39580">
        <v>8</v>
      </c>
      <c r="F39580">
        <v>332</v>
      </c>
    </row>
    <row r="39581" spans="1:6" ht="15.75" customHeight="1">
      <c r="A39581" s="3">
        <v>43873.944340277776</v>
      </c>
      <c r="B39581" t="str">
        <f>HYPERLINK("https://twitter.com/alygattor","@alygattor")</f>
        <v>@alygattor</v>
      </c>
      <c r="C39581" t="s">
        <v>1303</v>
      </c>
      <c r="D39581">
        <v>0</v>
      </c>
      <c r="E39581">
        <v>0</v>
      </c>
      <c r="F39581">
        <v>37</v>
      </c>
    </row>
    <row r="39582" spans="1:6" ht="15.75" customHeight="1">
      <c r="A39582" s="3">
        <v>43873.944131944445</v>
      </c>
      <c r="B39582" t="str">
        <f>HYPERLINK("https://twitter.com/fajaralam9","@fajaralam9")</f>
        <v>@fajaralam9</v>
      </c>
      <c r="C39582" t="s">
        <v>1304</v>
      </c>
      <c r="D39582">
        <v>0</v>
      </c>
      <c r="E39582">
        <v>0</v>
      </c>
      <c r="F39582">
        <v>1912</v>
      </c>
    </row>
    <row r="39583" spans="1:6" ht="15.75" customHeight="1">
      <c r="A39583" s="3">
        <v>43873.944120370375</v>
      </c>
      <c r="B39583" t="str">
        <f>HYPERLINK("https://twitter.com/bisnisindgroup","@bisnisindgroup")</f>
        <v>@bisnisindgroup</v>
      </c>
      <c r="C39583" t="s">
        <v>1305</v>
      </c>
      <c r="D39583">
        <v>0</v>
      </c>
      <c r="E39583">
        <v>0</v>
      </c>
      <c r="F39583">
        <v>7299</v>
      </c>
    </row>
    <row r="39584" spans="1:6" ht="15.75" customHeight="1">
      <c r="A39584" s="3">
        <v>43873.943611111114</v>
      </c>
      <c r="B39584" t="str">
        <f>HYPERLINK("https://twitter.com/sigitwid","@sigitwid")</f>
        <v>@sigitwid</v>
      </c>
      <c r="C39584" t="s">
        <v>1306</v>
      </c>
      <c r="D39584">
        <v>10</v>
      </c>
      <c r="E39584">
        <v>27</v>
      </c>
      <c r="F39584">
        <v>7936</v>
      </c>
    </row>
    <row r="39585" spans="1:6" ht="15.75" customHeight="1">
      <c r="A39585" s="3">
        <v>43873.943252314813</v>
      </c>
      <c r="B39585" t="str">
        <f>HYPERLINK("https://twitter.com/republika_tv","@republika_tv")</f>
        <v>@republika_tv</v>
      </c>
      <c r="C39585" t="s">
        <v>1307</v>
      </c>
      <c r="D39585">
        <v>0</v>
      </c>
      <c r="E39585">
        <v>0</v>
      </c>
      <c r="F39585">
        <v>5</v>
      </c>
    </row>
    <row r="39586" spans="1:6" ht="15.75" customHeight="1">
      <c r="A39586" s="3">
        <v>43873.941145833334</v>
      </c>
      <c r="B39586" t="str">
        <f>HYPERLINK("https://twitter.com/adriramadhan","@adriramadhan")</f>
        <v>@adriramadhan</v>
      </c>
      <c r="C39586" t="s">
        <v>1308</v>
      </c>
      <c r="D39586">
        <v>0</v>
      </c>
      <c r="E39586">
        <v>0</v>
      </c>
      <c r="F39586">
        <v>107</v>
      </c>
    </row>
    <row r="39587" spans="1:6" ht="15.75" customHeight="1">
      <c r="A39587" s="3">
        <v>43873.939699074079</v>
      </c>
      <c r="B39587" t="str">
        <f>HYPERLINK("https://twitter.com/Mbonefranklin1","@Mbonefranklin1")</f>
        <v>@Mbonefranklin1</v>
      </c>
      <c r="C39587" t="s">
        <v>1309</v>
      </c>
      <c r="D39587">
        <v>0</v>
      </c>
      <c r="E39587">
        <v>0</v>
      </c>
      <c r="F39587">
        <v>0</v>
      </c>
    </row>
    <row r="39588" spans="1:6" ht="15.75" customHeight="1">
      <c r="A39588" s="3">
        <v>43873.938877314809</v>
      </c>
      <c r="B39588" t="str">
        <f>HYPERLINK("https://twitter.com/cagubnyinyir2","@cagubnyinyir2")</f>
        <v>@cagubnyinyir2</v>
      </c>
      <c r="C39588" t="s">
        <v>1310</v>
      </c>
      <c r="D39588">
        <v>8</v>
      </c>
      <c r="E39588">
        <v>14</v>
      </c>
      <c r="F39588">
        <v>4237</v>
      </c>
    </row>
    <row r="39589" spans="1:6" ht="15.75" customHeight="1">
      <c r="A39589" s="3">
        <v>43873.938819444447</v>
      </c>
      <c r="B39589" t="str">
        <f>HYPERLINK("https://twitter.com/masfahmiii","@masfahmiii")</f>
        <v>@masfahmiii</v>
      </c>
      <c r="C39589" t="s">
        <v>1311</v>
      </c>
      <c r="D39589">
        <v>0</v>
      </c>
      <c r="E39589">
        <v>0</v>
      </c>
      <c r="F39589">
        <v>61</v>
      </c>
    </row>
    <row r="39590" spans="1:6" ht="15.75" customHeight="1">
      <c r="A39590" s="3">
        <v>43873.938680555555</v>
      </c>
      <c r="B39590" t="str">
        <f>HYPERLINK("https://twitter.com/Dimayushop","@Dimayushop")</f>
        <v>@Dimayushop</v>
      </c>
      <c r="C39590" t="s">
        <v>1312</v>
      </c>
      <c r="D39590">
        <v>0</v>
      </c>
      <c r="E39590">
        <v>1</v>
      </c>
      <c r="F39590">
        <v>1106</v>
      </c>
    </row>
    <row r="39591" spans="1:6" ht="15.75" customHeight="1">
      <c r="A39591" s="3">
        <v>43873.937916666662</v>
      </c>
      <c r="B39591" t="str">
        <f>HYPERLINK("https://twitter.com/dhanimahendra","@dhanimahendra")</f>
        <v>@dhanimahendra</v>
      </c>
      <c r="C39591" t="s">
        <v>1313</v>
      </c>
      <c r="D39591">
        <v>0</v>
      </c>
      <c r="E39591">
        <v>0</v>
      </c>
      <c r="F39591">
        <v>378</v>
      </c>
    </row>
    <row r="39592" spans="1:6" ht="15.75" customHeight="1">
      <c r="A39592" s="3">
        <v>43873.937881944439</v>
      </c>
      <c r="B39592" t="str">
        <f>HYPERLINK("https://twitter.com/TribunNew5","@TribunNew5")</f>
        <v>@TribunNew5</v>
      </c>
      <c r="C39592" t="s">
        <v>1314</v>
      </c>
      <c r="D39592">
        <v>0</v>
      </c>
      <c r="E39592">
        <v>1</v>
      </c>
      <c r="F39592">
        <v>515</v>
      </c>
    </row>
    <row r="39593" spans="1:6" ht="15.75" customHeight="1">
      <c r="A39593" s="3">
        <v>43873.937638888892</v>
      </c>
      <c r="B39593" t="str">
        <f>HYPERLINK("https://twitter.com/atapjebol","@atapjebol")</f>
        <v>@atapjebol</v>
      </c>
      <c r="C39593" t="s">
        <v>1315</v>
      </c>
      <c r="D39593">
        <v>0</v>
      </c>
      <c r="E39593">
        <v>0</v>
      </c>
      <c r="F39593">
        <v>21</v>
      </c>
    </row>
    <row r="39594" spans="1:6" ht="15.75" customHeight="1">
      <c r="A39594" s="3">
        <v>43873.937349537038</v>
      </c>
      <c r="B39594" t="str">
        <f>HYPERLINK("https://twitter.com/Gareng04188128","@Gareng04188128")</f>
        <v>@Gareng04188128</v>
      </c>
      <c r="C39594" t="s">
        <v>1316</v>
      </c>
      <c r="D39594">
        <v>0</v>
      </c>
      <c r="E39594">
        <v>0</v>
      </c>
      <c r="F39594">
        <v>7</v>
      </c>
    </row>
    <row r="39595" spans="1:6" ht="15.75" customHeight="1">
      <c r="A39595" s="3">
        <v>43873.936712962968</v>
      </c>
      <c r="B39595" t="str">
        <f>HYPERLINK("https://twitter.com/odmumdo","@odmumdo")</f>
        <v>@odmumdo</v>
      </c>
      <c r="C39595" t="s">
        <v>1317</v>
      </c>
      <c r="D39595">
        <v>0</v>
      </c>
      <c r="E39595">
        <v>0</v>
      </c>
      <c r="F39595">
        <v>0</v>
      </c>
    </row>
    <row r="39596" spans="1:6" ht="15.75" customHeight="1">
      <c r="A39596" s="3">
        <v>43873.936678240745</v>
      </c>
      <c r="B39596" t="str">
        <f>HYPERLINK("https://twitter.com/sirajapadoha","@sirajapadoha")</f>
        <v>@sirajapadoha</v>
      </c>
      <c r="C39596" t="s">
        <v>1318</v>
      </c>
      <c r="D39596">
        <v>1</v>
      </c>
      <c r="E39596">
        <v>1</v>
      </c>
      <c r="F39596">
        <v>2400</v>
      </c>
    </row>
    <row r="39597" spans="1:6" ht="15.75" customHeight="1">
      <c r="A39597" s="3">
        <v>43873.935671296298</v>
      </c>
      <c r="B39597" t="str">
        <f>HYPERLINK("https://twitter.com/SetrahDwh","@SetrahDwh")</f>
        <v>@SetrahDwh</v>
      </c>
      <c r="C39597" t="s">
        <v>1319</v>
      </c>
      <c r="D39597">
        <v>0</v>
      </c>
      <c r="E39597">
        <v>0</v>
      </c>
      <c r="F39597">
        <v>47</v>
      </c>
    </row>
    <row r="39598" spans="1:6" ht="15.75" customHeight="1">
      <c r="A39598" s="3">
        <v>43873.935092592597</v>
      </c>
      <c r="B39598" t="str">
        <f>HYPERLINK("https://twitter.com/vivanewscom","@vivanewscom")</f>
        <v>@vivanewscom</v>
      </c>
      <c r="C39598" t="s">
        <v>1320</v>
      </c>
      <c r="D39598">
        <v>3</v>
      </c>
      <c r="E39598">
        <v>8</v>
      </c>
      <c r="F39598">
        <v>4059</v>
      </c>
    </row>
    <row r="39599" spans="1:6" ht="15.75" customHeight="1">
      <c r="A39599" s="3">
        <v>43873.934953703705</v>
      </c>
      <c r="B39599" t="str">
        <f>HYPERLINK("https://twitter.com/adriramadhan","@adriramadhan")</f>
        <v>@adriramadhan</v>
      </c>
      <c r="C39599" t="s">
        <v>1321</v>
      </c>
      <c r="D39599">
        <v>0</v>
      </c>
      <c r="E39599">
        <v>0</v>
      </c>
      <c r="F39599">
        <v>107</v>
      </c>
    </row>
    <row r="39600" spans="1:6" ht="15.75" customHeight="1">
      <c r="A39600" s="3">
        <v>43873.934236111112</v>
      </c>
      <c r="B39600" t="str">
        <f>HYPERLINK("https://twitter.com/cholatta2","@cholatta2")</f>
        <v>@cholatta2</v>
      </c>
      <c r="C39600" t="s">
        <v>1322</v>
      </c>
      <c r="D39600">
        <v>0</v>
      </c>
      <c r="E39600">
        <v>0</v>
      </c>
      <c r="F39600">
        <v>42</v>
      </c>
    </row>
    <row r="39601" spans="1:6" ht="15.75" customHeight="1">
      <c r="A39601" s="3">
        <v>43873.933958333335</v>
      </c>
      <c r="B39601" t="str">
        <f>HYPERLINK("https://twitter.com/odmumdo","@odmumdo")</f>
        <v>@odmumdo</v>
      </c>
      <c r="C39601" t="s">
        <v>1323</v>
      </c>
      <c r="D39601">
        <v>0</v>
      </c>
      <c r="E39601">
        <v>0</v>
      </c>
      <c r="F39601">
        <v>0</v>
      </c>
    </row>
    <row r="39602" spans="1:6" ht="15.75" customHeight="1">
      <c r="A39602" s="3">
        <v>43873.93378472222</v>
      </c>
      <c r="B39602" t="str">
        <f>HYPERLINK("https://twitter.com/cagubnyinyir2","@cagubnyinyir2")</f>
        <v>@cagubnyinyir2</v>
      </c>
      <c r="C39602" t="s">
        <v>1324</v>
      </c>
      <c r="D39602">
        <v>17</v>
      </c>
      <c r="E39602">
        <v>30</v>
      </c>
      <c r="F39602">
        <v>4237</v>
      </c>
    </row>
    <row r="39603" spans="1:6" ht="15.75" customHeight="1">
      <c r="A39603" s="3">
        <v>43873.931909722218</v>
      </c>
      <c r="B39603" t="str">
        <f>HYPERLINK("https://twitter.com/odmumdo","@odmumdo")</f>
        <v>@odmumdo</v>
      </c>
      <c r="C39603" t="s">
        <v>1325</v>
      </c>
      <c r="D39603">
        <v>0</v>
      </c>
      <c r="E39603">
        <v>0</v>
      </c>
      <c r="F39603">
        <v>0</v>
      </c>
    </row>
    <row r="39604" spans="1:6" ht="15.75" customHeight="1">
      <c r="A39604" s="3">
        <v>43873.930625000001</v>
      </c>
      <c r="B39604" t="str">
        <f>HYPERLINK("https://twitter.com/soloposdotcom","@soloposdotcom")</f>
        <v>@soloposdotcom</v>
      </c>
      <c r="C39604" t="s">
        <v>1326</v>
      </c>
      <c r="D39604">
        <v>2</v>
      </c>
      <c r="E39604">
        <v>1</v>
      </c>
      <c r="F39604">
        <v>59814</v>
      </c>
    </row>
    <row r="39605" spans="1:6" ht="15.75" customHeight="1">
      <c r="A39605" s="3">
        <v>43873.930555555555</v>
      </c>
      <c r="B39605" t="str">
        <f>HYPERLINK("https://twitter.com/SayHeiYu","@SayHeiYu")</f>
        <v>@SayHeiYu</v>
      </c>
      <c r="C39605" t="s">
        <v>29</v>
      </c>
      <c r="D39605">
        <v>0</v>
      </c>
      <c r="E39605">
        <v>0</v>
      </c>
      <c r="F39605">
        <v>120179</v>
      </c>
    </row>
    <row r="39606" spans="1:6" ht="15.75" customHeight="1">
      <c r="A39606" s="3">
        <v>43873.929236111115</v>
      </c>
      <c r="B39606" t="str">
        <f>HYPERLINK("https://twitter.com/okezonenews","@okezonenews")</f>
        <v>@okezonenews</v>
      </c>
      <c r="C39606" t="s">
        <v>1327</v>
      </c>
      <c r="D39606">
        <v>0</v>
      </c>
      <c r="E39606">
        <v>1</v>
      </c>
      <c r="F39606">
        <v>1743741</v>
      </c>
    </row>
    <row r="39607" spans="1:6" ht="15.75" customHeight="1">
      <c r="A39607" s="3">
        <v>43873.928668981476</v>
      </c>
      <c r="B39607" t="str">
        <f>HYPERLINK("https://twitter.com/mbah_lemper","@mbah_lemper")</f>
        <v>@mbah_lemper</v>
      </c>
      <c r="C39607" t="s">
        <v>1328</v>
      </c>
      <c r="D39607">
        <v>0</v>
      </c>
      <c r="E39607">
        <v>0</v>
      </c>
      <c r="F39607">
        <v>5038</v>
      </c>
    </row>
    <row r="39608" spans="1:6" ht="15.75" customHeight="1">
      <c r="A39608" s="3">
        <v>43873.926585648151</v>
      </c>
      <c r="B39608" t="str">
        <f>HYPERLINK("https://twitter.com/TaufiqulHannan7","@TaufiqulHannan7")</f>
        <v>@TaufiqulHannan7</v>
      </c>
      <c r="C39608" t="s">
        <v>1329</v>
      </c>
      <c r="D39608">
        <v>18</v>
      </c>
      <c r="E39608">
        <v>116</v>
      </c>
      <c r="F39608">
        <v>15</v>
      </c>
    </row>
    <row r="39609" spans="1:6" ht="15.75" customHeight="1">
      <c r="A39609" s="3">
        <v>43873.925706018519</v>
      </c>
      <c r="B39609" t="str">
        <f>HYPERLINK("https://twitter.com/DenyAxen","@DenyAxen")</f>
        <v>@DenyAxen</v>
      </c>
      <c r="C39609" t="s">
        <v>1330</v>
      </c>
      <c r="D39609">
        <v>1</v>
      </c>
      <c r="E39609">
        <v>2</v>
      </c>
      <c r="F39609">
        <v>453</v>
      </c>
    </row>
    <row r="39610" spans="1:6" ht="15.75" customHeight="1">
      <c r="A39610" s="3">
        <v>43873.925659722227</v>
      </c>
      <c r="B39610" t="str">
        <f>HYPERLINK("https://twitter.com/ImmawanP","@ImmawanP")</f>
        <v>@ImmawanP</v>
      </c>
      <c r="C39610" t="s">
        <v>1331</v>
      </c>
      <c r="D39610">
        <v>0</v>
      </c>
      <c r="E39610">
        <v>0</v>
      </c>
      <c r="F39610">
        <v>0</v>
      </c>
    </row>
    <row r="39611" spans="1:6" ht="15.75" customHeight="1">
      <c r="A39611" s="3">
        <v>43873.92560185185</v>
      </c>
      <c r="B39611" t="str">
        <f>HYPERLINK("https://twitter.com/SiangRemang","@SiangRemang")</f>
        <v>@SiangRemang</v>
      </c>
      <c r="C39611" t="s">
        <v>1332</v>
      </c>
      <c r="D39611">
        <v>0</v>
      </c>
      <c r="E39611">
        <v>5</v>
      </c>
      <c r="F39611">
        <v>488</v>
      </c>
    </row>
    <row r="39612" spans="1:6" ht="15.75" customHeight="1">
      <c r="A39612" s="3">
        <v>43873.925196759257</v>
      </c>
      <c r="B39612" t="str">
        <f>HYPERLINK("https://twitter.com/odmumdo","@odmumdo")</f>
        <v>@odmumdo</v>
      </c>
      <c r="C39612" t="s">
        <v>1333</v>
      </c>
      <c r="D39612">
        <v>0</v>
      </c>
      <c r="E39612">
        <v>0</v>
      </c>
      <c r="F39612">
        <v>0</v>
      </c>
    </row>
    <row r="39613" spans="1:6" ht="15.75" customHeight="1">
      <c r="A39613" s="3">
        <v>43873.925081018519</v>
      </c>
      <c r="B39613" t="str">
        <f>HYPERLINK("https://twitter.com/charlesgultom11","@charlesgultom11")</f>
        <v>@charlesgultom11</v>
      </c>
      <c r="C39613" t="s">
        <v>1334</v>
      </c>
      <c r="D39613">
        <v>0</v>
      </c>
      <c r="E39613">
        <v>0</v>
      </c>
      <c r="F39613">
        <v>876</v>
      </c>
    </row>
    <row r="39614" spans="1:6" ht="15.75" customHeight="1">
      <c r="A39614" s="3">
        <v>43873.923287037032</v>
      </c>
      <c r="B39614" t="str">
        <f>HYPERLINK("https://twitter.com/kompasiana","@kompasiana")</f>
        <v>@kompasiana</v>
      </c>
      <c r="C39614" t="s">
        <v>1299</v>
      </c>
      <c r="D39614">
        <v>6</v>
      </c>
      <c r="E39614">
        <v>14</v>
      </c>
      <c r="F39614">
        <v>927795</v>
      </c>
    </row>
    <row r="39615" spans="1:6" ht="15.75" customHeight="1">
      <c r="A39615" s="3">
        <v>43873.923287037032</v>
      </c>
      <c r="B39615" t="str">
        <f>HYPERLINK("https://twitter.com/kompascom","@kompascom")</f>
        <v>@kompascom</v>
      </c>
      <c r="C39615" t="s">
        <v>1335</v>
      </c>
      <c r="D39615">
        <v>3</v>
      </c>
      <c r="E39615">
        <v>4</v>
      </c>
      <c r="F39615">
        <v>7496984</v>
      </c>
    </row>
    <row r="39616" spans="1:6" ht="15.75" customHeight="1">
      <c r="A39616" s="3">
        <v>43873.921689814815</v>
      </c>
      <c r="B39616" t="str">
        <f>HYPERLINK("https://twitter.com/odmumdo","@odmumdo")</f>
        <v>@odmumdo</v>
      </c>
      <c r="C39616" t="s">
        <v>1336</v>
      </c>
      <c r="D39616">
        <v>0</v>
      </c>
      <c r="E39616">
        <v>0</v>
      </c>
      <c r="F39616">
        <v>0</v>
      </c>
    </row>
    <row r="39617" spans="1:6" ht="15.75" customHeight="1">
      <c r="A39617" s="3">
        <v>43873.920833333337</v>
      </c>
      <c r="B39617" t="str">
        <f>HYPERLINK("https://twitter.com/newsmerahputih","@newsmerahputih")</f>
        <v>@newsmerahputih</v>
      </c>
      <c r="C39617" t="s">
        <v>1337</v>
      </c>
      <c r="D39617">
        <v>0</v>
      </c>
      <c r="E39617">
        <v>0</v>
      </c>
      <c r="F39617">
        <v>8745</v>
      </c>
    </row>
    <row r="39618" spans="1:6" ht="15.75" customHeight="1">
      <c r="A39618" s="3">
        <v>43873.920775462961</v>
      </c>
      <c r="B39618" t="str">
        <f>HYPERLINK("https://twitter.com/Ijuunn","@Ijuunn")</f>
        <v>@Ijuunn</v>
      </c>
      <c r="C39618" t="s">
        <v>1338</v>
      </c>
      <c r="D39618">
        <v>2</v>
      </c>
      <c r="E39618">
        <v>0</v>
      </c>
      <c r="F39618">
        <v>379</v>
      </c>
    </row>
    <row r="39619" spans="1:6" ht="15.75" customHeight="1">
      <c r="A39619" s="3">
        <v>43873.919594907406</v>
      </c>
      <c r="B39619" t="str">
        <f>HYPERLINK("https://twitter.com/syarwani_mhd","@syarwani_mhd")</f>
        <v>@syarwani_mhd</v>
      </c>
      <c r="C39619" t="s">
        <v>1339</v>
      </c>
      <c r="D39619">
        <v>0</v>
      </c>
      <c r="E39619">
        <v>0</v>
      </c>
      <c r="F39619">
        <v>1863</v>
      </c>
    </row>
    <row r="39620" spans="1:6" ht="15.75" customHeight="1">
      <c r="A39620" s="3">
        <v>43873.919467592597</v>
      </c>
      <c r="B39620" t="str">
        <f>HYPERLINK("https://twitter.com/atapjebol","@atapjebol")</f>
        <v>@atapjebol</v>
      </c>
      <c r="C39620" t="s">
        <v>1340</v>
      </c>
      <c r="D39620">
        <v>0</v>
      </c>
      <c r="E39620">
        <v>1</v>
      </c>
      <c r="F39620">
        <v>21</v>
      </c>
    </row>
    <row r="39621" spans="1:6" ht="15.75" customHeight="1">
      <c r="A39621" s="3">
        <v>43873.919328703705</v>
      </c>
      <c r="B39621" t="str">
        <f>HYPERLINK("https://twitter.com/PetrusWiyono","@PetrusWiyono")</f>
        <v>@PetrusWiyono</v>
      </c>
      <c r="C39621" t="s">
        <v>1341</v>
      </c>
      <c r="D39621">
        <v>0</v>
      </c>
      <c r="E39621">
        <v>0</v>
      </c>
      <c r="F39621">
        <v>2</v>
      </c>
    </row>
    <row r="39622" spans="1:6" ht="15.75" customHeight="1">
      <c r="A39622" s="3">
        <v>43873.918564814812</v>
      </c>
      <c r="B39622" t="str">
        <f>HYPERLINK("https://twitter.com/sirodjudin01","@sirodjudin01")</f>
        <v>@sirodjudin01</v>
      </c>
      <c r="C39622" t="s">
        <v>1342</v>
      </c>
      <c r="D39622">
        <v>1</v>
      </c>
      <c r="E39622">
        <v>8</v>
      </c>
      <c r="F39622">
        <v>8019</v>
      </c>
    </row>
    <row r="39623" spans="1:6" ht="15.75" customHeight="1">
      <c r="A39623" s="3">
        <v>43873.918136574073</v>
      </c>
      <c r="B39623" t="str">
        <f>HYPERLINK("https://twitter.com/Jualbajumuslimm","@Jualbajumuslimm")</f>
        <v>@Jualbajumuslimm</v>
      </c>
      <c r="C39623" t="s">
        <v>1343</v>
      </c>
      <c r="D39623">
        <v>0</v>
      </c>
      <c r="E39623">
        <v>0</v>
      </c>
      <c r="F39623">
        <v>64</v>
      </c>
    </row>
    <row r="39624" spans="1:6" ht="15.75" customHeight="1">
      <c r="A39624" s="3">
        <v>43873.917974537035</v>
      </c>
      <c r="B39624" t="str">
        <f>HYPERLINK("https://twitter.com/odmumdo","@odmumdo")</f>
        <v>@odmumdo</v>
      </c>
      <c r="C39624" t="s">
        <v>1344</v>
      </c>
      <c r="D39624">
        <v>0</v>
      </c>
      <c r="E39624">
        <v>0</v>
      </c>
      <c r="F39624">
        <v>0</v>
      </c>
    </row>
    <row r="39625" spans="1:6" ht="15.75" customHeight="1">
      <c r="A39625" s="3">
        <v>43873.917546296296</v>
      </c>
      <c r="B39625" t="str">
        <f>HYPERLINK("https://twitter.com/cindyarst","@cindyarst")</f>
        <v>@cindyarst</v>
      </c>
      <c r="C39625" t="s">
        <v>1345</v>
      </c>
      <c r="D39625">
        <v>0</v>
      </c>
      <c r="E39625">
        <v>1</v>
      </c>
      <c r="F39625">
        <v>668</v>
      </c>
    </row>
    <row r="39626" spans="1:6" ht="15.75" customHeight="1">
      <c r="A39626" s="3">
        <v>43873.917407407411</v>
      </c>
      <c r="B39626" t="str">
        <f t="shared" ref="B39626:B39627" si="470">HYPERLINK("https://twitter.com/Indopolitika","@Indopolitika")</f>
        <v>@Indopolitika</v>
      </c>
      <c r="C39626" t="s">
        <v>1346</v>
      </c>
      <c r="D39626">
        <v>0</v>
      </c>
      <c r="E39626">
        <v>0</v>
      </c>
      <c r="F39626">
        <v>10605</v>
      </c>
    </row>
    <row r="39627" spans="1:6" ht="15.75" customHeight="1">
      <c r="A39627" s="3">
        <v>43873.917291666672</v>
      </c>
      <c r="B39627" t="str">
        <f t="shared" si="470"/>
        <v>@Indopolitika</v>
      </c>
      <c r="C39627" t="s">
        <v>1347</v>
      </c>
      <c r="D39627">
        <v>0</v>
      </c>
      <c r="E39627">
        <v>0</v>
      </c>
      <c r="F39627">
        <v>10605</v>
      </c>
    </row>
    <row r="39628" spans="1:6" ht="15.75" customHeight="1">
      <c r="A39628" s="3">
        <v>43873.917129629626</v>
      </c>
      <c r="B39628" t="str">
        <f>HYPERLINK("https://twitter.com/odmumdo","@odmumdo")</f>
        <v>@odmumdo</v>
      </c>
      <c r="C39628" t="s">
        <v>1348</v>
      </c>
      <c r="D39628">
        <v>0</v>
      </c>
      <c r="E39628">
        <v>0</v>
      </c>
      <c r="F39628">
        <v>0</v>
      </c>
    </row>
    <row r="39629" spans="1:6" ht="15.75" customHeight="1">
      <c r="A39629" s="3">
        <v>43873.916921296295</v>
      </c>
      <c r="B39629" t="str">
        <f>HYPERLINK("https://twitter.com/ajnndotnet","@ajnndotnet")</f>
        <v>@ajnndotnet</v>
      </c>
      <c r="C39629" t="s">
        <v>1349</v>
      </c>
      <c r="D39629">
        <v>0</v>
      </c>
      <c r="E39629">
        <v>0</v>
      </c>
      <c r="F39629">
        <v>3033</v>
      </c>
    </row>
    <row r="39630" spans="1:6" ht="15.75" customHeight="1">
      <c r="A39630" s="3">
        <v>43873.915682870371</v>
      </c>
      <c r="B39630" t="str">
        <f>HYPERLINK("https://twitter.com/negativisme","@negativisme")</f>
        <v>@negativisme</v>
      </c>
      <c r="C39630" t="s">
        <v>1350</v>
      </c>
      <c r="D39630">
        <v>57</v>
      </c>
      <c r="E39630">
        <v>48</v>
      </c>
      <c r="F39630">
        <v>155765</v>
      </c>
    </row>
    <row r="39631" spans="1:6" ht="15.75" customHeight="1">
      <c r="A39631" s="3">
        <v>43873.915104166663</v>
      </c>
      <c r="B39631" t="str">
        <f>HYPERLINK("https://twitter.com/aldidesri","@aldidesri")</f>
        <v>@aldidesri</v>
      </c>
      <c r="C39631" t="s">
        <v>1351</v>
      </c>
      <c r="D39631">
        <v>1</v>
      </c>
      <c r="E39631">
        <v>3</v>
      </c>
      <c r="F39631">
        <v>2316</v>
      </c>
    </row>
    <row r="39632" spans="1:6" ht="15.75" customHeight="1">
      <c r="A39632" s="3">
        <v>43873.914918981478</v>
      </c>
      <c r="B39632" t="str">
        <f>HYPERLINK("https://twitter.com/berniemohammad","@berniemohammad")</f>
        <v>@berniemohammad</v>
      </c>
      <c r="C39632" t="s">
        <v>1352</v>
      </c>
      <c r="D39632">
        <v>3</v>
      </c>
      <c r="E39632">
        <v>4</v>
      </c>
      <c r="F39632">
        <v>1121</v>
      </c>
    </row>
    <row r="39633" spans="1:6" ht="15.75" customHeight="1">
      <c r="A39633" s="3">
        <v>43873.913159722222</v>
      </c>
      <c r="B39633" t="str">
        <f>HYPERLINK("https://twitter.com/DoanxEwon","@DoanxEwon")</f>
        <v>@DoanxEwon</v>
      </c>
      <c r="C39633" t="s">
        <v>1353</v>
      </c>
      <c r="D39633">
        <v>2</v>
      </c>
      <c r="E39633">
        <v>4</v>
      </c>
      <c r="F39633">
        <v>2088</v>
      </c>
    </row>
    <row r="39634" spans="1:6" ht="15.75" customHeight="1">
      <c r="A39634" s="3">
        <v>43873.913113425922</v>
      </c>
      <c r="B39634" t="str">
        <f>HYPERLINK("https://twitter.com/radarkotanews","@radarkotanews")</f>
        <v>@radarkotanews</v>
      </c>
      <c r="C39634" t="s">
        <v>1226</v>
      </c>
      <c r="D39634">
        <v>0</v>
      </c>
      <c r="E39634">
        <v>0</v>
      </c>
      <c r="F39634">
        <v>95</v>
      </c>
    </row>
    <row r="39635" spans="1:6" ht="15.75" customHeight="1">
      <c r="A39635" s="3">
        <v>43873.912743055553</v>
      </c>
      <c r="B39635" t="str">
        <f>HYPERLINK("https://twitter.com/Jakabaring_","@Jakabaring_")</f>
        <v>@Jakabaring_</v>
      </c>
      <c r="C39635" t="s">
        <v>1354</v>
      </c>
      <c r="D39635">
        <v>0</v>
      </c>
      <c r="E39635">
        <v>2</v>
      </c>
      <c r="F39635">
        <v>1108</v>
      </c>
    </row>
    <row r="39636" spans="1:6" ht="15.75" customHeight="1">
      <c r="A39636" s="3">
        <v>43873.912291666667</v>
      </c>
      <c r="B39636" t="str">
        <f>HYPERLINK("https://twitter.com/detikcom","@detikcom")</f>
        <v>@detikcom</v>
      </c>
      <c r="C39636" t="s">
        <v>1355</v>
      </c>
      <c r="D39636">
        <v>22</v>
      </c>
      <c r="E39636">
        <v>106</v>
      </c>
      <c r="F39636">
        <v>15663959</v>
      </c>
    </row>
    <row r="39637" spans="1:6" ht="15.75" customHeight="1">
      <c r="A39637" s="3">
        <v>43873.912199074075</v>
      </c>
      <c r="B39637" t="str">
        <f>HYPERLINK("https://twitter.com/RadioElshinta","@RadioElshinta")</f>
        <v>@RadioElshinta</v>
      </c>
      <c r="C39637" t="s">
        <v>1356</v>
      </c>
      <c r="D39637">
        <v>10</v>
      </c>
      <c r="E39637">
        <v>37</v>
      </c>
      <c r="F39637">
        <v>3633160</v>
      </c>
    </row>
    <row r="39638" spans="1:6" ht="15.75" customHeight="1">
      <c r="A39638" s="3">
        <v>43873.912164351852</v>
      </c>
      <c r="B39638" t="str">
        <f>HYPERLINK("https://twitter.com/Boemi_Pertiwi12","@Boemi_Pertiwi12")</f>
        <v>@Boemi_Pertiwi12</v>
      </c>
      <c r="C39638" t="s">
        <v>1357</v>
      </c>
      <c r="D39638">
        <v>1</v>
      </c>
      <c r="E39638">
        <v>5</v>
      </c>
      <c r="F39638">
        <v>18702</v>
      </c>
    </row>
    <row r="39639" spans="1:6" ht="15.75" customHeight="1">
      <c r="A39639" s="3">
        <v>43873.911886574075</v>
      </c>
      <c r="B39639" t="str">
        <f>HYPERLINK("https://twitter.com/sonadre70","@sonadre70")</f>
        <v>@sonadre70</v>
      </c>
      <c r="C39639" t="s">
        <v>1358</v>
      </c>
      <c r="D39639">
        <v>0</v>
      </c>
      <c r="E39639">
        <v>3</v>
      </c>
      <c r="F39639">
        <v>1150</v>
      </c>
    </row>
    <row r="39640" spans="1:6" ht="15.75" customHeight="1">
      <c r="A39640" s="3">
        <v>43873.910231481481</v>
      </c>
      <c r="B39640" t="str">
        <f>HYPERLINK("https://twitter.com/whidy_an","@whidy_an")</f>
        <v>@whidy_an</v>
      </c>
      <c r="C39640" t="s">
        <v>1359</v>
      </c>
      <c r="D39640">
        <v>0</v>
      </c>
      <c r="E39640">
        <v>0</v>
      </c>
      <c r="F39640">
        <v>1261</v>
      </c>
    </row>
    <row r="39641" spans="1:6" ht="15.75" customHeight="1">
      <c r="A39641" s="3">
        <v>43873.909942129627</v>
      </c>
      <c r="B39641" t="str">
        <f>HYPERLINK("https://twitter.com/SansanDwitami","@SansanDwitami")</f>
        <v>@SansanDwitami</v>
      </c>
      <c r="C39641" t="s">
        <v>1360</v>
      </c>
      <c r="D39641">
        <v>0</v>
      </c>
      <c r="E39641">
        <v>0</v>
      </c>
      <c r="F39641">
        <v>408</v>
      </c>
    </row>
    <row r="39642" spans="1:6" ht="15.75" customHeight="1">
      <c r="A39642" s="3">
        <v>43873.909918981481</v>
      </c>
      <c r="B39642" t="str">
        <f>HYPERLINK("https://twitter.com/semiaji_w","@semiaji_w")</f>
        <v>@semiaji_w</v>
      </c>
      <c r="C39642" t="s">
        <v>1361</v>
      </c>
      <c r="D39642">
        <v>2</v>
      </c>
      <c r="E39642">
        <v>14</v>
      </c>
      <c r="F39642">
        <v>23772</v>
      </c>
    </row>
    <row r="39643" spans="1:6" ht="15.75" customHeight="1">
      <c r="A39643" s="3">
        <v>43873.909780092596</v>
      </c>
      <c r="B39643" t="str">
        <f>HYPERLINK("https://twitter.com/DreamersRadioID","@DreamersRadioID")</f>
        <v>@DreamersRadioID</v>
      </c>
      <c r="C39643" t="s">
        <v>29</v>
      </c>
      <c r="D39643">
        <v>2</v>
      </c>
      <c r="E39643">
        <v>2</v>
      </c>
      <c r="F39643">
        <v>75551</v>
      </c>
    </row>
    <row r="39644" spans="1:6" ht="15.75" customHeight="1">
      <c r="A39644" s="3">
        <v>43873.909756944442</v>
      </c>
      <c r="B39644" t="str">
        <f>HYPERLINK("https://twitter.com/HarianNeraca","@HarianNeraca")</f>
        <v>@HarianNeraca</v>
      </c>
      <c r="C39644" t="s">
        <v>1362</v>
      </c>
      <c r="D39644">
        <v>0</v>
      </c>
      <c r="E39644">
        <v>0</v>
      </c>
      <c r="F39644">
        <v>2464</v>
      </c>
    </row>
    <row r="39645" spans="1:6" ht="15.75" customHeight="1">
      <c r="A39645" s="3">
        <v>43873.909236111111</v>
      </c>
      <c r="B39645" t="str">
        <f>HYPERLINK("https://twitter.com/HarianInhua","@HarianInhua")</f>
        <v>@HarianInhua</v>
      </c>
      <c r="C39645" t="s">
        <v>1363</v>
      </c>
      <c r="D39645">
        <v>0</v>
      </c>
      <c r="E39645">
        <v>0</v>
      </c>
      <c r="F39645">
        <v>88</v>
      </c>
    </row>
    <row r="39646" spans="1:6" ht="15.75" customHeight="1">
      <c r="A39646" s="3">
        <v>43873.908391203702</v>
      </c>
      <c r="B39646" t="str">
        <f>HYPERLINK("https://twitter.com/IdNaluri","@IdNaluri")</f>
        <v>@IdNaluri</v>
      </c>
      <c r="C39646" t="s">
        <v>1364</v>
      </c>
      <c r="D39646">
        <v>0</v>
      </c>
      <c r="E39646">
        <v>0</v>
      </c>
      <c r="F39646">
        <v>5</v>
      </c>
    </row>
    <row r="39647" spans="1:6" ht="15.75" customHeight="1">
      <c r="A39647" s="3">
        <v>43873.90792824074</v>
      </c>
      <c r="B39647" t="str">
        <f>HYPERLINK("https://twitter.com/Ganden52421898","@Ganden52421898")</f>
        <v>@Ganden52421898</v>
      </c>
      <c r="C39647" t="s">
        <v>1365</v>
      </c>
      <c r="D39647">
        <v>0</v>
      </c>
      <c r="E39647">
        <v>1</v>
      </c>
      <c r="F39647">
        <v>47</v>
      </c>
    </row>
    <row r="39648" spans="1:6" ht="15.75" customHeight="1">
      <c r="A39648" s="3">
        <v>43873.907858796301</v>
      </c>
      <c r="B39648" t="str">
        <f>HYPERLINK("https://twitter.com/ABRochim18","@ABRochim18")</f>
        <v>@ABRochim18</v>
      </c>
      <c r="C39648" t="s">
        <v>1024</v>
      </c>
      <c r="D39648">
        <v>0</v>
      </c>
      <c r="E39648">
        <v>0</v>
      </c>
      <c r="F39648">
        <v>1178</v>
      </c>
    </row>
    <row r="39649" spans="1:6" ht="15.75" customHeight="1">
      <c r="A39649" s="3">
        <v>43873.907569444447</v>
      </c>
      <c r="B39649" t="str">
        <f>HYPERLINK("https://twitter.com/Dwi_Setianto","@Dwi_Setianto")</f>
        <v>@Dwi_Setianto</v>
      </c>
      <c r="C39649" t="s">
        <v>1366</v>
      </c>
      <c r="D39649">
        <v>0</v>
      </c>
      <c r="E39649">
        <v>1</v>
      </c>
      <c r="F39649">
        <v>455</v>
      </c>
    </row>
    <row r="39650" spans="1:6" ht="15.75" customHeight="1">
      <c r="A39650" s="3">
        <v>43873.907476851848</v>
      </c>
      <c r="B39650" t="str">
        <f>HYPERLINK("https://twitter.com/banghohok","@banghohok")</f>
        <v>@banghohok</v>
      </c>
      <c r="C39650" t="s">
        <v>1367</v>
      </c>
      <c r="D39650">
        <v>0</v>
      </c>
      <c r="E39650">
        <v>1</v>
      </c>
      <c r="F39650">
        <v>430</v>
      </c>
    </row>
    <row r="39651" spans="1:6" ht="15.75" customHeight="1">
      <c r="A39651" s="3">
        <v>43873.907025462962</v>
      </c>
      <c r="B39651" t="str">
        <f>HYPERLINK("https://twitter.com/iqbalbalf","@iqbalbalf")</f>
        <v>@iqbalbalf</v>
      </c>
      <c r="C39651" t="s">
        <v>1368</v>
      </c>
      <c r="D39651">
        <v>0</v>
      </c>
      <c r="E39651">
        <v>0</v>
      </c>
      <c r="F39651">
        <v>261</v>
      </c>
    </row>
    <row r="39652" spans="1:6" ht="15.75" customHeight="1">
      <c r="A39652" s="3">
        <v>43873.906921296293</v>
      </c>
      <c r="B39652" t="str">
        <f>HYPERLINK("https://twitter.com/iqbalphd","@iqbalphd")</f>
        <v>@iqbalphd</v>
      </c>
      <c r="C39652" t="s">
        <v>1369</v>
      </c>
      <c r="D39652">
        <v>0</v>
      </c>
      <c r="E39652">
        <v>0</v>
      </c>
      <c r="F39652">
        <v>392</v>
      </c>
    </row>
    <row r="39653" spans="1:6" ht="15.75" customHeight="1">
      <c r="A39653" s="3">
        <v>43873.906377314815</v>
      </c>
      <c r="B39653" t="str">
        <f>HYPERLINK("https://twitter.com/nabilahyosa","@nabilahyosa")</f>
        <v>@nabilahyosa</v>
      </c>
      <c r="C39653" t="s">
        <v>1370</v>
      </c>
      <c r="D39653">
        <v>0</v>
      </c>
      <c r="E39653">
        <v>0</v>
      </c>
      <c r="F39653">
        <v>656</v>
      </c>
    </row>
    <row r="39654" spans="1:6" ht="15.75" customHeight="1">
      <c r="A39654" s="3">
        <v>43873.906203703707</v>
      </c>
      <c r="B39654" t="str">
        <f>HYPERLINK("https://twitter.com/WongKhamFret","@WongKhamFret")</f>
        <v>@WongKhamFret</v>
      </c>
      <c r="C39654" t="s">
        <v>1371</v>
      </c>
      <c r="D39654">
        <v>2</v>
      </c>
      <c r="E39654">
        <v>5</v>
      </c>
      <c r="F39654">
        <v>2091</v>
      </c>
    </row>
    <row r="39655" spans="1:6" ht="15.75" customHeight="1">
      <c r="A39655" s="3">
        <v>43873.905810185184</v>
      </c>
      <c r="B39655" t="str">
        <f>HYPERLINK("https://twitter.com/GunawanTHENEXT","@GunawanTHENEXT")</f>
        <v>@GunawanTHENEXT</v>
      </c>
      <c r="C39655" t="s">
        <v>1372</v>
      </c>
      <c r="D39655">
        <v>0</v>
      </c>
      <c r="E39655">
        <v>0</v>
      </c>
      <c r="F39655">
        <v>1271</v>
      </c>
    </row>
    <row r="39656" spans="1:6" ht="15.75" customHeight="1">
      <c r="A39656" s="3">
        <v>43873.904768518521</v>
      </c>
      <c r="B39656" t="str">
        <f>HYPERLINK("https://twitter.com/TKastury","@TKastury")</f>
        <v>@TKastury</v>
      </c>
      <c r="C39656" t="s">
        <v>1373</v>
      </c>
      <c r="D39656">
        <v>0</v>
      </c>
      <c r="E39656">
        <v>0</v>
      </c>
      <c r="F39656">
        <v>26</v>
      </c>
    </row>
    <row r="39657" spans="1:6" ht="15.75" customHeight="1">
      <c r="A39657" s="3">
        <v>43873.904594907406</v>
      </c>
      <c r="B39657" t="str">
        <f>HYPERLINK("https://twitter.com/BNPTRI","@BNPTRI")</f>
        <v>@BNPTRI</v>
      </c>
      <c r="C39657" t="s">
        <v>1374</v>
      </c>
      <c r="D39657">
        <v>25</v>
      </c>
      <c r="E39657">
        <v>55</v>
      </c>
      <c r="F39657">
        <v>111792</v>
      </c>
    </row>
    <row r="39658" spans="1:6" ht="15.75" customHeight="1">
      <c r="A39658" s="3">
        <v>43873.903483796297</v>
      </c>
      <c r="B39658" t="str">
        <f>HYPERLINK("https://twitter.com/lawenthu","@lawenthu")</f>
        <v>@lawenthu</v>
      </c>
      <c r="C39658" t="s">
        <v>1375</v>
      </c>
      <c r="D39658">
        <v>0</v>
      </c>
      <c r="E39658">
        <v>0</v>
      </c>
      <c r="F39658">
        <v>339</v>
      </c>
    </row>
    <row r="39659" spans="1:6" ht="15.75" customHeight="1">
      <c r="A39659" s="3">
        <v>43873.902870370366</v>
      </c>
      <c r="B39659" t="str">
        <f>HYPERLINK("https://twitter.com/ndutimot","@ndutimot")</f>
        <v>@ndutimot</v>
      </c>
      <c r="D39659">
        <v>0</v>
      </c>
      <c r="E39659">
        <v>0</v>
      </c>
      <c r="F39659">
        <v>377</v>
      </c>
    </row>
    <row r="39660" spans="1:6" ht="15.75" customHeight="1">
      <c r="A39660" s="3">
        <v>43873.902708333335</v>
      </c>
      <c r="B39660" t="str">
        <f>HYPERLINK("https://twitter.com/somewhereserene","@somewhereserene")</f>
        <v>@somewhereserene</v>
      </c>
      <c r="C39660" t="s">
        <v>1376</v>
      </c>
      <c r="D39660">
        <v>0</v>
      </c>
      <c r="E39660">
        <v>0</v>
      </c>
      <c r="F39660">
        <v>326</v>
      </c>
    </row>
    <row r="39661" spans="1:6" ht="15.75" customHeight="1">
      <c r="A39661" s="3">
        <v>43873.902418981481</v>
      </c>
      <c r="B39661" t="str">
        <f>HYPERLINK("https://twitter.com/Irenecutemom","@Irenecutemom")</f>
        <v>@Irenecutemom</v>
      </c>
      <c r="C39661" t="s">
        <v>1377</v>
      </c>
      <c r="D39661">
        <v>5</v>
      </c>
      <c r="E39661">
        <v>12</v>
      </c>
      <c r="F39661">
        <v>14418</v>
      </c>
    </row>
    <row r="39662" spans="1:6" ht="15.75" customHeight="1">
      <c r="A39662" s="3">
        <v>43873.902384259258</v>
      </c>
      <c r="B39662" t="str">
        <f>HYPERLINK("https://twitter.com/KicauSunyi","@KicauSunyi")</f>
        <v>@KicauSunyi</v>
      </c>
      <c r="C39662" t="s">
        <v>1378</v>
      </c>
      <c r="D39662">
        <v>1</v>
      </c>
      <c r="E39662">
        <v>0</v>
      </c>
      <c r="F39662">
        <v>3661</v>
      </c>
    </row>
    <row r="39663" spans="1:6" ht="15.75" customHeight="1">
      <c r="A39663" s="3">
        <v>43873.902280092589</v>
      </c>
      <c r="B39663" t="str">
        <f>HYPERLINK("https://twitter.com/sehatjiwaraga1","@sehatjiwaraga1")</f>
        <v>@sehatjiwaraga1</v>
      </c>
      <c r="C39663" t="s">
        <v>1379</v>
      </c>
      <c r="D39663">
        <v>0</v>
      </c>
      <c r="E39663">
        <v>0</v>
      </c>
      <c r="F39663">
        <v>33</v>
      </c>
    </row>
    <row r="39664" spans="1:6" ht="15.75" customHeight="1">
      <c r="A39664" s="3">
        <v>43873.902002314819</v>
      </c>
      <c r="B39664" t="str">
        <f>HYPERLINK("https://twitter.com/MataNKRI","@MataNKRI")</f>
        <v>@MataNKRI</v>
      </c>
      <c r="C39664" t="s">
        <v>1380</v>
      </c>
      <c r="D39664">
        <v>0</v>
      </c>
      <c r="E39664">
        <v>0</v>
      </c>
      <c r="F39664">
        <v>340</v>
      </c>
    </row>
    <row r="39665" spans="1:6" ht="15.75" customHeight="1">
      <c r="A39665" s="3">
        <v>43873.900868055556</v>
      </c>
      <c r="B39665" t="str">
        <f>HYPERLINK("https://twitter.com/GunawanTHENEXT","@GunawanTHENEXT")</f>
        <v>@GunawanTHENEXT</v>
      </c>
      <c r="C39665" t="s">
        <v>1381</v>
      </c>
      <c r="D39665">
        <v>0</v>
      </c>
      <c r="E39665">
        <v>0</v>
      </c>
      <c r="F39665">
        <v>1271</v>
      </c>
    </row>
    <row r="39666" spans="1:6" ht="15.75" customHeight="1">
      <c r="A39666" s="3">
        <v>43873.900567129633</v>
      </c>
      <c r="B39666" t="str">
        <f>HYPERLINK("https://twitter.com/bambangmulyono2","@bambangmulyono2")</f>
        <v>@bambangmulyono2</v>
      </c>
      <c r="C39666" t="s">
        <v>1382</v>
      </c>
      <c r="D39666">
        <v>0</v>
      </c>
      <c r="E39666">
        <v>0</v>
      </c>
      <c r="F39666">
        <v>1782</v>
      </c>
    </row>
    <row r="39667" spans="1:6" ht="15.75" customHeight="1">
      <c r="A39667" s="3">
        <v>43873.900474537033</v>
      </c>
      <c r="B39667" t="str">
        <f>HYPERLINK("https://twitter.com/HumorPolitikINA","@HumorPolitikINA")</f>
        <v>@HumorPolitikINA</v>
      </c>
      <c r="C39667" t="s">
        <v>1383</v>
      </c>
      <c r="D39667">
        <v>2</v>
      </c>
      <c r="E39667">
        <v>7</v>
      </c>
      <c r="F39667">
        <v>2388</v>
      </c>
    </row>
    <row r="39668" spans="1:6" ht="15.75" customHeight="1">
      <c r="A39668" s="3">
        <v>43873.899502314816</v>
      </c>
      <c r="B39668" t="str">
        <f>HYPERLINK("https://twitter.com/Dewi_Themis","@Dewi_Themis")</f>
        <v>@Dewi_Themis</v>
      </c>
      <c r="C39668" t="s">
        <v>1384</v>
      </c>
      <c r="D39668">
        <v>2</v>
      </c>
      <c r="E39668">
        <v>3</v>
      </c>
      <c r="F39668">
        <v>7859</v>
      </c>
    </row>
    <row r="39669" spans="1:6" ht="15.75" customHeight="1">
      <c r="A39669" s="3">
        <v>43873.899351851855</v>
      </c>
      <c r="B39669" t="str">
        <f>HYPERLINK("https://twitter.com/GATRA_News","@GATRA_News")</f>
        <v>@GATRA_News</v>
      </c>
      <c r="C39669" t="s">
        <v>1385</v>
      </c>
      <c r="D39669">
        <v>0</v>
      </c>
      <c r="E39669">
        <v>1</v>
      </c>
      <c r="F39669">
        <v>23124</v>
      </c>
    </row>
    <row r="39670" spans="1:6" ht="15.75" customHeight="1">
      <c r="A39670" s="3">
        <v>43873.899293981478</v>
      </c>
      <c r="B39670" t="str">
        <f>HYPERLINK("https://twitter.com/Indonesianews15","@Indonesianews15")</f>
        <v>@Indonesianews15</v>
      </c>
      <c r="C39670" t="s">
        <v>1386</v>
      </c>
      <c r="D39670">
        <v>1</v>
      </c>
      <c r="E39670">
        <v>0</v>
      </c>
      <c r="F39670">
        <v>12305</v>
      </c>
    </row>
    <row r="39671" spans="1:6" ht="15.75" customHeight="1">
      <c r="A39671" s="3">
        <v>43873.898240740746</v>
      </c>
      <c r="B39671" t="str">
        <f>HYPERLINK("https://twitter.com/roswaty4","@roswaty4")</f>
        <v>@roswaty4</v>
      </c>
      <c r="C39671" t="s">
        <v>1387</v>
      </c>
      <c r="D39671">
        <v>0</v>
      </c>
      <c r="E39671">
        <v>1</v>
      </c>
      <c r="F39671">
        <v>1190</v>
      </c>
    </row>
    <row r="39672" spans="1:6" ht="15.75" customHeight="1">
      <c r="A39672" s="3">
        <v>43873.897604166668</v>
      </c>
      <c r="B39672" t="str">
        <f>HYPERLINK("https://twitter.com/TRANS7","@TRANS7")</f>
        <v>@TRANS7</v>
      </c>
      <c r="C39672" t="s">
        <v>1388</v>
      </c>
      <c r="D39672">
        <v>52</v>
      </c>
      <c r="E39672">
        <v>129</v>
      </c>
      <c r="F39672">
        <v>5569041</v>
      </c>
    </row>
    <row r="39673" spans="1:6" ht="15.75" customHeight="1">
      <c r="A39673" s="3">
        <v>43873.897361111114</v>
      </c>
      <c r="B39673" t="str">
        <f>HYPERLINK("https://twitter.com/aidanurra","@aidanurra")</f>
        <v>@aidanurra</v>
      </c>
      <c r="C39673" t="s">
        <v>1389</v>
      </c>
      <c r="D39673">
        <v>0</v>
      </c>
      <c r="E39673">
        <v>0</v>
      </c>
      <c r="F39673">
        <v>169</v>
      </c>
    </row>
    <row r="39674" spans="1:6" ht="15.75" customHeight="1">
      <c r="A39674" s="3">
        <v>43873.897291666668</v>
      </c>
      <c r="B39674" t="str">
        <f>HYPERLINK("https://twitter.com/papuakicau","@papuakicau")</f>
        <v>@papuakicau</v>
      </c>
      <c r="C39674" t="s">
        <v>1390</v>
      </c>
      <c r="D39674">
        <v>0</v>
      </c>
      <c r="E39674">
        <v>0</v>
      </c>
      <c r="F39674">
        <v>1629</v>
      </c>
    </row>
    <row r="39675" spans="1:6" ht="15.75" customHeight="1">
      <c r="A39675" s="3">
        <v>43873.897222222222</v>
      </c>
      <c r="B39675" t="str">
        <f>HYPERLINK("https://twitter.com/qureta","@qureta")</f>
        <v>@qureta</v>
      </c>
      <c r="C39675" t="s">
        <v>1391</v>
      </c>
      <c r="D39675">
        <v>0</v>
      </c>
      <c r="E39675">
        <v>1</v>
      </c>
      <c r="F39675">
        <v>24752</v>
      </c>
    </row>
    <row r="39676" spans="1:6" ht="15.75" customHeight="1">
      <c r="A39676" s="3">
        <v>43873.896516203706</v>
      </c>
      <c r="B39676" t="str">
        <f>HYPERLINK("https://twitter.com/tribunnews","@tribunnews")</f>
        <v>@tribunnews</v>
      </c>
      <c r="C39676" t="s">
        <v>1392</v>
      </c>
      <c r="D39676">
        <v>3</v>
      </c>
      <c r="E39676">
        <v>9</v>
      </c>
      <c r="F39676">
        <v>873082</v>
      </c>
    </row>
    <row r="39677" spans="1:6" ht="15.75" customHeight="1">
      <c r="A39677" s="3">
        <v>43873.89638888889</v>
      </c>
      <c r="B39677" t="str">
        <f>HYPERLINK("https://twitter.com/HumorPolitikINA","@HumorPolitikINA")</f>
        <v>@HumorPolitikINA</v>
      </c>
      <c r="C39677" t="s">
        <v>1393</v>
      </c>
      <c r="D39677">
        <v>0</v>
      </c>
      <c r="E39677">
        <v>3</v>
      </c>
      <c r="F39677">
        <v>2388</v>
      </c>
    </row>
    <row r="39678" spans="1:6" ht="15.75" customHeight="1">
      <c r="A39678" s="3">
        <v>43873.896261574075</v>
      </c>
      <c r="B39678" t="str">
        <f>HYPERLINK("https://twitter.com/totoksuyoto1","@totoksuyoto1")</f>
        <v>@totoksuyoto1</v>
      </c>
      <c r="C39678" t="s">
        <v>1394</v>
      </c>
      <c r="D39678">
        <v>0</v>
      </c>
      <c r="E39678">
        <v>0</v>
      </c>
      <c r="F39678">
        <v>214</v>
      </c>
    </row>
    <row r="39679" spans="1:6" ht="15.75" customHeight="1">
      <c r="A39679" s="3">
        <v>43873.895277777774</v>
      </c>
      <c r="B39679" t="str">
        <f>HYPERLINK("https://twitter.com/Metro_TV","@Metro_TV")</f>
        <v>@Metro_TV</v>
      </c>
      <c r="C39679" t="s">
        <v>1395</v>
      </c>
      <c r="D39679">
        <v>2</v>
      </c>
      <c r="E39679">
        <v>10</v>
      </c>
      <c r="F39679">
        <v>10508854</v>
      </c>
    </row>
    <row r="39680" spans="1:6" ht="15.75" customHeight="1">
      <c r="A39680" s="3">
        <v>43873.895196759258</v>
      </c>
      <c r="B39680" t="str">
        <f>HYPERLINK("https://twitter.com/windria_05","@windria_05")</f>
        <v>@windria_05</v>
      </c>
      <c r="C39680" t="s">
        <v>1396</v>
      </c>
      <c r="D39680">
        <v>0</v>
      </c>
      <c r="E39680">
        <v>0</v>
      </c>
      <c r="F39680">
        <v>2</v>
      </c>
    </row>
    <row r="39681" spans="1:6" ht="15.75" customHeight="1">
      <c r="A39681" s="3">
        <v>43873.894363425927</v>
      </c>
      <c r="B39681" t="str">
        <f>HYPERLINK("https://twitter.com/qosyim_rosidy","@qosyim_rosidy")</f>
        <v>@qosyim_rosidy</v>
      </c>
      <c r="C39681" t="s">
        <v>1397</v>
      </c>
      <c r="D39681">
        <v>9</v>
      </c>
      <c r="E39681">
        <v>24</v>
      </c>
      <c r="F39681">
        <v>1464</v>
      </c>
    </row>
    <row r="39682" spans="1:6" ht="15.75" customHeight="1">
      <c r="A39682" s="3">
        <v>43873.893240740741</v>
      </c>
      <c r="B39682" t="str">
        <f>HYPERLINK("https://twitter.com/detikcom","@detikcom")</f>
        <v>@detikcom</v>
      </c>
      <c r="C39682" t="s">
        <v>1398</v>
      </c>
      <c r="D39682">
        <v>69</v>
      </c>
      <c r="E39682">
        <v>211</v>
      </c>
      <c r="F39682">
        <v>15663959</v>
      </c>
    </row>
    <row r="39683" spans="1:6" ht="15.75" customHeight="1">
      <c r="A39683" s="3">
        <v>43873.893171296295</v>
      </c>
      <c r="B39683" t="str">
        <f>HYPERLINK("https://twitter.com/Widodo2017","@Widodo2017")</f>
        <v>@Widodo2017</v>
      </c>
      <c r="C39683" t="s">
        <v>1399</v>
      </c>
      <c r="D39683">
        <v>0</v>
      </c>
      <c r="E39683">
        <v>0</v>
      </c>
      <c r="F39683">
        <v>1261</v>
      </c>
    </row>
    <row r="39684" spans="1:6" ht="15.75" customHeight="1">
      <c r="A39684" s="3">
        <v>43873.892233796301</v>
      </c>
      <c r="B39684" t="str">
        <f>HYPERLINK("https://twitter.com/Metro_TV","@Metro_TV")</f>
        <v>@Metro_TV</v>
      </c>
      <c r="C39684" t="s">
        <v>1400</v>
      </c>
      <c r="D39684">
        <v>7</v>
      </c>
      <c r="E39684">
        <v>15</v>
      </c>
      <c r="F39684">
        <v>10508854</v>
      </c>
    </row>
    <row r="39685" spans="1:6" ht="15.75" customHeight="1">
      <c r="A39685" s="3">
        <v>43873.891203703708</v>
      </c>
      <c r="B39685" t="str">
        <f>HYPERLINK("https://twitter.com/WidyanataT","@WidyanataT")</f>
        <v>@WidyanataT</v>
      </c>
      <c r="C39685" t="s">
        <v>1401</v>
      </c>
      <c r="D39685">
        <v>1</v>
      </c>
      <c r="E39685">
        <v>1</v>
      </c>
      <c r="F39685">
        <v>143</v>
      </c>
    </row>
    <row r="39686" spans="1:6" ht="15.75" customHeight="1">
      <c r="A39686" s="3">
        <v>43873.890648148154</v>
      </c>
      <c r="B39686" t="str">
        <f>HYPERLINK("https://twitter.com/kecepit","@kecepit")</f>
        <v>@kecepit</v>
      </c>
      <c r="C39686" t="s">
        <v>1402</v>
      </c>
      <c r="D39686">
        <v>0</v>
      </c>
      <c r="E39686">
        <v>0</v>
      </c>
      <c r="F39686">
        <v>148</v>
      </c>
    </row>
    <row r="39687" spans="1:6" ht="15.75" customHeight="1">
      <c r="A39687" s="3">
        <v>43873.889965277776</v>
      </c>
      <c r="B39687" t="str">
        <f>HYPERLINK("https://twitter.com/Vendra_Deje","@Vendra_Deje")</f>
        <v>@Vendra_Deje</v>
      </c>
      <c r="C39687" t="s">
        <v>1403</v>
      </c>
      <c r="D39687">
        <v>1</v>
      </c>
      <c r="E39687">
        <v>7</v>
      </c>
      <c r="F39687">
        <v>3132</v>
      </c>
    </row>
    <row r="39688" spans="1:6" ht="15.75" customHeight="1">
      <c r="A39688" s="3">
        <v>43873.889351851853</v>
      </c>
      <c r="B39688" t="str">
        <f>HYPERLINK("https://twitter.com/BobbyIrwanda","@BobbyIrwanda")</f>
        <v>@BobbyIrwanda</v>
      </c>
      <c r="C39688" t="s">
        <v>1404</v>
      </c>
      <c r="D39688">
        <v>1</v>
      </c>
      <c r="E39688">
        <v>1</v>
      </c>
      <c r="F39688">
        <v>1547</v>
      </c>
    </row>
    <row r="39689" spans="1:6" ht="15.75" customHeight="1">
      <c r="A39689" s="3">
        <v>43873.88925925926</v>
      </c>
      <c r="B39689" t="str">
        <f>HYPERLINK("https://twitter.com/JackSitoroes","@JackSitoroes")</f>
        <v>@JackSitoroes</v>
      </c>
      <c r="C39689" t="s">
        <v>1405</v>
      </c>
      <c r="D39689">
        <v>0</v>
      </c>
      <c r="E39689">
        <v>0</v>
      </c>
      <c r="F39689">
        <v>618</v>
      </c>
    </row>
    <row r="39690" spans="1:6" ht="15.75" customHeight="1">
      <c r="A39690" s="3">
        <v>43873.889166666668</v>
      </c>
      <c r="B39690" t="str">
        <f>HYPERLINK("https://twitter.com/bangJek_RiTedd","@bangJek_RiTedd")</f>
        <v>@bangJek_RiTedd</v>
      </c>
      <c r="C39690" t="s">
        <v>1406</v>
      </c>
      <c r="D39690">
        <v>0</v>
      </c>
      <c r="E39690">
        <v>1</v>
      </c>
      <c r="F39690">
        <v>257</v>
      </c>
    </row>
    <row r="39691" spans="1:6" ht="15.75" customHeight="1">
      <c r="A39691" s="3">
        <v>43873.888981481483</v>
      </c>
      <c r="B39691" t="str">
        <f>HYPERLINK("https://twitter.com/minkemellema91","@minkemellema91")</f>
        <v>@minkemellema91</v>
      </c>
      <c r="C39691" t="s">
        <v>1408</v>
      </c>
      <c r="D39691">
        <v>0</v>
      </c>
      <c r="E39691">
        <v>0</v>
      </c>
      <c r="F39691">
        <v>355</v>
      </c>
    </row>
    <row r="39692" spans="1:6" ht="15.75" customHeight="1">
      <c r="A39692" s="3">
        <v>43873.888958333337</v>
      </c>
      <c r="B39692" t="str">
        <f>HYPERLINK("https://twitter.com/forddyce92","@forddyce92")</f>
        <v>@forddyce92</v>
      </c>
      <c r="C39692" t="s">
        <v>1409</v>
      </c>
      <c r="D39692">
        <v>0</v>
      </c>
      <c r="E39692">
        <v>0</v>
      </c>
      <c r="F39692">
        <v>24</v>
      </c>
    </row>
    <row r="39693" spans="1:6" ht="15.75" customHeight="1">
      <c r="A39693" s="3">
        <v>43873.887974537036</v>
      </c>
      <c r="B39693" t="str">
        <f>HYPERLINK("https://twitter.com/Adv_BudiSatria","@Adv_BudiSatria")</f>
        <v>@Adv_BudiSatria</v>
      </c>
      <c r="C39693" t="s">
        <v>1410</v>
      </c>
      <c r="D39693">
        <v>6</v>
      </c>
      <c r="E39693">
        <v>4</v>
      </c>
      <c r="F39693">
        <v>5287</v>
      </c>
    </row>
    <row r="39694" spans="1:6" ht="15.75" customHeight="1">
      <c r="A39694" s="3">
        <v>43873.887928240743</v>
      </c>
      <c r="B39694" t="str">
        <f>HYPERLINK("https://twitter.com/05panji2","@05panji2")</f>
        <v>@05panji2</v>
      </c>
      <c r="C39694" t="s">
        <v>1411</v>
      </c>
      <c r="D39694">
        <v>0</v>
      </c>
      <c r="E39694">
        <v>0</v>
      </c>
      <c r="F39694">
        <v>316</v>
      </c>
    </row>
    <row r="39695" spans="1:6" ht="15.75" customHeight="1">
      <c r="A39695" s="3">
        <v>43873.887708333335</v>
      </c>
      <c r="B39695" t="str">
        <f>HYPERLINK("https://twitter.com/revaastradipta","@revaastradipta")</f>
        <v>@revaastradipta</v>
      </c>
      <c r="C39695" t="s">
        <v>1412</v>
      </c>
      <c r="D39695">
        <v>0</v>
      </c>
      <c r="E39695">
        <v>0</v>
      </c>
      <c r="F39695">
        <v>114</v>
      </c>
    </row>
    <row r="39696" spans="1:6" ht="15.75" customHeight="1">
      <c r="A39696" s="3">
        <v>43873.887106481481</v>
      </c>
      <c r="B39696" t="str">
        <f>HYPERLINK("https://twitter.com/Batak_Moderen","@Batak_Moderen")</f>
        <v>@Batak_Moderen</v>
      </c>
      <c r="C39696" t="s">
        <v>1413</v>
      </c>
      <c r="D39696">
        <v>1</v>
      </c>
      <c r="E39696">
        <v>4</v>
      </c>
      <c r="F39696">
        <v>2863</v>
      </c>
    </row>
    <row r="39697" spans="1:6" ht="15.75" customHeight="1">
      <c r="A39697" s="3">
        <v>43873.887106481481</v>
      </c>
      <c r="B39697" t="str">
        <f>HYPERLINK("https://twitter.com/avicentwp","@avicentwp")</f>
        <v>@avicentwp</v>
      </c>
      <c r="C39697" t="s">
        <v>1414</v>
      </c>
      <c r="D39697">
        <v>0</v>
      </c>
      <c r="E39697">
        <v>0</v>
      </c>
      <c r="F39697">
        <v>53</v>
      </c>
    </row>
    <row r="39698" spans="1:6" ht="15.75" customHeight="1">
      <c r="A39698" s="3">
        <v>43873.886666666665</v>
      </c>
      <c r="B39698" t="str">
        <f>HYPERLINK("https://twitter.com/fredioanarqi","@fredioanarqi")</f>
        <v>@fredioanarqi</v>
      </c>
      <c r="C39698" t="s">
        <v>1415</v>
      </c>
      <c r="D39698">
        <v>0</v>
      </c>
      <c r="E39698">
        <v>0</v>
      </c>
      <c r="F39698">
        <v>158</v>
      </c>
    </row>
    <row r="39699" spans="1:6" ht="15.75" customHeight="1">
      <c r="A39699" s="3">
        <v>43873.885775462964</v>
      </c>
      <c r="B39699" t="str">
        <f>HYPERLINK("https://twitter.com/WiraSentana_","@WiraSentana_")</f>
        <v>@WiraSentana_</v>
      </c>
      <c r="C39699" t="s">
        <v>1416</v>
      </c>
      <c r="D39699">
        <v>0</v>
      </c>
      <c r="E39699">
        <v>0</v>
      </c>
      <c r="F39699">
        <v>74</v>
      </c>
    </row>
    <row r="39700" spans="1:6" ht="15.75" customHeight="1">
      <c r="A39700" s="3">
        <v>43873.885046296295</v>
      </c>
      <c r="B39700" t="str">
        <f>HYPERLINK("https://twitter.com/rheza1994","@rheza1994")</f>
        <v>@rheza1994</v>
      </c>
      <c r="C39700" t="s">
        <v>1417</v>
      </c>
      <c r="D39700">
        <v>0</v>
      </c>
      <c r="E39700">
        <v>0</v>
      </c>
      <c r="F39700">
        <v>156</v>
      </c>
    </row>
    <row r="39701" spans="1:6" ht="15.75" customHeight="1">
      <c r="A39701" s="3">
        <v>43873.884837962964</v>
      </c>
      <c r="B39701" t="str">
        <f>HYPERLINK("https://twitter.com/merisshintia01","@merisshintia01")</f>
        <v>@merisshintia01</v>
      </c>
      <c r="C39701" t="s">
        <v>1418</v>
      </c>
      <c r="D39701">
        <v>0</v>
      </c>
      <c r="E39701">
        <v>0</v>
      </c>
      <c r="F39701">
        <v>352</v>
      </c>
    </row>
    <row r="39702" spans="1:6" ht="15.75" customHeight="1">
      <c r="A39702" s="3">
        <v>43873.884756944448</v>
      </c>
      <c r="B39702" t="str">
        <f>HYPERLINK("https://twitter.com/aldidesri","@aldidesri")</f>
        <v>@aldidesri</v>
      </c>
      <c r="C39702" t="s">
        <v>1419</v>
      </c>
      <c r="D39702">
        <v>1</v>
      </c>
      <c r="E39702">
        <v>1</v>
      </c>
      <c r="F39702">
        <v>2316</v>
      </c>
    </row>
    <row r="39703" spans="1:6" ht="15.75" customHeight="1">
      <c r="A39703" s="3">
        <v>43873.884386574078</v>
      </c>
      <c r="B39703" t="str">
        <f>HYPERLINK("https://twitter.com/merdekadotcom","@merdekadotcom")</f>
        <v>@merdekadotcom</v>
      </c>
      <c r="C39703" t="s">
        <v>1420</v>
      </c>
      <c r="D39703">
        <v>10</v>
      </c>
      <c r="E39703">
        <v>52</v>
      </c>
      <c r="F39703">
        <v>230398</v>
      </c>
    </row>
    <row r="39704" spans="1:6" ht="15.75" customHeight="1">
      <c r="A39704" s="3">
        <v>43873.884212962963</v>
      </c>
      <c r="B39704" t="str">
        <f>HYPERLINK("https://twitter.com/DnayNisaa","@DnayNisaa")</f>
        <v>@DnayNisaa</v>
      </c>
      <c r="C39704" t="s">
        <v>1421</v>
      </c>
      <c r="D39704">
        <v>1</v>
      </c>
      <c r="E39704">
        <v>0</v>
      </c>
      <c r="F39704">
        <v>1093</v>
      </c>
    </row>
    <row r="39705" spans="1:6" ht="15.75" customHeight="1">
      <c r="A39705" s="3">
        <v>43873.884143518517</v>
      </c>
      <c r="B39705" t="str">
        <f>HYPERLINK("https://twitter.com/Agamajinasi","@Agamajinasi")</f>
        <v>@Agamajinasi</v>
      </c>
      <c r="C39705" t="s">
        <v>1422</v>
      </c>
      <c r="D39705">
        <v>7</v>
      </c>
      <c r="E39705">
        <v>12</v>
      </c>
      <c r="F39705">
        <v>27055</v>
      </c>
    </row>
    <row r="39706" spans="1:6" ht="15.75" customHeight="1">
      <c r="A39706" s="3">
        <v>43873.88386574074</v>
      </c>
      <c r="B39706" t="str">
        <f>HYPERLINK("https://twitter.com/edwarsaputra74","@edwarsaputra74")</f>
        <v>@edwarsaputra74</v>
      </c>
      <c r="C39706" t="s">
        <v>1423</v>
      </c>
      <c r="D39706">
        <v>0</v>
      </c>
      <c r="E39706">
        <v>0</v>
      </c>
      <c r="F39706">
        <v>8</v>
      </c>
    </row>
    <row r="39707" spans="1:6" ht="15.75" customHeight="1">
      <c r="A39707" s="3">
        <v>43873.883460648147</v>
      </c>
      <c r="B39707" t="str">
        <f>HYPERLINK("https://twitter.com/yuliacimy","@yuliacimy")</f>
        <v>@yuliacimy</v>
      </c>
      <c r="C39707" t="s">
        <v>1424</v>
      </c>
      <c r="D39707">
        <v>0</v>
      </c>
      <c r="E39707">
        <v>1</v>
      </c>
      <c r="F39707">
        <v>215</v>
      </c>
    </row>
    <row r="39708" spans="1:6" ht="15.75" customHeight="1">
      <c r="A39708" s="3">
        <v>43873.883333333331</v>
      </c>
      <c r="B39708" t="str">
        <f>HYPERLINK("https://twitter.com/EOentono","@EOentono")</f>
        <v>@EOentono</v>
      </c>
      <c r="C39708" t="s">
        <v>1425</v>
      </c>
      <c r="D39708">
        <v>1</v>
      </c>
      <c r="E39708">
        <v>2</v>
      </c>
      <c r="F39708">
        <v>3436</v>
      </c>
    </row>
    <row r="39709" spans="1:6" ht="15.75" customHeight="1">
      <c r="A39709" s="3">
        <v>43873.882766203707</v>
      </c>
      <c r="B39709" t="str">
        <f>HYPERLINK("https://twitter.com/gadisresidu_b3","@gadisresidu_b3")</f>
        <v>@gadisresidu_b3</v>
      </c>
      <c r="C39709" t="s">
        <v>1426</v>
      </c>
      <c r="D39709">
        <v>1</v>
      </c>
      <c r="E39709">
        <v>2</v>
      </c>
      <c r="F39709">
        <v>1602</v>
      </c>
    </row>
    <row r="39710" spans="1:6" ht="15.75" customHeight="1">
      <c r="A39710" s="3">
        <v>43873.882650462961</v>
      </c>
      <c r="B39710" t="str">
        <f>HYPERLINK("https://twitter.com/yurlachel","@yurlachel")</f>
        <v>@yurlachel</v>
      </c>
      <c r="C39710" t="s">
        <v>1427</v>
      </c>
      <c r="D39710">
        <v>0</v>
      </c>
      <c r="E39710">
        <v>2</v>
      </c>
      <c r="F39710">
        <v>297</v>
      </c>
    </row>
    <row r="39711" spans="1:6" ht="15.75" customHeight="1">
      <c r="A39711" s="3">
        <v>43873.882523148146</v>
      </c>
      <c r="B39711" t="str">
        <f>HYPERLINK("https://twitter.com/detikcom","@detikcom")</f>
        <v>@detikcom</v>
      </c>
      <c r="C39711" t="s">
        <v>1428</v>
      </c>
      <c r="D39711">
        <v>9</v>
      </c>
      <c r="E39711">
        <v>19</v>
      </c>
      <c r="F39711">
        <v>15663959</v>
      </c>
    </row>
    <row r="39712" spans="1:6" ht="15.75" customHeight="1">
      <c r="A39712" s="3">
        <v>43873.882465277777</v>
      </c>
      <c r="B39712" t="str">
        <f>HYPERLINK("https://twitter.com/republikaonline","@republikaonline")</f>
        <v>@republikaonline</v>
      </c>
      <c r="C39712" t="s">
        <v>1429</v>
      </c>
      <c r="D39712">
        <v>0</v>
      </c>
      <c r="E39712">
        <v>0</v>
      </c>
      <c r="F39712">
        <v>1210209</v>
      </c>
    </row>
    <row r="39713" spans="1:6" ht="15.75" customHeight="1">
      <c r="A39713" s="3">
        <v>43873.881736111114</v>
      </c>
      <c r="B39713" t="str">
        <f>HYPERLINK("https://twitter.com/briazzzz","@briazzzz")</f>
        <v>@briazzzz</v>
      </c>
      <c r="C39713" t="s">
        <v>1430</v>
      </c>
      <c r="D39713">
        <v>0</v>
      </c>
      <c r="E39713">
        <v>0</v>
      </c>
      <c r="F39713">
        <v>454</v>
      </c>
    </row>
    <row r="39714" spans="1:6" ht="15.75" customHeight="1">
      <c r="A39714" s="3">
        <v>43873.879826388889</v>
      </c>
      <c r="B39714" t="str">
        <f>HYPERLINK("https://twitter.com/banglintas","@banglintas")</f>
        <v>@banglintas</v>
      </c>
      <c r="C39714" t="s">
        <v>854</v>
      </c>
      <c r="D39714">
        <v>0</v>
      </c>
      <c r="E39714">
        <v>0</v>
      </c>
      <c r="F39714">
        <v>53</v>
      </c>
    </row>
    <row r="39715" spans="1:6" ht="15.75" customHeight="1">
      <c r="A39715" s="3">
        <v>43873.87945601852</v>
      </c>
      <c r="B39715" t="str">
        <f>HYPERLINK("https://twitter.com/aribaba","@aribaba")</f>
        <v>@aribaba</v>
      </c>
      <c r="C39715" t="s">
        <v>1431</v>
      </c>
      <c r="D39715">
        <v>4</v>
      </c>
      <c r="E39715">
        <v>7</v>
      </c>
      <c r="F39715">
        <v>509</v>
      </c>
    </row>
    <row r="39716" spans="1:6" ht="15.75" customHeight="1">
      <c r="A39716" s="3">
        <v>43873.878865740742</v>
      </c>
      <c r="B39716" t="str">
        <f>HYPERLINK("https://twitter.com/windaaadwi","@windaaadwi")</f>
        <v>@windaaadwi</v>
      </c>
      <c r="C39716" t="s">
        <v>1432</v>
      </c>
      <c r="D39716">
        <v>0</v>
      </c>
      <c r="E39716">
        <v>0</v>
      </c>
      <c r="F39716">
        <v>913</v>
      </c>
    </row>
    <row r="39717" spans="1:6" ht="15.75" customHeight="1">
      <c r="A39717" s="3">
        <v>43873.878391203703</v>
      </c>
      <c r="B39717" t="str">
        <f>HYPERLINK("https://twitter.com/OmGadunz","@OmGadunz")</f>
        <v>@OmGadunz</v>
      </c>
      <c r="C39717" t="s">
        <v>1433</v>
      </c>
      <c r="D39717">
        <v>1</v>
      </c>
      <c r="E39717">
        <v>1</v>
      </c>
      <c r="F39717">
        <v>344</v>
      </c>
    </row>
    <row r="39718" spans="1:6" ht="15.75" customHeight="1">
      <c r="A39718" s="3">
        <v>43873.877962962964</v>
      </c>
      <c r="B39718" t="str">
        <f t="shared" ref="B39718:B39720" si="471">HYPERLINK("https://twitter.com/Xelin74030832","@Xelin74030832")</f>
        <v>@Xelin74030832</v>
      </c>
      <c r="C39718" t="s">
        <v>1434</v>
      </c>
      <c r="D39718">
        <v>0</v>
      </c>
      <c r="E39718">
        <v>1</v>
      </c>
      <c r="F39718">
        <v>5</v>
      </c>
    </row>
    <row r="39719" spans="1:6" ht="15.75" customHeight="1">
      <c r="A39719" s="3">
        <v>43873.87767361111</v>
      </c>
      <c r="B39719" t="str">
        <f t="shared" si="471"/>
        <v>@Xelin74030832</v>
      </c>
      <c r="C39719" t="s">
        <v>1434</v>
      </c>
      <c r="D39719">
        <v>0</v>
      </c>
      <c r="E39719">
        <v>1</v>
      </c>
      <c r="F39719">
        <v>5</v>
      </c>
    </row>
    <row r="39720" spans="1:6" ht="15.75" customHeight="1">
      <c r="A39720" s="3">
        <v>43873.877534722225</v>
      </c>
      <c r="B39720" t="str">
        <f t="shared" si="471"/>
        <v>@Xelin74030832</v>
      </c>
      <c r="C39720" t="s">
        <v>1434</v>
      </c>
      <c r="D39720">
        <v>0</v>
      </c>
      <c r="E39720">
        <v>1</v>
      </c>
      <c r="F39720">
        <v>5</v>
      </c>
    </row>
    <row r="39721" spans="1:6" ht="15.75" customHeight="1">
      <c r="A39721" s="3">
        <v>43873.877511574072</v>
      </c>
      <c r="B39721" t="str">
        <f>HYPERLINK("https://twitter.com/ArkhabS","@ArkhabS")</f>
        <v>@ArkhabS</v>
      </c>
      <c r="C39721" t="s">
        <v>1435</v>
      </c>
      <c r="D39721">
        <v>0</v>
      </c>
      <c r="E39721">
        <v>1</v>
      </c>
      <c r="F39721">
        <v>98</v>
      </c>
    </row>
    <row r="39722" spans="1:6" ht="15.75" customHeight="1">
      <c r="A39722" s="3">
        <v>43873.877037037033</v>
      </c>
      <c r="B39722" t="str">
        <f>HYPERLINK("https://twitter.com/Xelin74030832","@Xelin74030832")</f>
        <v>@Xelin74030832</v>
      </c>
      <c r="C39722" t="s">
        <v>1434</v>
      </c>
      <c r="D39722">
        <v>0</v>
      </c>
      <c r="E39722">
        <v>1</v>
      </c>
      <c r="F39722">
        <v>5</v>
      </c>
    </row>
    <row r="39723" spans="1:6" ht="15.75" customHeight="1">
      <c r="A39723" s="3">
        <v>43873.876886574071</v>
      </c>
      <c r="B39723" t="str">
        <f>HYPERLINK("https://twitter.com/RudiPur08688789","@RudiPur08688789")</f>
        <v>@RudiPur08688789</v>
      </c>
      <c r="C39723" t="s">
        <v>1436</v>
      </c>
      <c r="D39723">
        <v>0</v>
      </c>
      <c r="E39723">
        <v>0</v>
      </c>
      <c r="F39723">
        <v>4</v>
      </c>
    </row>
    <row r="39724" spans="1:6" ht="15.75" customHeight="1">
      <c r="A39724" s="3">
        <v>43873.876851851848</v>
      </c>
      <c r="B39724" t="str">
        <f>HYPERLINK("https://twitter.com/adikalambang","@adikalambang")</f>
        <v>@adikalambang</v>
      </c>
      <c r="C39724" t="s">
        <v>1437</v>
      </c>
      <c r="D39724">
        <v>0</v>
      </c>
      <c r="E39724">
        <v>1</v>
      </c>
      <c r="F39724">
        <v>226</v>
      </c>
    </row>
    <row r="39725" spans="1:6" ht="15.75" customHeight="1">
      <c r="A39725" s="3">
        <v>43873.876597222217</v>
      </c>
      <c r="B39725" t="str">
        <f>HYPERLINK("https://twitter.com/YureyXandra","@YureyXandra")</f>
        <v>@YureyXandra</v>
      </c>
      <c r="C39725" t="s">
        <v>1438</v>
      </c>
      <c r="D39725">
        <v>0</v>
      </c>
      <c r="E39725">
        <v>4</v>
      </c>
      <c r="F39725">
        <v>16</v>
      </c>
    </row>
    <row r="39726" spans="1:6" ht="15.75" customHeight="1">
      <c r="A39726" s="3">
        <v>43873.875914351855</v>
      </c>
      <c r="B39726" t="str">
        <f>HYPERLINK("https://twitter.com/Xelin74030832","@Xelin74030832")</f>
        <v>@Xelin74030832</v>
      </c>
      <c r="C39726" t="s">
        <v>1434</v>
      </c>
      <c r="D39726">
        <v>0</v>
      </c>
      <c r="E39726">
        <v>1</v>
      </c>
      <c r="F39726">
        <v>5</v>
      </c>
    </row>
    <row r="39727" spans="1:6" ht="15.75" customHeight="1">
      <c r="A39727" s="3">
        <v>43873.875868055555</v>
      </c>
      <c r="B39727" t="str">
        <f>HYPERLINK("https://twitter.com/risyadts","@risyadts")</f>
        <v>@risyadts</v>
      </c>
      <c r="C39727" t="s">
        <v>1439</v>
      </c>
      <c r="D39727">
        <v>0</v>
      </c>
      <c r="E39727">
        <v>0</v>
      </c>
      <c r="F39727">
        <v>584</v>
      </c>
    </row>
    <row r="39728" spans="1:6" ht="15.75" customHeight="1">
      <c r="A39728" s="3">
        <v>43873.8753125</v>
      </c>
      <c r="B39728" t="str">
        <f>HYPERLINK("https://twitter.com/mbarep_panji","@mbarep_panji")</f>
        <v>@mbarep_panji</v>
      </c>
      <c r="C39728" t="s">
        <v>1440</v>
      </c>
      <c r="D39728">
        <v>0</v>
      </c>
      <c r="E39728">
        <v>0</v>
      </c>
      <c r="F39728">
        <v>66</v>
      </c>
    </row>
    <row r="39729" spans="1:6" ht="15.75" customHeight="1">
      <c r="A39729" s="3">
        <v>43873.874884259261</v>
      </c>
      <c r="B39729" t="str">
        <f>HYPERLINK("https://twitter.com/badrun_erb","@badrun_erb")</f>
        <v>@badrun_erb</v>
      </c>
      <c r="C39729" t="s">
        <v>1441</v>
      </c>
      <c r="D39729">
        <v>0</v>
      </c>
      <c r="E39729">
        <v>0</v>
      </c>
      <c r="F39729">
        <v>640</v>
      </c>
    </row>
    <row r="39730" spans="1:6" ht="15.75" customHeight="1">
      <c r="A39730" s="3">
        <v>43873.874814814815</v>
      </c>
      <c r="B39730" t="str">
        <f>HYPERLINK("https://twitter.com/AdrianusRiyan","@AdrianusRiyan")</f>
        <v>@AdrianusRiyan</v>
      </c>
      <c r="C39730" t="s">
        <v>1442</v>
      </c>
      <c r="D39730">
        <v>0</v>
      </c>
      <c r="E39730">
        <v>0</v>
      </c>
      <c r="F39730">
        <v>271</v>
      </c>
    </row>
    <row r="39731" spans="1:6" ht="15.75" customHeight="1">
      <c r="A39731" s="3">
        <v>43873.874247685184</v>
      </c>
      <c r="B39731" t="str">
        <f>HYPERLINK("https://twitter.com/TRANS7","@TRANS7")</f>
        <v>@TRANS7</v>
      </c>
      <c r="C39731" t="s">
        <v>1443</v>
      </c>
      <c r="D39731">
        <v>14</v>
      </c>
      <c r="E39731">
        <v>34</v>
      </c>
      <c r="F39731">
        <v>5569041</v>
      </c>
    </row>
    <row r="39732" spans="1:6" ht="15.75" customHeight="1">
      <c r="A39732" s="3">
        <v>43873.874143518522</v>
      </c>
      <c r="B39732" t="str">
        <f>HYPERLINK("https://twitter.com/Roma13054710","@Roma13054710")</f>
        <v>@Roma13054710</v>
      </c>
      <c r="C39732" t="s">
        <v>1444</v>
      </c>
      <c r="D39732">
        <v>0</v>
      </c>
      <c r="E39732">
        <v>0</v>
      </c>
      <c r="F39732">
        <v>49</v>
      </c>
    </row>
    <row r="39733" spans="1:6" ht="15.75" customHeight="1">
      <c r="A39733" s="3">
        <v>43873.873981481476</v>
      </c>
      <c r="B39733" t="str">
        <f>HYPERLINK("https://twitter.com/KicauSunyi","@KicauSunyi")</f>
        <v>@KicauSunyi</v>
      </c>
      <c r="C39733" t="s">
        <v>1445</v>
      </c>
      <c r="D39733">
        <v>2</v>
      </c>
      <c r="E39733">
        <v>1</v>
      </c>
      <c r="F39733">
        <v>3661</v>
      </c>
    </row>
    <row r="39734" spans="1:6" ht="15.75" customHeight="1">
      <c r="A39734" s="3">
        <v>43873.873842592591</v>
      </c>
      <c r="B39734" t="str">
        <f>HYPERLINK("https://twitter.com/AlySangadji","@AlySangadji")</f>
        <v>@AlySangadji</v>
      </c>
      <c r="C39734" t="s">
        <v>1446</v>
      </c>
      <c r="D39734">
        <v>0</v>
      </c>
      <c r="E39734">
        <v>0</v>
      </c>
      <c r="F39734">
        <v>280</v>
      </c>
    </row>
    <row r="39735" spans="1:6" ht="15.75" customHeight="1">
      <c r="A39735" s="3">
        <v>43873.873483796298</v>
      </c>
      <c r="B39735" t="str">
        <f>HYPERLINK("https://twitter.com/QQriesqy","@QQriesqy")</f>
        <v>@QQriesqy</v>
      </c>
      <c r="C39735" t="s">
        <v>1447</v>
      </c>
      <c r="D39735">
        <v>0</v>
      </c>
      <c r="E39735">
        <v>0</v>
      </c>
      <c r="F39735">
        <v>88</v>
      </c>
    </row>
    <row r="39736" spans="1:6" ht="15.75" customHeight="1">
      <c r="A39736" s="3">
        <v>43873.873310185183</v>
      </c>
      <c r="B39736" t="str">
        <f>HYPERLINK("https://twitter.com/trisssusan","@trisssusan")</f>
        <v>@trisssusan</v>
      </c>
      <c r="C39736" t="s">
        <v>1448</v>
      </c>
      <c r="D39736">
        <v>0</v>
      </c>
      <c r="E39736">
        <v>0</v>
      </c>
      <c r="F39736">
        <v>265</v>
      </c>
    </row>
    <row r="39737" spans="1:6" ht="15.75" customHeight="1">
      <c r="A39737" s="3">
        <v>43873.872256944444</v>
      </c>
      <c r="B39737" t="str">
        <f>HYPERLINK("https://twitter.com/nottfunnyy","@nottfunnyy")</f>
        <v>@nottfunnyy</v>
      </c>
      <c r="C39737" t="s">
        <v>1449</v>
      </c>
      <c r="D39737">
        <v>0</v>
      </c>
      <c r="E39737">
        <v>0</v>
      </c>
      <c r="F39737">
        <v>3638</v>
      </c>
    </row>
    <row r="39738" spans="1:6" ht="15.75" customHeight="1">
      <c r="A39738" s="3">
        <v>43873.872187500005</v>
      </c>
      <c r="B39738" t="str">
        <f>HYPERLINK("https://twitter.com/inyongmanise","@inyongmanise")</f>
        <v>@inyongmanise</v>
      </c>
      <c r="C39738" t="s">
        <v>1450</v>
      </c>
      <c r="D39738">
        <v>0</v>
      </c>
      <c r="E39738">
        <v>1</v>
      </c>
      <c r="F39738">
        <v>9760</v>
      </c>
    </row>
    <row r="39739" spans="1:6" ht="15.75" customHeight="1">
      <c r="A39739" s="3">
        <v>43873.871307870373</v>
      </c>
      <c r="B39739" t="str">
        <f>HYPERLINK("https://twitter.com/inisayaraka","@inisayaraka")</f>
        <v>@inisayaraka</v>
      </c>
      <c r="C39739" t="s">
        <v>1451</v>
      </c>
      <c r="D39739">
        <v>0</v>
      </c>
      <c r="E39739">
        <v>2</v>
      </c>
      <c r="F39739">
        <v>266</v>
      </c>
    </row>
    <row r="39740" spans="1:6" ht="15.75" customHeight="1">
      <c r="A39740" s="3">
        <v>43873.870509259257</v>
      </c>
      <c r="B39740" t="str">
        <f>HYPERLINK("https://twitter.com/voaindonesia","@voaindonesia")</f>
        <v>@voaindonesia</v>
      </c>
      <c r="C39740" t="s">
        <v>1452</v>
      </c>
      <c r="D39740">
        <v>3</v>
      </c>
      <c r="E39740">
        <v>2</v>
      </c>
      <c r="F39740">
        <v>307607</v>
      </c>
    </row>
    <row r="39741" spans="1:6" ht="15.75" customHeight="1">
      <c r="A39741" s="3">
        <v>43873.86996527778</v>
      </c>
      <c r="B39741" t="str">
        <f>HYPERLINK("https://twitter.com/rura2008","@rura2008")</f>
        <v>@rura2008</v>
      </c>
      <c r="C39741" t="s">
        <v>1453</v>
      </c>
      <c r="D39741">
        <v>0</v>
      </c>
      <c r="E39741">
        <v>0</v>
      </c>
      <c r="F39741">
        <v>3</v>
      </c>
    </row>
    <row r="39742" spans="1:6" ht="15.75" customHeight="1">
      <c r="A39742" s="3">
        <v>43873.869780092587</v>
      </c>
      <c r="B39742" t="str">
        <f>HYPERLINK("https://twitter.com/capkucing","@capkucing")</f>
        <v>@capkucing</v>
      </c>
      <c r="C39742" t="s">
        <v>1454</v>
      </c>
      <c r="D39742">
        <v>0</v>
      </c>
      <c r="E39742">
        <v>0</v>
      </c>
      <c r="F39742">
        <v>127</v>
      </c>
    </row>
    <row r="39743" spans="1:6" ht="15.75" customHeight="1">
      <c r="A39743" s="3">
        <v>43873.869525462964</v>
      </c>
      <c r="B39743" t="str">
        <f>HYPERLINK("https://twitter.com/bisnisindgroup","@bisnisindgroup")</f>
        <v>@bisnisindgroup</v>
      </c>
      <c r="C39743" t="s">
        <v>1455</v>
      </c>
      <c r="D39743">
        <v>0</v>
      </c>
      <c r="E39743">
        <v>0</v>
      </c>
      <c r="F39743">
        <v>7299</v>
      </c>
    </row>
    <row r="39744" spans="1:6" ht="15.75" customHeight="1">
      <c r="A39744" s="3">
        <v>43873.868668981479</v>
      </c>
      <c r="B39744" t="str">
        <f>HYPERLINK("https://twitter.com/detikcom","@detikcom")</f>
        <v>@detikcom</v>
      </c>
      <c r="C39744" t="s">
        <v>1456</v>
      </c>
      <c r="D39744">
        <v>3</v>
      </c>
      <c r="E39744">
        <v>8</v>
      </c>
      <c r="F39744">
        <v>15663959</v>
      </c>
    </row>
    <row r="39745" spans="1:6" ht="15.75" customHeight="1">
      <c r="A39745" s="3">
        <v>43873.868518518517</v>
      </c>
      <c r="B39745" t="str">
        <f>HYPERLINK("https://twitter.com/loveniey","@loveniey")</f>
        <v>@loveniey</v>
      </c>
      <c r="C39745" t="s">
        <v>1457</v>
      </c>
      <c r="D39745">
        <v>0</v>
      </c>
      <c r="E39745">
        <v>0</v>
      </c>
      <c r="F39745">
        <v>1452</v>
      </c>
    </row>
    <row r="39746" spans="1:6" ht="15.75" customHeight="1">
      <c r="A39746" s="3">
        <v>43873.868252314816</v>
      </c>
      <c r="B39746" t="str">
        <f>HYPERLINK("https://twitter.com/Bagaspa54669912","@Bagaspa54669912")</f>
        <v>@Bagaspa54669912</v>
      </c>
      <c r="C39746" t="s">
        <v>1458</v>
      </c>
      <c r="D39746">
        <v>0</v>
      </c>
      <c r="E39746">
        <v>0</v>
      </c>
      <c r="F39746">
        <v>37</v>
      </c>
    </row>
    <row r="39747" spans="1:6" ht="15.75" customHeight="1">
      <c r="A39747" s="3">
        <v>43873.86782407407</v>
      </c>
      <c r="B39747" t="str">
        <f>HYPERLINK("https://twitter.com/BurhanSaidi","@BurhanSaidi")</f>
        <v>@BurhanSaidi</v>
      </c>
      <c r="C39747" t="s">
        <v>1459</v>
      </c>
      <c r="D39747">
        <v>1</v>
      </c>
      <c r="E39747">
        <v>1</v>
      </c>
      <c r="F39747">
        <v>1512</v>
      </c>
    </row>
    <row r="39748" spans="1:6" ht="15.75" customHeight="1">
      <c r="A39748" s="3">
        <v>43873.867777777778</v>
      </c>
      <c r="B39748" t="str">
        <f>HYPERLINK("https://twitter.com/DurisAbdul","@DurisAbdul")</f>
        <v>@DurisAbdul</v>
      </c>
      <c r="C39748" t="s">
        <v>1460</v>
      </c>
      <c r="D39748">
        <v>0</v>
      </c>
      <c r="E39748">
        <v>0</v>
      </c>
      <c r="F39748">
        <v>557</v>
      </c>
    </row>
    <row r="39749" spans="1:6" ht="15.75" customHeight="1">
      <c r="A39749" s="3">
        <v>43873.8675462963</v>
      </c>
      <c r="B39749" t="str">
        <f>HYPERLINK("https://twitter.com/inisayaraka","@inisayaraka")</f>
        <v>@inisayaraka</v>
      </c>
      <c r="C39749" t="s">
        <v>1461</v>
      </c>
      <c r="D39749">
        <v>0</v>
      </c>
      <c r="E39749">
        <v>0</v>
      </c>
      <c r="F39749">
        <v>266</v>
      </c>
    </row>
    <row r="39750" spans="1:6" ht="15.75" customHeight="1">
      <c r="A39750" s="3">
        <v>43873.866909722223</v>
      </c>
      <c r="B39750" t="str">
        <f>HYPERLINK("https://twitter.com/TresnaCyber","@TresnaCyber")</f>
        <v>@TresnaCyber</v>
      </c>
      <c r="C39750" t="s">
        <v>1462</v>
      </c>
      <c r="D39750">
        <v>0</v>
      </c>
      <c r="E39750">
        <v>0</v>
      </c>
      <c r="F39750">
        <v>202</v>
      </c>
    </row>
    <row r="39751" spans="1:6" ht="15.75" customHeight="1">
      <c r="A39751" s="3">
        <v>43873.866898148146</v>
      </c>
      <c r="B39751" t="str">
        <f>HYPERLINK("https://twitter.com/ianbura","@ianbura")</f>
        <v>@ianbura</v>
      </c>
      <c r="C39751" t="s">
        <v>1463</v>
      </c>
      <c r="D39751">
        <v>0</v>
      </c>
      <c r="E39751">
        <v>0</v>
      </c>
      <c r="F39751">
        <v>741</v>
      </c>
    </row>
    <row r="39752" spans="1:6" ht="15.75" customHeight="1">
      <c r="A39752" s="3">
        <v>43873.866527777776</v>
      </c>
      <c r="B39752" t="str">
        <f>HYPERLINK("https://twitter.com/HayashaZR","@HayashaZR")</f>
        <v>@HayashaZR</v>
      </c>
      <c r="C39752" t="s">
        <v>1464</v>
      </c>
      <c r="D39752">
        <v>0</v>
      </c>
      <c r="E39752">
        <v>0</v>
      </c>
      <c r="F39752">
        <v>1256</v>
      </c>
    </row>
    <row r="39753" spans="1:6" ht="15.75" customHeight="1">
      <c r="A39753" s="3">
        <v>43873.866273148145</v>
      </c>
      <c r="B39753" t="str">
        <f>HYPERLINK("https://twitter.com/aditbagur","@aditbagur")</f>
        <v>@aditbagur</v>
      </c>
      <c r="C39753" t="s">
        <v>1465</v>
      </c>
      <c r="D39753">
        <v>0</v>
      </c>
      <c r="E39753">
        <v>0</v>
      </c>
      <c r="F39753">
        <v>94</v>
      </c>
    </row>
    <row r="39754" spans="1:6" ht="15.75" customHeight="1">
      <c r="A39754" s="3">
        <v>43873.865324074075</v>
      </c>
      <c r="B39754" t="str">
        <f>HYPERLINK("https://twitter.com/Harian_Jogja","@Harian_Jogja")</f>
        <v>@Harian_Jogja</v>
      </c>
      <c r="C39754" t="s">
        <v>1466</v>
      </c>
      <c r="D39754">
        <v>0</v>
      </c>
      <c r="E39754">
        <v>5</v>
      </c>
      <c r="F39754">
        <v>153150</v>
      </c>
    </row>
    <row r="39755" spans="1:6" ht="15.75" customHeight="1">
      <c r="A39755" s="3">
        <v>43873.864120370374</v>
      </c>
      <c r="B39755" t="str">
        <f>HYPERLINK("https://twitter.com/ChocolateLuck81","@ChocolateLuck81")</f>
        <v>@ChocolateLuck81</v>
      </c>
      <c r="C39755" t="s">
        <v>1467</v>
      </c>
      <c r="D39755">
        <v>0</v>
      </c>
      <c r="E39755">
        <v>0</v>
      </c>
      <c r="F39755">
        <v>46</v>
      </c>
    </row>
    <row r="39756" spans="1:6" ht="15.75" customHeight="1">
      <c r="A39756" s="3">
        <v>43873.864050925928</v>
      </c>
      <c r="B39756" t="str">
        <f>HYPERLINK("https://twitter.com/bambang_hesti","@bambang_hesti")</f>
        <v>@bambang_hesti</v>
      </c>
      <c r="C39756" t="s">
        <v>1468</v>
      </c>
      <c r="D39756">
        <v>0</v>
      </c>
      <c r="E39756">
        <v>0</v>
      </c>
      <c r="F39756">
        <v>14</v>
      </c>
    </row>
    <row r="39757" spans="1:6" ht="15.75" customHeight="1">
      <c r="A39757" s="3">
        <v>43873.863923611112</v>
      </c>
      <c r="B39757" t="str">
        <f>HYPERLINK("https://twitter.com/yedidelgania","@yedidelgania")</f>
        <v>@yedidelgania</v>
      </c>
      <c r="C39757" t="s">
        <v>1469</v>
      </c>
      <c r="D39757">
        <v>0</v>
      </c>
      <c r="E39757">
        <v>0</v>
      </c>
      <c r="F39757">
        <v>182</v>
      </c>
    </row>
    <row r="39758" spans="1:6" ht="15.75" customHeight="1">
      <c r="A39758" s="3">
        <v>43873.86347222222</v>
      </c>
      <c r="B39758" t="str">
        <f>HYPERLINK("https://twitter.com/Suara_Pantau","@Suara_Pantau")</f>
        <v>@Suara_Pantau</v>
      </c>
      <c r="C39758" t="s">
        <v>1226</v>
      </c>
      <c r="D39758">
        <v>0</v>
      </c>
      <c r="E39758">
        <v>0</v>
      </c>
      <c r="F39758">
        <v>295</v>
      </c>
    </row>
    <row r="39759" spans="1:6" ht="15.75" customHeight="1">
      <c r="A39759" s="3">
        <v>43873.863449074073</v>
      </c>
      <c r="B39759" t="str">
        <f>HYPERLINK("https://twitter.com/stunendra","@stunendra")</f>
        <v>@stunendra</v>
      </c>
      <c r="C39759" t="s">
        <v>1470</v>
      </c>
      <c r="D39759">
        <v>0</v>
      </c>
      <c r="E39759">
        <v>0</v>
      </c>
      <c r="F39759">
        <v>125</v>
      </c>
    </row>
    <row r="39760" spans="1:6" ht="15.75" customHeight="1">
      <c r="A39760" s="3">
        <v>43873.863275462965</v>
      </c>
      <c r="B39760" t="str">
        <f>HYPERLINK("https://twitter.com/AAlfaroqi2","@AAlfaroqi2")</f>
        <v>@AAlfaroqi2</v>
      </c>
      <c r="C39760" t="s">
        <v>1471</v>
      </c>
      <c r="D39760">
        <v>3</v>
      </c>
      <c r="E39760">
        <v>3</v>
      </c>
      <c r="F39760">
        <v>289</v>
      </c>
    </row>
    <row r="39761" spans="1:6" ht="15.75" customHeight="1">
      <c r="A39761" s="3">
        <v>43873.86309027778</v>
      </c>
      <c r="B39761" t="str">
        <f>HYPERLINK("https://twitter.com/asalesokogaplek","@asalesokogaplek")</f>
        <v>@asalesokogaplek</v>
      </c>
      <c r="C39761" t="s">
        <v>1472</v>
      </c>
      <c r="D39761">
        <v>1</v>
      </c>
      <c r="E39761">
        <v>1</v>
      </c>
      <c r="F39761">
        <v>23</v>
      </c>
    </row>
    <row r="39762" spans="1:6" ht="15.75" customHeight="1">
      <c r="A39762" s="3">
        <v>43873.861932870372</v>
      </c>
      <c r="B39762" t="str">
        <f>HYPERLINK("https://twitter.com/republikaonline","@republikaonline")</f>
        <v>@republikaonline</v>
      </c>
      <c r="C39762" t="s">
        <v>1473</v>
      </c>
      <c r="D39762">
        <v>0</v>
      </c>
      <c r="E39762">
        <v>2</v>
      </c>
      <c r="F39762">
        <v>1210209</v>
      </c>
    </row>
    <row r="39763" spans="1:6" ht="15.75" customHeight="1">
      <c r="A39763" s="3">
        <v>43873.860555555555</v>
      </c>
      <c r="B39763" t="str">
        <f>HYPERLINK("https://twitter.com/Yamaccha","@Yamaccha")</f>
        <v>@Yamaccha</v>
      </c>
      <c r="C39763" t="s">
        <v>1474</v>
      </c>
      <c r="D39763">
        <v>1</v>
      </c>
      <c r="E39763">
        <v>0</v>
      </c>
      <c r="F39763">
        <v>390</v>
      </c>
    </row>
    <row r="39764" spans="1:6" ht="15.75" customHeight="1">
      <c r="A39764" s="3">
        <v>43873.860115740739</v>
      </c>
      <c r="B39764" t="str">
        <f>HYPERLINK("https://twitter.com/peachyfraise","@peachyfraise")</f>
        <v>@peachyfraise</v>
      </c>
      <c r="C39764" t="s">
        <v>1475</v>
      </c>
      <c r="D39764">
        <v>0</v>
      </c>
      <c r="E39764">
        <v>1</v>
      </c>
      <c r="F39764">
        <v>347</v>
      </c>
    </row>
    <row r="39765" spans="1:6" ht="15.75" customHeight="1">
      <c r="A39765" s="3">
        <v>43873.86005787037</v>
      </c>
      <c r="B39765" t="str">
        <f>HYPERLINK("https://twitter.com/PrimaBerita","@PrimaBerita")</f>
        <v>@PrimaBerita</v>
      </c>
      <c r="C39765" t="s">
        <v>1222</v>
      </c>
      <c r="D39765">
        <v>0</v>
      </c>
      <c r="E39765">
        <v>0</v>
      </c>
      <c r="F39765">
        <v>64</v>
      </c>
    </row>
    <row r="39766" spans="1:6" ht="15.75" customHeight="1">
      <c r="A39766" s="3">
        <v>43873.86</v>
      </c>
      <c r="B39766" t="str">
        <f>HYPERLINK("https://twitter.com/prima_indria","@prima_indria")</f>
        <v>@prima_indria</v>
      </c>
      <c r="C39766" t="s">
        <v>1476</v>
      </c>
      <c r="D39766">
        <v>0</v>
      </c>
      <c r="E39766">
        <v>1</v>
      </c>
      <c r="F39766">
        <v>567</v>
      </c>
    </row>
    <row r="39767" spans="1:6" ht="15.75" customHeight="1">
      <c r="A39767" s="3">
        <v>43873.859895833331</v>
      </c>
      <c r="B39767" t="str">
        <f>HYPERLINK("https://twitter.com/DandyPurwanto_","@DandyPurwanto_")</f>
        <v>@DandyPurwanto_</v>
      </c>
      <c r="C39767" t="s">
        <v>1477</v>
      </c>
      <c r="D39767">
        <v>0</v>
      </c>
      <c r="E39767">
        <v>1</v>
      </c>
      <c r="F39767">
        <v>179</v>
      </c>
    </row>
    <row r="39768" spans="1:6" ht="15.75" customHeight="1">
      <c r="A39768" s="3">
        <v>43873.859571759254</v>
      </c>
      <c r="B39768" t="str">
        <f>HYPERLINK("https://twitter.com/nabielnow","@nabielnow")</f>
        <v>@nabielnow</v>
      </c>
      <c r="C39768" t="s">
        <v>1478</v>
      </c>
      <c r="D39768">
        <v>0</v>
      </c>
      <c r="E39768">
        <v>0</v>
      </c>
      <c r="F39768">
        <v>15</v>
      </c>
    </row>
    <row r="39769" spans="1:6" ht="15.75" customHeight="1">
      <c r="A39769" s="3">
        <v>43873.858807870369</v>
      </c>
      <c r="B39769" t="str">
        <f>HYPERLINK("https://twitter.com/kitsiangfreddy","@kitsiangfreddy")</f>
        <v>@kitsiangfreddy</v>
      </c>
      <c r="C39769" t="s">
        <v>1479</v>
      </c>
      <c r="D39769">
        <v>0</v>
      </c>
      <c r="E39769">
        <v>0</v>
      </c>
      <c r="F39769">
        <v>1138</v>
      </c>
    </row>
    <row r="39770" spans="1:6" ht="15.75" customHeight="1">
      <c r="A39770" s="3">
        <v>43873.858796296292</v>
      </c>
      <c r="B39770" t="str">
        <f>HYPERLINK("https://twitter.com/umydumdum","@umydumdum")</f>
        <v>@umydumdum</v>
      </c>
      <c r="C39770" t="s">
        <v>1480</v>
      </c>
      <c r="D39770">
        <v>0</v>
      </c>
      <c r="E39770">
        <v>0</v>
      </c>
      <c r="F39770">
        <v>451</v>
      </c>
    </row>
    <row r="39771" spans="1:6" ht="15.75" customHeight="1">
      <c r="A39771" s="3">
        <v>43873.858437499999</v>
      </c>
      <c r="B39771" t="str">
        <f>HYPERLINK("https://twitter.com/djcenud","@djcenud")</f>
        <v>@djcenud</v>
      </c>
      <c r="C39771" t="s">
        <v>1481</v>
      </c>
      <c r="D39771">
        <v>0</v>
      </c>
      <c r="E39771">
        <v>0</v>
      </c>
      <c r="F39771">
        <v>1172</v>
      </c>
    </row>
    <row r="39772" spans="1:6" ht="15.75" customHeight="1">
      <c r="A39772" s="3">
        <v>43873.858136574076</v>
      </c>
      <c r="B39772" t="str">
        <f>HYPERLINK("https://twitter.com/aryadi_robby","@aryadi_robby")</f>
        <v>@aryadi_robby</v>
      </c>
      <c r="D39772">
        <v>0</v>
      </c>
      <c r="E39772">
        <v>0</v>
      </c>
      <c r="F39772">
        <v>697</v>
      </c>
    </row>
    <row r="39773" spans="1:6" ht="15.75" customHeight="1">
      <c r="A39773" s="3">
        <v>43873.857951388884</v>
      </c>
      <c r="B39773" t="str">
        <f>HYPERLINK("https://twitter.com/20detik","@20detik")</f>
        <v>@20detik</v>
      </c>
      <c r="C39773" t="s">
        <v>1482</v>
      </c>
      <c r="D39773">
        <v>1</v>
      </c>
      <c r="E39773">
        <v>0</v>
      </c>
      <c r="F39773">
        <v>80586</v>
      </c>
    </row>
    <row r="39774" spans="1:6" ht="15.75" customHeight="1">
      <c r="A39774" s="3">
        <v>43873.857824074075</v>
      </c>
      <c r="B39774" t="str">
        <f>HYPERLINK("https://twitter.com/ansyori_riduan","@ansyori_riduan")</f>
        <v>@ansyori_riduan</v>
      </c>
      <c r="C39774" t="s">
        <v>511</v>
      </c>
      <c r="D39774">
        <v>0</v>
      </c>
      <c r="E39774">
        <v>0</v>
      </c>
      <c r="F39774">
        <v>114</v>
      </c>
    </row>
    <row r="39775" spans="1:6" ht="15.75" customHeight="1">
      <c r="A39775" s="3">
        <v>43873.857638888891</v>
      </c>
      <c r="B39775" t="str">
        <f>HYPERLINK("https://twitter.com/fchw33","@fchw33")</f>
        <v>@fchw33</v>
      </c>
      <c r="C39775" t="s">
        <v>1483</v>
      </c>
      <c r="D39775">
        <v>0</v>
      </c>
      <c r="E39775">
        <v>0</v>
      </c>
      <c r="F39775">
        <v>100</v>
      </c>
    </row>
    <row r="39776" spans="1:6" ht="15.75" customHeight="1">
      <c r="A39776" s="3">
        <v>43873.857534722221</v>
      </c>
      <c r="B39776" t="str">
        <f>HYPERLINK("https://twitter.com/KaoyHery","@KaoyHery")</f>
        <v>@KaoyHery</v>
      </c>
      <c r="C39776" t="s">
        <v>1484</v>
      </c>
      <c r="D39776">
        <v>0</v>
      </c>
      <c r="E39776">
        <v>1</v>
      </c>
      <c r="F39776">
        <v>3376</v>
      </c>
    </row>
    <row r="39777" spans="1:6" ht="15.75" customHeight="1">
      <c r="A39777" s="3">
        <v>43873.857118055559</v>
      </c>
      <c r="B39777" t="str">
        <f>HYPERLINK("https://twitter.com/S0ldier_God","@S0ldier_God")</f>
        <v>@S0ldier_God</v>
      </c>
      <c r="C39777" t="s">
        <v>1485</v>
      </c>
      <c r="D39777">
        <v>0</v>
      </c>
      <c r="E39777">
        <v>0</v>
      </c>
      <c r="F39777">
        <v>88</v>
      </c>
    </row>
    <row r="39778" spans="1:6" ht="15.75" customHeight="1">
      <c r="A39778" s="3">
        <v>43873.856886574074</v>
      </c>
      <c r="B39778" t="str">
        <f>HYPERLINK("https://twitter.com/jypguise","@jypguise")</f>
        <v>@jypguise</v>
      </c>
      <c r="C39778" t="s">
        <v>1486</v>
      </c>
      <c r="D39778">
        <v>0</v>
      </c>
      <c r="E39778">
        <v>0</v>
      </c>
      <c r="F39778">
        <v>974</v>
      </c>
    </row>
    <row r="39779" spans="1:6" ht="15.75" customHeight="1">
      <c r="A39779" s="3">
        <v>43873.856759259259</v>
      </c>
      <c r="B39779" t="str">
        <f>HYPERLINK("https://twitter.com/dani_partin01","@dani_partin01")</f>
        <v>@dani_partin01</v>
      </c>
      <c r="C39779" t="s">
        <v>1487</v>
      </c>
      <c r="D39779">
        <v>0</v>
      </c>
      <c r="E39779">
        <v>0</v>
      </c>
      <c r="F39779">
        <v>1287</v>
      </c>
    </row>
    <row r="39780" spans="1:6" ht="15.75" customHeight="1">
      <c r="A39780" s="3">
        <v>43873.85665509259</v>
      </c>
      <c r="B39780" t="str">
        <f>HYPERLINK("https://twitter.com/Zain_Ical","@Zain_Ical")</f>
        <v>@Zain_Ical</v>
      </c>
      <c r="C39780" t="s">
        <v>1488</v>
      </c>
      <c r="D39780">
        <v>2</v>
      </c>
      <c r="E39780">
        <v>2</v>
      </c>
      <c r="F39780">
        <v>1902</v>
      </c>
    </row>
    <row r="39781" spans="1:6" ht="15.75" customHeight="1">
      <c r="A39781" s="3">
        <v>43873.85664351852</v>
      </c>
      <c r="B39781" t="str">
        <f>HYPERLINK("https://twitter.com/m_ariefsetiawn","@m_ariefsetiawn")</f>
        <v>@m_ariefsetiawn</v>
      </c>
      <c r="C39781" t="s">
        <v>1489</v>
      </c>
      <c r="D39781">
        <v>0</v>
      </c>
      <c r="E39781">
        <v>0</v>
      </c>
      <c r="F39781">
        <v>305</v>
      </c>
    </row>
    <row r="39782" spans="1:6" ht="15.75" customHeight="1">
      <c r="A39782" s="3">
        <v>43873.856562500005</v>
      </c>
      <c r="B39782" t="str">
        <f>HYPERLINK("https://twitter.com/torlaies","@torlaies")</f>
        <v>@torlaies</v>
      </c>
      <c r="C39782" t="s">
        <v>1491</v>
      </c>
      <c r="D39782">
        <v>0</v>
      </c>
      <c r="E39782">
        <v>0</v>
      </c>
      <c r="F39782">
        <v>67</v>
      </c>
    </row>
    <row r="39783" spans="1:6" ht="15.75" customHeight="1">
      <c r="A39783" s="3">
        <v>43873.856354166666</v>
      </c>
      <c r="B39783" t="str">
        <f>HYPERLINK("https://twitter.com/nafiri78","@nafiri78")</f>
        <v>@nafiri78</v>
      </c>
      <c r="C39783" t="s">
        <v>1492</v>
      </c>
      <c r="D39783">
        <v>1</v>
      </c>
      <c r="E39783">
        <v>5</v>
      </c>
      <c r="F39783">
        <v>1115</v>
      </c>
    </row>
    <row r="39784" spans="1:6" ht="15.75" customHeight="1">
      <c r="A39784" s="3">
        <v>43873.856192129635</v>
      </c>
      <c r="B39784" t="str">
        <f>HYPERLINK("https://twitter.com/dennis_whitedea","@dennis_whitedea")</f>
        <v>@dennis_whitedea</v>
      </c>
      <c r="C39784" t="s">
        <v>1493</v>
      </c>
      <c r="D39784">
        <v>0</v>
      </c>
      <c r="E39784">
        <v>0</v>
      </c>
      <c r="F39784">
        <v>1358</v>
      </c>
    </row>
    <row r="39785" spans="1:6" ht="15.75" customHeight="1">
      <c r="A39785" s="3">
        <v>43873.856145833328</v>
      </c>
      <c r="B39785" t="str">
        <f>HYPERLINK("https://twitter.com/SKaspani_ong","@SKaspani_ong")</f>
        <v>@SKaspani_ong</v>
      </c>
      <c r="C39785" t="s">
        <v>1494</v>
      </c>
      <c r="D39785">
        <v>0</v>
      </c>
      <c r="E39785">
        <v>2</v>
      </c>
      <c r="F39785">
        <v>4399</v>
      </c>
    </row>
    <row r="39786" spans="1:6" ht="15.75" customHeight="1">
      <c r="A39786" s="3">
        <v>43873.855972222227</v>
      </c>
      <c r="B39786" t="str">
        <f>HYPERLINK("https://twitter.com/Indonesiaberit4","@Indonesiaberit4")</f>
        <v>@Indonesiaberit4</v>
      </c>
      <c r="C39786" t="s">
        <v>1495</v>
      </c>
      <c r="D39786">
        <v>0</v>
      </c>
      <c r="E39786">
        <v>0</v>
      </c>
      <c r="F39786">
        <v>492</v>
      </c>
    </row>
    <row r="39787" spans="1:6" ht="15.75" customHeight="1">
      <c r="A39787" s="3">
        <v>43873.855439814812</v>
      </c>
      <c r="B39787" t="str">
        <f>HYPERLINK("https://twitter.com/jokowi","@jokowi")</f>
        <v>@jokowi</v>
      </c>
      <c r="C39787" t="s">
        <v>1496</v>
      </c>
      <c r="D39787">
        <v>5208</v>
      </c>
      <c r="E39787">
        <v>19107</v>
      </c>
      <c r="F39787">
        <v>12873476</v>
      </c>
    </row>
    <row r="39788" spans="1:6" ht="15.75" customHeight="1">
      <c r="A39788" s="3">
        <v>43873.85538194445</v>
      </c>
      <c r="B39788" t="str">
        <f>HYPERLINK("https://twitter.com/iskandarhelmi47","@iskandarhelmi47")</f>
        <v>@iskandarhelmi47</v>
      </c>
      <c r="C39788" t="s">
        <v>1497</v>
      </c>
      <c r="D39788">
        <v>0</v>
      </c>
      <c r="E39788">
        <v>0</v>
      </c>
      <c r="F39788">
        <v>37</v>
      </c>
    </row>
    <row r="39789" spans="1:6" ht="15.75" customHeight="1">
      <c r="A39789" s="3">
        <v>43873.855196759258</v>
      </c>
      <c r="B39789" t="str">
        <f>HYPERLINK("https://twitter.com/okezonenews","@okezonenews")</f>
        <v>@okezonenews</v>
      </c>
      <c r="C39789" t="s">
        <v>1498</v>
      </c>
      <c r="D39789">
        <v>1</v>
      </c>
      <c r="E39789">
        <v>0</v>
      </c>
      <c r="F39789">
        <v>1743741</v>
      </c>
    </row>
    <row r="39790" spans="1:6" ht="15.75" customHeight="1">
      <c r="A39790" s="3">
        <v>43873.854814814811</v>
      </c>
      <c r="B39790" t="str">
        <f>HYPERLINK("https://twitter.com/harihariono1","@harihariono1")</f>
        <v>@harihariono1</v>
      </c>
      <c r="C39790" t="s">
        <v>1499</v>
      </c>
      <c r="D39790">
        <v>4</v>
      </c>
      <c r="E39790">
        <v>11</v>
      </c>
      <c r="F39790">
        <v>9328</v>
      </c>
    </row>
    <row r="39791" spans="1:6" ht="15.75" customHeight="1">
      <c r="A39791" s="3">
        <v>43873.85429398148</v>
      </c>
      <c r="B39791" t="str">
        <f>HYPERLINK("https://twitter.com/iskandarhelmi47","@iskandarhelmi47")</f>
        <v>@iskandarhelmi47</v>
      </c>
      <c r="C39791" t="s">
        <v>1500</v>
      </c>
      <c r="D39791">
        <v>0</v>
      </c>
      <c r="E39791">
        <v>0</v>
      </c>
      <c r="F39791">
        <v>37</v>
      </c>
    </row>
    <row r="39792" spans="1:6" ht="15.75" customHeight="1">
      <c r="A39792" s="3">
        <v>43873.854224537034</v>
      </c>
      <c r="B39792" t="str">
        <f>HYPERLINK("https://twitter.com/pengabdiweekend","@pengabdiweekend")</f>
        <v>@pengabdiweekend</v>
      </c>
      <c r="C39792" t="s">
        <v>1501</v>
      </c>
      <c r="D39792">
        <v>0</v>
      </c>
      <c r="E39792">
        <v>0</v>
      </c>
      <c r="F39792">
        <v>242</v>
      </c>
    </row>
    <row r="39793" spans="1:6" ht="15.75" customHeight="1">
      <c r="A39793" s="3">
        <v>43873.85324074074</v>
      </c>
      <c r="B39793" t="str">
        <f>HYPERLINK("https://twitter.com/FeriPurwo","@FeriPurwo")</f>
        <v>@FeriPurwo</v>
      </c>
      <c r="C39793" t="s">
        <v>1222</v>
      </c>
      <c r="D39793">
        <v>0</v>
      </c>
      <c r="E39793">
        <v>0</v>
      </c>
      <c r="F39793">
        <v>17209</v>
      </c>
    </row>
    <row r="39794" spans="1:6" ht="15.75" customHeight="1">
      <c r="A39794" s="3">
        <v>43873.853217592594</v>
      </c>
      <c r="B39794" t="str">
        <f>HYPERLINK("https://twitter.com/TRANS7","@TRANS7")</f>
        <v>@TRANS7</v>
      </c>
      <c r="C39794" t="s">
        <v>1502</v>
      </c>
      <c r="D39794">
        <v>21</v>
      </c>
      <c r="E39794">
        <v>64</v>
      </c>
      <c r="F39794">
        <v>5569041</v>
      </c>
    </row>
    <row r="39795" spans="1:6" ht="15.75" customHeight="1">
      <c r="A39795" s="3">
        <v>43873.853217592594</v>
      </c>
      <c r="B39795" t="str">
        <f>HYPERLINK("https://twitter.com/MB_Albanjary","@MB_Albanjary")</f>
        <v>@MB_Albanjary</v>
      </c>
      <c r="C39795" t="s">
        <v>1503</v>
      </c>
      <c r="D39795">
        <v>0</v>
      </c>
      <c r="E39795">
        <v>2</v>
      </c>
      <c r="F39795">
        <v>2046</v>
      </c>
    </row>
    <row r="39796" spans="1:6" ht="15.75" customHeight="1">
      <c r="A39796" s="3">
        <v>43873.852638888886</v>
      </c>
      <c r="B39796" t="str">
        <f>HYPERLINK("https://twitter.com/meteoragothic","@meteoragothic")</f>
        <v>@meteoragothic</v>
      </c>
      <c r="C39796" t="s">
        <v>1504</v>
      </c>
      <c r="D39796">
        <v>0</v>
      </c>
      <c r="E39796">
        <v>0</v>
      </c>
      <c r="F39796">
        <v>210</v>
      </c>
    </row>
    <row r="39797" spans="1:6" ht="15.75" customHeight="1">
      <c r="A39797" s="3">
        <v>43873.852349537032</v>
      </c>
      <c r="B39797" t="str">
        <f>HYPERLINK("https://twitter.com/iskandarhelmi47","@iskandarhelmi47")</f>
        <v>@iskandarhelmi47</v>
      </c>
      <c r="C39797" t="s">
        <v>1505</v>
      </c>
      <c r="D39797">
        <v>0</v>
      </c>
      <c r="E39797">
        <v>0</v>
      </c>
      <c r="F39797">
        <v>37</v>
      </c>
    </row>
    <row r="39798" spans="1:6" ht="15.75" customHeight="1">
      <c r="A39798" s="3">
        <v>43873.852106481485</v>
      </c>
      <c r="B39798" t="str">
        <f>HYPERLINK("https://twitter.com/TuninWS","@TuninWS")</f>
        <v>@TuninWS</v>
      </c>
      <c r="C39798" t="s">
        <v>1506</v>
      </c>
      <c r="D39798">
        <v>0</v>
      </c>
      <c r="E39798">
        <v>0</v>
      </c>
      <c r="F39798">
        <v>21</v>
      </c>
    </row>
    <row r="39799" spans="1:6" ht="15.75" customHeight="1">
      <c r="A39799" s="3">
        <v>43873.851585648154</v>
      </c>
      <c r="B39799" t="str">
        <f>HYPERLINK("https://twitter.com/bintaratarigan","@bintaratarigan")</f>
        <v>@bintaratarigan</v>
      </c>
      <c r="C39799" t="s">
        <v>1507</v>
      </c>
      <c r="D39799">
        <v>0</v>
      </c>
      <c r="E39799">
        <v>0</v>
      </c>
      <c r="F39799">
        <v>47</v>
      </c>
    </row>
    <row r="39800" spans="1:6" ht="15.75" customHeight="1">
      <c r="A39800" s="3">
        <v>43873.851076388892</v>
      </c>
      <c r="B39800" t="str">
        <f>HYPERLINK("https://twitter.com/billy4riez","@billy4riez")</f>
        <v>@billy4riez</v>
      </c>
      <c r="C39800" t="s">
        <v>1222</v>
      </c>
      <c r="D39800">
        <v>0</v>
      </c>
      <c r="E39800">
        <v>1</v>
      </c>
      <c r="F39800">
        <v>7946</v>
      </c>
    </row>
    <row r="39801" spans="1:6" ht="15.75" customHeight="1">
      <c r="A39801" s="3">
        <v>43873.850752314815</v>
      </c>
      <c r="B39801" t="str">
        <f>HYPERLINK("https://twitter.com/republikaonline","@republikaonline")</f>
        <v>@republikaonline</v>
      </c>
      <c r="C39801" t="s">
        <v>1508</v>
      </c>
      <c r="D39801">
        <v>2</v>
      </c>
      <c r="E39801">
        <v>8</v>
      </c>
      <c r="F39801">
        <v>1210209</v>
      </c>
    </row>
    <row r="39802" spans="1:6" ht="15.75" customHeight="1">
      <c r="A39802" s="3">
        <v>43873.850266203706</v>
      </c>
      <c r="B39802" t="str">
        <f>HYPERLINK("https://twitter.com/tvOneNews","@tvOneNews")</f>
        <v>@tvOneNews</v>
      </c>
      <c r="C39802" t="s">
        <v>1509</v>
      </c>
      <c r="D39802">
        <v>3</v>
      </c>
      <c r="E39802">
        <v>23</v>
      </c>
      <c r="F39802">
        <v>8714368</v>
      </c>
    </row>
    <row r="39803" spans="1:6" ht="15.75" customHeight="1">
      <c r="A39803" s="3">
        <v>43873.848657407405</v>
      </c>
      <c r="B39803" t="str">
        <f>HYPERLINK("https://twitter.com/Roni_GW73","@Roni_GW73")</f>
        <v>@Roni_GW73</v>
      </c>
      <c r="C39803" t="s">
        <v>1510</v>
      </c>
      <c r="D39803">
        <v>0</v>
      </c>
      <c r="E39803">
        <v>0</v>
      </c>
      <c r="F39803">
        <v>4</v>
      </c>
    </row>
    <row r="39804" spans="1:6" ht="15.75" customHeight="1">
      <c r="A39804" s="3">
        <v>43873.848298611112</v>
      </c>
      <c r="B39804" t="str">
        <f>HYPERLINK("https://twitter.com/randualit","@randualit")</f>
        <v>@randualit</v>
      </c>
      <c r="C39804" t="s">
        <v>1511</v>
      </c>
      <c r="D39804">
        <v>0</v>
      </c>
      <c r="E39804">
        <v>0</v>
      </c>
      <c r="F39804">
        <v>7554</v>
      </c>
    </row>
    <row r="39805" spans="1:6" ht="15.75" customHeight="1">
      <c r="A39805" s="3">
        <v>43873.848009259258</v>
      </c>
      <c r="B39805" t="str">
        <f>HYPERLINK("https://twitter.com/TRANS7","@TRANS7")</f>
        <v>@TRANS7</v>
      </c>
      <c r="C39805" t="s">
        <v>1512</v>
      </c>
      <c r="D39805">
        <v>32</v>
      </c>
      <c r="E39805">
        <v>143</v>
      </c>
      <c r="F39805">
        <v>5569041</v>
      </c>
    </row>
    <row r="39806" spans="1:6" ht="15.75" customHeight="1">
      <c r="A39806" s="3">
        <v>43873.847719907411</v>
      </c>
      <c r="B39806" t="str">
        <f>HYPERLINK("https://twitter.com/katatodaycom","@katatodaycom")</f>
        <v>@katatodaycom</v>
      </c>
      <c r="C39806" t="s">
        <v>1513</v>
      </c>
      <c r="D39806">
        <v>0</v>
      </c>
      <c r="E39806">
        <v>0</v>
      </c>
      <c r="F39806">
        <v>860</v>
      </c>
    </row>
    <row r="39807" spans="1:6" ht="15.75" customHeight="1">
      <c r="A39807" s="3">
        <v>43873.847627314812</v>
      </c>
      <c r="B39807" t="str">
        <f>HYPERLINK("https://twitter.com/wow_keren","@wow_keren")</f>
        <v>@wow_keren</v>
      </c>
      <c r="C39807" t="s">
        <v>1514</v>
      </c>
      <c r="D39807">
        <v>0</v>
      </c>
      <c r="E39807">
        <v>0</v>
      </c>
      <c r="F39807">
        <v>32000</v>
      </c>
    </row>
    <row r="39808" spans="1:6" ht="15.75" customHeight="1">
      <c r="A39808" s="3">
        <v>43873.847546296296</v>
      </c>
      <c r="B39808" t="str">
        <f>HYPERLINK("https://twitter.com/kabarpol","@kabarpol")</f>
        <v>@kabarpol</v>
      </c>
      <c r="C39808" t="s">
        <v>854</v>
      </c>
      <c r="D39808">
        <v>0</v>
      </c>
      <c r="E39808">
        <v>0</v>
      </c>
      <c r="F39808">
        <v>51</v>
      </c>
    </row>
    <row r="39809" spans="1:6" ht="15.75" customHeight="1">
      <c r="A39809" s="3">
        <v>43873.847488425927</v>
      </c>
      <c r="B39809" t="str">
        <f>HYPERLINK("https://twitter.com/kabarpolitik","@kabarpolitik")</f>
        <v>@kabarpolitik</v>
      </c>
      <c r="C39809" t="s">
        <v>854</v>
      </c>
      <c r="D39809">
        <v>0</v>
      </c>
      <c r="E39809">
        <v>0</v>
      </c>
      <c r="F39809">
        <v>16761</v>
      </c>
    </row>
    <row r="39810" spans="1:6" ht="15.75" customHeight="1">
      <c r="A39810" s="3">
        <v>43873.847222222219</v>
      </c>
      <c r="B39810" t="str">
        <f>HYPERLINK("https://twitter.com/dw_indonesia","@dw_indonesia")</f>
        <v>@dw_indonesia</v>
      </c>
      <c r="C39810" t="s">
        <v>1516</v>
      </c>
      <c r="D39810">
        <v>57</v>
      </c>
      <c r="E39810">
        <v>118</v>
      </c>
      <c r="F39810">
        <v>54878</v>
      </c>
    </row>
    <row r="39811" spans="1:6" ht="15.75" customHeight="1">
      <c r="A39811" s="3">
        <v>43873.846875000003</v>
      </c>
      <c r="B39811" t="str">
        <f>HYPERLINK("https://twitter.com/detikcom","@detikcom")</f>
        <v>@detikcom</v>
      </c>
      <c r="C39811" t="s">
        <v>1517</v>
      </c>
      <c r="D39811">
        <v>59</v>
      </c>
      <c r="E39811">
        <v>307</v>
      </c>
      <c r="F39811">
        <v>15663959</v>
      </c>
    </row>
    <row r="39812" spans="1:6" ht="15.75" customHeight="1">
      <c r="A39812" s="3">
        <v>43873.846539351856</v>
      </c>
      <c r="B39812" t="str">
        <f>HYPERLINK("https://twitter.com/asalesokogaplek","@asalesokogaplek")</f>
        <v>@asalesokogaplek</v>
      </c>
      <c r="C39812" t="s">
        <v>1518</v>
      </c>
      <c r="D39812">
        <v>0</v>
      </c>
      <c r="E39812">
        <v>0</v>
      </c>
      <c r="F39812">
        <v>23</v>
      </c>
    </row>
    <row r="39813" spans="1:6" ht="15.75" customHeight="1">
      <c r="A39813" s="3">
        <v>43873.846342592587</v>
      </c>
      <c r="B39813" t="str">
        <f>HYPERLINK("https://twitter.com/AndiRiskaPutri1","@AndiRiskaPutri1")</f>
        <v>@AndiRiskaPutri1</v>
      </c>
      <c r="C39813" t="s">
        <v>1434</v>
      </c>
      <c r="D39813">
        <v>0</v>
      </c>
      <c r="E39813">
        <v>0</v>
      </c>
      <c r="F39813">
        <v>52</v>
      </c>
    </row>
    <row r="39814" spans="1:6" ht="15.75" customHeight="1">
      <c r="A39814" s="3">
        <v>43873.846331018518</v>
      </c>
      <c r="B39814" t="str">
        <f>HYPERLINK("https://twitter.com/tribunnews","@tribunnews")</f>
        <v>@tribunnews</v>
      </c>
      <c r="C39814" t="s">
        <v>1519</v>
      </c>
      <c r="D39814">
        <v>1</v>
      </c>
      <c r="E39814">
        <v>3</v>
      </c>
      <c r="F39814">
        <v>873082</v>
      </c>
    </row>
    <row r="39815" spans="1:6" ht="15.75" customHeight="1">
      <c r="A39815" s="3">
        <v>43873.846099537041</v>
      </c>
      <c r="B39815" t="str">
        <f t="shared" ref="B39815:B39819" si="472">HYPERLINK("https://twitter.com/AndiRiskaPutri1","@AndiRiskaPutri1")</f>
        <v>@AndiRiskaPutri1</v>
      </c>
      <c r="C39815" t="s">
        <v>1434</v>
      </c>
      <c r="D39815">
        <v>0</v>
      </c>
      <c r="E39815">
        <v>0</v>
      </c>
      <c r="F39815">
        <v>52</v>
      </c>
    </row>
    <row r="39816" spans="1:6" ht="15.75" customHeight="1">
      <c r="A39816" s="3">
        <v>43873.845810185187</v>
      </c>
      <c r="B39816" t="str">
        <f t="shared" si="472"/>
        <v>@AndiRiskaPutri1</v>
      </c>
      <c r="C39816" t="s">
        <v>1434</v>
      </c>
      <c r="D39816">
        <v>0</v>
      </c>
      <c r="E39816">
        <v>0</v>
      </c>
      <c r="F39816">
        <v>52</v>
      </c>
    </row>
    <row r="39817" spans="1:6" ht="15.75" customHeight="1">
      <c r="A39817" s="3">
        <v>43873.845706018517</v>
      </c>
      <c r="B39817" t="str">
        <f t="shared" si="472"/>
        <v>@AndiRiskaPutri1</v>
      </c>
      <c r="C39817" t="s">
        <v>1434</v>
      </c>
      <c r="D39817">
        <v>0</v>
      </c>
      <c r="E39817">
        <v>0</v>
      </c>
      <c r="F39817">
        <v>52</v>
      </c>
    </row>
    <row r="39818" spans="1:6" ht="15.75" customHeight="1">
      <c r="A39818" s="3">
        <v>43873.845486111109</v>
      </c>
      <c r="B39818" t="str">
        <f t="shared" si="472"/>
        <v>@AndiRiskaPutri1</v>
      </c>
      <c r="C39818" t="s">
        <v>1434</v>
      </c>
      <c r="D39818">
        <v>0</v>
      </c>
      <c r="E39818">
        <v>0</v>
      </c>
      <c r="F39818">
        <v>52</v>
      </c>
    </row>
    <row r="39819" spans="1:6" ht="15.75" customHeight="1">
      <c r="A39819" s="3">
        <v>43873.845370370371</v>
      </c>
      <c r="B39819" t="str">
        <f t="shared" si="472"/>
        <v>@AndiRiskaPutri1</v>
      </c>
      <c r="C39819" t="s">
        <v>1434</v>
      </c>
      <c r="D39819">
        <v>0</v>
      </c>
      <c r="E39819">
        <v>0</v>
      </c>
      <c r="F39819">
        <v>52</v>
      </c>
    </row>
    <row r="39820" spans="1:6" ht="15.75" customHeight="1">
      <c r="A39820" s="3">
        <v>43873.844907407409</v>
      </c>
      <c r="B39820" t="str">
        <f>HYPERLINK("https://twitter.com/castastroph","@castastroph")</f>
        <v>@castastroph</v>
      </c>
      <c r="C39820" t="s">
        <v>1520</v>
      </c>
      <c r="D39820">
        <v>0</v>
      </c>
      <c r="E39820">
        <v>0</v>
      </c>
      <c r="F39820">
        <v>196</v>
      </c>
    </row>
    <row r="39821" spans="1:6" ht="15.75" customHeight="1">
      <c r="A39821" s="3">
        <v>43873.844884259262</v>
      </c>
      <c r="B39821" t="str">
        <f>HYPERLINK("https://twitter.com/AndiRiskaPutri1","@AndiRiskaPutri1")</f>
        <v>@AndiRiskaPutri1</v>
      </c>
      <c r="C39821" t="s">
        <v>1434</v>
      </c>
      <c r="D39821">
        <v>0</v>
      </c>
      <c r="E39821">
        <v>0</v>
      </c>
      <c r="F39821">
        <v>52</v>
      </c>
    </row>
    <row r="39822" spans="1:6" ht="15.75" customHeight="1">
      <c r="A39822" s="3">
        <v>43873.844872685186</v>
      </c>
      <c r="B39822" t="str">
        <f>HYPERLINK("https://twitter.com/katatodaycom","@katatodaycom")</f>
        <v>@katatodaycom</v>
      </c>
      <c r="C39822" t="s">
        <v>1521</v>
      </c>
      <c r="D39822">
        <v>0</v>
      </c>
      <c r="E39822">
        <v>0</v>
      </c>
      <c r="F39822">
        <v>860</v>
      </c>
    </row>
    <row r="39823" spans="1:6" ht="15.75" customHeight="1">
      <c r="A39823" s="3">
        <v>43873.84480324074</v>
      </c>
      <c r="B39823" t="str">
        <f>HYPERLINK("https://twitter.com/sorotnews","@sorotnews")</f>
        <v>@sorotnews</v>
      </c>
      <c r="C39823" t="s">
        <v>1294</v>
      </c>
      <c r="D39823">
        <v>1</v>
      </c>
      <c r="E39823">
        <v>4</v>
      </c>
      <c r="F39823">
        <v>3409</v>
      </c>
    </row>
    <row r="39824" spans="1:6" ht="15.75" customHeight="1">
      <c r="A39824" s="3">
        <v>43873.844687500001</v>
      </c>
      <c r="B39824" t="str">
        <f>HYPERLINK("https://twitter.com/andreOPA","@andreOPA")</f>
        <v>@andreOPA</v>
      </c>
      <c r="C39824" t="s">
        <v>1222</v>
      </c>
      <c r="D39824">
        <v>2</v>
      </c>
      <c r="E39824">
        <v>5</v>
      </c>
      <c r="F39824">
        <v>102465</v>
      </c>
    </row>
    <row r="39825" spans="1:6" ht="15.75" customHeight="1">
      <c r="A39825" s="3">
        <v>43873.844131944439</v>
      </c>
      <c r="B39825" t="str">
        <f>HYPERLINK("https://twitter.com/prasetiandri","@prasetiandri")</f>
        <v>@prasetiandri</v>
      </c>
      <c r="D39825">
        <v>0</v>
      </c>
      <c r="E39825">
        <v>0</v>
      </c>
      <c r="F39825">
        <v>81</v>
      </c>
    </row>
    <row r="39826" spans="1:6" ht="15.75" customHeight="1">
      <c r="A39826" s="3">
        <v>43873.843472222223</v>
      </c>
      <c r="B39826" t="str">
        <f>HYPERLINK("https://twitter.com/akmalsofiandy","@akmalsofiandy")</f>
        <v>@akmalsofiandy</v>
      </c>
      <c r="C39826" t="s">
        <v>1522</v>
      </c>
      <c r="D39826">
        <v>0</v>
      </c>
      <c r="E39826">
        <v>0</v>
      </c>
      <c r="F39826">
        <v>818</v>
      </c>
    </row>
    <row r="39827" spans="1:6" ht="15.75" customHeight="1">
      <c r="A39827" s="3">
        <v>43873.842685185184</v>
      </c>
      <c r="B39827" t="str">
        <f>HYPERLINK("https://twitter.com/AnakLolina","@AnakLolina")</f>
        <v>@AnakLolina</v>
      </c>
      <c r="C39827" t="s">
        <v>1523</v>
      </c>
      <c r="D39827">
        <v>65</v>
      </c>
      <c r="E39827">
        <v>138</v>
      </c>
      <c r="F39827">
        <v>14486</v>
      </c>
    </row>
    <row r="39828" spans="1:6" ht="15.75" customHeight="1">
      <c r="A39828" s="3">
        <v>43873.842557870375</v>
      </c>
      <c r="B39828" t="str">
        <f t="shared" ref="B39828:B39829" si="473">HYPERLINK("https://twitter.com/katatodaycom","@katatodaycom")</f>
        <v>@katatodaycom</v>
      </c>
      <c r="C39828" t="s">
        <v>1524</v>
      </c>
      <c r="D39828">
        <v>0</v>
      </c>
      <c r="E39828">
        <v>0</v>
      </c>
      <c r="F39828">
        <v>860</v>
      </c>
    </row>
    <row r="39829" spans="1:6" ht="15.75" customHeight="1">
      <c r="A39829" s="3">
        <v>43873.842199074075</v>
      </c>
      <c r="B39829" t="str">
        <f t="shared" si="473"/>
        <v>@katatodaycom</v>
      </c>
      <c r="C39829" t="s">
        <v>1525</v>
      </c>
      <c r="D39829">
        <v>0</v>
      </c>
      <c r="E39829">
        <v>0</v>
      </c>
      <c r="F39829">
        <v>860</v>
      </c>
    </row>
    <row r="39830" spans="1:6" ht="15.75" customHeight="1">
      <c r="A39830" s="3">
        <v>43873.841608796298</v>
      </c>
      <c r="B39830" t="str">
        <f>HYPERLINK("https://twitter.com/HumasTeam","@HumasTeam")</f>
        <v>@HumasTeam</v>
      </c>
      <c r="C39830" t="s">
        <v>1526</v>
      </c>
      <c r="D39830">
        <v>1</v>
      </c>
      <c r="E39830">
        <v>2</v>
      </c>
      <c r="F39830">
        <v>183</v>
      </c>
    </row>
    <row r="39831" spans="1:6" ht="15.75" customHeight="1">
      <c r="A39831" s="3">
        <v>43873.841180555552</v>
      </c>
      <c r="B39831" t="str">
        <f>HYPERLINK("https://twitter.com/miskiy28","@miskiy28")</f>
        <v>@miskiy28</v>
      </c>
      <c r="C39831" t="s">
        <v>1527</v>
      </c>
      <c r="D39831">
        <v>0</v>
      </c>
      <c r="E39831">
        <v>0</v>
      </c>
      <c r="F39831">
        <v>629</v>
      </c>
    </row>
    <row r="39832" spans="1:6" ht="15.75" customHeight="1">
      <c r="A39832" s="3">
        <v>43873.84107638889</v>
      </c>
      <c r="B39832" t="str">
        <f>HYPERLINK("https://twitter.com/AdelinaAurelia","@AdelinaAurelia")</f>
        <v>@AdelinaAurelia</v>
      </c>
      <c r="C39832" t="s">
        <v>1528</v>
      </c>
      <c r="D39832">
        <v>0</v>
      </c>
      <c r="E39832">
        <v>0</v>
      </c>
      <c r="F39832">
        <v>77</v>
      </c>
    </row>
    <row r="39833" spans="1:6" ht="15.75" customHeight="1">
      <c r="A39833" s="3">
        <v>43873.841053240743</v>
      </c>
      <c r="B39833" t="str">
        <f>HYPERLINK("https://twitter.com/okezonenews","@okezonenews")</f>
        <v>@okezonenews</v>
      </c>
      <c r="C39833" t="s">
        <v>1529</v>
      </c>
      <c r="D39833">
        <v>0</v>
      </c>
      <c r="E39833">
        <v>0</v>
      </c>
      <c r="F39833">
        <v>1743741</v>
      </c>
    </row>
    <row r="39834" spans="1:6" ht="15.75" customHeight="1">
      <c r="A39834" s="3">
        <v>43873.840358796297</v>
      </c>
      <c r="B39834" t="str">
        <f>HYPERLINK("https://twitter.com/inilahdotcom","@inilahdotcom")</f>
        <v>@inilahdotcom</v>
      </c>
      <c r="C39834" t="s">
        <v>1530</v>
      </c>
      <c r="D39834">
        <v>0</v>
      </c>
      <c r="E39834">
        <v>1</v>
      </c>
      <c r="F39834">
        <v>367313</v>
      </c>
    </row>
    <row r="39835" spans="1:6" ht="15.75" customHeight="1">
      <c r="A39835" s="3">
        <v>43873.839884259258</v>
      </c>
      <c r="B39835" t="str">
        <f>HYPERLINK("https://twitter.com/ephraym8","@ephraym8")</f>
        <v>@ephraym8</v>
      </c>
      <c r="C39835" t="s">
        <v>1531</v>
      </c>
      <c r="D39835">
        <v>0</v>
      </c>
      <c r="E39835">
        <v>1</v>
      </c>
      <c r="F39835">
        <v>1110</v>
      </c>
    </row>
    <row r="39836" spans="1:6" ht="15.75" customHeight="1">
      <c r="A39836" s="3">
        <v>43873.839861111112</v>
      </c>
      <c r="B39836" t="str">
        <f>HYPERLINK("https://twitter.com/TSpartan99","@TSpartan99")</f>
        <v>@TSpartan99</v>
      </c>
      <c r="C39836" t="s">
        <v>1532</v>
      </c>
      <c r="D39836">
        <v>0</v>
      </c>
      <c r="E39836">
        <v>0</v>
      </c>
      <c r="F39836">
        <v>860</v>
      </c>
    </row>
    <row r="39837" spans="1:6" ht="15.75" customHeight="1">
      <c r="A39837" s="3">
        <v>43873.839814814812</v>
      </c>
      <c r="B39837" t="str">
        <f>HYPERLINK("https://twitter.com/MurtadhaOne1","@MurtadhaOne1")</f>
        <v>@MurtadhaOne1</v>
      </c>
      <c r="C39837" t="s">
        <v>1533</v>
      </c>
      <c r="D39837">
        <v>82</v>
      </c>
      <c r="E39837">
        <v>198</v>
      </c>
      <c r="F39837">
        <v>5791</v>
      </c>
    </row>
    <row r="39838" spans="1:6" ht="15.75" customHeight="1">
      <c r="A39838" s="3">
        <v>43873.838912037041</v>
      </c>
      <c r="B39838" t="str">
        <f>HYPERLINK("https://twitter.com/detikcom","@detikcom")</f>
        <v>@detikcom</v>
      </c>
      <c r="C39838" t="s">
        <v>1534</v>
      </c>
      <c r="D39838">
        <v>12</v>
      </c>
      <c r="E39838">
        <v>35</v>
      </c>
      <c r="F39838">
        <v>15663959</v>
      </c>
    </row>
    <row r="39839" spans="1:6" ht="15.75" customHeight="1">
      <c r="A39839" s="3">
        <v>43873.838888888888</v>
      </c>
      <c r="B39839" t="str">
        <f>HYPERLINK("https://twitter.com/HeppyCebby","@HeppyCebby")</f>
        <v>@HeppyCebby</v>
      </c>
      <c r="C39839" t="s">
        <v>1535</v>
      </c>
      <c r="D39839">
        <v>0</v>
      </c>
      <c r="E39839">
        <v>0</v>
      </c>
      <c r="F39839">
        <v>1255</v>
      </c>
    </row>
    <row r="39840" spans="1:6" ht="15.75" customHeight="1">
      <c r="A39840" s="3">
        <v>43873.838796296295</v>
      </c>
      <c r="B39840" t="str">
        <f>HYPERLINK("https://twitter.com/chris7wayne","@chris7wayne")</f>
        <v>@chris7wayne</v>
      </c>
      <c r="C39840" t="s">
        <v>1536</v>
      </c>
      <c r="D39840">
        <v>0</v>
      </c>
      <c r="E39840">
        <v>2</v>
      </c>
      <c r="F39840">
        <v>623</v>
      </c>
    </row>
    <row r="39841" spans="1:6" ht="15.75" customHeight="1">
      <c r="A39841" s="3">
        <v>43873.837893518517</v>
      </c>
      <c r="B39841" t="str">
        <f>HYPERLINK("https://twitter.com/wartaIDN","@wartaIDN")</f>
        <v>@wartaIDN</v>
      </c>
      <c r="C39841" t="s">
        <v>854</v>
      </c>
      <c r="D39841">
        <v>0</v>
      </c>
      <c r="E39841">
        <v>0</v>
      </c>
      <c r="F39841">
        <v>7771</v>
      </c>
    </row>
    <row r="39842" spans="1:6" ht="15.75" customHeight="1">
      <c r="A39842" s="3">
        <v>43873.837835648148</v>
      </c>
      <c r="B39842" t="str">
        <f>HYPERLINK("https://twitter.com/Kabar_Tangsel","@Kabar_Tangsel")</f>
        <v>@Kabar_Tangsel</v>
      </c>
      <c r="C39842" t="s">
        <v>1537</v>
      </c>
      <c r="D39842">
        <v>0</v>
      </c>
      <c r="E39842">
        <v>0</v>
      </c>
      <c r="F39842">
        <v>14861</v>
      </c>
    </row>
    <row r="39843" spans="1:6" ht="15.75" customHeight="1">
      <c r="A39843" s="3">
        <v>43873.837800925925</v>
      </c>
      <c r="B39843" t="str">
        <f>HYPERLINK("https://twitter.com/JokoSumiyanto","@JokoSumiyanto")</f>
        <v>@JokoSumiyanto</v>
      </c>
      <c r="C39843" t="s">
        <v>1538</v>
      </c>
      <c r="D39843">
        <v>0</v>
      </c>
      <c r="E39843">
        <v>0</v>
      </c>
      <c r="F39843">
        <v>1216</v>
      </c>
    </row>
    <row r="39844" spans="1:6" ht="15.75" customHeight="1">
      <c r="A39844" s="3">
        <v>43873.837210648147</v>
      </c>
      <c r="B39844" t="str">
        <f>HYPERLINK("https://twitter.com/NaAlia13","@NaAlia13")</f>
        <v>@NaAlia13</v>
      </c>
      <c r="C39844" t="s">
        <v>1539</v>
      </c>
      <c r="D39844">
        <v>0</v>
      </c>
      <c r="E39844">
        <v>1</v>
      </c>
      <c r="F39844">
        <v>1145</v>
      </c>
    </row>
    <row r="39845" spans="1:6" ht="15.75" customHeight="1">
      <c r="A39845" s="3">
        <v>43873.836377314816</v>
      </c>
      <c r="B39845" t="str">
        <f>HYPERLINK("https://twitter.com/NusantaraTho","@NusantaraTho")</f>
        <v>@NusantaraTho</v>
      </c>
      <c r="C39845" t="s">
        <v>1540</v>
      </c>
      <c r="D39845">
        <v>9</v>
      </c>
      <c r="E39845">
        <v>14</v>
      </c>
      <c r="F39845">
        <v>5864</v>
      </c>
    </row>
    <row r="39846" spans="1:6" ht="15.75" customHeight="1">
      <c r="A39846" s="3">
        <v>43873.836192129631</v>
      </c>
      <c r="B39846" t="str">
        <f>HYPERLINK("https://twitter.com/rizkyhidayat","@rizkyhidayat")</f>
        <v>@rizkyhidayat</v>
      </c>
      <c r="C39846" t="s">
        <v>1541</v>
      </c>
      <c r="D39846">
        <v>0</v>
      </c>
      <c r="E39846">
        <v>0</v>
      </c>
      <c r="F39846">
        <v>1044</v>
      </c>
    </row>
    <row r="39847" spans="1:6" ht="15.75" customHeight="1">
      <c r="A39847" s="3">
        <v>43873.836030092592</v>
      </c>
      <c r="B39847" t="str">
        <f>HYPERLINK("https://twitter.com/RealSalmanFaris","@RealSalmanFaris")</f>
        <v>@RealSalmanFaris</v>
      </c>
      <c r="C39847" t="s">
        <v>1542</v>
      </c>
      <c r="D39847">
        <v>0</v>
      </c>
      <c r="E39847">
        <v>0</v>
      </c>
      <c r="F39847">
        <v>101</v>
      </c>
    </row>
    <row r="39848" spans="1:6" ht="15.75" customHeight="1">
      <c r="A39848" s="3">
        <v>43873.835682870369</v>
      </c>
      <c r="B39848" t="str">
        <f>HYPERLINK("https://twitter.com/JanganMerusak","@JanganMerusak")</f>
        <v>@JanganMerusak</v>
      </c>
      <c r="C39848" t="s">
        <v>1543</v>
      </c>
      <c r="D39848">
        <v>5</v>
      </c>
      <c r="E39848">
        <v>10</v>
      </c>
      <c r="F39848">
        <v>3104</v>
      </c>
    </row>
    <row r="39849" spans="1:6" ht="15.75" customHeight="1">
      <c r="A39849" s="3">
        <v>43873.835312499999</v>
      </c>
      <c r="B39849" t="str">
        <f>HYPERLINK("https://twitter.com/warta_tangerang","@warta_tangerang")</f>
        <v>@warta_tangerang</v>
      </c>
      <c r="C39849" t="s">
        <v>854</v>
      </c>
      <c r="D39849">
        <v>0</v>
      </c>
      <c r="E39849">
        <v>0</v>
      </c>
      <c r="F39849">
        <v>8559</v>
      </c>
    </row>
    <row r="39850" spans="1:6" ht="15.75" customHeight="1">
      <c r="A39850" s="3">
        <v>43873.83488425926</v>
      </c>
      <c r="B39850" t="str">
        <f>HYPERLINK("https://twitter.com/zherebeth","@zherebeth")</f>
        <v>@zherebeth</v>
      </c>
      <c r="C39850" t="s">
        <v>1544</v>
      </c>
      <c r="D39850">
        <v>0</v>
      </c>
      <c r="E39850">
        <v>1</v>
      </c>
      <c r="F39850">
        <v>762</v>
      </c>
    </row>
    <row r="39851" spans="1:6" ht="15.75" customHeight="1">
      <c r="A39851" s="3">
        <v>43873.834085648152</v>
      </c>
      <c r="B39851" t="str">
        <f>HYPERLINK("https://twitter.com/LokadataID","@LokadataID")</f>
        <v>@LokadataID</v>
      </c>
      <c r="C39851" t="s">
        <v>1545</v>
      </c>
      <c r="D39851">
        <v>2</v>
      </c>
      <c r="E39851">
        <v>4</v>
      </c>
      <c r="F39851">
        <v>512716</v>
      </c>
    </row>
    <row r="39852" spans="1:6" ht="15.75" customHeight="1">
      <c r="A39852" s="3">
        <v>43873.833969907406</v>
      </c>
      <c r="B39852" t="str">
        <f>HYPERLINK("https://twitter.com/BatamPos","@BatamPos")</f>
        <v>@BatamPos</v>
      </c>
      <c r="C39852" t="s">
        <v>1546</v>
      </c>
      <c r="D39852">
        <v>0</v>
      </c>
      <c r="E39852">
        <v>0</v>
      </c>
      <c r="F39852">
        <v>67353</v>
      </c>
    </row>
    <row r="39853" spans="1:6" ht="15.75" customHeight="1">
      <c r="A39853" s="3">
        <v>43873.833831018521</v>
      </c>
      <c r="B39853" t="str">
        <f>HYPERLINK("https://twitter.com/RamliRahim9","@RamliRahim9")</f>
        <v>@RamliRahim9</v>
      </c>
      <c r="C39853" t="s">
        <v>1547</v>
      </c>
      <c r="D39853">
        <v>0</v>
      </c>
      <c r="E39853">
        <v>0</v>
      </c>
      <c r="F39853">
        <v>0</v>
      </c>
    </row>
    <row r="39854" spans="1:6" ht="15.75" customHeight="1">
      <c r="A39854" s="3">
        <v>43873.832835648151</v>
      </c>
      <c r="B39854" t="str">
        <f>HYPERLINK("https://twitter.com/IC5LU","@IC5LU")</f>
        <v>@IC5LU</v>
      </c>
      <c r="C39854" t="s">
        <v>1548</v>
      </c>
      <c r="D39854">
        <v>0</v>
      </c>
      <c r="E39854">
        <v>0</v>
      </c>
      <c r="F39854">
        <v>2550</v>
      </c>
    </row>
    <row r="39855" spans="1:6" ht="15.75" customHeight="1">
      <c r="A39855" s="3">
        <v>43873.832557870366</v>
      </c>
      <c r="B39855" t="str">
        <f>HYPERLINK("https://twitter.com/kabarpolitik","@kabarpolitik")</f>
        <v>@kabarpolitik</v>
      </c>
      <c r="C39855" t="s">
        <v>1549</v>
      </c>
      <c r="D39855">
        <v>0</v>
      </c>
      <c r="E39855">
        <v>0</v>
      </c>
      <c r="F39855">
        <v>16761</v>
      </c>
    </row>
    <row r="39856" spans="1:6" ht="15.75" customHeight="1">
      <c r="A39856" s="3">
        <v>43873.832465277781</v>
      </c>
      <c r="B39856" t="str">
        <f>HYPERLINK("https://twitter.com/evndari","@evndari")</f>
        <v>@evndari</v>
      </c>
      <c r="C39856" t="s">
        <v>1550</v>
      </c>
      <c r="D39856">
        <v>0</v>
      </c>
      <c r="E39856">
        <v>2</v>
      </c>
      <c r="F39856">
        <v>97736</v>
      </c>
    </row>
    <row r="39857" spans="1:6" ht="15.75" customHeight="1">
      <c r="A39857" s="3">
        <v>43873.832326388889</v>
      </c>
      <c r="B39857" t="str">
        <f>HYPERLINK("https://twitter.com/kompascom","@kompascom")</f>
        <v>@kompascom</v>
      </c>
      <c r="C39857" t="s">
        <v>1551</v>
      </c>
      <c r="D39857">
        <v>13</v>
      </c>
      <c r="E39857">
        <v>30</v>
      </c>
      <c r="F39857">
        <v>7496984</v>
      </c>
    </row>
    <row r="39858" spans="1:6" ht="15.75" customHeight="1">
      <c r="A39858" s="3">
        <v>43873.83189814815</v>
      </c>
      <c r="B39858" t="str">
        <f>HYPERLINK("https://twitter.com/suryakepricom","@suryakepricom")</f>
        <v>@suryakepricom</v>
      </c>
      <c r="C39858" t="s">
        <v>1552</v>
      </c>
      <c r="D39858">
        <v>0</v>
      </c>
      <c r="E39858">
        <v>0</v>
      </c>
      <c r="F39858">
        <v>12</v>
      </c>
    </row>
    <row r="39859" spans="1:6" ht="15.75" customHeight="1">
      <c r="A39859" s="3">
        <v>43873.831886574073</v>
      </c>
      <c r="B39859" t="str">
        <f>HYPERLINK("https://twitter.com/eddymesakh","@eddymesakh")</f>
        <v>@eddymesakh</v>
      </c>
      <c r="C39859" t="s">
        <v>1552</v>
      </c>
      <c r="D39859">
        <v>0</v>
      </c>
      <c r="E39859">
        <v>0</v>
      </c>
      <c r="F39859">
        <v>186</v>
      </c>
    </row>
    <row r="39860" spans="1:6" ht="15.75" customHeight="1">
      <c r="A39860" s="3">
        <v>43873.831331018519</v>
      </c>
      <c r="B39860" t="str">
        <f>HYPERLINK("https://twitter.com/SayembaraKata","@SayembaraKata")</f>
        <v>@SayembaraKata</v>
      </c>
      <c r="C39860" t="s">
        <v>1553</v>
      </c>
      <c r="D39860">
        <v>0</v>
      </c>
      <c r="E39860">
        <v>0</v>
      </c>
      <c r="F39860">
        <v>377</v>
      </c>
    </row>
    <row r="39861" spans="1:6" ht="15.75" customHeight="1">
      <c r="A39861" s="3">
        <v>43873.830648148149</v>
      </c>
      <c r="B39861" t="str">
        <f>HYPERLINK("https://twitter.com/nopalrrrr","@nopalrrrr")</f>
        <v>@nopalrrrr</v>
      </c>
      <c r="C39861" t="s">
        <v>1554</v>
      </c>
      <c r="D39861">
        <v>0</v>
      </c>
      <c r="E39861">
        <v>0</v>
      </c>
      <c r="F39861">
        <v>108</v>
      </c>
    </row>
    <row r="39862" spans="1:6" ht="15.75" customHeight="1">
      <c r="A39862" s="3">
        <v>43873.830335648148</v>
      </c>
      <c r="B39862" t="str">
        <f t="shared" ref="B39862:B39864" si="474">HYPERLINK("https://twitter.com/AndiRiskaPutri1","@AndiRiskaPutri1")</f>
        <v>@AndiRiskaPutri1</v>
      </c>
      <c r="C39862" t="s">
        <v>1434</v>
      </c>
      <c r="D39862">
        <v>0</v>
      </c>
      <c r="E39862">
        <v>0</v>
      </c>
      <c r="F39862">
        <v>52</v>
      </c>
    </row>
    <row r="39863" spans="1:6" ht="15.75" customHeight="1">
      <c r="A39863" s="3">
        <v>43873.830208333333</v>
      </c>
      <c r="B39863" t="str">
        <f t="shared" si="474"/>
        <v>@AndiRiskaPutri1</v>
      </c>
      <c r="C39863" t="s">
        <v>1434</v>
      </c>
      <c r="D39863">
        <v>0</v>
      </c>
      <c r="E39863">
        <v>0</v>
      </c>
      <c r="F39863">
        <v>52</v>
      </c>
    </row>
    <row r="39864" spans="1:6" ht="15.75" customHeight="1">
      <c r="A39864" s="3">
        <v>43873.830092592594</v>
      </c>
      <c r="B39864" t="str">
        <f t="shared" si="474"/>
        <v>@AndiRiskaPutri1</v>
      </c>
      <c r="C39864" t="s">
        <v>1434</v>
      </c>
      <c r="D39864">
        <v>0</v>
      </c>
      <c r="E39864">
        <v>0</v>
      </c>
      <c r="F39864">
        <v>52</v>
      </c>
    </row>
    <row r="39865" spans="1:6" ht="15.75" customHeight="1">
      <c r="A39865" s="3">
        <v>43873.826631944445</v>
      </c>
      <c r="B39865" t="str">
        <f>HYPERLINK("https://twitter.com/beritalimacom","@beritalimacom")</f>
        <v>@beritalimacom</v>
      </c>
      <c r="C39865" t="s">
        <v>1549</v>
      </c>
      <c r="D39865">
        <v>0</v>
      </c>
      <c r="E39865">
        <v>0</v>
      </c>
      <c r="F39865">
        <v>1444</v>
      </c>
    </row>
    <row r="39866" spans="1:6" ht="15.75" customHeight="1">
      <c r="A39866" s="3">
        <v>43873.825694444444</v>
      </c>
      <c r="B39866" t="str">
        <f>HYPERLINK("https://twitter.com/kompascom","@kompascom")</f>
        <v>@kompascom</v>
      </c>
      <c r="C39866" t="s">
        <v>1555</v>
      </c>
      <c r="D39866">
        <v>6</v>
      </c>
      <c r="E39866">
        <v>31</v>
      </c>
      <c r="F39866">
        <v>7496984</v>
      </c>
    </row>
    <row r="39867" spans="1:6" ht="15.75" customHeight="1">
      <c r="A39867" s="3">
        <v>43873.825428240743</v>
      </c>
      <c r="B39867" t="str">
        <f>HYPERLINK("https://twitter.com/republikaonline","@republikaonline")</f>
        <v>@republikaonline</v>
      </c>
      <c r="C39867" t="s">
        <v>1556</v>
      </c>
      <c r="D39867">
        <v>13</v>
      </c>
      <c r="E39867">
        <v>20</v>
      </c>
      <c r="F39867">
        <v>1210209</v>
      </c>
    </row>
    <row r="39868" spans="1:6" ht="15.75" customHeight="1">
      <c r="A39868" s="3">
        <v>43873.824791666666</v>
      </c>
      <c r="B39868" t="str">
        <f>HYPERLINK("https://twitter.com/BangKomar01","@BangKomar01")</f>
        <v>@BangKomar01</v>
      </c>
      <c r="C39868" t="s">
        <v>1557</v>
      </c>
      <c r="D39868">
        <v>0</v>
      </c>
      <c r="E39868">
        <v>0</v>
      </c>
      <c r="F39868">
        <v>294</v>
      </c>
    </row>
    <row r="39869" spans="1:6" ht="15.75" customHeight="1">
      <c r="A39869" s="3">
        <v>43873.824120370366</v>
      </c>
      <c r="B39869" t="str">
        <f>HYPERLINK("https://twitter.com/antmegapolitan","@antmegapolitan")</f>
        <v>@antmegapolitan</v>
      </c>
      <c r="D39869">
        <v>0</v>
      </c>
      <c r="E39869">
        <v>0</v>
      </c>
      <c r="F39869">
        <v>181</v>
      </c>
    </row>
    <row r="39870" spans="1:6" ht="15.75" customHeight="1">
      <c r="A39870" s="3">
        <v>43873.823645833334</v>
      </c>
      <c r="B39870" t="str">
        <f>HYPERLINK("https://twitter.com/_RahmatSetyawan","@_RahmatSetyawan")</f>
        <v>@_RahmatSetyawan</v>
      </c>
      <c r="C39870" t="s">
        <v>1558</v>
      </c>
      <c r="D39870">
        <v>0</v>
      </c>
      <c r="E39870">
        <v>0</v>
      </c>
      <c r="F39870">
        <v>422</v>
      </c>
    </row>
    <row r="39871" spans="1:6" ht="15.75" customHeight="1">
      <c r="A39871" s="3">
        <v>43873.823518518519</v>
      </c>
      <c r="B39871" t="str">
        <f>HYPERLINK("https://twitter.com/DodolNabi","@DodolNabi")</f>
        <v>@DodolNabi</v>
      </c>
      <c r="C39871" t="s">
        <v>1559</v>
      </c>
      <c r="D39871">
        <v>0</v>
      </c>
      <c r="E39871">
        <v>0</v>
      </c>
      <c r="F39871">
        <v>330</v>
      </c>
    </row>
    <row r="39872" spans="1:6" ht="15.75" customHeight="1">
      <c r="A39872" s="3">
        <v>43873.823009259257</v>
      </c>
      <c r="B39872" t="str">
        <f>HYPERLINK("https://twitter.com/RahmatTran","@RahmatTran")</f>
        <v>@RahmatTran</v>
      </c>
      <c r="C39872" t="s">
        <v>1560</v>
      </c>
      <c r="D39872">
        <v>0</v>
      </c>
      <c r="E39872">
        <v>0</v>
      </c>
      <c r="F39872">
        <v>66</v>
      </c>
    </row>
    <row r="39873" spans="1:6" ht="15.75" customHeight="1">
      <c r="A39873" s="3">
        <v>43873.822974537034</v>
      </c>
      <c r="B39873" t="str">
        <f>HYPERLINK("https://twitter.com/justbat","@justbat")</f>
        <v>@justbat</v>
      </c>
      <c r="C39873" t="s">
        <v>1561</v>
      </c>
      <c r="D39873">
        <v>0</v>
      </c>
      <c r="E39873">
        <v>0</v>
      </c>
      <c r="F39873">
        <v>169</v>
      </c>
    </row>
    <row r="39874" spans="1:6" ht="15.75" customHeight="1">
      <c r="A39874" s="3">
        <v>43873.822581018518</v>
      </c>
      <c r="B39874" t="str">
        <f>HYPERLINK("https://twitter.com/aewin86","@aewin86")</f>
        <v>@aewin86</v>
      </c>
      <c r="C39874" t="s">
        <v>1562</v>
      </c>
      <c r="D39874">
        <v>0</v>
      </c>
      <c r="E39874">
        <v>8</v>
      </c>
      <c r="F39874">
        <v>15893</v>
      </c>
    </row>
    <row r="39875" spans="1:6" ht="15.75" customHeight="1">
      <c r="A39875" s="3">
        <v>43873.822164351848</v>
      </c>
      <c r="B39875" t="str">
        <f>HYPERLINK("https://twitter.com/jumianto_RK","@jumianto_RK")</f>
        <v>@jumianto_RK</v>
      </c>
      <c r="C39875" t="s">
        <v>1563</v>
      </c>
      <c r="D39875">
        <v>1</v>
      </c>
      <c r="E39875">
        <v>1</v>
      </c>
      <c r="F39875">
        <v>3362</v>
      </c>
    </row>
    <row r="39876" spans="1:6" ht="15.75" customHeight="1">
      <c r="A39876" s="3">
        <v>43873.821562500001</v>
      </c>
      <c r="B39876" t="str">
        <f>HYPERLINK("https://twitter.com/BangKomar01","@BangKomar01")</f>
        <v>@BangKomar01</v>
      </c>
      <c r="C39876" t="s">
        <v>1564</v>
      </c>
      <c r="D39876">
        <v>0</v>
      </c>
      <c r="E39876">
        <v>0</v>
      </c>
      <c r="F39876">
        <v>294</v>
      </c>
    </row>
    <row r="39877" spans="1:6" ht="15.75" customHeight="1">
      <c r="A39877" s="3">
        <v>43873.821006944447</v>
      </c>
      <c r="B39877" t="str">
        <f>HYPERLINK("https://twitter.com/kurus039","@kurus039")</f>
        <v>@kurus039</v>
      </c>
      <c r="C39877" t="s">
        <v>1565</v>
      </c>
      <c r="D39877">
        <v>0</v>
      </c>
      <c r="E39877">
        <v>0</v>
      </c>
      <c r="F39877">
        <v>768</v>
      </c>
    </row>
    <row r="39878" spans="1:6" ht="15.75" customHeight="1">
      <c r="A39878" s="3">
        <v>43873.820601851854</v>
      </c>
      <c r="B39878" t="str">
        <f>HYPERLINK("https://twitter.com/okezonenews","@okezonenews")</f>
        <v>@okezonenews</v>
      </c>
      <c r="C39878" t="s">
        <v>1566</v>
      </c>
      <c r="D39878">
        <v>1</v>
      </c>
      <c r="E39878">
        <v>1</v>
      </c>
      <c r="F39878">
        <v>1743741</v>
      </c>
    </row>
    <row r="39879" spans="1:6" ht="15.75" customHeight="1">
      <c r="A39879" s="3">
        <v>43873.820509259254</v>
      </c>
      <c r="B39879" t="str">
        <f>HYPERLINK("https://twitter.com/Wes12320","@Wes12320")</f>
        <v>@Wes12320</v>
      </c>
      <c r="C39879" t="s">
        <v>1567</v>
      </c>
      <c r="D39879">
        <v>5</v>
      </c>
      <c r="E39879">
        <v>14</v>
      </c>
      <c r="F39879">
        <v>3372</v>
      </c>
    </row>
    <row r="39880" spans="1:6" ht="15.75" customHeight="1">
      <c r="A39880" s="3">
        <v>43873.820185185185</v>
      </c>
      <c r="B39880" t="str">
        <f>HYPERLINK("https://twitter.com/soloposdotcom","@soloposdotcom")</f>
        <v>@soloposdotcom</v>
      </c>
      <c r="C39880" t="s">
        <v>1568</v>
      </c>
      <c r="D39880">
        <v>0</v>
      </c>
      <c r="E39880">
        <v>0</v>
      </c>
      <c r="F39880">
        <v>59814</v>
      </c>
    </row>
    <row r="39881" spans="1:6" ht="15.75" customHeight="1">
      <c r="A39881" s="3">
        <v>43873.82</v>
      </c>
      <c r="B39881" t="str">
        <f>HYPERLINK("https://twitter.com/BangKomar01","@BangKomar01")</f>
        <v>@BangKomar01</v>
      </c>
      <c r="C39881" t="s">
        <v>1569</v>
      </c>
      <c r="D39881">
        <v>0</v>
      </c>
      <c r="E39881">
        <v>0</v>
      </c>
      <c r="F39881">
        <v>294</v>
      </c>
    </row>
    <row r="39882" spans="1:6" ht="15.75" customHeight="1">
      <c r="A39882" s="3">
        <v>43873.819039351853</v>
      </c>
      <c r="B39882" t="str">
        <f>HYPERLINK("https://twitter.com/CNNIndonesia","@CNNIndonesia")</f>
        <v>@CNNIndonesia</v>
      </c>
      <c r="C39882" t="s">
        <v>1570</v>
      </c>
      <c r="D39882">
        <v>8</v>
      </c>
      <c r="E39882">
        <v>16</v>
      </c>
      <c r="F39882">
        <v>618500</v>
      </c>
    </row>
    <row r="39883" spans="1:6" ht="15.75" customHeight="1">
      <c r="A39883" s="3">
        <v>43873.818414351852</v>
      </c>
      <c r="B39883" t="str">
        <f>HYPERLINK("https://twitter.com/dennis_whitedea","@dennis_whitedea")</f>
        <v>@dennis_whitedea</v>
      </c>
      <c r="C39883" t="s">
        <v>1571</v>
      </c>
      <c r="D39883">
        <v>0</v>
      </c>
      <c r="E39883">
        <v>2</v>
      </c>
      <c r="F39883">
        <v>1358</v>
      </c>
    </row>
    <row r="39884" spans="1:6" ht="15.75" customHeight="1">
      <c r="A39884" s="3">
        <v>43873.817939814813</v>
      </c>
      <c r="B39884" t="str">
        <f>HYPERLINK("https://twitter.com/Adolfin23106135","@Adolfin23106135")</f>
        <v>@Adolfin23106135</v>
      </c>
      <c r="C39884" t="s">
        <v>1572</v>
      </c>
      <c r="D39884">
        <v>0</v>
      </c>
      <c r="E39884">
        <v>0</v>
      </c>
      <c r="F39884">
        <v>21</v>
      </c>
    </row>
    <row r="39885" spans="1:6" ht="15.75" customHeight="1">
      <c r="A39885" s="3">
        <v>43873.817280092597</v>
      </c>
      <c r="B39885" t="str">
        <f>HYPERLINK("https://twitter.com/kabarpol","@kabarpol")</f>
        <v>@kabarpol</v>
      </c>
      <c r="C39885" t="s">
        <v>1549</v>
      </c>
      <c r="D39885">
        <v>0</v>
      </c>
      <c r="E39885">
        <v>0</v>
      </c>
      <c r="F39885">
        <v>51</v>
      </c>
    </row>
    <row r="39886" spans="1:6" ht="15.75" customHeight="1">
      <c r="A39886" s="3">
        <v>43873.81722222222</v>
      </c>
      <c r="B39886" t="str">
        <f>HYPERLINK("https://twitter.com/kabarpolitik","@kabarpolitik")</f>
        <v>@kabarpolitik</v>
      </c>
      <c r="C39886" t="s">
        <v>1549</v>
      </c>
      <c r="D39886">
        <v>0</v>
      </c>
      <c r="E39886">
        <v>0</v>
      </c>
      <c r="F39886">
        <v>16761</v>
      </c>
    </row>
    <row r="39887" spans="1:6" ht="15.75" customHeight="1">
      <c r="A39887" s="3">
        <v>43873.817048611112</v>
      </c>
      <c r="B39887" t="str">
        <f>HYPERLINK("https://twitter.com/abadikinicom","@abadikinicom")</f>
        <v>@abadikinicom</v>
      </c>
      <c r="C39887" t="s">
        <v>1573</v>
      </c>
      <c r="D39887">
        <v>0</v>
      </c>
      <c r="E39887">
        <v>0</v>
      </c>
      <c r="F39887">
        <v>5379</v>
      </c>
    </row>
    <row r="39888" spans="1:6" ht="15.75" customHeight="1">
      <c r="A39888" s="3">
        <v>43873.816828703704</v>
      </c>
      <c r="B39888" t="str">
        <f>HYPERLINK("https://twitter.com/miskiy28","@miskiy28")</f>
        <v>@miskiy28</v>
      </c>
      <c r="C39888" t="s">
        <v>1574</v>
      </c>
      <c r="D39888">
        <v>0</v>
      </c>
      <c r="E39888">
        <v>0</v>
      </c>
      <c r="F39888">
        <v>629</v>
      </c>
    </row>
    <row r="39889" spans="1:6" ht="15.75" customHeight="1">
      <c r="A39889" s="3">
        <v>43873.816134259258</v>
      </c>
      <c r="B39889" t="str">
        <f>HYPERLINK("https://twitter.com/ndorobbs","@ndorobbs")</f>
        <v>@ndorobbs</v>
      </c>
      <c r="C39889" t="s">
        <v>1575</v>
      </c>
      <c r="D39889">
        <v>0</v>
      </c>
      <c r="E39889">
        <v>0</v>
      </c>
      <c r="F39889">
        <v>170</v>
      </c>
    </row>
    <row r="39890" spans="1:6" ht="15.75" customHeight="1">
      <c r="A39890" s="3">
        <v>43873.815625000003</v>
      </c>
      <c r="B39890" t="str">
        <f>HYPERLINK("https://twitter.com/TeddyIrjaya","@TeddyIrjaya")</f>
        <v>@TeddyIrjaya</v>
      </c>
      <c r="C39890" t="s">
        <v>1576</v>
      </c>
      <c r="D39890">
        <v>0</v>
      </c>
      <c r="E39890">
        <v>0</v>
      </c>
      <c r="F39890">
        <v>665</v>
      </c>
    </row>
    <row r="39891" spans="1:6" ht="15.75" customHeight="1">
      <c r="A39891" s="3">
        <v>43873.815532407403</v>
      </c>
      <c r="B39891" t="str">
        <f>HYPERLINK("https://twitter.com/dharmaaww","@dharmaaww")</f>
        <v>@dharmaaww</v>
      </c>
      <c r="C39891" t="s">
        <v>1577</v>
      </c>
      <c r="D39891">
        <v>0</v>
      </c>
      <c r="E39891">
        <v>0</v>
      </c>
      <c r="F39891">
        <v>99</v>
      </c>
    </row>
    <row r="39892" spans="1:6" ht="15.75" customHeight="1">
      <c r="A39892" s="3">
        <v>43873.814317129625</v>
      </c>
      <c r="B39892" t="str">
        <f>HYPERLINK("https://twitter.com/aryanto79","@aryanto79")</f>
        <v>@aryanto79</v>
      </c>
      <c r="C39892" t="s">
        <v>1578</v>
      </c>
      <c r="D39892">
        <v>0</v>
      </c>
      <c r="E39892">
        <v>0</v>
      </c>
      <c r="F39892">
        <v>27</v>
      </c>
    </row>
    <row r="39893" spans="1:6" ht="15.75" customHeight="1">
      <c r="A39893" s="3">
        <v>43873.813472222224</v>
      </c>
      <c r="B39893" t="str">
        <f>HYPERLINK("https://twitter.com/billy4riez","@billy4riez")</f>
        <v>@billy4riez</v>
      </c>
      <c r="C39893" t="s">
        <v>1579</v>
      </c>
      <c r="D39893">
        <v>1</v>
      </c>
      <c r="E39893">
        <v>3</v>
      </c>
      <c r="F39893">
        <v>7946</v>
      </c>
    </row>
    <row r="39894" spans="1:6" ht="15.75" customHeight="1">
      <c r="A39894" s="3">
        <v>43873.812916666662</v>
      </c>
      <c r="B39894" t="str">
        <f>HYPERLINK("https://twitter.com/ariahadiwa","@ariahadiwa")</f>
        <v>@ariahadiwa</v>
      </c>
      <c r="C39894" t="s">
        <v>1580</v>
      </c>
      <c r="D39894">
        <v>0</v>
      </c>
      <c r="E39894">
        <v>1</v>
      </c>
      <c r="F39894">
        <v>342</v>
      </c>
    </row>
    <row r="39895" spans="1:6" ht="15.75" customHeight="1">
      <c r="A39895" s="3">
        <v>43873.812893518523</v>
      </c>
      <c r="B39895" t="str">
        <f>HYPERLINK("https://twitter.com/KompasTV","@KompasTV")</f>
        <v>@KompasTV</v>
      </c>
      <c r="C39895" t="s">
        <v>1581</v>
      </c>
      <c r="D39895">
        <v>2</v>
      </c>
      <c r="E39895">
        <v>15</v>
      </c>
      <c r="F39895">
        <v>2940924</v>
      </c>
    </row>
    <row r="39896" spans="1:6" ht="15.75" customHeight="1">
      <c r="A39896" s="3">
        <v>43873.812754629631</v>
      </c>
      <c r="B39896" t="str">
        <f>HYPERLINK("https://twitter.com/Asknonym","@Asknonym")</f>
        <v>@Asknonym</v>
      </c>
      <c r="C39896" t="s">
        <v>1582</v>
      </c>
      <c r="D39896">
        <v>0</v>
      </c>
      <c r="E39896">
        <v>1</v>
      </c>
      <c r="F39896">
        <v>125190</v>
      </c>
    </row>
    <row r="39897" spans="1:6" ht="15.75" customHeight="1">
      <c r="A39897" s="3">
        <v>43873.812094907407</v>
      </c>
      <c r="B39897" t="str">
        <f>HYPERLINK("https://twitter.com/88setiadi","@88setiadi")</f>
        <v>@88setiadi</v>
      </c>
      <c r="C39897" t="s">
        <v>1434</v>
      </c>
      <c r="D39897">
        <v>0</v>
      </c>
      <c r="E39897">
        <v>0</v>
      </c>
      <c r="F39897">
        <v>9</v>
      </c>
    </row>
    <row r="39898" spans="1:6" ht="15.75" customHeight="1">
      <c r="A39898" s="3">
        <v>43873.812025462961</v>
      </c>
      <c r="B39898" t="str">
        <f>HYPERLINK("https://twitter.com/SuaraAnginBawah","@SuaraAnginBawah")</f>
        <v>@SuaraAnginBawah</v>
      </c>
      <c r="C39898" t="s">
        <v>1583</v>
      </c>
      <c r="D39898">
        <v>0</v>
      </c>
      <c r="E39898">
        <v>1</v>
      </c>
      <c r="F39898">
        <v>329</v>
      </c>
    </row>
    <row r="39899" spans="1:6" ht="15.75" customHeight="1">
      <c r="A39899" s="3">
        <v>43873.811840277776</v>
      </c>
      <c r="B39899" t="str">
        <f>HYPERLINK("https://twitter.com/kumparan","@kumparan")</f>
        <v>@kumparan</v>
      </c>
      <c r="C39899" t="s">
        <v>1584</v>
      </c>
      <c r="D39899">
        <v>7</v>
      </c>
      <c r="E39899">
        <v>27</v>
      </c>
      <c r="F39899">
        <v>321828</v>
      </c>
    </row>
    <row r="39900" spans="1:6" ht="15.75" customHeight="1">
      <c r="A39900" s="3">
        <v>43873.811828703707</v>
      </c>
      <c r="B39900" t="str">
        <f t="shared" ref="B39900:B39901" si="475">HYPERLINK("https://twitter.com/88setiadi","@88setiadi")</f>
        <v>@88setiadi</v>
      </c>
      <c r="C39900" t="s">
        <v>1434</v>
      </c>
      <c r="D39900">
        <v>0</v>
      </c>
      <c r="E39900">
        <v>0</v>
      </c>
      <c r="F39900">
        <v>9</v>
      </c>
    </row>
    <row r="39901" spans="1:6" ht="15.75" customHeight="1">
      <c r="A39901" s="3">
        <v>43873.811620370368</v>
      </c>
      <c r="B39901" t="str">
        <f t="shared" si="475"/>
        <v>@88setiadi</v>
      </c>
      <c r="C39901" t="s">
        <v>1434</v>
      </c>
      <c r="D39901">
        <v>0</v>
      </c>
      <c r="E39901">
        <v>0</v>
      </c>
      <c r="F39901">
        <v>9</v>
      </c>
    </row>
    <row r="39902" spans="1:6" ht="15.75" customHeight="1">
      <c r="A39902" s="3">
        <v>43873.81149305556</v>
      </c>
      <c r="B39902" t="str">
        <f>HYPERLINK("https://twitter.com/Rasheed_inn","@Rasheed_inn")</f>
        <v>@Rasheed_inn</v>
      </c>
      <c r="C39902" t="s">
        <v>1585</v>
      </c>
      <c r="D39902">
        <v>0</v>
      </c>
      <c r="E39902">
        <v>0</v>
      </c>
      <c r="F39902">
        <v>3470</v>
      </c>
    </row>
    <row r="39903" spans="1:6" ht="15.75" customHeight="1">
      <c r="A39903" s="3">
        <v>43873.811388888891</v>
      </c>
      <c r="B39903" t="str">
        <f>HYPERLINK("https://twitter.com/88setiadi","@88setiadi")</f>
        <v>@88setiadi</v>
      </c>
      <c r="C39903" t="s">
        <v>1434</v>
      </c>
      <c r="D39903">
        <v>0</v>
      </c>
      <c r="E39903">
        <v>0</v>
      </c>
      <c r="F39903">
        <v>9</v>
      </c>
    </row>
    <row r="39904" spans="1:6" ht="15.75" customHeight="1">
      <c r="A39904" s="3">
        <v>43873.811296296291</v>
      </c>
      <c r="B39904" t="str">
        <f>HYPERLINK("https://twitter.com/Lady_Zeebo","@Lady_Zeebo")</f>
        <v>@Lady_Zeebo</v>
      </c>
      <c r="C39904" t="s">
        <v>1586</v>
      </c>
      <c r="D39904">
        <v>27</v>
      </c>
      <c r="E39904">
        <v>80</v>
      </c>
      <c r="F39904">
        <v>6853</v>
      </c>
    </row>
    <row r="39905" spans="1:6" ht="15.75" customHeight="1">
      <c r="A39905" s="3">
        <v>43873.811284722222</v>
      </c>
      <c r="B39905" t="str">
        <f>HYPERLINK("https://twitter.com/marissagunawan9","@marissagunawan9")</f>
        <v>@marissagunawan9</v>
      </c>
      <c r="C39905" t="s">
        <v>1587</v>
      </c>
      <c r="D39905">
        <v>0</v>
      </c>
      <c r="E39905">
        <v>0</v>
      </c>
      <c r="F39905">
        <v>465</v>
      </c>
    </row>
    <row r="39906" spans="1:6" ht="15.75" customHeight="1">
      <c r="A39906" s="3">
        <v>43873.811203703706</v>
      </c>
      <c r="B39906" t="str">
        <f>HYPERLINK("https://twitter.com/Kabar_Tangsel","@Kabar_Tangsel")</f>
        <v>@Kabar_Tangsel</v>
      </c>
      <c r="C39906" t="s">
        <v>1588</v>
      </c>
      <c r="D39906">
        <v>0</v>
      </c>
      <c r="E39906">
        <v>0</v>
      </c>
      <c r="F39906">
        <v>14861</v>
      </c>
    </row>
    <row r="39907" spans="1:6" ht="15.75" customHeight="1">
      <c r="A39907" s="3">
        <v>43873.810717592598</v>
      </c>
      <c r="B39907" t="str">
        <f>HYPERLINK("https://twitter.com/wartaIDN","@wartaIDN")</f>
        <v>@wartaIDN</v>
      </c>
      <c r="C39907" t="s">
        <v>1549</v>
      </c>
      <c r="D39907">
        <v>0</v>
      </c>
      <c r="E39907">
        <v>0</v>
      </c>
      <c r="F39907">
        <v>7771</v>
      </c>
    </row>
    <row r="39908" spans="1:6" ht="15.75" customHeight="1">
      <c r="A39908" s="3">
        <v>43873.810694444444</v>
      </c>
      <c r="B39908" t="str">
        <f>HYPERLINK("https://twitter.com/CNNIndonesia","@CNNIndonesia")</f>
        <v>@CNNIndonesia</v>
      </c>
      <c r="C39908" t="s">
        <v>1589</v>
      </c>
      <c r="D39908">
        <v>5</v>
      </c>
      <c r="E39908">
        <v>45</v>
      </c>
      <c r="F39908">
        <v>618500</v>
      </c>
    </row>
    <row r="39909" spans="1:6" ht="15.75" customHeight="1">
      <c r="A39909" s="3">
        <v>43873.810567129629</v>
      </c>
      <c r="B39909" t="str">
        <f>HYPERLINK("https://twitter.com/amarilis_ayu","@amarilis_ayu")</f>
        <v>@amarilis_ayu</v>
      </c>
      <c r="C39909" t="s">
        <v>1587</v>
      </c>
      <c r="D39909">
        <v>0</v>
      </c>
      <c r="E39909">
        <v>0</v>
      </c>
      <c r="F39909">
        <v>1370</v>
      </c>
    </row>
    <row r="39910" spans="1:6" ht="15.75" customHeight="1">
      <c r="A39910" s="3">
        <v>43873.810462962967</v>
      </c>
      <c r="B39910" t="str">
        <f>HYPERLINK("https://twitter.com/88setiadi","@88setiadi")</f>
        <v>@88setiadi</v>
      </c>
      <c r="C39910" t="s">
        <v>1434</v>
      </c>
      <c r="D39910">
        <v>0</v>
      </c>
      <c r="E39910">
        <v>0</v>
      </c>
      <c r="F39910">
        <v>9</v>
      </c>
    </row>
    <row r="39911" spans="1:6" ht="15.75" customHeight="1">
      <c r="A39911" s="3">
        <v>43873.810439814813</v>
      </c>
      <c r="B39911" t="str">
        <f>HYPERLINK("https://twitter.com/warta_tangerang","@warta_tangerang")</f>
        <v>@warta_tangerang</v>
      </c>
      <c r="C39911" t="s">
        <v>1549</v>
      </c>
      <c r="D39911">
        <v>0</v>
      </c>
      <c r="E39911">
        <v>0</v>
      </c>
      <c r="F39911">
        <v>8559</v>
      </c>
    </row>
    <row r="39912" spans="1:6" ht="15.75" customHeight="1">
      <c r="A39912" s="3">
        <v>43873.810312500005</v>
      </c>
      <c r="B39912" t="str">
        <f>HYPERLINK("https://twitter.com/DIGNITYLawLegal","@DIGNITYLawLegal")</f>
        <v>@DIGNITYLawLegal</v>
      </c>
      <c r="C39912" t="s">
        <v>1590</v>
      </c>
      <c r="D39912">
        <v>0</v>
      </c>
      <c r="E39912">
        <v>0</v>
      </c>
      <c r="F39912">
        <v>22</v>
      </c>
    </row>
    <row r="39913" spans="1:6" ht="15.75" customHeight="1">
      <c r="A39913" s="3">
        <v>43873.810173611113</v>
      </c>
      <c r="B39913" t="str">
        <f>HYPERLINK("https://twitter.com/MailRahmat","@MailRahmat")</f>
        <v>@MailRahmat</v>
      </c>
      <c r="C39913" t="s">
        <v>1591</v>
      </c>
      <c r="D39913">
        <v>0</v>
      </c>
      <c r="E39913">
        <v>2</v>
      </c>
      <c r="F39913">
        <v>153</v>
      </c>
    </row>
    <row r="39914" spans="1:6" ht="15.75" customHeight="1">
      <c r="A39914" s="3">
        <v>43873.809849537036</v>
      </c>
      <c r="B39914" t="str">
        <f>HYPERLINK("https://twitter.com/Rendhykid","@Rendhykid")</f>
        <v>@Rendhykid</v>
      </c>
      <c r="C39914" t="s">
        <v>1592</v>
      </c>
      <c r="D39914">
        <v>0</v>
      </c>
      <c r="E39914">
        <v>0</v>
      </c>
      <c r="F39914">
        <v>259</v>
      </c>
    </row>
    <row r="39915" spans="1:6" ht="15.75" customHeight="1">
      <c r="A39915" s="3">
        <v>43873.809513888889</v>
      </c>
      <c r="B39915" t="str">
        <f>HYPERLINK("https://twitter.com/Dhealestri","@Dhealestri")</f>
        <v>@Dhealestri</v>
      </c>
      <c r="C39915" t="s">
        <v>1444</v>
      </c>
      <c r="D39915">
        <v>0</v>
      </c>
      <c r="E39915">
        <v>1</v>
      </c>
      <c r="F39915">
        <v>194</v>
      </c>
    </row>
    <row r="39916" spans="1:6" ht="15.75" customHeight="1">
      <c r="A39916" s="3">
        <v>43873.809444444443</v>
      </c>
      <c r="B39916" t="str">
        <f>HYPERLINK("https://twitter.com/sitepusalim","@sitepusalim")</f>
        <v>@sitepusalim</v>
      </c>
      <c r="C39916" t="s">
        <v>1593</v>
      </c>
      <c r="D39916">
        <v>0</v>
      </c>
      <c r="E39916">
        <v>0</v>
      </c>
      <c r="F39916">
        <v>626</v>
      </c>
    </row>
    <row r="39917" spans="1:6" ht="15.75" customHeight="1">
      <c r="A39917" s="3">
        <v>43873.808946759258</v>
      </c>
      <c r="B39917" t="str">
        <f>HYPERLINK("https://twitter.com/AdityaRahayu76","@AdityaRahayu76")</f>
        <v>@AdityaRahayu76</v>
      </c>
      <c r="C39917" t="s">
        <v>1594</v>
      </c>
      <c r="D39917">
        <v>0</v>
      </c>
      <c r="E39917">
        <v>0</v>
      </c>
      <c r="F39917">
        <v>456</v>
      </c>
    </row>
    <row r="39918" spans="1:6" ht="15.75" customHeight="1">
      <c r="A39918" s="3">
        <v>43873.808865740742</v>
      </c>
      <c r="B39918" t="str">
        <f>HYPERLINK("https://twitter.com/k305328330","@k305328330")</f>
        <v>@k305328330</v>
      </c>
      <c r="C39918" t="s">
        <v>1595</v>
      </c>
      <c r="D39918">
        <v>0</v>
      </c>
      <c r="E39918">
        <v>0</v>
      </c>
      <c r="F39918">
        <v>884</v>
      </c>
    </row>
    <row r="39919" spans="1:6" ht="15.75" customHeight="1">
      <c r="A39919" s="3">
        <v>43873.808807870373</v>
      </c>
      <c r="B39919" t="str">
        <f>HYPERLINK("https://twitter.com/protanjung","@protanjung")</f>
        <v>@protanjung</v>
      </c>
      <c r="C39919" t="s">
        <v>1596</v>
      </c>
      <c r="D39919">
        <v>0</v>
      </c>
      <c r="E39919">
        <v>0</v>
      </c>
      <c r="F39919">
        <v>137</v>
      </c>
    </row>
    <row r="39920" spans="1:6" ht="15.75" customHeight="1">
      <c r="A39920" s="3">
        <v>43873.808599537035</v>
      </c>
      <c r="B39920" t="str">
        <f>HYPERLINK("https://twitter.com/Metro_TV","@Metro_TV")</f>
        <v>@Metro_TV</v>
      </c>
      <c r="C39920" t="s">
        <v>1597</v>
      </c>
      <c r="D39920">
        <v>0</v>
      </c>
      <c r="E39920">
        <v>1</v>
      </c>
      <c r="F39920">
        <v>10508854</v>
      </c>
    </row>
    <row r="39921" spans="1:6" ht="15.75" customHeight="1">
      <c r="A39921" s="3">
        <v>43873.808321759258</v>
      </c>
      <c r="B39921" t="str">
        <f>HYPERLINK("https://twitter.com/okezonenews","@okezonenews")</f>
        <v>@okezonenews</v>
      </c>
      <c r="C39921" t="s">
        <v>1598</v>
      </c>
      <c r="D39921">
        <v>2</v>
      </c>
      <c r="E39921">
        <v>1</v>
      </c>
      <c r="F39921">
        <v>1743741</v>
      </c>
    </row>
    <row r="39922" spans="1:6" ht="15.75" customHeight="1">
      <c r="A39922" s="3">
        <v>43873.807152777779</v>
      </c>
      <c r="B39922" t="str">
        <f>HYPERLINK("https://twitter.com/SimatupangParda","@SimatupangParda")</f>
        <v>@SimatupangParda</v>
      </c>
      <c r="C39922" t="s">
        <v>1599</v>
      </c>
      <c r="D39922">
        <v>2</v>
      </c>
      <c r="E39922">
        <v>9</v>
      </c>
      <c r="F39922">
        <v>243</v>
      </c>
    </row>
    <row r="39923" spans="1:6" ht="15.75" customHeight="1">
      <c r="A39923" s="3">
        <v>43873.807129629626</v>
      </c>
      <c r="B39923" t="str">
        <f>HYPERLINK("https://twitter.com/sayabush","@sayabush")</f>
        <v>@sayabush</v>
      </c>
      <c r="C39923" t="s">
        <v>1600</v>
      </c>
      <c r="D39923">
        <v>0</v>
      </c>
      <c r="E39923">
        <v>0</v>
      </c>
      <c r="F39923">
        <v>188</v>
      </c>
    </row>
    <row r="39924" spans="1:6" ht="15.75" customHeight="1">
      <c r="A39924" s="3">
        <v>43873.807060185187</v>
      </c>
      <c r="B39924" t="str">
        <f>HYPERLINK("https://twitter.com/kakali1968","@kakali1968")</f>
        <v>@kakali1968</v>
      </c>
      <c r="C39924" t="s">
        <v>1601</v>
      </c>
      <c r="D39924">
        <v>0</v>
      </c>
      <c r="E39924">
        <v>0</v>
      </c>
      <c r="F39924">
        <v>176</v>
      </c>
    </row>
    <row r="39925" spans="1:6" ht="15.75" customHeight="1">
      <c r="A39925" s="3">
        <v>43873.806562500002</v>
      </c>
      <c r="B39925" t="str">
        <f>HYPERLINK("https://twitter.com/Metro_TV","@Metro_TV")</f>
        <v>@Metro_TV</v>
      </c>
      <c r="C39925" t="s">
        <v>1602</v>
      </c>
      <c r="D39925">
        <v>3</v>
      </c>
      <c r="E39925">
        <v>9</v>
      </c>
      <c r="F39925">
        <v>10508854</v>
      </c>
    </row>
    <row r="39926" spans="1:6" ht="15.75" customHeight="1">
      <c r="A39926" s="3">
        <v>43873.805937500001</v>
      </c>
      <c r="B39926" t="str">
        <f>HYPERLINK("https://twitter.com/kumparan","@kumparan")</f>
        <v>@kumparan</v>
      </c>
      <c r="C39926" t="s">
        <v>1603</v>
      </c>
      <c r="D39926">
        <v>7</v>
      </c>
      <c r="E39926">
        <v>14</v>
      </c>
      <c r="F39926">
        <v>321828</v>
      </c>
    </row>
    <row r="39927" spans="1:6" ht="15.75" customHeight="1">
      <c r="A39927" s="3">
        <v>43873.805543981478</v>
      </c>
      <c r="B39927" t="str">
        <f>HYPERLINK("https://twitter.com/iamiunx","@iamiunx")</f>
        <v>@iamiunx</v>
      </c>
      <c r="C39927" t="s">
        <v>1604</v>
      </c>
      <c r="D39927">
        <v>0</v>
      </c>
      <c r="E39927">
        <v>0</v>
      </c>
      <c r="F39927">
        <v>196</v>
      </c>
    </row>
    <row r="39928" spans="1:6" ht="15.75" customHeight="1">
      <c r="A39928" s="3">
        <v>43873.805127314816</v>
      </c>
      <c r="B39928" t="str">
        <f>HYPERLINK("https://twitter.com/bahmandor","@bahmandor")</f>
        <v>@bahmandor</v>
      </c>
      <c r="C39928" t="s">
        <v>1605</v>
      </c>
      <c r="D39928">
        <v>0</v>
      </c>
      <c r="E39928">
        <v>0</v>
      </c>
      <c r="F39928">
        <v>1495</v>
      </c>
    </row>
    <row r="39929" spans="1:6" ht="15.75" customHeight="1">
      <c r="A39929" s="3">
        <v>43873.804930555554</v>
      </c>
      <c r="B39929" t="str">
        <f>HYPERLINK("https://twitter.com/pregigigi","@pregigigi")</f>
        <v>@pregigigi</v>
      </c>
      <c r="C39929" t="s">
        <v>1606</v>
      </c>
      <c r="D39929">
        <v>0</v>
      </c>
      <c r="E39929">
        <v>0</v>
      </c>
      <c r="F39929">
        <v>536</v>
      </c>
    </row>
    <row r="39930" spans="1:6" ht="15.75" customHeight="1">
      <c r="A39930" s="3">
        <v>43873.804803240739</v>
      </c>
      <c r="B39930" t="str">
        <f>HYPERLINK("https://twitter.com/My_LoveNebe","@My_LoveNebe")</f>
        <v>@My_LoveNebe</v>
      </c>
      <c r="C39930" t="s">
        <v>1607</v>
      </c>
      <c r="D39930">
        <v>137</v>
      </c>
      <c r="E39930">
        <v>584</v>
      </c>
      <c r="F39930">
        <v>17783</v>
      </c>
    </row>
    <row r="39931" spans="1:6" ht="15.75" customHeight="1">
      <c r="A39931" s="3">
        <v>43873.804594907408</v>
      </c>
      <c r="B39931" t="str">
        <f>HYPERLINK("https://twitter.com/rafaeli_zefanya","@rafaeli_zefanya")</f>
        <v>@rafaeli_zefanya</v>
      </c>
      <c r="C39931" t="s">
        <v>1608</v>
      </c>
      <c r="D39931">
        <v>0</v>
      </c>
      <c r="E39931">
        <v>0</v>
      </c>
      <c r="F39931">
        <v>1103</v>
      </c>
    </row>
    <row r="39932" spans="1:6" ht="15.75" customHeight="1">
      <c r="A39932" s="3">
        <v>43873.804131944446</v>
      </c>
      <c r="B39932" t="str">
        <f>HYPERLINK("https://twitter.com/BerisikEmak","@BerisikEmak")</f>
        <v>@BerisikEmak</v>
      </c>
      <c r="C39932" t="s">
        <v>1609</v>
      </c>
      <c r="D39932">
        <v>1</v>
      </c>
      <c r="E39932">
        <v>6</v>
      </c>
      <c r="F39932">
        <v>3000</v>
      </c>
    </row>
    <row r="39933" spans="1:6" ht="15.75" customHeight="1">
      <c r="A39933" s="3">
        <v>43873.804074074069</v>
      </c>
      <c r="B39933" t="str">
        <f>HYPERLINK("https://twitter.com/Gurilsa","@Gurilsa")</f>
        <v>@Gurilsa</v>
      </c>
      <c r="C39933" t="s">
        <v>1610</v>
      </c>
      <c r="D39933">
        <v>0</v>
      </c>
      <c r="E39933">
        <v>0</v>
      </c>
      <c r="F39933">
        <v>2897</v>
      </c>
    </row>
    <row r="39934" spans="1:6" ht="15.75" customHeight="1">
      <c r="A39934" s="3">
        <v>43873.802199074074</v>
      </c>
      <c r="B39934" t="str">
        <f>HYPERLINK("https://twitter.com/Biantz","@Biantz")</f>
        <v>@Biantz</v>
      </c>
      <c r="C39934" t="s">
        <v>1611</v>
      </c>
      <c r="D39934">
        <v>0</v>
      </c>
      <c r="E39934">
        <v>0</v>
      </c>
      <c r="F39934">
        <v>261</v>
      </c>
    </row>
    <row r="39935" spans="1:6" ht="15.75" customHeight="1">
      <c r="A39935" s="3">
        <v>43873.802002314813</v>
      </c>
      <c r="B39935" t="str">
        <f>HYPERLINK("https://twitter.com/rumahidea","@rumahidea")</f>
        <v>@rumahidea</v>
      </c>
      <c r="C39935" t="s">
        <v>1612</v>
      </c>
      <c r="D39935">
        <v>0</v>
      </c>
      <c r="E39935">
        <v>0</v>
      </c>
      <c r="F39935">
        <v>334</v>
      </c>
    </row>
    <row r="39936" spans="1:6" ht="15.75" customHeight="1">
      <c r="A39936" s="3">
        <v>43873.80133101852</v>
      </c>
      <c r="B39936" t="str">
        <f>HYPERLINK("https://twitter.com/SINTIACLAUDIA7","@SINTIACLAUDIA7")</f>
        <v>@SINTIACLAUDIA7</v>
      </c>
      <c r="C39936" t="s">
        <v>1613</v>
      </c>
      <c r="D39936">
        <v>0</v>
      </c>
      <c r="E39936">
        <v>0</v>
      </c>
      <c r="F39936">
        <v>0</v>
      </c>
    </row>
    <row r="39937" spans="1:6" ht="15.75" customHeight="1">
      <c r="A39937" s="3">
        <v>43873.801122685181</v>
      </c>
      <c r="B39937" t="str">
        <f>HYPERLINK("https://twitter.com/sattariamar","@sattariamar")</f>
        <v>@sattariamar</v>
      </c>
      <c r="C39937" t="s">
        <v>1614</v>
      </c>
      <c r="D39937">
        <v>2</v>
      </c>
      <c r="E39937">
        <v>5</v>
      </c>
      <c r="F39937">
        <v>5495</v>
      </c>
    </row>
    <row r="39938" spans="1:6" ht="15.75" customHeight="1">
      <c r="A39938" s="3">
        <v>43873.800949074073</v>
      </c>
      <c r="B39938" t="str">
        <f>HYPERLINK("https://twitter.com/HumasTeam","@HumasTeam")</f>
        <v>@HumasTeam</v>
      </c>
      <c r="C39938" t="s">
        <v>1615</v>
      </c>
      <c r="D39938">
        <v>1</v>
      </c>
      <c r="E39938">
        <v>2</v>
      </c>
      <c r="F39938">
        <v>183</v>
      </c>
    </row>
    <row r="39939" spans="1:6" ht="15.75" customHeight="1">
      <c r="A39939" s="3">
        <v>43873.800937499997</v>
      </c>
      <c r="B39939" t="str">
        <f>HYPERLINK("https://twitter.com/SINTIACLAUDIA7","@SINTIACLAUDIA7")</f>
        <v>@SINTIACLAUDIA7</v>
      </c>
      <c r="C39939" t="s">
        <v>1616</v>
      </c>
      <c r="D39939">
        <v>0</v>
      </c>
      <c r="E39939">
        <v>0</v>
      </c>
      <c r="F39939">
        <v>0</v>
      </c>
    </row>
    <row r="39940" spans="1:6" ht="15.75" customHeight="1">
      <c r="A39940" s="3">
        <v>43873.800775462965</v>
      </c>
      <c r="B39940" t="str">
        <f t="shared" ref="B39940:B39942" si="476">HYPERLINK("https://twitter.com/galihpra30","@galihpra30")</f>
        <v>@galihpra30</v>
      </c>
      <c r="C39940" t="s">
        <v>1434</v>
      </c>
      <c r="D39940">
        <v>0</v>
      </c>
      <c r="E39940">
        <v>0</v>
      </c>
      <c r="F39940">
        <v>16</v>
      </c>
    </row>
    <row r="39941" spans="1:6" ht="15.75" customHeight="1">
      <c r="A39941" s="3">
        <v>43873.800671296296</v>
      </c>
      <c r="B39941" t="str">
        <f t="shared" si="476"/>
        <v>@galihpra30</v>
      </c>
      <c r="C39941" t="s">
        <v>1434</v>
      </c>
      <c r="D39941">
        <v>0</v>
      </c>
      <c r="E39941">
        <v>0</v>
      </c>
      <c r="F39941">
        <v>16</v>
      </c>
    </row>
    <row r="39942" spans="1:6" ht="15.75" customHeight="1">
      <c r="A39942" s="3">
        <v>43873.800625000003</v>
      </c>
      <c r="B39942" t="str">
        <f t="shared" si="476"/>
        <v>@galihpra30</v>
      </c>
      <c r="C39942" t="s">
        <v>1434</v>
      </c>
      <c r="D39942">
        <v>0</v>
      </c>
      <c r="E39942">
        <v>0</v>
      </c>
      <c r="F39942">
        <v>16</v>
      </c>
    </row>
    <row r="39943" spans="1:6" ht="15.75" customHeight="1">
      <c r="A39943" s="3">
        <v>43873.800613425927</v>
      </c>
      <c r="B39943" t="str">
        <f>HYPERLINK("https://twitter.com/detikcom","@detikcom")</f>
        <v>@detikcom</v>
      </c>
      <c r="C39943" t="s">
        <v>1617</v>
      </c>
      <c r="D39943">
        <v>4</v>
      </c>
      <c r="E39943">
        <v>18</v>
      </c>
      <c r="F39943">
        <v>15663959</v>
      </c>
    </row>
    <row r="39944" spans="1:6" ht="15.75" customHeight="1">
      <c r="A39944" s="3">
        <v>43873.800486111111</v>
      </c>
      <c r="B39944" t="str">
        <f>HYPERLINK("https://twitter.com/galihpra30","@galihpra30")</f>
        <v>@galihpra30</v>
      </c>
      <c r="C39944" t="s">
        <v>1434</v>
      </c>
      <c r="D39944">
        <v>0</v>
      </c>
      <c r="E39944">
        <v>0</v>
      </c>
      <c r="F39944">
        <v>16</v>
      </c>
    </row>
    <row r="39945" spans="1:6" ht="15.75" customHeight="1">
      <c r="A39945" s="3">
        <v>43873.800150462965</v>
      </c>
      <c r="B39945" t="str">
        <f>HYPERLINK("https://twitter.com/ajibudi_er","@ajibudi_er")</f>
        <v>@ajibudi_er</v>
      </c>
      <c r="C39945" t="s">
        <v>1618</v>
      </c>
      <c r="D39945">
        <v>1</v>
      </c>
      <c r="E39945">
        <v>3</v>
      </c>
      <c r="F39945">
        <v>3125</v>
      </c>
    </row>
    <row r="39946" spans="1:6" ht="15.75" customHeight="1">
      <c r="A39946" s="3">
        <v>43873.799953703703</v>
      </c>
      <c r="B39946" t="str">
        <f>HYPERLINK("https://twitter.com/kitkitttin","@kitkitttin")</f>
        <v>@kitkitttin</v>
      </c>
      <c r="C39946" t="s">
        <v>1619</v>
      </c>
      <c r="D39946">
        <v>0</v>
      </c>
      <c r="E39946">
        <v>0</v>
      </c>
      <c r="F39946">
        <v>2196</v>
      </c>
    </row>
    <row r="39947" spans="1:6" ht="15.75" customHeight="1">
      <c r="A39947" s="3">
        <v>43873.79991898148</v>
      </c>
      <c r="B39947" t="str">
        <f>HYPERLINK("https://twitter.com/kuromeori","@kuromeori")</f>
        <v>@kuromeori</v>
      </c>
      <c r="C39947" t="s">
        <v>1620</v>
      </c>
      <c r="D39947">
        <v>0</v>
      </c>
      <c r="E39947">
        <v>0</v>
      </c>
      <c r="F39947">
        <v>5</v>
      </c>
    </row>
    <row r="39948" spans="1:6" ht="15.75" customHeight="1">
      <c r="A39948" s="3">
        <v>43873.79960648148</v>
      </c>
      <c r="B39948" t="str">
        <f>HYPERLINK("https://twitter.com/_albaiat","@_albaiat")</f>
        <v>@_albaiat</v>
      </c>
      <c r="C39948" t="s">
        <v>1621</v>
      </c>
      <c r="D39948">
        <v>4</v>
      </c>
      <c r="E39948">
        <v>4</v>
      </c>
      <c r="F39948">
        <v>851</v>
      </c>
    </row>
    <row r="39949" spans="1:6" ht="15.75" customHeight="1">
      <c r="A39949" s="3">
        <v>43873.799421296295</v>
      </c>
      <c r="B39949" t="str">
        <f>HYPERLINK("https://twitter.com/galihpra30","@galihpra30")</f>
        <v>@galihpra30</v>
      </c>
      <c r="C39949" t="s">
        <v>1434</v>
      </c>
      <c r="D39949">
        <v>0</v>
      </c>
      <c r="E39949">
        <v>0</v>
      </c>
      <c r="F39949">
        <v>16</v>
      </c>
    </row>
    <row r="39950" spans="1:6" ht="15.75" customHeight="1">
      <c r="A39950" s="3">
        <v>43873.799409722225</v>
      </c>
      <c r="B39950" t="str">
        <f>HYPERLINK("https://twitter.com/cagubnyinyir2","@cagubnyinyir2")</f>
        <v>@cagubnyinyir2</v>
      </c>
      <c r="C39950" t="s">
        <v>1622</v>
      </c>
      <c r="D39950">
        <v>10</v>
      </c>
      <c r="E39950">
        <v>12</v>
      </c>
      <c r="F39950">
        <v>4237</v>
      </c>
    </row>
    <row r="39951" spans="1:6" ht="15.75" customHeight="1">
      <c r="A39951" s="3">
        <v>43873.799201388887</v>
      </c>
      <c r="B39951" t="str">
        <f t="shared" ref="B39951:B39952" si="477">HYPERLINK("https://twitter.com/SINTIACLAUDIA7","@SINTIACLAUDIA7")</f>
        <v>@SINTIACLAUDIA7</v>
      </c>
      <c r="C39951" t="s">
        <v>1623</v>
      </c>
      <c r="D39951">
        <v>0</v>
      </c>
      <c r="E39951">
        <v>0</v>
      </c>
      <c r="F39951">
        <v>0</v>
      </c>
    </row>
    <row r="39952" spans="1:6" ht="15.75" customHeight="1">
      <c r="A39952" s="3">
        <v>43873.79896990741</v>
      </c>
      <c r="B39952" t="str">
        <f t="shared" si="477"/>
        <v>@SINTIACLAUDIA7</v>
      </c>
      <c r="C39952" t="s">
        <v>1624</v>
      </c>
      <c r="D39952">
        <v>0</v>
      </c>
      <c r="E39952">
        <v>0</v>
      </c>
      <c r="F39952">
        <v>0</v>
      </c>
    </row>
    <row r="39953" spans="1:6" ht="15.75" customHeight="1">
      <c r="A39953" s="3">
        <v>43873.798032407409</v>
      </c>
      <c r="B39953" t="str">
        <f>HYPERLINK("https://twitter.com/ridwan111091","@ridwan111091")</f>
        <v>@ridwan111091</v>
      </c>
      <c r="C39953" t="s">
        <v>1625</v>
      </c>
      <c r="D39953">
        <v>0</v>
      </c>
      <c r="E39953">
        <v>1</v>
      </c>
      <c r="F39953">
        <v>69</v>
      </c>
    </row>
    <row r="39954" spans="1:6" ht="15.75" customHeight="1">
      <c r="A39954" s="3">
        <v>43873.797789351855</v>
      </c>
      <c r="B39954" t="str">
        <f>HYPERLINK("https://twitter.com/MasifMedia","@MasifMedia")</f>
        <v>@MasifMedia</v>
      </c>
      <c r="C39954" t="s">
        <v>1626</v>
      </c>
      <c r="D39954">
        <v>0</v>
      </c>
      <c r="E39954">
        <v>0</v>
      </c>
      <c r="F39954">
        <v>13882</v>
      </c>
    </row>
    <row r="39955" spans="1:6" ht="15.75" customHeight="1">
      <c r="A39955" s="3">
        <v>43873.7972337963</v>
      </c>
      <c r="B39955" t="str">
        <f>HYPERLINK("https://twitter.com/Rendhykid","@Rendhykid")</f>
        <v>@Rendhykid</v>
      </c>
      <c r="C39955" t="s">
        <v>1627</v>
      </c>
      <c r="D39955">
        <v>0</v>
      </c>
      <c r="E39955">
        <v>0</v>
      </c>
      <c r="F39955">
        <v>259</v>
      </c>
    </row>
    <row r="39956" spans="1:6" ht="15.75" customHeight="1">
      <c r="A39956" s="3">
        <v>43873.796481481477</v>
      </c>
      <c r="B39956" t="str">
        <f>HYPERLINK("https://twitter.com/umayshhhhb","@umayshhhhb")</f>
        <v>@umayshhhhb</v>
      </c>
      <c r="C39956" t="s">
        <v>1628</v>
      </c>
      <c r="D39956">
        <v>0</v>
      </c>
      <c r="E39956">
        <v>81</v>
      </c>
      <c r="F39956">
        <v>17391</v>
      </c>
    </row>
    <row r="39957" spans="1:6" ht="15.75" customHeight="1">
      <c r="A39957" s="3">
        <v>43873.796446759261</v>
      </c>
      <c r="B39957" t="str">
        <f>HYPERLINK("https://twitter.com/pwidiatmoko","@pwidiatmoko")</f>
        <v>@pwidiatmoko</v>
      </c>
      <c r="C39957" t="s">
        <v>1629</v>
      </c>
      <c r="D39957">
        <v>0</v>
      </c>
      <c r="E39957">
        <v>0</v>
      </c>
      <c r="F39957">
        <v>2118</v>
      </c>
    </row>
    <row r="39958" spans="1:6" ht="15.75" customHeight="1">
      <c r="A39958" s="3">
        <v>43873.795925925922</v>
      </c>
      <c r="B39958" t="str">
        <f>HYPERLINK("https://twitter.com/albinandeo","@albinandeo")</f>
        <v>@albinandeo</v>
      </c>
      <c r="C39958" t="s">
        <v>1630</v>
      </c>
      <c r="D39958">
        <v>0</v>
      </c>
      <c r="E39958">
        <v>0</v>
      </c>
      <c r="F39958">
        <v>230</v>
      </c>
    </row>
    <row r="39959" spans="1:6" ht="15.75" customHeight="1">
      <c r="A39959" s="3">
        <v>43873.795046296298</v>
      </c>
      <c r="B39959" t="str">
        <f>HYPERLINK("https://twitter.com/detikcom","@detikcom")</f>
        <v>@detikcom</v>
      </c>
      <c r="C39959" t="s">
        <v>1631</v>
      </c>
      <c r="D39959">
        <v>54</v>
      </c>
      <c r="E39959">
        <v>229</v>
      </c>
      <c r="F39959">
        <v>15663959</v>
      </c>
    </row>
    <row r="39960" spans="1:6" ht="15.75" customHeight="1">
      <c r="A39960" s="3">
        <v>43873.793263888889</v>
      </c>
      <c r="B39960" t="str">
        <f>HYPERLINK("https://twitter.com/nana_winanti","@nana_winanti")</f>
        <v>@nana_winanti</v>
      </c>
      <c r="C39960" t="s">
        <v>1632</v>
      </c>
      <c r="D39960">
        <v>0</v>
      </c>
      <c r="E39960">
        <v>0</v>
      </c>
      <c r="F39960">
        <v>100</v>
      </c>
    </row>
    <row r="39961" spans="1:6" ht="15.75" customHeight="1">
      <c r="A39961" s="3">
        <v>43873.791249999995</v>
      </c>
      <c r="B39961" t="str">
        <f>HYPERLINK("https://twitter.com/Metro_TV","@Metro_TV")</f>
        <v>@Metro_TV</v>
      </c>
      <c r="C39961" t="s">
        <v>1633</v>
      </c>
      <c r="D39961">
        <v>1</v>
      </c>
      <c r="E39961">
        <v>6</v>
      </c>
      <c r="F39961">
        <v>10508854</v>
      </c>
    </row>
    <row r="39962" spans="1:6" ht="15.75" customHeight="1">
      <c r="A39962" s="3">
        <v>43873.791226851856</v>
      </c>
      <c r="B39962" t="str">
        <f>HYPERLINK("https://twitter.com/jurniscom","@jurniscom")</f>
        <v>@jurniscom</v>
      </c>
      <c r="C39962" t="s">
        <v>1634</v>
      </c>
      <c r="D39962">
        <v>0</v>
      </c>
      <c r="E39962">
        <v>0</v>
      </c>
      <c r="F39962">
        <v>2374</v>
      </c>
    </row>
    <row r="39963" spans="1:6" ht="15.75" customHeight="1">
      <c r="A39963" s="3">
        <v>43873.790381944447</v>
      </c>
      <c r="B39963" t="str">
        <f>HYPERLINK("https://twitter.com/republikaonline","@republikaonline")</f>
        <v>@republikaonline</v>
      </c>
      <c r="C39963" t="s">
        <v>1635</v>
      </c>
      <c r="D39963">
        <v>0</v>
      </c>
      <c r="E39963">
        <v>4</v>
      </c>
      <c r="F39963">
        <v>1210209</v>
      </c>
    </row>
    <row r="39964" spans="1:6" ht="15.75" customHeight="1">
      <c r="A39964" s="3">
        <v>43873.789293981477</v>
      </c>
      <c r="B39964" t="str">
        <f>HYPERLINK("https://twitter.com/MissAgitgit","@MissAgitgit")</f>
        <v>@MissAgitgit</v>
      </c>
      <c r="C39964" t="s">
        <v>1636</v>
      </c>
      <c r="D39964">
        <v>0</v>
      </c>
      <c r="E39964">
        <v>0</v>
      </c>
      <c r="F39964">
        <v>2148</v>
      </c>
    </row>
    <row r="39965" spans="1:6" ht="15.75" customHeight="1">
      <c r="A39965" s="3">
        <v>43873.788773148146</v>
      </c>
      <c r="B39965" t="str">
        <f>HYPERLINK("https://twitter.com/republikaonline","@republikaonline")</f>
        <v>@republikaonline</v>
      </c>
      <c r="C39965" t="s">
        <v>1637</v>
      </c>
      <c r="D39965">
        <v>1</v>
      </c>
      <c r="E39965">
        <v>2</v>
      </c>
      <c r="F39965">
        <v>1210209</v>
      </c>
    </row>
    <row r="39966" spans="1:6" ht="15.75" customHeight="1">
      <c r="A39966" s="3">
        <v>43873.787881944445</v>
      </c>
      <c r="B39966" t="str">
        <f>HYPERLINK("https://twitter.com/vivanewscom","@vivanewscom")</f>
        <v>@vivanewscom</v>
      </c>
      <c r="C39966" t="s">
        <v>1638</v>
      </c>
      <c r="D39966">
        <v>2</v>
      </c>
      <c r="E39966">
        <v>3</v>
      </c>
      <c r="F39966">
        <v>4059</v>
      </c>
    </row>
    <row r="39967" spans="1:6" ht="15.75" customHeight="1">
      <c r="A39967" s="3">
        <v>43873.786550925928</v>
      </c>
      <c r="B39967" t="str">
        <f>HYPERLINK("https://twitter.com/nana_winanti","@nana_winanti")</f>
        <v>@nana_winanti</v>
      </c>
      <c r="C39967" t="s">
        <v>1639</v>
      </c>
      <c r="D39967">
        <v>0</v>
      </c>
      <c r="E39967">
        <v>0</v>
      </c>
      <c r="F39967">
        <v>100</v>
      </c>
    </row>
    <row r="39968" spans="1:6" ht="15.75" customHeight="1">
      <c r="A39968" s="3">
        <v>43873.78628472222</v>
      </c>
      <c r="B39968" t="str">
        <f>HYPERLINK("https://twitter.com/adhi_beka","@adhi_beka")</f>
        <v>@adhi_beka</v>
      </c>
      <c r="C39968" t="s">
        <v>1640</v>
      </c>
      <c r="D39968">
        <v>0</v>
      </c>
      <c r="E39968">
        <v>0</v>
      </c>
      <c r="F39968">
        <v>1616</v>
      </c>
    </row>
    <row r="39969" spans="1:6" ht="15.75" customHeight="1">
      <c r="A39969" s="3">
        <v>43873.785694444443</v>
      </c>
      <c r="B39969" t="str">
        <f>HYPERLINK("https://twitter.com/sayabush","@sayabush")</f>
        <v>@sayabush</v>
      </c>
      <c r="C39969" t="s">
        <v>1641</v>
      </c>
      <c r="D39969">
        <v>0</v>
      </c>
      <c r="E39969">
        <v>0</v>
      </c>
      <c r="F39969">
        <v>188</v>
      </c>
    </row>
    <row r="39970" spans="1:6" ht="15.75" customHeight="1">
      <c r="A39970" s="3">
        <v>43873.785439814819</v>
      </c>
      <c r="B39970" t="str">
        <f>HYPERLINK("https://twitter.com/kumparan","@kumparan")</f>
        <v>@kumparan</v>
      </c>
      <c r="C39970" t="s">
        <v>1642</v>
      </c>
      <c r="D39970">
        <v>1</v>
      </c>
      <c r="E39970">
        <v>2</v>
      </c>
      <c r="F39970">
        <v>321828</v>
      </c>
    </row>
    <row r="39971" spans="1:6" ht="15.75" customHeight="1">
      <c r="A39971" s="3">
        <v>43873.783831018518</v>
      </c>
      <c r="B39971" t="str">
        <f>HYPERLINK("https://twitter.com/Onky_Rozie","@Onky_Rozie")</f>
        <v>@Onky_Rozie</v>
      </c>
      <c r="C39971" t="s">
        <v>1643</v>
      </c>
      <c r="D39971">
        <v>0</v>
      </c>
      <c r="E39971">
        <v>0</v>
      </c>
      <c r="F39971">
        <v>93</v>
      </c>
    </row>
    <row r="39972" spans="1:6" ht="15.75" customHeight="1">
      <c r="A39972" s="3">
        <v>43873.783738425926</v>
      </c>
      <c r="B39972" t="str">
        <f>HYPERLINK("https://twitter.com/sirodjudin01","@sirodjudin01")</f>
        <v>@sirodjudin01</v>
      </c>
      <c r="C39972" t="s">
        <v>1644</v>
      </c>
      <c r="D39972">
        <v>1</v>
      </c>
      <c r="E39972">
        <v>2</v>
      </c>
      <c r="F39972">
        <v>8019</v>
      </c>
    </row>
    <row r="39973" spans="1:6" ht="15.75" customHeight="1">
      <c r="A39973" s="3">
        <v>43873.783645833333</v>
      </c>
      <c r="B39973" t="str">
        <f>HYPERLINK("https://twitter.com/goosbeen","@goosbeen")</f>
        <v>@goosbeen</v>
      </c>
      <c r="C39973" t="s">
        <v>1645</v>
      </c>
      <c r="D39973">
        <v>0</v>
      </c>
      <c r="E39973">
        <v>0</v>
      </c>
      <c r="F39973">
        <v>735</v>
      </c>
    </row>
    <row r="39974" spans="1:6" ht="15.75" customHeight="1">
      <c r="A39974" s="3">
        <v>43873.783634259264</v>
      </c>
      <c r="B39974" t="str">
        <f>HYPERLINK("https://twitter.com/HeriBassista","@HeriBassista")</f>
        <v>@HeriBassista</v>
      </c>
      <c r="C39974" t="s">
        <v>1646</v>
      </c>
      <c r="D39974">
        <v>2</v>
      </c>
      <c r="E39974">
        <v>10</v>
      </c>
      <c r="F39974">
        <v>4488</v>
      </c>
    </row>
    <row r="39975" spans="1:6" ht="15.75" customHeight="1">
      <c r="A39975" s="3">
        <v>43873.783530092594</v>
      </c>
      <c r="B39975" t="str">
        <f>HYPERLINK("https://twitter.com/sirodjudin01","@sirodjudin01")</f>
        <v>@sirodjudin01</v>
      </c>
      <c r="C39975" t="s">
        <v>1647</v>
      </c>
      <c r="D39975">
        <v>0</v>
      </c>
      <c r="E39975">
        <v>0</v>
      </c>
      <c r="F39975">
        <v>8019</v>
      </c>
    </row>
    <row r="39976" spans="1:6" ht="15.75" customHeight="1">
      <c r="A39976" s="3">
        <v>43873.782939814817</v>
      </c>
      <c r="B39976" t="str">
        <f>HYPERLINK("https://twitter.com/simple_heart68","@simple_heart68")</f>
        <v>@simple_heart68</v>
      </c>
      <c r="C39976" t="s">
        <v>1648</v>
      </c>
      <c r="D39976">
        <v>2</v>
      </c>
      <c r="E39976">
        <v>0</v>
      </c>
      <c r="F39976">
        <v>4205</v>
      </c>
    </row>
    <row r="39977" spans="1:6" ht="15.75" customHeight="1">
      <c r="A39977" s="3">
        <v>43873.782812500001</v>
      </c>
      <c r="B39977" t="str">
        <f>HYPERLINK("https://twitter.com/Totokalhaqq3","@Totokalhaqq3")</f>
        <v>@Totokalhaqq3</v>
      </c>
      <c r="C39977" t="s">
        <v>1649</v>
      </c>
      <c r="D39977">
        <v>0</v>
      </c>
      <c r="E39977">
        <v>1</v>
      </c>
      <c r="F39977">
        <v>1489</v>
      </c>
    </row>
    <row r="39978" spans="1:6" ht="15.75" customHeight="1">
      <c r="A39978" s="3">
        <v>43873.782557870371</v>
      </c>
      <c r="B39978" t="str">
        <f>HYPERLINK("https://twitter.com/JhonniSinaga20","@JhonniSinaga20")</f>
        <v>@JhonniSinaga20</v>
      </c>
      <c r="C39978" t="s">
        <v>1650</v>
      </c>
      <c r="D39978">
        <v>0</v>
      </c>
      <c r="E39978">
        <v>0</v>
      </c>
      <c r="F39978">
        <v>527</v>
      </c>
    </row>
    <row r="39979" spans="1:6" ht="15.75" customHeight="1">
      <c r="A39979" s="3">
        <v>43873.782453703709</v>
      </c>
      <c r="B39979" t="str">
        <f>HYPERLINK("https://twitter.com/Onky_Rozie","@Onky_Rozie")</f>
        <v>@Onky_Rozie</v>
      </c>
      <c r="C39979" t="s">
        <v>1651</v>
      </c>
      <c r="D39979">
        <v>0</v>
      </c>
      <c r="E39979">
        <v>0</v>
      </c>
      <c r="F39979">
        <v>93</v>
      </c>
    </row>
    <row r="39980" spans="1:6" ht="15.75" customHeight="1">
      <c r="A39980" s="3">
        <v>43873.782280092593</v>
      </c>
      <c r="B39980" t="str">
        <f>HYPERLINK("https://twitter.com/arilestari61","@arilestari61")</f>
        <v>@arilestari61</v>
      </c>
      <c r="C39980" t="s">
        <v>1652</v>
      </c>
      <c r="D39980">
        <v>4</v>
      </c>
      <c r="E39980">
        <v>16</v>
      </c>
      <c r="F39980">
        <v>6708</v>
      </c>
    </row>
    <row r="39981" spans="1:6" ht="15.75" customHeight="1">
      <c r="A39981" s="3">
        <v>43873.781898148147</v>
      </c>
      <c r="B39981" t="str">
        <f>HYPERLINK("https://twitter.com/tvOneNews","@tvOneNews")</f>
        <v>@tvOneNews</v>
      </c>
      <c r="C39981" t="s">
        <v>1653</v>
      </c>
      <c r="D39981">
        <v>0</v>
      </c>
      <c r="E39981">
        <v>2</v>
      </c>
      <c r="F39981">
        <v>8714368</v>
      </c>
    </row>
    <row r="39982" spans="1:6" ht="15.75" customHeight="1">
      <c r="A39982" s="3">
        <v>43873.781412037039</v>
      </c>
      <c r="B39982" t="str">
        <f>HYPERLINK("https://twitter.com/StefaniJayanto1","@StefaniJayanto1")</f>
        <v>@StefaniJayanto1</v>
      </c>
      <c r="C39982" t="s">
        <v>1654</v>
      </c>
      <c r="D39982">
        <v>0</v>
      </c>
      <c r="E39982">
        <v>0</v>
      </c>
      <c r="F39982">
        <v>32</v>
      </c>
    </row>
    <row r="39983" spans="1:6" ht="15.75" customHeight="1">
      <c r="A39983" s="3">
        <v>43873.779537037037</v>
      </c>
      <c r="B39983" t="str">
        <f>HYPERLINK("https://twitter.com/NeniPascal","@NeniPascal")</f>
        <v>@NeniPascal</v>
      </c>
      <c r="C39983" t="s">
        <v>1655</v>
      </c>
      <c r="D39983">
        <v>0</v>
      </c>
      <c r="E39983">
        <v>0</v>
      </c>
      <c r="F39983">
        <v>41</v>
      </c>
    </row>
    <row r="39984" spans="1:6" ht="15.75" customHeight="1">
      <c r="A39984" s="3">
        <v>43873.779467592598</v>
      </c>
      <c r="B39984" t="str">
        <f>HYPERLINK("https://twitter.com/SINTIACLAUDIA7","@SINTIACLAUDIA7")</f>
        <v>@SINTIACLAUDIA7</v>
      </c>
      <c r="C39984" t="s">
        <v>1656</v>
      </c>
      <c r="D39984">
        <v>0</v>
      </c>
      <c r="E39984">
        <v>0</v>
      </c>
      <c r="F39984">
        <v>0</v>
      </c>
    </row>
    <row r="39985" spans="1:6" ht="15.75" customHeight="1">
      <c r="A39985" s="3">
        <v>43873.778460648144</v>
      </c>
      <c r="B39985" t="str">
        <f>HYPERLINK("https://twitter.com/SisqaW","@SisqaW")</f>
        <v>@SisqaW</v>
      </c>
      <c r="C39985" t="s">
        <v>1657</v>
      </c>
      <c r="D39985">
        <v>0</v>
      </c>
      <c r="E39985">
        <v>0</v>
      </c>
      <c r="F39985">
        <v>50</v>
      </c>
    </row>
    <row r="39986" spans="1:6" ht="15.75" customHeight="1">
      <c r="A39986" s="3">
        <v>43873.778275462959</v>
      </c>
      <c r="B39986" t="str">
        <f>HYPERLINK("https://twitter.com/JP_RadarBali","@JP_RadarBali")</f>
        <v>@JP_RadarBali</v>
      </c>
      <c r="C39986" t="s">
        <v>1658</v>
      </c>
      <c r="D39986">
        <v>0</v>
      </c>
      <c r="E39986">
        <v>0</v>
      </c>
      <c r="F39986">
        <v>555</v>
      </c>
    </row>
    <row r="39987" spans="1:6" ht="15.75" customHeight="1">
      <c r="A39987" s="3">
        <v>43873.778217592597</v>
      </c>
      <c r="B39987" t="str">
        <f>HYPERLINK("https://twitter.com/RadarNegeriku","@RadarNegeriku")</f>
        <v>@RadarNegeriku</v>
      </c>
      <c r="C39987" t="s">
        <v>1658</v>
      </c>
      <c r="D39987">
        <v>0</v>
      </c>
      <c r="E39987">
        <v>0</v>
      </c>
      <c r="F39987">
        <v>128</v>
      </c>
    </row>
    <row r="39988" spans="1:6" ht="15.75" customHeight="1">
      <c r="A39988" s="3">
        <v>43873.778113425928</v>
      </c>
      <c r="B39988" t="str">
        <f>HYPERLINK("https://twitter.com/HonorerPejuang","@HonorerPejuang")</f>
        <v>@HonorerPejuang</v>
      </c>
      <c r="C39988" t="s">
        <v>1658</v>
      </c>
      <c r="D39988">
        <v>0</v>
      </c>
      <c r="E39988">
        <v>0</v>
      </c>
      <c r="F39988">
        <v>46</v>
      </c>
    </row>
    <row r="39989" spans="1:6" ht="15.75" customHeight="1">
      <c r="A39989" s="3">
        <v>43873.778055555551</v>
      </c>
      <c r="B39989" t="str">
        <f>HYPERLINK("https://twitter.com/jurnalis_selow","@jurnalis_selow")</f>
        <v>@jurnalis_selow</v>
      </c>
      <c r="C39989" t="s">
        <v>1658</v>
      </c>
      <c r="D39989">
        <v>0</v>
      </c>
      <c r="E39989">
        <v>0</v>
      </c>
      <c r="F39989">
        <v>692</v>
      </c>
    </row>
    <row r="39990" spans="1:6" ht="15.75" customHeight="1">
      <c r="A39990" s="3">
        <v>43873.778032407412</v>
      </c>
      <c r="B39990" t="str">
        <f>HYPERLINK("https://twitter.com/cnbcindonesia","@cnbcindonesia")</f>
        <v>@cnbcindonesia</v>
      </c>
      <c r="C39990" t="s">
        <v>1659</v>
      </c>
      <c r="D39990">
        <v>2</v>
      </c>
      <c r="E39990">
        <v>1</v>
      </c>
      <c r="F39990">
        <v>29973</v>
      </c>
    </row>
    <row r="39991" spans="1:6" ht="15.75" customHeight="1">
      <c r="A39991" s="3">
        <v>43873.77789351852</v>
      </c>
      <c r="B39991" t="str">
        <f>HYPERLINK("https://twitter.com/ZoelFawzie","@ZoelFawzie")</f>
        <v>@ZoelFawzie</v>
      </c>
      <c r="C39991" t="s">
        <v>1660</v>
      </c>
      <c r="D39991">
        <v>0</v>
      </c>
      <c r="E39991">
        <v>3</v>
      </c>
      <c r="F39991">
        <v>5684</v>
      </c>
    </row>
    <row r="39992" spans="1:6" ht="15.75" customHeight="1">
      <c r="A39992" s="3">
        <v>43873.777789351851</v>
      </c>
      <c r="B39992" t="str">
        <f>HYPERLINK("https://twitter.com/mata_bintang","@mata_bintang")</f>
        <v>@mata_bintang</v>
      </c>
      <c r="C39992" t="s">
        <v>1661</v>
      </c>
      <c r="D39992">
        <v>0</v>
      </c>
      <c r="E39992">
        <v>1</v>
      </c>
      <c r="F39992">
        <v>271</v>
      </c>
    </row>
    <row r="39993" spans="1:6" ht="15.75" customHeight="1">
      <c r="A39993" s="3">
        <v>43873.777719907404</v>
      </c>
      <c r="B39993" t="str">
        <f t="shared" ref="B39993:B39995" si="478">HYPERLINK("https://twitter.com/SINTIACLAUDIA7","@SINTIACLAUDIA7")</f>
        <v>@SINTIACLAUDIA7</v>
      </c>
      <c r="C39993" t="s">
        <v>1662</v>
      </c>
      <c r="D39993">
        <v>0</v>
      </c>
      <c r="E39993">
        <v>0</v>
      </c>
      <c r="F39993">
        <v>0</v>
      </c>
    </row>
    <row r="39994" spans="1:6" ht="15.75" customHeight="1">
      <c r="A39994" s="3">
        <v>43873.776770833334</v>
      </c>
      <c r="B39994" t="str">
        <f t="shared" si="478"/>
        <v>@SINTIACLAUDIA7</v>
      </c>
      <c r="C39994" t="s">
        <v>1663</v>
      </c>
      <c r="D39994">
        <v>0</v>
      </c>
      <c r="E39994">
        <v>0</v>
      </c>
      <c r="F39994">
        <v>0</v>
      </c>
    </row>
    <row r="39995" spans="1:6" ht="15.75" customHeight="1">
      <c r="A39995" s="3">
        <v>43873.776458333334</v>
      </c>
      <c r="B39995" t="str">
        <f t="shared" si="478"/>
        <v>@SINTIACLAUDIA7</v>
      </c>
      <c r="C39995" t="s">
        <v>1664</v>
      </c>
      <c r="D39995">
        <v>0</v>
      </c>
      <c r="E39995">
        <v>0</v>
      </c>
      <c r="F39995">
        <v>0</v>
      </c>
    </row>
    <row r="39996" spans="1:6" ht="15.75" customHeight="1">
      <c r="A39996" s="3">
        <v>43873.776400462964</v>
      </c>
      <c r="B39996" t="str">
        <f>HYPERLINK("https://twitter.com/NeniPascal","@NeniPascal")</f>
        <v>@NeniPascal</v>
      </c>
      <c r="C39996" t="s">
        <v>1665</v>
      </c>
      <c r="D39996">
        <v>0</v>
      </c>
      <c r="E39996">
        <v>0</v>
      </c>
      <c r="F39996">
        <v>41</v>
      </c>
    </row>
    <row r="39997" spans="1:6" ht="15.75" customHeight="1">
      <c r="A39997" s="3">
        <v>43873.776122685187</v>
      </c>
      <c r="B39997" t="str">
        <f>HYPERLINK("https://twitter.com/Dieqy_Lalijiwo","@Dieqy_Lalijiwo")</f>
        <v>@Dieqy_Lalijiwo</v>
      </c>
      <c r="C39997" t="s">
        <v>1666</v>
      </c>
      <c r="D39997">
        <v>0</v>
      </c>
      <c r="E39997">
        <v>1</v>
      </c>
      <c r="F39997">
        <v>4017</v>
      </c>
    </row>
    <row r="39998" spans="1:6" ht="15.75" customHeight="1">
      <c r="A39998" s="3">
        <v>43873.775277777779</v>
      </c>
      <c r="B39998" t="str">
        <f>HYPERLINK("https://twitter.com/Budi201932","@Budi201932")</f>
        <v>@Budi201932</v>
      </c>
      <c r="C39998" t="s">
        <v>1667</v>
      </c>
      <c r="D39998">
        <v>0</v>
      </c>
      <c r="E39998">
        <v>0</v>
      </c>
      <c r="F39998">
        <v>86</v>
      </c>
    </row>
    <row r="39999" spans="1:6" ht="15.75" customHeight="1">
      <c r="A39999" s="3">
        <v>43873.774733796294</v>
      </c>
      <c r="B39999" t="str">
        <f>HYPERLINK("https://twitter.com/DjanChoek","@DjanChoek")</f>
        <v>@DjanChoek</v>
      </c>
      <c r="C39999" t="s">
        <v>1668</v>
      </c>
      <c r="D39999">
        <v>89</v>
      </c>
      <c r="E39999">
        <v>237</v>
      </c>
      <c r="F39999">
        <v>24066</v>
      </c>
    </row>
    <row r="40000" spans="1:6" ht="15.75" customHeight="1">
      <c r="A40000" s="3">
        <v>43873.774328703701</v>
      </c>
      <c r="B40000" t="str">
        <f>HYPERLINK("https://twitter.com/detikcom","@detikcom")</f>
        <v>@detikcom</v>
      </c>
      <c r="C40000" t="s">
        <v>1669</v>
      </c>
      <c r="D40000">
        <v>6</v>
      </c>
      <c r="E40000">
        <v>33</v>
      </c>
      <c r="F40000">
        <v>15663959</v>
      </c>
    </row>
    <row r="40001" spans="1:6" ht="15.75" customHeight="1">
      <c r="A40001" s="3">
        <v>43873.774224537032</v>
      </c>
      <c r="B40001" t="str">
        <f>HYPERLINK("https://twitter.com/KicauSunyi","@KicauSunyi")</f>
        <v>@KicauSunyi</v>
      </c>
      <c r="C40001" t="s">
        <v>1670</v>
      </c>
      <c r="D40001">
        <v>0</v>
      </c>
      <c r="E40001">
        <v>1</v>
      </c>
      <c r="F40001">
        <v>3661</v>
      </c>
    </row>
    <row r="40002" spans="1:6" ht="15.75" customHeight="1">
      <c r="A40002" s="3">
        <v>43873.774062500001</v>
      </c>
      <c r="B40002" t="str">
        <f>HYPERLINK("https://twitter.com/AyoBekasiNet","@AyoBekasiNet")</f>
        <v>@AyoBekasiNet</v>
      </c>
      <c r="C40002" t="s">
        <v>1671</v>
      </c>
      <c r="D40002">
        <v>0</v>
      </c>
      <c r="E40002">
        <v>0</v>
      </c>
      <c r="F40002">
        <v>471</v>
      </c>
    </row>
    <row r="40003" spans="1:6" ht="15.75" customHeight="1">
      <c r="A40003" s="3">
        <v>43873.773819444439</v>
      </c>
      <c r="B40003" t="str">
        <f>HYPERLINK("https://twitter.com/Aryprasetyo85","@Aryprasetyo85")</f>
        <v>@Aryprasetyo85</v>
      </c>
      <c r="C40003" t="s">
        <v>1672</v>
      </c>
      <c r="D40003">
        <v>14</v>
      </c>
      <c r="E40003">
        <v>35</v>
      </c>
      <c r="F40003">
        <v>38514</v>
      </c>
    </row>
    <row r="40004" spans="1:6" ht="15.75" customHeight="1">
      <c r="A40004" s="3">
        <v>43873.773819444439</v>
      </c>
      <c r="B40004" t="str">
        <f>HYPERLINK("https://twitter.com/4Y4NKZ","@4Y4NKZ")</f>
        <v>@4Y4NKZ</v>
      </c>
      <c r="C40004" t="s">
        <v>1673</v>
      </c>
      <c r="D40004">
        <v>24</v>
      </c>
      <c r="E40004">
        <v>119</v>
      </c>
      <c r="F40004">
        <v>44256</v>
      </c>
    </row>
    <row r="40005" spans="1:6" ht="15.75" customHeight="1">
      <c r="A40005" s="3">
        <v>43873.7731712963</v>
      </c>
      <c r="B40005" t="str">
        <f>HYPERLINK("https://twitter.com/buyut_dukunbayi","@buyut_dukunbayi")</f>
        <v>@buyut_dukunbayi</v>
      </c>
      <c r="C40005" t="s">
        <v>1674</v>
      </c>
      <c r="D40005">
        <v>2</v>
      </c>
      <c r="E40005">
        <v>6</v>
      </c>
      <c r="F40005">
        <v>3723</v>
      </c>
    </row>
    <row r="40006" spans="1:6" ht="15.75" customHeight="1">
      <c r="A40006" s="3">
        <v>43873.772326388891</v>
      </c>
      <c r="B40006" t="str">
        <f>HYPERLINK("https://twitter.com/TRANS7","@TRANS7")</f>
        <v>@TRANS7</v>
      </c>
      <c r="C40006" t="s">
        <v>1675</v>
      </c>
      <c r="D40006">
        <v>4</v>
      </c>
      <c r="E40006">
        <v>16</v>
      </c>
      <c r="F40006">
        <v>5569041</v>
      </c>
    </row>
    <row r="40007" spans="1:6" ht="15.75" customHeight="1">
      <c r="A40007" s="3">
        <v>43873.771469907406</v>
      </c>
      <c r="B40007" t="str">
        <f>HYPERLINK("https://twitter.com/okezonenews","@okezonenews")</f>
        <v>@okezonenews</v>
      </c>
      <c r="C40007" t="s">
        <v>1676</v>
      </c>
      <c r="D40007">
        <v>1</v>
      </c>
      <c r="E40007">
        <v>2</v>
      </c>
      <c r="F40007">
        <v>1743741</v>
      </c>
    </row>
    <row r="40008" spans="1:6" ht="15.75" customHeight="1">
      <c r="A40008" s="3">
        <v>43873.770648148144</v>
      </c>
      <c r="B40008" t="str">
        <f>HYPERLINK("https://twitter.com/kamikazeRed2","@kamikazeRed2")</f>
        <v>@kamikazeRed2</v>
      </c>
      <c r="C40008" t="s">
        <v>1677</v>
      </c>
      <c r="D40008">
        <v>0</v>
      </c>
      <c r="E40008">
        <v>0</v>
      </c>
      <c r="F40008">
        <v>1208</v>
      </c>
    </row>
    <row r="40009" spans="1:6" ht="15.75" customHeight="1">
      <c r="A40009" s="3">
        <v>43873.770590277782</v>
      </c>
      <c r="B40009" t="str">
        <f>HYPERLINK("https://twitter.com/ophunkdoank","@ophunkdoank")</f>
        <v>@ophunkdoank</v>
      </c>
      <c r="C40009" t="s">
        <v>1135</v>
      </c>
      <c r="D40009">
        <v>1</v>
      </c>
      <c r="E40009">
        <v>1</v>
      </c>
      <c r="F40009">
        <v>1227</v>
      </c>
    </row>
    <row r="40010" spans="1:6" ht="15.75" customHeight="1">
      <c r="A40010" s="3">
        <v>43873.769953703704</v>
      </c>
      <c r="B40010" t="str">
        <f>HYPERLINK("https://twitter.com/whyoedee","@whyoedee")</f>
        <v>@whyoedee</v>
      </c>
      <c r="C40010" t="s">
        <v>1678</v>
      </c>
      <c r="D40010">
        <v>3</v>
      </c>
      <c r="E40010">
        <v>5</v>
      </c>
      <c r="F40010">
        <v>5331</v>
      </c>
    </row>
    <row r="40011" spans="1:6" ht="15.75" customHeight="1">
      <c r="A40011" s="3">
        <v>43873.769201388888</v>
      </c>
      <c r="B40011" t="str">
        <f>HYPERLINK("https://twitter.com/cagubnyinyir2","@cagubnyinyir2")</f>
        <v>@cagubnyinyir2</v>
      </c>
      <c r="C40011" t="s">
        <v>1679</v>
      </c>
      <c r="D40011">
        <v>12</v>
      </c>
      <c r="E40011">
        <v>26</v>
      </c>
      <c r="F40011">
        <v>4237</v>
      </c>
    </row>
    <row r="40012" spans="1:6" ht="15.75" customHeight="1">
      <c r="A40012" s="3">
        <v>43873.768750000003</v>
      </c>
      <c r="B40012" t="str">
        <f>HYPERLINK("https://twitter.com/kompascom","@kompascom")</f>
        <v>@kompascom</v>
      </c>
      <c r="C40012" t="s">
        <v>1680</v>
      </c>
      <c r="D40012">
        <v>2</v>
      </c>
      <c r="E40012">
        <v>5</v>
      </c>
      <c r="F40012">
        <v>7496984</v>
      </c>
    </row>
    <row r="40013" spans="1:6" ht="15.75" customHeight="1">
      <c r="A40013" s="3">
        <v>43873.768634259264</v>
      </c>
      <c r="B40013" t="str">
        <f>HYPERLINK("https://twitter.com/SINTIACLAUDIA7","@SINTIACLAUDIA7")</f>
        <v>@SINTIACLAUDIA7</v>
      </c>
      <c r="C40013" t="s">
        <v>1681</v>
      </c>
      <c r="D40013">
        <v>1</v>
      </c>
      <c r="E40013">
        <v>1</v>
      </c>
      <c r="F40013">
        <v>0</v>
      </c>
    </row>
    <row r="40014" spans="1:6" ht="15.75" customHeight="1">
      <c r="A40014" s="3">
        <v>43873.768599537041</v>
      </c>
      <c r="B40014" t="str">
        <f>HYPERLINK("https://twitter.com/antaranews","@antaranews")</f>
        <v>@antaranews</v>
      </c>
      <c r="C40014" t="s">
        <v>1682</v>
      </c>
      <c r="D40014">
        <v>1</v>
      </c>
      <c r="E40014">
        <v>8</v>
      </c>
      <c r="F40014">
        <v>1103152</v>
      </c>
    </row>
    <row r="40015" spans="1:6" ht="15.75" customHeight="1">
      <c r="A40015" s="3">
        <v>43873.768067129626</v>
      </c>
      <c r="B40015" t="str">
        <f>HYPERLINK("https://twitter.com/moan1974","@moan1974")</f>
        <v>@moan1974</v>
      </c>
      <c r="C40015" t="s">
        <v>1683</v>
      </c>
      <c r="D40015">
        <v>0</v>
      </c>
      <c r="E40015">
        <v>1</v>
      </c>
      <c r="F40015">
        <v>3129</v>
      </c>
    </row>
    <row r="40016" spans="1:6" ht="15.75" customHeight="1">
      <c r="A40016" s="3">
        <v>43873.767835648148</v>
      </c>
      <c r="B40016" t="str">
        <f>HYPERLINK("https://twitter.com/DsSupriyady","@DsSupriyady")</f>
        <v>@DsSupriyady</v>
      </c>
      <c r="C40016" t="s">
        <v>1684</v>
      </c>
      <c r="D40016">
        <v>1</v>
      </c>
      <c r="E40016">
        <v>1</v>
      </c>
      <c r="F40016">
        <v>3866</v>
      </c>
    </row>
    <row r="40017" spans="1:6" ht="15.75" customHeight="1">
      <c r="A40017" s="3">
        <v>43873.767430555556</v>
      </c>
      <c r="B40017" t="str">
        <f>HYPERLINK("https://twitter.com/GATRA_News","@GATRA_News")</f>
        <v>@GATRA_News</v>
      </c>
      <c r="C40017" t="s">
        <v>1685</v>
      </c>
      <c r="D40017">
        <v>0</v>
      </c>
      <c r="E40017">
        <v>0</v>
      </c>
      <c r="F40017">
        <v>23124</v>
      </c>
    </row>
    <row r="40018" spans="1:6" ht="15.75" customHeight="1">
      <c r="A40018" s="3">
        <v>43873.767384259263</v>
      </c>
      <c r="B40018" t="str">
        <f>HYPERLINK("https://twitter.com/merahh_putihh","@merahh_putihh")</f>
        <v>@merahh_putihh</v>
      </c>
      <c r="C40018" t="s">
        <v>1444</v>
      </c>
      <c r="D40018">
        <v>1</v>
      </c>
      <c r="E40018">
        <v>1</v>
      </c>
      <c r="F40018">
        <v>41</v>
      </c>
    </row>
    <row r="40019" spans="1:6" ht="15.75" customHeight="1">
      <c r="A40019" s="3">
        <v>43873.766747685186</v>
      </c>
      <c r="B40019" t="str">
        <f>HYPERLINK("https://twitter.com/Jojo_Nurjoko","@Jojo_Nurjoko")</f>
        <v>@Jojo_Nurjoko</v>
      </c>
      <c r="C40019" t="s">
        <v>1686</v>
      </c>
      <c r="D40019">
        <v>0</v>
      </c>
      <c r="E40019">
        <v>0</v>
      </c>
      <c r="F40019">
        <v>73</v>
      </c>
    </row>
    <row r="40020" spans="1:6" ht="15.75" customHeight="1">
      <c r="A40020" s="3">
        <v>43873.766516203701</v>
      </c>
      <c r="B40020" t="str">
        <f>HYPERLINK("https://twitter.com/KATADATAcoid","@KATADATAcoid")</f>
        <v>@KATADATAcoid</v>
      </c>
      <c r="C40020" t="s">
        <v>1687</v>
      </c>
      <c r="D40020">
        <v>0</v>
      </c>
      <c r="E40020">
        <v>6</v>
      </c>
      <c r="F40020">
        <v>39256</v>
      </c>
    </row>
    <row r="40021" spans="1:6" ht="15.75" customHeight="1">
      <c r="A40021" s="3">
        <v>43873.765671296293</v>
      </c>
      <c r="B40021" t="str">
        <f>HYPERLINK("https://twitter.com/Haluan_","@Haluan_")</f>
        <v>@Haluan_</v>
      </c>
      <c r="C40021" t="s">
        <v>1222</v>
      </c>
      <c r="D40021">
        <v>0</v>
      </c>
      <c r="E40021">
        <v>0</v>
      </c>
      <c r="F40021">
        <v>1442</v>
      </c>
    </row>
    <row r="40022" spans="1:6" ht="15.75" customHeight="1">
      <c r="A40022" s="3">
        <v>43873.764930555553</v>
      </c>
      <c r="B40022" t="str">
        <f>HYPERLINK("https://twitter.com/DsSupriyady","@DsSupriyady")</f>
        <v>@DsSupriyady</v>
      </c>
      <c r="C40022" t="s">
        <v>1688</v>
      </c>
      <c r="D40022">
        <v>0</v>
      </c>
      <c r="E40022">
        <v>0</v>
      </c>
      <c r="F40022">
        <v>3866</v>
      </c>
    </row>
    <row r="40023" spans="1:6" ht="15.75" customHeight="1">
      <c r="A40023" s="3">
        <v>43873.76461805556</v>
      </c>
      <c r="B40023" t="str">
        <f>HYPERLINK("https://twitter.com/indonesianest45","@indonesianest45")</f>
        <v>@indonesianest45</v>
      </c>
      <c r="C40023" t="s">
        <v>1689</v>
      </c>
      <c r="D40023">
        <v>0</v>
      </c>
      <c r="E40023">
        <v>0</v>
      </c>
      <c r="F40023">
        <v>161</v>
      </c>
    </row>
    <row r="40024" spans="1:6" ht="15.75" customHeight="1">
      <c r="A40024" s="3">
        <v>43873.764444444445</v>
      </c>
      <c r="B40024" t="str">
        <f>HYPERLINK("https://twitter.com/SINTIACLAUDIA7","@SINTIACLAUDIA7")</f>
        <v>@SINTIACLAUDIA7</v>
      </c>
      <c r="C40024" t="s">
        <v>1690</v>
      </c>
      <c r="D40024">
        <v>1</v>
      </c>
      <c r="E40024">
        <v>2</v>
      </c>
      <c r="F40024">
        <v>0</v>
      </c>
    </row>
    <row r="40025" spans="1:6" ht="15.75" customHeight="1">
      <c r="A40025" s="3">
        <v>43873.764328703706</v>
      </c>
      <c r="B40025" t="str">
        <f>HYPERLINK("https://twitter.com/EInaniana","@EInaniana")</f>
        <v>@EInaniana</v>
      </c>
      <c r="C40025" t="s">
        <v>1691</v>
      </c>
      <c r="D40025">
        <v>0</v>
      </c>
      <c r="E40025">
        <v>0</v>
      </c>
      <c r="F40025">
        <v>38</v>
      </c>
    </row>
    <row r="40026" spans="1:6" ht="15.75" customHeight="1">
      <c r="A40026" s="3">
        <v>43873.763020833328</v>
      </c>
      <c r="B40026" t="str">
        <f>HYPERLINK("https://twitter.com/thenightk1ng","@thenightk1ng")</f>
        <v>@thenightk1ng</v>
      </c>
      <c r="C40026" t="s">
        <v>1692</v>
      </c>
      <c r="D40026">
        <v>0</v>
      </c>
      <c r="E40026">
        <v>0</v>
      </c>
      <c r="F40026">
        <v>565</v>
      </c>
    </row>
    <row r="40027" spans="1:6" ht="15.75" customHeight="1">
      <c r="A40027" s="3">
        <v>43873.762210648143</v>
      </c>
      <c r="B40027" t="str">
        <f>HYPERLINK("https://twitter.com/indonesianest45","@indonesianest45")</f>
        <v>@indonesianest45</v>
      </c>
      <c r="C40027" t="s">
        <v>1693</v>
      </c>
      <c r="D40027">
        <v>0</v>
      </c>
      <c r="E40027">
        <v>1</v>
      </c>
      <c r="F40027">
        <v>161</v>
      </c>
    </row>
    <row r="40028" spans="1:6" ht="15.75" customHeight="1">
      <c r="A40028" s="3">
        <v>43873.761516203704</v>
      </c>
      <c r="B40028" t="str">
        <f>HYPERLINK("https://twitter.com/EkoWahyu07","@EkoWahyu07")</f>
        <v>@EkoWahyu07</v>
      </c>
      <c r="C40028" t="s">
        <v>1694</v>
      </c>
      <c r="D40028">
        <v>0</v>
      </c>
      <c r="E40028">
        <v>0</v>
      </c>
      <c r="F40028">
        <v>55</v>
      </c>
    </row>
    <row r="40029" spans="1:6" ht="15.75" customHeight="1">
      <c r="A40029" s="3">
        <v>43873.761377314819</v>
      </c>
      <c r="B40029" t="str">
        <f>HYPERLINK("https://twitter.com/WijoyoHdi","@WijoyoHdi")</f>
        <v>@WijoyoHdi</v>
      </c>
      <c r="C40029" t="s">
        <v>1695</v>
      </c>
      <c r="D40029">
        <v>0</v>
      </c>
      <c r="E40029">
        <v>0</v>
      </c>
      <c r="F40029">
        <v>2852</v>
      </c>
    </row>
    <row r="40030" spans="1:6" ht="15.75" customHeight="1">
      <c r="A40030" s="3">
        <v>43873.760601851856</v>
      </c>
      <c r="B40030" t="str">
        <f>HYPERLINK("https://twitter.com/JSoloensis","@JSoloensis")</f>
        <v>@JSoloensis</v>
      </c>
      <c r="C40030" t="s">
        <v>1696</v>
      </c>
      <c r="D40030">
        <v>0</v>
      </c>
      <c r="E40030">
        <v>1</v>
      </c>
      <c r="F40030">
        <v>67</v>
      </c>
    </row>
    <row r="40031" spans="1:6" ht="15.75" customHeight="1">
      <c r="A40031" s="3">
        <v>43873.759965277779</v>
      </c>
      <c r="B40031" t="str">
        <f>HYPERLINK("https://twitter.com/yaboraborabori","@yaboraborabori")</f>
        <v>@yaboraborabori</v>
      </c>
      <c r="C40031" t="s">
        <v>1697</v>
      </c>
      <c r="D40031">
        <v>0</v>
      </c>
      <c r="E40031">
        <v>0</v>
      </c>
      <c r="F40031">
        <v>24</v>
      </c>
    </row>
    <row r="40032" spans="1:6" ht="15.75" customHeight="1">
      <c r="A40032" s="3">
        <v>43873.759756944448</v>
      </c>
      <c r="B40032" t="str">
        <f>HYPERLINK("https://twitter.com/MasifMedia","@MasifMedia")</f>
        <v>@MasifMedia</v>
      </c>
      <c r="C40032" t="s">
        <v>1698</v>
      </c>
      <c r="D40032">
        <v>0</v>
      </c>
      <c r="E40032">
        <v>0</v>
      </c>
      <c r="F40032">
        <v>13882</v>
      </c>
    </row>
    <row r="40033" spans="1:6" ht="15.75" customHeight="1">
      <c r="A40033" s="3">
        <v>43873.759629629625</v>
      </c>
      <c r="B40033" t="str">
        <f>HYPERLINK("https://twitter.com/parlin28boxing","@parlin28boxing")</f>
        <v>@parlin28boxing</v>
      </c>
      <c r="C40033" t="s">
        <v>1699</v>
      </c>
      <c r="D40033">
        <v>0</v>
      </c>
      <c r="E40033">
        <v>0</v>
      </c>
      <c r="F40033">
        <v>10</v>
      </c>
    </row>
    <row r="40034" spans="1:6" ht="15.75" customHeight="1">
      <c r="A40034" s="3">
        <v>43873.759247685186</v>
      </c>
      <c r="B40034" t="str">
        <f>HYPERLINK("https://twitter.com/OfficialiNewsTV","@OfficialiNewsTV")</f>
        <v>@OfficialiNewsTV</v>
      </c>
      <c r="C40034" t="s">
        <v>1700</v>
      </c>
      <c r="D40034">
        <v>0</v>
      </c>
      <c r="E40034">
        <v>1</v>
      </c>
      <c r="F40034">
        <v>95810</v>
      </c>
    </row>
    <row r="40035" spans="1:6" ht="15.75" customHeight="1">
      <c r="A40035" s="3">
        <v>43873.758657407408</v>
      </c>
      <c r="B40035" t="str">
        <f>HYPERLINK("https://twitter.com/reiireisky","@reiireisky")</f>
        <v>@reiireisky</v>
      </c>
      <c r="C40035" t="s">
        <v>1701</v>
      </c>
      <c r="D40035">
        <v>0</v>
      </c>
      <c r="E40035">
        <v>0</v>
      </c>
      <c r="F40035">
        <v>524</v>
      </c>
    </row>
    <row r="40036" spans="1:6" ht="15.75" customHeight="1">
      <c r="A40036" s="3">
        <v>43873.757847222223</v>
      </c>
      <c r="B40036" t="str">
        <f>HYPERLINK("https://twitter.com/adisatya","@adisatya")</f>
        <v>@adisatya</v>
      </c>
      <c r="C40036" t="s">
        <v>1702</v>
      </c>
      <c r="D40036">
        <v>0</v>
      </c>
      <c r="E40036">
        <v>1</v>
      </c>
      <c r="F40036">
        <v>1194</v>
      </c>
    </row>
    <row r="40037" spans="1:6" ht="15.75" customHeight="1">
      <c r="A40037" s="3">
        <v>43873.757268518515</v>
      </c>
      <c r="B40037" t="str">
        <f>HYPERLINK("https://twitter.com/DedRikas","@DedRikas")</f>
        <v>@DedRikas</v>
      </c>
      <c r="C40037" t="s">
        <v>1703</v>
      </c>
      <c r="D40037">
        <v>0</v>
      </c>
      <c r="E40037">
        <v>0</v>
      </c>
      <c r="F40037">
        <v>75</v>
      </c>
    </row>
    <row r="40038" spans="1:6" ht="15.75" customHeight="1">
      <c r="A40038" s="3">
        <v>43873.757187499999</v>
      </c>
      <c r="B40038" t="str">
        <f>HYPERLINK("https://twitter.com/YudiPur27288286","@YudiPur27288286")</f>
        <v>@YudiPur27288286</v>
      </c>
      <c r="C40038" t="s">
        <v>1704</v>
      </c>
      <c r="D40038">
        <v>0</v>
      </c>
      <c r="E40038">
        <v>1</v>
      </c>
      <c r="F40038">
        <v>478</v>
      </c>
    </row>
    <row r="40039" spans="1:6" ht="15.75" customHeight="1">
      <c r="A40039" s="3">
        <v>43873.756944444445</v>
      </c>
      <c r="B40039" t="str">
        <f>HYPERLINK("https://twitter.com/indonesiana","@indonesiana")</f>
        <v>@indonesiana</v>
      </c>
      <c r="C40039" t="s">
        <v>1705</v>
      </c>
      <c r="D40039">
        <v>0</v>
      </c>
      <c r="E40039">
        <v>0</v>
      </c>
      <c r="F40039">
        <v>49509</v>
      </c>
    </row>
    <row r="40040" spans="1:6" ht="15.75" customHeight="1">
      <c r="A40040" s="3">
        <v>43873.756828703699</v>
      </c>
      <c r="B40040" t="str">
        <f>HYPERLINK("https://twitter.com/SINDOnews","@SINDOnews")</f>
        <v>@SINDOnews</v>
      </c>
      <c r="C40040" t="s">
        <v>1558</v>
      </c>
      <c r="D40040">
        <v>0</v>
      </c>
      <c r="E40040">
        <v>0</v>
      </c>
      <c r="F40040">
        <v>270405</v>
      </c>
    </row>
    <row r="40041" spans="1:6" ht="15.75" customHeight="1">
      <c r="A40041" s="3">
        <v>43873.756562499999</v>
      </c>
      <c r="B40041" t="str">
        <f>HYPERLINK("https://twitter.com/Gunawan8114","@Gunawan8114")</f>
        <v>@Gunawan8114</v>
      </c>
      <c r="C40041" t="s">
        <v>1706</v>
      </c>
      <c r="D40041">
        <v>0</v>
      </c>
      <c r="E40041">
        <v>0</v>
      </c>
      <c r="F40041">
        <v>174</v>
      </c>
    </row>
    <row r="40042" spans="1:6" ht="15.75" customHeight="1">
      <c r="A40042" s="3">
        <v>43873.756504629629</v>
      </c>
      <c r="B40042" t="str">
        <f>HYPERLINK("https://twitter.com/detikcom","@detikcom")</f>
        <v>@detikcom</v>
      </c>
      <c r="C40042" t="s">
        <v>1707</v>
      </c>
      <c r="D40042">
        <v>12</v>
      </c>
      <c r="E40042">
        <v>50</v>
      </c>
      <c r="F40042">
        <v>15663959</v>
      </c>
    </row>
    <row r="40043" spans="1:6" ht="15.75" customHeight="1">
      <c r="A40043" s="3">
        <v>43873.755300925928</v>
      </c>
      <c r="B40043" t="str">
        <f>HYPERLINK("https://twitter.com/tempodotco","@tempodotco")</f>
        <v>@tempodotco</v>
      </c>
      <c r="C40043" t="s">
        <v>1708</v>
      </c>
      <c r="D40043">
        <v>3</v>
      </c>
      <c r="E40043">
        <v>9</v>
      </c>
      <c r="F40043">
        <v>1702040</v>
      </c>
    </row>
    <row r="40044" spans="1:6" ht="15.75" customHeight="1">
      <c r="A40044" s="3">
        <v>43873.754907407405</v>
      </c>
      <c r="B40044" t="str">
        <f>HYPERLINK("https://twitter.com/pikiran_rakyat","@pikiran_rakyat")</f>
        <v>@pikiran_rakyat</v>
      </c>
      <c r="C40044" t="s">
        <v>1709</v>
      </c>
      <c r="D40044">
        <v>1</v>
      </c>
      <c r="E40044">
        <v>2</v>
      </c>
      <c r="F40044">
        <v>412437</v>
      </c>
    </row>
    <row r="40045" spans="1:6" ht="15.75" customHeight="1">
      <c r="A40045" s="3">
        <v>43873.754907407405</v>
      </c>
      <c r="B40045" t="str">
        <f>HYPERLINK("https://twitter.com/parlin28boxing","@parlin28boxing")</f>
        <v>@parlin28boxing</v>
      </c>
      <c r="C40045" t="s">
        <v>1710</v>
      </c>
      <c r="D40045">
        <v>0</v>
      </c>
      <c r="E40045">
        <v>0</v>
      </c>
      <c r="F40045">
        <v>10</v>
      </c>
    </row>
    <row r="40046" spans="1:6" ht="15.75" customHeight="1">
      <c r="A40046" s="3">
        <v>43873.754363425927</v>
      </c>
      <c r="B40046" t="str">
        <f>HYPERLINK("https://twitter.com/detikcom","@detikcom")</f>
        <v>@detikcom</v>
      </c>
      <c r="C40046" t="s">
        <v>1711</v>
      </c>
      <c r="D40046">
        <v>9</v>
      </c>
      <c r="E40046">
        <v>55</v>
      </c>
      <c r="F40046">
        <v>15663959</v>
      </c>
    </row>
    <row r="40047" spans="1:6" ht="15.75" customHeight="1">
      <c r="A40047" s="3">
        <v>43873.75381944445</v>
      </c>
      <c r="B40047" t="str">
        <f>HYPERLINK("https://twitter.com/pakepeci","@pakepeci")</f>
        <v>@pakepeci</v>
      </c>
      <c r="C40047" t="s">
        <v>1712</v>
      </c>
      <c r="D40047">
        <v>0</v>
      </c>
      <c r="E40047">
        <v>1</v>
      </c>
      <c r="F40047">
        <v>2178</v>
      </c>
    </row>
    <row r="40048" spans="1:6" ht="15.75" customHeight="1">
      <c r="A40048" s="3">
        <v>43873.753530092596</v>
      </c>
      <c r="B40048" t="str">
        <f>HYPERLINK("https://twitter.com/detik_gadget","@detik_gadget")</f>
        <v>@detik_gadget</v>
      </c>
      <c r="C40048" t="s">
        <v>1713</v>
      </c>
      <c r="D40048">
        <v>0</v>
      </c>
      <c r="E40048">
        <v>0</v>
      </c>
      <c r="F40048">
        <v>39</v>
      </c>
    </row>
    <row r="40049" spans="1:6" ht="15.75" customHeight="1">
      <c r="A40049" s="3">
        <v>43873.753391203703</v>
      </c>
      <c r="B40049" t="str">
        <f>HYPERLINK("https://twitter.com/AsepFelix","@AsepFelix")</f>
        <v>@AsepFelix</v>
      </c>
      <c r="C40049" t="s">
        <v>1632</v>
      </c>
      <c r="D40049">
        <v>0</v>
      </c>
      <c r="E40049">
        <v>0</v>
      </c>
      <c r="F40049">
        <v>27</v>
      </c>
    </row>
    <row r="40050" spans="1:6" ht="15.75" customHeight="1">
      <c r="A40050" s="3">
        <v>43873.752974537041</v>
      </c>
      <c r="B40050" t="str">
        <f>HYPERLINK("https://twitter.com/weddie_s","@weddie_s")</f>
        <v>@weddie_s</v>
      </c>
      <c r="C40050" t="s">
        <v>1714</v>
      </c>
      <c r="D40050">
        <v>1</v>
      </c>
      <c r="E40050">
        <v>2</v>
      </c>
      <c r="F40050">
        <v>2621</v>
      </c>
    </row>
    <row r="40051" spans="1:6" ht="15.75" customHeight="1">
      <c r="A40051" s="3">
        <v>43873.752905092595</v>
      </c>
      <c r="B40051" t="str">
        <f>HYPERLINK("https://twitter.com/NRusjana","@NRusjana")</f>
        <v>@NRusjana</v>
      </c>
      <c r="C40051" t="s">
        <v>1715</v>
      </c>
      <c r="D40051">
        <v>0</v>
      </c>
      <c r="E40051">
        <v>0</v>
      </c>
      <c r="F40051">
        <v>1125</v>
      </c>
    </row>
    <row r="40052" spans="1:6" ht="15.75" customHeight="1">
      <c r="A40052" s="3">
        <v>43873.752476851849</v>
      </c>
      <c r="B40052" t="str">
        <f>HYPERLINK("https://twitter.com/Solahudin075","@Solahudin075")</f>
        <v>@Solahudin075</v>
      </c>
      <c r="C40052" t="s">
        <v>1716</v>
      </c>
      <c r="D40052">
        <v>3</v>
      </c>
      <c r="E40052">
        <v>10</v>
      </c>
      <c r="F40052">
        <v>1513</v>
      </c>
    </row>
    <row r="40053" spans="1:6" ht="15.75" customHeight="1">
      <c r="A40053" s="3">
        <v>43873.752071759256</v>
      </c>
      <c r="B40053" t="str">
        <f>HYPERLINK("https://twitter.com/imamlagi_","@imamlagi_")</f>
        <v>@imamlagi_</v>
      </c>
      <c r="C40053" t="s">
        <v>1716</v>
      </c>
      <c r="D40053">
        <v>0</v>
      </c>
      <c r="E40053">
        <v>0</v>
      </c>
      <c r="F40053">
        <v>321</v>
      </c>
    </row>
    <row r="40054" spans="1:6" ht="15.75" customHeight="1">
      <c r="A40054" s="3">
        <v>43873.752025462964</v>
      </c>
      <c r="B40054" t="str">
        <f>HYPERLINK("https://twitter.com/Solahudin075","@Solahudin075")</f>
        <v>@Solahudin075</v>
      </c>
      <c r="C40054" t="s">
        <v>1717</v>
      </c>
      <c r="D40054">
        <v>0</v>
      </c>
      <c r="E40054">
        <v>2</v>
      </c>
      <c r="F40054">
        <v>1513</v>
      </c>
    </row>
    <row r="40055" spans="1:6" ht="15.75" customHeight="1">
      <c r="A40055" s="3">
        <v>43873.751886574071</v>
      </c>
      <c r="B40055" t="str">
        <f>HYPERLINK("https://twitter.com/Sinar_Harapan","@Sinar_Harapan")</f>
        <v>@Sinar_Harapan</v>
      </c>
      <c r="C40055" t="s">
        <v>1718</v>
      </c>
      <c r="D40055">
        <v>0</v>
      </c>
      <c r="E40055">
        <v>0</v>
      </c>
      <c r="F40055">
        <v>4967</v>
      </c>
    </row>
    <row r="40056" spans="1:6" ht="15.75" customHeight="1">
      <c r="A40056" s="3">
        <v>43873.751805555556</v>
      </c>
      <c r="B40056" t="str">
        <f>HYPERLINK("https://twitter.com/sisisebel","@sisisebel")</f>
        <v>@sisisebel</v>
      </c>
      <c r="C40056" t="s">
        <v>1717</v>
      </c>
      <c r="D40056">
        <v>0</v>
      </c>
      <c r="E40056">
        <v>0</v>
      </c>
      <c r="F40056">
        <v>371</v>
      </c>
    </row>
    <row r="40057" spans="1:6" ht="15.75" customHeight="1">
      <c r="A40057" s="3">
        <v>43873.751793981486</v>
      </c>
      <c r="B40057" t="str">
        <f>HYPERLINK("https://twitter.com/MulhadiBahar","@MulhadiBahar")</f>
        <v>@MulhadiBahar</v>
      </c>
      <c r="C40057" t="s">
        <v>1719</v>
      </c>
      <c r="D40057">
        <v>0</v>
      </c>
      <c r="E40057">
        <v>0</v>
      </c>
      <c r="F40057">
        <v>63</v>
      </c>
    </row>
    <row r="40058" spans="1:6" ht="15.75" customHeight="1">
      <c r="A40058" s="3">
        <v>43873.751342592594</v>
      </c>
      <c r="B40058" t="str">
        <f>HYPERLINK("https://twitter.com/idntimes","@idntimes")</f>
        <v>@idntimes</v>
      </c>
      <c r="C40058" t="s">
        <v>1720</v>
      </c>
      <c r="D40058">
        <v>0</v>
      </c>
      <c r="E40058">
        <v>0</v>
      </c>
      <c r="F40058">
        <v>392639</v>
      </c>
    </row>
    <row r="40059" spans="1:6" ht="15.75" customHeight="1">
      <c r="A40059" s="3">
        <v>43873.750798611116</v>
      </c>
      <c r="B40059" t="str">
        <f>HYPERLINK("https://twitter.com/hajidputra7","@hajidputra7")</f>
        <v>@hajidputra7</v>
      </c>
      <c r="C40059" t="s">
        <v>1721</v>
      </c>
      <c r="D40059">
        <v>0</v>
      </c>
      <c r="E40059">
        <v>0</v>
      </c>
      <c r="F40059">
        <v>86</v>
      </c>
    </row>
    <row r="40060" spans="1:6" ht="15.75" customHeight="1">
      <c r="A40060" s="3">
        <v>43873.750127314815</v>
      </c>
      <c r="B40060" t="str">
        <f>HYPERLINK("https://twitter.com/Joglosemarnews","@Joglosemarnews")</f>
        <v>@Joglosemarnews</v>
      </c>
      <c r="C40060" t="s">
        <v>1722</v>
      </c>
      <c r="D40060">
        <v>0</v>
      </c>
      <c r="E40060">
        <v>0</v>
      </c>
      <c r="F40060">
        <v>301</v>
      </c>
    </row>
    <row r="40061" spans="1:6" ht="15.75" customHeight="1">
      <c r="A40061" s="3">
        <v>43873.75001157407</v>
      </c>
      <c r="B40061" t="str">
        <f>HYPERLINK("https://twitter.com/Yahoo_ID","@Yahoo_ID")</f>
        <v>@Yahoo_ID</v>
      </c>
      <c r="C40061" t="s">
        <v>1723</v>
      </c>
      <c r="D40061">
        <v>0</v>
      </c>
      <c r="E40061">
        <v>0</v>
      </c>
      <c r="F40061">
        <v>1392234</v>
      </c>
    </row>
    <row r="40062" spans="1:6" ht="15.75" customHeight="1">
      <c r="A40062" s="3">
        <v>43873.749131944445</v>
      </c>
      <c r="B40062" t="str">
        <f>HYPERLINK("https://twitter.com/ArtantiGaluh","@ArtantiGaluh")</f>
        <v>@ArtantiGaluh</v>
      </c>
      <c r="C40062" t="s">
        <v>1724</v>
      </c>
      <c r="D40062">
        <v>0</v>
      </c>
      <c r="E40062">
        <v>1</v>
      </c>
      <c r="F40062">
        <v>53</v>
      </c>
    </row>
    <row r="40063" spans="1:6" ht="15.75" customHeight="1">
      <c r="A40063" s="3">
        <v>43873.748657407406</v>
      </c>
      <c r="B40063" t="str">
        <f>HYPERLINK("https://twitter.com/AfifKamania","@AfifKamania")</f>
        <v>@AfifKamania</v>
      </c>
      <c r="C40063" t="s">
        <v>1725</v>
      </c>
      <c r="D40063">
        <v>0</v>
      </c>
      <c r="E40063">
        <v>0</v>
      </c>
      <c r="F40063">
        <v>46</v>
      </c>
    </row>
    <row r="40064" spans="1:6" ht="15.75" customHeight="1">
      <c r="A40064" s="3">
        <v>43873.74827546296</v>
      </c>
      <c r="B40064" t="str">
        <f>HYPERLINK("https://twitter.com/tempodotco","@tempodotco")</f>
        <v>@tempodotco</v>
      </c>
      <c r="C40064" t="s">
        <v>1705</v>
      </c>
      <c r="D40064">
        <v>0</v>
      </c>
      <c r="E40064">
        <v>2</v>
      </c>
      <c r="F40064">
        <v>1702040</v>
      </c>
    </row>
    <row r="40065" spans="1:6" ht="15.75" customHeight="1">
      <c r="A40065" s="3">
        <v>43873.74600694445</v>
      </c>
      <c r="B40065" t="str">
        <f>HYPERLINK("https://twitter.com/JhonniSinaga20","@JhonniSinaga20")</f>
        <v>@JhonniSinaga20</v>
      </c>
      <c r="C40065" t="s">
        <v>1726</v>
      </c>
      <c r="D40065">
        <v>2</v>
      </c>
      <c r="E40065">
        <v>4</v>
      </c>
      <c r="F40065">
        <v>527</v>
      </c>
    </row>
    <row r="40066" spans="1:6" ht="15.75" customHeight="1">
      <c r="A40066" s="3">
        <v>43873.745856481481</v>
      </c>
      <c r="B40066" t="str">
        <f>HYPERLINK("https://twitter.com/AdaraLanani","@AdaraLanani")</f>
        <v>@AdaraLanani</v>
      </c>
      <c r="C40066" t="s">
        <v>1727</v>
      </c>
      <c r="D40066">
        <v>0</v>
      </c>
      <c r="E40066">
        <v>0</v>
      </c>
      <c r="F40066">
        <v>45</v>
      </c>
    </row>
    <row r="40067" spans="1:6" ht="15.75" customHeight="1">
      <c r="A40067" s="3">
        <v>43873.745787037042</v>
      </c>
      <c r="B40067" t="str">
        <f>HYPERLINK("https://twitter.com/6uaya","@6uaya")</f>
        <v>@6uaya</v>
      </c>
      <c r="C40067" t="s">
        <v>1728</v>
      </c>
      <c r="D40067">
        <v>0</v>
      </c>
      <c r="E40067">
        <v>0</v>
      </c>
      <c r="F40067">
        <v>217</v>
      </c>
    </row>
    <row r="40068" spans="1:6" ht="15.75" customHeight="1">
      <c r="A40068" s="3">
        <v>43873.745324074072</v>
      </c>
      <c r="B40068" t="str">
        <f>HYPERLINK("https://twitter.com/bentorin73","@bentorin73")</f>
        <v>@bentorin73</v>
      </c>
      <c r="C40068" t="s">
        <v>1196</v>
      </c>
      <c r="D40068">
        <v>0</v>
      </c>
      <c r="E40068">
        <v>0</v>
      </c>
      <c r="F40068">
        <v>1803</v>
      </c>
    </row>
    <row r="40069" spans="1:6" ht="15.75" customHeight="1">
      <c r="A40069" s="3">
        <v>43873.745196759264</v>
      </c>
      <c r="B40069" t="str">
        <f>HYPERLINK("https://twitter.com/Tirex3111","@Tirex3111")</f>
        <v>@Tirex3111</v>
      </c>
      <c r="C40069" t="s">
        <v>1729</v>
      </c>
      <c r="D40069">
        <v>0</v>
      </c>
      <c r="E40069">
        <v>1</v>
      </c>
      <c r="F40069">
        <v>58</v>
      </c>
    </row>
    <row r="40070" spans="1:6" ht="15.75" customHeight="1">
      <c r="A40070" s="3">
        <v>43873.744953703703</v>
      </c>
      <c r="B40070" t="str">
        <f>HYPERLINK("https://twitter.com/ArSunantoaris","@ArSunantoaris")</f>
        <v>@ArSunantoaris</v>
      </c>
      <c r="C40070" t="s">
        <v>1730</v>
      </c>
      <c r="D40070">
        <v>1</v>
      </c>
      <c r="E40070">
        <v>3</v>
      </c>
      <c r="F40070">
        <v>3366</v>
      </c>
    </row>
    <row r="40071" spans="1:6" ht="15.75" customHeight="1">
      <c r="A40071" s="3">
        <v>43873.744756944448</v>
      </c>
      <c r="B40071" t="str">
        <f>HYPERLINK("https://twitter.com/FarzanaFauzii","@FarzanaFauzii")</f>
        <v>@FarzanaFauzii</v>
      </c>
      <c r="C40071" t="s">
        <v>1731</v>
      </c>
      <c r="D40071">
        <v>0</v>
      </c>
      <c r="E40071">
        <v>0</v>
      </c>
      <c r="F40071">
        <v>448</v>
      </c>
    </row>
    <row r="40072" spans="1:6" ht="15.75" customHeight="1">
      <c r="A40072" s="3">
        <v>43873.744560185187</v>
      </c>
      <c r="B40072" t="str">
        <f>HYPERLINK("https://twitter.com/AdityaAbimana","@AdityaAbimana")</f>
        <v>@AdityaAbimana</v>
      </c>
      <c r="C40072" t="s">
        <v>1691</v>
      </c>
      <c r="D40072">
        <v>0</v>
      </c>
      <c r="E40072">
        <v>0</v>
      </c>
      <c r="F40072">
        <v>42</v>
      </c>
    </row>
    <row r="40073" spans="1:6" ht="15.75" customHeight="1">
      <c r="A40073" s="3">
        <v>43873.743807870371</v>
      </c>
      <c r="B40073" t="str">
        <f>HYPERLINK("https://twitter.com/Jebes_NTB","@Jebes_NTB")</f>
        <v>@Jebes_NTB</v>
      </c>
      <c r="C40073" t="s">
        <v>1732</v>
      </c>
      <c r="D40073">
        <v>0</v>
      </c>
      <c r="E40073">
        <v>0</v>
      </c>
      <c r="F40073">
        <v>0</v>
      </c>
    </row>
    <row r="40074" spans="1:6" ht="15.75" customHeight="1">
      <c r="A40074" s="3">
        <v>43873.743622685186</v>
      </c>
      <c r="B40074" t="str">
        <f>HYPERLINK("https://twitter.com/parlin28boxing","@parlin28boxing")</f>
        <v>@parlin28boxing</v>
      </c>
      <c r="C40074" t="s">
        <v>1733</v>
      </c>
      <c r="D40074">
        <v>0</v>
      </c>
      <c r="E40074">
        <v>0</v>
      </c>
      <c r="F40074">
        <v>10</v>
      </c>
    </row>
    <row r="40075" spans="1:6" ht="15.75" customHeight="1">
      <c r="A40075" s="3">
        <v>43873.743078703701</v>
      </c>
      <c r="B40075" t="str">
        <f>HYPERLINK("https://twitter.com/merdekadotcom","@merdekadotcom")</f>
        <v>@merdekadotcom</v>
      </c>
      <c r="C40075" t="s">
        <v>1734</v>
      </c>
      <c r="D40075">
        <v>19</v>
      </c>
      <c r="E40075">
        <v>29</v>
      </c>
      <c r="F40075">
        <v>230398</v>
      </c>
    </row>
    <row r="40076" spans="1:6" ht="15.75" customHeight="1">
      <c r="A40076" s="3">
        <v>43873.742071759261</v>
      </c>
      <c r="B40076" t="str">
        <f>HYPERLINK("https://twitter.com/MustaanAli4","@MustaanAli4")</f>
        <v>@MustaanAli4</v>
      </c>
      <c r="C40076" t="s">
        <v>1735</v>
      </c>
      <c r="D40076">
        <v>0</v>
      </c>
      <c r="E40076">
        <v>1</v>
      </c>
      <c r="F40076">
        <v>2555</v>
      </c>
    </row>
    <row r="40077" spans="1:6" ht="15.75" customHeight="1">
      <c r="A40077" s="3">
        <v>43873.741053240738</v>
      </c>
      <c r="B40077" t="str">
        <f>HYPERLINK("https://twitter.com/gusishom","@gusishom")</f>
        <v>@gusishom</v>
      </c>
      <c r="C40077" t="s">
        <v>1736</v>
      </c>
      <c r="D40077">
        <v>0</v>
      </c>
      <c r="E40077">
        <v>2</v>
      </c>
      <c r="F40077">
        <v>59</v>
      </c>
    </row>
    <row r="40078" spans="1:6" ht="15.75" customHeight="1">
      <c r="A40078" s="3">
        <v>43873.740532407406</v>
      </c>
      <c r="B40078" t="str">
        <f>HYPERLINK("https://twitter.com/cagubnyinyir2","@cagubnyinyir2")</f>
        <v>@cagubnyinyir2</v>
      </c>
      <c r="C40078" t="s">
        <v>1737</v>
      </c>
      <c r="D40078">
        <v>4</v>
      </c>
      <c r="E40078">
        <v>7</v>
      </c>
      <c r="F40078">
        <v>4237</v>
      </c>
    </row>
    <row r="40079" spans="1:6" ht="15.75" customHeight="1">
      <c r="A40079" s="3">
        <v>43873.739270833335</v>
      </c>
      <c r="B40079" t="str">
        <f>HYPERLINK("https://twitter.com/devy215","@devy215")</f>
        <v>@devy215</v>
      </c>
      <c r="C40079" t="s">
        <v>1738</v>
      </c>
      <c r="D40079">
        <v>1</v>
      </c>
      <c r="E40079">
        <v>2</v>
      </c>
      <c r="F40079">
        <v>2860</v>
      </c>
    </row>
    <row r="40080" spans="1:6" ht="15.75" customHeight="1">
      <c r="A40080" s="3">
        <v>43873.737268518518</v>
      </c>
      <c r="B40080" t="str">
        <f>HYPERLINK("https://twitter.com/Beritasatu","@Beritasatu")</f>
        <v>@Beritasatu</v>
      </c>
      <c r="C40080" t="s">
        <v>1739</v>
      </c>
      <c r="D40080">
        <v>6</v>
      </c>
      <c r="E40080">
        <v>10</v>
      </c>
      <c r="F40080">
        <v>613637</v>
      </c>
    </row>
    <row r="40081" spans="1:6" ht="15.75" customHeight="1">
      <c r="A40081" s="3">
        <v>43873.737164351856</v>
      </c>
      <c r="B40081" t="str">
        <f>HYPERLINK("https://twitter.com/WinarsihParis","@WinarsihParis")</f>
        <v>@WinarsihParis</v>
      </c>
      <c r="C40081" t="s">
        <v>1740</v>
      </c>
      <c r="D40081">
        <v>0</v>
      </c>
      <c r="E40081">
        <v>0</v>
      </c>
      <c r="F40081">
        <v>77</v>
      </c>
    </row>
    <row r="40082" spans="1:6" ht="15.75" customHeight="1">
      <c r="A40082" s="3">
        <v>43873.736724537041</v>
      </c>
      <c r="B40082" t="str">
        <f>HYPERLINK("https://twitter.com/BlorengTheCat","@BlorengTheCat")</f>
        <v>@BlorengTheCat</v>
      </c>
      <c r="C40082" t="s">
        <v>1741</v>
      </c>
      <c r="D40082">
        <v>2</v>
      </c>
      <c r="E40082">
        <v>0</v>
      </c>
      <c r="F40082">
        <v>395</v>
      </c>
    </row>
    <row r="40083" spans="1:6" ht="15.75" customHeight="1">
      <c r="A40083" s="3">
        <v>43873.736516203702</v>
      </c>
      <c r="B40083" t="str">
        <f>HYPERLINK("https://twitter.com/Bujangkaram1","@Bujangkaram1")</f>
        <v>@Bujangkaram1</v>
      </c>
      <c r="C40083" t="s">
        <v>1742</v>
      </c>
      <c r="D40083">
        <v>0</v>
      </c>
      <c r="E40083">
        <v>1</v>
      </c>
      <c r="F40083">
        <v>4</v>
      </c>
    </row>
    <row r="40084" spans="1:6" ht="15.75" customHeight="1">
      <c r="A40084" s="3">
        <v>43873.736134259263</v>
      </c>
      <c r="B40084" t="str">
        <f>HYPERLINK("https://twitter.com/EvanRivall","@EvanRivall")</f>
        <v>@EvanRivall</v>
      </c>
      <c r="C40084" t="s">
        <v>1743</v>
      </c>
      <c r="D40084">
        <v>0</v>
      </c>
      <c r="E40084">
        <v>0</v>
      </c>
      <c r="F40084">
        <v>16</v>
      </c>
    </row>
    <row r="40085" spans="1:6" ht="15.75" customHeight="1">
      <c r="A40085" s="3">
        <v>43873.735914351855</v>
      </c>
      <c r="B40085" t="str">
        <f>HYPERLINK("https://twitter.com/katasastra2","@katasastra2")</f>
        <v>@katasastra2</v>
      </c>
      <c r="C40085" t="s">
        <v>1744</v>
      </c>
      <c r="D40085">
        <v>0</v>
      </c>
      <c r="E40085">
        <v>0</v>
      </c>
      <c r="F40085">
        <v>1</v>
      </c>
    </row>
    <row r="40086" spans="1:6" ht="15.75" customHeight="1">
      <c r="A40086" s="3">
        <v>43873.735879629632</v>
      </c>
      <c r="B40086" t="str">
        <f>HYPERLINK("https://twitter.com/Mas_Say_Fh","@Mas_Say_Fh")</f>
        <v>@Mas_Say_Fh</v>
      </c>
      <c r="C40086" t="s">
        <v>1745</v>
      </c>
      <c r="D40086">
        <v>0</v>
      </c>
      <c r="E40086">
        <v>0</v>
      </c>
      <c r="F40086">
        <v>200</v>
      </c>
    </row>
    <row r="40087" spans="1:6" ht="15.75" customHeight="1">
      <c r="A40087" s="3">
        <v>43873.735856481479</v>
      </c>
      <c r="B40087" t="str">
        <f>HYPERLINK("https://twitter.com/ImageNasi","@ImageNasi")</f>
        <v>@ImageNasi</v>
      </c>
      <c r="C40087" t="s">
        <v>1744</v>
      </c>
      <c r="D40087">
        <v>0</v>
      </c>
      <c r="E40087">
        <v>0</v>
      </c>
      <c r="F40087">
        <v>0</v>
      </c>
    </row>
    <row r="40088" spans="1:6" ht="15.75" customHeight="1">
      <c r="A40088" s="3">
        <v>43873.735833333332</v>
      </c>
      <c r="B40088" t="str">
        <f>HYPERLINK("https://twitter.com/Bujangkaram1","@Bujangkaram1")</f>
        <v>@Bujangkaram1</v>
      </c>
      <c r="C40088" t="s">
        <v>1746</v>
      </c>
      <c r="D40088">
        <v>0</v>
      </c>
      <c r="E40088">
        <v>0</v>
      </c>
      <c r="F40088">
        <v>4</v>
      </c>
    </row>
    <row r="40089" spans="1:6" ht="15.75" customHeight="1">
      <c r="A40089" s="3">
        <v>43873.735810185186</v>
      </c>
      <c r="B40089" t="str">
        <f>HYPERLINK("https://twitter.com/IceAndSee1","@IceAndSee1")</f>
        <v>@IceAndSee1</v>
      </c>
      <c r="C40089" t="s">
        <v>1744</v>
      </c>
      <c r="D40089">
        <v>0</v>
      </c>
      <c r="E40089">
        <v>0</v>
      </c>
      <c r="F40089">
        <v>0</v>
      </c>
    </row>
    <row r="40090" spans="1:6" ht="15.75" customHeight="1">
      <c r="A40090" s="3">
        <v>43873.735567129625</v>
      </c>
      <c r="B40090" t="str">
        <f>HYPERLINK("https://twitter.com/Bujangkaram1","@Bujangkaram1")</f>
        <v>@Bujangkaram1</v>
      </c>
      <c r="C40090" t="s">
        <v>1747</v>
      </c>
      <c r="D40090">
        <v>0</v>
      </c>
      <c r="E40090">
        <v>0</v>
      </c>
      <c r="F40090">
        <v>4</v>
      </c>
    </row>
    <row r="40091" spans="1:6" ht="15.75" customHeight="1">
      <c r="A40091" s="3">
        <v>43873.735312500001</v>
      </c>
      <c r="B40091" t="str">
        <f>HYPERLINK("https://twitter.com/ThePowerOfindo1","@ThePowerOfindo1")</f>
        <v>@ThePowerOfindo1</v>
      </c>
      <c r="C40091" t="s">
        <v>1748</v>
      </c>
      <c r="D40091">
        <v>0</v>
      </c>
      <c r="E40091">
        <v>0</v>
      </c>
      <c r="F40091">
        <v>5</v>
      </c>
    </row>
    <row r="40092" spans="1:6" ht="15.75" customHeight="1">
      <c r="A40092" s="3">
        <v>43873.735289351855</v>
      </c>
      <c r="B40092" t="str">
        <f>HYPERLINK("https://twitter.com/MulhadiBahar","@MulhadiBahar")</f>
        <v>@MulhadiBahar</v>
      </c>
      <c r="C40092" t="s">
        <v>1749</v>
      </c>
      <c r="D40092">
        <v>0</v>
      </c>
      <c r="E40092">
        <v>0</v>
      </c>
      <c r="F40092">
        <v>63</v>
      </c>
    </row>
    <row r="40093" spans="1:6" ht="15.75" customHeight="1">
      <c r="A40093" s="3">
        <v>43873.735254629632</v>
      </c>
      <c r="B40093" t="str">
        <f>HYPERLINK("https://twitter.com/amrudinnejad_","@amrudinnejad_")</f>
        <v>@amrudinnejad_</v>
      </c>
      <c r="C40093" t="s">
        <v>1750</v>
      </c>
      <c r="D40093">
        <v>0</v>
      </c>
      <c r="E40093">
        <v>4</v>
      </c>
      <c r="F40093">
        <v>7731</v>
      </c>
    </row>
    <row r="40094" spans="1:6" ht="15.75" customHeight="1">
      <c r="A40094" s="3">
        <v>43873.735219907408</v>
      </c>
      <c r="B40094" t="str">
        <f>HYPERLINK("https://twitter.com/Bujangkaram1","@Bujangkaram1")</f>
        <v>@Bujangkaram1</v>
      </c>
      <c r="C40094" t="s">
        <v>1751</v>
      </c>
      <c r="D40094">
        <v>0</v>
      </c>
      <c r="E40094">
        <v>0</v>
      </c>
      <c r="F40094">
        <v>4</v>
      </c>
    </row>
    <row r="40095" spans="1:6" ht="15.75" customHeight="1">
      <c r="A40095" s="3">
        <v>43873.735023148147</v>
      </c>
      <c r="B40095" t="str">
        <f>HYPERLINK("https://twitter.com/s_semangka","@s_semangka")</f>
        <v>@s_semangka</v>
      </c>
      <c r="C40095" t="s">
        <v>1752</v>
      </c>
      <c r="D40095">
        <v>0</v>
      </c>
      <c r="E40095">
        <v>0</v>
      </c>
      <c r="F40095">
        <v>25</v>
      </c>
    </row>
    <row r="40096" spans="1:6" ht="15.75" customHeight="1">
      <c r="A40096" s="3">
        <v>43873.734837962962</v>
      </c>
      <c r="B40096" t="str">
        <f>HYPERLINK("https://twitter.com/seftirahayuuu","@seftirahayuuu")</f>
        <v>@seftirahayuuu</v>
      </c>
      <c r="C40096" t="s">
        <v>1753</v>
      </c>
      <c r="D40096">
        <v>0</v>
      </c>
      <c r="E40096">
        <v>0</v>
      </c>
      <c r="F40096">
        <v>30</v>
      </c>
    </row>
    <row r="40097" spans="1:6" ht="15.75" customHeight="1">
      <c r="A40097" s="3">
        <v>43873.734143518523</v>
      </c>
      <c r="B40097" t="str">
        <f>HYPERLINK("https://twitter.com/triwul82","@triwul82")</f>
        <v>@triwul82</v>
      </c>
      <c r="C40097" t="s">
        <v>1754</v>
      </c>
      <c r="D40097">
        <v>1</v>
      </c>
      <c r="E40097">
        <v>3</v>
      </c>
      <c r="F40097">
        <v>28840</v>
      </c>
    </row>
    <row r="40098" spans="1:6" ht="15.75" customHeight="1">
      <c r="A40098" s="3">
        <v>43873.733958333338</v>
      </c>
      <c r="B40098" t="str">
        <f>HYPERLINK("https://twitter.com/okezonenews","@okezonenews")</f>
        <v>@okezonenews</v>
      </c>
      <c r="C40098" t="s">
        <v>1755</v>
      </c>
      <c r="D40098">
        <v>0</v>
      </c>
      <c r="E40098">
        <v>0</v>
      </c>
      <c r="F40098">
        <v>1743741</v>
      </c>
    </row>
    <row r="40099" spans="1:6" ht="15.75" customHeight="1">
      <c r="A40099" s="3">
        <v>43873.733194444445</v>
      </c>
      <c r="B40099" t="str">
        <f>HYPERLINK("https://twitter.com/JanganMerusak","@JanganMerusak")</f>
        <v>@JanganMerusak</v>
      </c>
      <c r="C40099" t="s">
        <v>1756</v>
      </c>
      <c r="D40099">
        <v>0</v>
      </c>
      <c r="E40099">
        <v>1</v>
      </c>
      <c r="F40099">
        <v>3104</v>
      </c>
    </row>
    <row r="40100" spans="1:6" ht="15.75" customHeight="1">
      <c r="A40100" s="3">
        <v>43873.733101851853</v>
      </c>
      <c r="B40100" t="str">
        <f>HYPERLINK("https://twitter.com/Realitarakyat01","@Realitarakyat01")</f>
        <v>@Realitarakyat01</v>
      </c>
      <c r="C40100" t="s">
        <v>1757</v>
      </c>
      <c r="D40100">
        <v>0</v>
      </c>
      <c r="E40100">
        <v>0</v>
      </c>
      <c r="F40100">
        <v>121</v>
      </c>
    </row>
    <row r="40101" spans="1:6" ht="15.75" customHeight="1">
      <c r="A40101" s="3">
        <v>43873.732962962968</v>
      </c>
      <c r="B40101" t="str">
        <f>HYPERLINK("https://twitter.com/fakboycoy","@fakboycoy")</f>
        <v>@fakboycoy</v>
      </c>
      <c r="C40101" t="s">
        <v>1758</v>
      </c>
      <c r="D40101">
        <v>0</v>
      </c>
      <c r="E40101">
        <v>0</v>
      </c>
      <c r="F40101">
        <v>34</v>
      </c>
    </row>
    <row r="40102" spans="1:6" ht="15.75" customHeight="1">
      <c r="A40102" s="3">
        <v>43873.732800925922</v>
      </c>
      <c r="B40102" t="str">
        <f>HYPERLINK("https://twitter.com/WPBergerak","@WPBergerak")</f>
        <v>@WPBergerak</v>
      </c>
      <c r="C40102" t="s">
        <v>1759</v>
      </c>
      <c r="D40102">
        <v>0</v>
      </c>
      <c r="E40102">
        <v>0</v>
      </c>
      <c r="F40102">
        <v>50</v>
      </c>
    </row>
    <row r="40103" spans="1:6" ht="15.75" customHeight="1">
      <c r="A40103" s="3">
        <v>43873.732604166667</v>
      </c>
      <c r="B40103" t="str">
        <f t="shared" ref="B40103:B40104" si="479">HYPERLINK("https://twitter.com/ELEK_YOBEN35","@ELEK_YOBEN35")</f>
        <v>@ELEK_YOBEN35</v>
      </c>
      <c r="C40103" t="s">
        <v>1760</v>
      </c>
      <c r="D40103">
        <v>0</v>
      </c>
      <c r="E40103">
        <v>0</v>
      </c>
      <c r="F40103">
        <v>167</v>
      </c>
    </row>
    <row r="40104" spans="1:6" ht="15.75" customHeight="1">
      <c r="A40104" s="3">
        <v>43873.732499999998</v>
      </c>
      <c r="B40104" t="str">
        <f t="shared" si="479"/>
        <v>@ELEK_YOBEN35</v>
      </c>
      <c r="C40104" t="s">
        <v>1761</v>
      </c>
      <c r="D40104">
        <v>0</v>
      </c>
      <c r="E40104">
        <v>0</v>
      </c>
      <c r="F40104">
        <v>167</v>
      </c>
    </row>
    <row r="40105" spans="1:6" ht="15.75" customHeight="1">
      <c r="A40105" s="3">
        <v>43873.732430555552</v>
      </c>
      <c r="B40105" t="str">
        <f>HYPERLINK("https://twitter.com/ndreyeko","@ndreyeko")</f>
        <v>@ndreyeko</v>
      </c>
      <c r="C40105" t="s">
        <v>1762</v>
      </c>
      <c r="D40105">
        <v>0</v>
      </c>
      <c r="E40105">
        <v>0</v>
      </c>
      <c r="F40105">
        <v>217</v>
      </c>
    </row>
    <row r="40106" spans="1:6" ht="15.75" customHeight="1">
      <c r="A40106" s="3">
        <v>43873.732395833329</v>
      </c>
      <c r="B40106" t="str">
        <f>HYPERLINK("https://twitter.com/GoRenoSaputra1","@GoRenoSaputra1")</f>
        <v>@GoRenoSaputra1</v>
      </c>
      <c r="C40106" t="s">
        <v>1763</v>
      </c>
      <c r="D40106">
        <v>1</v>
      </c>
      <c r="E40106">
        <v>0</v>
      </c>
      <c r="F40106">
        <v>41</v>
      </c>
    </row>
    <row r="40107" spans="1:6" ht="15.75" customHeight="1">
      <c r="A40107" s="3">
        <v>43873.732337962967</v>
      </c>
      <c r="B40107" t="str">
        <f>HYPERLINK("https://twitter.com/FikriiFauzii","@FikriiFauzii")</f>
        <v>@FikriiFauzii</v>
      </c>
      <c r="C40107" t="s">
        <v>1764</v>
      </c>
      <c r="D40107">
        <v>0</v>
      </c>
      <c r="E40107">
        <v>0</v>
      </c>
      <c r="F40107">
        <v>2</v>
      </c>
    </row>
    <row r="40108" spans="1:6" ht="15.75" customHeight="1">
      <c r="A40108" s="3">
        <v>43873.732094907406</v>
      </c>
      <c r="B40108" t="str">
        <f>HYPERLINK("https://twitter.com/indramana003","@indramana003")</f>
        <v>@indramana003</v>
      </c>
      <c r="C40108" t="s">
        <v>1763</v>
      </c>
      <c r="D40108">
        <v>0</v>
      </c>
      <c r="E40108">
        <v>0</v>
      </c>
      <c r="F40108">
        <v>25</v>
      </c>
    </row>
    <row r="40109" spans="1:6" ht="15.75" customHeight="1">
      <c r="A40109" s="3">
        <v>43873.732048611113</v>
      </c>
      <c r="B40109" t="str">
        <f>HYPERLINK("https://twitter.com/chaesarnisa","@chaesarnisa")</f>
        <v>@chaesarnisa</v>
      </c>
      <c r="C40109" t="s">
        <v>1765</v>
      </c>
      <c r="D40109">
        <v>0</v>
      </c>
      <c r="E40109">
        <v>0</v>
      </c>
      <c r="F40109">
        <v>426</v>
      </c>
    </row>
    <row r="40110" spans="1:6" ht="15.75" customHeight="1">
      <c r="A40110" s="3">
        <v>43873.732037037036</v>
      </c>
      <c r="B40110" t="str">
        <f>HYPERLINK("https://twitter.com/WinarsihParis","@WinarsihParis")</f>
        <v>@WinarsihParis</v>
      </c>
      <c r="C40110" t="s">
        <v>1766</v>
      </c>
      <c r="D40110">
        <v>1</v>
      </c>
      <c r="E40110">
        <v>0</v>
      </c>
      <c r="F40110">
        <v>77</v>
      </c>
    </row>
    <row r="40111" spans="1:6" ht="15.75" customHeight="1">
      <c r="A40111" s="3">
        <v>43873.73165509259</v>
      </c>
      <c r="B40111" t="str">
        <f>HYPERLINK("https://twitter.com/nkriharga_mati","@nkriharga_mati")</f>
        <v>@nkriharga_mati</v>
      </c>
      <c r="C40111" t="s">
        <v>1767</v>
      </c>
      <c r="D40111">
        <v>3</v>
      </c>
      <c r="E40111">
        <v>4</v>
      </c>
      <c r="F40111">
        <v>1693</v>
      </c>
    </row>
    <row r="40112" spans="1:6" ht="15.75" customHeight="1">
      <c r="A40112" s="3">
        <v>43873.731446759259</v>
      </c>
      <c r="B40112" t="str">
        <f>HYPERLINK("https://twitter.com/BlessedRivaldi","@BlessedRivaldi")</f>
        <v>@BlessedRivaldi</v>
      </c>
      <c r="C40112" t="s">
        <v>1768</v>
      </c>
      <c r="D40112">
        <v>0</v>
      </c>
      <c r="E40112">
        <v>0</v>
      </c>
      <c r="F40112">
        <v>170</v>
      </c>
    </row>
    <row r="40113" spans="1:6" ht="15.75" customHeight="1">
      <c r="A40113" s="3">
        <v>43873.731388888889</v>
      </c>
      <c r="B40113" t="str">
        <f>HYPERLINK("https://twitter.com/SolehMr1","@SolehMr1")</f>
        <v>@SolehMr1</v>
      </c>
      <c r="C40113" t="s">
        <v>1769</v>
      </c>
      <c r="D40113">
        <v>0</v>
      </c>
      <c r="E40113">
        <v>0</v>
      </c>
      <c r="F40113">
        <v>43</v>
      </c>
    </row>
    <row r="40114" spans="1:6" ht="15.75" customHeight="1">
      <c r="A40114" s="3">
        <v>43873.731030092589</v>
      </c>
      <c r="B40114" t="str">
        <f>HYPERLINK("https://twitter.com/antmegapolitan","@antmegapolitan")</f>
        <v>@antmegapolitan</v>
      </c>
      <c r="D40114">
        <v>0</v>
      </c>
      <c r="E40114">
        <v>0</v>
      </c>
      <c r="F40114">
        <v>181</v>
      </c>
    </row>
    <row r="40115" spans="1:6" ht="15.75" customHeight="1">
      <c r="A40115" s="3">
        <v>43873.730914351851</v>
      </c>
      <c r="B40115" t="str">
        <f>HYPERLINK("https://twitter.com/Gudagulana","@Gudagulana")</f>
        <v>@Gudagulana</v>
      </c>
      <c r="C40115" t="s">
        <v>1763</v>
      </c>
      <c r="D40115">
        <v>0</v>
      </c>
      <c r="E40115">
        <v>0</v>
      </c>
      <c r="F40115">
        <v>29</v>
      </c>
    </row>
    <row r="40116" spans="1:6" ht="15.75" customHeight="1">
      <c r="A40116" s="3">
        <v>43873.730914351851</v>
      </c>
      <c r="B40116" t="str">
        <f>HYPERLINK("https://twitter.com/idntimes","@idntimes")</f>
        <v>@idntimes</v>
      </c>
      <c r="C40116" t="s">
        <v>1239</v>
      </c>
      <c r="D40116">
        <v>1</v>
      </c>
      <c r="E40116">
        <v>2</v>
      </c>
      <c r="F40116">
        <v>392639</v>
      </c>
    </row>
    <row r="40117" spans="1:6" ht="15.75" customHeight="1">
      <c r="A40117" s="3">
        <v>43873.730763888889</v>
      </c>
      <c r="B40117" t="str">
        <f>HYPERLINK("https://twitter.com/Jalangk09302402","@Jalangk09302402")</f>
        <v>@Jalangk09302402</v>
      </c>
      <c r="C40117" t="s">
        <v>1770</v>
      </c>
      <c r="D40117">
        <v>0</v>
      </c>
      <c r="E40117">
        <v>0</v>
      </c>
      <c r="F40117">
        <v>4</v>
      </c>
    </row>
    <row r="40118" spans="1:6" ht="15.75" customHeight="1">
      <c r="A40118" s="3">
        <v>43873.73065972222</v>
      </c>
      <c r="B40118" t="str">
        <f>HYPERLINK("https://twitter.com/republikaonline","@republikaonline")</f>
        <v>@republikaonline</v>
      </c>
      <c r="C40118" t="s">
        <v>1771</v>
      </c>
      <c r="D40118">
        <v>1</v>
      </c>
      <c r="E40118">
        <v>2</v>
      </c>
      <c r="F40118">
        <v>1210209</v>
      </c>
    </row>
    <row r="40119" spans="1:6" ht="15.75" customHeight="1">
      <c r="A40119" s="3">
        <v>43873.730624999997</v>
      </c>
      <c r="B40119" t="str">
        <f>HYPERLINK("https://twitter.com/seftirahayuuu","@seftirahayuuu")</f>
        <v>@seftirahayuuu</v>
      </c>
      <c r="C40119" t="s">
        <v>1772</v>
      </c>
      <c r="D40119">
        <v>1</v>
      </c>
      <c r="E40119">
        <v>0</v>
      </c>
      <c r="F40119">
        <v>30</v>
      </c>
    </row>
    <row r="40120" spans="1:6" ht="15.75" customHeight="1">
      <c r="A40120" s="3">
        <v>43873.730324074073</v>
      </c>
      <c r="B40120" t="str">
        <f>HYPERLINK("https://twitter.com/Jasmineaazhr","@Jasmineaazhr")</f>
        <v>@Jasmineaazhr</v>
      </c>
      <c r="C40120" t="s">
        <v>1773</v>
      </c>
      <c r="D40120">
        <v>0</v>
      </c>
      <c r="E40120">
        <v>0</v>
      </c>
      <c r="F40120">
        <v>2</v>
      </c>
    </row>
    <row r="40121" spans="1:6" ht="15.75" customHeight="1">
      <c r="A40121" s="3">
        <v>43873.729768518519</v>
      </c>
      <c r="B40121" t="str">
        <f>HYPERLINK("https://twitter.com/GoRenoSaputra1","@GoRenoSaputra1")</f>
        <v>@GoRenoSaputra1</v>
      </c>
      <c r="C40121" t="s">
        <v>1774</v>
      </c>
      <c r="D40121">
        <v>0</v>
      </c>
      <c r="E40121">
        <v>0</v>
      </c>
      <c r="F40121">
        <v>41</v>
      </c>
    </row>
    <row r="40122" spans="1:6" ht="15.75" customHeight="1">
      <c r="A40122" s="3">
        <v>43873.729629629626</v>
      </c>
      <c r="B40122" t="str">
        <f>HYPERLINK("https://twitter.com/jojo_botak","@jojo_botak")</f>
        <v>@jojo_botak</v>
      </c>
      <c r="C40122" t="s">
        <v>1775</v>
      </c>
      <c r="D40122">
        <v>0</v>
      </c>
      <c r="E40122">
        <v>1</v>
      </c>
      <c r="F40122">
        <v>1439</v>
      </c>
    </row>
    <row r="40123" spans="1:6" ht="15.75" customHeight="1">
      <c r="A40123" s="3">
        <v>43873.729467592595</v>
      </c>
      <c r="B40123" t="str">
        <f>HYPERLINK("https://twitter.com/ApelHiu","@ApelHiu")</f>
        <v>@ApelHiu</v>
      </c>
      <c r="C40123" t="s">
        <v>1776</v>
      </c>
      <c r="D40123">
        <v>0</v>
      </c>
      <c r="E40123">
        <v>0</v>
      </c>
      <c r="F40123">
        <v>34</v>
      </c>
    </row>
    <row r="40124" spans="1:6" ht="15.75" customHeight="1">
      <c r="A40124" s="3">
        <v>43873.729166666672</v>
      </c>
      <c r="B40124" t="str">
        <f>HYPERLINK("https://twitter.com/scorpiocuy","@scorpiocuy")</f>
        <v>@scorpiocuy</v>
      </c>
      <c r="C40124" t="s">
        <v>1777</v>
      </c>
      <c r="D40124">
        <v>0</v>
      </c>
      <c r="E40124">
        <v>0</v>
      </c>
      <c r="F40124">
        <v>23</v>
      </c>
    </row>
    <row r="40125" spans="1:6" ht="15.75" customHeight="1">
      <c r="A40125" s="3">
        <v>43873.728981481487</v>
      </c>
      <c r="B40125" t="str">
        <f>HYPERLINK("https://twitter.com/HeliaIsabella","@HeliaIsabella")</f>
        <v>@HeliaIsabella</v>
      </c>
      <c r="C40125" t="s">
        <v>1724</v>
      </c>
      <c r="D40125">
        <v>0</v>
      </c>
      <c r="E40125">
        <v>0</v>
      </c>
      <c r="F40125">
        <v>14</v>
      </c>
    </row>
    <row r="40126" spans="1:6" ht="15.75" customHeight="1">
      <c r="A40126" s="3">
        <v>43873.728912037041</v>
      </c>
      <c r="B40126" t="str">
        <f>HYPERLINK("https://twitter.com/FachSetiawan","@FachSetiawan")</f>
        <v>@FachSetiawan</v>
      </c>
      <c r="C40126" t="s">
        <v>1778</v>
      </c>
      <c r="D40126">
        <v>0</v>
      </c>
      <c r="E40126">
        <v>0</v>
      </c>
      <c r="F40126">
        <v>25</v>
      </c>
    </row>
    <row r="40127" spans="1:6" ht="15.75" customHeight="1">
      <c r="A40127" s="3">
        <v>43873.728807870371</v>
      </c>
      <c r="B40127" t="str">
        <f>HYPERLINK("https://twitter.com/jerry_gemini","@jerry_gemini")</f>
        <v>@jerry_gemini</v>
      </c>
      <c r="C40127" t="s">
        <v>1779</v>
      </c>
      <c r="D40127">
        <v>0</v>
      </c>
      <c r="E40127">
        <v>1</v>
      </c>
      <c r="F40127">
        <v>1666</v>
      </c>
    </row>
    <row r="40128" spans="1:6" ht="15.75" customHeight="1">
      <c r="A40128" s="3">
        <v>43873.728576388894</v>
      </c>
      <c r="B40128" t="str">
        <f>HYPERLINK("https://twitter.com/WinarsihParis","@WinarsihParis")</f>
        <v>@WinarsihParis</v>
      </c>
      <c r="C40128" t="s">
        <v>1780</v>
      </c>
      <c r="D40128">
        <v>0</v>
      </c>
      <c r="E40128">
        <v>0</v>
      </c>
      <c r="F40128">
        <v>77</v>
      </c>
    </row>
    <row r="40129" spans="1:6" ht="15.75" customHeight="1">
      <c r="A40129" s="3">
        <v>43873.728472222225</v>
      </c>
      <c r="B40129" t="str">
        <f>HYPERLINK("https://twitter.com/NasDem","@NasDem")</f>
        <v>@NasDem</v>
      </c>
      <c r="C40129" t="s">
        <v>1781</v>
      </c>
      <c r="D40129">
        <v>1</v>
      </c>
      <c r="E40129">
        <v>2</v>
      </c>
      <c r="F40129">
        <v>90943</v>
      </c>
    </row>
    <row r="40130" spans="1:6" ht="15.75" customHeight="1">
      <c r="A40130" s="3">
        <v>43873.72828703704</v>
      </c>
      <c r="B40130" t="str">
        <f>HYPERLINK("https://twitter.com/ApelHiu","@ApelHiu")</f>
        <v>@ApelHiu</v>
      </c>
      <c r="C40130" t="s">
        <v>1782</v>
      </c>
      <c r="D40130">
        <v>0</v>
      </c>
      <c r="E40130">
        <v>0</v>
      </c>
      <c r="F40130">
        <v>34</v>
      </c>
    </row>
    <row r="40131" spans="1:6" ht="15.75" customHeight="1">
      <c r="A40131" s="3">
        <v>43873.728263888886</v>
      </c>
      <c r="B40131" t="str">
        <f>HYPERLINK("https://twitter.com/SayidAgil4","@SayidAgil4")</f>
        <v>@SayidAgil4</v>
      </c>
      <c r="D40131">
        <v>0</v>
      </c>
      <c r="E40131">
        <v>0</v>
      </c>
      <c r="F40131">
        <v>176</v>
      </c>
    </row>
    <row r="40132" spans="1:6" ht="15.75" customHeight="1">
      <c r="A40132" s="3">
        <v>43873.72819444444</v>
      </c>
      <c r="B40132" t="str">
        <f>HYPERLINK("https://twitter.com/bramanski","@bramanski")</f>
        <v>@bramanski</v>
      </c>
      <c r="C40132" t="s">
        <v>1783</v>
      </c>
      <c r="D40132">
        <v>0</v>
      </c>
      <c r="E40132">
        <v>0</v>
      </c>
      <c r="F40132">
        <v>914</v>
      </c>
    </row>
    <row r="40133" spans="1:6" ht="15.75" customHeight="1">
      <c r="A40133" s="3">
        <v>43873.728009259255</v>
      </c>
      <c r="B40133" t="str">
        <f>HYPERLINK("https://twitter.com/Gudagulana","@Gudagulana")</f>
        <v>@Gudagulana</v>
      </c>
      <c r="C40133" t="s">
        <v>1784</v>
      </c>
      <c r="D40133">
        <v>0</v>
      </c>
      <c r="E40133">
        <v>0</v>
      </c>
      <c r="F40133">
        <v>29</v>
      </c>
    </row>
    <row r="40134" spans="1:6" ht="15.75" customHeight="1">
      <c r="A40134" s="3">
        <v>43873.727638888886</v>
      </c>
      <c r="B40134" t="str">
        <f>HYPERLINK("https://twitter.com/NiaaMaharanii","@NiaaMaharanii")</f>
        <v>@NiaaMaharanii</v>
      </c>
      <c r="C40134" t="s">
        <v>1785</v>
      </c>
      <c r="D40134">
        <v>0</v>
      </c>
      <c r="E40134">
        <v>0</v>
      </c>
      <c r="F40134">
        <v>5</v>
      </c>
    </row>
    <row r="40135" spans="1:6" ht="15.75" customHeight="1">
      <c r="A40135" s="3">
        <v>43873.727442129632</v>
      </c>
      <c r="B40135" t="str">
        <f t="shared" ref="B40135:B40136" si="480">HYPERLINK("https://twitter.com/WinarsihParis","@WinarsihParis")</f>
        <v>@WinarsihParis</v>
      </c>
      <c r="C40135" t="s">
        <v>1786</v>
      </c>
      <c r="D40135">
        <v>0</v>
      </c>
      <c r="E40135">
        <v>0</v>
      </c>
      <c r="F40135">
        <v>77</v>
      </c>
    </row>
    <row r="40136" spans="1:6" ht="15.75" customHeight="1">
      <c r="A40136" s="3">
        <v>43873.726817129631</v>
      </c>
      <c r="B40136" t="str">
        <f t="shared" si="480"/>
        <v>@WinarsihParis</v>
      </c>
      <c r="C40136" t="s">
        <v>1787</v>
      </c>
      <c r="D40136">
        <v>0</v>
      </c>
      <c r="E40136">
        <v>0</v>
      </c>
      <c r="F40136">
        <v>77</v>
      </c>
    </row>
    <row r="40137" spans="1:6" ht="15.75" customHeight="1">
      <c r="A40137" s="3">
        <v>43873.726793981477</v>
      </c>
      <c r="B40137" t="str">
        <f>HYPERLINK("https://twitter.com/HaileyInayah","@HaileyInayah")</f>
        <v>@HaileyInayah</v>
      </c>
      <c r="C40137" t="s">
        <v>1639</v>
      </c>
      <c r="D40137">
        <v>0</v>
      </c>
      <c r="E40137">
        <v>0</v>
      </c>
      <c r="F40137">
        <v>26</v>
      </c>
    </row>
    <row r="40138" spans="1:6" ht="15.75" customHeight="1">
      <c r="A40138" s="3">
        <v>43873.726585648154</v>
      </c>
      <c r="B40138" t="str">
        <f>HYPERLINK("https://twitter.com/APLpangeran1","@APLpangeran1")</f>
        <v>@APLpangeran1</v>
      </c>
      <c r="C40138" t="s">
        <v>1788</v>
      </c>
      <c r="D40138">
        <v>10</v>
      </c>
      <c r="E40138">
        <v>25</v>
      </c>
      <c r="F40138">
        <v>84398</v>
      </c>
    </row>
    <row r="40139" spans="1:6" ht="15.75" customHeight="1">
      <c r="A40139" s="3">
        <v>43873.726400462961</v>
      </c>
      <c r="B40139" t="str">
        <f>HYPERLINK("https://twitter.com/p_politik","@p_politik")</f>
        <v>@p_politik</v>
      </c>
      <c r="C40139" t="s">
        <v>1789</v>
      </c>
      <c r="D40139">
        <v>6</v>
      </c>
      <c r="E40139">
        <v>14</v>
      </c>
      <c r="F40139">
        <v>31161</v>
      </c>
    </row>
    <row r="40140" spans="1:6" ht="15.75" customHeight="1">
      <c r="A40140" s="3">
        <v>43873.725185185191</v>
      </c>
      <c r="B40140" t="str">
        <f>HYPERLINK("https://twitter.com/20detik","@20detik")</f>
        <v>@20detik</v>
      </c>
      <c r="C40140" t="s">
        <v>1790</v>
      </c>
      <c r="D40140">
        <v>1</v>
      </c>
      <c r="E40140">
        <v>0</v>
      </c>
      <c r="F40140">
        <v>80586</v>
      </c>
    </row>
    <row r="40141" spans="1:6" ht="15.75" customHeight="1">
      <c r="A40141" s="3">
        <v>43873.724965277783</v>
      </c>
      <c r="B40141" t="str">
        <f>HYPERLINK("https://twitter.com/ThePowerOfindo1","@ThePowerOfindo1")</f>
        <v>@ThePowerOfindo1</v>
      </c>
      <c r="C40141" t="s">
        <v>1774</v>
      </c>
      <c r="D40141">
        <v>0</v>
      </c>
      <c r="E40141">
        <v>0</v>
      </c>
      <c r="F40141">
        <v>5</v>
      </c>
    </row>
    <row r="40142" spans="1:6" ht="15.75" customHeight="1">
      <c r="A40142" s="3">
        <v>43873.724849537037</v>
      </c>
      <c r="B40142" t="str">
        <f>HYPERLINK("https://twitter.com/AudinaMarisaa","@AudinaMarisaa")</f>
        <v>@AudinaMarisaa</v>
      </c>
      <c r="C40142" t="s">
        <v>1691</v>
      </c>
      <c r="D40142">
        <v>0</v>
      </c>
      <c r="E40142">
        <v>0</v>
      </c>
      <c r="F40142">
        <v>23</v>
      </c>
    </row>
    <row r="40143" spans="1:6" ht="15.75" customHeight="1">
      <c r="A40143" s="3">
        <v>43873.724814814814</v>
      </c>
      <c r="B40143" t="str">
        <f>HYPERLINK("https://twitter.com/billy4riez","@billy4riez")</f>
        <v>@billy4riez</v>
      </c>
      <c r="C40143" t="s">
        <v>1791</v>
      </c>
      <c r="D40143">
        <v>5</v>
      </c>
      <c r="E40143">
        <v>17</v>
      </c>
      <c r="F40143">
        <v>7946</v>
      </c>
    </row>
    <row r="40144" spans="1:6" ht="15.75" customHeight="1">
      <c r="A40144" s="3">
        <v>43873.724675925929</v>
      </c>
      <c r="B40144" t="str">
        <f>HYPERLINK("https://twitter.com/rangermera","@rangermera")</f>
        <v>@rangermera</v>
      </c>
      <c r="C40144" t="s">
        <v>1792</v>
      </c>
      <c r="D40144">
        <v>0</v>
      </c>
      <c r="E40144">
        <v>0</v>
      </c>
      <c r="F40144">
        <v>82</v>
      </c>
    </row>
    <row r="40145" spans="1:6" ht="15.75" customHeight="1">
      <c r="A40145" s="3">
        <v>43873.723819444444</v>
      </c>
      <c r="B40145" t="str">
        <f>HYPERLINK("https://twitter.com/WinarsihParis","@WinarsihParis")</f>
        <v>@WinarsihParis</v>
      </c>
      <c r="C40145" t="s">
        <v>1793</v>
      </c>
      <c r="D40145">
        <v>0</v>
      </c>
      <c r="E40145">
        <v>0</v>
      </c>
      <c r="F40145">
        <v>77</v>
      </c>
    </row>
    <row r="40146" spans="1:6" ht="15.75" customHeight="1">
      <c r="A40146" s="3">
        <v>43873.723773148144</v>
      </c>
      <c r="B40146" t="str">
        <f>HYPERLINK("https://twitter.com/idpenamini","@idpenamini")</f>
        <v>@idpenamini</v>
      </c>
      <c r="C40146" t="s">
        <v>1135</v>
      </c>
      <c r="D40146">
        <v>0</v>
      </c>
      <c r="E40146">
        <v>0</v>
      </c>
      <c r="F40146">
        <v>168</v>
      </c>
    </row>
    <row r="40147" spans="1:6" ht="15.75" customHeight="1">
      <c r="A40147" s="3">
        <v>43873.723634259259</v>
      </c>
      <c r="B40147" t="str">
        <f>HYPERLINK("https://twitter.com/pupuik_sarunai","@pupuik_sarunai")</f>
        <v>@pupuik_sarunai</v>
      </c>
      <c r="C40147" t="s">
        <v>1794</v>
      </c>
      <c r="D40147">
        <v>0</v>
      </c>
      <c r="E40147">
        <v>0</v>
      </c>
      <c r="F40147">
        <v>475</v>
      </c>
    </row>
    <row r="40148" spans="1:6" ht="15.75" customHeight="1">
      <c r="A40148" s="3">
        <v>43873.723611111112</v>
      </c>
      <c r="B40148" t="str">
        <f>HYPERLINK("https://twitter.com/jokowibekerjaID","@jokowibekerjaID")</f>
        <v>@jokowibekerjaID</v>
      </c>
      <c r="C40148" t="s">
        <v>191</v>
      </c>
      <c r="D40148">
        <v>0</v>
      </c>
      <c r="E40148">
        <v>0</v>
      </c>
      <c r="F40148">
        <v>397</v>
      </c>
    </row>
    <row r="40149" spans="1:6" ht="15.75" customHeight="1">
      <c r="A40149" s="3">
        <v>43873.722627314812</v>
      </c>
      <c r="B40149" t="str">
        <f>HYPERLINK("https://twitter.com/MadawaBlueSync","@MadawaBlueSync")</f>
        <v>@MadawaBlueSync</v>
      </c>
      <c r="C40149" t="s">
        <v>1795</v>
      </c>
      <c r="D40149">
        <v>0</v>
      </c>
      <c r="E40149">
        <v>0</v>
      </c>
      <c r="F40149">
        <v>951</v>
      </c>
    </row>
    <row r="40150" spans="1:6" ht="15.75" customHeight="1">
      <c r="A40150" s="3">
        <v>43873.722546296296</v>
      </c>
      <c r="B40150" t="str">
        <f>HYPERLINK("https://twitter.com/yuntoto","@yuntoto")</f>
        <v>@yuntoto</v>
      </c>
      <c r="C40150" t="s">
        <v>1796</v>
      </c>
      <c r="D40150">
        <v>0</v>
      </c>
      <c r="E40150">
        <v>0</v>
      </c>
      <c r="F40150">
        <v>568</v>
      </c>
    </row>
    <row r="40151" spans="1:6" ht="15.75" customHeight="1">
      <c r="A40151" s="3">
        <v>43873.722500000003</v>
      </c>
      <c r="B40151" t="str">
        <f>HYPERLINK("https://twitter.com/Imam_Wibowo","@Imam_Wibowo")</f>
        <v>@Imam_Wibowo</v>
      </c>
      <c r="C40151" t="s">
        <v>1797</v>
      </c>
      <c r="D40151">
        <v>0</v>
      </c>
      <c r="E40151">
        <v>2</v>
      </c>
      <c r="F40151">
        <v>10971</v>
      </c>
    </row>
    <row r="40152" spans="1:6" ht="15.75" customHeight="1">
      <c r="A40152" s="3">
        <v>43873.722060185188</v>
      </c>
      <c r="B40152" t="str">
        <f>HYPERLINK("https://twitter.com/billy4riez","@billy4riez")</f>
        <v>@billy4riez</v>
      </c>
      <c r="C40152" t="s">
        <v>1716</v>
      </c>
      <c r="D40152">
        <v>0</v>
      </c>
      <c r="E40152">
        <v>5</v>
      </c>
      <c r="F40152">
        <v>7946</v>
      </c>
    </row>
    <row r="40153" spans="1:6" ht="15.75" customHeight="1">
      <c r="A40153" s="3">
        <v>43873.722060185188</v>
      </c>
      <c r="B40153" t="str">
        <f>HYPERLINK("https://twitter.com/RidwanStanley","@RidwanStanley")</f>
        <v>@RidwanStanley</v>
      </c>
      <c r="C40153" t="s">
        <v>1798</v>
      </c>
      <c r="D40153">
        <v>0</v>
      </c>
      <c r="E40153">
        <v>4</v>
      </c>
      <c r="F40153">
        <v>52</v>
      </c>
    </row>
    <row r="40154" spans="1:6" ht="15.75" customHeight="1">
      <c r="A40154" s="3">
        <v>43873.721689814818</v>
      </c>
      <c r="B40154" t="str">
        <f>HYPERLINK("https://twitter.com/arga_dermawan","@arga_dermawan")</f>
        <v>@arga_dermawan</v>
      </c>
      <c r="C40154" t="s">
        <v>1731</v>
      </c>
      <c r="D40154">
        <v>0</v>
      </c>
      <c r="E40154">
        <v>0</v>
      </c>
      <c r="F40154">
        <v>6</v>
      </c>
    </row>
    <row r="40155" spans="1:6" ht="15.75" customHeight="1">
      <c r="A40155" s="3">
        <v>43873.720960648148</v>
      </c>
      <c r="B40155" t="str">
        <f>HYPERLINK("https://twitter.com/LIRANEWSCOM1","@LIRANEWSCOM1")</f>
        <v>@LIRANEWSCOM1</v>
      </c>
      <c r="C40155" t="s">
        <v>1799</v>
      </c>
      <c r="D40155">
        <v>0</v>
      </c>
      <c r="E40155">
        <v>0</v>
      </c>
      <c r="F40155">
        <v>647</v>
      </c>
    </row>
    <row r="40156" spans="1:6" ht="15.75" customHeight="1">
      <c r="A40156" s="3">
        <v>43873.720821759256</v>
      </c>
      <c r="B40156" t="str">
        <f>HYPERLINK("https://twitter.com/devimanda5","@devimanda5")</f>
        <v>@devimanda5</v>
      </c>
      <c r="C40156" t="s">
        <v>1800</v>
      </c>
      <c r="D40156">
        <v>0</v>
      </c>
      <c r="E40156">
        <v>1</v>
      </c>
      <c r="F40156">
        <v>149</v>
      </c>
    </row>
    <row r="40157" spans="1:6" ht="15.75" customHeight="1">
      <c r="A40157" s="3">
        <v>43873.720486111109</v>
      </c>
      <c r="B40157" t="str">
        <f>HYPERLINK("https://twitter.com/SitorusEvelina","@SitorusEvelina")</f>
        <v>@SitorusEvelina</v>
      </c>
      <c r="C40157" t="s">
        <v>1696</v>
      </c>
      <c r="D40157">
        <v>0</v>
      </c>
      <c r="E40157">
        <v>0</v>
      </c>
      <c r="F40157">
        <v>27</v>
      </c>
    </row>
    <row r="40158" spans="1:6" ht="15.75" customHeight="1">
      <c r="A40158" s="3">
        <v>43873.719988425924</v>
      </c>
      <c r="B40158" t="str">
        <f>HYPERLINK("https://twitter.com/Lucky_L4k1","@Lucky_L4k1")</f>
        <v>@Lucky_L4k1</v>
      </c>
      <c r="C40158" t="s">
        <v>1801</v>
      </c>
      <c r="D40158">
        <v>1</v>
      </c>
      <c r="E40158">
        <v>1</v>
      </c>
      <c r="F40158">
        <v>185</v>
      </c>
    </row>
    <row r="40159" spans="1:6" ht="15.75" customHeight="1">
      <c r="A40159" s="3">
        <v>43873.719293981485</v>
      </c>
      <c r="B40159" t="str">
        <f>HYPERLINK("https://twitter.com/LanaAina","@LanaAina")</f>
        <v>@LanaAina</v>
      </c>
      <c r="C40159" t="s">
        <v>1655</v>
      </c>
      <c r="D40159">
        <v>1</v>
      </c>
      <c r="E40159">
        <v>1</v>
      </c>
      <c r="F40159">
        <v>18</v>
      </c>
    </row>
    <row r="40160" spans="1:6" ht="15.75" customHeight="1">
      <c r="A40160" s="3">
        <v>43873.719224537039</v>
      </c>
      <c r="B40160" t="str">
        <f>HYPERLINK("https://twitter.com/gadisresidu_b3","@gadisresidu_b3")</f>
        <v>@gadisresidu_b3</v>
      </c>
      <c r="C40160" t="s">
        <v>1802</v>
      </c>
      <c r="D40160">
        <v>0</v>
      </c>
      <c r="E40160">
        <v>0</v>
      </c>
      <c r="F40160">
        <v>1602</v>
      </c>
    </row>
    <row r="40161" spans="1:6" ht="15.75" customHeight="1">
      <c r="A40161" s="3">
        <v>43873.719097222223</v>
      </c>
      <c r="B40161" t="str">
        <f>HYPERLINK("https://twitter.com/detikcom","@detikcom")</f>
        <v>@detikcom</v>
      </c>
      <c r="C40161" t="s">
        <v>1803</v>
      </c>
      <c r="D40161">
        <v>109</v>
      </c>
      <c r="E40161">
        <v>357</v>
      </c>
      <c r="F40161">
        <v>15663959</v>
      </c>
    </row>
    <row r="40162" spans="1:6" ht="15.75" customHeight="1">
      <c r="A40162" s="3">
        <v>43873.719004629631</v>
      </c>
      <c r="B40162" t="str">
        <f>HYPERLINK("https://twitter.com/negativisme","@negativisme")</f>
        <v>@negativisme</v>
      </c>
      <c r="C40162" t="s">
        <v>1804</v>
      </c>
      <c r="D40162">
        <v>38</v>
      </c>
      <c r="E40162">
        <v>53</v>
      </c>
      <c r="F40162">
        <v>155765</v>
      </c>
    </row>
    <row r="40163" spans="1:6" ht="15.75" customHeight="1">
      <c r="A40163" s="3">
        <v>43873.718680555554</v>
      </c>
      <c r="B40163" t="str">
        <f>HYPERLINK("https://twitter.com/wongmlaku","@wongmlaku")</f>
        <v>@wongmlaku</v>
      </c>
      <c r="C40163" t="s">
        <v>1805</v>
      </c>
      <c r="D40163">
        <v>1</v>
      </c>
      <c r="E40163">
        <v>0</v>
      </c>
      <c r="F40163">
        <v>6215</v>
      </c>
    </row>
    <row r="40164" spans="1:6" ht="15.75" customHeight="1">
      <c r="A40164" s="3">
        <v>43873.718055555553</v>
      </c>
      <c r="B40164" t="str">
        <f>HYPERLINK("https://twitter.com/NailaThaminah","@NailaThaminah")</f>
        <v>@NailaThaminah</v>
      </c>
      <c r="C40164" t="s">
        <v>1657</v>
      </c>
      <c r="D40164">
        <v>1</v>
      </c>
      <c r="E40164">
        <v>1</v>
      </c>
      <c r="F40164">
        <v>55</v>
      </c>
    </row>
    <row r="40165" spans="1:6" ht="15.75" customHeight="1">
      <c r="A40165" s="3">
        <v>43873.718009259261</v>
      </c>
      <c r="B40165" t="str">
        <f>HYPERLINK("https://twitter.com/papuakicau","@papuakicau")</f>
        <v>@papuakicau</v>
      </c>
      <c r="C40165" t="s">
        <v>1806</v>
      </c>
      <c r="D40165">
        <v>0</v>
      </c>
      <c r="E40165">
        <v>0</v>
      </c>
      <c r="F40165">
        <v>1629</v>
      </c>
    </row>
    <row r="40166" spans="1:6" ht="15.75" customHeight="1">
      <c r="A40166" s="3">
        <v>43873.717662037037</v>
      </c>
      <c r="B40166" t="str">
        <f>HYPERLINK("https://twitter.com/NgembarS","@NgembarS")</f>
        <v>@NgembarS</v>
      </c>
      <c r="C40166" t="s">
        <v>1807</v>
      </c>
      <c r="D40166">
        <v>0</v>
      </c>
      <c r="E40166">
        <v>0</v>
      </c>
      <c r="F40166">
        <v>499</v>
      </c>
    </row>
    <row r="40167" spans="1:6" ht="15.75" customHeight="1">
      <c r="A40167" s="3">
        <v>43873.717349537037</v>
      </c>
      <c r="B40167" t="str">
        <f>HYPERLINK("https://twitter.com/devimanda5","@devimanda5")</f>
        <v>@devimanda5</v>
      </c>
      <c r="C40167" t="s">
        <v>1808</v>
      </c>
      <c r="D40167">
        <v>0</v>
      </c>
      <c r="E40167">
        <v>1</v>
      </c>
      <c r="F40167">
        <v>149</v>
      </c>
    </row>
    <row r="40168" spans="1:6" ht="15.75" customHeight="1">
      <c r="A40168" s="3">
        <v>43873.717141203699</v>
      </c>
      <c r="B40168" t="str">
        <f>HYPERLINK("https://twitter.com/PurbaSury","@PurbaSury")</f>
        <v>@PurbaSury</v>
      </c>
      <c r="C40168" t="s">
        <v>1809</v>
      </c>
      <c r="D40168">
        <v>0</v>
      </c>
      <c r="E40168">
        <v>0</v>
      </c>
      <c r="F40168">
        <v>33</v>
      </c>
    </row>
    <row r="40169" spans="1:6" ht="15.75" customHeight="1">
      <c r="A40169" s="3">
        <v>43873.716412037036</v>
      </c>
      <c r="B40169" t="str">
        <f>HYPERLINK("https://twitter.com/CNNIDdaily","@CNNIDdaily")</f>
        <v>@CNNIDdaily</v>
      </c>
      <c r="C40169" t="s">
        <v>1810</v>
      </c>
      <c r="D40169">
        <v>1</v>
      </c>
      <c r="E40169">
        <v>1</v>
      </c>
      <c r="F40169">
        <v>115830</v>
      </c>
    </row>
    <row r="40170" spans="1:6" ht="15.75" customHeight="1">
      <c r="A40170" s="3">
        <v>43873.716111111113</v>
      </c>
      <c r="B40170" t="str">
        <f>HYPERLINK("https://twitter.com/JawulMas","@JawulMas")</f>
        <v>@JawulMas</v>
      </c>
      <c r="C40170" t="s">
        <v>1811</v>
      </c>
      <c r="D40170">
        <v>0</v>
      </c>
      <c r="E40170">
        <v>0</v>
      </c>
      <c r="F40170">
        <v>201</v>
      </c>
    </row>
    <row r="40171" spans="1:6" ht="15.75" customHeight="1">
      <c r="A40171" s="3">
        <v>43873.71603009259</v>
      </c>
      <c r="B40171" t="str">
        <f>HYPERLINK("https://twitter.com/SelaGintinggg","@SelaGintinggg")</f>
        <v>@SelaGintinggg</v>
      </c>
      <c r="C40171" t="s">
        <v>1665</v>
      </c>
      <c r="D40171">
        <v>1</v>
      </c>
      <c r="E40171">
        <v>1</v>
      </c>
      <c r="F40171">
        <v>28</v>
      </c>
    </row>
    <row r="40172" spans="1:6" ht="15.75" customHeight="1">
      <c r="A40172" s="3">
        <v>43873.716006944444</v>
      </c>
      <c r="B40172" t="str">
        <f>HYPERLINK("https://twitter.com/kompasiana","@kompasiana")</f>
        <v>@kompasiana</v>
      </c>
      <c r="C40172" t="s">
        <v>1812</v>
      </c>
      <c r="D40172">
        <v>2</v>
      </c>
      <c r="E40172">
        <v>2</v>
      </c>
      <c r="F40172">
        <v>927795</v>
      </c>
    </row>
    <row r="40173" spans="1:6" ht="15.75" customHeight="1">
      <c r="A40173" s="3">
        <v>43873.715416666666</v>
      </c>
      <c r="B40173" t="str">
        <f>HYPERLINK("https://twitter.com/Indonesianews15","@Indonesianews15")</f>
        <v>@Indonesianews15</v>
      </c>
      <c r="C40173" t="s">
        <v>1814</v>
      </c>
      <c r="D40173">
        <v>0</v>
      </c>
      <c r="E40173">
        <v>1</v>
      </c>
      <c r="F40173">
        <v>12305</v>
      </c>
    </row>
    <row r="40174" spans="1:6" ht="15.75" customHeight="1">
      <c r="A40174" s="3">
        <v>43873.715381944443</v>
      </c>
      <c r="B40174" t="str">
        <f>HYPERLINK("https://twitter.com/muhamad_alim45","@muhamad_alim45")</f>
        <v>@muhamad_alim45</v>
      </c>
      <c r="D40174">
        <v>1</v>
      </c>
      <c r="E40174">
        <v>3</v>
      </c>
      <c r="F40174">
        <v>23</v>
      </c>
    </row>
    <row r="40175" spans="1:6" ht="15.75" customHeight="1">
      <c r="A40175" s="3">
        <v>43873.715173611112</v>
      </c>
      <c r="B40175" t="str">
        <f>HYPERLINK("https://twitter.com/tadarura","@tadarura")</f>
        <v>@tadarura</v>
      </c>
      <c r="C40175" t="s">
        <v>1815</v>
      </c>
      <c r="D40175">
        <v>0</v>
      </c>
      <c r="E40175">
        <v>3</v>
      </c>
      <c r="F40175">
        <v>70</v>
      </c>
    </row>
    <row r="40176" spans="1:6" ht="15.75" customHeight="1">
      <c r="A40176" s="3">
        <v>43873.714988425927</v>
      </c>
      <c r="B40176" t="str">
        <f>HYPERLINK("https://twitter.com/MrIwan95","@MrIwan95")</f>
        <v>@MrIwan95</v>
      </c>
      <c r="C40176" t="s">
        <v>1816</v>
      </c>
      <c r="D40176">
        <v>1</v>
      </c>
      <c r="E40176">
        <v>2</v>
      </c>
      <c r="F40176">
        <v>801</v>
      </c>
    </row>
    <row r="40177" spans="1:6" ht="15.75" customHeight="1">
      <c r="A40177" s="3">
        <v>43873.714780092589</v>
      </c>
      <c r="B40177" t="str">
        <f>HYPERLINK("https://twitter.com/CNNIndonesia","@CNNIndonesia")</f>
        <v>@CNNIndonesia</v>
      </c>
      <c r="C40177" t="s">
        <v>1817</v>
      </c>
      <c r="D40177">
        <v>1</v>
      </c>
      <c r="E40177">
        <v>13</v>
      </c>
      <c r="F40177">
        <v>618501</v>
      </c>
    </row>
    <row r="40178" spans="1:6" ht="15.75" customHeight="1">
      <c r="A40178" s="3">
        <v>43873.713912037041</v>
      </c>
      <c r="B40178" t="str">
        <f>HYPERLINK("https://twitter.com/WVyolita","@WVyolita")</f>
        <v>@WVyolita</v>
      </c>
      <c r="C40178" t="s">
        <v>1818</v>
      </c>
      <c r="D40178">
        <v>1</v>
      </c>
      <c r="E40178">
        <v>1</v>
      </c>
      <c r="F40178">
        <v>60</v>
      </c>
    </row>
    <row r="40179" spans="1:6" ht="15.75" customHeight="1">
      <c r="A40179" s="3">
        <v>43873.712187500001</v>
      </c>
      <c r="B40179" t="str">
        <f>HYPERLINK("https://twitter.com/maysri14","@maysri14")</f>
        <v>@maysri14</v>
      </c>
      <c r="C40179" t="s">
        <v>1764</v>
      </c>
      <c r="D40179">
        <v>0</v>
      </c>
      <c r="E40179">
        <v>0</v>
      </c>
      <c r="F40179">
        <v>16</v>
      </c>
    </row>
    <row r="40180" spans="1:6" ht="15.75" customHeight="1">
      <c r="A40180" s="3">
        <v>43873.711481481485</v>
      </c>
      <c r="B40180" t="str">
        <f>HYPERLINK("https://twitter.com/kompascom","@kompascom")</f>
        <v>@kompascom</v>
      </c>
      <c r="C40180" t="s">
        <v>1819</v>
      </c>
      <c r="D40180">
        <v>1</v>
      </c>
      <c r="E40180">
        <v>17</v>
      </c>
      <c r="F40180">
        <v>7496984</v>
      </c>
    </row>
    <row r="40181" spans="1:6" ht="15.75" customHeight="1">
      <c r="A40181" s="3">
        <v>43873.711354166662</v>
      </c>
      <c r="B40181" t="str">
        <f>HYPERLINK("https://twitter.com/bukanawan","@bukanawan")</f>
        <v>@bukanawan</v>
      </c>
      <c r="C40181" t="s">
        <v>1820</v>
      </c>
      <c r="D40181">
        <v>0</v>
      </c>
      <c r="E40181">
        <v>0</v>
      </c>
      <c r="F40181">
        <v>193</v>
      </c>
    </row>
    <row r="40182" spans="1:6" ht="15.75" customHeight="1">
      <c r="A40182" s="3">
        <v>43873.711168981477</v>
      </c>
      <c r="B40182" t="str">
        <f>HYPERLINK("https://twitter.com/dwisan_dwi","@dwisan_dwi")</f>
        <v>@dwisan_dwi</v>
      </c>
      <c r="C40182" t="s">
        <v>1821</v>
      </c>
      <c r="D40182">
        <v>1</v>
      </c>
      <c r="E40182">
        <v>1</v>
      </c>
      <c r="F40182">
        <v>113</v>
      </c>
    </row>
    <row r="40183" spans="1:6" ht="15.75" customHeight="1">
      <c r="A40183" s="3">
        <v>43873.710231481484</v>
      </c>
      <c r="B40183" t="str">
        <f>HYPERLINK("https://twitter.com/cagubnyinyir2","@cagubnyinyir2")</f>
        <v>@cagubnyinyir2</v>
      </c>
      <c r="C40183" t="s">
        <v>1822</v>
      </c>
      <c r="D40183">
        <v>4</v>
      </c>
      <c r="E40183">
        <v>8</v>
      </c>
      <c r="F40183">
        <v>4237</v>
      </c>
    </row>
    <row r="40184" spans="1:6" ht="15.75" customHeight="1">
      <c r="A40184" s="3">
        <v>43873.710138888884</v>
      </c>
      <c r="B40184" t="str">
        <f>HYPERLINK("https://twitter.com/merdekadotcom","@merdekadotcom")</f>
        <v>@merdekadotcom</v>
      </c>
      <c r="C40184" t="s">
        <v>951</v>
      </c>
      <c r="D40184">
        <v>2</v>
      </c>
      <c r="E40184">
        <v>3</v>
      </c>
      <c r="F40184">
        <v>230398</v>
      </c>
    </row>
    <row r="40185" spans="1:6" ht="15.75" customHeight="1">
      <c r="A40185" s="3">
        <v>43873.709988425922</v>
      </c>
      <c r="B40185" t="str">
        <f>HYPERLINK("https://twitter.com/Zulfika41853052","@Zulfika41853052")</f>
        <v>@Zulfika41853052</v>
      </c>
      <c r="C40185" t="s">
        <v>1744</v>
      </c>
      <c r="D40185">
        <v>0</v>
      </c>
      <c r="E40185">
        <v>0</v>
      </c>
      <c r="F40185">
        <v>0</v>
      </c>
    </row>
    <row r="40186" spans="1:6" ht="15.75" customHeight="1">
      <c r="A40186" s="3">
        <v>43873.709907407407</v>
      </c>
      <c r="B40186" t="str">
        <f>HYPERLINK("https://twitter.com/ppmAswaja","@ppmAswaja")</f>
        <v>@ppmAswaja</v>
      </c>
      <c r="C40186" t="s">
        <v>1823</v>
      </c>
      <c r="D40186">
        <v>0</v>
      </c>
      <c r="E40186">
        <v>0</v>
      </c>
      <c r="F40186">
        <v>7839</v>
      </c>
    </row>
    <row r="40187" spans="1:6" ht="15.75" customHeight="1">
      <c r="A40187" s="3">
        <v>43873.709791666668</v>
      </c>
      <c r="B40187" t="str">
        <f>HYPERLINK("https://twitter.com/kianinara1","@kianinara1")</f>
        <v>@kianinara1</v>
      </c>
      <c r="C40187" t="s">
        <v>1824</v>
      </c>
      <c r="D40187">
        <v>7</v>
      </c>
      <c r="E40187">
        <v>22</v>
      </c>
      <c r="F40187">
        <v>3765</v>
      </c>
    </row>
    <row r="40188" spans="1:6" ht="15.75" customHeight="1">
      <c r="A40188" s="3">
        <v>43873.709189814814</v>
      </c>
      <c r="B40188" t="str">
        <f>HYPERLINK("https://twitter.com/AkbariRonako","@AkbariRonako")</f>
        <v>@AkbariRonako</v>
      </c>
      <c r="C40188" t="s">
        <v>1724</v>
      </c>
      <c r="D40188">
        <v>0</v>
      </c>
      <c r="E40188">
        <v>0</v>
      </c>
      <c r="F40188">
        <v>61</v>
      </c>
    </row>
    <row r="40189" spans="1:6" ht="15.75" customHeight="1">
      <c r="A40189" s="3">
        <v>43873.708807870367</v>
      </c>
      <c r="B40189" t="str">
        <f>HYPERLINK("https://twitter.com/LRumbas","@LRumbas")</f>
        <v>@LRumbas</v>
      </c>
      <c r="C40189" t="s">
        <v>1725</v>
      </c>
      <c r="D40189">
        <v>1</v>
      </c>
      <c r="E40189">
        <v>1</v>
      </c>
      <c r="F40189">
        <v>55</v>
      </c>
    </row>
    <row r="40190" spans="1:6" ht="15.75" customHeight="1">
      <c r="A40190" s="3">
        <v>43873.708726851852</v>
      </c>
      <c r="B40190" t="str">
        <f>HYPERLINK("https://twitter.com/ayus_susan","@ayus_susan")</f>
        <v>@ayus_susan</v>
      </c>
      <c r="C40190" t="s">
        <v>1825</v>
      </c>
      <c r="D40190">
        <v>0</v>
      </c>
      <c r="E40190">
        <v>0</v>
      </c>
      <c r="F40190">
        <v>81</v>
      </c>
    </row>
    <row r="40191" spans="1:6" ht="15.75" customHeight="1">
      <c r="A40191" s="3">
        <v>43873.708587962959</v>
      </c>
      <c r="B40191" t="str">
        <f>HYPERLINK("https://twitter.com/kondekturbus_","@kondekturbus_")</f>
        <v>@kondekturbus_</v>
      </c>
      <c r="C40191" t="s">
        <v>1826</v>
      </c>
      <c r="D40191">
        <v>1</v>
      </c>
      <c r="E40191">
        <v>1</v>
      </c>
      <c r="F40191">
        <v>13636</v>
      </c>
    </row>
    <row r="40192" spans="1:6" ht="15.75" customHeight="1">
      <c r="A40192" s="3">
        <v>43873.708541666667</v>
      </c>
      <c r="B40192" t="str">
        <f>HYPERLINK("https://twitter.com/StellaSuwardi","@StellaSuwardi")</f>
        <v>@StellaSuwardi</v>
      </c>
      <c r="C40192" t="s">
        <v>1827</v>
      </c>
      <c r="D40192">
        <v>2</v>
      </c>
      <c r="E40192">
        <v>2</v>
      </c>
      <c r="F40192">
        <v>4622</v>
      </c>
    </row>
    <row r="40193" spans="1:6" ht="15.75" customHeight="1">
      <c r="A40193" s="3">
        <v>43873.708541666667</v>
      </c>
      <c r="B40193" t="str">
        <f>HYPERLINK("https://twitter.com/triwul82","@triwul82")</f>
        <v>@triwul82</v>
      </c>
      <c r="C40193" t="s">
        <v>1222</v>
      </c>
      <c r="D40193">
        <v>0</v>
      </c>
      <c r="E40193">
        <v>3</v>
      </c>
      <c r="F40193">
        <v>28840</v>
      </c>
    </row>
    <row r="40194" spans="1:6" ht="15.75" customHeight="1">
      <c r="A40194" s="3">
        <v>43873.708148148144</v>
      </c>
      <c r="B40194" t="str">
        <f>HYPERLINK("https://twitter.com/margaretaputr13","@margaretaputr13")</f>
        <v>@margaretaputr13</v>
      </c>
      <c r="C40194" t="s">
        <v>1828</v>
      </c>
      <c r="D40194">
        <v>2</v>
      </c>
      <c r="E40194">
        <v>3</v>
      </c>
      <c r="F40194">
        <v>337</v>
      </c>
    </row>
    <row r="40195" spans="1:6" ht="15.75" customHeight="1">
      <c r="A40195" s="3">
        <v>43873.708078703705</v>
      </c>
      <c r="B40195" t="str">
        <f>HYPERLINK("https://twitter.com/republikaonline","@republikaonline")</f>
        <v>@republikaonline</v>
      </c>
      <c r="C40195" t="s">
        <v>1829</v>
      </c>
      <c r="D40195">
        <v>1</v>
      </c>
      <c r="E40195">
        <v>3</v>
      </c>
      <c r="F40195">
        <v>1210209</v>
      </c>
    </row>
    <row r="40196" spans="1:6" ht="15.75" customHeight="1">
      <c r="A40196" s="3">
        <v>43873.707511574074</v>
      </c>
      <c r="B40196" t="str">
        <f>HYPERLINK("https://twitter.com/ArrosyidIqbal","@ArrosyidIqbal")</f>
        <v>@ArrosyidIqbal</v>
      </c>
      <c r="C40196" t="s">
        <v>1830</v>
      </c>
      <c r="D40196">
        <v>0</v>
      </c>
      <c r="E40196">
        <v>1</v>
      </c>
      <c r="F40196">
        <v>404</v>
      </c>
    </row>
    <row r="40197" spans="1:6" ht="15.75" customHeight="1">
      <c r="A40197" s="3">
        <v>43873.707337962958</v>
      </c>
      <c r="B40197" t="str">
        <f>HYPERLINK("https://twitter.com/LamanKita_","@LamanKita_")</f>
        <v>@LamanKita_</v>
      </c>
      <c r="C40197" t="s">
        <v>1831</v>
      </c>
      <c r="D40197">
        <v>0</v>
      </c>
      <c r="E40197">
        <v>1</v>
      </c>
      <c r="F40197">
        <v>139626</v>
      </c>
    </row>
    <row r="40198" spans="1:6" ht="15.75" customHeight="1">
      <c r="A40198" s="3">
        <v>43873.706956018519</v>
      </c>
      <c r="B40198" t="str">
        <f>HYPERLINK("https://twitter.com/HvzIndo","@HvzIndo")</f>
        <v>@HvzIndo</v>
      </c>
      <c r="C40198" t="s">
        <v>1832</v>
      </c>
      <c r="D40198">
        <v>0</v>
      </c>
      <c r="E40198">
        <v>0</v>
      </c>
      <c r="F40198">
        <v>85</v>
      </c>
    </row>
    <row r="40199" spans="1:6" ht="15.75" customHeight="1">
      <c r="A40199" s="3">
        <v>43873.70694444445</v>
      </c>
      <c r="B40199" t="str">
        <f>HYPERLINK("https://twitter.com/1042mstrifm","@1042mstrifm")</f>
        <v>@1042mstrifm</v>
      </c>
      <c r="C40199" t="s">
        <v>1833</v>
      </c>
      <c r="D40199">
        <v>0</v>
      </c>
      <c r="E40199">
        <v>0</v>
      </c>
      <c r="F40199">
        <v>21276</v>
      </c>
    </row>
    <row r="40200" spans="1:6" ht="15.75" customHeight="1">
      <c r="A40200" s="3">
        <v>43873.706620370373</v>
      </c>
      <c r="B40200" t="str">
        <f>HYPERLINK("https://twitter.com/samsulhadi","@samsulhadi")</f>
        <v>@samsulhadi</v>
      </c>
      <c r="C40200" t="s">
        <v>1834</v>
      </c>
      <c r="D40200">
        <v>0</v>
      </c>
      <c r="E40200">
        <v>1</v>
      </c>
      <c r="F40200">
        <v>418</v>
      </c>
    </row>
    <row r="40201" spans="1:6" ht="15.75" customHeight="1">
      <c r="A40201" s="3">
        <v>43873.70648148148</v>
      </c>
      <c r="B40201" t="str">
        <f>HYPERLINK("https://twitter.com/triwul82","@triwul82")</f>
        <v>@triwul82</v>
      </c>
      <c r="C40201" t="s">
        <v>1835</v>
      </c>
      <c r="D40201">
        <v>1</v>
      </c>
      <c r="E40201">
        <v>2</v>
      </c>
      <c r="F40201">
        <v>28840</v>
      </c>
    </row>
    <row r="40202" spans="1:6" ht="15.75" customHeight="1">
      <c r="A40202" s="3">
        <v>43873.706342592588</v>
      </c>
      <c r="B40202" t="str">
        <f>HYPERLINK("https://twitter.com/StellaSuwardi","@StellaSuwardi")</f>
        <v>@StellaSuwardi</v>
      </c>
      <c r="C40202" t="s">
        <v>1836</v>
      </c>
      <c r="D40202">
        <v>2</v>
      </c>
      <c r="E40202">
        <v>5</v>
      </c>
      <c r="F40202">
        <v>4622</v>
      </c>
    </row>
    <row r="40203" spans="1:6" ht="15.75" customHeight="1">
      <c r="A40203" s="3">
        <v>43873.706087962964</v>
      </c>
      <c r="B40203" t="str">
        <f>HYPERLINK("https://twitter.com/majalahSM","@majalahSM")</f>
        <v>@majalahSM</v>
      </c>
      <c r="C40203" t="s">
        <v>1837</v>
      </c>
      <c r="D40203">
        <v>10</v>
      </c>
      <c r="E40203">
        <v>35</v>
      </c>
      <c r="F40203">
        <v>19704</v>
      </c>
    </row>
    <row r="40204" spans="1:6" ht="15.75" customHeight="1">
      <c r="A40204" s="3">
        <v>43873.705960648149</v>
      </c>
      <c r="B40204" t="str">
        <f>HYPERLINK("https://twitter.com/BangJay02891222","@BangJay02891222")</f>
        <v>@BangJay02891222</v>
      </c>
      <c r="C40204" t="s">
        <v>1838</v>
      </c>
      <c r="D40204">
        <v>0</v>
      </c>
      <c r="E40204">
        <v>0</v>
      </c>
      <c r="F40204">
        <v>3</v>
      </c>
    </row>
    <row r="40205" spans="1:6" ht="15.75" customHeight="1">
      <c r="A40205" s="3">
        <v>43873.705763888887</v>
      </c>
      <c r="B40205" t="str">
        <f>HYPERLINK("https://twitter.com/triwul82","@triwul82")</f>
        <v>@triwul82</v>
      </c>
      <c r="C40205" t="s">
        <v>1839</v>
      </c>
      <c r="D40205">
        <v>16</v>
      </c>
      <c r="E40205">
        <v>47</v>
      </c>
      <c r="F40205">
        <v>28840</v>
      </c>
    </row>
    <row r="40206" spans="1:6" ht="15.75" customHeight="1">
      <c r="A40206" s="3">
        <v>43873.705671296295</v>
      </c>
      <c r="B40206" t="str">
        <f>HYPERLINK("https://twitter.com/LamanKita_","@LamanKita_")</f>
        <v>@LamanKita_</v>
      </c>
      <c r="C40206" t="s">
        <v>1840</v>
      </c>
      <c r="D40206">
        <v>0</v>
      </c>
      <c r="E40206">
        <v>1</v>
      </c>
      <c r="F40206">
        <v>139626</v>
      </c>
    </row>
    <row r="40207" spans="1:6" ht="15.75" customHeight="1">
      <c r="A40207" s="3">
        <v>43873.704618055555</v>
      </c>
      <c r="B40207" t="str">
        <f>HYPERLINK("https://twitter.com/fkptcenter","@fkptcenter")</f>
        <v>@fkptcenter</v>
      </c>
      <c r="C40207" t="s">
        <v>1841</v>
      </c>
      <c r="D40207">
        <v>0</v>
      </c>
      <c r="E40207">
        <v>0</v>
      </c>
      <c r="F40207">
        <v>129</v>
      </c>
    </row>
    <row r="40208" spans="1:6" ht="15.75" customHeight="1">
      <c r="A40208" s="3">
        <v>43873.70447916667</v>
      </c>
      <c r="B40208" t="str">
        <f>HYPERLINK("https://twitter.com/shofimunaf","@shofimunaf")</f>
        <v>@shofimunaf</v>
      </c>
      <c r="C40208" t="s">
        <v>1842</v>
      </c>
      <c r="D40208">
        <v>1</v>
      </c>
      <c r="E40208">
        <v>0</v>
      </c>
      <c r="F40208">
        <v>864</v>
      </c>
    </row>
    <row r="40209" spans="1:6" ht="15.75" customHeight="1">
      <c r="A40209" s="3">
        <v>43873.70311342593</v>
      </c>
      <c r="B40209" t="str">
        <f>HYPERLINK("https://twitter.com/aritrijunianto","@aritrijunianto")</f>
        <v>@aritrijunianto</v>
      </c>
      <c r="C40209" t="s">
        <v>1843</v>
      </c>
      <c r="D40209">
        <v>0</v>
      </c>
      <c r="E40209">
        <v>0</v>
      </c>
      <c r="F40209">
        <v>3543</v>
      </c>
    </row>
    <row r="40210" spans="1:6" ht="15.75" customHeight="1">
      <c r="A40210" s="3">
        <v>43873.702407407407</v>
      </c>
      <c r="B40210" t="str">
        <f>HYPERLINK("https://twitter.com/kaskus","@kaskus")</f>
        <v>@kaskus</v>
      </c>
      <c r="C40210" t="s">
        <v>1844</v>
      </c>
      <c r="D40210">
        <v>4</v>
      </c>
      <c r="E40210">
        <v>12</v>
      </c>
      <c r="F40210">
        <v>2614364</v>
      </c>
    </row>
    <row r="40211" spans="1:6" ht="15.75" customHeight="1">
      <c r="A40211" s="3">
        <v>43873.702326388884</v>
      </c>
      <c r="B40211" t="str">
        <f>HYPERLINK("https://twitter.com/arivpermana","@arivpermana")</f>
        <v>@arivpermana</v>
      </c>
      <c r="C40211" t="s">
        <v>1845</v>
      </c>
      <c r="D40211">
        <v>0</v>
      </c>
      <c r="E40211">
        <v>1</v>
      </c>
      <c r="F40211">
        <v>39</v>
      </c>
    </row>
    <row r="40212" spans="1:6" ht="15.75" customHeight="1">
      <c r="A40212" s="3">
        <v>43873.70144675926</v>
      </c>
      <c r="B40212" t="str">
        <f>HYPERLINK("https://twitter.com/whidy_an","@whidy_an")</f>
        <v>@whidy_an</v>
      </c>
      <c r="C40212" t="s">
        <v>1846</v>
      </c>
      <c r="D40212">
        <v>0</v>
      </c>
      <c r="E40212">
        <v>1</v>
      </c>
      <c r="F40212">
        <v>1261</v>
      </c>
    </row>
    <row r="40213" spans="1:6" ht="15.75" customHeight="1">
      <c r="A40213" s="3">
        <v>43873.701099537036</v>
      </c>
      <c r="B40213" t="str">
        <f>HYPERLINK("https://twitter.com/FadhielGunawan","@FadhielGunawan")</f>
        <v>@FadhielGunawan</v>
      </c>
      <c r="C40213" t="s">
        <v>1847</v>
      </c>
      <c r="D40213">
        <v>0</v>
      </c>
      <c r="E40213">
        <v>0</v>
      </c>
      <c r="F40213">
        <v>1470</v>
      </c>
    </row>
    <row r="40214" spans="1:6" ht="15.75" customHeight="1">
      <c r="A40214" s="3">
        <v>43873.699837962966</v>
      </c>
      <c r="B40214" t="str">
        <f>HYPERLINK("https://twitter.com/grizzieeee","@grizzieeee")</f>
        <v>@grizzieeee</v>
      </c>
      <c r="C40214" t="s">
        <v>1848</v>
      </c>
      <c r="D40214">
        <v>0</v>
      </c>
      <c r="E40214">
        <v>2</v>
      </c>
      <c r="F40214">
        <v>13</v>
      </c>
    </row>
    <row r="40215" spans="1:6" ht="15.75" customHeight="1">
      <c r="A40215" s="3">
        <v>43873.699374999997</v>
      </c>
      <c r="B40215" t="str">
        <f>HYPERLINK("https://twitter.com/_wistu","@_wistu")</f>
        <v>@_wistu</v>
      </c>
      <c r="C40215" t="s">
        <v>1849</v>
      </c>
      <c r="D40215">
        <v>0</v>
      </c>
      <c r="E40215">
        <v>0</v>
      </c>
      <c r="F40215">
        <v>449</v>
      </c>
    </row>
    <row r="40216" spans="1:6" ht="15.75" customHeight="1">
      <c r="A40216" s="3">
        <v>43873.699062500003</v>
      </c>
      <c r="B40216" t="str">
        <f>HYPERLINK("https://twitter.com/Santiira2","@Santiira2")</f>
        <v>@Santiira2</v>
      </c>
      <c r="C40216" t="s">
        <v>1770</v>
      </c>
      <c r="D40216">
        <v>4</v>
      </c>
      <c r="E40216">
        <v>5</v>
      </c>
      <c r="F40216">
        <v>356</v>
      </c>
    </row>
    <row r="40217" spans="1:6" ht="15.75" customHeight="1">
      <c r="A40217" s="3">
        <v>43873.698576388888</v>
      </c>
      <c r="B40217" t="str">
        <f>HYPERLINK("https://twitter.com/ANDRE_OCTA_","@ANDRE_OCTA_")</f>
        <v>@ANDRE_OCTA_</v>
      </c>
      <c r="C40217" t="s">
        <v>1850</v>
      </c>
      <c r="D40217">
        <v>1</v>
      </c>
      <c r="E40217">
        <v>1</v>
      </c>
      <c r="F40217">
        <v>16023</v>
      </c>
    </row>
    <row r="40218" spans="1:6" ht="15.75" customHeight="1">
      <c r="A40218" s="3">
        <v>43873.698124999995</v>
      </c>
      <c r="B40218" t="str">
        <f>HYPERLINK("https://twitter.com/republikaonline","@republikaonline")</f>
        <v>@republikaonline</v>
      </c>
      <c r="C40218" t="s">
        <v>1851</v>
      </c>
      <c r="D40218">
        <v>0</v>
      </c>
      <c r="E40218">
        <v>0</v>
      </c>
      <c r="F40218">
        <v>1210209</v>
      </c>
    </row>
    <row r="40219" spans="1:6" ht="15.75" customHeight="1">
      <c r="A40219" s="3">
        <v>43873.697754629626</v>
      </c>
      <c r="B40219" t="str">
        <f>HYPERLINK("https://twitter.com/Barna_byo","@Barna_byo")</f>
        <v>@Barna_byo</v>
      </c>
      <c r="C40219" t="s">
        <v>1852</v>
      </c>
      <c r="D40219">
        <v>4</v>
      </c>
      <c r="E40219">
        <v>7</v>
      </c>
      <c r="F40219">
        <v>7832</v>
      </c>
    </row>
    <row r="40220" spans="1:6" ht="15.75" customHeight="1">
      <c r="A40220" s="3">
        <v>43873.697650462964</v>
      </c>
      <c r="B40220" t="str">
        <f>HYPERLINK("https://twitter.com/berharapdamai","@berharapdamai")</f>
        <v>@berharapdamai</v>
      </c>
      <c r="C40220" t="s">
        <v>1853</v>
      </c>
      <c r="D40220">
        <v>0</v>
      </c>
      <c r="E40220">
        <v>0</v>
      </c>
      <c r="F40220">
        <v>1793</v>
      </c>
    </row>
    <row r="40221" spans="1:6" ht="15.75" customHeight="1">
      <c r="A40221" s="3">
        <v>43873.69730324074</v>
      </c>
      <c r="B40221" t="str">
        <f>HYPERLINK("https://twitter.com/kondekturbus_","@kondekturbus_")</f>
        <v>@kondekturbus_</v>
      </c>
      <c r="C40221" t="s">
        <v>1222</v>
      </c>
      <c r="D40221">
        <v>0</v>
      </c>
      <c r="E40221">
        <v>1</v>
      </c>
      <c r="F40221">
        <v>13636</v>
      </c>
    </row>
    <row r="40222" spans="1:6" ht="15.75" customHeight="1">
      <c r="A40222" s="3">
        <v>43873.69667824074</v>
      </c>
      <c r="B40222" t="str">
        <f>HYPERLINK("https://twitter.com/RRIPrograma3","@RRIPrograma3")</f>
        <v>@RRIPrograma3</v>
      </c>
      <c r="C40222" t="s">
        <v>1854</v>
      </c>
      <c r="D40222">
        <v>0</v>
      </c>
      <c r="E40222">
        <v>0</v>
      </c>
      <c r="F40222">
        <v>8712</v>
      </c>
    </row>
    <row r="40223" spans="1:6" ht="15.75" customHeight="1">
      <c r="A40223" s="3">
        <v>43873.695347222223</v>
      </c>
      <c r="B40223" t="str">
        <f>HYPERLINK("https://twitter.com/MNCNewsroom","@MNCNewsroom")</f>
        <v>@MNCNewsroom</v>
      </c>
      <c r="C40223" t="s">
        <v>1855</v>
      </c>
      <c r="D40223">
        <v>0</v>
      </c>
      <c r="E40223">
        <v>1</v>
      </c>
      <c r="F40223">
        <v>17544</v>
      </c>
    </row>
    <row r="40224" spans="1:6" ht="15.75" customHeight="1">
      <c r="A40224" s="3">
        <v>43873.695023148146</v>
      </c>
      <c r="B40224" t="str">
        <f>HYPERLINK("https://twitter.com/m18895","@m18895")</f>
        <v>@m18895</v>
      </c>
      <c r="C40224" t="s">
        <v>1856</v>
      </c>
      <c r="D40224">
        <v>0</v>
      </c>
      <c r="E40224">
        <v>0</v>
      </c>
      <c r="F40224">
        <v>558</v>
      </c>
    </row>
    <row r="40225" spans="1:6" ht="15.75" customHeight="1">
      <c r="A40225" s="3">
        <v>43873.694976851853</v>
      </c>
      <c r="B40225" t="str">
        <f>HYPERLINK("https://twitter.com/bembi85","@bembi85")</f>
        <v>@bembi85</v>
      </c>
      <c r="C40225" t="s">
        <v>1857</v>
      </c>
      <c r="D40225">
        <v>2</v>
      </c>
      <c r="E40225">
        <v>5</v>
      </c>
      <c r="F40225">
        <v>1569</v>
      </c>
    </row>
    <row r="40226" spans="1:6" ht="15.75" customHeight="1">
      <c r="A40226" s="3">
        <v>43873.694606481484</v>
      </c>
      <c r="B40226" t="str">
        <f>HYPERLINK("https://twitter.com/KontanNews","@KontanNews")</f>
        <v>@KontanNews</v>
      </c>
      <c r="C40226" t="s">
        <v>1858</v>
      </c>
      <c r="D40226">
        <v>0</v>
      </c>
      <c r="E40226">
        <v>0</v>
      </c>
      <c r="F40226">
        <v>316253</v>
      </c>
    </row>
    <row r="40227" spans="1:6" ht="15.75" customHeight="1">
      <c r="A40227" s="3">
        <v>43873.693923611107</v>
      </c>
      <c r="B40227" t="str">
        <f>HYPERLINK("https://twitter.com/CNNIndonesia","@CNNIndonesia")</f>
        <v>@CNNIndonesia</v>
      </c>
      <c r="C40227" t="s">
        <v>1222</v>
      </c>
      <c r="D40227">
        <v>165</v>
      </c>
      <c r="E40227">
        <v>477</v>
      </c>
      <c r="F40227">
        <v>618501</v>
      </c>
    </row>
    <row r="40228" spans="1:6" ht="15.75" customHeight="1">
      <c r="A40228" s="3">
        <v>43873.693437499998</v>
      </c>
      <c r="B40228" t="str">
        <f>HYPERLINK("https://twitter.com/ZoelFawzie","@ZoelFawzie")</f>
        <v>@ZoelFawzie</v>
      </c>
      <c r="C40228" t="s">
        <v>1859</v>
      </c>
      <c r="D40228">
        <v>5</v>
      </c>
      <c r="E40228">
        <v>9</v>
      </c>
      <c r="F40228">
        <v>5684</v>
      </c>
    </row>
    <row r="40229" spans="1:6" ht="15.75" customHeight="1">
      <c r="A40229" s="3">
        <v>43873.692627314813</v>
      </c>
      <c r="B40229" t="str">
        <f>HYPERLINK("https://twitter.com/Pang22Saudi","@Pang22Saudi")</f>
        <v>@Pang22Saudi</v>
      </c>
      <c r="C40229" t="s">
        <v>1860</v>
      </c>
      <c r="D40229">
        <v>0</v>
      </c>
      <c r="E40229">
        <v>0</v>
      </c>
      <c r="F40229">
        <v>565</v>
      </c>
    </row>
    <row r="40230" spans="1:6" ht="15.75" customHeight="1">
      <c r="A40230" s="3">
        <v>43873.692175925928</v>
      </c>
      <c r="B40230" t="str">
        <f>HYPERLINK("https://twitter.com/NegaraAPI2","@NegaraAPI2")</f>
        <v>@NegaraAPI2</v>
      </c>
      <c r="C40230" t="s">
        <v>1770</v>
      </c>
      <c r="D40230">
        <v>0</v>
      </c>
      <c r="E40230">
        <v>0</v>
      </c>
      <c r="F40230">
        <v>30</v>
      </c>
    </row>
    <row r="40231" spans="1:6" ht="15.75" customHeight="1">
      <c r="A40231" s="3">
        <v>43873.691527777773</v>
      </c>
      <c r="B40231" t="str">
        <f>HYPERLINK("https://twitter.com/ErHutabarat","@ErHutabarat")</f>
        <v>@ErHutabarat</v>
      </c>
      <c r="C40231" t="s">
        <v>1222</v>
      </c>
      <c r="D40231">
        <v>0</v>
      </c>
      <c r="E40231">
        <v>0</v>
      </c>
      <c r="F40231">
        <v>74</v>
      </c>
    </row>
    <row r="40232" spans="1:6" ht="15.75" customHeight="1">
      <c r="A40232" s="3">
        <v>43873.691099537042</v>
      </c>
      <c r="B40232" t="str">
        <f>HYPERLINK("https://twitter.com/IndonesiaRAW","@IndonesiaRAW")</f>
        <v>@IndonesiaRAW</v>
      </c>
      <c r="C40232" t="s">
        <v>1861</v>
      </c>
      <c r="D40232">
        <v>0</v>
      </c>
      <c r="E40232">
        <v>1</v>
      </c>
      <c r="F40232">
        <v>201868</v>
      </c>
    </row>
    <row r="40233" spans="1:6" ht="15.75" customHeight="1">
      <c r="A40233" s="3">
        <v>43873.691099537042</v>
      </c>
      <c r="B40233" t="str">
        <f>HYPERLINK("https://twitter.com/hermawan332","@hermawan332")</f>
        <v>@hermawan332</v>
      </c>
      <c r="D40233">
        <v>0</v>
      </c>
      <c r="E40233">
        <v>0</v>
      </c>
      <c r="F40233">
        <v>5</v>
      </c>
    </row>
    <row r="40234" spans="1:6" ht="15.75" customHeight="1">
      <c r="A40234" s="3">
        <v>43873.691018518519</v>
      </c>
      <c r="B40234" t="str">
        <f>HYPERLINK("https://twitter.com/KontanNews","@KontanNews")</f>
        <v>@KontanNews</v>
      </c>
      <c r="C40234" t="s">
        <v>1858</v>
      </c>
      <c r="D40234">
        <v>1</v>
      </c>
      <c r="E40234">
        <v>5</v>
      </c>
      <c r="F40234">
        <v>316253</v>
      </c>
    </row>
    <row r="40235" spans="1:6" ht="15.75" customHeight="1">
      <c r="A40235" s="3">
        <v>43873.69054398148</v>
      </c>
      <c r="B40235" t="str">
        <f>HYPERLINK("https://twitter.com/IndonesiaRAW","@IndonesiaRAW")</f>
        <v>@IndonesiaRAW</v>
      </c>
      <c r="C40235" t="s">
        <v>1862</v>
      </c>
      <c r="D40235">
        <v>0</v>
      </c>
      <c r="E40235">
        <v>1</v>
      </c>
      <c r="F40235">
        <v>201868</v>
      </c>
    </row>
    <row r="40236" spans="1:6" ht="15.75" customHeight="1">
      <c r="A40236" s="3">
        <v>43873.690069444448</v>
      </c>
      <c r="B40236" t="str">
        <f>HYPERLINK("https://twitter.com/MrsRachelIn","@MrsRachelIn")</f>
        <v>@MrsRachelIn</v>
      </c>
      <c r="C40236" t="s">
        <v>1863</v>
      </c>
      <c r="D40236">
        <v>3</v>
      </c>
      <c r="E40236">
        <v>11</v>
      </c>
      <c r="F40236">
        <v>3074</v>
      </c>
    </row>
    <row r="40237" spans="1:6" ht="15.75" customHeight="1">
      <c r="A40237" s="3">
        <v>43873.689791666664</v>
      </c>
      <c r="B40237" t="str">
        <f>HYPERLINK("https://twitter.com/RRIPrograma3","@RRIPrograma3")</f>
        <v>@RRIPrograma3</v>
      </c>
      <c r="C40237" t="s">
        <v>1864</v>
      </c>
      <c r="D40237">
        <v>0</v>
      </c>
      <c r="E40237">
        <v>0</v>
      </c>
      <c r="F40237">
        <v>8712</v>
      </c>
    </row>
    <row r="40238" spans="1:6" ht="15.75" customHeight="1">
      <c r="A40238" s="3">
        <v>43873.689560185187</v>
      </c>
      <c r="B40238" t="str">
        <f>HYPERLINK("https://twitter.com/haibundacom","@haibundacom")</f>
        <v>@haibundacom</v>
      </c>
      <c r="C40238" t="s">
        <v>1866</v>
      </c>
      <c r="D40238">
        <v>0</v>
      </c>
      <c r="E40238">
        <v>0</v>
      </c>
      <c r="F40238">
        <v>4900</v>
      </c>
    </row>
    <row r="40239" spans="1:6" ht="15.75" customHeight="1">
      <c r="A40239" s="3">
        <v>43873.687557870369</v>
      </c>
      <c r="B40239" t="str">
        <f>HYPERLINK("https://twitter.com/kumparan","@kumparan")</f>
        <v>@kumparan</v>
      </c>
      <c r="C40239" t="s">
        <v>1839</v>
      </c>
      <c r="D40239">
        <v>0</v>
      </c>
      <c r="E40239">
        <v>1</v>
      </c>
      <c r="F40239">
        <v>321828</v>
      </c>
    </row>
    <row r="40240" spans="1:6" ht="15.75" customHeight="1">
      <c r="A40240" s="3">
        <v>43873.687534722223</v>
      </c>
      <c r="B40240" t="str">
        <f>HYPERLINK("https://twitter.com/HendrikSugara2","@HendrikSugara2")</f>
        <v>@HendrikSugara2</v>
      </c>
      <c r="C40240" t="s">
        <v>1867</v>
      </c>
      <c r="D40240">
        <v>0</v>
      </c>
      <c r="E40240">
        <v>0</v>
      </c>
      <c r="F40240">
        <v>78</v>
      </c>
    </row>
    <row r="40241" spans="1:6" ht="15.75" customHeight="1">
      <c r="A40241" s="3">
        <v>43873.686828703707</v>
      </c>
      <c r="B40241" t="str">
        <f>HYPERLINK("https://twitter.com/JamesKatuuk","@JamesKatuuk")</f>
        <v>@JamesKatuuk</v>
      </c>
      <c r="C40241" t="s">
        <v>1135</v>
      </c>
      <c r="D40241">
        <v>1</v>
      </c>
      <c r="E40241">
        <v>5</v>
      </c>
      <c r="F40241">
        <v>5140</v>
      </c>
    </row>
    <row r="40242" spans="1:6" ht="15.75" customHeight="1">
      <c r="A40242" s="3">
        <v>43873.684374999997</v>
      </c>
      <c r="B40242" t="str">
        <f>HYPERLINK("https://twitter.com/JohnIrwan4","@JohnIrwan4")</f>
        <v>@JohnIrwan4</v>
      </c>
      <c r="C40242" t="s">
        <v>1868</v>
      </c>
      <c r="D40242">
        <v>9</v>
      </c>
      <c r="E40242">
        <v>18</v>
      </c>
      <c r="F40242">
        <v>2096</v>
      </c>
    </row>
    <row r="40243" spans="1:6" ht="15.75" customHeight="1">
      <c r="A40243" s="3">
        <v>43873.684016203704</v>
      </c>
      <c r="B40243" t="str">
        <f>HYPERLINK("https://twitter.com/ahmadyanibs","@ahmadyanibs")</f>
        <v>@ahmadyanibs</v>
      </c>
      <c r="C40243" t="s">
        <v>1869</v>
      </c>
      <c r="D40243">
        <v>11</v>
      </c>
      <c r="E40243">
        <v>16</v>
      </c>
      <c r="F40243">
        <v>2601</v>
      </c>
    </row>
    <row r="40244" spans="1:6" ht="15.75" customHeight="1">
      <c r="A40244" s="3">
        <v>43873.683738425927</v>
      </c>
      <c r="B40244" t="str">
        <f>HYPERLINK("https://twitter.com/milesbark1","@milesbark1")</f>
        <v>@milesbark1</v>
      </c>
      <c r="C40244" t="s">
        <v>1870</v>
      </c>
      <c r="D40244">
        <v>0</v>
      </c>
      <c r="E40244">
        <v>0</v>
      </c>
      <c r="F40244">
        <v>82</v>
      </c>
    </row>
    <row r="40245" spans="1:6" ht="15.75" customHeight="1">
      <c r="A40245" s="3">
        <v>43873.683333333334</v>
      </c>
      <c r="B40245" t="str">
        <f>HYPERLINK("https://twitter.com/fakhrurr_rozi","@fakhrurr_rozi")</f>
        <v>@fakhrurr_rozi</v>
      </c>
      <c r="C40245" t="s">
        <v>1871</v>
      </c>
      <c r="D40245">
        <v>1</v>
      </c>
      <c r="E40245">
        <v>11</v>
      </c>
      <c r="F40245">
        <v>316</v>
      </c>
    </row>
    <row r="40246" spans="1:6" ht="15.75" customHeight="1">
      <c r="A40246" s="3">
        <v>43873.681990740741</v>
      </c>
      <c r="B40246" t="str">
        <f>HYPERLINK("https://twitter.com/kumparan","@kumparan")</f>
        <v>@kumparan</v>
      </c>
      <c r="C40246" t="s">
        <v>1872</v>
      </c>
      <c r="D40246">
        <v>1</v>
      </c>
      <c r="E40246">
        <v>4</v>
      </c>
      <c r="F40246">
        <v>321828</v>
      </c>
    </row>
    <row r="40247" spans="1:6" ht="15.75" customHeight="1">
      <c r="A40247" s="3">
        <v>43873.68041666667</v>
      </c>
      <c r="B40247" t="str">
        <f>HYPERLINK("https://twitter.com/Metrobatam_com","@Metrobatam_com")</f>
        <v>@Metrobatam_com</v>
      </c>
      <c r="C40247" t="s">
        <v>1873</v>
      </c>
      <c r="D40247">
        <v>0</v>
      </c>
      <c r="E40247">
        <v>0</v>
      </c>
      <c r="F40247">
        <v>118</v>
      </c>
    </row>
    <row r="40248" spans="1:6" ht="15.75" customHeight="1">
      <c r="A40248" s="3">
        <v>43873.67905092593</v>
      </c>
      <c r="B40248" t="str">
        <f>HYPERLINK("https://twitter.com/Athar69046912","@Athar69046912")</f>
        <v>@Athar69046912</v>
      </c>
      <c r="C40248" t="s">
        <v>1874</v>
      </c>
      <c r="D40248">
        <v>9</v>
      </c>
      <c r="E40248">
        <v>8</v>
      </c>
      <c r="F40248">
        <v>3282</v>
      </c>
    </row>
    <row r="40249" spans="1:6" ht="15.75" customHeight="1">
      <c r="A40249" s="3">
        <v>43873.678715277776</v>
      </c>
      <c r="B40249" t="str">
        <f>HYPERLINK("https://twitter.com/SantikaVeliz","@SantikaVeliz")</f>
        <v>@SantikaVeliz</v>
      </c>
      <c r="C40249" t="s">
        <v>1875</v>
      </c>
      <c r="D40249">
        <v>0</v>
      </c>
      <c r="E40249">
        <v>0</v>
      </c>
      <c r="F40249">
        <v>34</v>
      </c>
    </row>
    <row r="40250" spans="1:6" ht="15.75" customHeight="1">
      <c r="A40250" s="3">
        <v>43873.677025462966</v>
      </c>
      <c r="B40250" t="str">
        <f>HYPERLINK("https://twitter.com/afifhasbullah","@afifhasbullah")</f>
        <v>@afifhasbullah</v>
      </c>
      <c r="C40250" t="s">
        <v>1876</v>
      </c>
      <c r="D40250">
        <v>0</v>
      </c>
      <c r="E40250">
        <v>0</v>
      </c>
      <c r="F40250">
        <v>1405</v>
      </c>
    </row>
    <row r="40251" spans="1:6" ht="15.75" customHeight="1">
      <c r="A40251" s="3">
        <v>43873.676018518519</v>
      </c>
      <c r="B40251" t="str">
        <f>HYPERLINK("https://twitter.com/ErinAlicia6","@ErinAlicia6")</f>
        <v>@ErinAlicia6</v>
      </c>
      <c r="C40251" t="s">
        <v>1877</v>
      </c>
      <c r="D40251">
        <v>4</v>
      </c>
      <c r="E40251">
        <v>4</v>
      </c>
      <c r="F40251">
        <v>131</v>
      </c>
    </row>
    <row r="40252" spans="1:6" ht="15.75" customHeight="1">
      <c r="A40252" s="3">
        <v>43873.675833333335</v>
      </c>
      <c r="B40252" t="str">
        <f>HYPERLINK("https://twitter.com/panggilakutian","@panggilakutian")</f>
        <v>@panggilakutian</v>
      </c>
      <c r="C40252" t="s">
        <v>1878</v>
      </c>
      <c r="D40252">
        <v>0</v>
      </c>
      <c r="E40252">
        <v>0</v>
      </c>
      <c r="F40252">
        <v>460</v>
      </c>
    </row>
    <row r="40253" spans="1:6" ht="15.75" customHeight="1">
      <c r="A40253" s="3">
        <v>43873.675370370373</v>
      </c>
      <c r="B40253" t="str">
        <f>HYPERLINK("https://twitter.com/BimaNugrohho","@BimaNugrohho")</f>
        <v>@BimaNugrohho</v>
      </c>
      <c r="C40253" t="s">
        <v>1879</v>
      </c>
      <c r="D40253">
        <v>3</v>
      </c>
      <c r="E40253">
        <v>1</v>
      </c>
      <c r="F40253">
        <v>17</v>
      </c>
    </row>
    <row r="40254" spans="1:6" ht="15.75" customHeight="1">
      <c r="A40254" s="3">
        <v>43873.675208333334</v>
      </c>
      <c r="B40254" t="str">
        <f>HYPERLINK("https://twitter.com/TeoPoliticall","@TeoPoliticall")</f>
        <v>@TeoPoliticall</v>
      </c>
      <c r="C40254" t="s">
        <v>1880</v>
      </c>
      <c r="D40254">
        <v>0</v>
      </c>
      <c r="E40254">
        <v>0</v>
      </c>
      <c r="F40254">
        <v>47</v>
      </c>
    </row>
    <row r="40255" spans="1:6" ht="15.75" customHeight="1">
      <c r="A40255" s="3">
        <v>43873.675023148149</v>
      </c>
      <c r="B40255" t="str">
        <f>HYPERLINK("https://twitter.com/voaindonesia","@voaindonesia")</f>
        <v>@voaindonesia</v>
      </c>
      <c r="C40255" t="s">
        <v>1290</v>
      </c>
      <c r="D40255">
        <v>0</v>
      </c>
      <c r="E40255">
        <v>1</v>
      </c>
      <c r="F40255">
        <v>307607</v>
      </c>
    </row>
    <row r="40256" spans="1:6" ht="15.75" customHeight="1">
      <c r="A40256" s="3">
        <v>43873.674004629633</v>
      </c>
      <c r="B40256" t="str">
        <f>HYPERLINK("https://twitter.com/IAkurat","@IAkurat")</f>
        <v>@IAkurat</v>
      </c>
      <c r="C40256" t="s">
        <v>1770</v>
      </c>
      <c r="D40256">
        <v>2</v>
      </c>
      <c r="E40256">
        <v>0</v>
      </c>
      <c r="F40256">
        <v>242</v>
      </c>
    </row>
    <row r="40257" spans="1:6" ht="15.75" customHeight="1">
      <c r="A40257" s="3">
        <v>43873.673634259263</v>
      </c>
      <c r="B40257" t="str">
        <f>HYPERLINK("https://twitter.com/indonesiana","@indonesiana")</f>
        <v>@indonesiana</v>
      </c>
      <c r="C40257" t="s">
        <v>1881</v>
      </c>
      <c r="D40257">
        <v>0</v>
      </c>
      <c r="E40257">
        <v>1</v>
      </c>
      <c r="F40257">
        <v>49509</v>
      </c>
    </row>
    <row r="40258" spans="1:6" ht="15.75" customHeight="1">
      <c r="A40258" s="3">
        <v>43873.673576388886</v>
      </c>
      <c r="B40258" t="str">
        <f>HYPERLINK("https://twitter.com/Mi73Hel","@Mi73Hel")</f>
        <v>@Mi73Hel</v>
      </c>
      <c r="C40258" t="s">
        <v>1882</v>
      </c>
      <c r="D40258">
        <v>0</v>
      </c>
      <c r="E40258">
        <v>0</v>
      </c>
      <c r="F40258">
        <v>704</v>
      </c>
    </row>
    <row r="40259" spans="1:6" ht="15.75" customHeight="1">
      <c r="A40259" s="3">
        <v>43873.672326388885</v>
      </c>
      <c r="B40259" t="str">
        <f>HYPERLINK("https://twitter.com/LamanKita_","@LamanKita_")</f>
        <v>@LamanKita_</v>
      </c>
      <c r="C40259" t="s">
        <v>1883</v>
      </c>
      <c r="D40259">
        <v>0</v>
      </c>
      <c r="E40259">
        <v>0</v>
      </c>
      <c r="F40259">
        <v>139626</v>
      </c>
    </row>
    <row r="40260" spans="1:6" ht="15.75" customHeight="1">
      <c r="A40260" s="3">
        <v>43873.670532407406</v>
      </c>
      <c r="B40260" t="str">
        <f>HYPERLINK("https://twitter.com/Haluan_","@Haluan_")</f>
        <v>@Haluan_</v>
      </c>
      <c r="C40260" t="s">
        <v>1884</v>
      </c>
      <c r="D40260">
        <v>0</v>
      </c>
      <c r="E40260">
        <v>0</v>
      </c>
      <c r="F40260">
        <v>1442</v>
      </c>
    </row>
    <row r="40261" spans="1:6" ht="15.75" customHeight="1">
      <c r="A40261" s="3">
        <v>43873.670115740737</v>
      </c>
      <c r="B40261" t="str">
        <f>HYPERLINK("https://twitter.com/LamanKita_","@LamanKita_")</f>
        <v>@LamanKita_</v>
      </c>
      <c r="C40261" t="s">
        <v>1885</v>
      </c>
      <c r="D40261">
        <v>0</v>
      </c>
      <c r="E40261">
        <v>0</v>
      </c>
      <c r="F40261">
        <v>139626</v>
      </c>
    </row>
    <row r="40262" spans="1:6" ht="15.75" customHeight="1">
      <c r="A40262" s="3">
        <v>43873.669189814813</v>
      </c>
      <c r="B40262" t="str">
        <f>HYPERLINK("https://twitter.com/merdekadotcom","@merdekadotcom")</f>
        <v>@merdekadotcom</v>
      </c>
      <c r="C40262" t="s">
        <v>1886</v>
      </c>
      <c r="D40262">
        <v>2</v>
      </c>
      <c r="E40262">
        <v>1</v>
      </c>
      <c r="F40262">
        <v>230398</v>
      </c>
    </row>
    <row r="40263" spans="1:6" ht="15.75" customHeight="1">
      <c r="A40263" s="3">
        <v>43873.66883101852</v>
      </c>
      <c r="B40263" t="str">
        <f>HYPERLINK("https://twitter.com/jibrilmf1","@jibrilmf1")</f>
        <v>@jibrilmf1</v>
      </c>
      <c r="C40263" t="s">
        <v>1887</v>
      </c>
      <c r="D40263">
        <v>0</v>
      </c>
      <c r="E40263">
        <v>0</v>
      </c>
      <c r="F40263">
        <v>99</v>
      </c>
    </row>
    <row r="40264" spans="1:6" ht="15.75" customHeight="1">
      <c r="A40264" s="3">
        <v>43873.667627314819</v>
      </c>
      <c r="B40264" t="str">
        <f>HYPERLINK("https://twitter.com/__Aiek__Channel","@__Aiek__Channel")</f>
        <v>@__Aiek__Channel</v>
      </c>
      <c r="C40264" t="s">
        <v>1888</v>
      </c>
      <c r="D40264">
        <v>0</v>
      </c>
      <c r="E40264">
        <v>1</v>
      </c>
      <c r="F40264">
        <v>8719</v>
      </c>
    </row>
    <row r="40265" spans="1:6" ht="15.75" customHeight="1">
      <c r="A40265" s="3">
        <v>43873.66606481481</v>
      </c>
      <c r="B40265" t="str">
        <f>HYPERLINK("https://twitter.com/cooll04","@cooll04")</f>
        <v>@cooll04</v>
      </c>
      <c r="C40265" t="s">
        <v>1889</v>
      </c>
      <c r="D40265">
        <v>0</v>
      </c>
      <c r="E40265">
        <v>1</v>
      </c>
      <c r="F40265">
        <v>4492</v>
      </c>
    </row>
    <row r="40266" spans="1:6" ht="15.75" customHeight="1">
      <c r="A40266" s="3">
        <v>43873.664953703701</v>
      </c>
      <c r="B40266" t="str">
        <f>HYPERLINK("https://twitter.com/FaktaNew5","@FaktaNew5")</f>
        <v>@FaktaNew5</v>
      </c>
      <c r="C40266" t="s">
        <v>1890</v>
      </c>
      <c r="D40266">
        <v>0</v>
      </c>
      <c r="E40266">
        <v>0</v>
      </c>
      <c r="F40266">
        <v>173</v>
      </c>
    </row>
    <row r="40267" spans="1:6" ht="15.75" customHeight="1">
      <c r="A40267" s="3">
        <v>43873.66474537037</v>
      </c>
      <c r="B40267" t="str">
        <f>HYPERLINK("https://twitter.com/MediaDayak","@MediaDayak")</f>
        <v>@MediaDayak</v>
      </c>
      <c r="C40267" t="s">
        <v>1014</v>
      </c>
      <c r="D40267">
        <v>0</v>
      </c>
      <c r="E40267">
        <v>0</v>
      </c>
      <c r="F40267">
        <v>28</v>
      </c>
    </row>
    <row r="40268" spans="1:6" ht="15.75" customHeight="1">
      <c r="A40268" s="3">
        <v>43873.664236111115</v>
      </c>
      <c r="B40268" t="str">
        <f>HYPERLINK("https://twitter.com/Sinar_Harapan","@Sinar_Harapan")</f>
        <v>@Sinar_Harapan</v>
      </c>
      <c r="C40268" t="s">
        <v>1891</v>
      </c>
      <c r="D40268">
        <v>0</v>
      </c>
      <c r="E40268">
        <v>0</v>
      </c>
      <c r="F40268">
        <v>4967</v>
      </c>
    </row>
    <row r="40269" spans="1:6" ht="15.75" customHeight="1">
      <c r="A40269" s="3">
        <v>43873.664039351846</v>
      </c>
      <c r="B40269" t="str">
        <f>HYPERLINK("https://twitter.com/CNNIndonesia","@CNNIndonesia")</f>
        <v>@CNNIndonesia</v>
      </c>
      <c r="C40269" t="s">
        <v>1892</v>
      </c>
      <c r="D40269">
        <v>2</v>
      </c>
      <c r="E40269">
        <v>11</v>
      </c>
      <c r="F40269">
        <v>618501</v>
      </c>
    </row>
    <row r="40270" spans="1:6" ht="15.75" customHeight="1">
      <c r="A40270" s="3">
        <v>43873.663831018523</v>
      </c>
      <c r="B40270" t="str">
        <f>HYPERLINK("https://twitter.com/MithaAy77996999","@MithaAy77996999")</f>
        <v>@MithaAy77996999</v>
      </c>
      <c r="C40270" t="s">
        <v>1770</v>
      </c>
      <c r="D40270">
        <v>1</v>
      </c>
      <c r="E40270">
        <v>4</v>
      </c>
      <c r="F40270">
        <v>494</v>
      </c>
    </row>
    <row r="40271" spans="1:6" ht="15.75" customHeight="1">
      <c r="A40271" s="3">
        <v>43873.663240740745</v>
      </c>
      <c r="B40271" t="str">
        <f>HYPERLINK("https://twitter.com/tvOneNews","@tvOneNews")</f>
        <v>@tvOneNews</v>
      </c>
      <c r="C40271" t="s">
        <v>1893</v>
      </c>
      <c r="D40271">
        <v>0</v>
      </c>
      <c r="E40271">
        <v>2</v>
      </c>
      <c r="F40271">
        <v>8714368</v>
      </c>
    </row>
    <row r="40272" spans="1:6" ht="15.75" customHeight="1">
      <c r="A40272" s="3">
        <v>43873.662905092591</v>
      </c>
      <c r="B40272" t="str">
        <f>HYPERLINK("https://twitter.com/tribunnews","@tribunnews")</f>
        <v>@tribunnews</v>
      </c>
      <c r="C40272" t="s">
        <v>1894</v>
      </c>
      <c r="D40272">
        <v>1</v>
      </c>
      <c r="E40272">
        <v>0</v>
      </c>
      <c r="F40272">
        <v>873082</v>
      </c>
    </row>
    <row r="40273" spans="1:6" ht="15.75" customHeight="1">
      <c r="A40273" s="3">
        <v>43873.662812499999</v>
      </c>
      <c r="B40273" t="str">
        <f>HYPERLINK("https://twitter.com/putucangkiri","@putucangkiri")</f>
        <v>@putucangkiri</v>
      </c>
      <c r="C40273" t="s">
        <v>1770</v>
      </c>
      <c r="D40273">
        <v>0</v>
      </c>
      <c r="E40273">
        <v>0</v>
      </c>
      <c r="F40273">
        <v>86</v>
      </c>
    </row>
    <row r="40274" spans="1:6" ht="15.75" customHeight="1">
      <c r="A40274" s="3">
        <v>43873.662789351853</v>
      </c>
      <c r="B40274" t="str">
        <f>HYPERLINK("https://twitter.com/tribunnews","@tribunnews")</f>
        <v>@tribunnews</v>
      </c>
      <c r="C40274" t="s">
        <v>1895</v>
      </c>
      <c r="D40274">
        <v>0</v>
      </c>
      <c r="E40274">
        <v>0</v>
      </c>
      <c r="F40274">
        <v>873082</v>
      </c>
    </row>
    <row r="40275" spans="1:6" ht="15.75" customHeight="1">
      <c r="A40275" s="3">
        <v>43873.662592592591</v>
      </c>
      <c r="B40275" t="str">
        <f>HYPERLINK("https://twitter.com/cooll04","@cooll04")</f>
        <v>@cooll04</v>
      </c>
      <c r="C40275" t="s">
        <v>1896</v>
      </c>
      <c r="D40275">
        <v>0</v>
      </c>
      <c r="E40275">
        <v>1</v>
      </c>
      <c r="F40275">
        <v>4492</v>
      </c>
    </row>
    <row r="40276" spans="1:6" ht="15.75" customHeight="1">
      <c r="A40276" s="3">
        <v>43873.661643518513</v>
      </c>
      <c r="B40276" t="str">
        <f>HYPERLINK("https://twitter.com/putucangkiri","@putucangkiri")</f>
        <v>@putucangkiri</v>
      </c>
      <c r="C40276" t="s">
        <v>1897</v>
      </c>
      <c r="D40276">
        <v>0</v>
      </c>
      <c r="E40276">
        <v>0</v>
      </c>
      <c r="F40276">
        <v>86</v>
      </c>
    </row>
    <row r="40277" spans="1:6" ht="15.75" customHeight="1">
      <c r="A40277" s="3">
        <v>43873.661296296297</v>
      </c>
      <c r="B40277" t="str">
        <f>HYPERLINK("https://twitter.com/aritrijunianto","@aritrijunianto")</f>
        <v>@aritrijunianto</v>
      </c>
      <c r="C40277" t="s">
        <v>1898</v>
      </c>
      <c r="D40277">
        <v>0</v>
      </c>
      <c r="E40277">
        <v>0</v>
      </c>
      <c r="F40277">
        <v>3543</v>
      </c>
    </row>
    <row r="40278" spans="1:6" ht="15.75" customHeight="1">
      <c r="A40278" s="3">
        <v>43873.660497685181</v>
      </c>
      <c r="B40278" t="str">
        <f>HYPERLINK("https://twitter.com/MurtadhaOne1","@MurtadhaOne1")</f>
        <v>@MurtadhaOne1</v>
      </c>
      <c r="C40278" t="s">
        <v>1899</v>
      </c>
      <c r="D40278">
        <v>3</v>
      </c>
      <c r="E40278">
        <v>10</v>
      </c>
      <c r="F40278">
        <v>5791</v>
      </c>
    </row>
    <row r="40279" spans="1:6" ht="15.75" customHeight="1">
      <c r="A40279" s="3">
        <v>43873.659004629633</v>
      </c>
      <c r="B40279" t="str">
        <f>HYPERLINK("https://twitter.com/WagimanDeep","@WagimanDeep")</f>
        <v>@WagimanDeep</v>
      </c>
      <c r="C40279" t="s">
        <v>1900</v>
      </c>
      <c r="D40279">
        <v>321</v>
      </c>
      <c r="E40279">
        <v>1343</v>
      </c>
      <c r="F40279">
        <v>66059</v>
      </c>
    </row>
    <row r="40280" spans="1:6" ht="15.75" customHeight="1">
      <c r="A40280" s="3">
        <v>43873.658703703702</v>
      </c>
      <c r="B40280" t="str">
        <f>HYPERLINK("https://twitter.com/OWeyai","@OWeyai")</f>
        <v>@OWeyai</v>
      </c>
      <c r="C40280" t="s">
        <v>1901</v>
      </c>
      <c r="D40280">
        <v>0</v>
      </c>
      <c r="E40280">
        <v>0</v>
      </c>
      <c r="F40280">
        <v>443</v>
      </c>
    </row>
    <row r="40281" spans="1:6" ht="15.75" customHeight="1">
      <c r="A40281" s="3">
        <v>43873.658229166671</v>
      </c>
      <c r="B40281" t="str">
        <f>HYPERLINK("https://twitter.com/rya_nugrohoi","@rya_nugrohoi")</f>
        <v>@rya_nugrohoi</v>
      </c>
      <c r="C40281" t="s">
        <v>1902</v>
      </c>
      <c r="D40281">
        <v>1</v>
      </c>
      <c r="E40281">
        <v>1</v>
      </c>
      <c r="F40281">
        <v>613</v>
      </c>
    </row>
    <row r="40282" spans="1:6" ht="15.75" customHeight="1">
      <c r="A40282" s="3">
        <v>43873.658217592594</v>
      </c>
      <c r="B40282" t="str">
        <f>HYPERLINK("https://twitter.com/terjituu","@terjituu")</f>
        <v>@terjituu</v>
      </c>
      <c r="C40282" t="s">
        <v>1903</v>
      </c>
      <c r="D40282">
        <v>0</v>
      </c>
      <c r="E40282">
        <v>0</v>
      </c>
      <c r="F40282">
        <v>5086</v>
      </c>
    </row>
    <row r="40283" spans="1:6" ht="15.75" customHeight="1">
      <c r="A40283" s="3">
        <v>43873.657789351855</v>
      </c>
      <c r="B40283" t="str">
        <f>HYPERLINK("https://twitter.com/ppmAswaja","@ppmAswaja")</f>
        <v>@ppmAswaja</v>
      </c>
      <c r="C40283" t="s">
        <v>1904</v>
      </c>
      <c r="D40283">
        <v>0</v>
      </c>
      <c r="E40283">
        <v>1</v>
      </c>
      <c r="F40283">
        <v>7839</v>
      </c>
    </row>
    <row r="40284" spans="1:6" ht="15.75" customHeight="1">
      <c r="A40284" s="3">
        <v>43873.657476851848</v>
      </c>
      <c r="B40284" t="str">
        <f>HYPERLINK("https://twitter.com/anti_mager","@anti_mager")</f>
        <v>@anti_mager</v>
      </c>
      <c r="C40284" t="s">
        <v>1905</v>
      </c>
      <c r="D40284">
        <v>0</v>
      </c>
      <c r="E40284">
        <v>0</v>
      </c>
      <c r="F40284">
        <v>6689</v>
      </c>
    </row>
    <row r="40285" spans="1:6" ht="15.75" customHeight="1">
      <c r="A40285" s="3">
        <v>43873.656736111108</v>
      </c>
      <c r="B40285" t="str">
        <f>HYPERLINK("https://twitter.com/Matromli17","@Matromli17")</f>
        <v>@Matromli17</v>
      </c>
      <c r="C40285" t="s">
        <v>1906</v>
      </c>
      <c r="D40285">
        <v>0</v>
      </c>
      <c r="E40285">
        <v>0</v>
      </c>
      <c r="F40285">
        <v>44</v>
      </c>
    </row>
    <row r="40286" spans="1:6" ht="15.75" customHeight="1">
      <c r="A40286" s="3">
        <v>43873.656527777777</v>
      </c>
      <c r="B40286" t="str">
        <f>HYPERLINK("https://twitter.com/AldiPra92","@AldiPra92")</f>
        <v>@AldiPra92</v>
      </c>
      <c r="C40286" t="s">
        <v>1770</v>
      </c>
      <c r="D40286">
        <v>2</v>
      </c>
      <c r="E40286">
        <v>2</v>
      </c>
      <c r="F40286">
        <v>238</v>
      </c>
    </row>
    <row r="40287" spans="1:6" ht="15.75" customHeight="1">
      <c r="A40287" s="3">
        <v>43873.656446759254</v>
      </c>
      <c r="B40287" t="str">
        <f>HYPERLINK("https://twitter.com/MasMasClin","@MasMasClin")</f>
        <v>@MasMasClin</v>
      </c>
      <c r="C40287" t="s">
        <v>1907</v>
      </c>
      <c r="D40287">
        <v>0</v>
      </c>
      <c r="E40287">
        <v>0</v>
      </c>
      <c r="F40287">
        <v>1441</v>
      </c>
    </row>
    <row r="40288" spans="1:6" ht="15.75" customHeight="1">
      <c r="A40288" s="3">
        <v>43873.65561342593</v>
      </c>
      <c r="B40288" t="str">
        <f>HYPERLINK("https://twitter.com/AldiPra92","@AldiPra92")</f>
        <v>@AldiPra92</v>
      </c>
      <c r="C40288" t="s">
        <v>1908</v>
      </c>
      <c r="D40288">
        <v>2</v>
      </c>
      <c r="E40288">
        <v>3</v>
      </c>
      <c r="F40288">
        <v>238</v>
      </c>
    </row>
    <row r="40289" spans="1:6" ht="15.75" customHeight="1">
      <c r="A40289" s="3">
        <v>43873.655601851853</v>
      </c>
      <c r="B40289" t="str">
        <f>HYPERLINK("https://twitter.com/dwirama89009610","@dwirama89009610")</f>
        <v>@dwirama89009610</v>
      </c>
      <c r="C40289" t="s">
        <v>1909</v>
      </c>
      <c r="D40289">
        <v>0</v>
      </c>
      <c r="E40289">
        <v>1</v>
      </c>
      <c r="F40289">
        <v>183</v>
      </c>
    </row>
    <row r="40290" spans="1:6" ht="15.75" customHeight="1">
      <c r="A40290" s="3">
        <v>43873.655590277776</v>
      </c>
      <c r="B40290" t="str">
        <f>HYPERLINK("https://twitter.com/SuaraJabarID","@SuaraJabarID")</f>
        <v>@SuaraJabarID</v>
      </c>
      <c r="C40290" t="s">
        <v>1910</v>
      </c>
      <c r="D40290">
        <v>0</v>
      </c>
      <c r="E40290">
        <v>0</v>
      </c>
      <c r="F40290">
        <v>649</v>
      </c>
    </row>
    <row r="40291" spans="1:6" ht="15.75" customHeight="1">
      <c r="A40291" s="3">
        <v>43873.655173611114</v>
      </c>
      <c r="B40291" t="str">
        <f>HYPERLINK("https://twitter.com/MonitorCOID","@MonitorCOID")</f>
        <v>@MonitorCOID</v>
      </c>
      <c r="C40291" t="s">
        <v>1867</v>
      </c>
      <c r="D40291">
        <v>0</v>
      </c>
      <c r="E40291">
        <v>0</v>
      </c>
      <c r="F40291">
        <v>2630</v>
      </c>
    </row>
    <row r="40292" spans="1:6" ht="15.75" customHeight="1">
      <c r="A40292" s="3">
        <v>43873.653923611113</v>
      </c>
      <c r="B40292" t="str">
        <f>HYPERLINK("https://twitter.com/Novelawai","@Novelawai")</f>
        <v>@Novelawai</v>
      </c>
      <c r="C40292" t="s">
        <v>1901</v>
      </c>
      <c r="D40292">
        <v>0</v>
      </c>
      <c r="E40292">
        <v>0</v>
      </c>
      <c r="F40292">
        <v>486</v>
      </c>
    </row>
    <row r="40293" spans="1:6" ht="15.75" customHeight="1">
      <c r="A40293" s="3">
        <v>43873.653564814813</v>
      </c>
      <c r="B40293" t="str">
        <f>HYPERLINK("https://twitter.com/ekprstyo","@ekprstyo")</f>
        <v>@ekprstyo</v>
      </c>
      <c r="C40293" t="s">
        <v>1911</v>
      </c>
      <c r="D40293">
        <v>0</v>
      </c>
      <c r="E40293">
        <v>0</v>
      </c>
      <c r="F40293">
        <v>195</v>
      </c>
    </row>
    <row r="40294" spans="1:6" ht="15.75" customHeight="1">
      <c r="A40294" s="3">
        <v>43873.653101851851</v>
      </c>
      <c r="B40294" t="str">
        <f>HYPERLINK("https://twitter.com/anti_mager","@anti_mager")</f>
        <v>@anti_mager</v>
      </c>
      <c r="C40294" t="s">
        <v>1912</v>
      </c>
      <c r="D40294">
        <v>0</v>
      </c>
      <c r="E40294">
        <v>0</v>
      </c>
      <c r="F40294">
        <v>6689</v>
      </c>
    </row>
    <row r="40295" spans="1:6" ht="15.75" customHeight="1">
      <c r="A40295" s="3">
        <v>43873.652743055558</v>
      </c>
      <c r="B40295" t="str">
        <f>HYPERLINK("https://twitter.com/PratamaUnggah","@PratamaUnggah")</f>
        <v>@PratamaUnggah</v>
      </c>
      <c r="C40295" t="s">
        <v>1913</v>
      </c>
      <c r="D40295">
        <v>0</v>
      </c>
      <c r="E40295">
        <v>0</v>
      </c>
      <c r="F40295">
        <v>10</v>
      </c>
    </row>
    <row r="40296" spans="1:6" ht="15.75" customHeight="1">
      <c r="A40296" s="3">
        <v>43873.652407407411</v>
      </c>
      <c r="B40296" t="str">
        <f>HYPERLINK("https://twitter.com/FajarJM","@FajarJM")</f>
        <v>@FajarJM</v>
      </c>
      <c r="C40296" t="s">
        <v>1914</v>
      </c>
      <c r="D40296">
        <v>0</v>
      </c>
      <c r="E40296">
        <v>1</v>
      </c>
      <c r="F40296">
        <v>1001</v>
      </c>
    </row>
    <row r="40297" spans="1:6" ht="15.75" customHeight="1">
      <c r="A40297" s="3">
        <v>43873.651759259257</v>
      </c>
      <c r="B40297" t="str">
        <f>HYPERLINK("https://twitter.com/vivanewscom","@vivanewscom")</f>
        <v>@vivanewscom</v>
      </c>
      <c r="C40297" t="s">
        <v>1915</v>
      </c>
      <c r="D40297">
        <v>1</v>
      </c>
      <c r="E40297">
        <v>1</v>
      </c>
      <c r="F40297">
        <v>4059</v>
      </c>
    </row>
    <row r="40298" spans="1:6" ht="15.75" customHeight="1">
      <c r="A40298" s="3">
        <v>43873.651608796295</v>
      </c>
      <c r="B40298" t="str">
        <f>HYPERLINK("https://twitter.com/Rasheed_inn","@Rasheed_inn")</f>
        <v>@Rasheed_inn</v>
      </c>
      <c r="C40298" t="s">
        <v>1916</v>
      </c>
      <c r="D40298">
        <v>0</v>
      </c>
      <c r="E40298">
        <v>0</v>
      </c>
      <c r="F40298">
        <v>3470</v>
      </c>
    </row>
    <row r="40299" spans="1:6" ht="15.75" customHeight="1">
      <c r="A40299" s="3">
        <v>43873.650902777779</v>
      </c>
      <c r="B40299" t="str">
        <f>HYPERLINK("https://twitter.com/StellaSuwardi","@StellaSuwardi")</f>
        <v>@StellaSuwardi</v>
      </c>
      <c r="C40299" t="s">
        <v>1917</v>
      </c>
      <c r="D40299">
        <v>9</v>
      </c>
      <c r="E40299">
        <v>19</v>
      </c>
      <c r="F40299">
        <v>4622</v>
      </c>
    </row>
    <row r="40300" spans="1:6" ht="15.75" customHeight="1">
      <c r="A40300" s="3">
        <v>43873.650844907403</v>
      </c>
      <c r="B40300" t="str">
        <f>HYPERLINK("https://twitter.com/BorayFrans","@BorayFrans")</f>
        <v>@BorayFrans</v>
      </c>
      <c r="C40300" t="s">
        <v>1918</v>
      </c>
      <c r="D40300">
        <v>2</v>
      </c>
      <c r="E40300">
        <v>3</v>
      </c>
      <c r="F40300">
        <v>166</v>
      </c>
    </row>
    <row r="40301" spans="1:6" ht="15.75" customHeight="1">
      <c r="A40301" s="3">
        <v>43873.650636574079</v>
      </c>
      <c r="B40301" t="str">
        <f>HYPERLINK("https://twitter.com/pariwaraku1","@pariwaraku1")</f>
        <v>@pariwaraku1</v>
      </c>
      <c r="C40301" t="s">
        <v>1919</v>
      </c>
      <c r="D40301">
        <v>0</v>
      </c>
      <c r="E40301">
        <v>0</v>
      </c>
      <c r="F40301">
        <v>0</v>
      </c>
    </row>
    <row r="40302" spans="1:6" ht="15.75" customHeight="1">
      <c r="A40302" s="3">
        <v>43873.65048611111</v>
      </c>
      <c r="B40302" t="str">
        <f>HYPERLINK("https://twitter.com/Bintang75879404","@Bintang75879404")</f>
        <v>@Bintang75879404</v>
      </c>
      <c r="D40302">
        <v>0</v>
      </c>
      <c r="E40302">
        <v>0</v>
      </c>
      <c r="F40302">
        <v>4</v>
      </c>
    </row>
    <row r="40303" spans="1:6" ht="15.75" customHeight="1">
      <c r="A40303" s="3">
        <v>43873.65</v>
      </c>
      <c r="B40303" t="str">
        <f>HYPERLINK("https://twitter.com/anti_mager","@anti_mager")</f>
        <v>@anti_mager</v>
      </c>
      <c r="C40303" t="s">
        <v>1921</v>
      </c>
      <c r="D40303">
        <v>0</v>
      </c>
      <c r="E40303">
        <v>0</v>
      </c>
      <c r="F40303">
        <v>6689</v>
      </c>
    </row>
    <row r="40304" spans="1:6" ht="15.75" customHeight="1">
      <c r="A40304" s="3">
        <v>43873.64980324074</v>
      </c>
      <c r="B40304" t="str">
        <f>HYPERLINK("https://twitter.com/eunikenov","@eunikenov")</f>
        <v>@eunikenov</v>
      </c>
      <c r="C40304" t="s">
        <v>1922</v>
      </c>
      <c r="D40304">
        <v>0</v>
      </c>
      <c r="E40304">
        <v>0</v>
      </c>
      <c r="F40304">
        <v>344</v>
      </c>
    </row>
    <row r="40305" spans="1:6" ht="15.75" customHeight="1">
      <c r="A40305" s="3">
        <v>43873.648715277777</v>
      </c>
      <c r="B40305" t="str">
        <f>HYPERLINK("https://twitter.com/CallMeNayr","@CallMeNayr")</f>
        <v>@CallMeNayr</v>
      </c>
      <c r="C40305" t="s">
        <v>1923</v>
      </c>
      <c r="D40305">
        <v>0</v>
      </c>
      <c r="E40305">
        <v>0</v>
      </c>
      <c r="F40305">
        <v>287</v>
      </c>
    </row>
    <row r="40306" spans="1:6" ht="15.75" customHeight="1">
      <c r="A40306" s="3">
        <v>43873.647951388892</v>
      </c>
      <c r="B40306" t="str">
        <f>HYPERLINK("https://twitter.com/tempodotco","@tempodotco")</f>
        <v>@tempodotco</v>
      </c>
      <c r="C40306" t="s">
        <v>1924</v>
      </c>
      <c r="D40306">
        <v>0</v>
      </c>
      <c r="E40306">
        <v>3</v>
      </c>
      <c r="F40306">
        <v>1702040</v>
      </c>
    </row>
    <row r="40307" spans="1:6" ht="15.75" customHeight="1">
      <c r="A40307" s="3">
        <v>43873.647615740745</v>
      </c>
      <c r="B40307" t="str">
        <f>HYPERLINK("https://twitter.com/anti_mager","@anti_mager")</f>
        <v>@anti_mager</v>
      </c>
      <c r="C40307" t="s">
        <v>1925</v>
      </c>
      <c r="D40307">
        <v>0</v>
      </c>
      <c r="E40307">
        <v>0</v>
      </c>
      <c r="F40307">
        <v>6689</v>
      </c>
    </row>
    <row r="40308" spans="1:6" ht="15.75" customHeight="1">
      <c r="A40308" s="3">
        <v>43873.647164351853</v>
      </c>
      <c r="B40308" t="str">
        <f>HYPERLINK("https://twitter.com/CallMeNayr","@CallMeNayr")</f>
        <v>@CallMeNayr</v>
      </c>
      <c r="C40308" t="s">
        <v>1926</v>
      </c>
      <c r="D40308">
        <v>0</v>
      </c>
      <c r="E40308">
        <v>0</v>
      </c>
      <c r="F40308">
        <v>287</v>
      </c>
    </row>
    <row r="40309" spans="1:6" ht="15.75" customHeight="1">
      <c r="A40309" s="3">
        <v>43873.647129629629</v>
      </c>
      <c r="B40309" t="str">
        <f>HYPERLINK("https://twitter.com/d_onenews_com","@d_onenews_com")</f>
        <v>@d_onenews_com</v>
      </c>
      <c r="C40309" t="s">
        <v>1927</v>
      </c>
      <c r="D40309">
        <v>0</v>
      </c>
      <c r="E40309">
        <v>0</v>
      </c>
      <c r="F40309">
        <v>108</v>
      </c>
    </row>
    <row r="40310" spans="1:6" ht="15.75" customHeight="1">
      <c r="A40310" s="3">
        <v>43873.646620370375</v>
      </c>
      <c r="B40310" t="str">
        <f>HYPERLINK("https://twitter.com/covesiacom","@covesiacom")</f>
        <v>@covesiacom</v>
      </c>
      <c r="C40310" t="s">
        <v>1928</v>
      </c>
      <c r="D40310">
        <v>0</v>
      </c>
      <c r="E40310">
        <v>0</v>
      </c>
      <c r="F40310">
        <v>6184</v>
      </c>
    </row>
    <row r="40311" spans="1:6" ht="15.75" customHeight="1">
      <c r="A40311" s="3">
        <v>43873.646620370375</v>
      </c>
      <c r="B40311" t="str">
        <f>HYPERLINK("https://twitter.com/CallMeNayr","@CallMeNayr")</f>
        <v>@CallMeNayr</v>
      </c>
      <c r="C40311" t="s">
        <v>1929</v>
      </c>
      <c r="D40311">
        <v>0</v>
      </c>
      <c r="E40311">
        <v>0</v>
      </c>
      <c r="F40311">
        <v>287</v>
      </c>
    </row>
    <row r="40312" spans="1:6" ht="15.75" customHeight="1">
      <c r="A40312" s="3">
        <v>43873.646516203706</v>
      </c>
      <c r="B40312" t="str">
        <f>HYPERLINK("https://twitter.com/dk_dedykusuma","@dk_dedykusuma")</f>
        <v>@dk_dedykusuma</v>
      </c>
      <c r="C40312" t="s">
        <v>1930</v>
      </c>
      <c r="D40312">
        <v>0</v>
      </c>
      <c r="E40312">
        <v>0</v>
      </c>
      <c r="F40312">
        <v>217</v>
      </c>
    </row>
    <row r="40313" spans="1:6" ht="15.75" customHeight="1">
      <c r="A40313" s="3">
        <v>43873.646365740744</v>
      </c>
      <c r="B40313" t="str">
        <f>HYPERLINK("https://twitter.com/SarangBerita","@SarangBerita")</f>
        <v>@SarangBerita</v>
      </c>
      <c r="D40313">
        <v>0</v>
      </c>
      <c r="E40313">
        <v>0</v>
      </c>
      <c r="F40313">
        <v>776</v>
      </c>
    </row>
    <row r="40314" spans="1:6" ht="15.75" customHeight="1">
      <c r="A40314" s="3">
        <v>43873.646319444444</v>
      </c>
      <c r="B40314" t="str">
        <f>HYPERLINK("https://twitter.com/tempodotco","@tempodotco")</f>
        <v>@tempodotco</v>
      </c>
      <c r="C40314" t="s">
        <v>1931</v>
      </c>
      <c r="D40314">
        <v>1</v>
      </c>
      <c r="E40314">
        <v>3</v>
      </c>
      <c r="F40314">
        <v>1702040</v>
      </c>
    </row>
    <row r="40315" spans="1:6" ht="15.75" customHeight="1">
      <c r="A40315" s="3">
        <v>43873.645960648151</v>
      </c>
      <c r="B40315" t="str">
        <f>HYPERLINK("https://twitter.com/cnbcindonesia","@cnbcindonesia")</f>
        <v>@cnbcindonesia</v>
      </c>
      <c r="C40315" t="s">
        <v>1932</v>
      </c>
      <c r="D40315">
        <v>1</v>
      </c>
      <c r="E40315">
        <v>1</v>
      </c>
      <c r="F40315">
        <v>29973</v>
      </c>
    </row>
    <row r="40316" spans="1:6" ht="15.75" customHeight="1">
      <c r="A40316" s="3">
        <v>43873.645937499998</v>
      </c>
      <c r="B40316" t="str">
        <f>HYPERLINK("https://twitter.com/CallMeNayr","@CallMeNayr")</f>
        <v>@CallMeNayr</v>
      </c>
      <c r="C40316" t="s">
        <v>1933</v>
      </c>
      <c r="D40316">
        <v>1</v>
      </c>
      <c r="E40316">
        <v>2</v>
      </c>
      <c r="F40316">
        <v>287</v>
      </c>
    </row>
    <row r="40317" spans="1:6" ht="15.75" customHeight="1">
      <c r="A40317" s="3">
        <v>43873.645833333328</v>
      </c>
      <c r="B40317" t="str">
        <f>HYPERLINK("https://twitter.com/dw_indonesia","@dw_indonesia")</f>
        <v>@dw_indonesia</v>
      </c>
      <c r="C40317" t="s">
        <v>1934</v>
      </c>
      <c r="D40317">
        <v>0</v>
      </c>
      <c r="E40317">
        <v>1</v>
      </c>
      <c r="F40317">
        <v>54878</v>
      </c>
    </row>
    <row r="40318" spans="1:6" ht="15.75" customHeight="1">
      <c r="A40318" s="3">
        <v>43873.645243055551</v>
      </c>
      <c r="B40318" t="str">
        <f>HYPERLINK("https://twitter.com/_albaiat","@_albaiat")</f>
        <v>@_albaiat</v>
      </c>
      <c r="C40318" t="s">
        <v>1935</v>
      </c>
      <c r="D40318">
        <v>3</v>
      </c>
      <c r="E40318">
        <v>1</v>
      </c>
      <c r="F40318">
        <v>851</v>
      </c>
    </row>
    <row r="40319" spans="1:6" ht="15.75" customHeight="1">
      <c r="A40319" s="3">
        <v>43873.645196759258</v>
      </c>
      <c r="B40319" t="str">
        <f>HYPERLINK("https://twitter.com/tempodotco","@tempodotco")</f>
        <v>@tempodotco</v>
      </c>
      <c r="C40319" t="s">
        <v>1936</v>
      </c>
      <c r="D40319">
        <v>3</v>
      </c>
      <c r="E40319">
        <v>14</v>
      </c>
      <c r="F40319">
        <v>1702040</v>
      </c>
    </row>
    <row r="40320" spans="1:6" ht="15.75" customHeight="1">
      <c r="A40320" s="3">
        <v>43873.645046296297</v>
      </c>
      <c r="B40320" t="str">
        <f>HYPERLINK("https://twitter.com/JhonniSinaga20","@JhonniSinaga20")</f>
        <v>@JhonniSinaga20</v>
      </c>
      <c r="C40320" t="s">
        <v>1937</v>
      </c>
      <c r="D40320">
        <v>0</v>
      </c>
      <c r="E40320">
        <v>0</v>
      </c>
      <c r="F40320">
        <v>527</v>
      </c>
    </row>
    <row r="40321" spans="1:6" ht="15.75" customHeight="1">
      <c r="A40321" s="3">
        <v>43873.642951388887</v>
      </c>
      <c r="B40321" t="str">
        <f>HYPERLINK("https://twitter.com/ANDRE_OCTA_","@ANDRE_OCTA_")</f>
        <v>@ANDRE_OCTA_</v>
      </c>
      <c r="C40321" t="s">
        <v>1938</v>
      </c>
      <c r="D40321">
        <v>1</v>
      </c>
      <c r="E40321">
        <v>2</v>
      </c>
      <c r="F40321">
        <v>16023</v>
      </c>
    </row>
    <row r="40322" spans="1:6" ht="15.75" customHeight="1">
      <c r="A40322" s="3">
        <v>43873.642546296294</v>
      </c>
      <c r="B40322" t="str">
        <f>HYPERLINK("https://twitter.com/PDIPmagetan","@PDIPmagetan")</f>
        <v>@PDIPmagetan</v>
      </c>
      <c r="C40322" t="s">
        <v>1939</v>
      </c>
      <c r="D40322">
        <v>0</v>
      </c>
      <c r="E40322">
        <v>0</v>
      </c>
      <c r="F40322">
        <v>706</v>
      </c>
    </row>
    <row r="40323" spans="1:6" ht="15.75" customHeight="1">
      <c r="A40323" s="3">
        <v>43873.642430555556</v>
      </c>
      <c r="B40323" t="str">
        <f>HYPERLINK("https://twitter.com/VIVAcoid","@VIVAcoid")</f>
        <v>@VIVAcoid</v>
      </c>
      <c r="C40323" t="s">
        <v>1940</v>
      </c>
      <c r="D40323">
        <v>0</v>
      </c>
      <c r="E40323">
        <v>1</v>
      </c>
      <c r="F40323">
        <v>4169052</v>
      </c>
    </row>
    <row r="40324" spans="1:6" ht="15.75" customHeight="1">
      <c r="A40324" s="3">
        <v>43873.641805555555</v>
      </c>
      <c r="B40324" t="str">
        <f>HYPERLINK("https://twitter.com/CNNIndonesia","@CNNIndonesia")</f>
        <v>@CNNIndonesia</v>
      </c>
      <c r="C40324" t="s">
        <v>1941</v>
      </c>
      <c r="D40324">
        <v>13</v>
      </c>
      <c r="E40324">
        <v>58</v>
      </c>
      <c r="F40324">
        <v>618501</v>
      </c>
    </row>
    <row r="40325" spans="1:6" ht="15.75" customHeight="1">
      <c r="A40325" s="3">
        <v>43873.641481481478</v>
      </c>
      <c r="B40325" t="str">
        <f>HYPERLINK("https://twitter.com/ICJRid","@ICJRid")</f>
        <v>@ICJRid</v>
      </c>
      <c r="C40325" t="s">
        <v>1942</v>
      </c>
      <c r="D40325">
        <v>7</v>
      </c>
      <c r="E40325">
        <v>7</v>
      </c>
      <c r="F40325">
        <v>5997</v>
      </c>
    </row>
    <row r="40326" spans="1:6" ht="15.75" customHeight="1">
      <c r="A40326" s="3">
        <v>43873.641122685185</v>
      </c>
      <c r="B40326" t="str">
        <f t="shared" ref="B40326:B40327" si="481">HYPERLINK("https://twitter.com/ichaswe","@ichaswe")</f>
        <v>@ichaswe</v>
      </c>
      <c r="C40326" t="s">
        <v>1943</v>
      </c>
      <c r="D40326">
        <v>0</v>
      </c>
      <c r="E40326">
        <v>0</v>
      </c>
      <c r="F40326">
        <v>1262</v>
      </c>
    </row>
    <row r="40327" spans="1:6" ht="15.75" customHeight="1">
      <c r="A40327" s="3">
        <v>43873.639363425929</v>
      </c>
      <c r="B40327" t="str">
        <f t="shared" si="481"/>
        <v>@ichaswe</v>
      </c>
      <c r="C40327" t="s">
        <v>1944</v>
      </c>
      <c r="D40327">
        <v>2</v>
      </c>
      <c r="E40327">
        <v>2</v>
      </c>
      <c r="F40327">
        <v>1262</v>
      </c>
    </row>
    <row r="40328" spans="1:6" ht="15.75" customHeight="1">
      <c r="A40328" s="3">
        <v>43873.638703703706</v>
      </c>
      <c r="B40328" t="str">
        <f>HYPERLINK("https://twitter.com/serambinews","@serambinews")</f>
        <v>@serambinews</v>
      </c>
      <c r="C40328" t="s">
        <v>1945</v>
      </c>
      <c r="D40328">
        <v>0</v>
      </c>
      <c r="E40328">
        <v>0</v>
      </c>
      <c r="F40328">
        <v>83493</v>
      </c>
    </row>
    <row r="40329" spans="1:6" ht="15.75" customHeight="1">
      <c r="A40329" s="3">
        <v>43873.638090277775</v>
      </c>
      <c r="B40329" t="str">
        <f>HYPERLINK("https://twitter.com/D_Demus","@D_Demus")</f>
        <v>@D_Demus</v>
      </c>
      <c r="C40329" t="s">
        <v>1946</v>
      </c>
      <c r="D40329">
        <v>0</v>
      </c>
      <c r="E40329">
        <v>0</v>
      </c>
      <c r="F40329">
        <v>198</v>
      </c>
    </row>
    <row r="40330" spans="1:6" ht="15.75" customHeight="1">
      <c r="A40330" s="3">
        <v>43873.636516203704</v>
      </c>
      <c r="B40330" t="str">
        <f>HYPERLINK("https://twitter.com/yogha1","@yogha1")</f>
        <v>@yogha1</v>
      </c>
      <c r="C40330" t="s">
        <v>1947</v>
      </c>
      <c r="D40330">
        <v>0</v>
      </c>
      <c r="E40330">
        <v>0</v>
      </c>
      <c r="F40330">
        <v>264</v>
      </c>
    </row>
    <row r="40331" spans="1:6" ht="15.75" customHeight="1">
      <c r="A40331" s="3">
        <v>43873.636041666672</v>
      </c>
      <c r="B40331" t="str">
        <f>HYPERLINK("https://twitter.com/tempodotco","@tempodotco")</f>
        <v>@tempodotco</v>
      </c>
      <c r="C40331" t="s">
        <v>1948</v>
      </c>
      <c r="D40331">
        <v>1</v>
      </c>
      <c r="E40331">
        <v>3</v>
      </c>
      <c r="F40331">
        <v>1702040</v>
      </c>
    </row>
    <row r="40332" spans="1:6" ht="15.75" customHeight="1">
      <c r="A40332" s="3">
        <v>43873.635277777779</v>
      </c>
      <c r="B40332" t="str">
        <f>HYPERLINK("https://twitter.com/NHayati888","@NHayati888")</f>
        <v>@NHayati888</v>
      </c>
      <c r="C40332" t="s">
        <v>1949</v>
      </c>
      <c r="D40332">
        <v>1</v>
      </c>
      <c r="E40332">
        <v>1</v>
      </c>
      <c r="F40332">
        <v>21</v>
      </c>
    </row>
    <row r="40333" spans="1:6" ht="15.75" customHeight="1">
      <c r="A40333" s="3">
        <v>43873.635092592594</v>
      </c>
      <c r="B40333" t="str">
        <f>HYPERLINK("https://twitter.com/RapiHerdiansyah","@RapiHerdiansyah")</f>
        <v>@RapiHerdiansyah</v>
      </c>
      <c r="C40333" t="s">
        <v>1950</v>
      </c>
      <c r="D40333">
        <v>0</v>
      </c>
      <c r="E40333">
        <v>0</v>
      </c>
      <c r="F40333">
        <v>1357</v>
      </c>
    </row>
    <row r="40334" spans="1:6" ht="15.75" customHeight="1">
      <c r="A40334" s="3">
        <v>43873.635092592594</v>
      </c>
      <c r="B40334" t="str">
        <f>HYPERLINK("https://twitter.com/newsmediacoid","@newsmediacoid")</f>
        <v>@newsmediacoid</v>
      </c>
      <c r="C40334" t="s">
        <v>1950</v>
      </c>
      <c r="D40334">
        <v>1</v>
      </c>
      <c r="E40334">
        <v>0</v>
      </c>
      <c r="F40334">
        <v>1383</v>
      </c>
    </row>
    <row r="40335" spans="1:6" ht="15.75" customHeight="1">
      <c r="A40335" s="3">
        <v>43873.634525462963</v>
      </c>
      <c r="B40335" t="str">
        <f>HYPERLINK("https://twitter.com/sbcsby","@sbcsby")</f>
        <v>@sbcsby</v>
      </c>
      <c r="C40335" t="s">
        <v>1951</v>
      </c>
      <c r="D40335">
        <v>0</v>
      </c>
      <c r="E40335">
        <v>0</v>
      </c>
      <c r="F40335">
        <v>11</v>
      </c>
    </row>
    <row r="40336" spans="1:6" ht="15.75" customHeight="1">
      <c r="A40336" s="3">
        <v>43873.634074074071</v>
      </c>
      <c r="B40336" t="str">
        <f>HYPERLINK("https://twitter.com/ariel_heryanto","@ariel_heryanto")</f>
        <v>@ariel_heryanto</v>
      </c>
      <c r="C40336" t="s">
        <v>1952</v>
      </c>
      <c r="D40336">
        <v>138</v>
      </c>
      <c r="E40336">
        <v>381</v>
      </c>
      <c r="F40336">
        <v>55871</v>
      </c>
    </row>
    <row r="40337" spans="1:6" ht="15.75" customHeight="1">
      <c r="A40337" s="3">
        <v>43873.633703703701</v>
      </c>
      <c r="B40337" t="str">
        <f>HYPERLINK("https://twitter.com/DuwiNuraeni","@DuwiNuraeni")</f>
        <v>@DuwiNuraeni</v>
      </c>
      <c r="C40337" t="s">
        <v>1950</v>
      </c>
      <c r="D40337">
        <v>0</v>
      </c>
      <c r="E40337">
        <v>0</v>
      </c>
      <c r="F40337">
        <v>872</v>
      </c>
    </row>
    <row r="40338" spans="1:6" ht="15.75" customHeight="1">
      <c r="A40338" s="3">
        <v>43873.633692129632</v>
      </c>
      <c r="B40338" t="str">
        <f>HYPERLINK("https://twitter.com/bc_institut","@bc_institut")</f>
        <v>@bc_institut</v>
      </c>
      <c r="C40338" t="s">
        <v>1950</v>
      </c>
      <c r="D40338">
        <v>0</v>
      </c>
      <c r="E40338">
        <v>0</v>
      </c>
      <c r="F40338">
        <v>233</v>
      </c>
    </row>
    <row r="40339" spans="1:6" ht="15.75" customHeight="1">
      <c r="A40339" s="3">
        <v>43873.633437500001</v>
      </c>
      <c r="B40339" t="str">
        <f>HYPERLINK("https://twitter.com/jesostro","@jesostro")</f>
        <v>@jesostro</v>
      </c>
      <c r="C40339" t="s">
        <v>1953</v>
      </c>
      <c r="D40339">
        <v>1</v>
      </c>
      <c r="E40339">
        <v>1</v>
      </c>
      <c r="F40339">
        <v>15</v>
      </c>
    </row>
    <row r="40340" spans="1:6" ht="15.75" customHeight="1">
      <c r="A40340" s="3">
        <v>43873.632766203707</v>
      </c>
      <c r="B40340" t="str">
        <f>HYPERLINK("https://twitter.com/jr_kw19","@jr_kw19")</f>
        <v>@jr_kw19</v>
      </c>
      <c r="C40340" t="s">
        <v>1954</v>
      </c>
      <c r="D40340">
        <v>7</v>
      </c>
      <c r="E40340">
        <v>15</v>
      </c>
      <c r="F40340">
        <v>39438</v>
      </c>
    </row>
    <row r="40341" spans="1:6" ht="15.75" customHeight="1">
      <c r="A40341" s="3">
        <v>43873.631967592592</v>
      </c>
      <c r="B40341" t="str">
        <f>HYPERLINK("https://twitter.com/SayHeiYu","@SayHeiYu")</f>
        <v>@SayHeiYu</v>
      </c>
      <c r="C40341" t="s">
        <v>1128</v>
      </c>
      <c r="D40341">
        <v>0</v>
      </c>
      <c r="E40341">
        <v>0</v>
      </c>
      <c r="F40341">
        <v>120179</v>
      </c>
    </row>
    <row r="40342" spans="1:6" ht="15.75" customHeight="1">
      <c r="A40342" s="3">
        <v>43873.631956018522</v>
      </c>
      <c r="B40342" t="str">
        <f>HYPERLINK("https://twitter.com/indonesiana","@indonesiana")</f>
        <v>@indonesiana</v>
      </c>
      <c r="C40342" t="s">
        <v>1955</v>
      </c>
      <c r="D40342">
        <v>0</v>
      </c>
      <c r="E40342">
        <v>0</v>
      </c>
      <c r="F40342">
        <v>49508</v>
      </c>
    </row>
    <row r="40343" spans="1:6" ht="15.75" customHeight="1">
      <c r="A40343" s="3">
        <v>43873.631678240738</v>
      </c>
      <c r="B40343" t="str">
        <f>HYPERLINK("https://twitter.com/publicanews","@publicanews")</f>
        <v>@publicanews</v>
      </c>
      <c r="C40343" t="s">
        <v>654</v>
      </c>
      <c r="D40343">
        <v>0</v>
      </c>
      <c r="E40343">
        <v>0</v>
      </c>
      <c r="F40343">
        <v>157</v>
      </c>
    </row>
    <row r="40344" spans="1:6" ht="15.75" customHeight="1">
      <c r="A40344" s="3">
        <v>43873.631493055553</v>
      </c>
      <c r="B40344" t="str">
        <f>HYPERLINK("https://twitter.com/UmyRina","@UmyRina")</f>
        <v>@UmyRina</v>
      </c>
      <c r="C40344" t="s">
        <v>1956</v>
      </c>
      <c r="D40344">
        <v>0</v>
      </c>
      <c r="E40344">
        <v>0</v>
      </c>
      <c r="F40344">
        <v>358</v>
      </c>
    </row>
    <row r="40345" spans="1:6" ht="15.75" customHeight="1">
      <c r="A40345" s="3">
        <v>43873.630914351852</v>
      </c>
      <c r="B40345" t="str">
        <f>HYPERLINK("https://twitter.com/idn_update","@idn_update")</f>
        <v>@idn_update</v>
      </c>
      <c r="C40345" t="s">
        <v>1770</v>
      </c>
      <c r="D40345">
        <v>1</v>
      </c>
      <c r="E40345">
        <v>1</v>
      </c>
      <c r="F40345">
        <v>676</v>
      </c>
    </row>
    <row r="40346" spans="1:6" ht="15.75" customHeight="1">
      <c r="A40346" s="3">
        <v>43873.630740740744</v>
      </c>
      <c r="B40346" t="str">
        <f>HYPERLINK("https://twitter.com/DirejaRangga","@DirejaRangga")</f>
        <v>@DirejaRangga</v>
      </c>
      <c r="C40346" t="s">
        <v>1957</v>
      </c>
      <c r="D40346">
        <v>0</v>
      </c>
      <c r="E40346">
        <v>0</v>
      </c>
      <c r="F40346">
        <v>125</v>
      </c>
    </row>
    <row r="40347" spans="1:6" ht="15.75" customHeight="1">
      <c r="A40347" s="3">
        <v>43873.630266203705</v>
      </c>
      <c r="B40347" t="str">
        <f>HYPERLINK("https://twitter.com/StellaSuwardi","@StellaSuwardi")</f>
        <v>@StellaSuwardi</v>
      </c>
      <c r="C40347" t="s">
        <v>1958</v>
      </c>
      <c r="D40347">
        <v>2</v>
      </c>
      <c r="E40347">
        <v>2</v>
      </c>
      <c r="F40347">
        <v>4622</v>
      </c>
    </row>
    <row r="40348" spans="1:6" ht="15.75" customHeight="1">
      <c r="A40348" s="3">
        <v>43873.630104166667</v>
      </c>
      <c r="B40348" t="str">
        <f>HYPERLINK("https://twitter.com/noeruzzaman","@noeruzzaman")</f>
        <v>@noeruzzaman</v>
      </c>
      <c r="C40348" t="s">
        <v>1959</v>
      </c>
      <c r="D40348">
        <v>3</v>
      </c>
      <c r="E40348">
        <v>11</v>
      </c>
      <c r="F40348">
        <v>20569</v>
      </c>
    </row>
    <row r="40349" spans="1:6" ht="15.75" customHeight="1">
      <c r="A40349" s="3">
        <v>43873.629467592589</v>
      </c>
      <c r="B40349" t="str">
        <f>HYPERLINK("https://twitter.com/tribunnews","@tribunnews")</f>
        <v>@tribunnews</v>
      </c>
      <c r="C40349" t="s">
        <v>1960</v>
      </c>
      <c r="D40349">
        <v>1</v>
      </c>
      <c r="E40349">
        <v>0</v>
      </c>
      <c r="F40349">
        <v>873082</v>
      </c>
    </row>
    <row r="40350" spans="1:6" ht="15.75" customHeight="1">
      <c r="A40350" s="3">
        <v>43873.629108796296</v>
      </c>
      <c r="B40350" t="str">
        <f>HYPERLINK("https://twitter.com/AMRANAL57189583","@AMRANAL57189583")</f>
        <v>@AMRANAL57189583</v>
      </c>
      <c r="C40350" t="s">
        <v>1961</v>
      </c>
      <c r="D40350">
        <v>0</v>
      </c>
      <c r="E40350">
        <v>0</v>
      </c>
      <c r="F40350">
        <v>1</v>
      </c>
    </row>
    <row r="40351" spans="1:6" ht="15.75" customHeight="1">
      <c r="A40351" s="3">
        <v>43873.627800925926</v>
      </c>
      <c r="B40351" t="str">
        <f>HYPERLINK("https://twitter.com/jpnncom","@jpnncom")</f>
        <v>@jpnncom</v>
      </c>
      <c r="C40351" t="s">
        <v>1962</v>
      </c>
      <c r="D40351">
        <v>1</v>
      </c>
      <c r="E40351">
        <v>0</v>
      </c>
      <c r="F40351">
        <v>49438</v>
      </c>
    </row>
    <row r="40352" spans="1:6" ht="15.75" customHeight="1">
      <c r="A40352" s="3">
        <v>43873.627766203703</v>
      </c>
      <c r="B40352" t="str">
        <f>HYPERLINK("https://twitter.com/jesostro","@jesostro")</f>
        <v>@jesostro</v>
      </c>
      <c r="C40352" t="s">
        <v>1623</v>
      </c>
      <c r="D40352">
        <v>0</v>
      </c>
      <c r="E40352">
        <v>0</v>
      </c>
      <c r="F40352">
        <v>15</v>
      </c>
    </row>
    <row r="40353" spans="1:6" ht="15.75" customHeight="1">
      <c r="A40353" s="3">
        <v>43873.62636574074</v>
      </c>
      <c r="B40353" t="str">
        <f>HYPERLINK("https://twitter.com/kakcahyono","@kakcahyono")</f>
        <v>@kakcahyono</v>
      </c>
      <c r="C40353" t="s">
        <v>1963</v>
      </c>
      <c r="D40353">
        <v>0</v>
      </c>
      <c r="E40353">
        <v>0</v>
      </c>
      <c r="F40353">
        <v>4</v>
      </c>
    </row>
    <row r="40354" spans="1:6" ht="15.75" customHeight="1">
      <c r="A40354" s="3">
        <v>43873.625868055555</v>
      </c>
      <c r="B40354" t="str">
        <f>HYPERLINK("https://twitter.com/sulistiawan_rd","@sulistiawan_rd")</f>
        <v>@sulistiawan_rd</v>
      </c>
      <c r="C40354" t="s">
        <v>1964</v>
      </c>
      <c r="D40354">
        <v>0</v>
      </c>
      <c r="E40354">
        <v>0</v>
      </c>
      <c r="F40354">
        <v>733</v>
      </c>
    </row>
    <row r="40355" spans="1:6" ht="15.75" customHeight="1">
      <c r="A40355" s="3">
        <v>43873.625659722224</v>
      </c>
      <c r="B40355" t="str">
        <f>HYPERLINK("https://twitter.com/abdmutallib","@abdmutallib")</f>
        <v>@abdmutallib</v>
      </c>
      <c r="C40355" t="s">
        <v>1965</v>
      </c>
      <c r="D40355">
        <v>0</v>
      </c>
      <c r="E40355">
        <v>0</v>
      </c>
      <c r="F40355">
        <v>1</v>
      </c>
    </row>
    <row r="40356" spans="1:6" ht="15.75" customHeight="1">
      <c r="A40356" s="3">
        <v>43873.625486111108</v>
      </c>
      <c r="B40356" t="str">
        <f>HYPERLINK("https://twitter.com/abidaqilian","@abidaqilian")</f>
        <v>@abidaqilian</v>
      </c>
      <c r="C40356" t="s">
        <v>1966</v>
      </c>
      <c r="D40356">
        <v>0</v>
      </c>
      <c r="E40356">
        <v>0</v>
      </c>
      <c r="F40356">
        <v>2</v>
      </c>
    </row>
    <row r="40357" spans="1:6" ht="15.75" customHeight="1">
      <c r="A40357" s="3">
        <v>43873.625393518523</v>
      </c>
      <c r="B40357" t="str">
        <f>HYPERLINK("https://twitter.com/abidfadhilaby","@abidfadhilaby")</f>
        <v>@abidfadhilaby</v>
      </c>
      <c r="C40357" t="s">
        <v>1967</v>
      </c>
      <c r="D40357">
        <v>0</v>
      </c>
      <c r="E40357">
        <v>0</v>
      </c>
      <c r="F40357">
        <v>3</v>
      </c>
    </row>
    <row r="40358" spans="1:6" ht="15.75" customHeight="1">
      <c r="A40358" s="3">
        <v>43873.625300925924</v>
      </c>
      <c r="B40358" t="str">
        <f>HYPERLINK("https://twitter.com/abidfunazhim","@abidfunazhim")</f>
        <v>@abidfunazhim</v>
      </c>
      <c r="C40358" t="s">
        <v>1968</v>
      </c>
      <c r="D40358">
        <v>0</v>
      </c>
      <c r="E40358">
        <v>0</v>
      </c>
      <c r="F40358">
        <v>0</v>
      </c>
    </row>
    <row r="40359" spans="1:6" ht="15.75" customHeight="1">
      <c r="A40359" s="3">
        <v>43873.624351851853</v>
      </c>
      <c r="B40359" t="str">
        <f>HYPERLINK("https://twitter.com/afandijayae","@afandijayae")</f>
        <v>@afandijayae</v>
      </c>
      <c r="C40359" t="s">
        <v>1969</v>
      </c>
      <c r="D40359">
        <v>0</v>
      </c>
      <c r="E40359">
        <v>0</v>
      </c>
      <c r="F40359">
        <v>1</v>
      </c>
    </row>
    <row r="40360" spans="1:6" ht="15.75" customHeight="1">
      <c r="A40360" s="3">
        <v>43873.623506944445</v>
      </c>
      <c r="B40360" t="str">
        <f>HYPERLINK("https://twitter.com/telemu_","@telemu_")</f>
        <v>@telemu_</v>
      </c>
      <c r="C40360" t="s">
        <v>1970</v>
      </c>
      <c r="D40360">
        <v>0</v>
      </c>
      <c r="E40360">
        <v>0</v>
      </c>
      <c r="F40360">
        <v>1477</v>
      </c>
    </row>
    <row r="40361" spans="1:6" ht="15.75" customHeight="1">
      <c r="A40361" s="3">
        <v>43873.62336805556</v>
      </c>
      <c r="B40361" t="str">
        <f>HYPERLINK("https://twitter.com/afifalwalsaid","@afifalwalsaid")</f>
        <v>@afifalwalsaid</v>
      </c>
      <c r="C40361" t="s">
        <v>1971</v>
      </c>
      <c r="D40361">
        <v>0</v>
      </c>
      <c r="E40361">
        <v>0</v>
      </c>
      <c r="F40361">
        <v>0</v>
      </c>
    </row>
    <row r="40362" spans="1:6" ht="15.75" customHeight="1">
      <c r="A40362" s="3">
        <v>43873.62300925926</v>
      </c>
      <c r="B40362" t="str">
        <f>HYPERLINK("https://twitter.com/ahnafusshalihin","@ahnafusshalihin")</f>
        <v>@ahnafusshalihin</v>
      </c>
      <c r="C40362" t="s">
        <v>1972</v>
      </c>
      <c r="D40362">
        <v>0</v>
      </c>
      <c r="E40362">
        <v>0</v>
      </c>
      <c r="F40362">
        <v>1</v>
      </c>
    </row>
    <row r="40363" spans="1:6" ht="15.75" customHeight="1">
      <c r="A40363" s="3">
        <v>43873.622766203705</v>
      </c>
      <c r="B40363" t="str">
        <f>HYPERLINK("https://twitter.com/AnakLolina","@AnakLolina")</f>
        <v>@AnakLolina</v>
      </c>
      <c r="C40363" t="s">
        <v>1973</v>
      </c>
      <c r="D40363">
        <v>27</v>
      </c>
      <c r="E40363">
        <v>46</v>
      </c>
      <c r="F40363">
        <v>14486</v>
      </c>
    </row>
    <row r="40364" spans="1:6" ht="15.75" customHeight="1">
      <c r="A40364" s="3">
        <v>43873.622118055559</v>
      </c>
      <c r="B40364" t="str">
        <f>HYPERLINK("https://twitter.com/asmaanabadi","@asmaanabadi")</f>
        <v>@asmaanabadi</v>
      </c>
      <c r="C40364" t="s">
        <v>1974</v>
      </c>
      <c r="D40364">
        <v>0</v>
      </c>
      <c r="E40364">
        <v>0</v>
      </c>
      <c r="F40364">
        <v>4</v>
      </c>
    </row>
    <row r="40365" spans="1:6" ht="15.75" customHeight="1">
      <c r="A40365" s="3">
        <v>43873.621770833328</v>
      </c>
      <c r="B40365" t="str">
        <f>HYPERLINK("https://twitter.com/azamuddinwahid","@azamuddinwahid")</f>
        <v>@azamuddinwahid</v>
      </c>
      <c r="C40365" t="s">
        <v>1975</v>
      </c>
      <c r="D40365">
        <v>0</v>
      </c>
      <c r="E40365">
        <v>0</v>
      </c>
      <c r="F40365">
        <v>3</v>
      </c>
    </row>
    <row r="40366" spans="1:6" ht="15.75" customHeight="1">
      <c r="A40366" s="3">
        <v>43873.621574074074</v>
      </c>
      <c r="B40366" t="str">
        <f>HYPERLINK("https://twitter.com/KontanNews","@KontanNews")</f>
        <v>@KontanNews</v>
      </c>
      <c r="C40366" t="s">
        <v>1976</v>
      </c>
      <c r="D40366">
        <v>0</v>
      </c>
      <c r="E40366">
        <v>0</v>
      </c>
      <c r="F40366">
        <v>316253</v>
      </c>
    </row>
    <row r="40367" spans="1:6" ht="15.75" customHeight="1">
      <c r="A40367" s="3">
        <v>43873.621527777781</v>
      </c>
      <c r="B40367" t="str">
        <f>HYPERLINK("https://twitter.com/kompascom","@kompascom")</f>
        <v>@kompascom</v>
      </c>
      <c r="C40367" t="s">
        <v>1977</v>
      </c>
      <c r="D40367">
        <v>9</v>
      </c>
      <c r="E40367">
        <v>30</v>
      </c>
      <c r="F40367">
        <v>7496984</v>
      </c>
    </row>
    <row r="40368" spans="1:6" ht="15.75" customHeight="1">
      <c r="A40368" s="3">
        <v>43873.621307870373</v>
      </c>
      <c r="B40368" t="str">
        <f>HYPERLINK("https://twitter.com/basitahmadi","@basitahmadi")</f>
        <v>@basitahmadi</v>
      </c>
      <c r="C40368" t="s">
        <v>1963</v>
      </c>
      <c r="D40368">
        <v>0</v>
      </c>
      <c r="E40368">
        <v>0</v>
      </c>
      <c r="F40368">
        <v>1</v>
      </c>
    </row>
    <row r="40369" spans="1:6" ht="15.75" customHeight="1">
      <c r="A40369" s="3">
        <v>43873.620648148149</v>
      </c>
      <c r="B40369" t="str">
        <f>HYPERLINK("https://twitter.com/TakanaJuo6","@TakanaJuo6")</f>
        <v>@TakanaJuo6</v>
      </c>
      <c r="C40369" t="s">
        <v>1978</v>
      </c>
      <c r="D40369">
        <v>0</v>
      </c>
      <c r="E40369">
        <v>0</v>
      </c>
      <c r="F40369">
        <v>7</v>
      </c>
    </row>
    <row r="40370" spans="1:6" ht="15.75" customHeight="1">
      <c r="A40370" s="3">
        <v>43873.620428240742</v>
      </c>
      <c r="B40370" t="str">
        <f>HYPERLINK("https://twitter.com/elsantiwibawa","@elsantiwibawa")</f>
        <v>@elsantiwibawa</v>
      </c>
      <c r="C40370" t="s">
        <v>1965</v>
      </c>
      <c r="D40370">
        <v>0</v>
      </c>
      <c r="E40370">
        <v>0</v>
      </c>
      <c r="F40370">
        <v>33</v>
      </c>
    </row>
    <row r="40371" spans="1:6" ht="15.75" customHeight="1">
      <c r="A40371" s="3">
        <v>43873.620393518519</v>
      </c>
      <c r="B40371" t="str">
        <f>HYPERLINK("https://twitter.com/TakanaJuo6","@TakanaJuo6")</f>
        <v>@TakanaJuo6</v>
      </c>
      <c r="C40371" t="s">
        <v>1979</v>
      </c>
      <c r="D40371">
        <v>0</v>
      </c>
      <c r="E40371">
        <v>0</v>
      </c>
      <c r="F40371">
        <v>7</v>
      </c>
    </row>
    <row r="40372" spans="1:6" ht="15.75" customHeight="1">
      <c r="A40372" s="3">
        <v>43873.620266203703</v>
      </c>
      <c r="B40372" t="str">
        <f>HYPERLINK("https://twitter.com/gerihanubun","@gerihanubun")</f>
        <v>@gerihanubun</v>
      </c>
      <c r="C40372" t="s">
        <v>1966</v>
      </c>
      <c r="D40372">
        <v>0</v>
      </c>
      <c r="E40372">
        <v>0</v>
      </c>
      <c r="F40372">
        <v>24</v>
      </c>
    </row>
    <row r="40373" spans="1:6" ht="15.75" customHeight="1">
      <c r="A40373" s="3">
        <v>43873.620266203703</v>
      </c>
      <c r="B40373" t="str">
        <f>HYPERLINK("https://twitter.com/Beritasatu","@Beritasatu")</f>
        <v>@Beritasatu</v>
      </c>
      <c r="C40373" t="s">
        <v>1980</v>
      </c>
      <c r="D40373">
        <v>0</v>
      </c>
      <c r="E40373">
        <v>0</v>
      </c>
      <c r="F40373">
        <v>613637</v>
      </c>
    </row>
    <row r="40374" spans="1:6" ht="15.75" customHeight="1">
      <c r="A40374" s="3">
        <v>43873.620219907403</v>
      </c>
      <c r="B40374" t="str">
        <f>HYPERLINK("https://twitter.com/haji_ucokbaba","@haji_ucokbaba")</f>
        <v>@haji_ucokbaba</v>
      </c>
      <c r="C40374" t="s">
        <v>1967</v>
      </c>
      <c r="D40374">
        <v>0</v>
      </c>
      <c r="E40374">
        <v>0</v>
      </c>
      <c r="F40374">
        <v>2</v>
      </c>
    </row>
    <row r="40375" spans="1:6" ht="15.75" customHeight="1">
      <c r="A40375" s="3">
        <v>43873.620150462964</v>
      </c>
      <c r="B40375" t="str">
        <f>HYPERLINK("https://twitter.com/hajitanjung","@hajitanjung")</f>
        <v>@hajitanjung</v>
      </c>
      <c r="C40375" t="s">
        <v>1968</v>
      </c>
      <c r="D40375">
        <v>0</v>
      </c>
      <c r="E40375">
        <v>0</v>
      </c>
      <c r="F40375">
        <v>4</v>
      </c>
    </row>
    <row r="40376" spans="1:6" ht="15.75" customHeight="1">
      <c r="A40376" s="3">
        <v>43873.620127314818</v>
      </c>
      <c r="B40376" t="str">
        <f>HYPERLINK("https://twitter.com/In_drael","@In_drael")</f>
        <v>@In_drael</v>
      </c>
      <c r="C40376" t="s">
        <v>1981</v>
      </c>
      <c r="D40376">
        <v>0</v>
      </c>
      <c r="E40376">
        <v>0</v>
      </c>
      <c r="F40376">
        <v>367</v>
      </c>
    </row>
    <row r="40377" spans="1:6" ht="15.75" customHeight="1">
      <c r="A40377" s="3">
        <v>43873.619675925926</v>
      </c>
      <c r="B40377" t="str">
        <f>HYPERLINK("https://twitter.com/Bangzul__88","@Bangzul__88")</f>
        <v>@Bangzul__88</v>
      </c>
      <c r="C40377" t="s">
        <v>1982</v>
      </c>
      <c r="D40377">
        <v>14</v>
      </c>
      <c r="E40377">
        <v>28</v>
      </c>
      <c r="F40377">
        <v>5930</v>
      </c>
    </row>
    <row r="40378" spans="1:6" ht="15.75" customHeight="1">
      <c r="A40378" s="3">
        <v>43873.619537037041</v>
      </c>
      <c r="B40378" t="str">
        <f>HYPERLINK("https://twitter.com/ian_rohmat","@ian_rohmat")</f>
        <v>@ian_rohmat</v>
      </c>
      <c r="C40378" t="s">
        <v>1969</v>
      </c>
      <c r="D40378">
        <v>0</v>
      </c>
      <c r="E40378">
        <v>0</v>
      </c>
      <c r="F40378">
        <v>0</v>
      </c>
    </row>
    <row r="40379" spans="1:6" ht="15.75" customHeight="1">
      <c r="A40379" s="3">
        <v>43873.619467592594</v>
      </c>
      <c r="B40379" t="str">
        <f>HYPERLINK("https://twitter.com/humaidieromas","@humaidieromas")</f>
        <v>@humaidieromas</v>
      </c>
      <c r="C40379" t="s">
        <v>1983</v>
      </c>
      <c r="D40379">
        <v>0</v>
      </c>
      <c r="E40379">
        <v>0</v>
      </c>
      <c r="F40379">
        <v>0</v>
      </c>
    </row>
    <row r="40380" spans="1:6" ht="15.75" customHeight="1">
      <c r="A40380" s="3">
        <v>43873.619247685187</v>
      </c>
      <c r="B40380" t="str">
        <f>HYPERLINK("https://twitter.com/LebahGanesha","@LebahGanesha")</f>
        <v>@LebahGanesha</v>
      </c>
      <c r="C40380" t="s">
        <v>1984</v>
      </c>
      <c r="D40380">
        <v>6</v>
      </c>
      <c r="E40380">
        <v>6</v>
      </c>
      <c r="F40380">
        <v>42465</v>
      </c>
    </row>
    <row r="40381" spans="1:6" ht="15.75" customHeight="1">
      <c r="A40381" s="3">
        <v>43873.618981481486</v>
      </c>
      <c r="B40381" t="str">
        <f>HYPERLINK("https://twitter.com/IndoKatamutiara","@IndoKatamutiara")</f>
        <v>@IndoKatamutiara</v>
      </c>
      <c r="C40381" t="s">
        <v>1971</v>
      </c>
      <c r="D40381">
        <v>0</v>
      </c>
      <c r="E40381">
        <v>0</v>
      </c>
      <c r="F40381">
        <v>16</v>
      </c>
    </row>
    <row r="40382" spans="1:6" ht="15.75" customHeight="1">
      <c r="A40382" s="3">
        <v>43873.618668981479</v>
      </c>
      <c r="B40382" t="str">
        <f>HYPERLINK("https://twitter.com/lusiantiwinata","@lusiantiwinata")</f>
        <v>@lusiantiwinata</v>
      </c>
      <c r="C40382" t="s">
        <v>1972</v>
      </c>
      <c r="D40382">
        <v>0</v>
      </c>
      <c r="E40382">
        <v>0</v>
      </c>
      <c r="F40382">
        <v>4</v>
      </c>
    </row>
    <row r="40383" spans="1:6" ht="15.75" customHeight="1">
      <c r="A40383" s="3">
        <v>43873.618657407409</v>
      </c>
      <c r="B40383" t="str">
        <f>HYPERLINK("https://twitter.com/jonach27","@jonach27")</f>
        <v>@jonach27</v>
      </c>
      <c r="C40383" t="s">
        <v>1985</v>
      </c>
      <c r="D40383">
        <v>0</v>
      </c>
      <c r="E40383">
        <v>0</v>
      </c>
      <c r="F40383">
        <v>336</v>
      </c>
    </row>
    <row r="40384" spans="1:6" ht="15.75" customHeight="1">
      <c r="A40384" s="3">
        <v>43873.618622685186</v>
      </c>
      <c r="B40384" t="str">
        <f>HYPERLINK("https://twitter.com/TakanaJuo6","@TakanaJuo6")</f>
        <v>@TakanaJuo6</v>
      </c>
      <c r="C40384" t="s">
        <v>1986</v>
      </c>
      <c r="D40384">
        <v>0</v>
      </c>
      <c r="E40384">
        <v>1</v>
      </c>
      <c r="F40384">
        <v>7</v>
      </c>
    </row>
    <row r="40385" spans="1:6" ht="15.75" customHeight="1">
      <c r="A40385" s="3">
        <v>43873.618622685186</v>
      </c>
      <c r="B40385" t="str">
        <f>HYPERLINK("https://twitter.com/WartaKotaTribun","@WartaKotaTribun")</f>
        <v>@WartaKotaTribun</v>
      </c>
      <c r="C40385" t="s">
        <v>1987</v>
      </c>
      <c r="D40385">
        <v>0</v>
      </c>
      <c r="E40385">
        <v>0</v>
      </c>
      <c r="F40385">
        <v>783</v>
      </c>
    </row>
    <row r="40386" spans="1:6" ht="15.75" customHeight="1">
      <c r="A40386" s="3">
        <v>43873.618078703701</v>
      </c>
      <c r="B40386" t="str">
        <f>HYPERLINK("https://twitter.com/DreamersRadioID","@DreamersRadioID")</f>
        <v>@DreamersRadioID</v>
      </c>
      <c r="C40386" t="s">
        <v>1128</v>
      </c>
      <c r="D40386">
        <v>0</v>
      </c>
      <c r="E40386">
        <v>0</v>
      </c>
      <c r="F40386">
        <v>75551</v>
      </c>
    </row>
    <row r="40387" spans="1:6" ht="15.75" customHeight="1">
      <c r="A40387" s="3">
        <v>43873.618055555555</v>
      </c>
      <c r="B40387" t="str">
        <f>HYPERLINK("https://twitter.com/TakanaJuo6","@TakanaJuo6")</f>
        <v>@TakanaJuo6</v>
      </c>
      <c r="C40387" t="s">
        <v>1988</v>
      </c>
      <c r="D40387">
        <v>0</v>
      </c>
      <c r="E40387">
        <v>1</v>
      </c>
      <c r="F40387">
        <v>7</v>
      </c>
    </row>
    <row r="40388" spans="1:6" ht="15.75" customHeight="1">
      <c r="A40388" s="3">
        <v>43873.617164351846</v>
      </c>
      <c r="B40388" t="str">
        <f>HYPERLINK("https://twitter.com/republikaonline","@republikaonline")</f>
        <v>@republikaonline</v>
      </c>
      <c r="C40388" t="s">
        <v>1989</v>
      </c>
      <c r="D40388">
        <v>0</v>
      </c>
      <c r="E40388">
        <v>1</v>
      </c>
      <c r="F40388">
        <v>1210209</v>
      </c>
    </row>
    <row r="40389" spans="1:6" ht="15.75" customHeight="1">
      <c r="A40389" s="3">
        <v>43873.617071759261</v>
      </c>
      <c r="B40389" t="str">
        <f>HYPERLINK("https://twitter.com/moclis","@moclis")</f>
        <v>@moclis</v>
      </c>
      <c r="C40389" t="s">
        <v>1974</v>
      </c>
      <c r="D40389">
        <v>0</v>
      </c>
      <c r="E40389">
        <v>0</v>
      </c>
      <c r="F40389">
        <v>42</v>
      </c>
    </row>
    <row r="40390" spans="1:6" ht="15.75" customHeight="1">
      <c r="A40390" s="3">
        <v>43873.6168287037</v>
      </c>
      <c r="B40390" t="str">
        <f>HYPERLINK("https://twitter.com/naelul_mona","@naelul_mona")</f>
        <v>@naelul_mona</v>
      </c>
      <c r="C40390" t="s">
        <v>1975</v>
      </c>
      <c r="D40390">
        <v>0</v>
      </c>
      <c r="E40390">
        <v>0</v>
      </c>
      <c r="F40390">
        <v>3</v>
      </c>
    </row>
    <row r="40391" spans="1:6" ht="15.75" customHeight="1">
      <c r="A40391" s="3">
        <v>43873.616770833338</v>
      </c>
      <c r="B40391" t="str">
        <f>HYPERLINK("https://twitter.com/CNNIndonesia","@CNNIndonesia")</f>
        <v>@CNNIndonesia</v>
      </c>
      <c r="C40391" t="s">
        <v>1990</v>
      </c>
      <c r="D40391">
        <v>2</v>
      </c>
      <c r="E40391">
        <v>2</v>
      </c>
      <c r="F40391">
        <v>618501</v>
      </c>
    </row>
    <row r="40392" spans="1:6" ht="15.75" customHeight="1">
      <c r="A40392" s="3">
        <v>43873.616666666669</v>
      </c>
      <c r="B40392" t="str">
        <f>HYPERLINK("https://twitter.com/tigapilarnews","@tigapilarnews")</f>
        <v>@tigapilarnews</v>
      </c>
      <c r="C40392" t="s">
        <v>1991</v>
      </c>
      <c r="D40392">
        <v>0</v>
      </c>
      <c r="E40392">
        <v>1</v>
      </c>
      <c r="F40392">
        <v>57</v>
      </c>
    </row>
    <row r="40393" spans="1:6" ht="15.75" customHeight="1">
      <c r="A40393" s="3">
        <v>43873.61650462963</v>
      </c>
      <c r="B40393" t="str">
        <f>HYPERLINK("https://twitter.com/intrenID","@intrenID")</f>
        <v>@intrenID</v>
      </c>
      <c r="C40393" t="s">
        <v>1992</v>
      </c>
      <c r="D40393">
        <v>0</v>
      </c>
      <c r="E40393">
        <v>0</v>
      </c>
      <c r="F40393">
        <v>40</v>
      </c>
    </row>
    <row r="40394" spans="1:6" ht="15.75" customHeight="1">
      <c r="A40394" s="3">
        <v>43873.616493055553</v>
      </c>
      <c r="B40394" t="str">
        <f>HYPERLINK("https://twitter.com/olagarisulae","@olagarisulae")</f>
        <v>@olagarisulae</v>
      </c>
      <c r="C40394" t="s">
        <v>1963</v>
      </c>
      <c r="D40394">
        <v>0</v>
      </c>
      <c r="E40394">
        <v>0</v>
      </c>
      <c r="F40394">
        <v>0</v>
      </c>
    </row>
    <row r="40395" spans="1:6" ht="15.75" customHeight="1">
      <c r="A40395" s="3">
        <v>43873.615671296298</v>
      </c>
      <c r="B40395" t="str">
        <f t="shared" ref="B40395:B40396" si="482">HYPERLINK("https://twitter.com/HildaNadia2","@HildaNadia2")</f>
        <v>@HildaNadia2</v>
      </c>
      <c r="C40395" t="s">
        <v>1993</v>
      </c>
      <c r="D40395">
        <v>1</v>
      </c>
      <c r="E40395">
        <v>2</v>
      </c>
      <c r="F40395">
        <v>1</v>
      </c>
    </row>
    <row r="40396" spans="1:6" ht="15.75" customHeight="1">
      <c r="A40396" s="3">
        <v>43873.61451388889</v>
      </c>
      <c r="B40396" t="str">
        <f t="shared" si="482"/>
        <v>@HildaNadia2</v>
      </c>
      <c r="C40396" t="s">
        <v>1994</v>
      </c>
      <c r="D40396">
        <v>1</v>
      </c>
      <c r="E40396">
        <v>0</v>
      </c>
      <c r="F40396">
        <v>1</v>
      </c>
    </row>
    <row r="40397" spans="1:6" ht="15.75" customHeight="1">
      <c r="A40397" s="3">
        <v>43873.614386574074</v>
      </c>
      <c r="B40397" t="str">
        <f>HYPERLINK("https://twitter.com/republikaonline","@republikaonline")</f>
        <v>@republikaonline</v>
      </c>
      <c r="C40397" t="s">
        <v>1995</v>
      </c>
      <c r="D40397">
        <v>1</v>
      </c>
      <c r="E40397">
        <v>4</v>
      </c>
      <c r="F40397">
        <v>1210209</v>
      </c>
    </row>
    <row r="40398" spans="1:6" ht="15.75" customHeight="1">
      <c r="A40398" s="3">
        <v>43873.613726851851</v>
      </c>
      <c r="B40398" t="str">
        <f>HYPERLINK("https://twitter.com/RadioDakta","@RadioDakta")</f>
        <v>@RadioDakta</v>
      </c>
      <c r="C40398" t="s">
        <v>1996</v>
      </c>
      <c r="D40398">
        <v>0</v>
      </c>
      <c r="E40398">
        <v>0</v>
      </c>
      <c r="F40398">
        <v>33770</v>
      </c>
    </row>
    <row r="40399" spans="1:6" ht="15.75" customHeight="1">
      <c r="A40399" s="3">
        <v>43873.613622685181</v>
      </c>
      <c r="B40399" t="str">
        <f>HYPERLINK("https://twitter.com/SegoPin__Cuk","@SegoPin__Cuk")</f>
        <v>@SegoPin__Cuk</v>
      </c>
      <c r="C40399" t="s">
        <v>1997</v>
      </c>
      <c r="D40399">
        <v>4</v>
      </c>
      <c r="E40399">
        <v>17</v>
      </c>
      <c r="F40399">
        <v>3206</v>
      </c>
    </row>
    <row r="40400" spans="1:6" ht="15.75" customHeight="1">
      <c r="A40400" s="3">
        <v>43873.612847222219</v>
      </c>
      <c r="B40400" t="str">
        <f>HYPERLINK("https://twitter.com/yunankingstar1","@yunankingstar1")</f>
        <v>@yunankingstar1</v>
      </c>
      <c r="D40400">
        <v>0</v>
      </c>
      <c r="E40400">
        <v>0</v>
      </c>
      <c r="F40400">
        <v>40</v>
      </c>
    </row>
    <row r="40401" spans="1:6" ht="15.75" customHeight="1">
      <c r="A40401" s="3">
        <v>43873.612812499996</v>
      </c>
      <c r="B40401" t="str">
        <f>HYPERLINK("https://twitter.com/Novelis11","@Novelis11")</f>
        <v>@Novelis11</v>
      </c>
      <c r="C40401" t="s">
        <v>1998</v>
      </c>
      <c r="D40401">
        <v>0</v>
      </c>
      <c r="E40401">
        <v>0</v>
      </c>
      <c r="F40401">
        <v>151</v>
      </c>
    </row>
    <row r="40402" spans="1:6" ht="15.75" customHeight="1">
      <c r="A40402" s="3">
        <v>43873.612604166672</v>
      </c>
      <c r="B40402" t="str">
        <f>HYPERLINK("https://twitter.com/20detik","@20detik")</f>
        <v>@20detik</v>
      </c>
      <c r="C40402" t="s">
        <v>1999</v>
      </c>
      <c r="D40402">
        <v>0</v>
      </c>
      <c r="E40402">
        <v>0</v>
      </c>
      <c r="F40402">
        <v>80586</v>
      </c>
    </row>
    <row r="40403" spans="1:6" ht="15.75" customHeight="1">
      <c r="A40403" s="3">
        <v>43873.612569444449</v>
      </c>
      <c r="B40403" t="str">
        <f t="shared" ref="B40403:B40404" si="483">HYPERLINK("https://twitter.com/jesostro","@jesostro")</f>
        <v>@jesostro</v>
      </c>
      <c r="C40403" t="s">
        <v>2000</v>
      </c>
      <c r="D40403">
        <v>1</v>
      </c>
      <c r="E40403">
        <v>1</v>
      </c>
      <c r="F40403">
        <v>15</v>
      </c>
    </row>
    <row r="40404" spans="1:6" ht="15.75" customHeight="1">
      <c r="A40404" s="3">
        <v>43873.612233796295</v>
      </c>
      <c r="B40404" t="str">
        <f t="shared" si="483"/>
        <v>@jesostro</v>
      </c>
      <c r="C40404" t="s">
        <v>1746</v>
      </c>
      <c r="D40404">
        <v>1</v>
      </c>
      <c r="E40404">
        <v>0</v>
      </c>
      <c r="F40404">
        <v>15</v>
      </c>
    </row>
    <row r="40405" spans="1:6" ht="15.75" customHeight="1">
      <c r="A40405" s="3">
        <v>43873.611759259264</v>
      </c>
      <c r="B40405" t="str">
        <f>HYPERLINK("https://twitter.com/CiungKana","@CiungKana")</f>
        <v>@CiungKana</v>
      </c>
      <c r="C40405" t="s">
        <v>2001</v>
      </c>
      <c r="D40405">
        <v>7</v>
      </c>
      <c r="E40405">
        <v>10</v>
      </c>
      <c r="F40405">
        <v>1823</v>
      </c>
    </row>
    <row r="40406" spans="1:6" ht="15.75" customHeight="1">
      <c r="A40406" s="3">
        <v>43873.611701388887</v>
      </c>
      <c r="B40406" t="str">
        <f>HYPERLINK("https://twitter.com/StellaSuwardi","@StellaSuwardi")</f>
        <v>@StellaSuwardi</v>
      </c>
      <c r="C40406" t="s">
        <v>2002</v>
      </c>
      <c r="D40406">
        <v>7</v>
      </c>
      <c r="E40406">
        <v>4</v>
      </c>
      <c r="F40406">
        <v>4622</v>
      </c>
    </row>
    <row r="40407" spans="1:6" ht="15.75" customHeight="1">
      <c r="A40407" s="3">
        <v>43873.611678240741</v>
      </c>
      <c r="B40407" t="str">
        <f>HYPERLINK("https://twitter.com/HildaNadia2","@HildaNadia2")</f>
        <v>@HildaNadia2</v>
      </c>
      <c r="C40407" t="s">
        <v>2003</v>
      </c>
      <c r="D40407">
        <v>1</v>
      </c>
      <c r="E40407">
        <v>1</v>
      </c>
      <c r="F40407">
        <v>1</v>
      </c>
    </row>
    <row r="40408" spans="1:6" ht="15.75" customHeight="1">
      <c r="A40408" s="3">
        <v>43873.611608796295</v>
      </c>
      <c r="B40408" t="str">
        <f>HYPERLINK("https://twitter.com/Berita7dotid","@Berita7dotid")</f>
        <v>@Berita7dotid</v>
      </c>
      <c r="C40408" t="s">
        <v>2004</v>
      </c>
      <c r="D40408">
        <v>0</v>
      </c>
      <c r="E40408">
        <v>0</v>
      </c>
      <c r="F40408">
        <v>2554</v>
      </c>
    </row>
    <row r="40409" spans="1:6" ht="15.75" customHeight="1">
      <c r="A40409" s="3">
        <v>43873.611215277779</v>
      </c>
      <c r="B40409" t="str">
        <f>HYPERLINK("https://twitter.com/Antara_Kalteng","@Antara_Kalteng")</f>
        <v>@Antara_Kalteng</v>
      </c>
      <c r="C40409" t="s">
        <v>2005</v>
      </c>
      <c r="D40409">
        <v>0</v>
      </c>
      <c r="E40409">
        <v>0</v>
      </c>
      <c r="F40409">
        <v>4632</v>
      </c>
    </row>
    <row r="40410" spans="1:6" ht="15.75" customHeight="1">
      <c r="A40410" s="3">
        <v>43873.610983796301</v>
      </c>
      <c r="B40410" t="str">
        <f>HYPERLINK("https://twitter.com/tempodotco","@tempodotco")</f>
        <v>@tempodotco</v>
      </c>
      <c r="C40410" t="s">
        <v>2006</v>
      </c>
      <c r="D40410">
        <v>0</v>
      </c>
      <c r="E40410">
        <v>1</v>
      </c>
      <c r="F40410">
        <v>1702040</v>
      </c>
    </row>
    <row r="40411" spans="1:6" ht="15.75" customHeight="1">
      <c r="A40411" s="3">
        <v>43873.609699074077</v>
      </c>
      <c r="B40411" t="str">
        <f>HYPERLINK("https://twitter.com/Vicksigit","@Vicksigit")</f>
        <v>@Vicksigit</v>
      </c>
      <c r="C40411" t="s">
        <v>2007</v>
      </c>
      <c r="D40411">
        <v>0</v>
      </c>
      <c r="E40411">
        <v>1</v>
      </c>
      <c r="F40411">
        <v>128</v>
      </c>
    </row>
    <row r="40412" spans="1:6" ht="15.75" customHeight="1">
      <c r="A40412" s="3">
        <v>43873.609664351854</v>
      </c>
      <c r="B40412" t="str">
        <f>HYPERLINK("https://twitter.com/StellaSuwardi","@StellaSuwardi")</f>
        <v>@StellaSuwardi</v>
      </c>
      <c r="C40412" t="s">
        <v>2008</v>
      </c>
      <c r="D40412">
        <v>3</v>
      </c>
      <c r="E40412">
        <v>2</v>
      </c>
      <c r="F40412">
        <v>4622</v>
      </c>
    </row>
    <row r="40413" spans="1:6" ht="15.75" customHeight="1">
      <c r="A40413" s="3">
        <v>43873.609606481477</v>
      </c>
      <c r="B40413" t="str">
        <f>HYPERLINK("https://twitter.com/times_idn","@times_idn")</f>
        <v>@times_idn</v>
      </c>
      <c r="C40413" t="s">
        <v>2009</v>
      </c>
      <c r="D40413">
        <v>9</v>
      </c>
      <c r="E40413">
        <v>12</v>
      </c>
      <c r="F40413">
        <v>757</v>
      </c>
    </row>
    <row r="40414" spans="1:6" ht="15.75" customHeight="1">
      <c r="A40414" s="3">
        <v>43873.609270833331</v>
      </c>
      <c r="B40414" t="str">
        <f>HYPERLINK("https://twitter.com/Vicksigit","@Vicksigit")</f>
        <v>@Vicksigit</v>
      </c>
      <c r="D40414">
        <v>0</v>
      </c>
      <c r="E40414">
        <v>1</v>
      </c>
      <c r="F40414">
        <v>128</v>
      </c>
    </row>
    <row r="40415" spans="1:6" ht="15.75" customHeight="1">
      <c r="A40415" s="3">
        <v>43873.60802083333</v>
      </c>
      <c r="B40415" t="str">
        <f>HYPERLINK("https://twitter.com/pratamarangga65","@pratamarangga65")</f>
        <v>@pratamarangga65</v>
      </c>
      <c r="C40415" t="s">
        <v>2010</v>
      </c>
      <c r="D40415">
        <v>0</v>
      </c>
      <c r="E40415">
        <v>0</v>
      </c>
      <c r="F40415">
        <v>1670</v>
      </c>
    </row>
    <row r="40416" spans="1:6" ht="15.75" customHeight="1">
      <c r="A40416" s="3">
        <v>43873.607719907406</v>
      </c>
      <c r="B40416" t="str">
        <f>HYPERLINK("https://twitter.com/Bangsaindo_","@Bangsaindo_")</f>
        <v>@Bangsaindo_</v>
      </c>
      <c r="C40416" t="s">
        <v>2011</v>
      </c>
      <c r="D40416">
        <v>0</v>
      </c>
      <c r="E40416">
        <v>0</v>
      </c>
      <c r="F40416">
        <v>33</v>
      </c>
    </row>
    <row r="40417" spans="1:6" ht="15.75" customHeight="1">
      <c r="A40417" s="3">
        <v>43873.60728009259</v>
      </c>
      <c r="B40417" t="str">
        <f>HYPERLINK("https://twitter.com/ElenaaleeLee","@ElenaaleeLee")</f>
        <v>@ElenaaleeLee</v>
      </c>
      <c r="C40417" t="s">
        <v>2012</v>
      </c>
      <c r="D40417">
        <v>0</v>
      </c>
      <c r="E40417">
        <v>0</v>
      </c>
      <c r="F40417">
        <v>583</v>
      </c>
    </row>
    <row r="40418" spans="1:6" ht="15.75" customHeight="1">
      <c r="A40418" s="3">
        <v>43873.607106481482</v>
      </c>
      <c r="B40418" t="str">
        <f>HYPERLINK("https://twitter.com/GozaliMunir","@GozaliMunir")</f>
        <v>@GozaliMunir</v>
      </c>
      <c r="C40418" t="s">
        <v>2013</v>
      </c>
      <c r="D40418">
        <v>0</v>
      </c>
      <c r="E40418">
        <v>2</v>
      </c>
      <c r="F40418">
        <v>159</v>
      </c>
    </row>
    <row r="40419" spans="1:6" ht="15.75" customHeight="1">
      <c r="A40419" s="3">
        <v>43873.606944444444</v>
      </c>
      <c r="B40419" t="str">
        <f>HYPERLINK("https://twitter.com/masudiin","@masudiin")</f>
        <v>@masudiin</v>
      </c>
      <c r="C40419" t="s">
        <v>2014</v>
      </c>
      <c r="D40419">
        <v>0</v>
      </c>
      <c r="E40419">
        <v>0</v>
      </c>
      <c r="F40419">
        <v>1791</v>
      </c>
    </row>
    <row r="40420" spans="1:6" ht="15.75" customHeight="1">
      <c r="A40420" s="3">
        <v>43873.606516203705</v>
      </c>
      <c r="B40420" t="str">
        <f>HYPERLINK("https://twitter.com/harakatuna","@harakatuna")</f>
        <v>@harakatuna</v>
      </c>
      <c r="C40420" t="s">
        <v>2015</v>
      </c>
      <c r="D40420">
        <v>0</v>
      </c>
      <c r="E40420">
        <v>0</v>
      </c>
      <c r="F40420">
        <v>409</v>
      </c>
    </row>
    <row r="40421" spans="1:6" ht="15.75" customHeight="1">
      <c r="A40421" s="3">
        <v>43873.606469907405</v>
      </c>
      <c r="B40421" t="str">
        <f>HYPERLINK("https://twitter.com/justpeys","@justpeys")</f>
        <v>@justpeys</v>
      </c>
      <c r="C40421" t="s">
        <v>2016</v>
      </c>
      <c r="D40421">
        <v>0</v>
      </c>
      <c r="E40421">
        <v>0</v>
      </c>
      <c r="F40421">
        <v>1291</v>
      </c>
    </row>
    <row r="40422" spans="1:6" ht="15.75" customHeight="1">
      <c r="A40422" s="3">
        <v>43873.606458333335</v>
      </c>
      <c r="B40422" t="str">
        <f>HYPERLINK("https://twitter.com/StellaSuwardi","@StellaSuwardi")</f>
        <v>@StellaSuwardi</v>
      </c>
      <c r="C40422" t="s">
        <v>2017</v>
      </c>
      <c r="D40422">
        <v>5</v>
      </c>
      <c r="E40422">
        <v>6</v>
      </c>
      <c r="F40422">
        <v>4622</v>
      </c>
    </row>
    <row r="40423" spans="1:6" ht="15.75" customHeight="1">
      <c r="A40423" s="3">
        <v>43873.606273148151</v>
      </c>
      <c r="B40423" t="str">
        <f>HYPERLINK("https://twitter.com/DadBorneo","@DadBorneo")</f>
        <v>@DadBorneo</v>
      </c>
      <c r="C40423" t="s">
        <v>2018</v>
      </c>
      <c r="D40423">
        <v>0</v>
      </c>
      <c r="E40423">
        <v>0</v>
      </c>
      <c r="F40423">
        <v>762</v>
      </c>
    </row>
    <row r="40424" spans="1:6" ht="15.75" customHeight="1">
      <c r="A40424" s="3">
        <v>43873.606249999997</v>
      </c>
      <c r="B40424" t="str">
        <f>HYPERLINK("https://twitter.com/hauwdinda_","@hauwdinda_")</f>
        <v>@hauwdinda_</v>
      </c>
      <c r="C40424" t="s">
        <v>2019</v>
      </c>
      <c r="D40424">
        <v>0</v>
      </c>
      <c r="E40424">
        <v>0</v>
      </c>
      <c r="F40424">
        <v>1017</v>
      </c>
    </row>
    <row r="40425" spans="1:6" ht="15.75" customHeight="1">
      <c r="A40425" s="3">
        <v>43873.605995370366</v>
      </c>
      <c r="B40425" t="str">
        <f>HYPERLINK("https://twitter.com/Vendra_Deje","@Vendra_Deje")</f>
        <v>@Vendra_Deje</v>
      </c>
      <c r="C40425" t="s">
        <v>2020</v>
      </c>
      <c r="D40425">
        <v>1</v>
      </c>
      <c r="E40425">
        <v>1</v>
      </c>
      <c r="F40425">
        <v>3132</v>
      </c>
    </row>
    <row r="40426" spans="1:6" ht="15.75" customHeight="1">
      <c r="A40426" s="3">
        <v>43873.605868055558</v>
      </c>
      <c r="B40426" t="str">
        <f>HYPERLINK("https://twitter.com/MalinForKundang","@MalinForKundang")</f>
        <v>@MalinForKundang</v>
      </c>
      <c r="C40426" t="s">
        <v>2021</v>
      </c>
      <c r="D40426">
        <v>0</v>
      </c>
      <c r="E40426">
        <v>0</v>
      </c>
      <c r="F40426">
        <v>25</v>
      </c>
    </row>
    <row r="40427" spans="1:6" ht="15.75" customHeight="1">
      <c r="A40427" s="3">
        <v>43873.605451388888</v>
      </c>
      <c r="B40427" t="str">
        <f t="shared" ref="B40427:B40428" si="484">HYPERLINK("https://twitter.com/idntimes","@idntimes")</f>
        <v>@idntimes</v>
      </c>
      <c r="C40427" t="s">
        <v>2022</v>
      </c>
      <c r="D40427">
        <v>0</v>
      </c>
      <c r="E40427">
        <v>1</v>
      </c>
      <c r="F40427">
        <v>392639</v>
      </c>
    </row>
    <row r="40428" spans="1:6" ht="15.75" customHeight="1">
      <c r="A40428" s="3">
        <v>43873.605196759258</v>
      </c>
      <c r="B40428" t="str">
        <f t="shared" si="484"/>
        <v>@idntimes</v>
      </c>
      <c r="C40428" t="s">
        <v>2023</v>
      </c>
      <c r="D40428">
        <v>0</v>
      </c>
      <c r="E40428">
        <v>0</v>
      </c>
      <c r="F40428">
        <v>392639</v>
      </c>
    </row>
    <row r="40429" spans="1:6" ht="15.75" customHeight="1">
      <c r="A40429" s="3">
        <v>43873.605150462958</v>
      </c>
      <c r="B40429" t="str">
        <f t="shared" ref="B40429:B40430" si="485">HYPERLINK("https://twitter.com/MalinForKundang","@MalinForKundang")</f>
        <v>@MalinForKundang</v>
      </c>
      <c r="C40429" t="s">
        <v>2024</v>
      </c>
      <c r="D40429">
        <v>0</v>
      </c>
      <c r="E40429">
        <v>0</v>
      </c>
      <c r="F40429">
        <v>25</v>
      </c>
    </row>
    <row r="40430" spans="1:6" ht="15.75" customHeight="1">
      <c r="A40430" s="3">
        <v>43873.604733796295</v>
      </c>
      <c r="B40430" t="str">
        <f t="shared" si="485"/>
        <v>@MalinForKundang</v>
      </c>
      <c r="C40430" t="s">
        <v>2025</v>
      </c>
      <c r="D40430">
        <v>0</v>
      </c>
      <c r="E40430">
        <v>0</v>
      </c>
      <c r="F40430">
        <v>25</v>
      </c>
    </row>
    <row r="40431" spans="1:6" ht="15.75" customHeight="1">
      <c r="A40431" s="3">
        <v>43873.60456018518</v>
      </c>
      <c r="B40431" t="str">
        <f>HYPERLINK("https://twitter.com/StellaSuwardi","@StellaSuwardi")</f>
        <v>@StellaSuwardi</v>
      </c>
      <c r="C40431" t="s">
        <v>2026</v>
      </c>
      <c r="D40431">
        <v>3</v>
      </c>
      <c r="E40431">
        <v>1</v>
      </c>
      <c r="F40431">
        <v>4622</v>
      </c>
    </row>
    <row r="40432" spans="1:6" ht="15.75" customHeight="1">
      <c r="A40432" s="3">
        <v>43873.604479166665</v>
      </c>
      <c r="B40432" t="str">
        <f>HYPERLINK("https://twitter.com/sumsel_update","@sumsel_update")</f>
        <v>@sumsel_update</v>
      </c>
      <c r="C40432" t="s">
        <v>2027</v>
      </c>
      <c r="D40432">
        <v>0</v>
      </c>
      <c r="E40432">
        <v>0</v>
      </c>
      <c r="F40432">
        <v>995</v>
      </c>
    </row>
    <row r="40433" spans="1:6" ht="15.75" customHeight="1">
      <c r="A40433" s="3">
        <v>43873.604374999995</v>
      </c>
      <c r="B40433" t="str">
        <f>HYPERLINK("https://twitter.com/Bangsaindo_","@Bangsaindo_")</f>
        <v>@Bangsaindo_</v>
      </c>
      <c r="C40433" t="s">
        <v>2028</v>
      </c>
      <c r="D40433">
        <v>0</v>
      </c>
      <c r="E40433">
        <v>0</v>
      </c>
      <c r="F40433">
        <v>33</v>
      </c>
    </row>
    <row r="40434" spans="1:6" ht="15.75" customHeight="1">
      <c r="A40434" s="3">
        <v>43873.604166666672</v>
      </c>
      <c r="B40434" t="str">
        <f>HYPERLINK("https://twitter.com/seputarupdate","@seputarupdate")</f>
        <v>@seputarupdate</v>
      </c>
      <c r="C40434" t="s">
        <v>2029</v>
      </c>
      <c r="D40434">
        <v>0</v>
      </c>
      <c r="E40434">
        <v>0</v>
      </c>
      <c r="F40434">
        <v>5019</v>
      </c>
    </row>
    <row r="40435" spans="1:6" ht="15.75" customHeight="1">
      <c r="A40435" s="3">
        <v>43873.604166666672</v>
      </c>
      <c r="B40435" t="str">
        <f>HYPERLINK("https://twitter.com/Milanisti_JKT48","@Milanisti_JKT48")</f>
        <v>@Milanisti_JKT48</v>
      </c>
      <c r="C40435" t="s">
        <v>2030</v>
      </c>
      <c r="D40435">
        <v>0</v>
      </c>
      <c r="E40435">
        <v>0</v>
      </c>
      <c r="F40435">
        <v>1009</v>
      </c>
    </row>
    <row r="40436" spans="1:6" ht="15.75" customHeight="1">
      <c r="A40436" s="3">
        <v>43873.604166666672</v>
      </c>
      <c r="B40436" t="str">
        <f>HYPERLINK("https://twitter.com/positifartmusic","@positifartmusic")</f>
        <v>@positifartmusic</v>
      </c>
      <c r="C40436" t="s">
        <v>2031</v>
      </c>
      <c r="D40436">
        <v>0</v>
      </c>
      <c r="E40436">
        <v>0</v>
      </c>
      <c r="F40436">
        <v>1448</v>
      </c>
    </row>
    <row r="40437" spans="1:6" ht="15.75" customHeight="1">
      <c r="A40437" s="3">
        <v>43873.604166666672</v>
      </c>
      <c r="B40437" t="str">
        <f>HYPERLINK("https://twitter.com/PARA_DINATA","@PARA_DINATA")</f>
        <v>@PARA_DINATA</v>
      </c>
      <c r="C40437" t="s">
        <v>2032</v>
      </c>
      <c r="D40437">
        <v>0</v>
      </c>
      <c r="E40437">
        <v>0</v>
      </c>
      <c r="F40437">
        <v>398</v>
      </c>
    </row>
    <row r="40438" spans="1:6" ht="15.75" customHeight="1">
      <c r="A40438" s="3">
        <v>43873.604166666672</v>
      </c>
      <c r="B40438" t="str">
        <f>HYPERLINK("https://twitter.com/nuraenipandu","@nuraenipandu")</f>
        <v>@nuraenipandu</v>
      </c>
      <c r="C40438" t="s">
        <v>2033</v>
      </c>
      <c r="D40438">
        <v>0</v>
      </c>
      <c r="E40438">
        <v>0</v>
      </c>
      <c r="F40438">
        <v>2290</v>
      </c>
    </row>
    <row r="40439" spans="1:6" ht="15.75" customHeight="1">
      <c r="A40439" s="3">
        <v>43873.604166666672</v>
      </c>
      <c r="B40439" t="str">
        <f>HYPERLINK("https://twitter.com/AlyBieLovers_","@AlyBieLovers_")</f>
        <v>@AlyBieLovers_</v>
      </c>
      <c r="C40439" t="s">
        <v>2034</v>
      </c>
      <c r="D40439">
        <v>0</v>
      </c>
      <c r="E40439">
        <v>0</v>
      </c>
      <c r="F40439">
        <v>5689</v>
      </c>
    </row>
    <row r="40440" spans="1:6" ht="15.75" customHeight="1">
      <c r="A40440" s="3">
        <v>43873.604166666672</v>
      </c>
      <c r="B40440" t="str">
        <f>HYPERLINK("https://twitter.com/vaIova_","@vaIova_")</f>
        <v>@vaIova_</v>
      </c>
      <c r="C40440" t="s">
        <v>2035</v>
      </c>
      <c r="D40440">
        <v>0</v>
      </c>
      <c r="E40440">
        <v>0</v>
      </c>
      <c r="F40440">
        <v>1048</v>
      </c>
    </row>
    <row r="40441" spans="1:6" ht="15.75" customHeight="1">
      <c r="A40441" s="3">
        <v>43873.604166666672</v>
      </c>
      <c r="B40441" t="str">
        <f>HYPERLINK("https://twitter.com/lidahnitijen","@lidahnitijen")</f>
        <v>@lidahnitijen</v>
      </c>
      <c r="C40441" t="s">
        <v>2036</v>
      </c>
      <c r="D40441">
        <v>0</v>
      </c>
      <c r="E40441">
        <v>0</v>
      </c>
      <c r="F40441">
        <v>5341</v>
      </c>
    </row>
    <row r="40442" spans="1:6" ht="15.75" customHeight="1">
      <c r="A40442" s="3">
        <v>43873.604166666672</v>
      </c>
      <c r="B40442" t="str">
        <f>HYPERLINK("https://twitter.com/Olla_ramalan","@Olla_ramalan")</f>
        <v>@Olla_ramalan</v>
      </c>
      <c r="C40442" t="s">
        <v>2037</v>
      </c>
      <c r="D40442">
        <v>1</v>
      </c>
      <c r="E40442">
        <v>2</v>
      </c>
      <c r="F40442">
        <v>23612</v>
      </c>
    </row>
    <row r="40443" spans="1:6" ht="15.75" customHeight="1">
      <c r="A40443" s="3">
        <v>43873.604166666672</v>
      </c>
      <c r="B40443" t="str">
        <f>HYPERLINK("https://twitter.com/masihprosess","@masihprosess")</f>
        <v>@masihprosess</v>
      </c>
      <c r="C40443" t="s">
        <v>2038</v>
      </c>
      <c r="D40443">
        <v>0</v>
      </c>
      <c r="E40443">
        <v>0</v>
      </c>
      <c r="F40443">
        <v>4151</v>
      </c>
    </row>
    <row r="40444" spans="1:6" ht="15.75" customHeight="1">
      <c r="A40444" s="3">
        <v>43873.604166666672</v>
      </c>
      <c r="B40444" t="str">
        <f>HYPERLINK("https://twitter.com/lebahbersorban","@lebahbersorban")</f>
        <v>@lebahbersorban</v>
      </c>
      <c r="C40444" t="s">
        <v>2039</v>
      </c>
      <c r="D40444">
        <v>0</v>
      </c>
      <c r="E40444">
        <v>0</v>
      </c>
      <c r="F40444">
        <v>2812</v>
      </c>
    </row>
    <row r="40445" spans="1:6" ht="15.75" customHeight="1">
      <c r="A40445" s="3">
        <v>43873.604166666672</v>
      </c>
      <c r="B40445" t="str">
        <f>HYPERLINK("https://twitter.com/_kiqik","@_kiqik")</f>
        <v>@_kiqik</v>
      </c>
      <c r="C40445" t="s">
        <v>2040</v>
      </c>
      <c r="D40445">
        <v>0</v>
      </c>
      <c r="E40445">
        <v>0</v>
      </c>
      <c r="F40445">
        <v>992</v>
      </c>
    </row>
    <row r="40446" spans="1:6" ht="15.75" customHeight="1">
      <c r="A40446" s="3">
        <v>43873.604166666672</v>
      </c>
      <c r="B40446" t="str">
        <f>HYPERLINK("https://twitter.com/8palaq","@8palaq")</f>
        <v>@8palaq</v>
      </c>
      <c r="C40446" t="s">
        <v>2041</v>
      </c>
      <c r="D40446">
        <v>0</v>
      </c>
      <c r="E40446">
        <v>0</v>
      </c>
      <c r="F40446">
        <v>993</v>
      </c>
    </row>
    <row r="40447" spans="1:6" ht="15.75" customHeight="1">
      <c r="A40447" s="3">
        <v>43873.604166666672</v>
      </c>
      <c r="B40447" t="str">
        <f>HYPERLINK("https://twitter.com/beritaSRG","@beritaSRG")</f>
        <v>@beritaSRG</v>
      </c>
      <c r="C40447" t="s">
        <v>2042</v>
      </c>
      <c r="D40447">
        <v>0</v>
      </c>
      <c r="E40447">
        <v>0</v>
      </c>
      <c r="F40447">
        <v>1004</v>
      </c>
    </row>
    <row r="40448" spans="1:6" ht="15.75" customHeight="1">
      <c r="A40448" s="3">
        <v>43873.604166666672</v>
      </c>
      <c r="B40448" t="str">
        <f>HYPERLINK("https://twitter.com/umat_lucu","@umat_lucu")</f>
        <v>@umat_lucu</v>
      </c>
      <c r="C40448" t="s">
        <v>2043</v>
      </c>
      <c r="D40448">
        <v>0</v>
      </c>
      <c r="E40448">
        <v>0</v>
      </c>
      <c r="F40448">
        <v>6864</v>
      </c>
    </row>
    <row r="40449" spans="1:6" ht="15.75" customHeight="1">
      <c r="A40449" s="3">
        <v>43873.604166666672</v>
      </c>
      <c r="B40449" t="str">
        <f>HYPERLINK("https://twitter.com/MalangBertani","@MalangBertani")</f>
        <v>@MalangBertani</v>
      </c>
      <c r="C40449" t="s">
        <v>2044</v>
      </c>
      <c r="D40449">
        <v>0</v>
      </c>
      <c r="E40449">
        <v>0</v>
      </c>
      <c r="F40449">
        <v>2990</v>
      </c>
    </row>
    <row r="40450" spans="1:6" ht="15.75" customHeight="1">
      <c r="A40450" s="3">
        <v>43873.604166666672</v>
      </c>
      <c r="B40450" t="str">
        <f>HYPERLINK("https://twitter.com/miss__amah","@miss__amah")</f>
        <v>@miss__amah</v>
      </c>
      <c r="C40450" t="s">
        <v>2045</v>
      </c>
      <c r="D40450">
        <v>0</v>
      </c>
      <c r="E40450">
        <v>0</v>
      </c>
      <c r="F40450">
        <v>1041</v>
      </c>
    </row>
    <row r="40451" spans="1:6" ht="15.75" customHeight="1">
      <c r="A40451" s="3">
        <v>43873.604166666672</v>
      </c>
      <c r="B40451" t="str">
        <f>HYPERLINK("https://twitter.com/QuotesOfGGS","@QuotesOfGGS")</f>
        <v>@QuotesOfGGS</v>
      </c>
      <c r="C40451" t="s">
        <v>2046</v>
      </c>
      <c r="D40451">
        <v>0</v>
      </c>
      <c r="E40451">
        <v>0</v>
      </c>
      <c r="F40451">
        <v>1778</v>
      </c>
    </row>
    <row r="40452" spans="1:6" ht="15.75" customHeight="1">
      <c r="A40452" s="3">
        <v>43873.604166666672</v>
      </c>
      <c r="B40452" t="str">
        <f>HYPERLINK("https://twitter.com/dimskiIl","@dimskiIl")</f>
        <v>@dimskiIl</v>
      </c>
      <c r="C40452" t="s">
        <v>2047</v>
      </c>
      <c r="D40452">
        <v>0</v>
      </c>
      <c r="E40452">
        <v>0</v>
      </c>
      <c r="F40452">
        <v>1285</v>
      </c>
    </row>
    <row r="40453" spans="1:6" ht="15.75" customHeight="1">
      <c r="A40453" s="3">
        <v>43873.604166666672</v>
      </c>
      <c r="B40453" t="str">
        <f>HYPERLINK("https://twitter.com/snrR0Y","@snrR0Y")</f>
        <v>@snrR0Y</v>
      </c>
      <c r="C40453" t="s">
        <v>2048</v>
      </c>
      <c r="D40453">
        <v>0</v>
      </c>
      <c r="E40453">
        <v>0</v>
      </c>
      <c r="F40453">
        <v>1694</v>
      </c>
    </row>
    <row r="40454" spans="1:6" ht="15.75" customHeight="1">
      <c r="A40454" s="3">
        <v>43873.604166666672</v>
      </c>
      <c r="B40454" t="str">
        <f>HYPERLINK("https://twitter.com/NasDem","@NasDem")</f>
        <v>@NasDem</v>
      </c>
      <c r="C40454" t="s">
        <v>2049</v>
      </c>
      <c r="D40454">
        <v>3</v>
      </c>
      <c r="E40454">
        <v>4</v>
      </c>
      <c r="F40454">
        <v>90943</v>
      </c>
    </row>
    <row r="40455" spans="1:6" ht="15.75" customHeight="1">
      <c r="A40455" s="3">
        <v>43873.604166666672</v>
      </c>
      <c r="B40455" t="str">
        <f>HYPERLINK("https://twitter.com/gardalebah","@gardalebah")</f>
        <v>@gardalebah</v>
      </c>
      <c r="C40455" t="s">
        <v>2050</v>
      </c>
      <c r="D40455">
        <v>0</v>
      </c>
      <c r="E40455">
        <v>0</v>
      </c>
      <c r="F40455">
        <v>1020</v>
      </c>
    </row>
    <row r="40456" spans="1:6" ht="15.75" customHeight="1">
      <c r="A40456" s="3">
        <v>43873.604166666672</v>
      </c>
      <c r="B40456" t="str">
        <f>HYPERLINK("https://twitter.com/lensalebah","@lensalebah")</f>
        <v>@lensalebah</v>
      </c>
      <c r="C40456" t="s">
        <v>2051</v>
      </c>
      <c r="D40456">
        <v>0</v>
      </c>
      <c r="E40456">
        <v>0</v>
      </c>
      <c r="F40456">
        <v>841</v>
      </c>
    </row>
    <row r="40457" spans="1:6" ht="15.75" customHeight="1">
      <c r="A40457" s="3">
        <v>43873.604166666672</v>
      </c>
      <c r="B40457" t="str">
        <f>HYPERLINK("https://twitter.com/OhWanita","@OhWanita")</f>
        <v>@OhWanita</v>
      </c>
      <c r="C40457" t="s">
        <v>2052</v>
      </c>
      <c r="D40457">
        <v>0</v>
      </c>
      <c r="E40457">
        <v>0</v>
      </c>
      <c r="F40457">
        <v>13370</v>
      </c>
    </row>
    <row r="40458" spans="1:6" ht="15.75" customHeight="1">
      <c r="A40458" s="3">
        <v>43873.604166666672</v>
      </c>
      <c r="B40458" t="str">
        <f>HYPERLINK("https://twitter.com/SedangProses","@SedangProses")</f>
        <v>@SedangProses</v>
      </c>
      <c r="C40458" t="s">
        <v>2053</v>
      </c>
      <c r="D40458">
        <v>0</v>
      </c>
      <c r="E40458">
        <v>0</v>
      </c>
      <c r="F40458">
        <v>1420</v>
      </c>
    </row>
    <row r="40459" spans="1:6" ht="15.75" customHeight="1">
      <c r="A40459" s="3">
        <v>43873.604166666672</v>
      </c>
      <c r="B40459" t="str">
        <f>HYPERLINK("https://twitter.com/mameYAslamet","@mameYAslamet")</f>
        <v>@mameYAslamet</v>
      </c>
      <c r="C40459" t="s">
        <v>2054</v>
      </c>
      <c r="D40459">
        <v>0</v>
      </c>
      <c r="E40459">
        <v>0</v>
      </c>
      <c r="F40459">
        <v>1595</v>
      </c>
    </row>
    <row r="40460" spans="1:6" ht="15.75" customHeight="1">
      <c r="A40460" s="3">
        <v>43873.604166666672</v>
      </c>
      <c r="B40460" t="str">
        <f>HYPERLINK("https://twitter.com/pecipedia","@pecipedia")</f>
        <v>@pecipedia</v>
      </c>
      <c r="C40460" t="s">
        <v>2055</v>
      </c>
      <c r="D40460">
        <v>0</v>
      </c>
      <c r="E40460">
        <v>0</v>
      </c>
      <c r="F40460">
        <v>1578</v>
      </c>
    </row>
    <row r="40461" spans="1:6" ht="15.75" customHeight="1">
      <c r="A40461" s="3">
        <v>43873.604166666672</v>
      </c>
      <c r="B40461" t="str">
        <f>HYPERLINK("https://twitter.com/zulfmputri","@zulfmputri")</f>
        <v>@zulfmputri</v>
      </c>
      <c r="C40461" t="s">
        <v>2056</v>
      </c>
      <c r="D40461">
        <v>0</v>
      </c>
      <c r="E40461">
        <v>0</v>
      </c>
      <c r="F40461">
        <v>1351</v>
      </c>
    </row>
    <row r="40462" spans="1:6" ht="15.75" customHeight="1">
      <c r="A40462" s="3">
        <v>43873.604166666672</v>
      </c>
      <c r="B40462" t="str">
        <f>HYPERLINK("https://twitter.com/lempartopi","@lempartopi")</f>
        <v>@lempartopi</v>
      </c>
      <c r="C40462" t="s">
        <v>2057</v>
      </c>
      <c r="D40462">
        <v>0</v>
      </c>
      <c r="E40462">
        <v>0</v>
      </c>
      <c r="F40462">
        <v>995</v>
      </c>
    </row>
    <row r="40463" spans="1:6" ht="15.75" customHeight="1">
      <c r="A40463" s="3">
        <v>43873.604166666672</v>
      </c>
      <c r="B40463" t="str">
        <f>HYPERLINK("https://twitter.com/prapatan_jogja","@prapatan_jogja")</f>
        <v>@prapatan_jogja</v>
      </c>
      <c r="C40463" t="s">
        <v>2058</v>
      </c>
      <c r="D40463">
        <v>0</v>
      </c>
      <c r="E40463">
        <v>0</v>
      </c>
      <c r="F40463">
        <v>2509</v>
      </c>
    </row>
    <row r="40464" spans="1:6" ht="15.75" customHeight="1">
      <c r="A40464" s="3">
        <v>43873.604166666672</v>
      </c>
      <c r="B40464" t="str">
        <f>HYPERLINK("https://twitter.com/MARTABAC_","@MARTABAC_")</f>
        <v>@MARTABAC_</v>
      </c>
      <c r="C40464" t="s">
        <v>2059</v>
      </c>
      <c r="D40464">
        <v>0</v>
      </c>
      <c r="E40464">
        <v>0</v>
      </c>
      <c r="F40464">
        <v>1221</v>
      </c>
    </row>
    <row r="40465" spans="1:6" ht="15.75" customHeight="1">
      <c r="A40465" s="3">
        <v>43873.604166666672</v>
      </c>
      <c r="B40465" t="str">
        <f>HYPERLINK("https://twitter.com/gentong_id","@gentong_id")</f>
        <v>@gentong_id</v>
      </c>
      <c r="C40465" t="s">
        <v>2060</v>
      </c>
      <c r="D40465">
        <v>0</v>
      </c>
      <c r="E40465">
        <v>0</v>
      </c>
      <c r="F40465">
        <v>2277</v>
      </c>
    </row>
    <row r="40466" spans="1:6" ht="15.75" customHeight="1">
      <c r="A40466" s="3">
        <v>43873.60392361111</v>
      </c>
      <c r="B40466" t="str">
        <f>HYPERLINK("https://twitter.com/DiantyYasmin3","@DiantyYasmin3")</f>
        <v>@DiantyYasmin3</v>
      </c>
      <c r="C40466" t="s">
        <v>2061</v>
      </c>
      <c r="D40466">
        <v>14</v>
      </c>
      <c r="E40466">
        <v>51</v>
      </c>
      <c r="F40466">
        <v>9439</v>
      </c>
    </row>
    <row r="40467" spans="1:6" ht="15.75" customHeight="1">
      <c r="A40467" s="3">
        <v>43873.602754629625</v>
      </c>
      <c r="B40467" t="str">
        <f>HYPERLINK("https://twitter.com/jawapos","@jawapos")</f>
        <v>@jawapos</v>
      </c>
      <c r="C40467" t="s">
        <v>2062</v>
      </c>
      <c r="D40467">
        <v>1</v>
      </c>
      <c r="E40467">
        <v>1</v>
      </c>
      <c r="F40467">
        <v>116251</v>
      </c>
    </row>
    <row r="40468" spans="1:6" ht="15.75" customHeight="1">
      <c r="A40468" s="3">
        <v>43873.602453703701</v>
      </c>
      <c r="B40468" t="str">
        <f>HYPERLINK("https://twitter.com/_winnersss","@_winnersss")</f>
        <v>@_winnersss</v>
      </c>
      <c r="C40468" t="s">
        <v>902</v>
      </c>
      <c r="D40468">
        <v>2</v>
      </c>
      <c r="E40468">
        <v>1</v>
      </c>
      <c r="F40468">
        <v>7</v>
      </c>
    </row>
    <row r="40469" spans="1:6" ht="15.75" customHeight="1">
      <c r="A40469" s="3">
        <v>43873.602303240739</v>
      </c>
      <c r="B40469" t="str">
        <f>HYPERLINK("https://twitter.com/SATirta1","@SATirta1")</f>
        <v>@SATirta1</v>
      </c>
      <c r="C40469" t="s">
        <v>2063</v>
      </c>
      <c r="D40469">
        <v>0</v>
      </c>
      <c r="E40469">
        <v>0</v>
      </c>
      <c r="F40469">
        <v>75</v>
      </c>
    </row>
    <row r="40470" spans="1:6" ht="15.75" customHeight="1">
      <c r="A40470" s="3">
        <v>43873.6015625</v>
      </c>
      <c r="B40470" t="str">
        <f>HYPERLINK("https://twitter.com/okezonenews","@okezonenews")</f>
        <v>@okezonenews</v>
      </c>
      <c r="C40470" t="s">
        <v>2064</v>
      </c>
      <c r="D40470">
        <v>0</v>
      </c>
      <c r="E40470">
        <v>0</v>
      </c>
      <c r="F40470">
        <v>1743741</v>
      </c>
    </row>
    <row r="40471" spans="1:6" ht="15.75" customHeight="1">
      <c r="A40471" s="3">
        <v>43873.601412037038</v>
      </c>
      <c r="B40471" t="str">
        <f>HYPERLINK("https://twitter.com/AyuPrihandini4","@AyuPrihandini4")</f>
        <v>@AyuPrihandini4</v>
      </c>
      <c r="C40471" t="s">
        <v>2065</v>
      </c>
      <c r="D40471">
        <v>4</v>
      </c>
      <c r="E40471">
        <v>7</v>
      </c>
      <c r="F40471">
        <v>17</v>
      </c>
    </row>
    <row r="40472" spans="1:6" ht="15.75" customHeight="1">
      <c r="A40472" s="3">
        <v>43873.600393518514</v>
      </c>
      <c r="B40472" t="str">
        <f t="shared" ref="B40472:B40476" si="486">HYPERLINK("https://twitter.com/bagaskusuma123","@bagaskusuma123")</f>
        <v>@bagaskusuma123</v>
      </c>
      <c r="C40472" t="s">
        <v>2066</v>
      </c>
      <c r="D40472">
        <v>0</v>
      </c>
      <c r="E40472">
        <v>3</v>
      </c>
      <c r="F40472">
        <v>9</v>
      </c>
    </row>
    <row r="40473" spans="1:6" ht="15.75" customHeight="1">
      <c r="A40473" s="3">
        <v>43873.600324074076</v>
      </c>
      <c r="B40473" t="str">
        <f t="shared" si="486"/>
        <v>@bagaskusuma123</v>
      </c>
      <c r="C40473" t="s">
        <v>2066</v>
      </c>
      <c r="D40473">
        <v>0</v>
      </c>
      <c r="E40473">
        <v>2</v>
      </c>
      <c r="F40473">
        <v>9</v>
      </c>
    </row>
    <row r="40474" spans="1:6" ht="15.75" customHeight="1">
      <c r="A40474" s="3">
        <v>43873.600150462968</v>
      </c>
      <c r="B40474" t="str">
        <f t="shared" si="486"/>
        <v>@bagaskusuma123</v>
      </c>
      <c r="C40474" t="s">
        <v>2066</v>
      </c>
      <c r="D40474">
        <v>0</v>
      </c>
      <c r="E40474">
        <v>2</v>
      </c>
      <c r="F40474">
        <v>9</v>
      </c>
    </row>
    <row r="40475" spans="1:6" ht="15.75" customHeight="1">
      <c r="A40475" s="3">
        <v>43873.600034722222</v>
      </c>
      <c r="B40475" t="str">
        <f t="shared" si="486"/>
        <v>@bagaskusuma123</v>
      </c>
      <c r="C40475" t="s">
        <v>2066</v>
      </c>
      <c r="D40475">
        <v>0</v>
      </c>
      <c r="E40475">
        <v>2</v>
      </c>
      <c r="F40475">
        <v>9</v>
      </c>
    </row>
    <row r="40476" spans="1:6" ht="15.75" customHeight="1">
      <c r="A40476" s="3">
        <v>43873.59983796296</v>
      </c>
      <c r="B40476" t="str">
        <f t="shared" si="486"/>
        <v>@bagaskusuma123</v>
      </c>
      <c r="C40476" t="s">
        <v>2066</v>
      </c>
      <c r="D40476">
        <v>0</v>
      </c>
      <c r="E40476">
        <v>2</v>
      </c>
      <c r="F40476">
        <v>9</v>
      </c>
    </row>
    <row r="40477" spans="1:6" ht="15.75" customHeight="1">
      <c r="A40477" s="3">
        <v>43873.599687499998</v>
      </c>
      <c r="B40477" t="str">
        <f>HYPERLINK("https://twitter.com/republikaonline","@republikaonline")</f>
        <v>@republikaonline</v>
      </c>
      <c r="C40477" t="s">
        <v>2067</v>
      </c>
      <c r="D40477">
        <v>0</v>
      </c>
      <c r="E40477">
        <v>2</v>
      </c>
      <c r="F40477">
        <v>1210209</v>
      </c>
    </row>
    <row r="40478" spans="1:6" ht="15.75" customHeight="1">
      <c r="A40478" s="3">
        <v>43873.59957175926</v>
      </c>
      <c r="B40478" t="str">
        <f>HYPERLINK("https://twitter.com/StellaSuwardi","@StellaSuwardi")</f>
        <v>@StellaSuwardi</v>
      </c>
      <c r="C40478" t="s">
        <v>2068</v>
      </c>
      <c r="D40478">
        <v>3</v>
      </c>
      <c r="E40478">
        <v>3</v>
      </c>
      <c r="F40478">
        <v>4622</v>
      </c>
    </row>
    <row r="40479" spans="1:6" ht="15.75" customHeight="1">
      <c r="A40479" s="3">
        <v>43873.599108796298</v>
      </c>
      <c r="B40479" t="str">
        <f>HYPERLINK("https://twitter.com/MataNajwa","@MataNajwa")</f>
        <v>@MataNajwa</v>
      </c>
      <c r="C40479" t="s">
        <v>2069</v>
      </c>
      <c r="D40479">
        <v>22</v>
      </c>
      <c r="E40479">
        <v>135</v>
      </c>
      <c r="F40479">
        <v>2827899</v>
      </c>
    </row>
    <row r="40480" spans="1:6" ht="15.75" customHeight="1">
      <c r="A40480" s="3">
        <v>43873.598935185189</v>
      </c>
      <c r="B40480" t="str">
        <f>HYPERLINK("https://twitter.com/santets_","@santets_")</f>
        <v>@santets_</v>
      </c>
      <c r="C40480" t="s">
        <v>2070</v>
      </c>
      <c r="D40480">
        <v>0</v>
      </c>
      <c r="E40480">
        <v>0</v>
      </c>
      <c r="F40480">
        <v>96</v>
      </c>
    </row>
    <row r="40481" spans="1:6" ht="15.75" customHeight="1">
      <c r="A40481" s="3">
        <v>43873.59820601852</v>
      </c>
      <c r="B40481" t="str">
        <f t="shared" ref="B40481:B40482" si="487">HYPERLINK("https://twitter.com/FirzaMegantara","@FirzaMegantara")</f>
        <v>@FirzaMegantara</v>
      </c>
      <c r="C40481" t="s">
        <v>2066</v>
      </c>
      <c r="D40481">
        <v>0</v>
      </c>
      <c r="E40481">
        <v>2</v>
      </c>
      <c r="F40481">
        <v>13</v>
      </c>
    </row>
    <row r="40482" spans="1:6" ht="15.75" customHeight="1">
      <c r="A40482" s="3">
        <v>43873.598182870366</v>
      </c>
      <c r="B40482" t="str">
        <f t="shared" si="487"/>
        <v>@FirzaMegantara</v>
      </c>
      <c r="C40482" t="s">
        <v>2066</v>
      </c>
      <c r="D40482">
        <v>0</v>
      </c>
      <c r="E40482">
        <v>2</v>
      </c>
      <c r="F40482">
        <v>13</v>
      </c>
    </row>
    <row r="40483" spans="1:6" ht="15.75" customHeight="1">
      <c r="A40483" s="3">
        <v>43873.598171296297</v>
      </c>
      <c r="B40483" t="str">
        <f>HYPERLINK("https://twitter.com/netralnews","@netralnews")</f>
        <v>@netralnews</v>
      </c>
      <c r="C40483" t="s">
        <v>2071</v>
      </c>
      <c r="D40483">
        <v>0</v>
      </c>
      <c r="E40483">
        <v>0</v>
      </c>
      <c r="F40483">
        <v>1436</v>
      </c>
    </row>
    <row r="40484" spans="1:6" ht="15.75" customHeight="1">
      <c r="A40484" s="3">
        <v>43873.597754629634</v>
      </c>
      <c r="B40484" t="str">
        <f>HYPERLINK("https://twitter.com/FirzaMegantara","@FirzaMegantara")</f>
        <v>@FirzaMegantara</v>
      </c>
      <c r="C40484" t="s">
        <v>2066</v>
      </c>
      <c r="D40484">
        <v>0</v>
      </c>
      <c r="E40484">
        <v>2</v>
      </c>
      <c r="F40484">
        <v>13</v>
      </c>
    </row>
    <row r="40485" spans="1:6" ht="15.75" customHeight="1">
      <c r="A40485" s="3">
        <v>43873.597662037035</v>
      </c>
      <c r="B40485" t="str">
        <f>HYPERLINK("https://twitter.com/cutestkoalaa","@cutestkoalaa")</f>
        <v>@cutestkoalaa</v>
      </c>
      <c r="C40485" t="s">
        <v>2072</v>
      </c>
      <c r="D40485">
        <v>0</v>
      </c>
      <c r="E40485">
        <v>0</v>
      </c>
      <c r="F40485">
        <v>150</v>
      </c>
    </row>
    <row r="40486" spans="1:6" ht="15.75" customHeight="1">
      <c r="A40486" s="3">
        <v>43873.597384259258</v>
      </c>
      <c r="B40486" t="str">
        <f>HYPERLINK("https://twitter.com/slamet_riade","@slamet_riade")</f>
        <v>@slamet_riade</v>
      </c>
      <c r="C40486" t="s">
        <v>1974</v>
      </c>
      <c r="D40486">
        <v>0</v>
      </c>
      <c r="E40486">
        <v>0</v>
      </c>
      <c r="F40486">
        <v>5</v>
      </c>
    </row>
    <row r="40487" spans="1:6" ht="15.75" customHeight="1">
      <c r="A40487" s="3">
        <v>43873.597337962958</v>
      </c>
      <c r="B40487" t="str">
        <f>HYPERLINK("https://twitter.com/FirzaMegantara","@FirzaMegantara")</f>
        <v>@FirzaMegantara</v>
      </c>
      <c r="C40487" t="s">
        <v>2066</v>
      </c>
      <c r="D40487">
        <v>0</v>
      </c>
      <c r="E40487">
        <v>2</v>
      </c>
      <c r="F40487">
        <v>13</v>
      </c>
    </row>
    <row r="40488" spans="1:6" ht="15.75" customHeight="1">
      <c r="A40488" s="3">
        <v>43873.597037037034</v>
      </c>
      <c r="B40488" t="str">
        <f>HYPERLINK("https://twitter.com/sofyan_amsyar","@sofyan_amsyar")</f>
        <v>@sofyan_amsyar</v>
      </c>
      <c r="C40488" t="s">
        <v>1975</v>
      </c>
      <c r="D40488">
        <v>0</v>
      </c>
      <c r="E40488">
        <v>0</v>
      </c>
      <c r="F40488">
        <v>3</v>
      </c>
    </row>
    <row r="40489" spans="1:6" ht="15.75" customHeight="1">
      <c r="A40489" s="3">
        <v>43873.597025462965</v>
      </c>
      <c r="B40489" t="str">
        <f>HYPERLINK("https://twitter.com/Beritasatu","@Beritasatu")</f>
        <v>@Beritasatu</v>
      </c>
      <c r="C40489" t="s">
        <v>2073</v>
      </c>
      <c r="D40489">
        <v>2</v>
      </c>
      <c r="E40489">
        <v>3</v>
      </c>
      <c r="F40489">
        <v>613637</v>
      </c>
    </row>
    <row r="40490" spans="1:6" ht="15.75" customHeight="1">
      <c r="A40490" s="3">
        <v>43873.596666666665</v>
      </c>
      <c r="B40490" t="str">
        <f>HYPERLINK("https://twitter.com/Vendra_Deje","@Vendra_Deje")</f>
        <v>@Vendra_Deje</v>
      </c>
      <c r="C40490" t="s">
        <v>2074</v>
      </c>
      <c r="D40490">
        <v>1</v>
      </c>
      <c r="E40490">
        <v>1</v>
      </c>
      <c r="F40490">
        <v>3132</v>
      </c>
    </row>
    <row r="40491" spans="1:6" ht="15.75" customHeight="1">
      <c r="A40491" s="3">
        <v>43873.596631944441</v>
      </c>
      <c r="B40491" t="str">
        <f>HYPERLINK("https://twitter.com/moreshare","@moreshare")</f>
        <v>@moreshare</v>
      </c>
      <c r="C40491" t="s">
        <v>2075</v>
      </c>
      <c r="D40491">
        <v>0</v>
      </c>
      <c r="E40491">
        <v>1</v>
      </c>
      <c r="F40491">
        <v>3302</v>
      </c>
    </row>
    <row r="40492" spans="1:6" ht="15.75" customHeight="1">
      <c r="A40492" s="3">
        <v>43873.59642361111</v>
      </c>
      <c r="B40492" t="str">
        <f>HYPERLINK("https://twitter.com/suryaa_citra","@suryaa_citra")</f>
        <v>@suryaa_citra</v>
      </c>
      <c r="C40492" t="s">
        <v>1963</v>
      </c>
      <c r="D40492">
        <v>0</v>
      </c>
      <c r="E40492">
        <v>0</v>
      </c>
      <c r="F40492">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12Feb-1Mar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Ilma Aliya Fiddien</dc:creator>
  <cp:lastModifiedBy>Ilma Aliya Fiddien</cp:lastModifiedBy>
  <dcterms:created xsi:type="dcterms:W3CDTF">2020-04-16T05:08:05Z</dcterms:created>
  <dcterms:modified xsi:type="dcterms:W3CDTF">2020-04-16T06:31:57Z</dcterms:modified>
</cp:coreProperties>
</file>